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ustomProperty1.bin" ContentType="application/vnd.openxmlformats-officedocument.spreadsheetml.customProperty"/>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C:\Users\MChase\Desktop\GBPC\"/>
    </mc:Choice>
  </mc:AlternateContent>
  <xr:revisionPtr revIDLastSave="0" documentId="8_{27F6C336-2A66-4488-B749-CBBEA9BE9CA3}" xr6:coauthVersionLast="47" xr6:coauthVersionMax="47" xr10:uidLastSave="{00000000-0000-0000-0000-000000000000}"/>
  <bookViews>
    <workbookView xWindow="-110" yWindow="-110" windowWidth="25180" windowHeight="16140" xr2:uid="{74319FD9-7233-4698-B182-3CFB273AB37E}"/>
  </bookViews>
  <sheets>
    <sheet name="Preferred Equipment" sheetId="43" r:id="rId1"/>
    <sheet name="Preferred Equipment Tariff" sheetId="44" r:id="rId2"/>
    <sheet name="Angel Armor" sheetId="47" r:id="rId3"/>
    <sheet name="American Aluminum" sheetId="39" r:id="rId4"/>
    <sheet name="Blac-Rac" sheetId="48" r:id="rId5"/>
    <sheet name="CargoRAXX" sheetId="40" r:id="rId6"/>
    <sheet name="Code 3" sheetId="10" r:id="rId7"/>
    <sheet name="Code 3 Light Bars" sheetId="11" r:id="rId8"/>
    <sheet name="Federal Signal" sheetId="31" r:id="rId9"/>
    <sheet name="Gamber Johnson" sheetId="49" r:id="rId10"/>
    <sheet name="GETAC SELECT®" sheetId="30" r:id="rId11"/>
    <sheet name="Kussmaul" sheetId="46" r:id="rId12"/>
    <sheet name="Havis" sheetId="32" r:id="rId13"/>
    <sheet name="Lund" sheetId="37" r:id="rId14"/>
    <sheet name="Lund Loft" sheetId="36" r:id="rId15"/>
    <sheet name="PAC Tools" sheetId="41" r:id="rId16"/>
    <sheet name="Pro-Gard" sheetId="34" r:id="rId17"/>
    <sheet name="Printek" sheetId="50" r:id="rId18"/>
    <sheet name="Ram Mounts" sheetId="51" r:id="rId19"/>
    <sheet name="Santa Cruz" sheetId="6" r:id="rId20"/>
    <sheet name="Semtech" sheetId="52" r:id="rId21"/>
    <sheet name="Soundoff Standard" sheetId="4" r:id="rId22"/>
    <sheet name="Soundoff bluePRINT" sheetId="5" r:id="rId23"/>
    <sheet name="Streamlight" sheetId="38" r:id="rId24"/>
    <sheet name="Troy Products" sheetId="45" r:id="rId25"/>
    <sheet name="TruckVault" sheetId="35" r:id="rId26"/>
    <sheet name="Westin" sheetId="8" r:id="rId27"/>
    <sheet name="Whelen" sheetId="33" r:id="rId28"/>
    <sheet name="Setina 20-25 Ford Int Utility" sheetId="12" r:id="rId29"/>
    <sheet name="Setina15-25 Ford F150 Responder" sheetId="13" r:id="rId30"/>
    <sheet name="Setina 21-25 F150 Lightning" sheetId="27" r:id="rId31"/>
    <sheet name="Setina 21-25 Mustang Mach E" sheetId="26" r:id="rId32"/>
    <sheet name="Setina 17-25 Ford F250-F550" sheetId="14" r:id="rId33"/>
    <sheet name="Setina 21-25 Chevrolet Tahoe" sheetId="15" r:id="rId34"/>
    <sheet name="Setina 20-25 Chevy Truck " sheetId="29" r:id="rId35"/>
    <sheet name="Setina Chevy Blazer EV" sheetId="28" r:id="rId36"/>
    <sheet name="Setina 19-25 Chevy Truck 1500" sheetId="16" r:id="rId37"/>
    <sheet name="Setina 11-26 Dodge Durango" sheetId="17" r:id="rId38"/>
    <sheet name="Setina 19-25 Dodge Ram DT 1500" sheetId="18" r:id="rId39"/>
    <sheet name="Setina 11-23 Dodge Charger" sheetId="19" r:id="rId40"/>
    <sheet name="Setina 20-25 Chrysler Pacifica" sheetId="20" r:id="rId41"/>
    <sheet name="Setina 19-25 Dodge Ram " sheetId="21" r:id="rId42"/>
    <sheet name="Setina 08-20 Dodge Caravan" sheetId="22" r:id="rId43"/>
    <sheet name="Setina 20-25 Tesla Model Y" sheetId="23" r:id="rId44"/>
    <sheet name="Setina FIREARM MOUNT SYSTEMS" sheetId="24" r:id="rId45"/>
    <sheet name="Setina K9 ELECTRONICS" sheetId="25"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______Z04" hidden="1">{#N/A,#N/A,FALSE,"Australia";#N/A,#N/A,FALSE,"Austria";#N/A,#N/A,FALSE,"Belgium";#N/A,#N/A,FALSE,"Canada";#N/A,#N/A,FALSE,"France";#N/A,#N/A,FALSE,"Germany";#N/A,#N/A,FALSE,"Hong Kong";#N/A,#N/A,FALSE,"Italy";#N/A,#N/A,FALSE,"Japan";#N/A,#N/A,FALSE,"Korea";#N/A,#N/A,FALSE,"Mexico";#N/A,#N/A,FALSE,"Poland";#N/A,#N/A,FALSE,"Spain";#N/A,#N/A,FALSE,"Switzerland";#N/A,#N/A,FALSE,"UK"}</definedName>
    <definedName name="_______Z05" hidden="1">{#N/A,#N/A,FALSE,"Australia";#N/A,#N/A,FALSE,"Austria";#N/A,#N/A,FALSE,"Belgium";#N/A,#N/A,FALSE,"Canada";#N/A,#N/A,FALSE,"France";#N/A,#N/A,FALSE,"Germany";#N/A,#N/A,FALSE,"Hong Kong";#N/A,#N/A,FALSE,"Italy";#N/A,#N/A,FALSE,"Japan";#N/A,#N/A,FALSE,"Korea";#N/A,#N/A,FALSE,"Mexico";#N/A,#N/A,FALSE,"Poland";#N/A,#N/A,FALSE,"Spain";#N/A,#N/A,FALSE,"Switzerland";#N/A,#N/A,FALSE,"UK"}</definedName>
    <definedName name="______Z04" hidden="1">{#N/A,#N/A,FALSE,"Australia";#N/A,#N/A,FALSE,"Austria";#N/A,#N/A,FALSE,"Belgium";#N/A,#N/A,FALSE,"Canada";#N/A,#N/A,FALSE,"France";#N/A,#N/A,FALSE,"Germany";#N/A,#N/A,FALSE,"Hong Kong";#N/A,#N/A,FALSE,"Italy";#N/A,#N/A,FALSE,"Japan";#N/A,#N/A,FALSE,"Korea";#N/A,#N/A,FALSE,"Mexico";#N/A,#N/A,FALSE,"Poland";#N/A,#N/A,FALSE,"Spain";#N/A,#N/A,FALSE,"Switzerland";#N/A,#N/A,FALSE,"UK"}</definedName>
    <definedName name="______Z05" hidden="1">{#N/A,#N/A,FALSE,"Australia";#N/A,#N/A,FALSE,"Austria";#N/A,#N/A,FALSE,"Belgium";#N/A,#N/A,FALSE,"Canada";#N/A,#N/A,FALSE,"France";#N/A,#N/A,FALSE,"Germany";#N/A,#N/A,FALSE,"Hong Kong";#N/A,#N/A,FALSE,"Italy";#N/A,#N/A,FALSE,"Japan";#N/A,#N/A,FALSE,"Korea";#N/A,#N/A,FALSE,"Mexico";#N/A,#N/A,FALSE,"Poland";#N/A,#N/A,FALSE,"Spain";#N/A,#N/A,FALSE,"Switzerland";#N/A,#N/A,FALSE,"UK"}</definedName>
    <definedName name="_____dc1"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_____dc2"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____rob2" hidden="1">{"GLI-Income Statement",#N/A,FALSE,"gli";"GLI - Balance Sheet Wksht",#N/A,FALSE,"gli";"GLI-Cash Flow",#N/A,FALSE,"gli";"GLI Qtrly Stats",#N/A,FALSE,"gli"}</definedName>
    <definedName name="____Z04" hidden="1">{#N/A,#N/A,FALSE,"Australia";#N/A,#N/A,FALSE,"Austria";#N/A,#N/A,FALSE,"Belgium";#N/A,#N/A,FALSE,"Canada";#N/A,#N/A,FALSE,"France";#N/A,#N/A,FALSE,"Germany";#N/A,#N/A,FALSE,"Hong Kong";#N/A,#N/A,FALSE,"Italy";#N/A,#N/A,FALSE,"Japan";#N/A,#N/A,FALSE,"Korea";#N/A,#N/A,FALSE,"Mexico";#N/A,#N/A,FALSE,"Poland";#N/A,#N/A,FALSE,"Spain";#N/A,#N/A,FALSE,"Switzerland";#N/A,#N/A,FALSE,"UK"}</definedName>
    <definedName name="____Z05" hidden="1">{#N/A,#N/A,FALSE,"Australia";#N/A,#N/A,FALSE,"Austria";#N/A,#N/A,FALSE,"Belgium";#N/A,#N/A,FALSE,"Canada";#N/A,#N/A,FALSE,"France";#N/A,#N/A,FALSE,"Germany";#N/A,#N/A,FALSE,"Hong Kong";#N/A,#N/A,FALSE,"Italy";#N/A,#N/A,FALSE,"Japan";#N/A,#N/A,FALSE,"Korea";#N/A,#N/A,FALSE,"Mexico";#N/A,#N/A,FALSE,"Poland";#N/A,#N/A,FALSE,"Spain";#N/A,#N/A,FALSE,"Switzerland";#N/A,#N/A,FALSE,"UK"}</definedName>
    <definedName name="___Z04" hidden="1">{#N/A,#N/A,FALSE,"Australia";#N/A,#N/A,FALSE,"Austria";#N/A,#N/A,FALSE,"Belgium";#N/A,#N/A,FALSE,"Canada";#N/A,#N/A,FALSE,"France";#N/A,#N/A,FALSE,"Germany";#N/A,#N/A,FALSE,"Hong Kong";#N/A,#N/A,FALSE,"Italy";#N/A,#N/A,FALSE,"Japan";#N/A,#N/A,FALSE,"Korea";#N/A,#N/A,FALSE,"Mexico";#N/A,#N/A,FALSE,"Poland";#N/A,#N/A,FALSE,"Spain";#N/A,#N/A,FALSE,"Switzerland";#N/A,#N/A,FALSE,"UK"}</definedName>
    <definedName name="___Z05" hidden="1">{#N/A,#N/A,FALSE,"Australia";#N/A,#N/A,FALSE,"Austria";#N/A,#N/A,FALSE,"Belgium";#N/A,#N/A,FALSE,"Canada";#N/A,#N/A,FALSE,"France";#N/A,#N/A,FALSE,"Germany";#N/A,#N/A,FALSE,"Hong Kong";#N/A,#N/A,FALSE,"Italy";#N/A,#N/A,FALSE,"Japan";#N/A,#N/A,FALSE,"Korea";#N/A,#N/A,FALSE,"Mexico";#N/A,#N/A,FALSE,"Poland";#N/A,#N/A,FALSE,"Spain";#N/A,#N/A,FALSE,"Switzerland";#N/A,#N/A,FALSE,"UK"}</definedName>
    <definedName name="__123Graph_A" hidden="1">'[1]Month 8'!#REF!</definedName>
    <definedName name="__123Graph_B" hidden="1">'[1]Month 8'!#REF!</definedName>
    <definedName name="__123Graph_C" hidden="1">'[1]Month 8'!#REF!</definedName>
    <definedName name="__123Graph_D" hidden="1">'[1]Month 8'!#REF!</definedName>
    <definedName name="__123Graph_F" hidden="1">'[2]123197'!#REF!</definedName>
    <definedName name="__dc1"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__dc2"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__KEY2" hidden="1">#REF!</definedName>
    <definedName name="__rob2" hidden="1">{"GLI-Income Statement",#N/A,FALSE,"gli";"GLI - Balance Sheet Wksht",#N/A,FALSE,"gli";"GLI-Cash Flow",#N/A,FALSE,"gli";"GLI Qtrly Stats",#N/A,FALSE,"gli"}</definedName>
    <definedName name="__Z04" hidden="1">{#N/A,#N/A,FALSE,"Australia";#N/A,#N/A,FALSE,"Austria";#N/A,#N/A,FALSE,"Belgium";#N/A,#N/A,FALSE,"Canada";#N/A,#N/A,FALSE,"France";#N/A,#N/A,FALSE,"Germany";#N/A,#N/A,FALSE,"Hong Kong";#N/A,#N/A,FALSE,"Italy";#N/A,#N/A,FALSE,"Japan";#N/A,#N/A,FALSE,"Korea";#N/A,#N/A,FALSE,"Mexico";#N/A,#N/A,FALSE,"Poland";#N/A,#N/A,FALSE,"Spain";#N/A,#N/A,FALSE,"Switzerland";#N/A,#N/A,FALSE,"UK"}</definedName>
    <definedName name="__Z05" hidden="1">{#N/A,#N/A,FALSE,"Australia";#N/A,#N/A,FALSE,"Austria";#N/A,#N/A,FALSE,"Belgium";#N/A,#N/A,FALSE,"Canada";#N/A,#N/A,FALSE,"France";#N/A,#N/A,FALSE,"Germany";#N/A,#N/A,FALSE,"Hong Kong";#N/A,#N/A,FALSE,"Italy";#N/A,#N/A,FALSE,"Japan";#N/A,#N/A,FALSE,"Korea";#N/A,#N/A,FALSE,"Mexico";#N/A,#N/A,FALSE,"Poland";#N/A,#N/A,FALSE,"Spain";#N/A,#N/A,FALSE,"Switzerland";#N/A,#N/A,FALSE,"UK"}</definedName>
    <definedName name="_1__123Graph_ACHART_1" hidden="1">'[4]Cntmrs-Recruit'!$F$20:$Q$20</definedName>
    <definedName name="_10__123Graph_CChart_1A" hidden="1">[5]Cntmrs!$B$22:$M$22</definedName>
    <definedName name="_11__123Graph_CCHART_2" hidden="1">[6]A!$L$4:$L$15</definedName>
    <definedName name="_12__123Graph_LBL_ACHART_1" hidden="1">[7]A!$C$62:$N$62</definedName>
    <definedName name="_13__123Graph_LBL_ACHART_2" hidden="1">[7]A!$B$66:$D$66</definedName>
    <definedName name="_14__123Graph_LBL_BCHART_1" hidden="1">[7]A!$C$63:$N$63</definedName>
    <definedName name="_15__123Graph_LBL_ECHART_1" hidden="1">[7]A!$B$90:$H$90</definedName>
    <definedName name="_16__123Graph_XCHART_1" hidden="1">[8]Sheet1!$A$1:$A$6</definedName>
    <definedName name="_17__123Graph_XChart_1A" hidden="1">[5]Cntmrs!$B$19:$M$19</definedName>
    <definedName name="_18__123Graph_XCHART_2" hidden="1">[7]A!$B$65:$D$65</definedName>
    <definedName name="_19__123Graph_XChart_2A" hidden="1">[5]Cntmrs!$P$19:$S$19</definedName>
    <definedName name="_2" hidden="1">#REF!</definedName>
    <definedName name="_2__123Graph_AChart_1A" hidden="1">[5]Cntmrs!$B$20:$M$20</definedName>
    <definedName name="_3" hidden="1">#REF!</definedName>
    <definedName name="_3__123Graph_ACHART_2" hidden="1">'[4]Cntmrs-Recruit'!$R$20:$T$20</definedName>
    <definedName name="_4__123Graph_AChart_2A" hidden="1">[5]Cntmrs!$P$20:$S$20</definedName>
    <definedName name="_5__123Graph_BCHART_1" hidden="1">'[4]Cntmrs-Recruit'!$F$21:$Q$21</definedName>
    <definedName name="_6__123Graph_BChart_1A" hidden="1">[5]Cntmrs!$B$21:$M$21</definedName>
    <definedName name="_7__123Graph_BCHART_2" hidden="1">[6]A!$K$4:$K$15</definedName>
    <definedName name="_8__123Graph_BCHART_8" hidden="1">'[9]2000'!$C$12:$N$12</definedName>
    <definedName name="_9__123Graph_CCHART_1" hidden="1">'[4]Cntmrs-Recruit'!$F$22:$Q$22</definedName>
    <definedName name="_a" hidden="1">#REF!</definedName>
    <definedName name="_bdm.0D7A3C7141BA469B8044991ABAA0B7D7.edm" hidden="1">#REF!</definedName>
    <definedName name="_bdm.0F32E5EA91DA4561B70A945F3DCFCD5C.edm" hidden="1">[10]GDP!$A:$IV</definedName>
    <definedName name="_bdm.BA764B64A88442D0B2478F3FE7C7A722.edm" hidden="1">'[11]Recurring rev &amp; temp'!$A:$IV</definedName>
    <definedName name="_bdm.DFA364F47AC9452CAADC2CE3C3A3B841.edm" hidden="1">[11]Margins!$A:$IV</definedName>
    <definedName name="_eurodoll">'[23]PRICE DATABASE'!$A$2</definedName>
    <definedName name="_feb1" hidden="1">{"2001 actual",#N/A,FALSE,"Raw Data month";"2002actual",#N/A,FALSE,"Raw Data month";"2002 plan",#N/A,FALSE,"Raw Data month"}</definedName>
    <definedName name="_Fill" hidden="1">#REF!</definedName>
    <definedName name="_xlnm._FilterDatabase" localSheetId="6" hidden="1">'Code 3'!$A$6:$D$1376</definedName>
    <definedName name="_xlnm._FilterDatabase" localSheetId="7" hidden="1">'Code 3 Light Bars'!$A$2:$C$1282</definedName>
    <definedName name="_xlnm._FilterDatabase" localSheetId="12" hidden="1">Havis!$A$2:$C$1889</definedName>
    <definedName name="_xlnm._FilterDatabase" localSheetId="11" hidden="1">Kussmaul!$A$1:$C$603</definedName>
    <definedName name="_xlnm._FilterDatabase" localSheetId="16" hidden="1">'Pro-Gard'!$A$214:$C$217</definedName>
    <definedName name="_xlnm._FilterDatabase" localSheetId="20" hidden="1">Semtech!$A$2:$C$68</definedName>
    <definedName name="_xlnm._FilterDatabase" localSheetId="42" hidden="1">'Setina 08-20 Dodge Caravan'!$A$2:$C$31</definedName>
    <definedName name="_xlnm._FilterDatabase" localSheetId="39" hidden="1">'Setina 11-23 Dodge Charger'!$A$2:$C$171</definedName>
    <definedName name="_xlnm._FilterDatabase" localSheetId="37" hidden="1">'Setina 11-26 Dodge Durango'!$A$2:$C$242</definedName>
    <definedName name="_xlnm._FilterDatabase" localSheetId="32" hidden="1">'Setina 17-25 Ford F250-F550'!$A$2:$C$112</definedName>
    <definedName name="_xlnm._FilterDatabase" localSheetId="36" hidden="1">'Setina 19-25 Chevy Truck 1500'!$A$2:$C$121</definedName>
    <definedName name="_xlnm._FilterDatabase" localSheetId="38" hidden="1">'Setina 19-25 Dodge Ram DT 1500'!$A$2:$C$69</definedName>
    <definedName name="_xlnm._FilterDatabase" localSheetId="34" hidden="1">'Setina 20-25 Chevy Truck '!$A$2:$C$87</definedName>
    <definedName name="_xlnm._FilterDatabase" localSheetId="40" hidden="1">'Setina 20-25 Chrysler Pacifica'!$A$2:$C$21</definedName>
    <definedName name="_xlnm._FilterDatabase" localSheetId="28" hidden="1">'Setina 20-25 Ford Int Utility'!$A$2:$C$333</definedName>
    <definedName name="_xlnm._FilterDatabase" localSheetId="43" hidden="1">'Setina 20-25 Tesla Model Y'!$A$2:$C$44</definedName>
    <definedName name="_xlnm._FilterDatabase" localSheetId="33" hidden="1">'Setina 21-25 Chevrolet Tahoe'!$A$2:$C$323</definedName>
    <definedName name="_xlnm._FilterDatabase" localSheetId="31" hidden="1">'Setina 21-25 Mustang Mach E'!$A$2:$C$66</definedName>
    <definedName name="_xlnm._FilterDatabase" localSheetId="44" hidden="1">'Setina FIREARM MOUNT SYSTEMS'!$A$2:$C$114</definedName>
    <definedName name="_xlnm._FilterDatabase" localSheetId="45" hidden="1">'Setina K9 ELECTRONICS'!$A$2:$C$72</definedName>
    <definedName name="_xlnm._FilterDatabase" localSheetId="29" hidden="1">'Setina15-25 Ford F150 Responder'!$A$2:$C$178</definedName>
    <definedName name="_xlnm._FilterDatabase" localSheetId="23" hidden="1">Streamlight!$A$4:$C$2460</definedName>
    <definedName name="_xlnm._FilterDatabase" localSheetId="24" hidden="1">'Troy Products'!$A$1:$C$1015</definedName>
    <definedName name="_GenerateCsv">[23]PriceListGenerator!$A$2</definedName>
    <definedName name="_GenerateExcel">[23]PriceListGenerator!$A$3</definedName>
    <definedName name="_Key1" hidden="1">#REF!</definedName>
    <definedName name="_Key2" hidden="1">#REF!</definedName>
    <definedName name="_Key3" hidden="1">#REF!</definedName>
    <definedName name="_KEY4" hidden="1">#REF!</definedName>
    <definedName name="_Key5" hidden="1">#REF!</definedName>
    <definedName name="_new2" hidden="1">'[12]Cntmrs-Recruit'!$R$20:$T$20</definedName>
    <definedName name="_OpenPDF">[23]PriceListGenerator!$A$1</definedName>
    <definedName name="_Order1" hidden="1">255</definedName>
    <definedName name="_Order2" hidden="1">255</definedName>
    <definedName name="_Parse_Out" hidden="1">[13]Vars!#REF!</definedName>
    <definedName name="_Regression_Int" hidden="1">1</definedName>
    <definedName name="_SelectedPricelist">[23]PriceListGenerator!$C$4</definedName>
    <definedName name="_SelectedPricelistIndex">[23]PriceListGenerator!$A$4</definedName>
    <definedName name="_sga" hidden="1">#REF!</definedName>
    <definedName name="_Sort" hidden="1">#REF!</definedName>
    <definedName name="_Table1_In1" hidden="1">[14]Modelback!#REF!</definedName>
    <definedName name="_Table1_Out" hidden="1">[14]Modelback!#REF!</definedName>
    <definedName name="_Title" localSheetId="20">Semtech!#REF!</definedName>
    <definedName name="_Z04" hidden="1">{#N/A,#N/A,FALSE,"Australia";#N/A,#N/A,FALSE,"Austria";#N/A,#N/A,FALSE,"Belgium";#N/A,#N/A,FALSE,"Canada";#N/A,#N/A,FALSE,"France";#N/A,#N/A,FALSE,"Germany";#N/A,#N/A,FALSE,"Hong Kong";#N/A,#N/A,FALSE,"Italy";#N/A,#N/A,FALSE,"Japan";#N/A,#N/A,FALSE,"Korea";#N/A,#N/A,FALSE,"Mexico";#N/A,#N/A,FALSE,"Poland";#N/A,#N/A,FALSE,"Spain";#N/A,#N/A,FALSE,"Switzerland";#N/A,#N/A,FALSE,"UK"}</definedName>
    <definedName name="_Z05" hidden="1">{#N/A,#N/A,FALSE,"Australia";#N/A,#N/A,FALSE,"Austria";#N/A,#N/A,FALSE,"Belgium";#N/A,#N/A,FALSE,"Canada";#N/A,#N/A,FALSE,"France";#N/A,#N/A,FALSE,"Germany";#N/A,#N/A,FALSE,"Hong Kong";#N/A,#N/A,FALSE,"Italy";#N/A,#N/A,FALSE,"Japan";#N/A,#N/A,FALSE,"Korea";#N/A,#N/A,FALSE,"Mexico";#N/A,#N/A,FALSE,"Poland";#N/A,#N/A,FALSE,"Spain";#N/A,#N/A,FALSE,"Switzerland";#N/A,#N/A,FALSE,"UK"}</definedName>
    <definedName name="aa" hidden="1">'[12]Cntmrs-Recruit'!$F$20:$Q$20</definedName>
    <definedName name="ACC_PRICELISTS_DEF_HEADERS" localSheetId="20">[23]!ACC_PRICELISTS_DEF[[#Headers],[List US]:[MOQ SILVER]]</definedName>
    <definedName name="ACC_PRICELISTS_DEF_HEADERS">[23]!ACC_PRICELISTS_DEF[[#Headers],[List US]:[MOQ SILVER]]</definedName>
    <definedName name="ACC_PRICELISTS_PRODUCTS_HEADERS" localSheetId="20">[23]!ACC_PRICELISTS_PRODUCTS[[#Headers],[MP]:[GL]]</definedName>
    <definedName name="ACC_PRICELISTS_PRODUCTS_HEADERS">[23]!ACC_PRICELISTS_PRODUCTS[[#Headers],[MP]:[GL]]</definedName>
    <definedName name="alyson" hidden="1">{#N/A,#N/A,FALSE,"Australia";#N/A,#N/A,FALSE,"Austria";#N/A,#N/A,FALSE,"Belgium";#N/A,#N/A,FALSE,"Canada";#N/A,#N/A,FALSE,"France";#N/A,#N/A,FALSE,"Germany";#N/A,#N/A,FALSE,"Hong Kong";#N/A,#N/A,FALSE,"Italy";#N/A,#N/A,FALSE,"Japan";#N/A,#N/A,FALSE,"Korea";#N/A,#N/A,FALSE,"Mexico";#N/A,#N/A,FALSE,"Poland";#N/A,#N/A,FALSE,"Spain";#N/A,#N/A,FALSE,"Switzerland";#N/A,#N/A,FALSE,"UK"}</definedName>
    <definedName name="AS2DocOpenMode" hidden="1">"AS2DocumentEdit"</definedName>
    <definedName name="AS2NamedRange" hidden="1">58</definedName>
    <definedName name="asdf" hidden="1">{"GTI monthly IS",#N/A,FALSE,"gti";#N/A,#N/A,FALSE,"gti"}</definedName>
    <definedName name="asdfff"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asfa" hidden="1">{#N/A,#N/A,FALSE,"MKTSUM95";#N/A,#N/A,FALSE,"MKTADM95";#N/A,#N/A,FALSE,"MKTD&amp;C95";#N/A,#N/A,FALSE,"MKTPRD95";#N/A,#N/A,FALSE,"MKTCHL95"}</definedName>
    <definedName name="asfa1" hidden="1">{#N/A,#N/A,FALSE,"MKTSUM95";#N/A,#N/A,FALSE,"MKTADM95";#N/A,#N/A,FALSE,"MKTD&amp;C95";#N/A,#N/A,FALSE,"MKTPRD95";#N/A,#N/A,FALSE,"MKTCHL95"}</definedName>
    <definedName name="backlog." hidden="1">{#N/A,#N/A,FALSE,"GROUPBAL"}</definedName>
    <definedName name="backlog_Plan_1" hidden="1">{#N/A,#N/A,FALSE,"GROUPBAL"}</definedName>
    <definedName name="backlog2" hidden="1">{#N/A,#N/A,FALSE,"GROUPBAL"}</definedName>
    <definedName name="BCHART" hidden="1">'[15]Cntmrs-Recruit'!$F$20:$Q$20</definedName>
    <definedName name="bchart1" hidden="1">'[16]Cntmrs-Recruit'!$F$20:$Q$20</definedName>
    <definedName name="berry" hidden="1">{#N/A,#N/A,FALSE,"Taxblinc";#N/A,#N/A,FALSE,"Rsvsacls"}</definedName>
    <definedName name="BNE_MESSAGES_HIDDEN" hidden="1">#REF!</definedName>
    <definedName name="canada" hidden="1">'[17]Cntmrs-Recruit'!$F$21:$Q$21</definedName>
    <definedName name="Canadacounter" hidden="1">'[17]Cntmrs-Recruit'!$R$20:$T$20</definedName>
    <definedName name="cat" hidden="1">{#N/A,#N/A,FALSE,"Taxblinc";#N/A,#N/A,FALSE,"Rsvsacls"}</definedName>
    <definedName name="CHECK_ARENA">'[23]check ARENA'!$A$7:$U$162</definedName>
    <definedName name="chik" hidden="1">{#N/A,#N/A,FALSE,"Summary";#N/A,#N/A,FALSE,"1991";#N/A,#N/A,FALSE,"91 AMT";#N/A,#N/A,FALSE,"1992";#N/A,#N/A,FALSE,"92 AMT";#N/A,#N/A,FALSE,"1993";#N/A,#N/A,FALSE,"93 AMT"}</definedName>
    <definedName name="CIQWBGuid" hidden="1">"TTM Analysis April 2014 - March 2015 v4.xlsx"</definedName>
    <definedName name="Countermeasures" hidden="1">#REF!</definedName>
    <definedName name="d" hidden="1">{#N/A,#N/A,FALSE,"MP96"}</definedName>
    <definedName name="dc"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dcdc"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ddd" hidden="1">{#N/A,#N/A,FALSE,"Australia";#N/A,#N/A,FALSE,"Austria";#N/A,#N/A,FALSE,"Belgium";#N/A,#N/A,FALSE,"Canada";#N/A,#N/A,FALSE,"France";#N/A,#N/A,FALSE,"Germany";#N/A,#N/A,FALSE,"Hong Kong";#N/A,#N/A,FALSE,"Italy";#N/A,#N/A,FALSE,"Japan";#N/A,#N/A,FALSE,"Korea";#N/A,#N/A,FALSE,"Mexico";#N/A,#N/A,FALSE,"Poland";#N/A,#N/A,FALSE,"Spain";#N/A,#N/A,FALSE,"Switzerland";#N/A,#N/A,FALSE,"UK"}</definedName>
    <definedName name="dog" hidden="1">{#N/A,#N/A,FALSE,"91NOLCB";#N/A,#N/A,FALSE,"92NOLCB";#N/A,#N/A,FALSE,"93NOLCB"}</definedName>
    <definedName name="ds" hidden="1">{#N/A,#N/A,FALSE,"MP96"}</definedName>
    <definedName name="dsaf" hidden="1">#REF!</definedName>
    <definedName name="EMEAITAFRASCANDGRAPH" hidden="1">[18]A!$F$21:$Q$21</definedName>
    <definedName name="EWQRE" hidden="1">0</definedName>
    <definedName name="Exh5.2" hidden="1">#REF!</definedName>
    <definedName name="fdf" hidden="1">[19]IncidentsEAP!$P$20:$S$20</definedName>
    <definedName name="fdfd" hidden="1">'[17]Cntmrs-Recruit'!$F$20:$Q$20</definedName>
    <definedName name="fdsfs" hidden="1">{"GLI-Income Statement",#N/A,FALSE,"gli";"GLI - Balance Sheet Wksht",#N/A,FALSE,"gli";"GLI-Cash Flow",#N/A,FALSE,"gli";"GLI Qtrly Stats",#N/A,FALSE,"gli"}</definedName>
    <definedName name="FEB" hidden="1">{"2001 actual",#N/A,FALSE,"Raw Data month";"2002actual",#N/A,FALSE,"Raw Data month";"2002 plan",#N/A,FALSE,"Raw Data month"}</definedName>
    <definedName name="ff" hidden="1">{#N/A,#N/A,FALSE,"MKTSUM95";#N/A,#N/A,FALSE,"MKTADM95";#N/A,#N/A,FALSE,"MKTD&amp;C95";#N/A,#N/A,FALSE,"MKTPRD95";#N/A,#N/A,FALSE,"MKTCHL95"}</definedName>
    <definedName name="Fin_CounterGraphJuly02" hidden="1">'[12]Cntmrs-Recruit'!$F$21:$Q$21</definedName>
    <definedName name="five" hidden="1">{"ONE",#N/A,FALSE,"Sheet1"}</definedName>
    <definedName name="fkjkfg" hidden="1">'[17]Cntmrs-Recruit'!$F$21:$Q$21</definedName>
    <definedName name="forget" hidden="1">{#N/A,#N/A,FALSE,"Australia";#N/A,#N/A,FALSE,"Austria";#N/A,#N/A,FALSE,"Belgium";#N/A,#N/A,FALSE,"Canada";#N/A,#N/A,FALSE,"France";#N/A,#N/A,FALSE,"Germany";#N/A,#N/A,FALSE,"Hong Kong";#N/A,#N/A,FALSE,"Italy";#N/A,#N/A,FALSE,"Japan";#N/A,#N/A,FALSE,"Korea";#N/A,#N/A,FALSE,"Mexico";#N/A,#N/A,FALSE,"Poland";#N/A,#N/A,FALSE,"Spain";#N/A,#N/A,FALSE,"Switzerland";#N/A,#N/A,FALSE,"UK"}</definedName>
    <definedName name="FRAITASCAND_graph" hidden="1">[18]A!$R$20:$T$20</definedName>
    <definedName name="frdf" hidden="1">'[17]Cntmrs-Recruit'!$F$22:$Q$22</definedName>
    <definedName name="ghg" hidden="1">'[17]Cntmrs-Recruit'!$F$21:$Q$21</definedName>
    <definedName name="Grouppl" hidden="1">{#N/A,#N/A,FALSE,"GROUPBAL"}</definedName>
    <definedName name="HC" hidden="1">{#N/A,#N/A,FALSE,"MP96"}</definedName>
    <definedName name="HISTORICAL" hidden="1">{"GTI monthly IS",#N/A,FALSE,"gti";#N/A,#N/A,FALSE,"gti"}</definedName>
    <definedName name="hshstd" hidden="1">{"Canada Summary",#N/A,FALSE,"Canada";"Canada by Month",#N/A,FALSE,"Canada";"Canada YTD",#N/A,FALSE,"Canada"}</definedName>
    <definedName name="HTML_CodePage" hidden="1">1252</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"c1471"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NCHMARK_YIELD" hidden="1">"c8955"</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"c100"</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"c118"</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"c124"</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ES" hidden="1">"c147"</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S_FDIC" hidden="1">"c6523"</definedName>
    <definedName name="IQ_DESCRIPTION_LONG" hidden="1">"c322"</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"c333"</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"c360"</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"c373"</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"c84"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EST_REUT" hidden="1">"c5453"</definedName>
    <definedName name="IQ_EPS_GW_ACT_OR_EST_CIQ" hidden="1">"c5066"</definedName>
    <definedName name="IQ_EPS_GW_EST" hidden="1">"c1737"</definedName>
    <definedName name="IQ_EPS_GW_EST_CIQ" hidden="1">"c4723"</definedName>
    <definedName name="IQ_EPS_GW_EST_REUT" hidden="1">"c5389"</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_CIQ" hidden="1">"c5067"</definedName>
    <definedName name="IQ_EPS_REPORTED_EST" hidden="1">"c1744"</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"c552"</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"c739"</definedName>
    <definedName name="IQ_ESOP_DEBT" hidden="1">"c1597"</definedName>
    <definedName name="IQ_EST_ACT_EPS" hidden="1">"c1648"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EPS_DIFF" hidden="1">"c1864"</definedName>
    <definedName name="IQ_EST_EPS_GROWTH_1YR" hidden="1">"c1636"</definedName>
    <definedName name="IQ_EST_EPS_GROWTH_1YR_CIQ" hidden="1">"c3628"</definedName>
    <definedName name="IQ_EST_EPS_GROWTH_1YR_REUT" hidden="1">"c3646"</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ENSE_CODE_" hidden="1">1360</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"c413"</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 hidden="1">"c4435"</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"c893"</definedName>
    <definedName name="IQ_FINANCING_CASH_SUPPL" hidden="1">"c899"</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"c907"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K" hidden="1">1000</definedName>
    <definedName name="IQ_LATESTKFR" hidden="1">"100"</definedName>
    <definedName name="IQ_LATESTQ" hidden="1">500</definedName>
    <definedName name="IQ_LATESTQFR" hidden="1">"50"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40461.532974537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"c868"</definedName>
    <definedName name="IQ_OTHER_CURRENT_LIAB" hidden="1">"c877"</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"c8"</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2MONTHS_CIQ" hidden="1">"c3769"</definedName>
    <definedName name="IQ_PERCENT_CHANGE_EST_FFO_18MONTHS" hidden="1">"c1829"</definedName>
    <definedName name="IQ_PERCENT_CHANGE_EST_FFO_18MONTHS_CIQ" hidden="1">"c3770"</definedName>
    <definedName name="IQ_PERCENT_CHANGE_EST_FFO_3MONTHS" hidden="1">"c1825"</definedName>
    <definedName name="IQ_PERCENT_CHANGE_EST_FFO_3MONTHS_CIQ" hidden="1">"c3766"</definedName>
    <definedName name="IQ_PERCENT_CHANGE_EST_FFO_6MONTHS" hidden="1">"c1826"</definedName>
    <definedName name="IQ_PERCENT_CHANGE_EST_FFO_6MONTHS_CIQ" hidden="1">"c3767"</definedName>
    <definedName name="IQ_PERCENT_CHANGE_EST_FFO_9MONTHS" hidden="1">"c1827"</definedName>
    <definedName name="IQ_PERCENT_CHANGE_EST_FFO_9MONTHS_CIQ" hidden="1">"c3768"</definedName>
    <definedName name="IQ_PERCENT_CHANGE_EST_FFO_DAY" hidden="1">"c1822"</definedName>
    <definedName name="IQ_PERCENT_CHANGE_EST_FFO_DAY_CIQ" hidden="1">"c3764"</definedName>
    <definedName name="IQ_PERCENT_CHANGE_EST_FFO_MONTH" hidden="1">"c1824"</definedName>
    <definedName name="IQ_PERCENT_CHANGE_EST_FFO_MONTH_CIQ" hidden="1">"c3765"</definedName>
    <definedName name="IQ_PERCENT_CHANGE_EST_FFO_WEEK" hidden="1">"c1823"</definedName>
    <definedName name="IQ_PERCENT_CHANGE_EST_FFO_WEEK_CIQ" hidden="1">"c3795"</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"c1034"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TOT" hidden="1">"c1044"</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TAX_RETURN_ASSETS_FDIC" hidden="1">"c6731"</definedName>
    <definedName name="IQ_PREV_MONTHLY_FACTOR" hidden="1">"c8973"</definedName>
    <definedName name="IQ_PREV_MONTHLY_FACTOR_DATE" hidden="1">"c8974"</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"c1059"</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"c1092"</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"c1122"</definedName>
    <definedName name="IQ_REVENUE_ACT_OR_EST_CIQ" hidden="1">"c5059"</definedName>
    <definedName name="IQ_REVENUE_EST" hidden="1">"c1126"</definedName>
    <definedName name="IQ_REVENUE_EST_CIQ" hidden="1">"c3616"</definedName>
    <definedName name="IQ_REVENUE_EST_REUT" hidden="1">"c3634"</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39722.8273263889</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"c83"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ack" hidden="1">{"forecast",#N/A,FALSE,"PL";"FCST YTD",#N/A,FALSE,"PL";"new bud adj",#N/A,FALSE,"PL";"new budget",#N/A,FALSE,"PL";"qtr",#N/A,FALSE,"PL";"bal sheet",#N/A,FALSE,"MONTHLY BALANCE SHEET";"fcst w head depre cap",#N/A,FALSE,"PL"}</definedName>
    <definedName name="jack1" hidden="1">{"forecast",#N/A,FALSE,"PL";"FCST YTD",#N/A,FALSE,"PL";"new bud adj",#N/A,FALSE,"PL";"new budget",#N/A,FALSE,"PL";"qtr",#N/A,FALSE,"PL";"bal sheet",#N/A,FALSE,"MONTHLY BALANCE SHEET";"fcst w head depre cap",#N/A,FALSE,"PL"}</definedName>
    <definedName name="K2K62">#REF!</definedName>
    <definedName name="l" hidden="1">'[17]Cntmrs-Recruit'!$F$20:$Q$20</definedName>
    <definedName name="LABOR_CONT_COST"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Labor_Hrs_Summary"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LastEndDate" hidden="1">'[20]Supporting Settings'!$B$6</definedName>
    <definedName name="LastStartDate" hidden="1">'[20]Supporting Settings'!$B$5</definedName>
    <definedName name="Level1.xls">#REF!</definedName>
    <definedName name="ll"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longh" hidden="1">{"GTI monthly IS",#N/A,FALSE,"gti";#N/A,#N/A,FALSE,"gti"}</definedName>
    <definedName name="m"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marketing" hidden="1">{#N/A,#N/A,FALSE,"MKTSUM95";#N/A,#N/A,FALSE,"MKTADM95";#N/A,#N/A,FALSE,"MKTD&amp;C95";#N/A,#N/A,FALSE,"MKTPRD95";#N/A,#N/A,FALSE,"MKTCHL95"}</definedName>
    <definedName name="MasterPricelistHeaders" localSheetId="20">Semtech!#REF!</definedName>
    <definedName name="NNN" hidden="1">{"GTI monthly IS",#N/A,FALSE,"gti";#N/A,#N/A,FALSE,"gti"}</definedName>
    <definedName name="NO" hidden="1">{"'Sheet1'!$A$1:$J$121"}</definedName>
    <definedName name="nol" hidden="1">{#N/A,#N/A,FALSE,"91NOLCB";#N/A,#N/A,FALSE,"92NOLCB";#N/A,#N/A,FALSE,"93NOLCB"}</definedName>
    <definedName name="other" hidden="1">{"Other Sales Summary",#N/A,FALSE,"Other Sales";"Other Sales by Month",#N/A,FALSE,"Other Sales";"Other Sales YTD",#N/A,FALSE,"Other Sales"}</definedName>
    <definedName name="Page25a"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Platinum_Fleet" localSheetId="12">#REF!</definedName>
    <definedName name="Platinum_Fleet">#REF!</definedName>
    <definedName name="PRICE_TABLE_3">'[23]PRICE DATABASE'!$E$64:$AF$92</definedName>
    <definedName name="PRICE_TABLE_3_HEADERS">'[23]PRICE DATABASE'!$E$64:$AF$64</definedName>
    <definedName name="PRICELISTS_DEF_HEADERS" localSheetId="20">[23]!PRICELISTS_DEF[[#Headers],[List US]:[MOQ SILVER]]</definedName>
    <definedName name="PRICELISTS_DEF_HEADERS">[23]!PRICELISTS_DEF[[#Headers],[List US]:[MOQ SILVER]]</definedName>
    <definedName name="_xlnm.Print_Area" localSheetId="6">'Code 3'!$A$1:$D$1376</definedName>
    <definedName name="_xlnm.Print_Area" localSheetId="7">'Code 3 Light Bars'!$A$1:$C$1308</definedName>
    <definedName name="_xlnm.Print_Area" localSheetId="12">Havis!$A$2:$C$2061</definedName>
    <definedName name="_xlnm.Print_Area" localSheetId="11">Kussmaul!$B$2:$D$609</definedName>
    <definedName name="_xlnm.Print_Area" localSheetId="13">Lund!$A:$C</definedName>
    <definedName name="_xlnm.Print_Area" localSheetId="14">'Lund Loft'!$A:$B</definedName>
    <definedName name="_xlnm.Print_Area" localSheetId="16">'Pro-Gard'!$A$1:$C$1381</definedName>
    <definedName name="_xlnm.Print_Area" localSheetId="19">'Santa Cruz'!$A$4:$E$140</definedName>
    <definedName name="_xlnm.Print_Area" localSheetId="20">Semtech!$A$1:$C$68</definedName>
    <definedName name="_xlnm.Print_Area" localSheetId="42">'Setina 08-20 Dodge Caravan'!$A$1:$C$31</definedName>
    <definedName name="_xlnm.Print_Area" localSheetId="39">'Setina 11-23 Dodge Charger'!$A$1:$C$202</definedName>
    <definedName name="_xlnm.Print_Area" localSheetId="37">'Setina 11-26 Dodge Durango'!$A$1:$C$319</definedName>
    <definedName name="_xlnm.Print_Area" localSheetId="32">'Setina 17-25 Ford F250-F550'!$A$1:$C$226</definedName>
    <definedName name="_xlnm.Print_Area" localSheetId="36">'Setina 19-25 Chevy Truck 1500'!$A$1:$C$242</definedName>
    <definedName name="_xlnm.Print_Area" localSheetId="38">'Setina 19-25 Dodge Ram DT 1500'!$A$1:$C$161</definedName>
    <definedName name="_xlnm.Print_Area" localSheetId="34">'Setina 20-25 Chevy Truck '!$A$1:$C$200</definedName>
    <definedName name="_xlnm.Print_Area" localSheetId="40">'Setina 20-25 Chrysler Pacifica'!$A$1:$C$21</definedName>
    <definedName name="_xlnm.Print_Area" localSheetId="28">'Setina 20-25 Ford Int Utility'!$A$1:$C$387</definedName>
    <definedName name="_xlnm.Print_Area" localSheetId="43">'Setina 20-25 Tesla Model Y'!$A$1:$C$69</definedName>
    <definedName name="_xlnm.Print_Area" localSheetId="33">'Setina 21-25 Chevrolet Tahoe'!$A$1:$C$375</definedName>
    <definedName name="_xlnm.Print_Area" localSheetId="31">'Setina 21-25 Mustang Mach E'!$A$1:$C$98</definedName>
    <definedName name="_xlnm.Print_Area" localSheetId="44">'Setina FIREARM MOUNT SYSTEMS'!$A$1:$C$114</definedName>
    <definedName name="_xlnm.Print_Area" localSheetId="45">'Setina K9 ELECTRONICS'!$A$1:$C$72</definedName>
    <definedName name="_xlnm.Print_Area" localSheetId="29">'Setina15-25 Ford F150 Responder'!$A$1:$C$246</definedName>
    <definedName name="_xlnm.Print_Area">#REF!</definedName>
    <definedName name="PRINT_AREA_MI">#REF!</definedName>
    <definedName name="_xlnm.Print_Titles" localSheetId="6">'Code 3'!$1:$6</definedName>
    <definedName name="_xlnm.Print_Titles" localSheetId="7">'Code 3 Light Bars'!$1:$2</definedName>
    <definedName name="_xlnm.Print_Titles" localSheetId="11">Kussmaul!$1:$1</definedName>
    <definedName name="_xlnm.Print_Titles" localSheetId="13">Lund!$1:$2</definedName>
    <definedName name="_xlnm.Print_Titles" localSheetId="14">'Lund Loft'!$1:$2</definedName>
    <definedName name="_xlnm.Print_Titles" localSheetId="42">'Setina 08-20 Dodge Caravan'!$1:$2</definedName>
    <definedName name="_xlnm.Print_Titles" localSheetId="39">'Setina 11-23 Dodge Charger'!$1:$2</definedName>
    <definedName name="_xlnm.Print_Titles" localSheetId="37">'Setina 11-26 Dodge Durango'!$1:$2</definedName>
    <definedName name="_xlnm.Print_Titles" localSheetId="32">'Setina 17-25 Ford F250-F550'!$1:$2</definedName>
    <definedName name="_xlnm.Print_Titles" localSheetId="36">'Setina 19-25 Chevy Truck 1500'!$1:$2</definedName>
    <definedName name="_xlnm.Print_Titles" localSheetId="38">'Setina 19-25 Dodge Ram DT 1500'!$1:$2</definedName>
    <definedName name="_xlnm.Print_Titles" localSheetId="28">'Setina 20-25 Ford Int Utility'!$1:$2</definedName>
    <definedName name="_xlnm.Print_Titles" localSheetId="43">'Setina 20-25 Tesla Model Y'!$1:$2</definedName>
    <definedName name="_xlnm.Print_Titles" localSheetId="33">'Setina 21-25 Chevrolet Tahoe'!$1:$2</definedName>
    <definedName name="_xlnm.Print_Titles" localSheetId="31">'Setina 21-25 Mustang Mach E'!$1:$2</definedName>
    <definedName name="_xlnm.Print_Titles" localSheetId="44">'Setina FIREARM MOUNT SYSTEMS'!$1:$2</definedName>
    <definedName name="_xlnm.Print_Titles" localSheetId="45">'Setina K9 ELECTRONICS'!$1:$2</definedName>
    <definedName name="_xlnm.Print_Titles" localSheetId="29">'Setina15-25 Ford F150 Responder'!$1:$2</definedName>
    <definedName name="qqwe"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question" hidden="1">'[21]Cntmrs-Recruit'!$F$22:$Q$22</definedName>
    <definedName name="replacement" hidden="1">{"fcst w head depre cap",#N/A,FALSE,"PL";"new bud adj",#N/A,FALSE,"PL";"qtr",#N/A,FALSE,"PL";"quick",#N/A,FALSE,"PL";"bal sheet",#N/A,FALSE,"PL";"fixed assets",#N/A,FALSE,"PL"}</definedName>
    <definedName name="rf" hidden="1">'[17]Cntmrs-Recruit'!$F$20:$Q$20</definedName>
    <definedName name="rob" hidden="1">{"GLI-Income Statement",#N/A,FALSE,"gli";"GLI - Balance Sheet Wksht",#N/A,FALSE,"gli";"GLI-Cash Flow",#N/A,FALSE,"gli";"GLI Qtrly Stats",#N/A,FALSE,"gli"}</definedName>
    <definedName name="SAPBEXrevision" hidden="1">1</definedName>
    <definedName name="SAPBEXsysID" hidden="1">"BWP"</definedName>
    <definedName name="SAPBEXwbID" hidden="1">"3NHWWMC0ZZM3W8VQQ8NL3OD6L"</definedName>
    <definedName name="service" hidden="1">'[17]Cntmrs-Recruit'!$F$22:$Q$22</definedName>
    <definedName name="SERVICES_PRICELISTS_DEF_HEADERS" localSheetId="20">[23]!SERVICES_PRICELISTS_DEF[[#Headers],[List US]:[MOQ SILVER]]</definedName>
    <definedName name="SERVICES_PRICELISTS_DEF_HEADERS">[23]!SERVICES_PRICELISTS_DEF[[#Headers],[List US]:[MOQ SILVER]]</definedName>
    <definedName name="SERVICES_PRICELISTS_PRODUCTS_HEADERS" localSheetId="20">[23]!SERVICES_PRICELISTS_PRODUCTS[[#Headers],[MP]:[GL]]</definedName>
    <definedName name="SERVICES_PRICELISTS_PRODUCTS_HEADERS">[23]!SERVICES_PRICELISTS_PRODUCTS[[#Headers],[MP]:[GL]]</definedName>
    <definedName name="shirley" hidden="1">{#N/A,#N/A,FALSE,"MKTSUM95";#N/A,#N/A,FALSE,"MKTADM95";#N/A,#N/A,FALSE,"MKTD&amp;C95";#N/A,#N/A,FALSE,"MKTPRD95";#N/A,#N/A,FALSE,"MKTCHL95"}</definedName>
    <definedName name="SIM" hidden="1">#REF!</definedName>
    <definedName name="Sort" hidden="1">#REF!</definedName>
    <definedName name="ssssd" hidden="1">{#N/A,#N/A,FALSE,"MP96"}</definedName>
    <definedName name="sssssss"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subpart" hidden="1">{#N/A,#N/A,FALSE,"Summary";#N/A,#N/A,FALSE,"Fed.State Prov";#N/A,#N/A,FALSE,"Foreign Prov";#N/A,#N/A,FALSE,"Thera Fgrn";#N/A,#N/A,FALSE,"CCD Fgrn";#N/A,#N/A,FALSE,"Biocine Fgrn";#N/A,#N/A,FALSE,"Vision Fgrn";#N/A,#N/A,FALSE,"Frgn vs Dom"}</definedName>
    <definedName name="sumariaretanm" hidden="1">{#N/A,#N/A,FALSE,"Aging Summary";#N/A,#N/A,FALSE,"Ratio Analysis";#N/A,#N/A,FALSE,"Test 120 Day Accts";#N/A,#N/A,FALSE,"Tickmarks"}</definedName>
    <definedName name="Supplies_03" hidden="1">'[17]Cntmrs-Recruit'!$F$20:$Q$20</definedName>
    <definedName name="tax" hidden="1">{#N/A,#N/A,FALSE,"Australia";#N/A,#N/A,FALSE,"Austria";#N/A,#N/A,FALSE,"Belgium";#N/A,#N/A,FALSE,"Canada";#N/A,#N/A,FALSE,"France";#N/A,#N/A,FALSE,"Germany";#N/A,#N/A,FALSE,"Hong Kong";#N/A,#N/A,FALSE,"Italy";#N/A,#N/A,FALSE,"Japan";#N/A,#N/A,FALSE,"Korea";#N/A,#N/A,FALSE,"Mexico";#N/A,#N/A,FALSE,"Poland";#N/A,#N/A,FALSE,"Spain";#N/A,#N/A,FALSE,"Switzerland";#N/A,#N/A,FALSE,"UK"}</definedName>
    <definedName name="TaxCodeMaster">#REF!</definedName>
    <definedName name="temp1" hidden="1">{#N/A,#N/A,FALSE,"MKTSUM95";#N/A,#N/A,FALSE,"MKTADM95";#N/A,#N/A,FALSE,"MKTD&amp;C95";#N/A,#N/A,FALSE,"MKTPRD95";#N/A,#N/A,FALSE,"MKTCHL95"}</definedName>
    <definedName name="ten" hidden="1">{"ONE",#N/A,FALSE,"Sheet1"}</definedName>
    <definedName name="TextRefCopyRangeCount" hidden="1">16</definedName>
    <definedName name="two" hidden="1">{"ONE",#N/A,FALSE,"Sheet1"}</definedName>
    <definedName name="w" hidden="1">{#N/A,#N/A,FALSE,"Australia";#N/A,#N/A,FALSE,"Austria";#N/A,#N/A,FALSE,"Belgium";#N/A,#N/A,FALSE,"Canada";#N/A,#N/A,FALSE,"France";#N/A,#N/A,FALSE,"Germany";#N/A,#N/A,FALSE,"Hong Kong";#N/A,#N/A,FALSE,"Italy";#N/A,#N/A,FALSE,"Japan";#N/A,#N/A,FALSE,"Korea";#N/A,#N/A,FALSE,"Mexico";#N/A,#N/A,FALSE,"Poland";#N/A,#N/A,FALSE,"Spain";#N/A,#N/A,FALSE,"Switzerland";#N/A,#N/A,FALSE,"UK"}</definedName>
    <definedName name="wa" hidden="1">[22]Sheet1!$A$1:$A$6</definedName>
    <definedName name="web" hidden="1">{#N/A,#N/A,FALSE,"Taxblinc";#N/A,#N/A,FALSE,"Rsvsacls"}</definedName>
    <definedName name="wHAT?" hidden="1">{"Other Sales Summary",#N/A,FALSE,"Other Sales";"Other Sales by Month",#N/A,FALSE,"Other Sales";"Other Sales YTD",#N/A,FALSE,"Other Sales"}</definedName>
    <definedName name="whatever" hidden="1">{#N/A,#N/A,FALSE,"Australia";#N/A,#N/A,FALSE,"Austria";#N/A,#N/A,FALSE,"Belgium";#N/A,#N/A,FALSE,"Canada";#N/A,#N/A,FALSE,"France";#N/A,#N/A,FALSE,"Germany";#N/A,#N/A,FALSE,"Hong Kong";#N/A,#N/A,FALSE,"Italy";#N/A,#N/A,FALSE,"Japan";#N/A,#N/A,FALSE,"Korea";#N/A,#N/A,FALSE,"Mexico";#N/A,#N/A,FALSE,"Poland";#N/A,#N/A,FALSE,"Spain";#N/A,#N/A,FALSE,"Switzerland";#N/A,#N/A,FALSE,"UK"}</definedName>
    <definedName name="willwtt" hidden="1">{"forecast",#N/A,FALSE,"PL";"FCST YTD",#N/A,FALSE,"PL";"new bud adj",#N/A,FALSE,"PL";"new budget",#N/A,FALSE,"PL";"qtr",#N/A,FALSE,"PL";"bal sheet",#N/A,FALSE,"MONTHLY BALANCE SHEET";"fcst w head depre cap",#N/A,FALSE,"PL"}</definedName>
    <definedName name="wrn.95PROV." hidden="1">{#N/A,#N/A,FALSE,"Taxblinc";#N/A,#N/A,FALSE,"Rsvsacls"}</definedName>
    <definedName name="wrn.Aging._.and._.Trend._.Analysis." hidden="1">{#N/A,#N/A,FALSE,"Aging Summary";#N/A,#N/A,FALSE,"Ratio Analysis";#N/A,#N/A,FALSE,"Test 120 Day Accts";#N/A,#N/A,FALSE,"Tickmarks"}</definedName>
    <definedName name="wrn.Aherns._.Other._.Sales." hidden="1">{"Ahern's Other Summary",#N/A,FALSE,"Ahern's Other Sales";"Ahern's Other Month",#N/A,FALSE,"Ahern's Other Sales";"Ahern's Other YTD",#N/A,FALSE,"Ahern's Other Sales"}</definedName>
    <definedName name="wrn.All._.Countries." hidden="1">{#N/A,#N/A,FALSE,"Australia";#N/A,#N/A,FALSE,"Austria";#N/A,#N/A,FALSE,"Belgium";#N/A,#N/A,FALSE,"Canada";#N/A,#N/A,FALSE,"France";#N/A,#N/A,FALSE,"Germany";#N/A,#N/A,FALSE,"Hong Kong";#N/A,#N/A,FALSE,"Italy";#N/A,#N/A,FALSE,"Japan";#N/A,#N/A,FALSE,"Korea";#N/A,#N/A,FALSE,"Mexico";#N/A,#N/A,FALSE,"Poland";#N/A,#N/A,FALSE,"Spain";#N/A,#N/A,FALSE,"Switzerland";#N/A,#N/A,FALSE,"UK"}</definedName>
    <definedName name="wrn.All._.Pages." hidden="1">{#N/A,#N/A,FALSE,"Summary";#N/A,#N/A,FALSE,"Fed.State Prov";#N/A,#N/A,FALSE,"Foreign Prov";#N/A,#N/A,FALSE,"Thera Fgrn";#N/A,#N/A,FALSE,"CCD Fgrn";#N/A,#N/A,FALSE,"Biocine Fgrn";#N/A,#N/A,FALSE,"Vision Fgrn";#N/A,#N/A,FALSE,"Frgn vs Dom"}</definedName>
    <definedName name="wrn.AMTNOL." hidden="1">{#N/A,#N/A,TRUE,"91AMTNOL";#N/A,#N/A,TRUE,"92AMTNOL";#N/A,#N/A,TRUE,"93AMTNOL"}</definedName>
    <definedName name="wrn.audit._.adjustments." hidden="1">{#N/A,#N/A,TRUE,"Summary";#N/A,#N/A,TRUE,"Amort.";#N/A,#N/A,TRUE,"93TAX";#N/A,#N/A,TRUE,"93NOLCB";#N/A,#N/A,TRUE,"92TAX";#N/A,#N/A,TRUE,"92NOLCB";#N/A,#N/A,TRUE,"91TAX";#N/A,#N/A,TRUE,"91NOLCB";#N/A,#N/A,TRUE,"92AMTNOL";#N/A,#N/A,TRUE,"921120X"}</definedName>
    <definedName name="wrn.Bishop._.District." hidden="1">{"Biship District US",#N/A,FALSE,"Bishop Districts";"Bishop District Canada",#N/A,FALSE,"Bishop Districts"}</definedName>
    <definedName name="wrn.Blaydes._.Region." hidden="1">{"Blaydes Region Summary",#N/A,FALSE,"Blaydes Region";"Blaydes Region Month",#N/A,FALSE,"Blaydes Region";"Blaydes Region YTD",#N/A,FALSE,"Blaydes Region"}</definedName>
    <definedName name="wrn.bud" hidden="1">{"forecast",#N/A,FALSE,"PL";"FCST YTD",#N/A,FALSE,"PL";"new bud adj",#N/A,FALSE,"PL";"new budget",#N/A,FALSE,"PL";"qtr",#N/A,FALSE,"PL";"bal sheet",#N/A,FALSE,"MONTHLY BALANCE SHEET";"fcst w head depre cap",#N/A,FALSE,"PL"}</definedName>
    <definedName name="wrn.Canada._.Report." hidden="1">{"Canada Summary",#N/A,FALSE,"Canada";"Canada by Month",#N/A,FALSE,"Canada";"Canada YTD",#N/A,FALSE,"Canada"}</definedName>
    <definedName name="wrn.Chiron._.IRS._.Audit." hidden="1">{#N/A,#N/A,FALSE,"Summary";#N/A,#N/A,FALSE,"1991";#N/A,#N/A,FALSE,"91 AMT";#N/A,#N/A,FALSE,"1992";#N/A,#N/A,FALSE,"92 AMT";#N/A,#N/A,FALSE,"1993";#N/A,#N/A,FALSE,"93 AMT"}</definedName>
    <definedName name="wrn.Depreciation." hidden="1">{"DE_asfiled",#N/A,TRUE,"Amort.";"IRS_addl",#N/A,TRUE,"Amort."}</definedName>
    <definedName name="wrn.EC._.Depts._.Report." hidden="1">{"EC Depts Summary",#N/A,FALSE,"EC Depts";"EC Depts by Month",#N/A,FALSE,"EC Depts";"EC Depts YTD",#N/A,FALSE,"EC Depts"}</definedName>
    <definedName name="wrn.ENTIRE._.DOVER._.REPORT."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wrn.entire._.worksheet." hidden="1">{"Labor",#N/A,FALSE,"Labor";"Dept Expense",#N/A,FALSE,"Dept Expense";"Other questions",#N/A,FALSE,"Other questions";"Assumptions",#N/A,FALSE,"Assumptions"}</definedName>
    <definedName name="wrn.fcst." hidden="1">{"forecast",#N/A,FALSE,"PL";"FCST YTD",#N/A,FALSE,"PL";"new bud adj",#N/A,FALSE,"PL";"new budget",#N/A,FALSE,"PL";"qtr",#N/A,FALSE,"PL";"bal sheet",#N/A,FALSE,"MONTHLY BALANCE SHEET";"fcst w head depre cap",#N/A,FALSE,"PL"}</definedName>
    <definedName name="wrn.fcst.prior" hidden="1">{#N/A,#N/A,FALSE,"IS_FCST";#N/A,#N/A,FALSE,"BS_FCST";#N/A,#N/A,FALSE,"CF_FCST"}</definedName>
    <definedName name="wrn.grouppl." hidden="1">{#N/A,#N/A,FALSE,"GROUPBAL"}</definedName>
    <definedName name="wrn.gti._.qtrly._.stats." hidden="1">{"GTI monthly IS",#N/A,FALSE,"gti";#N/A,#N/A,FALSE,"gti"}</definedName>
    <definedName name="wrn.KKR._.Management._.Letter." hidden="1">{#N/A,#N/A,FALSE,"Inv Trends";#N/A,#N/A,FALSE,"April Results";#N/A,#N/A,FALSE,"vs fcst";#N/A,#N/A,FALSE,"vs prior yr";#N/A,#N/A,FALSE,"in thousands";#N/A,#N/A,FALSE,"CF Full Year";#N/A,#N/A,FALSE,"CF YTD";#N/A,#N/A,FALSE,"dec bs";#N/A,#N/A,FALSE,"bs";#N/A,#N/A,FALSE,"is 2";#N/A,#N/A,FALSE,"executive summary detailed";#N/A,#N/A,FALSE,"GM YTD vs 00";#N/A,#N/A,FALSE,"GM YTD vs. plan"}</definedName>
    <definedName name="wrn.Lewis._.Region." hidden="1">{"Lewis Region Summary",#N/A,FALSE,"Lewis Region";"Lewis Region Month",#N/A,FALSE,"Lewis Region";"Lewis Region YTD",#N/A,FALSE,"Lewis Region"}</definedName>
    <definedName name="wrn.Management._.Summaries." hidden="1">{"Summary",#N/A,TRUE,"Summary";"Smith Region Summary",#N/A,TRUE,"Smith Region";"Seed Region Summary",#N/A,TRUE,"Seed Region";"Blaydes Region Summary",#N/A,TRUE,"Blaydes Region";"Lewis Region Summary",#N/A,TRUE,"Lewis Region";"Biship District US",#N/A,TRUE,"Bishop Districts";"Canada Summary",#N/A,TRUE,"Canada";"Ahern's Other Summary",#N/A,TRUE,"Ahern's Other Sales";"North America Summary",#N/A,TRUE,"North American Region";"EC Depts Summary",#N/A,TRUE,"EC Depts";"Other Sales Summary",#N/A,TRUE,"Other Sales (not Tom's)";"Marketing Summary",#N/A,TRUE,"Marketing"}</definedName>
    <definedName name="wrn.Manpower._.1996." hidden="1">{#N/A,#N/A,FALSE,"MP96"}</definedName>
    <definedName name="wrn.Marketing." hidden="1">{#N/A,#N/A,FALSE,"MKTSUM95";#N/A,#N/A,FALSE,"MKTADM95";#N/A,#N/A,FALSE,"MKTD&amp;C95";#N/A,#N/A,FALSE,"MKTPRD95";#N/A,#N/A,FALSE,"MKTCHL95"}</definedName>
    <definedName name="wrn.Marketing1" hidden="1">{#N/A,#N/A,FALSE,"MKTSUM95";#N/A,#N/A,FALSE,"MKTADM95";#N/A,#N/A,FALSE,"MKTD&amp;C95";#N/A,#N/A,FALSE,"MKTPRD95";#N/A,#N/A,FALSE,"MKTCHL95"}</definedName>
    <definedName name="wrn.Monthly._.Data." hidden="1">{"1999 by month",#N/A,FALSE,"Total_Company"}</definedName>
    <definedName name="wrn.N.O.L.." hidden="1">{#N/A,#N/A,FALSE,"91NOLCB";#N/A,#N/A,FALSE,"92NOLCB";#N/A,#N/A,FALSE,"93NOLCB"}</definedName>
    <definedName name="wrn.North._.America." hidden="1">{"North America Summary",#N/A,FALSE,"North American Region";"North America Month",#N/A,FALSE,"North American Region";"North America YTD",#N/A,FALSE,"North American Region"}</definedName>
    <definedName name="wrn.ONE." hidden="1">{"ONE",#N/A,FALSE,"Sheet1"}</definedName>
    <definedName name="wrn.Other._.Sales." hidden="1">{"Other Sales Summary",#N/A,FALSE,"Other Sales (not Tom's)";"Other Sales Month",#N/A,FALSE,"Other Sales (not Tom's)";"Other Sales YTD",#N/A,FALSE,"Other Sales (not Tom's)"}</definedName>
    <definedName name="wrn.Period._.Summary." hidden="1">{"Period Total g&amp;A by Line",#N/A,FALSE,"Total G&amp;A by Line";"Period Ops by Line",#N/A,FALSE,"Operations by Line";"Period Admin by Line",#N/A,FALSE,"Administrative by Line";"Period Development by Line",#N/A,FALSE,"Development by Line"}</definedName>
    <definedName name="wrn.plan." hidden="1">{"2001 actual",#N/A,FALSE,"Raw Data month";"2002actual",#N/A,FALSE,"Raw Data month";"2002 plan",#N/A,FALSE,"Raw Data month"}</definedName>
    <definedName name="wrn.Print._.all._.GLI._.Reports." hidden="1">{"GLI-Income Statement",#N/A,FALSE,"gli";"GLI - Balance Sheet Wksht",#N/A,FALSE,"gli";"GLI-Cash Flow",#N/A,FALSE,"gli";"GLI Qtrly Stats",#N/A,FALSE,"gli"}</definedName>
    <definedName name="wrn.Q3._.Prof._.Serv._.Summary." hidden="1">{"Professional Service Summary",#N/A,FALSE,"Q3 Prof Serv"}</definedName>
    <definedName name="wrn.Q3._.Professional._.service._.detail." hidden="1">{"Professional Service Detail",#N/A,FALSE,"Q3 Prof Serv"}</definedName>
    <definedName name="wrn.Qtr._.Data." hidden="1">{"1999 by qtr",#N/A,FALSE,"Total_Company"}</definedName>
    <definedName name="wrn.Report." hidden="1">{#N/A,#N/A,TRUE,"Goodyear";#N/A,#N/A,TRUE,"General Prod";#N/A,#N/A,TRUE,"GDTNA";#N/A,#N/A,TRUE,"Consolidated Aging";#N/A,#N/A,TRUE,"Payment Terms";#N/A,#N/A,TRUE,"Inputs";#N/A,#N/A,TRUE,"Ineligible_OC";#N/A,#N/A,TRUE,"Concentration";#N/A,#N/A,TRUE,"Reserves";#N/A,#N/A,TRUE,"Monthly"}</definedName>
    <definedName name="wrn.Seed._.Region." hidden="1">{"Seed Region Summary",#N/A,FALSE,"Seed Region";"Seed Region Month",#N/A,FALSE,"Seed Region";"Seed Region YTD",#N/A,FALSE,"Seed Region"}</definedName>
    <definedName name="wrn.Smith._.Region." hidden="1">{"Smith Region Summary",#N/A,FALSE,"Smith Region";"Smith Region Month",#N/A,FALSE,"Smith Region";"Smith Region YTD",#N/A,FALSE,"Smith Region"}</definedName>
    <definedName name="wrn.Staff._.and._.Department._.Summaries." hidden="1">{"Staff and Department Summaries",#N/A,FALSE,"Staff Revenue + Comp"}</definedName>
    <definedName name="wrn.Staff._.Detail." hidden="1">{"Staff Detail",#N/A,FALSE,"Staff Revenue + Comp"}</definedName>
    <definedName name="wrn.Summaries._.by._.Category." hidden="1">{"Dept Summary",#N/A,TRUE,"Dept Summary";"Labor &amp; Employee",#N/A,TRUE,"Labor &amp; Employ Related Expenses";"Travel &amp; Meeting",#N/A,TRUE,"Travel &amp; Meeting Expenses";"Materials &amp; Supplies",#N/A,TRUE,"Materials &amp; Supplies Expense";"Prof'l &amp; Purchased Svcs",#N/A,TRUE,"Professional &amp; Purchased Svcs";"Fixed Charges",#N/A,TRUE,"Fixed Charges &amp; Allocations";"Other Costs",#N/A,TRUE,"Other Costs";"Ahern dept summary",#N/A,TRUE,"Ahern's Dept Summary";"Reynolds dept summary",#N/A,TRUE,"Reynold's Dept Summary"}</definedName>
    <definedName name="wrn.summary." hidden="1">{"total g&amp;a by line",#N/A,FALSE,"Total G&amp;A by Line";"operations by line",#N/A,FALSE,"Operations by Line";"administrative by line",#N/A,FALSE,"Administrative by Line";"development by line",#N/A,FALSE,"Development by Line"}</definedName>
    <definedName name="wrn.Test." hidden="1">{#N/A,#N/A,FALSE,"Availability";#N/A,#N/A,FALSE,"Loan Stats";#N/A,#N/A,FALSE,"Clltrl Ln Smmry";#N/A,#N/A,FALSE,"AR Stats";#N/A,#N/A,FALSE,"AR Sum";#N/A,#N/A,FALSE,"Recs";#N/A,#N/A,FALSE,"Ship,CM Rev"}</definedName>
    <definedName name="wrn.total." hidden="1">{"fcst w head depre cap",#N/A,FALSE,"PL";"new bud adj",#N/A,FALSE,"PL";"qtr",#N/A,FALSE,"PL";"quick",#N/A,FALSE,"PL";"bal sheet",#N/A,FALSE,"PL";"fixed assets",#N/A,FALSE,"PL"}</definedName>
    <definedName name="wrn.total.bud" hidden="1">{"fcst w head depre cap",#N/A,FALSE,"PL";"new bud adj",#N/A,FALSE,"PL";"qtr",#N/A,FALSE,"PL";"quick",#N/A,FALSE,"PL";"bal sheet",#N/A,FALSE,"PL";"fixed assets",#N/A,FALSE,"PL"}</definedName>
    <definedName name="wrn1.total.bud" hidden="1">{"fcst w head depre cap",#N/A,FALSE,"PL";"new bud adj",#N/A,FALSE,"PL";"qtr",#N/A,FALSE,"PL";"quick",#N/A,FALSE,"PL";"bal sheet",#N/A,FALSE,"PL";"fixed assets",#N/A,FALSE,"PL"}</definedName>
    <definedName name="wyh" hidden="1">{#N/A,#N/A,FALSE,"Summary";#N/A,#N/A,FALSE,"Fed.State Prov";#N/A,#N/A,FALSE,"Foreign Prov";#N/A,#N/A,FALSE,"Thera Fgrn";#N/A,#N/A,FALSE,"CCD Fgrn";#N/A,#N/A,FALSE,"Biocine Fgrn";#N/A,#N/A,FALSE,"Vision Fgrn";#N/A,#N/A,FALSE,"Frgn vs Dom"}</definedName>
    <definedName name="x" hidden="1">{#N/A,#N/A,FALSE,"MP96"}</definedName>
    <definedName name="Xlnm.FilterDatabase" localSheetId="18" hidden="1">'Ram Mounts'!$A$1:$C$1</definedName>
    <definedName name="xxx" hidden="1">{#N/A,#N/A,FALSE,"COVER PAGE";#N/A,#N/A,FALSE,"HIGHLITES";#N/A,#N/A,FALSE,"INC STATE (1)";#N/A,#N/A,FALSE,"DPC BY DEPT";#N/A,#N/A,FALSE,"FIXED COSTS";#N/A,#N/A,FALSE,"PRODUCTION";#N/A,#N/A,FALSE,"SALES TRND";#N/A,#N/A,FALSE,"BALANCE SHEET";#N/A,#N/A,FALSE,"INVENTORY";#N/A,#N/A,FALSE,"MFG VAR";#N/A,#N/A,FALSE,"OVRHD SPND";#N/A,#N/A,FALSE,"ENERGY COSTS";#N/A,#N/A,FALSE,"MAINTENANCE";#N/A,#N/A,FALSE,"LABOR";#N/A,#N/A,FALSE,"ACTVSFORECAST"}</definedName>
    <definedName name="xyz" hidden="1">'[17]Cntmrs-Recruit'!$F$21:$Q$21</definedName>
    <definedName name="Z_107BB137_725B_40B3_99BF_1514CDA36801_.wvu.Cols" localSheetId="13" hidden="1">Lund!#REF!</definedName>
    <definedName name="Z_107BB137_725B_40B3_99BF_1514CDA36801_.wvu.Cols" localSheetId="14" hidden="1">'Lund Loft'!#REF!</definedName>
    <definedName name="Z_107BB137_725B_40B3_99BF_1514CDA36801_.wvu.PrintArea" localSheetId="13" hidden="1">Lund!$A$1:$C$714</definedName>
    <definedName name="Z_107BB137_725B_40B3_99BF_1514CDA36801_.wvu.PrintArea" localSheetId="14" hidden="1">'Lund Loft'!$A$1:$B$137</definedName>
    <definedName name="Z_107BB137_725B_40B3_99BF_1514CDA36801_.wvu.PrintTitles" localSheetId="13" hidden="1">Lund!$1:$2</definedName>
    <definedName name="Z_107BB137_725B_40B3_99BF_1514CDA36801_.wvu.PrintTitles" localSheetId="14" hidden="1">'Lund Loft'!$1:$2</definedName>
    <definedName name="Z_79DF7F20_6C0B_4551_B960_9DC32D789EF8_.wvu.PrintArea" localSheetId="42" hidden="1">'Setina 08-20 Dodge Caravan'!$A$1:$C$31</definedName>
    <definedName name="Z_79DF7F20_6C0B_4551_B960_9DC32D789EF8_.wvu.PrintArea" localSheetId="39" hidden="1">'Setina 11-23 Dodge Charger'!$A$1:$C$187</definedName>
    <definedName name="Z_79DF7F20_6C0B_4551_B960_9DC32D789EF8_.wvu.PrintArea" localSheetId="37" hidden="1">'Setina 11-26 Dodge Durango'!$A$1:$C$291</definedName>
    <definedName name="Z_79DF7F20_6C0B_4551_B960_9DC32D789EF8_.wvu.PrintArea" localSheetId="32" hidden="1">'Setina 17-25 Ford F250-F550'!$A$1:$C$173</definedName>
    <definedName name="Z_79DF7F20_6C0B_4551_B960_9DC32D789EF8_.wvu.PrintArea" localSheetId="36" hidden="1">'Setina 19-25 Chevy Truck 1500'!$A$1:$C$197</definedName>
    <definedName name="Z_79DF7F20_6C0B_4551_B960_9DC32D789EF8_.wvu.PrintArea" localSheetId="28" hidden="1">'Setina 20-25 Ford Int Utility'!$A$1:$C$385</definedName>
    <definedName name="Z_79DF7F20_6C0B_4551_B960_9DC32D789EF8_.wvu.PrintArea" localSheetId="33" hidden="1">'Setina 21-25 Chevrolet Tahoe'!$A$1:$C$351</definedName>
    <definedName name="Z_79DF7F20_6C0B_4551_B960_9DC32D789EF8_.wvu.PrintArea" localSheetId="44" hidden="1">'Setina FIREARM MOUNT SYSTEMS'!$A$1:$C$114</definedName>
    <definedName name="Z_79DF7F20_6C0B_4551_B960_9DC32D789EF8_.wvu.PrintArea" localSheetId="45" hidden="1">'Setina K9 ELECTRONICS'!$A$1:$C$72</definedName>
    <definedName name="Z_79DF7F20_6C0B_4551_B960_9DC32D789EF8_.wvu.PrintArea" localSheetId="29" hidden="1">'Setina15-25 Ford F150 Responder'!$A$1:$C$203</definedName>
    <definedName name="Z_79DF7F20_6C0B_4551_B960_9DC32D789EF8_.wvu.PrintTitles" localSheetId="42" hidden="1">'Setina 08-20 Dodge Caravan'!$1:$2</definedName>
    <definedName name="Z_79DF7F20_6C0B_4551_B960_9DC32D789EF8_.wvu.PrintTitles" localSheetId="39" hidden="1">'Setina 11-23 Dodge Charger'!$1:$2</definedName>
    <definedName name="Z_79DF7F20_6C0B_4551_B960_9DC32D789EF8_.wvu.PrintTitles" localSheetId="37" hidden="1">'Setina 11-26 Dodge Durango'!$1:$2</definedName>
    <definedName name="Z_79DF7F20_6C0B_4551_B960_9DC32D789EF8_.wvu.PrintTitles" localSheetId="32" hidden="1">'Setina 17-25 Ford F250-F550'!$1:$2</definedName>
    <definedName name="Z_79DF7F20_6C0B_4551_B960_9DC32D789EF8_.wvu.PrintTitles" localSheetId="36" hidden="1">'Setina 19-25 Chevy Truck 1500'!$1:$2</definedName>
    <definedName name="Z_79DF7F20_6C0B_4551_B960_9DC32D789EF8_.wvu.PrintTitles" localSheetId="28" hidden="1">'Setina 20-25 Ford Int Utility'!$1:$2</definedName>
    <definedName name="Z_79DF7F20_6C0B_4551_B960_9DC32D789EF8_.wvu.PrintTitles" localSheetId="33" hidden="1">'Setina 21-25 Chevrolet Tahoe'!$1:$2</definedName>
    <definedName name="Z_79DF7F20_6C0B_4551_B960_9DC32D789EF8_.wvu.PrintTitles" localSheetId="44" hidden="1">'Setina FIREARM MOUNT SYSTEMS'!$1:$2</definedName>
    <definedName name="Z_79DF7F20_6C0B_4551_B960_9DC32D789EF8_.wvu.PrintTitles" localSheetId="45" hidden="1">'Setina K9 ELECTRONICS'!$1:$2</definedName>
    <definedName name="Z_79DF7F20_6C0B_4551_B960_9DC32D789EF8_.wvu.PrintTitles" localSheetId="29" hidden="1">'Setina15-25 Ford F150 Responder'!$1:$2</definedName>
    <definedName name="ZXf" hidden="1">'[1]Month 8'!#REF!</definedName>
    <definedName name="zxxx" hidden="1">{#N/A,#N/A,FALSE,"Inv Trends";#N/A,#N/A,FALSE,"April Results";#N/A,#N/A,FALSE,"vs fcst";#N/A,#N/A,FALSE,"vs prior yr";#N/A,#N/A,FALSE,"in thousands";#N/A,#N/A,FALSE,"CF Full Year";#N/A,#N/A,FALSE,"CF YTD";#N/A,#N/A,FALSE,"dec bs";#N/A,#N/A,FALSE,"bs";#N/A,#N/A,FALSE,"is 2";#N/A,#N/A,FALSE,"executive summary detailed";#N/A,#N/A,FALSE,"GM YTD vs 00";#N/A,#N/A,FALSE,"GM YTD vs. plan"}</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44" l="1"/>
  <c r="E5" i="44"/>
  <c r="F5" i="44"/>
  <c r="G5" i="44"/>
  <c r="H5" i="44"/>
  <c r="I5" i="44"/>
  <c r="J5" i="44"/>
  <c r="K5" i="44"/>
  <c r="L5" i="44"/>
  <c r="M5" i="44"/>
  <c r="N5" i="44"/>
  <c r="O5" i="44"/>
  <c r="P5" i="44"/>
  <c r="Q5" i="44"/>
  <c r="R5" i="44"/>
  <c r="S5" i="44"/>
  <c r="T5" i="44"/>
  <c r="U5" i="44"/>
  <c r="V5" i="44"/>
  <c r="W5" i="44"/>
  <c r="X5" i="44"/>
  <c r="Y5" i="44"/>
  <c r="Z5" i="44"/>
  <c r="AA5" i="44"/>
  <c r="AB5" i="44"/>
  <c r="AC5" i="44"/>
  <c r="AD5" i="44"/>
  <c r="AE5" i="44"/>
  <c r="AF5" i="44"/>
  <c r="AG5" i="44"/>
  <c r="D6" i="44"/>
  <c r="E6" i="44"/>
  <c r="F6" i="44"/>
  <c r="G6" i="44"/>
  <c r="H6" i="44"/>
  <c r="I6" i="44"/>
  <c r="J6" i="44"/>
  <c r="K6" i="44"/>
  <c r="L6" i="44"/>
  <c r="M6" i="44"/>
  <c r="N6" i="44"/>
  <c r="O6" i="44"/>
  <c r="P6" i="44"/>
  <c r="Q6" i="44"/>
  <c r="R6" i="44"/>
  <c r="S6" i="44"/>
  <c r="T6" i="44"/>
  <c r="U6" i="44"/>
  <c r="V6" i="44"/>
  <c r="W6" i="44"/>
  <c r="X6" i="44"/>
  <c r="Y6" i="44"/>
  <c r="Z6" i="44"/>
  <c r="AA6" i="44"/>
  <c r="AB6" i="44"/>
  <c r="AC6" i="44"/>
  <c r="AD6" i="44"/>
  <c r="AE6" i="44"/>
  <c r="AF6" i="44"/>
  <c r="AG6" i="44"/>
  <c r="D7" i="44"/>
  <c r="E7" i="44"/>
  <c r="F7" i="44"/>
  <c r="G7" i="44"/>
  <c r="H7" i="44"/>
  <c r="I7" i="44"/>
  <c r="J7" i="44"/>
  <c r="K7" i="44"/>
  <c r="L7" i="44"/>
  <c r="M7" i="44"/>
  <c r="N7" i="44"/>
  <c r="O7" i="44"/>
  <c r="P7" i="44"/>
  <c r="Q7" i="44"/>
  <c r="R7" i="44"/>
  <c r="S7" i="44"/>
  <c r="T7" i="44"/>
  <c r="U7" i="44"/>
  <c r="V7" i="44"/>
  <c r="W7" i="44"/>
  <c r="X7" i="44"/>
  <c r="Y7" i="44"/>
  <c r="Z7" i="44"/>
  <c r="AA7" i="44"/>
  <c r="AB7" i="44"/>
  <c r="AC7" i="44"/>
  <c r="AD7" i="44"/>
  <c r="AE7" i="44"/>
  <c r="AF7" i="44"/>
  <c r="AG7" i="44"/>
  <c r="D8" i="44"/>
  <c r="E8" i="44"/>
  <c r="F8" i="44"/>
  <c r="G8" i="44"/>
  <c r="H8" i="44"/>
  <c r="I8" i="44"/>
  <c r="J8" i="44"/>
  <c r="K8" i="44"/>
  <c r="L8" i="44"/>
  <c r="M8" i="44"/>
  <c r="N8" i="44"/>
  <c r="O8" i="44"/>
  <c r="P8" i="44"/>
  <c r="Q8" i="44"/>
  <c r="R8" i="44"/>
  <c r="S8" i="44"/>
  <c r="T8" i="44"/>
  <c r="U8" i="44"/>
  <c r="V8" i="44"/>
  <c r="W8" i="44"/>
  <c r="X8" i="44"/>
  <c r="Y8" i="44"/>
  <c r="Z8" i="44"/>
  <c r="AA8" i="44"/>
  <c r="AB8" i="44"/>
  <c r="AC8" i="44"/>
  <c r="AD8" i="44"/>
  <c r="AE8" i="44"/>
  <c r="AF8" i="44"/>
  <c r="AG8" i="44"/>
  <c r="D9" i="44"/>
  <c r="E9" i="44"/>
  <c r="F9" i="44"/>
  <c r="G9" i="44"/>
  <c r="H9" i="44"/>
  <c r="I9" i="44"/>
  <c r="J9" i="44"/>
  <c r="K9" i="44"/>
  <c r="L9" i="44"/>
  <c r="M9" i="44"/>
  <c r="N9" i="44"/>
  <c r="O9" i="44"/>
  <c r="P9" i="44"/>
  <c r="Q9" i="44"/>
  <c r="R9" i="44"/>
  <c r="S9" i="44"/>
  <c r="T9" i="44"/>
  <c r="U9" i="44"/>
  <c r="V9" i="44"/>
  <c r="W9" i="44"/>
  <c r="X9" i="44"/>
  <c r="Y9" i="44"/>
  <c r="Z9" i="44"/>
  <c r="AA9" i="44"/>
  <c r="AB9" i="44"/>
  <c r="AC9" i="44"/>
  <c r="AD9" i="44"/>
  <c r="AE9" i="44"/>
  <c r="AF9" i="44"/>
  <c r="AG9" i="44"/>
  <c r="D10" i="44"/>
  <c r="E10" i="44"/>
  <c r="F10" i="44"/>
  <c r="G10" i="44"/>
  <c r="H10" i="44"/>
  <c r="I10" i="44"/>
  <c r="J10" i="44"/>
  <c r="K10" i="44"/>
  <c r="L10" i="44"/>
  <c r="M10" i="44"/>
  <c r="N10" i="44"/>
  <c r="O10" i="44"/>
  <c r="P10" i="44"/>
  <c r="Q10" i="44"/>
  <c r="R10" i="44"/>
  <c r="S10" i="44"/>
  <c r="T10" i="44"/>
  <c r="U10" i="44"/>
  <c r="V10" i="44"/>
  <c r="W10" i="44"/>
  <c r="X10" i="44"/>
  <c r="Y10" i="44"/>
  <c r="Z10" i="44"/>
  <c r="AA10" i="44"/>
  <c r="AB10" i="44"/>
  <c r="AC10" i="44"/>
  <c r="AD10" i="44"/>
  <c r="AE10" i="44"/>
  <c r="AF10" i="44"/>
  <c r="AG10" i="44"/>
  <c r="D11" i="44"/>
  <c r="E11" i="44"/>
  <c r="F11" i="44"/>
  <c r="G11" i="44"/>
  <c r="H11" i="44"/>
  <c r="I11" i="44"/>
  <c r="J11" i="44"/>
  <c r="K11" i="44"/>
  <c r="L11" i="44"/>
  <c r="M11" i="44"/>
  <c r="N11" i="44"/>
  <c r="O11" i="44"/>
  <c r="P11" i="44"/>
  <c r="Q11" i="44"/>
  <c r="R11" i="44"/>
  <c r="S11" i="44"/>
  <c r="T11" i="44"/>
  <c r="U11" i="44"/>
  <c r="V11" i="44"/>
  <c r="W11" i="44"/>
  <c r="X11" i="44"/>
  <c r="Y11" i="44"/>
  <c r="Z11" i="44"/>
  <c r="AA11" i="44"/>
  <c r="AB11" i="44"/>
  <c r="AC11" i="44"/>
  <c r="AD11" i="44"/>
  <c r="AE11" i="44"/>
  <c r="AF11" i="44"/>
  <c r="AG11" i="44"/>
  <c r="D12" i="44"/>
  <c r="E12" i="44"/>
  <c r="F12" i="44"/>
  <c r="G12" i="44"/>
  <c r="H12" i="44"/>
  <c r="I12" i="44"/>
  <c r="J12" i="44"/>
  <c r="K12" i="44"/>
  <c r="L12" i="44"/>
  <c r="M12" i="44"/>
  <c r="N12" i="44"/>
  <c r="O12" i="44"/>
  <c r="P12" i="44"/>
  <c r="Q12" i="44"/>
  <c r="R12" i="44"/>
  <c r="S12" i="44"/>
  <c r="T12" i="44"/>
  <c r="U12" i="44"/>
  <c r="V12" i="44"/>
  <c r="W12" i="44"/>
  <c r="X12" i="44"/>
  <c r="Y12" i="44"/>
  <c r="Z12" i="44"/>
  <c r="AA12" i="44"/>
  <c r="AB12" i="44"/>
  <c r="AC12" i="44"/>
  <c r="AD12" i="44"/>
  <c r="AE12" i="44"/>
  <c r="AF12" i="44"/>
  <c r="AG12" i="44"/>
  <c r="D13" i="44"/>
  <c r="E13" i="44"/>
  <c r="F13" i="44"/>
  <c r="G13" i="44"/>
  <c r="H13" i="44"/>
  <c r="I13" i="44"/>
  <c r="J13" i="44"/>
  <c r="K13" i="44"/>
  <c r="L13" i="44"/>
  <c r="M13" i="44"/>
  <c r="N13" i="44"/>
  <c r="O13" i="44"/>
  <c r="P13" i="44"/>
  <c r="Q13" i="44"/>
  <c r="R13" i="44"/>
  <c r="S13" i="44"/>
  <c r="T13" i="44"/>
  <c r="U13" i="44"/>
  <c r="V13" i="44"/>
  <c r="W13" i="44"/>
  <c r="X13" i="44"/>
  <c r="Y13" i="44"/>
  <c r="Z13" i="44"/>
  <c r="AA13" i="44"/>
  <c r="AB13" i="44"/>
  <c r="AC13" i="44"/>
  <c r="AD13" i="44"/>
  <c r="AE13" i="44"/>
  <c r="AF13" i="44"/>
  <c r="AG13" i="44"/>
  <c r="D14" i="44"/>
  <c r="E14" i="44"/>
  <c r="F14" i="44"/>
  <c r="G14" i="44"/>
  <c r="H14" i="44"/>
  <c r="I14" i="44"/>
  <c r="J14" i="44"/>
  <c r="K14" i="44"/>
  <c r="L14" i="44"/>
  <c r="M14" i="44"/>
  <c r="N14" i="44"/>
  <c r="O14" i="44"/>
  <c r="P14" i="44"/>
  <c r="Q14" i="44"/>
  <c r="R14" i="44"/>
  <c r="S14" i="44"/>
  <c r="T14" i="44"/>
  <c r="U14" i="44"/>
  <c r="V14" i="44"/>
  <c r="W14" i="44"/>
  <c r="X14" i="44"/>
  <c r="Y14" i="44"/>
  <c r="Z14" i="44"/>
  <c r="AA14" i="44"/>
  <c r="AB14" i="44"/>
  <c r="AC14" i="44"/>
  <c r="AD14" i="44"/>
  <c r="AE14" i="44"/>
  <c r="AF14" i="44"/>
  <c r="AG14" i="44"/>
  <c r="D15" i="44"/>
  <c r="E15" i="44"/>
  <c r="F15" i="44"/>
  <c r="G15" i="44"/>
  <c r="H15" i="44"/>
  <c r="I15" i="44"/>
  <c r="J15" i="44"/>
  <c r="K15" i="44"/>
  <c r="L15" i="44"/>
  <c r="M15" i="44"/>
  <c r="N15" i="44"/>
  <c r="O15" i="44"/>
  <c r="P15" i="44"/>
  <c r="Q15" i="44"/>
  <c r="R15" i="44"/>
  <c r="S15" i="44"/>
  <c r="T15" i="44"/>
  <c r="U15" i="44"/>
  <c r="V15" i="44"/>
  <c r="W15" i="44"/>
  <c r="X15" i="44"/>
  <c r="Y15" i="44"/>
  <c r="Z15" i="44"/>
  <c r="AA15" i="44"/>
  <c r="AB15" i="44"/>
  <c r="AC15" i="44"/>
  <c r="AD15" i="44"/>
  <c r="AE15" i="44"/>
  <c r="AF15" i="44"/>
  <c r="AG15" i="44"/>
  <c r="D16" i="44"/>
  <c r="E16" i="44"/>
  <c r="F16" i="44"/>
  <c r="G16" i="44"/>
  <c r="H16" i="44"/>
  <c r="I16" i="44"/>
  <c r="J16" i="44"/>
  <c r="K16" i="44"/>
  <c r="L16" i="44"/>
  <c r="M16" i="44"/>
  <c r="N16" i="44"/>
  <c r="O16" i="44"/>
  <c r="P16" i="44"/>
  <c r="Q16" i="44"/>
  <c r="R16" i="44"/>
  <c r="S16" i="44"/>
  <c r="T16" i="44"/>
  <c r="U16" i="44"/>
  <c r="V16" i="44"/>
  <c r="W16" i="44"/>
  <c r="X16" i="44"/>
  <c r="Y16" i="44"/>
  <c r="Z16" i="44"/>
  <c r="AA16" i="44"/>
  <c r="AB16" i="44"/>
  <c r="AC16" i="44"/>
  <c r="AD16" i="44"/>
  <c r="AE16" i="44"/>
  <c r="AF16" i="44"/>
  <c r="AG16" i="44"/>
  <c r="D17" i="44"/>
  <c r="E17" i="44"/>
  <c r="F17" i="44"/>
  <c r="G17" i="44"/>
  <c r="H17" i="44"/>
  <c r="I17" i="44"/>
  <c r="J17" i="44"/>
  <c r="K17" i="44"/>
  <c r="L17" i="44"/>
  <c r="M17" i="44"/>
  <c r="N17" i="44"/>
  <c r="O17" i="44"/>
  <c r="P17" i="44"/>
  <c r="Q17" i="44"/>
  <c r="R17" i="44"/>
  <c r="S17" i="44"/>
  <c r="T17" i="44"/>
  <c r="U17" i="44"/>
  <c r="V17" i="44"/>
  <c r="W17" i="44"/>
  <c r="X17" i="44"/>
  <c r="Y17" i="44"/>
  <c r="Z17" i="44"/>
  <c r="AA17" i="44"/>
  <c r="AB17" i="44"/>
  <c r="AC17" i="44"/>
  <c r="AD17" i="44"/>
  <c r="AE17" i="44"/>
  <c r="AF17" i="44"/>
  <c r="AG17" i="44"/>
  <c r="D18" i="44"/>
  <c r="E18" i="44"/>
  <c r="F18" i="44"/>
  <c r="G18" i="44"/>
  <c r="H18" i="44"/>
  <c r="I18" i="44"/>
  <c r="J18" i="44"/>
  <c r="K18" i="44"/>
  <c r="L18" i="44"/>
  <c r="M18" i="44"/>
  <c r="N18" i="44"/>
  <c r="O18" i="44"/>
  <c r="P18" i="44"/>
  <c r="Q18" i="44"/>
  <c r="R18" i="44"/>
  <c r="S18" i="44"/>
  <c r="T18" i="44"/>
  <c r="U18" i="44"/>
  <c r="V18" i="44"/>
  <c r="W18" i="44"/>
  <c r="X18" i="44"/>
  <c r="Y18" i="44"/>
  <c r="Z18" i="44"/>
  <c r="AA18" i="44"/>
  <c r="AB18" i="44"/>
  <c r="AC18" i="44"/>
  <c r="AD18" i="44"/>
  <c r="AE18" i="44"/>
  <c r="AF18" i="44"/>
  <c r="AG18" i="44"/>
  <c r="D19" i="44"/>
  <c r="E19" i="44"/>
  <c r="F19" i="44"/>
  <c r="G19" i="44"/>
  <c r="H19" i="44"/>
  <c r="I19" i="44"/>
  <c r="J19" i="44"/>
  <c r="K19" i="44"/>
  <c r="L19" i="44"/>
  <c r="M19" i="44"/>
  <c r="N19" i="44"/>
  <c r="O19" i="44"/>
  <c r="P19" i="44"/>
  <c r="Q19" i="44"/>
  <c r="R19" i="44"/>
  <c r="S19" i="44"/>
  <c r="T19" i="44"/>
  <c r="U19" i="44"/>
  <c r="V19" i="44"/>
  <c r="W19" i="44"/>
  <c r="X19" i="44"/>
  <c r="Y19" i="44"/>
  <c r="Z19" i="44"/>
  <c r="AA19" i="44"/>
  <c r="AB19" i="44"/>
  <c r="AC19" i="44"/>
  <c r="AD19" i="44"/>
  <c r="AE19" i="44"/>
  <c r="AF19" i="44"/>
  <c r="AG19" i="44"/>
  <c r="D20" i="44"/>
  <c r="E20" i="44"/>
  <c r="F20" i="44"/>
  <c r="G20" i="44"/>
  <c r="H20" i="44"/>
  <c r="I20" i="44"/>
  <c r="J20" i="44"/>
  <c r="K20" i="44"/>
  <c r="L20" i="44"/>
  <c r="M20" i="44"/>
  <c r="N20" i="44"/>
  <c r="O20" i="44"/>
  <c r="P20" i="44"/>
  <c r="Q20" i="44"/>
  <c r="R20" i="44"/>
  <c r="S20" i="44"/>
  <c r="T20" i="44"/>
  <c r="U20" i="44"/>
  <c r="V20" i="44"/>
  <c r="W20" i="44"/>
  <c r="X20" i="44"/>
  <c r="Y20" i="44"/>
  <c r="Z20" i="44"/>
  <c r="AA20" i="44"/>
  <c r="AB20" i="44"/>
  <c r="AC20" i="44"/>
  <c r="AD20" i="44"/>
  <c r="AE20" i="44"/>
  <c r="AF20" i="44"/>
  <c r="AG20" i="44"/>
  <c r="D21" i="44"/>
  <c r="E21" i="44"/>
  <c r="F21" i="44"/>
  <c r="G21" i="44"/>
  <c r="H21" i="44"/>
  <c r="I21" i="44"/>
  <c r="J21" i="44"/>
  <c r="K21" i="44"/>
  <c r="L21" i="44"/>
  <c r="M21" i="44"/>
  <c r="N21" i="44"/>
  <c r="O21" i="44"/>
  <c r="P21" i="44"/>
  <c r="Q21" i="44"/>
  <c r="R21" i="44"/>
  <c r="S21" i="44"/>
  <c r="T21" i="44"/>
  <c r="U21" i="44"/>
  <c r="V21" i="44"/>
  <c r="W21" i="44"/>
  <c r="X21" i="44"/>
  <c r="Y21" i="44"/>
  <c r="Z21" i="44"/>
  <c r="AA21" i="44"/>
  <c r="AB21" i="44"/>
  <c r="AC21" i="44"/>
  <c r="AD21" i="44"/>
  <c r="AE21" i="44"/>
  <c r="AF21" i="44"/>
  <c r="AG21" i="44"/>
  <c r="D22" i="44"/>
  <c r="E22" i="44"/>
  <c r="F22" i="44"/>
  <c r="G22" i="44"/>
  <c r="H22" i="44"/>
  <c r="I22" i="44"/>
  <c r="J22" i="44"/>
  <c r="K22" i="44"/>
  <c r="L22" i="44"/>
  <c r="M22" i="44"/>
  <c r="N22" i="44"/>
  <c r="O22" i="44"/>
  <c r="P22" i="44"/>
  <c r="Q22" i="44"/>
  <c r="R22" i="44"/>
  <c r="S22" i="44"/>
  <c r="T22" i="44"/>
  <c r="U22" i="44"/>
  <c r="V22" i="44"/>
  <c r="W22" i="44"/>
  <c r="X22" i="44"/>
  <c r="Y22" i="44"/>
  <c r="Z22" i="44"/>
  <c r="AA22" i="44"/>
  <c r="AB22" i="44"/>
  <c r="AC22" i="44"/>
  <c r="AD22" i="44"/>
  <c r="AE22" i="44"/>
  <c r="AF22" i="44"/>
  <c r="AG22" i="44"/>
  <c r="D23" i="44"/>
  <c r="E23" i="44"/>
  <c r="F23" i="44"/>
  <c r="G23" i="44"/>
  <c r="H23" i="44"/>
  <c r="I23" i="44"/>
  <c r="J23" i="44"/>
  <c r="K23" i="44"/>
  <c r="L23" i="44"/>
  <c r="M23" i="44"/>
  <c r="N23" i="44"/>
  <c r="O23" i="44"/>
  <c r="P23" i="44"/>
  <c r="Q23" i="44"/>
  <c r="R23" i="44"/>
  <c r="S23" i="44"/>
  <c r="T23" i="44"/>
  <c r="U23" i="44"/>
  <c r="V23" i="44"/>
  <c r="W23" i="44"/>
  <c r="X23" i="44"/>
  <c r="Y23" i="44"/>
  <c r="Z23" i="44"/>
  <c r="AA23" i="44"/>
  <c r="AB23" i="44"/>
  <c r="AC23" i="44"/>
  <c r="AD23" i="44"/>
  <c r="AE23" i="44"/>
  <c r="AF23" i="44"/>
  <c r="AG23" i="44"/>
  <c r="D24" i="44"/>
  <c r="E24" i="44"/>
  <c r="F24" i="44"/>
  <c r="G24" i="44"/>
  <c r="H24" i="44"/>
  <c r="I24" i="44"/>
  <c r="J24" i="44"/>
  <c r="K24" i="44"/>
  <c r="L24" i="44"/>
  <c r="M24" i="44"/>
  <c r="N24" i="44"/>
  <c r="O24" i="44"/>
  <c r="P24" i="44"/>
  <c r="Q24" i="44"/>
  <c r="R24" i="44"/>
  <c r="S24" i="44"/>
  <c r="T24" i="44"/>
  <c r="U24" i="44"/>
  <c r="V24" i="44"/>
  <c r="W24" i="44"/>
  <c r="X24" i="44"/>
  <c r="Y24" i="44"/>
  <c r="Z24" i="44"/>
  <c r="AA24" i="44"/>
  <c r="AB24" i="44"/>
  <c r="AC24" i="44"/>
  <c r="AD24" i="44"/>
  <c r="AE24" i="44"/>
  <c r="AF24" i="44"/>
  <c r="AG24" i="44"/>
  <c r="D25" i="44"/>
  <c r="E25" i="44"/>
  <c r="F25" i="44"/>
  <c r="G25" i="44"/>
  <c r="H25" i="44"/>
  <c r="I25" i="44"/>
  <c r="J25" i="44"/>
  <c r="K25" i="44"/>
  <c r="L25" i="44"/>
  <c r="M25" i="44"/>
  <c r="N25" i="44"/>
  <c r="O25" i="44"/>
  <c r="P25" i="44"/>
  <c r="Q25" i="44"/>
  <c r="R25" i="44"/>
  <c r="S25" i="44"/>
  <c r="T25" i="44"/>
  <c r="U25" i="44"/>
  <c r="V25" i="44"/>
  <c r="W25" i="44"/>
  <c r="X25" i="44"/>
  <c r="Y25" i="44"/>
  <c r="Z25" i="44"/>
  <c r="AA25" i="44"/>
  <c r="AB25" i="44"/>
  <c r="AC25" i="44"/>
  <c r="AD25" i="44"/>
  <c r="AE25" i="44"/>
  <c r="AF25" i="44"/>
  <c r="AG25" i="44"/>
  <c r="D26" i="44"/>
  <c r="E26" i="44"/>
  <c r="F26" i="44"/>
  <c r="G26" i="44"/>
  <c r="H26" i="44"/>
  <c r="I26" i="44"/>
  <c r="J26" i="44"/>
  <c r="K26" i="44"/>
  <c r="L26" i="44"/>
  <c r="M26" i="44"/>
  <c r="N26" i="44"/>
  <c r="O26" i="44"/>
  <c r="P26" i="44"/>
  <c r="Q26" i="44"/>
  <c r="R26" i="44"/>
  <c r="S26" i="44"/>
  <c r="T26" i="44"/>
  <c r="U26" i="44"/>
  <c r="V26" i="44"/>
  <c r="W26" i="44"/>
  <c r="X26" i="44"/>
  <c r="Y26" i="44"/>
  <c r="Z26" i="44"/>
  <c r="AA26" i="44"/>
  <c r="AB26" i="44"/>
  <c r="AC26" i="44"/>
  <c r="AD26" i="44"/>
  <c r="AE26" i="44"/>
  <c r="AF26" i="44"/>
  <c r="AG26" i="44"/>
  <c r="D27" i="44"/>
  <c r="E27" i="44"/>
  <c r="F27" i="44"/>
  <c r="G27" i="44"/>
  <c r="H27" i="44"/>
  <c r="I27" i="44"/>
  <c r="J27" i="44"/>
  <c r="K27" i="44"/>
  <c r="L27" i="44"/>
  <c r="M27" i="44"/>
  <c r="N27" i="44"/>
  <c r="O27" i="44"/>
  <c r="P27" i="44"/>
  <c r="Q27" i="44"/>
  <c r="R27" i="44"/>
  <c r="S27" i="44"/>
  <c r="T27" i="44"/>
  <c r="U27" i="44"/>
  <c r="V27" i="44"/>
  <c r="W27" i="44"/>
  <c r="X27" i="44"/>
  <c r="Y27" i="44"/>
  <c r="Z27" i="44"/>
  <c r="AA27" i="44"/>
  <c r="AB27" i="44"/>
  <c r="AC27" i="44"/>
  <c r="AD27" i="44"/>
  <c r="AE27" i="44"/>
  <c r="AF27" i="44"/>
  <c r="AG27" i="44"/>
  <c r="D28" i="44"/>
  <c r="E28" i="44"/>
  <c r="F28" i="44"/>
  <c r="G28" i="44"/>
  <c r="H28" i="44"/>
  <c r="I28" i="44"/>
  <c r="J28" i="44"/>
  <c r="K28" i="44"/>
  <c r="L28" i="44"/>
  <c r="M28" i="44"/>
  <c r="N28" i="44"/>
  <c r="O28" i="44"/>
  <c r="P28" i="44"/>
  <c r="Q28" i="44"/>
  <c r="R28" i="44"/>
  <c r="S28" i="44"/>
  <c r="T28" i="44"/>
  <c r="U28" i="44"/>
  <c r="V28" i="44"/>
  <c r="W28" i="44"/>
  <c r="X28" i="44"/>
  <c r="Y28" i="44"/>
  <c r="Z28" i="44"/>
  <c r="AA28" i="44"/>
  <c r="AB28" i="44"/>
  <c r="AC28" i="44"/>
  <c r="AD28" i="44"/>
  <c r="AE28" i="44"/>
  <c r="AF28" i="44"/>
  <c r="AG28" i="44"/>
  <c r="D29" i="44"/>
  <c r="E29" i="44"/>
  <c r="F29" i="44"/>
  <c r="G29" i="44"/>
  <c r="H29" i="44"/>
  <c r="I29" i="44"/>
  <c r="J29" i="44"/>
  <c r="K29" i="44"/>
  <c r="L29" i="44"/>
  <c r="M29" i="44"/>
  <c r="N29" i="44"/>
  <c r="O29" i="44"/>
  <c r="P29" i="44"/>
  <c r="Q29" i="44"/>
  <c r="R29" i="44"/>
  <c r="S29" i="44"/>
  <c r="T29" i="44"/>
  <c r="U29" i="44"/>
  <c r="V29" i="44"/>
  <c r="W29" i="44"/>
  <c r="X29" i="44"/>
  <c r="Y29" i="44"/>
  <c r="Z29" i="44"/>
  <c r="AA29" i="44"/>
  <c r="AB29" i="44"/>
  <c r="AC29" i="44"/>
  <c r="AD29" i="44"/>
  <c r="AE29" i="44"/>
  <c r="AF29" i="44"/>
  <c r="AG29" i="44"/>
  <c r="D30" i="44"/>
  <c r="E30" i="44"/>
  <c r="F30" i="44"/>
  <c r="G30" i="44"/>
  <c r="H30" i="44"/>
  <c r="I30" i="44"/>
  <c r="J30" i="44"/>
  <c r="K30" i="44"/>
  <c r="L30" i="44"/>
  <c r="M30" i="44"/>
  <c r="N30" i="44"/>
  <c r="O30" i="44"/>
  <c r="P30" i="44"/>
  <c r="Q30" i="44"/>
  <c r="R30" i="44"/>
  <c r="S30" i="44"/>
  <c r="T30" i="44"/>
  <c r="U30" i="44"/>
  <c r="V30" i="44"/>
  <c r="W30" i="44"/>
  <c r="X30" i="44"/>
  <c r="Y30" i="44"/>
  <c r="Z30" i="44"/>
  <c r="AA30" i="44"/>
  <c r="AB30" i="44"/>
  <c r="AC30" i="44"/>
  <c r="AD30" i="44"/>
  <c r="AE30" i="44"/>
  <c r="AF30" i="44"/>
  <c r="AG30" i="44"/>
  <c r="D31" i="44"/>
  <c r="E31" i="44"/>
  <c r="F31" i="44"/>
  <c r="G31" i="44"/>
  <c r="H31" i="44"/>
  <c r="I31" i="44"/>
  <c r="J31" i="44"/>
  <c r="K31" i="44"/>
  <c r="L31" i="44"/>
  <c r="M31" i="44"/>
  <c r="N31" i="44"/>
  <c r="O31" i="44"/>
  <c r="P31" i="44"/>
  <c r="Q31" i="44"/>
  <c r="R31" i="44"/>
  <c r="S31" i="44"/>
  <c r="T31" i="44"/>
  <c r="U31" i="44"/>
  <c r="V31" i="44"/>
  <c r="W31" i="44"/>
  <c r="X31" i="44"/>
  <c r="Y31" i="44"/>
  <c r="Z31" i="44"/>
  <c r="AA31" i="44"/>
  <c r="AB31" i="44"/>
  <c r="AC31" i="44"/>
  <c r="AD31" i="44"/>
  <c r="AE31" i="44"/>
  <c r="AF31" i="44"/>
  <c r="AG31" i="44"/>
  <c r="D34" i="44"/>
  <c r="E34" i="44"/>
  <c r="F34" i="44"/>
  <c r="G34" i="44"/>
  <c r="H34" i="44"/>
  <c r="I34" i="44"/>
  <c r="J34" i="44"/>
  <c r="K34" i="44"/>
  <c r="L34" i="44"/>
  <c r="M34" i="44"/>
  <c r="N34" i="44"/>
  <c r="O34" i="44"/>
  <c r="P34" i="44"/>
  <c r="Q34" i="44"/>
  <c r="R34" i="44"/>
  <c r="S34" i="44"/>
  <c r="T34" i="44"/>
  <c r="U34" i="44"/>
  <c r="V34" i="44"/>
  <c r="W34" i="44"/>
  <c r="X34" i="44"/>
  <c r="Y34" i="44"/>
  <c r="Z34" i="44"/>
  <c r="AA34" i="44"/>
  <c r="AB34" i="44"/>
  <c r="AC34" i="44"/>
  <c r="AD34" i="44"/>
  <c r="AE34" i="44"/>
  <c r="AF34" i="44"/>
  <c r="AG34" i="44"/>
  <c r="D35" i="44"/>
  <c r="E35" i="44"/>
  <c r="F35" i="44"/>
  <c r="G35" i="44"/>
  <c r="H35" i="44"/>
  <c r="I35" i="44"/>
  <c r="J35" i="44"/>
  <c r="K35" i="44"/>
  <c r="L35" i="44"/>
  <c r="M35" i="44"/>
  <c r="N35" i="44"/>
  <c r="O35" i="44"/>
  <c r="P35" i="44"/>
  <c r="Q35" i="44"/>
  <c r="R35" i="44"/>
  <c r="S35" i="44"/>
  <c r="T35" i="44"/>
  <c r="U35" i="44"/>
  <c r="V35" i="44"/>
  <c r="W35" i="44"/>
  <c r="X35" i="44"/>
  <c r="Y35" i="44"/>
  <c r="Z35" i="44"/>
  <c r="AA35" i="44"/>
  <c r="AB35" i="44"/>
  <c r="AC35" i="44"/>
  <c r="AD35" i="44"/>
  <c r="AE35" i="44"/>
  <c r="AF35" i="44"/>
  <c r="AG35" i="44"/>
  <c r="D36" i="44"/>
  <c r="E36" i="44"/>
  <c r="F36" i="44"/>
  <c r="G36" i="44"/>
  <c r="H36" i="44"/>
  <c r="I36" i="44"/>
  <c r="J36" i="44"/>
  <c r="K36" i="44"/>
  <c r="L36" i="44"/>
  <c r="M36" i="44"/>
  <c r="N36" i="44"/>
  <c r="O36" i="44"/>
  <c r="P36" i="44"/>
  <c r="Q36" i="44"/>
  <c r="R36" i="44"/>
  <c r="S36" i="44"/>
  <c r="T36" i="44"/>
  <c r="U36" i="44"/>
  <c r="V36" i="44"/>
  <c r="W36" i="44"/>
  <c r="X36" i="44"/>
  <c r="Y36" i="44"/>
  <c r="Z36" i="44"/>
  <c r="AA36" i="44"/>
  <c r="AB36" i="44"/>
  <c r="AC36" i="44"/>
  <c r="AD36" i="44"/>
  <c r="AE36" i="44"/>
  <c r="AF36" i="44"/>
  <c r="AG36" i="44"/>
  <c r="D37" i="44"/>
  <c r="E37" i="44"/>
  <c r="F37" i="44"/>
  <c r="G37" i="44"/>
  <c r="H37" i="44"/>
  <c r="I37" i="44"/>
  <c r="J37" i="44"/>
  <c r="K37" i="44"/>
  <c r="L37" i="44"/>
  <c r="M37" i="44"/>
  <c r="N37" i="44"/>
  <c r="O37" i="44"/>
  <c r="P37" i="44"/>
  <c r="Q37" i="44"/>
  <c r="R37" i="44"/>
  <c r="S37" i="44"/>
  <c r="T37" i="44"/>
  <c r="U37" i="44"/>
  <c r="V37" i="44"/>
  <c r="W37" i="44"/>
  <c r="X37" i="44"/>
  <c r="Y37" i="44"/>
  <c r="Z37" i="44"/>
  <c r="AA37" i="44"/>
  <c r="AB37" i="44"/>
  <c r="AC37" i="44"/>
  <c r="AD37" i="44"/>
  <c r="AE37" i="44"/>
  <c r="AF37" i="44"/>
  <c r="AG37" i="44"/>
  <c r="D38" i="44"/>
  <c r="E38" i="44"/>
  <c r="F38" i="44"/>
  <c r="G38" i="44"/>
  <c r="H38" i="44"/>
  <c r="I38" i="44"/>
  <c r="J38" i="44"/>
  <c r="K38" i="44"/>
  <c r="L38" i="44"/>
  <c r="M38" i="44"/>
  <c r="N38" i="44"/>
  <c r="O38" i="44"/>
  <c r="P38" i="44"/>
  <c r="Q38" i="44"/>
  <c r="R38" i="44"/>
  <c r="S38" i="44"/>
  <c r="T38" i="44"/>
  <c r="U38" i="44"/>
  <c r="V38" i="44"/>
  <c r="W38" i="44"/>
  <c r="X38" i="44"/>
  <c r="Y38" i="44"/>
  <c r="Z38" i="44"/>
  <c r="AA38" i="44"/>
  <c r="AB38" i="44"/>
  <c r="AC38" i="44"/>
  <c r="AD38" i="44"/>
  <c r="AE38" i="44"/>
  <c r="AF38" i="44"/>
  <c r="AG38" i="44"/>
  <c r="D39" i="44"/>
  <c r="E39" i="44"/>
  <c r="F39" i="44"/>
  <c r="G39" i="44"/>
  <c r="H39" i="44"/>
  <c r="I39" i="44"/>
  <c r="J39" i="44"/>
  <c r="K39" i="44"/>
  <c r="L39" i="44"/>
  <c r="M39" i="44"/>
  <c r="N39" i="44"/>
  <c r="O39" i="44"/>
  <c r="P39" i="44"/>
  <c r="Q39" i="44"/>
  <c r="R39" i="44"/>
  <c r="S39" i="44"/>
  <c r="T39" i="44"/>
  <c r="U39" i="44"/>
  <c r="V39" i="44"/>
  <c r="W39" i="44"/>
  <c r="X39" i="44"/>
  <c r="Y39" i="44"/>
  <c r="Z39" i="44"/>
  <c r="AA39" i="44"/>
  <c r="AB39" i="44"/>
  <c r="AC39" i="44"/>
  <c r="AD39" i="44"/>
  <c r="AE39" i="44"/>
  <c r="AF39" i="44"/>
  <c r="AG39" i="44"/>
  <c r="D40" i="44"/>
  <c r="E40" i="44"/>
  <c r="F40" i="44"/>
  <c r="G40" i="44"/>
  <c r="H40" i="44"/>
  <c r="I40" i="44"/>
  <c r="J40" i="44"/>
  <c r="K40" i="44"/>
  <c r="L40" i="44"/>
  <c r="M40" i="44"/>
  <c r="N40" i="44"/>
  <c r="O40" i="44"/>
  <c r="P40" i="44"/>
  <c r="Q40" i="44"/>
  <c r="R40" i="44"/>
  <c r="S40" i="44"/>
  <c r="T40" i="44"/>
  <c r="U40" i="44"/>
  <c r="V40" i="44"/>
  <c r="W40" i="44"/>
  <c r="X40" i="44"/>
  <c r="Y40" i="44"/>
  <c r="Z40" i="44"/>
  <c r="AA40" i="44"/>
  <c r="AB40" i="44"/>
  <c r="AC40" i="44"/>
  <c r="AD40" i="44"/>
  <c r="AE40" i="44"/>
  <c r="AF40" i="44"/>
  <c r="AG40" i="44"/>
  <c r="D41" i="44"/>
  <c r="E41" i="44"/>
  <c r="F41" i="44"/>
  <c r="G41" i="44"/>
  <c r="H41" i="44"/>
  <c r="I41" i="44"/>
  <c r="J41" i="44"/>
  <c r="K41" i="44"/>
  <c r="L41" i="44"/>
  <c r="M41" i="44"/>
  <c r="N41" i="44"/>
  <c r="O41" i="44"/>
  <c r="P41" i="44"/>
  <c r="Q41" i="44"/>
  <c r="R41" i="44"/>
  <c r="S41" i="44"/>
  <c r="T41" i="44"/>
  <c r="U41" i="44"/>
  <c r="V41" i="44"/>
  <c r="W41" i="44"/>
  <c r="X41" i="44"/>
  <c r="Y41" i="44"/>
  <c r="Z41" i="44"/>
  <c r="AA41" i="44"/>
  <c r="AB41" i="44"/>
  <c r="AC41" i="44"/>
  <c r="AD41" i="44"/>
  <c r="AE41" i="44"/>
  <c r="AF41" i="44"/>
  <c r="AG41" i="44"/>
  <c r="D42" i="44"/>
  <c r="E42" i="44"/>
  <c r="F42" i="44"/>
  <c r="G42" i="44"/>
  <c r="H42" i="44"/>
  <c r="I42" i="44"/>
  <c r="J42" i="44"/>
  <c r="K42" i="44"/>
  <c r="L42" i="44"/>
  <c r="M42" i="44"/>
  <c r="N42" i="44"/>
  <c r="O42" i="44"/>
  <c r="P42" i="44"/>
  <c r="Q42" i="44"/>
  <c r="R42" i="44"/>
  <c r="S42" i="44"/>
  <c r="T42" i="44"/>
  <c r="U42" i="44"/>
  <c r="V42" i="44"/>
  <c r="W42" i="44"/>
  <c r="X42" i="44"/>
  <c r="Y42" i="44"/>
  <c r="Z42" i="44"/>
  <c r="AA42" i="44"/>
  <c r="AB42" i="44"/>
  <c r="AC42" i="44"/>
  <c r="AD42" i="44"/>
  <c r="AE42" i="44"/>
  <c r="AF42" i="44"/>
  <c r="AG42" i="44"/>
  <c r="D43" i="44"/>
  <c r="E43" i="44"/>
  <c r="F43" i="44"/>
  <c r="G43" i="44"/>
  <c r="H43" i="44"/>
  <c r="I43" i="44"/>
  <c r="J43" i="44"/>
  <c r="K43" i="44"/>
  <c r="L43" i="44"/>
  <c r="M43" i="44"/>
  <c r="N43" i="44"/>
  <c r="O43" i="44"/>
  <c r="P43" i="44"/>
  <c r="Q43" i="44"/>
  <c r="R43" i="44"/>
  <c r="S43" i="44"/>
  <c r="T43" i="44"/>
  <c r="U43" i="44"/>
  <c r="V43" i="44"/>
  <c r="W43" i="44"/>
  <c r="X43" i="44"/>
  <c r="Y43" i="44"/>
  <c r="Z43" i="44"/>
  <c r="AA43" i="44"/>
  <c r="AB43" i="44"/>
  <c r="AC43" i="44"/>
  <c r="AD43" i="44"/>
  <c r="AE43" i="44"/>
  <c r="AF43" i="44"/>
  <c r="AG43" i="44"/>
  <c r="D44" i="44"/>
  <c r="E44" i="44"/>
  <c r="F44" i="44"/>
  <c r="G44" i="44"/>
  <c r="H44" i="44"/>
  <c r="I44" i="44"/>
  <c r="J44" i="44"/>
  <c r="K44" i="44"/>
  <c r="L44" i="44"/>
  <c r="M44" i="44"/>
  <c r="N44" i="44"/>
  <c r="O44" i="44"/>
  <c r="P44" i="44"/>
  <c r="Q44" i="44"/>
  <c r="R44" i="44"/>
  <c r="S44" i="44"/>
  <c r="T44" i="44"/>
  <c r="U44" i="44"/>
  <c r="V44" i="44"/>
  <c r="W44" i="44"/>
  <c r="X44" i="44"/>
  <c r="Y44" i="44"/>
  <c r="Z44" i="44"/>
  <c r="AA44" i="44"/>
  <c r="AB44" i="44"/>
  <c r="AC44" i="44"/>
  <c r="AD44" i="44"/>
  <c r="AE44" i="44"/>
  <c r="AF44" i="44"/>
  <c r="AG44" i="44"/>
  <c r="D45" i="44"/>
  <c r="E45" i="44"/>
  <c r="F45" i="44"/>
  <c r="G45" i="44"/>
  <c r="H45" i="44"/>
  <c r="I45" i="44"/>
  <c r="J45" i="44"/>
  <c r="K45" i="44"/>
  <c r="L45" i="44"/>
  <c r="M45" i="44"/>
  <c r="N45" i="44"/>
  <c r="O45" i="44"/>
  <c r="P45" i="44"/>
  <c r="Q45" i="44"/>
  <c r="R45" i="44"/>
  <c r="S45" i="44"/>
  <c r="T45" i="44"/>
  <c r="U45" i="44"/>
  <c r="V45" i="44"/>
  <c r="W45" i="44"/>
  <c r="X45" i="44"/>
  <c r="Y45" i="44"/>
  <c r="Z45" i="44"/>
  <c r="AA45" i="44"/>
  <c r="AB45" i="44"/>
  <c r="AC45" i="44"/>
  <c r="AD45" i="44"/>
  <c r="AE45" i="44"/>
  <c r="AF45" i="44"/>
  <c r="AG45" i="44"/>
  <c r="D46" i="44"/>
  <c r="E46" i="44"/>
  <c r="F46" i="44"/>
  <c r="G46" i="44"/>
  <c r="H46" i="44"/>
  <c r="I46" i="44"/>
  <c r="J46" i="44"/>
  <c r="K46" i="44"/>
  <c r="L46" i="44"/>
  <c r="M46" i="44"/>
  <c r="N46" i="44"/>
  <c r="O46" i="44"/>
  <c r="P46" i="44"/>
  <c r="Q46" i="44"/>
  <c r="R46" i="44"/>
  <c r="S46" i="44"/>
  <c r="T46" i="44"/>
  <c r="U46" i="44"/>
  <c r="V46" i="44"/>
  <c r="W46" i="44"/>
  <c r="X46" i="44"/>
  <c r="Y46" i="44"/>
  <c r="Z46" i="44"/>
  <c r="AA46" i="44"/>
  <c r="AB46" i="44"/>
  <c r="AC46" i="44"/>
  <c r="AD46" i="44"/>
  <c r="AE46" i="44"/>
  <c r="AF46" i="44"/>
  <c r="AG46" i="44"/>
  <c r="D47" i="44"/>
  <c r="E47" i="44"/>
  <c r="F47" i="44"/>
  <c r="G47" i="44"/>
  <c r="H47" i="44"/>
  <c r="I47" i="44"/>
  <c r="J47" i="44"/>
  <c r="K47" i="44"/>
  <c r="L47" i="44"/>
  <c r="M47" i="44"/>
  <c r="N47" i="44"/>
  <c r="O47" i="44"/>
  <c r="P47" i="44"/>
  <c r="Q47" i="44"/>
  <c r="R47" i="44"/>
  <c r="S47" i="44"/>
  <c r="T47" i="44"/>
  <c r="U47" i="44"/>
  <c r="V47" i="44"/>
  <c r="W47" i="44"/>
  <c r="X47" i="44"/>
  <c r="Y47" i="44"/>
  <c r="Z47" i="44"/>
  <c r="AA47" i="44"/>
  <c r="AB47" i="44"/>
  <c r="AC47" i="44"/>
  <c r="AD47" i="44"/>
  <c r="AE47" i="44"/>
  <c r="AF47" i="44"/>
  <c r="AG47" i="44"/>
  <c r="D48" i="44"/>
  <c r="E48" i="44"/>
  <c r="F48" i="44"/>
  <c r="G48" i="44"/>
  <c r="H48" i="44"/>
  <c r="I48" i="44"/>
  <c r="J48" i="44"/>
  <c r="K48" i="44"/>
  <c r="L48" i="44"/>
  <c r="M48" i="44"/>
  <c r="N48" i="44"/>
  <c r="O48" i="44"/>
  <c r="P48" i="44"/>
  <c r="Q48" i="44"/>
  <c r="R48" i="44"/>
  <c r="S48" i="44"/>
  <c r="T48" i="44"/>
  <c r="U48" i="44"/>
  <c r="V48" i="44"/>
  <c r="W48" i="44"/>
  <c r="X48" i="44"/>
  <c r="Y48" i="44"/>
  <c r="Z48" i="44"/>
  <c r="AA48" i="44"/>
  <c r="AB48" i="44"/>
  <c r="AC48" i="44"/>
  <c r="AD48" i="44"/>
  <c r="AE48" i="44"/>
  <c r="AF48" i="44"/>
  <c r="AG48" i="44"/>
  <c r="D49" i="44"/>
  <c r="E49" i="44"/>
  <c r="F49" i="44"/>
  <c r="G49" i="44"/>
  <c r="H49" i="44"/>
  <c r="I49" i="44"/>
  <c r="J49" i="44"/>
  <c r="K49" i="44"/>
  <c r="L49" i="44"/>
  <c r="M49" i="44"/>
  <c r="N49" i="44"/>
  <c r="O49" i="44"/>
  <c r="P49" i="44"/>
  <c r="Q49" i="44"/>
  <c r="R49" i="44"/>
  <c r="S49" i="44"/>
  <c r="T49" i="44"/>
  <c r="U49" i="44"/>
  <c r="V49" i="44"/>
  <c r="W49" i="44"/>
  <c r="X49" i="44"/>
  <c r="Y49" i="44"/>
  <c r="Z49" i="44"/>
  <c r="AA49" i="44"/>
  <c r="AB49" i="44"/>
  <c r="AC49" i="44"/>
  <c r="AD49" i="44"/>
  <c r="AE49" i="44"/>
  <c r="AF49" i="44"/>
  <c r="AG49" i="44"/>
  <c r="D50" i="44"/>
  <c r="E50" i="44"/>
  <c r="F50" i="44"/>
  <c r="G50" i="44"/>
  <c r="H50" i="44"/>
  <c r="I50" i="44"/>
  <c r="J50" i="44"/>
  <c r="K50" i="44"/>
  <c r="L50" i="44"/>
  <c r="M50" i="44"/>
  <c r="N50" i="44"/>
  <c r="O50" i="44"/>
  <c r="P50" i="44"/>
  <c r="Q50" i="44"/>
  <c r="R50" i="44"/>
  <c r="S50" i="44"/>
  <c r="T50" i="44"/>
  <c r="U50" i="44"/>
  <c r="V50" i="44"/>
  <c r="W50" i="44"/>
  <c r="X50" i="44"/>
  <c r="Y50" i="44"/>
  <c r="Z50" i="44"/>
  <c r="AA50" i="44"/>
  <c r="AB50" i="44"/>
  <c r="AC50" i="44"/>
  <c r="AD50" i="44"/>
  <c r="AE50" i="44"/>
  <c r="AF50" i="44"/>
  <c r="AG50" i="44"/>
  <c r="D51" i="44"/>
  <c r="E51" i="44"/>
  <c r="F51" i="44"/>
  <c r="G51" i="44"/>
  <c r="H51" i="44"/>
  <c r="I51" i="44"/>
  <c r="J51" i="44"/>
  <c r="K51" i="44"/>
  <c r="L51" i="44"/>
  <c r="M51" i="44"/>
  <c r="N51" i="44"/>
  <c r="O51" i="44"/>
  <c r="P51" i="44"/>
  <c r="Q51" i="44"/>
  <c r="R51" i="44"/>
  <c r="S51" i="44"/>
  <c r="T51" i="44"/>
  <c r="U51" i="44"/>
  <c r="V51" i="44"/>
  <c r="W51" i="44"/>
  <c r="X51" i="44"/>
  <c r="Y51" i="44"/>
  <c r="Z51" i="44"/>
  <c r="AA51" i="44"/>
  <c r="AB51" i="44"/>
  <c r="AC51" i="44"/>
  <c r="AD51" i="44"/>
  <c r="AE51" i="44"/>
  <c r="AF51" i="44"/>
  <c r="AG51" i="44"/>
  <c r="D52" i="44"/>
  <c r="E52" i="44"/>
  <c r="F52" i="44"/>
  <c r="G52" i="44"/>
  <c r="H52" i="44"/>
  <c r="I52" i="44"/>
  <c r="J52" i="44"/>
  <c r="K52" i="44"/>
  <c r="L52" i="44"/>
  <c r="M52" i="44"/>
  <c r="N52" i="44"/>
  <c r="O52" i="44"/>
  <c r="P52" i="44"/>
  <c r="Q52" i="44"/>
  <c r="R52" i="44"/>
  <c r="S52" i="44"/>
  <c r="T52" i="44"/>
  <c r="U52" i="44"/>
  <c r="V52" i="44"/>
  <c r="W52" i="44"/>
  <c r="X52" i="44"/>
  <c r="Y52" i="44"/>
  <c r="Z52" i="44"/>
  <c r="AA52" i="44"/>
  <c r="AB52" i="44"/>
  <c r="AC52" i="44"/>
  <c r="AD52" i="44"/>
  <c r="AE52" i="44"/>
  <c r="AF52" i="44"/>
  <c r="AG52" i="44"/>
  <c r="D53" i="44"/>
  <c r="E53" i="44"/>
  <c r="F53" i="44"/>
  <c r="G53" i="44"/>
  <c r="H53" i="44"/>
  <c r="I53" i="44"/>
  <c r="J53" i="44"/>
  <c r="K53" i="44"/>
  <c r="L53" i="44"/>
  <c r="M53" i="44"/>
  <c r="N53" i="44"/>
  <c r="O53" i="44"/>
  <c r="P53" i="44"/>
  <c r="Q53" i="44"/>
  <c r="R53" i="44"/>
  <c r="S53" i="44"/>
  <c r="T53" i="44"/>
  <c r="U53" i="44"/>
  <c r="V53" i="44"/>
  <c r="W53" i="44"/>
  <c r="X53" i="44"/>
  <c r="Y53" i="44"/>
  <c r="Z53" i="44"/>
  <c r="AA53" i="44"/>
  <c r="AB53" i="44"/>
  <c r="AC53" i="44"/>
  <c r="AD53" i="44"/>
  <c r="AE53" i="44"/>
  <c r="AF53" i="44"/>
  <c r="AG53" i="44"/>
  <c r="D54" i="44"/>
  <c r="E54" i="44"/>
  <c r="F54" i="44"/>
  <c r="G54" i="44"/>
  <c r="H54" i="44"/>
  <c r="I54" i="44"/>
  <c r="J54" i="44"/>
  <c r="K54" i="44"/>
  <c r="L54" i="44"/>
  <c r="M54" i="44"/>
  <c r="N54" i="44"/>
  <c r="O54" i="44"/>
  <c r="P54" i="44"/>
  <c r="Q54" i="44"/>
  <c r="R54" i="44"/>
  <c r="S54" i="44"/>
  <c r="T54" i="44"/>
  <c r="U54" i="44"/>
  <c r="V54" i="44"/>
  <c r="W54" i="44"/>
  <c r="X54" i="44"/>
  <c r="Y54" i="44"/>
  <c r="Z54" i="44"/>
  <c r="AA54" i="44"/>
  <c r="AB54" i="44"/>
  <c r="AC54" i="44"/>
  <c r="AD54" i="44"/>
  <c r="AE54" i="44"/>
  <c r="AF54" i="44"/>
  <c r="AG54" i="44"/>
  <c r="D55" i="44"/>
  <c r="E55" i="44"/>
  <c r="F55" i="44"/>
  <c r="G55" i="44"/>
  <c r="H55" i="44"/>
  <c r="I55" i="44"/>
  <c r="J55" i="44"/>
  <c r="K55" i="44"/>
  <c r="L55" i="44"/>
  <c r="M55" i="44"/>
  <c r="N55" i="44"/>
  <c r="O55" i="44"/>
  <c r="P55" i="44"/>
  <c r="Q55" i="44"/>
  <c r="R55" i="44"/>
  <c r="S55" i="44"/>
  <c r="T55" i="44"/>
  <c r="U55" i="44"/>
  <c r="V55" i="44"/>
  <c r="W55" i="44"/>
  <c r="X55" i="44"/>
  <c r="Y55" i="44"/>
  <c r="Z55" i="44"/>
  <c r="AA55" i="44"/>
  <c r="AB55" i="44"/>
  <c r="AC55" i="44"/>
  <c r="AD55" i="44"/>
  <c r="AE55" i="44"/>
  <c r="AF55" i="44"/>
  <c r="AG55" i="44"/>
  <c r="D56" i="44"/>
  <c r="E56" i="44"/>
  <c r="F56" i="44"/>
  <c r="G56" i="44"/>
  <c r="H56" i="44"/>
  <c r="I56" i="44"/>
  <c r="J56" i="44"/>
  <c r="K56" i="44"/>
  <c r="L56" i="44"/>
  <c r="M56" i="44"/>
  <c r="N56" i="44"/>
  <c r="O56" i="44"/>
  <c r="P56" i="44"/>
  <c r="Q56" i="44"/>
  <c r="R56" i="44"/>
  <c r="S56" i="44"/>
  <c r="T56" i="44"/>
  <c r="U56" i="44"/>
  <c r="V56" i="44"/>
  <c r="W56" i="44"/>
  <c r="X56" i="44"/>
  <c r="Y56" i="44"/>
  <c r="Z56" i="44"/>
  <c r="AA56" i="44"/>
  <c r="AB56" i="44"/>
  <c r="AC56" i="44"/>
  <c r="AD56" i="44"/>
  <c r="AE56" i="44"/>
  <c r="AF56" i="44"/>
  <c r="AG56" i="44"/>
  <c r="D57" i="44"/>
  <c r="E57" i="44"/>
  <c r="F57" i="44"/>
  <c r="G57" i="44"/>
  <c r="H57" i="44"/>
  <c r="I57" i="44"/>
  <c r="J57" i="44"/>
  <c r="K57" i="44"/>
  <c r="L57" i="44"/>
  <c r="M57" i="44"/>
  <c r="N57" i="44"/>
  <c r="O57" i="44"/>
  <c r="P57" i="44"/>
  <c r="Q57" i="44"/>
  <c r="R57" i="44"/>
  <c r="S57" i="44"/>
  <c r="T57" i="44"/>
  <c r="U57" i="44"/>
  <c r="V57" i="44"/>
  <c r="W57" i="44"/>
  <c r="X57" i="44"/>
  <c r="Y57" i="44"/>
  <c r="Z57" i="44"/>
  <c r="AA57" i="44"/>
  <c r="AB57" i="44"/>
  <c r="AC57" i="44"/>
  <c r="AD57" i="44"/>
  <c r="AE57" i="44"/>
  <c r="AF57" i="44"/>
  <c r="AG57" i="44"/>
  <c r="D58" i="44"/>
  <c r="E58" i="44"/>
  <c r="F58" i="44"/>
  <c r="G58" i="44"/>
  <c r="H58" i="44"/>
  <c r="I58" i="44"/>
  <c r="J58" i="44"/>
  <c r="K58" i="44"/>
  <c r="L58" i="44"/>
  <c r="M58" i="44"/>
  <c r="N58" i="44"/>
  <c r="O58" i="44"/>
  <c r="P58" i="44"/>
  <c r="Q58" i="44"/>
  <c r="R58" i="44"/>
  <c r="S58" i="44"/>
  <c r="T58" i="44"/>
  <c r="U58" i="44"/>
  <c r="V58" i="44"/>
  <c r="W58" i="44"/>
  <c r="X58" i="44"/>
  <c r="Y58" i="44"/>
  <c r="Z58" i="44"/>
  <c r="AA58" i="44"/>
  <c r="AB58" i="44"/>
  <c r="AC58" i="44"/>
  <c r="AD58" i="44"/>
  <c r="AE58" i="44"/>
  <c r="AF58" i="44"/>
  <c r="AG58" i="44"/>
  <c r="D59" i="44"/>
  <c r="E59" i="44"/>
  <c r="F59" i="44"/>
  <c r="G59" i="44"/>
  <c r="H59" i="44"/>
  <c r="I59" i="44"/>
  <c r="J59" i="44"/>
  <c r="K59" i="44"/>
  <c r="L59" i="44"/>
  <c r="M59" i="44"/>
  <c r="N59" i="44"/>
  <c r="O59" i="44"/>
  <c r="P59" i="44"/>
  <c r="Q59" i="44"/>
  <c r="R59" i="44"/>
  <c r="S59" i="44"/>
  <c r="T59" i="44"/>
  <c r="U59" i="44"/>
  <c r="V59" i="44"/>
  <c r="W59" i="44"/>
  <c r="X59" i="44"/>
  <c r="Y59" i="44"/>
  <c r="Z59" i="44"/>
  <c r="AA59" i="44"/>
  <c r="AB59" i="44"/>
  <c r="AC59" i="44"/>
  <c r="AD59" i="44"/>
  <c r="AE59" i="44"/>
  <c r="AF59" i="44"/>
  <c r="AG59" i="44"/>
  <c r="D60" i="44"/>
  <c r="E60" i="44"/>
  <c r="F60" i="44"/>
  <c r="G60" i="44"/>
  <c r="H60" i="44"/>
  <c r="I60" i="44"/>
  <c r="J60" i="44"/>
  <c r="K60" i="44"/>
  <c r="L60" i="44"/>
  <c r="M60" i="44"/>
  <c r="N60" i="44"/>
  <c r="O60" i="44"/>
  <c r="P60" i="44"/>
  <c r="Q60" i="44"/>
  <c r="R60" i="44"/>
  <c r="S60" i="44"/>
  <c r="T60" i="44"/>
  <c r="U60" i="44"/>
  <c r="V60" i="44"/>
  <c r="W60" i="44"/>
  <c r="X60" i="44"/>
  <c r="Y60" i="44"/>
  <c r="Z60" i="44"/>
  <c r="AA60" i="44"/>
  <c r="AB60" i="44"/>
  <c r="AC60" i="44"/>
  <c r="AD60" i="44"/>
  <c r="AE60" i="44"/>
  <c r="AF60" i="44"/>
  <c r="AG60" i="44"/>
  <c r="D63" i="44"/>
  <c r="E63" i="44"/>
  <c r="F63" i="44"/>
  <c r="G63" i="44"/>
  <c r="H63" i="44"/>
  <c r="I63" i="44"/>
  <c r="J63" i="44"/>
  <c r="K63" i="44"/>
  <c r="L63" i="44"/>
  <c r="M63" i="44"/>
  <c r="N63" i="44"/>
  <c r="O63" i="44"/>
  <c r="P63" i="44"/>
  <c r="Q63" i="44"/>
  <c r="R63" i="44"/>
  <c r="S63" i="44"/>
  <c r="T63" i="44"/>
  <c r="U63" i="44"/>
  <c r="V63" i="44"/>
  <c r="W63" i="44"/>
  <c r="X63" i="44"/>
  <c r="Y63" i="44"/>
  <c r="Z63" i="44"/>
  <c r="AA63" i="44"/>
  <c r="AB63" i="44"/>
  <c r="AC63" i="44"/>
  <c r="AD63" i="44"/>
  <c r="AE63" i="44"/>
  <c r="AF63" i="44"/>
  <c r="AG63" i="44"/>
  <c r="D64" i="44"/>
  <c r="E64" i="44"/>
  <c r="F64" i="44"/>
  <c r="G64" i="44"/>
  <c r="H64" i="44"/>
  <c r="I64" i="44"/>
  <c r="J64" i="44"/>
  <c r="K64" i="44"/>
  <c r="L64" i="44"/>
  <c r="M64" i="44"/>
  <c r="N64" i="44"/>
  <c r="O64" i="44"/>
  <c r="P64" i="44"/>
  <c r="Q64" i="44"/>
  <c r="R64" i="44"/>
  <c r="S64" i="44"/>
  <c r="T64" i="44"/>
  <c r="U64" i="44"/>
  <c r="V64" i="44"/>
  <c r="W64" i="44"/>
  <c r="X64" i="44"/>
  <c r="Y64" i="44"/>
  <c r="Z64" i="44"/>
  <c r="AA64" i="44"/>
  <c r="AB64" i="44"/>
  <c r="AC64" i="44"/>
  <c r="AD64" i="44"/>
  <c r="AE64" i="44"/>
  <c r="AF64" i="44"/>
  <c r="AG64" i="44"/>
  <c r="D65" i="44"/>
  <c r="E65" i="44"/>
  <c r="F65" i="44"/>
  <c r="G65" i="44"/>
  <c r="H65" i="44"/>
  <c r="I65" i="44"/>
  <c r="J65" i="44"/>
  <c r="K65" i="44"/>
  <c r="L65" i="44"/>
  <c r="M65" i="44"/>
  <c r="N65" i="44"/>
  <c r="O65" i="44"/>
  <c r="P65" i="44"/>
  <c r="Q65" i="44"/>
  <c r="R65" i="44"/>
  <c r="S65" i="44"/>
  <c r="T65" i="44"/>
  <c r="U65" i="44"/>
  <c r="V65" i="44"/>
  <c r="W65" i="44"/>
  <c r="X65" i="44"/>
  <c r="Y65" i="44"/>
  <c r="Z65" i="44"/>
  <c r="AA65" i="44"/>
  <c r="AB65" i="44"/>
  <c r="AC65" i="44"/>
  <c r="AD65" i="44"/>
  <c r="AE65" i="44"/>
  <c r="AF65" i="44"/>
  <c r="AG65" i="44"/>
  <c r="D66" i="44"/>
  <c r="E66" i="44"/>
  <c r="F66" i="44"/>
  <c r="G66" i="44"/>
  <c r="H66" i="44"/>
  <c r="I66" i="44"/>
  <c r="J66" i="44"/>
  <c r="K66" i="44"/>
  <c r="L66" i="44"/>
  <c r="M66" i="44"/>
  <c r="N66" i="44"/>
  <c r="O66" i="44"/>
  <c r="P66" i="44"/>
  <c r="Q66" i="44"/>
  <c r="R66" i="44"/>
  <c r="S66" i="44"/>
  <c r="T66" i="44"/>
  <c r="U66" i="44"/>
  <c r="V66" i="44"/>
  <c r="W66" i="44"/>
  <c r="X66" i="44"/>
  <c r="Y66" i="44"/>
  <c r="Z66" i="44"/>
  <c r="AA66" i="44"/>
  <c r="AB66" i="44"/>
  <c r="AC66" i="44"/>
  <c r="AD66" i="44"/>
  <c r="AE66" i="44"/>
  <c r="AF66" i="44"/>
  <c r="AG66" i="44"/>
  <c r="D67" i="44"/>
  <c r="E67" i="44"/>
  <c r="F67" i="44"/>
  <c r="G67" i="44"/>
  <c r="H67" i="44"/>
  <c r="I67" i="44"/>
  <c r="J67" i="44"/>
  <c r="K67" i="44"/>
  <c r="L67" i="44"/>
  <c r="M67" i="44"/>
  <c r="N67" i="44"/>
  <c r="O67" i="44"/>
  <c r="P67" i="44"/>
  <c r="Q67" i="44"/>
  <c r="R67" i="44"/>
  <c r="S67" i="44"/>
  <c r="T67" i="44"/>
  <c r="U67" i="44"/>
  <c r="V67" i="44"/>
  <c r="W67" i="44"/>
  <c r="X67" i="44"/>
  <c r="Y67" i="44"/>
  <c r="Z67" i="44"/>
  <c r="AA67" i="44"/>
  <c r="AB67" i="44"/>
  <c r="AC67" i="44"/>
  <c r="AD67" i="44"/>
  <c r="AE67" i="44"/>
  <c r="AF67" i="44"/>
  <c r="AG67" i="44"/>
  <c r="D68" i="44"/>
  <c r="E68" i="44"/>
  <c r="F68" i="44"/>
  <c r="G68" i="44"/>
  <c r="H68" i="44"/>
  <c r="I68" i="44"/>
  <c r="J68" i="44"/>
  <c r="K68" i="44"/>
  <c r="L68" i="44"/>
  <c r="M68" i="44"/>
  <c r="N68" i="44"/>
  <c r="O68" i="44"/>
  <c r="P68" i="44"/>
  <c r="Q68" i="44"/>
  <c r="R68" i="44"/>
  <c r="S68" i="44"/>
  <c r="T68" i="44"/>
  <c r="U68" i="44"/>
  <c r="V68" i="44"/>
  <c r="W68" i="44"/>
  <c r="X68" i="44"/>
  <c r="Y68" i="44"/>
  <c r="Z68" i="44"/>
  <c r="AA68" i="44"/>
  <c r="AB68" i="44"/>
  <c r="AC68" i="44"/>
  <c r="AD68" i="44"/>
  <c r="AE68" i="44"/>
  <c r="AF68" i="44"/>
  <c r="AG68" i="44"/>
  <c r="D69" i="44"/>
  <c r="E69" i="44"/>
  <c r="F69" i="44"/>
  <c r="G69" i="44"/>
  <c r="H69" i="44"/>
  <c r="I69" i="44"/>
  <c r="J69" i="44"/>
  <c r="K69" i="44"/>
  <c r="L69" i="44"/>
  <c r="M69" i="44"/>
  <c r="N69" i="44"/>
  <c r="O69" i="44"/>
  <c r="P69" i="44"/>
  <c r="Q69" i="44"/>
  <c r="R69" i="44"/>
  <c r="S69" i="44"/>
  <c r="T69" i="44"/>
  <c r="U69" i="44"/>
  <c r="V69" i="44"/>
  <c r="W69" i="44"/>
  <c r="X69" i="44"/>
  <c r="Y69" i="44"/>
  <c r="Z69" i="44"/>
  <c r="AA69" i="44"/>
  <c r="AB69" i="44"/>
  <c r="AC69" i="44"/>
  <c r="AD69" i="44"/>
  <c r="AE69" i="44"/>
  <c r="AF69" i="44"/>
  <c r="AG69" i="44"/>
  <c r="D70" i="44"/>
  <c r="E70" i="44"/>
  <c r="F70" i="44"/>
  <c r="G70" i="44"/>
  <c r="H70" i="44"/>
  <c r="I70" i="44"/>
  <c r="J70" i="44"/>
  <c r="K70" i="44"/>
  <c r="L70" i="44"/>
  <c r="M70" i="44"/>
  <c r="N70" i="44"/>
  <c r="O70" i="44"/>
  <c r="P70" i="44"/>
  <c r="Q70" i="44"/>
  <c r="R70" i="44"/>
  <c r="S70" i="44"/>
  <c r="T70" i="44"/>
  <c r="U70" i="44"/>
  <c r="V70" i="44"/>
  <c r="W70" i="44"/>
  <c r="X70" i="44"/>
  <c r="Y70" i="44"/>
  <c r="Z70" i="44"/>
  <c r="AA70" i="44"/>
  <c r="AB70" i="44"/>
  <c r="AC70" i="44"/>
  <c r="AD70" i="44"/>
  <c r="AE70" i="44"/>
  <c r="AF70" i="44"/>
  <c r="AG70" i="44"/>
  <c r="D71" i="44"/>
  <c r="E71" i="44"/>
  <c r="F71" i="44"/>
  <c r="G71" i="44"/>
  <c r="H71" i="44"/>
  <c r="I71" i="44"/>
  <c r="J71" i="44"/>
  <c r="K71" i="44"/>
  <c r="L71" i="44"/>
  <c r="M71" i="44"/>
  <c r="N71" i="44"/>
  <c r="O71" i="44"/>
  <c r="P71" i="44"/>
  <c r="Q71" i="44"/>
  <c r="R71" i="44"/>
  <c r="S71" i="44"/>
  <c r="T71" i="44"/>
  <c r="U71" i="44"/>
  <c r="V71" i="44"/>
  <c r="W71" i="44"/>
  <c r="X71" i="44"/>
  <c r="Y71" i="44"/>
  <c r="Z71" i="44"/>
  <c r="AA71" i="44"/>
  <c r="AB71" i="44"/>
  <c r="AC71" i="44"/>
  <c r="AD71" i="44"/>
  <c r="AE71" i="44"/>
  <c r="AF71" i="44"/>
  <c r="AG71" i="44"/>
  <c r="D72" i="44"/>
  <c r="E72" i="44"/>
  <c r="F72" i="44"/>
  <c r="G72" i="44"/>
  <c r="H72" i="44"/>
  <c r="I72" i="44"/>
  <c r="J72" i="44"/>
  <c r="K72" i="44"/>
  <c r="L72" i="44"/>
  <c r="M72" i="44"/>
  <c r="N72" i="44"/>
  <c r="O72" i="44"/>
  <c r="P72" i="44"/>
  <c r="Q72" i="44"/>
  <c r="R72" i="44"/>
  <c r="S72" i="44"/>
  <c r="T72" i="44"/>
  <c r="U72" i="44"/>
  <c r="V72" i="44"/>
  <c r="W72" i="44"/>
  <c r="X72" i="44"/>
  <c r="Y72" i="44"/>
  <c r="Z72" i="44"/>
  <c r="AA72" i="44"/>
  <c r="AB72" i="44"/>
  <c r="AC72" i="44"/>
  <c r="AD72" i="44"/>
  <c r="AE72" i="44"/>
  <c r="AF72" i="44"/>
  <c r="AG72" i="44"/>
  <c r="D73" i="44"/>
  <c r="E73" i="44"/>
  <c r="F73" i="44"/>
  <c r="G73" i="44"/>
  <c r="H73" i="44"/>
  <c r="I73" i="44"/>
  <c r="J73" i="44"/>
  <c r="K73" i="44"/>
  <c r="L73" i="44"/>
  <c r="M73" i="44"/>
  <c r="N73" i="44"/>
  <c r="O73" i="44"/>
  <c r="P73" i="44"/>
  <c r="Q73" i="44"/>
  <c r="R73" i="44"/>
  <c r="S73" i="44"/>
  <c r="T73" i="44"/>
  <c r="U73" i="44"/>
  <c r="V73" i="44"/>
  <c r="W73" i="44"/>
  <c r="X73" i="44"/>
  <c r="Y73" i="44"/>
  <c r="Z73" i="44"/>
  <c r="AA73" i="44"/>
  <c r="AB73" i="44"/>
  <c r="AC73" i="44"/>
  <c r="AD73" i="44"/>
  <c r="AE73" i="44"/>
  <c r="AF73" i="44"/>
  <c r="AG73" i="44"/>
  <c r="D74" i="44"/>
  <c r="E74" i="44"/>
  <c r="F74" i="44"/>
  <c r="G74" i="44"/>
  <c r="H74" i="44"/>
  <c r="I74" i="44"/>
  <c r="J74" i="44"/>
  <c r="K74" i="44"/>
  <c r="L74" i="44"/>
  <c r="M74" i="44"/>
  <c r="N74" i="44"/>
  <c r="O74" i="44"/>
  <c r="P74" i="44"/>
  <c r="Q74" i="44"/>
  <c r="R74" i="44"/>
  <c r="S74" i="44"/>
  <c r="T74" i="44"/>
  <c r="U74" i="44"/>
  <c r="V74" i="44"/>
  <c r="W74" i="44"/>
  <c r="X74" i="44"/>
  <c r="Y74" i="44"/>
  <c r="Z74" i="44"/>
  <c r="AA74" i="44"/>
  <c r="AB74" i="44"/>
  <c r="AC74" i="44"/>
  <c r="AD74" i="44"/>
  <c r="AE74" i="44"/>
  <c r="AF74" i="44"/>
  <c r="AG74" i="44"/>
  <c r="D75" i="44"/>
  <c r="E75" i="44"/>
  <c r="F75" i="44"/>
  <c r="G75" i="44"/>
  <c r="H75" i="44"/>
  <c r="I75" i="44"/>
  <c r="J75" i="44"/>
  <c r="K75" i="44"/>
  <c r="L75" i="44"/>
  <c r="M75" i="44"/>
  <c r="N75" i="44"/>
  <c r="O75" i="44"/>
  <c r="P75" i="44"/>
  <c r="Q75" i="44"/>
  <c r="R75" i="44"/>
  <c r="S75" i="44"/>
  <c r="T75" i="44"/>
  <c r="U75" i="44"/>
  <c r="V75" i="44"/>
  <c r="W75" i="44"/>
  <c r="X75" i="44"/>
  <c r="Y75" i="44"/>
  <c r="Z75" i="44"/>
  <c r="AA75" i="44"/>
  <c r="AB75" i="44"/>
  <c r="AC75" i="44"/>
  <c r="AD75" i="44"/>
  <c r="AE75" i="44"/>
  <c r="AF75" i="44"/>
  <c r="AG75" i="44"/>
  <c r="D78" i="44"/>
  <c r="E78" i="44"/>
  <c r="F78" i="44"/>
  <c r="G78" i="44"/>
  <c r="H78" i="44"/>
  <c r="I78" i="44"/>
  <c r="J78" i="44"/>
  <c r="K78" i="44"/>
  <c r="L78" i="44"/>
  <c r="M78" i="44"/>
  <c r="N78" i="44"/>
  <c r="O78" i="44"/>
  <c r="P78" i="44"/>
  <c r="Q78" i="44"/>
  <c r="R78" i="44"/>
  <c r="S78" i="44"/>
  <c r="T78" i="44"/>
  <c r="U78" i="44"/>
  <c r="V78" i="44"/>
  <c r="W78" i="44"/>
  <c r="X78" i="44"/>
  <c r="Y78" i="44"/>
  <c r="Z78" i="44"/>
  <c r="AA78" i="44"/>
  <c r="AB78" i="44"/>
  <c r="AC78" i="44"/>
  <c r="AD78" i="44"/>
  <c r="AE78" i="44"/>
  <c r="AF78" i="44"/>
  <c r="AG78" i="44"/>
  <c r="D79" i="44"/>
  <c r="E79" i="44"/>
  <c r="F79" i="44"/>
  <c r="G79" i="44"/>
  <c r="H79" i="44"/>
  <c r="I79" i="44"/>
  <c r="J79" i="44"/>
  <c r="K79" i="44"/>
  <c r="L79" i="44"/>
  <c r="M79" i="44"/>
  <c r="N79" i="44"/>
  <c r="O79" i="44"/>
  <c r="P79" i="44"/>
  <c r="Q79" i="44"/>
  <c r="R79" i="44"/>
  <c r="S79" i="44"/>
  <c r="T79" i="44"/>
  <c r="U79" i="44"/>
  <c r="V79" i="44"/>
  <c r="W79" i="44"/>
  <c r="X79" i="44"/>
  <c r="Y79" i="44"/>
  <c r="Z79" i="44"/>
  <c r="AA79" i="44"/>
  <c r="AB79" i="44"/>
  <c r="AC79" i="44"/>
  <c r="AD79" i="44"/>
  <c r="AE79" i="44"/>
  <c r="AF79" i="44"/>
  <c r="AG79" i="44"/>
  <c r="D80" i="44"/>
  <c r="E80" i="44"/>
  <c r="F80" i="44"/>
  <c r="G80" i="44"/>
  <c r="H80" i="44"/>
  <c r="I80" i="44"/>
  <c r="J80" i="44"/>
  <c r="K80" i="44"/>
  <c r="L80" i="44"/>
  <c r="M80" i="44"/>
  <c r="N80" i="44"/>
  <c r="O80" i="44"/>
  <c r="P80" i="44"/>
  <c r="Q80" i="44"/>
  <c r="R80" i="44"/>
  <c r="S80" i="44"/>
  <c r="T80" i="44"/>
  <c r="U80" i="44"/>
  <c r="V80" i="44"/>
  <c r="W80" i="44"/>
  <c r="X80" i="44"/>
  <c r="Y80" i="44"/>
  <c r="Z80" i="44"/>
  <c r="AA80" i="44"/>
  <c r="AB80" i="44"/>
  <c r="AC80" i="44"/>
  <c r="AD80" i="44"/>
  <c r="AE80" i="44"/>
  <c r="AF80" i="44"/>
  <c r="AG80" i="44"/>
  <c r="D81" i="44"/>
  <c r="E81" i="44"/>
  <c r="F81" i="44"/>
  <c r="G81" i="44"/>
  <c r="H81" i="44"/>
  <c r="I81" i="44"/>
  <c r="J81" i="44"/>
  <c r="K81" i="44"/>
  <c r="L81" i="44"/>
  <c r="M81" i="44"/>
  <c r="N81" i="44"/>
  <c r="O81" i="44"/>
  <c r="P81" i="44"/>
  <c r="Q81" i="44"/>
  <c r="R81" i="44"/>
  <c r="S81" i="44"/>
  <c r="T81" i="44"/>
  <c r="U81" i="44"/>
  <c r="V81" i="44"/>
  <c r="W81" i="44"/>
  <c r="X81" i="44"/>
  <c r="Y81" i="44"/>
  <c r="Z81" i="44"/>
  <c r="AA81" i="44"/>
  <c r="AB81" i="44"/>
  <c r="AC81" i="44"/>
  <c r="AD81" i="44"/>
  <c r="AE81" i="44"/>
  <c r="AF81" i="44"/>
  <c r="AG81" i="44"/>
  <c r="D82" i="44"/>
  <c r="E82" i="44"/>
  <c r="F82" i="44"/>
  <c r="G82" i="44"/>
  <c r="H82" i="44"/>
  <c r="I82" i="44"/>
  <c r="J82" i="44"/>
  <c r="K82" i="44"/>
  <c r="L82" i="44"/>
  <c r="M82" i="44"/>
  <c r="N82" i="44"/>
  <c r="O82" i="44"/>
  <c r="P82" i="44"/>
  <c r="Q82" i="44"/>
  <c r="R82" i="44"/>
  <c r="S82" i="44"/>
  <c r="T82" i="44"/>
  <c r="U82" i="44"/>
  <c r="V82" i="44"/>
  <c r="W82" i="44"/>
  <c r="X82" i="44"/>
  <c r="Y82" i="44"/>
  <c r="Z82" i="44"/>
  <c r="AA82" i="44"/>
  <c r="AB82" i="44"/>
  <c r="AC82" i="44"/>
  <c r="AD82" i="44"/>
  <c r="AE82" i="44"/>
  <c r="AF82" i="44"/>
  <c r="AG82" i="44"/>
  <c r="D83" i="44"/>
  <c r="E83" i="44"/>
  <c r="F83" i="44"/>
  <c r="G83" i="44"/>
  <c r="H83" i="44"/>
  <c r="I83" i="44"/>
  <c r="J83" i="44"/>
  <c r="K83" i="44"/>
  <c r="L83" i="44"/>
  <c r="M83" i="44"/>
  <c r="N83" i="44"/>
  <c r="O83" i="44"/>
  <c r="P83" i="44"/>
  <c r="Q83" i="44"/>
  <c r="R83" i="44"/>
  <c r="S83" i="44"/>
  <c r="T83" i="44"/>
  <c r="U83" i="44"/>
  <c r="V83" i="44"/>
  <c r="W83" i="44"/>
  <c r="X83" i="44"/>
  <c r="Y83" i="44"/>
  <c r="Z83" i="44"/>
  <c r="AA83" i="44"/>
  <c r="AB83" i="44"/>
  <c r="AC83" i="44"/>
  <c r="AD83" i="44"/>
  <c r="AE83" i="44"/>
  <c r="AF83" i="44"/>
  <c r="AG83" i="44"/>
  <c r="D84" i="44"/>
  <c r="E84" i="44"/>
  <c r="F84" i="44"/>
  <c r="G84" i="44"/>
  <c r="H84" i="44"/>
  <c r="I84" i="44"/>
  <c r="J84" i="44"/>
  <c r="K84" i="44"/>
  <c r="L84" i="44"/>
  <c r="M84" i="44"/>
  <c r="N84" i="44"/>
  <c r="O84" i="44"/>
  <c r="P84" i="44"/>
  <c r="Q84" i="44"/>
  <c r="R84" i="44"/>
  <c r="S84" i="44"/>
  <c r="T84" i="44"/>
  <c r="U84" i="44"/>
  <c r="V84" i="44"/>
  <c r="W84" i="44"/>
  <c r="X84" i="44"/>
  <c r="Y84" i="44"/>
  <c r="Z84" i="44"/>
  <c r="AA84" i="44"/>
  <c r="AB84" i="44"/>
  <c r="AC84" i="44"/>
  <c r="AD84" i="44"/>
  <c r="AE84" i="44"/>
  <c r="AF84" i="44"/>
  <c r="AG84" i="44"/>
  <c r="D85" i="44"/>
  <c r="E85" i="44"/>
  <c r="F85" i="44"/>
  <c r="G85" i="44"/>
  <c r="H85" i="44"/>
  <c r="I85" i="44"/>
  <c r="J85" i="44"/>
  <c r="K85" i="44"/>
  <c r="L85" i="44"/>
  <c r="M85" i="44"/>
  <c r="N85" i="44"/>
  <c r="O85" i="44"/>
  <c r="P85" i="44"/>
  <c r="Q85" i="44"/>
  <c r="R85" i="44"/>
  <c r="S85" i="44"/>
  <c r="T85" i="44"/>
  <c r="U85" i="44"/>
  <c r="V85" i="44"/>
  <c r="W85" i="44"/>
  <c r="X85" i="44"/>
  <c r="Y85" i="44"/>
  <c r="Z85" i="44"/>
  <c r="AA85" i="44"/>
  <c r="AB85" i="44"/>
  <c r="AC85" i="44"/>
  <c r="AD85" i="44"/>
  <c r="AE85" i="44"/>
  <c r="AF85" i="44"/>
  <c r="AG85" i="44"/>
  <c r="D86" i="44"/>
  <c r="E86" i="44"/>
  <c r="F86" i="44"/>
  <c r="G86" i="44"/>
  <c r="H86" i="44"/>
  <c r="I86" i="44"/>
  <c r="J86" i="44"/>
  <c r="K86" i="44"/>
  <c r="L86" i="44"/>
  <c r="M86" i="44"/>
  <c r="N86" i="44"/>
  <c r="O86" i="44"/>
  <c r="P86" i="44"/>
  <c r="Q86" i="44"/>
  <c r="R86" i="44"/>
  <c r="S86" i="44"/>
  <c r="T86" i="44"/>
  <c r="U86" i="44"/>
  <c r="V86" i="44"/>
  <c r="W86" i="44"/>
  <c r="X86" i="44"/>
  <c r="Y86" i="44"/>
  <c r="Z86" i="44"/>
  <c r="AA86" i="44"/>
  <c r="AB86" i="44"/>
  <c r="AC86" i="44"/>
  <c r="AD86" i="44"/>
  <c r="AE86" i="44"/>
  <c r="AF86" i="44"/>
  <c r="AG86" i="44"/>
  <c r="D87" i="44"/>
  <c r="E87" i="44"/>
  <c r="F87" i="44"/>
  <c r="G87" i="44"/>
  <c r="H87" i="44"/>
  <c r="I87" i="44"/>
  <c r="J87" i="44"/>
  <c r="K87" i="44"/>
  <c r="L87" i="44"/>
  <c r="M87" i="44"/>
  <c r="N87" i="44"/>
  <c r="O87" i="44"/>
  <c r="P87" i="44"/>
  <c r="Q87" i="44"/>
  <c r="R87" i="44"/>
  <c r="S87" i="44"/>
  <c r="T87" i="44"/>
  <c r="U87" i="44"/>
  <c r="V87" i="44"/>
  <c r="W87" i="44"/>
  <c r="X87" i="44"/>
  <c r="Y87" i="44"/>
  <c r="Z87" i="44"/>
  <c r="AA87" i="44"/>
  <c r="AB87" i="44"/>
  <c r="AC87" i="44"/>
  <c r="AD87" i="44"/>
  <c r="AE87" i="44"/>
  <c r="AF87" i="44"/>
  <c r="AG87" i="44"/>
  <c r="D88" i="44"/>
  <c r="E88" i="44"/>
  <c r="F88" i="44"/>
  <c r="G88" i="44"/>
  <c r="H88" i="44"/>
  <c r="I88" i="44"/>
  <c r="J88" i="44"/>
  <c r="K88" i="44"/>
  <c r="L88" i="44"/>
  <c r="M88" i="44"/>
  <c r="N88" i="44"/>
  <c r="O88" i="44"/>
  <c r="P88" i="44"/>
  <c r="Q88" i="44"/>
  <c r="R88" i="44"/>
  <c r="S88" i="44"/>
  <c r="T88" i="44"/>
  <c r="U88" i="44"/>
  <c r="V88" i="44"/>
  <c r="W88" i="44"/>
  <c r="X88" i="44"/>
  <c r="Y88" i="44"/>
  <c r="Z88" i="44"/>
  <c r="AA88" i="44"/>
  <c r="AB88" i="44"/>
  <c r="AC88" i="44"/>
  <c r="AD88" i="44"/>
  <c r="AE88" i="44"/>
  <c r="AF88" i="44"/>
  <c r="AG88" i="44"/>
  <c r="D89" i="44"/>
  <c r="E89" i="44"/>
  <c r="F89" i="44"/>
  <c r="G89" i="44"/>
  <c r="H89" i="44"/>
  <c r="I89" i="44"/>
  <c r="J89" i="44"/>
  <c r="K89" i="44"/>
  <c r="L89" i="44"/>
  <c r="M89" i="44"/>
  <c r="N89" i="44"/>
  <c r="O89" i="44"/>
  <c r="P89" i="44"/>
  <c r="Q89" i="44"/>
  <c r="R89" i="44"/>
  <c r="S89" i="44"/>
  <c r="T89" i="44"/>
  <c r="U89" i="44"/>
  <c r="V89" i="44"/>
  <c r="W89" i="44"/>
  <c r="X89" i="44"/>
  <c r="Y89" i="44"/>
  <c r="Z89" i="44"/>
  <c r="AA89" i="44"/>
  <c r="AB89" i="44"/>
  <c r="AC89" i="44"/>
  <c r="AD89" i="44"/>
  <c r="AE89" i="44"/>
  <c r="AF89" i="44"/>
  <c r="AG89" i="44"/>
  <c r="D90" i="44"/>
  <c r="E90" i="44"/>
  <c r="F90" i="44"/>
  <c r="G90" i="44"/>
  <c r="H90" i="44"/>
  <c r="I90" i="44"/>
  <c r="J90" i="44"/>
  <c r="K90" i="44"/>
  <c r="L90" i="44"/>
  <c r="M90" i="44"/>
  <c r="N90" i="44"/>
  <c r="O90" i="44"/>
  <c r="P90" i="44"/>
  <c r="Q90" i="44"/>
  <c r="R90" i="44"/>
  <c r="S90" i="44"/>
  <c r="T90" i="44"/>
  <c r="U90" i="44"/>
  <c r="V90" i="44"/>
  <c r="W90" i="44"/>
  <c r="X90" i="44"/>
  <c r="Y90" i="44"/>
  <c r="Z90" i="44"/>
  <c r="AA90" i="44"/>
  <c r="AB90" i="44"/>
  <c r="AC90" i="44"/>
  <c r="AD90" i="44"/>
  <c r="AE90" i="44"/>
  <c r="AF90" i="44"/>
  <c r="AG90" i="44"/>
  <c r="D91" i="44"/>
  <c r="E91" i="44"/>
  <c r="F91" i="44"/>
  <c r="G91" i="44"/>
  <c r="H91" i="44"/>
  <c r="I91" i="44"/>
  <c r="J91" i="44"/>
  <c r="K91" i="44"/>
  <c r="L91" i="44"/>
  <c r="M91" i="44"/>
  <c r="N91" i="44"/>
  <c r="O91" i="44"/>
  <c r="P91" i="44"/>
  <c r="Q91" i="44"/>
  <c r="R91" i="44"/>
  <c r="S91" i="44"/>
  <c r="T91" i="44"/>
  <c r="U91" i="44"/>
  <c r="V91" i="44"/>
  <c r="W91" i="44"/>
  <c r="X91" i="44"/>
  <c r="Y91" i="44"/>
  <c r="Z91" i="44"/>
  <c r="AA91" i="44"/>
  <c r="AB91" i="44"/>
  <c r="AC91" i="44"/>
  <c r="AD91" i="44"/>
  <c r="AE91" i="44"/>
  <c r="AF91" i="44"/>
  <c r="AG91" i="44"/>
  <c r="D92" i="44"/>
  <c r="E92" i="44"/>
  <c r="F92" i="44"/>
  <c r="G92" i="44"/>
  <c r="H92" i="44"/>
  <c r="I92" i="44"/>
  <c r="J92" i="44"/>
  <c r="K92" i="44"/>
  <c r="L92" i="44"/>
  <c r="M92" i="44"/>
  <c r="N92" i="44"/>
  <c r="O92" i="44"/>
  <c r="P92" i="44"/>
  <c r="Q92" i="44"/>
  <c r="R92" i="44"/>
  <c r="S92" i="44"/>
  <c r="T92" i="44"/>
  <c r="U92" i="44"/>
  <c r="V92" i="44"/>
  <c r="W92" i="44"/>
  <c r="X92" i="44"/>
  <c r="Y92" i="44"/>
  <c r="Z92" i="44"/>
  <c r="AA92" i="44"/>
  <c r="AB92" i="44"/>
  <c r="AC92" i="44"/>
  <c r="AD92" i="44"/>
  <c r="AE92" i="44"/>
  <c r="AF92" i="44"/>
  <c r="AG92" i="44"/>
  <c r="D93" i="44"/>
  <c r="E93" i="44"/>
  <c r="F93" i="44"/>
  <c r="G93" i="44"/>
  <c r="H93" i="44"/>
  <c r="I93" i="44"/>
  <c r="J93" i="44"/>
  <c r="K93" i="44"/>
  <c r="L93" i="44"/>
  <c r="M93" i="44"/>
  <c r="N93" i="44"/>
  <c r="O93" i="44"/>
  <c r="P93" i="44"/>
  <c r="Q93" i="44"/>
  <c r="R93" i="44"/>
  <c r="S93" i="44"/>
  <c r="T93" i="44"/>
  <c r="U93" i="44"/>
  <c r="V93" i="44"/>
  <c r="W93" i="44"/>
  <c r="X93" i="44"/>
  <c r="Y93" i="44"/>
  <c r="Z93" i="44"/>
  <c r="AA93" i="44"/>
  <c r="AB93" i="44"/>
  <c r="AC93" i="44"/>
  <c r="AD93" i="44"/>
  <c r="AE93" i="44"/>
  <c r="AF93" i="44"/>
  <c r="AG93" i="44"/>
  <c r="D94" i="44"/>
  <c r="E94" i="44"/>
  <c r="F94" i="44"/>
  <c r="G94" i="44"/>
  <c r="H94" i="44"/>
  <c r="I94" i="44"/>
  <c r="J94" i="44"/>
  <c r="K94" i="44"/>
  <c r="L94" i="44"/>
  <c r="M94" i="44"/>
  <c r="N94" i="44"/>
  <c r="O94" i="44"/>
  <c r="P94" i="44"/>
  <c r="Q94" i="44"/>
  <c r="R94" i="44"/>
  <c r="S94" i="44"/>
  <c r="T94" i="44"/>
  <c r="U94" i="44"/>
  <c r="V94" i="44"/>
  <c r="W94" i="44"/>
  <c r="X94" i="44"/>
  <c r="Y94" i="44"/>
  <c r="Z94" i="44"/>
  <c r="AA94" i="44"/>
  <c r="AB94" i="44"/>
  <c r="AC94" i="44"/>
  <c r="AD94" i="44"/>
  <c r="AE94" i="44"/>
  <c r="AF94" i="44"/>
  <c r="AG94" i="44"/>
  <c r="D95" i="44"/>
  <c r="E95" i="44"/>
  <c r="F95" i="44"/>
  <c r="G95" i="44"/>
  <c r="H95" i="44"/>
  <c r="I95" i="44"/>
  <c r="J95" i="44"/>
  <c r="K95" i="44"/>
  <c r="L95" i="44"/>
  <c r="M95" i="44"/>
  <c r="N95" i="44"/>
  <c r="O95" i="44"/>
  <c r="P95" i="44"/>
  <c r="Q95" i="44"/>
  <c r="R95" i="44"/>
  <c r="S95" i="44"/>
  <c r="T95" i="44"/>
  <c r="U95" i="44"/>
  <c r="V95" i="44"/>
  <c r="W95" i="44"/>
  <c r="X95" i="44"/>
  <c r="Y95" i="44"/>
  <c r="Z95" i="44"/>
  <c r="AA95" i="44"/>
  <c r="AB95" i="44"/>
  <c r="AC95" i="44"/>
  <c r="AD95" i="44"/>
  <c r="AE95" i="44"/>
  <c r="AF95" i="44"/>
  <c r="AG95" i="44"/>
  <c r="D96" i="44"/>
  <c r="E96" i="44"/>
  <c r="F96" i="44"/>
  <c r="G96" i="44"/>
  <c r="H96" i="44"/>
  <c r="I96" i="44"/>
  <c r="J96" i="44"/>
  <c r="K96" i="44"/>
  <c r="L96" i="44"/>
  <c r="M96" i="44"/>
  <c r="N96" i="44"/>
  <c r="O96" i="44"/>
  <c r="P96" i="44"/>
  <c r="Q96" i="44"/>
  <c r="R96" i="44"/>
  <c r="S96" i="44"/>
  <c r="T96" i="44"/>
  <c r="U96" i="44"/>
  <c r="V96" i="44"/>
  <c r="W96" i="44"/>
  <c r="X96" i="44"/>
  <c r="Y96" i="44"/>
  <c r="Z96" i="44"/>
  <c r="AA96" i="44"/>
  <c r="AB96" i="44"/>
  <c r="AC96" i="44"/>
  <c r="AD96" i="44"/>
  <c r="AE96" i="44"/>
  <c r="AF96" i="44"/>
  <c r="AG96" i="44"/>
  <c r="D97" i="44"/>
  <c r="E97" i="44"/>
  <c r="F97" i="44"/>
  <c r="G97" i="44"/>
  <c r="H97" i="44"/>
  <c r="I97" i="44"/>
  <c r="J97" i="44"/>
  <c r="K97" i="44"/>
  <c r="L97" i="44"/>
  <c r="M97" i="44"/>
  <c r="N97" i="44"/>
  <c r="O97" i="44"/>
  <c r="P97" i="44"/>
  <c r="Q97" i="44"/>
  <c r="R97" i="44"/>
  <c r="S97" i="44"/>
  <c r="T97" i="44"/>
  <c r="U97" i="44"/>
  <c r="V97" i="44"/>
  <c r="W97" i="44"/>
  <c r="X97" i="44"/>
  <c r="Y97" i="44"/>
  <c r="Z97" i="44"/>
  <c r="AA97" i="44"/>
  <c r="AB97" i="44"/>
  <c r="AC97" i="44"/>
  <c r="AD97" i="44"/>
  <c r="AE97" i="44"/>
  <c r="AF97" i="44"/>
  <c r="AG97" i="44"/>
  <c r="D98" i="44"/>
  <c r="E98" i="44"/>
  <c r="F98" i="44"/>
  <c r="G98" i="44"/>
  <c r="H98" i="44"/>
  <c r="I98" i="44"/>
  <c r="J98" i="44"/>
  <c r="K98" i="44"/>
  <c r="L98" i="44"/>
  <c r="M98" i="44"/>
  <c r="N98" i="44"/>
  <c r="O98" i="44"/>
  <c r="P98" i="44"/>
  <c r="Q98" i="44"/>
  <c r="R98" i="44"/>
  <c r="S98" i="44"/>
  <c r="T98" i="44"/>
  <c r="U98" i="44"/>
  <c r="V98" i="44"/>
  <c r="W98" i="44"/>
  <c r="X98" i="44"/>
  <c r="Y98" i="44"/>
  <c r="Z98" i="44"/>
  <c r="AA98" i="44"/>
  <c r="AB98" i="44"/>
  <c r="AC98" i="44"/>
  <c r="AD98" i="44"/>
  <c r="AE98" i="44"/>
  <c r="AF98" i="44"/>
  <c r="AG98" i="44"/>
  <c r="D99" i="44"/>
  <c r="E99" i="44"/>
  <c r="F99" i="44"/>
  <c r="G99" i="44"/>
  <c r="H99" i="44"/>
  <c r="I99" i="44"/>
  <c r="J99" i="44"/>
  <c r="K99" i="44"/>
  <c r="L99" i="44"/>
  <c r="M99" i="44"/>
  <c r="N99" i="44"/>
  <c r="O99" i="44"/>
  <c r="P99" i="44"/>
  <c r="Q99" i="44"/>
  <c r="R99" i="44"/>
  <c r="S99" i="44"/>
  <c r="T99" i="44"/>
  <c r="U99" i="44"/>
  <c r="V99" i="44"/>
  <c r="W99" i="44"/>
  <c r="X99" i="44"/>
  <c r="Y99" i="44"/>
  <c r="Z99" i="44"/>
  <c r="AA99" i="44"/>
  <c r="AB99" i="44"/>
  <c r="AC99" i="44"/>
  <c r="AD99" i="44"/>
  <c r="AE99" i="44"/>
  <c r="AF99" i="44"/>
  <c r="AG99" i="44"/>
  <c r="D100" i="44"/>
  <c r="E100" i="44"/>
  <c r="F100" i="44"/>
  <c r="G100" i="44"/>
  <c r="H100" i="44"/>
  <c r="I100" i="44"/>
  <c r="J100" i="44"/>
  <c r="K100" i="44"/>
  <c r="L100" i="44"/>
  <c r="M100" i="44"/>
  <c r="N100" i="44"/>
  <c r="O100" i="44"/>
  <c r="P100" i="44"/>
  <c r="Q100" i="44"/>
  <c r="R100" i="44"/>
  <c r="S100" i="44"/>
  <c r="T100" i="44"/>
  <c r="U100" i="44"/>
  <c r="V100" i="44"/>
  <c r="W100" i="44"/>
  <c r="X100" i="44"/>
  <c r="Y100" i="44"/>
  <c r="Z100" i="44"/>
  <c r="AA100" i="44"/>
  <c r="AB100" i="44"/>
  <c r="AC100" i="44"/>
  <c r="AD100" i="44"/>
  <c r="AE100" i="44"/>
  <c r="AF100" i="44"/>
  <c r="AG100" i="44"/>
  <c r="D101" i="44"/>
  <c r="E101" i="44"/>
  <c r="F101" i="44"/>
  <c r="G101" i="44"/>
  <c r="H101" i="44"/>
  <c r="I101" i="44"/>
  <c r="J101" i="44"/>
  <c r="K101" i="44"/>
  <c r="L101" i="44"/>
  <c r="M101" i="44"/>
  <c r="N101" i="44"/>
  <c r="O101" i="44"/>
  <c r="P101" i="44"/>
  <c r="Q101" i="44"/>
  <c r="R101" i="44"/>
  <c r="S101" i="44"/>
  <c r="T101" i="44"/>
  <c r="U101" i="44"/>
  <c r="V101" i="44"/>
  <c r="W101" i="44"/>
  <c r="X101" i="44"/>
  <c r="Y101" i="44"/>
  <c r="Z101" i="44"/>
  <c r="AA101" i="44"/>
  <c r="AB101" i="44"/>
  <c r="AC101" i="44"/>
  <c r="AD101" i="44"/>
  <c r="AE101" i="44"/>
  <c r="AF101" i="44"/>
  <c r="AG101" i="44"/>
  <c r="D102" i="44"/>
  <c r="E102" i="44"/>
  <c r="F102" i="44"/>
  <c r="G102" i="44"/>
  <c r="H102" i="44"/>
  <c r="I102" i="44"/>
  <c r="J102" i="44"/>
  <c r="K102" i="44"/>
  <c r="L102" i="44"/>
  <c r="M102" i="44"/>
  <c r="N102" i="44"/>
  <c r="O102" i="44"/>
  <c r="P102" i="44"/>
  <c r="Q102" i="44"/>
  <c r="R102" i="44"/>
  <c r="S102" i="44"/>
  <c r="T102" i="44"/>
  <c r="U102" i="44"/>
  <c r="V102" i="44"/>
  <c r="W102" i="44"/>
  <c r="X102" i="44"/>
  <c r="Y102" i="44"/>
  <c r="Z102" i="44"/>
  <c r="AA102" i="44"/>
  <c r="AB102" i="44"/>
  <c r="AC102" i="44"/>
  <c r="AD102" i="44"/>
  <c r="AE102" i="44"/>
  <c r="AF102" i="44"/>
  <c r="AG102" i="44"/>
  <c r="D103" i="44"/>
  <c r="E103" i="44"/>
  <c r="F103" i="44"/>
  <c r="G103" i="44"/>
  <c r="H103" i="44"/>
  <c r="I103" i="44"/>
  <c r="J103" i="44"/>
  <c r="K103" i="44"/>
  <c r="L103" i="44"/>
  <c r="M103" i="44"/>
  <c r="N103" i="44"/>
  <c r="O103" i="44"/>
  <c r="P103" i="44"/>
  <c r="Q103" i="44"/>
  <c r="R103" i="44"/>
  <c r="S103" i="44"/>
  <c r="T103" i="44"/>
  <c r="U103" i="44"/>
  <c r="V103" i="44"/>
  <c r="W103" i="44"/>
  <c r="X103" i="44"/>
  <c r="Y103" i="44"/>
  <c r="Z103" i="44"/>
  <c r="AA103" i="44"/>
  <c r="AB103" i="44"/>
  <c r="AC103" i="44"/>
  <c r="AD103" i="44"/>
  <c r="AE103" i="44"/>
  <c r="AF103" i="44"/>
  <c r="AG103" i="44"/>
  <c r="D104" i="44"/>
  <c r="E104" i="44"/>
  <c r="F104" i="44"/>
  <c r="G104" i="44"/>
  <c r="H104" i="44"/>
  <c r="I104" i="44"/>
  <c r="J104" i="44"/>
  <c r="K104" i="44"/>
  <c r="L104" i="44"/>
  <c r="M104" i="44"/>
  <c r="N104" i="44"/>
  <c r="O104" i="44"/>
  <c r="P104" i="44"/>
  <c r="Q104" i="44"/>
  <c r="R104" i="44"/>
  <c r="S104" i="44"/>
  <c r="T104" i="44"/>
  <c r="U104" i="44"/>
  <c r="V104" i="44"/>
  <c r="W104" i="44"/>
  <c r="X104" i="44"/>
  <c r="Y104" i="44"/>
  <c r="Z104" i="44"/>
  <c r="AA104" i="44"/>
  <c r="AB104" i="44"/>
  <c r="AC104" i="44"/>
  <c r="AD104" i="44"/>
  <c r="AE104" i="44"/>
  <c r="AF104" i="44"/>
  <c r="AG104" i="44"/>
  <c r="D105" i="44"/>
  <c r="E105" i="44"/>
  <c r="F105" i="44"/>
  <c r="G105" i="44"/>
  <c r="H105" i="44"/>
  <c r="I105" i="44"/>
  <c r="J105" i="44"/>
  <c r="K105" i="44"/>
  <c r="L105" i="44"/>
  <c r="M105" i="44"/>
  <c r="N105" i="44"/>
  <c r="O105" i="44"/>
  <c r="P105" i="44"/>
  <c r="Q105" i="44"/>
  <c r="R105" i="44"/>
  <c r="S105" i="44"/>
  <c r="T105" i="44"/>
  <c r="U105" i="44"/>
  <c r="V105" i="44"/>
  <c r="W105" i="44"/>
  <c r="X105" i="44"/>
  <c r="Y105" i="44"/>
  <c r="Z105" i="44"/>
  <c r="AA105" i="44"/>
  <c r="AB105" i="44"/>
  <c r="AC105" i="44"/>
  <c r="AD105" i="44"/>
  <c r="AE105" i="44"/>
  <c r="AF105" i="44"/>
  <c r="AG105" i="44"/>
  <c r="D106" i="44"/>
  <c r="E106" i="44"/>
  <c r="F106" i="44"/>
  <c r="G106" i="44"/>
  <c r="H106" i="44"/>
  <c r="I106" i="44"/>
  <c r="J106" i="44"/>
  <c r="K106" i="44"/>
  <c r="L106" i="44"/>
  <c r="M106" i="44"/>
  <c r="N106" i="44"/>
  <c r="O106" i="44"/>
  <c r="P106" i="44"/>
  <c r="Q106" i="44"/>
  <c r="R106" i="44"/>
  <c r="S106" i="44"/>
  <c r="T106" i="44"/>
  <c r="U106" i="44"/>
  <c r="V106" i="44"/>
  <c r="W106" i="44"/>
  <c r="X106" i="44"/>
  <c r="Y106" i="44"/>
  <c r="Z106" i="44"/>
  <c r="AA106" i="44"/>
  <c r="AB106" i="44"/>
  <c r="AC106" i="44"/>
  <c r="AD106" i="44"/>
  <c r="AE106" i="44"/>
  <c r="AF106" i="44"/>
  <c r="AG106" i="44"/>
  <c r="D107" i="44"/>
  <c r="E107" i="44"/>
  <c r="F107" i="44"/>
  <c r="G107" i="44"/>
  <c r="H107" i="44"/>
  <c r="I107" i="44"/>
  <c r="J107" i="44"/>
  <c r="K107" i="44"/>
  <c r="L107" i="44"/>
  <c r="M107" i="44"/>
  <c r="N107" i="44"/>
  <c r="O107" i="44"/>
  <c r="P107" i="44"/>
  <c r="Q107" i="44"/>
  <c r="R107" i="44"/>
  <c r="S107" i="44"/>
  <c r="T107" i="44"/>
  <c r="U107" i="44"/>
  <c r="V107" i="44"/>
  <c r="W107" i="44"/>
  <c r="X107" i="44"/>
  <c r="Y107" i="44"/>
  <c r="Z107" i="44"/>
  <c r="AA107" i="44"/>
  <c r="AB107" i="44"/>
  <c r="AC107" i="44"/>
  <c r="AD107" i="44"/>
  <c r="AE107" i="44"/>
  <c r="AF107" i="44"/>
  <c r="AG107" i="44"/>
  <c r="D108" i="44"/>
  <c r="E108" i="44"/>
  <c r="F108" i="44"/>
  <c r="G108" i="44"/>
  <c r="H108" i="44"/>
  <c r="I108" i="44"/>
  <c r="J108" i="44"/>
  <c r="K108" i="44"/>
  <c r="L108" i="44"/>
  <c r="M108" i="44"/>
  <c r="N108" i="44"/>
  <c r="O108" i="44"/>
  <c r="P108" i="44"/>
  <c r="Q108" i="44"/>
  <c r="R108" i="44"/>
  <c r="S108" i="44"/>
  <c r="T108" i="44"/>
  <c r="U108" i="44"/>
  <c r="V108" i="44"/>
  <c r="W108" i="44"/>
  <c r="X108" i="44"/>
  <c r="Y108" i="44"/>
  <c r="Z108" i="44"/>
  <c r="AA108" i="44"/>
  <c r="AB108" i="44"/>
  <c r="AC108" i="44"/>
  <c r="AD108" i="44"/>
  <c r="AE108" i="44"/>
  <c r="AF108" i="44"/>
  <c r="AG108" i="44"/>
  <c r="D109" i="44"/>
  <c r="E109" i="44"/>
  <c r="F109" i="44"/>
  <c r="G109" i="44"/>
  <c r="H109" i="44"/>
  <c r="I109" i="44"/>
  <c r="J109" i="44"/>
  <c r="K109" i="44"/>
  <c r="L109" i="44"/>
  <c r="M109" i="44"/>
  <c r="N109" i="44"/>
  <c r="O109" i="44"/>
  <c r="P109" i="44"/>
  <c r="Q109" i="44"/>
  <c r="R109" i="44"/>
  <c r="S109" i="44"/>
  <c r="T109" i="44"/>
  <c r="U109" i="44"/>
  <c r="V109" i="44"/>
  <c r="W109" i="44"/>
  <c r="X109" i="44"/>
  <c r="Y109" i="44"/>
  <c r="Z109" i="44"/>
  <c r="AA109" i="44"/>
  <c r="AB109" i="44"/>
  <c r="AC109" i="44"/>
  <c r="AD109" i="44"/>
  <c r="AE109" i="44"/>
  <c r="AF109" i="44"/>
  <c r="AG109" i="44"/>
  <c r="D110" i="44"/>
  <c r="E110" i="44"/>
  <c r="F110" i="44"/>
  <c r="G110" i="44"/>
  <c r="H110" i="44"/>
  <c r="I110" i="44"/>
  <c r="J110" i="44"/>
  <c r="K110" i="44"/>
  <c r="L110" i="44"/>
  <c r="M110" i="44"/>
  <c r="N110" i="44"/>
  <c r="O110" i="44"/>
  <c r="P110" i="44"/>
  <c r="Q110" i="44"/>
  <c r="R110" i="44"/>
  <c r="S110" i="44"/>
  <c r="T110" i="44"/>
  <c r="U110" i="44"/>
  <c r="V110" i="44"/>
  <c r="W110" i="44"/>
  <c r="X110" i="44"/>
  <c r="Y110" i="44"/>
  <c r="Z110" i="44"/>
  <c r="AA110" i="44"/>
  <c r="AB110" i="44"/>
  <c r="AC110" i="44"/>
  <c r="AD110" i="44"/>
  <c r="AE110" i="44"/>
  <c r="AF110" i="44"/>
  <c r="AG110" i="44"/>
  <c r="D111" i="44"/>
  <c r="E111" i="44"/>
  <c r="F111" i="44"/>
  <c r="G111" i="44"/>
  <c r="H111" i="44"/>
  <c r="I111" i="44"/>
  <c r="J111" i="44"/>
  <c r="K111" i="44"/>
  <c r="L111" i="44"/>
  <c r="M111" i="44"/>
  <c r="N111" i="44"/>
  <c r="O111" i="44"/>
  <c r="P111" i="44"/>
  <c r="Q111" i="44"/>
  <c r="R111" i="44"/>
  <c r="S111" i="44"/>
  <c r="T111" i="44"/>
  <c r="U111" i="44"/>
  <c r="V111" i="44"/>
  <c r="W111" i="44"/>
  <c r="X111" i="44"/>
  <c r="Y111" i="44"/>
  <c r="Z111" i="44"/>
  <c r="AA111" i="44"/>
  <c r="AB111" i="44"/>
  <c r="AC111" i="44"/>
  <c r="AD111" i="44"/>
  <c r="AE111" i="44"/>
  <c r="AF111" i="44"/>
  <c r="AG111" i="44"/>
  <c r="D112" i="44"/>
  <c r="E112" i="44"/>
  <c r="F112" i="44"/>
  <c r="G112" i="44"/>
  <c r="H112" i="44"/>
  <c r="I112" i="44"/>
  <c r="J112" i="44"/>
  <c r="K112" i="44"/>
  <c r="L112" i="44"/>
  <c r="M112" i="44"/>
  <c r="N112" i="44"/>
  <c r="O112" i="44"/>
  <c r="P112" i="44"/>
  <c r="Q112" i="44"/>
  <c r="R112" i="44"/>
  <c r="S112" i="44"/>
  <c r="T112" i="44"/>
  <c r="U112" i="44"/>
  <c r="V112" i="44"/>
  <c r="W112" i="44"/>
  <c r="X112" i="44"/>
  <c r="Y112" i="44"/>
  <c r="Z112" i="44"/>
  <c r="AA112" i="44"/>
  <c r="AB112" i="44"/>
  <c r="AC112" i="44"/>
  <c r="AD112" i="44"/>
  <c r="AE112" i="44"/>
  <c r="AF112" i="44"/>
  <c r="AG112" i="44"/>
  <c r="D113" i="44"/>
  <c r="E113" i="44"/>
  <c r="F113" i="44"/>
  <c r="G113" i="44"/>
  <c r="H113" i="44"/>
  <c r="I113" i="44"/>
  <c r="J113" i="44"/>
  <c r="K113" i="44"/>
  <c r="L113" i="44"/>
  <c r="M113" i="44"/>
  <c r="N113" i="44"/>
  <c r="O113" i="44"/>
  <c r="P113" i="44"/>
  <c r="Q113" i="44"/>
  <c r="R113" i="44"/>
  <c r="S113" i="44"/>
  <c r="T113" i="44"/>
  <c r="U113" i="44"/>
  <c r="V113" i="44"/>
  <c r="W113" i="44"/>
  <c r="X113" i="44"/>
  <c r="Y113" i="44"/>
  <c r="Z113" i="44"/>
  <c r="AA113" i="44"/>
  <c r="AB113" i="44"/>
  <c r="AC113" i="44"/>
  <c r="AD113" i="44"/>
  <c r="AE113" i="44"/>
  <c r="AF113" i="44"/>
  <c r="AG113" i="44"/>
  <c r="D114" i="44"/>
  <c r="E114" i="44"/>
  <c r="F114" i="44"/>
  <c r="G114" i="44"/>
  <c r="H114" i="44"/>
  <c r="I114" i="44"/>
  <c r="J114" i="44"/>
  <c r="K114" i="44"/>
  <c r="L114" i="44"/>
  <c r="M114" i="44"/>
  <c r="N114" i="44"/>
  <c r="O114" i="44"/>
  <c r="P114" i="44"/>
  <c r="Q114" i="44"/>
  <c r="R114" i="44"/>
  <c r="S114" i="44"/>
  <c r="T114" i="44"/>
  <c r="U114" i="44"/>
  <c r="V114" i="44"/>
  <c r="W114" i="44"/>
  <c r="X114" i="44"/>
  <c r="Y114" i="44"/>
  <c r="Z114" i="44"/>
  <c r="AA114" i="44"/>
  <c r="AB114" i="44"/>
  <c r="AC114" i="44"/>
  <c r="AD114" i="44"/>
  <c r="AE114" i="44"/>
  <c r="AF114" i="44"/>
  <c r="AG114" i="44"/>
  <c r="D115" i="44"/>
  <c r="E115" i="44"/>
  <c r="F115" i="44"/>
  <c r="G115" i="44"/>
  <c r="H115" i="44"/>
  <c r="I115" i="44"/>
  <c r="J115" i="44"/>
  <c r="K115" i="44"/>
  <c r="L115" i="44"/>
  <c r="M115" i="44"/>
  <c r="N115" i="44"/>
  <c r="O115" i="44"/>
  <c r="P115" i="44"/>
  <c r="Q115" i="44"/>
  <c r="R115" i="44"/>
  <c r="S115" i="44"/>
  <c r="T115" i="44"/>
  <c r="U115" i="44"/>
  <c r="V115" i="44"/>
  <c r="W115" i="44"/>
  <c r="X115" i="44"/>
  <c r="Y115" i="44"/>
  <c r="Z115" i="44"/>
  <c r="AA115" i="44"/>
  <c r="AB115" i="44"/>
  <c r="AC115" i="44"/>
  <c r="AD115" i="44"/>
  <c r="AE115" i="44"/>
  <c r="AF115" i="44"/>
  <c r="AG115" i="44"/>
  <c r="D116" i="44"/>
  <c r="E116" i="44"/>
  <c r="F116" i="44"/>
  <c r="G116" i="44"/>
  <c r="H116" i="44"/>
  <c r="I116" i="44"/>
  <c r="J116" i="44"/>
  <c r="K116" i="44"/>
  <c r="L116" i="44"/>
  <c r="M116" i="44"/>
  <c r="N116" i="44"/>
  <c r="O116" i="44"/>
  <c r="P116" i="44"/>
  <c r="Q116" i="44"/>
  <c r="R116" i="44"/>
  <c r="S116" i="44"/>
  <c r="T116" i="44"/>
  <c r="U116" i="44"/>
  <c r="V116" i="44"/>
  <c r="W116" i="44"/>
  <c r="X116" i="44"/>
  <c r="Y116" i="44"/>
  <c r="Z116" i="44"/>
  <c r="AA116" i="44"/>
  <c r="AB116" i="44"/>
  <c r="AC116" i="44"/>
  <c r="AD116" i="44"/>
  <c r="AE116" i="44"/>
  <c r="AF116" i="44"/>
  <c r="AG116" i="44"/>
  <c r="D117" i="44"/>
  <c r="E117" i="44"/>
  <c r="F117" i="44"/>
  <c r="G117" i="44"/>
  <c r="H117" i="44"/>
  <c r="I117" i="44"/>
  <c r="J117" i="44"/>
  <c r="K117" i="44"/>
  <c r="L117" i="44"/>
  <c r="M117" i="44"/>
  <c r="N117" i="44"/>
  <c r="O117" i="44"/>
  <c r="P117" i="44"/>
  <c r="Q117" i="44"/>
  <c r="R117" i="44"/>
  <c r="S117" i="44"/>
  <c r="T117" i="44"/>
  <c r="U117" i="44"/>
  <c r="V117" i="44"/>
  <c r="W117" i="44"/>
  <c r="X117" i="44"/>
  <c r="Y117" i="44"/>
  <c r="Z117" i="44"/>
  <c r="AA117" i="44"/>
  <c r="AB117" i="44"/>
  <c r="AC117" i="44"/>
  <c r="AD117" i="44"/>
  <c r="AE117" i="44"/>
  <c r="AF117" i="44"/>
  <c r="AG117" i="44"/>
  <c r="D118" i="44"/>
  <c r="E118" i="44"/>
  <c r="F118" i="44"/>
  <c r="G118" i="44"/>
  <c r="H118" i="44"/>
  <c r="I118" i="44"/>
  <c r="J118" i="44"/>
  <c r="K118" i="44"/>
  <c r="L118" i="44"/>
  <c r="M118" i="44"/>
  <c r="N118" i="44"/>
  <c r="O118" i="44"/>
  <c r="P118" i="44"/>
  <c r="Q118" i="44"/>
  <c r="R118" i="44"/>
  <c r="S118" i="44"/>
  <c r="T118" i="44"/>
  <c r="U118" i="44"/>
  <c r="V118" i="44"/>
  <c r="W118" i="44"/>
  <c r="X118" i="44"/>
  <c r="Y118" i="44"/>
  <c r="Z118" i="44"/>
  <c r="AA118" i="44"/>
  <c r="AB118" i="44"/>
  <c r="AC118" i="44"/>
  <c r="AD118" i="44"/>
  <c r="AE118" i="44"/>
  <c r="AF118" i="44"/>
  <c r="AG118" i="44"/>
  <c r="D119" i="44"/>
  <c r="E119" i="44"/>
  <c r="F119" i="44"/>
  <c r="G119" i="44"/>
  <c r="H119" i="44"/>
  <c r="I119" i="44"/>
  <c r="J119" i="44"/>
  <c r="K119" i="44"/>
  <c r="L119" i="44"/>
  <c r="M119" i="44"/>
  <c r="N119" i="44"/>
  <c r="O119" i="44"/>
  <c r="P119" i="44"/>
  <c r="Q119" i="44"/>
  <c r="R119" i="44"/>
  <c r="S119" i="44"/>
  <c r="T119" i="44"/>
  <c r="U119" i="44"/>
  <c r="V119" i="44"/>
  <c r="W119" i="44"/>
  <c r="X119" i="44"/>
  <c r="Y119" i="44"/>
  <c r="Z119" i="44"/>
  <c r="AA119" i="44"/>
  <c r="AB119" i="44"/>
  <c r="AC119" i="44"/>
  <c r="AD119" i="44"/>
  <c r="AE119" i="44"/>
  <c r="AF119" i="44"/>
  <c r="AG119" i="44"/>
  <c r="D120" i="44"/>
  <c r="E120" i="44"/>
  <c r="F120" i="44"/>
  <c r="G120" i="44"/>
  <c r="H120" i="44"/>
  <c r="I120" i="44"/>
  <c r="J120" i="44"/>
  <c r="K120" i="44"/>
  <c r="L120" i="44"/>
  <c r="M120" i="44"/>
  <c r="N120" i="44"/>
  <c r="O120" i="44"/>
  <c r="P120" i="44"/>
  <c r="Q120" i="44"/>
  <c r="R120" i="44"/>
  <c r="S120" i="44"/>
  <c r="T120" i="44"/>
  <c r="U120" i="44"/>
  <c r="V120" i="44"/>
  <c r="W120" i="44"/>
  <c r="X120" i="44"/>
  <c r="Y120" i="44"/>
  <c r="Z120" i="44"/>
  <c r="AA120" i="44"/>
  <c r="AB120" i="44"/>
  <c r="AC120" i="44"/>
  <c r="AD120" i="44"/>
  <c r="AE120" i="44"/>
  <c r="AF120" i="44"/>
  <c r="AG120" i="44"/>
  <c r="D121" i="44"/>
  <c r="E121" i="44"/>
  <c r="F121" i="44"/>
  <c r="G121" i="44"/>
  <c r="H121" i="44"/>
  <c r="I121" i="44"/>
  <c r="J121" i="44"/>
  <c r="K121" i="44"/>
  <c r="L121" i="44"/>
  <c r="M121" i="44"/>
  <c r="N121" i="44"/>
  <c r="O121" i="44"/>
  <c r="P121" i="44"/>
  <c r="Q121" i="44"/>
  <c r="R121" i="44"/>
  <c r="S121" i="44"/>
  <c r="T121" i="44"/>
  <c r="U121" i="44"/>
  <c r="V121" i="44"/>
  <c r="W121" i="44"/>
  <c r="X121" i="44"/>
  <c r="Y121" i="44"/>
  <c r="Z121" i="44"/>
  <c r="AA121" i="44"/>
  <c r="AB121" i="44"/>
  <c r="AC121" i="44"/>
  <c r="AD121" i="44"/>
  <c r="AE121" i="44"/>
  <c r="AF121" i="44"/>
  <c r="AG121" i="44"/>
  <c r="D122" i="44"/>
  <c r="E122" i="44"/>
  <c r="F122" i="44"/>
  <c r="G122" i="44"/>
  <c r="H122" i="44"/>
  <c r="I122" i="44"/>
  <c r="J122" i="44"/>
  <c r="K122" i="44"/>
  <c r="L122" i="44"/>
  <c r="M122" i="44"/>
  <c r="N122" i="44"/>
  <c r="O122" i="44"/>
  <c r="P122" i="44"/>
  <c r="Q122" i="44"/>
  <c r="R122" i="44"/>
  <c r="S122" i="44"/>
  <c r="T122" i="44"/>
  <c r="U122" i="44"/>
  <c r="V122" i="44"/>
  <c r="W122" i="44"/>
  <c r="X122" i="44"/>
  <c r="Y122" i="44"/>
  <c r="Z122" i="44"/>
  <c r="AA122" i="44"/>
  <c r="AB122" i="44"/>
  <c r="AC122" i="44"/>
  <c r="AD122" i="44"/>
  <c r="AE122" i="44"/>
  <c r="AF122" i="44"/>
  <c r="AG122" i="44"/>
  <c r="D123" i="44"/>
  <c r="E123" i="44"/>
  <c r="F123" i="44"/>
  <c r="G123" i="44"/>
  <c r="H123" i="44"/>
  <c r="I123" i="44"/>
  <c r="J123" i="44"/>
  <c r="K123" i="44"/>
  <c r="L123" i="44"/>
  <c r="M123" i="44"/>
  <c r="N123" i="44"/>
  <c r="O123" i="44"/>
  <c r="P123" i="44"/>
  <c r="Q123" i="44"/>
  <c r="R123" i="44"/>
  <c r="S123" i="44"/>
  <c r="T123" i="44"/>
  <c r="U123" i="44"/>
  <c r="V123" i="44"/>
  <c r="W123" i="44"/>
  <c r="X123" i="44"/>
  <c r="Y123" i="44"/>
  <c r="Z123" i="44"/>
  <c r="AA123" i="44"/>
  <c r="AB123" i="44"/>
  <c r="AC123" i="44"/>
  <c r="AD123" i="44"/>
  <c r="AE123" i="44"/>
  <c r="AF123" i="44"/>
  <c r="AG123" i="44"/>
  <c r="D124" i="44"/>
  <c r="E124" i="44"/>
  <c r="F124" i="44"/>
  <c r="G124" i="44"/>
  <c r="H124" i="44"/>
  <c r="I124" i="44"/>
  <c r="J124" i="44"/>
  <c r="K124" i="44"/>
  <c r="L124" i="44"/>
  <c r="M124" i="44"/>
  <c r="N124" i="44"/>
  <c r="O124" i="44"/>
  <c r="P124" i="44"/>
  <c r="Q124" i="44"/>
  <c r="R124" i="44"/>
  <c r="S124" i="44"/>
  <c r="T124" i="44"/>
  <c r="U124" i="44"/>
  <c r="V124" i="44"/>
  <c r="W124" i="44"/>
  <c r="X124" i="44"/>
  <c r="Y124" i="44"/>
  <c r="Z124" i="44"/>
  <c r="AA124" i="44"/>
  <c r="AB124" i="44"/>
  <c r="AC124" i="44"/>
  <c r="AD124" i="44"/>
  <c r="AE124" i="44"/>
  <c r="AF124" i="44"/>
  <c r="AG124" i="44"/>
  <c r="D125" i="44"/>
  <c r="E125" i="44"/>
  <c r="F125" i="44"/>
  <c r="G125" i="44"/>
  <c r="H125" i="44"/>
  <c r="I125" i="44"/>
  <c r="J125" i="44"/>
  <c r="K125" i="44"/>
  <c r="L125" i="44"/>
  <c r="M125" i="44"/>
  <c r="N125" i="44"/>
  <c r="O125" i="44"/>
  <c r="P125" i="44"/>
  <c r="Q125" i="44"/>
  <c r="R125" i="44"/>
  <c r="S125" i="44"/>
  <c r="T125" i="44"/>
  <c r="U125" i="44"/>
  <c r="V125" i="44"/>
  <c r="W125" i="44"/>
  <c r="X125" i="44"/>
  <c r="Y125" i="44"/>
  <c r="Z125" i="44"/>
  <c r="AA125" i="44"/>
  <c r="AB125" i="44"/>
  <c r="AC125" i="44"/>
  <c r="AD125" i="44"/>
  <c r="AE125" i="44"/>
  <c r="AF125" i="44"/>
  <c r="AG125" i="44"/>
  <c r="D126" i="44"/>
  <c r="E126" i="44"/>
  <c r="F126" i="44"/>
  <c r="G126" i="44"/>
  <c r="H126" i="44"/>
  <c r="I126" i="44"/>
  <c r="J126" i="44"/>
  <c r="K126" i="44"/>
  <c r="L126" i="44"/>
  <c r="M126" i="44"/>
  <c r="N126" i="44"/>
  <c r="O126" i="44"/>
  <c r="P126" i="44"/>
  <c r="Q126" i="44"/>
  <c r="R126" i="44"/>
  <c r="S126" i="44"/>
  <c r="T126" i="44"/>
  <c r="U126" i="44"/>
  <c r="V126" i="44"/>
  <c r="W126" i="44"/>
  <c r="X126" i="44"/>
  <c r="Y126" i="44"/>
  <c r="Z126" i="44"/>
  <c r="AA126" i="44"/>
  <c r="AB126" i="44"/>
  <c r="AC126" i="44"/>
  <c r="AD126" i="44"/>
  <c r="AE126" i="44"/>
  <c r="AF126" i="44"/>
  <c r="AG126" i="44"/>
  <c r="D127" i="44"/>
  <c r="E127" i="44"/>
  <c r="F127" i="44"/>
  <c r="G127" i="44"/>
  <c r="H127" i="44"/>
  <c r="I127" i="44"/>
  <c r="J127" i="44"/>
  <c r="K127" i="44"/>
  <c r="L127" i="44"/>
  <c r="M127" i="44"/>
  <c r="N127" i="44"/>
  <c r="O127" i="44"/>
  <c r="P127" i="44"/>
  <c r="Q127" i="44"/>
  <c r="R127" i="44"/>
  <c r="S127" i="44"/>
  <c r="T127" i="44"/>
  <c r="U127" i="44"/>
  <c r="V127" i="44"/>
  <c r="W127" i="44"/>
  <c r="X127" i="44"/>
  <c r="Y127" i="44"/>
  <c r="Z127" i="44"/>
  <c r="AA127" i="44"/>
  <c r="AB127" i="44"/>
  <c r="AC127" i="44"/>
  <c r="AD127" i="44"/>
  <c r="AE127" i="44"/>
  <c r="AF127" i="44"/>
  <c r="AG127" i="44"/>
  <c r="D128" i="44"/>
  <c r="E128" i="44"/>
  <c r="F128" i="44"/>
  <c r="G128" i="44"/>
  <c r="H128" i="44"/>
  <c r="I128" i="44"/>
  <c r="J128" i="44"/>
  <c r="K128" i="44"/>
  <c r="L128" i="44"/>
  <c r="M128" i="44"/>
  <c r="N128" i="44"/>
  <c r="O128" i="44"/>
  <c r="P128" i="44"/>
  <c r="Q128" i="44"/>
  <c r="R128" i="44"/>
  <c r="S128" i="44"/>
  <c r="T128" i="44"/>
  <c r="U128" i="44"/>
  <c r="V128" i="44"/>
  <c r="W128" i="44"/>
  <c r="X128" i="44"/>
  <c r="Y128" i="44"/>
  <c r="Z128" i="44"/>
  <c r="AA128" i="44"/>
  <c r="AB128" i="44"/>
  <c r="AC128" i="44"/>
  <c r="AD128" i="44"/>
  <c r="AE128" i="44"/>
  <c r="AF128" i="44"/>
  <c r="AG128" i="44"/>
  <c r="D129" i="44"/>
  <c r="E129" i="44"/>
  <c r="F129" i="44"/>
  <c r="G129" i="44"/>
  <c r="H129" i="44"/>
  <c r="I129" i="44"/>
  <c r="J129" i="44"/>
  <c r="K129" i="44"/>
  <c r="L129" i="44"/>
  <c r="M129" i="44"/>
  <c r="N129" i="44"/>
  <c r="O129" i="44"/>
  <c r="P129" i="44"/>
  <c r="Q129" i="44"/>
  <c r="R129" i="44"/>
  <c r="S129" i="44"/>
  <c r="T129" i="44"/>
  <c r="U129" i="44"/>
  <c r="V129" i="44"/>
  <c r="W129" i="44"/>
  <c r="X129" i="44"/>
  <c r="Y129" i="44"/>
  <c r="Z129" i="44"/>
  <c r="AA129" i="44"/>
  <c r="AB129" i="44"/>
  <c r="AC129" i="44"/>
  <c r="AD129" i="44"/>
  <c r="AE129" i="44"/>
  <c r="AF129" i="44"/>
  <c r="AG129" i="44"/>
  <c r="D130" i="44"/>
  <c r="E130" i="44"/>
  <c r="F130" i="44"/>
  <c r="G130" i="44"/>
  <c r="H130" i="44"/>
  <c r="I130" i="44"/>
  <c r="J130" i="44"/>
  <c r="K130" i="44"/>
  <c r="L130" i="44"/>
  <c r="M130" i="44"/>
  <c r="N130" i="44"/>
  <c r="O130" i="44"/>
  <c r="P130" i="44"/>
  <c r="Q130" i="44"/>
  <c r="R130" i="44"/>
  <c r="S130" i="44"/>
  <c r="T130" i="44"/>
  <c r="U130" i="44"/>
  <c r="V130" i="44"/>
  <c r="W130" i="44"/>
  <c r="X130" i="44"/>
  <c r="Y130" i="44"/>
  <c r="Z130" i="44"/>
  <c r="AA130" i="44"/>
  <c r="AB130" i="44"/>
  <c r="AC130" i="44"/>
  <c r="AD130" i="44"/>
  <c r="AE130" i="44"/>
  <c r="AF130" i="44"/>
  <c r="AG130" i="44"/>
  <c r="D131" i="44"/>
  <c r="E131" i="44"/>
  <c r="F131" i="44"/>
  <c r="G131" i="44"/>
  <c r="H131" i="44"/>
  <c r="I131" i="44"/>
  <c r="J131" i="44"/>
  <c r="K131" i="44"/>
  <c r="L131" i="44"/>
  <c r="M131" i="44"/>
  <c r="N131" i="44"/>
  <c r="O131" i="44"/>
  <c r="P131" i="44"/>
  <c r="Q131" i="44"/>
  <c r="R131" i="44"/>
  <c r="S131" i="44"/>
  <c r="T131" i="44"/>
  <c r="U131" i="44"/>
  <c r="V131" i="44"/>
  <c r="W131" i="44"/>
  <c r="X131" i="44"/>
  <c r="Y131" i="44"/>
  <c r="Z131" i="44"/>
  <c r="AA131" i="44"/>
  <c r="AB131" i="44"/>
  <c r="AC131" i="44"/>
  <c r="AD131" i="44"/>
  <c r="AE131" i="44"/>
  <c r="AF131" i="44"/>
  <c r="AG131" i="44"/>
  <c r="D132" i="44"/>
  <c r="E132" i="44"/>
  <c r="F132" i="44"/>
  <c r="G132" i="44"/>
  <c r="H132" i="44"/>
  <c r="I132" i="44"/>
  <c r="J132" i="44"/>
  <c r="K132" i="44"/>
  <c r="L132" i="44"/>
  <c r="M132" i="44"/>
  <c r="N132" i="44"/>
  <c r="O132" i="44"/>
  <c r="P132" i="44"/>
  <c r="Q132" i="44"/>
  <c r="R132" i="44"/>
  <c r="S132" i="44"/>
  <c r="T132" i="44"/>
  <c r="U132" i="44"/>
  <c r="V132" i="44"/>
  <c r="W132" i="44"/>
  <c r="X132" i="44"/>
  <c r="Y132" i="44"/>
  <c r="Z132" i="44"/>
  <c r="AA132" i="44"/>
  <c r="AB132" i="44"/>
  <c r="AC132" i="44"/>
  <c r="AD132" i="44"/>
  <c r="AE132" i="44"/>
  <c r="AF132" i="44"/>
  <c r="AG132" i="44"/>
  <c r="D135" i="44"/>
  <c r="E135" i="44"/>
  <c r="F135" i="44"/>
  <c r="G135" i="44"/>
  <c r="H135" i="44"/>
  <c r="I135" i="44"/>
  <c r="J135" i="44"/>
  <c r="K135" i="44"/>
  <c r="L135" i="44"/>
  <c r="M135" i="44"/>
  <c r="N135" i="44"/>
  <c r="O135" i="44"/>
  <c r="P135" i="44"/>
  <c r="Q135" i="44"/>
  <c r="R135" i="44"/>
  <c r="S135" i="44"/>
  <c r="T135" i="44"/>
  <c r="U135" i="44"/>
  <c r="V135" i="44"/>
  <c r="W135" i="44"/>
  <c r="X135" i="44"/>
  <c r="Y135" i="44"/>
  <c r="Z135" i="44"/>
  <c r="AA135" i="44"/>
  <c r="AB135" i="44"/>
  <c r="AC135" i="44"/>
  <c r="AD135" i="44"/>
  <c r="AE135" i="44"/>
  <c r="AF135" i="44"/>
  <c r="AG135" i="44"/>
  <c r="D136" i="44"/>
  <c r="E136" i="44"/>
  <c r="F136" i="44"/>
  <c r="G136" i="44"/>
  <c r="H136" i="44"/>
  <c r="I136" i="44"/>
  <c r="J136" i="44"/>
  <c r="K136" i="44"/>
  <c r="L136" i="44"/>
  <c r="M136" i="44"/>
  <c r="N136" i="44"/>
  <c r="O136" i="44"/>
  <c r="P136" i="44"/>
  <c r="Q136" i="44"/>
  <c r="R136" i="44"/>
  <c r="S136" i="44"/>
  <c r="T136" i="44"/>
  <c r="U136" i="44"/>
  <c r="V136" i="44"/>
  <c r="W136" i="44"/>
  <c r="X136" i="44"/>
  <c r="Y136" i="44"/>
  <c r="Z136" i="44"/>
  <c r="AA136" i="44"/>
  <c r="AB136" i="44"/>
  <c r="AC136" i="44"/>
  <c r="AD136" i="44"/>
  <c r="AE136" i="44"/>
  <c r="AF136" i="44"/>
  <c r="AG136" i="44"/>
  <c r="D137" i="44"/>
  <c r="E137" i="44"/>
  <c r="F137" i="44"/>
  <c r="G137" i="44"/>
  <c r="H137" i="44"/>
  <c r="I137" i="44"/>
  <c r="J137" i="44"/>
  <c r="K137" i="44"/>
  <c r="L137" i="44"/>
  <c r="M137" i="44"/>
  <c r="N137" i="44"/>
  <c r="O137" i="44"/>
  <c r="P137" i="44"/>
  <c r="Q137" i="44"/>
  <c r="R137" i="44"/>
  <c r="S137" i="44"/>
  <c r="T137" i="44"/>
  <c r="U137" i="44"/>
  <c r="V137" i="44"/>
  <c r="W137" i="44"/>
  <c r="X137" i="44"/>
  <c r="Y137" i="44"/>
  <c r="Z137" i="44"/>
  <c r="AA137" i="44"/>
  <c r="AB137" i="44"/>
  <c r="AC137" i="44"/>
  <c r="AD137" i="44"/>
  <c r="AE137" i="44"/>
  <c r="AF137" i="44"/>
  <c r="AG137" i="44"/>
  <c r="D138" i="44"/>
  <c r="E138" i="44"/>
  <c r="F138" i="44"/>
  <c r="G138" i="44"/>
  <c r="H138" i="44"/>
  <c r="I138" i="44"/>
  <c r="J138" i="44"/>
  <c r="K138" i="44"/>
  <c r="L138" i="44"/>
  <c r="M138" i="44"/>
  <c r="N138" i="44"/>
  <c r="O138" i="44"/>
  <c r="P138" i="44"/>
  <c r="Q138" i="44"/>
  <c r="R138" i="44"/>
  <c r="S138" i="44"/>
  <c r="T138" i="44"/>
  <c r="U138" i="44"/>
  <c r="V138" i="44"/>
  <c r="W138" i="44"/>
  <c r="X138" i="44"/>
  <c r="Y138" i="44"/>
  <c r="Z138" i="44"/>
  <c r="AA138" i="44"/>
  <c r="AB138" i="44"/>
  <c r="AC138" i="44"/>
  <c r="AD138" i="44"/>
  <c r="AE138" i="44"/>
  <c r="AF138" i="44"/>
  <c r="AG138" i="44"/>
  <c r="D139" i="44"/>
  <c r="E139" i="44"/>
  <c r="F139" i="44"/>
  <c r="G139" i="44"/>
  <c r="H139" i="44"/>
  <c r="I139" i="44"/>
  <c r="J139" i="44"/>
  <c r="K139" i="44"/>
  <c r="L139" i="44"/>
  <c r="M139" i="44"/>
  <c r="N139" i="44"/>
  <c r="O139" i="44"/>
  <c r="P139" i="44"/>
  <c r="Q139" i="44"/>
  <c r="R139" i="44"/>
  <c r="S139" i="44"/>
  <c r="T139" i="44"/>
  <c r="U139" i="44"/>
  <c r="V139" i="44"/>
  <c r="W139" i="44"/>
  <c r="X139" i="44"/>
  <c r="Y139" i="44"/>
  <c r="Z139" i="44"/>
  <c r="AA139" i="44"/>
  <c r="AB139" i="44"/>
  <c r="AC139" i="44"/>
  <c r="AD139" i="44"/>
  <c r="AE139" i="44"/>
  <c r="AF139" i="44"/>
  <c r="AG139" i="44"/>
  <c r="D140" i="44"/>
  <c r="E140" i="44"/>
  <c r="F140" i="44"/>
  <c r="G140" i="44"/>
  <c r="H140" i="44"/>
  <c r="I140" i="44"/>
  <c r="J140" i="44"/>
  <c r="K140" i="44"/>
  <c r="L140" i="44"/>
  <c r="M140" i="44"/>
  <c r="N140" i="44"/>
  <c r="O140" i="44"/>
  <c r="P140" i="44"/>
  <c r="Q140" i="44"/>
  <c r="R140" i="44"/>
  <c r="S140" i="44"/>
  <c r="T140" i="44"/>
  <c r="U140" i="44"/>
  <c r="V140" i="44"/>
  <c r="W140" i="44"/>
  <c r="X140" i="44"/>
  <c r="Y140" i="44"/>
  <c r="Z140" i="44"/>
  <c r="AA140" i="44"/>
  <c r="AB140" i="44"/>
  <c r="AC140" i="44"/>
  <c r="AD140" i="44"/>
  <c r="AE140" i="44"/>
  <c r="AF140" i="44"/>
  <c r="AG140" i="44"/>
  <c r="D141" i="44"/>
  <c r="E141" i="44"/>
  <c r="F141" i="44"/>
  <c r="G141" i="44"/>
  <c r="H141" i="44"/>
  <c r="I141" i="44"/>
  <c r="J141" i="44"/>
  <c r="K141" i="44"/>
  <c r="L141" i="44"/>
  <c r="M141" i="44"/>
  <c r="N141" i="44"/>
  <c r="O141" i="44"/>
  <c r="P141" i="44"/>
  <c r="Q141" i="44"/>
  <c r="R141" i="44"/>
  <c r="S141" i="44"/>
  <c r="T141" i="44"/>
  <c r="U141" i="44"/>
  <c r="V141" i="44"/>
  <c r="W141" i="44"/>
  <c r="X141" i="44"/>
  <c r="Y141" i="44"/>
  <c r="Z141" i="44"/>
  <c r="AA141" i="44"/>
  <c r="AB141" i="44"/>
  <c r="AC141" i="44"/>
  <c r="AD141" i="44"/>
  <c r="AE141" i="44"/>
  <c r="AF141" i="44"/>
  <c r="AG141" i="44"/>
  <c r="D142" i="44"/>
  <c r="E142" i="44"/>
  <c r="F142" i="44"/>
  <c r="G142" i="44"/>
  <c r="H142" i="44"/>
  <c r="I142" i="44"/>
  <c r="J142" i="44"/>
  <c r="K142" i="44"/>
  <c r="L142" i="44"/>
  <c r="M142" i="44"/>
  <c r="N142" i="44"/>
  <c r="O142" i="44"/>
  <c r="P142" i="44"/>
  <c r="Q142" i="44"/>
  <c r="R142" i="44"/>
  <c r="S142" i="44"/>
  <c r="T142" i="44"/>
  <c r="U142" i="44"/>
  <c r="V142" i="44"/>
  <c r="W142" i="44"/>
  <c r="X142" i="44"/>
  <c r="Y142" i="44"/>
  <c r="Z142" i="44"/>
  <c r="AA142" i="44"/>
  <c r="AB142" i="44"/>
  <c r="AC142" i="44"/>
  <c r="AD142" i="44"/>
  <c r="AE142" i="44"/>
  <c r="AF142" i="44"/>
  <c r="AG142" i="44"/>
  <c r="D143" i="44"/>
  <c r="E143" i="44"/>
  <c r="F143" i="44"/>
  <c r="G143" i="44"/>
  <c r="H143" i="44"/>
  <c r="I143" i="44"/>
  <c r="J143" i="44"/>
  <c r="K143" i="44"/>
  <c r="L143" i="44"/>
  <c r="M143" i="44"/>
  <c r="N143" i="44"/>
  <c r="O143" i="44"/>
  <c r="P143" i="44"/>
  <c r="Q143" i="44"/>
  <c r="R143" i="44"/>
  <c r="S143" i="44"/>
  <c r="T143" i="44"/>
  <c r="U143" i="44"/>
  <c r="V143" i="44"/>
  <c r="W143" i="44"/>
  <c r="X143" i="44"/>
  <c r="Y143" i="44"/>
  <c r="Z143" i="44"/>
  <c r="AA143" i="44"/>
  <c r="AB143" i="44"/>
  <c r="AC143" i="44"/>
  <c r="AD143" i="44"/>
  <c r="AE143" i="44"/>
  <c r="AF143" i="44"/>
  <c r="AG143" i="44"/>
  <c r="D144" i="44"/>
  <c r="E144" i="44"/>
  <c r="F144" i="44"/>
  <c r="G144" i="44"/>
  <c r="H144" i="44"/>
  <c r="I144" i="44"/>
  <c r="J144" i="44"/>
  <c r="K144" i="44"/>
  <c r="L144" i="44"/>
  <c r="M144" i="44"/>
  <c r="N144" i="44"/>
  <c r="O144" i="44"/>
  <c r="P144" i="44"/>
  <c r="Q144" i="44"/>
  <c r="R144" i="44"/>
  <c r="S144" i="44"/>
  <c r="T144" i="44"/>
  <c r="U144" i="44"/>
  <c r="V144" i="44"/>
  <c r="W144" i="44"/>
  <c r="X144" i="44"/>
  <c r="Y144" i="44"/>
  <c r="Z144" i="44"/>
  <c r="AA144" i="44"/>
  <c r="AB144" i="44"/>
  <c r="AC144" i="44"/>
  <c r="AD144" i="44"/>
  <c r="AE144" i="44"/>
  <c r="AF144" i="44"/>
  <c r="AG144" i="44"/>
  <c r="D145" i="44"/>
  <c r="E145" i="44"/>
  <c r="F145" i="44"/>
  <c r="G145" i="44"/>
  <c r="H145" i="44"/>
  <c r="I145" i="44"/>
  <c r="J145" i="44"/>
  <c r="K145" i="44"/>
  <c r="L145" i="44"/>
  <c r="M145" i="44"/>
  <c r="N145" i="44"/>
  <c r="O145" i="44"/>
  <c r="P145" i="44"/>
  <c r="Q145" i="44"/>
  <c r="R145" i="44"/>
  <c r="S145" i="44"/>
  <c r="T145" i="44"/>
  <c r="U145" i="44"/>
  <c r="V145" i="44"/>
  <c r="W145" i="44"/>
  <c r="X145" i="44"/>
  <c r="Y145" i="44"/>
  <c r="Z145" i="44"/>
  <c r="AA145" i="44"/>
  <c r="AB145" i="44"/>
  <c r="AC145" i="44"/>
  <c r="AD145" i="44"/>
  <c r="AE145" i="44"/>
  <c r="AF145" i="44"/>
  <c r="AG145" i="44"/>
  <c r="D146" i="44"/>
  <c r="E146" i="44"/>
  <c r="F146" i="44"/>
  <c r="G146" i="44"/>
  <c r="H146" i="44"/>
  <c r="I146" i="44"/>
  <c r="J146" i="44"/>
  <c r="K146" i="44"/>
  <c r="L146" i="44"/>
  <c r="M146" i="44"/>
  <c r="N146" i="44"/>
  <c r="O146" i="44"/>
  <c r="P146" i="44"/>
  <c r="Q146" i="44"/>
  <c r="R146" i="44"/>
  <c r="S146" i="44"/>
  <c r="T146" i="44"/>
  <c r="U146" i="44"/>
  <c r="V146" i="44"/>
  <c r="W146" i="44"/>
  <c r="X146" i="44"/>
  <c r="Y146" i="44"/>
  <c r="Z146" i="44"/>
  <c r="AA146" i="44"/>
  <c r="AB146" i="44"/>
  <c r="AC146" i="44"/>
  <c r="AD146" i="44"/>
  <c r="AE146" i="44"/>
  <c r="AF146" i="44"/>
  <c r="AG146" i="44"/>
  <c r="D147" i="44"/>
  <c r="E147" i="44"/>
  <c r="F147" i="44"/>
  <c r="G147" i="44"/>
  <c r="H147" i="44"/>
  <c r="I147" i="44"/>
  <c r="J147" i="44"/>
  <c r="K147" i="44"/>
  <c r="L147" i="44"/>
  <c r="M147" i="44"/>
  <c r="N147" i="44"/>
  <c r="O147" i="44"/>
  <c r="P147" i="44"/>
  <c r="Q147" i="44"/>
  <c r="R147" i="44"/>
  <c r="S147" i="44"/>
  <c r="T147" i="44"/>
  <c r="U147" i="44"/>
  <c r="V147" i="44"/>
  <c r="W147" i="44"/>
  <c r="X147" i="44"/>
  <c r="Y147" i="44"/>
  <c r="Z147" i="44"/>
  <c r="AA147" i="44"/>
  <c r="AB147" i="44"/>
  <c r="AC147" i="44"/>
  <c r="AD147" i="44"/>
  <c r="AE147" i="44"/>
  <c r="AF147" i="44"/>
  <c r="AG147" i="44"/>
  <c r="D148" i="44"/>
  <c r="E148" i="44"/>
  <c r="F148" i="44"/>
  <c r="G148" i="44"/>
  <c r="H148" i="44"/>
  <c r="I148" i="44"/>
  <c r="J148" i="44"/>
  <c r="K148" i="44"/>
  <c r="L148" i="44"/>
  <c r="M148" i="44"/>
  <c r="N148" i="44"/>
  <c r="O148" i="44"/>
  <c r="P148" i="44"/>
  <c r="Q148" i="44"/>
  <c r="R148" i="44"/>
  <c r="S148" i="44"/>
  <c r="T148" i="44"/>
  <c r="U148" i="44"/>
  <c r="V148" i="44"/>
  <c r="W148" i="44"/>
  <c r="X148" i="44"/>
  <c r="Y148" i="44"/>
  <c r="Z148" i="44"/>
  <c r="AA148" i="44"/>
  <c r="AB148" i="44"/>
  <c r="AC148" i="44"/>
  <c r="AD148" i="44"/>
  <c r="AE148" i="44"/>
  <c r="AF148" i="44"/>
  <c r="AG148" i="44"/>
  <c r="D149" i="44"/>
  <c r="E149" i="44"/>
  <c r="F149" i="44"/>
  <c r="G149" i="44"/>
  <c r="H149" i="44"/>
  <c r="I149" i="44"/>
  <c r="J149" i="44"/>
  <c r="K149" i="44"/>
  <c r="L149" i="44"/>
  <c r="M149" i="44"/>
  <c r="N149" i="44"/>
  <c r="O149" i="44"/>
  <c r="P149" i="44"/>
  <c r="Q149" i="44"/>
  <c r="R149" i="44"/>
  <c r="S149" i="44"/>
  <c r="T149" i="44"/>
  <c r="U149" i="44"/>
  <c r="V149" i="44"/>
  <c r="W149" i="44"/>
  <c r="X149" i="44"/>
  <c r="Y149" i="44"/>
  <c r="Z149" i="44"/>
  <c r="AA149" i="44"/>
  <c r="AB149" i="44"/>
  <c r="AC149" i="44"/>
  <c r="AD149" i="44"/>
  <c r="AE149" i="44"/>
  <c r="AF149" i="44"/>
  <c r="AG149" i="44"/>
  <c r="D150" i="44"/>
  <c r="E150" i="44"/>
  <c r="F150" i="44"/>
  <c r="G150" i="44"/>
  <c r="H150" i="44"/>
  <c r="I150" i="44"/>
  <c r="J150" i="44"/>
  <c r="K150" i="44"/>
  <c r="L150" i="44"/>
  <c r="M150" i="44"/>
  <c r="N150" i="44"/>
  <c r="O150" i="44"/>
  <c r="P150" i="44"/>
  <c r="Q150" i="44"/>
  <c r="R150" i="44"/>
  <c r="S150" i="44"/>
  <c r="T150" i="44"/>
  <c r="U150" i="44"/>
  <c r="V150" i="44"/>
  <c r="W150" i="44"/>
  <c r="X150" i="44"/>
  <c r="Y150" i="44"/>
  <c r="Z150" i="44"/>
  <c r="AA150" i="44"/>
  <c r="AB150" i="44"/>
  <c r="AC150" i="44"/>
  <c r="AD150" i="44"/>
  <c r="AE150" i="44"/>
  <c r="AF150" i="44"/>
  <c r="AG150" i="44"/>
  <c r="D151" i="44"/>
  <c r="E151" i="44"/>
  <c r="F151" i="44"/>
  <c r="G151" i="44"/>
  <c r="H151" i="44"/>
  <c r="I151" i="44"/>
  <c r="J151" i="44"/>
  <c r="K151" i="44"/>
  <c r="L151" i="44"/>
  <c r="M151" i="44"/>
  <c r="N151" i="44"/>
  <c r="O151" i="44"/>
  <c r="P151" i="44"/>
  <c r="Q151" i="44"/>
  <c r="R151" i="44"/>
  <c r="S151" i="44"/>
  <c r="T151" i="44"/>
  <c r="U151" i="44"/>
  <c r="V151" i="44"/>
  <c r="W151" i="44"/>
  <c r="X151" i="44"/>
  <c r="Y151" i="44"/>
  <c r="Z151" i="44"/>
  <c r="AA151" i="44"/>
  <c r="AB151" i="44"/>
  <c r="AC151" i="44"/>
  <c r="AD151" i="44"/>
  <c r="AE151" i="44"/>
  <c r="AF151" i="44"/>
  <c r="AG151" i="44"/>
  <c r="D152" i="44"/>
  <c r="E152" i="44"/>
  <c r="F152" i="44"/>
  <c r="G152" i="44"/>
  <c r="H152" i="44"/>
  <c r="I152" i="44"/>
  <c r="J152" i="44"/>
  <c r="K152" i="44"/>
  <c r="L152" i="44"/>
  <c r="M152" i="44"/>
  <c r="N152" i="44"/>
  <c r="O152" i="44"/>
  <c r="P152" i="44"/>
  <c r="Q152" i="44"/>
  <c r="R152" i="44"/>
  <c r="S152" i="44"/>
  <c r="T152" i="44"/>
  <c r="U152" i="44"/>
  <c r="V152" i="44"/>
  <c r="W152" i="44"/>
  <c r="X152" i="44"/>
  <c r="Y152" i="44"/>
  <c r="Z152" i="44"/>
  <c r="AA152" i="44"/>
  <c r="AB152" i="44"/>
  <c r="AC152" i="44"/>
  <c r="AD152" i="44"/>
  <c r="AE152" i="44"/>
  <c r="AF152" i="44"/>
  <c r="AG152" i="44"/>
  <c r="D153" i="44"/>
  <c r="E153" i="44"/>
  <c r="F153" i="44"/>
  <c r="G153" i="44"/>
  <c r="H153" i="44"/>
  <c r="I153" i="44"/>
  <c r="J153" i="44"/>
  <c r="K153" i="44"/>
  <c r="L153" i="44"/>
  <c r="M153" i="44"/>
  <c r="N153" i="44"/>
  <c r="O153" i="44"/>
  <c r="P153" i="44"/>
  <c r="Q153" i="44"/>
  <c r="R153" i="44"/>
  <c r="S153" i="44"/>
  <c r="T153" i="44"/>
  <c r="U153" i="44"/>
  <c r="V153" i="44"/>
  <c r="W153" i="44"/>
  <c r="X153" i="44"/>
  <c r="Y153" i="44"/>
  <c r="Z153" i="44"/>
  <c r="AA153" i="44"/>
  <c r="AB153" i="44"/>
  <c r="AC153" i="44"/>
  <c r="AD153" i="44"/>
  <c r="AE153" i="44"/>
  <c r="AF153" i="44"/>
  <c r="AG153" i="44"/>
  <c r="D154" i="44"/>
  <c r="E154" i="44"/>
  <c r="F154" i="44"/>
  <c r="G154" i="44"/>
  <c r="H154" i="44"/>
  <c r="I154" i="44"/>
  <c r="J154" i="44"/>
  <c r="K154" i="44"/>
  <c r="L154" i="44"/>
  <c r="M154" i="44"/>
  <c r="N154" i="44"/>
  <c r="O154" i="44"/>
  <c r="P154" i="44"/>
  <c r="Q154" i="44"/>
  <c r="R154" i="44"/>
  <c r="S154" i="44"/>
  <c r="T154" i="44"/>
  <c r="U154" i="44"/>
  <c r="V154" i="44"/>
  <c r="W154" i="44"/>
  <c r="X154" i="44"/>
  <c r="Y154" i="44"/>
  <c r="Z154" i="44"/>
  <c r="AA154" i="44"/>
  <c r="AB154" i="44"/>
  <c r="AC154" i="44"/>
  <c r="AD154" i="44"/>
  <c r="AE154" i="44"/>
  <c r="AF154" i="44"/>
  <c r="AG154" i="44"/>
  <c r="D155" i="44"/>
  <c r="E155" i="44"/>
  <c r="F155" i="44"/>
  <c r="G155" i="44"/>
  <c r="H155" i="44"/>
  <c r="I155" i="44"/>
  <c r="J155" i="44"/>
  <c r="K155" i="44"/>
  <c r="L155" i="44"/>
  <c r="M155" i="44"/>
  <c r="N155" i="44"/>
  <c r="O155" i="44"/>
  <c r="P155" i="44"/>
  <c r="Q155" i="44"/>
  <c r="R155" i="44"/>
  <c r="S155" i="44"/>
  <c r="T155" i="44"/>
  <c r="U155" i="44"/>
  <c r="V155" i="44"/>
  <c r="W155" i="44"/>
  <c r="X155" i="44"/>
  <c r="Y155" i="44"/>
  <c r="Z155" i="44"/>
  <c r="AA155" i="44"/>
  <c r="AB155" i="44"/>
  <c r="AC155" i="44"/>
  <c r="AD155" i="44"/>
  <c r="AE155" i="44"/>
  <c r="AF155" i="44"/>
  <c r="AG155" i="44"/>
  <c r="D156" i="44"/>
  <c r="E156" i="44"/>
  <c r="F156" i="44"/>
  <c r="G156" i="44"/>
  <c r="H156" i="44"/>
  <c r="I156" i="44"/>
  <c r="J156" i="44"/>
  <c r="K156" i="44"/>
  <c r="L156" i="44"/>
  <c r="M156" i="44"/>
  <c r="N156" i="44"/>
  <c r="O156" i="44"/>
  <c r="P156" i="44"/>
  <c r="Q156" i="44"/>
  <c r="R156" i="44"/>
  <c r="S156" i="44"/>
  <c r="T156" i="44"/>
  <c r="U156" i="44"/>
  <c r="V156" i="44"/>
  <c r="W156" i="44"/>
  <c r="X156" i="44"/>
  <c r="Y156" i="44"/>
  <c r="Z156" i="44"/>
  <c r="AA156" i="44"/>
  <c r="AB156" i="44"/>
  <c r="AC156" i="44"/>
  <c r="AD156" i="44"/>
  <c r="AE156" i="44"/>
  <c r="AF156" i="44"/>
  <c r="AG156" i="44"/>
  <c r="D157" i="44"/>
  <c r="E157" i="44"/>
  <c r="F157" i="44"/>
  <c r="G157" i="44"/>
  <c r="H157" i="44"/>
  <c r="I157" i="44"/>
  <c r="J157" i="44"/>
  <c r="K157" i="44"/>
  <c r="L157" i="44"/>
  <c r="M157" i="44"/>
  <c r="N157" i="44"/>
  <c r="O157" i="44"/>
  <c r="P157" i="44"/>
  <c r="Q157" i="44"/>
  <c r="R157" i="44"/>
  <c r="S157" i="44"/>
  <c r="T157" i="44"/>
  <c r="U157" i="44"/>
  <c r="V157" i="44"/>
  <c r="W157" i="44"/>
  <c r="X157" i="44"/>
  <c r="Y157" i="44"/>
  <c r="Z157" i="44"/>
  <c r="AA157" i="44"/>
  <c r="AB157" i="44"/>
  <c r="AC157" i="44"/>
  <c r="AD157" i="44"/>
  <c r="AE157" i="44"/>
  <c r="AF157" i="44"/>
  <c r="AG157" i="44"/>
  <c r="D158" i="44"/>
  <c r="E158" i="44"/>
  <c r="F158" i="44"/>
  <c r="G158" i="44"/>
  <c r="H158" i="44"/>
  <c r="I158" i="44"/>
  <c r="J158" i="44"/>
  <c r="K158" i="44"/>
  <c r="L158" i="44"/>
  <c r="M158" i="44"/>
  <c r="N158" i="44"/>
  <c r="O158" i="44"/>
  <c r="P158" i="44"/>
  <c r="Q158" i="44"/>
  <c r="R158" i="44"/>
  <c r="S158" i="44"/>
  <c r="T158" i="44"/>
  <c r="U158" i="44"/>
  <c r="V158" i="44"/>
  <c r="W158" i="44"/>
  <c r="X158" i="44"/>
  <c r="Y158" i="44"/>
  <c r="Z158" i="44"/>
  <c r="AA158" i="44"/>
  <c r="AB158" i="44"/>
  <c r="AC158" i="44"/>
  <c r="AD158" i="44"/>
  <c r="AE158" i="44"/>
  <c r="AF158" i="44"/>
  <c r="AG158" i="44"/>
  <c r="D159" i="44"/>
  <c r="E159" i="44"/>
  <c r="F159" i="44"/>
  <c r="G159" i="44"/>
  <c r="H159" i="44"/>
  <c r="I159" i="44"/>
  <c r="J159" i="44"/>
  <c r="K159" i="44"/>
  <c r="L159" i="44"/>
  <c r="M159" i="44"/>
  <c r="N159" i="44"/>
  <c r="O159" i="44"/>
  <c r="P159" i="44"/>
  <c r="Q159" i="44"/>
  <c r="R159" i="44"/>
  <c r="S159" i="44"/>
  <c r="T159" i="44"/>
  <c r="U159" i="44"/>
  <c r="V159" i="44"/>
  <c r="W159" i="44"/>
  <c r="X159" i="44"/>
  <c r="Y159" i="44"/>
  <c r="Z159" i="44"/>
  <c r="AA159" i="44"/>
  <c r="AB159" i="44"/>
  <c r="AC159" i="44"/>
  <c r="AD159" i="44"/>
  <c r="AE159" i="44"/>
  <c r="AF159" i="44"/>
  <c r="AG159" i="44"/>
  <c r="D160" i="44"/>
  <c r="E160" i="44"/>
  <c r="F160" i="44"/>
  <c r="G160" i="44"/>
  <c r="H160" i="44"/>
  <c r="I160" i="44"/>
  <c r="J160" i="44"/>
  <c r="K160" i="44"/>
  <c r="L160" i="44"/>
  <c r="M160" i="44"/>
  <c r="N160" i="44"/>
  <c r="O160" i="44"/>
  <c r="P160" i="44"/>
  <c r="Q160" i="44"/>
  <c r="R160" i="44"/>
  <c r="S160" i="44"/>
  <c r="T160" i="44"/>
  <c r="U160" i="44"/>
  <c r="V160" i="44"/>
  <c r="W160" i="44"/>
  <c r="X160" i="44"/>
  <c r="Y160" i="44"/>
  <c r="Z160" i="44"/>
  <c r="AA160" i="44"/>
  <c r="AB160" i="44"/>
  <c r="AC160" i="44"/>
  <c r="AD160" i="44"/>
  <c r="AE160" i="44"/>
  <c r="AF160" i="44"/>
  <c r="AG160" i="44"/>
  <c r="D161" i="44"/>
  <c r="E161" i="44"/>
  <c r="F161" i="44"/>
  <c r="G161" i="44"/>
  <c r="H161" i="44"/>
  <c r="I161" i="44"/>
  <c r="J161" i="44"/>
  <c r="K161" i="44"/>
  <c r="L161" i="44"/>
  <c r="M161" i="44"/>
  <c r="N161" i="44"/>
  <c r="O161" i="44"/>
  <c r="P161" i="44"/>
  <c r="Q161" i="44"/>
  <c r="R161" i="44"/>
  <c r="S161" i="44"/>
  <c r="T161" i="44"/>
  <c r="U161" i="44"/>
  <c r="V161" i="44"/>
  <c r="W161" i="44"/>
  <c r="X161" i="44"/>
  <c r="Y161" i="44"/>
  <c r="Z161" i="44"/>
  <c r="AA161" i="44"/>
  <c r="AB161" i="44"/>
  <c r="AC161" i="44"/>
  <c r="AD161" i="44"/>
  <c r="AE161" i="44"/>
  <c r="AF161" i="44"/>
  <c r="AG161" i="44"/>
  <c r="D162" i="44"/>
  <c r="E162" i="44"/>
  <c r="F162" i="44"/>
  <c r="G162" i="44"/>
  <c r="H162" i="44"/>
  <c r="I162" i="44"/>
  <c r="J162" i="44"/>
  <c r="K162" i="44"/>
  <c r="L162" i="44"/>
  <c r="M162" i="44"/>
  <c r="N162" i="44"/>
  <c r="O162" i="44"/>
  <c r="P162" i="44"/>
  <c r="Q162" i="44"/>
  <c r="R162" i="44"/>
  <c r="S162" i="44"/>
  <c r="T162" i="44"/>
  <c r="U162" i="44"/>
  <c r="V162" i="44"/>
  <c r="W162" i="44"/>
  <c r="X162" i="44"/>
  <c r="Y162" i="44"/>
  <c r="Z162" i="44"/>
  <c r="AA162" i="44"/>
  <c r="AB162" i="44"/>
  <c r="AC162" i="44"/>
  <c r="AD162" i="44"/>
  <c r="AE162" i="44"/>
  <c r="AF162" i="44"/>
  <c r="AG162" i="44"/>
  <c r="D163" i="44"/>
  <c r="E163" i="44"/>
  <c r="F163" i="44"/>
  <c r="G163" i="44"/>
  <c r="H163" i="44"/>
  <c r="I163" i="44"/>
  <c r="J163" i="44"/>
  <c r="K163" i="44"/>
  <c r="L163" i="44"/>
  <c r="M163" i="44"/>
  <c r="N163" i="44"/>
  <c r="O163" i="44"/>
  <c r="P163" i="44"/>
  <c r="Q163" i="44"/>
  <c r="R163" i="44"/>
  <c r="S163" i="44"/>
  <c r="T163" i="44"/>
  <c r="U163" i="44"/>
  <c r="V163" i="44"/>
  <c r="W163" i="44"/>
  <c r="X163" i="44"/>
  <c r="Y163" i="44"/>
  <c r="Z163" i="44"/>
  <c r="AA163" i="44"/>
  <c r="AB163" i="44"/>
  <c r="AC163" i="44"/>
  <c r="AD163" i="44"/>
  <c r="AE163" i="44"/>
  <c r="AF163" i="44"/>
  <c r="AG163" i="44"/>
  <c r="D164" i="44"/>
  <c r="E164" i="44"/>
  <c r="F164" i="44"/>
  <c r="G164" i="44"/>
  <c r="H164" i="44"/>
  <c r="I164" i="44"/>
  <c r="J164" i="44"/>
  <c r="K164" i="44"/>
  <c r="L164" i="44"/>
  <c r="M164" i="44"/>
  <c r="N164" i="44"/>
  <c r="O164" i="44"/>
  <c r="P164" i="44"/>
  <c r="Q164" i="44"/>
  <c r="R164" i="44"/>
  <c r="S164" i="44"/>
  <c r="T164" i="44"/>
  <c r="U164" i="44"/>
  <c r="V164" i="44"/>
  <c r="W164" i="44"/>
  <c r="X164" i="44"/>
  <c r="Y164" i="44"/>
  <c r="Z164" i="44"/>
  <c r="AA164" i="44"/>
  <c r="AB164" i="44"/>
  <c r="AC164" i="44"/>
  <c r="AD164" i="44"/>
  <c r="AE164" i="44"/>
  <c r="AF164" i="44"/>
  <c r="AG164" i="44"/>
  <c r="D165" i="44"/>
  <c r="E165" i="44"/>
  <c r="F165" i="44"/>
  <c r="G165" i="44"/>
  <c r="H165" i="44"/>
  <c r="I165" i="44"/>
  <c r="J165" i="44"/>
  <c r="K165" i="44"/>
  <c r="L165" i="44"/>
  <c r="M165" i="44"/>
  <c r="N165" i="44"/>
  <c r="O165" i="44"/>
  <c r="P165" i="44"/>
  <c r="Q165" i="44"/>
  <c r="R165" i="44"/>
  <c r="S165" i="44"/>
  <c r="T165" i="44"/>
  <c r="U165" i="44"/>
  <c r="V165" i="44"/>
  <c r="W165" i="44"/>
  <c r="X165" i="44"/>
  <c r="Y165" i="44"/>
  <c r="Z165" i="44"/>
  <c r="AA165" i="44"/>
  <c r="AB165" i="44"/>
  <c r="AC165" i="44"/>
  <c r="AD165" i="44"/>
  <c r="AE165" i="44"/>
  <c r="AF165" i="44"/>
  <c r="AG165" i="44"/>
  <c r="D166" i="44"/>
  <c r="E166" i="44"/>
  <c r="F166" i="44"/>
  <c r="G166" i="44"/>
  <c r="H166" i="44"/>
  <c r="I166" i="44"/>
  <c r="J166" i="44"/>
  <c r="K166" i="44"/>
  <c r="L166" i="44"/>
  <c r="M166" i="44"/>
  <c r="N166" i="44"/>
  <c r="O166" i="44"/>
  <c r="P166" i="44"/>
  <c r="Q166" i="44"/>
  <c r="R166" i="44"/>
  <c r="S166" i="44"/>
  <c r="T166" i="44"/>
  <c r="U166" i="44"/>
  <c r="V166" i="44"/>
  <c r="W166" i="44"/>
  <c r="X166" i="44"/>
  <c r="Y166" i="44"/>
  <c r="Z166" i="44"/>
  <c r="AA166" i="44"/>
  <c r="AB166" i="44"/>
  <c r="AC166" i="44"/>
  <c r="AD166" i="44"/>
  <c r="AE166" i="44"/>
  <c r="AF166" i="44"/>
  <c r="AG166" i="44"/>
  <c r="D167" i="44"/>
  <c r="E167" i="44"/>
  <c r="F167" i="44"/>
  <c r="G167" i="44"/>
  <c r="H167" i="44"/>
  <c r="I167" i="44"/>
  <c r="J167" i="44"/>
  <c r="K167" i="44"/>
  <c r="L167" i="44"/>
  <c r="M167" i="44"/>
  <c r="N167" i="44"/>
  <c r="O167" i="44"/>
  <c r="P167" i="44"/>
  <c r="Q167" i="44"/>
  <c r="R167" i="44"/>
  <c r="S167" i="44"/>
  <c r="T167" i="44"/>
  <c r="U167" i="44"/>
  <c r="V167" i="44"/>
  <c r="W167" i="44"/>
  <c r="X167" i="44"/>
  <c r="Y167" i="44"/>
  <c r="Z167" i="44"/>
  <c r="AA167" i="44"/>
  <c r="AB167" i="44"/>
  <c r="AC167" i="44"/>
  <c r="AD167" i="44"/>
  <c r="AE167" i="44"/>
  <c r="AF167" i="44"/>
  <c r="AG167" i="44"/>
  <c r="D168" i="44"/>
  <c r="E168" i="44"/>
  <c r="F168" i="44"/>
  <c r="G168" i="44"/>
  <c r="H168" i="44"/>
  <c r="I168" i="44"/>
  <c r="J168" i="44"/>
  <c r="K168" i="44"/>
  <c r="L168" i="44"/>
  <c r="M168" i="44"/>
  <c r="N168" i="44"/>
  <c r="O168" i="44"/>
  <c r="P168" i="44"/>
  <c r="Q168" i="44"/>
  <c r="R168" i="44"/>
  <c r="S168" i="44"/>
  <c r="T168" i="44"/>
  <c r="U168" i="44"/>
  <c r="V168" i="44"/>
  <c r="W168" i="44"/>
  <c r="X168" i="44"/>
  <c r="Y168" i="44"/>
  <c r="Z168" i="44"/>
  <c r="AA168" i="44"/>
  <c r="AB168" i="44"/>
  <c r="AC168" i="44"/>
  <c r="AD168" i="44"/>
  <c r="AE168" i="44"/>
  <c r="AF168" i="44"/>
  <c r="AG168" i="44"/>
  <c r="D169" i="44"/>
  <c r="E169" i="44"/>
  <c r="F169" i="44"/>
  <c r="G169" i="44"/>
  <c r="H169" i="44"/>
  <c r="I169" i="44"/>
  <c r="J169" i="44"/>
  <c r="K169" i="44"/>
  <c r="L169" i="44"/>
  <c r="M169" i="44"/>
  <c r="N169" i="44"/>
  <c r="O169" i="44"/>
  <c r="P169" i="44"/>
  <c r="Q169" i="44"/>
  <c r="R169" i="44"/>
  <c r="S169" i="44"/>
  <c r="T169" i="44"/>
  <c r="U169" i="44"/>
  <c r="V169" i="44"/>
  <c r="W169" i="44"/>
  <c r="X169" i="44"/>
  <c r="Y169" i="44"/>
  <c r="Z169" i="44"/>
  <c r="AA169" i="44"/>
  <c r="AB169" i="44"/>
  <c r="AC169" i="44"/>
  <c r="AD169" i="44"/>
  <c r="AE169" i="44"/>
  <c r="AF169" i="44"/>
  <c r="AG169" i="44"/>
  <c r="D170" i="44"/>
  <c r="E170" i="44"/>
  <c r="F170" i="44"/>
  <c r="G170" i="44"/>
  <c r="H170" i="44"/>
  <c r="I170" i="44"/>
  <c r="J170" i="44"/>
  <c r="K170" i="44"/>
  <c r="L170" i="44"/>
  <c r="M170" i="44"/>
  <c r="N170" i="44"/>
  <c r="O170" i="44"/>
  <c r="P170" i="44"/>
  <c r="Q170" i="44"/>
  <c r="R170" i="44"/>
  <c r="S170" i="44"/>
  <c r="T170" i="44"/>
  <c r="U170" i="44"/>
  <c r="V170" i="44"/>
  <c r="W170" i="44"/>
  <c r="X170" i="44"/>
  <c r="Y170" i="44"/>
  <c r="Z170" i="44"/>
  <c r="AA170" i="44"/>
  <c r="AB170" i="44"/>
  <c r="AC170" i="44"/>
  <c r="AD170" i="44"/>
  <c r="AE170" i="44"/>
  <c r="AF170" i="44"/>
  <c r="AG170" i="44"/>
  <c r="D171" i="44"/>
  <c r="E171" i="44"/>
  <c r="F171" i="44"/>
  <c r="G171" i="44"/>
  <c r="H171" i="44"/>
  <c r="I171" i="44"/>
  <c r="J171" i="44"/>
  <c r="K171" i="44"/>
  <c r="L171" i="44"/>
  <c r="M171" i="44"/>
  <c r="N171" i="44"/>
  <c r="O171" i="44"/>
  <c r="P171" i="44"/>
  <c r="Q171" i="44"/>
  <c r="R171" i="44"/>
  <c r="S171" i="44"/>
  <c r="T171" i="44"/>
  <c r="U171" i="44"/>
  <c r="V171" i="44"/>
  <c r="W171" i="44"/>
  <c r="X171" i="44"/>
  <c r="Y171" i="44"/>
  <c r="Z171" i="44"/>
  <c r="AA171" i="44"/>
  <c r="AB171" i="44"/>
  <c r="AC171" i="44"/>
  <c r="AD171" i="44"/>
  <c r="AE171" i="44"/>
  <c r="AF171" i="44"/>
  <c r="AG171" i="44"/>
  <c r="D172" i="44"/>
  <c r="E172" i="44"/>
  <c r="F172" i="44"/>
  <c r="G172" i="44"/>
  <c r="H172" i="44"/>
  <c r="I172" i="44"/>
  <c r="J172" i="44"/>
  <c r="K172" i="44"/>
  <c r="L172" i="44"/>
  <c r="M172" i="44"/>
  <c r="N172" i="44"/>
  <c r="O172" i="44"/>
  <c r="P172" i="44"/>
  <c r="Q172" i="44"/>
  <c r="R172" i="44"/>
  <c r="S172" i="44"/>
  <c r="T172" i="44"/>
  <c r="U172" i="44"/>
  <c r="V172" i="44"/>
  <c r="W172" i="44"/>
  <c r="X172" i="44"/>
  <c r="Y172" i="44"/>
  <c r="Z172" i="44"/>
  <c r="AA172" i="44"/>
  <c r="AB172" i="44"/>
  <c r="AC172" i="44"/>
  <c r="AD172" i="44"/>
  <c r="AE172" i="44"/>
  <c r="AF172" i="44"/>
  <c r="AG172" i="44"/>
  <c r="D173" i="44"/>
  <c r="E173" i="44"/>
  <c r="F173" i="44"/>
  <c r="G173" i="44"/>
  <c r="H173" i="44"/>
  <c r="I173" i="44"/>
  <c r="J173" i="44"/>
  <c r="K173" i="44"/>
  <c r="L173" i="44"/>
  <c r="M173" i="44"/>
  <c r="N173" i="44"/>
  <c r="O173" i="44"/>
  <c r="P173" i="44"/>
  <c r="Q173" i="44"/>
  <c r="R173" i="44"/>
  <c r="S173" i="44"/>
  <c r="T173" i="44"/>
  <c r="U173" i="44"/>
  <c r="V173" i="44"/>
  <c r="W173" i="44"/>
  <c r="X173" i="44"/>
  <c r="Y173" i="44"/>
  <c r="Z173" i="44"/>
  <c r="AA173" i="44"/>
  <c r="AB173" i="44"/>
  <c r="AC173" i="44"/>
  <c r="AD173" i="44"/>
  <c r="AE173" i="44"/>
  <c r="AF173" i="44"/>
  <c r="AG173" i="44"/>
  <c r="D174" i="44"/>
  <c r="E174" i="44"/>
  <c r="F174" i="44"/>
  <c r="G174" i="44"/>
  <c r="H174" i="44"/>
  <c r="I174" i="44"/>
  <c r="J174" i="44"/>
  <c r="K174" i="44"/>
  <c r="L174" i="44"/>
  <c r="M174" i="44"/>
  <c r="N174" i="44"/>
  <c r="O174" i="44"/>
  <c r="P174" i="44"/>
  <c r="Q174" i="44"/>
  <c r="R174" i="44"/>
  <c r="S174" i="44"/>
  <c r="T174" i="44"/>
  <c r="U174" i="44"/>
  <c r="V174" i="44"/>
  <c r="W174" i="44"/>
  <c r="X174" i="44"/>
  <c r="Y174" i="44"/>
  <c r="Z174" i="44"/>
  <c r="AA174" i="44"/>
  <c r="AB174" i="44"/>
  <c r="AC174" i="44"/>
  <c r="AD174" i="44"/>
  <c r="AE174" i="44"/>
  <c r="AF174" i="44"/>
  <c r="AG174" i="44"/>
  <c r="D175" i="44"/>
  <c r="E175" i="44"/>
  <c r="F175" i="44"/>
  <c r="G175" i="44"/>
  <c r="H175" i="44"/>
  <c r="I175" i="44"/>
  <c r="J175" i="44"/>
  <c r="K175" i="44"/>
  <c r="L175" i="44"/>
  <c r="M175" i="44"/>
  <c r="N175" i="44"/>
  <c r="O175" i="44"/>
  <c r="P175" i="44"/>
  <c r="Q175" i="44"/>
  <c r="R175" i="44"/>
  <c r="S175" i="44"/>
  <c r="T175" i="44"/>
  <c r="U175" i="44"/>
  <c r="V175" i="44"/>
  <c r="W175" i="44"/>
  <c r="X175" i="44"/>
  <c r="Y175" i="44"/>
  <c r="Z175" i="44"/>
  <c r="AA175" i="44"/>
  <c r="AB175" i="44"/>
  <c r="AC175" i="44"/>
  <c r="AD175" i="44"/>
  <c r="AE175" i="44"/>
  <c r="AF175" i="44"/>
  <c r="AG175" i="44"/>
  <c r="D176" i="44"/>
  <c r="E176" i="44"/>
  <c r="F176" i="44"/>
  <c r="G176" i="44"/>
  <c r="H176" i="44"/>
  <c r="I176" i="44"/>
  <c r="J176" i="44"/>
  <c r="K176" i="44"/>
  <c r="L176" i="44"/>
  <c r="M176" i="44"/>
  <c r="N176" i="44"/>
  <c r="O176" i="44"/>
  <c r="P176" i="44"/>
  <c r="Q176" i="44"/>
  <c r="R176" i="44"/>
  <c r="S176" i="44"/>
  <c r="T176" i="44"/>
  <c r="U176" i="44"/>
  <c r="V176" i="44"/>
  <c r="W176" i="44"/>
  <c r="X176" i="44"/>
  <c r="Y176" i="44"/>
  <c r="Z176" i="44"/>
  <c r="AA176" i="44"/>
  <c r="AB176" i="44"/>
  <c r="AC176" i="44"/>
  <c r="AD176" i="44"/>
  <c r="AE176" i="44"/>
  <c r="AF176" i="44"/>
  <c r="AG176" i="44"/>
  <c r="D177" i="44"/>
  <c r="E177" i="44"/>
  <c r="F177" i="44"/>
  <c r="G177" i="44"/>
  <c r="H177" i="44"/>
  <c r="I177" i="44"/>
  <c r="J177" i="44"/>
  <c r="K177" i="44"/>
  <c r="L177" i="44"/>
  <c r="M177" i="44"/>
  <c r="N177" i="44"/>
  <c r="O177" i="44"/>
  <c r="P177" i="44"/>
  <c r="Q177" i="44"/>
  <c r="R177" i="44"/>
  <c r="S177" i="44"/>
  <c r="T177" i="44"/>
  <c r="U177" i="44"/>
  <c r="V177" i="44"/>
  <c r="W177" i="44"/>
  <c r="X177" i="44"/>
  <c r="Y177" i="44"/>
  <c r="Z177" i="44"/>
  <c r="AA177" i="44"/>
  <c r="AB177" i="44"/>
  <c r="AC177" i="44"/>
  <c r="AD177" i="44"/>
  <c r="AE177" i="44"/>
  <c r="AF177" i="44"/>
  <c r="AG177" i="44"/>
  <c r="D178" i="44"/>
  <c r="E178" i="44"/>
  <c r="F178" i="44"/>
  <c r="G178" i="44"/>
  <c r="H178" i="44"/>
  <c r="I178" i="44"/>
  <c r="J178" i="44"/>
  <c r="K178" i="44"/>
  <c r="L178" i="44"/>
  <c r="M178" i="44"/>
  <c r="N178" i="44"/>
  <c r="O178" i="44"/>
  <c r="P178" i="44"/>
  <c r="Q178" i="44"/>
  <c r="R178" i="44"/>
  <c r="S178" i="44"/>
  <c r="T178" i="44"/>
  <c r="U178" i="44"/>
  <c r="V178" i="44"/>
  <c r="W178" i="44"/>
  <c r="X178" i="44"/>
  <c r="Y178" i="44"/>
  <c r="Z178" i="44"/>
  <c r="AA178" i="44"/>
  <c r="AB178" i="44"/>
  <c r="AC178" i="44"/>
  <c r="AD178" i="44"/>
  <c r="AE178" i="44"/>
  <c r="AF178" i="44"/>
  <c r="AG178" i="44"/>
  <c r="D179" i="44"/>
  <c r="E179" i="44"/>
  <c r="F179" i="44"/>
  <c r="G179" i="44"/>
  <c r="H179" i="44"/>
  <c r="I179" i="44"/>
  <c r="J179" i="44"/>
  <c r="K179" i="44"/>
  <c r="L179" i="44"/>
  <c r="M179" i="44"/>
  <c r="N179" i="44"/>
  <c r="O179" i="44"/>
  <c r="P179" i="44"/>
  <c r="Q179" i="44"/>
  <c r="R179" i="44"/>
  <c r="S179" i="44"/>
  <c r="T179" i="44"/>
  <c r="U179" i="44"/>
  <c r="V179" i="44"/>
  <c r="W179" i="44"/>
  <c r="X179" i="44"/>
  <c r="Y179" i="44"/>
  <c r="Z179" i="44"/>
  <c r="AA179" i="44"/>
  <c r="AB179" i="44"/>
  <c r="AC179" i="44"/>
  <c r="AD179" i="44"/>
  <c r="AE179" i="44"/>
  <c r="AF179" i="44"/>
  <c r="AG179" i="44"/>
  <c r="D180" i="44"/>
  <c r="E180" i="44"/>
  <c r="F180" i="44"/>
  <c r="G180" i="44"/>
  <c r="H180" i="44"/>
  <c r="I180" i="44"/>
  <c r="J180" i="44"/>
  <c r="K180" i="44"/>
  <c r="L180" i="44"/>
  <c r="M180" i="44"/>
  <c r="N180" i="44"/>
  <c r="O180" i="44"/>
  <c r="P180" i="44"/>
  <c r="Q180" i="44"/>
  <c r="R180" i="44"/>
  <c r="S180" i="44"/>
  <c r="T180" i="44"/>
  <c r="U180" i="44"/>
  <c r="V180" i="44"/>
  <c r="W180" i="44"/>
  <c r="X180" i="44"/>
  <c r="Y180" i="44"/>
  <c r="Z180" i="44"/>
  <c r="AA180" i="44"/>
  <c r="AB180" i="44"/>
  <c r="AC180" i="44"/>
  <c r="AD180" i="44"/>
  <c r="AE180" i="44"/>
  <c r="AF180" i="44"/>
  <c r="AG180" i="44"/>
  <c r="D181" i="44"/>
  <c r="E181" i="44"/>
  <c r="F181" i="44"/>
  <c r="G181" i="44"/>
  <c r="H181" i="44"/>
  <c r="I181" i="44"/>
  <c r="J181" i="44"/>
  <c r="K181" i="44"/>
  <c r="L181" i="44"/>
  <c r="M181" i="44"/>
  <c r="N181" i="44"/>
  <c r="O181" i="44"/>
  <c r="P181" i="44"/>
  <c r="Q181" i="44"/>
  <c r="R181" i="44"/>
  <c r="S181" i="44"/>
  <c r="T181" i="44"/>
  <c r="U181" i="44"/>
  <c r="V181" i="44"/>
  <c r="W181" i="44"/>
  <c r="X181" i="44"/>
  <c r="Y181" i="44"/>
  <c r="Z181" i="44"/>
  <c r="AA181" i="44"/>
  <c r="AB181" i="44"/>
  <c r="AC181" i="44"/>
  <c r="AD181" i="44"/>
  <c r="AE181" i="44"/>
  <c r="AF181" i="44"/>
  <c r="AG181" i="44"/>
  <c r="D182" i="44"/>
  <c r="E182" i="44"/>
  <c r="F182" i="44"/>
  <c r="G182" i="44"/>
  <c r="H182" i="44"/>
  <c r="I182" i="44"/>
  <c r="J182" i="44"/>
  <c r="K182" i="44"/>
  <c r="L182" i="44"/>
  <c r="M182" i="44"/>
  <c r="N182" i="44"/>
  <c r="O182" i="44"/>
  <c r="P182" i="44"/>
  <c r="Q182" i="44"/>
  <c r="R182" i="44"/>
  <c r="S182" i="44"/>
  <c r="T182" i="44"/>
  <c r="U182" i="44"/>
  <c r="V182" i="44"/>
  <c r="W182" i="44"/>
  <c r="X182" i="44"/>
  <c r="Y182" i="44"/>
  <c r="Z182" i="44"/>
  <c r="AA182" i="44"/>
  <c r="AB182" i="44"/>
  <c r="AC182" i="44"/>
  <c r="AD182" i="44"/>
  <c r="AE182" i="44"/>
  <c r="AF182" i="44"/>
  <c r="AG182" i="44"/>
  <c r="D183" i="44"/>
  <c r="E183" i="44"/>
  <c r="F183" i="44"/>
  <c r="G183" i="44"/>
  <c r="H183" i="44"/>
  <c r="I183" i="44"/>
  <c r="J183" i="44"/>
  <c r="K183" i="44"/>
  <c r="L183" i="44"/>
  <c r="M183" i="44"/>
  <c r="N183" i="44"/>
  <c r="O183" i="44"/>
  <c r="P183" i="44"/>
  <c r="Q183" i="44"/>
  <c r="R183" i="44"/>
  <c r="S183" i="44"/>
  <c r="T183" i="44"/>
  <c r="U183" i="44"/>
  <c r="V183" i="44"/>
  <c r="W183" i="44"/>
  <c r="X183" i="44"/>
  <c r="Y183" i="44"/>
  <c r="Z183" i="44"/>
  <c r="AA183" i="44"/>
  <c r="AB183" i="44"/>
  <c r="AC183" i="44"/>
  <c r="AD183" i="44"/>
  <c r="AE183" i="44"/>
  <c r="AF183" i="44"/>
  <c r="AG183" i="44"/>
  <c r="D184" i="44"/>
  <c r="E184" i="44"/>
  <c r="F184" i="44"/>
  <c r="G184" i="44"/>
  <c r="H184" i="44"/>
  <c r="I184" i="44"/>
  <c r="J184" i="44"/>
  <c r="K184" i="44"/>
  <c r="L184" i="44"/>
  <c r="M184" i="44"/>
  <c r="N184" i="44"/>
  <c r="O184" i="44"/>
  <c r="P184" i="44"/>
  <c r="Q184" i="44"/>
  <c r="R184" i="44"/>
  <c r="S184" i="44"/>
  <c r="T184" i="44"/>
  <c r="U184" i="44"/>
  <c r="V184" i="44"/>
  <c r="W184" i="44"/>
  <c r="X184" i="44"/>
  <c r="Y184" i="44"/>
  <c r="Z184" i="44"/>
  <c r="AA184" i="44"/>
  <c r="AB184" i="44"/>
  <c r="AC184" i="44"/>
  <c r="AD184" i="44"/>
  <c r="AE184" i="44"/>
  <c r="AF184" i="44"/>
  <c r="AG184" i="44"/>
  <c r="D185" i="44"/>
  <c r="E185" i="44"/>
  <c r="F185" i="44"/>
  <c r="G185" i="44"/>
  <c r="H185" i="44"/>
  <c r="I185" i="44"/>
  <c r="J185" i="44"/>
  <c r="K185" i="44"/>
  <c r="L185" i="44"/>
  <c r="M185" i="44"/>
  <c r="N185" i="44"/>
  <c r="O185" i="44"/>
  <c r="P185" i="44"/>
  <c r="Q185" i="44"/>
  <c r="R185" i="44"/>
  <c r="S185" i="44"/>
  <c r="T185" i="44"/>
  <c r="U185" i="44"/>
  <c r="V185" i="44"/>
  <c r="W185" i="44"/>
  <c r="X185" i="44"/>
  <c r="Y185" i="44"/>
  <c r="Z185" i="44"/>
  <c r="AA185" i="44"/>
  <c r="AB185" i="44"/>
  <c r="AC185" i="44"/>
  <c r="AD185" i="44"/>
  <c r="AE185" i="44"/>
  <c r="AF185" i="44"/>
  <c r="AG185" i="44"/>
  <c r="D186" i="44"/>
  <c r="E186" i="44"/>
  <c r="F186" i="44"/>
  <c r="G186" i="44"/>
  <c r="H186" i="44"/>
  <c r="I186" i="44"/>
  <c r="J186" i="44"/>
  <c r="K186" i="44"/>
  <c r="L186" i="44"/>
  <c r="M186" i="44"/>
  <c r="N186" i="44"/>
  <c r="O186" i="44"/>
  <c r="P186" i="44"/>
  <c r="Q186" i="44"/>
  <c r="R186" i="44"/>
  <c r="S186" i="44"/>
  <c r="T186" i="44"/>
  <c r="U186" i="44"/>
  <c r="V186" i="44"/>
  <c r="W186" i="44"/>
  <c r="X186" i="44"/>
  <c r="Y186" i="44"/>
  <c r="Z186" i="44"/>
  <c r="AA186" i="44"/>
  <c r="AB186" i="44"/>
  <c r="AC186" i="44"/>
  <c r="AD186" i="44"/>
  <c r="AE186" i="44"/>
  <c r="AF186" i="44"/>
  <c r="AG186" i="44"/>
  <c r="D187" i="44"/>
  <c r="E187" i="44"/>
  <c r="F187" i="44"/>
  <c r="G187" i="44"/>
  <c r="H187" i="44"/>
  <c r="I187" i="44"/>
  <c r="J187" i="44"/>
  <c r="K187" i="44"/>
  <c r="L187" i="44"/>
  <c r="M187" i="44"/>
  <c r="N187" i="44"/>
  <c r="O187" i="44"/>
  <c r="P187" i="44"/>
  <c r="Q187" i="44"/>
  <c r="R187" i="44"/>
  <c r="S187" i="44"/>
  <c r="T187" i="44"/>
  <c r="U187" i="44"/>
  <c r="V187" i="44"/>
  <c r="W187" i="44"/>
  <c r="X187" i="44"/>
  <c r="Y187" i="44"/>
  <c r="Z187" i="44"/>
  <c r="AA187" i="44"/>
  <c r="AB187" i="44"/>
  <c r="AC187" i="44"/>
  <c r="AD187" i="44"/>
  <c r="AE187" i="44"/>
  <c r="AF187" i="44"/>
  <c r="AG187" i="44"/>
  <c r="D188" i="44"/>
  <c r="E188" i="44"/>
  <c r="F188" i="44"/>
  <c r="G188" i="44"/>
  <c r="H188" i="44"/>
  <c r="I188" i="44"/>
  <c r="J188" i="44"/>
  <c r="K188" i="44"/>
  <c r="L188" i="44"/>
  <c r="M188" i="44"/>
  <c r="N188" i="44"/>
  <c r="O188" i="44"/>
  <c r="P188" i="44"/>
  <c r="Q188" i="44"/>
  <c r="R188" i="44"/>
  <c r="S188" i="44"/>
  <c r="T188" i="44"/>
  <c r="U188" i="44"/>
  <c r="V188" i="44"/>
  <c r="W188" i="44"/>
  <c r="X188" i="44"/>
  <c r="Y188" i="44"/>
  <c r="Z188" i="44"/>
  <c r="AA188" i="44"/>
  <c r="AB188" i="44"/>
  <c r="AC188" i="44"/>
  <c r="AD188" i="44"/>
  <c r="AE188" i="44"/>
  <c r="AF188" i="44"/>
  <c r="AG188" i="44"/>
  <c r="D189" i="44"/>
  <c r="E189" i="44"/>
  <c r="F189" i="44"/>
  <c r="G189" i="44"/>
  <c r="H189" i="44"/>
  <c r="I189" i="44"/>
  <c r="J189" i="44"/>
  <c r="K189" i="44"/>
  <c r="L189" i="44"/>
  <c r="M189" i="44"/>
  <c r="N189" i="44"/>
  <c r="O189" i="44"/>
  <c r="P189" i="44"/>
  <c r="Q189" i="44"/>
  <c r="R189" i="44"/>
  <c r="S189" i="44"/>
  <c r="T189" i="44"/>
  <c r="U189" i="44"/>
  <c r="V189" i="44"/>
  <c r="W189" i="44"/>
  <c r="X189" i="44"/>
  <c r="Y189" i="44"/>
  <c r="Z189" i="44"/>
  <c r="AA189" i="44"/>
  <c r="AB189" i="44"/>
  <c r="AC189" i="44"/>
  <c r="AD189" i="44"/>
  <c r="AE189" i="44"/>
  <c r="AF189" i="44"/>
  <c r="AG189" i="44"/>
  <c r="D190" i="44"/>
  <c r="E190" i="44"/>
  <c r="F190" i="44"/>
  <c r="G190" i="44"/>
  <c r="H190" i="44"/>
  <c r="I190" i="44"/>
  <c r="J190" i="44"/>
  <c r="K190" i="44"/>
  <c r="L190" i="44"/>
  <c r="M190" i="44"/>
  <c r="N190" i="44"/>
  <c r="O190" i="44"/>
  <c r="P190" i="44"/>
  <c r="Q190" i="44"/>
  <c r="R190" i="44"/>
  <c r="S190" i="44"/>
  <c r="T190" i="44"/>
  <c r="U190" i="44"/>
  <c r="V190" i="44"/>
  <c r="W190" i="44"/>
  <c r="X190" i="44"/>
  <c r="Y190" i="44"/>
  <c r="Z190" i="44"/>
  <c r="AA190" i="44"/>
  <c r="AB190" i="44"/>
  <c r="AC190" i="44"/>
  <c r="AD190" i="44"/>
  <c r="AE190" i="44"/>
  <c r="AF190" i="44"/>
  <c r="AG190" i="44"/>
  <c r="D191" i="44"/>
  <c r="E191" i="44"/>
  <c r="F191" i="44"/>
  <c r="G191" i="44"/>
  <c r="H191" i="44"/>
  <c r="I191" i="44"/>
  <c r="J191" i="44"/>
  <c r="K191" i="44"/>
  <c r="L191" i="44"/>
  <c r="M191" i="44"/>
  <c r="N191" i="44"/>
  <c r="O191" i="44"/>
  <c r="P191" i="44"/>
  <c r="Q191" i="44"/>
  <c r="R191" i="44"/>
  <c r="S191" i="44"/>
  <c r="T191" i="44"/>
  <c r="U191" i="44"/>
  <c r="V191" i="44"/>
  <c r="W191" i="44"/>
  <c r="X191" i="44"/>
  <c r="Y191" i="44"/>
  <c r="Z191" i="44"/>
  <c r="AA191" i="44"/>
  <c r="AB191" i="44"/>
  <c r="AC191" i="44"/>
  <c r="AD191" i="44"/>
  <c r="AE191" i="44"/>
  <c r="AF191" i="44"/>
  <c r="AG191" i="44"/>
  <c r="D192" i="44"/>
  <c r="E192" i="44"/>
  <c r="F192" i="44"/>
  <c r="G192" i="44"/>
  <c r="H192" i="44"/>
  <c r="I192" i="44"/>
  <c r="J192" i="44"/>
  <c r="K192" i="44"/>
  <c r="L192" i="44"/>
  <c r="M192" i="44"/>
  <c r="N192" i="44"/>
  <c r="O192" i="44"/>
  <c r="P192" i="44"/>
  <c r="Q192" i="44"/>
  <c r="R192" i="44"/>
  <c r="S192" i="44"/>
  <c r="T192" i="44"/>
  <c r="U192" i="44"/>
  <c r="V192" i="44"/>
  <c r="W192" i="44"/>
  <c r="X192" i="44"/>
  <c r="Y192" i="44"/>
  <c r="Z192" i="44"/>
  <c r="AA192" i="44"/>
  <c r="AB192" i="44"/>
  <c r="AC192" i="44"/>
  <c r="AD192" i="44"/>
  <c r="AE192" i="44"/>
  <c r="AF192" i="44"/>
  <c r="AG192" i="44"/>
  <c r="D193" i="44"/>
  <c r="E193" i="44"/>
  <c r="F193" i="44"/>
  <c r="G193" i="44"/>
  <c r="H193" i="44"/>
  <c r="I193" i="44"/>
  <c r="J193" i="44"/>
  <c r="K193" i="44"/>
  <c r="L193" i="44"/>
  <c r="M193" i="44"/>
  <c r="N193" i="44"/>
  <c r="O193" i="44"/>
  <c r="P193" i="44"/>
  <c r="Q193" i="44"/>
  <c r="R193" i="44"/>
  <c r="S193" i="44"/>
  <c r="T193" i="44"/>
  <c r="U193" i="44"/>
  <c r="V193" i="44"/>
  <c r="W193" i="44"/>
  <c r="X193" i="44"/>
  <c r="Y193" i="44"/>
  <c r="Z193" i="44"/>
  <c r="AA193" i="44"/>
  <c r="AB193" i="44"/>
  <c r="AC193" i="44"/>
  <c r="AD193" i="44"/>
  <c r="AE193" i="44"/>
  <c r="AF193" i="44"/>
  <c r="AG193" i="44"/>
  <c r="D194" i="44"/>
  <c r="E194" i="44"/>
  <c r="F194" i="44"/>
  <c r="G194" i="44"/>
  <c r="H194" i="44"/>
  <c r="I194" i="44"/>
  <c r="J194" i="44"/>
  <c r="K194" i="44"/>
  <c r="L194" i="44"/>
  <c r="M194" i="44"/>
  <c r="N194" i="44"/>
  <c r="O194" i="44"/>
  <c r="P194" i="44"/>
  <c r="Q194" i="44"/>
  <c r="R194" i="44"/>
  <c r="S194" i="44"/>
  <c r="T194" i="44"/>
  <c r="U194" i="44"/>
  <c r="V194" i="44"/>
  <c r="W194" i="44"/>
  <c r="X194" i="44"/>
  <c r="Y194" i="44"/>
  <c r="Z194" i="44"/>
  <c r="AA194" i="44"/>
  <c r="AB194" i="44"/>
  <c r="AC194" i="44"/>
  <c r="AD194" i="44"/>
  <c r="AE194" i="44"/>
  <c r="AF194" i="44"/>
  <c r="AG194" i="44"/>
  <c r="D195" i="44"/>
  <c r="E195" i="44"/>
  <c r="F195" i="44"/>
  <c r="G195" i="44"/>
  <c r="H195" i="44"/>
  <c r="I195" i="44"/>
  <c r="J195" i="44"/>
  <c r="K195" i="44"/>
  <c r="L195" i="44"/>
  <c r="M195" i="44"/>
  <c r="N195" i="44"/>
  <c r="O195" i="44"/>
  <c r="P195" i="44"/>
  <c r="Q195" i="44"/>
  <c r="R195" i="44"/>
  <c r="S195" i="44"/>
  <c r="T195" i="44"/>
  <c r="U195" i="44"/>
  <c r="V195" i="44"/>
  <c r="W195" i="44"/>
  <c r="X195" i="44"/>
  <c r="Y195" i="44"/>
  <c r="Z195" i="44"/>
  <c r="AA195" i="44"/>
  <c r="AB195" i="44"/>
  <c r="AC195" i="44"/>
  <c r="AD195" i="44"/>
  <c r="AE195" i="44"/>
  <c r="AF195" i="44"/>
  <c r="AG195" i="44"/>
  <c r="D196" i="44"/>
  <c r="E196" i="44"/>
  <c r="F196" i="44"/>
  <c r="G196" i="44"/>
  <c r="H196" i="44"/>
  <c r="I196" i="44"/>
  <c r="J196" i="44"/>
  <c r="K196" i="44"/>
  <c r="L196" i="44"/>
  <c r="M196" i="44"/>
  <c r="N196" i="44"/>
  <c r="O196" i="44"/>
  <c r="P196" i="44"/>
  <c r="Q196" i="44"/>
  <c r="R196" i="44"/>
  <c r="S196" i="44"/>
  <c r="T196" i="44"/>
  <c r="U196" i="44"/>
  <c r="V196" i="44"/>
  <c r="W196" i="44"/>
  <c r="X196" i="44"/>
  <c r="Y196" i="44"/>
  <c r="Z196" i="44"/>
  <c r="AA196" i="44"/>
  <c r="AB196" i="44"/>
  <c r="AC196" i="44"/>
  <c r="AD196" i="44"/>
  <c r="AE196" i="44"/>
  <c r="AF196" i="44"/>
  <c r="AG196" i="44"/>
  <c r="D197" i="44"/>
  <c r="E197" i="44"/>
  <c r="F197" i="44"/>
  <c r="G197" i="44"/>
  <c r="H197" i="44"/>
  <c r="I197" i="44"/>
  <c r="J197" i="44"/>
  <c r="K197" i="44"/>
  <c r="L197" i="44"/>
  <c r="M197" i="44"/>
  <c r="N197" i="44"/>
  <c r="O197" i="44"/>
  <c r="P197" i="44"/>
  <c r="Q197" i="44"/>
  <c r="R197" i="44"/>
  <c r="S197" i="44"/>
  <c r="T197" i="44"/>
  <c r="U197" i="44"/>
  <c r="V197" i="44"/>
  <c r="W197" i="44"/>
  <c r="X197" i="44"/>
  <c r="Y197" i="44"/>
  <c r="Z197" i="44"/>
  <c r="AA197" i="44"/>
  <c r="AB197" i="44"/>
  <c r="AC197" i="44"/>
  <c r="AD197" i="44"/>
  <c r="AE197" i="44"/>
  <c r="AF197" i="44"/>
  <c r="AG197" i="44"/>
  <c r="D198" i="44"/>
  <c r="E198" i="44"/>
  <c r="F198" i="44"/>
  <c r="G198" i="44"/>
  <c r="H198" i="44"/>
  <c r="I198" i="44"/>
  <c r="J198" i="44"/>
  <c r="K198" i="44"/>
  <c r="L198" i="44"/>
  <c r="M198" i="44"/>
  <c r="N198" i="44"/>
  <c r="O198" i="44"/>
  <c r="P198" i="44"/>
  <c r="Q198" i="44"/>
  <c r="R198" i="44"/>
  <c r="S198" i="44"/>
  <c r="T198" i="44"/>
  <c r="U198" i="44"/>
  <c r="V198" i="44"/>
  <c r="W198" i="44"/>
  <c r="X198" i="44"/>
  <c r="Y198" i="44"/>
  <c r="Z198" i="44"/>
  <c r="AA198" i="44"/>
  <c r="AB198" i="44"/>
  <c r="AC198" i="44"/>
  <c r="AD198" i="44"/>
  <c r="AE198" i="44"/>
  <c r="AF198" i="44"/>
  <c r="AG198" i="44"/>
  <c r="D199" i="44"/>
  <c r="E199" i="44"/>
  <c r="F199" i="44"/>
  <c r="G199" i="44"/>
  <c r="H199" i="44"/>
  <c r="I199" i="44"/>
  <c r="J199" i="44"/>
  <c r="K199" i="44"/>
  <c r="L199" i="44"/>
  <c r="M199" i="44"/>
  <c r="N199" i="44"/>
  <c r="O199" i="44"/>
  <c r="P199" i="44"/>
  <c r="Q199" i="44"/>
  <c r="R199" i="44"/>
  <c r="S199" i="44"/>
  <c r="T199" i="44"/>
  <c r="U199" i="44"/>
  <c r="V199" i="44"/>
  <c r="W199" i="44"/>
  <c r="X199" i="44"/>
  <c r="Y199" i="44"/>
  <c r="Z199" i="44"/>
  <c r="AA199" i="44"/>
  <c r="AB199" i="44"/>
  <c r="AC199" i="44"/>
  <c r="AD199" i="44"/>
  <c r="AE199" i="44"/>
  <c r="AF199" i="44"/>
  <c r="AG199" i="44"/>
  <c r="D200" i="44"/>
  <c r="E200" i="44"/>
  <c r="F200" i="44"/>
  <c r="G200" i="44"/>
  <c r="H200" i="44"/>
  <c r="I200" i="44"/>
  <c r="J200" i="44"/>
  <c r="K200" i="44"/>
  <c r="L200" i="44"/>
  <c r="M200" i="44"/>
  <c r="N200" i="44"/>
  <c r="O200" i="44"/>
  <c r="P200" i="44"/>
  <c r="Q200" i="44"/>
  <c r="R200" i="44"/>
  <c r="S200" i="44"/>
  <c r="T200" i="44"/>
  <c r="U200" i="44"/>
  <c r="V200" i="44"/>
  <c r="W200" i="44"/>
  <c r="X200" i="44"/>
  <c r="Y200" i="44"/>
  <c r="Z200" i="44"/>
  <c r="AA200" i="44"/>
  <c r="AB200" i="44"/>
  <c r="AC200" i="44"/>
  <c r="AD200" i="44"/>
  <c r="AE200" i="44"/>
  <c r="AF200" i="44"/>
  <c r="AG200" i="44"/>
  <c r="D201" i="44"/>
  <c r="E201" i="44"/>
  <c r="F201" i="44"/>
  <c r="G201" i="44"/>
  <c r="H201" i="44"/>
  <c r="I201" i="44"/>
  <c r="J201" i="44"/>
  <c r="K201" i="44"/>
  <c r="L201" i="44"/>
  <c r="M201" i="44"/>
  <c r="N201" i="44"/>
  <c r="O201" i="44"/>
  <c r="P201" i="44"/>
  <c r="Q201" i="44"/>
  <c r="R201" i="44"/>
  <c r="S201" i="44"/>
  <c r="T201" i="44"/>
  <c r="U201" i="44"/>
  <c r="V201" i="44"/>
  <c r="W201" i="44"/>
  <c r="X201" i="44"/>
  <c r="Y201" i="44"/>
  <c r="Z201" i="44"/>
  <c r="AA201" i="44"/>
  <c r="AB201" i="44"/>
  <c r="AC201" i="44"/>
  <c r="AD201" i="44"/>
  <c r="AE201" i="44"/>
  <c r="AF201" i="44"/>
  <c r="AG201" i="44"/>
  <c r="D202" i="44"/>
  <c r="E202" i="44"/>
  <c r="F202" i="44"/>
  <c r="G202" i="44"/>
  <c r="H202" i="44"/>
  <c r="I202" i="44"/>
  <c r="J202" i="44"/>
  <c r="K202" i="44"/>
  <c r="L202" i="44"/>
  <c r="M202" i="44"/>
  <c r="N202" i="44"/>
  <c r="O202" i="44"/>
  <c r="P202" i="44"/>
  <c r="Q202" i="44"/>
  <c r="R202" i="44"/>
  <c r="S202" i="44"/>
  <c r="T202" i="44"/>
  <c r="U202" i="44"/>
  <c r="V202" i="44"/>
  <c r="W202" i="44"/>
  <c r="X202" i="44"/>
  <c r="Y202" i="44"/>
  <c r="Z202" i="44"/>
  <c r="AA202" i="44"/>
  <c r="AB202" i="44"/>
  <c r="AC202" i="44"/>
  <c r="AD202" i="44"/>
  <c r="AE202" i="44"/>
  <c r="AF202" i="44"/>
  <c r="AG202" i="44"/>
  <c r="D203" i="44"/>
  <c r="E203" i="44"/>
  <c r="F203" i="44"/>
  <c r="G203" i="44"/>
  <c r="H203" i="44"/>
  <c r="I203" i="44"/>
  <c r="J203" i="44"/>
  <c r="K203" i="44"/>
  <c r="L203" i="44"/>
  <c r="M203" i="44"/>
  <c r="N203" i="44"/>
  <c r="O203" i="44"/>
  <c r="P203" i="44"/>
  <c r="Q203" i="44"/>
  <c r="R203" i="44"/>
  <c r="S203" i="44"/>
  <c r="T203" i="44"/>
  <c r="U203" i="44"/>
  <c r="V203" i="44"/>
  <c r="W203" i="44"/>
  <c r="X203" i="44"/>
  <c r="Y203" i="44"/>
  <c r="Z203" i="44"/>
  <c r="AA203" i="44"/>
  <c r="AB203" i="44"/>
  <c r="AC203" i="44"/>
  <c r="AD203" i="44"/>
  <c r="AE203" i="44"/>
  <c r="AF203" i="44"/>
  <c r="AG203" i="44"/>
  <c r="D204" i="44"/>
  <c r="E204" i="44"/>
  <c r="F204" i="44"/>
  <c r="G204" i="44"/>
  <c r="H204" i="44"/>
  <c r="I204" i="44"/>
  <c r="J204" i="44"/>
  <c r="K204" i="44"/>
  <c r="L204" i="44"/>
  <c r="M204" i="44"/>
  <c r="N204" i="44"/>
  <c r="O204" i="44"/>
  <c r="P204" i="44"/>
  <c r="Q204" i="44"/>
  <c r="R204" i="44"/>
  <c r="S204" i="44"/>
  <c r="T204" i="44"/>
  <c r="U204" i="44"/>
  <c r="V204" i="44"/>
  <c r="W204" i="44"/>
  <c r="X204" i="44"/>
  <c r="Y204" i="44"/>
  <c r="Z204" i="44"/>
  <c r="AA204" i="44"/>
  <c r="AB204" i="44"/>
  <c r="AC204" i="44"/>
  <c r="AD204" i="44"/>
  <c r="AE204" i="44"/>
  <c r="AF204" i="44"/>
  <c r="AG204" i="44"/>
  <c r="D205" i="44"/>
  <c r="E205" i="44"/>
  <c r="F205" i="44"/>
  <c r="G205" i="44"/>
  <c r="H205" i="44"/>
  <c r="I205" i="44"/>
  <c r="J205" i="44"/>
  <c r="K205" i="44"/>
  <c r="L205" i="44"/>
  <c r="M205" i="44"/>
  <c r="N205" i="44"/>
  <c r="O205" i="44"/>
  <c r="P205" i="44"/>
  <c r="Q205" i="44"/>
  <c r="R205" i="44"/>
  <c r="S205" i="44"/>
  <c r="T205" i="44"/>
  <c r="U205" i="44"/>
  <c r="V205" i="44"/>
  <c r="W205" i="44"/>
  <c r="X205" i="44"/>
  <c r="Y205" i="44"/>
  <c r="Z205" i="44"/>
  <c r="AA205" i="44"/>
  <c r="AB205" i="44"/>
  <c r="AC205" i="44"/>
  <c r="AD205" i="44"/>
  <c r="AE205" i="44"/>
  <c r="AF205" i="44"/>
  <c r="AG205" i="44"/>
  <c r="D206" i="44"/>
  <c r="E206" i="44"/>
  <c r="F206" i="44"/>
  <c r="G206" i="44"/>
  <c r="H206" i="44"/>
  <c r="I206" i="44"/>
  <c r="J206" i="44"/>
  <c r="K206" i="44"/>
  <c r="L206" i="44"/>
  <c r="M206" i="44"/>
  <c r="N206" i="44"/>
  <c r="O206" i="44"/>
  <c r="P206" i="44"/>
  <c r="Q206" i="44"/>
  <c r="R206" i="44"/>
  <c r="S206" i="44"/>
  <c r="T206" i="44"/>
  <c r="U206" i="44"/>
  <c r="V206" i="44"/>
  <c r="W206" i="44"/>
  <c r="X206" i="44"/>
  <c r="Y206" i="44"/>
  <c r="Z206" i="44"/>
  <c r="AA206" i="44"/>
  <c r="AB206" i="44"/>
  <c r="AC206" i="44"/>
  <c r="AD206" i="44"/>
  <c r="AE206" i="44"/>
  <c r="AF206" i="44"/>
  <c r="AG206" i="44"/>
  <c r="D207" i="44"/>
  <c r="E207" i="44"/>
  <c r="F207" i="44"/>
  <c r="G207" i="44"/>
  <c r="H207" i="44"/>
  <c r="I207" i="44"/>
  <c r="J207" i="44"/>
  <c r="K207" i="44"/>
  <c r="L207" i="44"/>
  <c r="M207" i="44"/>
  <c r="N207" i="44"/>
  <c r="O207" i="44"/>
  <c r="P207" i="44"/>
  <c r="Q207" i="44"/>
  <c r="R207" i="44"/>
  <c r="S207" i="44"/>
  <c r="T207" i="44"/>
  <c r="U207" i="44"/>
  <c r="V207" i="44"/>
  <c r="W207" i="44"/>
  <c r="X207" i="44"/>
  <c r="Y207" i="44"/>
  <c r="Z207" i="44"/>
  <c r="AA207" i="44"/>
  <c r="AB207" i="44"/>
  <c r="AC207" i="44"/>
  <c r="AD207" i="44"/>
  <c r="AE207" i="44"/>
  <c r="AF207" i="44"/>
  <c r="AG207" i="44"/>
  <c r="D208" i="44"/>
  <c r="E208" i="44"/>
  <c r="F208" i="44"/>
  <c r="G208" i="44"/>
  <c r="H208" i="44"/>
  <c r="I208" i="44"/>
  <c r="J208" i="44"/>
  <c r="K208" i="44"/>
  <c r="L208" i="44"/>
  <c r="M208" i="44"/>
  <c r="N208" i="44"/>
  <c r="O208" i="44"/>
  <c r="P208" i="44"/>
  <c r="Q208" i="44"/>
  <c r="R208" i="44"/>
  <c r="S208" i="44"/>
  <c r="T208" i="44"/>
  <c r="U208" i="44"/>
  <c r="V208" i="44"/>
  <c r="W208" i="44"/>
  <c r="X208" i="44"/>
  <c r="Y208" i="44"/>
  <c r="Z208" i="44"/>
  <c r="AA208" i="44"/>
  <c r="AB208" i="44"/>
  <c r="AC208" i="44"/>
  <c r="AD208" i="44"/>
  <c r="AE208" i="44"/>
  <c r="AF208" i="44"/>
  <c r="AG208" i="44"/>
  <c r="D209" i="44"/>
  <c r="E209" i="44"/>
  <c r="F209" i="44"/>
  <c r="G209" i="44"/>
  <c r="H209" i="44"/>
  <c r="I209" i="44"/>
  <c r="J209" i="44"/>
  <c r="K209" i="44"/>
  <c r="L209" i="44"/>
  <c r="M209" i="44"/>
  <c r="N209" i="44"/>
  <c r="O209" i="44"/>
  <c r="P209" i="44"/>
  <c r="Q209" i="44"/>
  <c r="R209" i="44"/>
  <c r="S209" i="44"/>
  <c r="T209" i="44"/>
  <c r="U209" i="44"/>
  <c r="V209" i="44"/>
  <c r="W209" i="44"/>
  <c r="X209" i="44"/>
  <c r="Y209" i="44"/>
  <c r="Z209" i="44"/>
  <c r="AA209" i="44"/>
  <c r="AB209" i="44"/>
  <c r="AC209" i="44"/>
  <c r="AD209" i="44"/>
  <c r="AE209" i="44"/>
  <c r="AF209" i="44"/>
  <c r="AG209" i="44"/>
  <c r="D210" i="44"/>
  <c r="E210" i="44"/>
  <c r="F210" i="44"/>
  <c r="G210" i="44"/>
  <c r="H210" i="44"/>
  <c r="I210" i="44"/>
  <c r="J210" i="44"/>
  <c r="K210" i="44"/>
  <c r="L210" i="44"/>
  <c r="M210" i="44"/>
  <c r="N210" i="44"/>
  <c r="O210" i="44"/>
  <c r="P210" i="44"/>
  <c r="Q210" i="44"/>
  <c r="R210" i="44"/>
  <c r="S210" i="44"/>
  <c r="T210" i="44"/>
  <c r="U210" i="44"/>
  <c r="V210" i="44"/>
  <c r="W210" i="44"/>
  <c r="X210" i="44"/>
  <c r="Y210" i="44"/>
  <c r="Z210" i="44"/>
  <c r="AA210" i="44"/>
  <c r="AB210" i="44"/>
  <c r="AC210" i="44"/>
  <c r="AD210" i="44"/>
  <c r="AE210" i="44"/>
  <c r="AF210" i="44"/>
  <c r="AG210" i="44"/>
  <c r="D213" i="44"/>
  <c r="E213" i="44"/>
  <c r="F213" i="44"/>
  <c r="G213" i="44"/>
  <c r="H213" i="44"/>
  <c r="I213" i="44"/>
  <c r="J213" i="44"/>
  <c r="K213" i="44"/>
  <c r="L213" i="44"/>
  <c r="M213" i="44"/>
  <c r="N213" i="44"/>
  <c r="O213" i="44"/>
  <c r="P213" i="44"/>
  <c r="Q213" i="44"/>
  <c r="R213" i="44"/>
  <c r="S213" i="44"/>
  <c r="T213" i="44"/>
  <c r="U213" i="44"/>
  <c r="V213" i="44"/>
  <c r="W213" i="44"/>
  <c r="X213" i="44"/>
  <c r="Y213" i="44"/>
  <c r="Z213" i="44"/>
  <c r="AA213" i="44"/>
  <c r="AB213" i="44"/>
  <c r="AC213" i="44"/>
  <c r="AD213" i="44"/>
  <c r="AE213" i="44"/>
  <c r="AF213" i="44"/>
  <c r="AG213" i="44"/>
  <c r="D214" i="44"/>
  <c r="E214" i="44"/>
  <c r="F214" i="44"/>
  <c r="G214" i="44"/>
  <c r="H214" i="44"/>
  <c r="I214" i="44"/>
  <c r="J214" i="44"/>
  <c r="K214" i="44"/>
  <c r="L214" i="44"/>
  <c r="M214" i="44"/>
  <c r="N214" i="44"/>
  <c r="O214" i="44"/>
  <c r="P214" i="44"/>
  <c r="Q214" i="44"/>
  <c r="R214" i="44"/>
  <c r="S214" i="44"/>
  <c r="T214" i="44"/>
  <c r="U214" i="44"/>
  <c r="V214" i="44"/>
  <c r="W214" i="44"/>
  <c r="X214" i="44"/>
  <c r="Y214" i="44"/>
  <c r="Z214" i="44"/>
  <c r="AA214" i="44"/>
  <c r="AB214" i="44"/>
  <c r="AC214" i="44"/>
  <c r="AD214" i="44"/>
  <c r="AE214" i="44"/>
  <c r="AF214" i="44"/>
  <c r="AG214" i="44"/>
  <c r="D215" i="44"/>
  <c r="E215" i="44"/>
  <c r="F215" i="44"/>
  <c r="G215" i="44"/>
  <c r="H215" i="44"/>
  <c r="I215" i="44"/>
  <c r="J215" i="44"/>
  <c r="K215" i="44"/>
  <c r="L215" i="44"/>
  <c r="M215" i="44"/>
  <c r="N215" i="44"/>
  <c r="O215" i="44"/>
  <c r="P215" i="44"/>
  <c r="Q215" i="44"/>
  <c r="R215" i="44"/>
  <c r="S215" i="44"/>
  <c r="T215" i="44"/>
  <c r="U215" i="44"/>
  <c r="V215" i="44"/>
  <c r="W215" i="44"/>
  <c r="X215" i="44"/>
  <c r="Y215" i="44"/>
  <c r="Z215" i="44"/>
  <c r="AA215" i="44"/>
  <c r="AB215" i="44"/>
  <c r="AC215" i="44"/>
  <c r="AD215" i="44"/>
  <c r="AE215" i="44"/>
  <c r="AF215" i="44"/>
  <c r="AG215" i="44"/>
  <c r="D216" i="44"/>
  <c r="E216" i="44"/>
  <c r="F216" i="44"/>
  <c r="G216" i="44"/>
  <c r="H216" i="44"/>
  <c r="I216" i="44"/>
  <c r="J216" i="44"/>
  <c r="K216" i="44"/>
  <c r="L216" i="44"/>
  <c r="M216" i="44"/>
  <c r="N216" i="44"/>
  <c r="O216" i="44"/>
  <c r="P216" i="44"/>
  <c r="Q216" i="44"/>
  <c r="R216" i="44"/>
  <c r="S216" i="44"/>
  <c r="T216" i="44"/>
  <c r="U216" i="44"/>
  <c r="V216" i="44"/>
  <c r="W216" i="44"/>
  <c r="X216" i="44"/>
  <c r="Y216" i="44"/>
  <c r="Z216" i="44"/>
  <c r="AA216" i="44"/>
  <c r="AB216" i="44"/>
  <c r="AC216" i="44"/>
  <c r="AD216" i="44"/>
  <c r="AE216" i="44"/>
  <c r="AF216" i="44"/>
  <c r="AG216" i="44"/>
  <c r="D217" i="44"/>
  <c r="E217" i="44"/>
  <c r="F217" i="44"/>
  <c r="G217" i="44"/>
  <c r="H217" i="44"/>
  <c r="I217" i="44"/>
  <c r="J217" i="44"/>
  <c r="K217" i="44"/>
  <c r="L217" i="44"/>
  <c r="M217" i="44"/>
  <c r="N217" i="44"/>
  <c r="O217" i="44"/>
  <c r="P217" i="44"/>
  <c r="Q217" i="44"/>
  <c r="R217" i="44"/>
  <c r="S217" i="44"/>
  <c r="T217" i="44"/>
  <c r="U217" i="44"/>
  <c r="V217" i="44"/>
  <c r="W217" i="44"/>
  <c r="X217" i="44"/>
  <c r="Y217" i="44"/>
  <c r="Z217" i="44"/>
  <c r="AA217" i="44"/>
  <c r="AB217" i="44"/>
  <c r="AC217" i="44"/>
  <c r="AD217" i="44"/>
  <c r="AE217" i="44"/>
  <c r="AF217" i="44"/>
  <c r="AG217" i="44"/>
  <c r="D218" i="44"/>
  <c r="E218" i="44"/>
  <c r="F218" i="44"/>
  <c r="G218" i="44"/>
  <c r="H218" i="44"/>
  <c r="I218" i="44"/>
  <c r="J218" i="44"/>
  <c r="K218" i="44"/>
  <c r="L218" i="44"/>
  <c r="M218" i="44"/>
  <c r="N218" i="44"/>
  <c r="O218" i="44"/>
  <c r="P218" i="44"/>
  <c r="Q218" i="44"/>
  <c r="R218" i="44"/>
  <c r="S218" i="44"/>
  <c r="T218" i="44"/>
  <c r="U218" i="44"/>
  <c r="V218" i="44"/>
  <c r="W218" i="44"/>
  <c r="X218" i="44"/>
  <c r="Y218" i="44"/>
  <c r="Z218" i="44"/>
  <c r="AA218" i="44"/>
  <c r="AB218" i="44"/>
  <c r="AC218" i="44"/>
  <c r="AD218" i="44"/>
  <c r="AE218" i="44"/>
  <c r="AF218" i="44"/>
  <c r="AG218" i="44"/>
  <c r="D219" i="44"/>
  <c r="E219" i="44"/>
  <c r="F219" i="44"/>
  <c r="G219" i="44"/>
  <c r="H219" i="44"/>
  <c r="I219" i="44"/>
  <c r="J219" i="44"/>
  <c r="K219" i="44"/>
  <c r="L219" i="44"/>
  <c r="M219" i="44"/>
  <c r="N219" i="44"/>
  <c r="O219" i="44"/>
  <c r="P219" i="44"/>
  <c r="Q219" i="44"/>
  <c r="R219" i="44"/>
  <c r="S219" i="44"/>
  <c r="T219" i="44"/>
  <c r="U219" i="44"/>
  <c r="V219" i="44"/>
  <c r="W219" i="44"/>
  <c r="X219" i="44"/>
  <c r="Y219" i="44"/>
  <c r="Z219" i="44"/>
  <c r="AA219" i="44"/>
  <c r="AB219" i="44"/>
  <c r="AC219" i="44"/>
  <c r="AD219" i="44"/>
  <c r="AE219" i="44"/>
  <c r="AF219" i="44"/>
  <c r="AG219" i="44"/>
  <c r="D220" i="44"/>
  <c r="E220" i="44"/>
  <c r="F220" i="44"/>
  <c r="G220" i="44"/>
  <c r="H220" i="44"/>
  <c r="I220" i="44"/>
  <c r="J220" i="44"/>
  <c r="K220" i="44"/>
  <c r="L220" i="44"/>
  <c r="M220" i="44"/>
  <c r="N220" i="44"/>
  <c r="O220" i="44"/>
  <c r="P220" i="44"/>
  <c r="Q220" i="44"/>
  <c r="R220" i="44"/>
  <c r="S220" i="44"/>
  <c r="T220" i="44"/>
  <c r="U220" i="44"/>
  <c r="V220" i="44"/>
  <c r="W220" i="44"/>
  <c r="X220" i="44"/>
  <c r="Y220" i="44"/>
  <c r="Z220" i="44"/>
  <c r="AA220" i="44"/>
  <c r="AB220" i="44"/>
  <c r="AC220" i="44"/>
  <c r="AD220" i="44"/>
  <c r="AE220" i="44"/>
  <c r="AF220" i="44"/>
  <c r="AG220" i="44"/>
  <c r="D221" i="44"/>
  <c r="E221" i="44"/>
  <c r="F221" i="44"/>
  <c r="G221" i="44"/>
  <c r="H221" i="44"/>
  <c r="I221" i="44"/>
  <c r="J221" i="44"/>
  <c r="K221" i="44"/>
  <c r="L221" i="44"/>
  <c r="M221" i="44"/>
  <c r="N221" i="44"/>
  <c r="O221" i="44"/>
  <c r="P221" i="44"/>
  <c r="Q221" i="44"/>
  <c r="R221" i="44"/>
  <c r="S221" i="44"/>
  <c r="T221" i="44"/>
  <c r="U221" i="44"/>
  <c r="V221" i="44"/>
  <c r="W221" i="44"/>
  <c r="X221" i="44"/>
  <c r="Y221" i="44"/>
  <c r="Z221" i="44"/>
  <c r="AA221" i="44"/>
  <c r="AB221" i="44"/>
  <c r="AC221" i="44"/>
  <c r="AD221" i="44"/>
  <c r="AE221" i="44"/>
  <c r="AF221" i="44"/>
  <c r="AG221" i="44"/>
  <c r="D222" i="44"/>
  <c r="E222" i="44"/>
  <c r="F222" i="44"/>
  <c r="G222" i="44"/>
  <c r="H222" i="44"/>
  <c r="I222" i="44"/>
  <c r="J222" i="44"/>
  <c r="K222" i="44"/>
  <c r="L222" i="44"/>
  <c r="M222" i="44"/>
  <c r="N222" i="44"/>
  <c r="O222" i="44"/>
  <c r="P222" i="44"/>
  <c r="Q222" i="44"/>
  <c r="R222" i="44"/>
  <c r="S222" i="44"/>
  <c r="T222" i="44"/>
  <c r="U222" i="44"/>
  <c r="V222" i="44"/>
  <c r="W222" i="44"/>
  <c r="X222" i="44"/>
  <c r="Y222" i="44"/>
  <c r="Z222" i="44"/>
  <c r="AA222" i="44"/>
  <c r="AB222" i="44"/>
  <c r="AC222" i="44"/>
  <c r="AD222" i="44"/>
  <c r="AE222" i="44"/>
  <c r="AF222" i="44"/>
  <c r="AG222" i="44"/>
  <c r="D225" i="44"/>
  <c r="E225" i="44"/>
  <c r="F225" i="44"/>
  <c r="G225" i="44"/>
  <c r="H225" i="44"/>
  <c r="I225" i="44"/>
  <c r="J225" i="44"/>
  <c r="K225" i="44"/>
  <c r="L225" i="44"/>
  <c r="M225" i="44"/>
  <c r="N225" i="44"/>
  <c r="O225" i="44"/>
  <c r="P225" i="44"/>
  <c r="Q225" i="44"/>
  <c r="R225" i="44"/>
  <c r="S225" i="44"/>
  <c r="T225" i="44"/>
  <c r="U225" i="44"/>
  <c r="V225" i="44"/>
  <c r="W225" i="44"/>
  <c r="X225" i="44"/>
  <c r="Y225" i="44"/>
  <c r="Z225" i="44"/>
  <c r="AA225" i="44"/>
  <c r="AB225" i="44"/>
  <c r="AC225" i="44"/>
  <c r="AD225" i="44"/>
  <c r="AE225" i="44"/>
  <c r="AF225" i="44"/>
  <c r="AG225" i="44"/>
  <c r="D226" i="44"/>
  <c r="E226" i="44"/>
  <c r="F226" i="44"/>
  <c r="G226" i="44"/>
  <c r="H226" i="44"/>
  <c r="I226" i="44"/>
  <c r="J226" i="44"/>
  <c r="K226" i="44"/>
  <c r="L226" i="44"/>
  <c r="M226" i="44"/>
  <c r="N226" i="44"/>
  <c r="O226" i="44"/>
  <c r="P226" i="44"/>
  <c r="Q226" i="44"/>
  <c r="R226" i="44"/>
  <c r="S226" i="44"/>
  <c r="T226" i="44"/>
  <c r="U226" i="44"/>
  <c r="V226" i="44"/>
  <c r="W226" i="44"/>
  <c r="X226" i="44"/>
  <c r="Y226" i="44"/>
  <c r="Z226" i="44"/>
  <c r="AA226" i="44"/>
  <c r="AB226" i="44"/>
  <c r="AC226" i="44"/>
  <c r="AD226" i="44"/>
  <c r="AE226" i="44"/>
  <c r="AF226" i="44"/>
  <c r="AG226" i="44"/>
  <c r="D227" i="44"/>
  <c r="E227" i="44"/>
  <c r="F227" i="44"/>
  <c r="G227" i="44"/>
  <c r="H227" i="44"/>
  <c r="I227" i="44"/>
  <c r="J227" i="44"/>
  <c r="K227" i="44"/>
  <c r="L227" i="44"/>
  <c r="M227" i="44"/>
  <c r="N227" i="44"/>
  <c r="O227" i="44"/>
  <c r="P227" i="44"/>
  <c r="Q227" i="44"/>
  <c r="R227" i="44"/>
  <c r="S227" i="44"/>
  <c r="T227" i="44"/>
  <c r="U227" i="44"/>
  <c r="V227" i="44"/>
  <c r="W227" i="44"/>
  <c r="X227" i="44"/>
  <c r="Y227" i="44"/>
  <c r="Z227" i="44"/>
  <c r="AA227" i="44"/>
  <c r="AB227" i="44"/>
  <c r="AC227" i="44"/>
  <c r="AD227" i="44"/>
  <c r="AE227" i="44"/>
  <c r="AF227" i="44"/>
  <c r="AG227" i="44"/>
  <c r="D228" i="44"/>
  <c r="E228" i="44"/>
  <c r="F228" i="44"/>
  <c r="G228" i="44"/>
  <c r="H228" i="44"/>
  <c r="I228" i="44"/>
  <c r="J228" i="44"/>
  <c r="K228" i="44"/>
  <c r="L228" i="44"/>
  <c r="M228" i="44"/>
  <c r="N228" i="44"/>
  <c r="O228" i="44"/>
  <c r="P228" i="44"/>
  <c r="Q228" i="44"/>
  <c r="R228" i="44"/>
  <c r="S228" i="44"/>
  <c r="T228" i="44"/>
  <c r="U228" i="44"/>
  <c r="V228" i="44"/>
  <c r="W228" i="44"/>
  <c r="X228" i="44"/>
  <c r="Y228" i="44"/>
  <c r="Z228" i="44"/>
  <c r="AA228" i="44"/>
  <c r="AB228" i="44"/>
  <c r="AC228" i="44"/>
  <c r="AD228" i="44"/>
  <c r="AE228" i="44"/>
  <c r="AF228" i="44"/>
  <c r="AG228" i="44"/>
  <c r="D229" i="44"/>
  <c r="E229" i="44"/>
  <c r="F229" i="44"/>
  <c r="G229" i="44"/>
  <c r="H229" i="44"/>
  <c r="I229" i="44"/>
  <c r="J229" i="44"/>
  <c r="K229" i="44"/>
  <c r="L229" i="44"/>
  <c r="M229" i="44"/>
  <c r="N229" i="44"/>
  <c r="O229" i="44"/>
  <c r="P229" i="44"/>
  <c r="Q229" i="44"/>
  <c r="R229" i="44"/>
  <c r="S229" i="44"/>
  <c r="T229" i="44"/>
  <c r="U229" i="44"/>
  <c r="V229" i="44"/>
  <c r="W229" i="44"/>
  <c r="X229" i="44"/>
  <c r="Y229" i="44"/>
  <c r="Z229" i="44"/>
  <c r="AA229" i="44"/>
  <c r="AB229" i="44"/>
  <c r="AC229" i="44"/>
  <c r="AD229" i="44"/>
  <c r="AE229" i="44"/>
  <c r="AF229" i="44"/>
  <c r="AG229" i="44"/>
  <c r="D230" i="44"/>
  <c r="E230" i="44"/>
  <c r="F230" i="44"/>
  <c r="G230" i="44"/>
  <c r="H230" i="44"/>
  <c r="I230" i="44"/>
  <c r="J230" i="44"/>
  <c r="K230" i="44"/>
  <c r="L230" i="44"/>
  <c r="M230" i="44"/>
  <c r="N230" i="44"/>
  <c r="O230" i="44"/>
  <c r="P230" i="44"/>
  <c r="Q230" i="44"/>
  <c r="R230" i="44"/>
  <c r="S230" i="44"/>
  <c r="T230" i="44"/>
  <c r="U230" i="44"/>
  <c r="V230" i="44"/>
  <c r="W230" i="44"/>
  <c r="X230" i="44"/>
  <c r="Y230" i="44"/>
  <c r="Z230" i="44"/>
  <c r="AA230" i="44"/>
  <c r="AB230" i="44"/>
  <c r="AC230" i="44"/>
  <c r="AD230" i="44"/>
  <c r="AE230" i="44"/>
  <c r="AF230" i="44"/>
  <c r="AG230" i="44"/>
  <c r="D231" i="44"/>
  <c r="E231" i="44"/>
  <c r="F231" i="44"/>
  <c r="G231" i="44"/>
  <c r="H231" i="44"/>
  <c r="I231" i="44"/>
  <c r="J231" i="44"/>
  <c r="K231" i="44"/>
  <c r="L231" i="44"/>
  <c r="M231" i="44"/>
  <c r="N231" i="44"/>
  <c r="O231" i="44"/>
  <c r="P231" i="44"/>
  <c r="Q231" i="44"/>
  <c r="R231" i="44"/>
  <c r="S231" i="44"/>
  <c r="T231" i="44"/>
  <c r="U231" i="44"/>
  <c r="V231" i="44"/>
  <c r="W231" i="44"/>
  <c r="X231" i="44"/>
  <c r="Y231" i="44"/>
  <c r="Z231" i="44"/>
  <c r="AA231" i="44"/>
  <c r="AB231" i="44"/>
  <c r="AC231" i="44"/>
  <c r="AD231" i="44"/>
  <c r="AE231" i="44"/>
  <c r="AF231" i="44"/>
  <c r="AG231" i="44"/>
  <c r="D232" i="44"/>
  <c r="E232" i="44"/>
  <c r="F232" i="44"/>
  <c r="G232" i="44"/>
  <c r="H232" i="44"/>
  <c r="I232" i="44"/>
  <c r="J232" i="44"/>
  <c r="K232" i="44"/>
  <c r="L232" i="44"/>
  <c r="M232" i="44"/>
  <c r="N232" i="44"/>
  <c r="O232" i="44"/>
  <c r="P232" i="44"/>
  <c r="Q232" i="44"/>
  <c r="R232" i="44"/>
  <c r="S232" i="44"/>
  <c r="T232" i="44"/>
  <c r="U232" i="44"/>
  <c r="V232" i="44"/>
  <c r="W232" i="44"/>
  <c r="X232" i="44"/>
  <c r="Y232" i="44"/>
  <c r="Z232" i="44"/>
  <c r="AA232" i="44"/>
  <c r="AB232" i="44"/>
  <c r="AC232" i="44"/>
  <c r="AD232" i="44"/>
  <c r="AE232" i="44"/>
  <c r="AF232" i="44"/>
  <c r="AG232" i="44"/>
  <c r="D233" i="44"/>
  <c r="E233" i="44"/>
  <c r="F233" i="44"/>
  <c r="G233" i="44"/>
  <c r="H233" i="44"/>
  <c r="I233" i="44"/>
  <c r="J233" i="44"/>
  <c r="K233" i="44"/>
  <c r="L233" i="44"/>
  <c r="M233" i="44"/>
  <c r="N233" i="44"/>
  <c r="O233" i="44"/>
  <c r="P233" i="44"/>
  <c r="Q233" i="44"/>
  <c r="R233" i="44"/>
  <c r="S233" i="44"/>
  <c r="T233" i="44"/>
  <c r="U233" i="44"/>
  <c r="V233" i="44"/>
  <c r="W233" i="44"/>
  <c r="X233" i="44"/>
  <c r="Y233" i="44"/>
  <c r="Z233" i="44"/>
  <c r="AA233" i="44"/>
  <c r="AB233" i="44"/>
  <c r="AC233" i="44"/>
  <c r="AD233" i="44"/>
  <c r="AE233" i="44"/>
  <c r="AF233" i="44"/>
  <c r="AG233" i="44"/>
  <c r="D234" i="44"/>
  <c r="E234" i="44"/>
  <c r="F234" i="44"/>
  <c r="G234" i="44"/>
  <c r="H234" i="44"/>
  <c r="I234" i="44"/>
  <c r="J234" i="44"/>
  <c r="K234" i="44"/>
  <c r="L234" i="44"/>
  <c r="M234" i="44"/>
  <c r="N234" i="44"/>
  <c r="O234" i="44"/>
  <c r="P234" i="44"/>
  <c r="Q234" i="44"/>
  <c r="R234" i="44"/>
  <c r="S234" i="44"/>
  <c r="T234" i="44"/>
  <c r="U234" i="44"/>
  <c r="V234" i="44"/>
  <c r="W234" i="44"/>
  <c r="X234" i="44"/>
  <c r="Y234" i="44"/>
  <c r="Z234" i="44"/>
  <c r="AA234" i="44"/>
  <c r="AB234" i="44"/>
  <c r="AC234" i="44"/>
  <c r="AD234" i="44"/>
  <c r="AE234" i="44"/>
  <c r="AF234" i="44"/>
  <c r="AG234" i="44"/>
  <c r="D235" i="44"/>
  <c r="E235" i="44"/>
  <c r="F235" i="44"/>
  <c r="G235" i="44"/>
  <c r="H235" i="44"/>
  <c r="I235" i="44"/>
  <c r="J235" i="44"/>
  <c r="K235" i="44"/>
  <c r="L235" i="44"/>
  <c r="M235" i="44"/>
  <c r="N235" i="44"/>
  <c r="O235" i="44"/>
  <c r="P235" i="44"/>
  <c r="Q235" i="44"/>
  <c r="R235" i="44"/>
  <c r="S235" i="44"/>
  <c r="T235" i="44"/>
  <c r="U235" i="44"/>
  <c r="V235" i="44"/>
  <c r="W235" i="44"/>
  <c r="X235" i="44"/>
  <c r="Y235" i="44"/>
  <c r="Z235" i="44"/>
  <c r="AA235" i="44"/>
  <c r="AB235" i="44"/>
  <c r="AC235" i="44"/>
  <c r="AD235" i="44"/>
  <c r="AE235" i="44"/>
  <c r="AF235" i="44"/>
  <c r="AG235" i="44"/>
  <c r="D236" i="44"/>
  <c r="E236" i="44"/>
  <c r="F236" i="44"/>
  <c r="G236" i="44"/>
  <c r="H236" i="44"/>
  <c r="I236" i="44"/>
  <c r="J236" i="44"/>
  <c r="K236" i="44"/>
  <c r="L236" i="44"/>
  <c r="M236" i="44"/>
  <c r="N236" i="44"/>
  <c r="O236" i="44"/>
  <c r="P236" i="44"/>
  <c r="Q236" i="44"/>
  <c r="R236" i="44"/>
  <c r="S236" i="44"/>
  <c r="T236" i="44"/>
  <c r="U236" i="44"/>
  <c r="V236" i="44"/>
  <c r="W236" i="44"/>
  <c r="X236" i="44"/>
  <c r="Y236" i="44"/>
  <c r="Z236" i="44"/>
  <c r="AA236" i="44"/>
  <c r="AB236" i="44"/>
  <c r="AC236" i="44"/>
  <c r="AD236" i="44"/>
  <c r="AE236" i="44"/>
  <c r="AF236" i="44"/>
  <c r="AG236" i="44"/>
  <c r="D237" i="44"/>
  <c r="E237" i="44"/>
  <c r="F237" i="44"/>
  <c r="G237" i="44"/>
  <c r="H237" i="44"/>
  <c r="I237" i="44"/>
  <c r="J237" i="44"/>
  <c r="K237" i="44"/>
  <c r="L237" i="44"/>
  <c r="M237" i="44"/>
  <c r="N237" i="44"/>
  <c r="O237" i="44"/>
  <c r="P237" i="44"/>
  <c r="Q237" i="44"/>
  <c r="R237" i="44"/>
  <c r="S237" i="44"/>
  <c r="T237" i="44"/>
  <c r="U237" i="44"/>
  <c r="V237" i="44"/>
  <c r="W237" i="44"/>
  <c r="X237" i="44"/>
  <c r="Y237" i="44"/>
  <c r="Z237" i="44"/>
  <c r="AA237" i="44"/>
  <c r="AB237" i="44"/>
  <c r="AC237" i="44"/>
  <c r="AD237" i="44"/>
  <c r="AE237" i="44"/>
  <c r="AF237" i="44"/>
  <c r="AG237" i="44"/>
  <c r="D238" i="44"/>
  <c r="E238" i="44"/>
  <c r="F238" i="44"/>
  <c r="G238" i="44"/>
  <c r="H238" i="44"/>
  <c r="I238" i="44"/>
  <c r="J238" i="44"/>
  <c r="K238" i="44"/>
  <c r="L238" i="44"/>
  <c r="M238" i="44"/>
  <c r="N238" i="44"/>
  <c r="O238" i="44"/>
  <c r="P238" i="44"/>
  <c r="Q238" i="44"/>
  <c r="R238" i="44"/>
  <c r="S238" i="44"/>
  <c r="T238" i="44"/>
  <c r="U238" i="44"/>
  <c r="V238" i="44"/>
  <c r="W238" i="44"/>
  <c r="X238" i="44"/>
  <c r="Y238" i="44"/>
  <c r="Z238" i="44"/>
  <c r="AA238" i="44"/>
  <c r="AB238" i="44"/>
  <c r="AC238" i="44"/>
  <c r="AD238" i="44"/>
  <c r="AE238" i="44"/>
  <c r="AF238" i="44"/>
  <c r="AG238" i="44"/>
  <c r="D239" i="44"/>
  <c r="E239" i="44"/>
  <c r="F239" i="44"/>
  <c r="G239" i="44"/>
  <c r="H239" i="44"/>
  <c r="I239" i="44"/>
  <c r="J239" i="44"/>
  <c r="K239" i="44"/>
  <c r="L239" i="44"/>
  <c r="M239" i="44"/>
  <c r="N239" i="44"/>
  <c r="O239" i="44"/>
  <c r="P239" i="44"/>
  <c r="Q239" i="44"/>
  <c r="R239" i="44"/>
  <c r="S239" i="44"/>
  <c r="T239" i="44"/>
  <c r="U239" i="44"/>
  <c r="V239" i="44"/>
  <c r="W239" i="44"/>
  <c r="X239" i="44"/>
  <c r="Y239" i="44"/>
  <c r="Z239" i="44"/>
  <c r="AA239" i="44"/>
  <c r="AB239" i="44"/>
  <c r="AC239" i="44"/>
  <c r="AD239" i="44"/>
  <c r="AE239" i="44"/>
  <c r="AF239" i="44"/>
  <c r="AG239" i="44"/>
  <c r="D240" i="44"/>
  <c r="E240" i="44"/>
  <c r="F240" i="44"/>
  <c r="G240" i="44"/>
  <c r="H240" i="44"/>
  <c r="I240" i="44"/>
  <c r="J240" i="44"/>
  <c r="K240" i="44"/>
  <c r="L240" i="44"/>
  <c r="M240" i="44"/>
  <c r="N240" i="44"/>
  <c r="O240" i="44"/>
  <c r="P240" i="44"/>
  <c r="Q240" i="44"/>
  <c r="R240" i="44"/>
  <c r="S240" i="44"/>
  <c r="T240" i="44"/>
  <c r="U240" i="44"/>
  <c r="V240" i="44"/>
  <c r="W240" i="44"/>
  <c r="X240" i="44"/>
  <c r="Y240" i="44"/>
  <c r="Z240" i="44"/>
  <c r="AA240" i="44"/>
  <c r="AB240" i="44"/>
  <c r="AC240" i="44"/>
  <c r="AD240" i="44"/>
  <c r="AE240" i="44"/>
  <c r="AF240" i="44"/>
  <c r="AG240" i="44"/>
  <c r="D241" i="44"/>
  <c r="E241" i="44"/>
  <c r="F241" i="44"/>
  <c r="G241" i="44"/>
  <c r="H241" i="44"/>
  <c r="I241" i="44"/>
  <c r="J241" i="44"/>
  <c r="K241" i="44"/>
  <c r="L241" i="44"/>
  <c r="M241" i="44"/>
  <c r="N241" i="44"/>
  <c r="O241" i="44"/>
  <c r="P241" i="44"/>
  <c r="Q241" i="44"/>
  <c r="R241" i="44"/>
  <c r="S241" i="44"/>
  <c r="T241" i="44"/>
  <c r="U241" i="44"/>
  <c r="V241" i="44"/>
  <c r="W241" i="44"/>
  <c r="X241" i="44"/>
  <c r="Y241" i="44"/>
  <c r="Z241" i="44"/>
  <c r="AA241" i="44"/>
  <c r="AB241" i="44"/>
  <c r="AC241" i="44"/>
  <c r="AD241" i="44"/>
  <c r="AE241" i="44"/>
  <c r="AF241" i="44"/>
  <c r="AG241" i="44"/>
  <c r="D242" i="44"/>
  <c r="E242" i="44"/>
  <c r="F242" i="44"/>
  <c r="G242" i="44"/>
  <c r="H242" i="44"/>
  <c r="I242" i="44"/>
  <c r="J242" i="44"/>
  <c r="K242" i="44"/>
  <c r="L242" i="44"/>
  <c r="M242" i="44"/>
  <c r="N242" i="44"/>
  <c r="O242" i="44"/>
  <c r="P242" i="44"/>
  <c r="Q242" i="44"/>
  <c r="R242" i="44"/>
  <c r="S242" i="44"/>
  <c r="T242" i="44"/>
  <c r="U242" i="44"/>
  <c r="V242" i="44"/>
  <c r="W242" i="44"/>
  <c r="X242" i="44"/>
  <c r="Y242" i="44"/>
  <c r="Z242" i="44"/>
  <c r="AA242" i="44"/>
  <c r="AB242" i="44"/>
  <c r="AC242" i="44"/>
  <c r="AD242" i="44"/>
  <c r="AE242" i="44"/>
  <c r="AF242" i="44"/>
  <c r="AG242" i="44"/>
  <c r="D243" i="44"/>
  <c r="E243" i="44"/>
  <c r="F243" i="44"/>
  <c r="G243" i="44"/>
  <c r="H243" i="44"/>
  <c r="I243" i="44"/>
  <c r="J243" i="44"/>
  <c r="K243" i="44"/>
  <c r="L243" i="44"/>
  <c r="M243" i="44"/>
  <c r="N243" i="44"/>
  <c r="O243" i="44"/>
  <c r="P243" i="44"/>
  <c r="Q243" i="44"/>
  <c r="R243" i="44"/>
  <c r="S243" i="44"/>
  <c r="T243" i="44"/>
  <c r="U243" i="44"/>
  <c r="V243" i="44"/>
  <c r="W243" i="44"/>
  <c r="X243" i="44"/>
  <c r="Y243" i="44"/>
  <c r="Z243" i="44"/>
  <c r="AA243" i="44"/>
  <c r="AB243" i="44"/>
  <c r="AC243" i="44"/>
  <c r="AD243" i="44"/>
  <c r="AE243" i="44"/>
  <c r="AF243" i="44"/>
  <c r="AG243" i="44"/>
  <c r="D244" i="44"/>
  <c r="E244" i="44"/>
  <c r="F244" i="44"/>
  <c r="G244" i="44"/>
  <c r="H244" i="44"/>
  <c r="I244" i="44"/>
  <c r="J244" i="44"/>
  <c r="K244" i="44"/>
  <c r="L244" i="44"/>
  <c r="M244" i="44"/>
  <c r="N244" i="44"/>
  <c r="O244" i="44"/>
  <c r="P244" i="44"/>
  <c r="Q244" i="44"/>
  <c r="R244" i="44"/>
  <c r="S244" i="44"/>
  <c r="T244" i="44"/>
  <c r="U244" i="44"/>
  <c r="V244" i="44"/>
  <c r="W244" i="44"/>
  <c r="X244" i="44"/>
  <c r="Y244" i="44"/>
  <c r="Z244" i="44"/>
  <c r="AA244" i="44"/>
  <c r="AB244" i="44"/>
  <c r="AC244" i="44"/>
  <c r="AD244" i="44"/>
  <c r="AE244" i="44"/>
  <c r="AF244" i="44"/>
  <c r="AG244" i="44"/>
  <c r="D245" i="44"/>
  <c r="E245" i="44"/>
  <c r="F245" i="44"/>
  <c r="G245" i="44"/>
  <c r="H245" i="44"/>
  <c r="I245" i="44"/>
  <c r="J245" i="44"/>
  <c r="K245" i="44"/>
  <c r="L245" i="44"/>
  <c r="M245" i="44"/>
  <c r="N245" i="44"/>
  <c r="O245" i="44"/>
  <c r="P245" i="44"/>
  <c r="Q245" i="44"/>
  <c r="R245" i="44"/>
  <c r="S245" i="44"/>
  <c r="T245" i="44"/>
  <c r="U245" i="44"/>
  <c r="V245" i="44"/>
  <c r="W245" i="44"/>
  <c r="X245" i="44"/>
  <c r="Y245" i="44"/>
  <c r="Z245" i="44"/>
  <c r="AA245" i="44"/>
  <c r="AB245" i="44"/>
  <c r="AC245" i="44"/>
  <c r="AD245" i="44"/>
  <c r="AE245" i="44"/>
  <c r="AF245" i="44"/>
  <c r="AG245" i="44"/>
  <c r="D246" i="44"/>
  <c r="E246" i="44"/>
  <c r="F246" i="44"/>
  <c r="G246" i="44"/>
  <c r="H246" i="44"/>
  <c r="I246" i="44"/>
  <c r="J246" i="44"/>
  <c r="K246" i="44"/>
  <c r="L246" i="44"/>
  <c r="M246" i="44"/>
  <c r="N246" i="44"/>
  <c r="O246" i="44"/>
  <c r="P246" i="44"/>
  <c r="Q246" i="44"/>
  <c r="R246" i="44"/>
  <c r="S246" i="44"/>
  <c r="T246" i="44"/>
  <c r="U246" i="44"/>
  <c r="V246" i="44"/>
  <c r="W246" i="44"/>
  <c r="X246" i="44"/>
  <c r="Y246" i="44"/>
  <c r="Z246" i="44"/>
  <c r="AA246" i="44"/>
  <c r="AB246" i="44"/>
  <c r="AC246" i="44"/>
  <c r="AD246" i="44"/>
  <c r="AE246" i="44"/>
  <c r="AF246" i="44"/>
  <c r="AG246" i="44"/>
  <c r="D247" i="44"/>
  <c r="E247" i="44"/>
  <c r="F247" i="44"/>
  <c r="G247" i="44"/>
  <c r="H247" i="44"/>
  <c r="I247" i="44"/>
  <c r="J247" i="44"/>
  <c r="K247" i="44"/>
  <c r="L247" i="44"/>
  <c r="M247" i="44"/>
  <c r="N247" i="44"/>
  <c r="O247" i="44"/>
  <c r="P247" i="44"/>
  <c r="Q247" i="44"/>
  <c r="R247" i="44"/>
  <c r="S247" i="44"/>
  <c r="T247" i="44"/>
  <c r="U247" i="44"/>
  <c r="V247" i="44"/>
  <c r="W247" i="44"/>
  <c r="X247" i="44"/>
  <c r="Y247" i="44"/>
  <c r="Z247" i="44"/>
  <c r="AA247" i="44"/>
  <c r="AB247" i="44"/>
  <c r="AC247" i="44"/>
  <c r="AD247" i="44"/>
  <c r="AE247" i="44"/>
  <c r="AF247" i="44"/>
  <c r="AG247" i="44"/>
  <c r="D248" i="44"/>
  <c r="E248" i="44"/>
  <c r="F248" i="44"/>
  <c r="G248" i="44"/>
  <c r="H248" i="44"/>
  <c r="I248" i="44"/>
  <c r="J248" i="44"/>
  <c r="K248" i="44"/>
  <c r="L248" i="44"/>
  <c r="M248" i="44"/>
  <c r="N248" i="44"/>
  <c r="O248" i="44"/>
  <c r="P248" i="44"/>
  <c r="Q248" i="44"/>
  <c r="R248" i="44"/>
  <c r="S248" i="44"/>
  <c r="T248" i="44"/>
  <c r="U248" i="44"/>
  <c r="V248" i="44"/>
  <c r="W248" i="44"/>
  <c r="X248" i="44"/>
  <c r="Y248" i="44"/>
  <c r="Z248" i="44"/>
  <c r="AA248" i="44"/>
  <c r="AB248" i="44"/>
  <c r="AC248" i="44"/>
  <c r="AD248" i="44"/>
  <c r="AE248" i="44"/>
  <c r="AF248" i="44"/>
  <c r="AG248" i="44"/>
  <c r="D251" i="44"/>
  <c r="E251" i="44"/>
  <c r="F251" i="44"/>
  <c r="G251" i="44"/>
  <c r="H251" i="44"/>
  <c r="I251" i="44"/>
  <c r="J251" i="44"/>
  <c r="K251" i="44"/>
  <c r="L251" i="44"/>
  <c r="M251" i="44"/>
  <c r="N251" i="44"/>
  <c r="O251" i="44"/>
  <c r="P251" i="44"/>
  <c r="Q251" i="44"/>
  <c r="R251" i="44"/>
  <c r="S251" i="44"/>
  <c r="T251" i="44"/>
  <c r="U251" i="44"/>
  <c r="V251" i="44"/>
  <c r="W251" i="44"/>
  <c r="X251" i="44"/>
  <c r="Y251" i="44"/>
  <c r="Z251" i="44"/>
  <c r="AA251" i="44"/>
  <c r="AB251" i="44"/>
  <c r="AC251" i="44"/>
  <c r="AD251" i="44"/>
  <c r="AE251" i="44"/>
  <c r="AF251" i="44"/>
  <c r="AG251" i="44"/>
  <c r="D252" i="44"/>
  <c r="E252" i="44"/>
  <c r="F252" i="44"/>
  <c r="G252" i="44"/>
  <c r="H252" i="44"/>
  <c r="I252" i="44"/>
  <c r="J252" i="44"/>
  <c r="K252" i="44"/>
  <c r="L252" i="44"/>
  <c r="M252" i="44"/>
  <c r="N252" i="44"/>
  <c r="O252" i="44"/>
  <c r="P252" i="44"/>
  <c r="Q252" i="44"/>
  <c r="R252" i="44"/>
  <c r="S252" i="44"/>
  <c r="T252" i="44"/>
  <c r="U252" i="44"/>
  <c r="V252" i="44"/>
  <c r="W252" i="44"/>
  <c r="X252" i="44"/>
  <c r="Y252" i="44"/>
  <c r="Z252" i="44"/>
  <c r="AA252" i="44"/>
  <c r="AB252" i="44"/>
  <c r="AC252" i="44"/>
  <c r="AD252" i="44"/>
  <c r="AE252" i="44"/>
  <c r="AF252" i="44"/>
  <c r="AG252" i="44"/>
  <c r="D253" i="44"/>
  <c r="E253" i="44"/>
  <c r="F253" i="44"/>
  <c r="G253" i="44"/>
  <c r="H253" i="44"/>
  <c r="I253" i="44"/>
  <c r="J253" i="44"/>
  <c r="K253" i="44"/>
  <c r="L253" i="44"/>
  <c r="M253" i="44"/>
  <c r="N253" i="44"/>
  <c r="O253" i="44"/>
  <c r="P253" i="44"/>
  <c r="Q253" i="44"/>
  <c r="R253" i="44"/>
  <c r="S253" i="44"/>
  <c r="T253" i="44"/>
  <c r="U253" i="44"/>
  <c r="V253" i="44"/>
  <c r="W253" i="44"/>
  <c r="X253" i="44"/>
  <c r="Y253" i="44"/>
  <c r="Z253" i="44"/>
  <c r="AA253" i="44"/>
  <c r="AB253" i="44"/>
  <c r="AC253" i="44"/>
  <c r="AD253" i="44"/>
  <c r="AE253" i="44"/>
  <c r="AF253" i="44"/>
  <c r="AG253" i="44"/>
  <c r="D254" i="44"/>
  <c r="E254" i="44"/>
  <c r="F254" i="44"/>
  <c r="G254" i="44"/>
  <c r="H254" i="44"/>
  <c r="I254" i="44"/>
  <c r="J254" i="44"/>
  <c r="K254" i="44"/>
  <c r="L254" i="44"/>
  <c r="M254" i="44"/>
  <c r="N254" i="44"/>
  <c r="O254" i="44"/>
  <c r="P254" i="44"/>
  <c r="Q254" i="44"/>
  <c r="R254" i="44"/>
  <c r="S254" i="44"/>
  <c r="T254" i="44"/>
  <c r="U254" i="44"/>
  <c r="V254" i="44"/>
  <c r="W254" i="44"/>
  <c r="X254" i="44"/>
  <c r="Y254" i="44"/>
  <c r="Z254" i="44"/>
  <c r="AA254" i="44"/>
  <c r="AB254" i="44"/>
  <c r="AC254" i="44"/>
  <c r="AD254" i="44"/>
  <c r="AE254" i="44"/>
  <c r="AF254" i="44"/>
  <c r="AG254" i="44"/>
  <c r="D255" i="44"/>
  <c r="E255" i="44"/>
  <c r="F255" i="44"/>
  <c r="G255" i="44"/>
  <c r="H255" i="44"/>
  <c r="I255" i="44"/>
  <c r="J255" i="44"/>
  <c r="K255" i="44"/>
  <c r="L255" i="44"/>
  <c r="M255" i="44"/>
  <c r="N255" i="44"/>
  <c r="O255" i="44"/>
  <c r="P255" i="44"/>
  <c r="Q255" i="44"/>
  <c r="R255" i="44"/>
  <c r="S255" i="44"/>
  <c r="T255" i="44"/>
  <c r="U255" i="44"/>
  <c r="V255" i="44"/>
  <c r="W255" i="44"/>
  <c r="X255" i="44"/>
  <c r="Y255" i="44"/>
  <c r="Z255" i="44"/>
  <c r="AA255" i="44"/>
  <c r="AB255" i="44"/>
  <c r="AC255" i="44"/>
  <c r="AD255" i="44"/>
  <c r="AE255" i="44"/>
  <c r="AF255" i="44"/>
  <c r="AG255" i="44"/>
  <c r="D256" i="44"/>
  <c r="E256" i="44"/>
  <c r="F256" i="44"/>
  <c r="G256" i="44"/>
  <c r="H256" i="44"/>
  <c r="I256" i="44"/>
  <c r="J256" i="44"/>
  <c r="K256" i="44"/>
  <c r="L256" i="44"/>
  <c r="M256" i="44"/>
  <c r="N256" i="44"/>
  <c r="O256" i="44"/>
  <c r="P256" i="44"/>
  <c r="Q256" i="44"/>
  <c r="R256" i="44"/>
  <c r="S256" i="44"/>
  <c r="T256" i="44"/>
  <c r="U256" i="44"/>
  <c r="V256" i="44"/>
  <c r="W256" i="44"/>
  <c r="X256" i="44"/>
  <c r="Y256" i="44"/>
  <c r="Z256" i="44"/>
  <c r="AA256" i="44"/>
  <c r="AB256" i="44"/>
  <c r="AC256" i="44"/>
  <c r="AD256" i="44"/>
  <c r="AE256" i="44"/>
  <c r="AF256" i="44"/>
  <c r="AG256" i="44"/>
  <c r="D257" i="44"/>
  <c r="E257" i="44"/>
  <c r="F257" i="44"/>
  <c r="G257" i="44"/>
  <c r="H257" i="44"/>
  <c r="I257" i="44"/>
  <c r="J257" i="44"/>
  <c r="K257" i="44"/>
  <c r="L257" i="44"/>
  <c r="M257" i="44"/>
  <c r="N257" i="44"/>
  <c r="O257" i="44"/>
  <c r="P257" i="44"/>
  <c r="Q257" i="44"/>
  <c r="R257" i="44"/>
  <c r="S257" i="44"/>
  <c r="T257" i="44"/>
  <c r="U257" i="44"/>
  <c r="V257" i="44"/>
  <c r="W257" i="44"/>
  <c r="X257" i="44"/>
  <c r="Y257" i="44"/>
  <c r="Z257" i="44"/>
  <c r="AA257" i="44"/>
  <c r="AB257" i="44"/>
  <c r="AC257" i="44"/>
  <c r="AD257" i="44"/>
  <c r="AE257" i="44"/>
  <c r="AF257" i="44"/>
  <c r="AG257" i="44"/>
  <c r="D258" i="44"/>
  <c r="E258" i="44"/>
  <c r="F258" i="44"/>
  <c r="G258" i="44"/>
  <c r="H258" i="44"/>
  <c r="I258" i="44"/>
  <c r="J258" i="44"/>
  <c r="K258" i="44"/>
  <c r="L258" i="44"/>
  <c r="M258" i="44"/>
  <c r="N258" i="44"/>
  <c r="O258" i="44"/>
  <c r="P258" i="44"/>
  <c r="Q258" i="44"/>
  <c r="R258" i="44"/>
  <c r="S258" i="44"/>
  <c r="T258" i="44"/>
  <c r="U258" i="44"/>
  <c r="V258" i="44"/>
  <c r="W258" i="44"/>
  <c r="X258" i="44"/>
  <c r="Y258" i="44"/>
  <c r="Z258" i="44"/>
  <c r="AA258" i="44"/>
  <c r="AB258" i="44"/>
  <c r="AC258" i="44"/>
  <c r="AD258" i="44"/>
  <c r="AE258" i="44"/>
  <c r="AF258" i="44"/>
  <c r="AG258" i="44"/>
  <c r="D259" i="44"/>
  <c r="E259" i="44"/>
  <c r="F259" i="44"/>
  <c r="G259" i="44"/>
  <c r="H259" i="44"/>
  <c r="I259" i="44"/>
  <c r="J259" i="44"/>
  <c r="K259" i="44"/>
  <c r="L259" i="44"/>
  <c r="M259" i="44"/>
  <c r="N259" i="44"/>
  <c r="O259" i="44"/>
  <c r="P259" i="44"/>
  <c r="Q259" i="44"/>
  <c r="R259" i="44"/>
  <c r="S259" i="44"/>
  <c r="T259" i="44"/>
  <c r="U259" i="44"/>
  <c r="V259" i="44"/>
  <c r="W259" i="44"/>
  <c r="X259" i="44"/>
  <c r="Y259" i="44"/>
  <c r="Z259" i="44"/>
  <c r="AA259" i="44"/>
  <c r="AB259" i="44"/>
  <c r="AC259" i="44"/>
  <c r="AD259" i="44"/>
  <c r="AE259" i="44"/>
  <c r="AF259" i="44"/>
  <c r="AG259" i="44"/>
  <c r="D260" i="44"/>
  <c r="E260" i="44"/>
  <c r="F260" i="44"/>
  <c r="G260" i="44"/>
  <c r="H260" i="44"/>
  <c r="I260" i="44"/>
  <c r="J260" i="44"/>
  <c r="K260" i="44"/>
  <c r="L260" i="44"/>
  <c r="M260" i="44"/>
  <c r="N260" i="44"/>
  <c r="O260" i="44"/>
  <c r="P260" i="44"/>
  <c r="Q260" i="44"/>
  <c r="R260" i="44"/>
  <c r="S260" i="44"/>
  <c r="T260" i="44"/>
  <c r="U260" i="44"/>
  <c r="V260" i="44"/>
  <c r="W260" i="44"/>
  <c r="X260" i="44"/>
  <c r="Y260" i="44"/>
  <c r="Z260" i="44"/>
  <c r="AA260" i="44"/>
  <c r="AB260" i="44"/>
  <c r="AC260" i="44"/>
  <c r="AD260" i="44"/>
  <c r="AE260" i="44"/>
  <c r="AF260" i="44"/>
  <c r="AG260" i="44"/>
  <c r="D261" i="44"/>
  <c r="E261" i="44"/>
  <c r="F261" i="44"/>
  <c r="G261" i="44"/>
  <c r="H261" i="44"/>
  <c r="I261" i="44"/>
  <c r="J261" i="44"/>
  <c r="K261" i="44"/>
  <c r="L261" i="44"/>
  <c r="M261" i="44"/>
  <c r="N261" i="44"/>
  <c r="O261" i="44"/>
  <c r="P261" i="44"/>
  <c r="Q261" i="44"/>
  <c r="R261" i="44"/>
  <c r="S261" i="44"/>
  <c r="T261" i="44"/>
  <c r="U261" i="44"/>
  <c r="V261" i="44"/>
  <c r="W261" i="44"/>
  <c r="X261" i="44"/>
  <c r="Y261" i="44"/>
  <c r="Z261" i="44"/>
  <c r="AA261" i="44"/>
  <c r="AB261" i="44"/>
  <c r="AC261" i="44"/>
  <c r="AD261" i="44"/>
  <c r="AE261" i="44"/>
  <c r="AF261" i="44"/>
  <c r="AG261" i="44"/>
  <c r="D262" i="44"/>
  <c r="E262" i="44"/>
  <c r="F262" i="44"/>
  <c r="G262" i="44"/>
  <c r="H262" i="44"/>
  <c r="I262" i="44"/>
  <c r="J262" i="44"/>
  <c r="K262" i="44"/>
  <c r="L262" i="44"/>
  <c r="M262" i="44"/>
  <c r="N262" i="44"/>
  <c r="O262" i="44"/>
  <c r="P262" i="44"/>
  <c r="Q262" i="44"/>
  <c r="R262" i="44"/>
  <c r="S262" i="44"/>
  <c r="T262" i="44"/>
  <c r="U262" i="44"/>
  <c r="V262" i="44"/>
  <c r="W262" i="44"/>
  <c r="X262" i="44"/>
  <c r="Y262" i="44"/>
  <c r="Z262" i="44"/>
  <c r="AA262" i="44"/>
  <c r="AB262" i="44"/>
  <c r="AC262" i="44"/>
  <c r="AD262" i="44"/>
  <c r="AE262" i="44"/>
  <c r="AF262" i="44"/>
  <c r="AG262" i="44"/>
  <c r="D263" i="44"/>
  <c r="E263" i="44"/>
  <c r="F263" i="44"/>
  <c r="G263" i="44"/>
  <c r="H263" i="44"/>
  <c r="I263" i="44"/>
  <c r="J263" i="44"/>
  <c r="K263" i="44"/>
  <c r="L263" i="44"/>
  <c r="M263" i="44"/>
  <c r="N263" i="44"/>
  <c r="O263" i="44"/>
  <c r="P263" i="44"/>
  <c r="Q263" i="44"/>
  <c r="R263" i="44"/>
  <c r="S263" i="44"/>
  <c r="T263" i="44"/>
  <c r="U263" i="44"/>
  <c r="V263" i="44"/>
  <c r="W263" i="44"/>
  <c r="X263" i="44"/>
  <c r="Y263" i="44"/>
  <c r="Z263" i="44"/>
  <c r="AA263" i="44"/>
  <c r="AB263" i="44"/>
  <c r="AC263" i="44"/>
  <c r="AD263" i="44"/>
  <c r="AE263" i="44"/>
  <c r="AF263" i="44"/>
  <c r="AG263" i="44"/>
  <c r="D264" i="44"/>
  <c r="E264" i="44"/>
  <c r="F264" i="44"/>
  <c r="G264" i="44"/>
  <c r="H264" i="44"/>
  <c r="I264" i="44"/>
  <c r="J264" i="44"/>
  <c r="K264" i="44"/>
  <c r="L264" i="44"/>
  <c r="M264" i="44"/>
  <c r="N264" i="44"/>
  <c r="O264" i="44"/>
  <c r="P264" i="44"/>
  <c r="Q264" i="44"/>
  <c r="R264" i="44"/>
  <c r="S264" i="44"/>
  <c r="T264" i="44"/>
  <c r="U264" i="44"/>
  <c r="V264" i="44"/>
  <c r="W264" i="44"/>
  <c r="X264" i="44"/>
  <c r="Y264" i="44"/>
  <c r="Z264" i="44"/>
  <c r="AA264" i="44"/>
  <c r="AB264" i="44"/>
  <c r="AC264" i="44"/>
  <c r="AD264" i="44"/>
  <c r="AE264" i="44"/>
  <c r="AF264" i="44"/>
  <c r="AG264" i="44"/>
  <c r="D265" i="44"/>
  <c r="E265" i="44"/>
  <c r="F265" i="44"/>
  <c r="G265" i="44"/>
  <c r="H265" i="44"/>
  <c r="I265" i="44"/>
  <c r="J265" i="44"/>
  <c r="K265" i="44"/>
  <c r="L265" i="44"/>
  <c r="M265" i="44"/>
  <c r="N265" i="44"/>
  <c r="O265" i="44"/>
  <c r="P265" i="44"/>
  <c r="Q265" i="44"/>
  <c r="R265" i="44"/>
  <c r="S265" i="44"/>
  <c r="T265" i="44"/>
  <c r="U265" i="44"/>
  <c r="V265" i="44"/>
  <c r="W265" i="44"/>
  <c r="X265" i="44"/>
  <c r="Y265" i="44"/>
  <c r="Z265" i="44"/>
  <c r="AA265" i="44"/>
  <c r="AB265" i="44"/>
  <c r="AC265" i="44"/>
  <c r="AD265" i="44"/>
  <c r="AE265" i="44"/>
  <c r="AF265" i="44"/>
  <c r="AG265" i="44"/>
  <c r="D266" i="44"/>
  <c r="E266" i="44"/>
  <c r="F266" i="44"/>
  <c r="G266" i="44"/>
  <c r="H266" i="44"/>
  <c r="I266" i="44"/>
  <c r="J266" i="44"/>
  <c r="K266" i="44"/>
  <c r="L266" i="44"/>
  <c r="M266" i="44"/>
  <c r="N266" i="44"/>
  <c r="O266" i="44"/>
  <c r="P266" i="44"/>
  <c r="Q266" i="44"/>
  <c r="R266" i="44"/>
  <c r="S266" i="44"/>
  <c r="T266" i="44"/>
  <c r="U266" i="44"/>
  <c r="V266" i="44"/>
  <c r="W266" i="44"/>
  <c r="X266" i="44"/>
  <c r="Y266" i="44"/>
  <c r="Z266" i="44"/>
  <c r="AA266" i="44"/>
  <c r="AB266" i="44"/>
  <c r="AC266" i="44"/>
  <c r="AD266" i="44"/>
  <c r="AE266" i="44"/>
  <c r="AF266" i="44"/>
  <c r="AG266" i="44"/>
  <c r="D267" i="44"/>
  <c r="E267" i="44"/>
  <c r="F267" i="44"/>
  <c r="G267" i="44"/>
  <c r="H267" i="44"/>
  <c r="I267" i="44"/>
  <c r="J267" i="44"/>
  <c r="K267" i="44"/>
  <c r="L267" i="44"/>
  <c r="M267" i="44"/>
  <c r="N267" i="44"/>
  <c r="O267" i="44"/>
  <c r="P267" i="44"/>
  <c r="Q267" i="44"/>
  <c r="R267" i="44"/>
  <c r="S267" i="44"/>
  <c r="T267" i="44"/>
  <c r="U267" i="44"/>
  <c r="V267" i="44"/>
  <c r="W267" i="44"/>
  <c r="X267" i="44"/>
  <c r="Y267" i="44"/>
  <c r="Z267" i="44"/>
  <c r="AA267" i="44"/>
  <c r="AB267" i="44"/>
  <c r="AC267" i="44"/>
  <c r="AD267" i="44"/>
  <c r="AE267" i="44"/>
  <c r="AF267" i="44"/>
  <c r="AG267" i="44"/>
  <c r="D268" i="44"/>
  <c r="E268" i="44"/>
  <c r="F268" i="44"/>
  <c r="G268" i="44"/>
  <c r="H268" i="44"/>
  <c r="I268" i="44"/>
  <c r="J268" i="44"/>
  <c r="K268" i="44"/>
  <c r="L268" i="44"/>
  <c r="M268" i="44"/>
  <c r="N268" i="44"/>
  <c r="O268" i="44"/>
  <c r="P268" i="44"/>
  <c r="Q268" i="44"/>
  <c r="R268" i="44"/>
  <c r="S268" i="44"/>
  <c r="T268" i="44"/>
  <c r="U268" i="44"/>
  <c r="V268" i="44"/>
  <c r="W268" i="44"/>
  <c r="X268" i="44"/>
  <c r="Y268" i="44"/>
  <c r="Z268" i="44"/>
  <c r="AA268" i="44"/>
  <c r="AB268" i="44"/>
  <c r="AC268" i="44"/>
  <c r="AD268" i="44"/>
  <c r="AE268" i="44"/>
  <c r="AF268" i="44"/>
  <c r="AG268" i="44"/>
  <c r="D269" i="44"/>
  <c r="E269" i="44"/>
  <c r="F269" i="44"/>
  <c r="G269" i="44"/>
  <c r="H269" i="44"/>
  <c r="I269" i="44"/>
  <c r="J269" i="44"/>
  <c r="K269" i="44"/>
  <c r="L269" i="44"/>
  <c r="M269" i="44"/>
  <c r="N269" i="44"/>
  <c r="O269" i="44"/>
  <c r="P269" i="44"/>
  <c r="Q269" i="44"/>
  <c r="R269" i="44"/>
  <c r="S269" i="44"/>
  <c r="T269" i="44"/>
  <c r="U269" i="44"/>
  <c r="V269" i="44"/>
  <c r="W269" i="44"/>
  <c r="X269" i="44"/>
  <c r="Y269" i="44"/>
  <c r="Z269" i="44"/>
  <c r="AA269" i="44"/>
  <c r="AB269" i="44"/>
  <c r="AC269" i="44"/>
  <c r="AD269" i="44"/>
  <c r="AE269" i="44"/>
  <c r="AF269" i="44"/>
  <c r="AG269" i="44"/>
  <c r="D270" i="44"/>
  <c r="E270" i="44"/>
  <c r="F270" i="44"/>
  <c r="G270" i="44"/>
  <c r="H270" i="44"/>
  <c r="I270" i="44"/>
  <c r="J270" i="44"/>
  <c r="K270" i="44"/>
  <c r="L270" i="44"/>
  <c r="M270" i="44"/>
  <c r="N270" i="44"/>
  <c r="O270" i="44"/>
  <c r="P270" i="44"/>
  <c r="Q270" i="44"/>
  <c r="R270" i="44"/>
  <c r="S270" i="44"/>
  <c r="T270" i="44"/>
  <c r="U270" i="44"/>
  <c r="V270" i="44"/>
  <c r="W270" i="44"/>
  <c r="X270" i="44"/>
  <c r="Y270" i="44"/>
  <c r="Z270" i="44"/>
  <c r="AA270" i="44"/>
  <c r="AB270" i="44"/>
  <c r="AC270" i="44"/>
  <c r="AD270" i="44"/>
  <c r="AE270" i="44"/>
  <c r="AF270" i="44"/>
  <c r="AG270" i="44"/>
  <c r="D271" i="44"/>
  <c r="E271" i="44"/>
  <c r="F271" i="44"/>
  <c r="G271" i="44"/>
  <c r="H271" i="44"/>
  <c r="I271" i="44"/>
  <c r="J271" i="44"/>
  <c r="K271" i="44"/>
  <c r="L271" i="44"/>
  <c r="M271" i="44"/>
  <c r="N271" i="44"/>
  <c r="O271" i="44"/>
  <c r="P271" i="44"/>
  <c r="Q271" i="44"/>
  <c r="R271" i="44"/>
  <c r="S271" i="44"/>
  <c r="T271" i="44"/>
  <c r="U271" i="44"/>
  <c r="V271" i="44"/>
  <c r="W271" i="44"/>
  <c r="X271" i="44"/>
  <c r="Y271" i="44"/>
  <c r="Z271" i="44"/>
  <c r="AA271" i="44"/>
  <c r="AB271" i="44"/>
  <c r="AC271" i="44"/>
  <c r="AD271" i="44"/>
  <c r="AE271" i="44"/>
  <c r="AF271" i="44"/>
  <c r="AG271" i="44"/>
  <c r="D272" i="44"/>
  <c r="E272" i="44"/>
  <c r="F272" i="44"/>
  <c r="G272" i="44"/>
  <c r="H272" i="44"/>
  <c r="I272" i="44"/>
  <c r="J272" i="44"/>
  <c r="K272" i="44"/>
  <c r="L272" i="44"/>
  <c r="M272" i="44"/>
  <c r="N272" i="44"/>
  <c r="O272" i="44"/>
  <c r="P272" i="44"/>
  <c r="Q272" i="44"/>
  <c r="R272" i="44"/>
  <c r="S272" i="44"/>
  <c r="T272" i="44"/>
  <c r="U272" i="44"/>
  <c r="V272" i="44"/>
  <c r="W272" i="44"/>
  <c r="X272" i="44"/>
  <c r="Y272" i="44"/>
  <c r="Z272" i="44"/>
  <c r="AA272" i="44"/>
  <c r="AB272" i="44"/>
  <c r="AC272" i="44"/>
  <c r="AD272" i="44"/>
  <c r="AE272" i="44"/>
  <c r="AF272" i="44"/>
  <c r="AG272" i="44"/>
  <c r="D273" i="44"/>
  <c r="E273" i="44"/>
  <c r="F273" i="44"/>
  <c r="G273" i="44"/>
  <c r="H273" i="44"/>
  <c r="I273" i="44"/>
  <c r="J273" i="44"/>
  <c r="K273" i="44"/>
  <c r="L273" i="44"/>
  <c r="M273" i="44"/>
  <c r="N273" i="44"/>
  <c r="O273" i="44"/>
  <c r="P273" i="44"/>
  <c r="Q273" i="44"/>
  <c r="R273" i="44"/>
  <c r="S273" i="44"/>
  <c r="T273" i="44"/>
  <c r="U273" i="44"/>
  <c r="V273" i="44"/>
  <c r="W273" i="44"/>
  <c r="X273" i="44"/>
  <c r="Y273" i="44"/>
  <c r="Z273" i="44"/>
  <c r="AA273" i="44"/>
  <c r="AB273" i="44"/>
  <c r="AC273" i="44"/>
  <c r="AD273" i="44"/>
  <c r="AE273" i="44"/>
  <c r="AF273" i="44"/>
  <c r="AG273" i="44"/>
  <c r="D274" i="44"/>
  <c r="E274" i="44"/>
  <c r="F274" i="44"/>
  <c r="G274" i="44"/>
  <c r="H274" i="44"/>
  <c r="I274" i="44"/>
  <c r="J274" i="44"/>
  <c r="K274" i="44"/>
  <c r="L274" i="44"/>
  <c r="M274" i="44"/>
  <c r="N274" i="44"/>
  <c r="O274" i="44"/>
  <c r="P274" i="44"/>
  <c r="Q274" i="44"/>
  <c r="R274" i="44"/>
  <c r="S274" i="44"/>
  <c r="T274" i="44"/>
  <c r="U274" i="44"/>
  <c r="V274" i="44"/>
  <c r="W274" i="44"/>
  <c r="X274" i="44"/>
  <c r="Y274" i="44"/>
  <c r="Z274" i="44"/>
  <c r="AA274" i="44"/>
  <c r="AB274" i="44"/>
  <c r="AC274" i="44"/>
  <c r="AD274" i="44"/>
  <c r="AE274" i="44"/>
  <c r="AF274" i="44"/>
  <c r="AG274" i="44"/>
  <c r="D277" i="44"/>
  <c r="E277" i="44"/>
  <c r="F277" i="44"/>
  <c r="G277" i="44"/>
  <c r="H277" i="44"/>
  <c r="I277" i="44"/>
  <c r="J277" i="44"/>
  <c r="K277" i="44"/>
  <c r="L277" i="44"/>
  <c r="M277" i="44"/>
  <c r="N277" i="44"/>
  <c r="O277" i="44"/>
  <c r="P277" i="44"/>
  <c r="Q277" i="44"/>
  <c r="R277" i="44"/>
  <c r="S277" i="44"/>
  <c r="T277" i="44"/>
  <c r="U277" i="44"/>
  <c r="V277" i="44"/>
  <c r="W277" i="44"/>
  <c r="X277" i="44"/>
  <c r="Y277" i="44"/>
  <c r="Z277" i="44"/>
  <c r="AA277" i="44"/>
  <c r="AB277" i="44"/>
  <c r="AC277" i="44"/>
  <c r="AD277" i="44"/>
  <c r="AE277" i="44"/>
  <c r="AF277" i="44"/>
  <c r="AG277" i="44"/>
  <c r="D278" i="44"/>
  <c r="E278" i="44"/>
  <c r="F278" i="44"/>
  <c r="G278" i="44"/>
  <c r="H278" i="44"/>
  <c r="I278" i="44"/>
  <c r="J278" i="44"/>
  <c r="K278" i="44"/>
  <c r="L278" i="44"/>
  <c r="M278" i="44"/>
  <c r="N278" i="44"/>
  <c r="O278" i="44"/>
  <c r="P278" i="44"/>
  <c r="Q278" i="44"/>
  <c r="R278" i="44"/>
  <c r="S278" i="44"/>
  <c r="T278" i="44"/>
  <c r="U278" i="44"/>
  <c r="V278" i="44"/>
  <c r="W278" i="44"/>
  <c r="X278" i="44"/>
  <c r="Y278" i="44"/>
  <c r="Z278" i="44"/>
  <c r="AA278" i="44"/>
  <c r="AB278" i="44"/>
  <c r="AC278" i="44"/>
  <c r="AD278" i="44"/>
  <c r="AE278" i="44"/>
  <c r="AF278" i="44"/>
  <c r="AG278" i="44"/>
  <c r="D279" i="44"/>
  <c r="E279" i="44"/>
  <c r="F279" i="44"/>
  <c r="G279" i="44"/>
  <c r="H279" i="44"/>
  <c r="I279" i="44"/>
  <c r="J279" i="44"/>
  <c r="K279" i="44"/>
  <c r="L279" i="44"/>
  <c r="M279" i="44"/>
  <c r="N279" i="44"/>
  <c r="O279" i="44"/>
  <c r="P279" i="44"/>
  <c r="Q279" i="44"/>
  <c r="R279" i="44"/>
  <c r="S279" i="44"/>
  <c r="T279" i="44"/>
  <c r="U279" i="44"/>
  <c r="V279" i="44"/>
  <c r="W279" i="44"/>
  <c r="X279" i="44"/>
  <c r="Y279" i="44"/>
  <c r="Z279" i="44"/>
  <c r="AA279" i="44"/>
  <c r="AB279" i="44"/>
  <c r="AC279" i="44"/>
  <c r="AD279" i="44"/>
  <c r="AE279" i="44"/>
  <c r="AF279" i="44"/>
  <c r="AG279" i="44"/>
  <c r="D280" i="44"/>
  <c r="E280" i="44"/>
  <c r="F280" i="44"/>
  <c r="G280" i="44"/>
  <c r="H280" i="44"/>
  <c r="I280" i="44"/>
  <c r="J280" i="44"/>
  <c r="K280" i="44"/>
  <c r="L280" i="44"/>
  <c r="M280" i="44"/>
  <c r="N280" i="44"/>
  <c r="O280" i="44"/>
  <c r="P280" i="44"/>
  <c r="Q280" i="44"/>
  <c r="R280" i="44"/>
  <c r="S280" i="44"/>
  <c r="T280" i="44"/>
  <c r="U280" i="44"/>
  <c r="V280" i="44"/>
  <c r="W280" i="44"/>
  <c r="X280" i="44"/>
  <c r="Y280" i="44"/>
  <c r="Z280" i="44"/>
  <c r="AA280" i="44"/>
  <c r="AB280" i="44"/>
  <c r="AC280" i="44"/>
  <c r="AD280" i="44"/>
  <c r="AE280" i="44"/>
  <c r="AF280" i="44"/>
  <c r="AG280" i="44"/>
  <c r="D281" i="44"/>
  <c r="E281" i="44"/>
  <c r="F281" i="44"/>
  <c r="G281" i="44"/>
  <c r="H281" i="44"/>
  <c r="I281" i="44"/>
  <c r="J281" i="44"/>
  <c r="K281" i="44"/>
  <c r="L281" i="44"/>
  <c r="M281" i="44"/>
  <c r="N281" i="44"/>
  <c r="O281" i="44"/>
  <c r="P281" i="44"/>
  <c r="Q281" i="44"/>
  <c r="R281" i="44"/>
  <c r="S281" i="44"/>
  <c r="T281" i="44"/>
  <c r="U281" i="44"/>
  <c r="V281" i="44"/>
  <c r="W281" i="44"/>
  <c r="X281" i="44"/>
  <c r="Y281" i="44"/>
  <c r="Z281" i="44"/>
  <c r="AA281" i="44"/>
  <c r="AB281" i="44"/>
  <c r="AC281" i="44"/>
  <c r="AD281" i="44"/>
  <c r="AE281" i="44"/>
  <c r="AF281" i="44"/>
  <c r="AG281" i="44"/>
  <c r="D282" i="44"/>
  <c r="E282" i="44"/>
  <c r="F282" i="44"/>
  <c r="G282" i="44"/>
  <c r="H282" i="44"/>
  <c r="I282" i="44"/>
  <c r="J282" i="44"/>
  <c r="K282" i="44"/>
  <c r="L282" i="44"/>
  <c r="M282" i="44"/>
  <c r="N282" i="44"/>
  <c r="O282" i="44"/>
  <c r="P282" i="44"/>
  <c r="Q282" i="44"/>
  <c r="R282" i="44"/>
  <c r="S282" i="44"/>
  <c r="T282" i="44"/>
  <c r="U282" i="44"/>
  <c r="V282" i="44"/>
  <c r="W282" i="44"/>
  <c r="X282" i="44"/>
  <c r="Y282" i="44"/>
  <c r="Z282" i="44"/>
  <c r="AA282" i="44"/>
  <c r="AB282" i="44"/>
  <c r="AC282" i="44"/>
  <c r="AD282" i="44"/>
  <c r="AE282" i="44"/>
  <c r="AF282" i="44"/>
  <c r="AG282" i="44"/>
  <c r="D283" i="44"/>
  <c r="E283" i="44"/>
  <c r="F283" i="44"/>
  <c r="G283" i="44"/>
  <c r="H283" i="44"/>
  <c r="I283" i="44"/>
  <c r="J283" i="44"/>
  <c r="K283" i="44"/>
  <c r="L283" i="44"/>
  <c r="M283" i="44"/>
  <c r="N283" i="44"/>
  <c r="O283" i="44"/>
  <c r="P283" i="44"/>
  <c r="Q283" i="44"/>
  <c r="R283" i="44"/>
  <c r="S283" i="44"/>
  <c r="T283" i="44"/>
  <c r="U283" i="44"/>
  <c r="V283" i="44"/>
  <c r="W283" i="44"/>
  <c r="X283" i="44"/>
  <c r="Y283" i="44"/>
  <c r="Z283" i="44"/>
  <c r="AA283" i="44"/>
  <c r="AB283" i="44"/>
  <c r="AC283" i="44"/>
  <c r="AD283" i="44"/>
  <c r="AE283" i="44"/>
  <c r="AF283" i="44"/>
  <c r="AG283" i="44"/>
  <c r="D284" i="44"/>
  <c r="E284" i="44"/>
  <c r="F284" i="44"/>
  <c r="G284" i="44"/>
  <c r="H284" i="44"/>
  <c r="I284" i="44"/>
  <c r="J284" i="44"/>
  <c r="K284" i="44"/>
  <c r="L284" i="44"/>
  <c r="M284" i="44"/>
  <c r="N284" i="44"/>
  <c r="O284" i="44"/>
  <c r="P284" i="44"/>
  <c r="Q284" i="44"/>
  <c r="R284" i="44"/>
  <c r="S284" i="44"/>
  <c r="T284" i="44"/>
  <c r="U284" i="44"/>
  <c r="V284" i="44"/>
  <c r="W284" i="44"/>
  <c r="X284" i="44"/>
  <c r="Y284" i="44"/>
  <c r="Z284" i="44"/>
  <c r="AA284" i="44"/>
  <c r="AB284" i="44"/>
  <c r="AC284" i="44"/>
  <c r="AD284" i="44"/>
  <c r="AE284" i="44"/>
  <c r="AF284" i="44"/>
  <c r="AG284" i="44"/>
  <c r="D285" i="44"/>
  <c r="E285" i="44"/>
  <c r="F285" i="44"/>
  <c r="G285" i="44"/>
  <c r="H285" i="44"/>
  <c r="I285" i="44"/>
  <c r="J285" i="44"/>
  <c r="K285" i="44"/>
  <c r="L285" i="44"/>
  <c r="M285" i="44"/>
  <c r="N285" i="44"/>
  <c r="O285" i="44"/>
  <c r="P285" i="44"/>
  <c r="Q285" i="44"/>
  <c r="R285" i="44"/>
  <c r="S285" i="44"/>
  <c r="T285" i="44"/>
  <c r="U285" i="44"/>
  <c r="V285" i="44"/>
  <c r="W285" i="44"/>
  <c r="X285" i="44"/>
  <c r="Y285" i="44"/>
  <c r="Z285" i="44"/>
  <c r="AA285" i="44"/>
  <c r="AB285" i="44"/>
  <c r="AC285" i="44"/>
  <c r="AD285" i="44"/>
  <c r="AE285" i="44"/>
  <c r="AF285" i="44"/>
  <c r="AG285" i="44"/>
  <c r="D286" i="44"/>
  <c r="E286" i="44"/>
  <c r="F286" i="44"/>
  <c r="G286" i="44"/>
  <c r="H286" i="44"/>
  <c r="I286" i="44"/>
  <c r="J286" i="44"/>
  <c r="K286" i="44"/>
  <c r="L286" i="44"/>
  <c r="M286" i="44"/>
  <c r="N286" i="44"/>
  <c r="O286" i="44"/>
  <c r="P286" i="44"/>
  <c r="Q286" i="44"/>
  <c r="R286" i="44"/>
  <c r="S286" i="44"/>
  <c r="T286" i="44"/>
  <c r="U286" i="44"/>
  <c r="V286" i="44"/>
  <c r="W286" i="44"/>
  <c r="X286" i="44"/>
  <c r="Y286" i="44"/>
  <c r="Z286" i="44"/>
  <c r="AA286" i="44"/>
  <c r="AB286" i="44"/>
  <c r="AC286" i="44"/>
  <c r="AD286" i="44"/>
  <c r="AE286" i="44"/>
  <c r="AF286" i="44"/>
  <c r="AG286" i="44"/>
  <c r="D287" i="44"/>
  <c r="E287" i="44"/>
  <c r="F287" i="44"/>
  <c r="G287" i="44"/>
  <c r="H287" i="44"/>
  <c r="I287" i="44"/>
  <c r="J287" i="44"/>
  <c r="K287" i="44"/>
  <c r="L287" i="44"/>
  <c r="M287" i="44"/>
  <c r="N287" i="44"/>
  <c r="O287" i="44"/>
  <c r="P287" i="44"/>
  <c r="Q287" i="44"/>
  <c r="R287" i="44"/>
  <c r="S287" i="44"/>
  <c r="T287" i="44"/>
  <c r="U287" i="44"/>
  <c r="V287" i="44"/>
  <c r="W287" i="44"/>
  <c r="X287" i="44"/>
  <c r="Y287" i="44"/>
  <c r="Z287" i="44"/>
  <c r="AA287" i="44"/>
  <c r="AB287" i="44"/>
  <c r="AC287" i="44"/>
  <c r="AD287" i="44"/>
  <c r="AE287" i="44"/>
  <c r="AF287" i="44"/>
  <c r="AG287" i="44"/>
  <c r="D288" i="44"/>
  <c r="E288" i="44"/>
  <c r="F288" i="44"/>
  <c r="G288" i="44"/>
  <c r="H288" i="44"/>
  <c r="I288" i="44"/>
  <c r="J288" i="44"/>
  <c r="K288" i="44"/>
  <c r="L288" i="44"/>
  <c r="M288" i="44"/>
  <c r="N288" i="44"/>
  <c r="O288" i="44"/>
  <c r="P288" i="44"/>
  <c r="Q288" i="44"/>
  <c r="R288" i="44"/>
  <c r="S288" i="44"/>
  <c r="T288" i="44"/>
  <c r="U288" i="44"/>
  <c r="V288" i="44"/>
  <c r="W288" i="44"/>
  <c r="X288" i="44"/>
  <c r="Y288" i="44"/>
  <c r="Z288" i="44"/>
  <c r="AA288" i="44"/>
  <c r="AB288" i="44"/>
  <c r="AC288" i="44"/>
  <c r="AD288" i="44"/>
  <c r="AE288" i="44"/>
  <c r="AF288" i="44"/>
  <c r="AG288" i="44"/>
  <c r="D289" i="44"/>
  <c r="E289" i="44"/>
  <c r="F289" i="44"/>
  <c r="G289" i="44"/>
  <c r="H289" i="44"/>
  <c r="I289" i="44"/>
  <c r="J289" i="44"/>
  <c r="K289" i="44"/>
  <c r="L289" i="44"/>
  <c r="M289" i="44"/>
  <c r="N289" i="44"/>
  <c r="O289" i="44"/>
  <c r="P289" i="44"/>
  <c r="Q289" i="44"/>
  <c r="R289" i="44"/>
  <c r="S289" i="44"/>
  <c r="T289" i="44"/>
  <c r="U289" i="44"/>
  <c r="V289" i="44"/>
  <c r="W289" i="44"/>
  <c r="X289" i="44"/>
  <c r="Y289" i="44"/>
  <c r="Z289" i="44"/>
  <c r="AA289" i="44"/>
  <c r="AB289" i="44"/>
  <c r="AC289" i="44"/>
  <c r="AD289" i="44"/>
  <c r="AE289" i="44"/>
  <c r="AF289" i="44"/>
  <c r="AG289" i="44"/>
  <c r="D290" i="44"/>
  <c r="E290" i="44"/>
  <c r="F290" i="44"/>
  <c r="G290" i="44"/>
  <c r="H290" i="44"/>
  <c r="I290" i="44"/>
  <c r="J290" i="44"/>
  <c r="K290" i="44"/>
  <c r="L290" i="44"/>
  <c r="M290" i="44"/>
  <c r="N290" i="44"/>
  <c r="O290" i="44"/>
  <c r="P290" i="44"/>
  <c r="Q290" i="44"/>
  <c r="R290" i="44"/>
  <c r="S290" i="44"/>
  <c r="T290" i="44"/>
  <c r="U290" i="44"/>
  <c r="V290" i="44"/>
  <c r="W290" i="44"/>
  <c r="X290" i="44"/>
  <c r="Y290" i="44"/>
  <c r="Z290" i="44"/>
  <c r="AA290" i="44"/>
  <c r="AB290" i="44"/>
  <c r="AC290" i="44"/>
  <c r="AD290" i="44"/>
  <c r="AE290" i="44"/>
  <c r="AF290" i="44"/>
  <c r="AG290" i="44"/>
  <c r="D291" i="44"/>
  <c r="E291" i="44"/>
  <c r="F291" i="44"/>
  <c r="G291" i="44"/>
  <c r="H291" i="44"/>
  <c r="I291" i="44"/>
  <c r="J291" i="44"/>
  <c r="K291" i="44"/>
  <c r="L291" i="44"/>
  <c r="M291" i="44"/>
  <c r="N291" i="44"/>
  <c r="O291" i="44"/>
  <c r="P291" i="44"/>
  <c r="Q291" i="44"/>
  <c r="R291" i="44"/>
  <c r="S291" i="44"/>
  <c r="T291" i="44"/>
  <c r="U291" i="44"/>
  <c r="V291" i="44"/>
  <c r="W291" i="44"/>
  <c r="X291" i="44"/>
  <c r="Y291" i="44"/>
  <c r="Z291" i="44"/>
  <c r="AA291" i="44"/>
  <c r="AB291" i="44"/>
  <c r="AC291" i="44"/>
  <c r="AD291" i="44"/>
  <c r="AE291" i="44"/>
  <c r="AF291" i="44"/>
  <c r="AG291" i="44"/>
  <c r="D292" i="44"/>
  <c r="E292" i="44"/>
  <c r="F292" i="44"/>
  <c r="G292" i="44"/>
  <c r="H292" i="44"/>
  <c r="I292" i="44"/>
  <c r="J292" i="44"/>
  <c r="K292" i="44"/>
  <c r="L292" i="44"/>
  <c r="M292" i="44"/>
  <c r="N292" i="44"/>
  <c r="O292" i="44"/>
  <c r="P292" i="44"/>
  <c r="Q292" i="44"/>
  <c r="R292" i="44"/>
  <c r="S292" i="44"/>
  <c r="T292" i="44"/>
  <c r="U292" i="44"/>
  <c r="V292" i="44"/>
  <c r="W292" i="44"/>
  <c r="X292" i="44"/>
  <c r="Y292" i="44"/>
  <c r="Z292" i="44"/>
  <c r="AA292" i="44"/>
  <c r="AB292" i="44"/>
  <c r="AC292" i="44"/>
  <c r="AD292" i="44"/>
  <c r="AE292" i="44"/>
  <c r="AF292" i="44"/>
  <c r="AG292" i="44"/>
  <c r="D293" i="44"/>
  <c r="E293" i="44"/>
  <c r="F293" i="44"/>
  <c r="G293" i="44"/>
  <c r="H293" i="44"/>
  <c r="I293" i="44"/>
  <c r="J293" i="44"/>
  <c r="K293" i="44"/>
  <c r="L293" i="44"/>
  <c r="M293" i="44"/>
  <c r="N293" i="44"/>
  <c r="O293" i="44"/>
  <c r="P293" i="44"/>
  <c r="Q293" i="44"/>
  <c r="R293" i="44"/>
  <c r="S293" i="44"/>
  <c r="T293" i="44"/>
  <c r="U293" i="44"/>
  <c r="V293" i="44"/>
  <c r="W293" i="44"/>
  <c r="X293" i="44"/>
  <c r="Y293" i="44"/>
  <c r="Z293" i="44"/>
  <c r="AA293" i="44"/>
  <c r="AB293" i="44"/>
  <c r="AC293" i="44"/>
  <c r="AD293" i="44"/>
  <c r="AE293" i="44"/>
  <c r="AF293" i="44"/>
  <c r="AG293" i="44"/>
  <c r="D294" i="44"/>
  <c r="E294" i="44"/>
  <c r="F294" i="44"/>
  <c r="G294" i="44"/>
  <c r="H294" i="44"/>
  <c r="I294" i="44"/>
  <c r="J294" i="44"/>
  <c r="K294" i="44"/>
  <c r="L294" i="44"/>
  <c r="M294" i="44"/>
  <c r="N294" i="44"/>
  <c r="O294" i="44"/>
  <c r="P294" i="44"/>
  <c r="Q294" i="44"/>
  <c r="R294" i="44"/>
  <c r="S294" i="44"/>
  <c r="T294" i="44"/>
  <c r="U294" i="44"/>
  <c r="V294" i="44"/>
  <c r="W294" i="44"/>
  <c r="X294" i="44"/>
  <c r="Y294" i="44"/>
  <c r="Z294" i="44"/>
  <c r="AA294" i="44"/>
  <c r="AB294" i="44"/>
  <c r="AC294" i="44"/>
  <c r="AD294" i="44"/>
  <c r="AE294" i="44"/>
  <c r="AF294" i="44"/>
  <c r="AG294" i="44"/>
  <c r="D295" i="44"/>
  <c r="E295" i="44"/>
  <c r="F295" i="44"/>
  <c r="G295" i="44"/>
  <c r="H295" i="44"/>
  <c r="I295" i="44"/>
  <c r="J295" i="44"/>
  <c r="K295" i="44"/>
  <c r="L295" i="44"/>
  <c r="M295" i="44"/>
  <c r="N295" i="44"/>
  <c r="O295" i="44"/>
  <c r="P295" i="44"/>
  <c r="Q295" i="44"/>
  <c r="R295" i="44"/>
  <c r="S295" i="44"/>
  <c r="T295" i="44"/>
  <c r="U295" i="44"/>
  <c r="V295" i="44"/>
  <c r="W295" i="44"/>
  <c r="X295" i="44"/>
  <c r="Y295" i="44"/>
  <c r="Z295" i="44"/>
  <c r="AA295" i="44"/>
  <c r="AB295" i="44"/>
  <c r="AC295" i="44"/>
  <c r="AD295" i="44"/>
  <c r="AE295" i="44"/>
  <c r="AF295" i="44"/>
  <c r="AG295" i="44"/>
  <c r="D296" i="44"/>
  <c r="E296" i="44"/>
  <c r="F296" i="44"/>
  <c r="G296" i="44"/>
  <c r="H296" i="44"/>
  <c r="I296" i="44"/>
  <c r="J296" i="44"/>
  <c r="K296" i="44"/>
  <c r="L296" i="44"/>
  <c r="M296" i="44"/>
  <c r="N296" i="44"/>
  <c r="O296" i="44"/>
  <c r="P296" i="44"/>
  <c r="Q296" i="44"/>
  <c r="R296" i="44"/>
  <c r="S296" i="44"/>
  <c r="T296" i="44"/>
  <c r="U296" i="44"/>
  <c r="V296" i="44"/>
  <c r="W296" i="44"/>
  <c r="X296" i="44"/>
  <c r="Y296" i="44"/>
  <c r="Z296" i="44"/>
  <c r="AA296" i="44"/>
  <c r="AB296" i="44"/>
  <c r="AC296" i="44"/>
  <c r="AD296" i="44"/>
  <c r="AE296" i="44"/>
  <c r="AF296" i="44"/>
  <c r="AG296" i="44"/>
  <c r="D297" i="44"/>
  <c r="E297" i="44"/>
  <c r="F297" i="44"/>
  <c r="G297" i="44"/>
  <c r="H297" i="44"/>
  <c r="I297" i="44"/>
  <c r="J297" i="44"/>
  <c r="K297" i="44"/>
  <c r="L297" i="44"/>
  <c r="M297" i="44"/>
  <c r="N297" i="44"/>
  <c r="O297" i="44"/>
  <c r="P297" i="44"/>
  <c r="Q297" i="44"/>
  <c r="R297" i="44"/>
  <c r="S297" i="44"/>
  <c r="T297" i="44"/>
  <c r="U297" i="44"/>
  <c r="V297" i="44"/>
  <c r="W297" i="44"/>
  <c r="X297" i="44"/>
  <c r="Y297" i="44"/>
  <c r="Z297" i="44"/>
  <c r="AA297" i="44"/>
  <c r="AB297" i="44"/>
  <c r="AC297" i="44"/>
  <c r="AD297" i="44"/>
  <c r="AE297" i="44"/>
  <c r="AF297" i="44"/>
  <c r="AG297" i="44"/>
  <c r="D298" i="44"/>
  <c r="E298" i="44"/>
  <c r="F298" i="44"/>
  <c r="G298" i="44"/>
  <c r="H298" i="44"/>
  <c r="I298" i="44"/>
  <c r="J298" i="44"/>
  <c r="K298" i="44"/>
  <c r="L298" i="44"/>
  <c r="M298" i="44"/>
  <c r="N298" i="44"/>
  <c r="O298" i="44"/>
  <c r="P298" i="44"/>
  <c r="Q298" i="44"/>
  <c r="R298" i="44"/>
  <c r="S298" i="44"/>
  <c r="T298" i="44"/>
  <c r="U298" i="44"/>
  <c r="V298" i="44"/>
  <c r="W298" i="44"/>
  <c r="X298" i="44"/>
  <c r="Y298" i="44"/>
  <c r="Z298" i="44"/>
  <c r="AA298" i="44"/>
  <c r="AB298" i="44"/>
  <c r="AC298" i="44"/>
  <c r="AD298" i="44"/>
  <c r="AE298" i="44"/>
  <c r="AF298" i="44"/>
  <c r="AG298" i="44"/>
  <c r="D299" i="44"/>
  <c r="E299" i="44"/>
  <c r="F299" i="44"/>
  <c r="G299" i="44"/>
  <c r="H299" i="44"/>
  <c r="I299" i="44"/>
  <c r="J299" i="44"/>
  <c r="K299" i="44"/>
  <c r="L299" i="44"/>
  <c r="M299" i="44"/>
  <c r="N299" i="44"/>
  <c r="O299" i="44"/>
  <c r="P299" i="44"/>
  <c r="Q299" i="44"/>
  <c r="R299" i="44"/>
  <c r="S299" i="44"/>
  <c r="T299" i="44"/>
  <c r="U299" i="44"/>
  <c r="V299" i="44"/>
  <c r="W299" i="44"/>
  <c r="X299" i="44"/>
  <c r="Y299" i="44"/>
  <c r="Z299" i="44"/>
  <c r="AA299" i="44"/>
  <c r="AB299" i="44"/>
  <c r="AC299" i="44"/>
  <c r="AD299" i="44"/>
  <c r="AE299" i="44"/>
  <c r="AF299" i="44"/>
  <c r="AG299" i="44"/>
  <c r="D300" i="44"/>
  <c r="E300" i="44"/>
  <c r="F300" i="44"/>
  <c r="G300" i="44"/>
  <c r="H300" i="44"/>
  <c r="I300" i="44"/>
  <c r="J300" i="44"/>
  <c r="K300" i="44"/>
  <c r="L300" i="44"/>
  <c r="M300" i="44"/>
  <c r="N300" i="44"/>
  <c r="O300" i="44"/>
  <c r="P300" i="44"/>
  <c r="Q300" i="44"/>
  <c r="R300" i="44"/>
  <c r="S300" i="44"/>
  <c r="T300" i="44"/>
  <c r="U300" i="44"/>
  <c r="V300" i="44"/>
  <c r="W300" i="44"/>
  <c r="X300" i="44"/>
  <c r="Y300" i="44"/>
  <c r="Z300" i="44"/>
  <c r="AA300" i="44"/>
  <c r="AB300" i="44"/>
  <c r="AC300" i="44"/>
  <c r="AD300" i="44"/>
  <c r="AE300" i="44"/>
  <c r="AF300" i="44"/>
  <c r="AG300" i="44"/>
  <c r="D301" i="44"/>
  <c r="E301" i="44"/>
  <c r="F301" i="44"/>
  <c r="G301" i="44"/>
  <c r="H301" i="44"/>
  <c r="I301" i="44"/>
  <c r="J301" i="44"/>
  <c r="K301" i="44"/>
  <c r="L301" i="44"/>
  <c r="M301" i="44"/>
  <c r="N301" i="44"/>
  <c r="O301" i="44"/>
  <c r="P301" i="44"/>
  <c r="Q301" i="44"/>
  <c r="R301" i="44"/>
  <c r="S301" i="44"/>
  <c r="T301" i="44"/>
  <c r="U301" i="44"/>
  <c r="V301" i="44"/>
  <c r="W301" i="44"/>
  <c r="X301" i="44"/>
  <c r="Y301" i="44"/>
  <c r="Z301" i="44"/>
  <c r="AA301" i="44"/>
  <c r="AB301" i="44"/>
  <c r="AC301" i="44"/>
  <c r="AD301" i="44"/>
  <c r="AE301" i="44"/>
  <c r="AF301" i="44"/>
  <c r="AG301" i="44"/>
  <c r="D302" i="44"/>
  <c r="E302" i="44"/>
  <c r="F302" i="44"/>
  <c r="G302" i="44"/>
  <c r="H302" i="44"/>
  <c r="I302" i="44"/>
  <c r="J302" i="44"/>
  <c r="K302" i="44"/>
  <c r="L302" i="44"/>
  <c r="M302" i="44"/>
  <c r="N302" i="44"/>
  <c r="O302" i="44"/>
  <c r="P302" i="44"/>
  <c r="Q302" i="44"/>
  <c r="R302" i="44"/>
  <c r="S302" i="44"/>
  <c r="T302" i="44"/>
  <c r="U302" i="44"/>
  <c r="V302" i="44"/>
  <c r="W302" i="44"/>
  <c r="X302" i="44"/>
  <c r="Y302" i="44"/>
  <c r="Z302" i="44"/>
  <c r="AA302" i="44"/>
  <c r="AB302" i="44"/>
  <c r="AC302" i="44"/>
  <c r="AD302" i="44"/>
  <c r="AE302" i="44"/>
  <c r="AF302" i="44"/>
  <c r="AG302" i="44"/>
  <c r="D303" i="44"/>
  <c r="E303" i="44"/>
  <c r="F303" i="44"/>
  <c r="G303" i="44"/>
  <c r="H303" i="44"/>
  <c r="I303" i="44"/>
  <c r="J303" i="44"/>
  <c r="K303" i="44"/>
  <c r="L303" i="44"/>
  <c r="M303" i="44"/>
  <c r="N303" i="44"/>
  <c r="O303" i="44"/>
  <c r="P303" i="44"/>
  <c r="Q303" i="44"/>
  <c r="R303" i="44"/>
  <c r="S303" i="44"/>
  <c r="T303" i="44"/>
  <c r="U303" i="44"/>
  <c r="V303" i="44"/>
  <c r="W303" i="44"/>
  <c r="X303" i="44"/>
  <c r="Y303" i="44"/>
  <c r="Z303" i="44"/>
  <c r="AA303" i="44"/>
  <c r="AB303" i="44"/>
  <c r="AC303" i="44"/>
  <c r="AD303" i="44"/>
  <c r="AE303" i="44"/>
  <c r="AF303" i="44"/>
  <c r="AG303" i="44"/>
  <c r="D304" i="44"/>
  <c r="E304" i="44"/>
  <c r="F304" i="44"/>
  <c r="G304" i="44"/>
  <c r="H304" i="44"/>
  <c r="I304" i="44"/>
  <c r="J304" i="44"/>
  <c r="K304" i="44"/>
  <c r="L304" i="44"/>
  <c r="M304" i="44"/>
  <c r="N304" i="44"/>
  <c r="O304" i="44"/>
  <c r="P304" i="44"/>
  <c r="Q304" i="44"/>
  <c r="R304" i="44"/>
  <c r="S304" i="44"/>
  <c r="T304" i="44"/>
  <c r="U304" i="44"/>
  <c r="V304" i="44"/>
  <c r="W304" i="44"/>
  <c r="X304" i="44"/>
  <c r="Y304" i="44"/>
  <c r="Z304" i="44"/>
  <c r="AA304" i="44"/>
  <c r="AB304" i="44"/>
  <c r="AC304" i="44"/>
  <c r="AD304" i="44"/>
  <c r="AE304" i="44"/>
  <c r="AF304" i="44"/>
  <c r="AG304" i="44"/>
  <c r="D305" i="44"/>
  <c r="E305" i="44"/>
  <c r="F305" i="44"/>
  <c r="G305" i="44"/>
  <c r="H305" i="44"/>
  <c r="I305" i="44"/>
  <c r="J305" i="44"/>
  <c r="K305" i="44"/>
  <c r="L305" i="44"/>
  <c r="M305" i="44"/>
  <c r="N305" i="44"/>
  <c r="O305" i="44"/>
  <c r="P305" i="44"/>
  <c r="Q305" i="44"/>
  <c r="R305" i="44"/>
  <c r="S305" i="44"/>
  <c r="T305" i="44"/>
  <c r="U305" i="44"/>
  <c r="V305" i="44"/>
  <c r="W305" i="44"/>
  <c r="X305" i="44"/>
  <c r="Y305" i="44"/>
  <c r="Z305" i="44"/>
  <c r="AA305" i="44"/>
  <c r="AB305" i="44"/>
  <c r="AC305" i="44"/>
  <c r="AD305" i="44"/>
  <c r="AE305" i="44"/>
  <c r="AF305" i="44"/>
  <c r="AG305" i="44"/>
  <c r="D306" i="44"/>
  <c r="E306" i="44"/>
  <c r="F306" i="44"/>
  <c r="G306" i="44"/>
  <c r="H306" i="44"/>
  <c r="I306" i="44"/>
  <c r="J306" i="44"/>
  <c r="K306" i="44"/>
  <c r="L306" i="44"/>
  <c r="M306" i="44"/>
  <c r="N306" i="44"/>
  <c r="O306" i="44"/>
  <c r="P306" i="44"/>
  <c r="Q306" i="44"/>
  <c r="R306" i="44"/>
  <c r="S306" i="44"/>
  <c r="T306" i="44"/>
  <c r="U306" i="44"/>
  <c r="V306" i="44"/>
  <c r="W306" i="44"/>
  <c r="X306" i="44"/>
  <c r="Y306" i="44"/>
  <c r="Z306" i="44"/>
  <c r="AA306" i="44"/>
  <c r="AB306" i="44"/>
  <c r="AC306" i="44"/>
  <c r="AD306" i="44"/>
  <c r="AE306" i="44"/>
  <c r="AF306" i="44"/>
  <c r="AG306" i="44"/>
  <c r="D307" i="44"/>
  <c r="E307" i="44"/>
  <c r="F307" i="44"/>
  <c r="G307" i="44"/>
  <c r="H307" i="44"/>
  <c r="I307" i="44"/>
  <c r="J307" i="44"/>
  <c r="K307" i="44"/>
  <c r="L307" i="44"/>
  <c r="M307" i="44"/>
  <c r="N307" i="44"/>
  <c r="O307" i="44"/>
  <c r="P307" i="44"/>
  <c r="Q307" i="44"/>
  <c r="R307" i="44"/>
  <c r="S307" i="44"/>
  <c r="T307" i="44"/>
  <c r="U307" i="44"/>
  <c r="V307" i="44"/>
  <c r="W307" i="44"/>
  <c r="X307" i="44"/>
  <c r="Y307" i="44"/>
  <c r="Z307" i="44"/>
  <c r="AA307" i="44"/>
  <c r="AB307" i="44"/>
  <c r="AC307" i="44"/>
  <c r="AD307" i="44"/>
  <c r="AE307" i="44"/>
  <c r="AF307" i="44"/>
  <c r="AG307" i="44"/>
  <c r="D308" i="44"/>
  <c r="E308" i="44"/>
  <c r="F308" i="44"/>
  <c r="G308" i="44"/>
  <c r="H308" i="44"/>
  <c r="I308" i="44"/>
  <c r="J308" i="44"/>
  <c r="K308" i="44"/>
  <c r="L308" i="44"/>
  <c r="M308" i="44"/>
  <c r="N308" i="44"/>
  <c r="O308" i="44"/>
  <c r="P308" i="44"/>
  <c r="Q308" i="44"/>
  <c r="R308" i="44"/>
  <c r="S308" i="44"/>
  <c r="T308" i="44"/>
  <c r="U308" i="44"/>
  <c r="V308" i="44"/>
  <c r="W308" i="44"/>
  <c r="X308" i="44"/>
  <c r="Y308" i="44"/>
  <c r="Z308" i="44"/>
  <c r="AA308" i="44"/>
  <c r="AB308" i="44"/>
  <c r="AC308" i="44"/>
  <c r="AD308" i="44"/>
  <c r="AE308" i="44"/>
  <c r="AF308" i="44"/>
  <c r="AG308" i="44"/>
  <c r="D309" i="44"/>
  <c r="E309" i="44"/>
  <c r="F309" i="44"/>
  <c r="G309" i="44"/>
  <c r="H309" i="44"/>
  <c r="I309" i="44"/>
  <c r="J309" i="44"/>
  <c r="K309" i="44"/>
  <c r="L309" i="44"/>
  <c r="M309" i="44"/>
  <c r="N309" i="44"/>
  <c r="O309" i="44"/>
  <c r="P309" i="44"/>
  <c r="Q309" i="44"/>
  <c r="R309" i="44"/>
  <c r="S309" i="44"/>
  <c r="T309" i="44"/>
  <c r="U309" i="44"/>
  <c r="V309" i="44"/>
  <c r="W309" i="44"/>
  <c r="X309" i="44"/>
  <c r="Y309" i="44"/>
  <c r="Z309" i="44"/>
  <c r="AA309" i="44"/>
  <c r="AB309" i="44"/>
  <c r="AC309" i="44"/>
  <c r="AD309" i="44"/>
  <c r="AE309" i="44"/>
  <c r="AF309" i="44"/>
  <c r="AG309" i="44"/>
  <c r="D312" i="44"/>
  <c r="E312" i="44"/>
  <c r="F312" i="44"/>
  <c r="G312" i="44"/>
  <c r="H312" i="44"/>
  <c r="I312" i="44"/>
  <c r="J312" i="44"/>
  <c r="K312" i="44"/>
  <c r="L312" i="44"/>
  <c r="M312" i="44"/>
  <c r="N312" i="44"/>
  <c r="O312" i="44"/>
  <c r="P312" i="44"/>
  <c r="Q312" i="44"/>
  <c r="R312" i="44"/>
  <c r="S312" i="44"/>
  <c r="T312" i="44"/>
  <c r="U312" i="44"/>
  <c r="V312" i="44"/>
  <c r="W312" i="44"/>
  <c r="X312" i="44"/>
  <c r="Y312" i="44"/>
  <c r="Z312" i="44"/>
  <c r="AA312" i="44"/>
  <c r="AB312" i="44"/>
  <c r="AC312" i="44"/>
  <c r="AD312" i="44"/>
  <c r="AE312" i="44"/>
  <c r="AF312" i="44"/>
  <c r="AG312" i="44"/>
  <c r="D313" i="44"/>
  <c r="E313" i="44"/>
  <c r="F313" i="44"/>
  <c r="G313" i="44"/>
  <c r="H313" i="44"/>
  <c r="I313" i="44"/>
  <c r="J313" i="44"/>
  <c r="K313" i="44"/>
  <c r="L313" i="44"/>
  <c r="M313" i="44"/>
  <c r="N313" i="44"/>
  <c r="O313" i="44"/>
  <c r="P313" i="44"/>
  <c r="Q313" i="44"/>
  <c r="R313" i="44"/>
  <c r="S313" i="44"/>
  <c r="T313" i="44"/>
  <c r="U313" i="44"/>
  <c r="V313" i="44"/>
  <c r="W313" i="44"/>
  <c r="X313" i="44"/>
  <c r="Y313" i="44"/>
  <c r="Z313" i="44"/>
  <c r="AA313" i="44"/>
  <c r="AB313" i="44"/>
  <c r="AC313" i="44"/>
  <c r="AD313" i="44"/>
  <c r="AE313" i="44"/>
  <c r="AF313" i="44"/>
  <c r="AG313" i="44"/>
  <c r="D314" i="44"/>
  <c r="E314" i="44"/>
  <c r="F314" i="44"/>
  <c r="G314" i="44"/>
  <c r="H314" i="44"/>
  <c r="I314" i="44"/>
  <c r="J314" i="44"/>
  <c r="K314" i="44"/>
  <c r="L314" i="44"/>
  <c r="M314" i="44"/>
  <c r="N314" i="44"/>
  <c r="O314" i="44"/>
  <c r="P314" i="44"/>
  <c r="Q314" i="44"/>
  <c r="R314" i="44"/>
  <c r="S314" i="44"/>
  <c r="T314" i="44"/>
  <c r="U314" i="44"/>
  <c r="V314" i="44"/>
  <c r="W314" i="44"/>
  <c r="X314" i="44"/>
  <c r="Y314" i="44"/>
  <c r="Z314" i="44"/>
  <c r="AA314" i="44"/>
  <c r="AB314" i="44"/>
  <c r="AC314" i="44"/>
  <c r="AD314" i="44"/>
  <c r="AE314" i="44"/>
  <c r="AF314" i="44"/>
  <c r="AG314" i="44"/>
  <c r="D315" i="44"/>
  <c r="E315" i="44"/>
  <c r="F315" i="44"/>
  <c r="G315" i="44"/>
  <c r="H315" i="44"/>
  <c r="I315" i="44"/>
  <c r="J315" i="44"/>
  <c r="K315" i="44"/>
  <c r="L315" i="44"/>
  <c r="M315" i="44"/>
  <c r="N315" i="44"/>
  <c r="O315" i="44"/>
  <c r="P315" i="44"/>
  <c r="Q315" i="44"/>
  <c r="R315" i="44"/>
  <c r="S315" i="44"/>
  <c r="T315" i="44"/>
  <c r="U315" i="44"/>
  <c r="V315" i="44"/>
  <c r="W315" i="44"/>
  <c r="X315" i="44"/>
  <c r="Y315" i="44"/>
  <c r="Z315" i="44"/>
  <c r="AA315" i="44"/>
  <c r="AB315" i="44"/>
  <c r="AC315" i="44"/>
  <c r="AD315" i="44"/>
  <c r="AE315" i="44"/>
  <c r="AF315" i="44"/>
  <c r="AG315" i="44"/>
  <c r="D316" i="44"/>
  <c r="E316" i="44"/>
  <c r="F316" i="44"/>
  <c r="G316" i="44"/>
  <c r="H316" i="44"/>
  <c r="I316" i="44"/>
  <c r="J316" i="44"/>
  <c r="K316" i="44"/>
  <c r="L316" i="44"/>
  <c r="M316" i="44"/>
  <c r="N316" i="44"/>
  <c r="O316" i="44"/>
  <c r="P316" i="44"/>
  <c r="Q316" i="44"/>
  <c r="R316" i="44"/>
  <c r="S316" i="44"/>
  <c r="T316" i="44"/>
  <c r="U316" i="44"/>
  <c r="V316" i="44"/>
  <c r="W316" i="44"/>
  <c r="X316" i="44"/>
  <c r="Y316" i="44"/>
  <c r="Z316" i="44"/>
  <c r="AA316" i="44"/>
  <c r="AB316" i="44"/>
  <c r="AC316" i="44"/>
  <c r="AD316" i="44"/>
  <c r="AE316" i="44"/>
  <c r="AF316" i="44"/>
  <c r="AG316" i="44"/>
  <c r="D317" i="44"/>
  <c r="E317" i="44"/>
  <c r="F317" i="44"/>
  <c r="G317" i="44"/>
  <c r="H317" i="44"/>
  <c r="I317" i="44"/>
  <c r="J317" i="44"/>
  <c r="K317" i="44"/>
  <c r="L317" i="44"/>
  <c r="M317" i="44"/>
  <c r="N317" i="44"/>
  <c r="O317" i="44"/>
  <c r="P317" i="44"/>
  <c r="Q317" i="44"/>
  <c r="R317" i="44"/>
  <c r="S317" i="44"/>
  <c r="T317" i="44"/>
  <c r="U317" i="44"/>
  <c r="V317" i="44"/>
  <c r="W317" i="44"/>
  <c r="X317" i="44"/>
  <c r="Y317" i="44"/>
  <c r="Z317" i="44"/>
  <c r="AA317" i="44"/>
  <c r="AB317" i="44"/>
  <c r="AC317" i="44"/>
  <c r="AD317" i="44"/>
  <c r="AE317" i="44"/>
  <c r="AF317" i="44"/>
  <c r="AG317" i="44"/>
  <c r="D318" i="44"/>
  <c r="E318" i="44"/>
  <c r="F318" i="44"/>
  <c r="G318" i="44"/>
  <c r="H318" i="44"/>
  <c r="I318" i="44"/>
  <c r="J318" i="44"/>
  <c r="K318" i="44"/>
  <c r="L318" i="44"/>
  <c r="M318" i="44"/>
  <c r="N318" i="44"/>
  <c r="O318" i="44"/>
  <c r="P318" i="44"/>
  <c r="Q318" i="44"/>
  <c r="R318" i="44"/>
  <c r="S318" i="44"/>
  <c r="T318" i="44"/>
  <c r="U318" i="44"/>
  <c r="V318" i="44"/>
  <c r="W318" i="44"/>
  <c r="X318" i="44"/>
  <c r="Y318" i="44"/>
  <c r="Z318" i="44"/>
  <c r="AA318" i="44"/>
  <c r="AB318" i="44"/>
  <c r="AC318" i="44"/>
  <c r="AD318" i="44"/>
  <c r="AE318" i="44"/>
  <c r="AF318" i="44"/>
  <c r="AG318" i="44"/>
  <c r="D319" i="44"/>
  <c r="E319" i="44"/>
  <c r="F319" i="44"/>
  <c r="G319" i="44"/>
  <c r="H319" i="44"/>
  <c r="I319" i="44"/>
  <c r="J319" i="44"/>
  <c r="K319" i="44"/>
  <c r="L319" i="44"/>
  <c r="M319" i="44"/>
  <c r="N319" i="44"/>
  <c r="O319" i="44"/>
  <c r="P319" i="44"/>
  <c r="Q319" i="44"/>
  <c r="R319" i="44"/>
  <c r="S319" i="44"/>
  <c r="T319" i="44"/>
  <c r="U319" i="44"/>
  <c r="V319" i="44"/>
  <c r="W319" i="44"/>
  <c r="X319" i="44"/>
  <c r="Y319" i="44"/>
  <c r="Z319" i="44"/>
  <c r="AA319" i="44"/>
  <c r="AB319" i="44"/>
  <c r="AC319" i="44"/>
  <c r="AD319" i="44"/>
  <c r="AE319" i="44"/>
  <c r="AF319" i="44"/>
  <c r="AG319" i="44"/>
  <c r="D320" i="44"/>
  <c r="E320" i="44"/>
  <c r="F320" i="44"/>
  <c r="G320" i="44"/>
  <c r="H320" i="44"/>
  <c r="I320" i="44"/>
  <c r="J320" i="44"/>
  <c r="K320" i="44"/>
  <c r="L320" i="44"/>
  <c r="M320" i="44"/>
  <c r="N320" i="44"/>
  <c r="O320" i="44"/>
  <c r="P320" i="44"/>
  <c r="Q320" i="44"/>
  <c r="R320" i="44"/>
  <c r="S320" i="44"/>
  <c r="T320" i="44"/>
  <c r="U320" i="44"/>
  <c r="V320" i="44"/>
  <c r="W320" i="44"/>
  <c r="X320" i="44"/>
  <c r="Y320" i="44"/>
  <c r="Z320" i="44"/>
  <c r="AA320" i="44"/>
  <c r="AB320" i="44"/>
  <c r="AC320" i="44"/>
  <c r="AD320" i="44"/>
  <c r="AE320" i="44"/>
  <c r="AF320" i="44"/>
  <c r="AG320" i="44"/>
  <c r="D321" i="44"/>
  <c r="E321" i="44"/>
  <c r="F321" i="44"/>
  <c r="G321" i="44"/>
  <c r="H321" i="44"/>
  <c r="I321" i="44"/>
  <c r="J321" i="44"/>
  <c r="K321" i="44"/>
  <c r="L321" i="44"/>
  <c r="M321" i="44"/>
  <c r="N321" i="44"/>
  <c r="O321" i="44"/>
  <c r="P321" i="44"/>
  <c r="Q321" i="44"/>
  <c r="R321" i="44"/>
  <c r="S321" i="44"/>
  <c r="T321" i="44"/>
  <c r="U321" i="44"/>
  <c r="V321" i="44"/>
  <c r="W321" i="44"/>
  <c r="X321" i="44"/>
  <c r="Y321" i="44"/>
  <c r="Z321" i="44"/>
  <c r="AA321" i="44"/>
  <c r="AB321" i="44"/>
  <c r="AC321" i="44"/>
  <c r="AD321" i="44"/>
  <c r="AE321" i="44"/>
  <c r="AF321" i="44"/>
  <c r="AG321" i="44"/>
  <c r="D322" i="44"/>
  <c r="E322" i="44"/>
  <c r="F322" i="44"/>
  <c r="G322" i="44"/>
  <c r="H322" i="44"/>
  <c r="I322" i="44"/>
  <c r="J322" i="44"/>
  <c r="K322" i="44"/>
  <c r="L322" i="44"/>
  <c r="M322" i="44"/>
  <c r="N322" i="44"/>
  <c r="O322" i="44"/>
  <c r="P322" i="44"/>
  <c r="Q322" i="44"/>
  <c r="R322" i="44"/>
  <c r="S322" i="44"/>
  <c r="T322" i="44"/>
  <c r="U322" i="44"/>
  <c r="V322" i="44"/>
  <c r="W322" i="44"/>
  <c r="X322" i="44"/>
  <c r="Y322" i="44"/>
  <c r="Z322" i="44"/>
  <c r="AA322" i="44"/>
  <c r="AB322" i="44"/>
  <c r="AC322" i="44"/>
  <c r="AD322" i="44"/>
  <c r="AE322" i="44"/>
  <c r="AF322" i="44"/>
  <c r="AG322" i="44"/>
  <c r="D323" i="44"/>
  <c r="E323" i="44"/>
  <c r="F323" i="44"/>
  <c r="G323" i="44"/>
  <c r="H323" i="44"/>
  <c r="I323" i="44"/>
  <c r="J323" i="44"/>
  <c r="K323" i="44"/>
  <c r="L323" i="44"/>
  <c r="M323" i="44"/>
  <c r="N323" i="44"/>
  <c r="O323" i="44"/>
  <c r="P323" i="44"/>
  <c r="Q323" i="44"/>
  <c r="R323" i="44"/>
  <c r="S323" i="44"/>
  <c r="T323" i="44"/>
  <c r="U323" i="44"/>
  <c r="V323" i="44"/>
  <c r="W323" i="44"/>
  <c r="X323" i="44"/>
  <c r="Y323" i="44"/>
  <c r="Z323" i="44"/>
  <c r="AA323" i="44"/>
  <c r="AB323" i="44"/>
  <c r="AC323" i="44"/>
  <c r="AD323" i="44"/>
  <c r="AE323" i="44"/>
  <c r="AF323" i="44"/>
  <c r="AG323" i="44"/>
  <c r="D324" i="44"/>
  <c r="E324" i="44"/>
  <c r="F324" i="44"/>
  <c r="G324" i="44"/>
  <c r="H324" i="44"/>
  <c r="I324" i="44"/>
  <c r="J324" i="44"/>
  <c r="K324" i="44"/>
  <c r="L324" i="44"/>
  <c r="M324" i="44"/>
  <c r="N324" i="44"/>
  <c r="O324" i="44"/>
  <c r="P324" i="44"/>
  <c r="Q324" i="44"/>
  <c r="R324" i="44"/>
  <c r="S324" i="44"/>
  <c r="T324" i="44"/>
  <c r="U324" i="44"/>
  <c r="V324" i="44"/>
  <c r="W324" i="44"/>
  <c r="X324" i="44"/>
  <c r="Y324" i="44"/>
  <c r="Z324" i="44"/>
  <c r="AA324" i="44"/>
  <c r="AB324" i="44"/>
  <c r="AC324" i="44"/>
  <c r="AD324" i="44"/>
  <c r="AE324" i="44"/>
  <c r="AF324" i="44"/>
  <c r="AG324" i="44"/>
  <c r="D325" i="44"/>
  <c r="E325" i="44"/>
  <c r="F325" i="44"/>
  <c r="G325" i="44"/>
  <c r="H325" i="44"/>
  <c r="I325" i="44"/>
  <c r="J325" i="44"/>
  <c r="K325" i="44"/>
  <c r="L325" i="44"/>
  <c r="M325" i="44"/>
  <c r="N325" i="44"/>
  <c r="O325" i="44"/>
  <c r="P325" i="44"/>
  <c r="Q325" i="44"/>
  <c r="R325" i="44"/>
  <c r="S325" i="44"/>
  <c r="T325" i="44"/>
  <c r="U325" i="44"/>
  <c r="V325" i="44"/>
  <c r="W325" i="44"/>
  <c r="X325" i="44"/>
  <c r="Y325" i="44"/>
  <c r="Z325" i="44"/>
  <c r="AA325" i="44"/>
  <c r="AB325" i="44"/>
  <c r="AC325" i="44"/>
  <c r="AD325" i="44"/>
  <c r="AE325" i="44"/>
  <c r="AF325" i="44"/>
  <c r="AG325" i="44"/>
  <c r="D326" i="44"/>
  <c r="E326" i="44"/>
  <c r="F326" i="44"/>
  <c r="G326" i="44"/>
  <c r="H326" i="44"/>
  <c r="I326" i="44"/>
  <c r="J326" i="44"/>
  <c r="K326" i="44"/>
  <c r="L326" i="44"/>
  <c r="M326" i="44"/>
  <c r="N326" i="44"/>
  <c r="O326" i="44"/>
  <c r="P326" i="44"/>
  <c r="Q326" i="44"/>
  <c r="R326" i="44"/>
  <c r="S326" i="44"/>
  <c r="T326" i="44"/>
  <c r="U326" i="44"/>
  <c r="V326" i="44"/>
  <c r="W326" i="44"/>
  <c r="X326" i="44"/>
  <c r="Y326" i="44"/>
  <c r="Z326" i="44"/>
  <c r="AA326" i="44"/>
  <c r="AB326" i="44"/>
  <c r="AC326" i="44"/>
  <c r="AD326" i="44"/>
  <c r="AE326" i="44"/>
  <c r="AF326" i="44"/>
  <c r="AG326" i="44"/>
  <c r="D327" i="44"/>
  <c r="E327" i="44"/>
  <c r="F327" i="44"/>
  <c r="G327" i="44"/>
  <c r="H327" i="44"/>
  <c r="I327" i="44"/>
  <c r="J327" i="44"/>
  <c r="K327" i="44"/>
  <c r="L327" i="44"/>
  <c r="M327" i="44"/>
  <c r="N327" i="44"/>
  <c r="O327" i="44"/>
  <c r="P327" i="44"/>
  <c r="Q327" i="44"/>
  <c r="R327" i="44"/>
  <c r="S327" i="44"/>
  <c r="T327" i="44"/>
  <c r="U327" i="44"/>
  <c r="V327" i="44"/>
  <c r="W327" i="44"/>
  <c r="X327" i="44"/>
  <c r="Y327" i="44"/>
  <c r="Z327" i="44"/>
  <c r="AA327" i="44"/>
  <c r="AB327" i="44"/>
  <c r="AC327" i="44"/>
  <c r="AD327" i="44"/>
  <c r="AE327" i="44"/>
  <c r="AF327" i="44"/>
  <c r="AG327" i="44"/>
  <c r="D328" i="44"/>
  <c r="E328" i="44"/>
  <c r="F328" i="44"/>
  <c r="G328" i="44"/>
  <c r="H328" i="44"/>
  <c r="I328" i="44"/>
  <c r="J328" i="44"/>
  <c r="K328" i="44"/>
  <c r="L328" i="44"/>
  <c r="M328" i="44"/>
  <c r="N328" i="44"/>
  <c r="O328" i="44"/>
  <c r="P328" i="44"/>
  <c r="Q328" i="44"/>
  <c r="R328" i="44"/>
  <c r="S328" i="44"/>
  <c r="T328" i="44"/>
  <c r="U328" i="44"/>
  <c r="V328" i="44"/>
  <c r="W328" i="44"/>
  <c r="X328" i="44"/>
  <c r="Y328" i="44"/>
  <c r="Z328" i="44"/>
  <c r="AA328" i="44"/>
  <c r="AB328" i="44"/>
  <c r="AC328" i="44"/>
  <c r="AD328" i="44"/>
  <c r="AE328" i="44"/>
  <c r="AF328" i="44"/>
  <c r="AG328" i="44"/>
  <c r="D329" i="44"/>
  <c r="E329" i="44"/>
  <c r="F329" i="44"/>
  <c r="G329" i="44"/>
  <c r="H329" i="44"/>
  <c r="I329" i="44"/>
  <c r="J329" i="44"/>
  <c r="K329" i="44"/>
  <c r="L329" i="44"/>
  <c r="M329" i="44"/>
  <c r="N329" i="44"/>
  <c r="O329" i="44"/>
  <c r="P329" i="44"/>
  <c r="Q329" i="44"/>
  <c r="R329" i="44"/>
  <c r="S329" i="44"/>
  <c r="T329" i="44"/>
  <c r="U329" i="44"/>
  <c r="V329" i="44"/>
  <c r="W329" i="44"/>
  <c r="X329" i="44"/>
  <c r="Y329" i="44"/>
  <c r="Z329" i="44"/>
  <c r="AA329" i="44"/>
  <c r="AB329" i="44"/>
  <c r="AC329" i="44"/>
  <c r="AD329" i="44"/>
  <c r="AE329" i="44"/>
  <c r="AF329" i="44"/>
  <c r="AG329" i="44"/>
  <c r="D330" i="44"/>
  <c r="E330" i="44"/>
  <c r="F330" i="44"/>
  <c r="G330" i="44"/>
  <c r="H330" i="44"/>
  <c r="I330" i="44"/>
  <c r="J330" i="44"/>
  <c r="K330" i="44"/>
  <c r="L330" i="44"/>
  <c r="M330" i="44"/>
  <c r="N330" i="44"/>
  <c r="O330" i="44"/>
  <c r="P330" i="44"/>
  <c r="Q330" i="44"/>
  <c r="R330" i="44"/>
  <c r="S330" i="44"/>
  <c r="T330" i="44"/>
  <c r="U330" i="44"/>
  <c r="V330" i="44"/>
  <c r="W330" i="44"/>
  <c r="X330" i="44"/>
  <c r="Y330" i="44"/>
  <c r="Z330" i="44"/>
  <c r="AA330" i="44"/>
  <c r="AB330" i="44"/>
  <c r="AC330" i="44"/>
  <c r="AD330" i="44"/>
  <c r="AE330" i="44"/>
  <c r="AF330" i="44"/>
  <c r="AG330" i="44"/>
  <c r="D331" i="44"/>
  <c r="E331" i="44"/>
  <c r="F331" i="44"/>
  <c r="G331" i="44"/>
  <c r="H331" i="44"/>
  <c r="I331" i="44"/>
  <c r="J331" i="44"/>
  <c r="K331" i="44"/>
  <c r="L331" i="44"/>
  <c r="M331" i="44"/>
  <c r="N331" i="44"/>
  <c r="O331" i="44"/>
  <c r="P331" i="44"/>
  <c r="Q331" i="44"/>
  <c r="R331" i="44"/>
  <c r="S331" i="44"/>
  <c r="T331" i="44"/>
  <c r="U331" i="44"/>
  <c r="V331" i="44"/>
  <c r="W331" i="44"/>
  <c r="X331" i="44"/>
  <c r="Y331" i="44"/>
  <c r="Z331" i="44"/>
  <c r="AA331" i="44"/>
  <c r="AB331" i="44"/>
  <c r="AC331" i="44"/>
  <c r="AD331" i="44"/>
  <c r="AE331" i="44"/>
  <c r="AF331" i="44"/>
  <c r="AG331" i="44"/>
  <c r="D332" i="44"/>
  <c r="E332" i="44"/>
  <c r="F332" i="44"/>
  <c r="G332" i="44"/>
  <c r="H332" i="44"/>
  <c r="I332" i="44"/>
  <c r="J332" i="44"/>
  <c r="K332" i="44"/>
  <c r="L332" i="44"/>
  <c r="M332" i="44"/>
  <c r="N332" i="44"/>
  <c r="O332" i="44"/>
  <c r="P332" i="44"/>
  <c r="Q332" i="44"/>
  <c r="R332" i="44"/>
  <c r="S332" i="44"/>
  <c r="T332" i="44"/>
  <c r="U332" i="44"/>
  <c r="V332" i="44"/>
  <c r="W332" i="44"/>
  <c r="X332" i="44"/>
  <c r="Y332" i="44"/>
  <c r="Z332" i="44"/>
  <c r="AA332" i="44"/>
  <c r="AB332" i="44"/>
  <c r="AC332" i="44"/>
  <c r="AD332" i="44"/>
  <c r="AE332" i="44"/>
  <c r="AF332" i="44"/>
  <c r="AG332" i="44"/>
  <c r="D333" i="44"/>
  <c r="E333" i="44"/>
  <c r="F333" i="44"/>
  <c r="G333" i="44"/>
  <c r="H333" i="44"/>
  <c r="I333" i="44"/>
  <c r="J333" i="44"/>
  <c r="K333" i="44"/>
  <c r="L333" i="44"/>
  <c r="M333" i="44"/>
  <c r="N333" i="44"/>
  <c r="O333" i="44"/>
  <c r="P333" i="44"/>
  <c r="Q333" i="44"/>
  <c r="R333" i="44"/>
  <c r="S333" i="44"/>
  <c r="T333" i="44"/>
  <c r="U333" i="44"/>
  <c r="V333" i="44"/>
  <c r="W333" i="44"/>
  <c r="X333" i="44"/>
  <c r="Y333" i="44"/>
  <c r="Z333" i="44"/>
  <c r="AA333" i="44"/>
  <c r="AB333" i="44"/>
  <c r="AC333" i="44"/>
  <c r="AD333" i="44"/>
  <c r="AE333" i="44"/>
  <c r="AF333" i="44"/>
  <c r="AG333" i="44"/>
  <c r="D334" i="44"/>
  <c r="E334" i="44"/>
  <c r="F334" i="44"/>
  <c r="G334" i="44"/>
  <c r="H334" i="44"/>
  <c r="I334" i="44"/>
  <c r="J334" i="44"/>
  <c r="K334" i="44"/>
  <c r="L334" i="44"/>
  <c r="M334" i="44"/>
  <c r="N334" i="44"/>
  <c r="O334" i="44"/>
  <c r="P334" i="44"/>
  <c r="Q334" i="44"/>
  <c r="R334" i="44"/>
  <c r="S334" i="44"/>
  <c r="T334" i="44"/>
  <c r="U334" i="44"/>
  <c r="V334" i="44"/>
  <c r="W334" i="44"/>
  <c r="X334" i="44"/>
  <c r="Y334" i="44"/>
  <c r="Z334" i="44"/>
  <c r="AA334" i="44"/>
  <c r="AB334" i="44"/>
  <c r="AC334" i="44"/>
  <c r="AD334" i="44"/>
  <c r="AE334" i="44"/>
  <c r="AF334" i="44"/>
  <c r="AG334" i="44"/>
  <c r="D337" i="44"/>
  <c r="E337" i="44"/>
  <c r="F337" i="44"/>
  <c r="G337" i="44"/>
  <c r="H337" i="44"/>
  <c r="I337" i="44"/>
  <c r="J337" i="44"/>
  <c r="K337" i="44"/>
  <c r="L337" i="44"/>
  <c r="M337" i="44"/>
  <c r="N337" i="44"/>
  <c r="O337" i="44"/>
  <c r="P337" i="44"/>
  <c r="Q337" i="44"/>
  <c r="R337" i="44"/>
  <c r="S337" i="44"/>
  <c r="T337" i="44"/>
  <c r="U337" i="44"/>
  <c r="V337" i="44"/>
  <c r="W337" i="44"/>
  <c r="X337" i="44"/>
  <c r="Y337" i="44"/>
  <c r="Z337" i="44"/>
  <c r="AA337" i="44"/>
  <c r="AB337" i="44"/>
  <c r="AC337" i="44"/>
  <c r="AD337" i="44"/>
  <c r="AE337" i="44"/>
  <c r="AF337" i="44"/>
  <c r="AG337" i="44"/>
  <c r="D338" i="44"/>
  <c r="E338" i="44"/>
  <c r="F338" i="44"/>
  <c r="G338" i="44"/>
  <c r="H338" i="44"/>
  <c r="I338" i="44"/>
  <c r="J338" i="44"/>
  <c r="K338" i="44"/>
  <c r="L338" i="44"/>
  <c r="M338" i="44"/>
  <c r="N338" i="44"/>
  <c r="O338" i="44"/>
  <c r="P338" i="44"/>
  <c r="Q338" i="44"/>
  <c r="R338" i="44"/>
  <c r="S338" i="44"/>
  <c r="T338" i="44"/>
  <c r="U338" i="44"/>
  <c r="V338" i="44"/>
  <c r="W338" i="44"/>
  <c r="X338" i="44"/>
  <c r="Y338" i="44"/>
  <c r="Z338" i="44"/>
  <c r="AA338" i="44"/>
  <c r="AB338" i="44"/>
  <c r="AC338" i="44"/>
  <c r="AD338" i="44"/>
  <c r="AE338" i="44"/>
  <c r="AF338" i="44"/>
  <c r="AG338" i="44"/>
  <c r="D339" i="44"/>
  <c r="E339" i="44"/>
  <c r="F339" i="44"/>
  <c r="G339" i="44"/>
  <c r="H339" i="44"/>
  <c r="I339" i="44"/>
  <c r="J339" i="44"/>
  <c r="K339" i="44"/>
  <c r="L339" i="44"/>
  <c r="M339" i="44"/>
  <c r="N339" i="44"/>
  <c r="O339" i="44"/>
  <c r="P339" i="44"/>
  <c r="Q339" i="44"/>
  <c r="R339" i="44"/>
  <c r="S339" i="44"/>
  <c r="T339" i="44"/>
  <c r="U339" i="44"/>
  <c r="V339" i="44"/>
  <c r="W339" i="44"/>
  <c r="X339" i="44"/>
  <c r="Y339" i="44"/>
  <c r="Z339" i="44"/>
  <c r="AA339" i="44"/>
  <c r="AB339" i="44"/>
  <c r="AC339" i="44"/>
  <c r="AD339" i="44"/>
  <c r="AE339" i="44"/>
  <c r="AF339" i="44"/>
  <c r="AG339" i="44"/>
  <c r="D340" i="44"/>
  <c r="E340" i="44"/>
  <c r="F340" i="44"/>
  <c r="G340" i="44"/>
  <c r="H340" i="44"/>
  <c r="I340" i="44"/>
  <c r="J340" i="44"/>
  <c r="K340" i="44"/>
  <c r="L340" i="44"/>
  <c r="M340" i="44"/>
  <c r="N340" i="44"/>
  <c r="O340" i="44"/>
  <c r="P340" i="44"/>
  <c r="Q340" i="44"/>
  <c r="R340" i="44"/>
  <c r="S340" i="44"/>
  <c r="T340" i="44"/>
  <c r="U340" i="44"/>
  <c r="V340" i="44"/>
  <c r="W340" i="44"/>
  <c r="X340" i="44"/>
  <c r="Y340" i="44"/>
  <c r="Z340" i="44"/>
  <c r="AA340" i="44"/>
  <c r="AB340" i="44"/>
  <c r="AC340" i="44"/>
  <c r="AD340" i="44"/>
  <c r="AE340" i="44"/>
  <c r="AF340" i="44"/>
  <c r="AG340" i="44"/>
  <c r="D341" i="44"/>
  <c r="E341" i="44"/>
  <c r="F341" i="44"/>
  <c r="G341" i="44"/>
  <c r="H341" i="44"/>
  <c r="I341" i="44"/>
  <c r="J341" i="44"/>
  <c r="K341" i="44"/>
  <c r="L341" i="44"/>
  <c r="M341" i="44"/>
  <c r="N341" i="44"/>
  <c r="O341" i="44"/>
  <c r="P341" i="44"/>
  <c r="Q341" i="44"/>
  <c r="R341" i="44"/>
  <c r="S341" i="44"/>
  <c r="T341" i="44"/>
  <c r="U341" i="44"/>
  <c r="V341" i="44"/>
  <c r="W341" i="44"/>
  <c r="X341" i="44"/>
  <c r="Y341" i="44"/>
  <c r="Z341" i="44"/>
  <c r="AA341" i="44"/>
  <c r="AB341" i="44"/>
  <c r="AC341" i="44"/>
  <c r="AD341" i="44"/>
  <c r="AE341" i="44"/>
  <c r="AF341" i="44"/>
  <c r="AG341" i="44"/>
  <c r="D342" i="44"/>
  <c r="E342" i="44"/>
  <c r="F342" i="44"/>
  <c r="G342" i="44"/>
  <c r="H342" i="44"/>
  <c r="I342" i="44"/>
  <c r="J342" i="44"/>
  <c r="K342" i="44"/>
  <c r="L342" i="44"/>
  <c r="M342" i="44"/>
  <c r="N342" i="44"/>
  <c r="O342" i="44"/>
  <c r="P342" i="44"/>
  <c r="Q342" i="44"/>
  <c r="R342" i="44"/>
  <c r="S342" i="44"/>
  <c r="T342" i="44"/>
  <c r="U342" i="44"/>
  <c r="V342" i="44"/>
  <c r="W342" i="44"/>
  <c r="X342" i="44"/>
  <c r="Y342" i="44"/>
  <c r="Z342" i="44"/>
  <c r="AA342" i="44"/>
  <c r="AB342" i="44"/>
  <c r="AC342" i="44"/>
  <c r="AD342" i="44"/>
  <c r="AE342" i="44"/>
  <c r="AF342" i="44"/>
  <c r="AG342" i="44"/>
  <c r="D343" i="44"/>
  <c r="E343" i="44"/>
  <c r="F343" i="44"/>
  <c r="G343" i="44"/>
  <c r="H343" i="44"/>
  <c r="I343" i="44"/>
  <c r="J343" i="44"/>
  <c r="K343" i="44"/>
  <c r="L343" i="44"/>
  <c r="M343" i="44"/>
  <c r="N343" i="44"/>
  <c r="O343" i="44"/>
  <c r="P343" i="44"/>
  <c r="Q343" i="44"/>
  <c r="R343" i="44"/>
  <c r="S343" i="44"/>
  <c r="T343" i="44"/>
  <c r="U343" i="44"/>
  <c r="V343" i="44"/>
  <c r="W343" i="44"/>
  <c r="X343" i="44"/>
  <c r="Y343" i="44"/>
  <c r="Z343" i="44"/>
  <c r="AA343" i="44"/>
  <c r="AB343" i="44"/>
  <c r="AC343" i="44"/>
  <c r="AD343" i="44"/>
  <c r="AE343" i="44"/>
  <c r="AF343" i="44"/>
  <c r="AG343" i="44"/>
  <c r="D344" i="44"/>
  <c r="E344" i="44"/>
  <c r="F344" i="44"/>
  <c r="G344" i="44"/>
  <c r="H344" i="44"/>
  <c r="I344" i="44"/>
  <c r="J344" i="44"/>
  <c r="K344" i="44"/>
  <c r="L344" i="44"/>
  <c r="M344" i="44"/>
  <c r="N344" i="44"/>
  <c r="O344" i="44"/>
  <c r="P344" i="44"/>
  <c r="Q344" i="44"/>
  <c r="R344" i="44"/>
  <c r="S344" i="44"/>
  <c r="T344" i="44"/>
  <c r="U344" i="44"/>
  <c r="V344" i="44"/>
  <c r="W344" i="44"/>
  <c r="X344" i="44"/>
  <c r="Y344" i="44"/>
  <c r="Z344" i="44"/>
  <c r="AA344" i="44"/>
  <c r="AB344" i="44"/>
  <c r="AC344" i="44"/>
  <c r="AD344" i="44"/>
  <c r="AE344" i="44"/>
  <c r="AF344" i="44"/>
  <c r="AG344" i="44"/>
  <c r="D345" i="44"/>
  <c r="E345" i="44"/>
  <c r="F345" i="44"/>
  <c r="G345" i="44"/>
  <c r="H345" i="44"/>
  <c r="I345" i="44"/>
  <c r="J345" i="44"/>
  <c r="K345" i="44"/>
  <c r="L345" i="44"/>
  <c r="M345" i="44"/>
  <c r="N345" i="44"/>
  <c r="O345" i="44"/>
  <c r="P345" i="44"/>
  <c r="Q345" i="44"/>
  <c r="R345" i="44"/>
  <c r="S345" i="44"/>
  <c r="T345" i="44"/>
  <c r="U345" i="44"/>
  <c r="V345" i="44"/>
  <c r="W345" i="44"/>
  <c r="X345" i="44"/>
  <c r="Y345" i="44"/>
  <c r="Z345" i="44"/>
  <c r="AA345" i="44"/>
  <c r="AB345" i="44"/>
  <c r="AC345" i="44"/>
  <c r="AD345" i="44"/>
  <c r="AE345" i="44"/>
  <c r="AF345" i="44"/>
  <c r="AG345" i="44"/>
  <c r="D346" i="44"/>
  <c r="E346" i="44"/>
  <c r="F346" i="44"/>
  <c r="G346" i="44"/>
  <c r="H346" i="44"/>
  <c r="I346" i="44"/>
  <c r="J346" i="44"/>
  <c r="K346" i="44"/>
  <c r="L346" i="44"/>
  <c r="M346" i="44"/>
  <c r="N346" i="44"/>
  <c r="O346" i="44"/>
  <c r="P346" i="44"/>
  <c r="Q346" i="44"/>
  <c r="R346" i="44"/>
  <c r="S346" i="44"/>
  <c r="T346" i="44"/>
  <c r="U346" i="44"/>
  <c r="V346" i="44"/>
  <c r="W346" i="44"/>
  <c r="X346" i="44"/>
  <c r="Y346" i="44"/>
  <c r="Z346" i="44"/>
  <c r="AA346" i="44"/>
  <c r="AB346" i="44"/>
  <c r="AC346" i="44"/>
  <c r="AD346" i="44"/>
  <c r="AE346" i="44"/>
  <c r="AF346" i="44"/>
  <c r="AG346" i="44"/>
  <c r="D347" i="44"/>
  <c r="E347" i="44"/>
  <c r="F347" i="44"/>
  <c r="G347" i="44"/>
  <c r="H347" i="44"/>
  <c r="I347" i="44"/>
  <c r="J347" i="44"/>
  <c r="K347" i="44"/>
  <c r="L347" i="44"/>
  <c r="M347" i="44"/>
  <c r="N347" i="44"/>
  <c r="O347" i="44"/>
  <c r="P347" i="44"/>
  <c r="Q347" i="44"/>
  <c r="R347" i="44"/>
  <c r="S347" i="44"/>
  <c r="T347" i="44"/>
  <c r="U347" i="44"/>
  <c r="V347" i="44"/>
  <c r="W347" i="44"/>
  <c r="X347" i="44"/>
  <c r="Y347" i="44"/>
  <c r="Z347" i="44"/>
  <c r="AA347" i="44"/>
  <c r="AB347" i="44"/>
  <c r="AC347" i="44"/>
  <c r="AD347" i="44"/>
  <c r="AE347" i="44"/>
  <c r="AF347" i="44"/>
  <c r="AG347" i="44"/>
  <c r="D348" i="44"/>
  <c r="E348" i="44"/>
  <c r="F348" i="44"/>
  <c r="G348" i="44"/>
  <c r="H348" i="44"/>
  <c r="I348" i="44"/>
  <c r="J348" i="44"/>
  <c r="K348" i="44"/>
  <c r="L348" i="44"/>
  <c r="M348" i="44"/>
  <c r="N348" i="44"/>
  <c r="O348" i="44"/>
  <c r="P348" i="44"/>
  <c r="Q348" i="44"/>
  <c r="R348" i="44"/>
  <c r="S348" i="44"/>
  <c r="T348" i="44"/>
  <c r="U348" i="44"/>
  <c r="V348" i="44"/>
  <c r="W348" i="44"/>
  <c r="X348" i="44"/>
  <c r="Y348" i="44"/>
  <c r="Z348" i="44"/>
  <c r="AA348" i="44"/>
  <c r="AB348" i="44"/>
  <c r="AC348" i="44"/>
  <c r="AD348" i="44"/>
  <c r="AE348" i="44"/>
  <c r="AF348" i="44"/>
  <c r="AG348" i="44"/>
  <c r="D349" i="44"/>
  <c r="E349" i="44"/>
  <c r="F349" i="44"/>
  <c r="G349" i="44"/>
  <c r="H349" i="44"/>
  <c r="I349" i="44"/>
  <c r="J349" i="44"/>
  <c r="K349" i="44"/>
  <c r="L349" i="44"/>
  <c r="M349" i="44"/>
  <c r="N349" i="44"/>
  <c r="O349" i="44"/>
  <c r="P349" i="44"/>
  <c r="Q349" i="44"/>
  <c r="R349" i="44"/>
  <c r="S349" i="44"/>
  <c r="T349" i="44"/>
  <c r="U349" i="44"/>
  <c r="V349" i="44"/>
  <c r="W349" i="44"/>
  <c r="X349" i="44"/>
  <c r="Y349" i="44"/>
  <c r="Z349" i="44"/>
  <c r="AA349" i="44"/>
  <c r="AB349" i="44"/>
  <c r="AC349" i="44"/>
  <c r="AD349" i="44"/>
  <c r="AE349" i="44"/>
  <c r="AF349" i="44"/>
  <c r="AG349" i="44"/>
  <c r="D350" i="44"/>
  <c r="E350" i="44"/>
  <c r="F350" i="44"/>
  <c r="G350" i="44"/>
  <c r="H350" i="44"/>
  <c r="I350" i="44"/>
  <c r="J350" i="44"/>
  <c r="K350" i="44"/>
  <c r="L350" i="44"/>
  <c r="M350" i="44"/>
  <c r="N350" i="44"/>
  <c r="O350" i="44"/>
  <c r="P350" i="44"/>
  <c r="Q350" i="44"/>
  <c r="R350" i="44"/>
  <c r="S350" i="44"/>
  <c r="T350" i="44"/>
  <c r="U350" i="44"/>
  <c r="V350" i="44"/>
  <c r="W350" i="44"/>
  <c r="X350" i="44"/>
  <c r="Y350" i="44"/>
  <c r="Z350" i="44"/>
  <c r="AA350" i="44"/>
  <c r="AB350" i="44"/>
  <c r="AC350" i="44"/>
  <c r="AD350" i="44"/>
  <c r="AE350" i="44"/>
  <c r="AF350" i="44"/>
  <c r="AG350" i="44"/>
  <c r="D351" i="44"/>
  <c r="E351" i="44"/>
  <c r="F351" i="44"/>
  <c r="G351" i="44"/>
  <c r="H351" i="44"/>
  <c r="I351" i="44"/>
  <c r="J351" i="44"/>
  <c r="K351" i="44"/>
  <c r="L351" i="44"/>
  <c r="M351" i="44"/>
  <c r="N351" i="44"/>
  <c r="O351" i="44"/>
  <c r="P351" i="44"/>
  <c r="Q351" i="44"/>
  <c r="R351" i="44"/>
  <c r="S351" i="44"/>
  <c r="T351" i="44"/>
  <c r="U351" i="44"/>
  <c r="V351" i="44"/>
  <c r="W351" i="44"/>
  <c r="X351" i="44"/>
  <c r="Y351" i="44"/>
  <c r="Z351" i="44"/>
  <c r="AA351" i="44"/>
  <c r="AB351" i="44"/>
  <c r="AC351" i="44"/>
  <c r="AD351" i="44"/>
  <c r="AE351" i="44"/>
  <c r="AF351" i="44"/>
  <c r="AG351" i="44"/>
  <c r="D354" i="44"/>
  <c r="E354" i="44"/>
  <c r="F354" i="44"/>
  <c r="G354" i="44"/>
  <c r="H354" i="44"/>
  <c r="I354" i="44"/>
  <c r="J354" i="44"/>
  <c r="K354" i="44"/>
  <c r="L354" i="44"/>
  <c r="M354" i="44"/>
  <c r="N354" i="44"/>
  <c r="O354" i="44"/>
  <c r="P354" i="44"/>
  <c r="Q354" i="44"/>
  <c r="R354" i="44"/>
  <c r="S354" i="44"/>
  <c r="T354" i="44"/>
  <c r="U354" i="44"/>
  <c r="V354" i="44"/>
  <c r="W354" i="44"/>
  <c r="X354" i="44"/>
  <c r="Y354" i="44"/>
  <c r="Z354" i="44"/>
  <c r="AA354" i="44"/>
  <c r="AB354" i="44"/>
  <c r="AC354" i="44"/>
  <c r="AD354" i="44"/>
  <c r="AE354" i="44"/>
  <c r="AF354" i="44"/>
  <c r="AG354" i="44"/>
  <c r="D355" i="44"/>
  <c r="E355" i="44"/>
  <c r="F355" i="44"/>
  <c r="G355" i="44"/>
  <c r="H355" i="44"/>
  <c r="I355" i="44"/>
  <c r="J355" i="44"/>
  <c r="K355" i="44"/>
  <c r="L355" i="44"/>
  <c r="M355" i="44"/>
  <c r="N355" i="44"/>
  <c r="O355" i="44"/>
  <c r="P355" i="44"/>
  <c r="Q355" i="44"/>
  <c r="R355" i="44"/>
  <c r="S355" i="44"/>
  <c r="T355" i="44"/>
  <c r="U355" i="44"/>
  <c r="V355" i="44"/>
  <c r="W355" i="44"/>
  <c r="X355" i="44"/>
  <c r="Y355" i="44"/>
  <c r="Z355" i="44"/>
  <c r="AA355" i="44"/>
  <c r="AB355" i="44"/>
  <c r="AC355" i="44"/>
  <c r="AD355" i="44"/>
  <c r="AE355" i="44"/>
  <c r="AF355" i="44"/>
  <c r="AG355" i="44"/>
  <c r="D356" i="44"/>
  <c r="E356" i="44"/>
  <c r="F356" i="44"/>
  <c r="G356" i="44"/>
  <c r="H356" i="44"/>
  <c r="I356" i="44"/>
  <c r="J356" i="44"/>
  <c r="K356" i="44"/>
  <c r="L356" i="44"/>
  <c r="M356" i="44"/>
  <c r="N356" i="44"/>
  <c r="O356" i="44"/>
  <c r="P356" i="44"/>
  <c r="Q356" i="44"/>
  <c r="R356" i="44"/>
  <c r="S356" i="44"/>
  <c r="T356" i="44"/>
  <c r="U356" i="44"/>
  <c r="V356" i="44"/>
  <c r="W356" i="44"/>
  <c r="X356" i="44"/>
  <c r="Y356" i="44"/>
  <c r="Z356" i="44"/>
  <c r="AA356" i="44"/>
  <c r="AB356" i="44"/>
  <c r="AC356" i="44"/>
  <c r="AD356" i="44"/>
  <c r="AE356" i="44"/>
  <c r="AF356" i="44"/>
  <c r="AG356" i="44"/>
  <c r="D357" i="44"/>
  <c r="E357" i="44"/>
  <c r="F357" i="44"/>
  <c r="G357" i="44"/>
  <c r="H357" i="44"/>
  <c r="I357" i="44"/>
  <c r="J357" i="44"/>
  <c r="K357" i="44"/>
  <c r="L357" i="44"/>
  <c r="M357" i="44"/>
  <c r="N357" i="44"/>
  <c r="O357" i="44"/>
  <c r="P357" i="44"/>
  <c r="Q357" i="44"/>
  <c r="R357" i="44"/>
  <c r="S357" i="44"/>
  <c r="T357" i="44"/>
  <c r="U357" i="44"/>
  <c r="V357" i="44"/>
  <c r="W357" i="44"/>
  <c r="X357" i="44"/>
  <c r="Y357" i="44"/>
  <c r="Z357" i="44"/>
  <c r="AA357" i="44"/>
  <c r="AB357" i="44"/>
  <c r="AC357" i="44"/>
  <c r="AD357" i="44"/>
  <c r="AE357" i="44"/>
  <c r="AF357" i="44"/>
  <c r="AG357" i="44"/>
  <c r="D358" i="44"/>
  <c r="E358" i="44"/>
  <c r="F358" i="44"/>
  <c r="G358" i="44"/>
  <c r="H358" i="44"/>
  <c r="I358" i="44"/>
  <c r="J358" i="44"/>
  <c r="K358" i="44"/>
  <c r="L358" i="44"/>
  <c r="M358" i="44"/>
  <c r="N358" i="44"/>
  <c r="O358" i="44"/>
  <c r="P358" i="44"/>
  <c r="Q358" i="44"/>
  <c r="R358" i="44"/>
  <c r="S358" i="44"/>
  <c r="T358" i="44"/>
  <c r="U358" i="44"/>
  <c r="V358" i="44"/>
  <c r="W358" i="44"/>
  <c r="X358" i="44"/>
  <c r="Y358" i="44"/>
  <c r="Z358" i="44"/>
  <c r="AA358" i="44"/>
  <c r="AB358" i="44"/>
  <c r="AC358" i="44"/>
  <c r="AD358" i="44"/>
  <c r="AE358" i="44"/>
  <c r="AF358" i="44"/>
  <c r="AG358" i="44"/>
  <c r="D359" i="44"/>
  <c r="E359" i="44"/>
  <c r="F359" i="44"/>
  <c r="G359" i="44"/>
  <c r="H359" i="44"/>
  <c r="I359" i="44"/>
  <c r="J359" i="44"/>
  <c r="K359" i="44"/>
  <c r="L359" i="44"/>
  <c r="M359" i="44"/>
  <c r="N359" i="44"/>
  <c r="O359" i="44"/>
  <c r="P359" i="44"/>
  <c r="Q359" i="44"/>
  <c r="R359" i="44"/>
  <c r="S359" i="44"/>
  <c r="T359" i="44"/>
  <c r="U359" i="44"/>
  <c r="V359" i="44"/>
  <c r="W359" i="44"/>
  <c r="X359" i="44"/>
  <c r="Y359" i="44"/>
  <c r="Z359" i="44"/>
  <c r="AA359" i="44"/>
  <c r="AB359" i="44"/>
  <c r="AC359" i="44"/>
  <c r="AD359" i="44"/>
  <c r="AE359" i="44"/>
  <c r="AF359" i="44"/>
  <c r="AG359" i="44"/>
  <c r="D360" i="44"/>
  <c r="E360" i="44"/>
  <c r="F360" i="44"/>
  <c r="G360" i="44"/>
  <c r="H360" i="44"/>
  <c r="I360" i="44"/>
  <c r="J360" i="44"/>
  <c r="K360" i="44"/>
  <c r="L360" i="44"/>
  <c r="M360" i="44"/>
  <c r="N360" i="44"/>
  <c r="O360" i="44"/>
  <c r="P360" i="44"/>
  <c r="Q360" i="44"/>
  <c r="R360" i="44"/>
  <c r="S360" i="44"/>
  <c r="T360" i="44"/>
  <c r="U360" i="44"/>
  <c r="V360" i="44"/>
  <c r="W360" i="44"/>
  <c r="X360" i="44"/>
  <c r="Y360" i="44"/>
  <c r="Z360" i="44"/>
  <c r="AA360" i="44"/>
  <c r="AB360" i="44"/>
  <c r="AC360" i="44"/>
  <c r="AD360" i="44"/>
  <c r="AE360" i="44"/>
  <c r="AF360" i="44"/>
  <c r="AG360" i="44"/>
  <c r="D361" i="44"/>
  <c r="E361" i="44"/>
  <c r="F361" i="44"/>
  <c r="G361" i="44"/>
  <c r="H361" i="44"/>
  <c r="I361" i="44"/>
  <c r="J361" i="44"/>
  <c r="K361" i="44"/>
  <c r="L361" i="44"/>
  <c r="M361" i="44"/>
  <c r="N361" i="44"/>
  <c r="O361" i="44"/>
  <c r="P361" i="44"/>
  <c r="Q361" i="44"/>
  <c r="R361" i="44"/>
  <c r="S361" i="44"/>
  <c r="T361" i="44"/>
  <c r="U361" i="44"/>
  <c r="V361" i="44"/>
  <c r="W361" i="44"/>
  <c r="X361" i="44"/>
  <c r="Y361" i="44"/>
  <c r="Z361" i="44"/>
  <c r="AA361" i="44"/>
  <c r="AB361" i="44"/>
  <c r="AC361" i="44"/>
  <c r="AD361" i="44"/>
  <c r="AE361" i="44"/>
  <c r="AF361" i="44"/>
  <c r="AG361" i="44"/>
  <c r="D362" i="44"/>
  <c r="E362" i="44"/>
  <c r="F362" i="44"/>
  <c r="G362" i="44"/>
  <c r="H362" i="44"/>
  <c r="I362" i="44"/>
  <c r="J362" i="44"/>
  <c r="K362" i="44"/>
  <c r="L362" i="44"/>
  <c r="M362" i="44"/>
  <c r="N362" i="44"/>
  <c r="O362" i="44"/>
  <c r="P362" i="44"/>
  <c r="Q362" i="44"/>
  <c r="R362" i="44"/>
  <c r="S362" i="44"/>
  <c r="T362" i="44"/>
  <c r="U362" i="44"/>
  <c r="V362" i="44"/>
  <c r="W362" i="44"/>
  <c r="X362" i="44"/>
  <c r="Y362" i="44"/>
  <c r="Z362" i="44"/>
  <c r="AA362" i="44"/>
  <c r="AB362" i="44"/>
  <c r="AC362" i="44"/>
  <c r="AD362" i="44"/>
  <c r="AE362" i="44"/>
  <c r="AF362" i="44"/>
  <c r="AG362" i="44"/>
  <c r="D363" i="44"/>
  <c r="E363" i="44"/>
  <c r="F363" i="44"/>
  <c r="G363" i="44"/>
  <c r="H363" i="44"/>
  <c r="I363" i="44"/>
  <c r="J363" i="44"/>
  <c r="K363" i="44"/>
  <c r="L363" i="44"/>
  <c r="M363" i="44"/>
  <c r="N363" i="44"/>
  <c r="O363" i="44"/>
  <c r="P363" i="44"/>
  <c r="Q363" i="44"/>
  <c r="R363" i="44"/>
  <c r="S363" i="44"/>
  <c r="T363" i="44"/>
  <c r="U363" i="44"/>
  <c r="V363" i="44"/>
  <c r="W363" i="44"/>
  <c r="X363" i="44"/>
  <c r="Y363" i="44"/>
  <c r="Z363" i="44"/>
  <c r="AA363" i="44"/>
  <c r="AB363" i="44"/>
  <c r="AC363" i="44"/>
  <c r="AD363" i="44"/>
  <c r="AE363" i="44"/>
  <c r="AF363" i="44"/>
  <c r="AG363" i="44"/>
  <c r="D364" i="44"/>
  <c r="E364" i="44"/>
  <c r="F364" i="44"/>
  <c r="G364" i="44"/>
  <c r="H364" i="44"/>
  <c r="I364" i="44"/>
  <c r="J364" i="44"/>
  <c r="K364" i="44"/>
  <c r="L364" i="44"/>
  <c r="M364" i="44"/>
  <c r="N364" i="44"/>
  <c r="O364" i="44"/>
  <c r="P364" i="44"/>
  <c r="Q364" i="44"/>
  <c r="R364" i="44"/>
  <c r="S364" i="44"/>
  <c r="T364" i="44"/>
  <c r="U364" i="44"/>
  <c r="V364" i="44"/>
  <c r="W364" i="44"/>
  <c r="X364" i="44"/>
  <c r="Y364" i="44"/>
  <c r="Z364" i="44"/>
  <c r="AA364" i="44"/>
  <c r="AB364" i="44"/>
  <c r="AC364" i="44"/>
  <c r="AD364" i="44"/>
  <c r="AE364" i="44"/>
  <c r="AF364" i="44"/>
  <c r="AG364" i="44"/>
  <c r="D367" i="44"/>
  <c r="E367" i="44"/>
  <c r="F367" i="44"/>
  <c r="G367" i="44"/>
  <c r="H367" i="44"/>
  <c r="I367" i="44"/>
  <c r="J367" i="44"/>
  <c r="K367" i="44"/>
  <c r="L367" i="44"/>
  <c r="M367" i="44"/>
  <c r="N367" i="44"/>
  <c r="O367" i="44"/>
  <c r="P367" i="44"/>
  <c r="Q367" i="44"/>
  <c r="R367" i="44"/>
  <c r="S367" i="44"/>
  <c r="T367" i="44"/>
  <c r="U367" i="44"/>
  <c r="V367" i="44"/>
  <c r="W367" i="44"/>
  <c r="X367" i="44"/>
  <c r="Y367" i="44"/>
  <c r="Z367" i="44"/>
  <c r="AA367" i="44"/>
  <c r="AB367" i="44"/>
  <c r="AC367" i="44"/>
  <c r="AD367" i="44"/>
  <c r="AE367" i="44"/>
  <c r="AF367" i="44"/>
  <c r="AG367" i="44"/>
  <c r="D368" i="44"/>
  <c r="E368" i="44"/>
  <c r="F368" i="44"/>
  <c r="G368" i="44"/>
  <c r="H368" i="44"/>
  <c r="I368" i="44"/>
  <c r="J368" i="44"/>
  <c r="K368" i="44"/>
  <c r="L368" i="44"/>
  <c r="M368" i="44"/>
  <c r="N368" i="44"/>
  <c r="O368" i="44"/>
  <c r="P368" i="44"/>
  <c r="Q368" i="44"/>
  <c r="R368" i="44"/>
  <c r="S368" i="44"/>
  <c r="T368" i="44"/>
  <c r="U368" i="44"/>
  <c r="V368" i="44"/>
  <c r="W368" i="44"/>
  <c r="X368" i="44"/>
  <c r="Y368" i="44"/>
  <c r="Z368" i="44"/>
  <c r="AA368" i="44"/>
  <c r="AB368" i="44"/>
  <c r="AC368" i="44"/>
  <c r="AD368" i="44"/>
  <c r="AE368" i="44"/>
  <c r="AF368" i="44"/>
  <c r="AG368" i="44"/>
  <c r="D369" i="44"/>
  <c r="E369" i="44"/>
  <c r="F369" i="44"/>
  <c r="G369" i="44"/>
  <c r="H369" i="44"/>
  <c r="I369" i="44"/>
  <c r="J369" i="44"/>
  <c r="K369" i="44"/>
  <c r="L369" i="44"/>
  <c r="M369" i="44"/>
  <c r="N369" i="44"/>
  <c r="O369" i="44"/>
  <c r="P369" i="44"/>
  <c r="Q369" i="44"/>
  <c r="R369" i="44"/>
  <c r="S369" i="44"/>
  <c r="T369" i="44"/>
  <c r="U369" i="44"/>
  <c r="V369" i="44"/>
  <c r="W369" i="44"/>
  <c r="X369" i="44"/>
  <c r="Y369" i="44"/>
  <c r="Z369" i="44"/>
  <c r="AA369" i="44"/>
  <c r="AB369" i="44"/>
  <c r="AC369" i="44"/>
  <c r="AD369" i="44"/>
  <c r="AE369" i="44"/>
  <c r="AF369" i="44"/>
  <c r="AG369" i="44"/>
  <c r="D370" i="44"/>
  <c r="E370" i="44"/>
  <c r="F370" i="44"/>
  <c r="G370" i="44"/>
  <c r="H370" i="44"/>
  <c r="I370" i="44"/>
  <c r="J370" i="44"/>
  <c r="K370" i="44"/>
  <c r="L370" i="44"/>
  <c r="M370" i="44"/>
  <c r="N370" i="44"/>
  <c r="O370" i="44"/>
  <c r="P370" i="44"/>
  <c r="Q370" i="44"/>
  <c r="R370" i="44"/>
  <c r="S370" i="44"/>
  <c r="T370" i="44"/>
  <c r="U370" i="44"/>
  <c r="V370" i="44"/>
  <c r="W370" i="44"/>
  <c r="X370" i="44"/>
  <c r="Y370" i="44"/>
  <c r="Z370" i="44"/>
  <c r="AA370" i="44"/>
  <c r="AB370" i="44"/>
  <c r="AC370" i="44"/>
  <c r="AD370" i="44"/>
  <c r="AE370" i="44"/>
  <c r="AF370" i="44"/>
  <c r="AG370" i="44"/>
  <c r="D371" i="44"/>
  <c r="E371" i="44"/>
  <c r="F371" i="44"/>
  <c r="G371" i="44"/>
  <c r="H371" i="44"/>
  <c r="I371" i="44"/>
  <c r="J371" i="44"/>
  <c r="K371" i="44"/>
  <c r="L371" i="44"/>
  <c r="M371" i="44"/>
  <c r="N371" i="44"/>
  <c r="O371" i="44"/>
  <c r="P371" i="44"/>
  <c r="Q371" i="44"/>
  <c r="R371" i="44"/>
  <c r="S371" i="44"/>
  <c r="T371" i="44"/>
  <c r="U371" i="44"/>
  <c r="V371" i="44"/>
  <c r="W371" i="44"/>
  <c r="X371" i="44"/>
  <c r="Y371" i="44"/>
  <c r="Z371" i="44"/>
  <c r="AA371" i="44"/>
  <c r="AB371" i="44"/>
  <c r="AC371" i="44"/>
  <c r="AD371" i="44"/>
  <c r="AE371" i="44"/>
  <c r="AF371" i="44"/>
  <c r="AG371" i="44"/>
  <c r="D372" i="44"/>
  <c r="E372" i="44"/>
  <c r="F372" i="44"/>
  <c r="G372" i="44"/>
  <c r="H372" i="44"/>
  <c r="I372" i="44"/>
  <c r="J372" i="44"/>
  <c r="K372" i="44"/>
  <c r="L372" i="44"/>
  <c r="M372" i="44"/>
  <c r="N372" i="44"/>
  <c r="O372" i="44"/>
  <c r="P372" i="44"/>
  <c r="Q372" i="44"/>
  <c r="R372" i="44"/>
  <c r="S372" i="44"/>
  <c r="T372" i="44"/>
  <c r="U372" i="44"/>
  <c r="V372" i="44"/>
  <c r="W372" i="44"/>
  <c r="X372" i="44"/>
  <c r="Y372" i="44"/>
  <c r="Z372" i="44"/>
  <c r="AA372" i="44"/>
  <c r="AB372" i="44"/>
  <c r="AC372" i="44"/>
  <c r="AD372" i="44"/>
  <c r="AE372" i="44"/>
  <c r="AF372" i="44"/>
  <c r="AG372" i="44"/>
  <c r="D373" i="44"/>
  <c r="E373" i="44"/>
  <c r="F373" i="44"/>
  <c r="G373" i="44"/>
  <c r="H373" i="44"/>
  <c r="I373" i="44"/>
  <c r="J373" i="44"/>
  <c r="K373" i="44"/>
  <c r="L373" i="44"/>
  <c r="M373" i="44"/>
  <c r="N373" i="44"/>
  <c r="O373" i="44"/>
  <c r="P373" i="44"/>
  <c r="Q373" i="44"/>
  <c r="R373" i="44"/>
  <c r="S373" i="44"/>
  <c r="T373" i="44"/>
  <c r="U373" i="44"/>
  <c r="V373" i="44"/>
  <c r="W373" i="44"/>
  <c r="X373" i="44"/>
  <c r="Y373" i="44"/>
  <c r="Z373" i="44"/>
  <c r="AA373" i="44"/>
  <c r="AB373" i="44"/>
  <c r="AC373" i="44"/>
  <c r="AD373" i="44"/>
  <c r="AE373" i="44"/>
  <c r="AF373" i="44"/>
  <c r="AG373" i="44"/>
  <c r="D374" i="44"/>
  <c r="E374" i="44"/>
  <c r="F374" i="44"/>
  <c r="G374" i="44"/>
  <c r="H374" i="44"/>
  <c r="I374" i="44"/>
  <c r="J374" i="44"/>
  <c r="K374" i="44"/>
  <c r="L374" i="44"/>
  <c r="M374" i="44"/>
  <c r="N374" i="44"/>
  <c r="O374" i="44"/>
  <c r="P374" i="44"/>
  <c r="Q374" i="44"/>
  <c r="R374" i="44"/>
  <c r="S374" i="44"/>
  <c r="T374" i="44"/>
  <c r="U374" i="44"/>
  <c r="V374" i="44"/>
  <c r="W374" i="44"/>
  <c r="X374" i="44"/>
  <c r="Y374" i="44"/>
  <c r="Z374" i="44"/>
  <c r="AA374" i="44"/>
  <c r="AB374" i="44"/>
  <c r="AC374" i="44"/>
  <c r="AD374" i="44"/>
  <c r="AE374" i="44"/>
  <c r="AF374" i="44"/>
  <c r="AG374" i="44"/>
  <c r="D375" i="44"/>
  <c r="E375" i="44"/>
  <c r="F375" i="44"/>
  <c r="G375" i="44"/>
  <c r="H375" i="44"/>
  <c r="I375" i="44"/>
  <c r="J375" i="44"/>
  <c r="K375" i="44"/>
  <c r="L375" i="44"/>
  <c r="M375" i="44"/>
  <c r="N375" i="44"/>
  <c r="O375" i="44"/>
  <c r="P375" i="44"/>
  <c r="Q375" i="44"/>
  <c r="R375" i="44"/>
  <c r="S375" i="44"/>
  <c r="T375" i="44"/>
  <c r="U375" i="44"/>
  <c r="V375" i="44"/>
  <c r="W375" i="44"/>
  <c r="X375" i="44"/>
  <c r="Y375" i="44"/>
  <c r="Z375" i="44"/>
  <c r="AA375" i="44"/>
  <c r="AB375" i="44"/>
  <c r="AC375" i="44"/>
  <c r="AD375" i="44"/>
  <c r="AE375" i="44"/>
  <c r="AF375" i="44"/>
  <c r="AG375" i="44"/>
  <c r="D376" i="44"/>
  <c r="E376" i="44"/>
  <c r="F376" i="44"/>
  <c r="G376" i="44"/>
  <c r="H376" i="44"/>
  <c r="I376" i="44"/>
  <c r="J376" i="44"/>
  <c r="K376" i="44"/>
  <c r="L376" i="44"/>
  <c r="M376" i="44"/>
  <c r="N376" i="44"/>
  <c r="O376" i="44"/>
  <c r="P376" i="44"/>
  <c r="Q376" i="44"/>
  <c r="R376" i="44"/>
  <c r="S376" i="44"/>
  <c r="T376" i="44"/>
  <c r="U376" i="44"/>
  <c r="V376" i="44"/>
  <c r="W376" i="44"/>
  <c r="X376" i="44"/>
  <c r="Y376" i="44"/>
  <c r="Z376" i="44"/>
  <c r="AA376" i="44"/>
  <c r="AB376" i="44"/>
  <c r="AC376" i="44"/>
  <c r="AD376" i="44"/>
  <c r="AE376" i="44"/>
  <c r="AF376" i="44"/>
  <c r="AG376" i="44"/>
  <c r="D377" i="44"/>
  <c r="E377" i="44"/>
  <c r="F377" i="44"/>
  <c r="G377" i="44"/>
  <c r="H377" i="44"/>
  <c r="I377" i="44"/>
  <c r="J377" i="44"/>
  <c r="K377" i="44"/>
  <c r="L377" i="44"/>
  <c r="M377" i="44"/>
  <c r="N377" i="44"/>
  <c r="O377" i="44"/>
  <c r="P377" i="44"/>
  <c r="Q377" i="44"/>
  <c r="R377" i="44"/>
  <c r="S377" i="44"/>
  <c r="T377" i="44"/>
  <c r="U377" i="44"/>
  <c r="V377" i="44"/>
  <c r="W377" i="44"/>
  <c r="X377" i="44"/>
  <c r="Y377" i="44"/>
  <c r="Z377" i="44"/>
  <c r="AA377" i="44"/>
  <c r="AB377" i="44"/>
  <c r="AC377" i="44"/>
  <c r="AD377" i="44"/>
  <c r="AE377" i="44"/>
  <c r="AF377" i="44"/>
  <c r="AG377" i="44"/>
  <c r="D378" i="44"/>
  <c r="E378" i="44"/>
  <c r="F378" i="44"/>
  <c r="G378" i="44"/>
  <c r="H378" i="44"/>
  <c r="I378" i="44"/>
  <c r="J378" i="44"/>
  <c r="K378" i="44"/>
  <c r="L378" i="44"/>
  <c r="M378" i="44"/>
  <c r="N378" i="44"/>
  <c r="O378" i="44"/>
  <c r="P378" i="44"/>
  <c r="Q378" i="44"/>
  <c r="R378" i="44"/>
  <c r="S378" i="44"/>
  <c r="T378" i="44"/>
  <c r="U378" i="44"/>
  <c r="V378" i="44"/>
  <c r="W378" i="44"/>
  <c r="X378" i="44"/>
  <c r="Y378" i="44"/>
  <c r="Z378" i="44"/>
  <c r="AA378" i="44"/>
  <c r="AB378" i="44"/>
  <c r="AC378" i="44"/>
  <c r="AD378" i="44"/>
  <c r="AE378" i="44"/>
  <c r="AF378" i="44"/>
  <c r="AG378" i="44"/>
  <c r="D379" i="44"/>
  <c r="E379" i="44"/>
  <c r="F379" i="44"/>
  <c r="G379" i="44"/>
  <c r="H379" i="44"/>
  <c r="I379" i="44"/>
  <c r="J379" i="44"/>
  <c r="K379" i="44"/>
  <c r="L379" i="44"/>
  <c r="M379" i="44"/>
  <c r="N379" i="44"/>
  <c r="O379" i="44"/>
  <c r="P379" i="44"/>
  <c r="Q379" i="44"/>
  <c r="R379" i="44"/>
  <c r="S379" i="44"/>
  <c r="T379" i="44"/>
  <c r="U379" i="44"/>
  <c r="V379" i="44"/>
  <c r="W379" i="44"/>
  <c r="X379" i="44"/>
  <c r="Y379" i="44"/>
  <c r="Z379" i="44"/>
  <c r="AA379" i="44"/>
  <c r="AB379" i="44"/>
  <c r="AC379" i="44"/>
  <c r="AD379" i="44"/>
  <c r="AE379" i="44"/>
  <c r="AF379" i="44"/>
  <c r="AG379" i="44"/>
  <c r="D380" i="44"/>
  <c r="E380" i="44"/>
  <c r="F380" i="44"/>
  <c r="G380" i="44"/>
  <c r="H380" i="44"/>
  <c r="I380" i="44"/>
  <c r="J380" i="44"/>
  <c r="K380" i="44"/>
  <c r="L380" i="44"/>
  <c r="M380" i="44"/>
  <c r="N380" i="44"/>
  <c r="O380" i="44"/>
  <c r="P380" i="44"/>
  <c r="Q380" i="44"/>
  <c r="R380" i="44"/>
  <c r="S380" i="44"/>
  <c r="T380" i="44"/>
  <c r="U380" i="44"/>
  <c r="V380" i="44"/>
  <c r="W380" i="44"/>
  <c r="X380" i="44"/>
  <c r="Y380" i="44"/>
  <c r="Z380" i="44"/>
  <c r="AA380" i="44"/>
  <c r="AB380" i="44"/>
  <c r="AC380" i="44"/>
  <c r="AD380" i="44"/>
  <c r="AE380" i="44"/>
  <c r="AF380" i="44"/>
  <c r="AG380" i="44"/>
  <c r="D381" i="44"/>
  <c r="E381" i="44"/>
  <c r="F381" i="44"/>
  <c r="G381" i="44"/>
  <c r="H381" i="44"/>
  <c r="I381" i="44"/>
  <c r="J381" i="44"/>
  <c r="K381" i="44"/>
  <c r="L381" i="44"/>
  <c r="M381" i="44"/>
  <c r="N381" i="44"/>
  <c r="O381" i="44"/>
  <c r="P381" i="44"/>
  <c r="Q381" i="44"/>
  <c r="R381" i="44"/>
  <c r="S381" i="44"/>
  <c r="T381" i="44"/>
  <c r="U381" i="44"/>
  <c r="V381" i="44"/>
  <c r="W381" i="44"/>
  <c r="X381" i="44"/>
  <c r="Y381" i="44"/>
  <c r="Z381" i="44"/>
  <c r="AA381" i="44"/>
  <c r="AB381" i="44"/>
  <c r="AC381" i="44"/>
  <c r="AD381" i="44"/>
  <c r="AE381" i="44"/>
  <c r="AF381" i="44"/>
  <c r="AG381" i="44"/>
  <c r="D382" i="44"/>
  <c r="E382" i="44"/>
  <c r="F382" i="44"/>
  <c r="G382" i="44"/>
  <c r="H382" i="44"/>
  <c r="I382" i="44"/>
  <c r="J382" i="44"/>
  <c r="K382" i="44"/>
  <c r="L382" i="44"/>
  <c r="M382" i="44"/>
  <c r="N382" i="44"/>
  <c r="O382" i="44"/>
  <c r="P382" i="44"/>
  <c r="Q382" i="44"/>
  <c r="R382" i="44"/>
  <c r="S382" i="44"/>
  <c r="T382" i="44"/>
  <c r="U382" i="44"/>
  <c r="V382" i="44"/>
  <c r="W382" i="44"/>
  <c r="X382" i="44"/>
  <c r="Y382" i="44"/>
  <c r="Z382" i="44"/>
  <c r="AA382" i="44"/>
  <c r="AB382" i="44"/>
  <c r="AC382" i="44"/>
  <c r="AD382" i="44"/>
  <c r="AE382" i="44"/>
  <c r="AF382" i="44"/>
  <c r="AG382" i="44"/>
  <c r="D383" i="44"/>
  <c r="E383" i="44"/>
  <c r="F383" i="44"/>
  <c r="G383" i="44"/>
  <c r="H383" i="44"/>
  <c r="I383" i="44"/>
  <c r="J383" i="44"/>
  <c r="K383" i="44"/>
  <c r="L383" i="44"/>
  <c r="M383" i="44"/>
  <c r="N383" i="44"/>
  <c r="O383" i="44"/>
  <c r="P383" i="44"/>
  <c r="Q383" i="44"/>
  <c r="R383" i="44"/>
  <c r="S383" i="44"/>
  <c r="T383" i="44"/>
  <c r="U383" i="44"/>
  <c r="V383" i="44"/>
  <c r="W383" i="44"/>
  <c r="X383" i="44"/>
  <c r="Y383" i="44"/>
  <c r="Z383" i="44"/>
  <c r="AA383" i="44"/>
  <c r="AB383" i="44"/>
  <c r="AC383" i="44"/>
  <c r="AD383" i="44"/>
  <c r="AE383" i="44"/>
  <c r="AF383" i="44"/>
  <c r="AG383" i="44"/>
  <c r="D384" i="44"/>
  <c r="E384" i="44"/>
  <c r="F384" i="44"/>
  <c r="G384" i="44"/>
  <c r="H384" i="44"/>
  <c r="I384" i="44"/>
  <c r="J384" i="44"/>
  <c r="K384" i="44"/>
  <c r="L384" i="44"/>
  <c r="M384" i="44"/>
  <c r="N384" i="44"/>
  <c r="O384" i="44"/>
  <c r="P384" i="44"/>
  <c r="Q384" i="44"/>
  <c r="R384" i="44"/>
  <c r="S384" i="44"/>
  <c r="T384" i="44"/>
  <c r="U384" i="44"/>
  <c r="V384" i="44"/>
  <c r="W384" i="44"/>
  <c r="X384" i="44"/>
  <c r="Y384" i="44"/>
  <c r="Z384" i="44"/>
  <c r="AA384" i="44"/>
  <c r="AB384" i="44"/>
  <c r="AC384" i="44"/>
  <c r="AD384" i="44"/>
  <c r="AE384" i="44"/>
  <c r="AF384" i="44"/>
  <c r="AG384" i="44"/>
  <c r="D385" i="44"/>
  <c r="E385" i="44"/>
  <c r="F385" i="44"/>
  <c r="G385" i="44"/>
  <c r="H385" i="44"/>
  <c r="I385" i="44"/>
  <c r="J385" i="44"/>
  <c r="K385" i="44"/>
  <c r="L385" i="44"/>
  <c r="M385" i="44"/>
  <c r="N385" i="44"/>
  <c r="O385" i="44"/>
  <c r="P385" i="44"/>
  <c r="Q385" i="44"/>
  <c r="R385" i="44"/>
  <c r="S385" i="44"/>
  <c r="T385" i="44"/>
  <c r="U385" i="44"/>
  <c r="V385" i="44"/>
  <c r="W385" i="44"/>
  <c r="X385" i="44"/>
  <c r="Y385" i="44"/>
  <c r="Z385" i="44"/>
  <c r="AA385" i="44"/>
  <c r="AB385" i="44"/>
  <c r="AC385" i="44"/>
  <c r="AD385" i="44"/>
  <c r="AE385" i="44"/>
  <c r="AF385" i="44"/>
  <c r="AG385" i="44"/>
  <c r="D386" i="44"/>
  <c r="E386" i="44"/>
  <c r="F386" i="44"/>
  <c r="G386" i="44"/>
  <c r="H386" i="44"/>
  <c r="I386" i="44"/>
  <c r="J386" i="44"/>
  <c r="K386" i="44"/>
  <c r="L386" i="44"/>
  <c r="M386" i="44"/>
  <c r="N386" i="44"/>
  <c r="O386" i="44"/>
  <c r="P386" i="44"/>
  <c r="Q386" i="44"/>
  <c r="R386" i="44"/>
  <c r="S386" i="44"/>
  <c r="T386" i="44"/>
  <c r="U386" i="44"/>
  <c r="V386" i="44"/>
  <c r="W386" i="44"/>
  <c r="X386" i="44"/>
  <c r="Y386" i="44"/>
  <c r="Z386" i="44"/>
  <c r="AA386" i="44"/>
  <c r="AB386" i="44"/>
  <c r="AC386" i="44"/>
  <c r="AD386" i="44"/>
  <c r="AE386" i="44"/>
  <c r="AF386" i="44"/>
  <c r="AG386" i="44"/>
  <c r="D387" i="44"/>
  <c r="E387" i="44"/>
  <c r="F387" i="44"/>
  <c r="G387" i="44"/>
  <c r="H387" i="44"/>
  <c r="I387" i="44"/>
  <c r="J387" i="44"/>
  <c r="K387" i="44"/>
  <c r="L387" i="44"/>
  <c r="M387" i="44"/>
  <c r="N387" i="44"/>
  <c r="O387" i="44"/>
  <c r="P387" i="44"/>
  <c r="Q387" i="44"/>
  <c r="R387" i="44"/>
  <c r="S387" i="44"/>
  <c r="T387" i="44"/>
  <c r="U387" i="44"/>
  <c r="V387" i="44"/>
  <c r="W387" i="44"/>
  <c r="X387" i="44"/>
  <c r="Y387" i="44"/>
  <c r="Z387" i="44"/>
  <c r="AA387" i="44"/>
  <c r="AB387" i="44"/>
  <c r="AC387" i="44"/>
  <c r="AD387" i="44"/>
  <c r="AE387" i="44"/>
  <c r="AF387" i="44"/>
  <c r="AG387" i="44"/>
  <c r="D388" i="44"/>
  <c r="E388" i="44"/>
  <c r="F388" i="44"/>
  <c r="G388" i="44"/>
  <c r="H388" i="44"/>
  <c r="I388" i="44"/>
  <c r="J388" i="44"/>
  <c r="K388" i="44"/>
  <c r="L388" i="44"/>
  <c r="M388" i="44"/>
  <c r="N388" i="44"/>
  <c r="O388" i="44"/>
  <c r="P388" i="44"/>
  <c r="Q388" i="44"/>
  <c r="R388" i="44"/>
  <c r="S388" i="44"/>
  <c r="T388" i="44"/>
  <c r="U388" i="44"/>
  <c r="V388" i="44"/>
  <c r="W388" i="44"/>
  <c r="X388" i="44"/>
  <c r="Y388" i="44"/>
  <c r="Z388" i="44"/>
  <c r="AA388" i="44"/>
  <c r="AB388" i="44"/>
  <c r="AC388" i="44"/>
  <c r="AD388" i="44"/>
  <c r="AE388" i="44"/>
  <c r="AF388" i="44"/>
  <c r="AG388" i="44"/>
  <c r="D389" i="44"/>
  <c r="E389" i="44"/>
  <c r="F389" i="44"/>
  <c r="G389" i="44"/>
  <c r="H389" i="44"/>
  <c r="I389" i="44"/>
  <c r="J389" i="44"/>
  <c r="K389" i="44"/>
  <c r="L389" i="44"/>
  <c r="M389" i="44"/>
  <c r="N389" i="44"/>
  <c r="O389" i="44"/>
  <c r="P389" i="44"/>
  <c r="Q389" i="44"/>
  <c r="R389" i="44"/>
  <c r="S389" i="44"/>
  <c r="T389" i="44"/>
  <c r="U389" i="44"/>
  <c r="V389" i="44"/>
  <c r="W389" i="44"/>
  <c r="X389" i="44"/>
  <c r="Y389" i="44"/>
  <c r="Z389" i="44"/>
  <c r="AA389" i="44"/>
  <c r="AB389" i="44"/>
  <c r="AC389" i="44"/>
  <c r="AD389" i="44"/>
  <c r="AE389" i="44"/>
  <c r="AF389" i="44"/>
  <c r="AG389" i="44"/>
  <c r="D390" i="44"/>
  <c r="E390" i="44"/>
  <c r="F390" i="44"/>
  <c r="G390" i="44"/>
  <c r="H390" i="44"/>
  <c r="I390" i="44"/>
  <c r="J390" i="44"/>
  <c r="K390" i="44"/>
  <c r="L390" i="44"/>
  <c r="M390" i="44"/>
  <c r="N390" i="44"/>
  <c r="O390" i="44"/>
  <c r="P390" i="44"/>
  <c r="Q390" i="44"/>
  <c r="R390" i="44"/>
  <c r="S390" i="44"/>
  <c r="T390" i="44"/>
  <c r="U390" i="44"/>
  <c r="V390" i="44"/>
  <c r="W390" i="44"/>
  <c r="X390" i="44"/>
  <c r="Y390" i="44"/>
  <c r="Z390" i="44"/>
  <c r="AA390" i="44"/>
  <c r="AB390" i="44"/>
  <c r="AC390" i="44"/>
  <c r="AD390" i="44"/>
  <c r="AE390" i="44"/>
  <c r="AF390" i="44"/>
  <c r="AG390" i="44"/>
  <c r="D391" i="44"/>
  <c r="E391" i="44"/>
  <c r="F391" i="44"/>
  <c r="G391" i="44"/>
  <c r="H391" i="44"/>
  <c r="I391" i="44"/>
  <c r="J391" i="44"/>
  <c r="K391" i="44"/>
  <c r="L391" i="44"/>
  <c r="M391" i="44"/>
  <c r="N391" i="44"/>
  <c r="O391" i="44"/>
  <c r="P391" i="44"/>
  <c r="Q391" i="44"/>
  <c r="R391" i="44"/>
  <c r="S391" i="44"/>
  <c r="T391" i="44"/>
  <c r="U391" i="44"/>
  <c r="V391" i="44"/>
  <c r="W391" i="44"/>
  <c r="X391" i="44"/>
  <c r="Y391" i="44"/>
  <c r="Z391" i="44"/>
  <c r="AA391" i="44"/>
  <c r="AB391" i="44"/>
  <c r="AC391" i="44"/>
  <c r="AD391" i="44"/>
  <c r="AE391" i="44"/>
  <c r="AF391" i="44"/>
  <c r="AG391" i="44"/>
  <c r="D392" i="44"/>
  <c r="E392" i="44"/>
  <c r="F392" i="44"/>
  <c r="G392" i="44"/>
  <c r="H392" i="44"/>
  <c r="I392" i="44"/>
  <c r="J392" i="44"/>
  <c r="K392" i="44"/>
  <c r="L392" i="44"/>
  <c r="M392" i="44"/>
  <c r="N392" i="44"/>
  <c r="O392" i="44"/>
  <c r="P392" i="44"/>
  <c r="Q392" i="44"/>
  <c r="R392" i="44"/>
  <c r="S392" i="44"/>
  <c r="T392" i="44"/>
  <c r="U392" i="44"/>
  <c r="V392" i="44"/>
  <c r="W392" i="44"/>
  <c r="X392" i="44"/>
  <c r="Y392" i="44"/>
  <c r="Z392" i="44"/>
  <c r="AA392" i="44"/>
  <c r="AB392" i="44"/>
  <c r="AC392" i="44"/>
  <c r="AD392" i="44"/>
  <c r="AE392" i="44"/>
  <c r="AF392" i="44"/>
  <c r="AG392" i="44"/>
  <c r="D393" i="44"/>
  <c r="E393" i="44"/>
  <c r="F393" i="44"/>
  <c r="G393" i="44"/>
  <c r="H393" i="44"/>
  <c r="I393" i="44"/>
  <c r="J393" i="44"/>
  <c r="K393" i="44"/>
  <c r="L393" i="44"/>
  <c r="M393" i="44"/>
  <c r="N393" i="44"/>
  <c r="O393" i="44"/>
  <c r="P393" i="44"/>
  <c r="Q393" i="44"/>
  <c r="R393" i="44"/>
  <c r="S393" i="44"/>
  <c r="T393" i="44"/>
  <c r="U393" i="44"/>
  <c r="V393" i="44"/>
  <c r="W393" i="44"/>
  <c r="X393" i="44"/>
  <c r="Y393" i="44"/>
  <c r="Z393" i="44"/>
  <c r="AA393" i="44"/>
  <c r="AB393" i="44"/>
  <c r="AC393" i="44"/>
  <c r="AD393" i="44"/>
  <c r="AE393" i="44"/>
  <c r="AF393" i="44"/>
  <c r="AG393" i="44"/>
  <c r="D394" i="44"/>
  <c r="E394" i="44"/>
  <c r="F394" i="44"/>
  <c r="G394" i="44"/>
  <c r="H394" i="44"/>
  <c r="I394" i="44"/>
  <c r="J394" i="44"/>
  <c r="K394" i="44"/>
  <c r="L394" i="44"/>
  <c r="M394" i="44"/>
  <c r="N394" i="44"/>
  <c r="O394" i="44"/>
  <c r="P394" i="44"/>
  <c r="Q394" i="44"/>
  <c r="R394" i="44"/>
  <c r="S394" i="44"/>
  <c r="T394" i="44"/>
  <c r="U394" i="44"/>
  <c r="V394" i="44"/>
  <c r="W394" i="44"/>
  <c r="X394" i="44"/>
  <c r="Y394" i="44"/>
  <c r="Z394" i="44"/>
  <c r="AA394" i="44"/>
  <c r="AB394" i="44"/>
  <c r="AC394" i="44"/>
  <c r="AD394" i="44"/>
  <c r="AE394" i="44"/>
  <c r="AF394" i="44"/>
  <c r="AG394" i="44"/>
  <c r="D395" i="44"/>
  <c r="E395" i="44"/>
  <c r="F395" i="44"/>
  <c r="G395" i="44"/>
  <c r="H395" i="44"/>
  <c r="I395" i="44"/>
  <c r="J395" i="44"/>
  <c r="K395" i="44"/>
  <c r="L395" i="44"/>
  <c r="M395" i="44"/>
  <c r="N395" i="44"/>
  <c r="O395" i="44"/>
  <c r="P395" i="44"/>
  <c r="Q395" i="44"/>
  <c r="R395" i="44"/>
  <c r="S395" i="44"/>
  <c r="T395" i="44"/>
  <c r="U395" i="44"/>
  <c r="V395" i="44"/>
  <c r="W395" i="44"/>
  <c r="X395" i="44"/>
  <c r="Y395" i="44"/>
  <c r="Z395" i="44"/>
  <c r="AA395" i="44"/>
  <c r="AB395" i="44"/>
  <c r="AC395" i="44"/>
  <c r="AD395" i="44"/>
  <c r="AE395" i="44"/>
  <c r="AF395" i="44"/>
  <c r="AG395" i="44"/>
  <c r="D396" i="44"/>
  <c r="E396" i="44"/>
  <c r="F396" i="44"/>
  <c r="G396" i="44"/>
  <c r="H396" i="44"/>
  <c r="I396" i="44"/>
  <c r="J396" i="44"/>
  <c r="K396" i="44"/>
  <c r="L396" i="44"/>
  <c r="M396" i="44"/>
  <c r="N396" i="44"/>
  <c r="O396" i="44"/>
  <c r="P396" i="44"/>
  <c r="Q396" i="44"/>
  <c r="R396" i="44"/>
  <c r="S396" i="44"/>
  <c r="T396" i="44"/>
  <c r="U396" i="44"/>
  <c r="V396" i="44"/>
  <c r="W396" i="44"/>
  <c r="X396" i="44"/>
  <c r="Y396" i="44"/>
  <c r="Z396" i="44"/>
  <c r="AA396" i="44"/>
  <c r="AB396" i="44"/>
  <c r="AC396" i="44"/>
  <c r="AD396" i="44"/>
  <c r="AE396" i="44"/>
  <c r="AF396" i="44"/>
  <c r="AG396" i="44"/>
  <c r="D399" i="44"/>
  <c r="E399" i="44"/>
  <c r="F399" i="44"/>
  <c r="G399" i="44"/>
  <c r="H399" i="44"/>
  <c r="I399" i="44"/>
  <c r="J399" i="44"/>
  <c r="K399" i="44"/>
  <c r="L399" i="44"/>
  <c r="M399" i="44"/>
  <c r="N399" i="44"/>
  <c r="O399" i="44"/>
  <c r="P399" i="44"/>
  <c r="Q399" i="44"/>
  <c r="R399" i="44"/>
  <c r="S399" i="44"/>
  <c r="T399" i="44"/>
  <c r="U399" i="44"/>
  <c r="V399" i="44"/>
  <c r="W399" i="44"/>
  <c r="X399" i="44"/>
  <c r="Y399" i="44"/>
  <c r="Z399" i="44"/>
  <c r="AA399" i="44"/>
  <c r="AB399" i="44"/>
  <c r="AC399" i="44"/>
  <c r="AD399" i="44"/>
  <c r="AE399" i="44"/>
  <c r="AF399" i="44"/>
  <c r="AG399" i="44"/>
  <c r="D400" i="44"/>
  <c r="E400" i="44"/>
  <c r="F400" i="44"/>
  <c r="G400" i="44"/>
  <c r="H400" i="44"/>
  <c r="I400" i="44"/>
  <c r="J400" i="44"/>
  <c r="K400" i="44"/>
  <c r="L400" i="44"/>
  <c r="M400" i="44"/>
  <c r="N400" i="44"/>
  <c r="O400" i="44"/>
  <c r="P400" i="44"/>
  <c r="Q400" i="44"/>
  <c r="R400" i="44"/>
  <c r="S400" i="44"/>
  <c r="T400" i="44"/>
  <c r="U400" i="44"/>
  <c r="V400" i="44"/>
  <c r="W400" i="44"/>
  <c r="X400" i="44"/>
  <c r="Y400" i="44"/>
  <c r="Z400" i="44"/>
  <c r="AA400" i="44"/>
  <c r="AB400" i="44"/>
  <c r="AC400" i="44"/>
  <c r="AD400" i="44"/>
  <c r="AE400" i="44"/>
  <c r="AF400" i="44"/>
  <c r="AG400" i="44"/>
  <c r="D401" i="44"/>
  <c r="E401" i="44"/>
  <c r="F401" i="44"/>
  <c r="G401" i="44"/>
  <c r="H401" i="44"/>
  <c r="I401" i="44"/>
  <c r="J401" i="44"/>
  <c r="K401" i="44"/>
  <c r="L401" i="44"/>
  <c r="M401" i="44"/>
  <c r="N401" i="44"/>
  <c r="O401" i="44"/>
  <c r="P401" i="44"/>
  <c r="Q401" i="44"/>
  <c r="R401" i="44"/>
  <c r="S401" i="44"/>
  <c r="T401" i="44"/>
  <c r="U401" i="44"/>
  <c r="V401" i="44"/>
  <c r="W401" i="44"/>
  <c r="X401" i="44"/>
  <c r="Y401" i="44"/>
  <c r="Z401" i="44"/>
  <c r="AA401" i="44"/>
  <c r="AB401" i="44"/>
  <c r="AC401" i="44"/>
  <c r="AD401" i="44"/>
  <c r="AE401" i="44"/>
  <c r="AF401" i="44"/>
  <c r="AG401" i="44"/>
  <c r="D402" i="44"/>
  <c r="E402" i="44"/>
  <c r="F402" i="44"/>
  <c r="G402" i="44"/>
  <c r="H402" i="44"/>
  <c r="I402" i="44"/>
  <c r="J402" i="44"/>
  <c r="K402" i="44"/>
  <c r="L402" i="44"/>
  <c r="M402" i="44"/>
  <c r="N402" i="44"/>
  <c r="O402" i="44"/>
  <c r="P402" i="44"/>
  <c r="Q402" i="44"/>
  <c r="R402" i="44"/>
  <c r="S402" i="44"/>
  <c r="T402" i="44"/>
  <c r="U402" i="44"/>
  <c r="V402" i="44"/>
  <c r="W402" i="44"/>
  <c r="X402" i="44"/>
  <c r="Y402" i="44"/>
  <c r="Z402" i="44"/>
  <c r="AA402" i="44"/>
  <c r="AB402" i="44"/>
  <c r="AC402" i="44"/>
  <c r="AD402" i="44"/>
  <c r="AE402" i="44"/>
  <c r="AF402" i="44"/>
  <c r="AG402" i="44"/>
  <c r="D403" i="44"/>
  <c r="E403" i="44"/>
  <c r="F403" i="44"/>
  <c r="G403" i="44"/>
  <c r="H403" i="44"/>
  <c r="I403" i="44"/>
  <c r="J403" i="44"/>
  <c r="K403" i="44"/>
  <c r="L403" i="44"/>
  <c r="M403" i="44"/>
  <c r="N403" i="44"/>
  <c r="O403" i="44"/>
  <c r="P403" i="44"/>
  <c r="Q403" i="44"/>
  <c r="R403" i="44"/>
  <c r="S403" i="44"/>
  <c r="T403" i="44"/>
  <c r="U403" i="44"/>
  <c r="V403" i="44"/>
  <c r="W403" i="44"/>
  <c r="X403" i="44"/>
  <c r="Y403" i="44"/>
  <c r="Z403" i="44"/>
  <c r="AA403" i="44"/>
  <c r="AB403" i="44"/>
  <c r="AC403" i="44"/>
  <c r="AD403" i="44"/>
  <c r="AE403" i="44"/>
  <c r="AF403" i="44"/>
  <c r="AG403" i="44"/>
  <c r="D404" i="44"/>
  <c r="E404" i="44"/>
  <c r="F404" i="44"/>
  <c r="G404" i="44"/>
  <c r="H404" i="44"/>
  <c r="I404" i="44"/>
  <c r="J404" i="44"/>
  <c r="K404" i="44"/>
  <c r="L404" i="44"/>
  <c r="M404" i="44"/>
  <c r="N404" i="44"/>
  <c r="O404" i="44"/>
  <c r="P404" i="44"/>
  <c r="Q404" i="44"/>
  <c r="R404" i="44"/>
  <c r="S404" i="44"/>
  <c r="T404" i="44"/>
  <c r="U404" i="44"/>
  <c r="V404" i="44"/>
  <c r="W404" i="44"/>
  <c r="X404" i="44"/>
  <c r="Y404" i="44"/>
  <c r="Z404" i="44"/>
  <c r="AA404" i="44"/>
  <c r="AB404" i="44"/>
  <c r="AC404" i="44"/>
  <c r="AD404" i="44"/>
  <c r="AE404" i="44"/>
  <c r="AF404" i="44"/>
  <c r="AG404" i="44"/>
  <c r="D405" i="44"/>
  <c r="E405" i="44"/>
  <c r="F405" i="44"/>
  <c r="G405" i="44"/>
  <c r="H405" i="44"/>
  <c r="I405" i="44"/>
  <c r="J405" i="44"/>
  <c r="K405" i="44"/>
  <c r="L405" i="44"/>
  <c r="M405" i="44"/>
  <c r="N405" i="44"/>
  <c r="O405" i="44"/>
  <c r="P405" i="44"/>
  <c r="Q405" i="44"/>
  <c r="R405" i="44"/>
  <c r="S405" i="44"/>
  <c r="T405" i="44"/>
  <c r="U405" i="44"/>
  <c r="V405" i="44"/>
  <c r="W405" i="44"/>
  <c r="X405" i="44"/>
  <c r="Y405" i="44"/>
  <c r="Z405" i="44"/>
  <c r="AA405" i="44"/>
  <c r="AB405" i="44"/>
  <c r="AC405" i="44"/>
  <c r="AD405" i="44"/>
  <c r="AE405" i="44"/>
  <c r="AF405" i="44"/>
  <c r="AG405" i="44"/>
  <c r="D406" i="44"/>
  <c r="E406" i="44"/>
  <c r="F406" i="44"/>
  <c r="G406" i="44"/>
  <c r="H406" i="44"/>
  <c r="I406" i="44"/>
  <c r="J406" i="44"/>
  <c r="K406" i="44"/>
  <c r="L406" i="44"/>
  <c r="M406" i="44"/>
  <c r="N406" i="44"/>
  <c r="O406" i="44"/>
  <c r="P406" i="44"/>
  <c r="Q406" i="44"/>
  <c r="R406" i="44"/>
  <c r="S406" i="44"/>
  <c r="T406" i="44"/>
  <c r="U406" i="44"/>
  <c r="V406" i="44"/>
  <c r="W406" i="44"/>
  <c r="X406" i="44"/>
  <c r="Y406" i="44"/>
  <c r="Z406" i="44"/>
  <c r="AA406" i="44"/>
  <c r="AB406" i="44"/>
  <c r="AC406" i="44"/>
  <c r="AD406" i="44"/>
  <c r="AE406" i="44"/>
  <c r="AF406" i="44"/>
  <c r="AG406" i="44"/>
  <c r="D407" i="44"/>
  <c r="E407" i="44"/>
  <c r="F407" i="44"/>
  <c r="G407" i="44"/>
  <c r="H407" i="44"/>
  <c r="I407" i="44"/>
  <c r="J407" i="44"/>
  <c r="K407" i="44"/>
  <c r="L407" i="44"/>
  <c r="M407" i="44"/>
  <c r="N407" i="44"/>
  <c r="O407" i="44"/>
  <c r="P407" i="44"/>
  <c r="Q407" i="44"/>
  <c r="R407" i="44"/>
  <c r="S407" i="44"/>
  <c r="T407" i="44"/>
  <c r="U407" i="44"/>
  <c r="V407" i="44"/>
  <c r="W407" i="44"/>
  <c r="X407" i="44"/>
  <c r="Y407" i="44"/>
  <c r="Z407" i="44"/>
  <c r="AA407" i="44"/>
  <c r="AB407" i="44"/>
  <c r="AC407" i="44"/>
  <c r="AD407" i="44"/>
  <c r="AE407" i="44"/>
  <c r="AF407" i="44"/>
  <c r="AG407" i="44"/>
  <c r="D408" i="44"/>
  <c r="E408" i="44"/>
  <c r="F408" i="44"/>
  <c r="G408" i="44"/>
  <c r="H408" i="44"/>
  <c r="I408" i="44"/>
  <c r="J408" i="44"/>
  <c r="K408" i="44"/>
  <c r="L408" i="44"/>
  <c r="M408" i="44"/>
  <c r="N408" i="44"/>
  <c r="O408" i="44"/>
  <c r="P408" i="44"/>
  <c r="Q408" i="44"/>
  <c r="R408" i="44"/>
  <c r="S408" i="44"/>
  <c r="T408" i="44"/>
  <c r="U408" i="44"/>
  <c r="V408" i="44"/>
  <c r="W408" i="44"/>
  <c r="X408" i="44"/>
  <c r="Y408" i="44"/>
  <c r="Z408" i="44"/>
  <c r="AA408" i="44"/>
  <c r="AB408" i="44"/>
  <c r="AC408" i="44"/>
  <c r="AD408" i="44"/>
  <c r="AE408" i="44"/>
  <c r="AF408" i="44"/>
  <c r="AG408" i="44"/>
  <c r="D409" i="44"/>
  <c r="E409" i="44"/>
  <c r="F409" i="44"/>
  <c r="G409" i="44"/>
  <c r="H409" i="44"/>
  <c r="I409" i="44"/>
  <c r="J409" i="44"/>
  <c r="K409" i="44"/>
  <c r="L409" i="44"/>
  <c r="M409" i="44"/>
  <c r="N409" i="44"/>
  <c r="O409" i="44"/>
  <c r="P409" i="44"/>
  <c r="Q409" i="44"/>
  <c r="R409" i="44"/>
  <c r="S409" i="44"/>
  <c r="T409" i="44"/>
  <c r="U409" i="44"/>
  <c r="V409" i="44"/>
  <c r="W409" i="44"/>
  <c r="X409" i="44"/>
  <c r="Y409" i="44"/>
  <c r="Z409" i="44"/>
  <c r="AA409" i="44"/>
  <c r="AB409" i="44"/>
  <c r="AC409" i="44"/>
  <c r="AD409" i="44"/>
  <c r="AE409" i="44"/>
  <c r="AF409" i="44"/>
  <c r="AG409" i="44"/>
  <c r="D410" i="44"/>
  <c r="E410" i="44"/>
  <c r="F410" i="44"/>
  <c r="G410" i="44"/>
  <c r="H410" i="44"/>
  <c r="I410" i="44"/>
  <c r="J410" i="44"/>
  <c r="K410" i="44"/>
  <c r="L410" i="44"/>
  <c r="M410" i="44"/>
  <c r="N410" i="44"/>
  <c r="O410" i="44"/>
  <c r="P410" i="44"/>
  <c r="Q410" i="44"/>
  <c r="R410" i="44"/>
  <c r="S410" i="44"/>
  <c r="T410" i="44"/>
  <c r="U410" i="44"/>
  <c r="V410" i="44"/>
  <c r="W410" i="44"/>
  <c r="X410" i="44"/>
  <c r="Y410" i="44"/>
  <c r="Z410" i="44"/>
  <c r="AA410" i="44"/>
  <c r="AB410" i="44"/>
  <c r="AC410" i="44"/>
  <c r="AD410" i="44"/>
  <c r="AE410" i="44"/>
  <c r="AF410" i="44"/>
  <c r="AG410" i="44"/>
  <c r="D411" i="44"/>
  <c r="E411" i="44"/>
  <c r="F411" i="44"/>
  <c r="G411" i="44"/>
  <c r="H411" i="44"/>
  <c r="I411" i="44"/>
  <c r="J411" i="44"/>
  <c r="K411" i="44"/>
  <c r="L411" i="44"/>
  <c r="M411" i="44"/>
  <c r="N411" i="44"/>
  <c r="O411" i="44"/>
  <c r="P411" i="44"/>
  <c r="Q411" i="44"/>
  <c r="R411" i="44"/>
  <c r="S411" i="44"/>
  <c r="T411" i="44"/>
  <c r="U411" i="44"/>
  <c r="V411" i="44"/>
  <c r="W411" i="44"/>
  <c r="X411" i="44"/>
  <c r="Y411" i="44"/>
  <c r="Z411" i="44"/>
  <c r="AA411" i="44"/>
  <c r="AB411" i="44"/>
  <c r="AC411" i="44"/>
  <c r="AD411" i="44"/>
  <c r="AE411" i="44"/>
  <c r="AF411" i="44"/>
  <c r="AG411" i="44"/>
  <c r="D412" i="44"/>
  <c r="E412" i="44"/>
  <c r="F412" i="44"/>
  <c r="G412" i="44"/>
  <c r="H412" i="44"/>
  <c r="I412" i="44"/>
  <c r="J412" i="44"/>
  <c r="K412" i="44"/>
  <c r="L412" i="44"/>
  <c r="M412" i="44"/>
  <c r="N412" i="44"/>
  <c r="O412" i="44"/>
  <c r="P412" i="44"/>
  <c r="Q412" i="44"/>
  <c r="R412" i="44"/>
  <c r="S412" i="44"/>
  <c r="T412" i="44"/>
  <c r="U412" i="44"/>
  <c r="V412" i="44"/>
  <c r="W412" i="44"/>
  <c r="X412" i="44"/>
  <c r="Y412" i="44"/>
  <c r="Z412" i="44"/>
  <c r="AA412" i="44"/>
  <c r="AB412" i="44"/>
  <c r="AC412" i="44"/>
  <c r="AD412" i="44"/>
  <c r="AE412" i="44"/>
  <c r="AF412" i="44"/>
  <c r="AG412" i="44"/>
  <c r="D413" i="44"/>
  <c r="E413" i="44"/>
  <c r="F413" i="44"/>
  <c r="G413" i="44"/>
  <c r="H413" i="44"/>
  <c r="I413" i="44"/>
  <c r="J413" i="44"/>
  <c r="K413" i="44"/>
  <c r="L413" i="44"/>
  <c r="M413" i="44"/>
  <c r="N413" i="44"/>
  <c r="O413" i="44"/>
  <c r="P413" i="44"/>
  <c r="Q413" i="44"/>
  <c r="R413" i="44"/>
  <c r="S413" i="44"/>
  <c r="T413" i="44"/>
  <c r="U413" i="44"/>
  <c r="V413" i="44"/>
  <c r="W413" i="44"/>
  <c r="X413" i="44"/>
  <c r="Y413" i="44"/>
  <c r="Z413" i="44"/>
  <c r="AA413" i="44"/>
  <c r="AB413" i="44"/>
  <c r="AC413" i="44"/>
  <c r="AD413" i="44"/>
  <c r="AE413" i="44"/>
  <c r="AF413" i="44"/>
  <c r="AG413" i="44"/>
  <c r="D414" i="44"/>
  <c r="E414" i="44"/>
  <c r="F414" i="44"/>
  <c r="G414" i="44"/>
  <c r="H414" i="44"/>
  <c r="I414" i="44"/>
  <c r="J414" i="44"/>
  <c r="K414" i="44"/>
  <c r="L414" i="44"/>
  <c r="M414" i="44"/>
  <c r="N414" i="44"/>
  <c r="O414" i="44"/>
  <c r="P414" i="44"/>
  <c r="Q414" i="44"/>
  <c r="R414" i="44"/>
  <c r="S414" i="44"/>
  <c r="T414" i="44"/>
  <c r="U414" i="44"/>
  <c r="V414" i="44"/>
  <c r="W414" i="44"/>
  <c r="X414" i="44"/>
  <c r="Y414" i="44"/>
  <c r="Z414" i="44"/>
  <c r="AA414" i="44"/>
  <c r="AB414" i="44"/>
  <c r="AC414" i="44"/>
  <c r="AD414" i="44"/>
  <c r="AE414" i="44"/>
  <c r="AF414" i="44"/>
  <c r="AG414" i="44"/>
  <c r="A7" i="8" l="1"/>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alcChain>
</file>

<file path=xl/sharedStrings.xml><?xml version="1.0" encoding="utf-8"?>
<sst xmlns="http://schemas.openxmlformats.org/spreadsheetml/2006/main" count="115232" uniqueCount="74474">
  <si>
    <t>Part Number</t>
  </si>
  <si>
    <t>Description</t>
  </si>
  <si>
    <t>36-2125</t>
  </si>
  <si>
    <t>36-4045</t>
  </si>
  <si>
    <t>Lightbar Packages, Light Bars and Accessories</t>
  </si>
  <si>
    <t xml:space="preserve">Federal Signal 51" Valor VALR51, OFF AXIS Lightbar,  28 LED modules, TRI-color, takedowns, alleys, FSJOIN for full customization,  includes hook kit, Signal Master Arrow functions, cruise, and low power functions.  </t>
  </si>
  <si>
    <t>Federal Signal 53" ALLEGIANT ALGT53, Lightbar, 22 TRI-color LED modules, takedowns, alleys, FSJOIN for full customization,  includes hook kit, Signal Master Arrow functions, cruise, and low power functions. Build in SYNC module, and end cap puddle lights.</t>
  </si>
  <si>
    <t xml:space="preserve">Federal Signal 48" RELIANT RLNT48, lightbar, 22 TRI-color LED modules, takedowns, alleys, includes hook kit, Signal Master Arrow functions, cruise, and low power functions. Plug and play with Pathfinder platforms </t>
  </si>
  <si>
    <t>ALGT21-**</t>
  </si>
  <si>
    <t>Federal Signal 21" Allegiant Light bar, 10 DUAL color modules, customizable with work light, takedown, and bedlight, Select discrete hardwire or serial application.  Plug and play with Pathfinder platforms.</t>
  </si>
  <si>
    <t>SIFMJ/H - TRI</t>
  </si>
  <si>
    <t>Federal Signal SIFMS/H TRI-Color front or rear interior light bar,  includes 8 TRI-color modules with vehicle specific mounting kit for front or rear install, FSJOIN for full customization, select colors using online configurator or use catalog stock model,  plug and play with Pathfinder siren</t>
  </si>
  <si>
    <t>SIFMJP-TRI</t>
  </si>
  <si>
    <t>Federal Signal SIFMJP-TRI-Color front passenger only ILS,  includes 8 TRI-color modules with vehicle specific mounting kit for front pass install, FSJOIN for full customization, select colors using online configurator or use catalog stock model,  plug and play with Pathfinder siren</t>
  </si>
  <si>
    <t xml:space="preserve">UPGRADE YOUR ROOF or INTERIOR LIGHTBAR WITH SIREN/SPEAKER PKG BELOW      (must order (1) roof or interior light bar for package pricing) </t>
  </si>
  <si>
    <t>LB PKG 1</t>
  </si>
  <si>
    <t xml:space="preserve">ADD (1) PF200 self contained siren /rotary, one siren speaker (choice ES100C or AS124), and speaker bracket package </t>
  </si>
  <si>
    <t>LB PKG 2</t>
  </si>
  <si>
    <t xml:space="preserve">ADD (1) PF200R remote w/rotary ctrl, one siren speaker (choice ES100C or AS124), and speaker bracket package </t>
  </si>
  <si>
    <t>LB PKG 3</t>
  </si>
  <si>
    <t>ADD (1) PF200S17B remote 17-multi-color button ctrl, one siren speaker (choice ES100C or AS124), and speaker bracket package</t>
  </si>
  <si>
    <t>LB PKG 4</t>
  </si>
  <si>
    <t xml:space="preserve">ADD (1) PF200H hand-held multi-color ctrl, one siren speaker (choice ES100C or AS124), and speaker bracket package </t>
  </si>
  <si>
    <t>LB PKG 5</t>
  </si>
  <si>
    <t xml:space="preserve">ADD (1) PF200S17BRK 17- multi-color button w/rotary ctrl, one siren speaker (choice ES100C or AS124), and speaker bracket package </t>
  </si>
  <si>
    <t>LB PKG 6</t>
  </si>
  <si>
    <t xml:space="preserve">ADD (1) PF200S6/S4 -incl 6 or 4 button multi-color ctrl, one siren speaker (choice ES100C or AS124), and speaker bracket package  </t>
  </si>
  <si>
    <t>LB PKG 7</t>
  </si>
  <si>
    <t>ADD (1) PF200S21 - incl 21 button multi-color ctrl, one siren speaker (choice ES100C or AS124), and speaker bracket package</t>
  </si>
  <si>
    <t>LB PKG 8</t>
  </si>
  <si>
    <t>ADD (1) PW100H or R- Pathway 100w hand-held / remote rotary siren system, one siren speaker (choice ES100C or AS124), and speaker bracket package</t>
  </si>
  <si>
    <t>LB PKG 9</t>
  </si>
  <si>
    <t>ADD (1) PW100S6 / S4 - Pathway 100w 4 or 6 buton siern system, one siren speaker (choice ES100C or AS124), and speaker bracket package</t>
  </si>
  <si>
    <t>LB PKG 10</t>
  </si>
  <si>
    <t>LB PKG 11</t>
  </si>
  <si>
    <t>LB PKG 12</t>
  </si>
  <si>
    <t>LB PKG 13</t>
  </si>
  <si>
    <t>PF200</t>
  </si>
  <si>
    <t>Federal Signal Pathfinder PF200, SELF-CONTAINED siren/light control system with 2-100 watt siren channel capable of dual tone siren or Rumbler siren (add RBKIT2), OBD Integration Capability</t>
  </si>
  <si>
    <t>PF200R</t>
  </si>
  <si>
    <t>Federal Signal Pathfinder PF200R,  REMOTE MOUNT siren/light control system with 2-100 watt siren channels capable of dual tone siren or Rumbler siren (add RBKIT2), OBD Integration Capability</t>
  </si>
  <si>
    <t>PF200H</t>
  </si>
  <si>
    <t>Federal Sginal Pathfinder PF200H, HANDHELD siren/light control system with 2-100 watt siren channel capable of dual tone siren or Rumbler siren (add RBKIT2),OBD Integration Capability</t>
  </si>
  <si>
    <t>PF200S17B</t>
  </si>
  <si>
    <t>Federal Signal Pathfiner PF200S17, 17-multi-color BUTTON siren/light control system with 2-100 watt siren channel capable of dual tone siren or Rumbler siren (add RBKIT2), OBD Integration Capability</t>
  </si>
  <si>
    <t>PF200S17BRK</t>
  </si>
  <si>
    <t>Federal Signal Pathfiner PF200S17BRK, 17-multi-color BUTTON w/ROTARY knob control system with 2-100 watt siren channel capable of dual tone siren or Rumbler siren (add RBKIT2), OBD Integration Capability</t>
  </si>
  <si>
    <t>PF200S21</t>
  </si>
  <si>
    <t>Federal Signal Pathfiner PF200S21, 21-multi-color BUTTON siren/light control system with 2-100 watt siren channel capable of dual tone siren or Rumbler siren (add RBKIT2), OBD Integration Capability</t>
  </si>
  <si>
    <t>PF200S4</t>
  </si>
  <si>
    <t>Federal Signal Pathfiner PF200S4, 4-BUTTON siren/light control system with 2-100 watt siren channel capable of dual tone siren or Rumbler siren (add RBKIT2), OBD Integration Capability</t>
  </si>
  <si>
    <t>PF200S6</t>
  </si>
  <si>
    <t>Federal Signal Pathfiner PF200S6, 6 -BUTTON siren/light control system with 2-100 watt siren channel capable of dual tone siren or Rumbler siren (add RBKIT2), OBD Integration Capability</t>
  </si>
  <si>
    <t>PW100H</t>
  </si>
  <si>
    <t>Federal Sginal Pathway 100w Siren system with multi-color hand-held contrller, convergence capable, flashing or steady on relays</t>
  </si>
  <si>
    <t>PW100R</t>
  </si>
  <si>
    <t>Federal Sginal Pathway 100w Siren system with remote rotary knob contrller, convergence capable, flashing or steady on relays</t>
  </si>
  <si>
    <t>PW100S6 / S4</t>
  </si>
  <si>
    <t>Federal Sginal Pathway 100w Siren system with 4 or 6 button contoller, convergence capable, flashing or steady on relays</t>
  </si>
  <si>
    <t>RUMBLER-C2</t>
  </si>
  <si>
    <t xml:space="preserve">Federal Signal RUMBLER-3 COMPACT, low frequesncy siren system with 2 low frequency speakers and amplifier.  Works with most siren platforms. </t>
  </si>
  <si>
    <t>RBKIT2-COMPACT</t>
  </si>
  <si>
    <t xml:space="preserve">Federal Signal RBKIT2-COMPACT Rumbler speakers, COMPACT size for easy moutning, low frequency siren system with 2 low frequency siren speakers.  To be used with Pathfinder integrated Rumbler AMP capability.  Includes vehicle specific or universal mounting bracket </t>
  </si>
  <si>
    <t>EXPMOD-24</t>
  </si>
  <si>
    <t>Federal Signal EXPMOD-24 output expansion module.  Includes plug and play capability, fully potted for external use, 24 steady and flasing outputs. Includes 2 isolated inputs to flash facrory LED lights. Use with Pathfinder Siren Sysems or standalone with Control head</t>
  </si>
  <si>
    <t>EXPMOD-32</t>
  </si>
  <si>
    <t>Federal Signal EXPMOD-32 output expansion module.  Includes plug and play capability, fully potted for external use, 32 steady and flasing outputs. Includes 3 isolated inputs to flash facrory LED lights. Use with Pathfinder Siren Sysems or standalone with Control head</t>
  </si>
  <si>
    <t xml:space="preserve">EXPMOD-2  </t>
  </si>
  <si>
    <t>Federal Signal EXPMOD-2,  18 solid state programmable expansion module, BCM disconnect capabilities for total control of rear OEM lighting when paired with vehicle specific taillight harness (sold separate)</t>
  </si>
  <si>
    <t>OBDCABLE-**</t>
  </si>
  <si>
    <t xml:space="preserve">Federal Signal vehicle interface cable for vehicle integraion.   Single wire connection to allow special features when installed with Pathfinder Siren.  For vehicle specigic applicaions Select from OBDCABLE-1, OBDCABLE-6, OBDCABLE-4, OBDCABLE-GMCAN, OBDCABLE-5 </t>
  </si>
  <si>
    <t>OBDCABLE16-7</t>
  </si>
  <si>
    <t xml:space="preserve">Federal Signal OBDCABLE25-2 Ford Police Interceptor Utility 2025+ vehicle interface cable for vehicle integraion.   Single wire connection to allow special features when installed with Pathfinder Siren. </t>
  </si>
  <si>
    <t>OBDCABLE25-3</t>
  </si>
  <si>
    <t>Federal Signal OBDCABLE25-3 FORD 2020 Expedition, F150, F250 vehicle interface cable for vehicle integration.  Single wire connection to allow special features when installed with Pathfinder Siren. 25" cable</t>
  </si>
  <si>
    <t>OBDCABLE6-3</t>
  </si>
  <si>
    <t xml:space="preserve">Federal Signal OBDCABLE6-3 FORD 2020 Expedition, F150, F250 vehicle interface cable for vehicle integration.  Single wire connection to allow special features when installed with Pathfinder Siren. 6" cable </t>
  </si>
  <si>
    <t>OBDCABLE25-DGCAN</t>
  </si>
  <si>
    <t>Federal Signal OBDCABLE25-DGCAN 2018+ Dodge Charger, Durango, RAM vehicle interface cable for vehicle integration.  Single wire connection to allow special features when installed with Pathfinder Siren. 25" cable</t>
  </si>
  <si>
    <t>PFSYNC-1</t>
  </si>
  <si>
    <t xml:space="preserve">Federal Signal PFSYNC-1 vehicle to vehicle syncronization module.   Sync's "like" prorammed vehciles warning lights, siren tones, and VOICE MESSAGES.  Plug and Play with Pathfinder Siren platform </t>
  </si>
  <si>
    <t xml:space="preserve">Federal Signal 650003 hand held siren/light controller.  Includes horn ring transfer, 10 backlit push buttons, </t>
  </si>
  <si>
    <t>MS4000U</t>
  </si>
  <si>
    <t xml:space="preserve">Federal Signal MS4000U or MS4000, undercover 100w siren control.  Includes Wail, Yelp, Priority, and Airn Horn.  </t>
  </si>
  <si>
    <t>ES100C</t>
  </si>
  <si>
    <t xml:space="preserve">Federal Signal ES100C siren speaker.  Compact speaker with composite housing to resist corrosion.  Vehicle specific brackets available </t>
  </si>
  <si>
    <t xml:space="preserve">Federal Signal 750501 AS124 siren speaker.  Composite housing to resist corrosion.  </t>
  </si>
  <si>
    <t>MPS31U-*</t>
  </si>
  <si>
    <t xml:space="preserve">Federal Signal (2) MPS31U-X Micro Pulse Ultra 3.  Ultra Low Profile Single-color light head.  Can be used with internal or external flashing.  25 flash patterns, and multi unit sync or alternating.   Includes (2) light heads </t>
  </si>
  <si>
    <t>MPS32U-**</t>
  </si>
  <si>
    <t xml:space="preserve">Federal Signal (2) MPS32U-XX Micro Pulse Ultra 3.  Ultra Low Profile DUAL-color light head.  Can be used with internal or external flashing.  25 flash patterns, and multi unit sync or alternating.   Includes (2) light heads </t>
  </si>
  <si>
    <t>MPS61U-*</t>
  </si>
  <si>
    <t xml:space="preserve">Federal Signal (2) MPS61U-X Micro Pulse Ultra 6.  Ultra Low Profile Single-color light head.  Can be used with internal or external flashing.  25 flash patterns, and multi unit sync or alternating.   Includes (2) light heads </t>
  </si>
  <si>
    <t>MPS62U-**</t>
  </si>
  <si>
    <t xml:space="preserve">Federal Signal (2) MPS62U-XX Micro Pulse Ultra 6.  Ultra Low Profile DUAL-color light head.  Can be used with internal or external flashing.  25 flash patterns, and multi unit sync or alternating.   Includes (2) light heads </t>
  </si>
  <si>
    <t>MPS63U-***</t>
  </si>
  <si>
    <t>MPS122U-**</t>
  </si>
  <si>
    <t xml:space="preserve">Federal Signal (2) MPS122U-XX Micro Pulse Ultra 12.  Ultra Low Profile DUAL-color dual stack, light head.  Can be used with internal or external flashing.  25 flash patterns, and multi unit sync or alternating.   Includes (2) light heads </t>
  </si>
  <si>
    <t>MPS123U-***</t>
  </si>
  <si>
    <t xml:space="preserve">Federal Signal (2) MPS123U-XXX Micro Pulse Ultra 12.  Ultra Low Profile TRI-color dual stack, light head.  Can be used with internal or external flashing.  25 flash patterns, and multi unit sync or alternating.   Includes (2) light heads </t>
  </si>
  <si>
    <t>MPS652-**</t>
  </si>
  <si>
    <t xml:space="preserve">Federal Signal (2) MPS652-X Micro Pulse hood/grill mount with DUAL color, multiple mounting options, multi unit SYNC/alternate, Includes (2) light heads </t>
  </si>
  <si>
    <t>MPSW9-***</t>
  </si>
  <si>
    <t>Federal Signal (2) MPSW9-*** Micro Pulse WIDE Angle, TRI-color, light head convers 180 degree light spread, Includes (2) light heads</t>
  </si>
  <si>
    <t>MPSW9-***-SMK</t>
  </si>
  <si>
    <t xml:space="preserve">Federal Signal (2) MPSW9-*** Micro Pulse WIDE Angle, SMOKED LENS, TRI-color, Covers 180 degree light spread, Includes (2) Light Heads </t>
  </si>
  <si>
    <t>MPSWP-***</t>
  </si>
  <si>
    <t xml:space="preserve">Federal Signal (2) MPSW9X-*** Micro Pulse WIDE Angle PRO, Covers 180 degree light spread, includes PUDDLE light feature, Includes (2) Light Heads </t>
  </si>
  <si>
    <t>MPSWP-***-SMK</t>
  </si>
  <si>
    <t xml:space="preserve">Federal Signal (2) MPSW9X-*** Micro Pulse WIDE Angle PRO, SMOKED LENS, Covers 180 degree light spread, includes PUDDLE light feature, Includes (2) Light Heads </t>
  </si>
  <si>
    <t>MPSC-X</t>
  </si>
  <si>
    <t xml:space="preserve">Federal Signal (2) MPSC-X Micro Pulse C-Series, Single color, includes surface mount bezel and Stud mount bezel for use with Ford grill pop out.  27 flash patterns and multi unit Sync/alternate, Includes (2) light heads </t>
  </si>
  <si>
    <t>MPSC2-XX</t>
  </si>
  <si>
    <t xml:space="preserve">Federal Signal (2) MPSC2-X Micro Pulse C-Series, DUAL color, includes surface mount bezel and Stud mount bezel for use with Ford grill pop out.  27 flash patterns and multi unit Sync/alternate, includes (2) light heads </t>
  </si>
  <si>
    <t>MPSC2X-XX</t>
  </si>
  <si>
    <r>
      <t xml:space="preserve">Federal Signal (2) MPSC2X-XX Micro Pulse C-Series, </t>
    </r>
    <r>
      <rPr>
        <u/>
        <sz val="11"/>
        <rFont val="Franklin Gothic Book"/>
        <family val="2"/>
      </rPr>
      <t>STEADY BURN,</t>
    </r>
    <r>
      <rPr>
        <sz val="11"/>
        <rFont val="Franklin Gothic Book"/>
        <family val="2"/>
      </rPr>
      <t xml:space="preserve"> DUAL color, includes surface mount bezel and Stud mount bezel for use with Ford grill pop out.  27 flash patterns and multi unit Sync/alternate, use with PATHFINDER siren, includes (2) light heads </t>
    </r>
  </si>
  <si>
    <t>416912-*</t>
  </si>
  <si>
    <t xml:space="preserve">Federal Signal  416912* Corner LED system, single color, multi unit SYNC/Alternate, Includes (2) light heads </t>
  </si>
  <si>
    <t>416918-***</t>
  </si>
  <si>
    <t xml:space="preserve">Federal Signal (2)  416918-*** Corner LED system, TRI-color, each color individually selectable, multi unit SYNC/Alternate, steady burn or internal flash capabilties,  Includes (2) light heads </t>
  </si>
  <si>
    <t>416303-*</t>
  </si>
  <si>
    <t xml:space="preserve">Federal Signal (2)  416303-* Flush mount with included gromet single color.  External or internal flash capabilities, Includes (2) light heads.  </t>
  </si>
  <si>
    <t>416309-***</t>
  </si>
  <si>
    <t xml:space="preserve">Federal Signal (2) 416309-*** Flush mount with included gromet TRI-color. External or internal flash capabilities,  Includes (2) light heads.  </t>
  </si>
  <si>
    <t>416309-***-SMK</t>
  </si>
  <si>
    <t xml:space="preserve">Federal Signal (2) 416309-*** SMOKED LENS, Flush mount with included gromet TRI-color. External or internal flash capabilities,  Includes (2) light heads.  </t>
  </si>
  <si>
    <t>ELSD-******</t>
  </si>
  <si>
    <t xml:space="preserve">Federal Signal Micro Pulse D-PILLAR warning light system - includes vehicle specific D-pillar shrouds, brackes, harnesses, 24-port expansion, and (6) TRI-color Micro Pulse lights.  Choose your vehicle model and color combination.  </t>
  </si>
  <si>
    <t>DR6-***</t>
  </si>
  <si>
    <t xml:space="preserve">Federal Signal DR6** 6' Running board light, Fully poted to withstand harsh elements, TRI-color with individual control of each individual module, flash single, dual, or tri-color functions. </t>
  </si>
  <si>
    <t>DR5-***</t>
  </si>
  <si>
    <t xml:space="preserve">Federal Signal DR5** 5' Running board light, Fully poted to withstand harsh elements, TRI-color with individual control of each individual module, flash single, dual, or tri-color functions. </t>
  </si>
  <si>
    <t>DR6-***-SMK</t>
  </si>
  <si>
    <r>
      <t xml:space="preserve">Federal Signal DR6***-SMK 6' Running board light, Fully poted to withstand harsh elements, </t>
    </r>
    <r>
      <rPr>
        <b/>
        <u/>
        <sz val="11"/>
        <rFont val="Franklin Gothic Book"/>
        <family val="2"/>
      </rPr>
      <t>SMOKED LENS</t>
    </r>
    <r>
      <rPr>
        <sz val="11"/>
        <rFont val="Franklin Gothic Book"/>
        <family val="2"/>
      </rPr>
      <t xml:space="preserve"> TRI-color with individual control of each individual module, flash single, dual, or tri-color functions. </t>
    </r>
  </si>
  <si>
    <t>DR5-***-SMK</t>
  </si>
  <si>
    <r>
      <t xml:space="preserve">Federal Signal DR5***-SMK 5' Running board light, Fully poted to withstand harsh elements, </t>
    </r>
    <r>
      <rPr>
        <b/>
        <u/>
        <sz val="11"/>
        <rFont val="Franklin Gothic Book"/>
        <family val="2"/>
      </rPr>
      <t>SMOKED LENS</t>
    </r>
    <r>
      <rPr>
        <sz val="11"/>
        <rFont val="Franklin Gothic Book"/>
        <family val="2"/>
      </rPr>
      <t xml:space="preserve"> TRI-color with individual control of each individual module, flash single, dual, or tri-color functions. </t>
    </r>
  </si>
  <si>
    <t>XSM1-XXX-US</t>
  </si>
  <si>
    <t xml:space="preserve">Federal sIgnal XSM1-XXX-US Xstream light head,  TRI-Color with single head dash light, incluides (3) different length flash guards, suction cups, and bail brackets.  Use with internal or external flasher.  Includes (2) ligtht heads </t>
  </si>
  <si>
    <t>XSM2-XXX-US</t>
  </si>
  <si>
    <t xml:space="preserve">Federal sIgnal XSM2-XXX-US Xstream light head,  TRI-Color with DUAL-head dash light, incluides (3) different length flash guards, suction cups, and bail brackets.  Use with internal or external flasher.  Includes (2) ligtht heads </t>
  </si>
  <si>
    <t>DFC-PB-FPIU20</t>
  </si>
  <si>
    <t>Federal Signal DFC-PB-FPIU25 push bumper for 2025+ Ford Police Interceptor SUV.  Choose blank top channel, (2) ligtht top channel, or (4) light top channel (additional).  Lights sold separately. 4-guage steel uprights. For 2025+ order (1) shim kit (Z806203214B) at no additional cost.</t>
  </si>
  <si>
    <t>DFC-PB-FRD21</t>
  </si>
  <si>
    <t>Federal Signal DFC-PB-FRD21 push bumper for 2021+ Ford F150 Responder.  Choose blank top channel, (2) ligtht top channel, or (4) light top channel (additional).  Lights sold separately.  Pre-drilled for adding PIT bars, includes black stainless steel hardware, 4-guage steel uprights</t>
  </si>
  <si>
    <t>DFC-PB-TAH21</t>
  </si>
  <si>
    <t>Federal Signal DFC-PB-TAH21 push bumper for 2021+ Chevy Tahoe.  Choose blank top channel, (2) ligtht top channel, or (4) light top channel (additional)  Lights sold separately.  Pre-drilled for adding PIT bars, includes black stainless steel hardware, 4-guage steel uprights</t>
  </si>
  <si>
    <t>DFC-PB-DUR21</t>
  </si>
  <si>
    <t>Federal Signal DFC-PB-DUR21 push bumper for 2021+ Dodge Durango.  Choose blank top channel, (2) ligtht top channel, or (4) light top channel (additional).  Lights sold separately.  Pre-drilled for adding PIT bars, includes black stainless steel hardware, 4-guage steel uprights</t>
  </si>
  <si>
    <t>DFC-TC-***</t>
  </si>
  <si>
    <t xml:space="preserve">Federal Signal DFC-TC-*** top cahnnel for Federal Signal push bumpers.  Choose from blank, two light, or four light top channel.  </t>
  </si>
  <si>
    <t>DFC-WC-***</t>
  </si>
  <si>
    <t xml:space="preserve">Federal Signal DFC-WC-*** wire covers for DFC push bumpers </t>
  </si>
  <si>
    <t xml:space="preserve">DFC-SB-ES100C </t>
  </si>
  <si>
    <t>Federal Signal DFC-SB-ES100C - install bracket for (1) ES100C behind bumper mid-rail. Easy service, maximizes speaker performance forward.</t>
  </si>
  <si>
    <t xml:space="preserve">MB1 </t>
  </si>
  <si>
    <t>Federal Signal MB1 Message Board.  Public safety messaging system incoroprated LED message display board suitable for interior or exterior mounting.  Contol head for activating pre-loaded messages, programming software to allow administrator to create custom messages.  Available in BLUE, GREEN, or AMBER</t>
  </si>
  <si>
    <t>FHL-CHG</t>
  </si>
  <si>
    <t>COM3SRWC</t>
  </si>
  <si>
    <t>COMIT5-W</t>
  </si>
  <si>
    <t xml:space="preserve">Federal Signal COMINT5-W Commander Interior 5" light.  Low profile surface mount with polycarbonate clear lens. </t>
  </si>
  <si>
    <t>795H-EXTB-D/P</t>
  </si>
  <si>
    <t>794-AH</t>
  </si>
  <si>
    <t>CAMSET56-NTSC-2-SB</t>
  </si>
  <si>
    <t xml:space="preserve">Federal Signal (1) reverse camera monitor system with 5.6" monitor, two camera inputs, (1) stadard rear view black camera, (1) 65.5-ft camera to monitor extension cable </t>
  </si>
  <si>
    <t>CAMCCD70-NTSC-4B</t>
  </si>
  <si>
    <t>Federal Signal (1) reverse camera monitor system with 7.0" monitor, four camera inputs, intellegent split screen capabiliy, (1) stadard rear view black camera, (1) 65.5-ft camera to monitor extension cable, (1) CAMBRK-HD bracket</t>
  </si>
  <si>
    <t>ICS43-SQ</t>
  </si>
  <si>
    <t>Federal Signal ICON series 2700Lumen work light, effective flood light solution, stainess steel bracket, 3-year warranty</t>
  </si>
  <si>
    <t>ICSPL13-AW</t>
  </si>
  <si>
    <t>Federal Signal ICON series 4202 Lumen wiork light, 13" length, effective flood light solution, niversal bracket, die-cast housing</t>
  </si>
  <si>
    <t>ICSPL21-AW</t>
  </si>
  <si>
    <t>Federal Signal ICON series 6475 Lumen wiork light, 21" length, effective flood light solution, niversal bracket, die-cast housing</t>
  </si>
  <si>
    <t>COM7-*</t>
  </si>
  <si>
    <t>Federal Signal COM7 SCENE light with 1400 Lumen and 5-year warranty</t>
  </si>
  <si>
    <t>COM9-*</t>
  </si>
  <si>
    <t>Federal Signal COM9 SCENE light with 1730 Lumen, die-cast aluminum housing, and 5-year warranty</t>
  </si>
  <si>
    <t>PBW-SYSTEM</t>
  </si>
  <si>
    <t xml:space="preserve">Federal Sginal PBW-SYSTEM radar detection system with 25' radius detection. Customizable alerts to keep distracted officers safe.  Incldues 6 sensors and 2 wire harnesses.  Vehicle specific brackets additional. </t>
  </si>
  <si>
    <t>Push Bumper and Accessories</t>
  </si>
  <si>
    <t>36-2035</t>
  </si>
  <si>
    <t>36-6005***</t>
  </si>
  <si>
    <t>36-****WC</t>
  </si>
  <si>
    <t>Westin Push Bumper Elite Ford Police Interceptor Utility 2012-2015 Black</t>
  </si>
  <si>
    <t>Westin Police I Police Intercept Utility 2012-2024 (Push Bumper Light Channel 23.5 inch Federel Signal Micropulse Light, 4 Hole)</t>
  </si>
  <si>
    <t>Westin Push Bumper Elite Dodge Charger Pursuit 2011-2022 Black</t>
  </si>
  <si>
    <t>Westin Push Bumper Elite Chevrolet Tahoe 2021-2022 Police Pursuit Vehicle Black</t>
  </si>
  <si>
    <t>Westin Push Bumper Elite Wire Cover</t>
  </si>
  <si>
    <t>Setina PB400 VS Bumper Full Bumper Aluminum or Steel 2025 PIU</t>
  </si>
  <si>
    <t>BK053*ITU20</t>
  </si>
  <si>
    <t>BK2017ITU20</t>
  </si>
  <si>
    <t>BK2166ITU20</t>
  </si>
  <si>
    <t>BK2124ITU20</t>
  </si>
  <si>
    <t>BK2019ITU20</t>
  </si>
  <si>
    <t>BK2168ITU20</t>
  </si>
  <si>
    <t>BK0802ITU20</t>
  </si>
  <si>
    <t>BK1001ITU20</t>
  </si>
  <si>
    <t>BK2338ITU20</t>
  </si>
  <si>
    <t>BK0282ITU20</t>
  </si>
  <si>
    <t>BK****ITU20</t>
  </si>
  <si>
    <t>Setina PB450 Light Ready Push Bar 2, 4 or 6 LIGHT-READY PIU</t>
  </si>
  <si>
    <t>Setina PB450L2 With WHELEN ION TRI-COLOR</t>
  </si>
  <si>
    <t>Setina PB450L2 With SOUNDOFF SIGNAL MPOWER TRI-COLOR 18-LED</t>
  </si>
  <si>
    <t>Setina PB450L2With FEDERAL SIGNAL MICROPULSE TRI-COLOR 18-LED</t>
  </si>
  <si>
    <t>Setina PB450L4 With WHELEN ION TRI-COLOR</t>
  </si>
  <si>
    <t>Setina PB450L4 With SOUNDOFF SIGNAL MPOWER TRI-COLOR 18-LED</t>
  </si>
  <si>
    <t>Setina PB450L4 With FEDERAL SIGNAL MICROPULSE TRI-COLOR 18-LED</t>
  </si>
  <si>
    <t>Setina PB450L6 With WHELEN ION TRI-COLOR</t>
  </si>
  <si>
    <t>Setina PB450L6 With SOUNDOFF SIGNAL MPOWER TRI-COLOR 18-LED</t>
  </si>
  <si>
    <t>Setina PB450L6 With FEDERAL SIGNAL MICROPULSE TRI-COLOR 18-LED</t>
  </si>
  <si>
    <t>List Price</t>
  </si>
  <si>
    <t>EPL730001-F</t>
  </si>
  <si>
    <t>ELB45BCL0WC</t>
  </si>
  <si>
    <t>ETSA482RSP</t>
  </si>
  <si>
    <t>ETSA461HPP</t>
  </si>
  <si>
    <t>ETSA200R</t>
  </si>
  <si>
    <t>ETSSLF100</t>
  </si>
  <si>
    <t>ETSS100J</t>
  </si>
  <si>
    <t>ENGCP15001</t>
  </si>
  <si>
    <t>ENGCP18001</t>
  </si>
  <si>
    <t>ENGCP18002</t>
  </si>
  <si>
    <t>ENGSA5200RSP</t>
  </si>
  <si>
    <t>ENGSA5200RSR</t>
  </si>
  <si>
    <t>ENGSA5100HPP</t>
  </si>
  <si>
    <t>ENGSYMD01</t>
  </si>
  <si>
    <t>ENGCC01244</t>
  </si>
  <si>
    <t>EMPSE15C5-E</t>
  </si>
  <si>
    <t>ECVDMLTAL00</t>
  </si>
  <si>
    <t>ECVDMLTST4</t>
  </si>
  <si>
    <t>EBSDL0002-D</t>
  </si>
  <si>
    <t>obSERVE+ Dome Light - 3" Round, Dual Color - Red/White</t>
  </si>
  <si>
    <t>E/Z Rider K9 Unit</t>
  </si>
  <si>
    <t>E/Z Rider K9 Unit w/ Shelving Sys</t>
  </si>
  <si>
    <t>E/Z Rider K9 Unit EXT</t>
  </si>
  <si>
    <t>E/Z Rider K9 Unit 1/3 -2/3 K9</t>
  </si>
  <si>
    <t>Rescue Add On for E/Z-Cool Guard</t>
  </si>
  <si>
    <t>E/Z-Cool Guard System</t>
  </si>
  <si>
    <t>Coolguard Pager Add On Option</t>
  </si>
  <si>
    <t>Coolguard Fan Guard Kit - Only</t>
  </si>
  <si>
    <t>K9 crate UUV</t>
  </si>
  <si>
    <t>K9 crate 2 Compartment UUV</t>
  </si>
  <si>
    <t>K9 crate UUV Combo</t>
  </si>
  <si>
    <t>K9 crate Drawer Side Only</t>
  </si>
  <si>
    <t>K9 Inserts and Accessories</t>
  </si>
  <si>
    <t>Ace K9Pager Kit with 27Mhz Antenna HP-RBM-27-RD</t>
  </si>
  <si>
    <t>HP-5020</t>
  </si>
  <si>
    <t>AWD-7040</t>
  </si>
  <si>
    <t>HA-2520</t>
  </si>
  <si>
    <t>Ace K9 Hot-N-Pop Pro Temperature Alarm &amp; Door Opening System. Includes Horn Activation, Siren Activation, Light Activation, Dual Window Drop and One Door Pop Remote with Holster.</t>
  </si>
  <si>
    <t xml:space="preserve">Ace K9 AceWatchDog™ for use with Pro Alarm Systems. AceWatchDog Server Service is $168.00 Per Year and the First Year
is Included with New Unit. </t>
  </si>
  <si>
    <t xml:space="preserve">Ace K9 No K9 Left Behind *does not work with H-ASO-I option </t>
  </si>
  <si>
    <t>H-NKLB-K</t>
  </si>
  <si>
    <t xml:space="preserve">Ace K9 Engine Stall Sensor Not for use with Hybrid Vehicles </t>
  </si>
  <si>
    <t>HAP-EVS-K</t>
  </si>
  <si>
    <t xml:space="preserve">Ace K9 Optional 10" Fan, Activation Module, Manual Switch &amp; Materials </t>
  </si>
  <si>
    <t>HA-FKT10-P</t>
  </si>
  <si>
    <t xml:space="preserve">Ace K9 Heavy-Duty Fan Guard *does not fit Dodge Charger or Havis Inserts* </t>
  </si>
  <si>
    <t>HA-FWG-10</t>
  </si>
  <si>
    <t>HA-SDM-D</t>
  </si>
  <si>
    <t>Ace K9 Smoke Detector &amp; Interface Module</t>
  </si>
  <si>
    <t xml:space="preserve">Ace K9 K9 HEAT ALARM® PRO Temperature Alarm System. Includes Horn Activation, Siren Activation, Light Activation and Dual Window Drop. </t>
  </si>
  <si>
    <t>HP-RBM-27</t>
  </si>
  <si>
    <t>36-4055</t>
  </si>
  <si>
    <t>Storage Boxes, Weapon Vaults, Cargo Boxes</t>
  </si>
  <si>
    <t>MSRP</t>
  </si>
  <si>
    <t>QK0566ITU20</t>
  </si>
  <si>
    <t>Full REPLACEMENT Transport Seat
TPO Plastic
With Center Pull Seat Belts
*INCLUDES REQUIRED:
   -#12VS Stationary Window Coated Polycarbonate Cargo Area Rear Partition
*Seat Belt Retractors Pre-Installed to Save 30 Minutes of Install Time</t>
  </si>
  <si>
    <t>QK0491ITU20</t>
  </si>
  <si>
    <t>Floor Pan
TPO Plastic</t>
  </si>
  <si>
    <t>Setina Floor Pan TPO Plastic</t>
  </si>
  <si>
    <t>Setina Full REPLACEMENT Transport Seat TPO Plastic
With Center Pull Seat Belts *INCLUDES REQUIRED:
   -#12VS Stationary Window Coated Polycarbonate or Metal Cargo Area Rear Partition</t>
  </si>
  <si>
    <t>1K0576ITU20FR</t>
  </si>
  <si>
    <t>SPT Single Prisoner Transport Partition
#7VS  SPT Stationary Window
Vinyl Coated Expanded Metal
*FOR USE WITH:
   -Full REPLACEMENT Transport Partition Seat</t>
  </si>
  <si>
    <t xml:space="preserve">Setina SPT Single Prisoner Transport Partition
#7VS  SPT Stationary Window </t>
  </si>
  <si>
    <t>1K0***ITU20**</t>
  </si>
  <si>
    <t>WK****ITU20</t>
  </si>
  <si>
    <t>Setina Window Barrier Polycarbonate or Steel</t>
  </si>
  <si>
    <t>QK0***ITU20</t>
  </si>
  <si>
    <t>1K0***TAH21**</t>
  </si>
  <si>
    <t>QK0***TAH21</t>
  </si>
  <si>
    <t>WK****TAH21</t>
  </si>
  <si>
    <t>WARNING:  Chemicals known to the state of California to cause cancer, or birth defects, or other reproductive harm may be present in products sold by SoundOff Signal®.</t>
  </si>
  <si>
    <t>Our posted warning is as follows:</t>
  </si>
  <si>
    <t>In November 1986, California voters approved a ballot initiative to address concerns about exposures to toxic chemicals. That initiative became The Safe Drinking Water and Toxic Enforcement Act of 1986, better known by its original name, Proposition 65.</t>
  </si>
  <si>
    <t>What is CA Proposition 65?</t>
  </si>
  <si>
    <t>(effective January 6, 2025 Published: September 19, 2025)</t>
  </si>
  <si>
    <t>Terms: Net 30   /  1.800.338.7337  /  www.soundoffsignal.com</t>
  </si>
  <si>
    <t>Content subject to change without notice.</t>
  </si>
  <si>
    <t>Sales Orders less than $100.00 — $10.00 Charge</t>
  </si>
  <si>
    <t>Order Processing Fees: International Drop Ship Orders — $25.00 Charge</t>
  </si>
  <si>
    <t>10 Year(s)</t>
  </si>
  <si>
    <t>$242.00</t>
  </si>
  <si>
    <t>Scenelite SI7 Exterior Light, E-type approved, Black Finish, 1560 Lumens with a light spread of 30m2, White</t>
  </si>
  <si>
    <t>EWLPT005</t>
  </si>
  <si>
    <t xml:space="preserve"> </t>
  </si>
  <si>
    <t>Scenelite SI7</t>
  </si>
  <si>
    <t>5 Year(s)</t>
  </si>
  <si>
    <t>$425.00</t>
  </si>
  <si>
    <t>PAR 46 Unity® Spotlight LED Insert - White LEDs</t>
  </si>
  <si>
    <t>ESL461WC</t>
  </si>
  <si>
    <t>PAR46 Unity</t>
  </si>
  <si>
    <t>3 Year(s)</t>
  </si>
  <si>
    <t>$314.00</t>
  </si>
  <si>
    <t>1400 Lumen PAR 36 LED Work Light w/ U-bracket, Flood Lens, 10-16v - White</t>
  </si>
  <si>
    <t>EWLB1400DBDF0W</t>
  </si>
  <si>
    <t>$296.00</t>
  </si>
  <si>
    <t>1000 Lumen PAR 36 LED Work Light w/ U-bracket, Flood Lens, 10-50v - White</t>
  </si>
  <si>
    <t>EWLA1000DBDF0W</t>
  </si>
  <si>
    <t>$220.00</t>
  </si>
  <si>
    <t>500 Lumen PAR 36 LED Work Light w/ U-bracket, Flood Lens, 10-50v - White</t>
  </si>
  <si>
    <t>EWLA0500DBDF0W</t>
  </si>
  <si>
    <t>PAR36 Work Light</t>
  </si>
  <si>
    <t>$1804.00</t>
  </si>
  <si>
    <t>Golight®, Model 30514ST, Permanent Mount with wireless handheld remote, Rectangular, Black Housing w/ Stainless Steel Mounting Bracket - Spot Beam w/White LEDs</t>
  </si>
  <si>
    <t>EWL30514ST</t>
  </si>
  <si>
    <t>$1980.00</t>
  </si>
  <si>
    <t>Golight®, Model 30064ST, Permanent Mount with wireless handheld remote, Rectangular, Chrome Housing w/ Stainless Steel Mounting Bracket - Spot Beam w/White LEDs</t>
  </si>
  <si>
    <t>EWL30064ST</t>
  </si>
  <si>
    <t>Golight®, Model 30004ST, Permanent Mount with wireless handheld remote, Rectangular, White Housing w/ Stainless Steel Mounting Bracket - Spot Beam w/White LEDs</t>
  </si>
  <si>
    <t>EWL30004ST</t>
  </si>
  <si>
    <t>Golight</t>
  </si>
  <si>
    <t>$53.00</t>
  </si>
  <si>
    <t>Calisto Compact Interior Light, E-type approved, Brushed Chrome Finish, 160 Lumens, White</t>
  </si>
  <si>
    <t>EWLPT001</t>
  </si>
  <si>
    <t>Calisto</t>
  </si>
  <si>
    <t>$207.00</t>
  </si>
  <si>
    <t>Banksman BM3 Exterior Light, Manoeuvring Light, ECE Regulation 23 approved, Black Finish, 956 Lumens with a light spread of 20m2, White</t>
  </si>
  <si>
    <t>EWLPT004</t>
  </si>
  <si>
    <t>Banksman BM3</t>
  </si>
  <si>
    <t>WORK AREA LIGHTING</t>
  </si>
  <si>
    <t>$841.00</t>
  </si>
  <si>
    <t>Low Frequency Speaker, 100 Watt w/ Universal Bracket</t>
  </si>
  <si>
    <t>Aftershock Speaker</t>
  </si>
  <si>
    <t>2 Year(s)</t>
  </si>
  <si>
    <t>$184.00</t>
  </si>
  <si>
    <t>50M Speaker - 50 watt, for use with motorcycles and other non-standard and emergency vehicles</t>
  </si>
  <si>
    <t>ETSS050M</t>
  </si>
  <si>
    <t>50M Speaker</t>
  </si>
  <si>
    <t>$510.00</t>
  </si>
  <si>
    <t>100U Series Composite Speaker w/ Universal Bail Bracket - 100 watt</t>
  </si>
  <si>
    <t>ETSS100U</t>
  </si>
  <si>
    <t>100U Speaker</t>
  </si>
  <si>
    <t>$536.00</t>
  </si>
  <si>
    <t>100N Series Composite Speaker w/ Universal Bail Bracket - 100 watt</t>
  </si>
  <si>
    <t>ETSS100N</t>
  </si>
  <si>
    <t xml:space="preserve">††  </t>
  </si>
  <si>
    <t>100N Speaker</t>
  </si>
  <si>
    <t>$465.00</t>
  </si>
  <si>
    <t>100J Series Composite Speaker w/ Universal Bail Bracket - 100 watt</t>
  </si>
  <si>
    <t>ETSS100J5</t>
  </si>
  <si>
    <t>$401.00</t>
  </si>
  <si>
    <t>100J Speaker</t>
  </si>
  <si>
    <t>SPEAKERS</t>
  </si>
  <si>
    <t>$1038.00</t>
  </si>
  <si>
    <t>nERGY 400 Series Console Siren w/ Knob Control, 10-16v - 200 watt dual-tone</t>
  </si>
  <si>
    <t>ETSA484CSR</t>
  </si>
  <si>
    <t>$1342.00</t>
  </si>
  <si>
    <t>nERGY 400 Series Remote Siren w/ Knob Control, 10-16v - 200 watt dual-tone</t>
  </si>
  <si>
    <t>ETSA482RSR</t>
  </si>
  <si>
    <t>nERGY 400 Series Remote Siren - Knob, 2 speaker</t>
  </si>
  <si>
    <t>$1232.00</t>
  </si>
  <si>
    <t>nERGY 400 Series Remote Siren w/ Knob Control, 10-16v - 100 watt single-tone</t>
  </si>
  <si>
    <t>ETSA481RSR</t>
  </si>
  <si>
    <t>nERGY 400 Series Remote Siren - Knob, 1 speaker</t>
  </si>
  <si>
    <t>nERGY 400 Series Remote Siren w/ Button Control, 10-16v - 200 watt dual-tone</t>
  </si>
  <si>
    <t>nERGY 400 Series Remote Siren - Button, 2 speaker</t>
  </si>
  <si>
    <t>nERGY 400 Series Remote Siren w/ Button Control, 10-16v - 100 watt single-tone</t>
  </si>
  <si>
    <t>ETSA481RSP</t>
  </si>
  <si>
    <t>nERGY 400 Series Remote Siren - Button, 1 speaker</t>
  </si>
  <si>
    <t>$1041.00</t>
  </si>
  <si>
    <t>nERGY 400 Series Handheld Remote Siren w/ 13 Ft coil cable length, 10-16v - 200 watt dual-tone</t>
  </si>
  <si>
    <t>ETSA462HPP-EXT</t>
  </si>
  <si>
    <t>$1025.00</t>
  </si>
  <si>
    <t>nERGY 400 Series Handheld Remote Siren, 10-16v - 200 watt dual-tone</t>
  </si>
  <si>
    <t>ETSA462HPP</t>
  </si>
  <si>
    <t>nERGY 400 Series Handheld Siren - 2 speaker</t>
  </si>
  <si>
    <t>$898.00</t>
  </si>
  <si>
    <t>nERGY 400 Series Handheld Remote Siren w/ 13 ft coil cable length, 10-16v - 100 watt single-tone</t>
  </si>
  <si>
    <t>ETSA461HPP-EXT</t>
  </si>
  <si>
    <t>$882.00</t>
  </si>
  <si>
    <t>nERGY 400 Series Handheld Remote Siren, 10-16v - 100 watt single-tone</t>
  </si>
  <si>
    <t>nERGY 400 Series Handheld Siren - 1 speaker</t>
  </si>
  <si>
    <t>$884.00</t>
  </si>
  <si>
    <t>nERGY 400 Series Console Siren w/ Knob Control, 10-16v - 100 watt single-tone</t>
  </si>
  <si>
    <t>ETSA483CSR</t>
  </si>
  <si>
    <t>ETSA481CSR</t>
  </si>
  <si>
    <t>nERGY 400 Series Console Siren - Knob, 1 speaker</t>
  </si>
  <si>
    <t>nERGY 400 Series Console Siren w/ Button Control, 10-16v - 200 watt dual-tone</t>
  </si>
  <si>
    <t>ETSA484CSP</t>
  </si>
  <si>
    <t>ETSA482CSR</t>
  </si>
  <si>
    <t>ETSA482CSP</t>
  </si>
  <si>
    <t>nERGY 400 Series Console Siren - Button, 2 speaker</t>
  </si>
  <si>
    <t>nERGY 400 Series Console Siren w/ Button Control, 10-16v - 100 watt single-tone</t>
  </si>
  <si>
    <t>ETSA483CSP</t>
  </si>
  <si>
    <t>ETSA481CSP</t>
  </si>
  <si>
    <t>nERGY 400 Series Console Siren - Button, 1 speaker</t>
  </si>
  <si>
    <t>$617.00</t>
  </si>
  <si>
    <t>FR100 Series Siren w/ PA function, 200 watt single tone, SAE J1849, CA Title 13 &amp; ECE R10</t>
  </si>
  <si>
    <t>ETSAFR100</t>
  </si>
  <si>
    <t>FR100 Series Siren</t>
  </si>
  <si>
    <t>$1307.00</t>
  </si>
  <si>
    <t>LF Aftershock Siren System, includes: (2) 100 Watt Speakers, 200 Watt Amplifier &amp; Universal Brackets</t>
  </si>
  <si>
    <t>ETSKLF201</t>
  </si>
  <si>
    <t>$1004.00</t>
  </si>
  <si>
    <t>LF Aftershock Siren System, includes: 100 Watt Speaker, 200 Watt Amplifier and Universal Bracket</t>
  </si>
  <si>
    <t>ETSKLF101</t>
  </si>
  <si>
    <t>Aftershock</t>
  </si>
  <si>
    <t>$498.00</t>
  </si>
  <si>
    <t>200 Series Compact Siren, ECE R10.05 Certified, w/ Remote Amplifier &amp; Remote Switch Panel, 10-30v - 100 watt single-tone w/ Delphi Connector &amp; Mating Harness</t>
  </si>
  <si>
    <t>ETSA200RW</t>
  </si>
  <si>
    <t>200 Series Compact Siren, ECE R10.05 Certified, w/ Remote Amplifier &amp; Remote Switch Panel, 10-30v - 100 watt single-tone w/ Molex Connector &amp; Mating Harness</t>
  </si>
  <si>
    <t>ETSA200RA</t>
  </si>
  <si>
    <t>$451.00</t>
  </si>
  <si>
    <t>200 Series Compact Siren, ECE R10.05 Certified, w/ Remote Amplifier &amp; Remote Switch Panel, 10-30v - 100 watt single-tone</t>
  </si>
  <si>
    <t>200 Series Siren</t>
  </si>
  <si>
    <t>SIRENS</t>
  </si>
  <si>
    <t>$133.00</t>
  </si>
  <si>
    <t>XF Flush Mount Light, 10-30 Volts, 9.8" Cable, SAE J595 Class 1, CISPR 25, CA Title 13, ECE R65 &amp; R10 - Dual Color Green/Amber</t>
  </si>
  <si>
    <t>EXFS10002-P</t>
  </si>
  <si>
    <t>XF Flush Mount Light, 10-30 Volts, 9.8" Cable, SAE J595 Class 1, CISPR 25, CA Title 13, ECE R65 &amp; R10 - Dual Color Blue/Amber</t>
  </si>
  <si>
    <t>EXFS10002-M</t>
  </si>
  <si>
    <t>XF Flush Mount Light, 10-30 Volts, 9.8" Cable, SAE J595 Class 1, CISPR 25, CA Title 13, ECE R65 &amp; R10 - Dual Color Red/Amber</t>
  </si>
  <si>
    <t>EXFS10002-K</t>
  </si>
  <si>
    <t>XF Flush Mount Light, 10-30 Volts, 9.8" Cable, SAE J595 Class 1, CISPR 25, CA Title 13, ECE R65 &amp; R10 - Dual Color Red/Blue</t>
  </si>
  <si>
    <t>EXFS10002-J</t>
  </si>
  <si>
    <t>XF Flush Mount Light, 10-30 Volts, 9.8" Cable, SAE J595 Class 1, CISPR 25, CA Title 13, ECE R65 &amp; R10 - Dual Color Amber/White</t>
  </si>
  <si>
    <t>EXFS10002-F</t>
  </si>
  <si>
    <t>XF Flush Mount Light, 10-30 Volts, 9.8" Cable, SAE J595 Class 1, CISPR 25, CA Title 13, ECE R65 &amp; R10 - Dual Color Blue/White</t>
  </si>
  <si>
    <t>EXFS10002-E</t>
  </si>
  <si>
    <t>XF Flush Mount Light, 10-30 Volts, 9.8" Cable, SAE J595 Class 1, CISPR 25, CA Title 13, ECE R65 &amp; R10 - Dual Color Red/White</t>
  </si>
  <si>
    <t>EXFS10002-D</t>
  </si>
  <si>
    <t>XF Flush Mount Light, 10-30 Volts, 9.8" Cable, SAE J595 Class 1, CISPR 25, CA Title 13, ECE R65 &amp; R10 - Single Color White</t>
  </si>
  <si>
    <t>EXFS10001-W</t>
  </si>
  <si>
    <t>XF Flush Mount Light, 10-30 Volts, 9.8" Cable, SAE J595 Class 1, CISPR 25, CA Title 13, ECE R65 &amp; R10 - Single Color Red</t>
  </si>
  <si>
    <t>EXFS10001-R</t>
  </si>
  <si>
    <t>XF Flush Mount Light, 10-30 Volts, 9.8" Cable, SAE J595 Class 1, CISPR 25, CA Title 13, ECE R65 &amp; R10 - Single Color Blue</t>
  </si>
  <si>
    <t>EXFS10001-B</t>
  </si>
  <si>
    <t>XF Flush Mount Light, 10-30 Volts, 9.8" Cable, SAE J595 Class 1, CISPR 25, CA Title 13, ECE R65 &amp; R10 - Single Color Amber</t>
  </si>
  <si>
    <t>EXFS10001-A</t>
  </si>
  <si>
    <t>XF Flush Mount Light</t>
  </si>
  <si>
    <t>$91.00</t>
  </si>
  <si>
    <t>6" Oval Recess Mount Light w/ Rubber Grommet, 10-16v - Clear Lens/Green LEDs</t>
  </si>
  <si>
    <t>EOVREBZG</t>
  </si>
  <si>
    <t>6" Oval Recess Mount Light w/ Rubber Grommet - Clear Lens/Amber LEDs</t>
  </si>
  <si>
    <t>EOVREBZA</t>
  </si>
  <si>
    <t>Warning &amp; Marker Lights</t>
  </si>
  <si>
    <t>$264.00</t>
  </si>
  <si>
    <t>Universal UnderCover Screw-In LED Insert Single Light Kit, 9-32 Vdc w/ 25’ 5-wire harness: includes insert, Lens #1 (Extreme Angle) &amp; Inline Flasher – Single Color White</t>
  </si>
  <si>
    <t>ELUC3H025W</t>
  </si>
  <si>
    <t>$285.00</t>
  </si>
  <si>
    <t>Infrared Universal UnderCover Screw-In LED Insert Single Light Kit, 9-32 Vdc w/ 25’ 5-wire harness: includes insert, Lens #1 (Extreme Angle) &amp; Inline Flasher</t>
  </si>
  <si>
    <t>ELUC3H025U</t>
  </si>
  <si>
    <t>Universal UnderCover Screw-In LED Insert Single Light Kit, 9-32 Vdc w/ 25’ 5-wire harness: includes insert, Lens #1 (Extreme Angle) &amp; Inline Flasher – Single Color Red</t>
  </si>
  <si>
    <t>ELUC3H025R</t>
  </si>
  <si>
    <t>Universal UnderCover Screw-In LED Insert Single Light Kit, 9-32 Vdc w/ 25’ 5-wire harness: includes insert, Lens #1 (Extreme Angle) &amp; Inline Flasher – Dual Color Green/Amber</t>
  </si>
  <si>
    <t>ELUC3H025P</t>
  </si>
  <si>
    <t>Universal UnderCover Screw-In LED Insert Single Light Kit, 9-32 Vdc w/ 25’ 5-wire harness: includes insert, Lens #1 (Extreme Angle) &amp; Inline Flasher – Dual Color Blue/Green</t>
  </si>
  <si>
    <t>ELUC3H025N</t>
  </si>
  <si>
    <t>Universal UnderCover Screw-In LED Insert Single Light Kit, 9-32 Vdc w/ 25’ 5-wire harness: includes insert, Lens #1 (Extreme Angle) &amp; Inline Flasher – Dual Color Blue/Amber</t>
  </si>
  <si>
    <t>ELUC3H025M</t>
  </si>
  <si>
    <t>Universal UnderCover Screw-In LED Insert Single Light Kit, 9-32 Vdc w/ 25’ 5-wire harness: includes insert, Lens #1 (Extreme Angle) &amp; Inline Flasher – Dual Color Red/Green</t>
  </si>
  <si>
    <t>ELUC3H025L</t>
  </si>
  <si>
    <t>Universal UnderCover Screw-In LED Insert Single Light Kit, 9-32 Vdc w/ 25’ 5-wire harness: includes insert, Lens #1 (Extreme Angle) &amp; Inline Flasher – Dual Color Red/Amber</t>
  </si>
  <si>
    <t>ELUC3H025K</t>
  </si>
  <si>
    <t>Universal UnderCover Screw-In LED Insert Single Light Kit, 9-32 Vdc w/ 25’ 5-wire harness: includes insert, Lens #1 (Extreme Angle) &amp; Inline Flasher – Dual Color Red/Blue</t>
  </si>
  <si>
    <t>ELUC3H025J</t>
  </si>
  <si>
    <t>Universal UnderCover Screw-In LED Insert Single Light Kit, 9-32 Vdc w/ 25’ 5-wire harness: includes insert, Lens #1 (Extreme Angle) &amp; Inline Flasher – Dual Color Green/White</t>
  </si>
  <si>
    <t>ELUC3H025H</t>
  </si>
  <si>
    <t>Universal UnderCover Screw-In LED Insert Single Light Kit, 9-32 Vdc w/ 25’ 5-wire harness: includes insert, Lens #1 (Extreme Angle) &amp; Inline Flasher – Single Color Green</t>
  </si>
  <si>
    <t>ELUC3H025G</t>
  </si>
  <si>
    <t>Universal UnderCover Screw-In LED Insert Single Light Kit, 9-32 Vdc w/ 25’ 5-wire harness: includes insert, Lens #1 (Extreme Angle) &amp; Inline Flasher – Dual Color Amber/White</t>
  </si>
  <si>
    <t>ELUC3H025F</t>
  </si>
  <si>
    <t>Universal UnderCover Screw-In LED Insert Single Light Kit, 9-32 Vdc w/ 25’ 5-wire harness: includes insert, Lens #1 (Extreme Angle) &amp; Inline Flasher – Dual Color Blue/White</t>
  </si>
  <si>
    <t>ELUC3H025E</t>
  </si>
  <si>
    <t>Universal UnderCover Screw-In LED Insert Single Light Kit, 9-32 Vdc w/ 25’ 5-wire harness: includes insert, Lens #1 (Extreme Angle) &amp; Inline Flasher – Dual Color Red/White</t>
  </si>
  <si>
    <t>ELUC3H025D</t>
  </si>
  <si>
    <t>Universal UnderCover Screw-In LED Insert Single Light Kit, 9-32 Vdc w/ 25’ 5-wire harness: includes insert, Lens #1 (Extreme Angle) &amp; Inline Flasher – Single Color Blue</t>
  </si>
  <si>
    <t>ELUC3H025B</t>
  </si>
  <si>
    <t>Universal UnderCover Screw-In LED Insert Single Light Kit, 9-32 Vdc w/ 25’ 5-wire harness: includes insert, Lens #1 (Extreme Angle) &amp; Inline Flasher – Single Color Amber</t>
  </si>
  <si>
    <t>ELUC3H025A</t>
  </si>
  <si>
    <t>$171.00</t>
  </si>
  <si>
    <t>Universal UnderCover Screw-In LED Insert Single Light Kit, 9-32 Vdc w/ 10’ 5-wire harness: includes insert, Lens #1 (Extreme Angle) &amp; Inline Flasher – Single Color White</t>
  </si>
  <si>
    <t>ELUC3H010W</t>
  </si>
  <si>
    <t>$193.00</t>
  </si>
  <si>
    <t>Infrared Universal UnderCover Screw-In LED Insert Single Light Kit, 9-32 Vdc w/ 10’ 5-wire harness: includes insert, Lens #1 (Extreme Angle) &amp; Inline Flasher</t>
  </si>
  <si>
    <t>ELUC3H010U</t>
  </si>
  <si>
    <t>Universal UnderCover Screw-In LED Insert Single Light Kit, 9-32 Vdc w/ 10’ 5-wire harness: includes insert, Lens #1 (Extreme Angle) &amp; Inline Flasher – Single Color Red</t>
  </si>
  <si>
    <t>ELUC3H010R</t>
  </si>
  <si>
    <t>Universal UnderCover Screw-In LED Insert Single Light Kit, 9-32 Vdc w/ 10’ 5-wire harness: includes insert, Lens #1 (Extreme Angle) &amp; Inline Flasher – Dual Color Green/Amber</t>
  </si>
  <si>
    <t>ELUC3H010P</t>
  </si>
  <si>
    <t>Universal UnderCover Screw-In LED Insert Single Light Kit, 9-32 Vdc w/ 10’ 5-wire harness: includes insert, Lens #1 (Extreme Angle) &amp; Inline Flasher – Dual Color Blue/Green</t>
  </si>
  <si>
    <t>ELUC3H010N</t>
  </si>
  <si>
    <t>Universal UnderCover Screw-In LED Insert Single Light Kit, 9-32 Vdc w/ 10’ 5-wire harness: includes insert, Lens #1 (Extreme Angle) &amp; Inline Flasher – Dual Color Blue/Amber</t>
  </si>
  <si>
    <t>ELUC3H010M</t>
  </si>
  <si>
    <t>Universal UnderCover Screw-In LED Insert Single Light Kit, 9-32 Vdc w/ 10’ 5-wire harness: includes insert, Lens #1 (Extreme Angle) &amp; Inline Flasher – Dual Color Red/Green</t>
  </si>
  <si>
    <t>ELUC3H010L</t>
  </si>
  <si>
    <t>Universal UnderCover Screw-In LED Insert Single Light Kit, 9-32 Vdc w/ 10’ 5-wire harness: includes insert, Lens #1 (Extreme Angle) &amp; Inline Flasher – Dual Color Red/Amber</t>
  </si>
  <si>
    <t>ELUC3H010K</t>
  </si>
  <si>
    <t>Universal UnderCover Screw-In LED Insert Single Light Kit, 9-32 Vdc w/ 10’ 5-wire harness: includes insert, Lens #1 (Extreme Angle) &amp; Inline Flasher – Dual Color Red/Blue</t>
  </si>
  <si>
    <t>ELUC3H010J</t>
  </si>
  <si>
    <t>Universal UnderCover Screw-In LED Insert Single Light Kit, 9-32 Vdc w/ 10’ 5-wire harness: includes insert, Lens #1 (Extreme Angle) &amp; Inline Flasher – Dual Color Green/White</t>
  </si>
  <si>
    <t>ELUC3H010H</t>
  </si>
  <si>
    <t>Universal UnderCover Screw-In LED Insert Single Light Kit, 9-32 Vdc w/ 10’ 5-wire harness: includes insert, Lens #1 (Extreme Angle) &amp; Inline Flasher – Single Color Green</t>
  </si>
  <si>
    <t>ELUC3H010G</t>
  </si>
  <si>
    <t>Universal UnderCover Screw-In LED Insert Single Light Kit, 9-32 Vdc w/ 10’ 5-wire harness: includes insert, Lens #1 (Extreme Angle) &amp; Inline Flasher – Dual Color Amber/White</t>
  </si>
  <si>
    <t>ELUC3H010F</t>
  </si>
  <si>
    <t>Universal UnderCover Screw-In LED Insert Single Light Kit, 9-32 Vdc w/ 10’ 5-wire harness: includes insert, Lens #1 (Extreme Angle) &amp; Inline Flasher – Dual Color Blue/White</t>
  </si>
  <si>
    <t>ELUC3H010E</t>
  </si>
  <si>
    <t>Universal UnderCover Screw-In LED Insert Single Light Kit, 9-32 Vdc w/ 10’ 5-wire harness: includes insert, Lens #1 (Extreme Angle) &amp; Inline Flasher – Dual Color Red/White</t>
  </si>
  <si>
    <t>ELUC3H010D</t>
  </si>
  <si>
    <t>Universal UnderCover Screw-In LED Insert Single Light Kit, 9-32 Vdc w/ 10’ 5-wire harness: includes insert, Lens #1 (Extreme Angle) &amp; Inline Flasher – Single Color Blue</t>
  </si>
  <si>
    <t>ELUC3H010B</t>
  </si>
  <si>
    <t>Universal UnderCover Screw-In LED Insert Single Light Kit, 9-32 Vdc w/ 10’ 5-wire harness: includes insert, Lens #1 (Extreme Angle) &amp; Inline Flasher – Single Color Amber</t>
  </si>
  <si>
    <t>ELUC3H010A</t>
  </si>
  <si>
    <t>Universal UnderCover Insert</t>
  </si>
  <si>
    <t>$768.00</t>
  </si>
  <si>
    <t>SL Running Light, 72" - 6 Module, Dual Color Red/Blue</t>
  </si>
  <si>
    <t>ESLRL7316J</t>
  </si>
  <si>
    <t>SL Running Light, 72" - 6 Module, Dual Color Amber/White</t>
  </si>
  <si>
    <t>ESLRL7316F</t>
  </si>
  <si>
    <t>SL Running Light, 72" - 6 Module, Dual Color Blue/White</t>
  </si>
  <si>
    <t>ESLRL7316E</t>
  </si>
  <si>
    <t>SL Running Light, 72" - 6 Module, Dual Color Red/White</t>
  </si>
  <si>
    <t>ESLRL7316D</t>
  </si>
  <si>
    <t>SL Running Light, 72" - 6 Module, Dual/Split Red/Blue/White</t>
  </si>
  <si>
    <t>ESLRL73168</t>
  </si>
  <si>
    <t>$676.00</t>
  </si>
  <si>
    <t>SL Running Light, 61" - 5 Module, Dual Color Red/Blue</t>
  </si>
  <si>
    <t>ESLRL6115J</t>
  </si>
  <si>
    <t>SL Running Light, 61" - 5 Module, Dual Color Amber/White</t>
  </si>
  <si>
    <t>ESLRL6115F</t>
  </si>
  <si>
    <t>SL Running Light, 61" - 5 Module, Dual Color Blue/White</t>
  </si>
  <si>
    <t>ESLRL6115E</t>
  </si>
  <si>
    <t>SL Running Light, 61" - 5 Module, Dual Color Red/White</t>
  </si>
  <si>
    <t>ESLRL6115D</t>
  </si>
  <si>
    <t>SL Running Light, 61" - 5 Module, Dual/Split Color Red/Blue/White</t>
  </si>
  <si>
    <t>ESLRL61158</t>
  </si>
  <si>
    <t>$553.00</t>
  </si>
  <si>
    <t>SL Running Light, 50" - 4 Module, Dual Color Red/Blue</t>
  </si>
  <si>
    <t>ESLRL5014J</t>
  </si>
  <si>
    <t>SL Running Light, 50" - 4 Module, Dual Color Amber/White</t>
  </si>
  <si>
    <t>ESLRL5014F</t>
  </si>
  <si>
    <t>SL Running Light, 50" - 4 Module, Dual Color Blue/White</t>
  </si>
  <si>
    <t>ESLRL5014E</t>
  </si>
  <si>
    <t>SL Running Light, 50" - 4 Module, Dual Color Red/White</t>
  </si>
  <si>
    <t>ESLRL5014D</t>
  </si>
  <si>
    <t>SL Running Light, 50" - 4 Module, Dual/Split Color Red/Blue/White</t>
  </si>
  <si>
    <t>ESLRL50148</t>
  </si>
  <si>
    <t>$190.00</t>
  </si>
  <si>
    <t>SL Running Light, 15" - 1 Module, Dual Color Red/Blue</t>
  </si>
  <si>
    <t>ESLRL1511J</t>
  </si>
  <si>
    <t>SL Running Light, 15" - 1 Module, Dual Color Amber/White</t>
  </si>
  <si>
    <t>ESLRL1511F</t>
  </si>
  <si>
    <t>SL Running Light, 15" - 1 Module, Dual Color Blue/White</t>
  </si>
  <si>
    <t>ESLRL1511E</t>
  </si>
  <si>
    <t>SL Running Light, 15" - 1 Module, Dual Color Red/White</t>
  </si>
  <si>
    <t>ESLRL1511D</t>
  </si>
  <si>
    <t>SL Running Light, 15" - 1 Module, Dual/Split Color Red/Blue/White</t>
  </si>
  <si>
    <t>ESLRL15118</t>
  </si>
  <si>
    <t>SL Running Light</t>
  </si>
  <si>
    <t>$564.00</t>
  </si>
  <si>
    <t>nFUSE® 9x7 P Scene Light, Stud Mount, 10-32 Vdc, 1.5' Pigtail, Clear Lens, 24 LED, Single Color, White</t>
  </si>
  <si>
    <t>EPSSE10UY-W</t>
  </si>
  <si>
    <t>$449.00</t>
  </si>
  <si>
    <t>nFUSE® 9x7 P Warning Light, Stud Mount, SAE J595 Class 1, CA Title 13, NFPA, KKK-1822-F, 9-32 Volt SAE with 1.5' Pigtail, 36 LED Red Lens, Single Color Red</t>
  </si>
  <si>
    <t>EPSSE0TF9-R</t>
  </si>
  <si>
    <t>nFUSE® 9x7 P Warning Light, Stud Mount, SAE J595 Class 3, CA Title 13, NFPA, KKK-1822-F, 9-32 Volt SAE with 1.5' Pigtail, 36 LED Green Lens, Single Color Green</t>
  </si>
  <si>
    <t>EPSSE0TF8-G</t>
  </si>
  <si>
    <t>nFUSE® 9x7 P Warning Light, Stud Mount, SAE J595 Class 1, CA Title 13, NFPA, KKK-1822-F, 9-32 Volt SAE with 1.5' Pigtail, 36 LED Blue Lens, Single Color Blue</t>
  </si>
  <si>
    <t>EPSSE0TF7-B</t>
  </si>
  <si>
    <t>nFUSE® 9x7 P Warning Light, Stud Mount, SAE J595 Class 1, CA Title 13, NFPA, KKK-1822-F, 9-32 Volt SAE with 1.5' Pigtail, 36 LED Amber Lens, Single Color Amber</t>
  </si>
  <si>
    <t>EPSSE0TF6-A</t>
  </si>
  <si>
    <t>nFUSE® 9x7 P Warning Light, Stud Mount, SAE J595 Class 1, NFPA, 9-32 Volt SAE with 1.5' Pigtail, 36 LED Clear Lens, Single Color White</t>
  </si>
  <si>
    <t>EPSSE0TF5-W</t>
  </si>
  <si>
    <t>nFUSE® 9x7 P Warning Light, Stud Mount, SAE J595 Class 1, CA Title 13, NFPA, KKK-1822-F, 9-32 Volt SAE with 1.5' Pigtail, 36 LED Clear Lens, Single Color Red</t>
  </si>
  <si>
    <t>EPSSE0TF5-R</t>
  </si>
  <si>
    <t>nFUSE® 9x7 P Warning Light, Stud Mount, SAE J595 Class 3, CA Title 13, NFPA, KKK-1822-F, 9-32 Volt SAE with 1.5' Pigtail, 36 LED Clear Lens, Single Color Green</t>
  </si>
  <si>
    <t>EPSSE0TF5-G</t>
  </si>
  <si>
    <t>nFUSE® 9x7 P Warning Light, Stud Mount, SAE J595 Class 1, CA Title 13, NFPA, KKK-1822-F, 9-32 Volt SAE with 1.5' Pigtail, 36 LED Clear Lens, Single Color Blue</t>
  </si>
  <si>
    <t>EPSSE0TF5-B</t>
  </si>
  <si>
    <t>nFUSE® 9x7 P Warning Light, Stud Mount, SAE J595 Class 1, CA Title 13, NFPA, KKK-1822-F, 9-32 Volt SAE with 1.5' Pigtail, 36 LED Clear Lens, Single Color Amber</t>
  </si>
  <si>
    <t>EPSSE0TF5-A</t>
  </si>
  <si>
    <t>nFUSE 9x7 P Light - Stud Mount</t>
  </si>
  <si>
    <t>nFUSE® 9x7 P Scene Light, Screw Mount, 10-32 Vdc, 1.5' Pigtail, Clear Lens, 24 LED, Single Color, White</t>
  </si>
  <si>
    <t>EPSSE10UX-W</t>
  </si>
  <si>
    <t>nFUSE® 9x7 P Warning Light, Screw Mount, SAE J595 Class 1, CA Title 13, NFPA, KKK-1822-F, 9-32 Volt with 1.5' Pigtail, 36 LED Red Lens, Single Color Red</t>
  </si>
  <si>
    <t>EPSSE0TF4-R</t>
  </si>
  <si>
    <t>nFUSE® 9x7 P Warning Light, Screw Mount, SAE J595 Class 1, CA Title 13, NFPA, KKK-1822-F, 9-32 Volt with 1.5' Pigtail, 36 LED Green Lens, Single Color Green</t>
  </si>
  <si>
    <t>EPSSE0TF3-G</t>
  </si>
  <si>
    <t>nFUSE® 9x7 P Warning Light, Screw Mount, SAE J595 Class 1, CA Title 13, NFPA, KKK-1822-F, 9-32 Volt with 1.5' Pigtail, 36 LED Blue Lens, Single Color Blue</t>
  </si>
  <si>
    <t>EPSSE0TF2-B</t>
  </si>
  <si>
    <t>nFUSE® 9x7 P Warning Light, Screw Mount, SAE J595 Class 1, CA Title 13, NFPA, KKK-1822-F, 9-32 Volt with 1.5' Pigtail, 36 LED Amber Lens, Single Color Amber</t>
  </si>
  <si>
    <t>EPSSE0TF1-A</t>
  </si>
  <si>
    <t>nFUSE® 9x7 P Warning Light, Screw Mount, SAE J595 Class 1, NFPA, 9-32 Volt SAE with 1.5' Pigtail, 36 LED Clear Lens, Single Color White</t>
  </si>
  <si>
    <t>EPSSE0TF0-W</t>
  </si>
  <si>
    <t>nFUSE® 9x7 P Warning Light, Screw Mount, SAE J595 Class 1, CA Title 13, NFPA, KKK-1822-F, 9-32 Volt with 1.5' Pigtail, 36 LED Clear Lens, Single Color Red</t>
  </si>
  <si>
    <t>EPSSE0TF0-R</t>
  </si>
  <si>
    <t>nFUSE® 9x7 P Warning Light, Screw Mount, SAE J595 Class 1, CA Title 13, NFPA, KKK-1822-F, 9-32 Volt with 1.5' Pigtail, 36 LED Clear Lens, Single Color Green</t>
  </si>
  <si>
    <t>EPSSE0TF0-G</t>
  </si>
  <si>
    <t>nFUSE® 9x7 P Warning Light, Screw Mount, SAE J595 Class 1, CA Title 13, NFPA, KKK-1822-F, 9-32 Volt with 1.5' Pigtail, 36 LED Clear Lens, Single Color Blue</t>
  </si>
  <si>
    <t>EPSSE0TF0-B</t>
  </si>
  <si>
    <t>nFUSE® 9x7 P Warning Light, Screw Mount, SAE J595 Class 1, CA Title 13, NFPA, KKK-1822-F, 9-32 Volt with 1.5' Pigtail, 36 LED Clear Lens, Single Color Amber</t>
  </si>
  <si>
    <t>EPSSE0TF0-A</t>
  </si>
  <si>
    <t>nFUSE 9x7 P Light - Screw Mount</t>
  </si>
  <si>
    <t>$358.00</t>
  </si>
  <si>
    <t>nFUSE® 7x3 P Scene Light, Stud Mount, 9-32 Vdc, 1.5' Pigtail, Clear Lens, 12 LED, Single Color, White</t>
  </si>
  <si>
    <t>EPSSC0YG3-W</t>
  </si>
  <si>
    <t>$339.00</t>
  </si>
  <si>
    <t>nFUSE® 7x3 P Warning Light, Stud Mount, SAE J595 Class 1, CA Title 13, NFPA, KKK-1822-F, 9-32 Vdc, 1.5' Pigtail, Clear Lens, 24 LED, Split Color, Blue/Amber</t>
  </si>
  <si>
    <t>EPSSC0TFP-M</t>
  </si>
  <si>
    <t>nFUSE® 7x3 P Warning Light, Stud Mount, SAE J595 Class 1, CA Title 13, NFPA, KKK-1822-F, 9-32 Vdc, 1.5' Pigtail, Clear Lens, 24 LED, Split Color, Red/Amber</t>
  </si>
  <si>
    <t>EPSSC0TFP-K</t>
  </si>
  <si>
    <t>nFUSE® 7x3 P Warning Light, Stud Mount, SAE J595 Class 1, CA Title 13, NFPA, KKK-1822-F, 9-32 Vdc, 1.5' Pigtail, Clear Lens, 24 LED, Split Color, Red/Blue</t>
  </si>
  <si>
    <t>EPSSC0TFP-J</t>
  </si>
  <si>
    <t>nFUSE® 7x3 P Warning Light, Stud Mount, SAE J595 Class 1, CA Title 13, NFPA, KKK-1822-F, 9-32 Vdc, 1.5' Pigtail, Clear Lens, 24 LED, Split Color, Amber/White</t>
  </si>
  <si>
    <t>EPSSC0TFP-F</t>
  </si>
  <si>
    <t>nFUSE® 7x3 P Warning Light, Stud Mount, SAE J595 Class 1, CA Title 13, NFPA, KKK-1822-F, 9-32 Vdc, 1.5' Pigtail, Clear Lens, 24 LED, Split Color, Blue/White</t>
  </si>
  <si>
    <t>EPSSC0TFP-E</t>
  </si>
  <si>
    <t>nFUSE® 7x3 P Warning Light, Stud Mount, SAE J595 Class 1, CA Title 13, NFPA, KKK-1822-F, 9-32 Vdc, 1.5' Pigtail, Clear Lens, 24 LED, Split Color, Red/White LEDs</t>
  </si>
  <si>
    <t>EPSSC0TFP-D</t>
  </si>
  <si>
    <t>nFUSE® 7x3 P Warning Light, Stud Mount, SAE J595 Class 1, CA Title 13, NFPA, KKK-1822-F, 9-32 Vdc, 1.5' Pigtail, Clear Lens, 24 LED, Dual Color, Red/Blue</t>
  </si>
  <si>
    <t>EPSSC0TFN-J</t>
  </si>
  <si>
    <t>nFUSE® 7x3 P Warning Light, Stud Mount, SAE J595 Class 1, CA Title 13, NFPA, KKK-1822-F, 9-32 Vdc, 1.5' Pigtail, Clear Lens, 24 LED, Dual Color, Amber/White</t>
  </si>
  <si>
    <t>EPSSC0TFN-F</t>
  </si>
  <si>
    <t>nFUSE® 7x3 P Warning Light, Stud Mount, SAE J595 Class 1, CA Title 13, NFPA, KKK-1822-F, 9-32 Vdc, 1.5' Pigtail, Clear Lens, 24 LED, Dual Color, Blue/White</t>
  </si>
  <si>
    <t>EPSSC0TFN-E</t>
  </si>
  <si>
    <t>nFUSE® 7x3 P Warning Light, Stud Mount, SAE J595 Class 1, CA Title 13, NFPA, KKK-1822-F, 9-32 Vdc, 1.5' Pigtail, Clear Lens, 24 LED, Dual Color, Red/White LEDs</t>
  </si>
  <si>
    <t>EPSSC0TFN-D</t>
  </si>
  <si>
    <t>$277.00</t>
  </si>
  <si>
    <t>nFUSE® 7x3 P Backup Light with Warning, Stud Mount, SAE J595 Class 1, CA Title 13 certified, NFPA, KKK-1822-F, FMVSS-108, 9-32 Vdc, 1.5' Pigtail, Clear Housing/Lens, 28 LED, Amber/White</t>
  </si>
  <si>
    <t>EPSSC0QFW-F</t>
  </si>
  <si>
    <t>nFUSE® 7x3 P Backup Light with Warning, Stud Mount, SAE J595 Class 1, CA Title 13 certified, NFPA, KKK-1822-F, FMVSS-108, 9-32 Vdc, 1.5' Pigtail, Clear Housing/Lens, 28 LED, Blue/White</t>
  </si>
  <si>
    <t>EPSSC0QFW-E</t>
  </si>
  <si>
    <t>nFUSE® 7x3 P Backup Light with Warning, Stud Mount, SAE J595 Class 1, CA Title 13 certified, NFPA, KKK-1822-F, FMVSS-108, 9-32 Vdc, 1.5' Pigtail, Clear Housing/Lens, 28 LED, Red/White</t>
  </si>
  <si>
    <t>EPSSC0QFW-D</t>
  </si>
  <si>
    <t>$219.00</t>
  </si>
  <si>
    <t>nFUSE® 7x3 P Turn Light, Stud Mount, SAE J595 Class 1, CA Title 13, NFPA, KKK-1822-F, FMVSS-108, 9-32 Vdc, 1.5' Pigtail, Colored Lens, 18 LED - Amber</t>
  </si>
  <si>
    <t>EPSSC0JY3-A</t>
  </si>
  <si>
    <t>nFUSE® 7x3 P Turn Light, Stud Mount, SAE J595 Class 1, CA Title 13, NFPA, KKK-1822-F, FMVSS-108, 9-32 Vdc, 1.5' Pigtail, Clear Lens, 18 LED - Amber</t>
  </si>
  <si>
    <t>EPSSC0JY2-A</t>
  </si>
  <si>
    <t>nFUSE® 7x3 P Stop/Tail &amp; Turn Light, Stud Mount, SAE J595 Class 1, CA Title 13, NFPA, KKK-1822-F, FMVSS-108, 9-32 Vdc, 1.5' Pigtail, Red Lens, 18 LED - Red</t>
  </si>
  <si>
    <t>EPSSC0JY1-R</t>
  </si>
  <si>
    <t>nFUSE® 7x3 P Stop/Tail &amp; Turn Light, Stud Mount, SAE J595 Class 1, CA Title 13, NFPA, KKK-1822-F, FMVSS-108, 9-32 Vdc, 1.5' Pigtail, Clear Lens, 18 LED - Red</t>
  </si>
  <si>
    <t>EPSSC0JY0-R</t>
  </si>
  <si>
    <t>nFUSE® 7x3 P Backup Light, Stud Mount, SAE J595 Class 1, CA Title 13, NFPA, KKK-1822-F, FMVSS-108, 9-32 Vdc, 1.5' Pigtail, Clear Lens, 18 LED - White</t>
  </si>
  <si>
    <t>EPSSC0JXZ-W</t>
  </si>
  <si>
    <t>$265.00</t>
  </si>
  <si>
    <t>nFUSE® 7x3 P Warning Light, Stud Mount, SAE J595 Class 1, CA Title 13, NFPA, KKK-1822-F, 9-32 Vdc, 1.5' Pigtail, Red Lens, 12 LED, Single Color - Red</t>
  </si>
  <si>
    <t>EPSSC0JXY-R</t>
  </si>
  <si>
    <t>nFUSE® 7x3 P Warning Light, Stud Mount, SAE J595 Class 3, CA Title 13, NFPA, KKK-1822-F, 9-32 Vdc, 1.5' Pigtail, Green Lens, 12 LED, Single Color - Green</t>
  </si>
  <si>
    <t>EPSSC0JXX-G</t>
  </si>
  <si>
    <t>nFUSE® 7x3 P Warning Light, Stud Mount, SAE J595 Class 1, CA Title 13, NFPA, KKK-1822-F, 9-32 Vdc, 1.5' Pigtail, Blue Lens, 12 LED, Single Color - Blue</t>
  </si>
  <si>
    <t>EPSSC0JXV-B</t>
  </si>
  <si>
    <t>nFUSE® 7x3 P Warning Light, Stud Mount, SAE J595 Class 1, CA Title 13, NFPA, KKK-1822-F, 9-32 Vdc, 1.5' Pigtail, Amber Lens, 12 LED, Single Color - Amber</t>
  </si>
  <si>
    <t>EPSSC0JXU-A</t>
  </si>
  <si>
    <t>nFUSE® 7x3 P Warning Light, Stud Mount, SAE J595 Class 1, CA Title 13, NFPA, KKK-1822-F, 9-32 Vdc, 1.5' Pigtail, Clear Lens, 12 LED, Single Color - White</t>
  </si>
  <si>
    <t>EPSSC0JXS-W</t>
  </si>
  <si>
    <t>nFUSE® 7x3 P Warning Light, Stud Mount, SAE J595 Class 1, CA Title 13, NFPA, KKK-1822-F, 9-32 Vdc, 1.5' Pigtail, Clear Lens, 12 LED, Single Color - Red</t>
  </si>
  <si>
    <t>EPSSC0JXS-R</t>
  </si>
  <si>
    <t>nFUSE® 7x3 P Warning Light, Stud Mount, SAE J595 Class 3, CA Title 13, NFPA, KKK-1822-F, 9-32 Vdc, 1.5' Pigtail, Clear Lens, 12 LED, Single Color - Green</t>
  </si>
  <si>
    <t>EPSSC0JXS-G</t>
  </si>
  <si>
    <t>nFUSE® 7x3 P Warning Light, Stud Mount, SAE J595 Class 1, CA Title 13, NFPA, KKK-1822-F, 9-32 Vdc, 1.5' Pigtail, Clear Lens, 12 LED, Single Color - Blue</t>
  </si>
  <si>
    <t>EPSSC0JXS-B</t>
  </si>
  <si>
    <t>nFUSE® 7x3 P Warning Light, Stud Mount, SAE J595 Class 1, CA Title 13, NFPA, KKK-1822-F, 9-32 Vdc, 1.5' Pigtail, Clear Lens, 12 LED, Single Color - Amber</t>
  </si>
  <si>
    <t>EPSSC0JXS-A</t>
  </si>
  <si>
    <t>nFUSE 7x3 P Light - Stud Mount</t>
  </si>
  <si>
    <t>nFUSE® 7x3 P Scene Light, Screw Mount, 9-32 Vdc, 1.5' Pigtail, Clear Lens, 12 LED, Single Color, White</t>
  </si>
  <si>
    <t>EPSSC0YG2-W</t>
  </si>
  <si>
    <t>nFUSE® 7x3 P Warning Light, Screw Mount, SAE J595 Class 1, CA Title 13, NFPA, KKK-1822-F, 9-32 Vdc, 1.5' Pigtail, Clear Lens, 24 LED, Split Color, Blue/Amber</t>
  </si>
  <si>
    <t>EPSSC0TFM-M</t>
  </si>
  <si>
    <t>nFUSE® 7x3 P Warning Light, Screw Mount, SAE J595 Class 1, CA Title 13, NFPA, KKK-1822-F, 9-32 Vdc, 1.5' Pigtail, Clear Lens, 24 LED, Split Color, Red/Amber</t>
  </si>
  <si>
    <t>EPSSC0TFM-K</t>
  </si>
  <si>
    <t>nFUSE® 7x3 P Warning Light, Screw Mount, SAE J595 Class 1, CA Title 13, NFPA, KKK-1822-F, 9-32 Vdc, 1.5' Pigtail, Clear Lens, 24 LED, Split Color, Red/Blue</t>
  </si>
  <si>
    <t>EPSSC0TFM-J</t>
  </si>
  <si>
    <t>nFUSE® 7x3 P Warning Light, Screw Mount, SAE J595 Class 1, CA Title 13, NFPA, KKK-1822-F, 9-32 Vdc, 1.5' Pigtail, Clear Lens, 24 LED, Split Color, Amber/White</t>
  </si>
  <si>
    <t>EPSSC0TFM-F</t>
  </si>
  <si>
    <t>nFUSE® 7x3 P Warning Light, Screw Mount, SAE J595 Class 1, CA Title 13, NFPA, KKK-1822-F, 9-32 Vdc, 1.5' Pigtail, Clear Lens, 24 LED, Split Color, Blue/White</t>
  </si>
  <si>
    <t>EPSSC0TFM-E</t>
  </si>
  <si>
    <t>nFUSE® 7x3 P Warning Light, Screw Mount, SAE J595 Class 1, CA Title 13, NFPA, KKK-1822-F, 9-32 Vdc, 1.5' Pigtail, Clear Lens, 24 LED, Split Color, Red/White LEDs</t>
  </si>
  <si>
    <t>EPSSC0TFM-D</t>
  </si>
  <si>
    <t>nFUSE® 7x3 P Warning Light, Screw Mount, SAE J595 Class 1, CA Title 13, NFPA, KKK-1822-F, 9-32 Vdc, 1.5' Pigtail, Clear Lens, 24 LED, Dual Color, Red/Blue</t>
  </si>
  <si>
    <t>EPSSC0TFL-J</t>
  </si>
  <si>
    <t>nFUSE® 7x3 P Warning Light, Screw Mount, SAE J595 Class 1, CA Title 13, NFPA, KKK-1822-F, 9-32 Vdc, 1.5' Pigtail, Clear Lens, 24 LED, Dual Color, Amber/White</t>
  </si>
  <si>
    <t>EPSSC0TFL-F</t>
  </si>
  <si>
    <t>nFUSE® 7x3 P Warning Light, Screw Mount, SAE J595 Class 1, CA Title 13, NFPA, KKK-1822-F, 9-32 Vdc, 1.5' Pigtail, Clear Lens, 24 LED, Dual Color, Blue/White</t>
  </si>
  <si>
    <t>EPSSC0TFL-E</t>
  </si>
  <si>
    <t>nFUSE® 7x3 P Warning Light, Screw Mount, SAE J595 Class 1, CA Title 13, NFPA, KKK-1822-F, 9-32 Vdc, 1.5' Pigtail, Clear Lens, 24 LED, Dual Color, Red/White LEDs</t>
  </si>
  <si>
    <t>EPSSC0TFL-D</t>
  </si>
  <si>
    <t>nFUSE® 7x3 P Backup Light w/Warning, Screw Mount, SAE J595 Class 1, CA Title 13 certified, NFPA, KKK-1822-F, FMVSS-108, 9-32 Vdc, 1.5' Pigtail, Clear Housing/Lens, 28 LED, Amber/White</t>
  </si>
  <si>
    <t>EPSSC0PPZ-F</t>
  </si>
  <si>
    <t>nFUSE® 7x3 P Backup Light w/Warning, Screw Mount, SAE J595 Class 1, CA Title 13 certified, NFPA, KKK-1822-F, FMVSS-108, 9-32 Vdc, 1.5' Pigtail, Clear Housing/Lens, 28 LED, Blue/White</t>
  </si>
  <si>
    <t>EPSSC0PPZ-E</t>
  </si>
  <si>
    <t>nFUSE® 7x3 P Backup Light w/Warning, Screw Mount, SAE J595 Class 1, CA Title 13 certified, NFPA, KKK-1822-F, FMVSS-108, 9-32 Vdc, 1.5' Pigtail, Clear Housing/Lens, 28 LED, Red/White</t>
  </si>
  <si>
    <t>EPSSC0PPZ-D</t>
  </si>
  <si>
    <t>nFUSE® 7x3 P Turn Light, Screw Mount, SAE J595 Class 1, CA Title 13, NFPA, KKK-1822-F, FMVSS-108, 9-32 Vdc, 1.5' Pigtail, Amber Lens, 18 LED - Amber</t>
  </si>
  <si>
    <t>EPSSC0JYE-A</t>
  </si>
  <si>
    <t>nFUSE® 7x3 P Turn Light, Screw Mount, SAE J595 Class 1, CA Title 13, NFPA, KKK-1822-F, FMVSS-108, 9-32 Vdc, 1.5' Pigtail, Clear Lens, 18 LED - Amber</t>
  </si>
  <si>
    <t>EPSSC0JYD-A</t>
  </si>
  <si>
    <t>nFUSE® 7x3 P Stop/Tail &amp; Turn Light, Screw Mount, SAE J595 Class 1, CA Title 13, NFPA, KKK-1822-F, FMVSS-108, 9-32 Vdc, 1.5' Pigtail, Red Lens, 18 LED - Red</t>
  </si>
  <si>
    <t>EPSSC0JYC-R</t>
  </si>
  <si>
    <t>nFUSE® 7x3 P Stop/Tail &amp; Turn Light, Screw Mount, SAE J595 Class 1, CA Title 13, NFPA, KKK-1822-F, FMVSS-108, 9-32 Vdc, 1.5' Pigtail, Clear Lens, 18 LED - Red</t>
  </si>
  <si>
    <t>EPSSC0JYB-R</t>
  </si>
  <si>
    <t>nFUSE® 7x3 P Backup Light, Screw Mount, SAE J595 Class 1, CA Title 13, NFPA, KKK-1822-F, FMVSS-108, 9-32 Vdc, 1.5' Pigtail, Clear Lens, 18 LED - White</t>
  </si>
  <si>
    <t>EPSSC0JYA-W</t>
  </si>
  <si>
    <t>nFUSE® 7x3 P Warning Light, Screw Mount, SAE J595 Class 1, CA Title 13, NFPA, KKK-1822-F, 9-32 Vdc, 1.5' Pigtail, Red Lens, 12 LED, Single Color - Red</t>
  </si>
  <si>
    <t>EPSSC0JY8-R</t>
  </si>
  <si>
    <t>nFUSE® 7x3 P Warning Light, Screw Mount, SAE J595 Class 3, CA Title 13, NFPA, KKK-1822-F, 9-32 Vdc, 1.5' Pigtail, Green Lens, 12 LED, Single Color - Green</t>
  </si>
  <si>
    <t>EPSSC0JY7-G</t>
  </si>
  <si>
    <t>nFUSE® 7x3 P Warning Light, Screw Mount, SAE J595 Class 1, CA Title 13, NFPA, KKK-1822-F, 9-32 Vdc, 1.5' Pigtail, Blue Lens, 12 LED, Single Color - Blue</t>
  </si>
  <si>
    <t>EPSSC0JY6-B</t>
  </si>
  <si>
    <t>nFUSE® 7x3 P Warning Light, Screw Mount, SAE J595 Class 1, CA Title 13, NFPA, KKK-1822-F, 9-32 Vdc, 1.5' Pigtail, Amber Lens, 12 LED, Single Color - Amber</t>
  </si>
  <si>
    <t>EPSSC0JY5-A</t>
  </si>
  <si>
    <t>nFUSE® 7x3 P Warning Light, Screw Mount, SAE J595 Class 1, CA Title 13, NFPA, KKK-1822-F, 9-32 Vdc, 1.5' Pigtail, Clear Lens, 12 LED, Single Color - White</t>
  </si>
  <si>
    <t>EPSSC0JY4-W</t>
  </si>
  <si>
    <t>nFUSE® 7x3 P Warning Light, Screw Mount, SAE J595 Class 1, CA Title 13, NFPA, KKK-1822-F, 9-32 Vdc, 1.5' Pigtail, Clear Lens, 12 LED, Single Color - Red</t>
  </si>
  <si>
    <t>EPSSC0JY4-R</t>
  </si>
  <si>
    <t>nFUSE® 7x3 P Warning Light, Screw Mount, SAE J595 Class 3, CA Title 13, NFPA, KKK-1822-F, 9-32 Vdc, 1.5' Pigtail, Clear Lens, 12 LED, Single Color - Green</t>
  </si>
  <si>
    <t>EPSSC0JY4-G</t>
  </si>
  <si>
    <t>nFUSE® 7x3 P Warning Light, Screw Mount, SAE J595 Class 1, CA Title 13, NFPA, KKK-1822-F, 9-32 Vdc, 1.5' Pigtail, Clear Lens, 12 LED, Single Color - Blue</t>
  </si>
  <si>
    <t>EPSSC0JY4-B</t>
  </si>
  <si>
    <t>nFUSE® 7x3 P Warning Light, Screw Mount, SAE J595 Class 1, CA Title 13, NFPA, KKK-1822-F, 9-32 Vdc, 1.5' Pigtail, Clear Lens, 12 LED, Single Color - Amber</t>
  </si>
  <si>
    <t>EPSSC0JY4-A</t>
  </si>
  <si>
    <t>nFUSE 7x3 P Light - Screw Mount</t>
  </si>
  <si>
    <t>nFUSE® 6x4 P Warning Light, Stud Mount, SAE J595 Class 1, CA Title 13, NFPA, KKK-1822-F, 9-32 Volt SAE with 1.5' Pigtail, Clear Lens, 24 LED, Split Color, Blue/Amber</t>
  </si>
  <si>
    <t>EPSSB0TFE-M</t>
  </si>
  <si>
    <t>nFUSE® 6x4 P Warning Light, Stud Mount, SAE J595 Class 1, CA Title 13, NFPA, KKK-1822-F, 9-32 Volt SAE with 1.5' Pigtail, Clear Lens, 24 LED, Split Color, Red/Amber</t>
  </si>
  <si>
    <t>EPSSB0TFE-K</t>
  </si>
  <si>
    <t>nFUSE® 6x4 P Warning Light, Stud Mount, SAE J595 Class 1, CA Title 13, NFPA, KKK-1822-F, 9-32 Volt SAE with 1.5' Pigtail, Clear Lens, 24 LED, Split Color, Red/Blue</t>
  </si>
  <si>
    <t>EPSSB0TFE-J</t>
  </si>
  <si>
    <t>nFUSE® 6x4 P Warning Light, Stud Mount, SAE J595 Class 1, CA Title 13, NFPA, KKK-1822-F, 9-32 Volt SAE with 1.5' Pigtail, Clear Lens, 24 LED, Split Color, Amber/White</t>
  </si>
  <si>
    <t>EPSSB0TFE-F</t>
  </si>
  <si>
    <t>nFUSE® 6x4 P Warning Light, Stud Mount, SAE J595 Class 1, CA Title 13, NFPA, KKK-1822-F, 9-32 Volt SAE with 1.5' Pigtail, Clear Lens, 24 LED, Split Color, Blue/White</t>
  </si>
  <si>
    <t>EPSSB0TFE-E</t>
  </si>
  <si>
    <t>nFUSE® 6x4 P Warning Light, Stud Mount, SAE J595 Class 1, CA Title 13, NFPA, KKK-1822-F, 9-32 Volt SAE with 1.5' Pigtail, Clear Lens, 24 LED, Split Color, Red/White</t>
  </si>
  <si>
    <t>EPSSB0TFE-D</t>
  </si>
  <si>
    <t>nFUSE® 6x4 P Warning Light, Stud Mount, SAE J595 Class 1, CA Title 13, NFPA, KKK-1822-F, 9-32 Volt SAE with 1.5' Pigtail, Clear Lens, 24 LED Dual Color, Red/Blue</t>
  </si>
  <si>
    <t>EPSSB0TFD-J</t>
  </si>
  <si>
    <t>nFUSE® 6x4 P Warning Light, Stud Mount, SAE J595 Class 1, CA Title 13, NFPA, KKK-1822-F, 9-32 Volt SAE with 1.5' Pigtail, Clear Lens, 24 LED Dual Color, Amber/White</t>
  </si>
  <si>
    <t>EPSSB0TFD-F</t>
  </si>
  <si>
    <t>nFUSE® 6x4 P Warning Light, Stud Mount, SAE J595 Class 1, CA Title 13, NFPA, KKK-1822-F, 9-32 Volt SAE with 1.5' Pigtail, Clear Lens, 24 LED Dual Color, Blue/White</t>
  </si>
  <si>
    <t>EPSSB0TFD-E</t>
  </si>
  <si>
    <t>nFUSE® 6x4 P Warning Light, Stud Mount, SAE J595 Class 1, CA Title 13, NFPA, KKK-1822-F, 9-32 Volt SAE with 1.5' Pigtail, Clear Lens, 24 LED Dual Color, Red/White</t>
  </si>
  <si>
    <t>EPSSB0TFD-D</t>
  </si>
  <si>
    <t>nFUSE® 6x4 P Backup Light w/ Warning, Stud Mount, SAE J595 Class 1, CA Title 13 certified, NFPA, KKK-1822-F, FMVSS-108, 9-32 Vdc, 1.5' Pigtail, Clear Lens, 28 LED, Amber/White</t>
  </si>
  <si>
    <t>EPSSB0QFU-F</t>
  </si>
  <si>
    <t>nFUSE® 6x4 P Backup Light w/ Warning, Stud Mount, SAE J595 Class 1, CA Title 13 certified, NFPA, KKK-1822-F, FMVSS-108, 9-32 Vdc, 1.5' Pigtail, Clear Lens, 28 LED, Blue/White</t>
  </si>
  <si>
    <t>EPSSB0QFU-E</t>
  </si>
  <si>
    <t>nFUSE® 6x4 P Backup Light w/ Warning, Stud Mount, SAE J595 Class 1, CA Title 13 certified, NFPA, KKK-1822-F, FMVSS-108, 9-32 Vdc, 1.5' Pigtail, Clear Lens, 28 LED, Red/White</t>
  </si>
  <si>
    <t>EPSSB0QFU-D</t>
  </si>
  <si>
    <t>nFUSE® 6x4 P Turn Light, Stud Mount, SAE J595 Class 1, CA Title 13, NFPA, KKK-1822-F, FMVSS-108, 9-32 Vdc, 1.5' Pigtail, Amber Lens, 20 LED - Amber</t>
  </si>
  <si>
    <t>EPSSB0JXK-A</t>
  </si>
  <si>
    <t>nFUSE® 6x4 P Turn Light, Stud Mount, SAE J595 Class 1, CA Title 13, NFPA, KKK-1822-F, FMVSS-108, 9-32 Vdc, 1.5' Pigtail, Clear Lens, 20 LED - Amber</t>
  </si>
  <si>
    <t>EPSSB0JXJ-A</t>
  </si>
  <si>
    <t>nFUSE® 6x4 P Stop/Tail &amp; Turn Light, Stud Mount, SAE J595 Class 1, CA Title 13, NFPA, KKK-1822-F, FMVSS-108, 9-32 Vdc, 1.5' Pigtail, Red Lens, 20 LED - Red</t>
  </si>
  <si>
    <t>EPSSB0JXH-R</t>
  </si>
  <si>
    <t>nFUSE® 6x4 P Stop/Tail &amp; Turn Light, Stud Mount, SAE J595 Class 1, CA Title 13, NFPA, KKK-1822-F, FMVSS-108, 9-32 Vdc, 1.5' Pigtail, Clear Lens, 20 LED - Red</t>
  </si>
  <si>
    <t>EPSSB0JXG-R</t>
  </si>
  <si>
    <t>nFUSE® 6x4 P Backup Light, Stud Mount, SAE J595 Class 1, CA Title 13, NFPA, KKK-1822-F, FMVSS-108, 9-32 Vdc, 1.5' Pigtail, Clear Lens, 18 LED - White</t>
  </si>
  <si>
    <t>EPSSB0JXF-W</t>
  </si>
  <si>
    <t>nFUSE® 6x4 P Warning Light, Stud Mount, SAE J595 Class 1, CA Title 13, NFPA, KKK-1822-F, 9-32 Vdc, 1.5' Pigtail, Colored Lens, 12 LED, Single Color - Red</t>
  </si>
  <si>
    <t>EPSSB0JXE-R</t>
  </si>
  <si>
    <t>nFUSE® 6x4 P Warning Light, Stud Mount, SAE J595 Class 3, CA Title 13, NFPA, KKK-1822-F, 9-32 Vdc, 1.5' Pigtail, Colored Lens, 12 LED, Single Color - Green</t>
  </si>
  <si>
    <t>EPSSB0JXD-G</t>
  </si>
  <si>
    <t>nFUSE® 6x4 P Warning Light, Stud Mount, SAE J595 Class 1, CA Title 13, NFPA, KKK-1822-F, 9-32 Vdc, 1.5' Pigtail, Colored Lens, 12 LED, Single Color - Blue</t>
  </si>
  <si>
    <t>EPSSB0JXC-B</t>
  </si>
  <si>
    <t>nFUSE® 6x4 P Warning Light, Stud Mount, SAE J595 Class 1, CA Title 13, NFPA, KKK-1822-F, 9-32 Vdc, 1.5' Pigtail, Colored Lens, 12 LED, Single Color - Amber</t>
  </si>
  <si>
    <t>EPSSB0JXB-A</t>
  </si>
  <si>
    <t>nFUSE® 6x4 P Warning Light, Stud Mount, SAE J595 Class 1, CA Title 13, NFPA, KKK-1822-F, 9-32 Vdc, 1.5' Pigtail, Clear Lens, 12 LED, Single Color - White</t>
  </si>
  <si>
    <t>EPSSB0JXA-W</t>
  </si>
  <si>
    <t>nFUSE® 6x4 P Warning Light, Stud Mount, SAE J595 Class 1, CA Title 13, NFPA, KKK-1822-F, 9-32 Vdc, 1.5' Pigtail, Clear Lens, 12 LED, Single Color - Red</t>
  </si>
  <si>
    <t>EPSSB0JXA-R</t>
  </si>
  <si>
    <t>nFUSE® 6x4 P Warning Light, Stud Mount, SAE J595 Class 3, CA Title 13, NFPA, KKK-1822-F, 9-32 Vdc, 1.5' Pigtail, Clear Lens, 12 LED, Single Color - Green</t>
  </si>
  <si>
    <t>EPSSB0JXA-G</t>
  </si>
  <si>
    <t>nFUSE® 6x4 P Warning Light, Stud Mount, SAE J595 Class 1, CA Title 13, NFPA, KKK-1822-F, 9-32 Vdc, 1.5' Pigtail, Clear Lens, 12 LED, Single Color - Blue</t>
  </si>
  <si>
    <t>EPSSB0JXA-B</t>
  </si>
  <si>
    <t>nFUSE® 6x4 P Warning Light, Stud Mount, SAE J595 Class 1, CA Title 13, NFPA, KKK-1822-F, 9-32 Vdc, 1.5' Pigtail, Clear Lens, 12 LED, Single Color - Amber</t>
  </si>
  <si>
    <t>EPSSB0JXA-A</t>
  </si>
  <si>
    <t>nFUSE® 6x4 P Warning Light, Screw Mount, SAE J595 Class 1, CA Title 13, NFPA, KKK-1822-F, 9-32 Vdc, 1.5' Pigtail, Colored Lens, 12 LED, Single Color - Amber</t>
  </si>
  <si>
    <t>EPSSB0JX1-A</t>
  </si>
  <si>
    <t>nFUSE 6x4 P Light - Stud Mount</t>
  </si>
  <si>
    <t>nFUSE® 6x4 P Warning Light, Screw Mount, SAE J595 Class 1, CA Title 13, NFPA, KKK-1822-F, 9-32 Volt SAE with 1.5' Pigtail, Clear Lens, 24 LED Split Color, Blue/Amber</t>
  </si>
  <si>
    <t>EPSSB0TFC-M</t>
  </si>
  <si>
    <t>nFUSE® 6x4 P Warning Light, Screw Mount, SAE J595 Class 1, CA Title 13, NFPA, KKK-1822-F, 9-32 Volt SAE with 1.5' Pigtail, Clear Lens, 24 LED Split Color, Red/Amber</t>
  </si>
  <si>
    <t>EPSSB0TFC-K</t>
  </si>
  <si>
    <t>nFUSE® 6x4 P Warning Light, Screw Mount, SAE J595 Class 1, CA Title 13, NFPA, KKK-1822-F, 9-32 Volt SAE with 1.5' Pigtail, Clear Lens, 24 LED Split Color, Red/Blue</t>
  </si>
  <si>
    <t>EPSSB0TFC-J</t>
  </si>
  <si>
    <t>nFUSE® 6x4 P Warning Light, Screw Mount, SAE J595 Class 1, CA Title 13, NFPA, KKK-1822-F, 9-32 Volt SAE with 1.5' Pigtail, Clear Lens, 24 LED Split Color, Amber/White</t>
  </si>
  <si>
    <t>EPSSB0TFC-F</t>
  </si>
  <si>
    <t>nFUSE® 6x4 P Warning Light, Screw Mount, SAE J595 Class 1, CA Title 13, NFPA, KKK-1822-F, 9-32 Volt SAE with 1.5' Pigtail, Clear Lens, 24 LED, Split Color, Blue/White</t>
  </si>
  <si>
    <t>EPSSB0TFC-E</t>
  </si>
  <si>
    <t>nFUSE® 6x4 P Warning Light, Screw Mount, SAE J595 Class 1, CA Title 13, NFPA, KKK-1822-F, 9-32 Volt SAE with 1.5' Pigtail, Clear Lens, 24 LED, Split Color, Red/White</t>
  </si>
  <si>
    <t>EPSSB0TFC-D</t>
  </si>
  <si>
    <t>nFUSE® 6x4 P Warning Light, Screw Mount, SAE J595 Class 1, CA Title 13, NFPA, KKK-1822-F, 9-32 Volt SAE with 1.5' Pigtail, Clear Lens, 24 LED, Dual Color, Amber/White</t>
  </si>
  <si>
    <t>EPSSB0TFB-F</t>
  </si>
  <si>
    <t>nFUSE® 6x4 P Warning Light, Screw Mount, SAE J595 Class 1, CA Title 13, NFPA, KKK-1822-F, 9-32 Volt SAE with 1.5' Pigtail, Clear Lens, 24 LED, Dual Color, Blue/White</t>
  </si>
  <si>
    <t>EPSSB0TFB-E</t>
  </si>
  <si>
    <t>nFUSE® 6x4 P Warning Light, Screw Mount, SAE J595 Class 1, CA Title 13, NFPA, KKK-1822-F, 9-32 Volt SAE with 1.5' Pigtail, Clear Lens, 24 LED Dual Color, Red/White</t>
  </si>
  <si>
    <t>EPSSB0TFB-D</t>
  </si>
  <si>
    <t>nFUSE® 6x4 P Backup Light w/ Warning, Screw Mount, SAE J595 Class 1, CA Title 13 certified, NFPA, KKK-1822-F, FMVSS-108, 9-32 Vdc, 1.5' Pigtail, Clear Lens, 28 LED, Amber/White</t>
  </si>
  <si>
    <t>EPSSB0PQ0-F</t>
  </si>
  <si>
    <t>nFUSE® 6x4 P Backup Light w/ Warning, Screw Mount, SAE J595 Class 1, CA Title 13 certified, NFPA, KKK-1822-F, FMVSS-108, 9-32 Vdc, 1.5' Pigtail, Clear Lens, 28 LED, Blue/White</t>
  </si>
  <si>
    <t>EPSSB0PQ0-E</t>
  </si>
  <si>
    <t>nFUSE® 6x4 P Backup Light w/ Warning, Screw Mount, SAE J595 Class 1, CA Title 13 certified, NFPA, KKK-1822-F, FMVSS-108, 9-32 Vdc, 1.5' Pigtail, Clear Lens, 28 LED, Red/White</t>
  </si>
  <si>
    <t>EPSSB0PQ0-D</t>
  </si>
  <si>
    <t>nFUSE® 6x4 P Turn Light, Screw Mount, SAE J595 Class 1, CA Title 13, NFPA, KKK-1822-F, FMVSS-108, 9-32 Vdc, 1.5' Pigtail, Amber Lens, 20 LED - Amber</t>
  </si>
  <si>
    <t>EPSSB0JX9-A</t>
  </si>
  <si>
    <t>nFUSE® 6x4 P Turn Light, Screw Mount, SAE J595 Class 1, CA Title 13, NFPA, KKK-1822-F, FMVSS-108, 9-32 Vdc, 1.5' Pigtail, Clear Lens, 20 LED - Amber</t>
  </si>
  <si>
    <t>EPSSB0JX8-A</t>
  </si>
  <si>
    <t>nFUSE® 6x4 P Stop/Tail &amp; Turn Light, Screw Mount, SAE J595 Class 1, CA Title 13, NFPA, KKK-1822-F, FMVSS-108, 9-32 Vdc, 1.5' Pigtail, Red Lens, 20 LED - Red</t>
  </si>
  <si>
    <t>EPSSB0JX7-R</t>
  </si>
  <si>
    <t>nFUSE® 6x4 P Stop/Tail &amp; Turn Light, Screw Mount, SAE J595 Class 1, CA Title 13, NFPA, KKK-1822-F, FMVSS-108, 9-32 Vdc, 1.5' Pigtail, Clear Lens, 20 LED - Red</t>
  </si>
  <si>
    <t>EPSSB0JX6-R</t>
  </si>
  <si>
    <t>nFUSE® 6x4 P Backup Light, Screw Mount, SAE J595 Class 1, CA Title 13, NFPA, KKK-1822-F, FMVSS-108, 9-32 Vdc, 1.5' Pigtail, Clear Lens, 18 LED - White</t>
  </si>
  <si>
    <t>EPSSB0JX5-W</t>
  </si>
  <si>
    <t>nFUSE® 6x4 P Warning Light, Screw Mount, SAE J595 Class 1, CA Title 13, NFPA, KKK-1822-F, 9-32 Vdc, 1.5' Pigtail, Colored Lens, 12 LED, Single Color - Red</t>
  </si>
  <si>
    <t>EPSSB0JX4-R</t>
  </si>
  <si>
    <t>nFUSE® 6x4 P Warning Light, Screw Mount, SAE J595 Class 3, CA Title 13, NFPA, KKK-1822-F, 9-32 Vdc, 1.5' Pigtail, Colored Lens, 12 LED, Single Color - Green</t>
  </si>
  <si>
    <t>EPSSB0JX3-G</t>
  </si>
  <si>
    <t>nFUSE® 6x4 P Warning Light, Screw Mount, SAE J595 Class 1, CA Title 13, NFPA, KKK-1822-F, 9-32 Vdc, 1.5' Pigtail, Colored Lens, 12 LED, Single Color - Blue</t>
  </si>
  <si>
    <t>EPSSB0JX2-B</t>
  </si>
  <si>
    <t>nFUSE® 6x4 P Warning Light, Screw Mount, SAE J595 Class 1, CA Title 13, NFPA, KKK-1822-F, 9-32 Vdc, 1.5' Pigtail, Clear Lens, 12 LED, Single Color - White</t>
  </si>
  <si>
    <t>EPSSB0JWZ-W</t>
  </si>
  <si>
    <t>nFUSE® 6x4 P Warning Light, Screw Mount, SAE J595 Class 1, CA Title 13, NFPA, KKK-1822-F, 9-32 Vdc, 1.5' Pigtail, Clear Lens, 12 LED, Single Color - Red</t>
  </si>
  <si>
    <t>EPSSB0JWZ-R</t>
  </si>
  <si>
    <t>nFUSE® 6x4 P Warning Light, Screw Mount, SAE J595 Class 3, CA Title 13, NFPA, KKK-1822-F, 9-32 Vdc, 1.5' Pigtail, Clear Lens, 12 LED, Single Color - Green</t>
  </si>
  <si>
    <t>EPSSB0JWZ-G</t>
  </si>
  <si>
    <t>nFUSE® 6x4 P Warning Light, Screw Mount, SAE J595 Class 1, CA Title 13, NFPA, KKK-1822-F, 9-32 Vdc, 1.5' Pigtail, Clear Lens, 12 LED, Single Color - Blue</t>
  </si>
  <si>
    <t>EPSSB0JWZ-B</t>
  </si>
  <si>
    <t>nFUSE® 6x4 P Warning Light w/ Screw Mount, SAE J595 Class 1, CA Title 13, NFPA, KKK-1822-F, 9-32 Vdc, 1.5' Pigtail, Clear Lens, 12 LED, Single Color - Amber</t>
  </si>
  <si>
    <t>EPSSB0JWZ-A</t>
  </si>
  <si>
    <t>nFUSE 6x4 P Light - Screw Mount</t>
  </si>
  <si>
    <t>$320.00</t>
  </si>
  <si>
    <t>nFORCE® Single Windshield Light w/ Suction Cup Mount, SAE Class 1, 10-16v, Black Housing, 18 LED, Tricolor - Blue/Red/White</t>
  </si>
  <si>
    <t>ENFSWS4BRW</t>
  </si>
  <si>
    <t>nFORCE® Single Windshield Light w/ Suction Cup Mount, SAE Class 1, 10-16v, Black Housing, 18 LED, Tricolor - Blue/Red/Amber</t>
  </si>
  <si>
    <t>ENFSWS4BRA</t>
  </si>
  <si>
    <t>$284.00</t>
  </si>
  <si>
    <t>nFORCE® Single Windshield Light w/ Suction Cup Mount, SAE Class 1, 10-16v, Black Housing, 12 LED, Single Color - White</t>
  </si>
  <si>
    <t>ENFSWS3W</t>
  </si>
  <si>
    <t>nFORCE® Single Windshield Light w/ Suction Cup Mount, SAE Class 1, 10-16v, Black Housing, 12 LED, Single Color - Red</t>
  </si>
  <si>
    <t>ENFSWS3R</t>
  </si>
  <si>
    <t>nFORCE® Single Windshield Light w/ Suction Cup Mount, SAE Class 1, 10-16v, Black Housing, 12 LED, Dual Color - Red/Blue</t>
  </si>
  <si>
    <t>ENFSWS3J</t>
  </si>
  <si>
    <t>nFORCE® Single Windshield Light w/ Suction Cup Mount, SAE Class 1, 10-16v, Black Housing, 12 LED, Dual Color - Blue/White</t>
  </si>
  <si>
    <t>ENFSWS3E</t>
  </si>
  <si>
    <t>nFORCE® Single Windshield Light w/ Suction Cup Mount, SAE Class 1, 10-16v, Black Housing, 12 LED, Dual Color - Red/White</t>
  </si>
  <si>
    <t>ENFSWS3D</t>
  </si>
  <si>
    <t>nFORCE® Single Windshield Light w/ Suction Cup Mount, SAE Class 1, 10-16v, Black Housing, 12 LED, Single Color - Blue</t>
  </si>
  <si>
    <t>ENFSWS3B</t>
  </si>
  <si>
    <t>nFORCE® Single Windshield Light w/ Suction Cup Mount, SAE Class 1, 10-16v, Black Housing, 12 LED, Single Color - Amber</t>
  </si>
  <si>
    <t>ENFSWS3A</t>
  </si>
  <si>
    <t>$272.00</t>
  </si>
  <si>
    <t>nFORCE® Single Windshield Light w/ Suction Cup Mount, SAE Class 1, 10-16v, Black Housing, 9 LED, Single Color - White</t>
  </si>
  <si>
    <t>ENFSWS2W</t>
  </si>
  <si>
    <t>nFORCE® Single Windshield Light w/ Suction Cup Mount, SAE Class 1, 10-16v, Black Housing, 9 LED, Single Color - Red</t>
  </si>
  <si>
    <t>ENFSWS2R</t>
  </si>
  <si>
    <t>nFORCE® Single Windshield Light w/ Suction Cup Mount, SAE Class 1, 10-16v, Black Housing, 9 LED, Single Color - Blue</t>
  </si>
  <si>
    <t>ENFSWS2B</t>
  </si>
  <si>
    <t>nFORCE® Single Windshield Light w/ Suction Cup Mount, SAE Class 1, 10-16v, Black Housing, 9 LED, Single Color - Amber</t>
  </si>
  <si>
    <t>ENFSWS2A</t>
  </si>
  <si>
    <t>$250.00</t>
  </si>
  <si>
    <t>nFORCE® Single Windshield Light w/ Suction Cup Mount, SAE Class 1, 10-16v, Black Housing, 6 LED, Single Color - White</t>
  </si>
  <si>
    <t>ENFSWS1W</t>
  </si>
  <si>
    <t>nFORCE® Single Windshield Light w/ Suction Cup Mount, SAE Class 1, 10-16v, Black Housing, 6 LED, Single Color - Red</t>
  </si>
  <si>
    <t>ENFSWS1R</t>
  </si>
  <si>
    <t>nFORCE® Single Windshield Light w/ Suction Cup Mount, SAE Class 1, 10-16v, Black Housing, 6 LED, Split Color - Red/Blue</t>
  </si>
  <si>
    <t>ENFSWS1J</t>
  </si>
  <si>
    <t>nFORCE® Single Windshield Light w/ Suction Cup Mount, SAE Class 1, 10-16v, Black Housing, 6 LED, Single Color - Blue</t>
  </si>
  <si>
    <t>ENFSWS1B</t>
  </si>
  <si>
    <t>nFORCE® Single Windshield Light w/ Suction Cup Mount, SAE Class 1, 10-16v, Black Housing, 6 LED, Single Color - Amber</t>
  </si>
  <si>
    <t>ENFSWS1A</t>
  </si>
  <si>
    <t>$327.00</t>
  </si>
  <si>
    <t>nFORCE® Single Windshield Light w/ Permanent Mount, 12" hard wire w/ sync option, SAE Class 1, 10-16v, Black Housing, 18 LED, Tricolor - Blue/Red/White</t>
  </si>
  <si>
    <t>ENFSWP4BRW</t>
  </si>
  <si>
    <t>nFORCE® Single Windshield Light w/ Permanent Mount, 12" hard wire w/ sync option, SAE Class 1, 10-16v, Black Housing, 18 LED, Tricolor - Blue/Red/Amber</t>
  </si>
  <si>
    <t>ENFSWP4BRA</t>
  </si>
  <si>
    <t>$291.00</t>
  </si>
  <si>
    <t>nFORCE® Single Windshield Light w/ Permanent Mount, 12" hard wire w/ sync option, SAE Class 1, 10-16v, Black Housing, 12 LED, Single Color - White</t>
  </si>
  <si>
    <t>ENFSWP3W</t>
  </si>
  <si>
    <t>nFORCE® Single Windshield Light w/ Permanent Mount, 12" hard wire w/ sync option, SAE Class 1, 10-16v, Black Housing, 12 LED, Single Color - Red</t>
  </si>
  <si>
    <t>ENFSWP3R</t>
  </si>
  <si>
    <t>nFORCE® Single Windshield Light w/ Permanent Mount, 12" hard wire w/ sync option, SAE Class 1, 10-16v, Black Housing, 12 LED, Dual Color - Red/Blue</t>
  </si>
  <si>
    <t>ENFSWP3J</t>
  </si>
  <si>
    <t>nFORCE® Single Windshield Light w/ Permanent Mount, 12" hard wire w/ sync option, SAE Class 1, 10-16v, Black Housing, 12 LED, Single Color - Blue</t>
  </si>
  <si>
    <t>ENFSWP3B</t>
  </si>
  <si>
    <t>nFORCE® Single Windshield Light w/ Permanent Mount, 12" hard wire w/ sync option, SAE Class 1, 10-16v, Black Housing, 12 LED, Single Color - Amber</t>
  </si>
  <si>
    <t>ENFSWP3A</t>
  </si>
  <si>
    <t>$279.00</t>
  </si>
  <si>
    <t>nFORCE® Single Windshield Light w/ Permanent Mount, 12" hard wire w/ sync option, SAE Class 1, 10-16v, Black Housing, 9 LED, Single Color - White</t>
  </si>
  <si>
    <t>ENFSWP2W</t>
  </si>
  <si>
    <t>nFORCE® Single Windshield Light w/ Permanent Mount, 12" hard wire w/ sync option, SAE Class 1, 10-16v, Black Housing, 9 LED, Single Color - Red</t>
  </si>
  <si>
    <t>ENFSWP2R</t>
  </si>
  <si>
    <t>nFORCE® Single Windshield Light w/ Permanent Mount, 12" hard wire w/ sync option, SAE Class 1, 10-16v, Black Housing, 9 LED, Single Color - Blue</t>
  </si>
  <si>
    <t>ENFSWP2B</t>
  </si>
  <si>
    <t>nFORCE® Single Windshield Light w/ Permanent Mount, 12" hard wire w/ sync option, SAE Class 1, 10-16v, Black Housing, 9 LED, Single Color - Amber</t>
  </si>
  <si>
    <t>ENFSWP2A</t>
  </si>
  <si>
    <t>$257.00</t>
  </si>
  <si>
    <t>nFORCE® Single Windshield Light w/ Permanent Mount, 12" hard wire w/ sync option, SAE Class 1, 10-16v, Black Housing, 6 LED, Single Color - White</t>
  </si>
  <si>
    <t>ENFSWP1W</t>
  </si>
  <si>
    <t>nFORCE® Single Windshield Light w/ Permanent Mount,12" hard wire w/ sync option, SAE Class 1, 10-16v, Black Housing, 6 LED, Single Color - Red</t>
  </si>
  <si>
    <t>ENFSWP1R</t>
  </si>
  <si>
    <t>nFORCE® Single Windshield Light w/ Permanent Mount,12" hard wire w/ sync option, SAE Class 1, 10-16v, Black Housing, 6 LED, Split Color - Red/Blue</t>
  </si>
  <si>
    <t>ENFSWP1J</t>
  </si>
  <si>
    <t>nFORCE® Single Windshield Light w/ Permanent Mount,12" hard wire w/ sync option, SAE Class 1, 10-16v, Black Housing, 6 LED, Single Color - Blue</t>
  </si>
  <si>
    <t>ENFSWP1B</t>
  </si>
  <si>
    <t>nFORCE® Single Windshield Light w/ Permanent Mount,12" hard wire w/ sync option, SAE Class 1, 10-16v, Black Housing, 6 LED, Single Color - Amber</t>
  </si>
  <si>
    <t>ENFSWP1A</t>
  </si>
  <si>
    <t>nFORCE Single Light - Windshield Mount Permanent</t>
  </si>
  <si>
    <t>nFORCE® Single Surface Mount Light, SAE Class 1, 10-16v, Black Housing, 18 LED, Tricolor - Blue/Red/White</t>
  </si>
  <si>
    <t>ENFSSS4BRW</t>
  </si>
  <si>
    <t>nFORCE® Single Surface Mount Light, SAE Class 1, 10-16v, Black Housing, 18 LED, Tricolor - Blue/Red/Amber</t>
  </si>
  <si>
    <t>ENFSSS4BRA</t>
  </si>
  <si>
    <t>$255.00</t>
  </si>
  <si>
    <t>nFORCE® Single Surface Mount Light, SAE Class 1, 10-16v, Black Housing, 12 LED, Single Color - White</t>
  </si>
  <si>
    <t>ENFSSS3W</t>
  </si>
  <si>
    <t>nFORCE® Single Surface Mount Light, SAE Class 1, 10-16v, Black Housing, 12 LED, Single Color - Red</t>
  </si>
  <si>
    <t>ENFSSS3R</t>
  </si>
  <si>
    <t>nFORCE® Single Surface Mount Light, SAE Class 1, 10-16v, Black Housing, 12 LED, Dual Color - Red/Amber</t>
  </si>
  <si>
    <t>ENFSSS3K</t>
  </si>
  <si>
    <t>nFORCE® Single Surface Mount Light, SAE Class 1, 10-16v, Black Housing, 12 LED, Dual Color - Red/Blue</t>
  </si>
  <si>
    <t>ENFSSS3J</t>
  </si>
  <si>
    <t>nFORCE® Single Surface Mount Light, SAE Class 1, 10-16v, Black Housing, 12 LED, Dual Color - Amber/White</t>
  </si>
  <si>
    <t>ENFSSS3F</t>
  </si>
  <si>
    <t>nFORCE® Single Surface Mount Light, SAE Class 1, 10-16v, Black Housing, 12 LED, Dual Color - Blue/White</t>
  </si>
  <si>
    <t>ENFSSS3E</t>
  </si>
  <si>
    <t>nFORCE® Single Surface Mount Light, SAE Class 1, 10-16v, Black Housing, 12 LED, Dual Color - Red/White</t>
  </si>
  <si>
    <t>ENFSSS3D</t>
  </si>
  <si>
    <t>nFORCE® Single Surface Mount Light, SAE Class 1, 10-16v, Black Housing, 12 LED, Single Color - Blue</t>
  </si>
  <si>
    <t>ENFSSS3B</t>
  </si>
  <si>
    <t>nFORCE® Single Surface Mount Light, SAE Class 1, 10-16v, Black Housing, 12 LED, Single Color - Amber</t>
  </si>
  <si>
    <t>ENFSSS3A</t>
  </si>
  <si>
    <t>$243.00</t>
  </si>
  <si>
    <t>nFORCE® Single Surface Mount Light, SAE Class 1, 10-16v, Black Housing, 9 LED, Single Color - White</t>
  </si>
  <si>
    <t>ENFSSS2W</t>
  </si>
  <si>
    <t>nFORCE® Single Surface Mount Light, SAE Class 1, 10-16v, Black Housing, 9 LED, Single Color - Red</t>
  </si>
  <si>
    <t>ENFSSS2R</t>
  </si>
  <si>
    <t>nFORCE® Single Surface Mount Light, SAE Class 1, 10-16v, Black Housing, 9 LED, Single Color - Blue</t>
  </si>
  <si>
    <t>ENFSSS2B</t>
  </si>
  <si>
    <t>nFORCE® Single Surface Mount Light, SAE Class 1, 10-16v, Black Housing, 9 LED, Single Color - Amber</t>
  </si>
  <si>
    <t>ENFSSS2A</t>
  </si>
  <si>
    <t>$221.00</t>
  </si>
  <si>
    <t>nFORCE® Single Surface Mount Light, SAE Class 1, 10-16v, Black Housing, 6 LED, Single Color - White</t>
  </si>
  <si>
    <t>ENFSSS1W</t>
  </si>
  <si>
    <t>nFORCE® Single Surface Mount Light, SAE Class 1, 10-16v, Black Housing, 6 LED, Single Color - Red</t>
  </si>
  <si>
    <t>ENFSSS1R</t>
  </si>
  <si>
    <t>nFORCE® Single Surface Mount Light, SAE Class 1, 10-16v, Black Housing, 6 LED, Split Color - Red/Blue</t>
  </si>
  <si>
    <t>ENFSSS1J</t>
  </si>
  <si>
    <t>nFORCE® Single Surface Mount Light, SAE Class 1, 10-16v, Black Housing, 6 LED, Single Color - Blue</t>
  </si>
  <si>
    <t>ENFSSS1B</t>
  </si>
  <si>
    <t>nFORCE® Single Surface Mount Light, SAE Class 1, 10-16v, Black Housing, 6 LED, Single Color - Amber</t>
  </si>
  <si>
    <t>ENFSSS1A</t>
  </si>
  <si>
    <t>nFORCE Single Light - Surface Mount</t>
  </si>
  <si>
    <t>nFORCE® Single Recess Mount Light, SAE Class 1, 10-16v, Black Housing, 18 LED, Tricolor - Blue/Red/White</t>
  </si>
  <si>
    <t>ENFSRS4BRW</t>
  </si>
  <si>
    <t>nFORCE® Single Recess Mount Light, SAE Class 1, 10-16v, Black Housing, 18 LED, Tricolor - Blue/Red/Amber</t>
  </si>
  <si>
    <t>ENFSRS4BRA</t>
  </si>
  <si>
    <t>nFORCE® Single Recess Mount Light, SAE Class 1, 10-16v, Black Housing, 12 LED, Single Color - White</t>
  </si>
  <si>
    <t>ENFSRS3W</t>
  </si>
  <si>
    <t>nFORCE® Single Recess Mount Light, SAE Class 1, 10-16v, Black Housing, 12 LED, Single Color - Red</t>
  </si>
  <si>
    <t>ENFSRS3R</t>
  </si>
  <si>
    <t>nFORCE® Single Recess Mount Light, SAE Class 1, 10-16v, Black Housing, 12 LED, Split Color - Red/Blue</t>
  </si>
  <si>
    <t>ENFSRS3J</t>
  </si>
  <si>
    <t>nFORCE® Single Recess Mount Light, SAE Class 1, 10-16v, Black Housing, 12 LED, Single Color - Blue</t>
  </si>
  <si>
    <t>ENFSRS3B</t>
  </si>
  <si>
    <t>nFORCE® Single Recess Mount Light, SAE Class 1, 10-16v, Black Housing, 12 LED, Single Color - Amber</t>
  </si>
  <si>
    <t>ENFSRS3A</t>
  </si>
  <si>
    <t>nFORCE® Single Recess Mount Light, SAE Class 1, 10-16v, Black Housing, 9 LED, Single Color - White</t>
  </si>
  <si>
    <t>ENFSRS2W</t>
  </si>
  <si>
    <t>nFORCE® Single Recess Mount Light, SAE Class 1, 10-16v, Black Housing, 9 LED, Single Color - Red</t>
  </si>
  <si>
    <t>ENFSRS2R</t>
  </si>
  <si>
    <t>nFORCE® Single Recess Mount Light, SAE Class 1, 10-16v, Black Housing, 9 LED, Single Color - Blue</t>
  </si>
  <si>
    <t>ENFSRS2B</t>
  </si>
  <si>
    <t>nFORCE® Single Recess Mount Light, SAE Class 1, 10-16v, Black Housing, 9 LED, Single Color - Amber</t>
  </si>
  <si>
    <t>ENFSRS2A</t>
  </si>
  <si>
    <t>nFORCE® Single Recess Mount Light, SAE Class 1, 10-16v, Black Housing, 6 LED, Single Color - White</t>
  </si>
  <si>
    <t>ENFSRS1W</t>
  </si>
  <si>
    <t>nFORCE® Single Recess Mount Light, SAE Class 1, 10-16v, Black Housing, 6 LED, Single Color - Red</t>
  </si>
  <si>
    <t>ENFSRS1R</t>
  </si>
  <si>
    <t>nFORCE® Single Recess Mount Light, SAE Class 1, 10-16v, Black Housing, 6 LED, Single Color - Red/Blue</t>
  </si>
  <si>
    <t>ENFSRS1J</t>
  </si>
  <si>
    <t>nFORCE® Single Recess Mount Light, SAE Class 1, 10-16v, Black Housing, 6 LED, Single Color - Blue</t>
  </si>
  <si>
    <t>ENFSRS1B</t>
  </si>
  <si>
    <t>nFORCE® Single Recess Mount Light, SAE Class 1, 10-16v, Black Housing, 6 LED, Single Color - Amber</t>
  </si>
  <si>
    <t>ENFSRS1A</t>
  </si>
  <si>
    <t>nFORCE Single Light - Recess Mount</t>
  </si>
  <si>
    <t>nFORCE® Single 6" Oval Recess Mount Light, SAE Class 1, 10-16v, Black Housing, 12 LED, Single Color - White</t>
  </si>
  <si>
    <t>ENFSRV3W</t>
  </si>
  <si>
    <t>nFORCE® Single 6" Oval Recess Mount Light, SAE Class 1, 10-16v, Black Housing, 12 LED, Dual Color - Amber/White</t>
  </si>
  <si>
    <t>ENFSRV3F</t>
  </si>
  <si>
    <t>nFORCE® Single 6" Oval Recess Mount Light, SAE Class 1, 10-16v, Black Housing, 12 LED, Dual Color - Red/White</t>
  </si>
  <si>
    <t>ENFSRV3D</t>
  </si>
  <si>
    <t>nFORCE® Single 6" Oval Recess Mount Light, SAE Class 1, 10-16v, Black Housing, 12 LED, Single Color - Amber</t>
  </si>
  <si>
    <t>ENFSRV3A</t>
  </si>
  <si>
    <t>nFORCE® Single 6" Oval Recess Mount Light, SAE Class 1, 10-16v, Black Housing, 9 LED, Single Color - White</t>
  </si>
  <si>
    <t>ENFSRV2W</t>
  </si>
  <si>
    <t>nFORCE® Single 6" Oval Recess Mount Light, SAE Class 1, 10-16v, Black Housing, 9 LED, Single Color - Amber</t>
  </si>
  <si>
    <t>ENFSRV2A</t>
  </si>
  <si>
    <t>nFORCE® Single 6" Oval Recess Mount Light, SAE Class 1, 10-16v, Black Housing, 6 LED, Single Color - White</t>
  </si>
  <si>
    <t>ENFSRV1W</t>
  </si>
  <si>
    <t>nFORCE® Single 6" Oval Recess Mount Light, SAE Class 1, 10-16v, Black Housing, 6 LED, Split Color - Amber/White</t>
  </si>
  <si>
    <t>ENFSRV1F</t>
  </si>
  <si>
    <t>nFORCE® Single 6" Oval Recess Mount Light, SAE Class 1, 10-16v, Black Housing, 6 LED, Split Color - Red/White</t>
  </si>
  <si>
    <t>ENFSRV1D</t>
  </si>
  <si>
    <t>nFORCE® Single 6" Oval Recess Mount Light, SAE Class 1, 10-16v, Black Housing, 6 LED, Single Color - Amber</t>
  </si>
  <si>
    <t>ENFSRV1A</t>
  </si>
  <si>
    <t>nFORCE Single Light - Oval</t>
  </si>
  <si>
    <t>$309.00</t>
  </si>
  <si>
    <t>nFORCE® Single Deck/Grille Mount Light, SAE Class 1, 10-16v, Black Housing, 18 LED, Tricolor - Blue/Red/White</t>
  </si>
  <si>
    <t>ENFSGS4BRW</t>
  </si>
  <si>
    <t>nFORCE® Single Deck/Grille Mount Light, SAE Class 1, 10-16v, Black Housing, 18 LED, Tricolor - Blue/Red/Amber</t>
  </si>
  <si>
    <t>ENFSGS4BRA</t>
  </si>
  <si>
    <t>$273.00</t>
  </si>
  <si>
    <t>nFORCE® Single Deck/Grille Mount Light, SAE Class 1, 10-16v, Black Housing, 12 LED, Single Color - White</t>
  </si>
  <si>
    <t>ENFSGS3W</t>
  </si>
  <si>
    <t>nFORCE® Single Deck/Grille Mount Light, SAE Class 1, 10-16v, Black Housing, 12 LED, Single Color - Red</t>
  </si>
  <si>
    <t>ENFSGS3R</t>
  </si>
  <si>
    <t>nFORCE® Single Deck/Grille Mount Light, SAE Class 1, 10-16v, Black Housing, 12 LED, Dual Color - Red/Blue</t>
  </si>
  <si>
    <t>ENFSGS3J</t>
  </si>
  <si>
    <t>nFORCE® Single Deck/Grille Mount Light, SAE Class 1, 10-16v, Black Housing, 12 LED, Dual Color - Amber/White</t>
  </si>
  <si>
    <t>ENFSGS3F</t>
  </si>
  <si>
    <t>nFORCE® Single Deck/Grille Mount Light, SAE Class 1, 10-16v, Black Housing, 12 LED, Dual Color - Blue/White</t>
  </si>
  <si>
    <t>ENFSGS3E</t>
  </si>
  <si>
    <t>nFORCE® Single Deck/Grille Mount Light, SAE Class 1, 10-16v, Black Housing, 12 LED, Dual Color - Red/White</t>
  </si>
  <si>
    <t>ENFSGS3D</t>
  </si>
  <si>
    <t>nFORCE® Single Deck/Grille Mount Light, SAE Class 1, 10-16v, Black Housing, 12 LED, Single Color - Blue</t>
  </si>
  <si>
    <t>ENFSGS3B</t>
  </si>
  <si>
    <t>nFORCE® Single Deck/Grille Mount Light, SAE Class 1, 10-16v, Black Housing, 12 LED, Single Color - Amber</t>
  </si>
  <si>
    <t>ENFSGS3A</t>
  </si>
  <si>
    <t>$261.00</t>
  </si>
  <si>
    <t>nFORCE® Single Deck/Grille Mount Light, SAE Class 1, 10-16v, Black Housing, 9 LED, Single Color - White</t>
  </si>
  <si>
    <t>ENFSGS2W</t>
  </si>
  <si>
    <t>nFORCE® Single Deck/Grille Mount Light, SAE Class 1, 10-16v, Black Housing, 9 LED, Single Color - Red</t>
  </si>
  <si>
    <t>ENFSGS2R</t>
  </si>
  <si>
    <t>nFORCE® Single Deck/Grille Mount Light, SAE Class 1, 10-16v, Black Housing, 9 LED, Single Color - Blue</t>
  </si>
  <si>
    <t>ENFSGS2B</t>
  </si>
  <si>
    <t>nFORCE® Single Deck/Grille Mount Light, SAE Class 1, 10-16v, Black Housing, 9 LED, Single Color - Amber</t>
  </si>
  <si>
    <t>ENFSGS2A</t>
  </si>
  <si>
    <t>$239.00</t>
  </si>
  <si>
    <t>nFORCE® Single Deck/Grille Mount Light, SAE Class 1, 10-16v, Black Housing, 6 LED, Single Color - White</t>
  </si>
  <si>
    <t>ENFSGS1W</t>
  </si>
  <si>
    <t>nFORCE® Single Deck/Grille Mount Light, SAE Class 1, 10-16v, Black Housing, 6 LED, Single Color - Red</t>
  </si>
  <si>
    <t>ENFSGS1R</t>
  </si>
  <si>
    <t>nFORCE® Single Deck/Grille Mount Light, SAE Class 1, 10-16v, Black Housing, 6 LED, Split Color - Red/Blue</t>
  </si>
  <si>
    <t>ENFSGS1J</t>
  </si>
  <si>
    <t>nFORCE® Single Deck/Grille Mount Light, SAE Class 1, 10-16v, Black Housing, 6 LED, Split Color - Red/White</t>
  </si>
  <si>
    <t>ENFSGS1D</t>
  </si>
  <si>
    <t>nFORCE® Single Deck/Grille Mount Light, SAE Class 1, 10-16v, Black Housing, 6 LED, Single Color - Blue</t>
  </si>
  <si>
    <t>ENFSGS1B</t>
  </si>
  <si>
    <t>nFORCE® Single Deck/Grille Mount Light, SAE Class 1, 10-16v, Black Housing, 6 LED, Single Color - Amber</t>
  </si>
  <si>
    <t>ENFSGS1A</t>
  </si>
  <si>
    <t>nFORCE Single Light - Deck/Grille Mount</t>
  </si>
  <si>
    <t>$616.00</t>
  </si>
  <si>
    <t>nFORCE® Dual Windshield Light w/ Suction Cup Mount, 12v Cigar Plug &amp; 11.5 ft cord, SAE Class 1, 10-16v, Black Housing, 18 LED, Tricolor - Blue/Red/White</t>
  </si>
  <si>
    <t>ENFDWS4BRW</t>
  </si>
  <si>
    <t>nFORCE® Dual Windshield Light w/ Suction Cup Mount, 12v Cigar Plug &amp; 11.5 ft cord, SAE Class 1, 10-16v, Black Housing, 18 LED, Tricolor - Blue/Red/Amber</t>
  </si>
  <si>
    <t>ENFDWS4BRA</t>
  </si>
  <si>
    <t>$544.00</t>
  </si>
  <si>
    <t>nFORCE® Dual Windshield Light w/ Suction Cup Mount, 12v Cigar Plug &amp; 11.5 ft cord, SAE Class 1, 10-16v, Black Housing, 12 LED, Single Color - Red/White</t>
  </si>
  <si>
    <t>ENFDWS3RW</t>
  </si>
  <si>
    <t>nFORCE® Dual Windshield Light w/ Suction Cup Mount, 12v Cigar Plug &amp; 11.5 ft cord, SAE Class 1, 10-16v, Black Housing, 12 LED, Single Color - Red/Red</t>
  </si>
  <si>
    <t>ENFDWS3RR</t>
  </si>
  <si>
    <t>nFORCE® Dual Windshield Light w/ Suction Cup Mount, 12v Cigar Plug &amp; 11.5 ft cord, SAE Class 1, 10-16v, Black Housing, 12 LED, Single Color - Red/Blue</t>
  </si>
  <si>
    <t>ENFDWS3RB</t>
  </si>
  <si>
    <t>nFORCE® Dual Windshield Light w/ Suction Cup Mount, 12v Cigar Plug &amp; 11.5 ft cord, SAE Class 1, 10-16v, Black Housing, 12 LED, Single Color - Red/Amber</t>
  </si>
  <si>
    <t>ENFDWS3RA</t>
  </si>
  <si>
    <t>nFORCE® Dual Windshield Light w/ Suction Cup Mount, 12v Cigar Plug &amp; 11.5 ft cord, SAE Class 1, 10-16v, Black Housing, 12 LED, Split Color - Red/Blue</t>
  </si>
  <si>
    <t>ENFDWS3JJ</t>
  </si>
  <si>
    <t>nFORCE® Dual Windshield Light w/ Suction Cup Mount, 12v Cigar Plug &amp; 11.5 ft cord, SAE Class 1, 10-16v, Black Housing, 12 LED, Single Color - Blue/White</t>
  </si>
  <si>
    <t>ENFDWS3BW</t>
  </si>
  <si>
    <t>nFORCE® Dual Windshield Light w/ Suction Cup Mount, 12v Cigar Plug &amp; 11.5 ft cord, SAE Class 1, 10-16v, Black Housing, 12 LED, Single Color - Blue/Blue</t>
  </si>
  <si>
    <t>ENFDWS3BB</t>
  </si>
  <si>
    <t>nFORCE® Dual Windshield Light w/ Suction Cup Mount, 12v Cigar Plug &amp; 11.5 ft cord, SAE Class 1, 10-16v, Black Housing, 12 LED, Single Color - Blue/Amber</t>
  </si>
  <si>
    <t>ENFDWS3BA</t>
  </si>
  <si>
    <t>nFORCE® Dual Windshield Light w/ Suction Cup Mount, 12v Cigar Plug &amp; 11.5 ft cord, SAE Class 1, 10-16v, Black Housing, 12 LED, Single Color - Amber/White</t>
  </si>
  <si>
    <t>ENFDWS3AW</t>
  </si>
  <si>
    <t>nFORCE® Dual Windshield Light w/ Suction Cup Mount, 12v Cigar Plug &amp; 11.5 ft cord, SAE Class 1, 10-16v, Black Housing, 12 LED, Single Color - Amber/Amber</t>
  </si>
  <si>
    <t>ENFDWS3AA</t>
  </si>
  <si>
    <t>$520.00</t>
  </si>
  <si>
    <t>nFORCE® Dual Windshield Light w/ Suction Cup Mount, 12v Cigar Plug &amp; 11.5 ft cord, SAE Class 1, 10-16v, Black Housing, 9 LED, Single Color - Red/White</t>
  </si>
  <si>
    <t>ENFDWS2RW</t>
  </si>
  <si>
    <t>nFORCE® Dual Windshield Light w/ Suction Cup Mount, 12v Cigar Plug &amp; 11.5 ft cord, SAE Class 1, 10-16v, Black Housing, 9 LED, Single Color - Red/Red</t>
  </si>
  <si>
    <t>ENFDWS2RR</t>
  </si>
  <si>
    <t>nFORCE® Dual Windshield Light w/ Suction Cup Mount, 12v Cigar Plug &amp; 11.5 ft cord, SAE Class 1, 10-16v, Black Housing, 9 LED, Single Color - Red/Blue</t>
  </si>
  <si>
    <t>ENFDWS2RB</t>
  </si>
  <si>
    <t>nFORCE® Dual Windshield Light w/ Suction Cup Mount, 12v Cigar Plug &amp; 11.5 ft cord, SAE Class 1, 10-16v, Black Housing, 9 LED, Single Color - Red/Amber</t>
  </si>
  <si>
    <t>ENFDWS2RA</t>
  </si>
  <si>
    <t>nFORCE® Dual Windshield Light w/ Suction Cup Mount, 12v Cigar Plug &amp; 11.5 ft cord, SAE Class 1, 10-16v, Black Housing, 9 LED, Single Color - Blue/White</t>
  </si>
  <si>
    <t>ENFDWS2BW</t>
  </si>
  <si>
    <t>nFORCE® Dual Windshield Light w/ Suction Cup Mount, 12v Cigar Plug &amp; 11.5 ft cord, SAE Class 1, 10-16v, Black Housing, 9 LED, Single Color - Blue/Blue</t>
  </si>
  <si>
    <t>ENFDWS2BB</t>
  </si>
  <si>
    <t>nFORCE® Dual Windshield Light w/ Suction Cup Mount, 12v Cigar Plug &amp; 11.5 ft cord, SAE Class 1, 10-16v, Black Housing, 9 LED, Single Color - Blue/Amber</t>
  </si>
  <si>
    <t>ENFDWS2BA</t>
  </si>
  <si>
    <t>nFORCE® Dual Windshield Light w/ Suction Cup Mount, 12v Cigar Plug &amp; 11.5 ft cord, SAE Class 1, 10-16v, Black Housing, 9 LED, Single Color - Amber/White</t>
  </si>
  <si>
    <t>ENFDWS2AW</t>
  </si>
  <si>
    <t>nFORCE® Dual Windshield Light w/ Suction Cup Mount, 12v Cigar Plug &amp; 11.5 ft cord, SAE Class 1, 10-16v, Black Housing, 9 LED, Single Color - Amber/Amber</t>
  </si>
  <si>
    <t>ENFDWS2AA</t>
  </si>
  <si>
    <t>$476.00</t>
  </si>
  <si>
    <t>nFORCE® Dual Windshield Light w/ Suction Cup Mount, 12v Cigar Plug &amp; 11.5 ft cord, SAE Class 1, 10-16v, Black Housing, 6 LED, Single Color - Red/White</t>
  </si>
  <si>
    <t>ENFDWS1RW</t>
  </si>
  <si>
    <t>nFORCE® Dual Windshield Light w/ Suction Cup Mount, 12v Cigar Plug &amp; 11.5 ft cord, SAE Class 1, 10-16v, Black Housing, 6 LED, Single Color - Red/Red</t>
  </si>
  <si>
    <t>ENFDWS1RR</t>
  </si>
  <si>
    <t>nFORCE® Dual Windshield Light w/ Suction Cup Mount, 12v Cigar Plug &amp; 11.5 ft cord, SAE Class 1, 10-16v, Black Housing, 6 LED, Single Color - Red/Blue</t>
  </si>
  <si>
    <t>ENFDWS1RB</t>
  </si>
  <si>
    <t>nFORCE® Dual Windshield Light w/ Suction Cup Mount, 12v Cigar Plug &amp; 11.5 ft cord, SAE Class 1, 10-16v, Black Housing, 6 LED, Single Color - Red/Amber</t>
  </si>
  <si>
    <t>ENFDWS1RA</t>
  </si>
  <si>
    <t>nFORCE® Dual Windshield Light w/ Suction Cup Mount, 12v Cigar Plug &amp; 11.5 ft cord, SAE Class 1, 10-16v, Black Housing, 6 LED, Split Color - Red/Blue</t>
  </si>
  <si>
    <t>ENFDWS1JJ</t>
  </si>
  <si>
    <t>nFORCE® Dual Windshield Light w/ Suction Cup Mount, 12v Cigar Plug &amp; 11.5 ft cord, SAE Class 1, 10-16v, Black Housing, 6 LED, Single Color - Blue/White</t>
  </si>
  <si>
    <t>ENFDWS1BW</t>
  </si>
  <si>
    <t>nFORCE® Dual Windshield Light w/ Suction Cup Mount, 12v Cigar Plug &amp; 11.5 ft cord, SAE Class 1, 10-16v, Black Housing, 6 LED, Single Color - Blue/Blue</t>
  </si>
  <si>
    <t>ENFDWS1BB</t>
  </si>
  <si>
    <t>nFORCE® Dual Windshield Light w/ Suction Cup Mount, 12v Cigar Plug &amp; 11.5 ft cord, SAE Class 1, 10-16v, Black Housing, 6 LED, Single Color - Blue/Amber</t>
  </si>
  <si>
    <t>ENFDWS1BA</t>
  </si>
  <si>
    <t>nFORCE® Dual Windshield Light w/ Suction Cup Mount, 12v Cigar Plug &amp; 11.5 ft cord, SAE Class 1, 10-16v, Black Housing, 6 LED, Single Color - Amber/White</t>
  </si>
  <si>
    <t>ENFDWS1AW</t>
  </si>
  <si>
    <t>nFORCE® Dual Windshield Light w/ Suction Cup Mount, 12v Cigar Plug &amp; 11.5 ft cord, SAE Class 1, 10-16v, Black Housing, 6 LED, Single Color - Amber/Amber</t>
  </si>
  <si>
    <t>ENFDWS1AA</t>
  </si>
  <si>
    <t>nFORCE Dual Light - Windshield Mount Suction Cup</t>
  </si>
  <si>
    <t>$628.00</t>
  </si>
  <si>
    <t>nFORCE® Dual Windshield Light w/ Permanent Mount, 12" hard wire w/ sync option, SAE Class 1, 10-16v, Black Housing, 18 LED,  Tricolor - Blue/Red/White</t>
  </si>
  <si>
    <t>ENFDWP4BRW</t>
  </si>
  <si>
    <t>nFORCE® Dual Windshield Light w/ Permanent Mount, 12" hard wire w/ sync option, SAE Class 1, 10-16v, Black Housing, 18 LED, Tricolor - Blue/Red/Amber</t>
  </si>
  <si>
    <t>ENFDWP4BRA</t>
  </si>
  <si>
    <t>$556.00</t>
  </si>
  <si>
    <t>nFORCE® Dual Windshield Light w/ Permanent Mount, 12" hard wire w/ sync option, SAE Class 1, 10-16v, Black Housing, 12 LED, Single Color - Red/White</t>
  </si>
  <si>
    <t>ENFDWP3RW</t>
  </si>
  <si>
    <t>nFORCE® Dual Windshield Light w/ Permanent Mount, 12" hard wire w/ sync option, SAE Class 1, 10-16v, Black Housing, 12 LED, Single Color - Red/Red</t>
  </si>
  <si>
    <t>ENFDWP3RR</t>
  </si>
  <si>
    <t>nFORCE® Dual Windshield Light w/ Permanent Mount, 12" hard wire w/ sync option, SAE Class 1, 10-16v, Black Housing, 12 LED, Single Color - Red/Blue</t>
  </si>
  <si>
    <t>ENFDWP3RB</t>
  </si>
  <si>
    <t>nFORCE® Dual Windshield Light w/ Permanent Mount, 12" hard wire w/ sync option, SAE Class 1, 10-16v, Black Housing, 12 LED, Single Color - Red/Amber</t>
  </si>
  <si>
    <t>ENFDWP3RA</t>
  </si>
  <si>
    <t>nFORCE® Dual Windshield Light w/ Permanent Mount, 12" hard wire w/ sync option, SAE Class 1, 10-16v, Black Housing, 12 LED, Split Color - Red/Blue</t>
  </si>
  <si>
    <t>ENFDWP3JJ</t>
  </si>
  <si>
    <t>nFORCE® Dual Windshield Light w/ Permanent Mount, 12" hard wire w/ sync option, SAE Class 1, 10-16v, Black Housing, 12 LED, Single Color - Blue/White</t>
  </si>
  <si>
    <t>ENFDWP3BW</t>
  </si>
  <si>
    <t>nFORCE® Dual Windshield Light w/ Permanent Mount, 12" hard wire w/ sync option, SAE Class 1, 10-16v, Black Housing, 12 LED, Single Color - Blue/Blue</t>
  </si>
  <si>
    <t>ENFDWP3BB</t>
  </si>
  <si>
    <t>nFORCE® Dual Windshield Light w/ Permanent Mount, 12" hard wire w/ sync option, SAE Class 1, 10-16v, Black Housing, 12 LED, Single Color - Blue/Amber</t>
  </si>
  <si>
    <t>ENFDWP3BA</t>
  </si>
  <si>
    <t>nFORCE® Dual Windshield Light w/ Permanent Mount, 12" hard wire w/ sync option, SAE Class 1, 10-16v, Black Housing, 12 LED, Single Color - Amber/White</t>
  </si>
  <si>
    <t>ENFDWP3AW</t>
  </si>
  <si>
    <t>nFORCE® Dual Windshield Light w/ Permanent Mount, 12" hard wire w/ sync option, SAE Class 1, 10-16v, Black Housing, 12 LED, Single Color - Amber/Amber</t>
  </si>
  <si>
    <t>ENFDWP3AA</t>
  </si>
  <si>
    <t>$592.00</t>
  </si>
  <si>
    <t>nFORCE® Dual Windshield Light w/ Permanent Mount, 12" hard wire w/ sync option, SAE Class 1, CA Title 13, 10-16v, Black Housing, Driver Side 12 LED, Dual Color Red/White, Passenger Side 18 LED, Tricolor Blue/Red/White</t>
  </si>
  <si>
    <t>ENFDWP34DBRW</t>
  </si>
  <si>
    <t>$532.00</t>
  </si>
  <si>
    <t>nFORCE® Dual Windshield Light w/ Permanent Mount, 12" hard wire w/ sync option, SAE Class 1, 10-16v, Black Housing, 9 LED, Single Color - Red/White</t>
  </si>
  <si>
    <t>ENFDWP2RW</t>
  </si>
  <si>
    <t>nFORCE® Dual Windshield Light w/ Permanent Mount, 12" hard wire w/ sync option, SAE Class 1, 10-16v, Black Housing, 9 LED, Single Color - Red/Red</t>
  </si>
  <si>
    <t>ENFDWP2RR</t>
  </si>
  <si>
    <t>nFORCE® Dual Windshield Light w/ Permanent Mount, 12" hard wire w/ sync option, SAE Class 1, 10-16v, Black Housing, 9 LED, Single Color - Red/Blue</t>
  </si>
  <si>
    <t>ENFDWP2RB</t>
  </si>
  <si>
    <t>nFORCE® Dual Windshield Light w/ Permanent Mount, 12" hard wire w/ sync option, SAE Class 1, 10-16v, Black Housing, 9 LED, Single Color - Red/Amber</t>
  </si>
  <si>
    <t>ENFDWP2RA</t>
  </si>
  <si>
    <t>nFORCE® Dual Windshield Light w/ Permanent Mount, 12" hard wire w/ sync option, SAE Class 1, 10-16v, Black Housing, 9 LED, Single Color - Blue/White</t>
  </si>
  <si>
    <t>ENFDWP2BW</t>
  </si>
  <si>
    <t>nFORCE® Dual Windshield Light w/ Permanent Mount, 12" hard wire w/ sync option, SAE Class 1, 10-16v, Black Housing, 9 LED, Single Color - Blue/Blue</t>
  </si>
  <si>
    <t>ENFDWP2BB</t>
  </si>
  <si>
    <t>nFORCE® Dual Windshield Light w/ Permanent Mount, 12" hard wire w/ sync option, SAE Class 1, 10-16v, Black Housing, 9 LED, Single Color - Blue/Amber</t>
  </si>
  <si>
    <t>ENFDWP2BA</t>
  </si>
  <si>
    <t>nFORCE® Dual Windshield Light w/ Permanent Mount, 12" hard wire w/ sync option, SAE Class 1, 10-16v, Black Housing, 9 LED, Single Color - Amber/White</t>
  </si>
  <si>
    <t>ENFDWP2AW</t>
  </si>
  <si>
    <t>nFORCE® Dual Windshield Light w/ Permanent Mount, 12" hard wire w/ sync option, SAE Class 1, 10-16v, Black Housing, 9 LED, Single Color - Amber/Amber</t>
  </si>
  <si>
    <t>ENFDWP2AA</t>
  </si>
  <si>
    <t>$488.00</t>
  </si>
  <si>
    <t>nFORCE® Dual Windshield Light w/ Permanent Mount, 12" hard wire w/ sync option, SAE Class 1, 10-16v, Black Housing, 6 LED, Single Color - Red/White</t>
  </si>
  <si>
    <t>ENFDWP1RW</t>
  </si>
  <si>
    <t>nFORCE® Dual Windshield Light w/ Permanent Mount, 12" hard wire w/ sync option, SAE Class 1, 10-16v, Black Housing, 6 LED, Single Color - Red/Red</t>
  </si>
  <si>
    <t>ENFDWP1RR</t>
  </si>
  <si>
    <t>nFORCE® Dual Windshield Light w/ Permanent Mount, 12" hard wire w/ sync option, SAE Class 1, 10-16v, Black Housing, 6 LED, Single Color - Red/Blue</t>
  </si>
  <si>
    <t>ENFDWP1RB</t>
  </si>
  <si>
    <t>nFORCE® Dual Windshield Light w/ Permanent Mount, 12" hard wire w/ sync option, SAE Class 1, 10-16v, Black Housing, 6 LED, Single Color - Red/Amber</t>
  </si>
  <si>
    <t>ENFDWP1RA</t>
  </si>
  <si>
    <t>nFORCE® Dual Windshield Light w/ Permanent Mount, 12" hard wire w/ sync option, SAE Class 1, 10-16v, Black Housing, 6 LED, Split Color - Red/Blue</t>
  </si>
  <si>
    <t>ENFDWP1JJ</t>
  </si>
  <si>
    <t>nFORCE® Dual Windshield Light w/ Permanent Mount, 12" hard wire w/ sync option, SAE Class 1, 10-16v, Black Housing, 6 LED, Single Color - Blue/White</t>
  </si>
  <si>
    <t>ENFDWP1BW</t>
  </si>
  <si>
    <t>nFORCE® Dual Windshield Light w/ Permanent Mount, 12" hard wire w/ sync option, SAE Class 1, 10-16v, Black Housing, 6 LED, Single Color - Blue/Blue</t>
  </si>
  <si>
    <t>ENFDWP1BB</t>
  </si>
  <si>
    <t>nFORCE® Dual Windshield Light w/ Permanent Mount, 12" hard wire w/ sync option, SAE Class 1, 10-16v, Black Housing, 6 LED, Single Color - Blue/Amber</t>
  </si>
  <si>
    <t>ENFDWP1BA</t>
  </si>
  <si>
    <t>nFORCE® Dual Windshield Light w/ Permanent Mount, 12" hard wire w/ sync option, SAE Class 1, 10-16v, Black Housing, 6 LED, Single Color - Amber/White</t>
  </si>
  <si>
    <t>ENFDWP1AW</t>
  </si>
  <si>
    <t>nFORCE® Dual Windshield Light w/ Permanent Mount, 12" hard wire w/ sync option, SAE Class 1, 10-16v, Black Housing, 6 LED, Single Color - Amber/Amber</t>
  </si>
  <si>
    <t>ENFDWP1AA</t>
  </si>
  <si>
    <t>nFORCE Dual Light - Windshield Mount Permanent</t>
  </si>
  <si>
    <t>$609.00</t>
  </si>
  <si>
    <t>nFORCE® Dual Deck/Grille Mount Light, SAE Class 1, 10-16v, Black Housing, 18 LED, Tricolor - Blue/Red/White</t>
  </si>
  <si>
    <t>ENFDGS4BRW</t>
  </si>
  <si>
    <t>nFORCE® Dual Deck/Grille Mount Light, SAE Class 1, 10-16v, Black Housing, 18 LED, Tricolor - Blue/Red/Amber</t>
  </si>
  <si>
    <t>ENFDGS4BRA</t>
  </si>
  <si>
    <t>$537.00</t>
  </si>
  <si>
    <t>nFORCE® Dual Deck/Grille Mount Light, SAE Class 1, 10-16v, Black Housing, 12 LED, Single Color - Red/White</t>
  </si>
  <si>
    <t>ENFDGS3RW</t>
  </si>
  <si>
    <t>nFORCE® Dual Deck/Grille Mount Light, SAE Class 1, 10-16v, Black Housing, 12 LED, Single Color - Red/Red</t>
  </si>
  <si>
    <t>ENFDGS3RR</t>
  </si>
  <si>
    <t>nFORCE® Dual Deck/Grille Mount Light, SAE Class 1, 10-16v, Black Housing, 12 LED, Single Color - Red/Blue</t>
  </si>
  <si>
    <t>ENFDGS3RB</t>
  </si>
  <si>
    <t>nFORCE® Dual Deck/Grille Mount Light, SAE Class 1, 10-16v, Black Housing, 12 LED, Single Color - Red/Amber</t>
  </si>
  <si>
    <t>ENFDGS3RA</t>
  </si>
  <si>
    <t>nFORCE® Dual Deck/Grille Mount Light, SAE Class 1, 10-16v, Black Housing, 12 LED, Split Color - Red/Blue</t>
  </si>
  <si>
    <t>ENFDGS3JJ</t>
  </si>
  <si>
    <t>nFORCE® Dual Deck/Grille Mount Light, SAE Class 1, 10-16v, Black Housing, 12 LED, Single Color - Blue/White</t>
  </si>
  <si>
    <t>ENFDGS3BW</t>
  </si>
  <si>
    <t>nFORCE® Dual Deck/Grille Mount Light, SAE Class 1, 10-16v, Black Housing, 12 LED, Single Color - Blue/Blue</t>
  </si>
  <si>
    <t>ENFDGS3BB</t>
  </si>
  <si>
    <t>nFORCE® Dual Deck/Grille Mount Light, SAE Class 1, 10-16v, Black Housing, 12 LED, Single Color - Blue/Amber</t>
  </si>
  <si>
    <t>ENFDGS3BA</t>
  </si>
  <si>
    <t>nFORCE® Dual Deck/Grille Mount Light, SAE Class 1, 10-16v, Black Housing, 12 LED, Single Color - Amber/White</t>
  </si>
  <si>
    <t>ENFDGS3AW</t>
  </si>
  <si>
    <t>nFORCE® Dual Deck/Grille Mount Light, SAE Class 1, 10-16v, Black Housing, 12 LED, Single Color - Amber/Amber</t>
  </si>
  <si>
    <t>ENFDGS3AA</t>
  </si>
  <si>
    <t>$513.00</t>
  </si>
  <si>
    <t>nFORCE® Dual Deck/Grille Mount Light, SAE Class 1, 10-16v, Black Housing, 9 LED, Single Color - Red/White</t>
  </si>
  <si>
    <t>ENFDGS2RW</t>
  </si>
  <si>
    <t>nFORCE® Dual Deck/Grille Mount Light, SAE Class 1, 10-16v, Black Housing, 9 LED, Single Color - Red/Red</t>
  </si>
  <si>
    <t>ENFDGS2RR</t>
  </si>
  <si>
    <t>nFORCE® Dual Deck/Grille Mount Light, SAE Class 1, 10-16v, Black Housing, 9 LED, Single Color - Red/Blue</t>
  </si>
  <si>
    <t>ENFDGS2RB</t>
  </si>
  <si>
    <t>nFORCE® Dual Deck/Grille Mount Light, SAE Class 1, 10-16v, Black Housing, 9 LED, Single Color - Red/Amber</t>
  </si>
  <si>
    <t>ENFDGS2RA</t>
  </si>
  <si>
    <t>nFORCE® Dual Deck/Grille Mount Light, SAE Class 1, 10-16v, Black Housing, 9 LED, Single Color - Blue/White</t>
  </si>
  <si>
    <t>ENFDGS2BW</t>
  </si>
  <si>
    <t>nFORCE® Dual Deck/Grille Mount Light, SAE Class 1, 10-16v, Black Housing, 9 LED, Single Color - Blue/Blue</t>
  </si>
  <si>
    <t>ENFDGS2BB</t>
  </si>
  <si>
    <t>nFORCE® Dual Deck/Grille Mount Light, SAE Class 1, 10-16v, Black Housing, 9 LED, Single Color - Blue/Amber</t>
  </si>
  <si>
    <t>ENFDGS2BA</t>
  </si>
  <si>
    <t>nFORCE® Dual Deck/Grille Mount Light, SAE Class 1, 10-16v, Black Housing, 9 LED, Single Color - Amber/White</t>
  </si>
  <si>
    <t>ENFDGS2AW</t>
  </si>
  <si>
    <t>nFORCE® Dual Deck/Grille Mount Light, SAE Class 1, 10-16v, Black Housing, 9 LED, Single Color - Amber/Amber</t>
  </si>
  <si>
    <t>ENFDGS2AA</t>
  </si>
  <si>
    <t>$469.00</t>
  </si>
  <si>
    <t>nFORCE® Dual Deck/Grille Mount Light, SAE Class 1, 10-16v, Black Housing, 6 LED, Single Color - Red/White</t>
  </si>
  <si>
    <t>ENFDGS1RW</t>
  </si>
  <si>
    <t>nFORCE® Dual Deck/Grille Mount Light, SAE Class 1, 10-16v, Black Housing, 6 LED, Single Color - Red/Red</t>
  </si>
  <si>
    <t>ENFDGS1RR</t>
  </si>
  <si>
    <t>nFORCE® Dual Deck/Grille Mount Light, SAE Class 1, 10-16v, Black Housing, 6 LED, Single Color - Red/Blue</t>
  </si>
  <si>
    <t>ENFDGS1RB</t>
  </si>
  <si>
    <t>nFORCE® Dual Deck/Grille Mount Light, SAE Class 1, 10-16v, Black Housing, 6 LED, Single Color - Red/Amber</t>
  </si>
  <si>
    <t>ENFDGS1RA</t>
  </si>
  <si>
    <t>nFORCE® Dual Deck/Grille Mount Light, SAE Class 1, 10-16v, Black Housing, 6 LED, Split Color - Red/Blue</t>
  </si>
  <si>
    <t>ENFDGS1JJ</t>
  </si>
  <si>
    <t>nFORCE® Dual Deck/Grille Mount Light, SAE Class 1, 10-16v, Black Housing, 6 LED, Single Color - Blue/White</t>
  </si>
  <si>
    <t>ENFDGS1BW</t>
  </si>
  <si>
    <t>nFORCE® Dual Deck/Grille Mount Light, SAE Class 1, 10-16v, Black Housing, 6 LED, Single Color - Blue/Blue</t>
  </si>
  <si>
    <t>ENFDGS1BB</t>
  </si>
  <si>
    <t>nFORCE® Dual Deck/Grille Mount Light, SAE Class 1, 10-16v, Black Housing, 6 LED, Single Color - Blue/Amber</t>
  </si>
  <si>
    <t>ENFDGS1BA</t>
  </si>
  <si>
    <t>nFORCE® Dual Deck/Grille Mount Light, SAE Class 1, 10-16v, Black Housing, 6 LED, Single Color - Amber/White</t>
  </si>
  <si>
    <t>ENFDGS1AW</t>
  </si>
  <si>
    <t>nFORCE® Dual Deck/Grille Mount Light, SAE Class 1, 10-16v, Black Housing, 6 LED, Single Color - Amber/Amber</t>
  </si>
  <si>
    <t>ENFDGS1AA</t>
  </si>
  <si>
    <t>nFORCE Dual Light - Deck/Grille Mount</t>
  </si>
  <si>
    <t>Limited Lifetime Warranty</t>
  </si>
  <si>
    <t>$673.99</t>
  </si>
  <si>
    <t>mpower® ORV Chase Light Kit, compatible with Ford F-150 (2014-2024) and SuperDuty (2017-2024)</t>
  </si>
  <si>
    <t>RTL-ETCL40FFB1</t>
  </si>
  <si>
    <t xml:space="preserve"> Ø</t>
  </si>
  <si>
    <t>mpower® ORV Chase Light Kit</t>
  </si>
  <si>
    <t>$539.99</t>
  </si>
  <si>
    <t>mpower® ORV 6x1 Silicone Light Kit with vehicle harness</t>
  </si>
  <si>
    <t>RTL-EMPR20040-WW</t>
  </si>
  <si>
    <t>$497.99</t>
  </si>
  <si>
    <t>mpower® ORV 6x1 Light Kit</t>
  </si>
  <si>
    <t>RTL-EMPR20036-WW</t>
  </si>
  <si>
    <t>mpower® ORV 6x1</t>
  </si>
  <si>
    <t>$487.00</t>
  </si>
  <si>
    <t>mpower® HP 6x1 Light includes (1) Light, (1) U- Shaped bracket with mounting hardware - White LEDs</t>
  </si>
  <si>
    <t>EMPR20013-W</t>
  </si>
  <si>
    <t>mpower® HP 6x1</t>
  </si>
  <si>
    <t>$280.00</t>
  </si>
  <si>
    <t>mpower® HD 4" Light, 18" hard wire w/ sync option, SAE Class 1 &amp; CA Title 13, 9-32 Vdc, Clear Lens, 18 LED, Tricolor - Red/Blue/White</t>
  </si>
  <si>
    <t>EMPS4STS5RBW</t>
  </si>
  <si>
    <t>mpower® HD 4" Light, 18" hard wire w/ sync option, SAE Class 1 &amp; CA Title 13, 9-32 Vdc, Clear Lens, 18 LED, Tricolor - Red/Blue/Amber</t>
  </si>
  <si>
    <t>EMPS4STS5RBA</t>
  </si>
  <si>
    <t>$252.00</t>
  </si>
  <si>
    <t>mpower® HD 4" Light, 18" hard wire w/ sync option, SAE Class 1 &amp; CA Title 13, 9-32 Vdc, Clear Lens, 12 LED, Dual Color - Red/Blue</t>
  </si>
  <si>
    <t>EMPS4STS4J</t>
  </si>
  <si>
    <t>mpower® HD 4" Light, 18" hard wire w/ sync option, SAE Class 1 &amp; CA Title 13, 9-32 Vdc, Clear Lens, 12 LED, Dual Color - Amber/White</t>
  </si>
  <si>
    <t>EMPS4STS4F</t>
  </si>
  <si>
    <t>mpower® HD 4" Light, 18" hard wire w/ sync option, SAE Class 1 &amp; CA Title 13, 9-32 Vdc, Clear Lens, 12 LED, Dual Color - Blue/White</t>
  </si>
  <si>
    <t>EMPS4STS4E</t>
  </si>
  <si>
    <t>mpower® HD 4" Light, 18" hard wire w/ sync option, SAE Class 1 &amp; CA Title 13, 9-32 Vdc, Clear Lens, 12 LED, Dual Color - Red/White</t>
  </si>
  <si>
    <t>EMPS4STS4D</t>
  </si>
  <si>
    <t>$236.00</t>
  </si>
  <si>
    <t>mpower® HD 4" Light, 18" hard wire w/ sync option, SAE Class 1 &amp; CA Title 13, 9-32 Vdc, Clear Lens, 8 LED, Single Color - White</t>
  </si>
  <si>
    <t>EMPS4STS3W</t>
  </si>
  <si>
    <t>mpower® HD 4" Light, 18" hard wire w/ sync option, SAE Class 1 &amp; CA Title 13, 9-32 Vdc, Clear Lens, 8 LED, Single Color - Red</t>
  </si>
  <si>
    <t>EMPS4STS3R</t>
  </si>
  <si>
    <t>mpower® HD 4" Light, 18" hard wire w/ sync option, SAE Class 1 &amp; CA Title 13, 9-32 Vdc, Clear Lens, 8 LED, Single Color - Blue</t>
  </si>
  <si>
    <t>EMPS4STS3B</t>
  </si>
  <si>
    <t>mpower® HD 4" Light, 18" hard wire w/ sync option, SAE Class 1 &amp; CA Title 13, 9-32 Vdc, Clear Lens, 8 LED, Single Color - Amber</t>
  </si>
  <si>
    <t>EMPS4STS3A</t>
  </si>
  <si>
    <t>$215.00</t>
  </si>
  <si>
    <t>mpower® HD 4" Light, 18" hard wire w/ sync option, SAE Class 1 &amp; CA Title 13, 9-32 Vdc, Clear Lens, 6 LED, Single Color - White</t>
  </si>
  <si>
    <t>EMPS4STS2W</t>
  </si>
  <si>
    <t>mpower® HD 4" Light, 18" hard wire w/ sync option, SAE Class 1 &amp; CA Title 13, 9-32 Vdc, 6 LED, Single Color - Red</t>
  </si>
  <si>
    <t>EMPS4STS2R</t>
  </si>
  <si>
    <t>mpower® HD 4" Light, 18" hard wire w/ sync option, SAE Class 1 &amp; CA Title 13, 9-32 Vdc, Clear Lens, 6 LED, Single Color - Blue</t>
  </si>
  <si>
    <t>EMPS4STS2B</t>
  </si>
  <si>
    <t>mpower® HD 4" Light, 18" hard wire w/ sync option, SAE Class 1 &amp; CA Title 13, 9-32 Vdc, Clear Lens, 6 LED, Single Color - Amber</t>
  </si>
  <si>
    <t>EMPS4STS2A</t>
  </si>
  <si>
    <t>mpower® HD Light</t>
  </si>
  <si>
    <t>mpower® 4" Fascia Light w/ Stud Mount, 18" hard wire w/ sync option, SAE Class 1 &amp; CA Title 13, 9-32 Vdc, Black Housing, 18 LED, Tricolor - Red/Blue/White</t>
  </si>
  <si>
    <t>EMPS2STS5RBW</t>
  </si>
  <si>
    <t>mpower® 4" Fascia Light w/ Stud Mount, 18" hard wire w/ sync option, SAE Class 1 &amp; CA Title 13, 9-32 Vdc, Black Housing, 18 LED, Tricolor - Red/Blue/Amber</t>
  </si>
  <si>
    <t>EMPS2STS5RBA</t>
  </si>
  <si>
    <t>mpower® 4" Fascia Light w/ Stud Mount, 18" hard wire w/ sync option, SAE Class 1 &amp; CA Title 13, 9-32 Vdc, Black Housing, 12 LED, Dual Color - Red/Blue</t>
  </si>
  <si>
    <t>EMPS2STS4J</t>
  </si>
  <si>
    <t>mpower® 4" Fascia Light w/ Stud Mount, 18" hard wire w/ sync option, SAE Class 1 &amp; CA Title 13, 9-32 Vdc, Black Housing, 12 LED, Dual Color - Amber/White</t>
  </si>
  <si>
    <t>EMPS2STS4F</t>
  </si>
  <si>
    <t>mpower® 4" Fascia Light w/ Stud Mount, 18" hard wire w/ sync option, SAE Class 1 &amp; CA Title 13, 9-32 Vdc, Black Housing, 12 LED, Dual Color - Blue/White</t>
  </si>
  <si>
    <t>EMPS2STS4E</t>
  </si>
  <si>
    <t>mpower® 4" Fascia Light w/ Stud Mount, 18" hard wire w/ sync option, SAE Class 1 &amp; CA Title 13, 9-32 Vdc, Black Housing, 12 LED, Dual Color - Red/White</t>
  </si>
  <si>
    <t>EMPS2STS4D</t>
  </si>
  <si>
    <t>mpower® 4" Fascia Light w/ Stud Mount, 18" hard wire w/ sync option, SAE Class 1 &amp; CA Title 13, 9-32 Vdc, Black Housing, 8 LED, Single Color - White</t>
  </si>
  <si>
    <t>EMPS2STS3W</t>
  </si>
  <si>
    <t>mpower® 4" Fascia Light w/ Stud Mount, 18" hard wire w/ sync option, SAE Class 1 &amp; CA Title 13, 9-32 Vdc, Black Housing, 8 LED, Single Color - Red</t>
  </si>
  <si>
    <t>EMPS2STS3R</t>
  </si>
  <si>
    <t>mpower® 4" Fascia Light w/ Stud Mount, 18" hard wire w/ sync option, SAE Class 1 &amp; CA Title 13, 9-32 Vdc, Black Housing, 8 LED, Single Color - Blue</t>
  </si>
  <si>
    <t>EMPS2STS3B</t>
  </si>
  <si>
    <t>mpower® 4" Fascia Light w/ Stud Mount, 18" hard wire w/ sync option, SAE Class 1 &amp; CA Title 13, 9-32 Vdc, Black Housing, 8 LED, Single Color - Amber</t>
  </si>
  <si>
    <t>EMPS2STS3A</t>
  </si>
  <si>
    <t>mpower® 4" Fascia Light w/ Stud Mount, 18" hard wire w/ sync option, SAE Class 1 &amp; CA Title 13, 9-32 Vdc, Black Housing, 6 LED, Single Color - White</t>
  </si>
  <si>
    <t>EMPS2STS2W</t>
  </si>
  <si>
    <t>mpower® 4" Fascia Light w/ Stud Mount, 18" hard wire w/ sync option, SAE Class 1 &amp; CA Title 13, 9-32 Vdc, Black Housing, 6 LED, Single Color - Red</t>
  </si>
  <si>
    <t>EMPS2STS2R</t>
  </si>
  <si>
    <t>mpower® 4" Fascia Light w/ Stud Mount, 18" hard wire w/ sync option, SAE Class 1 &amp; CA Title 13, 9-32 Vdc, Black Housing, 6 LED, Single Color - Blue</t>
  </si>
  <si>
    <t>EMPS2STS2B</t>
  </si>
  <si>
    <t>mpower® 4" Fascia Light w/ Stud Mount, 18" hard wire w/ sync option, SAE Class 1 &amp; CA Title 13, 9-32 Vdc, Black Housing, 6 LED, Single Color - Amber</t>
  </si>
  <si>
    <t>EMPS2STS2A</t>
  </si>
  <si>
    <t>mpower® 4" Fascia Light w/ Screw Mount, 18" hard wire w/ sync option, SAE Class 1 &amp; CA Title 13, 9-32 Vdc, Black Housing, 18 LED, Tricolor - Red/Blue/White</t>
  </si>
  <si>
    <t>EMPS2SMS5RBW</t>
  </si>
  <si>
    <t>mpower® 4" Fascia Light w/ Screw Mount, 18" hard wire w/ sync option, SAE Class 1 &amp; CA Title 13, 9-32 Vdc, Black Housing, 18 LED, Tricolor - Red/Blue/Amber</t>
  </si>
  <si>
    <t>EMPS2SMS5RBA</t>
  </si>
  <si>
    <t>mpower® 4" Fascia Light w/ Screw Mount, 18" hard wire w/ sync option, SAE Class 1 &amp; CA Title 13, 9-32 Vdc, Black Housing, 12 LED, Dual Color - Red/Blue</t>
  </si>
  <si>
    <t>EMPS2SMS4J</t>
  </si>
  <si>
    <t>mpower® 4" Fascia Light w/ Screw Mount, 18" hard wire w/ sync option, SAE Class 1 &amp; CA Title 13, 9-32 Vdc, Black Housing, 12 LED, Dual Color - Amber/White</t>
  </si>
  <si>
    <t>EMPS2SMS4F</t>
  </si>
  <si>
    <t>mpower® 4" Fascia Light w/ Screw Mount, 18" hard wire w/ sync option, SAE Class 1 &amp; CA Title 13, 9-32 Vdc, Black Housing, 12 LED, Dual Color - Blue/White</t>
  </si>
  <si>
    <t>EMPS2SMS4E</t>
  </si>
  <si>
    <t>mpower® 4" Fascia Light w/ Screw Mount, 18" hard wire w/ sync option, SAE Class 1 &amp; CA Title 13, 9-32 Vdc, Black Housing, 12 LED, Dual Color - Red/White</t>
  </si>
  <si>
    <t>EMPS2SMS4D</t>
  </si>
  <si>
    <t>mpower® 4" Fascia Light w/ Screw Mount, 18" hard wire w/ sync option, SAE Class 1 &amp; CA Title 13, 9-32 Vdc, Black Housing, 8 LED, Single Color - White</t>
  </si>
  <si>
    <t>EMPS2SMS3W</t>
  </si>
  <si>
    <t>mpower® 4" Fascia Light w/ Screw Mount, 18" hard wire w/ sync option, SAE Class 1 &amp; CA Title 13, 9-32 Vdc, Black Housing, 8 LED, Single Color - Red</t>
  </si>
  <si>
    <t>EMPS2SMS3R</t>
  </si>
  <si>
    <t>mpower® 4" Fascia Light w/ Screw Mount, 18" hard wire w/ sync option, SAE Class 1 &amp; CA Title 13, 9-32 Vdc, Black Housing, 8 LED, Single Color - Blue</t>
  </si>
  <si>
    <t>EMPS2SMS3B</t>
  </si>
  <si>
    <t>mpower® 4" Fascia Light w/ Screw Mount, 18" hard wire w/ sync option, SAE Class 1 &amp; CA Title 13, 9-32 Vdc, Black Housing, 8 LED, Single Color - Amber</t>
  </si>
  <si>
    <t>EMPS2SMS3A</t>
  </si>
  <si>
    <t>mpower® 4" Fascia Light w/ Screw Mount, 18" hard wire w/ sync option, SAE Class 1 &amp; CA Title 13, 9-32 Vdc, Black Housing, 6 LED, Single Color - White</t>
  </si>
  <si>
    <t>EMPS2SMS2W</t>
  </si>
  <si>
    <t>mpower® 4" Fascia Light w/ Screw Mount, 18" hard wire w/ sync option, SAE Class 1 &amp; CA Title 13, 9-32 Vdc, Black Housing, 6 LED, Single Color - Red</t>
  </si>
  <si>
    <t>EMPS2SMS2R</t>
  </si>
  <si>
    <t>mpower® 4" Fascia Light w/ Screw Mount, 18" hard wire w/ sync option, SAE Class 1 &amp; CA Title 13, 9-32 Vdc, Black Housing, 6 LED, Single Color - Blue</t>
  </si>
  <si>
    <t>EMPS2SMS2B</t>
  </si>
  <si>
    <t>mpower® 4" Fascia Light w/ Screw Mount, 18" hard wire w/ sync option, SAE Class 1 &amp; CA Title 13, 9-32 Vdc, Black Housing, 6 LED, Single Color - Amber</t>
  </si>
  <si>
    <t>EMPS2SMS2A</t>
  </si>
  <si>
    <t>mpower® 4" Fascia Light w/ Quick Mount, 18" hard wire w/ sync option, SAE Class 1 &amp; CA Title 13, 9-32 Vdc, Black Housing, 18 LED, Tricolor - Red/Blue/White</t>
  </si>
  <si>
    <t>EMPS2QMS5RBW</t>
  </si>
  <si>
    <t>mpower® 4" Fascia Light w/ Quick Mount, 18" hard wire w/ sync option, SAE Class 1 &amp; CA Title 13, 9-32 Vdc, Black Housing, 18 LED, Tricolor - Red/Blue/Amber</t>
  </si>
  <si>
    <t>EMPS2QMS5RBA</t>
  </si>
  <si>
    <t>mpower® 4" Fascia Light w/ Quick Mount, 18" hard wire w/ sync option, SAE Class 1 &amp; CA Title 13, 9-32 Vdc, Black Housing, 12 LED, Dual Color - Red/Blue</t>
  </si>
  <si>
    <t>EMPS2QMS4J</t>
  </si>
  <si>
    <t>mpower® 4" Fascia Light w/ Quick Mount, 18" hard wire w/ sync option, SAE Class 1 &amp; CA Title 13, 9-32 Vdc, Black Housing, 12 LED, Dual Color - Amber/White</t>
  </si>
  <si>
    <t>EMPS2QMS4F</t>
  </si>
  <si>
    <t>mpower® 4" Fascia Light w/ Quick Mount, 18" hard wire w/ sync option, SAE Class 1 &amp; CA Title 13, 9-32 Vdc, Black Housing, 12 LED, Dual Color - Blue/White</t>
  </si>
  <si>
    <t>EMPS2QMS4E</t>
  </si>
  <si>
    <t>mpower® 4" Fascia Light w/ Quick Mount, 18" hard wire w/ sync option, SAE Class 1 &amp; CA Title 13, 9-32 Vdc, Black Housing, 12 LED, Dual Color - Red/White</t>
  </si>
  <si>
    <t>EMPS2QMS4D</t>
  </si>
  <si>
    <t>mpower® 4" Fascia Light w/ Quick Mount, 18" hard wire w/ sync option, SAE Class 1 &amp; CA Title 13, 9-32 Vdc, Black Housing, 8 LED, Single Color - White</t>
  </si>
  <si>
    <t>EMPS2QMS3W</t>
  </si>
  <si>
    <t>mpower® 4" Fascia Light w/ Quick Mount, 18" hard wire w/ sync option, SAE Class 1 &amp; CA Title 13, 9-32 Vdc, Black Housing, 8 LED, Single Color - Red</t>
  </si>
  <si>
    <t>EMPS2QMS3R</t>
  </si>
  <si>
    <t>mpower® 4" Fascia Light w/ Quick Mount, 18" hard wire w/ sync option, SAE Class 1 &amp; CA Title 13, 9-32 Vdc, Black Housing, 8 LED, Single Color - Blue</t>
  </si>
  <si>
    <t>EMPS2QMS3B</t>
  </si>
  <si>
    <t>mpower® 4" Fascia Light w/ Quick Mount, 18" hard wire w/ sync option, SAE Class 1 &amp; CA Title 13, 9-32 Vdc, Black Housing, 8 LED, Single Color - Amber</t>
  </si>
  <si>
    <t>EMPS2QMS3A</t>
  </si>
  <si>
    <t>mpower® 4" Fascia Light w/ Quick Mount, 18" hard wire w/ sync option, SAE Class 1 &amp; CA Title 13, 9-32 Vdc, Black Housing, 6 LED, Single Color - White</t>
  </si>
  <si>
    <t>EMPS2QMS2W</t>
  </si>
  <si>
    <t>mpower® 4" Fascia Light w/ Quick Mount, 18" hard wire w/ sync option, SAE Class 1 &amp; CA Title 13, 9-32 Vdc, Black Housing, 6 LED, Single Color - Red</t>
  </si>
  <si>
    <t>EMPS2QMS2R</t>
  </si>
  <si>
    <t>mpower® 4" Fascia Light w/ Quick Mount, 18" hard wire w/ sync option, SAE Class 1 &amp; CA Title 13, 9-32 Vdc, Black Housing, 6 LED, Single Color - Blue</t>
  </si>
  <si>
    <t>EMPS2QMS2B</t>
  </si>
  <si>
    <t>mpower® 4" Fascia Light w/ Quick Mount, 18" hard wire w/ sync option, SAE Class 1 &amp; CA Title 13, 9-32 Vdc, Black Housing, 6 LED, Single Color - Amber</t>
  </si>
  <si>
    <t>EMPS2QMS2A</t>
  </si>
  <si>
    <t>$310.00</t>
  </si>
  <si>
    <t>mpower® 4" Fascia Light, Stud Mount, 1.5' Pigtail, Black Housing with Stealth Lens, 18 LED Tricolor Red/Blue/White</t>
  </si>
  <si>
    <t>EMPS21GQ4-8</t>
  </si>
  <si>
    <t>mpower® 4" Fascia Light, Stud Mount, 1.5' Pigtail, Black Housing with Stealth Lens, 18 LED Tricolor Red/Blue/Amber</t>
  </si>
  <si>
    <t>EMPS21GQ4-6</t>
  </si>
  <si>
    <t>$282.00</t>
  </si>
  <si>
    <t>mpower® 4" Fascia Light, Stud Mount, 1.5' Pigtail, Black Housing with Stealth Lens, 12 LED Dual Color Red/Blue</t>
  </si>
  <si>
    <t>EMPS21GQ3-J</t>
  </si>
  <si>
    <t>mpower® 4" Fascia Light, Stud Mount, 1.5' Pigtail, Black Housing with Stealth Lens, 12 LED Dual Color Amber/White</t>
  </si>
  <si>
    <t>EMPS21GQ3-F</t>
  </si>
  <si>
    <t>mpower® 4" Fascia Light, Stud Mount, 1.5' Pigtail, Black Housing with Stealth Lens, 12 LED Dual Color Blue/White</t>
  </si>
  <si>
    <t>EMPS21GQ3-E</t>
  </si>
  <si>
    <t>mpower® 4" Fascia Light, Stud Mount, 1.5' Pigtail, Black Housing with Stealth Lens, 12 LED Dual Color Red/White</t>
  </si>
  <si>
    <t>EMPS21GQ3-D</t>
  </si>
  <si>
    <t>$266.00</t>
  </si>
  <si>
    <t>mpower® 4" Fascia Light, Stud Mount, 1.5' Pigtail, Black Housing with Stealth Lens, 8 LED Single Color White</t>
  </si>
  <si>
    <t>EMPS21GQ2-W</t>
  </si>
  <si>
    <t>mpower® 4" Fascia Light, Stud Mount, 1.5' Pigtail, Black Housing with Stealth Lens, 8 LED Single Color Red</t>
  </si>
  <si>
    <t>EMPS21GQ2-R</t>
  </si>
  <si>
    <t>mpower® 4" Fascia Light, Stud Mount, 1.5' Pigtail, Black Housing with Stealth Lens, 8 LED Single Color Blue</t>
  </si>
  <si>
    <t>EMPS21GQ2-B</t>
  </si>
  <si>
    <t>mpower® 4" Fascia Light, Stud Mount, 1.5' Pigtail, Black Housing with Stealth Lens, 8 LED Single Color Amber</t>
  </si>
  <si>
    <t>EMPS21GQ2-A</t>
  </si>
  <si>
    <t>$245.00</t>
  </si>
  <si>
    <t>mpower® 4" Fascia Light, Stud Mount, 1.5' Pigtail, Black Housing with Stealth Lens, 6 LED Single Color White</t>
  </si>
  <si>
    <t>EMPS21GQ1-W</t>
  </si>
  <si>
    <t>mpower® 4" Fascia Light, Stud Mount, 1.5' Pigtail, Black Housing with Stealth Lens, 6 LED Single Color Red</t>
  </si>
  <si>
    <t>EMPS21GQ1-R</t>
  </si>
  <si>
    <t>mpower® 4" Fascia Light, Stud Mount, 1.5' Pigtail, Black Housing with Stealth Lens, 6 LED Single Color Blue</t>
  </si>
  <si>
    <t>EMPS21GQ1-B</t>
  </si>
  <si>
    <t>mpower® 4" Fascia Light, Stud Mount, 1.5' Pigtail, Black Housing with Stealth Lens, 6 LED Single Color Amber</t>
  </si>
  <si>
    <t>EMPS21GQ1-A</t>
  </si>
  <si>
    <t>mpower® 4" Fascia Light, Screw Mount, 1.5' Pigtail, Black Housing with Stealth Lens, 18 LED Tricolor Red/Blue/White</t>
  </si>
  <si>
    <t>EMPS21GPZ-8</t>
  </si>
  <si>
    <t>mpower® 4" Fascia Light, Screw Mount, 1.5' Pigtail, Black Housing with Stealth Lens, 18 LED Tricolor Red/Blue/Amber</t>
  </si>
  <si>
    <t>EMPS21GPZ-6</t>
  </si>
  <si>
    <t>mpower® 4" Fascia Light, Screw Mount, 1.5' Pigtail, Black Housing with Stealth Lens, 12 LED Dual Color Red/Blue</t>
  </si>
  <si>
    <t>EMPS21GPY-J</t>
  </si>
  <si>
    <t>mpower® 4" Fascia Light, Screw Mount, 1.5' Pigtail, Black Housing with Stealth Lens, 12 LED Dual Color Amber/White</t>
  </si>
  <si>
    <t>EMPS21GPY-F</t>
  </si>
  <si>
    <t>mpower® 4" Fascia Light, Screw Mount, 1.5' Pigtail, Black Housing with Stealth Lens, 12 LED Dual Color Blue/White</t>
  </si>
  <si>
    <t>EMPS21GPY-E</t>
  </si>
  <si>
    <t>mpower® 4" Fascia Light, Screw Mount, 1.5' Pigtail, Black Housing with Stealth Lens, 12 LED Dual Color Red/White</t>
  </si>
  <si>
    <t>EMPS21GPY-D</t>
  </si>
  <si>
    <t>mpower® 4" Fascia Light, Screw Mount, 1.5' Pigtail, Black Housing with Stealth Lens, 8 LED Single Color White</t>
  </si>
  <si>
    <t>EMPS21GPX-W</t>
  </si>
  <si>
    <t>mpower® 4" Fascia Light, Screw Mount, 1.5' Pigtail, Black Housing with Stealth Lens, 8 LED Single Color Red</t>
  </si>
  <si>
    <t>EMPS21GPX-R</t>
  </si>
  <si>
    <t>mpower® 4" Fascia Light, Screw Mount, 1.5' Pigtail, Black Housing with Stealth Lens, 8 LED Single Color Blue</t>
  </si>
  <si>
    <t>EMPS21GPX-B</t>
  </si>
  <si>
    <t>mpower® 4" Fascia Light, Screw Mount, 1.5' Pigtail, Black Housing with Stealth Lens, 8 LED Single Color Amber</t>
  </si>
  <si>
    <t>EMPS21GPX-A</t>
  </si>
  <si>
    <t>mpower® 4" Fascia Light, Screw Mount, 1.5' Pigtail, Black Housing with Stealth Lens, 6 LED Single Color White</t>
  </si>
  <si>
    <t>EMPS21GPW-W</t>
  </si>
  <si>
    <t>mpower® 4" Fascia Light, Screw Mount, 1.5' Pigtail, Black Housing with Stealth Lens, 6 LED Single Color Red</t>
  </si>
  <si>
    <t>EMPS21GPW-R</t>
  </si>
  <si>
    <t>mpower® 4" Fascia Light, Screw Mount, 1.5' Pigtail, Black Housing with Stealth Lens, 6 LED Single Color Blue</t>
  </si>
  <si>
    <t>EMPS21GPW-B</t>
  </si>
  <si>
    <t>mpower® 4" Fascia Light, Screw Mount, 1.5' Pigtail, Black Housing with Stealth Lens, 6 LED Single Color Amber</t>
  </si>
  <si>
    <t>EMPS21GPW-A</t>
  </si>
  <si>
    <t>mpower® 4" Fascia Light, Quick Mount, 1.5' Pigtail, Black Housing with Stealth Lens, 18 LED Tricolor Red/Blue/White</t>
  </si>
  <si>
    <t>EMPS21GPV-8</t>
  </si>
  <si>
    <t>mpower® 4" Fascia Light, Quick Mount, 1.5' Pigtail, Black Housing with Stealth Lens, 18 LED Tricolor Red/Blue/Amber</t>
  </si>
  <si>
    <t>EMPS21GPV-6</t>
  </si>
  <si>
    <t>mpower® 4" Fascia Light, Quick Mount, 1.5' Pigtail, Black Housing with Stealth Lens, 12 LED Dual Color Red/Blue</t>
  </si>
  <si>
    <t>EMPS21GPU-J</t>
  </si>
  <si>
    <t>mpower® 4" Fascia Light, Quick Mount, 1.5' Pigtail, Black Housing with Stealth Lens, 12 LED Dual Color Amber/White</t>
  </si>
  <si>
    <t>EMPS21GPU-F</t>
  </si>
  <si>
    <t>mpower® 4" Fascia Light, Quick Mount, 1.5' Pigtail, Black Housing with Stealth Lens, 12 LED Dual Color Blue/White</t>
  </si>
  <si>
    <t>EMPS21GPU-E</t>
  </si>
  <si>
    <t>mpower® 4" Fascia Light, Quick Mount, 1.5' Pigtail, Black Housing with Stealth Lens, 12 LED Dual Color Red/White</t>
  </si>
  <si>
    <t>EMPS21GPU-D</t>
  </si>
  <si>
    <t>mpower® 4" Fascia Light, Quick Mount, 1.5' Pigtail, Black Housing with Stealth Lens, 8 LED Single Color White</t>
  </si>
  <si>
    <t>EMPS21GPT-W</t>
  </si>
  <si>
    <t>mpower® 4" Fascia Light, Quick Mount, 1.5' Pigtail, Black Housing with Stealth Lens, 8 LED Single Color Red</t>
  </si>
  <si>
    <t>EMPS21GPT-R</t>
  </si>
  <si>
    <t>mpower® 4" Fascia Light, Quick Mount, 1.5' Pigtail, Black Housing with Stealth Lens, 8 LED Single Color Blue</t>
  </si>
  <si>
    <t>EMPS21GPT-B</t>
  </si>
  <si>
    <t>mpower® 4" Fascia Light, Quick Mount, 1.5' Pigtail, Black Housing with Stealth Lens, 8 LED Single Color Amber</t>
  </si>
  <si>
    <t>EMPS21GPT-A</t>
  </si>
  <si>
    <t>mpower® 4" Fascia Light, Quick Mount, 1.5' Pigtail, Black Housing with Stealth Lens, 6 LED Single Color White</t>
  </si>
  <si>
    <t>EMPS21GPS-W</t>
  </si>
  <si>
    <t>mpower® 4" Fascia Light, Quick Mount, 1.5' Pigtail, Black Housing with Stealth Lens, 6 LED Single Color Red</t>
  </si>
  <si>
    <t>EMPS21GPS-R</t>
  </si>
  <si>
    <t>mpower® 4" Fascia Light, Quick Mount, 1.5' Pigtail, Black Housing with Stealth Lens, 6 LED Single Color Blue</t>
  </si>
  <si>
    <t>EMPS21GPS-B</t>
  </si>
  <si>
    <t>mpower® 4" Fascia Light, Quick Mount, 1.5' Pigtail, Black Housing with Stealth Lens, 6 LED Single Color Amber</t>
  </si>
  <si>
    <t>EMPS21GPS-A</t>
  </si>
  <si>
    <t>mpower® Fascia 4"</t>
  </si>
  <si>
    <t>mpower® 3" Grille Stud Mount Fascia Light for Grille Mount application, 18" hard wire w/ sync option, SAE Class 1 &amp; CA Title 13, 9-32 Vdc, Black Housing, 12 LED, Tricolor - Red/Blue/White</t>
  </si>
  <si>
    <t>EMPS1STS4RBW</t>
  </si>
  <si>
    <t>mpower® 3" Grille Stud Mount Fascia Light for Grille Mount application, 18" hard wire w/ sync option, SAE Class 1 &amp; CA Title 13, 9-32 Vdc, Black Housing, 12 LED, Tricolor - Red/Blue/Amber</t>
  </si>
  <si>
    <t>EMPS1STS4RBA</t>
  </si>
  <si>
    <t>$226.00</t>
  </si>
  <si>
    <t>mpower® 3" Grille Stud Mount Fascia Light for Grille Mount application, 18" hard wire w/ sync option, SAE Class 1 &amp; CA Title 13, 9-32 Vdc, Black Housing, 8 LED, Single Color - White</t>
  </si>
  <si>
    <t>EMPS1STS3W</t>
  </si>
  <si>
    <t>mpower® 3" Grille Stud Mount Fascia Light for Grille Mount application, 18" hard wire w/ sync option, SAE Class 1 &amp; CA Title 13, 9-32 Vdc, Black Housing, 8 LED, Single Color - Red</t>
  </si>
  <si>
    <t>EMPS1STS3R</t>
  </si>
  <si>
    <t>mpower® 3" Grille Stud Mount Fascia Light for Grille Mount application, 18" hard wire w/ sync option, SAE Class 1 &amp; CA Title 13, 9-32 Vdc, Black Housing, 8 LED, Dual Color - Red/Blue</t>
  </si>
  <si>
    <t>EMPS1STS3J</t>
  </si>
  <si>
    <t>mpower® 3" Grille Stud Mount Fascia Light for Grille Mount application, 18" hard wire w/ sync option, SAE Class 1 &amp; CA Title 13, 9-32 Vdc, Black Housing, 8 LED, Dual Color - Amber/White</t>
  </si>
  <si>
    <t>EMPS1STS3F</t>
  </si>
  <si>
    <t>mpower® 3" Grille Stud Mount Fascia Light for Grille Mount application, 18" hard wire w/ sync option, SAE Class 1 &amp; CA Title 13, 9-32 Vdc, Black Housing, 8 LED, Dual Color - Blue/White</t>
  </si>
  <si>
    <t>EMPS1STS3E</t>
  </si>
  <si>
    <t>mpower® 3" Grille Stud Mount Fascia Light for Grille Mount application, 18" hard wire w/ sync option, SAE Class 1 &amp; CA Title 13, 9-32 Vdc, Black Housing, 8 LED, Dual Color - Red/White</t>
  </si>
  <si>
    <t>EMPS1STS3D</t>
  </si>
  <si>
    <t>mpower® 3" Grille Stud Mount Fascia Light for Grille Mount application, 18" hard wire w/ sync option, SAE Class 1 &amp; CA Title 13, 9-32 Vdc, Black Housing, 8 LED, Single Color - Blue</t>
  </si>
  <si>
    <t>EMPS1STS3B</t>
  </si>
  <si>
    <t>mpower® 3" Grille Stud Mount Fascia Light for Grille Mount application, 18" hard wire w/ sync option, SAE Class 1 &amp; CA Title 13, 9-32 Vdc, Black Housing, 8 LED, Single Color - Amber</t>
  </si>
  <si>
    <t>EMPS1STS3A</t>
  </si>
  <si>
    <t>$155.00</t>
  </si>
  <si>
    <t>mpower® 3" Grille Stud Mount Fascia Light for Grille Mount application, 18" hard wire w/ sync option, SAE Class 1 &amp; CA Title 13, 9-32 Vdc, Black Housing, 4 LED, Single Color - White</t>
  </si>
  <si>
    <t>EMPS1STS1W</t>
  </si>
  <si>
    <t>mpower® 3" Grille Stud Mount Fascia Light for Grille Mount application, 18" hard wire w/ sync option, SAE Class 1 &amp; CA Title 13, 9-32 Vdc, Black Housing, 4 LED, Single Color - Red</t>
  </si>
  <si>
    <t>EMPS1STS1R</t>
  </si>
  <si>
    <t>mpower® 3" Grille Stud Mount Fascia Light for Grille Mount application, 18" hard wire w/ sync option, SAE Class 1 &amp; CA Title 13, 9-32 Vdc, Black Housing, 4 LED, Single Color - Blue</t>
  </si>
  <si>
    <t>EMPS1STS1B</t>
  </si>
  <si>
    <t>mpower® 3" Grille Stud Mount Fascia Light for Grille Mount application, 18" hard wire w/ sync option, SAE Class 1 &amp; CA Title 13, 9-32 Vdc, Black Housing, 4 LED, Single Color - Amber</t>
  </si>
  <si>
    <t>EMPS1STS1A</t>
  </si>
  <si>
    <t>mpower® 3" Fascia Light w/ Screw Mount, 18" hard wire w/ sync option, SAE Class 1 &amp; CA Title 13, 9-32 Vdc, Black Housing, 12 LED, Tricolor - Red/Blue/White</t>
  </si>
  <si>
    <t>EMPS1SMS4RBW</t>
  </si>
  <si>
    <t>mpower® 3" Fascia Light w/ Screw Mount, 18" hard wire w/ sync option, SAE Class 1 &amp; CA Title 13, 9-32 Vdc, Black Housing, 12 LED, Tricolor - Red/Blue/Amber</t>
  </si>
  <si>
    <t>EMPS1SMS4RBA</t>
  </si>
  <si>
    <t>mpower® 3" Fascia Light w/ Screw Mount, 18" hard wire w/ sync option, SAE Class 1 &amp; CA Title 13, 9-32 Vdc, Black Housing, 8 LED, Single Color - White</t>
  </si>
  <si>
    <t>EMPS1SMS3W</t>
  </si>
  <si>
    <t>mpower® 3" Fascia Light w/ Screw Mount, 18" hard wire w/ sync option, SAE Class 1 &amp; CA Title 13, 9-32 Vdc, Black Housing, 8 LED, Single Color - Red</t>
  </si>
  <si>
    <t>EMPS1SMS3R</t>
  </si>
  <si>
    <t>mpower® 3" Fascia Light w/ Screw Mount, 18" hard wire w/ sync option, SAE Class 1 &amp; CA Title 13, 9-32 Vdc, Black Housing, 8 LED, Dual Color - Red/Blue</t>
  </si>
  <si>
    <t>EMPS1SMS3J</t>
  </si>
  <si>
    <t>mpower® 3" Fascia Light w/ Screw Mount, 18" hard wire w/ sync option, SAE Class 1 &amp; CA Title 13, 9-32 Vdc, Black Housing, 8 LED, Dual Color - Amber/White</t>
  </si>
  <si>
    <t>EMPS1SMS3F</t>
  </si>
  <si>
    <t>mpower® 3" Fascia Light w/ Screw Mount, 18" hard wire w/ sync option, SAE Class 1 &amp; CA Title 13, 9-32 Vdc, Black Housing, 8 LED, Dual Color - Blue/White</t>
  </si>
  <si>
    <t>EMPS1SMS3E</t>
  </si>
  <si>
    <t>mpower® 3" Fascia Light w/ Screw Mount, 18" hard wire w/ sync option, SAE Class 1 &amp; CA Title 13, 9-32 Vdc, Black Housing, 8 LED, Dual Color - Red/White</t>
  </si>
  <si>
    <t>EMPS1SMS3D</t>
  </si>
  <si>
    <t>mpower® 3" Fascia Light w/ Screw Mount, 18" hard wire w/ sync option, SAE Class 1 &amp; CA Title 13, 9-32 Vdc, Black Housing, 8 LED, Single Color - Blue</t>
  </si>
  <si>
    <t>EMPS1SMS3B</t>
  </si>
  <si>
    <t>mpower® 3" Fascia Light w/ Screw Mount, 18" hard wire w/ sync option, SAE Class 1 &amp; CA Title 13, 9-32 Vdc, Black Housing, 8 LED, Single Color - Amber</t>
  </si>
  <si>
    <t>EMPS1SMS3A</t>
  </si>
  <si>
    <t>mpower® 3" Fascia Light w/ Screw Mount, 18" hard wire w/ sync option, SAE Class 1 &amp; CA Title 13, 9-32 Vdc, Black Housing, 4 LED, Single Color - White</t>
  </si>
  <si>
    <t>EMPS1SMS1W</t>
  </si>
  <si>
    <t>mpower® 3" Fascia Light w/ Screw Mount, 18" hard wire w/ sync option, SAE Class 1 &amp; CA Title 13, 9-32 Vdc, Black Housing, 4 LED, Single Color - Red</t>
  </si>
  <si>
    <t>EMPS1SMS1R</t>
  </si>
  <si>
    <t>mpower® 3" Fascia Light w/ Screw Mount, 18" hard wire w/ sync option, SAE Class 1 &amp; CA Title 13, 9-32 Vdc, Black Housing, 4 LED, Single Color - Blue</t>
  </si>
  <si>
    <t>EMPS1SMS1B</t>
  </si>
  <si>
    <t>mpower® 3" Fascia Light w/ Screw Mount, 18" hard wire w/ sync option, SAE Class 1 &amp; CA Title 13, 9-32 Vdc, Black Housing, 4 LED, Single Color - Amber</t>
  </si>
  <si>
    <t>EMPS1SMS1A</t>
  </si>
  <si>
    <t>mpower® 3" Fascia Light w/ Stud Mount, 18" hard wire w/ sync option, SAE Class 1 &amp; CA Title 13, 9-32 Vdc, Black Housing, 12 LED, Tricolor - Red/Blue/White</t>
  </si>
  <si>
    <t>EMPS1SLS4RBW</t>
  </si>
  <si>
    <t>mpower® 3" Fascia Light w/ Stud Mount, 18" hard wire w/ sync option, SAE Class 1 &amp; CA Title 13, 9-32 Vdc, Black Housing, 12 LED, Tricolor - Red/Blue/Amber</t>
  </si>
  <si>
    <t>EMPS1SLS4RBA</t>
  </si>
  <si>
    <t>mpower® 3" Fascia Light w/ Stud Mount, 18" hard wire w/ sync option, SAE Class 1 &amp; CA Title 13, 9-32 Vdc, Black Housing, 8 LED, Single Color - White</t>
  </si>
  <si>
    <t>EMPS1SLS3W</t>
  </si>
  <si>
    <t>mpower® 3" Fascia Light w/ Stud Mount, 18" hard wire w/ sync option, SAE Class 1 &amp; CA Title 13, 9-32 Vdc, Black Housing, 8 LED, Single Color - Red</t>
  </si>
  <si>
    <t>EMPS1SLS3R</t>
  </si>
  <si>
    <t>mpower® 3" Fascia Light w/ Stud Mount, 18" hard wire w/ sync option, SAE Class 1 &amp; CA Title 13, 9-32 Vdc, Black Housing, 8 LED, Dual Color - Red/Blue</t>
  </si>
  <si>
    <t>EMPS1SLS3J</t>
  </si>
  <si>
    <t>mpower® 3" Fascia Light w/ Stud Mount, 18" hard wire w/ sync option, SAE Class 1 &amp; CA Title 13, 9-32 Vdc, Black Housing, 8 LED, Dual Color - Amber/White</t>
  </si>
  <si>
    <t>EMPS1SLS3F</t>
  </si>
  <si>
    <t>mpower® 3" Fascia Light w/ Stud Mount, 18" hard wire w/ sync option, SAE Class 1 &amp; CA Title 13, 9-32 Vdc, Black Housing, 8 LED, Dual Color - Blue/White</t>
  </si>
  <si>
    <t>EMPS1SLS3E</t>
  </si>
  <si>
    <t>mpower® 3" Fascia Light w/ Stud Mount, 18" hard wire w/ sync option, SAE Class 1 &amp; CA Title 13, 9-32 Vdc, Black Housing, 8 LED, Dual Color - Red/White</t>
  </si>
  <si>
    <t>EMPS1SLS3D</t>
  </si>
  <si>
    <t>mpower® 3" Fascia Light w/ Stud Mount, 18" hard wire w/ sync option, SAE Class 1 &amp; CA Title 13, 9-32 Vdc, Black Housing, 8 LED, Single Color - Blue</t>
  </si>
  <si>
    <t>EMPS1SLS3B</t>
  </si>
  <si>
    <t>mpower® 3" Fascia Light w/ Stud Mount, 18" hard wire w/ sync option, SAE Class 1 &amp; CA Title 13, 9-32 Vdc, Black Housing, 8 LED, Single Color - Amber</t>
  </si>
  <si>
    <t>EMPS1SLS3A</t>
  </si>
  <si>
    <t>mpower® 3" Fascia Light w/ Stud Mount, 18" hard wire w/ sync option, SAE Class 1 &amp; CA Title 13, 9-32 Vdc, Black Housing, 4 LED, Single Color - White</t>
  </si>
  <si>
    <t>EMPS1SLS1W</t>
  </si>
  <si>
    <t>mpower® 3" Fascia Light w/ Stud Mount, 18" hard wire w/ sync option, SAE Class 1 &amp; CA Title 13, 9-32 Vdc, Black Housing, 4 LED, Single Color - Red</t>
  </si>
  <si>
    <t>EMPS1SLS1R</t>
  </si>
  <si>
    <t>mpower® 3" Fascia Light w/ Stud Mount, 18" hard wire w/ sync option, SAE Class 1 &amp; CA Title 13, 9-32 Vdc, Black Housing, 4 LED, Single Color - Blue</t>
  </si>
  <si>
    <t>EMPS1SLS1B</t>
  </si>
  <si>
    <t>mpower® 3" Fascia Light w/ Stud Mount, 18" hard wire w/ sync option, SAE Class 1 &amp; CA Title 13, 9-32 Vdc, Black Housing, 4 LED, Single Color - Amber</t>
  </si>
  <si>
    <t>EMPS1SLS1A</t>
  </si>
  <si>
    <t>mpower® 3" Fascia Light w/ Quick Mount, 18" hard wire w/ sync option, SAE Class 1 &amp; CA Title 13, 9-32 Vdc, Black Housing, 12 LED, Tricolor - Red/Blue/White</t>
  </si>
  <si>
    <t>EMPS1QMS4RBW</t>
  </si>
  <si>
    <t>mpower® 3" Fascia Light w/ Quick Mount, 18" hard wire w/ sync option, SAE Class 1 &amp; CA Title 13, 9-32 Vdc, Black Housing, 12 LED, Tricolor - Red/Blue/Amber</t>
  </si>
  <si>
    <t>EMPS1QMS4RBA</t>
  </si>
  <si>
    <t>mpower® 3" Fascia Light w/ Quick Mount, 18" hard wire w/ sync option, SAE Class 1 &amp; CA Title 13, 9-32 Vdc, Black Housing, 8 LED, Single Color - White</t>
  </si>
  <si>
    <t>EMPS1QMS3W</t>
  </si>
  <si>
    <t>mpower® 3" Fascia Light w/ Quick Mount, 18" hard wire w/ sync option, SAE Class 1 &amp; CA Title 13, 9-32 Vdc, Black Housing, 8 LED, Single Color - Red</t>
  </si>
  <si>
    <t>EMPS1QMS3R</t>
  </si>
  <si>
    <t>mpower® 3" Fascia Light w/ Quick Mount, 18" hard wire w/ sync option, SAE Class 1 &amp; CA Title 13, 9-32 Vdc, Black Housing, 8 LED, Dual Color - Red/Blue</t>
  </si>
  <si>
    <t>EMPS1QMS3J</t>
  </si>
  <si>
    <t>mpower® 3" Fascia Light w/ Quick Mount, 18" hard wire w/ sync option, SAE Class 1 &amp; CA Title 13, 9-32 Vdc, Black Housing, 8 LED, Dual Color - Amber/White</t>
  </si>
  <si>
    <t>EMPS1QMS3F</t>
  </si>
  <si>
    <t>mpower® 3" Fascia Light w/ Quick Mount, 18" hard wire w/ sync option, SAE Class 1 &amp; CA Title 13, 9-32 Vdc, Black Housing, 8 LED, Dual Color - Blue/White</t>
  </si>
  <si>
    <t>EMPS1QMS3E</t>
  </si>
  <si>
    <t>mpower® 3" Fascia Light w/ Quick Mount, 18" hard wire w/ sync option, SAE Class 1 &amp; CA Title 13, 9-32 Vdc, Black Housing, 8 LED, Dual Color - Red/White</t>
  </si>
  <si>
    <t>EMPS1QMS3D</t>
  </si>
  <si>
    <t>mpower® 3" Fascia Light w/ Quick Mount, 18" hard wire w/ sync option, SAE Class 1 &amp; CA Title 13, 9-32 Vdc, Black Housing, 8 LED, Single Color - Blue</t>
  </si>
  <si>
    <t>EMPS1QMS3B</t>
  </si>
  <si>
    <t>mpower® 3" Fascia Light w/ Quick Mount, 18" hard wire w/ sync option, SAE Class 1 &amp; CA Title 13, 9-32 Vdc, Black Housing, 8 LED, Single Color - Amber</t>
  </si>
  <si>
    <t>EMPS1QMS3A</t>
  </si>
  <si>
    <t>mpower® 3" Fascia Light w/ Quick Mount, 18" hard wire w/ sync option, SAE Class 1 &amp; CA Title 13, 9-32 Vdc, Black Housing, 4 LED, Single Color - White</t>
  </si>
  <si>
    <t>EMPS1QMS1W</t>
  </si>
  <si>
    <t>mpower® 3" Fascia Light w/ Quick Mount, 18" hard wire w/ sync option, SAE Class 1 &amp; CA Title 13, 9-32 Vdc, Black Housing, 4 LED, Single Color - Red</t>
  </si>
  <si>
    <t>EMPS1QMS1R</t>
  </si>
  <si>
    <t>mpower® 3" Fascia Light w/ Quick Mount, 18" hard wire w/ sync option, SAE Class 1 &amp; CA Title 13, 9-32 Vdc, Black Housing, 4 LED, Single Color - Blue</t>
  </si>
  <si>
    <t>EMPS1QMS1B</t>
  </si>
  <si>
    <t>mpower® 3" Fascia Light w/ Quick Mount, 18" hard wire w/ sync option, SAE Class 1 &amp; CA Title 13, 9-32 Vdc, Black Housing, 4 LED, Single Color - Amber</t>
  </si>
  <si>
    <t>EMPS1QMS1A</t>
  </si>
  <si>
    <t>mpower® Fascia 3"</t>
  </si>
  <si>
    <t>$579.99</t>
  </si>
  <si>
    <t>mpower® ORV 2x1 Dual Stack Light Kit</t>
  </si>
  <si>
    <t>RTL-EMPR10034-WW</t>
  </si>
  <si>
    <t>mpower ORV 2x1</t>
  </si>
  <si>
    <t>$632.00</t>
  </si>
  <si>
    <t>mpower® Interior Chase Light, One Light Housings</t>
  </si>
  <si>
    <t>RTL-ETCLNT002</t>
  </si>
  <si>
    <t>mpower® Interior Chase Light, Two Light Housings</t>
  </si>
  <si>
    <t>RTL-ETCLNT001</t>
  </si>
  <si>
    <t>mpower Interior Chase Light</t>
  </si>
  <si>
    <t>$1064.00</t>
  </si>
  <si>
    <t>mpower® HP 2x1 Dual Stacked Light Kit, includes (4) 2x1 lights, (2) U- Shaped Brackets w/ Dual Stacked mounting hardware - White LEDs</t>
  </si>
  <si>
    <t>EMPR10037-WW</t>
  </si>
  <si>
    <t>$639.00</t>
  </si>
  <si>
    <t>mpower® HP 2x1 Light includes (2) 2x1 lights, (2) U- Shaped Brackets w/ mounting hardware - White LEDs</t>
  </si>
  <si>
    <t>EMPR10004-WW</t>
  </si>
  <si>
    <t>mpower HP 2x1</t>
  </si>
  <si>
    <t>$402.00</t>
  </si>
  <si>
    <t>mpower® Fascia 4x2 Light w/ Stud Mount, 18" 5-wire w/ sync option &amp; 1.5 Pigtail, SAE Class 1 &amp; CA Title 13, 9-32 Vdc, Black Housing, 36 LED, Tricolor - Red/Blue/White</t>
  </si>
  <si>
    <t>EMPSA05C3-8</t>
  </si>
  <si>
    <t>mpower® Fascia 4x2 Light w/ Stud Mount, 18" 5-wire w/ sync option &amp; 1.5 Pigtail, SAE Class 1 &amp; CA Title 13, 9-32 Vdc, Black Housing, 36 LED, Tricolor - Red/Blue/Amber</t>
  </si>
  <si>
    <t>EMPSA05C3-6</t>
  </si>
  <si>
    <t>$362.00</t>
  </si>
  <si>
    <t>mpower® Fascia 4x2 Light w/ Stud Mount, 18" 5-wire w/ sync option &amp; 1.5 Pigtail, SAE Class 1 &amp; CA Title 13, 9-32 Vdc, Black Housing, 24 LED, Dual Color - Red/Blue</t>
  </si>
  <si>
    <t>EMPSA05C2-J</t>
  </si>
  <si>
    <t>mpower® Fascia 4x2 Light w/ Stud Mount, 18" 5-wire w/ sync option &amp; 1.5 Pigtail, SAE Class 1 &amp; CA Title 13, 9-32 Vdc, Black Housing, 24 LED, Dual Color - Amber/White</t>
  </si>
  <si>
    <t>EMPSA05C2-F</t>
  </si>
  <si>
    <t>mpower® Fascia 4x2 Light w/ Stud Mount, 18" 5-wire w/ sync option &amp; 1.5 Pigtail, SAE Class 1 &amp; CA Title 13, 9-32 Vdc, Black Housing, 24 LED, Dual Color - Blue/White</t>
  </si>
  <si>
    <t>EMPSA05C2-E</t>
  </si>
  <si>
    <t>mpower® Fascia 4x2 Light w/ Stud Mount, 18" 5-wire w/ sync option &amp; 1.5 Pigtail, SAE Class 1 &amp; CA Title 13, 9-32 Vdc, Black Housing, 24 LED, Dual Color - Red/White</t>
  </si>
  <si>
    <t>EMPSA05C2-D</t>
  </si>
  <si>
    <t>$382.00</t>
  </si>
  <si>
    <t>mpower® Fascia 4x2 Light w/ Stud Mount, 18" 5-wire w/ sync option &amp; 1.5 Pigtail, SAE Class 1 &amp; CA Title 13, 9-32 Vdc, Black Housing, 16 LED, Single Color - White</t>
  </si>
  <si>
    <t>EMPSA05C1-W</t>
  </si>
  <si>
    <t>mpower® Fascia 4x2 Light w/ Stud Mount, 18" 5-wire w/ sync option &amp; 1.5 Pigtail, SAE Class 1 &amp; CA Title 13, 9-32 Vdc, Black Housing, 16 LED, Single Color - Red</t>
  </si>
  <si>
    <t>EMPSA05C1-R</t>
  </si>
  <si>
    <t>mpower® Fascia 4x2 Light w/ Stud Mount, 18" 5-wire w/ sync option &amp; 1.5 Pigtail, SAE Class 1 &amp; CA Title 13, 9-32 Vdc, Black Housing, 16 LED, Single Color - Blue</t>
  </si>
  <si>
    <t>EMPSA05C1-B</t>
  </si>
  <si>
    <t>mpower® Fascia 4x2 Light w/ Stud Mount, 18" 5-wire w/ sync option &amp; 1.5 Pigtail, SAE Class 1 &amp; CA Title 13, 9-32 Vdc, Black Housing, 16 LED, Single Color - Amber</t>
  </si>
  <si>
    <t>EMPSA05C1-A</t>
  </si>
  <si>
    <t>$306.00</t>
  </si>
  <si>
    <t>mpower® Fascia 4x2 Light w/ Stud Mount, 18" 5-wire w/ sync option &amp; 1.5 Pigtail, SAE Class 1 &amp; CA Title 13, 9-32 Vdc, Black Housing, 12 LED, Single Color - White</t>
  </si>
  <si>
    <t>EMPSA05C0-W</t>
  </si>
  <si>
    <t>mpower® Fascia 4x2 Light w/ Stud Mount, 18" 5-wire w/ sync option &amp; 1.5 Pigtail, SAE Class 1 &amp; CA Title 13, 9-32 Vdc, Black Housing, 12 LED, Single Color - Red</t>
  </si>
  <si>
    <t>EMPSA05C0-R</t>
  </si>
  <si>
    <t>mpower® Fascia 4x2 Light w/ Stud Mount, 18" 5-wire w/ sync option &amp; 1.5 Pigtail, SAE Class 1 &amp; CA Title 13, 9-32 Vdc, Black Housing, 12 LED, Single Color - Blue</t>
  </si>
  <si>
    <t>EMPSA05C0-B</t>
  </si>
  <si>
    <t>mpower® Fascia 4x2 Light w/ Stud Mount, 18" 5-wire w/ sync option &amp; 1.5 Pigtail, SAE Class 1 &amp; CA Title 13, 9-32 Vdc, Black Housing, 12 LED, Single Color - Amber</t>
  </si>
  <si>
    <t>EMPSA05C0-A</t>
  </si>
  <si>
    <t>mpower Fascia 4x2 - Stud Mount</t>
  </si>
  <si>
    <t>mpower® Fascia 4x2 Light w/ Screw Mount, 18" 5-wire w/ sync option &amp; 1.5 Pigtail, SAE Class 1 &amp; CA Title 13, 9-32 Vdc, Black Housing, 36 LED, Tricolor - Red/Blue/White</t>
  </si>
  <si>
    <t>EMPSA05BZ-8</t>
  </si>
  <si>
    <t>mpower® Fascia 4x2 Light w/ Screw Mount, 18" 5-wire w/ sync option &amp; 1.5 Pigtail, SAE Class 1 &amp; CA Title 13, 9-32 Vdc, Black Housing, 36 LED, Tricolor - Red/Blue/Amber</t>
  </si>
  <si>
    <t>EMPSA05BZ-6</t>
  </si>
  <si>
    <t>mpower® Fascia 4x2 Light w/ Screw Mount, 18" 5-wire w/ sync option &amp; 1.5 Pigtail, SAE Class 1 &amp; CA Title 13, 9-32 Vdc, Black Housing, 24 LED, Dual Color - Red/Blue</t>
  </si>
  <si>
    <t>EMPSA05BY-J</t>
  </si>
  <si>
    <t>mpower® Fascia 4x2 Light w/ Screw Mount, 18" 5-wire w/ sync option &amp; 1.5 Pigtail, SAE Class 1 &amp; CA Title 13, 9-32 Vdc, Black Housing, 24 LED, Dual Color - Amber/White</t>
  </si>
  <si>
    <t>EMPSA05BY-F</t>
  </si>
  <si>
    <t>mpower® Fascia 4x2 Light w/ Screw Mount, 18" 5-wire w/ sync option &amp; 1.5 Pigtail, SAE Class 1 &amp; CA Title 13, 9-32 Vdc, Black Housing, 24 LED, Dual Color - Blue/White</t>
  </si>
  <si>
    <t>EMPSA05BY-E</t>
  </si>
  <si>
    <t>mpower® Fascia 4x2 Light w/ Screw Mount, 18" 5-wire w/ sync option &amp; 1.5 Pigtail, SAE Class 1 &amp; CA Title 13, 9-32 Vdc, Black Housing, 24 LED, Dual Color - Red/White</t>
  </si>
  <si>
    <t>EMPSA05BY-D</t>
  </si>
  <si>
    <t>mpower® Fascia 4x2 Light w/ Screw Mount, 18" 5-wire w/ sync option &amp; 1.5 Pigtail, SAE Class 1 &amp; CA Title 13, 9-32 Vdc, Black Housing, 16 LED, Single Color - White</t>
  </si>
  <si>
    <t>EMPSA05BX-W</t>
  </si>
  <si>
    <t>mpower® Fascia 4x2 Light w/ Screw Mount, 18" 5-wire w/ sync option &amp; 1.5 Pigtail, SAE Class 1 &amp; CA Title 13, 9-32 Vdc, Black Housing, 16 LED, Single Color - Red</t>
  </si>
  <si>
    <t>EMPSA05BX-R</t>
  </si>
  <si>
    <t>mpower® Fascia 4x2 Light w/ Screw Mount, 18" 5-wire w/ sync option &amp; 1.5 Pigtail, SAE Class 1 &amp; CA Title 13, 9-32 Vdc, Black Housing, 16 LED, Single Color - Blue</t>
  </si>
  <si>
    <t>EMPSA05BX-B</t>
  </si>
  <si>
    <t>mpower® Fascia 4x2 Light w/ Screw Mount, 18" 5-wire w/ sync option &amp; 1.5 Pigtail, SAE Class 1 &amp; CA Title 13, 9-32 Vdc, Black Housing, 16 LED, Single Color - Amber</t>
  </si>
  <si>
    <t>EMPSA05BX-A</t>
  </si>
  <si>
    <t>mpower® Fascia 4x2 Light w/ Screw Mount, 18" 5-wire w/ sync option &amp; 1.5 Pigtail, SAE Class 1 &amp; CA Title 13, 9-32 Vdc, Black Housing, 12 LED, Single Color - White</t>
  </si>
  <si>
    <t>EMPSA05BW-W</t>
  </si>
  <si>
    <t>mpower® Fascia 4x2 Light w/ Screw Mount, 18" 5-wire w/ sync option &amp; 1.5 Pigtail, SAE Class 1 &amp; CA Title 13, 9-32 Vdc, Black Housing, 12 LED, Single Color - Red</t>
  </si>
  <si>
    <t>EMPSA05BW-R</t>
  </si>
  <si>
    <t>mpower® Fascia 4x2 Light w/ Screw Mount, 18" 5-wire w/ sync option &amp; 1.5 Pigtail, SAE Class 1 &amp; CA Title 13, 9-32 Vdc, Black Housing, 12 LED, Single Color - Blue</t>
  </si>
  <si>
    <t>EMPSA05BW-B</t>
  </si>
  <si>
    <t>mpower® Fascia 4x2 Light w/ Screw Mount, 18" 5-wire w/ sync option &amp; 1.5 Pigtail, SAE Class 1 &amp; CA Title 13, 9-32 Vdc, Black Housing, 12 LED, Single Color - Amber</t>
  </si>
  <si>
    <t>EMPSA05BW-A</t>
  </si>
  <si>
    <t>mpower Fascia 4x2 - Screw Mount</t>
  </si>
  <si>
    <t>mpower® Fascia 4x2 Light w/ Quick Mount, 18" 5-wire w/ sync option &amp; 1.5 Pigtail, SAE Class 1 &amp; CA Title 13, 9-32 Vdc, Black Housing, 36 LED, Tricolor - Red/Blue/White</t>
  </si>
  <si>
    <t>EMPSA05BU-8</t>
  </si>
  <si>
    <t>mpower® Fascia 4x2 Light w/ Quick Mount, 18" 5-wire w/ sync option &amp; 1.5 Pigtail, SAE Class 1 &amp; CA Title 13, 9-32 Vdc, Black Housing, 36 LED, Tricolor - Red/Blue/Amber</t>
  </si>
  <si>
    <t>EMPSA05BU-6</t>
  </si>
  <si>
    <t>mpower® Fascia 4x2 Light w/ Quick Mount, 18" 5-wire w/ sync option &amp; 1.5 Pigtail, SAE Class 1 &amp; CA Title 13, 9-32 Vdc, Black Housing, 24 LED, Dual Color - Red/Blue</t>
  </si>
  <si>
    <t>EMPSA05BT-J</t>
  </si>
  <si>
    <t>mpower® Fascia 4x2 Light w/ Quick Mount, 18" 5-wire w/ sync option &amp; 1.5 Pigtail, SAE Class 1 &amp; CA Title 13, 9-32 Vdc, Black Housing, 24 LED, Dual Color - Amber/White</t>
  </si>
  <si>
    <t>EMPSA05BT-F</t>
  </si>
  <si>
    <t>mpower® Fascia 4x2 Light w/ Quick Mount, 18" 5-wire w/ sync option &amp; 1.5 Pigtail, SAE Class 1 &amp; CA Title 13, 9-32 Vdc, Black Housing, 24 LED, Dual Color - Blue/White</t>
  </si>
  <si>
    <t>EMPSA05BT-E</t>
  </si>
  <si>
    <t>mpower® Fascia 4x2 Light w/ Quick Mount, 18" 5-wire w/ sync option &amp; 1.5 Pigtail, SAE Class 1 &amp; CA Title 13, 9-32 Vdc, Black Housing, 24 LED, Dual Color - Red/White</t>
  </si>
  <si>
    <t>EMPSA05BT-D</t>
  </si>
  <si>
    <t>mpower® Fascia 4x2 Light w/ Quick Mount, 18" 5-wire w/ sync option &amp; 1.5 Pigtail, SAE Class 1 &amp; CA Title 13, 9-32 Vdc, Black Housing, 16 LED, Single Color - White</t>
  </si>
  <si>
    <t>EMPSA05BS-W</t>
  </si>
  <si>
    <t>mpower® Fascia 4x2 Light w/ Quick Mount, 18" 5-wire w/ sync option &amp; 1.5 Pigtail, SAE Class 1 &amp; CA Title 13, 9-32 Vdc, Black Housing, 16 LED, Single Color - Red</t>
  </si>
  <si>
    <t>EMPSA05BS-R</t>
  </si>
  <si>
    <t>mpower® Fascia 4x2 Light w/ Quick Mount, 18" 5-wire w/ sync option &amp; 1.5 Pigtail, SAE Class 1 &amp; CA Title 13, 9-32 Vdc, Black Housing, 16 LED, Single Color - Blue</t>
  </si>
  <si>
    <t>EMPSA05BS-B</t>
  </si>
  <si>
    <t>mpower® Fascia 4x2 Light w/ Quick Mount, 18" 5-wire w/ sync option &amp; 1.5 Pigtail, SAE Class 1 &amp; CA Title 13, 9-32 Vdc, Black Housing, 16 LED, Single Color - Amber</t>
  </si>
  <si>
    <t>EMPSA05BS-A</t>
  </si>
  <si>
    <t>mpower® Fascia 4x2 Light w/ Quick Mount, 18" 5-wire w/ sync option &amp; 1.5 Pigtail, SAE Class 1 &amp; CA Title 13, 9-32 Vdc, Black Housing, 12 LED, Single Color - White</t>
  </si>
  <si>
    <t>EMPSA05BN-W</t>
  </si>
  <si>
    <t>mpower® Fascia 4x2 Light w/ Quick Mount, 18" 5-wire w/ sync option &amp; 1.5 Pigtail, SAE Class 1 &amp; CA Title 13, 9-32 Vdc, Black Housing, 12 LED, Single Color - Red</t>
  </si>
  <si>
    <t>EMPSA05BN-R</t>
  </si>
  <si>
    <t>mpower® Fascia 4x2 Light w/ Quick Mount, 18" 5-wire w/ sync option &amp; 1.5 Pigtail, SAE Class 1 &amp; CA Title 13, 9-32 Vdc, Black Housing, 12 LED, Single Color - Blue</t>
  </si>
  <si>
    <t>EMPSA05BN-B</t>
  </si>
  <si>
    <t>mpower® Fascia 4x2 Light w/ Quick Mount, 18" 5-wire w/ sync option &amp; 1.5 Pigtail, SAE Class 1 &amp; CA Title 13, 9-32 Vdc, Black Housing, 12 LED, Single Color - Amber</t>
  </si>
  <si>
    <t>EMPSA05BN-A</t>
  </si>
  <si>
    <t>mpower Fascia 4x2 - Quick Mount</t>
  </si>
  <si>
    <t>$278.00</t>
  </si>
  <si>
    <t>mpower® 4" 3-Wire Light w/ Stud Mount, for use with Rapid Deployment Vehicle Warning Kit Front Driver /Rear Passenger ID #33, SAE Class 1 &amp; CA Title 13, 9-32 Vdc, Black Housing, 18 LED, Tricolor - Red/Blue/White</t>
  </si>
  <si>
    <t>ETRDMP003</t>
  </si>
  <si>
    <t>mpower® 4" 3-Wire Light w/ Stud Mount, for use with Rapid Deployment Vehicle Warning Kit Front Passenger /Rear Driver ID #32, SAE Class 1 &amp; CA Title 13, 9-32 Vdc, Black Housing, 18 LED, Tricolor - Red/Blue/White</t>
  </si>
  <si>
    <t>ETRDMP002</t>
  </si>
  <si>
    <t>mpower® 4" 3-Wire Light w/ Stud Mount, for use with Rapid Deployment Vehicle Warning Kit Front Driver/Passenger ID #31, SAE Class 1 &amp; CA Title 13, 9-32 Vdc, Black Housing, 18 LED, Tricolor - Red/Blue/White</t>
  </si>
  <si>
    <t>ETRDMP001</t>
  </si>
  <si>
    <t>mpower® 4" 3-Wire HD Light w/ Stud Mount, for use with mpower Arrow Kit and Connect-n-Go, SAE Class 1 &amp; CA Title 13, 9-32 Vdc, 18 LED, Tricolor - Red/Blue/White</t>
  </si>
  <si>
    <t>EMPSCG4STS5RBW</t>
  </si>
  <si>
    <t>mpower® 4" 3-Wire HD Light w/ Stud Mount, for use with mpower Arrow Kit and Connect-n-Go, SAE Class 1 &amp; CA Title 13, 9-32 Vdc, 18 LED, Tricolor - Red/Blue/Amber</t>
  </si>
  <si>
    <t>EMPSCG4STS5RBA</t>
  </si>
  <si>
    <t>mpower® 4" 3-Wire HD Light w/ Stud Mount, for use with mpower Arrow Kit and Connect-n-Go, SAE Class 1 &amp; CA Title 13, 9-32 Vdc, 18 LED, Tricolor - Red/Amber/White</t>
  </si>
  <si>
    <t>EMPSCG4STS5RAW</t>
  </si>
  <si>
    <t>mpower® 4" 3-Wire HD Light w/ Stud Mount, for use with mpower Arrow Kit and Connect-n-Go, SAE Class 1 &amp; CA Title 13, 9-32 Vdc, 18 LED, Tricolor - Blue/Amber/White</t>
  </si>
  <si>
    <t>EMPSCG4STS5BAW</t>
  </si>
  <si>
    <t>mpower® 4" 3-Wire HD Light w/ Stud Mount, for use with mpower Arrow Kit and Connect-n-Go, SAE Class 1 &amp; CA Title 13, 9-32 Vdc, 12 LED, Dual Color - Blue/Amber</t>
  </si>
  <si>
    <t>EMPSCG4STS4M</t>
  </si>
  <si>
    <t>mpower® 4" 3-Wire HD Light w/ Stud Mount, for use with mpower Arrow Kit and Connect-n-Go, SAE Class 1 &amp; CA Title 13, 9-32 Vdc, 12 LED, Dual Color - Red/Amber</t>
  </si>
  <si>
    <t>EMPSCG4STS4K</t>
  </si>
  <si>
    <t>mpower® 4" 3-Wire HD Light w/ Stud Mount, for use with mpower Arrow Kit and Connect-n-Go, SAE Class 1 &amp; CA Title 13, 9-32 Vdc, 12 LED, Dual Color - Red/Blue</t>
  </si>
  <si>
    <t>EMPSCG4STS4J</t>
  </si>
  <si>
    <t>mpower® 4" 3-Wire HD Light w/ Stud Mount, for use with mpower Arrow Kit and Connect-n-Go, SAE Class 1 &amp; CA Title 13, 9-32 Vdc, 12 LED, Dual Color - Amber/White</t>
  </si>
  <si>
    <t>EMPSCG4STS4F</t>
  </si>
  <si>
    <t>mpower® 4" 3-Wire HD Light w/ Stud Mount, for use with mpower Arrow Kit and Connect-n-Go, SAE Class 1 &amp; CA Title 13, 9-32 Vdc, 12 LED, Dual Color - Blue/White</t>
  </si>
  <si>
    <t>EMPSCG4STS4E</t>
  </si>
  <si>
    <t>mpower® 4" 3-Wire HD Light w/ Stud Mount, for use with mpower Arrow Kit and Connect-n-Go, SAE Class 1 &amp; CA Title 13, 9-32 Vdc, 12 LED, Dual Color - Red/White</t>
  </si>
  <si>
    <t>EMPSCG4STS4D</t>
  </si>
  <si>
    <t>mpower® 4" 3-Wire HD Light w/ Stud Mount, for use with mpower Arrow Kit and Connect-n-Go, SAE Class 1 &amp; CA Title 13, 9-32 Vdc, 8 LED, Single Color - White</t>
  </si>
  <si>
    <t>EMPSCG4STS3W</t>
  </si>
  <si>
    <t>mpower® 4" 3-Wire HD Light w/ Stud Mount, for use with mpower Arrow Kit and Connect-n-Go, SAE Class 1 &amp; CA Title 13, 9-32 Vdc, 8 LED, Single Color - Red</t>
  </si>
  <si>
    <t>EMPSCG4STS3R</t>
  </si>
  <si>
    <t>mpower® 4" 3-Wire HD Light w/ Stud Mount, for use with mpower Arrow Kit and Connect-n-Go, SAE Class 1 &amp; CA Title 13, 9-32 Vdc, 8 LED, Single Color - Blue</t>
  </si>
  <si>
    <t>EMPSCG4STS3B</t>
  </si>
  <si>
    <t>mpower® 4" 3-Wire HD Light w/ Stud Mount, for use with mpower Arrow Kit and Connect-n-Go, SAE Class 1 &amp; CA Title 13, 9-32 Vdc, 8 LED, Single Color - Amber</t>
  </si>
  <si>
    <t>EMPSCG4STS3A</t>
  </si>
  <si>
    <t>mpower® 4" 3-Wire HD Light w/ Stud Mount, for use with mpower Arrow Kit and Connect-n-Go, SAE Class 1 &amp; CA Title 13, 9-32 Vdc, 6 LED, Single Color - White</t>
  </si>
  <si>
    <t>EMPSCG4STS2W</t>
  </si>
  <si>
    <t>mpower® 4" 3-Wire HD Light w/ Stud Mount, for use with mpower Arrow Kit and Connect-n-Go, SAE Class 1 &amp; CA Title 13, 9-32 Vdc, 6 LED, Single Color - Red</t>
  </si>
  <si>
    <t>EMPSCG4STS2R</t>
  </si>
  <si>
    <t>mpower® 4" 3-Wire HD Light w/ Stud Mount, for use with mpower Arrow Kit and Connect-n-Go, SAE Class 1 &amp; CA Title 13, 9-32 Vdc, Black Housing, 6 LED, Single Color - Blue</t>
  </si>
  <si>
    <t>EMPSCG4STS2B</t>
  </si>
  <si>
    <t>mpower® 4" 3-Wire HD Light w/ Stud Mount, for use with mpower Arrow Kit and Connect-n-Go, SAE Class 1 &amp; CA Title 13, 9-32 Vdc, Black Housing, 6 LED, Single Color - Amber</t>
  </si>
  <si>
    <t>EMPSCG4STS2A</t>
  </si>
  <si>
    <t>mpower® 4" 3-Wire Light w/ Stud Mount, for use with mpower Arrow Kit and Connect-n-Go, SAE Class 1 &amp; CA Title 13, 9-32 Vdc, Black Housing, 18 LED, Tricolor - Red/Blue/White</t>
  </si>
  <si>
    <t>EMPSCG2STS5RBW</t>
  </si>
  <si>
    <t>mpower® 4" 3-Wire Light w/ Stud Mount, for use with mpower Arrow Kit and Connect-n-Go, SAE Class 1 &amp; CA Title 13, 9-32 Vdc, Black Housing, 18 LED, Tricolor - Red/Blue/Amber</t>
  </si>
  <si>
    <t>EMPSCG2STS5RBA</t>
  </si>
  <si>
    <t>mpower® 4" 3-Wire Light w/ Stud Mount, for use with mpower Arrow Kit and Connect-n-Go, SAE Class 1 &amp; CA Title 13, 9-32 Vdc, Black Housing, 18 LED, Tricolor - Red/Amber/White</t>
  </si>
  <si>
    <t>EMPSCG2STS5RAW</t>
  </si>
  <si>
    <t>mpower® 4" 3-Wire Light w/ Stud Mount, for use with mpower Arrow Kit and Connect-n-Go, SAE Class 1 &amp; CA Title 13, 9-32 Vdc, Black Housing, 18 LED, Tricolor - Blue/Amber/White</t>
  </si>
  <si>
    <t>EMPSCG2STS5BAW</t>
  </si>
  <si>
    <t>mpower® 4" 3-Wire Light w/ Stud Mount, for use with mpower Arrow Kit and Connect-n-Go, SAE Class 1 &amp; CA Title 13, 9-32 Vdc, Black Housing, 12 LED, Dual Color - Blue/Amber</t>
  </si>
  <si>
    <t>EMPSCG2STS4M</t>
  </si>
  <si>
    <t>mpower® 4" 3-Wire Light w/ Stud Mount, for use with mpower Arrow Kit and Connect-n-Go, SAE Class 1 &amp; CA Title 13, 9-32 Vdc, Black Housing, 12 LED, Dual Color - Red/Amber</t>
  </si>
  <si>
    <t>EMPSCG2STS4K</t>
  </si>
  <si>
    <t>mpower® 4" 3-Wire Light w/ Stud Mount, for use with mpower Arrow Kit and Connect-n-Go, SAE Class 1 &amp; CA Title 13, 9-32 Vdc, Black Housing, 12 LED, Dual Color - Red/Blue</t>
  </si>
  <si>
    <t>EMPSCG2STS4J</t>
  </si>
  <si>
    <t>mpower® 4" 3-Wire Light w/ Stud Mount, for use with mpower Arrow Kit and Connect-n-Go, SAE Class 1 &amp; CA Title 13, 9-32 Vdc, Black Housing, 12 LED, Dual Color - Amber/White</t>
  </si>
  <si>
    <t>EMPSCG2STS4F</t>
  </si>
  <si>
    <t>mpower® 4" 3-Wire Light w/ Stud Mount, for use with mpower Arrow Kit and Connect-n-Go, SAE Class 1 &amp; CA Title 13, 9-32 Vdc, Black Housing, 12 LED, Dual Color - Blue/White</t>
  </si>
  <si>
    <t>EMPSCG2STS4E</t>
  </si>
  <si>
    <t>mpower® 4" 3-Wire Light w/ Stud Mount, for use with mpower Arrow Kit and Connect-n-Go, SAE Class 1 &amp; CA Title 13, 9-32 Vdc, Black Housing, 12 LED, Dual Color - Red/White</t>
  </si>
  <si>
    <t>EMPSCG2STS4D</t>
  </si>
  <si>
    <t>mpower® 4" 3-Wire Light w/ Stud Mount, for use with mpower Arrow Kit and Connect-n-Go, SAE Class 1 &amp; CA Title 13, 9-32 Vdc, Black Housing, 8 LED, Single Color - White</t>
  </si>
  <si>
    <t>EMPSCG2STS3W</t>
  </si>
  <si>
    <t>mpower® 4" 3-Wire Light w/ Stud Mount, for use with mpower Arrow Kit and Connect-n-Go, SAE Class 1 &amp; CA Title 13, 9-32 Vdc, Black Housing, 8 LED, Single Color - Red</t>
  </si>
  <si>
    <t>EMPSCG2STS3R</t>
  </si>
  <si>
    <t>mpower® 4" 3-Wire Light w/ Stud Mount, for use with mpower Arrow Kit and Connect-n-Go, SAE Class 1 &amp; CA Title 13, 9-32 Vdc, Black Housing, 8 LED, Single Color - Blue</t>
  </si>
  <si>
    <t>EMPSCG2STS3B</t>
  </si>
  <si>
    <t>mpower® 4" 3-Wire Light w/ Stud Mount, for use with mpower Arrow Kit and Connect-n-Go, SAE Class 1 &amp; CA Title 13, 9-32 Vdc, Black Housing, 8 LED, Single Color - Amber</t>
  </si>
  <si>
    <t>EMPSCG2STS3A</t>
  </si>
  <si>
    <t>mpower® 4" 3-Wire Light w/ Stud Mount, for use with mpower Arrow Kit and Connect-n-Go, SAE Class 1 &amp; CA Title 13, 9-32 Vdc, Black Housing, 6 LED, Single Color - White</t>
  </si>
  <si>
    <t>EMPSCG2STS2W</t>
  </si>
  <si>
    <t>mpower® 4" 3-Wire Light w/ Stud Mount, for use with mpower Arrow Kit and Connect-n-Go, SAE Class 1 &amp; CA Title 13, 9-32 Vdc, Black Housing, 6 LED, Single Color - Red</t>
  </si>
  <si>
    <t>EMPSCG2STS2R</t>
  </si>
  <si>
    <t>mpower® 4" 3-Wire Light w/ Stud Mount, for use with mpower Arrow Kit and Connect-n-Go, SAE Class 1 &amp; CA Title 13, 9-32 Vdc, Black Housing, 6 LED, Single Color - Blue</t>
  </si>
  <si>
    <t>EMPSCG2STS2B</t>
  </si>
  <si>
    <t>mpower® 4" 3-Wire Light w/ Stud Mount, for use with mpower Arrow Kit and Connect-n-Go, SAE Class 1 &amp; CA Title 13, 9-32 Vdc, Black Housing, 6 LED, Single Color - Amber</t>
  </si>
  <si>
    <t>EMPSCG2STS2A</t>
  </si>
  <si>
    <t>mpower Fascia 4" 3-wire - Stud Mount</t>
  </si>
  <si>
    <t>mpower® 4" 3-Wire Light w/ Screw Mount, for use with mpower Arrow Kit and Connect-n-Go, SAE Class 1 &amp; CA Title 13, 9-32 Vdc, Black Housing, 18 LED, Tricolor - Red/Blue/White</t>
  </si>
  <si>
    <t>EMPSCG2SMS5RBW</t>
  </si>
  <si>
    <t>mpower® 4" 3-Wire Light w/ Screw Mount, for use with mpower Arrow Kit and Connect-n-Go, SAE Class 1 &amp; CA Title 13, 9-32 Vdc, Black Housing, 18 LED, Tricolor - Red/Blue/Amber</t>
  </si>
  <si>
    <t>EMPSCG2SMS5RBA</t>
  </si>
  <si>
    <t>mpower® 4" 3-Wire Light w/ Screw Mount, for use with mpower Arrow Kit and Connect-n-Go, SAE Class 1 &amp; CA Title 13, 9-32 Vdc, Black Housing, 18 LED, Tricolor - Red/Amber/White</t>
  </si>
  <si>
    <t>EMPSCG2SMS5RAW</t>
  </si>
  <si>
    <t>mpower® 4" 3-Wire Light w/ Screw Mount, for use with mpower Arrow Kit and Connect-n-Go, SAE Class 1 &amp; CA Title 13, 9-32 Vdc, Black Housing, 18 LED, Tricolor - Blue/Amber/White</t>
  </si>
  <si>
    <t>EMPSCG2SMS5BAW</t>
  </si>
  <si>
    <t>mpower® 4" 3-Wire Light w/ Screw Mount, for use with mpower Arrow Kit and Connect-n-Go, SAE Class 1 &amp; CA Title 13, 9-32 Vdc, Black Housing, 12 LED, Dual Color - Blue/Amber</t>
  </si>
  <si>
    <t>EMPSCG2SMS4M</t>
  </si>
  <si>
    <t>mpower® 4" 3-Wire Light w/ Screw Mount, for use with mpower Arrow Kit and Connect-n-Go, SAE Class 1 &amp; CA Title 13, 9-32 Vdc, Black Housing, 12 LED, Dual Color - Red/Amber</t>
  </si>
  <si>
    <t>EMPSCG2SMS4K</t>
  </si>
  <si>
    <t>mpower® 4" 3-Wire Light w/ Screw Mount, for use with mpower Arrow Kit and Connect-n-Go, SAE Class 1 &amp; CA Title 13, 9-32 Vdc, Black Housing, 12 LED, Dual Color - Red/Blue</t>
  </si>
  <si>
    <t>EMPSCG2SMS4J</t>
  </si>
  <si>
    <t>mpower® 4" 3-Wire Light w/ Screw Mount, for use with mpower Arrow Kit and Connect-n-Go, SAE Class 1 &amp; CA Title 13, 9-32 Vdc, Black Housing, 12 LED, Dual Color - Amber/White</t>
  </si>
  <si>
    <t>EMPSCG2SMS4F</t>
  </si>
  <si>
    <t>mpower® 4" 3-Wire Light w/ Screw Mount, for use with mpower Arrow Kit and Connect-n-Go, SAE Class 1 &amp; CA Title 13, 9-32 Vdc, Black Housing, 12 LED, Dual Color - Blue/White</t>
  </si>
  <si>
    <t>EMPSCG2SMS4E</t>
  </si>
  <si>
    <t>mpower® 4" 3-Wire Light w/ Screw Mount, for use with mpower Arrow Kit and Connect-n-Go, SAE Class 1 &amp; CA Title 13, 9-32 Vdc, Black Housing, 12 LED, Dual Color - Red/White</t>
  </si>
  <si>
    <t>EMPSCG2SMS4D</t>
  </si>
  <si>
    <t>mpower® 4" 3-Wire Light w/ Screw Mount, for use with mpower Arrow Kit and Connect-n-Go, SAE Class 1 &amp; CA Title 13, 9-32 Vdc, Black Housing, 8 LED, Single Color - White</t>
  </si>
  <si>
    <t>EMPSCG2SMS3W</t>
  </si>
  <si>
    <t>mpower® 4" 3-Wire Light w/ Screw Mount, for use with mpower Arrow Kit and Connect-n-Go, SAE Class 1 &amp; CA Title 13, 9-32 Vdc, Black Housing, 8 LED, Single Color - Red</t>
  </si>
  <si>
    <t>EMPSCG2SMS3R</t>
  </si>
  <si>
    <t>mpower® 4" 3-Wire Light w/ Screw Mount, for use with mpower Arrow Kit and Connect-n-Go, SAE Class 1 &amp; CA Title 13, 9-32 Vdc, Black Housing, 8 LED, Single Color - Blue</t>
  </si>
  <si>
    <t>EMPSCG2SMS3B</t>
  </si>
  <si>
    <t>mpower® 4" 3-Wire Light w/ Screw Mount, for use with mpower Arrow Kit and Connect-n-Go, SAE Class 1 &amp; CA Title 13, 9-32 Vdc, Black Housing, 8 LED, Single Color - Amber</t>
  </si>
  <si>
    <t>EMPSCG2SMS3A</t>
  </si>
  <si>
    <t>mpower® 4" 3-Wire Light w/ Screw Mount, for use with mpower Arrow Kit and Connect-n-Go, SAE Class 1 &amp; CA Title 13, 9-32 Vdc, Black Housing, 6 LED, Single Color - White</t>
  </si>
  <si>
    <t>EMPSCG2SMS2W</t>
  </si>
  <si>
    <t>mpower® 4" 3-Wire Light w/ Screw Mount, for use with mpower Arrow Kit and Connect-n-Go, SAE Class 1 &amp; CA Title 13, 9-32 Vdc, Black Housing, 6 LED, Single Color - Red</t>
  </si>
  <si>
    <t>EMPSCG2SMS2R</t>
  </si>
  <si>
    <t>mpower® 4" 3-Wire Light w/ Screw Mount, for use with mpower Arrow Kit and Connect-n-Go, SAE Class 1 &amp; CA Title 13, 9-32 Vdc, Black Housing, 6 LED, Single Color - Blue</t>
  </si>
  <si>
    <t>EMPSCG2SMS2B</t>
  </si>
  <si>
    <t>mpower® 4" 3-Wire Light w/ Screw Mount, for use with mpower Arrow Kit and Connect-n-Go, SAE Class 1 &amp; CA Title 13, 9-32 Vdc, Black Housing, 6 LED, Single Color - Amber</t>
  </si>
  <si>
    <t>EMPSCG2SMS2A</t>
  </si>
  <si>
    <t>mpower Fascia 4" 3-wire - Screw Mount</t>
  </si>
  <si>
    <t>mpower® 4" 3-Wire Light w/ Quick Mount, for use with mpower Arrow Kit and Connect-n-Go, SAE Class 1 &amp; CA Title 13, 9-32 Vdc, Black Housing, 18 LED, Tricolor - Red/Blue/White</t>
  </si>
  <si>
    <t>EMPSCG2QMS5RBW</t>
  </si>
  <si>
    <t>mpower® 4" 3-Wire Light w/ Quick Mount, for use with mpower Arrow Kit and Connect-n-Go, SAE Class 1 &amp; CA Title 13, 9-32 Vdc, Black Housing, 18 LED, Tricolor - Red/Blue/Amber</t>
  </si>
  <si>
    <t>EMPSCG2QMS5RBA</t>
  </si>
  <si>
    <t>mpower® 4" 3-Wire Light w/ Quick Mount, for use with mpower Arrow Kit and Connect-n-Go, SAE Class 1 &amp; CA Title 13, 9-32 Vdc, Black Housing, 18 LED, Tricolor - Red/Amber/White</t>
  </si>
  <si>
    <t>EMPSCG2QMS5RAW</t>
  </si>
  <si>
    <t>mpower® 4" 3-Wire Light w/ Quick Mount, for use with mpower Arrow Kit and Connect-n-Go, SAE Class 1 &amp; CA Title 13, 9-32 Vdc, Black Housing, 18 LED, Tricolor - Blue/Amber/White</t>
  </si>
  <si>
    <t>EMPSCG2QMS5BAW</t>
  </si>
  <si>
    <t>mpower® 4" 3-Wire Light w/ Quick Mount, for use with mpower Arrow Kit and Connect-n-Go, SAE Class 1 &amp; CA Title 13, 9-32 Vdc, Black Housing, 12 LED, Dual Color - Blue/Amber</t>
  </si>
  <si>
    <t>EMPSCG2QMS4M</t>
  </si>
  <si>
    <t>mpower® 4" 3-Wire Light w/ Quick Mount, for use with mpower Arrow Kit and Connect-n-Go, SAE Class 1 &amp; CA Title 13, 9-32 Vdc, Black Housing, 12 LED, Dual Color - Red/Amber</t>
  </si>
  <si>
    <t>EMPSCG2QMS4K</t>
  </si>
  <si>
    <t>mpower® 4" 3-Wire Light w/ Quick Mount, for use with mpower Arrow Kit and Connect-n-Go, SAE Class 1 &amp; CA Title 13, 9-32 Vdc, Black Housing, 12 LED, Dual Color - Red/Blue</t>
  </si>
  <si>
    <t>EMPSCG2QMS4J</t>
  </si>
  <si>
    <t>mpower® 4" 3-Wire Light w/ Quick Mount, for use with mpower Arrow Kit and Connect-n-Go, SAE Class 1 &amp; CA Title 13, 9-32 Vdc, Black Housing, 12 LED, Dual Color - Amber/White</t>
  </si>
  <si>
    <t>EMPSCG2QMS4F</t>
  </si>
  <si>
    <t>mpower® 4" 3-Wire Light w/ Quick Mount, for use with mpower Arrow Kit and Connect-n-Go, SAE Class 1 &amp; CA Title 13, 9-32 Vdc, Black Housing, 12 LED, Dual Color - Blue/White</t>
  </si>
  <si>
    <t>EMPSCG2QMS4E</t>
  </si>
  <si>
    <t>mpower® 4" 3-Wire Light w/ Quick Mount, for use with mpower Arrow Kit and Connect-n-Go, SAE Class 1 &amp; CA Title 13, 9-32 Vdc, Black Housing, 12 LED, Dual Color - Red/White</t>
  </si>
  <si>
    <t>EMPSCG2QMS4D</t>
  </si>
  <si>
    <t>mpower® 4" 3-Wire Light w/ Quick Mount, for use with mpower Arrow Kit and Connect-n-Go, SAE Class 1 &amp; CA Title 13, 9-32 Vdc, Black Housing, 8 LED, Single Color - White</t>
  </si>
  <si>
    <t>EMPSCG2QMS3W</t>
  </si>
  <si>
    <t>mpower® 4" 3-Wire Light w/ Quick Mount, for use with mpower Arrow Kit and Connect-n-Go, SAE Class 1 &amp; CA Title 13, 9-32 Vdc, Black Housing, 8 LED, Single Color - Red</t>
  </si>
  <si>
    <t>EMPSCG2QMS3R</t>
  </si>
  <si>
    <t>mpower® 4" 3-Wire Light w/ Quick Mount, for use with mpower Arrow Kit and Connect-n-Go, SAE Class 1 &amp; CA Title 13, 9-32 Vdc, Black Housing, 8 LED, Single Color - Blue</t>
  </si>
  <si>
    <t>EMPSCG2QMS3B</t>
  </si>
  <si>
    <t>mpower® 4" 3-Wire Light w/ Quick Mount, for use with mpower Arrow Kit and Connect-n-Go, SAE Class 1 &amp; CA Title 13, 9-32 Vdc, Black Housing, 8 LED, Single Color - Amber</t>
  </si>
  <si>
    <t>EMPSCG2QMS3A</t>
  </si>
  <si>
    <t>mpower® 4” 3-Wire Light w/ Quick Mount, for use with mpower Arrow Kit and Connect-n-Go, SAE Class 1 &amp; CA Title 13, 9-32 Vdc, Black Housing, 6 LED, Single Color - White</t>
  </si>
  <si>
    <t>EMPSCG2QMS2W</t>
  </si>
  <si>
    <t>mpower® 4” 3-Wire Light w/ Quick Mount, for use with mpower Arrow Kit and Connect-n-Go, SAE Class 1 &amp; CA Title 13, 9-32 Vdc, Black Housing, 6 LED, Single Color - Red</t>
  </si>
  <si>
    <t>EMPSCG2QMS2R</t>
  </si>
  <si>
    <t>mpower® 4” 3-Wire Light w/ Quick Mount, for use with mpower Arrow Kit and Connect-n-Go, SAE Class 1 &amp; CA Title 13, 9-32 Vdc, Black Housing, 6 LED, Single Color - Blue</t>
  </si>
  <si>
    <t>EMPSCG2QMS2B</t>
  </si>
  <si>
    <t>mpower® 4” 3-Wire Light w/ Quick Mount, for use with mpower Arrow Kit and Connect-n-Go, SAE Class 1 &amp; CA Title 13, 9-32 Vdc, Black Housing, 6 LED, Single Color - Amber</t>
  </si>
  <si>
    <t>EMPSCG2QMS2A</t>
  </si>
  <si>
    <t>mpower Fascia 4" 3-wire - Quick Mount</t>
  </si>
  <si>
    <t>mpower® 3" 3-Wire Light w/ Stud Mount, for use with mpower Arrow Kit and Connect-n-Go, SAE Class 1 &amp; CA Title 13, 9-32 Vdc, Black Housing, 12 LED, Tricolor - Red/Blue/White</t>
  </si>
  <si>
    <t>EMPSCG1SLS4RBW</t>
  </si>
  <si>
    <t>mpower® 3" 3-Wire Light w/ Stud Mount, for use with mpower Arrow Kit and Connect-n-Go, SAE Class 1 &amp; CA Title 13, 9-32 Vdc, Black Housing, 12 LED, Tricolor - Red/Blue/Amber</t>
  </si>
  <si>
    <t>EMPSCG1SLS4RBA</t>
  </si>
  <si>
    <t>mpower® 3" 3-Wire Light w/ Stud Mount, for use with mpower Arrow Kit and Connect-n-Go, SAE Class 1 &amp; CA Title 13, 9-32 Vdc, Black Housing, 12 LED, Tricolor - Red/Amber/White</t>
  </si>
  <si>
    <t>EMPSCG1SLS4RAW</t>
  </si>
  <si>
    <t>mpower® 3" 3-Wire Light w/ Stud Mount, for use with mpower Arrow Kit and Connect-n-Go, SAE Class 1 &amp; CA Title 13, 9-32 Vdc, Black Housing, 12 LED, Tricolor - Blue/Amber/White</t>
  </si>
  <si>
    <t>EMPSCG1SLS4BAW</t>
  </si>
  <si>
    <t>mpower® 3" 3-Wire Light w/ Stud Mount, for use with mpower Arrow Kit and Connect-n-Go, SAE Class 1 &amp; CA Title 13, 9-32 Vdc, Black Housing, 8 LED, Single Color - White</t>
  </si>
  <si>
    <t>EMPSCG1SLS3W</t>
  </si>
  <si>
    <t>mpower® 3" 3-Wire Light w/ Stud Mount, for use with mpower Arrow Kit and Connect-n-Go, SAE Class 1 &amp; CA Title 13, 9-32 Vdc, Black Housing, 8 LED, Single Color - Red</t>
  </si>
  <si>
    <t>EMPSCG1SLS3R</t>
  </si>
  <si>
    <t>mpower® 3" 3-Wire Light w/ Stud Mount, for use with mpower Arrow Kit and Connect-n-Go, SAE Class 1 &amp; CA Title 13, 9-32 Vdc, Black Housing, 8 LED, Dual Color - Blue/Amber</t>
  </si>
  <si>
    <t>EMPSCG1SLS3M</t>
  </si>
  <si>
    <t>mpower® 3" 3-Wire Light w/ Stud Mount, for use with mpower Arrow Kit and Connect-n-Go, SAE Class 1 &amp; CA Title 13, 9-32 Vdc, Black Housing, 8 LED, Dual Color - Red/Amber</t>
  </si>
  <si>
    <t>EMPSCG1SLS3K</t>
  </si>
  <si>
    <t>mpower® 3" 3-Wire Light w/ Stud Mount, for use with mpower Arrow Kit and Connect-n-Go, SAE Class 1 &amp; CA Title 13, 9-32 Vdc, Black Housing, 8 LED, Dual Color - Red/Blue</t>
  </si>
  <si>
    <t>EMPSCG1SLS3J</t>
  </si>
  <si>
    <t>mpower® 3" 3-Wire Light w/ Stud Mount, for use with mpower Arrow Kit and Connect-n-Go, SAE Class 1 &amp; CA Title 13, 9-32 Vdc, Black Housing, 8 LED, Dual Color - Amber/White</t>
  </si>
  <si>
    <t>EMPSCG1SLS3F</t>
  </si>
  <si>
    <t>mpower® 3" 3-Wire Light w/ Stud Mount, for use with mpower Arrow Kit and Connect-n-Go, SAE Class 1 &amp; CA Title 13, 9-32 Vdc, Black Housing, 8 LED, Dual Color - Blue/White</t>
  </si>
  <si>
    <t>EMPSCG1SLS3E</t>
  </si>
  <si>
    <t>mpower® 3" 3-Wire Light w/ Stud Mount, for use with mpower Arrow Kit and Connect-n-Go, SAE Class 1 &amp; CA Title 13, 9-32 Vdc, Black Housing, 8 LED, Dual Color - Red/White</t>
  </si>
  <si>
    <t>EMPSCG1SLS3D</t>
  </si>
  <si>
    <t>mpower® 3" 3-Wire Light w/ Stud Mount, for use with mpower Arrow Kit and Connect-n-Go, SAE Class 1 &amp; CA Title 13, 9-32 Vdc, Black Housing, 8 LED, Single Color - Blue</t>
  </si>
  <si>
    <t>EMPSCG1SLS3B</t>
  </si>
  <si>
    <t>mpower® 3" 3-Wire Light w/ Stud Mount, for use with mpower Arrow Kit and Connect-n-Go, SAE Class 1 &amp; CA Title 13, 9-32 Vdc, Black Housing, 8 LED, Single Color - Amber</t>
  </si>
  <si>
    <t>EMPSCG1SLS3A</t>
  </si>
  <si>
    <t>mpower® 3” 3-Wire Light w/ Stud Mount, for use with mpower Arrow Kit and Connect-n-Go, SAE Class 1 &amp; CA Title 13, 9-32 Vdc, Black Housing, 4 LED, Single Color - White</t>
  </si>
  <si>
    <t>EMPSCG1SLS1W</t>
  </si>
  <si>
    <t>mpower® 3” 3-Wire Light w/ Stud Mount, for use with mpower Arrow Kit and Connect-n-Go, SAE Class 1 &amp; CA Title 13, 9-32 Vdc, Black Housing, 4 LED, Single Color - Red</t>
  </si>
  <si>
    <t>EMPSCG1SLS1R</t>
  </si>
  <si>
    <t>mpower® 3” 3-Wire Light w/ Stud Mount, for use with mpower Arrow Kit and Connect-n-Go, SAE Class 1 &amp; CA Title 13, 9-32 Vdc, Black Housing, 4 LED, Single Color - Blue</t>
  </si>
  <si>
    <t>EMPSCG1SLS1B</t>
  </si>
  <si>
    <t>mpower® 3” 3-Wire Light w/ Stud Mount, for use with mpower Arrow Kit and Connect-n-Go, SAE Class 1 &amp; CA Title 13, 9-32 Vdc, Black Housing, 4 LED, Single Color - Amber</t>
  </si>
  <si>
    <t>EMPSCG1SLS1A</t>
  </si>
  <si>
    <t>mpower Fascia 3" 3-wire - Stud Mount</t>
  </si>
  <si>
    <t>mpower® 3" 3-Wire Light w/ Screw Mount, for use with mpower Arrow Kit and Connect-n-Go, SAE Class 1 &amp; CA Title 13, 9-32 Vdc, Black Housing, 12 LED, Tricolor - Red/Blue/White</t>
  </si>
  <si>
    <t>EMPSCG1SMS4RBW</t>
  </si>
  <si>
    <t>mpower® 3" 3-Wire Light w/ Screw Mount, for use with mpower Arrow Kit and Connect-n-Go, SAE Class 1 &amp; CA Title 13, 9-32 Vdc, Black Housing, 12 LED, Tricolor - Red/Blue/Amber</t>
  </si>
  <si>
    <t>EMPSCG1SMS4RBA</t>
  </si>
  <si>
    <t>mpower® 3" 3-Wire Light w/ Screw Mount, for use with mpower Arrow Kit and Connect-n-Go, SAE Class 1 &amp; CA Title 13, 9-32 Vdc, Black Housing, 12 LED, Tricolor - Red/Amber/White</t>
  </si>
  <si>
    <t>EMPSCG1SMS4RAW</t>
  </si>
  <si>
    <t>mpower® 3" 3-Wire Light w/ Screw Mount, for use with mpower Arrow Kit and Connect-n-Go, SAE Class 1 &amp; CA Title 13, 9-32 Vdc, Black Housing, 12 LED, Tricolor - Blue/Amber/White</t>
  </si>
  <si>
    <t>EMPSCG1SMS4BAW</t>
  </si>
  <si>
    <t>mpower® 3" 3-Wire Light w/ Screw Mount, for use with mpower Arrow Kit and Connect-n-Go, SAE Class 1 &amp; CA Title 13, 9-32 Vdc, Black Housing, 8 LED, Single Color - White</t>
  </si>
  <si>
    <t>EMPSCG1SMS3W</t>
  </si>
  <si>
    <t>mpower® 3" 3-Wire Light w/ Screw Mount, for use with mpower Arrow Kit and Connect-n-Go, SAE Class 1 &amp; CA Title 13, 9-32 Vdc, Black Housing, 8 LED, Single Color - Red</t>
  </si>
  <si>
    <t>EMPSCG1SMS3R</t>
  </si>
  <si>
    <t>mpower® 3" 3-Wire Light w/ Screw Mount, for use with mpower Arrow Kit and Connect-n-Go, SAE Class 1 &amp; CA Title 13, 9-32 Vdc, Black Housing, 8 LED, Dual Color - Blue/Amber</t>
  </si>
  <si>
    <t>EMPSCG1SMS3M</t>
  </si>
  <si>
    <t>mpower® 3" 3-Wire Light w/ Screw Mount, for use with mpower Arrow Kit and Connect-n-Go, SAE Class 1 &amp; CA Title 13, 9-32 Vdc, Black Housing, 8 LED, Dual Color - Red/Amber</t>
  </si>
  <si>
    <t>EMPSCG1SMS3K</t>
  </si>
  <si>
    <t>mpower® 3" 3-Wire Light w/ Screw Mount, for use with mpower Arrow Kit and Connect-n-Go, SAE Class 1 &amp; CA Title 13, 9-32 Vdc, Black Housing, 8 LED, Dual Color - Red/Blue</t>
  </si>
  <si>
    <t>EMPSCG1SMS3J</t>
  </si>
  <si>
    <t>mpower® 3" 3-Wire Light w/ Screw Mount, for use with mpower Arrow Kit and Connect-n-Go, SAE Class 1 &amp; CA Title 13, 9-32 Vdc, Black Housing, 8 LED, Dual Color - Amber/White</t>
  </si>
  <si>
    <t>EMPSCG1SMS3F</t>
  </si>
  <si>
    <t>mpower® 3" 3-Wire Light w/ Screw Mount, for use with mpower Arrow Kit and Connect-n-Go, SAE Class 1 &amp; CA Title 13, 9-32 Vdc, Black Housing, 8 LED, Dual Color - Blue/White</t>
  </si>
  <si>
    <t>EMPSCG1SMS3E</t>
  </si>
  <si>
    <t>mpower® 3" 3-Wire Light w/ Screw Mount, for use with mpower Arrow Kit and Connect-n-Go, SAE Class 1 &amp; CA Title 13, 9-32 Vdc, Black Housing, 8 LED, Dual Color - Red/White</t>
  </si>
  <si>
    <t>EMPSCG1SMS3D</t>
  </si>
  <si>
    <t>mpower® 3" 3-Wire Light w/ Screw Mount, for use with mpower Arrow Kit and Connect-n-Go, SAE Class 1 &amp; CA Title 13, 9-32 Vdc, Black Housing, 8 LED, Single Color - Blue</t>
  </si>
  <si>
    <t>EMPSCG1SMS3B</t>
  </si>
  <si>
    <t>mpower® 3" 3-Wire Light w/ Screw Mount, for use with mpower Arrow Kit and Connect-n-Go, SAE Class 1 &amp; CA Title 13, 9-32 Vdc, Black Housing, 8 LED, Single Color - Amber</t>
  </si>
  <si>
    <t>EMPSCG1SMS3A</t>
  </si>
  <si>
    <t>mpower® 3” 3-Wire Light w/ Screw Mount, for use with mpower Arrow Kit and Connect-n-Go, SAE Class 1 &amp; CA Title 13, 9-32 Vdc, Black Housing, 4 LED, Single Color - White</t>
  </si>
  <si>
    <t>EMPSCG1SMS1W</t>
  </si>
  <si>
    <t>mpower® 3” 3-Wire Light w/ Screw Mount, for use with mpower Arrow Kit and Connect-n-Go, SAE Class 1 &amp; CA Title 13, 9-32 Vdc, Black Housing, 4 LED, Single Color - Red</t>
  </si>
  <si>
    <t>EMPSCG1SMS1R</t>
  </si>
  <si>
    <t>mpower® 3” 3-Wire Light w/ Screw Mount, for use with mpower Arrow Kit and Connect-n-Go, SAE Class 1 &amp; CA Title 13, 9-32 Vdc, Black Housing, 4 LED, Single Color - Blue</t>
  </si>
  <si>
    <t>EMPSCG1SMS1B</t>
  </si>
  <si>
    <t>mpower® 3” 3-Wire Light w/ Screw Mount, for use with mpower Arrow Kit and Connect-n-Go, SAE Class 1 &amp; CA Title 13, 9-32 Vdc, Black Housing, 4 LED, Single Color - Amber</t>
  </si>
  <si>
    <t>EMPSCG1SMS1A</t>
  </si>
  <si>
    <t>mpower Fascia 3" 3-wire - Screw Mount</t>
  </si>
  <si>
    <t>mpower® 3" 3-Wire Light w/ Quick Mount, for use with mpower Arrow Kit and Connect-n-Go, SAE Class 1 &amp; CA Title 13, 9-32 Vdc, Black Housing, 12 LED, Tricolor - Red/Blue/White</t>
  </si>
  <si>
    <t>EMPSCG1QMS4RBW</t>
  </si>
  <si>
    <t>mpower® 3" 3-Wire Light w/ Quick Mount, for use with mpower Arrow Kit and Connect-n-Go, SAE Class 1 &amp; CA Title 13, 9-32 Vdc, Black Housing, 12 LED, Tricolor - Red/Blue/Amber</t>
  </si>
  <si>
    <t>EMPSCG1QMS4RBA</t>
  </si>
  <si>
    <t>mpower® 3" 3-Wire Light w/ Quick Mount, for use with mpower Arrow Kit and Connect-n-Go, SAE Class 1 &amp; CA Title 13, 9-32 Vdc, Black Housing, 12 LED, Tricolor - Red/Amber/White</t>
  </si>
  <si>
    <t>EMPSCG1QMS4RAW</t>
  </si>
  <si>
    <t>mpower® 3" 3-Wire Light w/ Quick Mount, for use with mpower Arrow Kit and Connect-n-Go, SAE Class 1 &amp; CA Title 13, 9-32 Vdc, Black Housing, 12 LED, Tricolor - Blue/Amber/White</t>
  </si>
  <si>
    <t>EMPSCG1QMS4BAW</t>
  </si>
  <si>
    <t>mpower® 3" 3-Wire Light w/ Quick Mount, for use with mpower Arrow Kit and Connect-n-Go, SAE Class 1 &amp; CA Title 13, 9-32 Vdc, Black Housing, 8 LED, Single Color - White</t>
  </si>
  <si>
    <t>EMPSCG1QMS3W</t>
  </si>
  <si>
    <t>mpower® 3" 3-Wire Light w/ Quick Mount, for use with mpower Arrow Kit and Connect-n-Go, SAE Class 1 &amp; CA Title 13, 9-32 Vdc, Black Housing, 8 LED, Single Color - Red</t>
  </si>
  <si>
    <t>EMPSCG1QMS3R</t>
  </si>
  <si>
    <t>mpower® 3" 3-Wire Light w/ Quick Mount, for use with mpower Arrow Kit and Connect-n-Go, SAE Class 1 &amp; CA Title 13, 9-32 Vdc, Black Housing, 8 LED, Dual Color - Blue/Amber</t>
  </si>
  <si>
    <t>EMPSCG1QMS3M</t>
  </si>
  <si>
    <t>mpower® 3" 3-Wire Light w/ Quick Mount, for use with mpower Arrow Kit and Connect-n-Go, SAE Class 1 &amp; CA Title 13, 9-32 Vdc, Black Housing, 8 LED, Dual Color - Red/Amber</t>
  </si>
  <si>
    <t>EMPSCG1QMS3K</t>
  </si>
  <si>
    <t>mpower® 3" 3-Wire Light w/ Quick Mount, for use with mpower Arrow Kit and Connect-n-Go, SAE Class 1 &amp; CA Title 13, 9-32 Vdc, Black Housing, 8 LED, Dual Color - Red/Blue</t>
  </si>
  <si>
    <t>EMPSCG1QMS3J</t>
  </si>
  <si>
    <t>mpower® 3" 3-Wire Light w/ Quick Mount, for use with mpower Arrow Kit and Connect-n-Go, SAE Class 1 &amp; CA Title 13, 9-32 Vdc, Black Housing, 8 LED, Dual Color - Amber/White</t>
  </si>
  <si>
    <t>EMPSCG1QMS3F</t>
  </si>
  <si>
    <t>mpower® 3" 3-Wire Light w/ Quick Mount, for use with mpower Arrow Kit and Connect-n-Go, SAE Class 1 &amp; CA Title 13, 9-32 Vdc, Black Housing, 8 LED, Dual Color - Blue/White</t>
  </si>
  <si>
    <t>EMPSCG1QMS3E</t>
  </si>
  <si>
    <t>mpower® 3" 3-Wire Light w/ Quick Mount, for use with mpower Arrow Kit and Connect-n-Go, SAE Class 1 &amp; CA Title 13, 9-32 Vdc, Black Housing, 8 LED, Dual Color - Red/White</t>
  </si>
  <si>
    <t>EMPSCG1QMS3D</t>
  </si>
  <si>
    <t>mpower® 3" 3-Wire Light w/ Quick Mount, for use with mpower Arrow Kit and Connect-n-Go, SAE Class 1 &amp; CA Title 13, 9-32 Vdc, Black Housing, 8 LED, Single Color - Blue</t>
  </si>
  <si>
    <t>EMPSCG1QMS3B</t>
  </si>
  <si>
    <t>mpower® 3" 3-Wire Light w/ Quick Mount, for use with mpower Arrow Kit and Connect-n-Go, SAE Class 1 &amp; CA Title 13, 9-32 Vdc, Black Housing, 8 LED, Single Color - Amber</t>
  </si>
  <si>
    <t>EMPSCG1QMS3A</t>
  </si>
  <si>
    <t>mpower® 3” 3-Wire Light w/ Quick Mount, for use with mpower Arrow Kit and Connect-n-Go, SAE Class 1 &amp; CA Title 13, 9-32 Vdc, Black Housing, 4 LED, Single Color - White</t>
  </si>
  <si>
    <t>EMPSCG1QMS1W</t>
  </si>
  <si>
    <t>mpower® 3” 3-Wire Light w/ Quick Mount, for use with mpower Arrow Kit and Connect-n-Go, SAE Class 1 &amp; CA Title 13, 9-32 Vdc, Black Housing, 4 LED, Single Color - Red</t>
  </si>
  <si>
    <t>EMPSCG1QMS1R</t>
  </si>
  <si>
    <t>mpower® 3” 3-Wire Light w/ Quick Mount, for use with mpower Arrow Kit and Connect-n-Go, SAE Class 1 &amp; CA Title 13, 9-32 Vdc, Black Housing, 4 LED, Single Color - Blue</t>
  </si>
  <si>
    <t>EMPSCG1QMS1B</t>
  </si>
  <si>
    <t>mpower® 3” 3-Wire Light w/ Quick Mount, for use with mpower Arrow Kit and Connect-n-Go, SAE Class 1 &amp; CA Title 13, 9-32 Vdc, Black Housing, 4 LED, Single Color - Amber</t>
  </si>
  <si>
    <t>EMPSCG1QMS1A</t>
  </si>
  <si>
    <t>mpower Fascia 3" 3-wire - Quick Mount</t>
  </si>
  <si>
    <t>$652.00</t>
  </si>
  <si>
    <t>mpower® 9x7 Turn Light w/ Stud Mount, FMVSS108, 9-32 Vdc, 1.5' Pigtail, Clear Housing/Lens, 36 LED, Amber</t>
  </si>
  <si>
    <t>EMPSE15CJ-A</t>
  </si>
  <si>
    <t>mpower® 9x7 Stop/Tail/Turn Light w/ Stud Mount, FMVSS108, 9-32 Vdc, 1.5' Pigtail, Clear Housing/Lens, 36 LED, Red</t>
  </si>
  <si>
    <t>EMPSE15CH-R</t>
  </si>
  <si>
    <t>$850.00</t>
  </si>
  <si>
    <t>mpower® 9x7 Scene Light, Stud Mount, NFPA, KKK-1822-F, 10-32 Vdc, 1.5' Pigtail, Clear Lens, 36 LED, Single Color, White</t>
  </si>
  <si>
    <t>EMPSE15CG-W</t>
  </si>
  <si>
    <t>$799.00</t>
  </si>
  <si>
    <t>mpower® 9x7 Warning Light w/ Stud Mount,  NFPA 1901, KKK-1822-F, SAE J575, SAE J578, CA Title 13 Certified, IP67, 9-32 Vdc, 1.5' Pigtail, Clear Housing/Lens, 72 LED, Top Bottom, Split Color, Blue/Amber</t>
  </si>
  <si>
    <t>EMPSE15CB-M</t>
  </si>
  <si>
    <t>mpower® 9x7 Warning Light w/ Stud Mount,  NFPA 1901, KKK-1822-F, SAE J575, SAE J578, CA Title 13 Certified, IP67, 9-32 Vdc, 1.5' Pigtail, Clear Housing/Lens, 72 LED, Top Bottom, Split Color, Red/Amber</t>
  </si>
  <si>
    <t>EMPSE15CB-K</t>
  </si>
  <si>
    <t>mpower® 9x7 Warning Light w/ Stud Mount,  NFPA 1901, KKK-1822-F, SAE J575, SAE J578, CA Title 13 Certified, IP67, 9-32 Vdc, 1.5' Pigtail, Clear Housing/Lens, 72 LED, Top Bottom, Split Color, Red/Blue</t>
  </si>
  <si>
    <t>EMPSE15CB-J</t>
  </si>
  <si>
    <t>mpower® 9x7 Warning Light w/ Stud Mount,  NFPA 1901, KKK-1822-F, SAE J575, SAE J578, CA Title 13 Certified, IP67, 9-32 Vdc, 1.5' Pigtail, Clear Housing/Lens, 72 LED, Top Bottom, Split Color, Amber/White</t>
  </si>
  <si>
    <t>EMPSE15CB-F</t>
  </si>
  <si>
    <t>mpower® 9x7 Warning Light w/ Stud Mount,  NFPA 1901, KKK-1822-F, SAE J575, SAE J578, CA Title 13 Certified, IP67, 9-32 Vdc, 1.5' Pigtail, Clear Housing/Lens, 72 LED, Top Bottom, Split Color, Blue/White</t>
  </si>
  <si>
    <t>EMPSE15CB-E</t>
  </si>
  <si>
    <t>mpower® 9x7 Warning Light w/ Stud Mount,  NFPA 1901, KKK-1822-F, SAE J575, SAE J578, CA Title 13 Certified, IP67, 9-32 Vdc, 1.5' Pigtail, Clear Housing/Lens, 72 LED, Top Bottom, Split Color, Red/White</t>
  </si>
  <si>
    <t>EMPSE15CB-D</t>
  </si>
  <si>
    <t>mpower® 9x7 Warning Light w/ Stud Mount,  NFPA 1901, KKK-1822-F, SAE J575, SAE J578, CA Title 13 Certified, IP67, 9-32 Vdc, 1.5' Pigtail, Clear Housing/Lens, 72 LED, Left Right, Split Color, Blue/Amber</t>
  </si>
  <si>
    <t>EMPSE15CA-M</t>
  </si>
  <si>
    <t>mpower® 9x7 Warning Light w/ Stud Mount,  NFPA 1901, KKK-1822-F, SAE J575, SAE J578, CA Title 13 Certified, IP67, 9-32 Vdc, 1.5' Pigtail, Clear Housing/Lens, 72 LED, Left Right, Split Color, Red/Amber</t>
  </si>
  <si>
    <t>EMPSE15CA-K</t>
  </si>
  <si>
    <t>mpower® 9x7 Warning Light w/ Stud Mount,  NFPA 1901, KKK-1822-F, SAE J575, SAE J578, CA Title 13 Certified, IP67, 9-32 Vdc, 1.5' Pigtail, Clear Housing/Lens, 72 LED, Left Right, Split Color, Red/Blue</t>
  </si>
  <si>
    <t>EMPSE15CA-J</t>
  </si>
  <si>
    <t>mpower® 9x7 Warning Light w/ Stud Mount,  NFPA 1901, KKK-1822-F, SAE J575, SAE J578, CA Title 13 Certified, IP67, 9-32 Vdc, 1.5' Pigtail, Clear Housing/Lens, 72 LED, Left Right, Split Color, Amber/White</t>
  </si>
  <si>
    <t>EMPSE15CA-F</t>
  </si>
  <si>
    <t>mpower® 9x7 Warning Light w/ Stud Mount,  NFPA 1901, KKK-1822-F, SAE J575, SAE J578, CA Title 13 Certified, IP67, 9-32 Vdc, 1.5' Pigtail, Clear Housing/Lens, 72 LED, Left Right, Split Color, Blue/White</t>
  </si>
  <si>
    <t>EMPSE15CA-E</t>
  </si>
  <si>
    <t>mpower® 9x7 Warning Light w/ Stud Mount,  NFPA 1901, KKK-1822-F, SAE J575, SAE J578, CA Title 13 Certified, IP67, 9-32 Vdc, 1.5' Pigtail, Clear Housing/Lens, 72 LED, Left Right, Split Color, Red/White</t>
  </si>
  <si>
    <t>EMPSE15CA-D</t>
  </si>
  <si>
    <t>mpower® 9x7 Warning Light w/ Stud Mount,  NFPA 1901, KKK-1822-F, SAE J575, SAE J578, CA Title 13 Certified, IP67, 9-32 Vdc, 1.5' Pigtail, Clear Housing/Lens, 72 LED, Dual Color, Red/Blue</t>
  </si>
  <si>
    <t>EMPSE15C9-J</t>
  </si>
  <si>
    <t>mpower® 9x7 Warning Light w/ Stud Mount,  NFPA 1901, KKK-1822-F, SAE J575, SAE J578, CA Title 13 Certified, IP67, 9-32 Vdc, 1.5' Pigtail, Clear Housing/Lens, 72 LED, Dual Color, Amber/White</t>
  </si>
  <si>
    <t>EMPSE15C9-F</t>
  </si>
  <si>
    <t>mpower® 9x7 Warning Light w/ Stud Mount,  NFPA 1901, KKK-1822-F, SAE J575, SAE J578, CA Title 13 Certified, IP67, 9-32 Vdc, 1.5' Pigtail, Clear Housing/Lens, 72 LED, Dual Color, Blue/White</t>
  </si>
  <si>
    <t>EMPSE15C9-E</t>
  </si>
  <si>
    <t>mpower® 9x7 Warning Light w/ Stud Mount,  NFPA 1901, KKK-1822-F, SAE J575, SAE J578, CA Title 13 Certified, IP67, 9-32 Vdc, 1.5' Pigtail, Clear Housing/Lens, 72 LED, Dual Color, Red/White</t>
  </si>
  <si>
    <t>EMPSE15C9-D</t>
  </si>
  <si>
    <t>$694.00</t>
  </si>
  <si>
    <t>mpower® 9x7 Warning Light w/ Stud Mount,  NFPA 1901, KKK-1822-F, SAE J575, SAE J578, CA Title 13 Certified, IP67, 9-32 Vdc, 1.5' Pigtail, Clear Housing/Lens, 36 LED, Single, Color, White</t>
  </si>
  <si>
    <t>EMPSE15C8-W</t>
  </si>
  <si>
    <t>mpower® 9x7 Warning Light w/ Stud Mount,  NFPA 1901, KKK-1822-F, SAE J575, SAE J578, CA Title 13 Certified, IP67, 9-32 Vdc, 1.5' Pigtail, Clear Housing/Lens, 36 LED, Single, Color, Red</t>
  </si>
  <si>
    <t>EMPSE15C8-R</t>
  </si>
  <si>
    <t>mpower® 9x7 Warning Light w/ Stud Mount,  NFPA 1901, KKK-1822-F, SAE J575, SAE J578, CA Title 13 Certified, IP67, 9-32 Vdc, 1.5' Pigtail, Clear Housing/Lens, 36 LED, Single, Color, Blue</t>
  </si>
  <si>
    <t>EMPSE15C8-B</t>
  </si>
  <si>
    <t>mpower® 9x7 Warning Light w/ Stud Mount,  NFPA 1901, KKK-1822-F, SAE J575, SAE J578, CA Title 13 Certified, IP67, 9-32 Vdc, 1.5' Pigtail, Clear Housing/Lens, 36 LED, Single Color, Amber</t>
  </si>
  <si>
    <t>EMPSE15C8-A</t>
  </si>
  <si>
    <t>mpower 9x7 - Stud Mount</t>
  </si>
  <si>
    <t>mpower® 9x7 Turn Light w/ Screw Mount, FMVSS108, 9-32 Vdc, 1.5' Pigtail, Clear Housing/Lens, 36 LED, Amber</t>
  </si>
  <si>
    <t>EMPSE15CF-A</t>
  </si>
  <si>
    <t>mpower® 9x7 Stop/Tail/Turn Light w/ Screw Mount, FMVSS108, 9-32 Vdc, 1.5' Pigtail, Clear Housing/Lens, 36 LED, Red</t>
  </si>
  <si>
    <t>EMPSE15CE-R</t>
  </si>
  <si>
    <t>mpower® 9x7 Scene Light, Screw Mount, NFPA, KKK-1822-F, 10-32 Vdc, 1.5' Pigtail, Clear Lens, 36 LED, Single Color, White</t>
  </si>
  <si>
    <t>EMPSE15CC-W</t>
  </si>
  <si>
    <t>mpower® 9x7 Warning Light w/ Screw Mount,  NFPA 1901, KKK-1822-F, SAE J575, SAE J578, CA Title 13 Certified, IP67, 9-32 Vdc, 1.5' Pigtail, Clear Housing/Lens, 72 LED, Top Bottom, Split Color, Blue/Amber</t>
  </si>
  <si>
    <t>EMPSE15C7-M</t>
  </si>
  <si>
    <t>mpower® 9x7 Warning Light w/ Screw Mount,  NFPA 1901, KKK-1822-F, SAE J575, SAE J578, CA Title 13 Certified, IP67, 9-32 Vdc, 1.5' Pigtail, Clear Housing/Lens, 72 LED, Top Bottom, Split Color, Red/Amber</t>
  </si>
  <si>
    <t>EMPSE15C7-K</t>
  </si>
  <si>
    <t>mpower® 9x7 Warning Light w/ Screw Mount,  NFPA 1901, KKK-1822-F, SAE J575, SAE J578, CA Title 13 Certified, IP67, 9-32 Vdc, 1.5' Pigtail, Clear Housing/Lens, 72 LED, Top Bottom, Split Color, Red/Blue</t>
  </si>
  <si>
    <t>EMPSE15C7-J</t>
  </si>
  <si>
    <t>mpower® 9x7 Warning Light w/ Screw Mount,  NFPA 1901, KKK-1822-F, SAE J575, SAE J578, CA Title 13 Certified, IP67, 9-32 Vdc, 1.5' Pigtail, Clear Housing/Lens, 72 LED, Top Bottom, Split Color, Amber/White</t>
  </si>
  <si>
    <t>EMPSE15C7-F</t>
  </si>
  <si>
    <t>mpower® 9x7 Warning Light w/ Screw Mount,  NFPA 1901, KKK-1822-F, SAE J575, SAE J578, CA Title 13 Certified, IP67, 9-32 Vdc, 1.5' Pigtail, Clear Housing/Lens, 72 LED, Top Bottom, Split Color, Blue/White</t>
  </si>
  <si>
    <t>EMPSE15C7-E</t>
  </si>
  <si>
    <t>mpower® 9x7 Warning Light w/ Screw Mount,  NFPA 1901, KKK-1822-F, SAE J575, SAE J578, CA Title 13 Certified, IP67, 9-32 Vdc, 1.5' Pigtail, Clear Housing/Lens, 72 LED, Top Bottom, Split Color, Red/White</t>
  </si>
  <si>
    <t>EMPSE15C7-D</t>
  </si>
  <si>
    <t>mpower® 9x7 Warning Light w/ Screw Mount,  NFPA 1901, KKK-1822-F, SAE J575, SAE J578, CA Title 13 Certified, IP67, 9-32 Vdc, 1.5' Pigtail, Clear Housing/Lens, 72 LED, Left Right, Split Color, Blue/Amber</t>
  </si>
  <si>
    <t>EMPSE15C6-M</t>
  </si>
  <si>
    <t>mpower® 9x7 Warning Light w/ Screw Mount,  NFPA 1901, KKK-1822-F, SAE J575, SAE J578, CA Title 13 Certified, IP67, 9-32 Vdc, 1.5' Pigtail, Clear Housing/Lens, 72 LED, Left Right, Split Color, Red/Amber</t>
  </si>
  <si>
    <t>EMPSE15C6-K</t>
  </si>
  <si>
    <t>mpower® 9x7 Warning Light w/ Screw Mount,  NFPA 1901, KKK-1822-F, SAE J575, SAE J578, CA Title 13 Certified, IP67, 9-32 Vdc, 1.5' Pigtail, Clear Housing/Lens, 72 LED, Left Right, Split Color, Red/Blue</t>
  </si>
  <si>
    <t>EMPSE15C6-J</t>
  </si>
  <si>
    <t>mpower® 9x7 Warning Light w/ Screw Mount,  NFPA 1901, KKK-1822-F, SAE J575, SAE J578, CA Title 13 Certified, IP67, 9-32 Vdc, 1.5' Pigtail, Clear Housing/Lens, 72 LED, Left Right, Split Color, Amber/White</t>
  </si>
  <si>
    <t>EMPSE15C6-F</t>
  </si>
  <si>
    <t>mpower® 9x7 Warning Light w/ Screw Mount,  NFPA 1901, KKK-1822-F, SAE J575, SAE J578, CA Title 13 Certified, IP67, 9-32 Vdc, 1.5' Pigtail, Clear Housing/Lens, 72 LED, Left Right, Split Color, Blue/White</t>
  </si>
  <si>
    <t>EMPSE15C6-E</t>
  </si>
  <si>
    <t>mpower® 9x7 Warning Light w/ Screw Mount,  NFPA 1901, KKK-1822-F, SAE J575, SAE J578, CA Title 13 Certified, IP67, 9-32 Vdc, 1.5' Pigtail, Clear Housing/Lens, 72 LED, Left Right, Split Color, Red/White</t>
  </si>
  <si>
    <t>EMPSE15C6-D</t>
  </si>
  <si>
    <t>mpower® 9x7 Warning Light w/ Screw Mount,  NFPA 1901, KKK-1822-F, SAE J575, SAE J578, CA Title 13 Certified, IP67, 9-32 Vdc, 1.5' Pigtail, Clear Housing/Lens, 72 LED, Dual Color, Red/Blue</t>
  </si>
  <si>
    <t>EMPSE15C5-J</t>
  </si>
  <si>
    <t>mpower® 9x7 Warning Light w/ Screw Mount,  NFPA 1901, KKK-1822-F, SAE J575, SAE J578, CA Title 13 Certified, IP67, 9-32 Vdc, 1.5' Pigtail, Clear Housing/Lens, 72 LED, Dual Color, Amber/White</t>
  </si>
  <si>
    <t>EMPSE15C5-F</t>
  </si>
  <si>
    <t>mpower® 9x7 Warning Light w/ Screw Mount,  NFPA 1901, KKK-1822-F, SAE J575, SAE J578, CA Title 13 Certified, IP67, 9-32 Vdc, 1.5' Pigtail, Clear Housing/Lens, 72 LED, Dual Color, Blue/White</t>
  </si>
  <si>
    <t>mpower® 9x7 Warning Light w/ Screw Mount,  NFPA 1901, KKK-1822-F, SAE J575, SAE J578, CA Title 13 Certified, IP67, 9-32 Vdc, 1.5' Pigtail, Clear Housing/Lens, 72 LED, Dual Color, Red/White</t>
  </si>
  <si>
    <t>EMPSE15C5-D</t>
  </si>
  <si>
    <t>mpower® 9x7 Warning Light w/ Screw Mount,  NFPA 1901, KKK-1822-F, SAE J575, SAE J578, CA Title 13 Certified, IP67, 9-32 Vdc, 1.5' Pigtail, Clear Housing/Lens, 36 LED, Single Color, White</t>
  </si>
  <si>
    <t>EMPSE15C4-W</t>
  </si>
  <si>
    <t>mpower® 9x7 Warning Light w/ Screw Mount,  NFPA 1901, KKK-1822-F, SAE J575, SAE J578, CA Title 13 Certified, IP67, 9-32 Vdc, 1.5' Pigtail, Clear Housing/Lens, 36 LED, Single Color, Red</t>
  </si>
  <si>
    <t>EMPSE15C4-R</t>
  </si>
  <si>
    <t>mpower® 9x7 Warning Light w/ Screw Mount,  NFPA 1901, KKK-1822-F, SAE J575, SAE J578, CA Title 13 Certified, IP67, 9-32 Vdc, 1.5' Pigtail, Clear Housing/Lens, 36 LED, Single Color, Blue</t>
  </si>
  <si>
    <t>EMPSE15C4-B</t>
  </si>
  <si>
    <t>mpower® 9x7 Warning Light w/ Screw Mount,  NFPA 1901, KKK-1822-F, SAE J575, SAE J578, CA Title 13 Certified, IP67, 9-32 Vdc, 1.5' Pigtail, Clear Housing/Lens, 36 LED, Single Color, Amber</t>
  </si>
  <si>
    <t>EMPSE15C4-A</t>
  </si>
  <si>
    <t>mpower 9x7 - Screw Mount</t>
  </si>
  <si>
    <t>$569.00</t>
  </si>
  <si>
    <t>mpower® 7x3 Scene Light, Stud Mount, 9-32 Vdc, 1.5' Pigtail, Clear Lens, 12 LED, Single Color, White</t>
  </si>
  <si>
    <t>EMPSC0Z3X-W</t>
  </si>
  <si>
    <t>mpower 7x3 Scene Light - Stud Mount</t>
  </si>
  <si>
    <t>mpower® 7x3 Scene Light, Screw Mount, 9-32 Vdc, 1.5' Pigtail, Clear Lens, 12 LED, Single Color, White</t>
  </si>
  <si>
    <t>EMPSC0Z3W-W</t>
  </si>
  <si>
    <t>mpower 7x3 Scene Light - Screw Mount</t>
  </si>
  <si>
    <t>mpower® 7x3 Scene Light, Quick Mount, 9-32 Vdc, 1.5' Pigtail, Clear Lens, 12 LED, Single Color, White</t>
  </si>
  <si>
    <t>EMPSC0Z3V-W</t>
  </si>
  <si>
    <t>mpower 7x3 Scene Light - Quick Mount</t>
  </si>
  <si>
    <t>$421.00</t>
  </si>
  <si>
    <t>mpower® 7x3 Turn Light, Stud Mount, SAE J595 Class 1, CA Title 13 certified, NFPA, KKK-1822-F, FMVSS-108, 9-32 Vdc, 1.5' Pigtail, Clear Housing/Lens, 18 LED - Amber</t>
  </si>
  <si>
    <t>EMPSC07MQ-A</t>
  </si>
  <si>
    <t>mpower® 7x3 Stop/Tail &amp; Turn Light, Stud Mount, SAE J595 Class 1, CA Title 13 certified, NFPA, KKK-1822-F, FMVSS-108, 9-32 Vdc, 1.5' Pigtail, Clear Housing/Lens, 18 LED - Red</t>
  </si>
  <si>
    <t>EMPSC07MP-R</t>
  </si>
  <si>
    <t>$466.00</t>
  </si>
  <si>
    <t>mpower® 7x3 Backup Light w/warning, Stud Mount, SAE J595 Class 1, CA Title 13 certified, NFPA, KKK-1822-F, FMVSS-108, 9-32 Vdc, 1.5' Pigtail, Clear Housing/Lens, 28 LED - Amber/White</t>
  </si>
  <si>
    <t>EMPSC07MN-F</t>
  </si>
  <si>
    <t>mpower® 7x3 Backup Light w/warning, Stud Mount, SAE J595 Class 1, CA Title 13 certified, NFPA, KKK-1822-F, FMVSS-108, 9-32 Vdc, 1.5' Pigtail, Clear Housing/Lens, 28 LED - Blue/White</t>
  </si>
  <si>
    <t>EMPSC07MN-E</t>
  </si>
  <si>
    <t>mpower® 7x3 Backup Light w/warning, Stud Mount, SAE J595 Class 1, CA Title 13 certified, NFPA, KKK-1822-F, FMVSS-108, 9-32 Vdc, 1.5' Pigtail, Clear Housing/Lens, 28 LED - Red/White</t>
  </si>
  <si>
    <t>EMPSC07MN-D</t>
  </si>
  <si>
    <t>$440.00</t>
  </si>
  <si>
    <t>mpower® 7x3 Backup Light, Stud Mount, SAE J595 Class 1, CA Title 13 certified, NFPA, KKK-1822-F, FMVSS-108, 9-32 Vdc, 1.5' Pigtail, Clear Housing/Lens, 18 LED - White</t>
  </si>
  <si>
    <t>EMPSC07MM-W</t>
  </si>
  <si>
    <t>mpower® 7x3 Warning Light, Stud Mount, SAE J595 Class 1, CA Title 13 certified, NFPA, KKK-1822-F, 9-32 Vdc, 1.5' Pigtail, Clear Housing/Lens, 36 LED, Tricolor - Red/Blue/White</t>
  </si>
  <si>
    <t>EMPSC07ML-8</t>
  </si>
  <si>
    <t>mpower® 7x3 Warning Light, Stud Mount, SAE J595 Class 1, CA Title 13 certified, NFPA, KKK-1822-F, 9-32 Vdc, 1.5' Pigtail, Clear Housing/Lens, 36 LED, Tricolor - Red/Blue/Amber</t>
  </si>
  <si>
    <t>EMPSC07ML-6</t>
  </si>
  <si>
    <t>$492.00</t>
  </si>
  <si>
    <t>mpower® 7x3 Warning Light, Stud Mount, SAE J595 Class 1, CA Title 13 certified, NFPA, KKK-1822-F, 9-32 Vdc, 1.5' Pigtail, Clear Housing/Lens, 24 LED, Split Color - Blue/Amber</t>
  </si>
  <si>
    <t>EMPSC07MK-M</t>
  </si>
  <si>
    <t>mpower® 7x3 Warning Light, Stud Mount, SAE J595 Class 1, CA Title 13 certified, NFPA, KKK-1822-F, 9-32 Vdc, 1.5' Pigtail, Clear Housing/Lens, 24 LED, Split Color - Red/Amber</t>
  </si>
  <si>
    <t>EMPSC07MK-K</t>
  </si>
  <si>
    <t>mpower® 7x3 Warning Light, Stud Mount, SAE J595 Class 1, CA Title 13 certified, NFPA, KKK-1822-F, 9-32 Vdc, 1.5' Pigtail, Clear Housing/Lens, 24 LED, Split Color - Red/Blue</t>
  </si>
  <si>
    <t>EMPSC07MK-J</t>
  </si>
  <si>
    <t>mpower® 7x3 Warning Light, Stud Mount, SAE J595 Class 1, CA Title 13 certified, NFPA, KKK-1822-F, 9-32 Vdc, 1.5' Pigtail, Clear Housing/Lens, 24 LED, Split Color - Amber/White</t>
  </si>
  <si>
    <t>EMPSC07MK-F</t>
  </si>
  <si>
    <t>mpower® 7x3 Warning Light, Stud Mount, SAE J595 Class 1, CA Title 13 certified, NFPA, KKK-1822-F, 9-32 Vdc, 1.5' Pigtail, Clear Housing/Lens, 24 LED, Split Color - Blue/White</t>
  </si>
  <si>
    <t>EMPSC07MK-E</t>
  </si>
  <si>
    <t>mpower® 7x3 Warning Light, Stud Mount, SAE J595 Class 1, CA Title 13 certified, NFPA, KKK-1822-F, 9-32 Vdc, 1.5' Pigtail, Clear Housing/Lens, 24 LED, Split Color - Red/White</t>
  </si>
  <si>
    <t>EMPSC07MK-D</t>
  </si>
  <si>
    <t>$543.00</t>
  </si>
  <si>
    <t>mpower® 7x3 Warning Light, Stud Mount, SAE J595 Class 1, CA Title 13 certified, NFPA, KKK-1822-F, 9-32 Vdc, 1.5' Pigtail, Clear Housing/Lens, 24 LED, Dual Color - Red/Blue</t>
  </si>
  <si>
    <t>EMPSC07MJ-J</t>
  </si>
  <si>
    <t>mpower® 7x3 Warning Light, Stud Mount, SAE J595 Class 1, CA Title 13 certified, NFPA, KKK-1822-F, 9-32 Vdc, 1.5' Pigtail, Clear Housing/Lens, 24 LED, Dual Color - Amber/White</t>
  </si>
  <si>
    <t>EMPSC07MJ-F</t>
  </si>
  <si>
    <t>mpower® 7x3 Warning Light, Stud Mount, SAE J595 Class 1, CA Title 13 certified, NFPA, KKK-1822-F, 9-32 Vdc, 1.5' Pigtail, Clear Housing/Lens, 24 LED, Dual Color - Blue/White</t>
  </si>
  <si>
    <t>EMPSC07MJ-E</t>
  </si>
  <si>
    <t>mpower® 7x3 Warning Light, Stud Mount, SAE J595 Class 1, CA Title 13 certified, NFPA, KKK-1822-F, 9-32 Vdc, 1.5' Pigtail, Clear Housing/Lens, 24 LED, Dual Color - Red/White</t>
  </si>
  <si>
    <t>EMPSC07MJ-D</t>
  </si>
  <si>
    <t>mpower® 7x3 Warning Light, Stud Mount, SAE J595 Class 1, CA Title 13 certified, NFPA, KKK-1822-F, 9-32 Vdc, 1.5' Pigtail, Clear Housing/Lens, 12 LED, Single Color - White</t>
  </si>
  <si>
    <t>EMPSC07MH-W</t>
  </si>
  <si>
    <t>mpower® 7x3 Warning Light, Stud Mount, SAE J595 Class 1, CA Title 13 certified, NFPA, KKK-1822-F, 9-32 Vdc, 1.5' Pigtail, Clear Housing/Lens, 12 LED, Single Color - Red</t>
  </si>
  <si>
    <t>EMPSC07MH-R</t>
  </si>
  <si>
    <t>mpower® 7x3 Warning Light, Stud Mount, SAE J595 Class 1, CA Title 13 certified, NFPA, KKK-1822-F, 9-32 Vdc, 1.5' Pigtail, Clear Housing/Lens, 12 LED, Single Color - Blue</t>
  </si>
  <si>
    <t>EMPSC07MH-B</t>
  </si>
  <si>
    <t>mpower® 7x3 Warning Light, Stud Mount, SAE J595 Class 1, CA Title 13 certified, NFPA, KKK-1822-F, 9-32 Vdc, 1.5' Pigtail, Clear Housing/Lens, 12 LED, Single Color - Amber</t>
  </si>
  <si>
    <t>EMPSC07MH-A</t>
  </si>
  <si>
    <t>mpower 7x3 - Stud Mount</t>
  </si>
  <si>
    <t>mpower® 7x3 Turn Light, Screw Mount, SAE J595 Class 1, CA Title 13 certified, NFPA, KKK-1822-F, FMVSS-108, 9-32 Vdc, 1.5' Pigtail, Clear Housing/Lens, 18 LED - Amber</t>
  </si>
  <si>
    <t>EMPSC07MF-A</t>
  </si>
  <si>
    <t>mpower® 7x3 Stop/Tail &amp; Turn Light, Screw Mount, SAE J595 Class 1, CA Title 13 certified, NFPA, KKK-1822-F, FMVSS-108, 9-32 Vdc, 1.5' Pigtail, Clear Housing/Lens, 18 LED - Red</t>
  </si>
  <si>
    <t>EMPSC07ME-R</t>
  </si>
  <si>
    <t>mpower® 7x3 Backup Light w/Warning, Screw Mount, SAE J595 Class 1, CA Title 13 certified, NFPA, KKK-1822-F, FMVSS-108, 9-32 Vdc, 1.5' Pigtail, Clear Housing/Lens, 28 LED - Amber/White</t>
  </si>
  <si>
    <t>EMPSC07MD-F</t>
  </si>
  <si>
    <t>mpower® 7x3 Backup Light w/Warning, Screw Mount, SAE J595 Class 1, CA Title 13 certified, NFPA, KKK-1822-F, FMVSS-108, 9-32 Vdc, 1.5' Pigtail, Clear Housing/Lens, 28 LED - Blue/White</t>
  </si>
  <si>
    <t>EMPSC07MD-E</t>
  </si>
  <si>
    <t>mpower® 7x3 Backup Light w/Warning, Screw Mount, SAE J595 Class 1, CA Title 13 certified, NFPA, KKK-1822-F, FMVSS-108, 9-32 Vdc, 1.5' Pigtail, Clear Housing/Lens, 28 LED - Red/White</t>
  </si>
  <si>
    <t>EMPSC07MD-D</t>
  </si>
  <si>
    <t>mpower® 7x3 Backup Light, Screw Mount, SAE J595 Class 1, CA Title 13 certified, NFPA, KKK-1822-F, FMVSS-108, 9-32 Vdc, 1.5' Pigtail, Clear Housing/Lens, 18 LED - White</t>
  </si>
  <si>
    <t>EMPSC07MC-W</t>
  </si>
  <si>
    <t>mpower® 7x3 Warning Light, Screw Mount, SAE J595 Class 1, CA Title 13 certified, NFPA, KKK-1822-F, 9-32 Vdc, 1.5' Pigtail, Clear Housing/Lens, 36 LED, Tricolor - Red/Blue/White</t>
  </si>
  <si>
    <t>EMPSC07MB-8</t>
  </si>
  <si>
    <t>mpower® 7x3 Warning Light, Screw Mount, SAE J595 Class 1, CA Title 13 certified, NFPA, KKK-1822-F, 9-32 Vdc, 1.5' Pigtail, Clear Housing/Lens, 36 LED, Tricolor - Red/Blue/Amber</t>
  </si>
  <si>
    <t>EMPSC07MB-6</t>
  </si>
  <si>
    <t>mpower® 7x3 Warning Light, Screw Mount, SAE J595 Class 1, CA Title 13 certified, NFPA, KKK-1822-F, 9-32 Vdc, 1.5' Pigtail, Clear Housing/Lens, 24 LED, Split Color - Blue/Amber</t>
  </si>
  <si>
    <t>EMPSC07MA-M</t>
  </si>
  <si>
    <t>mpower® 7x3 Warning Light, Screw Mount, SAE J595 Class 1, CA Title 13 certified, NFPA, KKK-1822-F, 9-32 Vdc, 1.5' Pigtail, Clear Housing/Lens, 24 LED, Split Color - Red/Amber</t>
  </si>
  <si>
    <t>EMPSC07MA-K</t>
  </si>
  <si>
    <t>mpower® 7x3 Warning Light, Screw Mount, SAE J595 Class 1, CA Title 13 certified, NFPA, KKK-1822-F, 9-32 Vdc, 1.5' Pigtail, Clear Housing/Lens, 24 LED, Split Color - Red/Blue</t>
  </si>
  <si>
    <t>EMPSC07MA-J</t>
  </si>
  <si>
    <t>mpower® 7x3 Warning Light, Screw Mount, SAE J595 Class 1, CA Title 13 certified, NFPA, KKK-1822-F, 9-32 Vdc, 1.5' Pigtail, Clear Housing/Lens, 24 LED, Split Color - Amber/White</t>
  </si>
  <si>
    <t>EMPSC07MA-F</t>
  </si>
  <si>
    <t>mpower® 7x3 Warning Light, Screw Mount, SAE J595 Class 1, CA Title 13 certified, NFPA, KKK-1822-F, 9-32 Vdc, 1.5' Pigtail, Clear Housing/Lens, 24 LED, Split Color - Blue/White</t>
  </si>
  <si>
    <t>EMPSC07MA-E</t>
  </si>
  <si>
    <t>mpower® 7x3 Warning Light, Screw Mount, SAE J595 Class 1, CA Title 13 certified, NFPA, KKK-1822-F, 9-32 Vdc, 1.5' Pigtail, Clear Housing/Lens, 24 LED, Split Color - Red/White</t>
  </si>
  <si>
    <t>EMPSC07MA-D</t>
  </si>
  <si>
    <t>mpower® 7x3 Warning Light, Screw Mount, SAE J595 Class 1, CA Title 13 certified, NFPA, KKK-1822-F, 9-32 Vdc, 1.5' Pigtail, Clear Housing/Lens, 24 LED, Dual Color - Red/Blue</t>
  </si>
  <si>
    <t>EMPSC07M9-J</t>
  </si>
  <si>
    <t>mpower® 7x3 Warning Light, Screw Mount, SAE J595 Class 1, CA Title 13 certified, NFPA, KKK-1822-F, 9-32 Vdc, 1.5' Pigtail, Clear Housing/Lens, 24 LED, Dual Color - Amber/White</t>
  </si>
  <si>
    <t>EMPSC07M9-F</t>
  </si>
  <si>
    <t>mpower® 7x3 Warning Light, Screw Mount, SAE J595 Class 1, CA Title 13 certified, NFPA, KKK-1822-F, 9-32 Vdc, 1.5' Pigtail, Clear Housing/Lens, 24 LED, Dual Color - Blue/White</t>
  </si>
  <si>
    <t>EMPSC07M9-E</t>
  </si>
  <si>
    <t>mpower® 7x3 Warning Light, Screw Mount, SAE J595 Class 1, CA Title 13 certified, NFPA, KKK-1822-F, 9-32 Vdc, 1.5' Pigtail, Clear Housing/Lens, 24 LED, Dual Color - Red/White</t>
  </si>
  <si>
    <t>EMPSC07M9-D</t>
  </si>
  <si>
    <t>mpower® 7x3 Warning Light, Screw Mount, SAE J595 Class 1, CA Title 13 certified, NFPA, KKK-1822-F, 9-32 Vdc, 1.5' Pigtail, Clear Housing/Lens, 12 LED, Single Color - White</t>
  </si>
  <si>
    <t>EMPSC07M8-W</t>
  </si>
  <si>
    <t>mpower® 7x3 Warning Light, Screw Mount, SAE J595 Class 1, CA Title 13 certified, NFPA, KKK-1822-F, 9-32 Vdc, 1.5' Pigtail, Clear Housing/Lens, 12 LED, Single Color - Red</t>
  </si>
  <si>
    <t>EMPSC07M8-R</t>
  </si>
  <si>
    <t>mpower® 7x3 Warning Light, Screw Mount, SAE J595 Class 1, CA Title 13 certified, NFPA, KKK-1822-F, 9-32 Vdc, 1.5' Pigtail, Clear Housing/Lens, 12 LED, Single Color - Blue</t>
  </si>
  <si>
    <t>EMPSC07M8-B</t>
  </si>
  <si>
    <t>mpower® 7x3 Warning Light, Screw Mount, SAE J595 Class 1, CA Title 13 certified, NFPA, KKK-1822-F, 9-32 Vdc, 1.5' Pigtail, Clear Housing/Lens, 12 LED, Single Color - Amber</t>
  </si>
  <si>
    <t>EMPSC07M8-A</t>
  </si>
  <si>
    <t>mpower 7x3 - Screw Mount</t>
  </si>
  <si>
    <t>mpower® 7x3 Turn Light, Quick Mount, SAE J595 Class 1, CA Title 13 certified, NFPA, KKK-1822-F, FMVSS-108, 9-32 Vdc, 1.5' Pigtail, Clear Housing/Lens, 18 LED - Amber</t>
  </si>
  <si>
    <t>EMPSC07M7-A</t>
  </si>
  <si>
    <t>mpower® 7x3 Stop/Tail &amp; Turn Light, Quick Mount, SAE J595 Class 1, CA Title 13 certified, NFPA, KKK-1822-F, FMVSS-108, 9-32 Vdc, 1.5' Pigtail, Clear Housing/Lens, 18 LED - Red</t>
  </si>
  <si>
    <t>EMPSC07M6-R</t>
  </si>
  <si>
    <t>mpower® 7x3 Backup Light w/Warning, Quick Mount, SAE J595 Class 1, CA Title 13 certified, NFPA, KKK-1822-F, FMVSS-108, 9-32 Vdc, 1.5' Pigtail, Clear Housing/Lens, 28 LED - Amber/White</t>
  </si>
  <si>
    <t>EMPSC07M5-F</t>
  </si>
  <si>
    <t>mpower® 7x3 Backup Light w/Warning, Quick Mount, SAE J595 Class 1, CA Title 13 certified, NFPA, KKK-1822-F, FMVSS-108, 9-32 Vdc, 1.5' Pigtail, Clear Housing/Lens, 28 LED - Blue/White</t>
  </si>
  <si>
    <t>EMPSC07M5-E</t>
  </si>
  <si>
    <t>mpower® 7x3 Backup Light w/Warning, Quick Mount, SAE J595 Class 1, CA Title 13 certified, NFPA, KKK-1822-F, FMVSS-108, 9-32 Vdc, 1.5' Pigtail, Clear Housing/Lens, 28 LED - Red/White</t>
  </si>
  <si>
    <t>EMPSC07M5-D</t>
  </si>
  <si>
    <t>mpower® 7x3 Backup Light, Quick Mount, SAE J595 Class 1, CA Title 13 certified, NFPA, KKK-1822-F, FMVSS-108, 9-32 Vdc, 1.5' Pigtail, Clear Housing/Lens, 18 LED - White</t>
  </si>
  <si>
    <t>EMPSC07M4-W</t>
  </si>
  <si>
    <t>mpower® 7x3 Warning Light, Quick Mount, SAE J595 Class 1, CA Title 13 certified, NFPA, KKK-1822-F, 9-32 Vdc, 1.5' Pigtail, Clear Housing/Lens, 36 LED, Tricolor - Red/Blue/White</t>
  </si>
  <si>
    <t>EMPSC07M3-8</t>
  </si>
  <si>
    <t>mpower® 7x3 Warning Light, Quick Mount, SAE J595 Class 1, CA Title 13 certified, NFPA, KKK-1822-F, 9-32 Vdc, 1.5' Pigtail, Clear Housing/Lens, 36 LED, Tricolor - Red/Blue/Amber</t>
  </si>
  <si>
    <t>EMPSC07M3-6</t>
  </si>
  <si>
    <t>mpower® 7x3 Warning Light, Quick Mount, SAE J595 Class 1, CA Title 13 certified, NFPA, KKK-1822-F, 9-32 Vdc, 1.5' Pigtail, Clear Housing/Lens, 24 LED, Split Color - Blue/Amber</t>
  </si>
  <si>
    <t>EMPSC07M2-M</t>
  </si>
  <si>
    <t>mpower® 7x3 Warning Light, Quick Mount, SAE J595 Class 1, CA Title 13 certified, NFPA, KKK-1822-F, 9-32 Vdc, 1.5' Pigtail, Clear Housing/Lens, 24 LED, Split Color - Red/Amber</t>
  </si>
  <si>
    <t>EMPSC07M2-K</t>
  </si>
  <si>
    <t>mpower® 7x3 Warning Light, Quick Mount, SAE J595 Class 1, CA Title 13 certified, NFPA, KKK-1822-F, 9-32 Vdc, 1.5' Pigtail, Clear Housing/Lens, 24 LED, Split Color - Red/Blue</t>
  </si>
  <si>
    <t>EMPSC07M2-J</t>
  </si>
  <si>
    <t>mpower® 7x3 Warning Light, Quick Mount, SAE J595 Class 1, CA Title 13 certified, NFPA, KKK-1822-F, 9-32 Vdc, 1.5' Pigtail, Clear Housing/Lens, 24 LED, Split Color - Amber/White</t>
  </si>
  <si>
    <t>EMPSC07M2-F</t>
  </si>
  <si>
    <t>mpower® 7x3 Warning Light, Quick Mount, SAE J595 Class 1, CA Title 13 certified, NFPA, KKK-1822-F, 9-32 Vdc, 1.5' Pigtail, Clear Housing/Lens, 24 LED, Split Color - Blue/White</t>
  </si>
  <si>
    <t>EMPSC07M2-E</t>
  </si>
  <si>
    <t>mpower® 7x3 Warning Light, Quick Mount, SAE J595 Class 1, CA Title 13 certified, NFPA, KKK-1822-F, 9-32 Vdc, 1.5' Pigtail, Clear Housing/Lens, 24 LED, Split Color - Red/White</t>
  </si>
  <si>
    <t>EMPSC07M2-D</t>
  </si>
  <si>
    <t>mpower® 7x3 Warning Light, Quick Mount, SAE J595 Class 1, CA Title 13 certified, NFPA, KKK-1822-F, 9-32 Vdc, 1.5' Pigtail, Clear Housing/Lens, 24 LED, Dual Color - Red/Blue</t>
  </si>
  <si>
    <t>EMPSC07M1-J</t>
  </si>
  <si>
    <t>mpower® 7x3 Warning Light, Quick Mount, SAE J595 Class 1, CA Title 13 certified, NFPA, KKK-1822-F, 9-32 Vdc, 1.5' Pigtail, Clear Housing/Lens, 24 LED, Dual Color - Amber/White</t>
  </si>
  <si>
    <t>EMPSC07M1-F</t>
  </si>
  <si>
    <t>mpower® 7x3 Warning Light, Quick Mount, SAE J595 Class 1, CA Title 13 certified, NFPA, KKK-1822-F, 9-32 Vdc, 1.5' Pigtail, Clear Housing/Lens, 24 LED, Dual Color - Blue/White</t>
  </si>
  <si>
    <t>EMPSC07M1-E</t>
  </si>
  <si>
    <t>mpower® 7x3 Warning Light, Quick Mount, SAE J595 Class 1, CA Title 13 certified, NFPA, KKK-1822-F, 9-32 Vdc, 1.5' Pigtail, Clear Housing/Lens, 24 LED, Dual Color - Red/White</t>
  </si>
  <si>
    <t>EMPSC07M1-D</t>
  </si>
  <si>
    <t>mpower® 7x3 Warning Light, Quick Mount, SAE J595 Class 1, CA Title 13 certified, NFPA, KKK-1822-F, 9-32 Vdc, 1.5' Pigtail, Clear Housing/Lens, 12 LED, Single Color - White</t>
  </si>
  <si>
    <t>EMPSC07M0-W</t>
  </si>
  <si>
    <t>mpower® 7x3 Warning Light, Quick Mount, SAE J595 Class 1, CA Title 13 certified, NFPA, KKK-1822-F, 9-32 Vdc, 1.5' Pigtail, Clear Housing/Lens, 12 LED, Single Color - Red</t>
  </si>
  <si>
    <t>EMPSC07M0-R</t>
  </si>
  <si>
    <t>mpower® 7x3 Warning Light, Quick Mount, SAE J595 Class 1, CA Title 13 certified, NFPA, KKK-1822-F, 9-32 Vdc, 1.5' Pigtail, Clear Housing/Lens, 12 LED, Single Color - Blue</t>
  </si>
  <si>
    <t>EMPSC07M0-B</t>
  </si>
  <si>
    <t>mpower® 7x3 Warning Light, Quick Mount, SAE J595 Class 1, CA Title 13 certified, NFPA, KKK-1822-F, 9-32 Vdc, 1.5' Pigtail, Clear Housing/Lens, 12 LED, Single Color - Amber</t>
  </si>
  <si>
    <t>EMPSC07M0-A</t>
  </si>
  <si>
    <t>mpower 7x3 - Quick Mount</t>
  </si>
  <si>
    <t>mpower® 6x4 Turn Light, Stud Mount, SAE J595 Class 1, CA Title 13 certified, NFPA, KKK-1822-F, FMVSS-108, 9-32 Vdc, 1.5' Pigtail, Clear Housing/Lens, 20 LED - Amber</t>
  </si>
  <si>
    <t>EMPSB0C9K-A</t>
  </si>
  <si>
    <t>mpower® 6x4 Backup Light with warning, Stud Mount, SAE J595 Class 1, CA Title 13 certified, NFPA, KKK-1822-F, FMVSS-108, 9-32 Vdc, 1.5' Pigtail, Clear Housing/Lens, 28 LED - Amber/White</t>
  </si>
  <si>
    <t>EMPSB0C9J-F</t>
  </si>
  <si>
    <t>mpower® 6x4 Backup Light with warning, Stud Mount, SAE J595 Class 1, CA Title 13 certified, NFPA, KKK-1822-F, FMVSS-108, 9-32 Vdc, 1.5' Pigtail, Clear Housing/Lens, 28 LED - Blue/White</t>
  </si>
  <si>
    <t>EMPSB0C9J-E</t>
  </si>
  <si>
    <t>mpower® 6x4 Backup Light with warning, Stud Mount, SAE J595 Class 1, CA Title 13 certified, NFPA, KKK-1822-F, FMVSS-108, 9-32 Vdc, 1.5' Pigtail, Clear Housing/Lens, 28 LED - Red/White</t>
  </si>
  <si>
    <t>EMPSB0C9J-D</t>
  </si>
  <si>
    <t>mpower® 6x4 Backup Light, Stud Mount, SAE J595 Class 1, CA Title 13 certified, NFPA, KKK-1822-F, FMVSS-108, 9-32 Vdc, 1.5' Pigtail, Clear Housing/Lens, 18 LED - White</t>
  </si>
  <si>
    <t>EMPSB0C9H-W</t>
  </si>
  <si>
    <t>$608.00</t>
  </si>
  <si>
    <t>mpower® 6x4 Warning Light w/ Stud Mount, SAE J595 Class 1, CA Title 13 certified, NFPA, KKK-1822-F, 9-32 Vdc, 1.5' Pigtail, Clear Housing/Lens, 36 LEDs, Tricolor Color, Red/Blue/White</t>
  </si>
  <si>
    <t>EMPSB0C9G-8</t>
  </si>
  <si>
    <t>mpower® 6x4 Warning Light w/ Stud Mount, SAE J595 Class 1, CA Title 13 certified, NFPA, KKK-1822-F, 9-32 Vdc, 1.5' Pigtail, Clear Housing/Lens, 36 LEDs, Tricolor Color, Red/Blue/Amber</t>
  </si>
  <si>
    <t>EMPSB0C9G-6</t>
  </si>
  <si>
    <t>mpower® 6x4 Warning Light w/ Stud Mount, SAE J595 Class 1, CA Title 13 certified, NFPA, KKK-1822-F, 9-32 Vdc, 1.5' Pigtail, Clear Housing/Lens, 24 LEDs, Split Color, Blue/Amber</t>
  </si>
  <si>
    <t>EMPSB0C9F-M</t>
  </si>
  <si>
    <t>mpower® 6x4 Warning Light w/ Stud Mount, SAE J595 Class 1, CA Title 13 certified, NFPA, KKK-1822-F, 9-32 Vdc, 1.5' Pigtail, Clear Housing/Lens, 24 LEDs, Split Color, Red/Amber</t>
  </si>
  <si>
    <t>EMPSB0C9F-K</t>
  </si>
  <si>
    <t>mpower® 6x4 Warning Light w/ Stud Mount, SAE J595 Class 1, CA Title 13 certified, NFPA, KKK-1822-F, 9-32 Vdc, 1.5' Pigtail, Clear Housing/Lens, 24 LEDs, Split Color, Red/Blue</t>
  </si>
  <si>
    <t>EMPSB0C9F-J</t>
  </si>
  <si>
    <t>mpower® 6x4 Warning Light w/ Stud Mount, SAE J595 Class 1, CA Title 13 certified, NFPA, KKK-1822-F, 9-32 Vdc, 1.5' Pigtail, Clear Housing/Lens, 24 LEDs, Split Color, Amber/White</t>
  </si>
  <si>
    <t>EMPSB0C9F-F</t>
  </si>
  <si>
    <t>mpower® 6x4 Warning Light w/ Stud Mount, SAE J595 Class 1, CA Title 13 certified, NFPA, KKK-1822-F, 9-32 Vdc, 1.5' Pigtail, Clear Housing/Lens, 24 LEDs, Split Color, Blue/White</t>
  </si>
  <si>
    <t>EMPSB0C9F-E</t>
  </si>
  <si>
    <t>mpower® 6x4 Warning Light w/ Stud Mount, SAE J595 Class 1, CA Title 13 certified, NFPA, KKK-1822-F, 9-32 Vdc, 1.5' Pigtail, Clear Housing/Lens, 24 LEDs, Split Color, Red/White</t>
  </si>
  <si>
    <t>EMPSB0C9F-D</t>
  </si>
  <si>
    <t>mpower® 6x4 Warning Light w/ Stud Mount, SAE J595 Class 1, CA Title 13 certified, NFPA, KKK-1822-F, 9-32 Vdc, 1.5' Pigtail, Clear Housing/Lens, 24 LEDs, Dual Color, Red/Blue</t>
  </si>
  <si>
    <t>EMPSB0C9E-J</t>
  </si>
  <si>
    <t>mpower® 6x4 Warning Light w/ Stud Mount, SAE J595 Class 1, CA Title 13 certified, NFPA, KKK-1822-F, 9-32 Vdc, 1.5' Pigtail, Clear Housing/Lens, 24 LEDs, Dual Color, Amber/White</t>
  </si>
  <si>
    <t>EMPSB0C9E-F</t>
  </si>
  <si>
    <t>mpower® 6x4 Warning Light w/ Stud Mount, SAE J595 Class 1, CA Title 13 certified, NFPA, KKK-1822-F, 9-32 Vdc, 1.5' Pigtail, Clear Housing/Lens, 24 LEDs, Dual Color, Blue/White</t>
  </si>
  <si>
    <t>EMPSB0C9E-E</t>
  </si>
  <si>
    <t>mpower® 6x4 Warning Light w/ Stud Mount, SAE J595 Class 1, CA Title 13 certified, NFPA, KKK-1822-F, 9-32 Vdc, 1.5' Pigtail, Clear Housing/Lens, 24 LEDs, Dual Color, Red/White</t>
  </si>
  <si>
    <t>EMPSB0C9E-D</t>
  </si>
  <si>
    <t>mpower® 6x4 Warning Light w/ Stud Mount, SAE J595 Class 1, CA Title 13 certified, NFPA, KKK-1822-F, 9-32 Vdc, 1.5' Pigtail, Clear Housing/Lens, 12 LED, Single Color - White</t>
  </si>
  <si>
    <t>EMPSB0C9D-W</t>
  </si>
  <si>
    <t>mpower® 6x4 Warning Light w/ Stud Mount, SAE J595 Class 1, CA Title 13 certified, NFPA, KKK-1822-F, 9-32 Vdc, 1.5' Pigtail, Clear Housing/Lens, 12 LED, Single Color - Red</t>
  </si>
  <si>
    <t>EMPSB0C9D-R</t>
  </si>
  <si>
    <t>mpower® 6x4 Warning Light w/ Stud Mount, SAE J595 Class 1, CA Title 13 certified, NFPA, KKK-1822-F, 9-32 Vdc, 1.5' Pigtail, Clear Housing/Lens, 12 LED, Single Color - Blue</t>
  </si>
  <si>
    <t>EMPSB0C9D-B</t>
  </si>
  <si>
    <t>mpower® 6x4 Warning Light w/ Stud Mount, SAE J595 Class 1, CA Title 13 certified, NFPA, KKK-1822-F, 9-32 Vdc, 1.5' Pigtail, Clear Housing/Lens, 12 LED, Single Color - Amber</t>
  </si>
  <si>
    <t>EMPSB0C9D-A</t>
  </si>
  <si>
    <t>mpower® 6x4 Stop/Tail &amp; Turn Light, Stud Mount, SAE J595 Class 1, CA Title 13 certified, NFPA, KKK-1822-F, FMVSS-108, 9-32 Vdc, 1.5' Pigtail, Clear Housing/Lens, 20 LED - Red</t>
  </si>
  <si>
    <t>EMPSB0C6Y-R</t>
  </si>
  <si>
    <t>mpower 6x4 - Stud Mount</t>
  </si>
  <si>
    <t>mpower® 6x4 Turn Light, Screw Mount, SAE J595 Class 1, CA Title 13 certified, NFPA, KKK-1822-F, FMVSS-108, 9-32 Vdc, 1.5' Pigtail, Clear Housing/Lens, 20 LED - Amber</t>
  </si>
  <si>
    <t>EMPSB0C9C-A</t>
  </si>
  <si>
    <t>mpower® 6x4 Stop/Tail &amp; Turn Light, Screw Mount, SAE J595 Class 1, CA Title 13 certified, NFPA, KKK-1822-F, FMVSS-108, 9-32 Vdc, 1.5' Pigtail, Clear Housing/Lens, 20 LED - Red</t>
  </si>
  <si>
    <t>EMPSB0C9B-R</t>
  </si>
  <si>
    <t>mpower® 6x4 Warning Light w/ Screw Mount, SAE J595 Class 1, CA Title 13 certified, NFPA, KKK-1822-F, 9-32 Vdc, 1.5' Pigtail, Clear Housing/Lens, 36 LEDs, Tricolor Color, Red/Blue/White</t>
  </si>
  <si>
    <t>EMPSB0C99-8</t>
  </si>
  <si>
    <t>mpower® 6x4 Warning Light w/ Screw Mount, SAE J595 Class 1, CA Title 13 certified, NFPA, KKK-1822-F, 9-32 Vdc, 1.5' Pigtail, Clear Housing/Lens, 36 LEDs, Tricolor Color, Red/Blue/Amber</t>
  </si>
  <si>
    <t>EMPSB0C99-6</t>
  </si>
  <si>
    <t>mpower® 6x4 Warning Light w/ Screw Mount, SAE J595 Class 1, CA Title 13 certified, NFPA, KKK-1822-F, 9-32 Vdc, 1.5' Pigtail, Clear Housing/Lens, 24 LEDs, Split Color, Blue/Amber</t>
  </si>
  <si>
    <t>EMPSB0C98-M</t>
  </si>
  <si>
    <t>mpower® 6x4 Warning Light w/ Screw Mount, SAE J595 Class 1, CA Title 13 certified, NFPA, KKK-1822-F, 9-32 Vdc, 1.5' Pigtail, Clear Housing/Lens, 24 LEDs, Split Color, Red/Amber</t>
  </si>
  <si>
    <t>EMPSB0C98-K</t>
  </si>
  <si>
    <t>mpower® 6x4 Warning Light w/ Screw Mount, SAE J595 Class 1, CA Title 13 certified, NFPA, KKK-1822-F, 9-32 Vdc, 1.5' Pigtail, Clear Housing/Lens, 24 LEDs, Split Color, Red/Blue</t>
  </si>
  <si>
    <t>EMPSB0C98-J</t>
  </si>
  <si>
    <t>mpower® 6x4 Warning Light w/ Screw Mount, SAE J595 Class 1, CA Title 13 certified, NFPA, KKK-1822-F, 9-32 Vdc, 1.5' Pigtail, Clear Housing/Lens, 24 LEDs, Split Color, Amber/White</t>
  </si>
  <si>
    <t>EMPSB0C98-F</t>
  </si>
  <si>
    <t>mpower® 6x4 Warning Light w/ Screw Mount, SAE J595 Class 1, CA Title 13 certified, NFPA, KKK-1822-F, 9-32 Vdc, 1.5' Pigtail, Clear Housing/Lens, 24 LEDs, Split Color, Blue/White</t>
  </si>
  <si>
    <t>EMPSB0C98-E</t>
  </si>
  <si>
    <t>mpower® 6x4 Warning Light w/ Screw Mount, SAE J595 Class 1, CA Title 13 certified, NFPA, KKK-1822-F, 9-32 Vdc, 1.5' Pigtail, Clear Housing/Lens, 24 LEDs, Split Color, Red/White</t>
  </si>
  <si>
    <t>EMPSB0C98-D</t>
  </si>
  <si>
    <t>mpower® 6x4 Warning Light w/ Screw Mount, SAE J595 Class 1, CA Title 13 certified, NFPA, KKK-1822-F, 9-32 Vdc, 1.5' Pigtail, Clear Housing/Lens, 24 LEDs, Dual Color, Red/Blue</t>
  </si>
  <si>
    <t>EMPSB0C97-J</t>
  </si>
  <si>
    <t>mpower® 6x4 Warning Light w/ Screw Mount, SAE J595 Class 1, CA Title 13 certified, NFPA, KKK-1822-F, 9-32 Vdc, 1.5' Pigtail, Clear Housing/Lens, 24 LEDs, Dual Color, Amber/White</t>
  </si>
  <si>
    <t>EMPSB0C97-F</t>
  </si>
  <si>
    <t>mpower® 6x4 Warning Light w/ Screw Mount, SAE J595 Class 1, CA Title 13 certified, NFPA, KKK-1822-F, 9-32 Vdc, 1.5' Pigtail, Clear Housing/Lens, 24 LEDs, Dual Color, Blue/White</t>
  </si>
  <si>
    <t>EMPSB0C97-E</t>
  </si>
  <si>
    <t>mpower® 6x4 Warning Light w/ Screw Mount, SAE J595 Class 1, CA Title 13 certified, NFPA, KKK-1822-F, 9-32 Vdc, 1.5' Pigtail, Clear Housing/Lens, 24 LEDs, Dual Color, Red/White</t>
  </si>
  <si>
    <t>EMPSB0C97-D</t>
  </si>
  <si>
    <t>mpower® 6x4 Warning Light w/ Screw Mount, SAE J595 Class 1, CA Title 13 certified, NFPA, KKK-1822-F, 9-32 Vdc, 1.5' Pigtail, Clear Housing/Lens, 12 LED, Single Color - White</t>
  </si>
  <si>
    <t>EMPSB0C96-W</t>
  </si>
  <si>
    <t>mpower® 6x4 Warning Light w/ Screw Mount, SAE J595 Class 1, CA Title 13 certified, NFPA, KKK-1822-F, 9-32 Vdc, 1.5' Pigtail, Clear Housing/Lens, 12 LED, Single Color - Red</t>
  </si>
  <si>
    <t>EMPSB0C96-R</t>
  </si>
  <si>
    <t>mpower® 6x4 Warning Light w/ Screw Mount, SAE J595 Class 1, CA Title 13 certified, NFPA, KKK-1822-F, 9-32 Vdc, 1.5' Pigtail, Clear Housing/Lens, 12 LED, Single Color - Blue</t>
  </si>
  <si>
    <t>EMPSB0C96-B</t>
  </si>
  <si>
    <t>mpower® 6x4 Warning Light w/ Screw Mount, SAE J595 Class 1, CA Title 13 certified, NFPA, KKK-1822-F, 9-32 Vdc, 1.5' Pigtail, Clear Housing/Lens, 12 LED, Single Color - Amber</t>
  </si>
  <si>
    <t>EMPSB0C96-A</t>
  </si>
  <si>
    <t>mpower® 6X4 Backup Light w/Warning, Screw Mount, SAE J595 Class 1, CA Title 13 certified, NFPA, KKK-1822-F, FMVSS-108, 9-32 Vdc, 1.5' Pigtail, Clear Housing/Lens, 28 LED - Amber/White</t>
  </si>
  <si>
    <t>EMPSB0AWT-F</t>
  </si>
  <si>
    <t>mpower® 6x4 Backup Light with Warning, Screw Mount, SAE J595 Class 1, CA Title 13 certified, NFPA, KKK-1822-F, FMVSS-108, 9-32 Vdc, 1.5' Pigtail, Clear Housing/Lens, 28 LED - Blue/White</t>
  </si>
  <si>
    <t>EMPSB0AWT-E</t>
  </si>
  <si>
    <t>mpower® 6x4 Backup Light with Warning, Screw Mount, SAE J595 Class 1, CA Title 13 certified, NFPA, KKK-1822-F, FMVSS-108, 9-32 Vdc, 1.5' Pigtail, Clear Housing/Lens, 28 LED - Red/White</t>
  </si>
  <si>
    <t>EMPSB0AWT-D</t>
  </si>
  <si>
    <t>mpower 6x4 - Screw Mount</t>
  </si>
  <si>
    <t>mpower® 6x4 Turn Light, Quick Mount, SAE J595 Class 1, CA Title 13 certified, NFPA, KKK-1822-F, FMVSS-108, 9-32 Vdc, 1.5' Pigtail, Clear Housing/Lens, 20 LED - Amber</t>
  </si>
  <si>
    <t>EMPSB0C95-A</t>
  </si>
  <si>
    <t>mpower® 6x4 Stop/Tail &amp; Turn Light, Quick Mount, SAE J595 Class 1, CA Title 13 certified, NFPA, KKK-1822-F, FMVSS-108, 9-32 Vdc, 1.5' Pigtail, Clear Housing/Lens, 20 LED - Red</t>
  </si>
  <si>
    <t>EMPSB0C94-R</t>
  </si>
  <si>
    <t>mpower® 6x4 Backup Light with Warning, Quick Mount, SAE J595 Class 1, CA Title 13 certified, NFPA, KKK-1822-F, FMVSS-108, 9-32 Vdc, 1.5' Pigtail, Clear Housing/Lens, 28 LED - Amber/White</t>
  </si>
  <si>
    <t>EMPSB0C93-F</t>
  </si>
  <si>
    <t>mpower® 6x4 Backup Light with Warning, Quick Mount, SAE J595 Class 1, CA Title 13 certified, NFPA, KKK-1822-F, FMVSS-108, 9-32 Vdc, 1.5' Pigtail, Clear Housing/Lens, 28 LED - Blue/White</t>
  </si>
  <si>
    <t>EMPSB0C93-E</t>
  </si>
  <si>
    <t>mpower® 6x4 Backup Light with Warning, Quick Mount, SAE J595 Class 1, CA Title 13 certified, NFPA, KKK-1822-F, FMVSS-108, 9-32 Vdc, 1.5' Pigtail, Clear Housing/Lens, 28 LED - Red/White</t>
  </si>
  <si>
    <t>EMPSB0C93-D</t>
  </si>
  <si>
    <t>mpower® 6x4 Backup Light, Quick Mount, SAE J595 Class 1, CA Title 13 certified, NFPA, KKK-1822-F, FMVSS-108, 9-32 Vdc, 1.5' Pigtail, Clear Housing/Lens, 18 LED - White</t>
  </si>
  <si>
    <t>EMPSB0C92-W</t>
  </si>
  <si>
    <t>mpower® 6x4 Warning Light w/ Quick Mount, SAE J595 Class 1, CA Title 13 certified, NFPA, KKK-1822-F, 9-32 Vdc, 1.5' Pigtail, Clear Housing/Lens, 12 LED, Single Color - White</t>
  </si>
  <si>
    <t>EMPSB0C91-W</t>
  </si>
  <si>
    <t>mpower® 6x4 Warning Light w/ Quick Mount, SAE J595 Class 1, CA Title 13 certified, NFPA, KKK-1822-F, 9-32 Vdc, 1.5' Pigtail, Clear Housing/Lens, 12 LED, Single Color - Red</t>
  </si>
  <si>
    <t>EMPSB0C91-R</t>
  </si>
  <si>
    <t>mpower® 6x4 Warning Light w/ Quick Mount, SAE J595 Class 1, CA Title 13 certified, NFPA, KKK-1822-F, 9-32 Vdc, 1.5' Pigtail, Clear Housing/Lens, 12 LED, Single Color - Blue</t>
  </si>
  <si>
    <t>EMPSB0C91-B</t>
  </si>
  <si>
    <t>mpower® 6x4 Warning Light w/ Quick Mount, SAE J595 Class 1, CA Title 13 certified, NFPA, KKK-1822-F, 9-32 Vdc, 1.5' Pigtail, Clear Housing/Lens, 12 LED, Single Color - Amber</t>
  </si>
  <si>
    <t>EMPSB0C91-A</t>
  </si>
  <si>
    <t>mpower® 6x4 Warning Light w/ Quick Mount, SAE J595 Class 1, CA Title 13 certified, NFPA, KKK-1822-F, 9-32 Vdc, 1.5' Pigtail, Clear Housing/Lens, 36 LEDs, Tricolor Color, Red/Blue/White</t>
  </si>
  <si>
    <t>EMPSB0C90-8</t>
  </si>
  <si>
    <t>mpower® 6x4 Warning Light w/ Quick Mount, SAE J595 Class 1, CA Title 13 certified, NFPA, KKK-1822-F, 9-32 Vdc, 1.5' Pigtail, Clear Housing/Lens, 36 LEDs, Tricolor Color, Red/Blue/Amber</t>
  </si>
  <si>
    <t>EMPSB0C90-6</t>
  </si>
  <si>
    <t>mpower® 6x4 Warning Light w/ Quick Mount, SAE J595 Class 1, CA Title 13 certified, NFPA, KKK-1822-F, 9-32 Vdc, 1.5' Pigtail, Clear Housing/Lens, 24 LEDs, Split Color, Blue/Amber</t>
  </si>
  <si>
    <t>EMPSB0C8Z-M</t>
  </si>
  <si>
    <t>mpower® 6x4 Warning Light w/ Quick Mount, SAE J595 Class 1, CA Title 13 certified, NFPA, KKK-1822-F, 9-32 Vdc, 1.5' Pigtail, Clear Housing/Lens, 24 LEDs, Split Color, Red/Amber</t>
  </si>
  <si>
    <t>EMPSB0C8Z-K</t>
  </si>
  <si>
    <t>mpower® 6x4 Warning Light w/ Quick Mount, SAE J595 Class 1, CA Title 13 certified, NFPA, KKK-1822-F, 9-32 Vdc, 1.5' Pigtail, Clear Housing/Lens, 24 LEDs, Split Color, Red/Blue</t>
  </si>
  <si>
    <t>EMPSB0C8Z-J</t>
  </si>
  <si>
    <t>mpower® 6x4 Warning Light w/ Quick Mount, SAE J595 Class 1, CA Title 13 certified, NFPA, KKK-1822-F, 9-32 Vdc, 1.5' Pigtail, Clear Housing/Lens, 24 LEDs, Split Color, Amber/White</t>
  </si>
  <si>
    <t>EMPSB0C8Z-F</t>
  </si>
  <si>
    <t>mpower® 6x4 Warning Light w/ Quick Mount, SAE J595 Class 1, CA Title 13 certified, NFPA, KKK-1822-F, 9-32 Vdc, 1.5' Pigtail, Clear Housing/Lens, 24 LEDs, Split Color, Blue/White</t>
  </si>
  <si>
    <t>EMPSB0C8Z-E</t>
  </si>
  <si>
    <t>mpower® 6x4 Warning Light w/ Quick Mount, SAE J595 Class 1, CA Title 13 certified, NFPA, KKK-1822-F, 9-32 Vdc, 1.5' Pigtail, Clear Housing/Lens, 24 LEDs, Split Color, Red/White</t>
  </si>
  <si>
    <t>EMPSB0C8Z-D</t>
  </si>
  <si>
    <t>mpower® 6x4 Warning Light w/ Quick Mount, SAE J595 Class 1, CA Title 13 certified, NFPA, KKK-1822-F, 9-32 Vdc, 1.5' Pigtail, Clear Housing/Lens, 24 LEDs, Dual Color, Red/Blue</t>
  </si>
  <si>
    <t>EMPSB0C8Y-J</t>
  </si>
  <si>
    <t>mpower® 6x4 Warning Light w/ Quick Mount, SAE J595 Class 1, CA Title 13 certified, NFPA, KKK-1822-F, 9-32 Vdc, 1.5' Pigtail, Clear Housing/Lens, 24 LEDs, Dual Color, Amber/White</t>
  </si>
  <si>
    <t>EMPSB0C8Y-F</t>
  </si>
  <si>
    <t>mpower® 6x4 Warning Light w/ Quick Mount, SAE J595 Class 1, CA Title 13 certified, NFPA, KKK-1822-F, 9-32 Vdc, 1.5' Pigtail, Clear Housing/Lens, 24 LEDs, Dual Color, Blue/White</t>
  </si>
  <si>
    <t>EMPSB0C8Y-E</t>
  </si>
  <si>
    <t>mpower® 6x4 Warning Light w/ Quick Mount, SAE J595 Class 1, CA Title 13 certified, NFPA, KKK-1822-F, 9-32 Vdc, 1.5' Pigtail, Clear Housing/Lens, 24 LEDs, Dual Color, Red/White</t>
  </si>
  <si>
    <t>EMPSB0C8Y-D</t>
  </si>
  <si>
    <t>mpower 6x4 - Quick Mount</t>
  </si>
  <si>
    <t>$121.00</t>
  </si>
  <si>
    <t>LED3 Plus Mini Surface Mount Light, ECE R10.05 Certified,10-16v includes Mounting Gasket &amp; Hardware - Solid Color in White</t>
  </si>
  <si>
    <t>EL3PSNW</t>
  </si>
  <si>
    <t>LED3 Plus Mini Surface Mount Light, ECE R10.05 Certified,10-16v includes Mounting Gasket &amp; Hardware - Solid Color in Red</t>
  </si>
  <si>
    <t>EL3PSNR</t>
  </si>
  <si>
    <t>LED3 Plus Mini Surface Mount Light, ECE R10.05 Certified,10-16v includes Mounting Gasket &amp; Hardware - Solid Color in Green</t>
  </si>
  <si>
    <t>EL3PSNG</t>
  </si>
  <si>
    <t>LED3 Plus Mini Surface Mount Light, ECE R10.05 Certified,10-16v includes Mounting Gasket &amp; Hardware - Solid Color in Blue</t>
  </si>
  <si>
    <t>EL3PSNB</t>
  </si>
  <si>
    <t>LED3 Plus Mini Surface Mount Light, ECE R10.05 Certified, 10-16v includes Mounting Gasket &amp; Hardware - Solid Color in Amber</t>
  </si>
  <si>
    <t>EL3PSNA</t>
  </si>
  <si>
    <t>LED3 Plus</t>
  </si>
  <si>
    <t>Intersector Under Mirror Mount Light, 9-32 Vdc, w/ 4-Wedges, Mounting Gasket &amp; Hardware, 8 LEDs, Single Color - White</t>
  </si>
  <si>
    <t>ENT2B3W</t>
  </si>
  <si>
    <t>Intersector Under Mirror Mount Light, 9-32 Vdc, w/ 4-Wedges, Mounting Gasket &amp; Hardware, 18 LED, Tricolor - Red/Green/White</t>
  </si>
  <si>
    <t>ENT2B3RGW</t>
  </si>
  <si>
    <t>Intersector Under Mirror Mount Light, 9-32 Vdc, w/ 4-Wedges, Mounting Gasket &amp; Hardware, 18 LED, Tricolor - Red/Blue/White</t>
  </si>
  <si>
    <t>ENT2B3RBW</t>
  </si>
  <si>
    <t>Intersector Under Mirror Mount Light, 9-32 Vdc, w/ 4-Wedges, Mounting Gasket &amp; Hardware, 18 LED, Tricolor - Red/Blue/Green</t>
  </si>
  <si>
    <t>ENT2B3RBG</t>
  </si>
  <si>
    <t>Intersector Under Mirror Mount Light, 9-32 Vdc, w/ 4-Wedges, Mounting Gasket &amp; Hardware, 18 LED, Tricolor - Red/Blue/Amber</t>
  </si>
  <si>
    <t>ENT2B3RBA</t>
  </si>
  <si>
    <t>Intersector Under Mirror Mount Light, 9-32 Vdc, w/ 4-Wedges, Mounting Gasket &amp; Hardware, 18 LED, Tricolor - Red/Amber/White</t>
  </si>
  <si>
    <t>ENT2B3RAW</t>
  </si>
  <si>
    <t>Intersector Under Mirror Mount Light, 9-32 Vdc, w/ 4-Wedges, Mounting Gasket &amp; Hardware, 18 LED, Tricolor - Red/Amber/Green</t>
  </si>
  <si>
    <t>ENT2B3RAG</t>
  </si>
  <si>
    <t>Intersector Under Mirror Mount Light, 9-32 Vdc, w/ 4-Wedges, Mounting Gasket &amp; Hardware, 8 LEDs, Single Color - Red</t>
  </si>
  <si>
    <t>ENT2B3R</t>
  </si>
  <si>
    <t>Intersector Under Mirror Mount Light, 9-32 Vdc, w/ 4-Wedges, Mounting Gasket &amp; Hardware, 16 LEDs, Dual Color - Green/Amber</t>
  </si>
  <si>
    <t>ENT2B3P</t>
  </si>
  <si>
    <t>Intersector Under Mirror Mount Light, 9-32 Vdc, w/ 4-Wedges, Mounting Gasket &amp; Hardware, 16 LEDs, Dual Color - Blue/Green</t>
  </si>
  <si>
    <t>ENT2B3N</t>
  </si>
  <si>
    <t>Intersector Under Mirror Mount Light, 9-32 Vdc, w/ 4-Wedges, Mounting Gasket &amp; Hardware, 16 LEDs, Dual Color - Blue/Amber</t>
  </si>
  <si>
    <t>ENT2B3M</t>
  </si>
  <si>
    <t>Intersector Under Mirror Mount Light, 9-32 Vdc, w/ 4-Wedges, Mounting Gasket &amp; Hardware, 16 LEDs, Dual Color - Red/Green</t>
  </si>
  <si>
    <t>ENT2B3L</t>
  </si>
  <si>
    <t>Intersector Under Mirror Mount Light, 9-32 Vdc, w/ 4-Wedges, Mounting Gasket &amp; Hardware, 16 LEDs, Dual Color - Red/Amber</t>
  </si>
  <si>
    <t>ENT2B3K</t>
  </si>
  <si>
    <t>Intersector Under Mirror Mount Light, 9-32 Vdc, w/ 4-Wedges, Mounting Gasket &amp; Hardware, 16 LEDs, Dual Color - Red/Blue</t>
  </si>
  <si>
    <t>ENT2B3J</t>
  </si>
  <si>
    <t>Intersector Under Mirror Mount Light, 9-32 Vdc, w/ 4-Wedges, Mounting Gasket &amp; Hardware, 16 LEDs, Dual Color - Green/White</t>
  </si>
  <si>
    <t>ENT2B3H</t>
  </si>
  <si>
    <t>Intersector Under Mirror Mount Light, 9-32 Vdc, w/ 4-Wedges, Mounting Gasket &amp; Hardware, 18 LED, Tricolor - Green/Amber/White</t>
  </si>
  <si>
    <t>ENT2B3GAW</t>
  </si>
  <si>
    <t>Intersector Under Mirror Mount Light, 9-32 Vdc, w/ 4-Wedges, Mounting Gasket &amp; Hardware, 8 LEDs, Single Color - Green</t>
  </si>
  <si>
    <t>ENT2B3G</t>
  </si>
  <si>
    <t>Intersector Under Mirror Mount Light, 9-32 Vdc, w/ 4-Wedges, Mounting Gasket &amp; Hardware, 16 LEDs, Dual Color - Amber/White</t>
  </si>
  <si>
    <t>ENT2B3F</t>
  </si>
  <si>
    <t>Intersector Under Mirror Mount Light, 9-32 Vdc, w/ 4-Wedges, Mounting Gasket &amp; Hardware, 16 LEDs, Dual Color - Blue/White</t>
  </si>
  <si>
    <t>ENT2B3E</t>
  </si>
  <si>
    <t>Intersector Under Mirror Mount Light, 9-32 Vdc, w/ 4-Wedges, Mounting Gasket &amp; Hardware, 16 LEDs, Dual Color - Red/White</t>
  </si>
  <si>
    <t>ENT2B3D</t>
  </si>
  <si>
    <t>Intersector Under Mirror Mount Light, 9-32 Vdc, w/ 4-Wedges, Mounting Gasket &amp; Hardware, 18 LED, Tricolor - Blue/Green/White</t>
  </si>
  <si>
    <t>ENT2B3BGW</t>
  </si>
  <si>
    <t>Intersector Under Mirror Mount Light, 9-32 Vdc, w/ 4-Wedges, Mounting Gasket &amp; Hardware, 18 LED, Tricolor - Blue/Amber/White</t>
  </si>
  <si>
    <t>ENT2B3BAW</t>
  </si>
  <si>
    <t>Intersector Under Mirror Mount Light, 9-32 Vdc, w/ 4-Wedges, Mounting Gasket &amp; Hardware, 18 LED, Tricolor - Blue/Amber/Green</t>
  </si>
  <si>
    <t>ENT2B3BAG</t>
  </si>
  <si>
    <t>Intersector Under Mirror Mount Light, 9-32 Vdc, w/ 4-Wedges, Mounting Gasket &amp; Hardware, 8 LEDs, Single Color - Blue</t>
  </si>
  <si>
    <t>ENT2B3B</t>
  </si>
  <si>
    <t>Intersector Under Mirror Mount Light, 9-32 Vdc, w/ 4-Wedges, Mounting Gasket &amp; Hardware, 8 LEDs, Single Color - Amber</t>
  </si>
  <si>
    <t>ENT2B3A</t>
  </si>
  <si>
    <t>Intersector Light - Under Mirror Mount</t>
  </si>
  <si>
    <t>Intersector Surface Mount Light, 9-32 Vdc, White Housing, 8 LEDs, Single Color - White</t>
  </si>
  <si>
    <t>ENT3W3W</t>
  </si>
  <si>
    <t>Intersector Surface Mount Light, 9-32 Vdc, White Housing, 18 LED, Tricolor - Red/Green/White</t>
  </si>
  <si>
    <t>ENT3W3RGW</t>
  </si>
  <si>
    <t>Intersector Surface Mount Light, 9-32 Vdc, White Housing, 18 LED, Tricolor - Red/Blue/White</t>
  </si>
  <si>
    <t>ENT3W3RBW</t>
  </si>
  <si>
    <t>Intersector Surface Mount Light, 9-32 Vdc, White Housing, 18 LED, Tricolor - Red/Blue/Green</t>
  </si>
  <si>
    <t>ENT3W3RBG</t>
  </si>
  <si>
    <t>Intersector Surface Mount Light, 9-32 Vdc, White Housing, 18 LED, Tricolor - Red/Blue/Amber</t>
  </si>
  <si>
    <t>ENT3W3RBA</t>
  </si>
  <si>
    <t>Intersector Surface Mount Light, 9-32 Vdc, White Housing, 18 LED, Tricolor - Red/Amber/White</t>
  </si>
  <si>
    <t>ENT3W3RAW</t>
  </si>
  <si>
    <t>Intersector Surface Mount Light, 9-32 Vdc, White Housing, 18 LED, Tricolor - Red/Amber/Green</t>
  </si>
  <si>
    <t>ENT3W3RAG</t>
  </si>
  <si>
    <t>Intersector Surface Mount Light, 9-32 Vdc, White Housing, 8 LEDs, Single Color - Red</t>
  </si>
  <si>
    <t>ENT3W3R</t>
  </si>
  <si>
    <t>Intersector Surface Mount Light, 9-32 Vdc, White Housing, 16 LEDs, Dual Color - Green/Amber</t>
  </si>
  <si>
    <t>ENT3W3P</t>
  </si>
  <si>
    <t>Intersector Surface Mount Light, 9-32 Vdc, White Housing, 16 LEDs, Dual Color - Blue/Green</t>
  </si>
  <si>
    <t>ENT3W3N</t>
  </si>
  <si>
    <t>Intersector Surface Mount Light, 9-32 Vdc, White Housing, 16 LEDs, Dual Color - Blue/Amber</t>
  </si>
  <si>
    <t>ENT3W3M</t>
  </si>
  <si>
    <t>Intersector Surface Mount Light, 9-32 Vdc, White Housing, 16 LEDs, Dual Color - Red/Green</t>
  </si>
  <si>
    <t>ENT3W3L</t>
  </si>
  <si>
    <t>Intersector Surface Mount Light, 9-32 Vdc, White Housing, 16 LEDs, Dual Color - Red/Amber</t>
  </si>
  <si>
    <t>ENT3W3K</t>
  </si>
  <si>
    <t>Intersector Surface Mount Light, 9-32 Vdc, White Housing, 16 LEDs, Dual Color - Red/Blue</t>
  </si>
  <si>
    <t>ENT3W3J</t>
  </si>
  <si>
    <t>Intersector Surface Mount Light, 9-32 Vdc, White Housing, 16 LEDs, Dual Color - Green/White</t>
  </si>
  <si>
    <t>ENT3W3H</t>
  </si>
  <si>
    <t>Intersector Surface Mount Light, 9-32 Vdc, White Housing, 18 LED, Tricolor - Green/Amber/White</t>
  </si>
  <si>
    <t>ENT3W3GAW</t>
  </si>
  <si>
    <t>Intersector Surface Mount Light, 9-32 Vdc, White Housing, 8 LEDs, Single Color - Green</t>
  </si>
  <si>
    <t>ENT3W3G</t>
  </si>
  <si>
    <t>Intersector Surface Mount Light, 9-32 Vdc, White Housing, 16 LEDs, Dual Color - Amber/White</t>
  </si>
  <si>
    <t>ENT3W3F</t>
  </si>
  <si>
    <t>Intersector Surface Mount Light, 9-32 Vdc, White Housing, 16 LEDs, Dual Color - Blue/White</t>
  </si>
  <si>
    <t>ENT3W3E</t>
  </si>
  <si>
    <t>Intersector Surface Mount Light, 9-32 Vdc, White Housing, 16 LEDs, Dual Color - Red/White</t>
  </si>
  <si>
    <t>ENT3W3D</t>
  </si>
  <si>
    <t>Intersector Surface Mount Light, 9-32 Vdc, White Housing, 18 LED, Tricolor - Blue/Green/White</t>
  </si>
  <si>
    <t>ENT3W3BGW</t>
  </si>
  <si>
    <t>Intersector Surface Mount Light, 9-32 Vdc, White Housing, 18 LED, Tricolor - Blue/Amber/White</t>
  </si>
  <si>
    <t>ENT3W3BAW</t>
  </si>
  <si>
    <t>Intersector Surface Mount Light, 9-32 Vdc, White Housing, 18 LED, Tricolor - Blue/Amber/Green</t>
  </si>
  <si>
    <t>ENT3W3BAG</t>
  </si>
  <si>
    <t>Intersector Surface Mount Light, 9-32 Vdc, White Housing, 8 LEDs, Single Color - Blue</t>
  </si>
  <si>
    <t>ENT3W3B</t>
  </si>
  <si>
    <t>Intersector Surface Mount Light, 9-32 Vdc, White Housing, 8 LEDs, Single Color - Amber</t>
  </si>
  <si>
    <t>ENT3W3A</t>
  </si>
  <si>
    <t>Intersector Surface Mount Light, 9-32 Vdc, Chrome Housing, 8 LEDs, Single Color - White</t>
  </si>
  <si>
    <t>ENT3C3W</t>
  </si>
  <si>
    <t>Intersector Surface Mount Light, 9-32 Vdc, Chrome Housing, 18 LED, Tricolor - Red/Green/White</t>
  </si>
  <si>
    <t>ENT3C3RGW</t>
  </si>
  <si>
    <t>Intersector Surface Mount Light, 9-32 Vdc, Chrome Housing, 18 LED, Tricolor - Red/Blue/White</t>
  </si>
  <si>
    <t>ENT3C3RBW</t>
  </si>
  <si>
    <t>Intersector Surface Mount Light, 9-32 Vdc, Chrome Housing, 18 LED, Tricolor - Red/Blue/Green</t>
  </si>
  <si>
    <t>ENT3C3RBG</t>
  </si>
  <si>
    <t>Intersector Surface Mount Light, 9-32 Vdc, Chrome Housing, 18 LED, Tricolor - Red/Blue/Amber</t>
  </si>
  <si>
    <t>ENT3C3RBA</t>
  </si>
  <si>
    <t>Intersector Surface Mount Light, 9-32 Vdc, Chrome Housing, 18 LED, Tricolor - Red/Amber/White</t>
  </si>
  <si>
    <t>ENT3C3RAW</t>
  </si>
  <si>
    <t>Intersector Surface Mount Light, 9-32 Vdc, Chrome Housing, 18 LED, Tricolor - Red/Amber/Green</t>
  </si>
  <si>
    <t>ENT3C3RAG</t>
  </si>
  <si>
    <t>Intersector Surface Mount Light, 9-32 Vdc, Chrome Housing, 8 LEDs, Single Color - Red</t>
  </si>
  <si>
    <t>ENT3C3R</t>
  </si>
  <si>
    <t>Intersector Surface Mount Light, 9-32 Vdc, Chrome Housing, 16 LEDs, Dual Color - Green/Amber</t>
  </si>
  <si>
    <t>ENT3C3P</t>
  </si>
  <si>
    <t>Intersector Surface Mount Light, 9-32 Vdc, Chrome Housing, 16 LEDs, Dual Color - Blue/Green</t>
  </si>
  <si>
    <t>ENT3C3N</t>
  </si>
  <si>
    <t>Intersector Surface Mount Light, 9-32 Vdc, Chrome Housing, 16 LEDs, Dual Color - Blue/Amber</t>
  </si>
  <si>
    <t>ENT3C3M</t>
  </si>
  <si>
    <t>Intersector Surface Mount Light, 9-32 Vdc, Chrome Housing, 16 LEDs, Dual Color - Red/Green</t>
  </si>
  <si>
    <t>ENT3C3L</t>
  </si>
  <si>
    <t>Intersector Surface Mount Light, 9-32 Vdc, Chrome Housing, 16 LEDs, Dual Color - Red/Amber</t>
  </si>
  <si>
    <t>ENT3C3K</t>
  </si>
  <si>
    <t>Intersector Surface Mount Light, 9-32 Vdc, Chrome Housing, 16 LEDs, Dual Color - Red/Blue</t>
  </si>
  <si>
    <t>ENT3C3J</t>
  </si>
  <si>
    <t>Intersector Surface Mount Light, 9-32 Vdc, Chrome Housing, 16 LEDs, Dual Color - Green/White</t>
  </si>
  <si>
    <t>ENT3C3H</t>
  </si>
  <si>
    <t>Intersector Surface Mount Light, 9-32 Vdc, Chrome Housing, 18 LED, Tricolor - Green/Amber/White</t>
  </si>
  <si>
    <t>ENT3C3GAW</t>
  </si>
  <si>
    <t>Intersector Surface Mount Light, 9-32 Vdc, Chrome Housing, 8 LEDs, Single Color - Green</t>
  </si>
  <si>
    <t>ENT3C3G</t>
  </si>
  <si>
    <t>Intersector Surface Mount Light, 9-32 Vdc, Chrome Housing, 16 LEDs, Dual Color - Amber/White</t>
  </si>
  <si>
    <t>ENT3C3F</t>
  </si>
  <si>
    <t>Intersector Surface Mount Light, 9-32 Vdc, Chrome Housing, 16 LEDs, Dual Color - Blue/White</t>
  </si>
  <si>
    <t>ENT3C3E</t>
  </si>
  <si>
    <t>Intersector Surface Mount Light, 9-32 Vdc, Chrome Housing, 16 LEDs, Dual Color - Red/White</t>
  </si>
  <si>
    <t>ENT3C3D</t>
  </si>
  <si>
    <t>Intersector Surface Mount Light, 9-32 Vdc, Chrome Housing, 18 LED, Tricolor - Blue/Green/White</t>
  </si>
  <si>
    <t>ENT3C3BGW</t>
  </si>
  <si>
    <t>Intersector Surface Mount Light, 9-32 Vdc, Chrome Housing, 18 LED, Tricolor - Blue/Amber/White</t>
  </si>
  <si>
    <t>ENT3C3BAW</t>
  </si>
  <si>
    <t>Intersector Surface Mount Light, 9-32 Vdc, Chrome Housing, 18 LED, Tricolor - Blue/Amber/Green</t>
  </si>
  <si>
    <t>ENT3C3BAG</t>
  </si>
  <si>
    <t>Intersector Surface Mount Light, 9-32 Vdc, Chrome Housing, 8 LEDs, Single Color - Blue</t>
  </si>
  <si>
    <t>ENT3C3B</t>
  </si>
  <si>
    <t>Intersector Surface Mount Light, 9-32 Vdc, Chrome Housing, 8 LEDs, Single Color - Amber</t>
  </si>
  <si>
    <t>ENT3C3A</t>
  </si>
  <si>
    <t>Intersector Surface Mount Light, 9-32 Vdc, Black Housing, 8 LEDs, Single Color - White</t>
  </si>
  <si>
    <t>ENT3B3W</t>
  </si>
  <si>
    <t>Intersector Surface Mount Light, 9-32 Vdc, Black Housing, 18 LED, Tricolor - Red/Green/White</t>
  </si>
  <si>
    <t>ENT3B3RGW</t>
  </si>
  <si>
    <t>Intersector Surface Mount Light, 9-32 Vdc, Black Housing, 18 LED, Tricolor - Red/Blue/White</t>
  </si>
  <si>
    <t>ENT3B3RBW</t>
  </si>
  <si>
    <t>Intersector Surface Mount Light, 9-32 Vdc, Black Housing, 18 LED, Tricolor - Red/Blue/Green</t>
  </si>
  <si>
    <t>ENT3B3RBG</t>
  </si>
  <si>
    <t>Intersector Surface Mount Light, 9-32 Vdc, Black Housing, 18 LED, Tricolor - Red/Blue/Amber</t>
  </si>
  <si>
    <t>ENT3B3RBA</t>
  </si>
  <si>
    <t>Intersector Surface Mount Light, 9-32 Vdc, Black Housing, 18 LED, Tricolor - Red/Amber/White</t>
  </si>
  <si>
    <t>ENT3B3RAW</t>
  </si>
  <si>
    <t>Intersector Surface Mount Light, 9-32 Vdc, Black Housing, 18 LED, Tricolor - Red/Amber/Green</t>
  </si>
  <si>
    <t>ENT3B3RAG</t>
  </si>
  <si>
    <t>Intersector Surface Mount Light, 9-32 Vdc, Black Housing, 8 LEDs, Single Color - Red</t>
  </si>
  <si>
    <t>ENT3B3R</t>
  </si>
  <si>
    <t>Intersector Surface Mount Light, 9-32 Vdc, Black Housing, 16 LEDs, Dual Color - Green/Amber</t>
  </si>
  <si>
    <t>ENT3B3P</t>
  </si>
  <si>
    <t>Intersector Surface Mount Light, 9-32 Vdc, Black Housing, 16 LEDs, Dual Color - Blue/Green</t>
  </si>
  <si>
    <t>ENT3B3N</t>
  </si>
  <si>
    <t>Intersector Surface Mount Light, 9-32 Vdc, Black Housing, 16 LEDs, Dual Color - Blue/Amber</t>
  </si>
  <si>
    <t>ENT3B3M</t>
  </si>
  <si>
    <t>Intersector Surface Mount Light, 9-32 Vdc, Black Housing, 16 LEDs, Dual Color - Red/Green</t>
  </si>
  <si>
    <t>ENT3B3L</t>
  </si>
  <si>
    <t>Intersector Surface Mount Light, 9-32 Vdc, Black Housing, 16 LEDs, Dual Color - Red/Amber</t>
  </si>
  <si>
    <t>ENT3B3K</t>
  </si>
  <si>
    <t>Intersector Surface Mount Light, 9-32 Vdc, Black Housing, 16 LEDs, Dual Color - Red/Blue</t>
  </si>
  <si>
    <t>ENT3B3J</t>
  </si>
  <si>
    <t>Intersector Surface Mount Light, 9-32 Vdc, Black Housing, 16 LEDs, Dual Color - Green/White</t>
  </si>
  <si>
    <t>ENT3B3H</t>
  </si>
  <si>
    <t>Intersector Surface Mount Light, 9-32 Vdc, Black Housing, 18 LED, Tricolor - Green/Amber/White</t>
  </si>
  <si>
    <t>ENT3B3GAW</t>
  </si>
  <si>
    <t>Intersector Surface Mount Light, 9-32 Vdc, Black Housing, 8 LEDs, Single Color - Green</t>
  </si>
  <si>
    <t>ENT3B3G</t>
  </si>
  <si>
    <t>Intersector Surface Mount Light, 9-32 Vdc, Black Housing, 16 LEDs, Dual Color - Amber/White</t>
  </si>
  <si>
    <t>ENT3B3F</t>
  </si>
  <si>
    <t>Intersector Surface Mount Light, 9-32 Vdc, Black Housing, 16 LEDs, Dual Color - Blue/White</t>
  </si>
  <si>
    <t>ENT3B3E</t>
  </si>
  <si>
    <t>Intersector Surface Mount Light, 9-32 Vdc, Black Housing, 16 LEDs, Dual Color - Red/White</t>
  </si>
  <si>
    <t>ENT3B3D</t>
  </si>
  <si>
    <t>Intersector Surface Mount Light, 9-32 Vdc, Black Housing, 18 LED, Tricolor - Blue/Green/White</t>
  </si>
  <si>
    <t>ENT3B3BGW</t>
  </si>
  <si>
    <t>Intersector Surface Mount Light, 9-32 Vdc, Black Housing, 18 LED, Tricolor - Blue/Amber/White</t>
  </si>
  <si>
    <t>ENT3B3BAW</t>
  </si>
  <si>
    <t>Intersector Surface Mount Light, 9-32 Vdc, Black Housing, 18 LED, Tricolor - Blue/Amber/Green</t>
  </si>
  <si>
    <t>ENT3B3BAG</t>
  </si>
  <si>
    <t>Intersector Surface Mount Light, 9-32 Vdc, Black Housing, 8 LEDs, Single Color - Blue</t>
  </si>
  <si>
    <t>ENT3B3B</t>
  </si>
  <si>
    <t>Intersector Surface Mount Light, 9-32 Vdc, Black Housing, 8 LEDs, Single Color - Amber</t>
  </si>
  <si>
    <t>ENT3B3A</t>
  </si>
  <si>
    <t>Intersector Light - Surface Mount</t>
  </si>
  <si>
    <t>$21.00</t>
  </si>
  <si>
    <t>Golight® SL Dash Control Harness, use with bluePRINT® 500 Series Siren</t>
  </si>
  <si>
    <t>PWLHN004</t>
  </si>
  <si>
    <t>Golight SL Dash Control Harness, use with bluePRINT</t>
  </si>
  <si>
    <t>3 years on mechanical and 5 years on the optical</t>
  </si>
  <si>
    <t>$1415.00</t>
  </si>
  <si>
    <t>Golight® SL Remote Control Spotlight, Passenger Side, Dash Control sold separately</t>
  </si>
  <si>
    <t>EWL9114SL</t>
  </si>
  <si>
    <t>$1640.00</t>
  </si>
  <si>
    <t>Golight® SL Remote Control Spotlight, Driver Side, Dash Control included</t>
  </si>
  <si>
    <t>EWL9111SL</t>
  </si>
  <si>
    <t>Golight SL</t>
  </si>
  <si>
    <t>$216.00</t>
  </si>
  <si>
    <t>GHOST® Single Surface Mount Light, Stop/Tail Light, 10-30v - Black Housing/Solid Red</t>
  </si>
  <si>
    <t>EGHSTT2RB</t>
  </si>
  <si>
    <t>GHOST® Single Surface Mount Light, 10-30v - Black Housing, Split Color - Red/Blue LEDs</t>
  </si>
  <si>
    <t>EGHST2J</t>
  </si>
  <si>
    <t>GHOST® Single Surface Mount Light, 10-30v - Black Housing/Split Color - Blue &amp; White LEDs</t>
  </si>
  <si>
    <t>EGHST2E</t>
  </si>
  <si>
    <t>GHOST® Single Surface Mount Light, 10-30v - Black Housing, Split Color - Red/White LEDs</t>
  </si>
  <si>
    <t>EGHST2D</t>
  </si>
  <si>
    <t>GHOST Single - Surface Mount</t>
  </si>
  <si>
    <t>GHOST® Single Stop/Tail Light, Black Housing w/ 3M Super Duty Adhesive Mount - Amber</t>
  </si>
  <si>
    <t>EGHSTTA</t>
  </si>
  <si>
    <t>GHOST® Single Multi-Mount Light (Edge Mount, Permanent Mount &amp; 3M Super Duty Adhesive Mounts included), 10-30v - Black Housing/Blue &amp; White</t>
  </si>
  <si>
    <t>EGHST1E</t>
  </si>
  <si>
    <t>GHOST Single - Deck/Grille Mount</t>
  </si>
  <si>
    <t>$1469.00</t>
  </si>
  <si>
    <t>Ford 4-Corner Kit for Super Duty F-250-550 ( 2017-2021) includes: 2 GHOST® Multi-Mount Lights Amber/White, CHMSL Bezel w/ Intersector Surface Mount Lights Green/Amber, Harnesses, with Stand Alone Switch</t>
  </si>
  <si>
    <t>ET4CCL22FPB1</t>
  </si>
  <si>
    <t>Ford 4-Corner Kit for Super Duty F-250-550 ( 2017-2021) includes: 2 GHOST® Multi-Mount Lights Amber/White, CHMSL Bezel w/ Intersector Surface Mount Lights Red/Amber, Harnesses, with Stand Alone Switch</t>
  </si>
  <si>
    <t>ET4CCL22FKB1</t>
  </si>
  <si>
    <t>Ford 4-Corner Kit for Super Duty F-250-550 ( 2017-2021) includes: 2 GHOST® Multi-Mount Lights Blue/White, CHMSL Bezel w/ Intersector Surface Mount Lights Blue/Amber, Harnesses, with Stand Alone Switch</t>
  </si>
  <si>
    <t>ET4CCL22EMB1</t>
  </si>
  <si>
    <t>Ford 4-Corner Strobe Kit - Super Duty</t>
  </si>
  <si>
    <t>$107.00</t>
  </si>
  <si>
    <t>Bolt 2 Surface Mount Light, ECE-R65 Category X Class 2 Certified, ECE R10 Certified, SAE J595 Class 1, CA title 13 Table 1 Class B, 10-30v, Black Housing, 9 LED, Single Color - White</t>
  </si>
  <si>
    <t>E1XS2SME5WX</t>
  </si>
  <si>
    <t>Bolt 2 Surface Mount Light, ECE-R65 Category X Class 2 Certified, ECE R10 Certified, SAE J595 Class 1, CA title 13 Table 1 Class B, 10-30v, Black Housing, 9 LED, Single Color - Red</t>
  </si>
  <si>
    <t>E1XS2SME5RX</t>
  </si>
  <si>
    <t>$142.00</t>
  </si>
  <si>
    <t>Bolt 2 Surface Mount Light, ECE-R65 Category X Class 2 Certified, ECE R10 Certified, SAE J595 Class 1, CA title 13 Table 1 Class B, 10-30v, Black Housing, 18 LED, Dual Color - Red/White</t>
  </si>
  <si>
    <t>E1XS2SME5RW</t>
  </si>
  <si>
    <t>Bolt 2 Surface Mount Light, ECE-R65 Category X Class 2 Certified, ECE R10 Certified, SAE J595 Class 1, CA title 13 Table 1 Class B, 10-30v, Black Housing, 18 LED, Dual Color - Red/Blue</t>
  </si>
  <si>
    <t>E1XS2SME5RB</t>
  </si>
  <si>
    <t>Bolt 2 Surface Mount Light, ECE-R65 Category X Class 2 Certified, ECE R10 Certified, SAE J595 Class 1, CA title 13 Table 1 Class B, 10-30v, Black Housing, 9 LED, Dual Color - Red/Amber</t>
  </si>
  <si>
    <t>E1XS2SME5RA</t>
  </si>
  <si>
    <t>Bolt 2 Surface Mount Light, ECE-R65 Category X Class 2 Certified, SAE J595 Class 3, 10-30v, Black Housing, 9 LED, Single Color - Green</t>
  </si>
  <si>
    <t>E1XS2SME5GX</t>
  </si>
  <si>
    <t>Bolt 2 Surface Mount Light, ECE-R65 Category X Class 2 Certified, ECE R10 Certified, SAE J595 Class 1, CA title 13 Table 1 Class B, 10-30v, Black Housing, 18 LED, Dual Color - Green/Amber</t>
  </si>
  <si>
    <t>E1XS2SME5GA</t>
  </si>
  <si>
    <t>Bolt 2 Surface Mount Light, ECE-R65 Category X Class 2 Certified, ECE R10 Certified, SAE J595 Class 1, CA title 13 Table 1 Class B, 10-30v, Black Housing, 9 LED, Single Color - Blue</t>
  </si>
  <si>
    <t>E1XS2SME5BX</t>
  </si>
  <si>
    <t>Bolt 2 Surface Mount Light, ECE-R65 Category X Class 2 Certified, ECE R10 Certified, SAE J595 Class 1, CA title 13 Table 1 Class B, 10-30v, Black Housing, 18 LED, Dual Color - Blue/White</t>
  </si>
  <si>
    <t>E1XS2SME5BW</t>
  </si>
  <si>
    <t>Bolt 2 Surface Mount Light, ECE-R65 Category X Class 2 Certified, ECE R10 Certified, SAE J595 Class 1, CA title 13 Table 1 Class B, 10-30v, Black Housing, 18 LED, Dual Color - Blue/Amber</t>
  </si>
  <si>
    <t>E1XS2SME5BA</t>
  </si>
  <si>
    <t>Bolt 2 Surface Mount Light, ECE-R65 Category X Class 2 Certified, ECE R10 Certified, SAE J595 Class 1, CA title 13 Table 1 Class B,, 10-30v, Black Housing, 9 LED, Single Color - Amber</t>
  </si>
  <si>
    <t>E1XS2SME5AX</t>
  </si>
  <si>
    <t>Bolt 2 Surface Mount Light, ECE-R65 Category X Class 2 Certified, ECE R10 Certified, SAE J595 Class 1, CA title 13 Table 1 Class B, 10-30v, Black Housing, 18 LED, Dual Color - Amber/White</t>
  </si>
  <si>
    <t>E1XS2SME5AW</t>
  </si>
  <si>
    <t>Bolt 2</t>
  </si>
  <si>
    <t>PERIMETER LIGHTING</t>
  </si>
  <si>
    <t>3.5" Compact LED License Plate Light w/ Shroud, Mounting Base &amp; Gasket</t>
  </si>
  <si>
    <t>ECVLPBLED</t>
  </si>
  <si>
    <t>Compact License Plate Light</t>
  </si>
  <si>
    <t>6" Oval Stop/Tail/Turn w/ Rubber Grommet &amp; AMP Sure Seal Connector - Red Lens/Red LEDs</t>
  </si>
  <si>
    <t>ECVO62STT-AFA</t>
  </si>
  <si>
    <t>6" Oval Light - Signal</t>
  </si>
  <si>
    <t>6" Oval Backup Light w/ Rubber Grommet &amp;AMP Sure Seal Connector - Clear Lens/White LEDs</t>
  </si>
  <si>
    <t>ECVO62B2W-AFA</t>
  </si>
  <si>
    <t>6" Oval Light - Backup</t>
  </si>
  <si>
    <t>MARKER-SIGNAL-WARN</t>
  </si>
  <si>
    <t>$393.00</t>
  </si>
  <si>
    <t>Pinnacle Mini 7300 Lightbar, SAE J845 Class 1, CA Title 13, CISPR25 Class 3, Magnetic Mount, 12 ft Cord for 12v Cigar Plug, Amber Dome, Amber LEDs</t>
  </si>
  <si>
    <t>EPL730004-A</t>
  </si>
  <si>
    <t>$504.00</t>
  </si>
  <si>
    <t>Pinnacle Mini 7300 Lightbar, SAE J845 Class 1, CA Title 13, CISPR25 Class 3, Magnetic Mount, 12 ft Cord for 12v Cigar Plug, Clear Dome, Green &amp; Amber LEDs</t>
  </si>
  <si>
    <t>EPL730003-P</t>
  </si>
  <si>
    <t>Pinnacle Mini 7300 Lightbar, SAE J845 Class 1, CA Title 13, CISPR25 Class 3, Magnetic Mount, 12 ft Cord for 12v Cigar Plug, Clear Dome, Blue &amp; Amber LEDs</t>
  </si>
  <si>
    <t>EPL730003-M</t>
  </si>
  <si>
    <t>Pinnacle Mini 7300 Lightbar, SAE J845 Class 1, CA Title 13, CISPR25 Class 3, Magnetic Mount, 12 ft Cord for 12v Cigar Plug, Clear Dome, Amber &amp; White LEDs</t>
  </si>
  <si>
    <t>EPL730003-F</t>
  </si>
  <si>
    <t>Pinnacle Mini 7300 Lightbar, SAE J845 Class 1, CA Title 13, CISPR25 Class 3, Magnetic Mount, 12 ft Cord for 12v Cigar Plug, Clear Dome, Red &amp; White LEDs</t>
  </si>
  <si>
    <t>EPL730003-D</t>
  </si>
  <si>
    <t>Pinnacle Mini 7300 Lightbar, SAE J845 Class 1, CA Title 13, CISPR25 Class 3, Magnetic Mount, 12 ft Cord for 12v Cigar Plug, Clear Dome, Amber LEDs</t>
  </si>
  <si>
    <t>EPL730003-A</t>
  </si>
  <si>
    <t>$373.00</t>
  </si>
  <si>
    <t>Pinnacle Mini 7300 Lightbar, SAE J845 Class 1, CA Title 13, CISPR25 Class 3, Permanent Mount, 12 ft Cord, Amber Dome, LEDs</t>
  </si>
  <si>
    <t>EPL730002-A</t>
  </si>
  <si>
    <t>$484.00</t>
  </si>
  <si>
    <t>Pinnacle Mini 7300 Lightbar, SAE J845 Class 1, CA Title 13, CISPR25 Class 3, Permanent Mount, 12 ft Cord, Clear Dome, Green &amp; Amber LEDs</t>
  </si>
  <si>
    <t>EPL730001-P</t>
  </si>
  <si>
    <t>Pinnacle Mini 7300 Lightbar, SAE J845 Class 1, CA Title 13, CISPR25 Class 3, Permanent Mount, 12 ft Cord, Clear Dome, Blue &amp; Amber LEDs</t>
  </si>
  <si>
    <t>EPL730001-M</t>
  </si>
  <si>
    <t>Pinnacle Mini 7300 Lightbar, SAE J845 Class 1, CA Title 13, CISPR25 Class 3, Permanent Mount, 12 ft Cord, Clear Dome, Amber &amp; White LEDs</t>
  </si>
  <si>
    <t>Pinnacle Mini 7300 Lightbar, SAE J845 Class 1, CA Title 13, CISPR25 Class 3, Permanent Mount, 12 ft Cord, Clear Dome, Red &amp; White LEDs</t>
  </si>
  <si>
    <t>EPL730001-D</t>
  </si>
  <si>
    <t>Pinnacle Mini 7300 Lightbar, SAE J845 Class 1, CA Title 13, CISPR25 Class 3, Permanent Mount, 12 ft Cord, Clear Dome, Amber LEDs</t>
  </si>
  <si>
    <t>EPL730001-A</t>
  </si>
  <si>
    <t>Pinnacle Mini 7300 Lightbar</t>
  </si>
  <si>
    <t>$585.00</t>
  </si>
  <si>
    <t>Pinnacle Mini Lightbar (EPL7000) SAE Class 1 - Standard Permanent Mount w/ 25 ft cable for hardwire installation – White LEDs</t>
  </si>
  <si>
    <t>EPL7PFWC</t>
  </si>
  <si>
    <t>Pinnacle Mini Lightbar (EPL7000) SAE Class 1 - Standard Permanent Mount w/ 25 ft cable for hardwire installation – Red LEDs</t>
  </si>
  <si>
    <t>EPL7PFRC</t>
  </si>
  <si>
    <t>$631.00</t>
  </si>
  <si>
    <t>Pinnacle Mini Lightbar (EPL7000) - Standard Permanent Mount w/ 25 ft cable for hardwire installation – Green/Amber LEDs</t>
  </si>
  <si>
    <t>EPL7PFPC</t>
  </si>
  <si>
    <t>Pinnacle Mini Lightbar (EPL7000) SAE Class 1 - Standard Permanent Mount w/ 25 ft cable for hardwire installation – Red/Blue LEDs</t>
  </si>
  <si>
    <t>EPL7PFJC</t>
  </si>
  <si>
    <t>Pinnacle Mini Lightbar (EPL7000) - Standard Permanent Mount w/ 25 ft cable for hardwire installation – Amber/White LEDs</t>
  </si>
  <si>
    <t>EPL7PFFC</t>
  </si>
  <si>
    <t>Pinnacle Mini Lightbar (EPL7000) SAE Class 1 - Standard Permanent Mount w/ 25 ft cable for hardwire installation – Red/White LEDs</t>
  </si>
  <si>
    <t>EPL7PFDC</t>
  </si>
  <si>
    <t>Pinnacle Mini Lightbar (EPL7000) SAE Class 1 - Standard Permanent Mount w/ 25 ft cable for hardwire installation – Blue LEDs</t>
  </si>
  <si>
    <t>EPL7PFBC</t>
  </si>
  <si>
    <t>Pinnacle Mini Lightbar (EPL7000) - Standard Permanent Mount w/ 25 ft cable for hardwire installation – Amber LEDs</t>
  </si>
  <si>
    <t>EPL7PFAC</t>
  </si>
  <si>
    <t>Pinnacle Mini Lightbar (EPL7000) - Standard Permanent Mount w/ 25 ft cable for hardwire installation – Amber Dome w/ Amber LEDs</t>
  </si>
  <si>
    <t>EPL7PFAA</t>
  </si>
  <si>
    <t>$555.00</t>
  </si>
  <si>
    <t>Pinnacle Mini Lightbar (EPL7000) SAE Class 1 - Standard Permanent Mount w/ 12 ft cable for hardwire installation – White LEDs</t>
  </si>
  <si>
    <t>EPL7PDWC</t>
  </si>
  <si>
    <t>Pinnacle Mini Lightbar (EPL7000) SAE Class 1 - Standard Permanent Mount w/ 12 ft cable for hardwire installation – Red LEDs</t>
  </si>
  <si>
    <t>EPL7PDRC</t>
  </si>
  <si>
    <t>$619.00</t>
  </si>
  <si>
    <t>Pinnacle Mini Lightbar (EPL7000) - Standard Permanent Mount w/ 12 ft cable for hardwire installation – Green/Amber LEDs</t>
  </si>
  <si>
    <t>EPL7PDPC</t>
  </si>
  <si>
    <t>Pinnacle Mini Lightbar (EPL7000) - Standard Permanent Mount w/ 12 ft cable for hardwire installation – Blue/Green LEDs</t>
  </si>
  <si>
    <t>EPL7PDNC</t>
  </si>
  <si>
    <t>Pinnacle Mini Lightbar (EPL7000) - Standard Permanent Mount w/ 12 ft cable for hardwire installation – Blue/Amber LEDs</t>
  </si>
  <si>
    <t>EPL7PDMC</t>
  </si>
  <si>
    <t>Pinnacle Mini Lightbar (EPL7000) - Standard Permanent Mount w/ 12 ft cable for hardwire installation – Red/Amber LEDs</t>
  </si>
  <si>
    <t>EPL7PDKC</t>
  </si>
  <si>
    <t>Pinnacle Mini Lightbar (EPL7000) SAE Class 1 - Standard Permanent Mount w/ 12 ft cable for hardwire installation – Red/Blue LEDs</t>
  </si>
  <si>
    <t>EPL7PDJC</t>
  </si>
  <si>
    <t>Pinnacle Mini Lightbar (EPL7000) - Standard Permanent Mount w/ 12 ft cable for hardwire installation – Green/White LEDs</t>
  </si>
  <si>
    <t>EPL7PDHC</t>
  </si>
  <si>
    <t>Pinnacle Mini Lightbar (EPL7000) - Standard Permanent Mount w/ 12 ft cable for hardwire installation – Green LEDs</t>
  </si>
  <si>
    <t>EPL7PDGC</t>
  </si>
  <si>
    <t>Pinnacle Mini Lightbar (EPL7000) - Standard Permanent Mount w/ 12 ft cable for hardwire installation – Amber/White LEDs</t>
  </si>
  <si>
    <t>EPL7PDFC</t>
  </si>
  <si>
    <t>Pinnacle Mini Lightbar (EPL7000) SAE Class 1 - Standard Permanent Mount w/ 12 ft cable for hardwire installation – Blue/White LEDs</t>
  </si>
  <si>
    <t>EPL7PDEC</t>
  </si>
  <si>
    <t>Pinnacle Mini Lightbar (EPL7000) SAE Class 1 - Standard Permanent Mount w/ 12 ft cable for hardwire installation – Red/White LEDs</t>
  </si>
  <si>
    <t>EPL7PDDC</t>
  </si>
  <si>
    <t>Pinnacle Mini Lightbar (EPL7000) SAE Class 1 - Standard Permanent Mount w/ 12 ft cable for hardwire installation – Blue LEDs</t>
  </si>
  <si>
    <t>EPL7PDBC</t>
  </si>
  <si>
    <t>Pinnacle Mini Lightbar (EPL7000) - Standard Permanent Mount w/ 12 ft cable for hardwire installation – Amber LEDs</t>
  </si>
  <si>
    <t>EPL7PDAC</t>
  </si>
  <si>
    <t>Pinnacle Mini Lightbar (EPL7000) - Standard Permanent Mount w/ 12 ft cable for hardwire installation – Amber Dome w/ Amber LEDs</t>
  </si>
  <si>
    <t>EPL7PDAA</t>
  </si>
  <si>
    <t>Pinnacle Mini Lightbar (EPL7000) SAE Class 1 - Magnetic Mount, 10 ft cord w/ 12v Cigar Plug – White LEDs</t>
  </si>
  <si>
    <t>EPL7M+WC</t>
  </si>
  <si>
    <t>Pinnacle Mini Lightbar (EPL7000) SAE Class 1 - Magnetic Mount, 10 ft cord w/ 12v Cigar Plug – Red LEDs</t>
  </si>
  <si>
    <t>EPL7M+RC</t>
  </si>
  <si>
    <t>$649.00</t>
  </si>
  <si>
    <t>Pinnacle Mini Lightbar (EPL7000) - Magnetic Mount, 10 ft cord w/ 12v Cigar Plug – Green/Amber LEDs</t>
  </si>
  <si>
    <t>EPL7M+PC</t>
  </si>
  <si>
    <t>Pinnacle Mini Lightbar (EPL7000) - Magnetic Mount, 10 ft cord w/ 12v Cigar Plug – Blue/Amber LEDs</t>
  </si>
  <si>
    <t>EPL7M+MC</t>
  </si>
  <si>
    <t>Pinnacle Mini Lightbar (EPL7000) - Magnetic Mount, 10 ft cord w/ 12v Cigar Plug – Red/Amber LEDs</t>
  </si>
  <si>
    <t>EPL7M+KC</t>
  </si>
  <si>
    <t>Pinnacle Mini Lightbar (EPL7000)  SAE Class 1 - Magnetic Mount, 10 ft cord w/ 12v Cigar Plug – Red/Blue LEDs</t>
  </si>
  <si>
    <t>EPL7M+JC</t>
  </si>
  <si>
    <t>Pinnacle Mini Lightbar (EPL7000) - Magnetic Mount, 10 ft cord w/ 12v Cigar Plug – Green/White LEDs</t>
  </si>
  <si>
    <t>EPL7M+HC</t>
  </si>
  <si>
    <t>Pinnacle Mini Lightbar (EPL7000) - Magnetic Mount, 10 ft cord w/ 12v Cigar Plug – Green LEDs</t>
  </si>
  <si>
    <t>EPL7M+GC</t>
  </si>
  <si>
    <t>Pinnacle Mini Lightbar (EPL7000) - Magnetic Mount, 10 ft cord w/ 12v Cigar Plug – Amber/White LEDs</t>
  </si>
  <si>
    <t>EPL7M+FC</t>
  </si>
  <si>
    <t>Pinnacle Mini Lightbar (EPL7000)  SAE Class 1 - Magnetic Mount, 10 ft cord w/ 12v Cigar Plug – Blue/White LEDs</t>
  </si>
  <si>
    <t>EPL7M+EC</t>
  </si>
  <si>
    <t>Pinnacle Mini Lightbar (EPL7000) SAE Class 1 - Magnetic Mount, 10 ft cord w/ 12v Cigar Plug – Red/White LEDs</t>
  </si>
  <si>
    <t>EPL7M+DC</t>
  </si>
  <si>
    <t>Pinnacle Mini Lightbar (EPL7000)  SAE Class 1 - Magnetic Mount, 10 ft cord w/ 12v Cigar Plug – Blue LEDs</t>
  </si>
  <si>
    <t>EPL7M+BC</t>
  </si>
  <si>
    <t>Pinnacle Mini Lightbar (EPL7000) - Magnetic Mount, 10 ft cord w/ 12v Cigar Plug – Amber LEDs</t>
  </si>
  <si>
    <t>EPL7M+AC</t>
  </si>
  <si>
    <t>Pinnacle Mini Lightbar (EPL7000) - Magnetic Mount, 10 ft cord w/ 12v Cigar Plug – Amber Dome/Amber LEDs</t>
  </si>
  <si>
    <t>EPL7M+AA</t>
  </si>
  <si>
    <t>Pinnacle Mini Lightbar (EPL7000) SAE Class 1 - High Height Permanent Mount (for larger vehicles) w/ 25 ft cable for hardwire installation – White LEDs</t>
  </si>
  <si>
    <t>EPL7HFWC</t>
  </si>
  <si>
    <t>Pinnacle Mini Lightbar (EPL7000) SAE Class 1 - High Height Permanent Mount (for larger vehicles) w/ 25 ft cable for hardwire installation – Red LEDs</t>
  </si>
  <si>
    <t>EPL7HFRC</t>
  </si>
  <si>
    <t>Pinnacle Mini Lightbar (EPL7000) SAE Class 1 - High Height Permanent Mount (for larger vehicles) w/ 25 ft cable for hardwire installation – Red/Blue LEDs</t>
  </si>
  <si>
    <t>EPL7HFJC</t>
  </si>
  <si>
    <t>Pinnacle Mini Lightbar (EPL7000) - High Height Permanent Mount (for larger vehicles) w/ 25 ft cable for hardwire installation – Amber/White LEDs</t>
  </si>
  <si>
    <t>EPL7HFFC</t>
  </si>
  <si>
    <t>Pinnacle Mini Lightbar (EPL7000) SAE Class 1 - High Height Permanent Mount (for larger vehicles) w/ 25 ft cable for hardwire installation – Red/White LEDs</t>
  </si>
  <si>
    <t>EPL7HFDC</t>
  </si>
  <si>
    <t>Pinnacle Mini Lightbar (EPL7000) SAE Class 1 - High Height Permanent Mount (for larger vehicles) w/ 25 ft cable for hardwire installation – Blue LEDs</t>
  </si>
  <si>
    <t>EPL7HFBC</t>
  </si>
  <si>
    <t>Pinnacle Mini Lightbar (EPL7000) - High Height Permanent Mount (for larger vehicles) w/ 25 ft cable for hardwire installation – Amber LEDs</t>
  </si>
  <si>
    <t>EPL7HFAC</t>
  </si>
  <si>
    <t>Pinnacle Mini Lightbar (EPL7000) - High Height Permanent Mount (for larger vehicles) w/ 25 ft cable for hardwire installation – Amber Dome w/ Amber LEDs</t>
  </si>
  <si>
    <t>EPL7HFAA</t>
  </si>
  <si>
    <t>Pinnacle Mini Lightbar (EPL7000) SAE Class 1 - High Height Permanent Mount (for larger vehicles) w/ 12 ft cable for hardwire installation – Red LEDs</t>
  </si>
  <si>
    <t>EPL7HDRC</t>
  </si>
  <si>
    <t>Pinnacle Mini Lightbar (EPL7000) - High Height Permanent Mount (for larger vehicles) w/ 12 ft cable for hardwire installation – Red &amp; Amber LEDs</t>
  </si>
  <si>
    <t>EPL7HDKC</t>
  </si>
  <si>
    <t>Pinnacle Mini Lightbar (EPL7000) SAE Class 1 - High Height Permanent Mount (for larger vehicles) w/ 12 ft cable for hardwire installation – Red &amp; Blue LEDs</t>
  </si>
  <si>
    <t>EPL7HDJC</t>
  </si>
  <si>
    <t>Pinnacle Mini Lightbar (EPL7000) - High Height Permanent Mount (for larger vehicles) w/ 12 ft cable for hardwire installation – Amber &amp; White LEDs</t>
  </si>
  <si>
    <t>EPL7HDFC</t>
  </si>
  <si>
    <t>Pinnacle Mini Lightbar (EPL7000) - High Height Permanent Mount (for larger vehicles) w/ 12 ft cable for hardwire installation – Red &amp; White LEDs</t>
  </si>
  <si>
    <t>EPL7HDDC</t>
  </si>
  <si>
    <t>Pinnacle Mini Lightbar (EPL7000) SAE Class 1 - High Height Permanent Mount (for larger vehicles) w/ 12 ft cable for hardwire installation – Blue LEDs</t>
  </si>
  <si>
    <t>EPL7HDBC</t>
  </si>
  <si>
    <t>Pinnacle Mini Lightbar (EPL7000) - High Height Permanent Mount (for larger vehicles) w/ 12 ft cable for hardwire installation – Amber LEDs</t>
  </si>
  <si>
    <t>EPL7HDAC</t>
  </si>
  <si>
    <t>Pinnacle Mini Lightbar (EPL7000) - High Height Permanent Mount (for larger vehicles) w/ 12 ft cable for hardwire installation – Amber Dome/Amber LEDs</t>
  </si>
  <si>
    <t>EPL7HDAA</t>
  </si>
  <si>
    <t>Pinnacle 7000 Mini Lightbar</t>
  </si>
  <si>
    <t>$1004.99</t>
  </si>
  <si>
    <t>mpower® ORV 24" Lightbar</t>
  </si>
  <si>
    <t>RTL-EMPLR00004</t>
  </si>
  <si>
    <t>$833.99</t>
  </si>
  <si>
    <t>mpower® ORV 18" Lightbar</t>
  </si>
  <si>
    <t>RTL-EMPLR00006</t>
  </si>
  <si>
    <t>$661.99</t>
  </si>
  <si>
    <t>mpower® ORV 12" Lightbar</t>
  </si>
  <si>
    <t>RTL-EMPLR00005</t>
  </si>
  <si>
    <t>$908.99</t>
  </si>
  <si>
    <t>ORV Interior Lightbar for Jeep Wrangler JK 2007-2018, 10 module, Full 1 Piece, Amber/White</t>
  </si>
  <si>
    <t>RTL-ENFWB00003</t>
  </si>
  <si>
    <t>ORV Interior Lightbar for Jeep Wrangler JL 2018-2025, Gladiator JT 2018-2025 w/ adaptive cruise control (ACC), 8 Module, Split 2 Piece, Amber/White</t>
  </si>
  <si>
    <t>RTL-ENFWB00002</t>
  </si>
  <si>
    <t>ORV Interior Lightbar for Jeep Wrangler JL 2018-2025, Gladiator JT 2018-2025 w/o adaptive cruise control (ACC), 10 Module, Full 1 Piece, Amber/White</t>
  </si>
  <si>
    <t>RTL-ENFWB00001</t>
  </si>
  <si>
    <t>Jeep Interior Lightbar</t>
  </si>
  <si>
    <t>ORV Interior Lightbar, 8 Module, Split 2 Piece, 12 LEDs, Dual Color Amber/White for Ford Super Duty F250-F550, 2017-2025</t>
  </si>
  <si>
    <t>RTL-ENFWB00008</t>
  </si>
  <si>
    <t>Ford Super Duty Interior Lightbar</t>
  </si>
  <si>
    <t>ORV Interior Lightbar for Ford F-150 2015-2024, 8 Module, Split 2 Piece, Amber/White</t>
  </si>
  <si>
    <t>RTL-ENFWB00004</t>
  </si>
  <si>
    <t>Ford F-150 Interior Lightbar</t>
  </si>
  <si>
    <t>ORV Interior Lightbar for Ford Expedition 2018-2024, 8 Module, Split 2 Piece, Amber/White</t>
  </si>
  <si>
    <t>RTL-ENFWB00007</t>
  </si>
  <si>
    <t>Ford Expedition Interior Lightbar</t>
  </si>
  <si>
    <t>ORV Interior Lightbar for Chevrolet Silverado 1500 2019.5 mid-year change - 2025 &amp; Silverado 2500HD and 3500HD 2020-2025, Sierra 1500 2019.5 mid-year change -2025, Sierra 2500HD, 3500HD 2020-2025, 8 Module, Split 2 Piece, Amber/White</t>
  </si>
  <si>
    <t>RTL-ENFWB00006</t>
  </si>
  <si>
    <t>Chevrolet Silverado Interior Lightbar</t>
  </si>
  <si>
    <t>LIGHTBAR</t>
  </si>
  <si>
    <t>Follow Product Warranty</t>
  </si>
  <si>
    <t>$5356.00</t>
  </si>
  <si>
    <t>Rapid Deployment Vehicle Warning Kit, Berry Amendment Compliant, comes with a Case, (6) mpower® Arrow Kit modules, with Red/Blue/White LEDs, Single &amp; Dual Shroud Dual Lock Kits, 100U Speaker, Speaker Bracket Kit &amp; Handheld Controller</t>
  </si>
  <si>
    <t>ETRDVK003</t>
  </si>
  <si>
    <t>$4738.00</t>
  </si>
  <si>
    <t>Rapid Deployment Vehicle Warning Kit, comes with a Case, (6) mpower® Arrow Kit modules, with Red/Blue/White LEDs, Single &amp; Dual Shroud Dual Lock Kits, 100J Speaker, Speaker Bracket Kit &amp; Handheld Controller</t>
  </si>
  <si>
    <t>ETRDVK002</t>
  </si>
  <si>
    <t>Rapid Deployment Vehicle Warning Kit</t>
  </si>
  <si>
    <t>KITS</t>
  </si>
  <si>
    <t>$109.00</t>
  </si>
  <si>
    <t>12" LED Utility Strip Light, Surface Mount - White</t>
  </si>
  <si>
    <t>ECVCSMLEDF</t>
  </si>
  <si>
    <t>$404.00</t>
  </si>
  <si>
    <t>43" 90° Corner Mount Cargo Light, 12v - White Housing/White LEDs</t>
  </si>
  <si>
    <t>ECVCSLLED43</t>
  </si>
  <si>
    <t>$204.00</t>
  </si>
  <si>
    <t>21" 90° Corner Mount Cargo Light, 12v - White Housing/White LEDs</t>
  </si>
  <si>
    <t>ECVCSLLED21</t>
  </si>
  <si>
    <t>$112.00</t>
  </si>
  <si>
    <t>10" 90° Corner Mount Cargo Light, 12v - White Housing/White LEDs</t>
  </si>
  <si>
    <t>ECVCSLLED10</t>
  </si>
  <si>
    <t>Strip Interior Light</t>
  </si>
  <si>
    <t>$125.00</t>
  </si>
  <si>
    <t>obSERVE+ Dome Light - 3" Round, Dual Color - Blue/White</t>
  </si>
  <si>
    <t>EBSDL0002-E</t>
  </si>
  <si>
    <t>$115.00</t>
  </si>
  <si>
    <t>obSERVE+ Dome Light - 3" Round, Single Color - White</t>
  </si>
  <si>
    <t>EBSDL0001-W</t>
  </si>
  <si>
    <t>obSERVE+ Dome Light - 3"</t>
  </si>
  <si>
    <t>$165.00</t>
  </si>
  <si>
    <t>obSERVE Dome Light - 6" Round, White and Red Night Light LEDs, White Lens, Fits Dodge Charger, Ford PI Sedan &amp; Utility</t>
  </si>
  <si>
    <t>ECVDMLTALDC</t>
  </si>
  <si>
    <t>$144.00</t>
  </si>
  <si>
    <t>obSERVE Dome Light - 6" Round, White and Red Night Light LEDs, White Lens</t>
  </si>
  <si>
    <t>obSERVE Dome Light, 6"</t>
  </si>
  <si>
    <t>$178.00</t>
  </si>
  <si>
    <t>obSERVE Dome Light - 8" Round, Single Color - White</t>
  </si>
  <si>
    <t>EBSDL0003-W</t>
  </si>
  <si>
    <t>obSERVE Dome Light - 8"</t>
  </si>
  <si>
    <t>$103.00</t>
  </si>
  <si>
    <t>Novalux Low Profile Light with Integrated On/Off Switch, E-type approved, White finish, 354 Lumens, White</t>
  </si>
  <si>
    <t>EWLPT003</t>
  </si>
  <si>
    <t>Novalux - Surface Mount</t>
  </si>
  <si>
    <t>Novalux Light, E-type approved, White finish, 320 Lumens, White</t>
  </si>
  <si>
    <t>EWLPT002</t>
  </si>
  <si>
    <t>Novalux - Recess Mount</t>
  </si>
  <si>
    <t>$59.00</t>
  </si>
  <si>
    <t>Dome Light, Rectangular - Flush Surface Mount, Grey Base, 6" x 3", White LEDs</t>
  </si>
  <si>
    <t>ECVDMLTST4G</t>
  </si>
  <si>
    <t>$56.00</t>
  </si>
  <si>
    <t>Dome Light - Rectangular, Flush Surface Mount, White Base, 6" x 3", White LEDs</t>
  </si>
  <si>
    <t>Dome Light - Rectangular, Flush Surface Mount, Black Base, 7" x 3", White LEDs</t>
  </si>
  <si>
    <t>ECVDMLTST2</t>
  </si>
  <si>
    <t>Dome Light - Rectangular</t>
  </si>
  <si>
    <t>INTERIOR LIGHTING</t>
  </si>
  <si>
    <t>$62.00</t>
  </si>
  <si>
    <t>WT100 Backup Alarm</t>
  </si>
  <si>
    <t>ETBUALM03</t>
  </si>
  <si>
    <t>Taillight Flasher Kit for Dodge Charger 2010-2023, contains: Flashback Alternating Taillight Flasher with connectors on exit wires &amp; Wire Harness</t>
  </si>
  <si>
    <t>ETTFK03</t>
  </si>
  <si>
    <t>$444.00</t>
  </si>
  <si>
    <t>Taillight Flasher Kit for Dodge Durango 2010-2023, contains: Flashback Alternating Taillight Flasher with connectors on exit wires &amp; Wire Harness</t>
  </si>
  <si>
    <t>ETTFK02</t>
  </si>
  <si>
    <t>Taillight Flasher Kit</t>
  </si>
  <si>
    <t>$116.00</t>
  </si>
  <si>
    <t>Select-A-Pattern Headlight Flasher, Solid State, 12v Isolation Model (for systems requiring electrical isolation)</t>
  </si>
  <si>
    <t>ETHFSS-SP-ISO</t>
  </si>
  <si>
    <t>$99.00</t>
  </si>
  <si>
    <t>Select-A-Pattern Headlight Flasher, Solid State w/ 18" wire leads (compatible w/ 2016+ Ford PI Utility)
9.5 amp</t>
  </si>
  <si>
    <t>ETHFSS-SP</t>
  </si>
  <si>
    <t>Select-A-Pattern Headlight Flasher, Solid State, 12v Isolation Model (for systems requiring electrical isolation) for Ford Utility 2016+</t>
  </si>
  <si>
    <t>ETHFSS-FV</t>
  </si>
  <si>
    <t>Select-A-Pattern Headlight Flashers</t>
  </si>
  <si>
    <t>$3717.00</t>
  </si>
  <si>
    <t>Opticom™ Infrared LED Emitter Module - Model 794H (non-lightbar version) includes Bracket &amp; Mounting Hardware, 25 ft Cable w/ mating connector</t>
  </si>
  <si>
    <t>EGTTE794H</t>
  </si>
  <si>
    <t>Opticom Preemption</t>
  </si>
  <si>
    <t>1 Year(s)</t>
  </si>
  <si>
    <t>$231.00</t>
  </si>
  <si>
    <t>Ignition Security System (I.S.S.), Standard Model</t>
  </si>
  <si>
    <t>ETISS0-07+</t>
  </si>
  <si>
    <t>Ignition Security System</t>
  </si>
  <si>
    <t>Headlight Flasher Kit, contains: Select-A-Pattern Headlight Flasher w/ Connectors on the exiting wires &amp; Wire Harness for use on Dodge Ram 2018-2020</t>
  </si>
  <si>
    <t>ETHFK01</t>
  </si>
  <si>
    <t>Headlight Flasher Kit</t>
  </si>
  <si>
    <t>$210.00</t>
  </si>
  <si>
    <t>Isolation Headlight Flasher 75 FPM, Solid State w/ RoadRunner Flash Pattern, 12v (for systems requiring electrical isolation), 4 ft Matting Harness &amp; Weatherproof Connectors</t>
  </si>
  <si>
    <t>ETHFSS-NYPD-75</t>
  </si>
  <si>
    <t>Headlight Flasher</t>
  </si>
  <si>
    <t>$195.00</t>
  </si>
  <si>
    <t>Flashback Plug-In Alternating Taillight Flasher, Solid State - 2.4 f.p.s. for Ford PI Utility 2016-2020</t>
  </si>
  <si>
    <t>ETTFFUT-16</t>
  </si>
  <si>
    <t>$108.00</t>
  </si>
  <si>
    <t>Flashback Alternating Taillight Flasher, Solid State - 2.4 f.p.s.</t>
  </si>
  <si>
    <t>ETFBSSN-P</t>
  </si>
  <si>
    <t>$128.00</t>
  </si>
  <si>
    <t>Flashback Alternating Taillight Flasher, Solid State w/ AMP Connector &amp; Fleet Harness - 2.4 f.p.s.</t>
  </si>
  <si>
    <t>ETFBSANFL</t>
  </si>
  <si>
    <t>FLASHBACK Alternating Taillight Flasher</t>
  </si>
  <si>
    <t>Directional Arrow Switch (DAS) 10-30v, compatible with TrafficMaster &amp; Traffic Arrow Bars</t>
  </si>
  <si>
    <t>ETSWDAS02</t>
  </si>
  <si>
    <t>Directional Arrow Switch (DAS) - 10-30v, compatible with APEX, Pinnacle (EPL9000 &amp; EPL8000), ETL5000 Lightbars &amp; UltraLITE</t>
  </si>
  <si>
    <t>ETSWDAS01</t>
  </si>
  <si>
    <t>Directional Arrow Switch</t>
  </si>
  <si>
    <t>$260.00</t>
  </si>
  <si>
    <t>900 Series Switch w/ 9 Functions: 6 Rocker Switches &amp; 3-position Progressive Slide Switch, includes Universal Bail Bracket - 12v</t>
  </si>
  <si>
    <t>ETSP9F</t>
  </si>
  <si>
    <t>900 Series Switch</t>
  </si>
  <si>
    <t>$240.00</t>
  </si>
  <si>
    <t>800 Series Multi-purpose Control Panel, Low Current and Switch Module w/ 8 Button Programming and Directional Arrow Function; includes 35 selectable icon stickers</t>
  </si>
  <si>
    <t>ETCPMP802</t>
  </si>
  <si>
    <t>$315.00</t>
  </si>
  <si>
    <t>800 Series Multi-purpose Control Panel and Switch Module w/ 8 Button Programming and Directional Arrow Function; includes Power Module &amp; 35 selectable icon stickers</t>
  </si>
  <si>
    <t>ETCPMP801</t>
  </si>
  <si>
    <t>800 Series Multi-purpose Control Panel</t>
  </si>
  <si>
    <t>600 Series Switch w/ 6 Functions: 6 Rocker Switches, includes Universal Bail Bracket - 12v</t>
  </si>
  <si>
    <t>ETSP6F</t>
  </si>
  <si>
    <t>600 Series Switch</t>
  </si>
  <si>
    <t>ELECTRONICS</t>
  </si>
  <si>
    <t>$1248.00</t>
  </si>
  <si>
    <t>UltraLITE Plus 12 Module Interior Windshield Mount Lightbar w/ Permanent Headliner Brackets (pair) &amp; 11.5 foot shielded cable - White</t>
  </si>
  <si>
    <t>EL3PZ12A00W</t>
  </si>
  <si>
    <t>UltraLITE Plus 12 Module Interior Windshield Mount Lightbar w/ Permanent Headliner Brackets (pair) &amp; 11.5 foot shielded cable - Red</t>
  </si>
  <si>
    <t>EL3PZ12A00R</t>
  </si>
  <si>
    <t>UltraLITE Plus 12 Module Interior Windshield Mount Lightbar w/ Permanent Headliner Brackets (pair) &amp; 11.5 foot shielded cable - Blue/Amber</t>
  </si>
  <si>
    <t>EL3PZ12A00M</t>
  </si>
  <si>
    <t>UltraLITE Plus 12 Module Interior Windshield Mount Lightbar w/ Permanent Headliner Brackets (pair) &amp; 11.5 foot shielded cable - Red/Amber</t>
  </si>
  <si>
    <t>EL3PZ12A00K</t>
  </si>
  <si>
    <t>UltraLITE Plus 12 Module Interior Windshield Mount Lightbar w/ Permanent Headliner Brackets (pair) &amp; 11.5 foot shielded cable - Red/Blue</t>
  </si>
  <si>
    <t>EL3PZ12A00J</t>
  </si>
  <si>
    <t>UltraLITE Plus 12 Module Interior Windshield Mount Lightbar w/ Permanent Headliner Brackets (pair) &amp; 11.5 foot shielded cable - Green/White</t>
  </si>
  <si>
    <t>EL3PZ12A00H</t>
  </si>
  <si>
    <t>UltraLITE Plus 12 Module Interior Windshield Mount Lightbar w/ Permanent Headliner Brackets (pair) &amp; 11.5 foot shielded cable - Amber/White</t>
  </si>
  <si>
    <t>EL3PZ12A00F</t>
  </si>
  <si>
    <t>UltraLITE Plus 12 Module Interior Windshield Mount Lightbar w/ Permanent Headliner Brackets (pair) &amp; 11.5 foot shielded cable - Blue/White</t>
  </si>
  <si>
    <t>EL3PZ12A00E</t>
  </si>
  <si>
    <t>UltraLITE Plus 12 Module Interior Windshield Mount Lightbar w/ Permanent Headliner Brackets (pair) &amp; 11.5 foot shielded cable - Red/White</t>
  </si>
  <si>
    <t>EL3PZ12A00D</t>
  </si>
  <si>
    <t>UltraLITE Plus 12 Module Interior Windshield Mount Lightbar w/ Permanent Headliner Brackets (pair) &amp; 11.5 foot shielded cable - Blue</t>
  </si>
  <si>
    <t>EL3PZ12A00B</t>
  </si>
  <si>
    <t>UltraLITE Plus 12 Module Interior Windshield Mount Lightbar w/ Permanent Headliner Brackets (pair) &amp; 11.5 foot shielded cable - Amber</t>
  </si>
  <si>
    <t>EL3PZ12A00A</t>
  </si>
  <si>
    <t>$939.00</t>
  </si>
  <si>
    <t>UltraLITE Plus 8 Module Interior Windshield Mount Lightbar w/ Permanent Headliner Brackets (pair) &amp; 11.5 foot shielded cable - White</t>
  </si>
  <si>
    <t>EL3PZ08A00W</t>
  </si>
  <si>
    <t>UltraLITE Plus 8 Module Interior Windshield Mount Lightbar w/ Permanent Headliner Brackets (pair) &amp; 11.5 foot shielded cable - Red</t>
  </si>
  <si>
    <t>EL3PZ08A00R</t>
  </si>
  <si>
    <t>UltraLITE Plus 8 Module Interior Windshield Mount Lightbar w/ Permanent Headliner Brackets (pair) &amp; 11.5 foot shielded cable - Blue/Green</t>
  </si>
  <si>
    <t>EL3PZ08A00N</t>
  </si>
  <si>
    <t>UltraLITE Plus 8 Module Interior Windshield Mount Lightbar w/ Permanent Headliner Brackets (pair) &amp; 11.5 foot shielded cable - Blue/Amber</t>
  </si>
  <si>
    <t>EL3PZ08A00M</t>
  </si>
  <si>
    <t>UltraLITE Plus 8 Module Interior Windshield Mount Lightbar w/ Permanent Headliner Brackets (pair) &amp; 11.5 foot shielded cable - Red/Green</t>
  </si>
  <si>
    <t>EL3PZ08A00L</t>
  </si>
  <si>
    <t>UltraLITE Plus 8 Module Interior Windshield Mount Lightbar w/ Permanent Headliner Brackets (pair) &amp; 11.5 foot shielded cable - Red/Amber</t>
  </si>
  <si>
    <t>EL3PZ08A00K</t>
  </si>
  <si>
    <t>UltraLITE Plus 8 Module Interior Windshield Mount Lightbar w/ Permanent Headliner Brackets (pair) &amp; 11.5 foot shielded cable - Red/Blue</t>
  </si>
  <si>
    <t>EL3PZ08A00J</t>
  </si>
  <si>
    <t>UltraLITE Plus 8 Module Interior Windshield Mount Lightbar w/ Permanent Headliner Brackets (pair) &amp; 11.5 foot shielded cable - Green</t>
  </si>
  <si>
    <t>EL3PZ08A00G</t>
  </si>
  <si>
    <t>UltraLITE Plus 8 Module Interior Windshield Mount Lightbar w/ Permanent Headliner Brackets (pair) &amp; 11.5 foot shielded cable - Amber/White</t>
  </si>
  <si>
    <t>EL3PZ08A00F</t>
  </si>
  <si>
    <t>UltraLITE Plus 8 Module Interior Windshield Mount Lightbar w/ Permanent Headliner Brackets (pair) &amp; 11.5 foot shielded cable - Blue/White</t>
  </si>
  <si>
    <t>EL3PZ08A00E</t>
  </si>
  <si>
    <t>UltraLITE Plus 8 Module Interior Windshield Mount Lightbar w/ Permanent Headliner Brackets (pair) &amp; 11.5 foot shielded cable - Red/White</t>
  </si>
  <si>
    <t>EL3PZ08A00D</t>
  </si>
  <si>
    <t>UltraLITE Plus 8 Module Interior Windshield Mount Lightbar w/ Permanent Headliner Brackets (pair) &amp; 11.5 foot shielded cable - Blue</t>
  </si>
  <si>
    <t>EL3PZ08A00B</t>
  </si>
  <si>
    <t>UltraLITE Plus 8 Module Interior Windshield Mount Lightbar w/ Permanent Headliner Brackets (pair) &amp; 11.5 foot shielded cable - Amber</t>
  </si>
  <si>
    <t>EL3PZ08A00A</t>
  </si>
  <si>
    <t>$533.00</t>
  </si>
  <si>
    <t>UltraLITE Plus 4 Module Interior Windshield Mount Lightbar includes 12v Cigar Plug, Suction Cup Mount &amp; Universal Headliner Brackets (pair) - White</t>
  </si>
  <si>
    <t>EL3PH04A0+W</t>
  </si>
  <si>
    <t>UltraLITE Plus 4 Module Interior Windshield Mount Lightbar includes 12v Cigar Plug, Suction Cup Mount &amp; Universal Headliner Brackets (pair) - Red</t>
  </si>
  <si>
    <t>EL3PH04A0+R</t>
  </si>
  <si>
    <t>UltraLITE Plus 4 Module Interior Windshield Mount Lightbar includes 12v Cigar Plug, Suction Cup Mount &amp; Universal Headliner Brackets (pair) - Green/Amber</t>
  </si>
  <si>
    <t>EL3PH04A0+P</t>
  </si>
  <si>
    <t>UltraLITE Plus 4 Module Interior Windshield Mount Lightbar includes 12v Cigar Plug, Suction Cup Mount &amp; Universal Headliner Brackets (pair) - Blue/Amber</t>
  </si>
  <si>
    <t>EL3PH04A0+M</t>
  </si>
  <si>
    <t>UltraLITE Plus 4 Module Interior Windshield Mount Lightbar includes 12v Cigar Plug, Suction Cup Mount &amp; Universal Headliner Brackets (pair) - Red/Green</t>
  </si>
  <si>
    <t>EL3PH04A0+L</t>
  </si>
  <si>
    <t>UltraLITE Plus 4 Module Interior Windshield Mount Lightbar includes 12v Cigar Plug, Suction Cup Mount &amp; Universal Headliner Brackets (pair) - Red/Amber</t>
  </si>
  <si>
    <t>EL3PH04A0+K</t>
  </si>
  <si>
    <t>UltraLITE Plus 4 Module Interior Windshield Mount Lightbar includes 12v Cigar Plug, Suction Cup Mount &amp; Universal Headliner Brackets (pair) - Red/Blue</t>
  </si>
  <si>
    <t>EL3PH04A0+J</t>
  </si>
  <si>
    <t>UltraLITE Plus 4 Module Interior Windshield Mount Lightbar includes 12v Cigar Plug, Suction Cup Mount &amp; Universal Headliner Brackets (pair) - Green/White</t>
  </si>
  <si>
    <t>EL3PH04A0+H</t>
  </si>
  <si>
    <t>UltraLITE Plus 4 Module Interior Windshield Mount Lightbar includes 12v Cigar Plug, Suction Cup Mount &amp; Universal Headliner Brackets (pair) - Green</t>
  </si>
  <si>
    <t>EL3PH04A0+G</t>
  </si>
  <si>
    <t>UltraLITE Plus 4 Module Interior Windshield Mount Lightbar includes 12v Cigar Plug, Suction Cup Mount &amp; Universal Headliner Brackets (pair) - Amber/White</t>
  </si>
  <si>
    <t>EL3PH04A0+F</t>
  </si>
  <si>
    <t>UltraLITE Plus 4 Module Interior Windshield Mount Lightbar includes 12v Cigar Plug, Suction Cup Mount &amp; Universal Headliner Brackets (pair) - Blue/White</t>
  </si>
  <si>
    <t>EL3PH04A0+E</t>
  </si>
  <si>
    <t>UltraLITE Plus 4 Module Interior Windshield Mount Lightbar includes 12v Cigar Plug, Suction Cup Mount &amp; Universal Headliner Brackets (pair) - Red/White</t>
  </si>
  <si>
    <t>EL3PH04A0+D</t>
  </si>
  <si>
    <t>UltraLITE Plus 4 Module Interior Windshield Mount Lightbar includes 12v Cigar Plug, Suction Cup Mount &amp; Universal Headliner Brackets (pair) - Blue</t>
  </si>
  <si>
    <t>EL3PH04A0+B</t>
  </si>
  <si>
    <t>UltraLITE Plus 4 Module Interior Windshield Mount Lightbar includes 12v Cigar Plug, Suction Cup Mount &amp; Universal Headliner Brackets (pair) - Amber</t>
  </si>
  <si>
    <t>EL3PH04A0+A</t>
  </si>
  <si>
    <t>UltraLITE Plus - Windshield</t>
  </si>
  <si>
    <t>$1190.00</t>
  </si>
  <si>
    <t>UltraLITE Plus 12 Module Interior LED Lightbar w/ Dual Warning Ends (flash independent from arrow), Universal L-Brackets &amp; 14 ft cable - Amber Center w/ Red Warning Ends</t>
  </si>
  <si>
    <t>EL3PH12B20R</t>
  </si>
  <si>
    <t>UltraLITE Plus 12 Module Interior LED Lightbar w/ Dual Warning Ends (flash independent from arrow), Universal L-Brackets &amp; 14 ft cable - Amber Center w/ Red/Amber Warning Ends</t>
  </si>
  <si>
    <t>EL3PH12B20K</t>
  </si>
  <si>
    <t>UltraLITE Plus 12 Module Interior LED Lightbar w/ Dual Warning Ends (flash independent from arrow), Universal L-Brackets &amp; 14 ft cable - Amber Center w/ Red/Blue Warning Ends</t>
  </si>
  <si>
    <t>EL3PH12B20J</t>
  </si>
  <si>
    <t>UltraLITE Plus 12 Module Interior LED Lightbar w/ Dual Warning Ends (flash independent from arrow), Universal L-Brackets &amp; 14 ft cable - Amber Center w/ Green/White Warning Ends</t>
  </si>
  <si>
    <t>EL3PH12B20H</t>
  </si>
  <si>
    <t>UltraLITE Plus 12 Module Interior LED Lightbar w/ Dual Warning Ends (flash independent from arrow), Universal L-Brackets &amp; 14 ft cable - Amber Center w/ Green Warning Ends</t>
  </si>
  <si>
    <t>EL3PH12B20G</t>
  </si>
  <si>
    <t>UltraLITE Plus 12 Module Interior LED Lightbar w/ Dual Warning Ends (flash independent from arrow), Universal L-Brackets &amp; 14 ft cable - Amber Center w/ Blue/White Warning Ends</t>
  </si>
  <si>
    <t>EL3PH12B20E</t>
  </si>
  <si>
    <t>UltraLITE Plus 12 Module Interior LED Lightbar w/ Dual Warning Ends (flash independent from arrow), Universal L-Brackets &amp; 14 ft cable - Amber Center w/ Blue Warning Ends</t>
  </si>
  <si>
    <t>EL3PH12B20B</t>
  </si>
  <si>
    <t>UltraLITE Plus 12 Module Interior LED Lightbar w/ Dual Warning Ends (flash independent from arrow), Universal L-Brackets &amp; 14 ft cable - Amber Center w/ Amber Warning Ends</t>
  </si>
  <si>
    <t>EL3PH12B20A</t>
  </si>
  <si>
    <t>UltraLITE Plus 12 Module Interior LED Lightbar w/ Single Warning Ends (flash independent from arrow), Universal L- Brackets &amp; 14 ft cable - Amber Center w/ Red Warning Ends</t>
  </si>
  <si>
    <t>EL3PH12B10R</t>
  </si>
  <si>
    <t>UltraLITE Plus 12 Module Interior LED Lightbar w/ Single Warning Ends (flash independent from arrow), Universal L- Brackets &amp; 14 ft cable - Amber Center w/ Red/Blue Warning Ends</t>
  </si>
  <si>
    <t>EL3PH12B10J</t>
  </si>
  <si>
    <t>UltraLITE Plus 12 Module Interior LED Lightbar w/ Single Warning Ends (flash independent from arrow), Universal L- Brackets &amp; 14 ft cable - Amber Center w/ Blue Warning Ends</t>
  </si>
  <si>
    <t>EL3PH12B10B</t>
  </si>
  <si>
    <t>UltraLITE Plus 12 Module Interior LED Lightbar w/ Dual Warning Ends, Universal L-Brackets &amp; 14 ft cable - Amber Center w/ White Warning Ends</t>
  </si>
  <si>
    <t>EL3PH12A20W</t>
  </si>
  <si>
    <t>UltraLITE Plus 12 Module Interior LED Lightbar w/ Dual Warning Ends, Universal L-Brackets &amp; 14 ft cable - Amber Center w/ Red Warning Ends</t>
  </si>
  <si>
    <t>EL3PH12A20R</t>
  </si>
  <si>
    <t>UltraLITE Plus 12 Module Interior LED Lightbar w/ Dual Warning Ends, Universal L-Brackets &amp; 14 ft cable - Amber Center w/ Red/Amber Warning Ends</t>
  </si>
  <si>
    <t>EL3PH12A20K</t>
  </si>
  <si>
    <t>UltraLITE Plus 12 Module Interior LED Lightbar w/ Dual Warning Ends, Universal L-Brackets &amp; 14 ft cable - Amber Center w/ Red/Blue Warning Ends</t>
  </si>
  <si>
    <t>EL3PH12A20J</t>
  </si>
  <si>
    <t>UltraLITE Plus 12 Module Interior LED Lightbar w/ Dual Warning Ends, Universal L-Brackets &amp; 14 ft cable - Amber Center w/ Green/White Warning Ends</t>
  </si>
  <si>
    <t>EL3PH12A20H</t>
  </si>
  <si>
    <t>UltraLITE Plus 12 Module Interior LED Lightbar w/ Dual Warning Ends, Universal L-Brackets &amp; 14 ft cable - Amber Center w/ Green Warning Ends</t>
  </si>
  <si>
    <t>EL3PH12A20G</t>
  </si>
  <si>
    <t>UltraLITE Plus 12 Module Interior LED Lightbar w/ Dual Warning Ends, Universal L-Brackets &amp; 14 ft cable - Amber Center w/ Blue Warning Ends</t>
  </si>
  <si>
    <t>EL3PH12A20B</t>
  </si>
  <si>
    <t>UltraLITE Plus 12 Module Interior LED Lightbar w/ Single Warning Ends, Universal L-Brackets &amp; 14 ft cable - Amber Center w/ Red Warning Ends</t>
  </si>
  <si>
    <t>EL3PH12A10R</t>
  </si>
  <si>
    <t>UltraLITE Plus 12 Module Interior LED Lightbar w/ Single Warning Ends, Universal L-Brackets &amp; 14 ft cable - Amber Center w/ Red/Blue Warning Ends</t>
  </si>
  <si>
    <t>EL3PH12A10J</t>
  </si>
  <si>
    <t>UltraLITE Plus 12 Module Interior LED Lightbar w/ Single Warning Ends, Universal L-Brackets &amp; 14 ft cable - Amber Center w/ Blue Warning Ends</t>
  </si>
  <si>
    <t>EL3PH12A10B</t>
  </si>
  <si>
    <t>UltraLITE Plus 12 Module Interior LED Lightbar w/ Universal L-Brackets &amp; 14 ft cable - White</t>
  </si>
  <si>
    <t>EL3PH12A00W</t>
  </si>
  <si>
    <t>UltraLITE Plus 12 Module Interior LED Lightbar w/ Universal L-Brackets &amp; 14 ft cable - Red</t>
  </si>
  <si>
    <t>EL3PH12A00R</t>
  </si>
  <si>
    <t>UltraLITE Plus 12 Module Interior LED Lightbar w/ Universal L-Brackets &amp; 14 ft cable - Blue/Green</t>
  </si>
  <si>
    <t>EL3PH12A00N</t>
  </si>
  <si>
    <t>UltraLITE Plus 12 Module Interior LED Lightbar w/ Universal L-Brackets &amp; 14 ft cable - Blue/Amber</t>
  </si>
  <si>
    <t>EL3PH12A00M</t>
  </si>
  <si>
    <t>UltraLITE Plus 12 Module Interior LED Lightbar w/ Universal L-Brackets &amp; 14 ft cable - Red/Amber</t>
  </si>
  <si>
    <t>EL3PH12A00K</t>
  </si>
  <si>
    <t>UltraLITE Plus 12 Module Interior LED Lightbar w/ Universal L-Brackets &amp; 14 ft cable - Red/Blue</t>
  </si>
  <si>
    <t>EL3PH12A00J</t>
  </si>
  <si>
    <t>UltraLITE Plus 12 Module Interior LED Lightbar w/ Universal L-Brackets &amp; 14 ft cable - Green</t>
  </si>
  <si>
    <t>EL3PH12A00G</t>
  </si>
  <si>
    <t>UltraLITE Plus 12 Module Interior LED Lightbar w/ Universal L-Brackets &amp; 14 ft cable - Amber/White</t>
  </si>
  <si>
    <t>EL3PH12A00F</t>
  </si>
  <si>
    <t>UltraLITE Plus 12 Module Interior LED Lightbar w/ Universal L-Brackets &amp; 14 ft cable - Red/White</t>
  </si>
  <si>
    <t>EL3PH12A00D</t>
  </si>
  <si>
    <t>UltraLITE Plus 12 Module Interior LED Lightbar w/ Universal L-Brackets &amp; 14 ft cable - Blue</t>
  </si>
  <si>
    <t>EL3PH12A00B</t>
  </si>
  <si>
    <t>UltraLITE Plus 12 Module Interior LED Lightbar w/ Universal L-Brackets &amp; 14 ft cable - Amber</t>
  </si>
  <si>
    <t>EL3PH12A00A</t>
  </si>
  <si>
    <t>$900.00</t>
  </si>
  <si>
    <t>UltraLITE Plus 8 Module Interior LED Lightbar w/ Single Warning Ends (flash independent from arrow), Universal L-Brackets &amp; 14 ft cable- Amber Center w/ White Warning Ends</t>
  </si>
  <si>
    <t>EL3PH08B10W</t>
  </si>
  <si>
    <t>UltraLITE Plus 8 Module Interior LED Lightbar w/ Single Warning Ends (flash independent from arrow), Universal L-Brackets &amp; 14 ft cable- Amber Center w/ Red Warning Ends</t>
  </si>
  <si>
    <t>EL3PH08B10R</t>
  </si>
  <si>
    <t>UltraLITE Plus 8 Module Interior LED Lightbar w/ Single Warning Ends (flash independent from arrow), Universal L-Brackets &amp; 14 ft cable- Amber Center w/ Blue/Green Warning Ends</t>
  </si>
  <si>
    <t>EL3PH08B10N</t>
  </si>
  <si>
    <t>UltraLITE Plus 8 Module Interior LED Lightbar w/ Single Warning Ends (flash independent from arrow), Universal L-Brackets &amp; 14 ft cable- Amber Center w/ Red/Blue Warning Ends</t>
  </si>
  <si>
    <t>EL3PH08B10J</t>
  </si>
  <si>
    <t>UltraLITE Plus 8 Module Interior LED Lightbar w/ Single Warning Ends (flash independent from arrow), Universal L-Brackets &amp; 14 ft cable- Amber Center w/ Blue Warning Ends</t>
  </si>
  <si>
    <t>EL3PH08B10B</t>
  </si>
  <si>
    <t>UltraLITE Plus 8 Module Interior LED Lightbar w/ Single Warning Ends (flash independent from arrow), Universal L-Brackets &amp; 14 ft cable- Amber Center w/ Amber Warning Ends</t>
  </si>
  <si>
    <t>EL3PH08B10A</t>
  </si>
  <si>
    <t>UltraLITE Plus 8 Module Interior LED Lightbar w/ Single Warning Ends, Universal L-Brackets &amp; 14 ft cable - Amber Center w/ White Warning Ends</t>
  </si>
  <si>
    <t>EL3PH08A10W</t>
  </si>
  <si>
    <t>UltraLITE Plus 8 Module Interior LED Lightbar w/ Single Warning Ends, Universal L-Brackets &amp; 14 ft cable - Amber Center w/ Red Warning Ends</t>
  </si>
  <si>
    <t>EL3PH08A10R</t>
  </si>
  <si>
    <t>UltraLITE Plus 8 Module Interior LED Lightbar w/ Single Warning Ends, Universal L-Brackets &amp; 14 ft cable - Amber Center w/ Red/Blue Warning Ends</t>
  </si>
  <si>
    <t>EL3PH08A10J</t>
  </si>
  <si>
    <t>UltraLITE Plus 8 Module Interior LED Lightbar w/ Single Warning Ends, Universal L-Brackets &amp; 14 ft cable - Amber Center w/ Green Warning Ends</t>
  </si>
  <si>
    <t>EL3PH08A10G</t>
  </si>
  <si>
    <t>UltraLITE Plus 8 Module Interior LED Lightbar w/ Single Warning Ends, Universal L-Brackets &amp; 14 ft cable - Amber Center w/ Red/White Warning Ends</t>
  </si>
  <si>
    <t>EL3PH08A10D</t>
  </si>
  <si>
    <t>UltraLITE Plus 8 Module Interior LED Lightbar w/ Single Warning Ends, Universal L-Brackets &amp; 14 ft cable - Amber Center w/ Blue Warning Ends</t>
  </si>
  <si>
    <t>EL3PH08A10B</t>
  </si>
  <si>
    <t>UltraLITE Plus 8 Module Interior LED Lightbar w/ Universal L-Brackets &amp; 14 ft cable - White</t>
  </si>
  <si>
    <t>EL3PH08A00W</t>
  </si>
  <si>
    <t>UltraLITE Plus 8 Module Interior LED Lightbar w/ Universal L-Brackets &amp; 14 ft cable - Red</t>
  </si>
  <si>
    <t>EL3PH08A00R</t>
  </si>
  <si>
    <t>UltraLITE Plus 8 Module Interior LED Lightbar w/ Universal L-Brackets &amp; 14 ft cable - Blue/Amber</t>
  </si>
  <si>
    <t>EL3PH08A00M</t>
  </si>
  <si>
    <t>UltraLITE Plus 8 Module Interior LED Lightbar w/ Universal L-Brackets &amp; 14 ft cable - Red/Amber</t>
  </si>
  <si>
    <t>EL3PH08A00K</t>
  </si>
  <si>
    <t>UltraLITE Plus 8 Module Interior LED Lightbar w/ Universal L-Brackets &amp; 14 ft cable - Red/Blue</t>
  </si>
  <si>
    <t>EL3PH08A00J</t>
  </si>
  <si>
    <t>UltraLITE Plus 8 Module Interior LED Lightbar w/ Universal L-Brackets &amp; 14 ft cable - Green/White</t>
  </si>
  <si>
    <t>EL3PH08A00H</t>
  </si>
  <si>
    <t>UltraLITE Plus 8 Module Interior LED Lightbar w/ Universal L-Brackets &amp; 14 ft cable - Green</t>
  </si>
  <si>
    <t>EL3PH08A00G</t>
  </si>
  <si>
    <t>UltraLITE Plus 8 Module Interior LED Lightbar w/ Universal L-Brackets &amp; 14 ft cable - Amber/White</t>
  </si>
  <si>
    <t>EL3PH08A00F</t>
  </si>
  <si>
    <t>UltraLITE Plus 8 Module Interior LED Lightbar w/ Universal L-Brackets &amp; 14 ft cable - Blue/White</t>
  </si>
  <si>
    <t>EL3PH08A00E</t>
  </si>
  <si>
    <t>UltraLITE Plus 8 Module Interior LED Lightbar w/ Universal L-Brackets &amp; 14 ft cable - Red/White</t>
  </si>
  <si>
    <t>EL3PH08A00D</t>
  </si>
  <si>
    <t>UltraLITE Plus 8 Module Interior LED Lightbar w/ Universal L-Brackets &amp; 14 ft cable - Blue</t>
  </si>
  <si>
    <t>EL3PH08A00B</t>
  </si>
  <si>
    <t>UltraLITE Plus 8 Module Interior LED Lightbar w/ Universal L-Brackets &amp; 14 ft cable - Amber</t>
  </si>
  <si>
    <t>EL3PH08A00A</t>
  </si>
  <si>
    <t>$514.00</t>
  </si>
  <si>
    <t>UltraLITE Plus 4 Module Interior LED Lightbar w/ Universal L-Brackets &amp; 14 ft cable - White</t>
  </si>
  <si>
    <t>EL3PH04A00W</t>
  </si>
  <si>
    <t>UltraLITE Plus 4 Module Interior LED Lightbar w/ Universal L-Brackets &amp; 14 ft cable - Red</t>
  </si>
  <si>
    <t>EL3PH04A00R</t>
  </si>
  <si>
    <t>UltraLITE Plus 4 Module Interior LED Lightbar w/ Universal L-Brackets &amp; 14 ft cable - Green/Amber</t>
  </si>
  <si>
    <t>EL3PH04A00P</t>
  </si>
  <si>
    <t>UltraLITE Plus 4 Module Interior LED Lightbar w/ Universal L-Brackets &amp; 14 ft cable - Blue/Amber</t>
  </si>
  <si>
    <t>EL3PH04A00M</t>
  </si>
  <si>
    <t>UltraLITE Plus 4 Module Interior LED Lightbar w/ Universal L-Brackets &amp; 14 ft cable - Red/Amber</t>
  </si>
  <si>
    <t>EL3PH04A00K</t>
  </si>
  <si>
    <t>UltraLITE Plus 4 Module Interior LED Lightbar w/ Universal L-Brackets &amp; 14 ft cable - Red/Blue</t>
  </si>
  <si>
    <t>EL3PH04A00J</t>
  </si>
  <si>
    <t>UltraLITE Plus 4 Module Interior LED Lightbar w/ Universal L-Brackets &amp; 14 ft cable - Green/White</t>
  </si>
  <si>
    <t>EL3PH04A00H</t>
  </si>
  <si>
    <t>UltraLITE Plus 4 Module Interior LED Lightbar w/ Universal L-Brackets &amp; 14 ft cable - Amber/White</t>
  </si>
  <si>
    <t>EL3PH04A00F</t>
  </si>
  <si>
    <t>UltraLITE Plus 4 Module Interior LED Lightbar w/ Universal L-Brackets &amp; 14 ft cable - Blue/White</t>
  </si>
  <si>
    <t>EL3PH04A00E</t>
  </si>
  <si>
    <t>UltraLITE Plus 4 Module Interior LED Lightbar w/ Universal L-Brackets &amp; 14 ft cable - Red/White</t>
  </si>
  <si>
    <t>EL3PH04A00D</t>
  </si>
  <si>
    <t>UltraLITE Plus 4 Module Interior LED Lightbar w/ Universal L-Brackets &amp; 14 ft cable - Blue</t>
  </si>
  <si>
    <t>EL3PH04A00B</t>
  </si>
  <si>
    <t>UltraLITE Plus 4 Module Interior LED Lightbar w/ Universal L-Brackets &amp; 14 ft cable - Amber</t>
  </si>
  <si>
    <t>EL3PH04A00A</t>
  </si>
  <si>
    <t>UltraLITE Plus - Interior</t>
  </si>
  <si>
    <t>$1311.00</t>
  </si>
  <si>
    <t>UltraLITE Plus 12 Module Exterior LED Lightbar w/ Dual Warning Ends, Universal L-Brackets &amp; 14 ft cable - Amber Center w/ Red Warning Ends</t>
  </si>
  <si>
    <t>EL3PD12A20R</t>
  </si>
  <si>
    <t>UltraLITE Plus 12 Module Exterior LED Lightbar w/ Dual Warning Ends, Universal L-Brackets &amp; 14 ft cable - Amber Center w/ Blue/Amber Warning Ends</t>
  </si>
  <si>
    <t>EL3PD12A20M</t>
  </si>
  <si>
    <t>UltraLITE Plus 12 Module Exterior LED Lightbar w/ Dual Warning Ends, Universal L-Brackets &amp; 14 ft cable - Amber Center w/ Red/Blue Warning Ends</t>
  </si>
  <si>
    <t>EL3PD12A20J</t>
  </si>
  <si>
    <t>UltraLITE Plus 12 Module Exterior LED Lightbar w/ Dual Warning Ends, Universal L-Brackets &amp; 14 ft cable - Amber Center w/ Blue Warning Ends</t>
  </si>
  <si>
    <t>EL3PD12A20B</t>
  </si>
  <si>
    <t>UltraLITE Plus 12 Module Exterior LED Lightbar w/ Dual Warning Ends, Universal L-Brackets &amp; 14 ft cable - Amber Center w/ Amber Warning Ends</t>
  </si>
  <si>
    <t>EL3PD12A20A</t>
  </si>
  <si>
    <t>UltraLITE Plus 12 Module Exterior LED Lightbar w/ Single Warning Ends, Universal L-Brackets &amp; 14 ft cable - Amber Center w/ Red Warning Ends</t>
  </si>
  <si>
    <t>EL3PD12A10R</t>
  </si>
  <si>
    <t>UltraLITE Plus 12 Module Exterior LED Lightbar w/ Single Warning Ends, Universal L-Brackets &amp; 14 ft cable - Amber Center w/ Red/Blue Warning Ends</t>
  </si>
  <si>
    <t>EL3PD12A10J</t>
  </si>
  <si>
    <t>UltraLITE Plus 12 Module Exterior LED Lightbar w/ Single Warning Ends, Universal L-Brackets &amp; 14 ft cable - Amber Center w/ Blue Warning Ends</t>
  </si>
  <si>
    <t>EL3PD12A10B</t>
  </si>
  <si>
    <t>UltraLITE Plus 12 Module Exterior LED Lightbar w/ Universal L-Brackets &amp; 14 ft cable - White</t>
  </si>
  <si>
    <t>EL3PD12A00W</t>
  </si>
  <si>
    <t>UltraLITE Plus 12 Module Exterior LED Lightbar w/ Universal L-Brackets &amp; 14 ft cable - Red</t>
  </si>
  <si>
    <t>EL3PD12A00R</t>
  </si>
  <si>
    <t>UltraLITE Plus 12 Module Exterior LED Lightbar w/ Universal L-Brackets &amp; 14 ft cable - Blue/Amber</t>
  </si>
  <si>
    <t>EL3PD12A00M</t>
  </si>
  <si>
    <t>UltraLITE Plus 12 Module Exterior LED Lightbar w/ Universal L-Brackets &amp; 14 ft cable - Red/Amber</t>
  </si>
  <si>
    <t>EL3PD12A00K</t>
  </si>
  <si>
    <t>UltraLITE Plus 12 Module Exterior LED Lightbar w/ Universal L-Brackets &amp; 14 ft cable - Red/Blue</t>
  </si>
  <si>
    <t>EL3PD12A00J</t>
  </si>
  <si>
    <t>UltraLITE Plus 12 Module Exterior LED Lightbar w/ Universal L-Brackets &amp; 14 ft cable - Green</t>
  </si>
  <si>
    <t>EL3PD12A00G</t>
  </si>
  <si>
    <t>UltraLITE Plus 12 Module Exterior LED Lightbar w/ Universal L-Brackets &amp; 14 ft cable - Amber/White</t>
  </si>
  <si>
    <t>EL3PD12A00F</t>
  </si>
  <si>
    <t>UltraLITE Plus 12 Module Exterior LED Lightbar w/ Universal L-Brackets &amp; 14 ft cable - Blue/White</t>
  </si>
  <si>
    <t>EL3PD12A00E</t>
  </si>
  <si>
    <t>UltraLITE Plus 12 Module Exterior LED Lightbar w/ Universal L-Brackets &amp; 14 ft cable - Red/White</t>
  </si>
  <si>
    <t>EL3PD12A00D</t>
  </si>
  <si>
    <t>UltraLITE Plus 12 Module Exterior LED Lightbar w/ Universal L-Brackets &amp; 14 ft cable - Blue</t>
  </si>
  <si>
    <t>EL3PD12A00B</t>
  </si>
  <si>
    <t>UltraLITE Plus 12 Module Exterior LED Lightbar w/ Universal L-Brackets &amp; 14 ft cable - Amber</t>
  </si>
  <si>
    <t>EL3PD12A00A</t>
  </si>
  <si>
    <t>$988.00</t>
  </si>
  <si>
    <t>UltraLITE Plus Exterior LED Directional/Warning Bar - 8 Module w/ Amber Center Modules &amp; Single Warning Ends (flash independent from arrow) includes Universal L-Brackets w/ 14 ft of wire for hard wire installation - Red Warning Ends</t>
  </si>
  <si>
    <t>EL3PD08B10R</t>
  </si>
  <si>
    <t>UltraLITE Plus Exterior LED Directional/Warning Bar - 8 Module w/ Amber Center Modules &amp; Single Warning Ends (flash independent from arrow) includes Universal L-Brackets w/ 14 ft of wire for hard wire installation - Red/Blue Warning Ends</t>
  </si>
  <si>
    <t>EL3PD08B10J</t>
  </si>
  <si>
    <t>UltraLITE Plus Exterior LED Directional/Warning Bar - 8 Module w/ Amber Center Modules &amp; Single Warning Ends (flash independent from arrow) includes Universal L-Brackets w/ 14 ft of wire for hard wire installation - Blue Warning Ends</t>
  </si>
  <si>
    <t>EL3PD08B10B</t>
  </si>
  <si>
    <t>UltraLITE Plus 8 Module Exterior LED Lightbar w/ Single Warning Ends, Universal L-Brackets &amp; 14 ft cable - Amber Center w/ Red Warning Ends</t>
  </si>
  <si>
    <t>EL3PD08A10R</t>
  </si>
  <si>
    <t>UltraLITE Plus 8 Module Exterior LED Lightbar w/ Single Warning Ends, Universal L-Brackets &amp; 14 ft cable - Amber Center w/ Red/Blue Warning Ends</t>
  </si>
  <si>
    <t>EL3PD08A10J</t>
  </si>
  <si>
    <t>UltraLITE Plus 8 Module Exterior LED Lightbar w/ Single Warning Ends, Universal L-Brackets &amp; 14 ft cable - Amber Center w/ Blue Warning Ends</t>
  </si>
  <si>
    <t>EL3PD08A10B</t>
  </si>
  <si>
    <t>UltraLITE Plus 8 Module Exterior LED Lightbar w/ Universal L-Brackets &amp; 14 ft cable - White</t>
  </si>
  <si>
    <t>EL3PD08A00W</t>
  </si>
  <si>
    <t>UltraLITE Plus 8 Module Exterior LED Lightbar w/ Universal L-Brackets &amp; 14 ft cable - Red</t>
  </si>
  <si>
    <t>EL3PD08A00R</t>
  </si>
  <si>
    <t>UltraLITE Plus 8 Module Exterior LED Lightbar w/ Universal L-Brackets &amp; 14 ft cable - Blue/Amber</t>
  </si>
  <si>
    <t>EL3PD08A00M</t>
  </si>
  <si>
    <t>UltraLITE Plus 8 Module Exterior LED Lightbar w/ Universal L-Brackets &amp; 14 ft cable - Red/Amber</t>
  </si>
  <si>
    <t>EL3PD08A00K</t>
  </si>
  <si>
    <t>UltraLITE Plus 8 Module Exterior LED Lightbar w/ Universal L-Brackets &amp; 14 ft cable - Red/Blue</t>
  </si>
  <si>
    <t>EL3PD08A00J</t>
  </si>
  <si>
    <t>UltraLITE Plus 8 Module Exterior LED Lightbar w/ Universal L-Brackets &amp; 14 ft cable - Green/White</t>
  </si>
  <si>
    <t>EL3PD08A00H</t>
  </si>
  <si>
    <t>UltraLITE Plus 8 Module Exterior LED Lightbar w/ Universal L-Brackets &amp; 14 ft cable - Green</t>
  </si>
  <si>
    <t>EL3PD08A00G</t>
  </si>
  <si>
    <t>UltraLITE Plus 8 Module Exterior LED Lightbar w/ Universal L-Brackets &amp; 14 ft cable - Amber/White</t>
  </si>
  <si>
    <t>EL3PD08A00F</t>
  </si>
  <si>
    <t>UltraLITE Plus 8 Module Exterior LED Lightbar w/ Universal L-Brackets &amp; 14 ft cable - Blue/White</t>
  </si>
  <si>
    <t>EL3PD08A00E</t>
  </si>
  <si>
    <t>UltraLITE Plus 8 Module Exterior LED Lightbar w/ Universal L-Brackets &amp; 14 ft cable - Red/White</t>
  </si>
  <si>
    <t>EL3PD08A00D</t>
  </si>
  <si>
    <t>UltraLITE Plus 8 Module Exterior LED Lightbar w/ Universal L-Brackets &amp; 14 ft cable - Blue</t>
  </si>
  <si>
    <t>EL3PD08A00B</t>
  </si>
  <si>
    <t>UltraLITE Plus 8 Module Exterior LED Lightbar w/ Universal L-Brackets &amp; 14 ft cable - Amber</t>
  </si>
  <si>
    <t>EL3PD08A00A</t>
  </si>
  <si>
    <t>$577.00</t>
  </si>
  <si>
    <t>UltraLITE Plus 4 Module Exterior LED Lightbar w/ Universal L-Brackets &amp; 14 ft cable - White</t>
  </si>
  <si>
    <t>EL3PD04A00W</t>
  </si>
  <si>
    <t>UltraLITE Plus 4 Module Exterior LED Lightbar w/ Universal L-Brackets &amp; 14 ft cable - Red</t>
  </si>
  <si>
    <t>EL3PD04A00R</t>
  </si>
  <si>
    <t>UltraLITE Plus 4 Module Exterior LED Lightbar w/ Universal L-Brackets &amp; 14 ft cable - Blue/Green</t>
  </si>
  <si>
    <t>EL3PD04A00N</t>
  </si>
  <si>
    <t>UltraLITE Plus 4 Module Exterior LED Lightbar w/ Universal L-Brackets &amp; 14 ft cable - Blue/Amber</t>
  </si>
  <si>
    <t>EL3PD04A00M</t>
  </si>
  <si>
    <t>UltraLITE Plus 4 Module Exterior LED Lightbar w/ Universal L-Brackets &amp; 14 ft cable - Red/Amber</t>
  </si>
  <si>
    <t>EL3PD04A00K</t>
  </si>
  <si>
    <t>UltraLITE Plus 4 Module Exterior LED Lightbar w/ Universal L-Brackets &amp; 14 ft cable - Red/Blue</t>
  </si>
  <si>
    <t>EL3PD04A00J</t>
  </si>
  <si>
    <t>UltraLITE Plus 4 Module Exterior LED Lightbar w/ Universal L-Brackets &amp; 14 ft cable - Green</t>
  </si>
  <si>
    <t>EL3PD04A00G</t>
  </si>
  <si>
    <t>UltraLITE Plus 4 Module Exterior LED Lightbar w/ Universal L-Brackets &amp; 14 ft cable - Amber/White</t>
  </si>
  <si>
    <t>EL3PD04A00F</t>
  </si>
  <si>
    <t>UltraLITE Plus 4 Module Exterior LED Lightbar w/ Universal L-Brackets &amp; 14 ft cable - Blue/White</t>
  </si>
  <si>
    <t>EL3PD04A00E</t>
  </si>
  <si>
    <t>UltraLITE Plus 4 Module Exterior LED Lightbar w/ Universal L-Brackets &amp; 14 ft cable - Red/White</t>
  </si>
  <si>
    <t>EL3PD04A00D</t>
  </si>
  <si>
    <t>UltraLITE Plus 4 Module Exterior LED Lightbar w/ Universal L-Brackets &amp; 14 ft cable - Blue</t>
  </si>
  <si>
    <t>EL3PD04A00B</t>
  </si>
  <si>
    <t>UltraLITE Plus 4 Module Exterior LED Lightbar w/ Universal L-Brackets &amp; 14 ft cable - Amber</t>
  </si>
  <si>
    <t>EL3PD04A00A</t>
  </si>
  <si>
    <t>$323.00</t>
  </si>
  <si>
    <t>UltraLITE Plus 2 Module Exterior LED Lightbar w/ Universal L-Brackets &amp; 14 ft cable - White</t>
  </si>
  <si>
    <t>EL3PD02A00W</t>
  </si>
  <si>
    <t>UltraLITE Plus 2 Module Exterior LED Lightbar w/ Universal L-Brackets &amp; 14 ft cable - Red</t>
  </si>
  <si>
    <t>EL3PD02A00R</t>
  </si>
  <si>
    <t>UltraLITE Plus 2 Module Exterior LED Lightbar w/ Universal L-Brackets &amp; 14 ft cable - Split Color Blue/Amber</t>
  </si>
  <si>
    <t>EL3PD02A00M</t>
  </si>
  <si>
    <t>UltraLITE Plus 2 Module Exterior LED Lightbar w/ Universal L-Brackets &amp; 14 ft cable - Split Color Red/Amber</t>
  </si>
  <si>
    <t>EL3PD02A00K</t>
  </si>
  <si>
    <t>UltraLITE Plus 2 Module Exterior LED Lightbar w/ Universal L-Brackets &amp; 14 ft cable - Split Color Red/Blue</t>
  </si>
  <si>
    <t>EL3PD02A00J</t>
  </si>
  <si>
    <t>UltraLITE Plus 2 Module Exterior LED Lightbar w/ Universal L-Brackets &amp; 14 ft cable - Split Color Green/White</t>
  </si>
  <si>
    <t>EL3PD02A00H</t>
  </si>
  <si>
    <t>UltraLITE Plus 2 Module Exterior LED Lightbar w/ Universal L-Brackets &amp; 14 ft cable - Green</t>
  </si>
  <si>
    <t>EL3PD02A00G</t>
  </si>
  <si>
    <t>UltraLITE Plus 2 Module Exterior LED Lightbar w/ Universal L-Brackets &amp; 14 ft cable - Split Color Amber/White</t>
  </si>
  <si>
    <t>EL3PD02A00F</t>
  </si>
  <si>
    <t>UltraLITE Plus 2 Module Exterior LED Lightbar w/ Universal L-Brackets &amp; 14 ft cable - Split Color Blue/White</t>
  </si>
  <si>
    <t>EL3PD02A00E</t>
  </si>
  <si>
    <t>UltraLITE Plus 2 Module Exterior LED Lightbar w/ Universal L-Brackets &amp; 14 ft cable - Split Color Red/White</t>
  </si>
  <si>
    <t>EL3PD02A00D</t>
  </si>
  <si>
    <t>UltraLITE Plus 2 Module Exterior LED Lightbar w/ Universal L-Brackets &amp; 14 ft cable - Blue</t>
  </si>
  <si>
    <t>EL3PD02A00B</t>
  </si>
  <si>
    <t>UltraLITE Plus 2 Module Exterior LED Lightbar w/ Universal L-Brackets &amp; 14 ft cable - Amber</t>
  </si>
  <si>
    <t>EL3PD02A00A</t>
  </si>
  <si>
    <t>UltraLITE Plus - Exterior</t>
  </si>
  <si>
    <t>$2834.00</t>
  </si>
  <si>
    <t>UltraLITE Plus 12 Module Exterior LED Directional Warning Bar w/ (2) 6 Module Arrow Ends &amp; 15 ft harness - Amber LEDs</t>
  </si>
  <si>
    <t>EL3PA12A00A</t>
  </si>
  <si>
    <t>UltraLITE Plus - Arrow Ends</t>
  </si>
  <si>
    <t>$313.00</t>
  </si>
  <si>
    <t>UltraLITE Plus 2 Module Interior Windshield Mount Lightbar includes 12v Cigar Plug, Suction Cup Mount &amp; Universal Headliner Brackets (pair) - White</t>
  </si>
  <si>
    <t>EL3PH02A0+W</t>
  </si>
  <si>
    <t>UltraLITE Plus 2 Module Interior Windshield Mount Lightbar includes 12v Cigar Plug, Suction Cup Mount &amp; Universal Headliner Brackets (pair) - Red</t>
  </si>
  <si>
    <t>EL3PH02A0+R</t>
  </si>
  <si>
    <t>UltraLITE Plus 2 Module Interior Windshield Mount Lightbar includes 12v Cigar Plug, Suction Cup Mount &amp; Universal Headliner Brackets (pair) - Green/Amber</t>
  </si>
  <si>
    <t>EL3PH02A0+P</t>
  </si>
  <si>
    <t>UltraLITE Plus 2 Module Interior Windshield Mount Lightbar includes 12v Cigar Plug, Suction Cup Mount &amp; Universal Headliner Brackets (pair) - Blue/Green</t>
  </si>
  <si>
    <t>EL3PH02A0+N</t>
  </si>
  <si>
    <t>UltraLITE Plus 2 Module Interior Windshield Mount Lightbar includes 12v Cigar Plug, Suction Cup Mount &amp; Universal Headliner Brackets (pair) - Blue/Amber</t>
  </si>
  <si>
    <t>EL3PH02A0+M</t>
  </si>
  <si>
    <t>UltraLITE Plus 2 Module Interior Windshield Mount Lightbar includes 12v Cigar Plug, Suction Cup Mount &amp; Universal Headliner Brackets (pair) - Red/Amber</t>
  </si>
  <si>
    <t>EL3PH02A0+K</t>
  </si>
  <si>
    <t>UltraLITE Plus 2 Module Interior Windshield Mount Lightbar includes 12v Cigar Plug, Suction Cup Mount &amp; Universal Headliner Brackets (pair) - Red/Blue</t>
  </si>
  <si>
    <t>EL3PH02A0+J</t>
  </si>
  <si>
    <t>UltraLITE Plus 2 Module Interior Windshield Mount Lightbar includes 12v Cigar Plug, Suction Cup Mount &amp; Universal Headliner Brackets (pair) - Green/White</t>
  </si>
  <si>
    <t>EL3PH02A0+H</t>
  </si>
  <si>
    <t>UltraLITE Plus 2 Module Interior Windshield Mount Lightbar includes 12v Cigar Plug, Suction Cup Mount &amp; Universal Headliner Brackets (pair) - Green</t>
  </si>
  <si>
    <t>EL3PH02A0+G</t>
  </si>
  <si>
    <t>UltraLITE Plus 2 Module Interior Windshield Mount Lightbar includes 12v Cigar Plug, Suction Cup Mount &amp; Universal Headliner Brackets (pair) - Amber/White</t>
  </si>
  <si>
    <t>EL3PH02A0+F</t>
  </si>
  <si>
    <t>UltraLITE Plus 2 Module Interior Windshield Mount Lightbar includes 12v Cigar Plug, Suction Cup Mount &amp; Universal Headliner Brackets (pair) - Blue/White</t>
  </si>
  <si>
    <t>EL3PH02A0+E</t>
  </si>
  <si>
    <t>UltraLITE Plus 2 Module Interior Windshield Mount Lightbar includes 12v Cigar Plug, Suction Cup Mount &amp; Universal Headliner Brackets (pair) - Red/White</t>
  </si>
  <si>
    <t>EL3PH02A0+D</t>
  </si>
  <si>
    <t>UltraLITE Plus 2 Module Interior Windshield Mount Lightbar includes 12v Cigar Plug, Suction Cup Mount &amp; Universal Headliner Brackets (pair) - Blue</t>
  </si>
  <si>
    <t>EL3PH02A0+B</t>
  </si>
  <si>
    <t>UltraLITE Plus 2 Module Interior Windshield Mount Lightbar includes 12v Cigar Plug, Suction Cup Mount &amp; Universal Headliner Brackets (pair) - Amber</t>
  </si>
  <si>
    <t>EL3PH02A0+A</t>
  </si>
  <si>
    <t>UltraLITE - Windshield</t>
  </si>
  <si>
    <t>$671.00</t>
  </si>
  <si>
    <t>TM100 Traffic Controller, SAE J1849 Class 1, CA Title 13 &amp; ECE R10, Clear Lens, Amber LEDs</t>
  </si>
  <si>
    <t>ETMTC0001-AC</t>
  </si>
  <si>
    <t>TM100 Traffic Controller</t>
  </si>
  <si>
    <t>$735.00</t>
  </si>
  <si>
    <t>mpower® Arrow Harness Kit, includes 36" Breakout Box Harness, (1) Breakout Box, (2) Distribution Harnesses and (1) Power/Control Harness - could power up to 6 lights (no mounting brackets)</t>
  </si>
  <si>
    <t>EMPAKKT04</t>
  </si>
  <si>
    <t>$712.00</t>
  </si>
  <si>
    <t>mpower® Arrow Harness Kit, includes 12" Breakout Box Harness, (1) Breakout Box, (2) Distribution Harnesses and (1) Power/Control Harness - could power up to 6 lights (no mounting brackets)</t>
  </si>
  <si>
    <t>EMPAKKT03</t>
  </si>
  <si>
    <t>$647.00</t>
  </si>
  <si>
    <t>mpower® Arrow Harness Kit, includes 36" Breakout Box Harness, (1) Breakout Box, (2) Distribution Harnesses and (1) Power/Control Harness - could power up to 8 lights (no mounting brackets)</t>
  </si>
  <si>
    <t>EMPAKKT02</t>
  </si>
  <si>
    <t>$625.00</t>
  </si>
  <si>
    <t>mpower® Arrow Harness Kit, includes 12" Breakout Box Harness, (1) Breakout Box, (2) Distribution Harnesses and (1) Power/Control Harness - could power up to 8 lights (no mounting brackets)</t>
  </si>
  <si>
    <t>EMPAKKT01</t>
  </si>
  <si>
    <t>mpower Arrow Harness Kit</t>
  </si>
  <si>
    <t>$2413.00</t>
  </si>
  <si>
    <t>mpower® Arrow Kit, includes 12" Breakout Box Harness, (1) Breakout Box, (2) Distribution Harnesses and (1) Power/Control Harness - (8) EMPSCG2STS5RAW - (no mounting brackets)</t>
  </si>
  <si>
    <t>EMPAK0098N</t>
  </si>
  <si>
    <t>$1926.00</t>
  </si>
  <si>
    <t>mpower® Arrow Kit, includes 12" Breakout Box Harness, (1) Breakout Box, (2) Distribution Harnesses and (1) Power/Control Harness - (6) EMPSCG2STS5RAW - (no mounting brackets)</t>
  </si>
  <si>
    <t>EMPAK0098M</t>
  </si>
  <si>
    <t>mpower Arrow</t>
  </si>
  <si>
    <t>5 year on lights</t>
  </si>
  <si>
    <t>$19500.00</t>
  </si>
  <si>
    <t>72" Smart Arrow Board Tri-Color x 15 (Amber/Green/Red mpower® 7x3). Turn-Key solution-shipped complete. Arrow Synchronization included. Power Connectors included. (customer supplied cables) - with ZoneCommand - Intrusion Detection Camera System. Includes interface module with 8 detection inputs.</t>
  </si>
  <si>
    <t>ESADW0006</t>
  </si>
  <si>
    <t>$17200.00</t>
  </si>
  <si>
    <t>72" Smart Arrow Board, Dual Color x 15 (Amber/Red Poly 7x3). Turn-Key solution-shipped complete. Arrow Synchronization included. Power Connectors included. (customer supplied cables) - with ZoneCommand - Intrusion Detection Camera System. Includes interface module with 8 detection inputs.</t>
  </si>
  <si>
    <t>ESADW0005</t>
  </si>
  <si>
    <t>$15200.00</t>
  </si>
  <si>
    <t>72" Smart Arrow Board, Single Color (Amber Poly 7x3). Turn-Key solution-shipped complete. Arrow Synchronization included. Power Connectors included. (customer supplied cables) - with ZoneCommand - Intrusion Detection Camera System. Includes interface module with 8 detection</t>
  </si>
  <si>
    <t>ESADW0004</t>
  </si>
  <si>
    <t>$12500.00</t>
  </si>
  <si>
    <t>72" Smart Arrow Board, Tri-Color x 15 (Amber/Green/Red mpower® 7x3). Turn-Key solution-shipped complete. Arrow Synchronization included. Power Connectors included. (customer supplied cables)</t>
  </si>
  <si>
    <t>ESADW0003</t>
  </si>
  <si>
    <t>$10200.00</t>
  </si>
  <si>
    <t>72" Smart Arrow board, Dual Color x 15 (Amber/Red Poly 7x3). Turn-Key solution-shipped complete. Arrow Synchronization included. Power Connectors included. (customer supplied cables)</t>
  </si>
  <si>
    <t>ESADW0002</t>
  </si>
  <si>
    <t>$8200.00</t>
  </si>
  <si>
    <t>72" Smart Arrow Board, Single Color (Amber Poly 7x3). Turn-Key solution-shipped complete. Arrow Synchronization included. Power Connectors included. (customer supplied cables)</t>
  </si>
  <si>
    <t>ESADW0001</t>
  </si>
  <si>
    <t>72" Smart Arrow Board</t>
  </si>
  <si>
    <t>DIRECTIONAL WARNING</t>
  </si>
  <si>
    <t>$1163.00</t>
  </si>
  <si>
    <t>8 Button Controller w/ Slide Switch Kit includes: Amplifier, Microphone &amp; Bail Bracket</t>
  </si>
  <si>
    <t>ETCPRSP01</t>
  </si>
  <si>
    <t>8-Button Controller</t>
  </si>
  <si>
    <t>CONTROL SYSTEM</t>
  </si>
  <si>
    <t>$4285.00</t>
  </si>
  <si>
    <t>nFORCE® nxt Beacon, Flat Surface Mount Gasket, Dual Color Red/White LED, Red Lens</t>
  </si>
  <si>
    <t>ENNBC00001</t>
  </si>
  <si>
    <t>nFORCE nxt Red/White Beacon</t>
  </si>
  <si>
    <t>$1319.00</t>
  </si>
  <si>
    <t>Ford Dual Beacon 360 Degree Lighting Kit, Low Dome for use with Ford Super Duty (2017-2021) includes: (2) Single-color Beacons, (5) Accessories &amp; Hardware for mounting installation, (2) Harnesses &amp; (1) Side Panel with Switch - Clear Lens/Red LEDs &amp; Clear Lens/Blue LEDs</t>
  </si>
  <si>
    <t>ETBCLK20RBCB1</t>
  </si>
  <si>
    <t>$1208.00</t>
  </si>
  <si>
    <t>Ford Dual Beacon 360 Degree Lighting Kit, Low Dome for use with Ford Super Duty (2017-2021) includes: (2) Single-color Beacons, (5) Accessories &amp; Hardware for mounting installation, (2) Harnesses &amp; (1) Side Panel with Switch - Clear Lens/Amber LEDs &amp; Clear Lens/White LEDs</t>
  </si>
  <si>
    <t>ETBCLK20AWCB1</t>
  </si>
  <si>
    <t>$1218.00</t>
  </si>
  <si>
    <t>Ford Dual Beacon 360 Degree Lighting Kit, Low Dome for use with Ford Super Duty (2017-2021) includes: (2) Single-color Beacons, (5) Accessories &amp; Hardware for mounting installation, (2) Harnesses &amp; (1) Side Panel with Switch - Amber Lens/Amber LEDs</t>
  </si>
  <si>
    <t>ETBCLK20AALB1</t>
  </si>
  <si>
    <t>Ford Dual Beacon 360 Degree Lighting Kit, Low Dome for use with Ford Super Duty (2017-2021) includes: (2) Single-color Beacons, (5) Accessories &amp; Hardware for mounting installation, (2) Harnesses &amp; (1) Side Panel with Switch - Clear Lens/Amber LEDs</t>
  </si>
  <si>
    <t>ETBCLK20AACB1</t>
  </si>
  <si>
    <t>Ford Dual 360 Degree Light Kit - Ford Super Duty Low Dome</t>
  </si>
  <si>
    <t>$1371.00</t>
  </si>
  <si>
    <t>Ford Dual High Beacon 360 Degree Lighting Kit, High Dome for use with Ford Super Duty (2017-2022) includes: (2) Single-color Beacons, (5) Accessories &amp; Hardware for mounting installation, (2) Harnesses &amp; (1) Side Panel with Switch - Clear Lens/Amber LEDs</t>
  </si>
  <si>
    <t>ETBCHK20AACB1</t>
  </si>
  <si>
    <t>Ford Dual 360 Degree Light Kit - Ford Super Duty High Dome</t>
  </si>
  <si>
    <t>Ford Dual Beacon 360 Degree Lighting Kit, Low Dome for use with Ford F-150 (2021-2022) includes: (2) Single-color Beacons, (5) Accessories &amp; Hardware for mounting installation, (2) Harnesses &amp; (1) Medium Dark Slate Side Panel with Switch - Clear Lens/Amber LEDs &amp; Clear Lens/White LEDs</t>
  </si>
  <si>
    <t>ETBCLK40AWCS1</t>
  </si>
  <si>
    <t>Ford Dual Beacon 360 Degree Lighting Kit, Low Dome for use with Ford F-150 (2021-2022) includes: (2) Single-color Beacons, (5) Accessories &amp; Hardware for mounting installation, (2) Harnesses &amp; (1) Black Onyx Side Panel with Switch - Clear Lens/Amber LEDs &amp; Clear Lens/White LEDs</t>
  </si>
  <si>
    <t>ETBCLK40AWCB1</t>
  </si>
  <si>
    <t>Ford Dual Beacon 360 Degree Lighting Kit, Low Dome for use with Ford F-150 (2021-2022) includes: (2) Single-color Beacons, (5) Accessories &amp; Hardware for mounting installation, (2) Harnesses &amp; (1) Medium Dark Slate Side Panel with Switch - Amber Lens/Amber LEDs &amp; Amber Lens/Amber LEDs</t>
  </si>
  <si>
    <t>ETBCLK40AALS1</t>
  </si>
  <si>
    <t>Ford Dual Beacon 360 Degree Lighting Kit, Low Dome for use with Ford F-150 (2021-2022) includes: (2) Single-color Beacons, (5) Accessories &amp; Hardware for mounting installation, (2) Harnesses &amp; (1) Black Onyx Side Panel with Switch - Amber Lens/Amber LEDs &amp; Amber Lens/Amber LEDs</t>
  </si>
  <si>
    <t>ETBCLK40AALB1</t>
  </si>
  <si>
    <t>Ford Dual Beacon 360 Degree Lighting Kit, Low Dome for use with Ford F-150 (2021-2022) includes: (2) Single-color Beacons, (5) Accessories &amp; Hardware for mounting installation, (2) Harnesses &amp; (1) Medium Dark Slate Side Panel with Switch - Clear Lens/Amber LEDs &amp; Clear Lens/Amber LEDs</t>
  </si>
  <si>
    <t>ETBCLK40AACS1</t>
  </si>
  <si>
    <t>Ford Dual Beacon 360 Degree Lighting Kit, Low Dome for use with Ford F-150 (2021-2022) includes: (2) Single-color Beacons, (5) Accessories &amp; Hardware for mounting installation, (2) Harnesses &amp; (1) Black Onyx Side Panel with Switch - Clear Lens/Amber LEDs &amp; Clear Lens/Amber LEDs</t>
  </si>
  <si>
    <t>ETBCLK40AACB1</t>
  </si>
  <si>
    <t>Ford Dual Beacon 360 Degree Lighting Kit, Low Dome for use with Ford F-150 (2015-2020) includes: (2) Single-color Beacons, (5) Accessories &amp; Hardware for mounting installation, (2) Harnesses &amp; (1) Side Panel with Switch - Clear Lens/Red LEDs &amp; Clear Lens/Blue LEDs</t>
  </si>
  <si>
    <t>ETBCLK10RBCB1</t>
  </si>
  <si>
    <t>Ford Dual Beacon 360 Degree Lighting Kit, Low Dome for use with Ford F-150 (2015-2020) includes: (2) Single-color Beacons, (5) Accessories &amp; Hardware for mounting installation, (2) Harnesses &amp; (1) Side Panel with Switch - Clear Lens/Amber LEDs &amp; Clear Lens/White LEDs</t>
  </si>
  <si>
    <t>ETBCLK10AWCB1</t>
  </si>
  <si>
    <t>Ford Dual Beacon 360 Degree Lighting Kit, Low Dome for use with Ford F-150 (2015-2020) includes: (2) Single-color Beacons, (5) Accessories &amp; Hardware for mounting installation, (2) Harnesses &amp; (1) Side Panel with Switch - Amber Lens/Amber LEDs</t>
  </si>
  <si>
    <t>ETBCLK10AALB1</t>
  </si>
  <si>
    <t>Ford Dual Beacon 360 Degree Lighting Kit, Low Dome for use with Ford F-150 (2015-2020) includes: (2) Single-color Beacons, (5) Accessories &amp; Hardware for mounting installation, (2) Harnesses &amp; (1) Side Panel with Switch - Clear Lens/Amber LEDs</t>
  </si>
  <si>
    <t>ETBCLK10AACB1</t>
  </si>
  <si>
    <t>ETBCHK40AACS1</t>
  </si>
  <si>
    <t>ETBCHK40AACB1</t>
  </si>
  <si>
    <t>Ford Dual 360 Degree Light Kit - Ford F-150 Low Dome</t>
  </si>
  <si>
    <t>Ford Dual Beacon 360 Degree Lighting Kit, High Dome for use with Ford F-150 (2021-2022) includes: (2) Single-color Beacons, (5) Accessories &amp; Hardware for mounting installation, (2) Harnesses &amp; (1) Medium Dark Slate Side Panel with Switch - Clear Lens/Red LEDs &amp; Clear Lens/Blue LEDs</t>
  </si>
  <si>
    <t>ETBCLK40RBCS1</t>
  </si>
  <si>
    <t>Ford Dual Beacon 360 Degree Lighting Kit, High Dome for use with Ford F-150 (2021-2022) includes: (2) Single-color Beacons, (5) Accessories &amp; Hardware for mounting installation, (2) Harnesses &amp; (1) Black Onyx Side Panel with Switch - Clear Lens/Red LEDs &amp; Clear Lens/Blue LEDs</t>
  </si>
  <si>
    <t>ETBCLK40RBCB1</t>
  </si>
  <si>
    <t>Ford Dual High Beacon 360 Degree Lighting Kit, High Dome for use with Ford F-150 (2015-2020) includes: (2) Single-color Beacons, (5) Accessories &amp; Hardware for mounting installation, (2) Harnesses &amp; (1) Side Panel with Switch - Clear Lens/Amber LEDs</t>
  </si>
  <si>
    <t>ETBCHK10AACB1</t>
  </si>
  <si>
    <t>Ford Dual 360 Degree Light Kit - Ford F-150 High Dome</t>
  </si>
  <si>
    <t>$429.00</t>
  </si>
  <si>
    <t>4500 Series LED Beacon, 10-30v, SAE J845 Class 1 - Magnetic Mount, 6" White Dome/ Clear LEDs</t>
  </si>
  <si>
    <t>ELB45BMH+WC</t>
  </si>
  <si>
    <t>4500 Series LED Beacon, 10-30v, SAE J845 Class 1 - Magnetic Mount, 6" Red Dome/ Red LEDs</t>
  </si>
  <si>
    <t>ELB45BMH+RR</t>
  </si>
  <si>
    <t>4500 Series LED Beacon, 10-30v, SAE J845 Class 1 - Magnetic Mount, 6" Green Dome/ Green LEDs</t>
  </si>
  <si>
    <t>ELB45BMH+GG</t>
  </si>
  <si>
    <t>4500 Series LED Beacon, 10-30v, SAE J845 Class 1 - Magnetic Mount, 6" Clear Dome/ Green LEDs</t>
  </si>
  <si>
    <t>ELB45BMH+GC</t>
  </si>
  <si>
    <t>4500 Series LED Beacon, 10-30v, SAE J845 Class 1 - Magnetic Mount, 6" Clear Dome &amp; Amber/White LEDs</t>
  </si>
  <si>
    <t>ELB45BMH+FC</t>
  </si>
  <si>
    <t>4500 Series LED Beacon, 10-30v, SAE J845 Class 1 - Magnetic Mount, 6" Clear Dome/ Blue LEDs</t>
  </si>
  <si>
    <t>ELB45BMH+BC</t>
  </si>
  <si>
    <t>4500 Series LED Beacon, 10-30v, SAE J845 Class 1 - Magnetic Mount, 6" Blue Dome/ Blue LEDs</t>
  </si>
  <si>
    <t>ELB45BMH+BB</t>
  </si>
  <si>
    <t>4500 Series LED Beacon, 10-30v, SAE J845 Class 1 - Magnetic Mount, 6" Clear Dome/ Amber LEDs</t>
  </si>
  <si>
    <t>ELB45BMH+AC</t>
  </si>
  <si>
    <t>4500 Series LED Beacon, 10-30v, SAE J845 Class 1 - Magnetic Mount, 6" Amber Dome/ Amber LEDs</t>
  </si>
  <si>
    <t>ELB45BMH+AA</t>
  </si>
  <si>
    <t>4500 Series 6" Beacon - Magnetic Mount</t>
  </si>
  <si>
    <t>$392.00</t>
  </si>
  <si>
    <t>4500 Series LED Beacon, 10-30v, SAE J845 Class 1 - Flat/Pipe Mount, 6" Clear Dome/ White LEDs</t>
  </si>
  <si>
    <t>ELB45BCH0WC</t>
  </si>
  <si>
    <t>4500 Series LED Beacon, 10-30v, SAE J845 Class 1 - Flat/Pipe Mount, 6" Red Dome/ Red LEDs</t>
  </si>
  <si>
    <t>ELB45BCH0RR</t>
  </si>
  <si>
    <t>4500 Series LED Beacon, 10-30v, SAE J845 Class 1 - Flat/Pipe Mount, 6" Clear Dome/ Red LEDs</t>
  </si>
  <si>
    <t>ELB45BCH0RC</t>
  </si>
  <si>
    <t>4500 Series LED Beacon, 10-30v, SAE J845 Class 1 - Flat/Pipe Mount, 6" Clear Dome/ Green &amp; Amber LEDs</t>
  </si>
  <si>
    <t>ELB45BCH0PC</t>
  </si>
  <si>
    <t>4500 Series LED Beacon, 10-30v, SAE J845 Class 1 - Flat/Pipe Mount, 6" Green Dome/ Green LEDs</t>
  </si>
  <si>
    <t>ELB45BCH0GG</t>
  </si>
  <si>
    <t>4500 Series LED Beacon, 10-30v, SAE J845 Class 1 - Flat/Pipe Mount, 6" Clear Dome/ Green LEDs</t>
  </si>
  <si>
    <t>ELB45BCH0GC</t>
  </si>
  <si>
    <t>4500 Series LED Beacon, 10-30v, SAE J845 Class 1 - Flat/Pipe Mount, 4" Clear Dome &amp; Amber/White LEDs</t>
  </si>
  <si>
    <t>ELB45BCH0FC</t>
  </si>
  <si>
    <t>4500 Series LED Beacon, 10-30v, SAE J845 Class 1 - Flat/Pipe Mount, 6" Clear Dome/ Blue LEDs</t>
  </si>
  <si>
    <t>ELB45BCH0BC</t>
  </si>
  <si>
    <t>4500 Series LED Beacon, 10-30v, SAE J845 Class 1 - Flat/Pipe Mount, 6" Blue Dome/ Blue LEDs</t>
  </si>
  <si>
    <t>ELB45BCH0BB</t>
  </si>
  <si>
    <t>4500 Series LED Beacon, 10-30v, SAE J845 Class 1 - Flat/Pipe Mount, 6" Clear Dome/ Amber LEDs</t>
  </si>
  <si>
    <t>ELB45BCH0AC</t>
  </si>
  <si>
    <t>4500 Series LED Beacon, 10-30v, SAE J845 Class 1 - Flat/Pipe Mount, 6" Amber Dome/ Amber LEDs</t>
  </si>
  <si>
    <t>ELB45BCH0AA</t>
  </si>
  <si>
    <t>4500 Series 6" Beacon - Flat/Pipe Mount</t>
  </si>
  <si>
    <t>4500 Series LED Beacon, 10-30v, SAE J845 Class 1 - Magnetic Mount, 4" Clear Dome/ White LEDs</t>
  </si>
  <si>
    <t>ELB45BML+WC</t>
  </si>
  <si>
    <t>4500 Series LED Beacon, 10-30v, SAE J845 Class 1 - Magnetic Mount, 4" Red Dome/ Red LEDs</t>
  </si>
  <si>
    <t>ELB45BML+RR</t>
  </si>
  <si>
    <t>4500 Series LED Beacon, 10-30v, SAE J845 Class 1 - Magnetic Mount, 4" Clear Dome/ Red LEDs</t>
  </si>
  <si>
    <t>ELB45BML+RC</t>
  </si>
  <si>
    <t>4500 Series LED Beacon, 10-30v, SAE J845 Class 1 - Magnetic Mount, 4" Clear Dome &amp; Red/Blue LEDs</t>
  </si>
  <si>
    <t>ELB45BML+JC</t>
  </si>
  <si>
    <t>4500 Series LED Beacon, 10-30v, SAE J845 Class 1 - Magnetic Mount, 4" Green Dome/ Green LEDs</t>
  </si>
  <si>
    <t>ELB45BML+GG</t>
  </si>
  <si>
    <t>4500 Series LED Beacon, 10-30v, SAE J845 Class 1 - Magnetic Mount, 4" Clear Dome/ Green LEDs</t>
  </si>
  <si>
    <t>ELB45BML+GC</t>
  </si>
  <si>
    <t>4500 Series LED Beacon, 10-30v, SAE J845 Class 1 - Magnetic Mount, 4" Clear Dome/ Amber &amp; White LEDs</t>
  </si>
  <si>
    <t>ELB45BML+FC</t>
  </si>
  <si>
    <t>4500 Series LED Beacon, 10-30v, SAE J845 Class 1 - Magnetic Mount, 4" Clear Dome/ Blue LEDs</t>
  </si>
  <si>
    <t>ELB45BML+BC</t>
  </si>
  <si>
    <t>4500 Series LED Beacon, 10-30v, SAE J845 Class 1 - Magnetic Mount, 4" Blue Dome/ Blue LEDs</t>
  </si>
  <si>
    <t>ELB45BML+BB</t>
  </si>
  <si>
    <t>4500 Series LED Beacon, 10-30v, SAE J845 Class 1 - Magnetic Mount, 4" Clear Dome/ Amber LEDs</t>
  </si>
  <si>
    <t>ELB45BML+AC</t>
  </si>
  <si>
    <t>4500 Series LED Beacon, 10-30v, SAE J845 Class 1 - Magnetic Mount, 4" Amber Dome/ Amber LEDs</t>
  </si>
  <si>
    <t>ELB45BML+AA</t>
  </si>
  <si>
    <t>4500 Series 4" Beacon - Magnetic Mount</t>
  </si>
  <si>
    <t>4500 Series LED Beacon, 10-30v, SAE J845 Class 1 - Flat/Pipe Mount, 4" Clear Dome/ White LEDs</t>
  </si>
  <si>
    <t>4500 Series LED Beacon, 10-30v, SAE J845 Class 1 - Flat/Pipe Mount, 4" Red Dome/ Red LEDs</t>
  </si>
  <si>
    <t>ELB45BCL0RR</t>
  </si>
  <si>
    <t>4500 Series LED Beacon, 10-30v, SAE J845 Class 1 - Flat/Pipe Mount, 4" Clear Dome/ Red LEDs</t>
  </si>
  <si>
    <t>ELB45BCL0RC</t>
  </si>
  <si>
    <t>4500 Series LED Beacon, 10-30v, SAE J845 Class 1 - Flat/Pipe Mount, 4" Clear Dome &amp; Green/Amber LEDs</t>
  </si>
  <si>
    <t>ELB45BCL0PC</t>
  </si>
  <si>
    <t>4500 Series LED Beacon, 10-30v, SAE J845 Class 1 - Flat/Pipe Mount, 4" Clear Dome &amp; Red/Blue LEDs</t>
  </si>
  <si>
    <t>ELB45BCL0JC</t>
  </si>
  <si>
    <t>4500 Series LED Beacon, 10-30v, SAE J845 Class 1 - Flat/Pipe Mount, 4" Green Dome/ Green LEDs</t>
  </si>
  <si>
    <t>ELB45BCL0GG</t>
  </si>
  <si>
    <t>4500 Series LED Beacon, 10-30v, SAE J845 Class 1 - Flat/Pipe Mount, 4" Clear Dome/ Green LEDs</t>
  </si>
  <si>
    <t>ELB45BCL0GC</t>
  </si>
  <si>
    <t>ELB45BCL0FC</t>
  </si>
  <si>
    <t>4500 Series LED Beacon, 10-30v, SAE J845 Class 1 - Flat/Pipe Mount, 4" Clear Dome/ Blue LEDs</t>
  </si>
  <si>
    <t>ELB45BCL0BC</t>
  </si>
  <si>
    <t>4500 Series LED Beacon, 10-30v, SAE J845 Class 1 - Flat/Pipe Mount, 4" Blue Dome/ Blue LEDs</t>
  </si>
  <si>
    <t>ELB45BCL0BB</t>
  </si>
  <si>
    <t>4500 Series LED Beacon, 10-30v, SAE J845 Class 1 - Flat/Pipe Mount, 4" Clear Dome/ Amber LEDs</t>
  </si>
  <si>
    <t>ELB45BCL0AC</t>
  </si>
  <si>
    <t>4500 Series LED Beacon, 10-30v, SAE J845 Class 1 - Flat/Pipe Mount, 4" Amber Dome/ Amber LEDs</t>
  </si>
  <si>
    <t>ELB45BCL0AA</t>
  </si>
  <si>
    <t>4500 Series 4" Beacon - Flat/Pipe Mount</t>
  </si>
  <si>
    <t>4200 Series LED Beacon, 10-30v, SAE J845 Class 1 - Magnetic Mount, 6" Amber Dome/ Amber LEDs</t>
  </si>
  <si>
    <t>ELB42BMH+AA</t>
  </si>
  <si>
    <t>4200 Series 6" Beacon - Magnetic Mount</t>
  </si>
  <si>
    <t>4200 Series LED Beacon, 10-30v, SAE J845 Class 1 - Magnetic Mount, 6" Clear Dome/ Amber LEDs</t>
  </si>
  <si>
    <t>ELB42BMH+AC</t>
  </si>
  <si>
    <t>4200 Series LED Beacon, 10-30v, SAE J845 Class 1 - Flat/Pipe Mount, 6" Clear Dome/ Amber LEDs</t>
  </si>
  <si>
    <t>ELB42BCH0AC</t>
  </si>
  <si>
    <t>4200 Series LED Beacon, 10-30v, SAE J845 Class 1 - Flat/Pipe Mount, 6" Amber Dome/ Amber LEDs</t>
  </si>
  <si>
    <t>ELB42BCH0AA</t>
  </si>
  <si>
    <t>4200 Series 6" Beacon - Flat/Pipe Mount</t>
  </si>
  <si>
    <t>4200 Series LED Beacon, 10-30v, SAE J845 Class 1 - Magnetic Mount, 4" Clear Dome/ Amber LEDs</t>
  </si>
  <si>
    <t>ELB42BML+AC</t>
  </si>
  <si>
    <t>4200 Series LED Beacon, 10-30v, SAE J845 Class 1 - Magnetic Mount, 4" Amber Dome/ Amber LEDs</t>
  </si>
  <si>
    <t>ELB42BML+AA</t>
  </si>
  <si>
    <t>4200 Series 4" Beacon - Magnetic Mount</t>
  </si>
  <si>
    <t>4200 Series LED Beacon, 10-30v, SAE J845 Class 1 - Flat/Pipe Mount, 4"Clear Dome/ Amber LEDs</t>
  </si>
  <si>
    <t>ELB42BCL0AC</t>
  </si>
  <si>
    <t>4200 Series LED Beacon, 10-30v, SAE J845 Class 1 - Flat/Pipe Mount, 4" Amber Dome/ Amber LEDs</t>
  </si>
  <si>
    <t>ELB42BCL0AA</t>
  </si>
  <si>
    <t>4200 Series 4" Beacon - Flat/Pipe Mount</t>
  </si>
  <si>
    <t>BEACON</t>
  </si>
  <si>
    <t>WARRANTY</t>
  </si>
  <si>
    <t>LIST PRICE</t>
  </si>
  <si>
    <t>DESCRIPTION</t>
  </si>
  <si>
    <t>PART NUMBER</t>
  </si>
  <si>
    <t>For live information please visit our website at soundoffsignal.com. Use the Search by Part Number tool at myportal.soundoffsignal.com/s/part-number-lookup.</t>
  </si>
  <si>
    <t>This symbol next to a part means No Discounts Allowed. Contact customer service if you have any questions.</t>
  </si>
  <si>
    <t>Ø</t>
  </si>
  <si>
    <t>This symbol next to a part means this part number is Going Obsolete. Check availability with customer service. Once a part number is discontinued, it will no longer show up in the part numbers list below.</t>
  </si>
  <si>
    <t>††</t>
  </si>
  <si>
    <t>SOUNDOFF SIGNAL PRODUCT PRICING (effective January 6, 2025, *published: September 19, 2025)</t>
  </si>
  <si>
    <t>$376.00</t>
  </si>
  <si>
    <t>bluePRINT® 200 Series, 100 Watt Compact Remote Siren Amplifier - 10-30v - 100 watt single-tone</t>
  </si>
  <si>
    <t>ENGSA03021</t>
  </si>
  <si>
    <t>$383.00</t>
  </si>
  <si>
    <t>bluePRINT® Remote Node with Magnetic ID</t>
  </si>
  <si>
    <t>ENGND04102</t>
  </si>
  <si>
    <t>Remote Node</t>
  </si>
  <si>
    <t>bluePRINT® Remote Control Panel - 15 Programmable Buttons w/ Knob Control</t>
  </si>
  <si>
    <t>$369.00</t>
  </si>
  <si>
    <t>bluePRINT® Remote Control Panel - 15 Programmable Buttons w/ 3 Position Slide Switch, ECE R10 Certified</t>
  </si>
  <si>
    <t>Remote Control Panel</t>
  </si>
  <si>
    <t>bluePRINT® Input Node - Provides 20 inputs for connection to vehicle devices, 13 Active High/Low Inputs &amp; 7 Active High Inputs, ECE R10 Certified</t>
  </si>
  <si>
    <t>ENGND20001</t>
  </si>
  <si>
    <t>Input Node</t>
  </si>
  <si>
    <t>bluePRINT® Handheld Control Panel - 15 Programmable Buttons, ECE R10 Certified</t>
  </si>
  <si>
    <t>Handheld Control Panel</t>
  </si>
  <si>
    <t>$871.00</t>
  </si>
  <si>
    <t>bluePRINT® 400 Series Remote Siren/Switch Module, 10-16v - 200 watt dual-tone, with Nine 10-Amp &amp; Three 20-Amp Relay Outputs</t>
  </si>
  <si>
    <t>ENGSA07152</t>
  </si>
  <si>
    <t>bluePRINT® 400 Series Remote Siren, Knob, 200 Watt</t>
  </si>
  <si>
    <t>$691.00</t>
  </si>
  <si>
    <t>bluePRINT® 400 Series Remote Siren/Switch Module, 10-16v - 100 watt single-tone, with Nine 10-Amp &amp; Three 20-Amp Relay Outputs</t>
  </si>
  <si>
    <t>ENGSA07141</t>
  </si>
  <si>
    <t>bluePRINT® 400 Series Remote Siren Knob Control, 100 Watt</t>
  </si>
  <si>
    <t>$1028.00</t>
  </si>
  <si>
    <t>bluePRINT® 400 Series Multi-Function Siren w/ Knob Control, 10-16v - 200 watt dual-tone</t>
  </si>
  <si>
    <t>ENGSCR7152</t>
  </si>
  <si>
    <t>$876.00</t>
  </si>
  <si>
    <t>bluePRINT® 400 Series Multi-Function Console Siren w/ Knob Control, 10-16v - 100 watt single-tone</t>
  </si>
  <si>
    <t>ENGSCR7141</t>
  </si>
  <si>
    <t>bluePRINT® 400 Series Console Siren, Knob, 100 Watt</t>
  </si>
  <si>
    <t>bluePRINT® 400 Series Multi-Function Console Siren w/ Button Control, bluePRINT® compatible, 10-16v - 200 watt dual-tone</t>
  </si>
  <si>
    <t>ENGSCP7152</t>
  </si>
  <si>
    <t>bluePRINT® 400 Series Console Siren, Button, 200 Watt</t>
  </si>
  <si>
    <t>bluePRINT® 400 Series Multi-Function Siren w/ Button Control, bluePRINT® compatible, 10-16v - 100 watt single-tone</t>
  </si>
  <si>
    <t>ENGSCP7141</t>
  </si>
  <si>
    <t>bluePRINT® 400 Series Console Siren, Button, 100 Watt</t>
  </si>
  <si>
    <t>$432.00</t>
  </si>
  <si>
    <t>bluePRINT Sync® Module (without GPS Antenna)</t>
  </si>
  <si>
    <t>ENGSYMD02</t>
  </si>
  <si>
    <t>$518.00</t>
  </si>
  <si>
    <t>bluePRINT Sync® Module, includes GPS Antenna, ECE R10 Certified</t>
  </si>
  <si>
    <t>bluePRINT Sync Module</t>
  </si>
  <si>
    <t>$66.00</t>
  </si>
  <si>
    <t>bluePRINT Sync® GPS Antenna</t>
  </si>
  <si>
    <t>ENGSYAT01</t>
  </si>
  <si>
    <t>bluePRINT Sync GPS Antenna</t>
  </si>
  <si>
    <t>$88.00</t>
  </si>
  <si>
    <t>bluePRINT Link® Vehicle Harness for Ford Transit Van 2015-2019, Dodge Charger 2015-2017, RAM Trucks (limited diesel support) 2013-2017</t>
  </si>
  <si>
    <t>ENGLNVH003</t>
  </si>
  <si>
    <t>bluePRINT Link Vehicle  Harness</t>
  </si>
  <si>
    <t>bluePRINT Link® Micro Vehicle Harness works on Ford  F-150 2021-2024</t>
  </si>
  <si>
    <t>ENGLMVH015</t>
  </si>
  <si>
    <t>$129.00</t>
  </si>
  <si>
    <t>bluePRINT Link® Vehicle Harness for Ford Super Duty F250-F550, 2023-2024, Ford F-150, 2024-2025</t>
  </si>
  <si>
    <t>ENGLMVH013</t>
  </si>
  <si>
    <t>bluePRINT Link® Micro Vehicle Harness for Ford Expedition (2022-2024) and Ford F250-F550 with large infotainment screen (12") and white OBDII connector (2021-2022)</t>
  </si>
  <si>
    <t>ENGLMVH012</t>
  </si>
  <si>
    <t>bluePRINT Link® Micro Vehicle Harness for Harley Davidson Road King 2021-2023</t>
  </si>
  <si>
    <t>ENGLMVH011</t>
  </si>
  <si>
    <t>bluePRINT Link® Micro Vehicle Harness for Ford Mustang Mach-E 2021-2025</t>
  </si>
  <si>
    <t>ENGLMVH009</t>
  </si>
  <si>
    <t>$101.00</t>
  </si>
  <si>
    <t>bluePRINT Link® Micro Vehicle Harness for Ford Transit (2020-2023), Ford Explorer / Police Interceptor Utility (PIU) (2016-2024), Ford F150 2017-2020 only, Ford F250-F550 without large infotainment screen 2017-2022, Ford Escape 2020-2024</t>
  </si>
  <si>
    <t>ENGLMVH008</t>
  </si>
  <si>
    <t>bluePRINT Link® Micro Vehicle Harness for Ford Expedition 2018-2021, Ford Maverick 2022-2024</t>
  </si>
  <si>
    <t>ENGLMVH007</t>
  </si>
  <si>
    <t>bluePRINT Link® Micro Vehicle Harness for Dodge Ram 1500 5th generation DT chassis 2019-2024</t>
  </si>
  <si>
    <t>ENGLMVH006</t>
  </si>
  <si>
    <t>bluePRINT Link® Micro Vehicle Harness for Dodge Ram 1500 2013-2018 and Dodge Ram 1500 Classic / SSV 2019-2024, and Dodge Ram 2500-5500 2013-2024</t>
  </si>
  <si>
    <t>ENGLMVH005</t>
  </si>
  <si>
    <t>bluePRINT Link® Micro Vehicle Harness for GM 1 Wire 2014-2021</t>
  </si>
  <si>
    <t>ENGLMVH004</t>
  </si>
  <si>
    <t>bluePRINT Link® Micro Vehicle Harness for Ford F-150 2021-2023</t>
  </si>
  <si>
    <t>ENGLMVH003</t>
  </si>
  <si>
    <t>bluePRINT Link® Micro Vehicle Harness for Dodge Charger 2015-2024 &amp; Durango 2018-2025</t>
  </si>
  <si>
    <t>ENGLMVH002</t>
  </si>
  <si>
    <t>bluePRINT Link® Micro Vehicle Harness for Chevrolet Tahoe 2022-2025, Chevrolet Silverado 1500 2022 - 2025, Chevrolet Blazer EV 2024-2025</t>
  </si>
  <si>
    <t>ENGLMVH001</t>
  </si>
  <si>
    <t>bluePRINT Link Micro Vehicle Harness</t>
  </si>
  <si>
    <t>1 year from ship date, add’l 2 years if registered online</t>
  </si>
  <si>
    <t>bluePRINT Link® Micro Module for GM 1 Wire</t>
  </si>
  <si>
    <t>ENGLMMD004</t>
  </si>
  <si>
    <t>bluePRINT Link® Micro Module for 2 Wire CAN Applications</t>
  </si>
  <si>
    <t>ENGLMMD002</t>
  </si>
  <si>
    <t>bluePRINT Link® Micro Module for Chevrolet Tahoe 2022-2025, Silverado 1500 2024-2025 &amp; Ford F-150 2022-2025, Ford Super Duty F-250-F-550, 2024, Chevrolet Blazer EV 2024-2025</t>
  </si>
  <si>
    <t>ENGLMMD001</t>
  </si>
  <si>
    <t>$750.00</t>
  </si>
  <si>
    <t>bluePRINT Link® Micro Module and Vehicle Harness for Ford Transit 2020-2024, Ford Expedition (2022-2024) and Ford F250-F550 with large infotainment screen (12") and white OBDII connector (2021-2022)</t>
  </si>
  <si>
    <t>ENGLMK012</t>
  </si>
  <si>
    <t>bluePRINT Link Micro Module</t>
  </si>
  <si>
    <t>bluePRINT Link® Micro Kit, includes Module and Vehicle Harness, for Ford  F-150 2021-2024</t>
  </si>
  <si>
    <t>ENGLMK015</t>
  </si>
  <si>
    <t>bluePRINT Link® Micro Kit, includes Module and Vehicle Harness for Ford Super Duty F-250-F-550, 2023-2024, Ford F-150, 2024-2025 and Ford Police Interceptor Utility (PIU) 2025</t>
  </si>
  <si>
    <t>ENGLMK013</t>
  </si>
  <si>
    <t>bluePRINT Link® Micro Kit, includes Module and Vehicle Harness for Harley Davidson Road King 2021-2023</t>
  </si>
  <si>
    <t>ENGLMK011</t>
  </si>
  <si>
    <t>bluePRINT Link® Micro Kit, includes Module and Vehicle Harness for Ford Mustang Mach-E 2021-2025</t>
  </si>
  <si>
    <t>ENGLMK009</t>
  </si>
  <si>
    <t>$661.00</t>
  </si>
  <si>
    <t>bluePRINT Link® Micro Kit, includes Module and Vehicle Harness for Ford Transit 2020-2022, Ford Explorer / Police Interceptor Utility (PIU) 2016-2024, Ford F150 2017-2020 only, Ford F250-F550 without large infotainment screen 2017-2022, Ford Escape 2020-2024</t>
  </si>
  <si>
    <t>ENGLMK008</t>
  </si>
  <si>
    <t>bluePRINT Link® Micro Kit, includes Module and Vehicle Harness for Ford Expedition 2018-2021, Ford Maverick 2022-2024</t>
  </si>
  <si>
    <t>ENGLMK007</t>
  </si>
  <si>
    <t>bluePRINT Link® Micro Kit, includes Module and Vehicle Harness for Dodge Ram 1500 5th generation DT chassis 2019-2024</t>
  </si>
  <si>
    <t>ENGLMK006</t>
  </si>
  <si>
    <t>$637.00</t>
  </si>
  <si>
    <t>bluePRINT Link® Micro Kit, includes Module and Vehicle Harness for Dodge Ram 1500 (2013-2018) and Dodge Ram 1500 Classic / SSV 2019-2024, and Dodge Ram 2500-5500 2013-2024</t>
  </si>
  <si>
    <t>ENGLMK005</t>
  </si>
  <si>
    <t>bluePRINT Link® Micro Kit, includes Module &amp; Vehicle Harness for GM 1 Wire 2014-2021</t>
  </si>
  <si>
    <t>ENGLMK004</t>
  </si>
  <si>
    <t>bluePRINT Link® Micro Kit, includes Module and Vehicle Harness for Ford F-150 2021-2023</t>
  </si>
  <si>
    <t>ENGLMK003</t>
  </si>
  <si>
    <t>bluePRINT Link® Micro Kit, includes Module &amp; Vehicle Harness for Dodge Charger 2015-2024 &amp; Durango 2018-2025</t>
  </si>
  <si>
    <t>ENGLMK002</t>
  </si>
  <si>
    <t>bluePRINT Link® Micro Kit, includes Module and Vehicle Harness for Chevrolet Tahoe 2022-2025, Silverado 1500 2024-2025, Chevrolet Blazer EV 2024-2025</t>
  </si>
  <si>
    <t>ENGLMK001</t>
  </si>
  <si>
    <t>bluePRINT Link Micro Kit</t>
  </si>
  <si>
    <t>$44.00</t>
  </si>
  <si>
    <t>bluePRINT Link® Data Harness</t>
  </si>
  <si>
    <t>ENGLNDH001</t>
  </si>
  <si>
    <t>bluePRINT Link Data Harness</t>
  </si>
  <si>
    <t>$1450.00</t>
  </si>
  <si>
    <t>bluePRINT Connect® powered by ACETECH™ package includes: Assembly, T-Adapter Harness, Main Harness, USB harness, CAN single Harness, 10' Extension Harness &amp; Glass Mount Antennae. Connects with bluePRINT Central Controller or 500 Series Control System for Ford Police Interceptor Utility 2025, Ford F-150 2021-2024</t>
  </si>
  <si>
    <t>ENGCNKT02</t>
  </si>
  <si>
    <t>bluePRINT Connect® powered by ACETECH™ includes: Assembly, T-Adapter Harness, Main Harness, USB Harness, CAN Single Harness, 10' Extension Harness &amp; Glass Mount Antennae. Connects with bluePRINT Central Controller or 500 Series Control System for Ford Police Interceptor Utility, 2018-2024, Ford Expedition 2018-2024, Ford F-150 2018-2020, Ford F250-350 2018-2024, Dodge Charger 2018-2024, Dodge Durango 2018-2024, RAM 1500-3500 2018-2024, Chevrolet Tahoe 2018-2024, Chevrolet Silverado 1500 2018-2024, Chevrolet 2500-3500 2018-2024</t>
  </si>
  <si>
    <t>ENGCNKT01</t>
  </si>
  <si>
    <t>bluePRINT Connect® powered by ACETECH™</t>
  </si>
  <si>
    <t>$824.00</t>
  </si>
  <si>
    <t>bluePRINT® Central Controller, Communication Hub for use within the EV Control System - 1 Active High Ignition Input, 24 Outputs (100 Amps max), ECE R10 Certified</t>
  </si>
  <si>
    <t>bluePRINT Central Controller</t>
  </si>
  <si>
    <t>$1784.00</t>
  </si>
  <si>
    <t>bluePRINT® 500 Series Remote Control System with Knob Control, 10-16v - 100 watt single-tone</t>
  </si>
  <si>
    <t>ENGSA5100RSR</t>
  </si>
  <si>
    <t>bluePRINT 500 Series Remote Control System - Knob, 1 speaker</t>
  </si>
  <si>
    <t>$1934.00</t>
  </si>
  <si>
    <t>bluePRINT® 500 Series Remote Control System with Knob Control, 10-16v - 200 watt dual-tone</t>
  </si>
  <si>
    <t>bluePRINT 500 Series Remote 200W Knob Control System</t>
  </si>
  <si>
    <t>bluePRINT® 500 Series Remote Control System with Button Control, 10-16v - 200 watt dual-tone</t>
  </si>
  <si>
    <t>bluePRINT 500 Series Remote 200W Button Control System</t>
  </si>
  <si>
    <t>bluePRINT® 500 Series Remote Control System with Button Control, 10-16v - 100 watt single-tone</t>
  </si>
  <si>
    <t>ENGSA5100RSP</t>
  </si>
  <si>
    <t>bluePRINT 500 Series Remote 100W Button Control System</t>
  </si>
  <si>
    <t>$1644.00</t>
  </si>
  <si>
    <t>bluePRINT® 500 Series Handheld Remote Control System, 10-16v - 200 watt dual-tone</t>
  </si>
  <si>
    <t>ENGSA5200HPP</t>
  </si>
  <si>
    <t>bluePRINT 500 Series Handheld Control System - 2 speaker</t>
  </si>
  <si>
    <t>$1495.00</t>
  </si>
  <si>
    <t>bluePRINT® 500 Series Handheld Remote Control System, 10-16v - 100 watt single-tone</t>
  </si>
  <si>
    <t>bluePRINT 500 Series Handheld Control System - 1 speaker</t>
  </si>
  <si>
    <t>bluePRINT® 500 Series Console Control System with Knob Control, 10-16v - 200 watt dual-tone</t>
  </si>
  <si>
    <t>ENGSA5200CSR</t>
  </si>
  <si>
    <t>bluePRINT 500 Series Console 200W Knob Control System</t>
  </si>
  <si>
    <t>bluePRINT® 500 Series Console Control System with Button Control, 10-16v - 200 watt dual-tone</t>
  </si>
  <si>
    <t>ENGSA5200CSP</t>
  </si>
  <si>
    <t>bluePRINT 500 Series Console 200W Button Control System</t>
  </si>
  <si>
    <t>bluePRINT® 500 Series Console Control System with Knob Control, 10-16v - 100 watt single-tone</t>
  </si>
  <si>
    <t>ENGSA5100CSR</t>
  </si>
  <si>
    <t>bluePRINT 500 Series Console 100W Knob Control System</t>
  </si>
  <si>
    <t>bluePRINT® 500 Series Console Control System with Button Control, 10-16v - 100 watt single-tone</t>
  </si>
  <si>
    <t>ENGSA5100CSP</t>
  </si>
  <si>
    <t>bluePRINT 500 Series Console 100W Button Control System</t>
  </si>
  <si>
    <t xml:space="preserve">Available in Excel and .pdf formats. </t>
  </si>
  <si>
    <t>PLEASE BE SURE TO SPECIFY MANUAL KEY OVERRIDE TYPE: #H, #2, #3, #CA, #X</t>
  </si>
  <si>
    <t>IMPORTANT - IMPORTANT - IMPORTANT</t>
  </si>
  <si>
    <t>Over 50 unit volume discounts are available.</t>
  </si>
  <si>
    <t>All shipping is UPS Ground unless otherwise specified.</t>
  </si>
  <si>
    <t>VISA, MC, Amex, and Discover are always accepted.</t>
  </si>
  <si>
    <t>NET 30 Days, or COD CASH if a payment is overdue.</t>
  </si>
  <si>
    <t>FOB: Webster, New Hampshire</t>
  </si>
  <si>
    <t>TERMS:</t>
  </si>
  <si>
    <t>RUBBER INSERT FOR SC-1 GUNLOCK</t>
  </si>
  <si>
    <t>SC-1201-B</t>
  </si>
  <si>
    <t>INSERT FOR SC-1 GUNLOCK</t>
  </si>
  <si>
    <t>SC-1201</t>
  </si>
  <si>
    <t>TAMPER RESISTANT TAKE DOWN PIN FOR AR WITH TOOL</t>
  </si>
  <si>
    <t>SC-ARPIN</t>
  </si>
  <si>
    <t>EXTERNAL MAGNET RESISTANT SHEILD FOR SC-1 GUNLOCK</t>
  </si>
  <si>
    <t>SC-6000</t>
  </si>
  <si>
    <t>EXTERNAL MAGNET RESISTANT SHIELD FOR SC-1-AR GUNLOCK</t>
  </si>
  <si>
    <t>SC-6001</t>
  </si>
  <si>
    <r>
      <t xml:space="preserve">GUN RACK PRE ASSEMBLEY UPGRADE  </t>
    </r>
    <r>
      <rPr>
        <sz val="10"/>
        <color rgb="FFFF0000"/>
        <rFont val="Times New Roman"/>
        <family val="1"/>
      </rPr>
      <t>**NO VOLUME DISCOUNT**</t>
    </r>
  </si>
  <si>
    <t>SC-9200</t>
  </si>
  <si>
    <t>CALL</t>
  </si>
  <si>
    <r>
      <t xml:space="preserve">TAMPER RESISTANT HARDWARE UPGRADE       </t>
    </r>
    <r>
      <rPr>
        <sz val="10"/>
        <color rgb="FFFF0000"/>
        <rFont val="Times New Roman"/>
        <family val="1"/>
      </rPr>
      <t>*PLEASE CALL FOR PRICING*</t>
    </r>
  </si>
  <si>
    <t>SC-9909</t>
  </si>
  <si>
    <t>U-BOLT</t>
  </si>
  <si>
    <t>SC-9906</t>
  </si>
  <si>
    <t>SQUARE BUTT PLATE BRACKET</t>
  </si>
  <si>
    <t>SC-9903</t>
  </si>
  <si>
    <t>36" UNIVERSAL RAIL</t>
  </si>
  <si>
    <t xml:space="preserve">SC-9236 </t>
  </si>
  <si>
    <t>30" UNIVERSAL RAIL</t>
  </si>
  <si>
    <t>SC-9230</t>
  </si>
  <si>
    <t>EXTRA LARGE MUZZLE CUP</t>
  </si>
  <si>
    <t>SC-9311-XL</t>
  </si>
  <si>
    <t>MUZZLE CUP</t>
  </si>
  <si>
    <t>SC-9311</t>
  </si>
  <si>
    <t>FLAT MUZZLE PLATE</t>
  </si>
  <si>
    <t>SC-9303</t>
  </si>
  <si>
    <t>MOUNTING HINGE</t>
  </si>
  <si>
    <t>SC-9302</t>
  </si>
  <si>
    <t>ROLL BAR MOUNT</t>
  </si>
  <si>
    <t>SC-932</t>
  </si>
  <si>
    <t>FREE STANDING GUN RACK BASE</t>
  </si>
  <si>
    <t>SC-9222LR</t>
  </si>
  <si>
    <t>ADJUSTABLE GUNLOCK TIMER</t>
  </si>
  <si>
    <t>SC-7009-A</t>
  </si>
  <si>
    <t>RAPID ACCESS RFID SYSTEM FOR ANY GUN RACK</t>
  </si>
  <si>
    <t>SC-7100</t>
  </si>
  <si>
    <t>AR-15 BUFFER TUBE INSERT FOR SC-1 GUN LOCK</t>
  </si>
  <si>
    <t>SC-6061</t>
  </si>
  <si>
    <t>BARREL &amp; BUFFER INSERT FOR SC-6 UNIVERSAL GUN LOCK</t>
  </si>
  <si>
    <t>SC-6060</t>
  </si>
  <si>
    <t>24" LONG FLAT BAR</t>
  </si>
  <si>
    <t>SC-503</t>
  </si>
  <si>
    <t>18" LONG FLAT BAR</t>
  </si>
  <si>
    <t>SC-502</t>
  </si>
  <si>
    <t>MUZZLE PLUG</t>
  </si>
  <si>
    <t>SC-404</t>
  </si>
  <si>
    <t>L MUZZLE PLATE FOR CUP OR PLUG</t>
  </si>
  <si>
    <t>SC-403</t>
  </si>
  <si>
    <t>MUZZLE DOWN RACK UPRIGHT</t>
  </si>
  <si>
    <t>SC-401</t>
  </si>
  <si>
    <t>GUN LOCK SOLENOID</t>
  </si>
  <si>
    <t>SC-1909</t>
  </si>
  <si>
    <t>#CA - BARREL KEY</t>
  </si>
  <si>
    <t>SC-1903 #CA</t>
  </si>
  <si>
    <t>#2 KEY</t>
  </si>
  <si>
    <t>SC-1903 #2</t>
  </si>
  <si>
    <t>PUSHBUTTON SWITCH</t>
  </si>
  <si>
    <t>SC-1902</t>
  </si>
  <si>
    <t>ADJUSTABLE STEEL BUTT PLATE</t>
  </si>
  <si>
    <t>SC-1900</t>
  </si>
  <si>
    <t>SOLID ALUMINUM BUTT PLATE</t>
  </si>
  <si>
    <t>SC-1901</t>
  </si>
  <si>
    <t>ACCESSORIES</t>
  </si>
  <si>
    <t>COVERT OVERHEAD DUAL UNIVERSAL GUN RACK</t>
  </si>
  <si>
    <t>SC-924-D-5-5</t>
  </si>
  <si>
    <t>COVERT OVERHEAD UNIVERSAL GUN RACK</t>
  </si>
  <si>
    <t>SC-924-5</t>
  </si>
  <si>
    <t>FREE STANDING SHOTGUN &amp; SC-6 GUN RACK</t>
  </si>
  <si>
    <t>SC-922-D-1-5</t>
  </si>
  <si>
    <t>FREE STANDING DUAL UNIVERSAL GUN RACK</t>
  </si>
  <si>
    <t>SC-922-D-5-5</t>
  </si>
  <si>
    <t>FREE STANDING UNIVERSAL GUN RACK</t>
  </si>
  <si>
    <t>SC-922-5</t>
  </si>
  <si>
    <t>FREE STANDING BARREL GUN RACK</t>
  </si>
  <si>
    <t>SC-922-B</t>
  </si>
  <si>
    <t>FREE STANDING LARGE LOCK GUN RACK</t>
  </si>
  <si>
    <t>SC-922-AR</t>
  </si>
  <si>
    <t>FREE STANDING PUMP SHOTGUN RACK</t>
  </si>
  <si>
    <t>SC-922-1</t>
  </si>
  <si>
    <t>GUN RACKS FOR VEHICLES WITH NO PARTITION WALL</t>
  </si>
  <si>
    <t>UNIVERSAL RAIL DUAL RACK WITH BOTH SC-1-AR &amp; SC-1-B LOCKS</t>
  </si>
  <si>
    <t>SC-920-D-AR-B</t>
  </si>
  <si>
    <t>UNIVERSAL RAIL LARGE RIFLE LOCK GUN RACK WITH 2 SC-1-AR LOCKS</t>
  </si>
  <si>
    <t>SC-920-D-AR-AR</t>
  </si>
  <si>
    <t>UNIVERSAL RAIL DUAL GUN RACK WITH TWO  SC-6 XL LOCKS</t>
  </si>
  <si>
    <t>SC-920-D-5-5</t>
  </si>
  <si>
    <t>UNIVERSAL RAIL DUAL GUN RACK WITH SC-1B BARREL &amp; SC-6 XL LOCKS</t>
  </si>
  <si>
    <t>SC-920-D-B-5</t>
  </si>
  <si>
    <t>UNIVERSAL RAIL PUMP SHOTGUN &amp; RIFLE RACK WITH SC-1 &amp; SC-6 XL LOCKS</t>
  </si>
  <si>
    <t>SC-920-D-1-5</t>
  </si>
  <si>
    <t>UNIVERSAL RAIL SG &amp; RIFLE RACK WITH BOTH SC-1 &amp; SC-1-AR LOCKS</t>
  </si>
  <si>
    <t>SC-920-D-1-AR</t>
  </si>
  <si>
    <t>UNIVERSAL RAIL SG &amp; BARREL RACK WITH BOTH SC-1 &amp; SC-1-B LOCKS</t>
  </si>
  <si>
    <t>SC-920-D-1-B</t>
  </si>
  <si>
    <t>RAPID-ADJUST UNIVERSAL DUAL GUN RACK WITH TWO  SC-6 XL LOCKS</t>
  </si>
  <si>
    <t>SC-917-D-5-5-A</t>
  </si>
  <si>
    <t>FIXED BARREL &amp; SC-6 RAPID ADJUST GUN RACK WITH SC-1B AND  SC-6</t>
  </si>
  <si>
    <t>SC-917-D-B-5-A</t>
  </si>
  <si>
    <t>FIXED PUMP SHOTGUN &amp; ADJUSTABLE RIFLE RACK SC-1 &amp; SC-6 XL LOCKS</t>
  </si>
  <si>
    <t>SC-917-D-1-5</t>
  </si>
  <si>
    <t>DUAL GUN RACKS</t>
  </si>
  <si>
    <t>RAPID-ADJUST UNIVERSAL K-9 GUN RACKWITH  SC-6 XL LOCK</t>
  </si>
  <si>
    <t>SC-934-5-A-K9</t>
  </si>
  <si>
    <t>RAPID-ADJUST UNIVERSAL TRUNK LID GUN RACK WITH SC-6 XL LOCK</t>
  </si>
  <si>
    <t>SC-934-5-A-MTL</t>
  </si>
  <si>
    <t>RAPID-ADJUST UNIVERSAL OVERHEAD GUN RACKWITH  SC-6 XL LOCK</t>
  </si>
  <si>
    <t>SC-934-5-A</t>
  </si>
  <si>
    <t>UNIVERSAL RAIL OVERHEAD K-9 GUN RACK WITH  SC-6 XL LOCK</t>
  </si>
  <si>
    <t>SC-929-5-K9</t>
  </si>
  <si>
    <t>UNIVERSAL RAIL OVERHEAD GUN RACK WITH  SC-6 XL LOCK</t>
  </si>
  <si>
    <t>SC-929-5</t>
  </si>
  <si>
    <t>UNIVERSAL RAIL OVERHEAD LARGE LOCK GUN RACK WITH SC-1-AR LOCK</t>
  </si>
  <si>
    <t>SC-929-AR</t>
  </si>
  <si>
    <t>UNIVERSAL RAIL OVERHEAD BARREL GUN RACK WITH SC-1-B LOCK</t>
  </si>
  <si>
    <t>SC-929-B</t>
  </si>
  <si>
    <t>UNIVERSAL RAIL OVREHEAD PUMP SHOTGUN RACK WITH SC-1 LOCK</t>
  </si>
  <si>
    <t>SC-929-1</t>
  </si>
  <si>
    <t>OVERHEAD SETUPS ON THE ROLL BAR</t>
  </si>
  <si>
    <t>RIFLE MUZZLE DOWN SETUP WITH  SC-6 XL LOCK &amp; MUZZLE CUP</t>
  </si>
  <si>
    <t>SC-931-MR</t>
  </si>
  <si>
    <t>SHOTGUN MUZZLE DOWN SETUP WITH  SC-6 XL LOCK &amp; MUZZLE PLUG</t>
  </si>
  <si>
    <t>SC-931-MS</t>
  </si>
  <si>
    <t>SHOTGUN MUZZLE DOWN SETUP WITH SC-1 GUN LOCK</t>
  </si>
  <si>
    <t>SC-931-1</t>
  </si>
  <si>
    <t xml:space="preserve">MUZZLE DOWN SETUPS </t>
  </si>
  <si>
    <t>UNIVERSAL RAIL MUZZLE DOWN SHOTGUN OR KSG RACK W/SC-6 XL LOCK</t>
  </si>
  <si>
    <t>SC-920-MS/KSG</t>
  </si>
  <si>
    <t>UNIVERSAL RAIL MUZZLE DOWN RIFLE RACK WITH  SC-6 XL LOCK</t>
  </si>
  <si>
    <t>SC-920-MR</t>
  </si>
  <si>
    <t>UNIVERSAL RAIL GUN RACK WITH  SC-6 XL LOCK</t>
  </si>
  <si>
    <t>SC-920-5</t>
  </si>
  <si>
    <t>UNIVERSAL RAIL LARGE LOCK GUN RACK WITH SC-1-AR LOCK</t>
  </si>
  <si>
    <t>SC-920-AR</t>
  </si>
  <si>
    <t>UNIVERSAL RAIL BARREL GUN RACK WITH SC-1-B LOCK</t>
  </si>
  <si>
    <t>SC-920-B</t>
  </si>
  <si>
    <t>UNIVERSAL RAIL PUMP SHOTGUN RACK WITH SC-1 LOCK</t>
  </si>
  <si>
    <t>SC-920-1</t>
  </si>
  <si>
    <t>ADJUSTABLE UNIVERSAL RAIL GUN RACKS FOR ANY FLAT SURFACE</t>
  </si>
  <si>
    <t>RAPID-ADJUST MUZZLE DOWN SHOTGUN OR KSG RACK W/SC-6 XL LOCK</t>
  </si>
  <si>
    <t>SC-917-MS/KSG</t>
  </si>
  <si>
    <t>RAPID-ADJUST MUZZLE DOWN RIFLE RACK WITH  SC-6 XL LOCK</t>
  </si>
  <si>
    <t>SC-917-MR</t>
  </si>
  <si>
    <t>RAPID-ADJUST UNIVERSAL GUN RACK WITH  SC-6 XL LOCK</t>
  </si>
  <si>
    <t>SC-917-5</t>
  </si>
  <si>
    <t>RAPID-ADJUST GUN RACKS FOR ANY FLAT SURFACE</t>
  </si>
  <si>
    <t>SINGLE GUN RACKS</t>
  </si>
  <si>
    <t>LARGE GUN LOCK WITHOUT KEY OVERRIDE</t>
  </si>
  <si>
    <t>SC-2-AR</t>
  </si>
  <si>
    <t>LARGE GUN LOCK</t>
  </si>
  <si>
    <r>
      <t xml:space="preserve">SC-1-AR  </t>
    </r>
    <r>
      <rPr>
        <sz val="10"/>
        <color rgb="FFFF0000"/>
        <rFont val="Times New Roman"/>
        <family val="1"/>
      </rPr>
      <t>#2 &amp; #H</t>
    </r>
  </si>
  <si>
    <t>SHOTGUN LOCK WITHOUT KEY OVERRIDE</t>
  </si>
  <si>
    <t>SC-2</t>
  </si>
  <si>
    <t>WEAPON BARREL GUN LOCK</t>
  </si>
  <si>
    <r>
      <t xml:space="preserve">SC-1B     </t>
    </r>
    <r>
      <rPr>
        <sz val="10"/>
        <color rgb="FFFF0000"/>
        <rFont val="Times New Roman"/>
        <family val="1"/>
      </rPr>
      <t>#2 &amp; #H</t>
    </r>
  </si>
  <si>
    <t>PUMP SHOTGUN LOCK</t>
  </si>
  <si>
    <r>
      <t xml:space="preserve">SC-1      </t>
    </r>
    <r>
      <rPr>
        <sz val="10"/>
        <color rgb="FFFF0000"/>
        <rFont val="Times New Roman"/>
        <family val="1"/>
      </rPr>
      <t xml:space="preserve">  #2 &amp; #H</t>
    </r>
  </si>
  <si>
    <t xml:space="preserve">STANDARD UNIVERSAL GUNLOCK </t>
  </si>
  <si>
    <r>
      <t xml:space="preserve">SC-5       </t>
    </r>
    <r>
      <rPr>
        <sz val="10"/>
        <color rgb="FFFF0000"/>
        <rFont val="Times New Roman"/>
        <family val="1"/>
      </rPr>
      <t xml:space="preserve"> #2 &amp; #H</t>
    </r>
  </si>
  <si>
    <t>GEN. 2 UNIVERSAL GUN LOCK  #2 AND # KEY OVERRIDE</t>
  </si>
  <si>
    <r>
      <t xml:space="preserve">SC-6        </t>
    </r>
    <r>
      <rPr>
        <sz val="10"/>
        <color rgb="FFFF0000"/>
        <rFont val="Times New Roman"/>
        <family val="1"/>
      </rPr>
      <t>#2 &amp; #H</t>
    </r>
  </si>
  <si>
    <t>GUN LOCKS</t>
  </si>
  <si>
    <t>PRICE</t>
  </si>
  <si>
    <t>LIST</t>
  </si>
  <si>
    <t>PART NO.</t>
  </si>
  <si>
    <t>THERE WILL BE AN UPCHARGE FOR SPECIAL KEYS #X, #3, #CA  PLEASE CALL OR EMAIL FOR PRICING</t>
  </si>
  <si>
    <r>
      <t xml:space="preserve">           </t>
    </r>
    <r>
      <rPr>
        <b/>
        <sz val="16"/>
        <color rgb="FFFF0000"/>
        <rFont val="Times New Roman"/>
        <family val="1"/>
      </rPr>
      <t xml:space="preserve"> PLEASE BE SURE TO SPECIFY MANUAL KEY OVERRIDE:   #H, #2, #3, #CA, #X</t>
    </r>
  </si>
  <si>
    <t>Our Commitment is to Service, Price and Customer Satisfaction.</t>
  </si>
  <si>
    <t>Northbrook, IL  60062                                         (800) 504-1460</t>
  </si>
  <si>
    <t xml:space="preserve">                 3175 MacArthur Blvd.                                        (847) 714-9443 F</t>
  </si>
  <si>
    <t>Lund Industries, Inc                                           (847) 459-1460</t>
  </si>
  <si>
    <t>Product Information: sales@lund-industries.com         To Order: orders@lund-industries.com</t>
  </si>
  <si>
    <t>For Products not manufactured by Lund the Manufactures warranty applies</t>
  </si>
  <si>
    <t xml:space="preserve">Lund Mobile Docking Stations &amp; Electronic Products 3 years from date of purchase     </t>
  </si>
  <si>
    <t>LOFT products 4 years from date of purchase except Gun Locks - 1 year mfg. warranty</t>
  </si>
  <si>
    <r>
      <rPr>
        <b/>
        <sz val="12"/>
        <rFont val="Arial"/>
        <family val="2"/>
      </rPr>
      <t>Warranty</t>
    </r>
    <r>
      <rPr>
        <sz val="12"/>
        <rFont val="Arial"/>
        <family val="2"/>
      </rPr>
      <t xml:space="preserve"> -  Consoles and Mounting Systems (non-electronic) 5 years from date of purchase</t>
    </r>
  </si>
  <si>
    <t>All Prices FOB Northbrook, IL</t>
  </si>
  <si>
    <t>Secure-Idle Ignition Override System For Ford Interceptoirs</t>
  </si>
  <si>
    <t>SI-240TIH</t>
  </si>
  <si>
    <t xml:space="preserve">Dome Light White / LED Red </t>
  </si>
  <si>
    <t>NS-LEDRW</t>
  </si>
  <si>
    <t xml:space="preserve">ChargeGuard Microprocessor controlled Equipment Timeout Timer  </t>
  </si>
  <si>
    <t xml:space="preserve">CG-X              </t>
  </si>
  <si>
    <t>Solid State Taillight Flasher 2.4 FPS</t>
  </si>
  <si>
    <t>AT-700</t>
  </si>
  <si>
    <t>Headlight Flasher (Potted) 1.9 FPS</t>
  </si>
  <si>
    <t>AT-300</t>
  </si>
  <si>
    <t>Solid State Isolation Headlight flasher</t>
  </si>
  <si>
    <r>
      <t xml:space="preserve">AT-1200            </t>
    </r>
    <r>
      <rPr>
        <b/>
        <i/>
        <sz val="8"/>
        <rFont val="Arial"/>
        <family val="2"/>
      </rPr>
      <t xml:space="preserve"> </t>
    </r>
  </si>
  <si>
    <t>Flashers, Power Distribution and Components</t>
  </si>
  <si>
    <t>Brother RJ4030 Heavy-Duty Armrest Printer Mount for Base Plate with Wide Flange Pole</t>
  </si>
  <si>
    <t>RJ4-HDARM-WF</t>
  </si>
  <si>
    <t>Brother RJ4030 Heavy-Duty Armrest Printer Mount for Vertical Surface Mounting</t>
  </si>
  <si>
    <t>RJ4-HDARM-VP</t>
  </si>
  <si>
    <t>Brother RJ4030 Heavy-Duty Armrest Printer Mount for Base Plate with 9" Pole</t>
  </si>
  <si>
    <t>RJ4-HDARM-9</t>
  </si>
  <si>
    <t>Printer Mount interface Bracket to TS-60 or Motion Attachment</t>
  </si>
  <si>
    <r>
      <t xml:space="preserve">PRIF-BRKT  </t>
    </r>
    <r>
      <rPr>
        <i/>
        <sz val="8"/>
        <rFont val="Arial"/>
        <family val="2"/>
      </rPr>
      <t xml:space="preserve">        </t>
    </r>
  </si>
  <si>
    <t>Locking Mount for Zebra ZQ-520 Printers, Accepts Motion Attachments</t>
  </si>
  <si>
    <t xml:space="preserve">PRBKT-ZQ5           </t>
  </si>
  <si>
    <r>
      <t xml:space="preserve">Locking Mount for Zebra RW-420 and Tally Genicom Printers   </t>
    </r>
    <r>
      <rPr>
        <b/>
        <i/>
        <sz val="9"/>
        <rFont val="Arial"/>
        <family val="2"/>
      </rPr>
      <t>Ltd. Qty- Call for Availability</t>
    </r>
  </si>
  <si>
    <t>PRBKT-RW420</t>
  </si>
  <si>
    <t xml:space="preserve">Locking Mount for Brother Rugged Jet RJ4230BL or RJ4250WBL Printers </t>
  </si>
  <si>
    <t>PRBKT-RJ42B</t>
  </si>
  <si>
    <t>Locking Mount for Brother RJ4 Printer</t>
  </si>
  <si>
    <t xml:space="preserve">PRBKT-RJ4              </t>
  </si>
  <si>
    <t>E-Seek M-260 Bar Code Scanner Holder</t>
  </si>
  <si>
    <r>
      <t xml:space="preserve">PRBKT-M260          </t>
    </r>
    <r>
      <rPr>
        <b/>
        <i/>
        <sz val="8"/>
        <rFont val="Arial"/>
        <family val="2"/>
      </rPr>
      <t xml:space="preserve"> </t>
    </r>
  </si>
  <si>
    <t>Locking Mount for Printek FP641</t>
  </si>
  <si>
    <t>PRBKT-FP641</t>
  </si>
  <si>
    <t>E-Seek E-250 Bar Code Scanner Holder</t>
  </si>
  <si>
    <r>
      <t xml:space="preserve">PRBKT-E250             </t>
    </r>
    <r>
      <rPr>
        <b/>
        <i/>
        <sz val="8"/>
        <rFont val="Arial"/>
        <family val="2"/>
      </rPr>
      <t xml:space="preserve">  </t>
    </r>
  </si>
  <si>
    <t>H/D Flip up Armrest with Printek Interceptor Series I80 Latching Roll Fed Printer Mount Wide Flange Base Plate</t>
  </si>
  <si>
    <t>PTKI80-HDARM-WF</t>
  </si>
  <si>
    <t>H/D Flip up Armrest with Printek Interceptor Series I80 Latching Roll Fed Printer Mount for Vertical Surface</t>
  </si>
  <si>
    <t>PTKI80-HDARM-VP</t>
  </si>
  <si>
    <t xml:space="preserve">H/D Flip up Armrest with Printek Interceptor Series I80 Latching Roll Fed Printer Mount w/ 9" Pole </t>
  </si>
  <si>
    <t>PTKI80-HDARM-9</t>
  </si>
  <si>
    <t xml:space="preserve">H/D Flip up Armrest with Printek Interceptor Series I80 Latching Roll Fed Printer Mount w/ 5" Pole </t>
  </si>
  <si>
    <t>PTKI80-HDARM-5</t>
  </si>
  <si>
    <t>Printek Interceptor Series I80 Mobile Printer Case for Mounting to Ford PIU20 Dashboard (Airbag Compliant)</t>
  </si>
  <si>
    <t>PTKI80-CASE-PIU20</t>
  </si>
  <si>
    <t>Printek Interceptor Series I80 Mobile Printer Case with Armrest Pad</t>
  </si>
  <si>
    <t xml:space="preserve">PTKI80-CASE-AP </t>
  </si>
  <si>
    <t>Printek Interceptor Series I80 Mobile Printer Case with Cable Strain Relief</t>
  </si>
  <si>
    <t>PTKI80-CASE</t>
  </si>
  <si>
    <r>
      <t xml:space="preserve">H/D Flip up Armrest with Brother PJ6/PJ7/PJ8 Latching Roll Fed Printer Mount for Base Plate </t>
    </r>
    <r>
      <rPr>
        <b/>
        <sz val="10"/>
        <rFont val="Arial"/>
        <family val="2"/>
      </rPr>
      <t xml:space="preserve">          </t>
    </r>
    <r>
      <rPr>
        <b/>
        <sz val="9"/>
        <rFont val="Arial"/>
        <family val="2"/>
      </rPr>
      <t xml:space="preserve">     </t>
    </r>
  </si>
  <si>
    <t xml:space="preserve">PPJ-HDARM-WF </t>
  </si>
  <si>
    <r>
      <t>H/D Flip up Armrest with Brother PJ6/PJ7/PJ8 Latching Roll Fed Printer Mount for Vert. Surface</t>
    </r>
    <r>
      <rPr>
        <b/>
        <sz val="10"/>
        <rFont val="Arial"/>
        <family val="2"/>
      </rPr>
      <t xml:space="preserve">      </t>
    </r>
    <r>
      <rPr>
        <b/>
        <sz val="9"/>
        <rFont val="Arial"/>
        <family val="2"/>
      </rPr>
      <t xml:space="preserve">     </t>
    </r>
  </si>
  <si>
    <t xml:space="preserve">PPJ-HDARM-VP </t>
  </si>
  <si>
    <r>
      <t>H/D Flip up Armrest with Brother PJ6/PJ7/PJ8 Latching Roll Fed Printer Mount With 9" Pole</t>
    </r>
    <r>
      <rPr>
        <b/>
        <sz val="10"/>
        <rFont val="Arial"/>
        <family val="2"/>
      </rPr>
      <t xml:space="preserve"> </t>
    </r>
    <r>
      <rPr>
        <b/>
        <sz val="9"/>
        <rFont val="Arial"/>
        <family val="2"/>
      </rPr>
      <t xml:space="preserve">     </t>
    </r>
  </si>
  <si>
    <t>PPJ-HDARM-9</t>
  </si>
  <si>
    <r>
      <t>H/D Flip up Armrest with Brother PJ6/PJ7/PJ8 Latching Roll Fed Printer Mount With 5" Pole</t>
    </r>
    <r>
      <rPr>
        <b/>
        <sz val="10"/>
        <rFont val="Arial"/>
        <family val="2"/>
      </rPr>
      <t xml:space="preserve"> </t>
    </r>
    <r>
      <rPr>
        <b/>
        <sz val="9"/>
        <rFont val="Arial"/>
        <family val="2"/>
      </rPr>
      <t xml:space="preserve">     </t>
    </r>
  </si>
  <si>
    <t>PPJ-HDARM-5</t>
  </si>
  <si>
    <t>Brother PocketJet PJ6/PJ7/PJ8 Printer Case for Mounting on 2020 -2025 Ford PIU Dashboard (Airbag Compliant)</t>
  </si>
  <si>
    <t xml:space="preserve">PPJ-CASE-PIU20      </t>
  </si>
  <si>
    <t>Brother PocketJet PJ6/PJ7/PJ8 Printer Case for Mounting on 2013-19 Ford FPIU Dashboard (Airbag Compliant)</t>
  </si>
  <si>
    <t xml:space="preserve">PPJ-CASE-FPIU      </t>
  </si>
  <si>
    <t>Brother PocketJet PJ6/PJ7/PJ8 Printer Case for Mounting on Ford FPIS Dashboard (Airbag Compliant)</t>
  </si>
  <si>
    <t xml:space="preserve">PPJ-CASE-FPIS    </t>
  </si>
  <si>
    <t>Brother PocketJet PJ6/PJ7/PJ8 Mobile Printer Case with Armrest Pad</t>
  </si>
  <si>
    <t>PPJ-CASE-AP</t>
  </si>
  <si>
    <t>Brother PocketJet PJ6/PJ7/PJ8 Mobile Printer Case with Cable Strain Relief</t>
  </si>
  <si>
    <t>PPJ-CASE</t>
  </si>
  <si>
    <t>Armrest Retrofit Kit with Brother PJ6/PJ7/PJ8 Printer mount and Armrest Pad only</t>
  </si>
  <si>
    <t xml:space="preserve">PPJ-ARM-TOP      </t>
  </si>
  <si>
    <t>Dashboard Mounting Plate for 20+ Ford Interceptor Utility, Airbag Compliant</t>
  </si>
  <si>
    <r>
      <t xml:space="preserve">PIU20-DMT                </t>
    </r>
    <r>
      <rPr>
        <b/>
        <i/>
        <sz val="8"/>
        <rFont val="Arial"/>
        <family val="2"/>
      </rPr>
      <t xml:space="preserve">  </t>
    </r>
  </si>
  <si>
    <t>Dashboard Mounting Plate for 13-19 Ford Interceptor Utility, Airbag Compliant</t>
  </si>
  <si>
    <r>
      <t xml:space="preserve">FPIU-DMT                </t>
    </r>
    <r>
      <rPr>
        <b/>
        <i/>
        <sz val="8"/>
        <rFont val="Arial"/>
        <family val="2"/>
      </rPr>
      <t xml:space="preserve">  </t>
    </r>
  </si>
  <si>
    <t>Dashboard Mounting Plate for Ford Interceptor Sedan, Airbag Compliant</t>
  </si>
  <si>
    <t xml:space="preserve">FPIS-DMT                  </t>
  </si>
  <si>
    <t>Getac F110 Tablet power supply</t>
  </si>
  <si>
    <t xml:space="preserve">GE1950-1276           </t>
  </si>
  <si>
    <t xml:space="preserve">Hinged Overhead Printer Mount for Zebra ZQ-520 4" Printer </t>
  </si>
  <si>
    <t xml:space="preserve">OHPM-ZQ5H   </t>
  </si>
  <si>
    <t xml:space="preserve">Overhead Printer Mount for Zebra ZQ-520 4" Printer       </t>
  </si>
  <si>
    <t xml:space="preserve">OHPM-ZQ5             </t>
  </si>
  <si>
    <t xml:space="preserve">Hinged Overhead Printer Mount for Zebra RW-430 4" Printer </t>
  </si>
  <si>
    <r>
      <t xml:space="preserve">OHPM-RW4H </t>
    </r>
    <r>
      <rPr>
        <b/>
        <i/>
        <sz val="8"/>
        <rFont val="Arial"/>
        <family val="2"/>
      </rPr>
      <t xml:space="preserve">          </t>
    </r>
  </si>
  <si>
    <t xml:space="preserve">Overhead Printer Mount for Zebra RW-430 4" Printer    </t>
  </si>
  <si>
    <r>
      <t xml:space="preserve">OHPM-RW4             </t>
    </r>
    <r>
      <rPr>
        <b/>
        <i/>
        <sz val="8"/>
        <rFont val="Arial"/>
        <family val="2"/>
      </rPr>
      <t xml:space="preserve"> </t>
    </r>
  </si>
  <si>
    <t xml:space="preserve">Hinged Overhead Printer Mount for Brother RuggedJet RJ4230BL or RJ4250WBL Printers  </t>
  </si>
  <si>
    <r>
      <t xml:space="preserve">OHPM-RJ42BH           </t>
    </r>
    <r>
      <rPr>
        <b/>
        <i/>
        <sz val="8"/>
        <rFont val="Arial"/>
        <family val="2"/>
      </rPr>
      <t xml:space="preserve"> </t>
    </r>
  </si>
  <si>
    <t xml:space="preserve">Overhead Printer Mount for Brother RuggedJet RJ4230BL or RJ4250WBL Printers  </t>
  </si>
  <si>
    <r>
      <t xml:space="preserve">OHPM-RJ42B            </t>
    </r>
    <r>
      <rPr>
        <b/>
        <i/>
        <sz val="8"/>
        <rFont val="Arial"/>
        <family val="2"/>
      </rPr>
      <t xml:space="preserve"> </t>
    </r>
  </si>
  <si>
    <t>Hinged Overhead Printer Mount for Printek Interceptor Series I80 Mobile Printer For SUV's</t>
  </si>
  <si>
    <t xml:space="preserve">OHPM-PTKI80H-U  </t>
  </si>
  <si>
    <t>Hinged Overhead Printer Mount for Printek Interceptor Series I80 Mobile Printer For Sedans</t>
  </si>
  <si>
    <t xml:space="preserve">OHPM-PTKI80H  </t>
  </si>
  <si>
    <t>Hinged Overhead Printer Mount for Brother PJ6/PJ7/PJ8 Printer, for Trucks and SUV's</t>
  </si>
  <si>
    <t xml:space="preserve">OHPM-PJ6H-U       </t>
  </si>
  <si>
    <t>Hinged Overhead Printer Mount for Brother PJ6/PJ7/PJ8 Printer, for Sedans</t>
  </si>
  <si>
    <t xml:space="preserve">OHPM-PJ6H    </t>
  </si>
  <si>
    <t>Hinged Overhead Printer Mount for Brother 4030 4" Printer</t>
  </si>
  <si>
    <t xml:space="preserve">OHPM-RJ4H            </t>
  </si>
  <si>
    <t xml:space="preserve">Overhead Printer Mount for Brother 4030 4" Printer        </t>
  </si>
  <si>
    <t xml:space="preserve">OHPM-RJ4               </t>
  </si>
  <si>
    <t>Hinged Overhead Printer Mount for Printek FP641 - Trucks and SUV's</t>
  </si>
  <si>
    <t>OHPM-FP641H-U</t>
  </si>
  <si>
    <t>Hinged Overhead Printer Mount for Printek FP641 Printer - Sedans</t>
  </si>
  <si>
    <t>OHPM-FP641H</t>
  </si>
  <si>
    <t xml:space="preserve">Overhead Printer Mount for Printek FP641 4" Printer        </t>
  </si>
  <si>
    <t>OHPM-FP641</t>
  </si>
  <si>
    <t>Printer Mounts and Power Supplies</t>
  </si>
  <si>
    <t>20+ Charger Trunk Gun Mount, Single M4 Rack, Includes Lockhead, Mount &amp; Momentary Switch</t>
  </si>
  <si>
    <t>TGM-M4-CGR20</t>
  </si>
  <si>
    <t>20+ Charger Trunk Gun Mount, Single Shotgun Rack, Includes Lockhead, Mount, Butt Cup &amp; Momentary Switch</t>
  </si>
  <si>
    <t>TGM-SG-CGR20</t>
  </si>
  <si>
    <t>ECO SecureStor Trunk Vault and Locking Gear Drawer Package for 20+ FPI Utility</t>
  </si>
  <si>
    <t xml:space="preserve">SSTB-UPKG20-GD       </t>
  </si>
  <si>
    <t>ECO SecureStor Trunk Vault and Locking Electronics DrawerPackage for 20+ FPI Utility</t>
  </si>
  <si>
    <t xml:space="preserve">SSTB-UPKG20-EC       </t>
  </si>
  <si>
    <t>Tahoe 2021-Newer SecureStor Trunk Vault with Combination Lock and 250lbs Capacity</t>
  </si>
  <si>
    <t>SSTB-21TAH</t>
  </si>
  <si>
    <t>31"d x 40"w x 12"h SecureStor Trunk Vault with Combination Lock and 250lbs Capacity</t>
  </si>
  <si>
    <t>SSTB-3140</t>
  </si>
  <si>
    <r>
      <t xml:space="preserve">Raised SecureStor Mounting Platform for 2020+ FPI-Utility - </t>
    </r>
    <r>
      <rPr>
        <b/>
        <i/>
        <sz val="8"/>
        <rFont val="Arial"/>
        <family val="2"/>
      </rPr>
      <t>Requires Trunk box or Vault</t>
    </r>
  </si>
  <si>
    <t xml:space="preserve">SSTB-ULEV20         </t>
  </si>
  <si>
    <r>
      <t xml:space="preserve">Raised SecureStor Mounting Platform for 13-19 FPI-Utility - </t>
    </r>
    <r>
      <rPr>
        <b/>
        <i/>
        <sz val="8"/>
        <rFont val="Arial"/>
        <family val="2"/>
      </rPr>
      <t>Requires Trunk box or Vault</t>
    </r>
  </si>
  <si>
    <t xml:space="preserve">SSTB-ULEV            </t>
  </si>
  <si>
    <t>Large / Deep Raised Mount Tactical Gear Box for 2020 Ford PIU 40"w x 14"h x 20"d</t>
  </si>
  <si>
    <t xml:space="preserve">SSTB-RM-TGB14-PIU20   </t>
  </si>
  <si>
    <t>Large / Deep Raised Mount Tactical Gear Box for Ford FPIU 40"w x 14"h x 20"d</t>
  </si>
  <si>
    <t xml:space="preserve">SSTB-RM-TGB-14   </t>
  </si>
  <si>
    <t>Large / Deep Floor Mount Tactical Gear Box - Tahoe and other SUV's 40"w x 14"h x 20"d</t>
  </si>
  <si>
    <t xml:space="preserve">SSTB-TGB-14          </t>
  </si>
  <si>
    <r>
      <t xml:space="preserve">10" Raised SecureStor Mounting Platform for 18-23 Dodge Durango - </t>
    </r>
    <r>
      <rPr>
        <b/>
        <i/>
        <sz val="8"/>
        <rFont val="Arial"/>
        <family val="2"/>
      </rPr>
      <t>Requires Trunk box or Vault</t>
    </r>
  </si>
  <si>
    <t>SSTB-DUR-RM10</t>
  </si>
  <si>
    <t>ECO SecureStor Trunk Vault w/ 2 Keyed Locking Flush Trigger Latches Raised Mount for 20+ Durango</t>
  </si>
  <si>
    <t>SSTB-2042RM-DUR</t>
  </si>
  <si>
    <t>ECO SecureStor Trunk Vault w/ 2 Keyed Locking Flush Trigger Latches Raised Mount for 20+ Utility</t>
  </si>
  <si>
    <t xml:space="preserve">SSTB-2042RM-ECO20     </t>
  </si>
  <si>
    <t>Cargo Rail System for SSTB-2042 SecureStor Boxes, Includes Foam Top</t>
  </si>
  <si>
    <t xml:space="preserve">SSTB-2042-CR   </t>
  </si>
  <si>
    <t xml:space="preserve">ECO SecureStor Trunk Vault w/ 2 Keyed Locking Flush Trigger Latches </t>
  </si>
  <si>
    <t xml:space="preserve">SSTB-2042-ECO     </t>
  </si>
  <si>
    <t xml:space="preserve">7' x 3/8" Steel Cable with Loops at each end and Vinyl Coating </t>
  </si>
  <si>
    <t>SS-CABLE7</t>
  </si>
  <si>
    <t>Alum. Single Shotgun Box - gun sits upright in box - Key Lock, 44"w x 9"D x 6"h</t>
  </si>
  <si>
    <r>
      <t xml:space="preserve">SGB-644K                </t>
    </r>
    <r>
      <rPr>
        <b/>
        <i/>
        <sz val="8"/>
        <rFont val="Arial"/>
        <family val="2"/>
      </rPr>
      <t xml:space="preserve">  </t>
    </r>
  </si>
  <si>
    <t>Alum. Single Shotgun Box - gun sits upright in box, electronic lock w/key o-ride,44w x 9D x 6h</t>
  </si>
  <si>
    <t>SGB-644E</t>
  </si>
  <si>
    <t>Alum. Single Shotgun Box - gun sits upright in box - 3 digit Combo Lock, 44w x 9D x 6h</t>
  </si>
  <si>
    <r>
      <t xml:space="preserve">SGB-644C               </t>
    </r>
    <r>
      <rPr>
        <b/>
        <i/>
        <sz val="8"/>
        <rFont val="Arial"/>
        <family val="2"/>
      </rPr>
      <t xml:space="preserve">   </t>
    </r>
  </si>
  <si>
    <t>2017+ Ford F150-550 Quad Cab Pick Up Vault Mounting Kit</t>
  </si>
  <si>
    <t xml:space="preserve">QCPU-MT-KIT-F     </t>
  </si>
  <si>
    <t>2019+ Chevy Silverado/GMC Sierra Quad Cab Pick Up Vault Mounting Kit</t>
  </si>
  <si>
    <t xml:space="preserve">QCPU-MT-KIT-S     </t>
  </si>
  <si>
    <r>
      <t xml:space="preserve">17+ Ford F150 - 550, 19+ Silverado/GMC Sierra Quad Cab Pick Up Vault 54"l x 13"w x 7.5"h </t>
    </r>
    <r>
      <rPr>
        <b/>
        <i/>
        <sz val="10"/>
        <rFont val="Arial"/>
        <family val="2"/>
      </rPr>
      <t>(Requires Mount Kit)</t>
    </r>
  </si>
  <si>
    <t xml:space="preserve">LGV-QCPU-2     </t>
  </si>
  <si>
    <t>2018+ Ford F150 or Chevy Silverado Quad Cab Pick up Vault with mounting brackets</t>
  </si>
  <si>
    <t xml:space="preserve">LGV-QCPU          </t>
  </si>
  <si>
    <t>Aluminum Sedan Trunk Box 40"w x 16"D x 6"h with key lock - Foam Lined</t>
  </si>
  <si>
    <t xml:space="preserve">LGV-T40K                </t>
  </si>
  <si>
    <t>Aluminum Sedan Trunk Box 40"w x 16"D x 6"h with electronic lock - Foam Lined</t>
  </si>
  <si>
    <r>
      <t xml:space="preserve">LGV-T40E                </t>
    </r>
    <r>
      <rPr>
        <b/>
        <i/>
        <sz val="8"/>
        <rFont val="Arial"/>
        <family val="2"/>
      </rPr>
      <t xml:space="preserve">  </t>
    </r>
  </si>
  <si>
    <t>Aluminum  Gun Box 36"w x 16"D x 7"h Lift-off lid with electronic lock - Foam Lined</t>
  </si>
  <si>
    <t xml:space="preserve">LGV-1636L    </t>
  </si>
  <si>
    <t>Aluminum Gun Box 36"w x 16"D x 7"h Lift-off lid with Combi-Cam lock/key o-ride- 3.5" foam</t>
  </si>
  <si>
    <t xml:space="preserve">LGV-1636BCK          </t>
  </si>
  <si>
    <t>Aluminum Gun Box 36"w x 16"D x 7"h Lift-off lid with electronic lock - 3.5" Foam Block</t>
  </si>
  <si>
    <t>LGV-1636B</t>
  </si>
  <si>
    <t xml:space="preserve">Aluminum Gun Box 40"w x 15"D x 7"h Lift-off lid with electronic lock - Foam Lined </t>
  </si>
  <si>
    <t xml:space="preserve">LGV-1540L     </t>
  </si>
  <si>
    <t>Aluminum Gun Box 40"w x 15"D x 7"h Lift-off lid with Combi-Cam lock/key o-ride  - 3.5" Foam Block</t>
  </si>
  <si>
    <t xml:space="preserve">LGV-1540BCK        </t>
  </si>
  <si>
    <t>Aluminum Gun Box 40"w x 15"D x 7"h Lift-off lid with electronic lock - 3.5" Foam Block</t>
  </si>
  <si>
    <t xml:space="preserve">LGV-1540B     </t>
  </si>
  <si>
    <t>Aluminum Storage Box 40"w x 15"D x 12"h Lift-off lid with electronic lock - Foam Insert</t>
  </si>
  <si>
    <t xml:space="preserve">LGV-1540-12    </t>
  </si>
  <si>
    <t xml:space="preserve">Stand Alone Dual Gunrack with 2 trap door locks for 15-20 Chevy Tahoe / Suburban </t>
  </si>
  <si>
    <r>
      <t xml:space="preserve">SS-GM2-TAH15      </t>
    </r>
    <r>
      <rPr>
        <b/>
        <i/>
        <sz val="8"/>
        <rFont val="Arial"/>
        <family val="2"/>
      </rPr>
      <t xml:space="preserve"> </t>
    </r>
  </si>
  <si>
    <t xml:space="preserve">Stand Alone Dual Gunrack with 2 trap door locks for 21+ Chevy Tahoe / Suburban </t>
  </si>
  <si>
    <r>
      <t xml:space="preserve">SS-GM2-21TAH      </t>
    </r>
    <r>
      <rPr>
        <b/>
        <i/>
        <sz val="8"/>
        <rFont val="Arial"/>
        <family val="2"/>
      </rPr>
      <t xml:space="preserve"> </t>
    </r>
  </si>
  <si>
    <t>Stand Alone Dual Gunrack with 2 trap door locks for 2012 + Dodge Ram SSV</t>
  </si>
  <si>
    <t xml:space="preserve">SS-GM2-RAM           </t>
  </si>
  <si>
    <t>Stand Alone Dual Gunrack with 2 trap door locks for 2020+ Ford PI Utility</t>
  </si>
  <si>
    <r>
      <t xml:space="preserve">SS-GM2-PIU20 </t>
    </r>
    <r>
      <rPr>
        <b/>
        <sz val="9"/>
        <rFont val="Arial"/>
        <family val="2"/>
      </rPr>
      <t xml:space="preserve">   </t>
    </r>
    <r>
      <rPr>
        <b/>
        <i/>
        <sz val="9"/>
        <rFont val="Arial"/>
        <family val="2"/>
      </rPr>
      <t xml:space="preserve"> </t>
    </r>
    <r>
      <rPr>
        <b/>
        <sz val="9"/>
        <rFont val="Arial"/>
        <family val="2"/>
      </rPr>
      <t xml:space="preserve">  </t>
    </r>
  </si>
  <si>
    <t>Stand Alone Dual Gunrack with 2 trap door locks for 2012-19 Ford PI Utility</t>
  </si>
  <si>
    <r>
      <t xml:space="preserve">SS-GM2-FPIU </t>
    </r>
    <r>
      <rPr>
        <b/>
        <sz val="9"/>
        <rFont val="Arial"/>
        <family val="2"/>
      </rPr>
      <t xml:space="preserve">            </t>
    </r>
    <r>
      <rPr>
        <b/>
        <sz val="9"/>
        <rFont val="Arial"/>
        <family val="2"/>
      </rPr>
      <t xml:space="preserve"> </t>
    </r>
  </si>
  <si>
    <t>Stand Alone Dual Gunrack with 2 trap door locks for 2012+ Ford PI Sedan</t>
  </si>
  <si>
    <t xml:space="preserve">SS-GM2-FPIS          </t>
  </si>
  <si>
    <t>Stand Alone Dual Gunrack with 2 trap door locks for '20+ Ford F-150/250 SuperCrew Cab</t>
  </si>
  <si>
    <r>
      <t xml:space="preserve">SS-GM2-F150-AL23         </t>
    </r>
    <r>
      <rPr>
        <b/>
        <i/>
        <sz val="8"/>
        <rFont val="Arial"/>
        <family val="2"/>
      </rPr>
      <t xml:space="preserve"> </t>
    </r>
  </si>
  <si>
    <t>Stand Alone Dual Gunrack with 2 trap door locks for '04-'14 Ford F-150 SuperCrew Cab</t>
  </si>
  <si>
    <r>
      <t xml:space="preserve">SS-GM2-F150           </t>
    </r>
    <r>
      <rPr>
        <b/>
        <i/>
        <sz val="8"/>
        <rFont val="Arial"/>
        <family val="2"/>
      </rPr>
      <t xml:space="preserve"> </t>
    </r>
  </si>
  <si>
    <t>Stand Alone Dual Gunrack with 2 trap door locks for  Ford '07-'16 Expedition</t>
  </si>
  <si>
    <t xml:space="preserve">SS-GM2-EXPD  </t>
  </si>
  <si>
    <t>Stand Alone Dual Gunrack with 2 trap door locks for 21+ Dodge Durango</t>
  </si>
  <si>
    <t>SS-GM2-DUR21</t>
  </si>
  <si>
    <t xml:space="preserve">Stand Alone Dual Gunrack with 2 trap door locks for 2011-17 Dodge Charger  </t>
  </si>
  <si>
    <r>
      <t xml:space="preserve">SS-GM2-CGR11        </t>
    </r>
    <r>
      <rPr>
        <b/>
        <i/>
        <sz val="8"/>
        <rFont val="Arial"/>
        <family val="2"/>
      </rPr>
      <t xml:space="preserve">  </t>
    </r>
  </si>
  <si>
    <t>Stand Alone Gun Rack Transfer Kit for 2011- Newer Charger</t>
  </si>
  <si>
    <t>SS-GM1-TK-CGR11</t>
  </si>
  <si>
    <r>
      <t xml:space="preserve">Stand Alone Single Gunrack for 2011-'17 Dodge Charger  - </t>
    </r>
    <r>
      <rPr>
        <b/>
        <i/>
        <sz val="10"/>
        <rFont val="Arial"/>
        <family val="2"/>
      </rPr>
      <t>No Lock</t>
    </r>
  </si>
  <si>
    <t>SS-GM1-CGR11NL</t>
  </si>
  <si>
    <t>Stand Alone Gun Rack Side Panels</t>
  </si>
  <si>
    <t xml:space="preserve">SS-GM-SP                </t>
  </si>
  <si>
    <t>Gunlock Upgrade from Large &amp; Small Trap Door to Universal Style Lockheads</t>
  </si>
  <si>
    <t>SS-GM-LKUPG2</t>
  </si>
  <si>
    <t xml:space="preserve">Gunlock Upgrade from Large Trap Door to Universal Style Lockhead </t>
  </si>
  <si>
    <t>SS-GM-LKUPG</t>
  </si>
  <si>
    <r>
      <t xml:space="preserve">Credit for each lock head </t>
    </r>
    <r>
      <rPr>
        <b/>
        <sz val="10"/>
        <rFont val="Arial"/>
        <family val="2"/>
      </rPr>
      <t>NOT</t>
    </r>
    <r>
      <rPr>
        <sz val="10"/>
        <rFont val="Arial"/>
        <family val="2"/>
      </rPr>
      <t xml:space="preserve"> required on SS-GM2 mounts </t>
    </r>
  </si>
  <si>
    <t xml:space="preserve">SS-GM-NOLOCK       </t>
  </si>
  <si>
    <t>Free Standing Floor Mount Dual Gun Rack with 2 Trap Door Locks</t>
  </si>
  <si>
    <t xml:space="preserve">SS-FSGM2         </t>
  </si>
  <si>
    <t>Partition mount dual gun rack, 2 trap door locks</t>
  </si>
  <si>
    <r>
      <t xml:space="preserve">SS-CGM2                 </t>
    </r>
    <r>
      <rPr>
        <b/>
        <i/>
        <sz val="8"/>
        <rFont val="Arial"/>
        <family val="2"/>
      </rPr>
      <t xml:space="preserve">  </t>
    </r>
  </si>
  <si>
    <t>Partition mount dual gun rack, 1  trap door lock</t>
  </si>
  <si>
    <r>
      <t xml:space="preserve">SS-CGM1                 </t>
    </r>
    <r>
      <rPr>
        <b/>
        <i/>
        <sz val="8"/>
        <rFont val="Arial"/>
        <family val="2"/>
      </rPr>
      <t xml:space="preserve">  </t>
    </r>
  </si>
  <si>
    <t>Partition mount dual gun rack, no locks</t>
  </si>
  <si>
    <r>
      <t xml:space="preserve">SS-CGM                   </t>
    </r>
    <r>
      <rPr>
        <b/>
        <i/>
        <sz val="8"/>
        <rFont val="Arial"/>
        <family val="2"/>
      </rPr>
      <t xml:space="preserve">  </t>
    </r>
  </si>
  <si>
    <r>
      <t xml:space="preserve">20+ FPI-Utility Locking 35"w x 16"d x 6"h Gear Drawer   </t>
    </r>
    <r>
      <rPr>
        <b/>
        <i/>
        <sz val="9"/>
        <rFont val="Arial"/>
        <family val="2"/>
      </rPr>
      <t>Requires SSTB-2042RM-ECO20</t>
    </r>
  </si>
  <si>
    <t xml:space="preserve">PIU20-UGD          </t>
  </si>
  <si>
    <r>
      <t xml:space="preserve">20+ FPI-Utility Locking Electronics Drawer w/ 14" x 32" Tray  </t>
    </r>
    <r>
      <rPr>
        <b/>
        <i/>
        <sz val="9"/>
        <rFont val="Arial"/>
        <family val="2"/>
      </rPr>
      <t>Requires SSTB-2042RM</t>
    </r>
    <r>
      <rPr>
        <b/>
        <i/>
        <sz val="10"/>
        <rFont val="Arial"/>
        <family val="2"/>
      </rPr>
      <t>-ECO20</t>
    </r>
  </si>
  <si>
    <t xml:space="preserve">PIU20-UEC                   </t>
  </si>
  <si>
    <t>Quick Disconnect Assembly for VPB-814D Pistol Box</t>
  </si>
  <si>
    <r>
      <rPr>
        <b/>
        <sz val="10"/>
        <color indexed="8"/>
        <rFont val="Arial"/>
        <family val="2"/>
      </rPr>
      <t>VPB-QD</t>
    </r>
    <r>
      <rPr>
        <b/>
        <sz val="8"/>
        <color indexed="8"/>
        <rFont val="Arial"/>
        <family val="2"/>
      </rPr>
      <t xml:space="preserve">                           </t>
    </r>
  </si>
  <si>
    <t>Pistol box - 8"w x 14"l x 3.25"h with Handle and 4 Digit Combo Lock w/key override</t>
  </si>
  <si>
    <r>
      <rPr>
        <b/>
        <sz val="10"/>
        <color indexed="8"/>
        <rFont val="Arial"/>
        <family val="2"/>
      </rPr>
      <t xml:space="preserve">VPB-814D-CK    </t>
    </r>
    <r>
      <rPr>
        <b/>
        <sz val="8"/>
        <color indexed="8"/>
        <rFont val="Arial"/>
        <family val="2"/>
      </rPr>
      <t xml:space="preserve">  </t>
    </r>
  </si>
  <si>
    <t>Pistol box - 8"w x 14"l x 3.25"h with Handle and RPT Lock</t>
  </si>
  <si>
    <r>
      <rPr>
        <b/>
        <sz val="10"/>
        <color indexed="8"/>
        <rFont val="Arial"/>
        <family val="2"/>
      </rPr>
      <t>VPB-814D</t>
    </r>
    <r>
      <rPr>
        <b/>
        <sz val="8"/>
        <color indexed="8"/>
        <rFont val="Arial"/>
        <family val="2"/>
      </rPr>
      <t xml:space="preserve">                       </t>
    </r>
  </si>
  <si>
    <t>20+ Charger Locking Trunk Floor Hatch</t>
  </si>
  <si>
    <t>CGR20-THL</t>
  </si>
  <si>
    <t>20+ Charger Aluminum Locking Slideout Equipment Trunk Drawer</t>
  </si>
  <si>
    <t>CGR20-TD</t>
  </si>
  <si>
    <t>Gun Vaults, Racks and Storage</t>
  </si>
  <si>
    <t>Universal 25" x 16"  Slide out Trunk Tray for Under Rear Deck Mounting</t>
  </si>
  <si>
    <r>
      <t xml:space="preserve">UNI-TRAY-25 </t>
    </r>
    <r>
      <rPr>
        <b/>
        <i/>
        <sz val="8"/>
        <rFont val="Arial"/>
        <family val="2"/>
      </rPr>
      <t xml:space="preserve"> </t>
    </r>
  </si>
  <si>
    <t>Universal 21" x 16"  Slide out Trunk Tray for  Under Rear Deck Mounting</t>
  </si>
  <si>
    <t xml:space="preserve">UNI-TRAY-21    </t>
  </si>
  <si>
    <t>Side Trunk Equipment Tray for 2011-2023 Dodge Charger - 17" x 18"</t>
  </si>
  <si>
    <r>
      <t xml:space="preserve">ST-CGR11  </t>
    </r>
    <r>
      <rPr>
        <b/>
        <i/>
        <sz val="8"/>
        <rFont val="Arial"/>
        <family val="2"/>
      </rPr>
      <t xml:space="preserve">  </t>
    </r>
    <r>
      <rPr>
        <b/>
        <sz val="10"/>
        <rFont val="Arial"/>
        <family val="2"/>
      </rPr>
      <t xml:space="preserve">        </t>
    </r>
  </si>
  <si>
    <t>Ford Interceptor Sedan 25" x 16"  Slide out Trunk Tray for  Under Rear Deck Mounting</t>
  </si>
  <si>
    <t xml:space="preserve">FPI-TRAY25  </t>
  </si>
  <si>
    <t>Ford Interceptor Sedan 21" x 16"  Slide out Trunk Tray for  Under Rear Deck Mounting</t>
  </si>
  <si>
    <t xml:space="preserve">FPI-TRAY21 </t>
  </si>
  <si>
    <t xml:space="preserve">Universal SUV with rear prisoner cage  40" x 15" Aluminum Locking Fold Down Equipment Tray with 37" x 14" Slide-out </t>
  </si>
  <si>
    <t xml:space="preserve">FDRS-SUV-SA          </t>
  </si>
  <si>
    <t xml:space="preserve">2011+ Ford PI Utility with rear prisoner cage 40" x 15" Aluminum Locking Fold Down Equipment Tray with 37" x 14" Slide-out </t>
  </si>
  <si>
    <t xml:space="preserve">FDRS-FPIU-SA         </t>
  </si>
  <si>
    <t xml:space="preserve">2011+ Ford PI Sedan 36" x 17 3/8" Aluminum Locking Fold Down Rear Seat with 32"x 14" Slide-out </t>
  </si>
  <si>
    <t xml:space="preserve">FDRS-FPIS-SA         </t>
  </si>
  <si>
    <t>2011+ Dodge Charger 37" x 18" Aluminum Locking Fold Down Rear Seat equipment Tray with 32" x 14" Slide out</t>
  </si>
  <si>
    <t xml:space="preserve">FDRS-CGR11-SA      </t>
  </si>
  <si>
    <t xml:space="preserve">21" x 16" 2011- 2023 Charger Slide out Trunk Tray </t>
  </si>
  <si>
    <t xml:space="preserve">CGR11-TRAY21  </t>
  </si>
  <si>
    <t>Roof Rack and Trunk Trays</t>
  </si>
  <si>
    <t>Call</t>
  </si>
  <si>
    <r>
      <t xml:space="preserve">2015-'19 Tahoe / Suburban  X-Tall   </t>
    </r>
    <r>
      <rPr>
        <b/>
        <i/>
        <sz val="8"/>
        <rFont val="Arial"/>
        <family val="2"/>
      </rPr>
      <t xml:space="preserve"> LTD QTY-CALL FOR AVAILABILITY </t>
    </r>
  </si>
  <si>
    <t>PASS-2XL-TAH15</t>
  </si>
  <si>
    <r>
      <t xml:space="preserve">2013 - 19 Ford PI Utility X-Tall    </t>
    </r>
    <r>
      <rPr>
        <b/>
        <i/>
        <sz val="8"/>
        <rFont val="Arial"/>
        <family val="2"/>
      </rPr>
      <t xml:space="preserve"> LTD QTY-CALL FOR AVAILABILITY</t>
    </r>
    <r>
      <rPr>
        <sz val="10"/>
        <rFont val="Arial"/>
        <family val="2"/>
      </rPr>
      <t xml:space="preserve"> </t>
    </r>
  </si>
  <si>
    <t xml:space="preserve">PASS-2XL-FPI-U16  </t>
  </si>
  <si>
    <r>
      <t xml:space="preserve">2015-'19 Chevy Tahoe / Suburban      </t>
    </r>
    <r>
      <rPr>
        <b/>
        <i/>
        <sz val="8"/>
        <rFont val="Arial"/>
        <family val="2"/>
      </rPr>
      <t>LTD QTY-CALL FOR AVAILABILITY</t>
    </r>
    <r>
      <rPr>
        <sz val="10"/>
        <rFont val="Arial"/>
        <family val="2"/>
      </rPr>
      <t xml:space="preserve"> </t>
    </r>
  </si>
  <si>
    <t>PASS-2-TAH15</t>
  </si>
  <si>
    <r>
      <t xml:space="preserve">2015 Ford FPI-U with Twin Turbo                    </t>
    </r>
    <r>
      <rPr>
        <b/>
        <i/>
        <sz val="8"/>
        <rFont val="Arial"/>
        <family val="2"/>
      </rPr>
      <t>LTD QTY-CALL FOR AVAILABILITY</t>
    </r>
    <r>
      <rPr>
        <sz val="8"/>
        <rFont val="Arial"/>
        <family val="2"/>
      </rPr>
      <t xml:space="preserve"> </t>
    </r>
  </si>
  <si>
    <t>PASS-2-FPI-UT</t>
  </si>
  <si>
    <r>
      <t xml:space="preserve">2013 - 19 Ford PI Utility   </t>
    </r>
    <r>
      <rPr>
        <b/>
        <i/>
        <sz val="8"/>
        <rFont val="Arial"/>
        <family val="2"/>
      </rPr>
      <t xml:space="preserve">LTD QTY-CALL FOR AVAILABILITY </t>
    </r>
  </si>
  <si>
    <t>PASS-2-FPI-U16</t>
  </si>
  <si>
    <r>
      <t xml:space="preserve">2011+ Ford PI-Sedan     </t>
    </r>
    <r>
      <rPr>
        <b/>
        <i/>
        <sz val="8"/>
        <rFont val="Arial"/>
        <family val="2"/>
      </rPr>
      <t xml:space="preserve">LTD QTY-CALL FOR AVAILABILITY </t>
    </r>
  </si>
  <si>
    <t>PASS-2-FPI-S</t>
  </si>
  <si>
    <r>
      <t xml:space="preserve">2006 - 2015 Expedition (available in XL only)           </t>
    </r>
    <r>
      <rPr>
        <b/>
        <i/>
        <sz val="8"/>
        <rFont val="Arial"/>
        <family val="2"/>
      </rPr>
      <t xml:space="preserve">LTD QTY-CALL FOR AVAILABILITY </t>
    </r>
  </si>
  <si>
    <t>PASS-2XL-EXPED</t>
  </si>
  <si>
    <r>
      <t xml:space="preserve">2021+ Dodge Durango        </t>
    </r>
    <r>
      <rPr>
        <b/>
        <i/>
        <sz val="8"/>
        <rFont val="Arial"/>
        <family val="2"/>
      </rPr>
      <t xml:space="preserve">LTD QTY-CALL FOR AVAILABILITY </t>
    </r>
  </si>
  <si>
    <t>PASS-2XL-DUR21</t>
  </si>
  <si>
    <r>
      <t xml:space="preserve">2015+ Dodge Charger                      </t>
    </r>
    <r>
      <rPr>
        <b/>
        <i/>
        <sz val="8"/>
        <rFont val="Arial"/>
        <family val="2"/>
      </rPr>
      <t xml:space="preserve">LTD QTY-CALL FOR AVAILABILITY </t>
    </r>
  </si>
  <si>
    <t>PASS-2-CGR15</t>
  </si>
  <si>
    <r>
      <rPr>
        <b/>
        <i/>
        <sz val="12"/>
        <rFont val="Arial"/>
        <family val="2"/>
      </rPr>
      <t xml:space="preserve">PASS </t>
    </r>
    <r>
      <rPr>
        <b/>
        <sz val="12"/>
        <rFont val="Arial"/>
        <family val="2"/>
      </rPr>
      <t>- Police Audio Visual Safety System             ***</t>
    </r>
    <r>
      <rPr>
        <b/>
        <i/>
        <sz val="12"/>
        <rFont val="Arial"/>
        <family val="2"/>
      </rPr>
      <t>Call for Distributor / Dealer Pricing***</t>
    </r>
  </si>
  <si>
    <t>Small Flange 8" Vertical Surface Pole Mount with standard upper</t>
  </si>
  <si>
    <t xml:space="preserve">VMP-8-S     </t>
  </si>
  <si>
    <r>
      <t xml:space="preserve">Small Flange 8" Vertical Surface Mount      </t>
    </r>
    <r>
      <rPr>
        <i/>
        <sz val="10"/>
        <rFont val="Arial"/>
        <family val="2"/>
      </rPr>
      <t xml:space="preserve">       </t>
    </r>
    <r>
      <rPr>
        <b/>
        <i/>
        <sz val="10"/>
        <rFont val="Arial"/>
        <family val="2"/>
      </rPr>
      <t xml:space="preserve"> </t>
    </r>
    <r>
      <rPr>
        <b/>
        <i/>
        <sz val="8"/>
        <rFont val="Arial"/>
        <family val="2"/>
      </rPr>
      <t>Requires Pole Assembly</t>
    </r>
  </si>
  <si>
    <t>VMP-8B</t>
  </si>
  <si>
    <t>5" Long upper for 9" pole</t>
  </si>
  <si>
    <t>UPR-S9</t>
  </si>
  <si>
    <t>5" Long upper for 5" pole</t>
  </si>
  <si>
    <t>UPR-S5</t>
  </si>
  <si>
    <t>8" Long upper for 9" pole</t>
  </si>
  <si>
    <t>UPR-M9</t>
  </si>
  <si>
    <t>8" Long upper for 5" pole</t>
  </si>
  <si>
    <t>UPR-M5</t>
  </si>
  <si>
    <t>12" Long upper for 9" pole</t>
  </si>
  <si>
    <t>UPR-L9</t>
  </si>
  <si>
    <t>12" Long upper for 5" pole</t>
  </si>
  <si>
    <t>UPR-L5</t>
  </si>
  <si>
    <t>Center Upper - offers closer mounting to the dash with no offset for 9" pole</t>
  </si>
  <si>
    <r>
      <t xml:space="preserve">UPR-C9                     </t>
    </r>
    <r>
      <rPr>
        <b/>
        <i/>
        <sz val="8"/>
        <rFont val="Arial"/>
        <family val="2"/>
      </rPr>
      <t xml:space="preserve">  </t>
    </r>
  </si>
  <si>
    <t>Center Upper - offers closer mounting to the dash with no offset for 5" pole</t>
  </si>
  <si>
    <r>
      <t xml:space="preserve">UPR-C5                     </t>
    </r>
    <r>
      <rPr>
        <b/>
        <i/>
        <sz val="8"/>
        <rFont val="Arial"/>
        <family val="2"/>
      </rPr>
      <t xml:space="preserve">  </t>
    </r>
  </si>
  <si>
    <t xml:space="preserve">13" Pole Bottom </t>
  </si>
  <si>
    <r>
      <t xml:space="preserve">P13B                       </t>
    </r>
    <r>
      <rPr>
        <b/>
        <i/>
        <sz val="8"/>
        <rFont val="Arial"/>
        <family val="2"/>
      </rPr>
      <t xml:space="preserve">  </t>
    </r>
  </si>
  <si>
    <t>12" - 16" adjustable pole with standard 5" upper</t>
  </si>
  <si>
    <t>P12-S</t>
  </si>
  <si>
    <t xml:space="preserve">12" Pole bottom  </t>
  </si>
  <si>
    <t>P12B</t>
  </si>
  <si>
    <t>9" - 14" adjustable pole with a wide 5 x 5 universal flange and standard upper</t>
  </si>
  <si>
    <t>P9-WF-S</t>
  </si>
  <si>
    <t>9" - 14" Universal Flange Pole with 12" Adjustable Upper</t>
  </si>
  <si>
    <t>P9WF-ADJ-L</t>
  </si>
  <si>
    <t xml:space="preserve">9" - 14" adjustable pole with standard 5" upper </t>
  </si>
  <si>
    <t>P9-S</t>
  </si>
  <si>
    <t xml:space="preserve">5" x 5" Wide Flange 9" Pole Bottom  </t>
  </si>
  <si>
    <t>P9-WFB</t>
  </si>
  <si>
    <t xml:space="preserve">9" Pole Bottom  </t>
  </si>
  <si>
    <t>P9B</t>
  </si>
  <si>
    <t>9" - 14" Pole with 8" Adjustable Upper</t>
  </si>
  <si>
    <t>P9-ADJ-M</t>
  </si>
  <si>
    <t xml:space="preserve">7" Pole Bottom  </t>
  </si>
  <si>
    <r>
      <t xml:space="preserve">P7B  </t>
    </r>
    <r>
      <rPr>
        <b/>
        <i/>
        <sz val="8"/>
        <rFont val="Arial"/>
        <family val="2"/>
      </rPr>
      <t xml:space="preserve">                                </t>
    </r>
  </si>
  <si>
    <t>5" - 8" adjustable pole with a wide 5 x 5 universal flange and standard upper</t>
  </si>
  <si>
    <t>P5-WF-S</t>
  </si>
  <si>
    <t>5" - 8" adjustable pole with standard  5" upper</t>
  </si>
  <si>
    <t>P5-S</t>
  </si>
  <si>
    <t xml:space="preserve">5" x 5" Wide Flange 5" Pole Bottom  </t>
  </si>
  <si>
    <t>P5-WFB</t>
  </si>
  <si>
    <t xml:space="preserve">5" Pole Bottom  </t>
  </si>
  <si>
    <t>P5B</t>
  </si>
  <si>
    <r>
      <t xml:space="preserve">2015-'17 Ford Transit Van Passenger Seat Bolt Mount  </t>
    </r>
    <r>
      <rPr>
        <b/>
        <i/>
        <sz val="9"/>
        <rFont val="Arial"/>
        <family val="2"/>
      </rPr>
      <t>Requires Pole Assembly</t>
    </r>
  </si>
  <si>
    <t xml:space="preserve">FP-TRANSIT           </t>
  </si>
  <si>
    <t>Offset Universal Mounting Step for Poles</t>
  </si>
  <si>
    <t>FP-STEP</t>
  </si>
  <si>
    <t>2004 - Newer Dodge / Freightliner / Mercedes Sprinter Passenger Side Mount Base</t>
  </si>
  <si>
    <r>
      <t xml:space="preserve">FP-SPRINTER          </t>
    </r>
    <r>
      <rPr>
        <b/>
        <i/>
        <sz val="8"/>
        <rFont val="Arial"/>
        <family val="2"/>
      </rPr>
      <t xml:space="preserve">  </t>
    </r>
  </si>
  <si>
    <r>
      <t xml:space="preserve">2014-2017 Ram ProMaster Van Passenger Side Seat Bolt Mount </t>
    </r>
    <r>
      <rPr>
        <b/>
        <i/>
        <sz val="9"/>
        <rFont val="Arial"/>
        <family val="2"/>
      </rPr>
      <t>Requires Pole Assembly</t>
    </r>
  </si>
  <si>
    <t xml:space="preserve">FP-RAMPRO       </t>
  </si>
  <si>
    <t>2019-Newer Dodge Ram 1500 - 500 Passenger Side Seat Bolt Mount</t>
  </si>
  <si>
    <t>FP-RAM19</t>
  </si>
  <si>
    <t>2002-Newer Dodge Ram 1500 - 500 Passenger Side Seat Bolt Mount</t>
  </si>
  <si>
    <t>FP-RAM02</t>
  </si>
  <si>
    <r>
      <t xml:space="preserve">2020 Ford PIU Passenger Side Seat Bolt Mount     </t>
    </r>
    <r>
      <rPr>
        <b/>
        <i/>
        <sz val="8"/>
        <rFont val="Arial"/>
        <family val="2"/>
      </rPr>
      <t>Requires Pole Assembly</t>
    </r>
  </si>
  <si>
    <t xml:space="preserve">FP-PIU20                 </t>
  </si>
  <si>
    <t>International and Freightliner Passenger Side Base</t>
  </si>
  <si>
    <t>FP-INTFL</t>
  </si>
  <si>
    <r>
      <t xml:space="preserve">2011-2017 Ford Interceptor Sedan &amp; Utility Base Only      </t>
    </r>
    <r>
      <rPr>
        <b/>
        <i/>
        <sz val="8"/>
        <rFont val="Arial"/>
        <family val="2"/>
      </rPr>
      <t>Requires Pole Assembly</t>
    </r>
  </si>
  <si>
    <t xml:space="preserve">FP-FPI               </t>
  </si>
  <si>
    <r>
      <t xml:space="preserve">2007-2017 Expedition Pass Side Seat Bolt Mount        </t>
    </r>
    <r>
      <rPr>
        <b/>
        <sz val="8"/>
        <rFont val="Arial"/>
        <family val="2"/>
      </rPr>
      <t xml:space="preserve"> </t>
    </r>
    <r>
      <rPr>
        <b/>
        <i/>
        <sz val="8"/>
        <rFont val="Arial"/>
        <family val="2"/>
      </rPr>
      <t xml:space="preserve"> Requires Pole Assembly</t>
    </r>
  </si>
  <si>
    <r>
      <t xml:space="preserve">FP-EXPED08           </t>
    </r>
    <r>
      <rPr>
        <b/>
        <i/>
        <sz val="8"/>
        <rFont val="Arial"/>
        <family val="2"/>
      </rPr>
      <t xml:space="preserve">  </t>
    </r>
  </si>
  <si>
    <r>
      <t xml:space="preserve">2011-Newer Dodge Charger Passenger Side Base </t>
    </r>
    <r>
      <rPr>
        <b/>
        <sz val="10"/>
        <rFont val="Arial"/>
        <family val="2"/>
      </rPr>
      <t xml:space="preserve"> </t>
    </r>
    <r>
      <rPr>
        <b/>
        <i/>
        <sz val="8"/>
        <rFont val="Arial"/>
        <family val="2"/>
      </rPr>
      <t>Requires Pole Assembly</t>
    </r>
  </si>
  <si>
    <r>
      <t xml:space="preserve">FP-CHGR11             </t>
    </r>
    <r>
      <rPr>
        <b/>
        <i/>
        <sz val="8"/>
        <rFont val="Arial"/>
        <family val="2"/>
      </rPr>
      <t xml:space="preserve">  </t>
    </r>
  </si>
  <si>
    <r>
      <t xml:space="preserve">2019+ Silverado 1500 Passenger Side Seat Bolt Mount   </t>
    </r>
    <r>
      <rPr>
        <b/>
        <i/>
        <sz val="9"/>
        <rFont val="Arial"/>
        <family val="2"/>
      </rPr>
      <t>Requires Pole Assembly</t>
    </r>
  </si>
  <si>
    <r>
      <t xml:space="preserve">FP-151     </t>
    </r>
    <r>
      <rPr>
        <b/>
        <i/>
        <sz val="9"/>
        <rFont val="Arial"/>
        <family val="2"/>
      </rPr>
      <t xml:space="preserve">       </t>
    </r>
    <r>
      <rPr>
        <b/>
        <sz val="10"/>
        <rFont val="Arial"/>
        <family val="2"/>
      </rPr>
      <t xml:space="preserve">              </t>
    </r>
    <r>
      <rPr>
        <b/>
        <i/>
        <sz val="8"/>
        <rFont val="Arial"/>
        <family val="2"/>
      </rPr>
      <t xml:space="preserve"> </t>
    </r>
  </si>
  <si>
    <r>
      <t>2013 Jeep Patriot Passenger Side Base with Offset Step</t>
    </r>
    <r>
      <rPr>
        <b/>
        <i/>
        <sz val="8"/>
        <rFont val="Arial"/>
        <family val="2"/>
      </rPr>
      <t xml:space="preserve">                   Requires Pole Assembly</t>
    </r>
  </si>
  <si>
    <r>
      <t>FP-149</t>
    </r>
    <r>
      <rPr>
        <b/>
        <i/>
        <sz val="8"/>
        <rFont val="Arial"/>
        <family val="2"/>
      </rPr>
      <t xml:space="preserve">                            </t>
    </r>
  </si>
  <si>
    <t>Universal Base for International Sterling &amp; Freightliner Trucks with bench seats</t>
  </si>
  <si>
    <r>
      <t xml:space="preserve">FP-146                     </t>
    </r>
    <r>
      <rPr>
        <b/>
        <i/>
        <sz val="8"/>
        <rFont val="Arial"/>
        <family val="2"/>
      </rPr>
      <t xml:space="preserve"> </t>
    </r>
  </si>
  <si>
    <r>
      <t xml:space="preserve">2014-18 Silverado 1500 P/U, 2015-19 Tahoe Passenger Side Base </t>
    </r>
    <r>
      <rPr>
        <b/>
        <i/>
        <sz val="8"/>
        <rFont val="Arial"/>
        <family val="2"/>
      </rPr>
      <t>Requires P13B</t>
    </r>
  </si>
  <si>
    <t xml:space="preserve">FP-145                 </t>
  </si>
  <si>
    <r>
      <t xml:space="preserve">2001-2014 Tahoe, Silverado &amp; Suburban Pass Side Mnt w/o PTO    </t>
    </r>
    <r>
      <rPr>
        <b/>
        <i/>
        <sz val="8"/>
        <rFont val="Arial"/>
        <family val="2"/>
      </rPr>
      <t xml:space="preserve"> Requires Pole </t>
    </r>
  </si>
  <si>
    <r>
      <t xml:space="preserve">FP-144  </t>
    </r>
    <r>
      <rPr>
        <b/>
        <i/>
        <sz val="8"/>
        <rFont val="Arial"/>
        <family val="2"/>
      </rPr>
      <t xml:space="preserve">                </t>
    </r>
  </si>
  <si>
    <r>
      <t xml:space="preserve">2013-Newer Ford Escape   </t>
    </r>
    <r>
      <rPr>
        <i/>
        <sz val="8"/>
        <rFont val="Arial"/>
        <family val="2"/>
      </rPr>
      <t>Requires pole assembly</t>
    </r>
  </si>
  <si>
    <t xml:space="preserve">FP-141                </t>
  </si>
  <si>
    <r>
      <t xml:space="preserve">2006-2016 Impala Passenger Side Base  </t>
    </r>
    <r>
      <rPr>
        <sz val="8"/>
        <rFont val="Arial"/>
        <family val="2"/>
      </rPr>
      <t xml:space="preserve">      </t>
    </r>
    <r>
      <rPr>
        <b/>
        <sz val="8"/>
        <rFont val="Arial"/>
        <family val="2"/>
      </rPr>
      <t xml:space="preserve">  </t>
    </r>
    <r>
      <rPr>
        <b/>
        <i/>
        <sz val="8"/>
        <rFont val="Arial"/>
        <family val="2"/>
      </rPr>
      <t>Requires Pole Assembly</t>
    </r>
  </si>
  <si>
    <r>
      <t xml:space="preserve">FP-136  </t>
    </r>
    <r>
      <rPr>
        <b/>
        <i/>
        <sz val="8"/>
        <rFont val="Arial"/>
        <family val="2"/>
      </rPr>
      <t xml:space="preserve">                  </t>
    </r>
  </si>
  <si>
    <r>
      <t xml:space="preserve">2010-Newer Chevy/GMC van Passenger Side Seat Base     </t>
    </r>
    <r>
      <rPr>
        <b/>
        <sz val="10"/>
        <rFont val="Arial"/>
        <family val="2"/>
      </rPr>
      <t xml:space="preserve"> </t>
    </r>
    <r>
      <rPr>
        <b/>
        <i/>
        <sz val="8"/>
        <rFont val="Arial"/>
        <family val="2"/>
      </rPr>
      <t>Requires  Upper</t>
    </r>
  </si>
  <si>
    <r>
      <t xml:space="preserve">FP-135                    </t>
    </r>
    <r>
      <rPr>
        <b/>
        <i/>
        <sz val="8"/>
        <rFont val="Arial"/>
        <family val="2"/>
      </rPr>
      <t xml:space="preserve"> </t>
    </r>
  </si>
  <si>
    <r>
      <t xml:space="preserve">2011- 2022 Dodge Durango, Jeep Grand Cherokee Pass. Side Base    </t>
    </r>
    <r>
      <rPr>
        <b/>
        <i/>
        <sz val="8"/>
        <rFont val="Arial"/>
        <family val="2"/>
      </rPr>
      <t>Requires Pole</t>
    </r>
  </si>
  <si>
    <t xml:space="preserve">FP-133                    </t>
  </si>
  <si>
    <t>2015-Newer Chevy Colorado Passenger Side Base, includes FP-STEP</t>
  </si>
  <si>
    <t xml:space="preserve">FP-127                     </t>
  </si>
  <si>
    <r>
      <t xml:space="preserve">2015-Newer Ford F-150, 2017+ Ford F250-550 Passenger Side Base </t>
    </r>
    <r>
      <rPr>
        <b/>
        <i/>
        <sz val="8"/>
        <rFont val="Arial"/>
        <family val="2"/>
      </rPr>
      <t>Requires Pole Assembly</t>
    </r>
  </si>
  <si>
    <t xml:space="preserve">FP-125                   </t>
  </si>
  <si>
    <r>
      <t xml:space="preserve">2011-2016 Ford F-250-750 Pass Side Seat Bolt Mount     </t>
    </r>
    <r>
      <rPr>
        <b/>
        <sz val="10"/>
        <rFont val="Arial"/>
        <family val="2"/>
      </rPr>
      <t xml:space="preserve"> </t>
    </r>
    <r>
      <rPr>
        <b/>
        <i/>
        <sz val="8"/>
        <rFont val="Arial"/>
        <family val="2"/>
      </rPr>
      <t>Requires pole Assembly</t>
    </r>
  </si>
  <si>
    <t xml:space="preserve">FP-103                     </t>
  </si>
  <si>
    <r>
      <t xml:space="preserve">1999-2010 F-250 - F-750 SD vehicle base </t>
    </r>
    <r>
      <rPr>
        <b/>
        <i/>
        <sz val="8"/>
        <rFont val="Arial"/>
        <family val="2"/>
      </rPr>
      <t xml:space="preserve">Auto Trans Only </t>
    </r>
    <r>
      <rPr>
        <sz val="10"/>
        <rFont val="Arial"/>
        <family val="2"/>
      </rPr>
      <t xml:space="preserve">    </t>
    </r>
    <r>
      <rPr>
        <b/>
        <i/>
        <sz val="8"/>
        <rFont val="Arial"/>
        <family val="2"/>
      </rPr>
      <t>Requires Pole Assembly</t>
    </r>
  </si>
  <si>
    <t>FP-102</t>
  </si>
  <si>
    <t>14"-18" Flat Floor Base with adjustable 12" Upper</t>
  </si>
  <si>
    <t>FP-57ADJ-L</t>
  </si>
  <si>
    <t>14"-18" Flat Floor Base with adjustable 8" Upper</t>
  </si>
  <si>
    <t>FP-57ADJ-M</t>
  </si>
  <si>
    <r>
      <t xml:space="preserve">14"-18" Flat Floor Base       </t>
    </r>
    <r>
      <rPr>
        <b/>
        <sz val="10"/>
        <rFont val="Arial"/>
        <family val="2"/>
      </rPr>
      <t xml:space="preserve"> </t>
    </r>
    <r>
      <rPr>
        <b/>
        <sz val="8"/>
        <rFont val="Arial"/>
        <family val="2"/>
      </rPr>
      <t xml:space="preserve"> </t>
    </r>
    <r>
      <rPr>
        <b/>
        <i/>
        <sz val="8"/>
        <rFont val="Arial"/>
        <family val="2"/>
      </rPr>
      <t>Requires Pole Assembly</t>
    </r>
  </si>
  <si>
    <t>FP-57</t>
  </si>
  <si>
    <r>
      <t xml:space="preserve">Large Flange Vertical surface mount  </t>
    </r>
    <r>
      <rPr>
        <sz val="8"/>
        <rFont val="Arial"/>
        <family val="2"/>
      </rPr>
      <t xml:space="preserve">      </t>
    </r>
    <r>
      <rPr>
        <b/>
        <i/>
        <sz val="8"/>
        <rFont val="Arial"/>
        <family val="2"/>
      </rPr>
      <t>Requires Upper</t>
    </r>
  </si>
  <si>
    <t>FP-53</t>
  </si>
  <si>
    <t>18"-23" HD Floor Base with Adjustable 12" Upper</t>
  </si>
  <si>
    <t>FP-52-ADJ-L</t>
  </si>
  <si>
    <t>18"-23" HD Floor Base with Adjustable 8" Upper</t>
  </si>
  <si>
    <t>FP-52-ADJ-M</t>
  </si>
  <si>
    <r>
      <t xml:space="preserve">18"-23" HD Floor Base   </t>
    </r>
    <r>
      <rPr>
        <b/>
        <i/>
        <sz val="8"/>
        <rFont val="Arial"/>
        <family val="2"/>
      </rPr>
      <t>Requires Upper</t>
    </r>
  </si>
  <si>
    <t>FP-52</t>
  </si>
  <si>
    <t>21+ Tahoe, 19+ Silverado Sierra 1500, 2500, 3500HD Passenger Side Base Mount</t>
  </si>
  <si>
    <t>FP-21TAH</t>
  </si>
  <si>
    <r>
      <t xml:space="preserve">Adjustable 16" - 34" Tubular support Brace  </t>
    </r>
    <r>
      <rPr>
        <b/>
        <sz val="9"/>
        <rFont val="Arial"/>
        <family val="2"/>
      </rPr>
      <t xml:space="preserve"> </t>
    </r>
    <r>
      <rPr>
        <b/>
        <i/>
        <sz val="9"/>
        <rFont val="Arial"/>
        <family val="2"/>
      </rPr>
      <t>Attaches to any Pole assembly</t>
    </r>
  </si>
  <si>
    <t>BRACE3</t>
  </si>
  <si>
    <r>
      <t xml:space="preserve">Adjustable 10" - 16" Support Brace  </t>
    </r>
    <r>
      <rPr>
        <b/>
        <sz val="9"/>
        <rFont val="Arial"/>
        <family val="2"/>
      </rPr>
      <t xml:space="preserve"> </t>
    </r>
    <r>
      <rPr>
        <b/>
        <i/>
        <sz val="9"/>
        <rFont val="Arial"/>
        <family val="2"/>
      </rPr>
      <t>Attaches to any Pole assembly</t>
    </r>
  </si>
  <si>
    <t>BRACE2</t>
  </si>
  <si>
    <t>5" Adjustable Upper for 9" pole</t>
  </si>
  <si>
    <t>ADJ-S9</t>
  </si>
  <si>
    <t>5" Adjustable Upper for 5" pole</t>
  </si>
  <si>
    <t>ADJ-S5</t>
  </si>
  <si>
    <t>8" Adjustable Upper for 9"</t>
  </si>
  <si>
    <t>ADJ-M9</t>
  </si>
  <si>
    <t>8" Adjustable Upper for 5"</t>
  </si>
  <si>
    <t>ADJ-M5</t>
  </si>
  <si>
    <t>12" Adjustable Upper for 9" pole</t>
  </si>
  <si>
    <t>ADJ-L9</t>
  </si>
  <si>
    <t>12" Adjustable Upper for 5" pole</t>
  </si>
  <si>
    <t>ADJ-L5</t>
  </si>
  <si>
    <t>Pole Assemblies and Components</t>
  </si>
  <si>
    <t>Flat Swivel Base Assembly  3-stud  5"x5" (needs HAT or TS)</t>
  </si>
  <si>
    <t>ZO-BASE</t>
  </si>
  <si>
    <t>1" Top mount Swivel with Horizontal Surface base assembly</t>
  </si>
  <si>
    <t>ZB-56</t>
  </si>
  <si>
    <t>75mm VESA Aluminum Adapter Plate to Tilt/Swivel</t>
  </si>
  <si>
    <t>VESA-AP</t>
  </si>
  <si>
    <t xml:space="preserve">Low 90 Degree Clevis with multiple holes patterns including 75mm VESA </t>
  </si>
  <si>
    <t>TS1-90V</t>
  </si>
  <si>
    <t>Extended 90 degree Tilt/Swivel Adapter with Landscape / Portrait Rotation</t>
  </si>
  <si>
    <t xml:space="preserve">TS-90PLA               </t>
  </si>
  <si>
    <r>
      <t>Extended 90 degree Tilt/Swivel Adapter -</t>
    </r>
    <r>
      <rPr>
        <b/>
        <sz val="9"/>
        <rFont val="Arial"/>
        <family val="2"/>
      </rPr>
      <t xml:space="preserve"> </t>
    </r>
    <r>
      <rPr>
        <b/>
        <i/>
        <sz val="9"/>
        <rFont val="Arial"/>
        <family val="2"/>
      </rPr>
      <t>For Arm Tels</t>
    </r>
  </si>
  <si>
    <t xml:space="preserve">TS-90EX                   </t>
  </si>
  <si>
    <t>Heavy Duty Adjustable 90 degree Tilt / Swivel Adapter</t>
  </si>
  <si>
    <t>TS-90</t>
  </si>
  <si>
    <r>
      <t>Extended 60 degree Tilt/Swivel Adapter -</t>
    </r>
    <r>
      <rPr>
        <b/>
        <sz val="9"/>
        <rFont val="Arial"/>
        <family val="2"/>
      </rPr>
      <t xml:space="preserve"> </t>
    </r>
    <r>
      <rPr>
        <b/>
        <i/>
        <sz val="9"/>
        <rFont val="Arial"/>
        <family val="2"/>
      </rPr>
      <t>For Arm Tels</t>
    </r>
  </si>
  <si>
    <t>TS-60EX</t>
  </si>
  <si>
    <t>60 degree Tilt/Swivel Adapter</t>
  </si>
  <si>
    <t>TS-60</t>
  </si>
  <si>
    <t>1.5" 25 degree Tilt / Swivel Adapter</t>
  </si>
  <si>
    <t>TS-1</t>
  </si>
  <si>
    <r>
      <t>15</t>
    </r>
    <r>
      <rPr>
        <sz val="10"/>
        <rFont val="Calibri"/>
        <family val="2"/>
      </rPr>
      <t xml:space="preserve">⁰ </t>
    </r>
    <r>
      <rPr>
        <sz val="10"/>
        <rFont val="Arial"/>
        <family val="2"/>
      </rPr>
      <t>Indexed Locking H/D 8" swing arm with TS-1</t>
    </r>
  </si>
  <si>
    <t xml:space="preserve">ISWA-HD8-TS1         </t>
  </si>
  <si>
    <t xml:space="preserve">2.5" x 8" H/D .250 CRS Swing Arm w/Bearing &amp; TS-1 for Computers &amp; Keyboards </t>
  </si>
  <si>
    <t xml:space="preserve">SWA-HD8-TS1      </t>
  </si>
  <si>
    <r>
      <t xml:space="preserve">2.5" x 8" H/D .250"CRS Swing Arm with Bearing Assembly  </t>
    </r>
    <r>
      <rPr>
        <i/>
        <sz val="8"/>
        <rFont val="Arial"/>
        <family val="2"/>
      </rPr>
      <t>Needs TS-1 or TS-60</t>
    </r>
  </si>
  <si>
    <t>SWA-HD-8BA</t>
  </si>
  <si>
    <t>(2) 2.5" x 8" H/D .250 CRS Articulating Swing Arms w/Bearings &amp; TS-1</t>
  </si>
  <si>
    <t>SWA-HD88-TS1</t>
  </si>
  <si>
    <t xml:space="preserve">2.5" x 6" H/D .250 CRS Swing Arm w/Bearing &amp; TS-1 for Computers &amp; Keyboards </t>
  </si>
  <si>
    <t xml:space="preserve">SWA-HD6-TS1      </t>
  </si>
  <si>
    <r>
      <t xml:space="preserve">2.5" x 6" H/D .250"CRS Swing Arm with bearing Assembly   </t>
    </r>
    <r>
      <rPr>
        <i/>
        <sz val="8"/>
        <rFont val="Arial"/>
        <family val="2"/>
      </rPr>
      <t>Needs TS-1 or TS-60</t>
    </r>
  </si>
  <si>
    <t>SWA-HD-6BA</t>
  </si>
  <si>
    <r>
      <t xml:space="preserve">2.5" x 10" H/D .250"CRS Swing Arm for Computers &amp; Keyboards   </t>
    </r>
    <r>
      <rPr>
        <i/>
        <sz val="8"/>
        <rFont val="Arial"/>
        <family val="2"/>
      </rPr>
      <t>Needs TS-1 or TS-60</t>
    </r>
  </si>
  <si>
    <t>SWA-HD-10BA</t>
  </si>
  <si>
    <r>
      <t xml:space="preserve">Quad Motion Tilt / Swivel adapter </t>
    </r>
    <r>
      <rPr>
        <b/>
        <i/>
        <sz val="10"/>
        <rFont val="Arial"/>
        <family val="2"/>
      </rPr>
      <t>New Design</t>
    </r>
    <r>
      <rPr>
        <b/>
        <sz val="10"/>
        <rFont val="Arial"/>
        <family val="2"/>
      </rPr>
      <t>-</t>
    </r>
    <r>
      <rPr>
        <sz val="10"/>
        <rFont val="Arial"/>
        <family val="2"/>
      </rPr>
      <t xml:space="preserve"> Slides 5 " fore &amp; aft</t>
    </r>
  </si>
  <si>
    <r>
      <t xml:space="preserve">QTS-5                      </t>
    </r>
    <r>
      <rPr>
        <b/>
        <i/>
        <sz val="8"/>
        <rFont val="Arial"/>
        <family val="2"/>
      </rPr>
      <t xml:space="preserve">  </t>
    </r>
  </si>
  <si>
    <r>
      <t xml:space="preserve">Quad Motion Tilt / Swivel adapter </t>
    </r>
    <r>
      <rPr>
        <b/>
        <i/>
        <sz val="10"/>
        <rFont val="Arial"/>
        <family val="2"/>
      </rPr>
      <t>New Design</t>
    </r>
    <r>
      <rPr>
        <b/>
        <sz val="10"/>
        <rFont val="Arial"/>
        <family val="2"/>
      </rPr>
      <t>-</t>
    </r>
    <r>
      <rPr>
        <sz val="10"/>
        <rFont val="Arial"/>
        <family val="2"/>
      </rPr>
      <t xml:space="preserve"> Slides 3.1/2 " fore &amp; aft</t>
    </r>
  </si>
  <si>
    <r>
      <t xml:space="preserve">QTS-3                      </t>
    </r>
    <r>
      <rPr>
        <b/>
        <i/>
        <sz val="8"/>
        <rFont val="Arial"/>
        <family val="2"/>
      </rPr>
      <t xml:space="preserve"> </t>
    </r>
  </si>
  <si>
    <t xml:space="preserve">Universal Multi-position Equipment mounting Brackets for Hump or Base plate </t>
  </si>
  <si>
    <r>
      <t>LI-7201</t>
    </r>
    <r>
      <rPr>
        <b/>
        <i/>
        <sz val="8"/>
        <rFont val="Arial"/>
        <family val="2"/>
      </rPr>
      <t xml:space="preserve">                   </t>
    </r>
  </si>
  <si>
    <t>VESA Mount Adapter Plate for Havis GTC-221</t>
  </si>
  <si>
    <t xml:space="preserve">LEDAP-5       </t>
  </si>
  <si>
    <t>Adapter for Display or Docks w/ 75mm to 2"x4" hole pattern for Motion Attachments</t>
  </si>
  <si>
    <t xml:space="preserve">LEDAP-4         </t>
  </si>
  <si>
    <t>Lund dock to Havis mount adapter w/various hole patterns</t>
  </si>
  <si>
    <t xml:space="preserve">LEDAP-3                 </t>
  </si>
  <si>
    <t>2pc. Universal dock adapter, fits numerous devices</t>
  </si>
  <si>
    <t xml:space="preserve">LEDAP-2                 </t>
  </si>
  <si>
    <t xml:space="preserve">Ledco Adapter Plate </t>
  </si>
  <si>
    <t>LEDAP</t>
  </si>
  <si>
    <t>Saddle Adapter Bracket 8" w Consoles - allows mounting of Computer &amp; Keyboard</t>
  </si>
  <si>
    <r>
      <t xml:space="preserve">HS-AP7              </t>
    </r>
    <r>
      <rPr>
        <b/>
        <i/>
        <sz val="8"/>
        <rFont val="Arial"/>
        <family val="2"/>
      </rPr>
      <t xml:space="preserve"> </t>
    </r>
  </si>
  <si>
    <t>6" - 10" H/D Adjustable base Mount for Tilt / Swivel</t>
  </si>
  <si>
    <t>HAT-610</t>
  </si>
  <si>
    <t>4" - 7" Adjustable base mount for Tilt / Swivel</t>
  </si>
  <si>
    <t>HAT-47</t>
  </si>
  <si>
    <t>3" - 5" Adjustable base mount for Tilt / Swivel</t>
  </si>
  <si>
    <t>HAT-35</t>
  </si>
  <si>
    <t>2" - 4" Adjustable base mount for Tilt / Swivel and 2"x4" mounting holes</t>
  </si>
  <si>
    <t xml:space="preserve">HAT-24M           </t>
  </si>
  <si>
    <t>1" Base Mount for swivel</t>
  </si>
  <si>
    <t>HAT-1</t>
  </si>
  <si>
    <t>Short Stack Radio Mount with angle plate and Brackets</t>
  </si>
  <si>
    <t>FP-212</t>
  </si>
  <si>
    <t xml:space="preserve">9" Long 12ga. "L" Bracket mounts to poles for Keyboard's and Misc Mounting </t>
  </si>
  <si>
    <t>FP-74L</t>
  </si>
  <si>
    <t xml:space="preserve">6" Long 12ga "L" Bracket mounts to poles for Keyboard's and Misc Mounting </t>
  </si>
  <si>
    <t>FP-74</t>
  </si>
  <si>
    <t>3/4" Horizontal Surface 6" x 6" Base</t>
  </si>
  <si>
    <t>FP-56</t>
  </si>
  <si>
    <t>6" "L" Bracket set for Equipment mounting to Base Plates</t>
  </si>
  <si>
    <t>BP-BRKT</t>
  </si>
  <si>
    <t>Powder Coated Scanner Clip</t>
  </si>
  <si>
    <t>BCR-CLP</t>
  </si>
  <si>
    <t>Arm-Tels adaptor bracket to raise Tablet / computer up 4.5"- 6" for keyboard clearance</t>
  </si>
  <si>
    <t>AT-KBADP</t>
  </si>
  <si>
    <r>
      <t xml:space="preserve">6" Telescoping Slide Arm with Swivel-Locks in multiple positions </t>
    </r>
    <r>
      <rPr>
        <b/>
        <sz val="10"/>
        <rFont val="Arial"/>
        <family val="2"/>
      </rPr>
      <t xml:space="preserve"> </t>
    </r>
    <r>
      <rPr>
        <b/>
        <i/>
        <sz val="8"/>
        <rFont val="Arial"/>
        <family val="2"/>
      </rPr>
      <t>Requires TS-60EX or TS-1</t>
    </r>
  </si>
  <si>
    <t xml:space="preserve">ARM-TELS-6            </t>
  </si>
  <si>
    <r>
      <t xml:space="preserve">9"- 13"Telescoping Slide Arm with Swivel-Locks in multiple positions </t>
    </r>
    <r>
      <rPr>
        <b/>
        <i/>
        <sz val="8"/>
        <rFont val="Arial"/>
        <family val="2"/>
      </rPr>
      <t>Requires TS-60EX or TS-1</t>
    </r>
  </si>
  <si>
    <r>
      <t xml:space="preserve">ARM-TELS               </t>
    </r>
    <r>
      <rPr>
        <b/>
        <i/>
        <sz val="8"/>
        <rFont val="Arial"/>
        <family val="2"/>
      </rPr>
      <t xml:space="preserve">  </t>
    </r>
  </si>
  <si>
    <t xml:space="preserve"> Motion Attachments, Adapter Plates and Brackets</t>
  </si>
  <si>
    <t>Universal Keyboard Tray,TS-1, Spacer and Slide Bracket for VC or VH Series Consoles</t>
  </si>
  <si>
    <t>VC-UKBD</t>
  </si>
  <si>
    <t>TG3 Keyboard Tray,TS-1, Spacer and Slide Bracket for VC or VH Series Consoles</t>
  </si>
  <si>
    <t>VC-TG3</t>
  </si>
  <si>
    <t>TS-1 Tilt/Swivel, Spacer, Bearing and Slide Bracket only for VC or VH Series Consoles</t>
  </si>
  <si>
    <t>VC-SLIDE</t>
  </si>
  <si>
    <t>2-8" H/D Articulating TG3 Keyboard Tray for VC or VH series Consoles &amp; Surface Mounting</t>
  </si>
  <si>
    <t>VC-HD2-KBD3</t>
  </si>
  <si>
    <t>Universal Side Keyboard Mount with 8" HD Arm, TS-1 and Universal Keyboard Tray</t>
  </si>
  <si>
    <t xml:space="preserve">USKM-8UKBD         </t>
  </si>
  <si>
    <t>Universal Side Keyboard Mount with 8" HD Arm, TS-1 and TG3 Keyboard Tray</t>
  </si>
  <si>
    <t xml:space="preserve">USKM-8TG3             </t>
  </si>
  <si>
    <t>Universal Side Keyboard Mount with 8" HD Arm, TS-1 and iKey Thin Keyboard Tray</t>
  </si>
  <si>
    <t xml:space="preserve">USKM-8IKT4           </t>
  </si>
  <si>
    <t>Universal Side Keyboard Mount with 8" HD Arm, TS-1 and GETAC Keyboard Tray</t>
  </si>
  <si>
    <t xml:space="preserve">USKM-8GETAC          </t>
  </si>
  <si>
    <t>Universal Keyboard Tray, TS-0 and Console Mounting Bracket</t>
  </si>
  <si>
    <t>UKBD-KIP</t>
  </si>
  <si>
    <t>2- 8" H/D Articulating arms with TS-1 and Universal Keyboard Tray</t>
  </si>
  <si>
    <t>UKBD-HD2-ARTS1</t>
  </si>
  <si>
    <t>Universal Keyboard Tray with TS-1 Tilt/Swivel and Articulating 2" Slide Arm</t>
  </si>
  <si>
    <t>UKBD-ARTS1</t>
  </si>
  <si>
    <t>7.25" x 14.5" XL Universal Keyboard Tray withTS-1 Tilt/Swivel and Slotted Extension Arm</t>
  </si>
  <si>
    <t xml:space="preserve">UKBDX-A                 </t>
  </si>
  <si>
    <t>9" x 13" Universal Keyboard Tray  withTS-1 Tilt/Swivel and Slotted Extension Arm</t>
  </si>
  <si>
    <t xml:space="preserve">UKBD-A    </t>
  </si>
  <si>
    <t>Foam lined keyboard box with strap for TG-3 and other keyboards</t>
  </si>
  <si>
    <t>TG3-KBX</t>
  </si>
  <si>
    <r>
      <t xml:space="preserve">Keyboard Tray for TG3 with glide point - </t>
    </r>
    <r>
      <rPr>
        <i/>
        <sz val="10"/>
        <rFont val="Arial"/>
        <family val="2"/>
      </rPr>
      <t>needs TS-60 or TS-1</t>
    </r>
  </si>
  <si>
    <t>TG3-KBD</t>
  </si>
  <si>
    <t>TG-3 Keyboard Tray with 2" Articulating Slide and Tilt Swivel</t>
  </si>
  <si>
    <t>TG3-ARTS1</t>
  </si>
  <si>
    <t xml:space="preserve">9" Pole Mount Heavy Duty Keyboard Adapter </t>
  </si>
  <si>
    <t>PM-KBAD3</t>
  </si>
  <si>
    <t>6" Pole Mount Heavy Duty Keyboard Adapter</t>
  </si>
  <si>
    <t>PM-KBAD2</t>
  </si>
  <si>
    <t>4" Pole Mount Heavy Duty Keyboard Adapter</t>
  </si>
  <si>
    <t>PM-KBAD1</t>
  </si>
  <si>
    <t>Keyboard extension arm kit with 3/4" Offset</t>
  </si>
  <si>
    <t>KARM-75</t>
  </si>
  <si>
    <t>Keyboard extension arm kit with 1-1/2" Offset</t>
  </si>
  <si>
    <t>KARM-150</t>
  </si>
  <si>
    <r>
      <t>Keyboard Tray for I-Key Thin</t>
    </r>
    <r>
      <rPr>
        <b/>
        <sz val="10"/>
        <rFont val="Arial"/>
        <family val="2"/>
      </rPr>
      <t xml:space="preserve"> SB-87-TP</t>
    </r>
    <r>
      <rPr>
        <sz val="10"/>
        <rFont val="Arial"/>
        <family val="2"/>
      </rPr>
      <t xml:space="preserve"> with glide point - </t>
    </r>
    <r>
      <rPr>
        <i/>
        <sz val="10"/>
        <rFont val="Arial"/>
        <family val="2"/>
      </rPr>
      <t>needs TS-60 or TS-1</t>
    </r>
  </si>
  <si>
    <t xml:space="preserve">IKEY-THN                </t>
  </si>
  <si>
    <r>
      <t>Keyboard Tray for I-Key</t>
    </r>
    <r>
      <rPr>
        <b/>
        <sz val="10"/>
        <rFont val="Arial"/>
        <family val="2"/>
      </rPr>
      <t xml:space="preserve"> SL-86-911-TP </t>
    </r>
    <r>
      <rPr>
        <sz val="10"/>
        <rFont val="Arial"/>
        <family val="2"/>
      </rPr>
      <t xml:space="preserve">with glide point - </t>
    </r>
    <r>
      <rPr>
        <i/>
        <sz val="10"/>
        <rFont val="Arial"/>
        <family val="2"/>
      </rPr>
      <t>needs TS-60 or TS-1</t>
    </r>
  </si>
  <si>
    <r>
      <t xml:space="preserve">IKEY-KBD                 </t>
    </r>
    <r>
      <rPr>
        <b/>
        <i/>
        <sz val="8"/>
        <rFont val="Arial"/>
        <family val="2"/>
      </rPr>
      <t xml:space="preserve"> </t>
    </r>
  </si>
  <si>
    <t xml:space="preserve">Pull to release GETAC Keyboard Tray w/ 75mm &amp; 2x4 Mtg. Requires Motion Attachment </t>
  </si>
  <si>
    <t>GETAC-KBD</t>
  </si>
  <si>
    <t xml:space="preserve">Adjustable Pole Mount Keyboard / Printer  Adapter </t>
  </si>
  <si>
    <r>
      <t xml:space="preserve">APM-KBAD              </t>
    </r>
    <r>
      <rPr>
        <b/>
        <i/>
        <sz val="8"/>
        <rFont val="Arial"/>
        <family val="2"/>
      </rPr>
      <t xml:space="preserve"> </t>
    </r>
  </si>
  <si>
    <t xml:space="preserve">Keyboard Trays and Mounts </t>
  </si>
  <si>
    <t>2-arm Articulating TG3 Keyboard Tray for VC series Consoles &amp; Surface Mounting</t>
  </si>
  <si>
    <t xml:space="preserve">Universal Swing Away Mount for Vesa Mount Computer.  Tilts, Swivels amd Rolls for optimum viewing.  Swings away for easy access to the dashboard. </t>
  </si>
  <si>
    <r>
      <t xml:space="preserve">UNV-SASM-VESA     </t>
    </r>
    <r>
      <rPr>
        <b/>
        <i/>
        <sz val="8"/>
        <rFont val="Arial"/>
        <family val="2"/>
      </rPr>
      <t xml:space="preserve"> </t>
    </r>
  </si>
  <si>
    <t xml:space="preserve">Universal Swing Away Mount for Small Tablets &amp; i-PAD using the SECUR-TAB mount. Tilts, Swivels and Rolls for optimum viewing.  Swings away for easy access to the dashboard. </t>
  </si>
  <si>
    <r>
      <t xml:space="preserve">UNV-SASM-ST        </t>
    </r>
    <r>
      <rPr>
        <b/>
        <i/>
        <sz val="8"/>
        <rFont val="Arial"/>
        <family val="2"/>
      </rPr>
      <t xml:space="preserve"> </t>
    </r>
  </si>
  <si>
    <r>
      <t xml:space="preserve">Universal Tablet Mount 75mm x 75mm with iKey Thin Keyboard Tray without Motion Attachment.   </t>
    </r>
    <r>
      <rPr>
        <b/>
        <i/>
        <sz val="10"/>
        <rFont val="Arial"/>
        <family val="2"/>
      </rPr>
      <t>Requires separate Tablet Dock or Mount, Keyboard Not Included.</t>
    </r>
  </si>
  <si>
    <t xml:space="preserve">UNVTAB75-G-MT-NM     </t>
  </si>
  <si>
    <r>
      <t xml:space="preserve">Universal Tablet Mount 75mm x 75mm with iKey Thin Keyboard Tray and TS-60EX Motion Attachment for mounting to ARM-TELS.   </t>
    </r>
    <r>
      <rPr>
        <b/>
        <i/>
        <sz val="10"/>
        <rFont val="Arial"/>
        <family val="2"/>
      </rPr>
      <t>Requires separate Tablet Dock or Mount, Keyboard Not Included.</t>
    </r>
  </si>
  <si>
    <t xml:space="preserve">UNVTAB75-G-MT-EX      </t>
  </si>
  <si>
    <r>
      <t xml:space="preserve">Universal Tablet Mount 75mm x 75mm with iKey Thin Keyboard Tray and ZB-56 Motion Attachment.   </t>
    </r>
    <r>
      <rPr>
        <b/>
        <i/>
        <sz val="10"/>
        <rFont val="Arial"/>
        <family val="2"/>
      </rPr>
      <t>Requires separate Tablet Dock or Mount, Keyboard Not Included.</t>
    </r>
  </si>
  <si>
    <t xml:space="preserve">UNVTAB75-G-MT-56       </t>
  </si>
  <si>
    <r>
      <t xml:space="preserve">Universal Tablet Mount 75mm x 75mm with iKey Thin Keyboard Tray and TS-1 Motion Attachment.   </t>
    </r>
    <r>
      <rPr>
        <b/>
        <i/>
        <sz val="10"/>
        <rFont val="Arial"/>
        <family val="2"/>
      </rPr>
      <t>Requires separate Tablet Dock or Mount, Keyboard Not Included.</t>
    </r>
  </si>
  <si>
    <t xml:space="preserve">UNVTAB75-G-MT-1       </t>
  </si>
  <si>
    <r>
      <t xml:space="preserve">Universal Tablet Mount 75mm x 75mm with iKey Thin Keyboard Tray and TS-60 Motion Attachment.   </t>
    </r>
    <r>
      <rPr>
        <b/>
        <i/>
        <sz val="10"/>
        <rFont val="Arial"/>
        <family val="2"/>
      </rPr>
      <t>Requires separate Tablet Dock or Mount, Keyboard Not Included.</t>
    </r>
  </si>
  <si>
    <t xml:space="preserve">UNVTAB75-G-MT-0       </t>
  </si>
  <si>
    <t xml:space="preserve">UNVTAB75-4-MT-NM     </t>
  </si>
  <si>
    <t xml:space="preserve">UNVTAB75-4-MT-EX      </t>
  </si>
  <si>
    <t xml:space="preserve">UNVTAB75-4-MT-56       </t>
  </si>
  <si>
    <t xml:space="preserve">UNVTAB75-4-MT-1       </t>
  </si>
  <si>
    <t xml:space="preserve">UNVTAB75-4-MT-0       </t>
  </si>
  <si>
    <r>
      <t xml:space="preserve">Universal Tablet Mount 75mm x 75mm with TG3 Keyboard Tray without Motion Attachment.   </t>
    </r>
    <r>
      <rPr>
        <b/>
        <i/>
        <sz val="10"/>
        <rFont val="Arial"/>
        <family val="2"/>
      </rPr>
      <t>Requires separate Tablet Dock or Mount, Keyboard Not Included.</t>
    </r>
  </si>
  <si>
    <t xml:space="preserve">UNVTAB75-3-MT-NM     </t>
  </si>
  <si>
    <r>
      <t xml:space="preserve">Universal Tablet Mount 75mm x 75mm with TG3 Keyboard Tray and TS-60EX Motion Attachment for mounting to ARM-TELS.  </t>
    </r>
    <r>
      <rPr>
        <b/>
        <i/>
        <sz val="10"/>
        <rFont val="Arial"/>
        <family val="2"/>
      </rPr>
      <t>Requires separate Tablet Dock or Mount, Keyboard Not Included.</t>
    </r>
  </si>
  <si>
    <t xml:space="preserve">UNVTAB75-3-MT-EX      </t>
  </si>
  <si>
    <r>
      <t xml:space="preserve">Universal Tablet Mount 75mm x 75mm with TG3 Keyboard Tray and ZB-56 Motion Attachment.   </t>
    </r>
    <r>
      <rPr>
        <b/>
        <i/>
        <sz val="10"/>
        <rFont val="Arial"/>
        <family val="2"/>
      </rPr>
      <t>Requires separate Tablet Dock or Mount, Keyboard Not Included.</t>
    </r>
  </si>
  <si>
    <t xml:space="preserve">UNVTAB75-3-MT-56       </t>
  </si>
  <si>
    <r>
      <t xml:space="preserve">Universal Tablet Mount 75mm x 75mm with TG3 Keyboard Tray and TS-1 Motion Attachment.   </t>
    </r>
    <r>
      <rPr>
        <b/>
        <i/>
        <sz val="10"/>
        <rFont val="Arial"/>
        <family val="2"/>
      </rPr>
      <t>Requires separate Tablet Dock or Mount, Keyboard Not Included.</t>
    </r>
  </si>
  <si>
    <t xml:space="preserve">UNVTAB75-3-MT-1       </t>
  </si>
  <si>
    <r>
      <t xml:space="preserve">Universal Tablet Mount 75mm x 75mm with TG3 Keyboard Tray and TS-60 Motion Attachment.   </t>
    </r>
    <r>
      <rPr>
        <b/>
        <i/>
        <sz val="10"/>
        <rFont val="Arial"/>
        <family val="2"/>
      </rPr>
      <t>Requires separate Tablet Dock or Mount, Keyboard Not Included.</t>
    </r>
  </si>
  <si>
    <t xml:space="preserve">UNVTAB75-3-MT-0       </t>
  </si>
  <si>
    <r>
      <t xml:space="preserve">Table Top Mount for Tablets features Tilt/Swivel of the Tablet and iKey Thin Keyboard Tray with TS-60 Motion Attachment.    </t>
    </r>
    <r>
      <rPr>
        <b/>
        <i/>
        <sz val="10"/>
        <rFont val="Arial"/>
        <family val="2"/>
      </rPr>
      <t>Requires separate Tablet or Computer holder</t>
    </r>
  </si>
  <si>
    <t xml:space="preserve">UNVTAB4-MTDEN-0       </t>
  </si>
  <si>
    <t xml:space="preserve">Universal Swing Away Mount with articulating TG3 Keyboard for Vesa Mount Computers.  Tilts and Swivels for optimum viewing.  Swings away for easy access to the dashboard. </t>
  </si>
  <si>
    <r>
      <t xml:space="preserve">UNV-SASK*-VESA    </t>
    </r>
    <r>
      <rPr>
        <b/>
        <i/>
        <sz val="8"/>
        <rFont val="Arial"/>
        <family val="2"/>
      </rPr>
      <t xml:space="preserve"> </t>
    </r>
  </si>
  <si>
    <t xml:space="preserve">Universal Swing Away Mount with articulating TG3 Keyboard and No Display mount.  Tilts and Swivels for optimum viewing.  Swings away for easy access to the dashboard. </t>
  </si>
  <si>
    <r>
      <t xml:space="preserve">UNV-SASK*-ND </t>
    </r>
    <r>
      <rPr>
        <b/>
        <i/>
        <sz val="8"/>
        <rFont val="Arial"/>
        <family val="2"/>
      </rPr>
      <t xml:space="preserve"> </t>
    </r>
  </si>
  <si>
    <t xml:space="preserve">Universal Swing Away Mount with articulating TG-3 Keyboard for Tablets &amp; i-PAD displays using the SECUR-TAB mount.  Tilts and Swivels for optimum viewing.  Swings away for easy access to the dashboard. </t>
  </si>
  <si>
    <r>
      <t xml:space="preserve">UNV-SASK*-ST      </t>
    </r>
    <r>
      <rPr>
        <b/>
        <i/>
        <sz val="8"/>
        <rFont val="Arial"/>
        <family val="2"/>
      </rPr>
      <t xml:space="preserve"> </t>
    </r>
  </si>
  <si>
    <t>* Denotes Keyboard type - 3 = TG3 Style Tray with TS-1, 4 = Thin IKEY with TS-1, G = Getac w/ TS-1</t>
  </si>
  <si>
    <t>Replacement Key for ULTP5 Laptop holders</t>
  </si>
  <si>
    <t>ULTP5-KEY</t>
  </si>
  <si>
    <t xml:space="preserve">New Style Univ. Laptop Mnt. for 12" to 16" computers w/ TS-60EX Tilt / Swivel &amp; Key Lock        </t>
  </si>
  <si>
    <r>
      <t xml:space="preserve">ULTP5-60EX                      </t>
    </r>
    <r>
      <rPr>
        <b/>
        <i/>
        <sz val="8"/>
        <rFont val="Arial"/>
        <family val="2"/>
      </rPr>
      <t xml:space="preserve">  </t>
    </r>
  </si>
  <si>
    <t xml:space="preserve">New Style Univ. Laptop Mnt. for 12" to 16" computers w/ TS-60 Tilt / Swivel &amp; Key Lock        </t>
  </si>
  <si>
    <r>
      <t xml:space="preserve">ULTP5-60                      </t>
    </r>
    <r>
      <rPr>
        <b/>
        <i/>
        <sz val="8"/>
        <rFont val="Arial"/>
        <family val="2"/>
      </rPr>
      <t xml:space="preserve">  </t>
    </r>
  </si>
  <si>
    <t xml:space="preserve">New Style Univ. Laptop Mnt. for 12" to 16" computers w/ TS-1 Tilt / Swivel &amp;  Key Lock        </t>
  </si>
  <si>
    <r>
      <t xml:space="preserve">ULTP5-1                    </t>
    </r>
    <r>
      <rPr>
        <b/>
        <i/>
        <sz val="8"/>
        <rFont val="Arial"/>
        <family val="2"/>
      </rPr>
      <t xml:space="preserve">  </t>
    </r>
  </si>
  <si>
    <t xml:space="preserve">New Style Univ. Laptop Mnt. for 12" to 16" computers with key Lock        </t>
  </si>
  <si>
    <r>
      <t xml:space="preserve">ULTP5                 </t>
    </r>
    <r>
      <rPr>
        <b/>
        <i/>
        <sz val="8"/>
        <rFont val="Arial"/>
        <family val="2"/>
      </rPr>
      <t xml:space="preserve">  </t>
    </r>
  </si>
  <si>
    <r>
      <t xml:space="preserve">Universal Laptop Mount for 9" to 13" wide computers w/ TS-60 Tilt / Swivel &amp; Lock         </t>
    </r>
    <r>
      <rPr>
        <i/>
        <sz val="10"/>
        <rFont val="Arial"/>
        <family val="2"/>
      </rPr>
      <t xml:space="preserve"> </t>
    </r>
    <r>
      <rPr>
        <b/>
        <i/>
        <sz val="8"/>
        <rFont val="Arial"/>
        <family val="2"/>
      </rPr>
      <t>Limited  Quantities Call for Availability</t>
    </r>
    <r>
      <rPr>
        <i/>
        <sz val="10"/>
        <rFont val="Arial"/>
        <family val="2"/>
      </rPr>
      <t xml:space="preserve">    </t>
    </r>
  </si>
  <si>
    <t>ULTP4</t>
  </si>
  <si>
    <t>Foam lined keyboard box with strap for MW-520, TG-3 and other keyboards</t>
  </si>
  <si>
    <r>
      <t>Locking Tablet Mount for iPad &amp; Tablets up to 13.25"x 8.7"x 1.0"</t>
    </r>
    <r>
      <rPr>
        <i/>
        <sz val="10"/>
        <rFont val="Arial"/>
        <family val="2"/>
      </rPr>
      <t xml:space="preserve"> </t>
    </r>
    <r>
      <rPr>
        <b/>
        <i/>
        <sz val="8"/>
        <rFont val="Arial"/>
        <family val="2"/>
      </rPr>
      <t>Requires Motion Attachment</t>
    </r>
  </si>
  <si>
    <t xml:space="preserve">SECURE-TAB2       </t>
  </si>
  <si>
    <t>Universal HD Tablet Surface mount with Tilt/Swivel 75mm and 2"x4"mounting holes</t>
  </si>
  <si>
    <t>TAB75-SM</t>
  </si>
  <si>
    <t>25+ PI Utility On Dash Vesa Mount w/ Tilt &amp; Swivel and Locking Display Mount. 100 &amp; 75mm</t>
  </si>
  <si>
    <t>ODM-PIU25</t>
  </si>
  <si>
    <t>20+ PI Utility On Dash Vesa Mount w/ Tilt &amp; Swivel and Locking Display Mount. 100 &amp; 75mm</t>
  </si>
  <si>
    <t xml:space="preserve">ODM-PIU20             </t>
  </si>
  <si>
    <t>13-19 FPI Utility On Dash Mount w/ Tilt &amp; Swivel Display Mount. 2x4 &amp; 75mm</t>
  </si>
  <si>
    <t xml:space="preserve">ODM-FPI-U            </t>
  </si>
  <si>
    <t>FPI Sedan On Dash Vesa Mount w/ Tilt &amp; Swivel  and Locking Display Mount. 100 &amp; 75mm</t>
  </si>
  <si>
    <t xml:space="preserve">ODM-FPI-S            </t>
  </si>
  <si>
    <t>2021+ Dodge Durango On Dash Vesa Mount w/ Tilt &amp; Swivel and Locking Display Mount. 100 &amp; 75mm</t>
  </si>
  <si>
    <t xml:space="preserve">ODM-DUR21             </t>
  </si>
  <si>
    <r>
      <t xml:space="preserve">2018 - 20 Dodge Durango On Dash Vesa Mount w/ Tilt &amp; Swivel and Locking Display Mount. 100 &amp; 75mm </t>
    </r>
    <r>
      <rPr>
        <b/>
        <i/>
        <sz val="10"/>
        <rFont val="Arial"/>
        <family val="2"/>
      </rPr>
      <t>(Call for availability)</t>
    </r>
  </si>
  <si>
    <t xml:space="preserve">ODM-DUR19             </t>
  </si>
  <si>
    <t>15+ Dodge Charger On Dash Vesa Mount w/ Tilt &amp; Swivel and Locking Display Mount.100 &amp; 75mm</t>
  </si>
  <si>
    <t xml:space="preserve">ODM-CGR         </t>
  </si>
  <si>
    <t>Adjustable Tablet / Computer Surface Mount with Tilt/Swivel 75mm and 2"x4" mounting holes</t>
  </si>
  <si>
    <t>UNI-MONIT</t>
  </si>
  <si>
    <t>Computer Mounting Systems</t>
  </si>
  <si>
    <t>Custom Mount Kits are available for other vehicles</t>
  </si>
  <si>
    <t>2015-2017 Ford Transit base plate kit</t>
  </si>
  <si>
    <r>
      <t xml:space="preserve">TRANSIT-BASE      </t>
    </r>
    <r>
      <rPr>
        <i/>
        <sz val="9"/>
        <rFont val="Arial"/>
        <family val="2"/>
      </rPr>
      <t xml:space="preserve"> </t>
    </r>
  </si>
  <si>
    <t xml:space="preserve">2015 - 20 Tahoe / Suburban &amp; Silverado 15"x 29" Extra Wide Base Plate Kit </t>
  </si>
  <si>
    <t>TAH15W-BASE</t>
  </si>
  <si>
    <t xml:space="preserve">2021+ Tahoe / Suburban &amp; Silverado 15"x 29" Extra Wide Base Plate Kit </t>
  </si>
  <si>
    <t>21TAHW-BASE</t>
  </si>
  <si>
    <t>2015 - 20 Tahoe / Suburban &amp; Silverado 8"x 29" Base Plate Kit with Trim Fascia</t>
  </si>
  <si>
    <t>TAH15-BASE</t>
  </si>
  <si>
    <t>2014+ Chevrolet Silverado 1500 &amp; GMC Sierra 1500 P/U Base Plate</t>
  </si>
  <si>
    <t xml:space="preserve">SILVR14-BASE         </t>
  </si>
  <si>
    <t>2016-2017 Chevy Silverado 9' long console base plate</t>
  </si>
  <si>
    <t>SIL16-BASE</t>
  </si>
  <si>
    <r>
      <t>2012-2017 Dodge Ram SSV 1500-5500 truck</t>
    </r>
    <r>
      <rPr>
        <b/>
        <i/>
        <sz val="10"/>
        <rFont val="Arial"/>
        <family val="2"/>
      </rPr>
      <t xml:space="preserve"> </t>
    </r>
  </si>
  <si>
    <t xml:space="preserve">RAMSSV-BASE     </t>
  </si>
  <si>
    <r>
      <t>2011-2017 Dodge Ram 1500-5500 truck</t>
    </r>
    <r>
      <rPr>
        <b/>
        <i/>
        <sz val="10"/>
        <rFont val="Arial"/>
        <family val="2"/>
      </rPr>
      <t xml:space="preserve"> </t>
    </r>
    <r>
      <rPr>
        <b/>
        <i/>
        <sz val="9"/>
        <rFont val="Arial"/>
        <family val="2"/>
      </rPr>
      <t>Will Not Work with SSV</t>
    </r>
  </si>
  <si>
    <t xml:space="preserve">RAM12-BASE       </t>
  </si>
  <si>
    <t>2020 Newer Ford PIU Support Brace for Factory Base Plate</t>
  </si>
  <si>
    <r>
      <t xml:space="preserve">PIU20-BASE-SUP     </t>
    </r>
    <r>
      <rPr>
        <b/>
        <i/>
        <sz val="10"/>
        <rFont val="Arial"/>
        <family val="2"/>
      </rPr>
      <t xml:space="preserve"> </t>
    </r>
  </si>
  <si>
    <t>2020 Newer Ford PIU Console Base Plate Mount w/ Adjustable Slots and Armrest Mnt Holes</t>
  </si>
  <si>
    <r>
      <t xml:space="preserve">PIU20-BASE     </t>
    </r>
    <r>
      <rPr>
        <b/>
        <i/>
        <sz val="10"/>
        <rFont val="Arial"/>
        <family val="2"/>
      </rPr>
      <t xml:space="preserve"> </t>
    </r>
  </si>
  <si>
    <t>2010-2017 GM Full Size Van Base Plate Kit</t>
  </si>
  <si>
    <t>GMVAN-BASE</t>
  </si>
  <si>
    <t>2012- Newer Ford Police Interceptor Sedan and Utility Base Plate Kit - w/ Ford Wire Track</t>
  </si>
  <si>
    <t xml:space="preserve">FPI-BASE-WT           </t>
  </si>
  <si>
    <t>2012- Newer Ford Police Interceptor Sedan and Utility Base Plate Kit</t>
  </si>
  <si>
    <t xml:space="preserve">FPI-BASE                 </t>
  </si>
  <si>
    <t>Wide Base Plate and Mounts for 2019+ Expedition &amp; F150</t>
  </si>
  <si>
    <r>
      <t xml:space="preserve">FORD18-WBASE     </t>
    </r>
    <r>
      <rPr>
        <b/>
        <i/>
        <sz val="9"/>
        <rFont val="Arial"/>
        <family val="2"/>
      </rPr>
      <t xml:space="preserve"> </t>
    </r>
  </si>
  <si>
    <t>2017-Newer Ford F250- F550 Base plate kit</t>
  </si>
  <si>
    <t xml:space="preserve">F35017-BASE         </t>
  </si>
  <si>
    <t>2011 - 2016 Ford F250-F750 Base Plate Kit</t>
  </si>
  <si>
    <t xml:space="preserve">F35011-BASE            </t>
  </si>
  <si>
    <t>2015-Newer Ford F-150 Base plate Kit</t>
  </si>
  <si>
    <t>F15015-BASE</t>
  </si>
  <si>
    <t>2009-2014 Ford F-150 Seat Bolt Base Plate</t>
  </si>
  <si>
    <t>F15009-BASE</t>
  </si>
  <si>
    <t>Armrest Adapter Plate allows HD-ARM to mount behind VC-CHGR Console</t>
  </si>
  <si>
    <t xml:space="preserve">CGR-BPE           </t>
  </si>
  <si>
    <t xml:space="preserve">2011-2012 Dodge Charger Mounting Kit for OEM base Plate </t>
  </si>
  <si>
    <t xml:space="preserve">CGR11-FEET            </t>
  </si>
  <si>
    <t>2011-Newer Dodge Charger H/D 7ga Base Plate and mounting feet</t>
  </si>
  <si>
    <t xml:space="preserve">CGR11-BASE           </t>
  </si>
  <si>
    <t>Base Plate only 28.5" long - Universal bolt pattern</t>
  </si>
  <si>
    <t>BASE-L</t>
  </si>
  <si>
    <t>Base Plate only 22" long - Universal bolt pattern</t>
  </si>
  <si>
    <t>BASE-M</t>
  </si>
  <si>
    <t>Base Plate only 16" long - Universal bolt pattern</t>
  </si>
  <si>
    <t>BASE-S</t>
  </si>
  <si>
    <t>2 Bale Bracket Kit mounts Consoles to Base Plate or Vehicle Floor</t>
  </si>
  <si>
    <t>CC-BALE*</t>
  </si>
  <si>
    <t>Vehicle Mounting Kits and Base Plates</t>
  </si>
  <si>
    <t>6-1/2" .090 Console Top Plate</t>
  </si>
  <si>
    <t>6500-TP</t>
  </si>
  <si>
    <t>6-1/4" .090 Console Top Plate</t>
  </si>
  <si>
    <t>6250-TP</t>
  </si>
  <si>
    <t>4-1/2" or 5" .090 Console Top Plate</t>
  </si>
  <si>
    <t>4500-TP/5000-TP</t>
  </si>
  <si>
    <t xml:space="preserve">3-1/2" or 4" .090 Console Top Plate </t>
  </si>
  <si>
    <t xml:space="preserve">3500-TP/4000-TP </t>
  </si>
  <si>
    <t>2-1/2", 3" .060 Console Top Plate</t>
  </si>
  <si>
    <t xml:space="preserve">2500-TP/3000-TP </t>
  </si>
  <si>
    <t>1", 1-1/2" or 2" .060 Console Top Plate</t>
  </si>
  <si>
    <t>1000/1500/2000-TP</t>
  </si>
  <si>
    <t>6"  Console Fill Plate</t>
  </si>
  <si>
    <t>6000-FP</t>
  </si>
  <si>
    <t>5"  Console Fill Plate</t>
  </si>
  <si>
    <t>5000-FP</t>
  </si>
  <si>
    <t>4-1/2"  Console Fill Plate</t>
  </si>
  <si>
    <t>4500-FP</t>
  </si>
  <si>
    <t>3", 3-1/4", 3 1/2" or  4"  Console Fill Plate</t>
  </si>
  <si>
    <t>3000/3250/3500/4000-FP</t>
  </si>
  <si>
    <t>2", 2-1/4", 2-1/2" Console Fill Plate</t>
  </si>
  <si>
    <t>2000/2250/2500-FP</t>
  </si>
  <si>
    <t>1-1/4", 1-1/2" or 1-3/4"  Console Fill Plate</t>
  </si>
  <si>
    <t>1250/1500/1750-FP</t>
  </si>
  <si>
    <t>1/2” ,  3/4"  or 1"  Console Fill Plate</t>
  </si>
  <si>
    <t>500/750/1000-FP</t>
  </si>
  <si>
    <t>**Please indicate Part Number from Lund Bracket Guide, make &amp; model or dimensions when ordering.  Custom brackets available for an additional $15 net prep charge plus bracket cost.</t>
  </si>
  <si>
    <t>One Piece DVR Bracket / Housing for Kustom Signal and Data911</t>
  </si>
  <si>
    <t>DVR-**</t>
  </si>
  <si>
    <t>One Piece Bracket for the Following equipment: Code3  NarrowStik, MasterCom, V-Con,  RLS * F/S PA-300, PA-640, SW-300, TM-4, SS-2000 * Motorola A-9, CDM-1250, PM-1500, A-4, Spectra, XTL-5000 * Whelen Cencom, WS295HF, PCC9, Traffic Advisor and others</t>
  </si>
  <si>
    <t>OPB-**</t>
  </si>
  <si>
    <t>Additional 2 piece equipment brackets for Control -Com Consoles</t>
  </si>
  <si>
    <t>BT2-**</t>
  </si>
  <si>
    <t>Equipment Brackets and Fill Plates</t>
  </si>
  <si>
    <t>Three Outlet Power Strip</t>
  </si>
  <si>
    <t>TRI-LITER</t>
  </si>
  <si>
    <t>3 -15 amp Rocker switches on 2" Fill Plate</t>
  </si>
  <si>
    <t xml:space="preserve">SP2-3              </t>
  </si>
  <si>
    <t>2 -15 amp Rocker switches on 2" Fill plate</t>
  </si>
  <si>
    <r>
      <t xml:space="preserve">SP2-2 </t>
    </r>
    <r>
      <rPr>
        <b/>
        <i/>
        <sz val="8"/>
        <rFont val="Arial"/>
        <family val="2"/>
      </rPr>
      <t xml:space="preserve">                     </t>
    </r>
  </si>
  <si>
    <t>Side mount adjustable Screen Support for ULTP5 only</t>
  </si>
  <si>
    <t xml:space="preserve">SCN-SPT5                </t>
  </si>
  <si>
    <t>2" Fill Plate with 3 Power Plugs, USB 3.0 &amp; USB C Extension Cable</t>
  </si>
  <si>
    <t>PS3-USB3C</t>
  </si>
  <si>
    <t>2" Fill Plate with 2 Power Plugs, USB 3.0 &amp; USB C Extension Cable</t>
  </si>
  <si>
    <t>PS2-USB3C</t>
  </si>
  <si>
    <t>2" Fill Plate with 3 Power Plugs, 1 Dual USB 2.1 Amp Charging Ports</t>
  </si>
  <si>
    <t>PS3-2USB</t>
  </si>
  <si>
    <t>2" Fill Plate with 2 Power Plugs, 1 Dual USB 2.1 Amp Charging Ports</t>
  </si>
  <si>
    <t>PS2-2USB</t>
  </si>
  <si>
    <t>4 Outlet power Strip on 2” Fill Plate</t>
  </si>
  <si>
    <t>PS2-4</t>
  </si>
  <si>
    <t>3 Outlet Power Strip on 2” Fill Plate</t>
  </si>
  <si>
    <t>PS2-3</t>
  </si>
  <si>
    <t>2" Fill Plate with 3 Power Plugs,  6' USB and 1/8" Audio extension cables</t>
  </si>
  <si>
    <t xml:space="preserve">PS3-MEDIA           </t>
  </si>
  <si>
    <t>2" Fill Plate with 2 Power Plugs,  6' USB and 1/8" Audio extension cables</t>
  </si>
  <si>
    <t xml:space="preserve">PS2-MEDIA           </t>
  </si>
  <si>
    <t>6 position ATO Fuse panel has power &amp; ground buss and snap-on cover- 100 amp.</t>
  </si>
  <si>
    <t xml:space="preserve">PDC6C               </t>
  </si>
  <si>
    <t xml:space="preserve">VH/VC PIU20 Console Top Only - Retro-Fit for 25+ Interceptor Utility's w/ Rear Air Control </t>
  </si>
  <si>
    <t>PIU20-HACTOP</t>
  </si>
  <si>
    <t>12 position ATO Fuse panel has power &amp; ground buss and snap-on cover- 100 amp.</t>
  </si>
  <si>
    <t xml:space="preserve">PDC12C            </t>
  </si>
  <si>
    <t>Pen Box 2.5" x 2" D</t>
  </si>
  <si>
    <r>
      <t xml:space="preserve">PB-250 </t>
    </r>
    <r>
      <rPr>
        <b/>
        <i/>
        <sz val="8"/>
        <rFont val="Arial"/>
        <family val="2"/>
      </rPr>
      <t xml:space="preserve">                            </t>
    </r>
  </si>
  <si>
    <t>Note Pad Holder - Black Aluminum</t>
  </si>
  <si>
    <t xml:space="preserve">NTEPD                                                   </t>
  </si>
  <si>
    <t>Multi-Position Microphone Holder w/clip</t>
  </si>
  <si>
    <t>MK-2CL</t>
  </si>
  <si>
    <t>Multi-Position Microphone Holder</t>
  </si>
  <si>
    <t>MK-2</t>
  </si>
  <si>
    <t>Locking Storage Box  - 10 ” x 2.5" D</t>
  </si>
  <si>
    <t xml:space="preserve">LSB-1025                </t>
  </si>
  <si>
    <t>Locking Storage Box  - 6 ” x 5" D</t>
  </si>
  <si>
    <t>LSB-600</t>
  </si>
  <si>
    <t>Locking Storage Box  - 4 " x 3.5" D</t>
  </si>
  <si>
    <r>
      <t xml:space="preserve">LSB-400                   </t>
    </r>
    <r>
      <rPr>
        <b/>
        <i/>
        <sz val="8"/>
        <rFont val="Arial"/>
        <family val="2"/>
      </rPr>
      <t xml:space="preserve"> </t>
    </r>
  </si>
  <si>
    <t>LittleLite bottom mounting bracket for consoles and docks</t>
  </si>
  <si>
    <r>
      <t xml:space="preserve">LL-BKT2 </t>
    </r>
    <r>
      <rPr>
        <b/>
        <i/>
        <sz val="8"/>
        <rFont val="Arial"/>
        <family val="2"/>
      </rPr>
      <t xml:space="preserve">              </t>
    </r>
  </si>
  <si>
    <t xml:space="preserve">Littlelite Replacement Bulb </t>
  </si>
  <si>
    <t>LF-Q5</t>
  </si>
  <si>
    <t>LittleLite side mounting bracket for consoles and docks</t>
  </si>
  <si>
    <t>LF-BKT</t>
  </si>
  <si>
    <t>LittleLite Red / White LED Reading Light with Switch</t>
  </si>
  <si>
    <t>LF12-TS-LED</t>
  </si>
  <si>
    <t>LittleLite Halogen Reading Light with Dimmer</t>
  </si>
  <si>
    <t>LF12-TRB</t>
  </si>
  <si>
    <t>Replacement Pad for H/D Armrest</t>
  </si>
  <si>
    <t>HD-PAD</t>
  </si>
  <si>
    <t xml:space="preserve">4" Longer H/D Flip up Armrest with Molded Pad and 9"-14" adjustable Vertical Surface Mount </t>
  </si>
  <si>
    <t xml:space="preserve">HD-ARMXL-VP          </t>
  </si>
  <si>
    <r>
      <t xml:space="preserve">4" Longer H/D Flip up Armrest with Molded Pad and 9"-14" adjustable Pole </t>
    </r>
    <r>
      <rPr>
        <i/>
        <sz val="10"/>
        <rFont val="Arial"/>
        <family val="2"/>
      </rPr>
      <t xml:space="preserve"> Needs Baseplate</t>
    </r>
  </si>
  <si>
    <t xml:space="preserve">HD-ARMXL-9            </t>
  </si>
  <si>
    <r>
      <t xml:space="preserve">4" Longer H/D Flip up Armrest with Molded Pad and 5"-9" adjustable Pole  </t>
    </r>
    <r>
      <rPr>
        <b/>
        <sz val="10"/>
        <rFont val="Arial"/>
        <family val="2"/>
      </rPr>
      <t xml:space="preserve"> </t>
    </r>
    <r>
      <rPr>
        <sz val="10"/>
        <rFont val="Arial"/>
        <family val="2"/>
      </rPr>
      <t xml:space="preserve"> </t>
    </r>
    <r>
      <rPr>
        <i/>
        <sz val="10"/>
        <rFont val="Arial"/>
        <family val="2"/>
      </rPr>
      <t>Needs Baseplate</t>
    </r>
  </si>
  <si>
    <t xml:space="preserve">HD-ARMXL-5           </t>
  </si>
  <si>
    <t xml:space="preserve">H/D Flip up Armrest with Molded Pad and 9"-14" adjustable Vertical Surface Mount </t>
  </si>
  <si>
    <t>HD-ARM-VP</t>
  </si>
  <si>
    <r>
      <t xml:space="preserve">H/D Flip up Armrest with Molded Pad and 9"-14" adjustable Pole </t>
    </r>
    <r>
      <rPr>
        <i/>
        <sz val="10"/>
        <rFont val="Arial"/>
        <family val="2"/>
      </rPr>
      <t xml:space="preserve">   Needs Baseplate</t>
    </r>
  </si>
  <si>
    <r>
      <t xml:space="preserve">HD-ARM-9         </t>
    </r>
    <r>
      <rPr>
        <b/>
        <i/>
        <sz val="10"/>
        <rFont val="Arial"/>
        <family val="2"/>
      </rPr>
      <t/>
    </r>
  </si>
  <si>
    <r>
      <t xml:space="preserve">H/D Flip up Armrest with Molded Pad and 5"-9" adjustable Pole      </t>
    </r>
    <r>
      <rPr>
        <i/>
        <sz val="10"/>
        <rFont val="Arial"/>
        <family val="2"/>
      </rPr>
      <t>Needs Baseplate</t>
    </r>
  </si>
  <si>
    <t xml:space="preserve">HD-ARM-5  </t>
  </si>
  <si>
    <t>3.5" Angled Equipment Adapter</t>
  </si>
  <si>
    <t xml:space="preserve">HC-WAVE             </t>
  </si>
  <si>
    <t>3- 15 amp Rocker switch w/2 power outlets on a 2" Fill Plate</t>
  </si>
  <si>
    <t xml:space="preserve">FP-3S2P                 </t>
  </si>
  <si>
    <t>2" Fill Plate with 6' USB and 1/8" Audio extension cables</t>
  </si>
  <si>
    <t xml:space="preserve">FP2-MEDIA            </t>
  </si>
  <si>
    <t xml:space="preserve">Clip Board Holder - Black Aluminum </t>
  </si>
  <si>
    <t>CLPBD</t>
  </si>
  <si>
    <t>Small Cupholder Insert</t>
  </si>
  <si>
    <t>CHBINS-S</t>
  </si>
  <si>
    <t>Large Cupholder Insert</t>
  </si>
  <si>
    <t>CHBINS-L</t>
  </si>
  <si>
    <t>Double Cupholder with 3 Power Plugs</t>
  </si>
  <si>
    <t>CHB-CAP</t>
  </si>
  <si>
    <t>Dual XL Large Cupholder</t>
  </si>
  <si>
    <r>
      <t xml:space="preserve">CHBXL-2EN            </t>
    </r>
    <r>
      <rPr>
        <b/>
        <i/>
        <sz val="9"/>
        <color rgb="FF000000"/>
        <rFont val="Arial"/>
        <family val="2"/>
      </rPr>
      <t xml:space="preserve"> </t>
    </r>
    <r>
      <rPr>
        <b/>
        <sz val="10"/>
        <color indexed="8"/>
        <rFont val="Arial"/>
        <family val="2"/>
      </rPr>
      <t xml:space="preserve">  </t>
    </r>
  </si>
  <si>
    <t>Double Cupholder enclosed- For inside Console Mounting</t>
  </si>
  <si>
    <t xml:space="preserve">CHB-2EN           </t>
  </si>
  <si>
    <t>Double Cupholder - Black</t>
  </si>
  <si>
    <t>CHB-2</t>
  </si>
  <si>
    <t>Single Cupholder - Black</t>
  </si>
  <si>
    <t>CHB-1</t>
  </si>
  <si>
    <t>12 Position console mounted fuse panel</t>
  </si>
  <si>
    <t>CC12F</t>
  </si>
  <si>
    <t>12 Position console mounted fuse panel with removable cover</t>
  </si>
  <si>
    <t xml:space="preserve">CC12CFP          </t>
  </si>
  <si>
    <t>3-Ring Binder Holder 12.5"w x 4"l x 8"d</t>
  </si>
  <si>
    <t xml:space="preserve">BNDR-BX                 </t>
  </si>
  <si>
    <t>Replacement Pad for armrest</t>
  </si>
  <si>
    <t>AR-PAD</t>
  </si>
  <si>
    <t>Replacement Half Pad for armrest</t>
  </si>
  <si>
    <t>AR-HPAD</t>
  </si>
  <si>
    <t>Padded Tall Arm Rest with 11" High Adjustable Bracket</t>
  </si>
  <si>
    <t xml:space="preserve">ARMP-XL               </t>
  </si>
  <si>
    <t>Padded Armrest w/short legs, for use with AR-EXPL11 console</t>
  </si>
  <si>
    <t>ARMP-S</t>
  </si>
  <si>
    <t>Small H/D Padded Armrest, adjustable side or rear mount</t>
  </si>
  <si>
    <r>
      <t xml:space="preserve">ARMP-AL            </t>
    </r>
    <r>
      <rPr>
        <b/>
        <sz val="10"/>
        <rFont val="Arial"/>
        <family val="2"/>
      </rPr>
      <t xml:space="preserve">  </t>
    </r>
  </si>
  <si>
    <t>Padded Armrest</t>
  </si>
  <si>
    <t>ARMP</t>
  </si>
  <si>
    <t>Padded Armrest with Extended Bracket for Base Plate Mounting</t>
  </si>
  <si>
    <t xml:space="preserve">ARM-EXT           </t>
  </si>
  <si>
    <t>1/2 Padded Armrest with Microphone Clip</t>
  </si>
  <si>
    <t>ARM-CL</t>
  </si>
  <si>
    <t>Replacement Pad for half armrest</t>
  </si>
  <si>
    <t>Radar Power Plug with Rubber Seal Cap</t>
  </si>
  <si>
    <t>14-0570</t>
  </si>
  <si>
    <t>SPST Lighted Rocker Switch</t>
  </si>
  <si>
    <t>05-0501-R0B</t>
  </si>
  <si>
    <t>Accessories</t>
  </si>
  <si>
    <r>
      <t xml:space="preserve">** When ordering please specify make, model of vehicle and equipment brackets needed.  See </t>
    </r>
    <r>
      <rPr>
        <b/>
        <i/>
        <sz val="10"/>
        <rFont val="Arial"/>
        <family val="2"/>
      </rPr>
      <t>Lund Bracket Guide</t>
    </r>
    <r>
      <rPr>
        <b/>
        <sz val="10"/>
        <rFont val="Arial"/>
        <family val="2"/>
      </rPr>
      <t xml:space="preserve"> for more information.                      </t>
    </r>
    <r>
      <rPr>
        <b/>
        <sz val="11"/>
        <rFont val="Arial"/>
        <family val="2"/>
      </rPr>
      <t xml:space="preserve"> </t>
    </r>
    <r>
      <rPr>
        <b/>
        <i/>
        <sz val="11"/>
        <rFont val="Arial"/>
        <family val="2"/>
      </rPr>
      <t>Custom console sizes are available.</t>
    </r>
  </si>
  <si>
    <r>
      <t xml:space="preserve">2015 - 20 Chevy Tahoe Side Car Tactical Console with 11.5" front height, 4" vertical and 18" horizontal equipment space is total of 12" wide with included Power Plugs, USB interface and Storage box with 2 large Cup Holders.  Includes equipment mounting brackets and fill plates </t>
    </r>
    <r>
      <rPr>
        <b/>
        <i/>
        <sz val="10"/>
        <rFont val="Arial"/>
        <family val="2"/>
      </rPr>
      <t xml:space="preserve"> Requires TAH15W-BASE.</t>
    </r>
  </si>
  <si>
    <t xml:space="preserve">VH-TAH15-SC        </t>
  </si>
  <si>
    <r>
      <t xml:space="preserve">2021 - Newer Chevy Tahoe Side Car Tactical Console with 10" front height, 8.5" vertical and 13.5" horizontal equipment space is total of 12" wide with included Power Plugs, USB interface and Storage box with 2 large Cup Holders.  Includes equipment mounting brackets and fill plates </t>
    </r>
    <r>
      <rPr>
        <b/>
        <i/>
        <sz val="10"/>
        <rFont val="Arial"/>
        <family val="2"/>
      </rPr>
      <t xml:space="preserve"> Requires 21TAHW-BASE.</t>
    </r>
  </si>
  <si>
    <t xml:space="preserve">VH-21TAH-SC        </t>
  </si>
  <si>
    <r>
      <t xml:space="preserve">2015 - 20 Chevy Tahoe Tactical Console with 11.5" front height, 4.5" vertical and 18" horizontal equipment space. Includes Front Trim, equipment mounting brackets and fill plates </t>
    </r>
    <r>
      <rPr>
        <b/>
        <i/>
        <sz val="10"/>
        <rFont val="Arial"/>
        <family val="2"/>
      </rPr>
      <t xml:space="preserve"> Requires Mounting Kit.</t>
    </r>
  </si>
  <si>
    <t xml:space="preserve">VH-TAH15              </t>
  </si>
  <si>
    <r>
      <t xml:space="preserve">2021 - Newer Chevy Tahoe Tactical Console with 10" front height, 8.5" vertical and 13.5" horizontal equipment space. Includes Front Trim, equipment mounting brackets and fill plates </t>
    </r>
    <r>
      <rPr>
        <b/>
        <i/>
        <sz val="10"/>
        <rFont val="Arial"/>
        <family val="2"/>
      </rPr>
      <t xml:space="preserve"> Requires Mounting Kit.</t>
    </r>
  </si>
  <si>
    <t xml:space="preserve">VH-21TAH             </t>
  </si>
  <si>
    <t>2012 - Newer Ram SSV Tactical Console with Baseplate has a 10” front height and a 50 degree slope and 3.75” high 10” horizontal section and features a motion attachment mounting point. The VH-RAMSSV  includes equipment mounting brackets and fill plates.</t>
  </si>
  <si>
    <t xml:space="preserve">VH-RAMSSV-B  </t>
  </si>
  <si>
    <r>
      <t xml:space="preserve">2020 - Newer Ford Police Interceptor Utility </t>
    </r>
    <r>
      <rPr>
        <b/>
        <sz val="10"/>
        <rFont val="Arial"/>
        <family val="2"/>
      </rPr>
      <t>w/ Rear Air Control</t>
    </r>
    <r>
      <rPr>
        <sz val="10"/>
        <rFont val="Arial"/>
        <family val="2"/>
      </rPr>
      <t xml:space="preserve"> Tactical Console with 10” front height and a 50 degree slope and 3.75” high 16” horizontal section and has a motion attachment mounting point. The VH-PIU20-UM16-RA mounts to the OEM Baseplate and includes equipment mounting brackets and fill plates.</t>
    </r>
  </si>
  <si>
    <t xml:space="preserve">VH-PIU20-UM16-RA     </t>
  </si>
  <si>
    <t>2020 - Newer Ford Police Interceptor Utility Tactical Console with 10” front height and a 50 degree slope and 3.75” high 16” horizontal section and has a motion attachment mounting point. The VH-PIU20-UM16 mounts to the OEM Baseplate and includes equipment mounting brackets and fill plates.</t>
  </si>
  <si>
    <t xml:space="preserve">VH-PIU20-UM16     </t>
  </si>
  <si>
    <r>
      <t xml:space="preserve">2020 - Newer Ford Police Interceptor Utility </t>
    </r>
    <r>
      <rPr>
        <b/>
        <sz val="10"/>
        <rFont val="Arial"/>
        <family val="2"/>
      </rPr>
      <t>w/ Rear Air Control</t>
    </r>
    <r>
      <rPr>
        <sz val="10"/>
        <rFont val="Arial"/>
        <family val="2"/>
      </rPr>
      <t xml:space="preserve"> Tactical Console with 10” front height and a 50 degree slope and 3.75” high 13” horizontal section and has a motion attachment mounting point. The VH-PIU20-UM13-RA mounts to the OEM Baseplate and includes equipment mounting brackets and fill plates.</t>
    </r>
  </si>
  <si>
    <r>
      <t xml:space="preserve">VH-PIU20-UM13-RA              </t>
    </r>
    <r>
      <rPr>
        <b/>
        <i/>
        <sz val="11"/>
        <rFont val="Arial"/>
        <family val="2"/>
      </rPr>
      <t xml:space="preserve"> </t>
    </r>
  </si>
  <si>
    <t>2020 - Newer Ford Police Interceptor Utility Tactical Console with 10” front height and a 50 degree slope and 3.75” high 13” horizontal section and has a motion attachment mounting point. The VH-PIU20-UM13 mounts to the OEM Baseplate and includes equipment mounting brackets and fill plates.</t>
  </si>
  <si>
    <r>
      <t xml:space="preserve">VH-PIU20-UM13               </t>
    </r>
    <r>
      <rPr>
        <b/>
        <i/>
        <sz val="11"/>
        <rFont val="Arial"/>
        <family val="2"/>
      </rPr>
      <t xml:space="preserve"> </t>
    </r>
  </si>
  <si>
    <r>
      <t xml:space="preserve">2020 - Newer Ford Police Interceptor Utility </t>
    </r>
    <r>
      <rPr>
        <b/>
        <sz val="10"/>
        <rFont val="Arial"/>
        <family val="2"/>
      </rPr>
      <t>w/ Rear Air Control</t>
    </r>
    <r>
      <rPr>
        <sz val="10"/>
        <rFont val="Arial"/>
        <family val="2"/>
      </rPr>
      <t xml:space="preserve"> Tactical Console with 10” front height and a 50 degree slope and 3.75” high 9” horizontal section and has a motion attachment mounting point. The VH-PIU20-UM9-RA mounts to the OEM Baseplate and includes equipment mounting brackets and fill plates.</t>
    </r>
  </si>
  <si>
    <r>
      <t xml:space="preserve">VH-PIU20-UM9-RA                 </t>
    </r>
    <r>
      <rPr>
        <b/>
        <i/>
        <sz val="11"/>
        <rFont val="Arial"/>
        <family val="2"/>
      </rPr>
      <t xml:space="preserve"> </t>
    </r>
  </si>
  <si>
    <t>2020 - Newer Ford Police Interceptor Utility Tactical Console with 10” front height and a 50 degree slope and 3.75” high 9” horizontal section and has a motion attachment mounting point. The VH-PIU20-UM9 mounts to the OEM Baseplate and includes equipment mounting brackets and fill plates.</t>
  </si>
  <si>
    <r>
      <t xml:space="preserve">VH-PIU20-UM9                  </t>
    </r>
    <r>
      <rPr>
        <b/>
        <i/>
        <sz val="11"/>
        <rFont val="Arial"/>
        <family val="2"/>
      </rPr>
      <t xml:space="preserve"> </t>
    </r>
  </si>
  <si>
    <r>
      <t xml:space="preserve">2020 - Newer Ford Police Interceptor Utility </t>
    </r>
    <r>
      <rPr>
        <b/>
        <sz val="10"/>
        <rFont val="Arial"/>
        <family val="2"/>
      </rPr>
      <t>w/ Rear Air Control</t>
    </r>
    <r>
      <rPr>
        <sz val="10"/>
        <rFont val="Arial"/>
        <family val="2"/>
      </rPr>
      <t xml:space="preserve"> Tactical Console with 10” front height and a 50 degree slope and 3.75” high 4.25” horizontal section and has a motion attachment mounting point. The VH-PIU20-UM4-RA mounts to the OEM Baseplate and includes equipment mounting brackets and fill plates.</t>
    </r>
  </si>
  <si>
    <t xml:space="preserve">VH-PIU20-UM4-RA      </t>
  </si>
  <si>
    <t>2020 - Newer Ford Police Interceptor Utility Tactical Console with 10” front height and a 50 degree slope and 3.75” high 4.25” horizontal section and has a motion attachment mounting point. The VH-PIU20-UM4 mounts to the OEM Baseplate and includes equipment mounting brackets and fill plates.</t>
  </si>
  <si>
    <t xml:space="preserve">VH-PIU20-UM4      </t>
  </si>
  <si>
    <t>2012 - 19 Ford Police Interceptor Utility Extra Tall Tactical Console w/ 16” horizontal section and has a motion attachment mounting point. The VH-FPI-XT-12 mounts to the OEM or Lund Baseplate and includes equipment mounting brackets and fill plates.</t>
  </si>
  <si>
    <r>
      <t xml:space="preserve">VH-FPIU-XT-16    </t>
    </r>
    <r>
      <rPr>
        <b/>
        <i/>
        <sz val="11"/>
        <rFont val="Arial"/>
        <family val="2"/>
      </rPr>
      <t xml:space="preserve"> </t>
    </r>
  </si>
  <si>
    <t>2012 - 19 Ford Police Interceptor Utility Extra Tall Tactical Console w/ 12” horizontal section and has a motion attachment mounting point. The VH-FPI-XT-12 mounts to the OEM or Lund Baseplate and includes equipment mounting brackets and fill plates.</t>
  </si>
  <si>
    <r>
      <t xml:space="preserve">VH-FPIU-XT-12    </t>
    </r>
    <r>
      <rPr>
        <b/>
        <i/>
        <sz val="11"/>
        <rFont val="Arial"/>
        <family val="2"/>
      </rPr>
      <t xml:space="preserve"> </t>
    </r>
  </si>
  <si>
    <t>2012 - 19 Ford Police Interceptor Utility Tactical Console with 10” front height and a 50 degree slope and 4.625” high 18” horizontal section and has a motion attachment mounting point. The VH-FPI-UM16 mounts to the OEM or Lund Baseplate and includes equipment mounting brackets and fill plates.</t>
  </si>
  <si>
    <t xml:space="preserve">VH-FPI-UM16     </t>
  </si>
  <si>
    <t>2012 - 19 Ford Police Interceptor Utility Tactical Console with 10” front height and a 50 degree slope and 3.75” high 13” horizontal section and has a motion attachment mounting point. The VH-FPI-UM9 mounts to the OEM or Lund Baseplate and includes equipment mounting brackets and fill plates.</t>
  </si>
  <si>
    <r>
      <t xml:space="preserve">VH-FPI-UM13               </t>
    </r>
    <r>
      <rPr>
        <b/>
        <i/>
        <sz val="11"/>
        <rFont val="Arial"/>
        <family val="2"/>
      </rPr>
      <t xml:space="preserve"> </t>
    </r>
  </si>
  <si>
    <t>2012 - 19 Ford Police Interceptor Utility Tactical Console with 10” front height and a 50 degree slope and 3.75” high 9” horizontal section and has a motion attachment mounting point. The VH-FPI-UM9 mounts to the OEM or Lund Baseplate and includes equipment mounting brackets and fill plates.</t>
  </si>
  <si>
    <r>
      <t xml:space="preserve">VH-FPI-UM9                  </t>
    </r>
    <r>
      <rPr>
        <b/>
        <i/>
        <sz val="11"/>
        <rFont val="Arial"/>
        <family val="2"/>
      </rPr>
      <t xml:space="preserve"> </t>
    </r>
  </si>
  <si>
    <t>2012 - 19 Ford Police Interceptor Utility Tactical Console with 10” front height and a 50 degree slope and 3.75” high 4.25” horizontal section and has a motion attachment mounting point. The VH-FPI-U24 mounts to the OEM Baseplate and includes equipment mounting brackets and fill plates.</t>
  </si>
  <si>
    <t xml:space="preserve">VH-FPI-UM4          </t>
  </si>
  <si>
    <t>2012 - 19 Ford Police Interceptor Utility Tactical Console with 10” front height and a 50 degree slope and 3.75” high 10” horizontal section and has a motion attachment mounting point. The VH-FPI-U24 mounts to the OEM Baseplate and includes equipment mounting brackets and fill plates.</t>
  </si>
  <si>
    <t xml:space="preserve">VH-FPI-U24         </t>
  </si>
  <si>
    <t>2012 - Newer Ford Police Interceptor Sedan Tactical Console with 6” Vertical Console with 8” front height and 75 degree slope and 3.75” H x 16” L horizontal section. Includes equipment mounting brackets and fill plates. May require base plate or additional mounting kit.</t>
  </si>
  <si>
    <r>
      <t xml:space="preserve">VH-FPI-S75-16         </t>
    </r>
    <r>
      <rPr>
        <b/>
        <i/>
        <sz val="11"/>
        <rFont val="Arial"/>
        <family val="2"/>
      </rPr>
      <t xml:space="preserve"> </t>
    </r>
  </si>
  <si>
    <t>2012 - Newer Ford Police Interceptor Sedan Tactical Console with 6” Vertical Console with 8” front height and 75 degree slope and 3.75” H x 13” L horizontal section. Includes equipment mounting brackets and fill plates. May require base plate or additional mounting kit.</t>
  </si>
  <si>
    <r>
      <t xml:space="preserve">VH-FPI-S75-13   </t>
    </r>
    <r>
      <rPr>
        <b/>
        <sz val="9"/>
        <rFont val="Arial"/>
        <family val="2"/>
      </rPr>
      <t xml:space="preserve"> </t>
    </r>
  </si>
  <si>
    <t>2012 - Newer Ford Police Interceptor Sedan Tactical Console with 6” Vertical Console with 8” front height and 75 degree slope and 3.75” H x 9” L horizontal section. Includes equipment mounting brackets and fill plates. May require base plate or additional mounting kit.</t>
  </si>
  <si>
    <r>
      <t xml:space="preserve">VH-FPI-S75-9      </t>
    </r>
    <r>
      <rPr>
        <b/>
        <i/>
        <sz val="11"/>
        <rFont val="Arial"/>
        <family val="2"/>
      </rPr>
      <t xml:space="preserve"> </t>
    </r>
  </si>
  <si>
    <t>2012 - Newer Ford Police Interceptor Sedan Tactical Console with 6” Vertical Console with 8” front height and 75 degree slope and 3.75” H x 4” L horizontal section. Includes equipment mounting brackets and fill plates. May require base plate or additional mounting kit.</t>
  </si>
  <si>
    <r>
      <t xml:space="preserve">VH-FPI-S75-4             </t>
    </r>
    <r>
      <rPr>
        <b/>
        <i/>
        <sz val="11"/>
        <rFont val="Arial"/>
        <family val="2"/>
      </rPr>
      <t xml:space="preserve"> </t>
    </r>
  </si>
  <si>
    <t>2012 - Newer Ford Police Interceptor Sedan 5” Vertical Console with 7” front height and 60 degree slope and 3.75” H x 16” L horizontal section. Includes equipment mounting brackets and fill plates. May require base plate or additional mounting kit.</t>
  </si>
  <si>
    <t xml:space="preserve">VH-FPI-S60-16       </t>
  </si>
  <si>
    <t>2012 - Newer Ford Police Interceptor Sedan 5” Vertical Console with 7” front height and 60 degree slope and 3.75” H x 13” L horizontal section. Includes equipment mounting brackets and fill plates. May require base plate or additional mounting kit.</t>
  </si>
  <si>
    <r>
      <t xml:space="preserve">VH-FPI-S60-13    </t>
    </r>
    <r>
      <rPr>
        <b/>
        <sz val="8"/>
        <rFont val="Arial"/>
        <family val="2"/>
      </rPr>
      <t xml:space="preserve"> </t>
    </r>
    <r>
      <rPr>
        <b/>
        <sz val="11"/>
        <rFont val="Arial"/>
        <family val="2"/>
      </rPr>
      <t xml:space="preserve">  </t>
    </r>
  </si>
  <si>
    <t>2012 - Newer Ford Police Interceptor Sedan 5” Vertical Console with 7” front height and 60 degree slope and 3.75” H x 9” L horizontal section. Includes equipment mounting brackets and fill plates. May require base plate or additional mounting kit.</t>
  </si>
  <si>
    <t xml:space="preserve">VH-FPI-S60-9          </t>
  </si>
  <si>
    <t>2012 - Newer Ford Police Interceptor Sedan 5” Vertical Console with 7” front height and 60 degree slope and 3.75” H x 4” L horizontal section. Includes equipment mounting brackets and fill plates. May require base plate or additional mounting kit.</t>
  </si>
  <si>
    <t xml:space="preserve">VH-FPI-S60-4         </t>
  </si>
  <si>
    <t>2012 - Newer Ford Police Interceptor Sedan Tactical Console with 10” front height and a 50 degree slope and 3.75” high 10” horizontal section and has a motion attachment mounting point. The VH-FPI-S24 mounts to the OEM Baseplate and includes equipment mounting brackets and fill plates.</t>
  </si>
  <si>
    <t xml:space="preserve">VH-FPI-S24         </t>
  </si>
  <si>
    <r>
      <t xml:space="preserve">2019+ F150 Tactical Console. Includes equipment mounting brackets, fill plates and console   </t>
    </r>
    <r>
      <rPr>
        <b/>
        <i/>
        <sz val="9"/>
        <rFont val="Arial"/>
        <family val="2"/>
      </rPr>
      <t>(Requires FORD18-WBASE)</t>
    </r>
  </si>
  <si>
    <r>
      <t xml:space="preserve">VH-F15019          </t>
    </r>
    <r>
      <rPr>
        <b/>
        <i/>
        <sz val="9"/>
        <rFont val="Arial"/>
        <family val="2"/>
      </rPr>
      <t xml:space="preserve"> </t>
    </r>
  </si>
  <si>
    <r>
      <t xml:space="preserve">2018+ Expedition Tactical Console. Includes equipment mounting brackets, fill plates and console   </t>
    </r>
    <r>
      <rPr>
        <b/>
        <i/>
        <sz val="9"/>
        <rFont val="Arial"/>
        <family val="2"/>
      </rPr>
      <t>(Requires FORD18-WBASE)</t>
    </r>
  </si>
  <si>
    <r>
      <t xml:space="preserve">VH-EXPED19      </t>
    </r>
    <r>
      <rPr>
        <b/>
        <i/>
        <sz val="9"/>
        <rFont val="Arial"/>
        <family val="2"/>
      </rPr>
      <t xml:space="preserve"> </t>
    </r>
    <r>
      <rPr>
        <b/>
        <sz val="11"/>
        <rFont val="Arial"/>
        <family val="2"/>
      </rPr>
      <t xml:space="preserve">       </t>
    </r>
    <r>
      <rPr>
        <b/>
        <i/>
        <sz val="11"/>
        <rFont val="Arial"/>
        <family val="2"/>
      </rPr>
      <t xml:space="preserve"> </t>
    </r>
  </si>
  <si>
    <r>
      <t xml:space="preserve">2021 Dodge Charger 7.75" Tactical Console 10" front height and 50 degree slope and 3.75" High 10" Horizontal section and has Motion Attachment Point  Mounts to OEM vehicle brackets. Includes equipment mounting brackets, fill plates and mount kit. </t>
    </r>
    <r>
      <rPr>
        <b/>
        <i/>
        <sz val="10"/>
        <rFont val="Arial"/>
        <family val="2"/>
      </rPr>
      <t xml:space="preserve"> Allows for relocation of factory usb and audio jacks.</t>
    </r>
  </si>
  <si>
    <r>
      <t xml:space="preserve">VH-CGR2421  </t>
    </r>
    <r>
      <rPr>
        <b/>
        <i/>
        <sz val="11"/>
        <rFont val="Arial"/>
        <family val="2"/>
      </rPr>
      <t xml:space="preserve">        </t>
    </r>
  </si>
  <si>
    <r>
      <t xml:space="preserve">2015-2020 Dodge Charger 7.75" Tactical Console 10" front height and 50 degree slope and 3.75" High 10" Horizontal section and has Motion Attachment Point  Mounts to OEM vehicle brackets. Includes equipment mounting brackets, fill plates and mount kit. </t>
    </r>
    <r>
      <rPr>
        <b/>
        <i/>
        <sz val="10"/>
        <rFont val="Arial"/>
        <family val="2"/>
      </rPr>
      <t xml:space="preserve"> Allows for relocation of factory usb and audio jacks </t>
    </r>
    <r>
      <rPr>
        <sz val="10"/>
        <rFont val="Arial"/>
        <family val="2"/>
      </rPr>
      <t xml:space="preserve"> </t>
    </r>
  </si>
  <si>
    <r>
      <t xml:space="preserve">VH-CGR2415 </t>
    </r>
    <r>
      <rPr>
        <b/>
        <i/>
        <sz val="11"/>
        <rFont val="Arial"/>
        <family val="2"/>
      </rPr>
      <t xml:space="preserve">        </t>
    </r>
  </si>
  <si>
    <r>
      <t xml:space="preserve">2015-2021 Dodge Charger 5" Tactical Console 7" front height and 60 degree slope,  and 3.75" High 16" Horizontal section and has motion attachment point.  Mounts to OEM vehicle brackets and includes equipment mounting brackets, fill plates and mount kit.  </t>
    </r>
    <r>
      <rPr>
        <b/>
        <i/>
        <sz val="10"/>
        <rFont val="Arial"/>
        <family val="2"/>
      </rPr>
      <t xml:space="preserve">Allows for relocation of factory usb and audio jacks  </t>
    </r>
  </si>
  <si>
    <t xml:space="preserve">VH-CGR15          </t>
  </si>
  <si>
    <r>
      <t xml:space="preserve">6" Tactical Console 8" front height with 75 degree slope and 3.75" High 16" Horizontal section.  Includes equipment mounting brackets and fill plates.  </t>
    </r>
    <r>
      <rPr>
        <b/>
        <i/>
        <sz val="10"/>
        <rFont val="Arial"/>
        <family val="2"/>
      </rPr>
      <t>Requires</t>
    </r>
    <r>
      <rPr>
        <b/>
        <sz val="10"/>
        <rFont val="Arial"/>
        <family val="2"/>
      </rPr>
      <t xml:space="preserve"> </t>
    </r>
    <r>
      <rPr>
        <b/>
        <i/>
        <sz val="10"/>
        <rFont val="Arial"/>
        <family val="2"/>
      </rPr>
      <t>Base Plate or mounting Kit</t>
    </r>
  </si>
  <si>
    <t xml:space="preserve">VH-7506-16     </t>
  </si>
  <si>
    <r>
      <t xml:space="preserve">6" Tactical Console 8" front height with 75 degree slope and 3.75" High 9" Horizontal section.  Includes equipment mounting brackets and fill plates. </t>
    </r>
    <r>
      <rPr>
        <b/>
        <sz val="10"/>
        <rFont val="Arial"/>
        <family val="2"/>
      </rPr>
      <t xml:space="preserve"> </t>
    </r>
    <r>
      <rPr>
        <b/>
        <i/>
        <sz val="10"/>
        <rFont val="Arial"/>
        <family val="2"/>
      </rPr>
      <t>Requires Base Plate</t>
    </r>
    <r>
      <rPr>
        <b/>
        <sz val="10"/>
        <rFont val="Arial"/>
        <family val="2"/>
      </rPr>
      <t xml:space="preserve"> </t>
    </r>
    <r>
      <rPr>
        <b/>
        <i/>
        <sz val="10"/>
        <rFont val="Arial"/>
        <family val="2"/>
      </rPr>
      <t>or mounting Kit</t>
    </r>
  </si>
  <si>
    <r>
      <t xml:space="preserve">VH-7506-9             </t>
    </r>
    <r>
      <rPr>
        <b/>
        <i/>
        <sz val="11"/>
        <rFont val="Arial"/>
        <family val="2"/>
      </rPr>
      <t xml:space="preserve"> </t>
    </r>
  </si>
  <si>
    <r>
      <t xml:space="preserve">VH-7506-13               </t>
    </r>
    <r>
      <rPr>
        <b/>
        <i/>
        <sz val="11"/>
        <rFont val="Arial"/>
        <family val="2"/>
      </rPr>
      <t xml:space="preserve"> </t>
    </r>
  </si>
  <si>
    <r>
      <t xml:space="preserve">6" Tactical Console 8" front height with 75 degree slope and 3.75" High 4" Horizontal section.  Includes equipment mounting brackets and fill plates. </t>
    </r>
    <r>
      <rPr>
        <b/>
        <sz val="10"/>
        <rFont val="Arial"/>
        <family val="2"/>
      </rPr>
      <t xml:space="preserve"> </t>
    </r>
    <r>
      <rPr>
        <b/>
        <i/>
        <sz val="10"/>
        <rFont val="Arial"/>
        <family val="2"/>
      </rPr>
      <t>Requires Base Plate</t>
    </r>
    <r>
      <rPr>
        <b/>
        <sz val="10"/>
        <rFont val="Arial"/>
        <family val="2"/>
      </rPr>
      <t xml:space="preserve"> </t>
    </r>
    <r>
      <rPr>
        <b/>
        <i/>
        <sz val="10"/>
        <rFont val="Arial"/>
        <family val="2"/>
      </rPr>
      <t>or mounting Kit</t>
    </r>
  </si>
  <si>
    <r>
      <t xml:space="preserve">VH-7506-4       </t>
    </r>
    <r>
      <rPr>
        <b/>
        <i/>
        <sz val="11"/>
        <rFont val="Arial"/>
        <family val="2"/>
      </rPr>
      <t xml:space="preserve">  </t>
    </r>
  </si>
  <si>
    <r>
      <t xml:space="preserve">5" Tactical Console w/ 7" front height, 60 degree slope and 3.75" High 16" Horizontal section.  Includes equipment mounting brackets and fill plates.  </t>
    </r>
    <r>
      <rPr>
        <b/>
        <i/>
        <sz val="10"/>
        <rFont val="Arial"/>
        <family val="2"/>
      </rPr>
      <t>Requires</t>
    </r>
    <r>
      <rPr>
        <b/>
        <sz val="10"/>
        <rFont val="Arial"/>
        <family val="2"/>
      </rPr>
      <t xml:space="preserve"> </t>
    </r>
    <r>
      <rPr>
        <b/>
        <i/>
        <sz val="10"/>
        <rFont val="Arial"/>
        <family val="2"/>
      </rPr>
      <t>Base Plate or mounting Kit</t>
    </r>
  </si>
  <si>
    <t xml:space="preserve">VH-6005-16        </t>
  </si>
  <si>
    <r>
      <t xml:space="preserve">5" Tactical Console w/ 7" front height, 60 degree slope and 3.75" High 13" Horizontal section.  Includes equipment mounting brackets and fill plates.  </t>
    </r>
    <r>
      <rPr>
        <b/>
        <i/>
        <sz val="10"/>
        <rFont val="Arial"/>
        <family val="2"/>
      </rPr>
      <t>Requires</t>
    </r>
    <r>
      <rPr>
        <b/>
        <sz val="10"/>
        <rFont val="Arial"/>
        <family val="2"/>
      </rPr>
      <t xml:space="preserve"> </t>
    </r>
    <r>
      <rPr>
        <b/>
        <i/>
        <sz val="10"/>
        <rFont val="Arial"/>
        <family val="2"/>
      </rPr>
      <t>Base Plate or mounting Kit</t>
    </r>
  </si>
  <si>
    <t xml:space="preserve">VH-6005-13            </t>
  </si>
  <si>
    <r>
      <t xml:space="preserve">5" Tactical Console w/ 7" front height, 60 degree slope and 3.75" High 9" Horizontal section.  Includes equipment mounting brackets and fill plates.  </t>
    </r>
    <r>
      <rPr>
        <b/>
        <i/>
        <sz val="10"/>
        <rFont val="Arial"/>
        <family val="2"/>
      </rPr>
      <t>Requires</t>
    </r>
    <r>
      <rPr>
        <b/>
        <sz val="10"/>
        <rFont val="Arial"/>
        <family val="2"/>
      </rPr>
      <t xml:space="preserve"> </t>
    </r>
    <r>
      <rPr>
        <b/>
        <i/>
        <sz val="10"/>
        <rFont val="Arial"/>
        <family val="2"/>
      </rPr>
      <t>Base Plate or mounting Kit</t>
    </r>
  </si>
  <si>
    <t xml:space="preserve">VH-6005-9           </t>
  </si>
  <si>
    <r>
      <t xml:space="preserve">5" Tactical Console w/ 7" front height and 60 degree slope, and 3.75" High 4.25" Horizontal section.  Includes equipment mounting brackets and fill plates. </t>
    </r>
    <r>
      <rPr>
        <b/>
        <sz val="10"/>
        <rFont val="Arial"/>
        <family val="2"/>
      </rPr>
      <t xml:space="preserve"> </t>
    </r>
    <r>
      <rPr>
        <b/>
        <i/>
        <sz val="10"/>
        <rFont val="Arial"/>
        <family val="2"/>
      </rPr>
      <t>Requires</t>
    </r>
    <r>
      <rPr>
        <b/>
        <sz val="10"/>
        <rFont val="Arial"/>
        <family val="2"/>
      </rPr>
      <t xml:space="preserve"> </t>
    </r>
    <r>
      <rPr>
        <b/>
        <i/>
        <sz val="10"/>
        <rFont val="Arial"/>
        <family val="2"/>
      </rPr>
      <t>Base Plate or mounting Kit</t>
    </r>
  </si>
  <si>
    <r>
      <t xml:space="preserve">VH-6005-4       </t>
    </r>
    <r>
      <rPr>
        <b/>
        <i/>
        <sz val="11"/>
        <rFont val="Arial"/>
        <family val="2"/>
      </rPr>
      <t xml:space="preserve">  </t>
    </r>
  </si>
  <si>
    <t>2021-Newer Dodge Durango Tactical Console w/ 7" front height, 60 degree slope and 4" high 16" long horizontal section. Console is specifically designed to wrap the contour of the dash and is mounted to OEM base plate.</t>
  </si>
  <si>
    <r>
      <t xml:space="preserve">VH-21DUR-16     </t>
    </r>
    <r>
      <rPr>
        <b/>
        <i/>
        <sz val="11"/>
        <rFont val="Arial"/>
        <family val="2"/>
      </rPr>
      <t xml:space="preserve">  </t>
    </r>
  </si>
  <si>
    <t>2021-Newer Dodge Durango Tactical Console w/ 7" front height, 60 degree slope and 4" high 13" long horizontal section. Console is specifically designed to wrap the contour of the dash and is mounted to OEM base plate.</t>
  </si>
  <si>
    <r>
      <t xml:space="preserve">VH-21DUR-13     </t>
    </r>
    <r>
      <rPr>
        <b/>
        <i/>
        <sz val="11"/>
        <rFont val="Arial"/>
        <family val="2"/>
      </rPr>
      <t xml:space="preserve">  </t>
    </r>
  </si>
  <si>
    <t>2021-Newer Dodge Durango Tactical Console w/ 7" front height, 60 degree slope and 4" high 9" long horizontal section. Console is specifically designed to wrap the contour of the dash and is mounted to OEM base plate.</t>
  </si>
  <si>
    <r>
      <t xml:space="preserve">VH-21DUR-9     </t>
    </r>
    <r>
      <rPr>
        <b/>
        <i/>
        <sz val="11"/>
        <rFont val="Arial"/>
        <family val="2"/>
      </rPr>
      <t xml:space="preserve">  </t>
    </r>
  </si>
  <si>
    <t>2021-Newer Dodge Durango Tactical Console w/ 7" front height, 60 degree slope and 4" high 4" long horizontal section. Console is specifically designed to wrap the contour of the dash and is mounted to OEM base plate.</t>
  </si>
  <si>
    <r>
      <t xml:space="preserve">VH-21DUR-4      </t>
    </r>
    <r>
      <rPr>
        <b/>
        <i/>
        <sz val="11"/>
        <rFont val="Arial"/>
        <family val="2"/>
      </rPr>
      <t xml:space="preserve">  </t>
    </r>
  </si>
  <si>
    <r>
      <t xml:space="preserve">2015-2016 Chevy Silverado 9" vertical console. Includes equipment brackets, fill plates. </t>
    </r>
    <r>
      <rPr>
        <b/>
        <i/>
        <sz val="10"/>
        <rFont val="Arial"/>
        <family val="2"/>
      </rPr>
      <t>Includes mount kit</t>
    </r>
  </si>
  <si>
    <t xml:space="preserve">VC-SIL15-B       </t>
  </si>
  <si>
    <r>
      <t xml:space="preserve">2020 - Newer Ford Police Interceptor Utility </t>
    </r>
    <r>
      <rPr>
        <b/>
        <sz val="10"/>
        <rFont val="Arial"/>
        <family val="2"/>
      </rPr>
      <t>w/ Rear Air Control</t>
    </r>
    <r>
      <rPr>
        <sz val="10"/>
        <rFont val="Arial"/>
        <family val="2"/>
      </rPr>
      <t xml:space="preserve"> Vertical Series Console w/ 8.5" Vertical section, 16” horizontal section and has a motion attachment mounting point. The VC-PIU20-16-RA mounts to the OEM Baseplate and includes equipment mounting brackets and fill plates.</t>
    </r>
  </si>
  <si>
    <t xml:space="preserve">VC-PIU20-16-RA        </t>
  </si>
  <si>
    <t>2020 - Newer Ford Police Interceptor Utility Vertical Series Console w/ 8.5" Vertical section, 16” horizontal section and has a motion attachment mounting point. The VC-PIU20-16 mounts to the OEM Baseplate and includes equipment mounting brackets and fill plates.</t>
  </si>
  <si>
    <t xml:space="preserve">VC-PIU20-16              </t>
  </si>
  <si>
    <r>
      <t xml:space="preserve">2020 - Newer Ford Police Interceptor Utility </t>
    </r>
    <r>
      <rPr>
        <b/>
        <sz val="10"/>
        <rFont val="Arial"/>
        <family val="2"/>
      </rPr>
      <t>w/ Rear Air Control</t>
    </r>
    <r>
      <rPr>
        <sz val="10"/>
        <rFont val="Arial"/>
        <family val="2"/>
      </rPr>
      <t xml:space="preserve"> Vertical Series Console w/ 8.5" Vertical section, 12” horizontal section and has a motion attachment mounting point. The VC-PIU20-12-RA mounts to the OEM Baseplate and includes equipment mounting brackets and fill plates.</t>
    </r>
  </si>
  <si>
    <r>
      <t xml:space="preserve">VC-PIU20-12-RA  </t>
    </r>
    <r>
      <rPr>
        <b/>
        <i/>
        <sz val="9"/>
        <rFont val="Arial"/>
        <family val="2"/>
      </rPr>
      <t xml:space="preserve"> </t>
    </r>
    <r>
      <rPr>
        <b/>
        <sz val="11"/>
        <rFont val="Arial"/>
        <family val="2"/>
      </rPr>
      <t xml:space="preserve">      </t>
    </r>
  </si>
  <si>
    <t>2020 - Newer Ford Police Interceptor Utility Vertical Series Console w/ 8.5" Vertical section, 12” horizontal section and has a motion attachment mounting point. The VC-PIU20-12 mounts to the OEM Baseplate and includes equipment mounting brackets and fill plates.</t>
  </si>
  <si>
    <t xml:space="preserve">VC-PIU20-12               </t>
  </si>
  <si>
    <r>
      <t xml:space="preserve">6" Vertical Console 8" front height with 75 degree slope.  Includes equipment mounting brackets and fill plates.  </t>
    </r>
    <r>
      <rPr>
        <b/>
        <i/>
        <sz val="10"/>
        <rFont val="Arial"/>
        <family val="2"/>
      </rPr>
      <t>Requires Base Plate or  mounting Kit</t>
    </r>
  </si>
  <si>
    <t xml:space="preserve">VC-7506         </t>
  </si>
  <si>
    <r>
      <t xml:space="preserve">10" Vertical Console with 60 degree Slope, 8 1/4" equipment space and top mount platform.  Includes equipment mounting brackets and fill plates.  </t>
    </r>
    <r>
      <rPr>
        <b/>
        <i/>
        <sz val="10"/>
        <rFont val="Arial"/>
        <family val="2"/>
      </rPr>
      <t>Requires Base Plate or mounting Kit</t>
    </r>
  </si>
  <si>
    <t>VC-6010</t>
  </si>
  <si>
    <r>
      <t xml:space="preserve">5" Vertical Console 7" front height and 60 degree slope. Includes equipment mounting brackets and fill plates. </t>
    </r>
    <r>
      <rPr>
        <b/>
        <i/>
        <sz val="10"/>
        <rFont val="Arial"/>
        <family val="2"/>
      </rPr>
      <t>Requires Base Plate or mounting Kit</t>
    </r>
  </si>
  <si>
    <t xml:space="preserve">VC-6005        </t>
  </si>
  <si>
    <r>
      <t xml:space="preserve">17" Vertical Console 9" front height with 26 degree front slope and top mount platform.  Includes equipment brackets and fill plates. </t>
    </r>
    <r>
      <rPr>
        <b/>
        <i/>
        <sz val="10"/>
        <rFont val="Arial"/>
        <family val="2"/>
      </rPr>
      <t>Requires Base plate or mounting kit.</t>
    </r>
  </si>
  <si>
    <t>VC-2618</t>
  </si>
  <si>
    <r>
      <t xml:space="preserve">12" Vertical Console 10" front height with 26 degree slope and notched top mount platform allows easy control access and larger equipment.  Includes equipment brackets and fill plates. </t>
    </r>
    <r>
      <rPr>
        <b/>
        <i/>
        <sz val="10"/>
        <rFont val="Arial"/>
        <family val="2"/>
      </rPr>
      <t>Require Base plate or additional mounting kit</t>
    </r>
    <r>
      <rPr>
        <b/>
        <sz val="10"/>
        <rFont val="Arial"/>
        <family val="2"/>
      </rPr>
      <t>.</t>
    </r>
  </si>
  <si>
    <t xml:space="preserve">VC-2613NT  </t>
  </si>
  <si>
    <t>2021+ Dodge Durango Pursuit Vertical Series Console w/ 8.5" Vertical section, 16” horizontal section and has a motion attachment mounting point. The VC-21DUR-12 mounts to the OEM Baseplate and includes equipment mounting brackets and fill plates.</t>
  </si>
  <si>
    <t>VC-21DUR-16</t>
  </si>
  <si>
    <t>2021+ Dodge Durango Pursuit Vertical Series Console w/ 8.5" Vertical section, 12” horizontal section and has a motion attachment mounting point. The VC-21DUR-12 mounts to the OEM Baseplate and includes equipment mounting brackets and fill plates.</t>
  </si>
  <si>
    <t>VC-21DUR-12</t>
  </si>
  <si>
    <r>
      <t xml:space="preserve">16" Lo Profile 3.75" High Horizontal Console. Includes equipment brackets and fill plates. </t>
    </r>
    <r>
      <rPr>
        <b/>
        <i/>
        <sz val="10"/>
        <rFont val="Arial"/>
        <family val="2"/>
      </rPr>
      <t xml:space="preserve"> May require Base plate or additional mounting kit.</t>
    </r>
  </si>
  <si>
    <t xml:space="preserve">LP-1600            </t>
  </si>
  <si>
    <r>
      <t xml:space="preserve">13" Lo Profile 3.75" High Horizontal Console. Includes equipment brackets and fill plates. </t>
    </r>
    <r>
      <rPr>
        <b/>
        <i/>
        <sz val="10"/>
        <rFont val="Arial"/>
        <family val="2"/>
      </rPr>
      <t xml:space="preserve"> May require Base plate or additional mounting kit.</t>
    </r>
  </si>
  <si>
    <t xml:space="preserve">LP-1300             </t>
  </si>
  <si>
    <r>
      <t xml:space="preserve">9" Lo Profile 3.75" High Horizontal Console. Includes equipment brackets and fill plates.  </t>
    </r>
    <r>
      <rPr>
        <b/>
        <i/>
        <sz val="10"/>
        <rFont val="Arial"/>
        <family val="2"/>
      </rPr>
      <t>May require Base plate or additional mounting kit.</t>
    </r>
  </si>
  <si>
    <t xml:space="preserve">LP-900                </t>
  </si>
  <si>
    <r>
      <t xml:space="preserve">4" Lo Profile 3.75" High Horizontal Console. Includes equipment brackets and fill plates. </t>
    </r>
    <r>
      <rPr>
        <b/>
        <i/>
        <sz val="10"/>
        <rFont val="Arial"/>
        <family val="2"/>
      </rPr>
      <t xml:space="preserve"> May require Base plate or additional mounting kit.</t>
    </r>
  </si>
  <si>
    <t xml:space="preserve">LP-400                  </t>
  </si>
  <si>
    <r>
      <t xml:space="preserve">32" Modular Console. 32" of equipment mounting space. Includes equipment mounting brackets and fill plates. </t>
    </r>
    <r>
      <rPr>
        <b/>
        <i/>
        <sz val="10"/>
        <rFont val="Arial"/>
        <family val="2"/>
      </rPr>
      <t>May Require mounting kit</t>
    </r>
  </si>
  <si>
    <t xml:space="preserve">HC-M32            </t>
  </si>
  <si>
    <r>
      <t xml:space="preserve">29" Modular Console. 29" of equipment mounting space. Includes equipment mounting brackets and fill plates. </t>
    </r>
    <r>
      <rPr>
        <b/>
        <i/>
        <sz val="10"/>
        <rFont val="Arial"/>
        <family val="2"/>
      </rPr>
      <t>May Require mounting kit</t>
    </r>
  </si>
  <si>
    <t xml:space="preserve">HC-M29         </t>
  </si>
  <si>
    <r>
      <t xml:space="preserve">25" Modular Console. 25" of equipment mounting space. Includes equipment mounting brackets and fill plates. </t>
    </r>
    <r>
      <rPr>
        <b/>
        <i/>
        <sz val="10"/>
        <rFont val="Arial"/>
        <family val="2"/>
      </rPr>
      <t>May Require mounting kit</t>
    </r>
  </si>
  <si>
    <t xml:space="preserve">HC-M25     </t>
  </si>
  <si>
    <r>
      <t xml:space="preserve">20" Modular Console. 20" of equipment mounting space. Includes equipment mounting brackets and fill plates. </t>
    </r>
    <r>
      <rPr>
        <b/>
        <i/>
        <sz val="10"/>
        <rFont val="Arial"/>
        <family val="2"/>
      </rPr>
      <t>May Require mounting kit</t>
    </r>
  </si>
  <si>
    <t xml:space="preserve">HC-M20           </t>
  </si>
  <si>
    <r>
      <t xml:space="preserve">18" Modular Console. 18" of equipment mounting space. Includes equipment mounting brackets and fill plates. </t>
    </r>
    <r>
      <rPr>
        <b/>
        <i/>
        <sz val="10"/>
        <rFont val="Arial"/>
        <family val="2"/>
      </rPr>
      <t>May Require mounting kit</t>
    </r>
  </si>
  <si>
    <t xml:space="preserve">HC-M18                 </t>
  </si>
  <si>
    <r>
      <t xml:space="preserve">16" Modular Console. 16" of equipment mounting space. Includes equipment mounting brackets and fill plates. </t>
    </r>
    <r>
      <rPr>
        <b/>
        <i/>
        <sz val="10"/>
        <rFont val="Arial"/>
        <family val="2"/>
      </rPr>
      <t>May Require mounting kit</t>
    </r>
  </si>
  <si>
    <t xml:space="preserve">HC-M16               </t>
  </si>
  <si>
    <r>
      <t xml:space="preserve">13" Modular Console. 13" of equipment mounting space. Includes equipment mounting brackets and fill plates. </t>
    </r>
    <r>
      <rPr>
        <b/>
        <i/>
        <sz val="10"/>
        <rFont val="Arial"/>
        <family val="2"/>
      </rPr>
      <t>May Require mounting kit</t>
    </r>
  </si>
  <si>
    <t xml:space="preserve">HC-M13            </t>
  </si>
  <si>
    <r>
      <t xml:space="preserve">9" Modular Console. 9" of equipment mounting space. Includes equipment mounting brackets and fill plates.   </t>
    </r>
    <r>
      <rPr>
        <b/>
        <i/>
        <sz val="10"/>
        <rFont val="Arial"/>
        <family val="2"/>
      </rPr>
      <t>May Require mounting kit</t>
    </r>
  </si>
  <si>
    <t xml:space="preserve">HC-M9                  </t>
  </si>
  <si>
    <r>
      <t xml:space="preserve">4" Modular Console. 4" of equipment mounting space. Includes equipment mounting brackets and fill plates. </t>
    </r>
    <r>
      <rPr>
        <b/>
        <i/>
        <sz val="10"/>
        <rFont val="Arial"/>
        <family val="2"/>
      </rPr>
      <t>May</t>
    </r>
    <r>
      <rPr>
        <sz val="10"/>
        <rFont val="Arial"/>
        <family val="2"/>
      </rPr>
      <t xml:space="preserve"> </t>
    </r>
    <r>
      <rPr>
        <b/>
        <i/>
        <sz val="10"/>
        <rFont val="Arial"/>
        <family val="2"/>
      </rPr>
      <t>Require mounting kit</t>
    </r>
  </si>
  <si>
    <t xml:space="preserve">HC-M4                </t>
  </si>
  <si>
    <t>2018-20 Dodge Durango HC-Series Console provides 16" of equipment mounting space. Includes 2 12v power outlets, equipment mounting brackets, fill plates and mounting hardware.</t>
  </si>
  <si>
    <t xml:space="preserve">HC-DUR19           </t>
  </si>
  <si>
    <t xml:space="preserve">2011 - newer Dodge Charger horizontal console with 25" equipment space and between 8"-9" depth.  Includes equipment brackets, fill plates and console mounting kit. </t>
  </si>
  <si>
    <t xml:space="preserve">HC-CGR11          </t>
  </si>
  <si>
    <r>
      <t xml:space="preserve">Standard 17" Console with Computer Mount Platform includes equipment mounting brackets &amp; Fill Plates.  </t>
    </r>
    <r>
      <rPr>
        <b/>
        <i/>
        <sz val="10"/>
        <rFont val="Arial"/>
        <family val="2"/>
      </rPr>
      <t>Computer may be added later Requires mounting kit</t>
    </r>
  </si>
  <si>
    <r>
      <t xml:space="preserve">HC-970  </t>
    </r>
    <r>
      <rPr>
        <b/>
        <i/>
        <sz val="11"/>
        <rFont val="Arial"/>
        <family val="2"/>
      </rPr>
      <t xml:space="preserve">                  </t>
    </r>
  </si>
  <si>
    <r>
      <t xml:space="preserve">Standard 14" Console w/o computer mount platform includes  Equipment Brackets &amp; Fill Plates. </t>
    </r>
    <r>
      <rPr>
        <b/>
        <i/>
        <sz val="10"/>
        <rFont val="Arial"/>
        <family val="2"/>
      </rPr>
      <t>Requires mounting kit</t>
    </r>
  </si>
  <si>
    <r>
      <t xml:space="preserve">HC-900S             </t>
    </r>
    <r>
      <rPr>
        <b/>
        <i/>
        <sz val="11"/>
        <rFont val="Arial"/>
        <family val="2"/>
      </rPr>
      <t xml:space="preserve"> </t>
    </r>
  </si>
  <si>
    <r>
      <t xml:space="preserve">Standard 14” Console 8" high with computer mount platform, includes equipment brackets and 6 1/4" Fill Plate.  </t>
    </r>
    <r>
      <rPr>
        <b/>
        <i/>
        <sz val="10"/>
        <rFont val="Arial"/>
        <family val="2"/>
      </rPr>
      <t>Computer mount may be added later - Requires mounting kit</t>
    </r>
  </si>
  <si>
    <t xml:space="preserve">HC-900                 </t>
  </si>
  <si>
    <r>
      <t xml:space="preserve">19”  Console w/o computer mount platform includes equipment brackets &amp; Fill plates   </t>
    </r>
    <r>
      <rPr>
        <b/>
        <i/>
        <sz val="10"/>
        <rFont val="Arial"/>
        <family val="2"/>
      </rPr>
      <t>Requires mounting kit</t>
    </r>
    <r>
      <rPr>
        <sz val="10"/>
        <rFont val="Arial"/>
        <family val="2"/>
      </rPr>
      <t xml:space="preserve">     </t>
    </r>
  </si>
  <si>
    <r>
      <t xml:space="preserve">HC-400    </t>
    </r>
    <r>
      <rPr>
        <b/>
        <i/>
        <sz val="11"/>
        <rFont val="Arial"/>
        <family val="2"/>
      </rPr>
      <t xml:space="preserve">            </t>
    </r>
  </si>
  <si>
    <r>
      <t xml:space="preserve">9”  Console 8" high will accommodate vehicles with bench seats and includes Equipment Brackets &amp; Fill Plates. </t>
    </r>
    <r>
      <rPr>
        <b/>
        <i/>
        <sz val="10"/>
        <rFont val="Arial"/>
        <family val="2"/>
      </rPr>
      <t>Requires mounting kit</t>
    </r>
  </si>
  <si>
    <t xml:space="preserve">HC-200         </t>
  </si>
  <si>
    <t>Control-Com Consoles</t>
  </si>
  <si>
    <t>2021-Newer Tahoe PPV &amp; SSV Package Includes: VH-21TAH-SC Console,  21TAHW-BASE, MK-2CL Microphone Holder, HD-ARM-VP Armrest, PB-250 Pen Box with required fill &amp; face plates</t>
  </si>
  <si>
    <t>CP-21TAH-SC</t>
  </si>
  <si>
    <t>2015 - 20 Tahoe PPV &amp; SSV Package Includes: VH-TAH15 Console,  TAH15W-BASE, CHB-2EN Cupholder, PS2-3 Power Strip,  MK-2CL Microphone Holder, HD-ARM-VP Armrest, PB-250 Pen Box with required fill &amp; face plates</t>
  </si>
  <si>
    <t>CP-TAH15</t>
  </si>
  <si>
    <t>2021-Newer Tahoe PPV &amp; SSV Package Includes: VH-21TAH Console,  21TAHW-BASE, CHB-2EN Cupholder, PS2-3 Power Strip,  MK-2CL Microphone Holder, HD-ARM-VP Armrest, PB-250 Pen Box with required fill &amp; face plates</t>
  </si>
  <si>
    <t>CP-21TAH</t>
  </si>
  <si>
    <t>2014 - Newer RAM 1500 SSV Package Includes: VH-RAMSSV-B Console with Base Plate, CHB-2EN Cupholder, PS3-MEDIA  Power / Media  Strip, MK-2CL Microphone Holder, HD-ARM-9 Armrest, PB-250 Pen Box with required fill &amp; face plates</t>
  </si>
  <si>
    <t>CP-RAM</t>
  </si>
  <si>
    <r>
      <t xml:space="preserve">2020 - Newer FPI Utility </t>
    </r>
    <r>
      <rPr>
        <b/>
        <sz val="10"/>
        <rFont val="Arial"/>
        <family val="2"/>
      </rPr>
      <t>w/ Rear Air Control</t>
    </r>
    <r>
      <rPr>
        <sz val="10"/>
        <rFont val="Arial"/>
        <family val="2"/>
      </rPr>
      <t xml:space="preserve"> Console Package Includes: VC-PIU20-12-RA Console,  CHB-2EN Cupholder, PS3-MEDIA  Power / Media  Strip, MK-2CL Microphone Holder, HD-ARM-9 Armrest, PB-250 Pen Box with required fill &amp; face plates </t>
    </r>
    <r>
      <rPr>
        <b/>
        <i/>
        <sz val="9"/>
        <rFont val="Arial"/>
        <family val="2"/>
      </rPr>
      <t>(For use with OEM Base Plate)</t>
    </r>
  </si>
  <si>
    <t xml:space="preserve">CP-VC-PIU20-RA      </t>
  </si>
  <si>
    <r>
      <t xml:space="preserve">2020 - Newer FPI Utility Console Package Includes: VC-PIU20-12 Console,  CHB-2EN Cupholder, PS3-MEDIA  Power / Media  Strip, MK-2CL Microphone Holder, HD-ARM-9 Armrest, PB-250 Pen Box with required fill &amp; face plates </t>
    </r>
    <r>
      <rPr>
        <b/>
        <i/>
        <sz val="9"/>
        <rFont val="Arial"/>
        <family val="2"/>
      </rPr>
      <t>(For use with OEM Base Plate)</t>
    </r>
  </si>
  <si>
    <t xml:space="preserve">CP-VC-PIU20            </t>
  </si>
  <si>
    <t>2015-Newer Charger Package Includes: VH-CGR2415 Console, CGR-BPE Base Plate Extension, CHB-2EN Cupholder, PS3-MEDIA  Power / Media Strip, MK-2CL Microphone Holder, HD-ARM-9 Armrest, PB-250 Pen Box with required fill &amp; face plates</t>
  </si>
  <si>
    <t>CP-CGR25</t>
  </si>
  <si>
    <t>Control-Com Console Packages</t>
  </si>
  <si>
    <r>
      <t xml:space="preserve">Low Raised Mount Leg Kit Only. Requires </t>
    </r>
    <r>
      <rPr>
        <b/>
        <i/>
        <sz val="10"/>
        <rFont val="Arial"/>
        <family val="2"/>
      </rPr>
      <t>SSTB-TGB-14 or SSTB-2042 Box</t>
    </r>
  </si>
  <si>
    <t>SF-21TAH-RMKIT-L</t>
  </si>
  <si>
    <r>
      <t xml:space="preserve">High Raised Mount Leg Kit Only. Will work with add-on lower gear drawer or electronics tray.  Requires </t>
    </r>
    <r>
      <rPr>
        <b/>
        <i/>
        <sz val="10"/>
        <rFont val="Arial"/>
        <family val="2"/>
      </rPr>
      <t>SSTB-TGB-14 or SSTB-2042 Box</t>
    </r>
  </si>
  <si>
    <t>SF-21TAH-RMKIT-H</t>
  </si>
  <si>
    <r>
      <t xml:space="preserve">Add-On Locking Gear Drawer for </t>
    </r>
    <r>
      <rPr>
        <b/>
        <i/>
        <sz val="10"/>
        <rFont val="Arial"/>
        <family val="2"/>
      </rPr>
      <t>SF-21TAH-RM-2042H</t>
    </r>
  </si>
  <si>
    <t>SF-21TAH-UGD</t>
  </si>
  <si>
    <r>
      <t xml:space="preserve">Add-On Locking Electronics Drawer for </t>
    </r>
    <r>
      <rPr>
        <b/>
        <i/>
        <sz val="10"/>
        <rFont val="Arial"/>
        <family val="2"/>
      </rPr>
      <t>SF-21TAH-RM-2042H</t>
    </r>
  </si>
  <si>
    <t>SF-21TAH-UEC</t>
  </si>
  <si>
    <t>Optional SubFloor System Full Size Front Bulkhead.</t>
  </si>
  <si>
    <t>SF-21TAH-FBH</t>
  </si>
  <si>
    <r>
      <t xml:space="preserve">ECO SecureStor Trunk Vault and Locking Gear Drawer Package for 2021+ Chevy Tahoe PPV / SSV… </t>
    </r>
    <r>
      <rPr>
        <b/>
        <i/>
        <sz val="10"/>
        <rFont val="Arial"/>
        <family val="2"/>
      </rPr>
      <t>Requires SF-21TAH-BU</t>
    </r>
  </si>
  <si>
    <t xml:space="preserve">SF-21TAH-RM-2042GD </t>
  </si>
  <si>
    <r>
      <t xml:space="preserve">ECO SecureStor Trunk Vault and Electronics Compartment Package for 2021+ Chevy Tahoe PPV / SSV… </t>
    </r>
    <r>
      <rPr>
        <b/>
        <i/>
        <sz val="10"/>
        <rFont val="Arial"/>
        <family val="2"/>
      </rPr>
      <t>Requires SF-21TAH-BU</t>
    </r>
  </si>
  <si>
    <t xml:space="preserve">SF-21TAH-RM-2042EC </t>
  </si>
  <si>
    <r>
      <t xml:space="preserve">ECO SecureStor Low Raised Mount Trunk Vault for 2021+ Chevy Tahoe PPV / SSV 40"w x 8"h x 20"d …Will not work with lower drawer/electronics tray. </t>
    </r>
    <r>
      <rPr>
        <b/>
        <i/>
        <sz val="10"/>
        <rFont val="Arial"/>
        <family val="2"/>
      </rPr>
      <t>Requires SF-21TAH-BU</t>
    </r>
  </si>
  <si>
    <t xml:space="preserve">SF-21TAH-RM-2042L </t>
  </si>
  <si>
    <r>
      <t xml:space="preserve">ECO SecureStor High Raised Mount Trunk Vault for 2021+ Chevy Tahoe PPV / SSV 40"w x 8"h x 20"d …Will work with add on lower gear drawer or electronics tray.  </t>
    </r>
    <r>
      <rPr>
        <b/>
        <i/>
        <sz val="10"/>
        <rFont val="Arial"/>
        <family val="2"/>
      </rPr>
      <t>Requires SF-21TAH-BU / UC</t>
    </r>
  </si>
  <si>
    <t xml:space="preserve">SF-21TAH-RM-2042H </t>
  </si>
  <si>
    <r>
      <t xml:space="preserve">Large / Deep Raised Mount Tactical Gear Box for 2021+ Chevy Tahoe PPV / SSV 40"w x 14"h x 20"d … </t>
    </r>
    <r>
      <rPr>
        <b/>
        <i/>
        <sz val="10"/>
        <rFont val="Arial"/>
        <family val="2"/>
      </rPr>
      <t>Requires SF-21TAH-BU / UC</t>
    </r>
  </si>
  <si>
    <t xml:space="preserve">SF-21TAH-RM-TGB14 </t>
  </si>
  <si>
    <t>2021+ Tahoe SubFloor Accessories</t>
  </si>
  <si>
    <t>21+ Tahoe System 2 SubFloor, 2 Locking Compartments and Full Size Bulkhead</t>
  </si>
  <si>
    <t>SF-21TAH-S2</t>
  </si>
  <si>
    <t>21+ Tahoe Under Cover SubFloor System, 2 Locking Compartments</t>
  </si>
  <si>
    <t>SF-21TAH-UC</t>
  </si>
  <si>
    <t>21+ Tahoe Base Unit, Single Locking Compartment Storage, Flat Front Floor Assembly</t>
  </si>
  <si>
    <t>SF-21TAH-BU</t>
  </si>
  <si>
    <t>21+ Tahoe Single Locking Compartment Storage For behind 3rd row seat.</t>
  </si>
  <si>
    <t>SF-21TAH-3R</t>
  </si>
  <si>
    <t>2021+ Tahoe SubFloor Systems</t>
  </si>
  <si>
    <t>21+ Suburban SubFloor System for behind the 3rd Row Seat, Dual Locking Compartments</t>
  </si>
  <si>
    <t>SF-21SUB-3R2C</t>
  </si>
  <si>
    <t>2021+ Suburban SubFloor System</t>
  </si>
  <si>
    <t xml:space="preserve">Rear Seat and Floor Area LED </t>
  </si>
  <si>
    <t>GNG-CL-W-B</t>
  </si>
  <si>
    <t>Locking Weapon Storage Box  - Secure your Hand Guns safely</t>
  </si>
  <si>
    <t>GNG-WSB-10K</t>
  </si>
  <si>
    <t>TBD</t>
  </si>
  <si>
    <t>25 Jeep Wagoneer Grab N Go Gun System for rear door mounting and H/D BR Lock</t>
  </si>
  <si>
    <t>GNG-25WAG-B</t>
  </si>
  <si>
    <t>25 Jeep Wagoneer Grab N Go Gun System for rear door mounting and Standard Lock</t>
  </si>
  <si>
    <t>GNG-25WAG-S</t>
  </si>
  <si>
    <t>21+Tahoe Grab N Go Gun System for rear door mounting and H/D BR Lock</t>
  </si>
  <si>
    <t>GNG-21THA-B</t>
  </si>
  <si>
    <t>21+Tahoe Grab N Go Gun System for rear door mounting and Standard Lock</t>
  </si>
  <si>
    <t>GNG-21TAH-S</t>
  </si>
  <si>
    <t>20+PIU Grab N Go Gun System for rear door mounting and H/D BR Lock</t>
  </si>
  <si>
    <t>GNG-20PIU-B</t>
  </si>
  <si>
    <t>20+PIU Grab N Go Gun System for rear door mounting and Standard Lock</t>
  </si>
  <si>
    <t>GNG-20PIU-S</t>
  </si>
  <si>
    <t>Durango Grab N Go Gun System for rear door mounting and H/D BR Lock</t>
  </si>
  <si>
    <t>GNG-DUR-B</t>
  </si>
  <si>
    <t>Durango Grab N Go Gun System for rear door mounting and Standard Lock</t>
  </si>
  <si>
    <t>GNG-DUR-S</t>
  </si>
  <si>
    <t>Grab 'N Go Gun Systems</t>
  </si>
  <si>
    <t>Optional UPGRADE from standard trap door lock to universal lock  </t>
  </si>
  <si>
    <r>
      <t xml:space="preserve">LOFT-UNIV-UG  </t>
    </r>
    <r>
      <rPr>
        <b/>
        <i/>
        <sz val="8"/>
        <rFont val="Arial"/>
        <family val="2"/>
      </rPr>
      <t xml:space="preserve"> </t>
    </r>
  </si>
  <si>
    <t>LOFT Rear Mount Kit for use with Setina Window Bars installed in a 2020 Ford PIU</t>
  </si>
  <si>
    <t>LOFT-SWBR-MT</t>
  </si>
  <si>
    <t>Additional Muzzle Bracket required for use of SBR with Supressor in LOFT's</t>
  </si>
  <si>
    <t xml:space="preserve">LOFT-MBKTA-S   </t>
  </si>
  <si>
    <t xml:space="preserve">Replacement Std. GV Muzzle Bracket Assembly </t>
  </si>
  <si>
    <t xml:space="preserve">LOFT-MBKTA      </t>
  </si>
  <si>
    <t>Manual quarter turn latch, key lockable for LOFT 1 Each</t>
  </si>
  <si>
    <r>
      <t xml:space="preserve">LOFT-QTL-1           </t>
    </r>
    <r>
      <rPr>
        <b/>
        <i/>
        <sz val="8"/>
        <rFont val="Arial"/>
        <family val="2"/>
      </rPr>
      <t xml:space="preserve"> </t>
    </r>
  </si>
  <si>
    <t>10 Second Gun Lock Timer</t>
  </si>
  <si>
    <t xml:space="preserve">LOFT-LOCKTIMER </t>
  </si>
  <si>
    <r>
      <t>Optional</t>
    </r>
    <r>
      <rPr>
        <b/>
        <i/>
        <sz val="9"/>
        <rFont val="Arial"/>
        <family val="2"/>
      </rPr>
      <t xml:space="preserve"> (Not Included w/ Std LOFT-GV)</t>
    </r>
    <r>
      <rPr>
        <sz val="10"/>
        <rFont val="Arial"/>
        <family val="2"/>
      </rPr>
      <t xml:space="preserve"> Lund Butt Cup Assembly, Mount Brkt &amp; Hardware</t>
    </r>
  </si>
  <si>
    <r>
      <t>LOFT-BCP</t>
    </r>
    <r>
      <rPr>
        <b/>
        <i/>
        <sz val="8"/>
        <rFont val="Arial"/>
        <family val="2"/>
      </rPr>
      <t xml:space="preserve">                     </t>
    </r>
  </si>
  <si>
    <t>3rd Gen LOFT 6" Interior LED Lightbar w/ 6" Pigtail, 3M VHB Mounting Tape, White 400LM</t>
  </si>
  <si>
    <t>LOFT-INTLIGHT3-W</t>
  </si>
  <si>
    <t>3rd Gen LOFT 6" Interior LED Lightbar w/ 6" Pigtail, 3M VHB Mounting Tape, Red 100LM</t>
  </si>
  <si>
    <t>LOFT-INTLIGHT3-R</t>
  </si>
  <si>
    <r>
      <t xml:space="preserve">8" Interior 10 LED Light Strip Kit w/ Wire Extension Plug, White LED </t>
    </r>
    <r>
      <rPr>
        <b/>
        <i/>
        <sz val="10"/>
        <rFont val="Arial"/>
        <family val="2"/>
      </rPr>
      <t>(Limited Quantities)</t>
    </r>
  </si>
  <si>
    <t xml:space="preserve">LOFT-INTLIGHT2-W </t>
  </si>
  <si>
    <r>
      <t xml:space="preserve">8" Interior 10 LED Light Strip Kit w/ Wire Extension Plug, Red LED </t>
    </r>
    <r>
      <rPr>
        <b/>
        <i/>
        <sz val="10"/>
        <rFont val="Arial"/>
        <family val="2"/>
      </rPr>
      <t>(Limited Quantities)</t>
    </r>
  </si>
  <si>
    <t xml:space="preserve">LOFT-INTLIGHT2-R </t>
  </si>
  <si>
    <r>
      <t xml:space="preserve">Universal style lock w/ mt bkt  </t>
    </r>
    <r>
      <rPr>
        <b/>
        <i/>
        <sz val="9"/>
        <rFont val="Arial"/>
        <family val="2"/>
      </rPr>
      <t>(for unique guns &amp; M-4s needing a fore end lock)</t>
    </r>
  </si>
  <si>
    <r>
      <t xml:space="preserve">LOFT-UNIVLOCK   </t>
    </r>
    <r>
      <rPr>
        <b/>
        <i/>
        <sz val="8"/>
        <rFont val="Arial"/>
        <family val="2"/>
      </rPr>
      <t xml:space="preserve">  </t>
    </r>
  </si>
  <si>
    <t>LOFT Electronics Tray Only (Includes Mounting Hardware)</t>
  </si>
  <si>
    <t xml:space="preserve">LOFT-TRAY            </t>
  </si>
  <si>
    <t>LOFT Troy Partition Mount Kit for Ford Interceptor Utility</t>
  </si>
  <si>
    <r>
      <t xml:space="preserve">LOFT-FPIU-TRMK  </t>
    </r>
    <r>
      <rPr>
        <b/>
        <i/>
        <sz val="8"/>
        <rFont val="Arial"/>
        <family val="2"/>
      </rPr>
      <t xml:space="preserve">  </t>
    </r>
  </si>
  <si>
    <t>Standard Trap Door Lock for M4 recoil buffer tube w/ Mt. hardware &amp; bracket</t>
  </si>
  <si>
    <t>LOFT-STDLOCK-M4</t>
  </si>
  <si>
    <r>
      <t>Standard Trap Door Lock w/ Mt Bracket</t>
    </r>
    <r>
      <rPr>
        <b/>
        <i/>
        <sz val="9"/>
        <rFont val="Arial"/>
        <family val="2"/>
      </rPr>
      <t xml:space="preserve"> (used with butt cup when adding a shotgun)</t>
    </r>
  </si>
  <si>
    <t xml:space="preserve">LOFT-STDLOCK      </t>
  </si>
  <si>
    <t>Retro Kit to Add Shotgun to Standard LOFT</t>
  </si>
  <si>
    <t xml:space="preserve">LOFT-2G-RETRO    </t>
  </si>
  <si>
    <t>Mag Box Holder w/ Strap and Mounting Brackets for 2 M4 30 Round Mags</t>
  </si>
  <si>
    <t xml:space="preserve">LOFT-MAGBOX2     </t>
  </si>
  <si>
    <t>Credit for Lock Delete on GV Series LOFT</t>
  </si>
  <si>
    <t xml:space="preserve">LOFT-LOCK-DELETE </t>
  </si>
  <si>
    <t>LOFT Rear Mount Kit for 2015 - 20 Chevy Tahoe</t>
  </si>
  <si>
    <t xml:space="preserve">LOFT-TAH16-RMT  </t>
  </si>
  <si>
    <t>LOFT Front bulkhead and brackets for Non Cage mounting, 2015 - 20 Tahoe</t>
  </si>
  <si>
    <t>LOFT-TAH16-NPKIT</t>
  </si>
  <si>
    <t>LOFT- Cage Mount Tranfer Kit for 2021+ Chevy Tahoe</t>
  </si>
  <si>
    <t xml:space="preserve">LOFT-21TAH-TK       </t>
  </si>
  <si>
    <t>LOFT- Non-Partition Mount Tranfer Kit for 2021+ Chevy Tahoe</t>
  </si>
  <si>
    <t xml:space="preserve">LOFT-21TAH-NPTK       </t>
  </si>
  <si>
    <t>LOFT Rear Mount Kit for 2021+ Chevy Tahoe</t>
  </si>
  <si>
    <t xml:space="preserve">LOFT-21TAH-RMT  </t>
  </si>
  <si>
    <t>LOFT Front bulkhead and brackets for Non Cage mounting, 2021+ Tahoe</t>
  </si>
  <si>
    <t>LOFT-21TAH-NPKIT</t>
  </si>
  <si>
    <t>LOFT Rear Mount Kit for 2013-19 Ford FPI-U</t>
  </si>
  <si>
    <t xml:space="preserve">LOFT-FPIU-RMT    </t>
  </si>
  <si>
    <t>LOFT Universal Front Mount Kit for either 2015 - 20 Tahoe or 2013-19 Ford FPI-U/Explorer</t>
  </si>
  <si>
    <r>
      <t>LOFT-FRONT-MT</t>
    </r>
    <r>
      <rPr>
        <b/>
        <i/>
        <sz val="9"/>
        <rFont val="Arial"/>
        <family val="2"/>
      </rPr>
      <t xml:space="preserve">  </t>
    </r>
  </si>
  <si>
    <t>LOFT- Cage Mount Tranfer Kit for 12+ Durango</t>
  </si>
  <si>
    <t xml:space="preserve">LOFT-DUR-TK       </t>
  </si>
  <si>
    <t>LOFT Rear Mount Kit for 12+ Durango</t>
  </si>
  <si>
    <t xml:space="preserve">LOFT-DUR-RMT    </t>
  </si>
  <si>
    <t>LOFT- Non-Partition Transfer Mount Kit for 12+ Durango</t>
  </si>
  <si>
    <r>
      <t>LOFT-DUR-NPTK</t>
    </r>
    <r>
      <rPr>
        <b/>
        <i/>
        <sz val="9"/>
        <rFont val="Arial"/>
        <family val="2"/>
      </rPr>
      <t xml:space="preserve"> </t>
    </r>
  </si>
  <si>
    <t>LOFT- Non-Partition Mount Kit for 12+ Durango</t>
  </si>
  <si>
    <r>
      <t xml:space="preserve">LOFT-DUR-NPKIT  </t>
    </r>
    <r>
      <rPr>
        <b/>
        <i/>
        <sz val="9"/>
        <rFont val="Arial"/>
        <family val="2"/>
      </rPr>
      <t xml:space="preserve"> </t>
    </r>
  </si>
  <si>
    <t>LOFT- Non-Partition Transfer Kit for 18+ Expedition</t>
  </si>
  <si>
    <t xml:space="preserve">LOFT-EXPED19-NPTK   </t>
  </si>
  <si>
    <t>LOFT- Non-Partition Mount Kit for 18+ Expedition</t>
  </si>
  <si>
    <t xml:space="preserve">LOFT-EXPED19-NPKIT   </t>
  </si>
  <si>
    <t>LOFT PIU20 Troy Partition Transfer/Mount Kit</t>
  </si>
  <si>
    <t xml:space="preserve">LOFT-PIU20-TPKIT     </t>
  </si>
  <si>
    <t>LOFT Rear Mount Kit for 20+ Ford PIU</t>
  </si>
  <si>
    <t xml:space="preserve">LOFT-PIU20-RMT      </t>
  </si>
  <si>
    <t>LOFT- Non-Partition Mount Tranfer Kit for 2020+ Ford Police Interceptor Utility</t>
  </si>
  <si>
    <t xml:space="preserve">LOFT-PIU20-NPTK       </t>
  </si>
  <si>
    <t>LOFT- Non-Partition Mount Kit with for 2020+ PIU</t>
  </si>
  <si>
    <t xml:space="preserve">LOFT-PIU20-NPKIT  </t>
  </si>
  <si>
    <t>LOFT- Cage Mount Tranfer Kit for 2020+ Ford Police Interceptor Utility</t>
  </si>
  <si>
    <t xml:space="preserve">LOFT-PIU20-TK       </t>
  </si>
  <si>
    <t xml:space="preserve">LOFT- Non-Partition Mount Kit for FPIU 2013 - 2019 </t>
  </si>
  <si>
    <t>LOFT-FPIU-NPKIT-L</t>
  </si>
  <si>
    <t>LOFT LED Mounting Brackets, pkg. of 4</t>
  </si>
  <si>
    <t xml:space="preserve">LOFT-LEDBKT-4      </t>
  </si>
  <si>
    <r>
      <t xml:space="preserve">LOFT LED Mounting Brackets, pkg. of 2 </t>
    </r>
    <r>
      <rPr>
        <b/>
        <i/>
        <sz val="9"/>
        <rFont val="Arial"/>
        <family val="2"/>
      </rPr>
      <t>(Durango LOFT)</t>
    </r>
  </si>
  <si>
    <t xml:space="preserve">LOFT-LEDBKT-2    </t>
  </si>
  <si>
    <t>Auto Opening LOFT Optional Key Override System</t>
  </si>
  <si>
    <t xml:space="preserve">LOFT-AO-KEYOVER </t>
  </si>
  <si>
    <t>LOFT 22" Adjustable Front Bracket Kit for use with Cage (Standard w/ Tahoe's, Expeditions)</t>
  </si>
  <si>
    <t>LOFT-APB-KIT</t>
  </si>
  <si>
    <t>THE LOFT Optional Accessories</t>
  </si>
  <si>
    <t xml:space="preserve">LOFT-21SUB-3R-SG-AO       </t>
  </si>
  <si>
    <t xml:space="preserve">LOFT-21SUB-3R-GV-AO          </t>
  </si>
  <si>
    <t xml:space="preserve">LOFT-21SUB-3R-SG         </t>
  </si>
  <si>
    <t xml:space="preserve">LOFT-21SUB-3R-GV      </t>
  </si>
  <si>
    <t xml:space="preserve">LOFT-21SUB-3R-EC          </t>
  </si>
  <si>
    <t>Compact LOFT (11" X 40")</t>
  </si>
  <si>
    <t>THE LOFT Overhead Storage Solution</t>
  </si>
  <si>
    <t>21+ Tahoe Rescue gear storage Loft with custom foam cutouts - Interior Dimension 16.5" x 40" , APB Mounting Kit.(Optional Accessories Available)</t>
  </si>
  <si>
    <r>
      <t>LOFT-21TAH-RESQ</t>
    </r>
    <r>
      <rPr>
        <b/>
        <i/>
        <sz val="9"/>
        <rFont val="Arial"/>
        <family val="2"/>
      </rPr>
      <t xml:space="preserve"> </t>
    </r>
  </si>
  <si>
    <t xml:space="preserve">21+ Tahoe Loft Dual Weapon Extra Wide Storage Tray provides additional 4" of width for guns - LOFT-21TAH-2GX Includes 2 Gun Locks, Muzzle Bracket Assembly, Butt Cup &amp; Momentary Push Button Switch, APB Mounting Kit. (Optional Accessories Available) </t>
  </si>
  <si>
    <t xml:space="preserve">LOFT-21TAH-2GX  </t>
  </si>
  <si>
    <t xml:space="preserve">21+ Tahoe Loft Dual Weapon Storage Tray w/ Auto Open - Interior Dimension 16.5" x 40"  LOFT-21TAH-2G-AO Includes 2 Gun Locks, Muzzle Bracket Assembly, Butt Cup &amp; Momentary Push Button Switch, APB Mounting Kit.For use with a 18" Shotgun &amp; M4 (Optional Accessories Available) </t>
  </si>
  <si>
    <t xml:space="preserve">LOFT-21TAH-2G-AO      </t>
  </si>
  <si>
    <t>21+ Tahoe Loft Single Shotgun Storage Tray w/ Auto Open - Interior Dimension 16.5" x 40"  LOFT-21TAH-SG-AO Includes Shotgun Lock, Butt Cup, Momentary Push Button Switch, APB Mounting Kit. (Optional Accessories Available)</t>
  </si>
  <si>
    <t xml:space="preserve">LOFT-21TAH-SG-AO      </t>
  </si>
  <si>
    <t>21+ Tahoe Loft Single Weapon Extra Wide Storage Tray w/ Auto Open, Provides additional 4" of widthfor weapons. - Interior. LOFT-21TAH-GVX-AO Includes Standard Gun Lock, Muzzle Bracket Assembly, Momentary Push Button Switch, APB Mounting Kit. (Optional Accessories Available)</t>
  </si>
  <si>
    <t xml:space="preserve">LOFT-21TAH-GVX-AO      </t>
  </si>
  <si>
    <t>21+ Tahoe Loft Single Weapon Storage Tray w/ Auto Open - Interior Dimension 16.5" x 40"  LOFT-21TAH-GV-AO Includes Standard Gun Lock, Muzzle Bracket Assembly, Momentary Push Button Switch, APB Mounting Kit. (Optional Accessories Available)</t>
  </si>
  <si>
    <t xml:space="preserve">LOFT-21TAH-GV-AO      </t>
  </si>
  <si>
    <r>
      <t>21+ Tahoe Loft  Dual Weapon Storage Tray - Interior Dimension 16.5" x 40"</t>
    </r>
    <r>
      <rPr>
        <i/>
        <sz val="9"/>
        <rFont val="Arial"/>
        <family val="2"/>
      </rPr>
      <t xml:space="preserve"> </t>
    </r>
    <r>
      <rPr>
        <sz val="10"/>
        <rFont val="Arial"/>
        <family val="2"/>
      </rPr>
      <t xml:space="preserve">LOFT-21TAH-NE2GT Includes APB Brackets, 2 Gun Locks, Muzzle Bracket Assembly, Butt Cup &amp; Momentary Push Button Switch and Timer. For use with a Troy Rear Cargo Compartment (Optional Accessories Available) </t>
    </r>
  </si>
  <si>
    <t xml:space="preserve">LOFT-21TAH-NE2GT    </t>
  </si>
  <si>
    <r>
      <t>21+ Tahoe Loft  Dual Weapon Storage Tray - Interior Dimension 16.5" x 40"</t>
    </r>
    <r>
      <rPr>
        <i/>
        <sz val="9"/>
        <rFont val="Arial"/>
        <family val="2"/>
      </rPr>
      <t xml:space="preserve"> </t>
    </r>
    <r>
      <rPr>
        <sz val="10"/>
        <rFont val="Arial"/>
        <family val="2"/>
      </rPr>
      <t xml:space="preserve">LOFT-21TAH-2G Includes 2 Gun Locks, Muzzle Bracket Assembly, Butt Cup &amp; Momentary Push Button Switch, APB Mounting Kit. For use with a 18" Shotgun &amp; M4 (Optional Accessories Available) </t>
    </r>
  </si>
  <si>
    <t xml:space="preserve">LOFT-21TAH-2G      </t>
  </si>
  <si>
    <r>
      <t>21+ Tahoe Loft Single Shotgun Storage Tray - Interior Dimension 16.5" x 40"</t>
    </r>
    <r>
      <rPr>
        <i/>
        <sz val="9"/>
        <rFont val="Arial"/>
        <family val="2"/>
      </rPr>
      <t xml:space="preserve"> </t>
    </r>
    <r>
      <rPr>
        <sz val="10"/>
        <rFont val="Arial"/>
        <family val="2"/>
      </rPr>
      <t xml:space="preserve">LOFT-21TAH-SG Includes Shotgun Lock, Butt Cup, Momentary Push Button Switch, APB Mounting Kit. (Optional Accessories Available) </t>
    </r>
  </si>
  <si>
    <t xml:space="preserve">LOFT-21TAH-SG      </t>
  </si>
  <si>
    <r>
      <t>21+ Tahoe Loft Single Weapon Extra Wide Storage Tray Provides additional 4" of width for weapons.</t>
    </r>
    <r>
      <rPr>
        <i/>
        <sz val="9"/>
        <rFont val="Arial"/>
        <family val="2"/>
      </rPr>
      <t xml:space="preserve"> </t>
    </r>
    <r>
      <rPr>
        <sz val="10"/>
        <rFont val="Arial"/>
        <family val="2"/>
      </rPr>
      <t xml:space="preserve">LOFT-21TAH-GVX Includes Standard Gun Lock, Muzzle Bracket Assembly, Momentary Push Button Switch, APB Mounting Kit. (Optional Accessories Available) </t>
    </r>
  </si>
  <si>
    <t xml:space="preserve">LOFT-21TAH-GVX     </t>
  </si>
  <si>
    <r>
      <t>21+ Tahoe Loft  Weapon Storage Tray - Interior Dimension 16.5" x 40"</t>
    </r>
    <r>
      <rPr>
        <i/>
        <sz val="9"/>
        <rFont val="Arial"/>
        <family val="2"/>
      </rPr>
      <t xml:space="preserve"> </t>
    </r>
    <r>
      <rPr>
        <sz val="10"/>
        <rFont val="Arial"/>
        <family val="2"/>
      </rPr>
      <t xml:space="preserve">LOFT-21TAH-GV Includes Standard Gun Lock, Muzzle Bracket Assembly, Momentary Push Button Switch, APB Mounting Kit. (Optional Accessories Available) </t>
    </r>
  </si>
  <si>
    <t xml:space="preserve">LOFT-21TAH-GV      </t>
  </si>
  <si>
    <r>
      <t xml:space="preserve">21+ Tahoe Loft Electronic Equipment Tray - Interior Dimension 16.5" x 40" </t>
    </r>
    <r>
      <rPr>
        <sz val="9"/>
        <rFont val="Arial"/>
        <family val="2"/>
      </rPr>
      <t xml:space="preserve"> </t>
    </r>
    <r>
      <rPr>
        <sz val="10"/>
        <rFont val="Arial"/>
        <family val="2"/>
      </rPr>
      <t>LOFT-21TAH-EC Includes removable stand-off electronics installation platform, allowing "bench" prep prior to installation, APB Mounting Kit. (Optional Accessories Available)</t>
    </r>
  </si>
  <si>
    <t xml:space="preserve">LOFT-21TAH-EC      </t>
  </si>
  <si>
    <t>2015 - 20 Tahoe Rescue gear storage Loft with custom foam cutouts - Interior Dimension 16.5" x 40" (Optional Accessories Available)</t>
  </si>
  <si>
    <r>
      <t>LOFT-TAH16-RESQ</t>
    </r>
    <r>
      <rPr>
        <b/>
        <i/>
        <sz val="9"/>
        <rFont val="Arial"/>
        <family val="2"/>
      </rPr>
      <t xml:space="preserve"> </t>
    </r>
  </si>
  <si>
    <t xml:space="preserve">2015 - 20 Tahoe Loft Dual Weapon Extra Wide Storage Tray provides additional 4" of width for guns - LOFT-TAH16-2GX Includes 2 Gun Locks, Muzzle Bracket Assembly, Butt Cup &amp; Momentary Push Button Switch. (Optional Accessories Available) </t>
  </si>
  <si>
    <t xml:space="preserve">LOFT-TAH16-2GX  </t>
  </si>
  <si>
    <t xml:space="preserve">2015 - 20 Tahoe Loft Dual Weapon Storage Tray w/ Auto Open - Interior Dimension 16.5" x 40"  LOFT-TAH16-2G-AO Includes 2 Gun Locks, Muzzle Bracket Assembly, Butt Cup &amp; Momentary Push Button Switch. For use with a 18" Shotgun &amp; M4 (Optional Accessories Available) </t>
  </si>
  <si>
    <t xml:space="preserve">LOFT-TAH16-2G-AO      </t>
  </si>
  <si>
    <t>2015 - 20 Tahoe Loft Single Shotgun Storage Tray w/ Auto Open - Interior Dimension 16.5" x 40"  LOFT-TAH16-SG-AO Includes Shotgun Lock, Butt Cup, Momentary Push Button Switch. (Optional Accessories Available)</t>
  </si>
  <si>
    <t xml:space="preserve">LOFT-TAH16-SG-AO      </t>
  </si>
  <si>
    <t>2015 - 20 Tahoe Loft Single Weapon Storage Tray w/ Auto Open - Interior Dimension 16.5" x 40"  LOFT-TAH16-GV-AO Includes Standard Gun Lock, Muzzle Bracket Assembly, Momentary Push Button Switch. (Optional Accessories Available)</t>
  </si>
  <si>
    <t xml:space="preserve">LOFT-TAH16-GV-AO      </t>
  </si>
  <si>
    <t xml:space="preserve">2015 - 20 Chevy Tahoe LOFT (for 2 NFA Exempt Guns)* For 2 Gun Short Barrel Rifle / Shotgun Combo, includes lock timer </t>
  </si>
  <si>
    <t xml:space="preserve">LOFT-TAH16-NE2G </t>
  </si>
  <si>
    <r>
      <t>2015 - 20 Tahoe Loft  Dual Weapon Storage Tray - Interior Dimension 16.5" x 40"</t>
    </r>
    <r>
      <rPr>
        <i/>
        <sz val="9"/>
        <rFont val="Arial"/>
        <family val="2"/>
      </rPr>
      <t xml:space="preserve"> </t>
    </r>
    <r>
      <rPr>
        <sz val="10"/>
        <rFont val="Arial"/>
        <family val="2"/>
      </rPr>
      <t xml:space="preserve">LOFT-TAH16-2G Includes 2 Gun Locks, Muzzle Bracket Assembly, Butt Cup &amp; Momentary Push Button Switch. For use with a 18" Shotgun &amp; M4 (Optional Accessories Available) </t>
    </r>
  </si>
  <si>
    <t xml:space="preserve">LOFT-TAH16-2G      </t>
  </si>
  <si>
    <r>
      <t>2015 - 20 Tahoe Loft Single Shotgun Storage Tray - Interior Dimension 16.5" x 40"</t>
    </r>
    <r>
      <rPr>
        <i/>
        <sz val="9"/>
        <rFont val="Arial"/>
        <family val="2"/>
      </rPr>
      <t xml:space="preserve"> </t>
    </r>
    <r>
      <rPr>
        <sz val="10"/>
        <rFont val="Arial"/>
        <family val="2"/>
      </rPr>
      <t xml:space="preserve">LOFT-TAH16-SG Includes Shotgun Lock, Butt Cup, Momentary Push Button Switch. (Optional Accessories Available) </t>
    </r>
  </si>
  <si>
    <t xml:space="preserve">LOFT-TAH16-SG      </t>
  </si>
  <si>
    <r>
      <t>2015 - 20 Tahoe Loft  Weapon Storage Tray - Interior Dimension 16.5" x 40"</t>
    </r>
    <r>
      <rPr>
        <i/>
        <sz val="9"/>
        <rFont val="Arial"/>
        <family val="2"/>
      </rPr>
      <t xml:space="preserve"> </t>
    </r>
    <r>
      <rPr>
        <sz val="10"/>
        <rFont val="Arial"/>
        <family val="2"/>
      </rPr>
      <t xml:space="preserve">LOFT-TAH16-GV Includes Standard Gun Lock, Muzzle Bracket Assembly, Momentary Push Button Switch. (Optional Accessories Available) </t>
    </r>
  </si>
  <si>
    <t xml:space="preserve">LOFT-TAH16-GV      </t>
  </si>
  <si>
    <r>
      <t xml:space="preserve">2015 - 20 Tahoe Loft Electronic Equipment Tray - Interior Dimension 16.5" x 40" </t>
    </r>
    <r>
      <rPr>
        <sz val="9"/>
        <rFont val="Arial"/>
        <family val="2"/>
      </rPr>
      <t xml:space="preserve"> </t>
    </r>
    <r>
      <rPr>
        <sz val="10"/>
        <rFont val="Arial"/>
        <family val="2"/>
      </rPr>
      <t>LOFT-TAH16-EC Includes removable stand-off electronics installation platform, allowing "bench" prep prior to installation. (Optional Accessories Available)</t>
    </r>
  </si>
  <si>
    <t xml:space="preserve">LOFT-TAH16-EC      </t>
  </si>
  <si>
    <t>20+ Ford FPIU Rescue gear storage Loft with custom foam cutouts - Interior Dimension 16.5" x 40" (Optional Accessories Available)</t>
  </si>
  <si>
    <t xml:space="preserve">LOFT-PIU20-RESQ  </t>
  </si>
  <si>
    <t xml:space="preserve">20+ Ford Police Utility LOFT Dual Weapon Extra Wide Storage Tray provides additional 4" of width for guns - LOFT-PIU20-2GX Includes 2 Gun Locks, Muzzle Bracket Assembly, Butt Cup &amp; Momentary Push Button Switch. (Optional Accessories Available) </t>
  </si>
  <si>
    <t xml:space="preserve">LOFT-PIU20-2GX   </t>
  </si>
  <si>
    <r>
      <t xml:space="preserve">20+ Ford FPIU Loft Dual Weapon Storage Tray w/ Auto Open - Interior Dimension 16.5" x 40"  LOFT-PIU20-2G-AO Includes 2 Gun Locks, Muzzle Bracket Assembly, Butt Cup &amp; Momentary Push Button Switch. For use with a 18" Shotgun &amp; M4 </t>
    </r>
    <r>
      <rPr>
        <b/>
        <i/>
        <sz val="10"/>
        <rFont val="Arial"/>
        <family val="2"/>
      </rPr>
      <t>For Mounting to Troy Cage</t>
    </r>
    <r>
      <rPr>
        <sz val="10"/>
        <rFont val="Arial"/>
        <family val="2"/>
      </rPr>
      <t xml:space="preserve"> (Optional Accessories Available) </t>
    </r>
  </si>
  <si>
    <t xml:space="preserve">LOFT-PIU20-2GT-AO      </t>
  </si>
  <si>
    <t xml:space="preserve">20+ Ford FPIU Loft Dual Weapon Storage Tray w/ Auto Open - Interior Dimension 16.5" x 40"  LOFT-PIU20-2G-AO Includes 2 Gun Locks, Muzzle Bracket Assembly, Butt Cup &amp; Momentary Push Button Switch. For use with a 18" Shotgun &amp; M4 (Optional Accessories Available) </t>
  </si>
  <si>
    <t xml:space="preserve">LOFT-PIU20-2G-AO      </t>
  </si>
  <si>
    <r>
      <t xml:space="preserve">20+ Ford FPIU Loft Single Shotgun Storage Tray w/ Auto Open - Interior Dimension 16.5" x 40"  LOFT-PIU20-SG-AO Includes Shotgun Lock, Butt Cup, Momentary Push Button Switch. </t>
    </r>
    <r>
      <rPr>
        <b/>
        <i/>
        <sz val="10"/>
        <rFont val="Arial"/>
        <family val="2"/>
      </rPr>
      <t>For Mounting to Troy Cage</t>
    </r>
    <r>
      <rPr>
        <sz val="10"/>
        <rFont val="Arial"/>
        <family val="2"/>
      </rPr>
      <t xml:space="preserve"> (Optional Accessories Available)  </t>
    </r>
  </si>
  <si>
    <t xml:space="preserve">LOFT-PIU20-SGT-AO      </t>
  </si>
  <si>
    <t xml:space="preserve">20+ Ford FPIU Loft Single Shotgun Storage Tray w/ Auto Open - Interior Dimension 16.5" x 40"  LOFT-PIU20-SG-AO Includes Shotgun Lock, Butt Cup, Momentary Push Button Switch. (Optional Accessories Available)  </t>
  </si>
  <si>
    <t xml:space="preserve">LOFT-PIU20-SG-AO      </t>
  </si>
  <si>
    <r>
      <t xml:space="preserve">20+ Ford FPIU Loft Single Weapon Storage Tray w/ Auto Open - Interior Dimension 16.5" x 40"  LOFT-PIU20-GV-AO Includes Standard Gun Lock, Muzzle Bracket Assembly, Momentary Push Button Switch. </t>
    </r>
    <r>
      <rPr>
        <b/>
        <i/>
        <sz val="10"/>
        <rFont val="Arial"/>
        <family val="2"/>
      </rPr>
      <t>For Mounting to Troy Cage</t>
    </r>
    <r>
      <rPr>
        <sz val="10"/>
        <rFont val="Arial"/>
        <family val="2"/>
      </rPr>
      <t xml:space="preserve"> (Optional Accessories Available)  </t>
    </r>
  </si>
  <si>
    <t xml:space="preserve">LOFT-PIU20-GVT-AO      </t>
  </si>
  <si>
    <t xml:space="preserve">20+ Ford FPIU Loft Single Extra Wide Weapon Storage Tray w/ Auto Open -Provides additional 4" of width for weapons. LOFT-PIU20-GVX-AO Includes Standard Gun Lock, Muzzle Bracket Assembly, Momentary Push Button Switch. (Optional Accessories Available)  </t>
  </si>
  <si>
    <t xml:space="preserve">LOFT-PIU20-GVX-AO      </t>
  </si>
  <si>
    <t xml:space="preserve">20+ Ford FPIU Loft Single Weapon Storage Tray w/ Auto Open - Interior Dimension 16.5" x 40"  LOFT-PIU20-GV-AO Includes Standard Gun Lock, Muzzle Bracket Assembly, Momentary Push Button Switch. (Optional Accessories Available)  </t>
  </si>
  <si>
    <t xml:space="preserve">LOFT-PIU20-GV-AO      </t>
  </si>
  <si>
    <t xml:space="preserve">20+ Ford Police Utility/Explorer Loft Dual Weapon Storage Tray - Interior Dimension 16.5" x 40" LOFT-PIU20-NE2GT Includes 2 Gun Locks, Muzzle Bracket Assembly, Butt Cup &amp; Momentary Push Button Switch and Timer.For use with a Troy Rear Cargo Compartment (Optional Accessories Available) </t>
  </si>
  <si>
    <t xml:space="preserve">LOFT-PIU20-NE2GT        </t>
  </si>
  <si>
    <r>
      <t xml:space="preserve">20+ Ford Police Utility/Explorer Loft Dual Weapon Storage Tray - Interior Dimension 16.5" x 40"  LOFT-PIU20-2G Includes 2 Gun Locks, Muzzle Bracket Assembly, Butt Cup &amp; Momentary Push Button Switch. For use with a 18" Shotgun &amp; M4 </t>
    </r>
    <r>
      <rPr>
        <b/>
        <i/>
        <sz val="10"/>
        <rFont val="Arial"/>
        <family val="2"/>
      </rPr>
      <t>For Mounting to Troy Cage</t>
    </r>
    <r>
      <rPr>
        <sz val="10"/>
        <rFont val="Arial"/>
        <family val="2"/>
      </rPr>
      <t xml:space="preserve"> (Optional Accessories Available) </t>
    </r>
  </si>
  <si>
    <t xml:space="preserve">LOFT-PIU20-2GT        </t>
  </si>
  <si>
    <t xml:space="preserve">20+ Ford Police Utility/Explorer Loft Dual Weapon Storage Tray - Interior Dimension 16.5" x 40"  LOFT-PIU20-2G Includes 2 Gun Locks, Muzzle Bracket Assembly, Butt Cup &amp; Momentary Push Button Switch. For use with a 18" Shotgun &amp; M4 (Optional Accessories Available) </t>
  </si>
  <si>
    <t xml:space="preserve">LOFT-PIU20-2G         </t>
  </si>
  <si>
    <r>
      <t xml:space="preserve">20+ Ford Police Utility/Explorer Loft Single Shotgun Storage Tray - Interior Dimension 16.5" x 40"  LOFT-PIU20-SG Includes Shotgun Lock, Butt Cup, Momentary Push Button Switch. </t>
    </r>
    <r>
      <rPr>
        <b/>
        <i/>
        <sz val="10"/>
        <rFont val="Arial"/>
        <family val="2"/>
      </rPr>
      <t>For Mounting to Troy Cage</t>
    </r>
    <r>
      <rPr>
        <sz val="10"/>
        <rFont val="Arial"/>
        <family val="2"/>
      </rPr>
      <t xml:space="preserve"> (Optional Accessories Available) </t>
    </r>
  </si>
  <si>
    <t xml:space="preserve">LOFT-PIU20-SGT        </t>
  </si>
  <si>
    <t xml:space="preserve">20+ Ford Police Utility/Explorer Loft Single Shotgun Storage Tray - Interior Dimension 16.5" x 40"  LOFT-PIU20-SG Includes Shotgun Lock, Butt Cup, Momentary Push Button Switch. (Optional Accessories Available) </t>
  </si>
  <si>
    <t xml:space="preserve">LOFT-PIU20-SG        </t>
  </si>
  <si>
    <r>
      <t xml:space="preserve">20+ Ford Police Utility/Explorer Loft Weapon Storage Tray - Interior Dimension 16.5" x 40"  LOFT-PIU20-GV Includes Standard Gun Lock, Muzzle Bracket Assembly, Momentary Push Button Switch. </t>
    </r>
    <r>
      <rPr>
        <b/>
        <i/>
        <sz val="10"/>
        <rFont val="Arial"/>
        <family val="2"/>
      </rPr>
      <t>For Mounting to Troy Cage</t>
    </r>
    <r>
      <rPr>
        <sz val="10"/>
        <rFont val="Arial"/>
        <family val="2"/>
      </rPr>
      <t xml:space="preserve"> (Optional Accessories Available) </t>
    </r>
  </si>
  <si>
    <t xml:space="preserve">LOFT-PIU20-GVT      </t>
  </si>
  <si>
    <t xml:space="preserve">20+ Ford Police Utility LOFT Single AR Rifle Extra Wide Storage Tray provides additional 4" of width for guns - LOFT-PIU20-GVX Includes Standard Gun Lock, Muzzle Bracket Assembly, Butt Cup &amp; Momentary Push Button Switch. (Optional Accessories Available) </t>
  </si>
  <si>
    <t xml:space="preserve">LOFT-PIU20-GVX      </t>
  </si>
  <si>
    <t xml:space="preserve">20+ Ford Police Utility/Explorer Loft Weapon Storage Tray - Interior Dimension 16.5" x 40"  LOFT-PIU20-GV Includes Standard Gun Lock, Muzzle Bracket Assembly, Momentary Push Button Switch. (Optional Accessories Available) </t>
  </si>
  <si>
    <t xml:space="preserve">LOFT-PIU20-GV        </t>
  </si>
  <si>
    <r>
      <t xml:space="preserve">20+ Ford Police Utility/Explorer Loft  Electronic Equipment Tray - Interior Dimension 16.5" x 40"   LOFT-PIU20-EC Includes removable stand-off electronics installation platform, allowing "bench" prep prior to installation. </t>
    </r>
    <r>
      <rPr>
        <b/>
        <i/>
        <sz val="10"/>
        <rFont val="Arial"/>
        <family val="2"/>
      </rPr>
      <t>For Mounting to Troy Cage</t>
    </r>
    <r>
      <rPr>
        <sz val="10"/>
        <rFont val="Arial"/>
        <family val="2"/>
      </rPr>
      <t xml:space="preserve"> (Optional Accessories Available)</t>
    </r>
  </si>
  <si>
    <t xml:space="preserve">LOFT-PIU20-ECT              </t>
  </si>
  <si>
    <t>20+ Ford Police Utility/Explorer Loft  Electronic Equipment Tray - Interior Dimension 16.5" x 40"   LOFT-PIU20-EC Includes removable stand-off electronics installation platform, allowing "bench" prep prior to installation. (Optional Accessories Available)</t>
  </si>
  <si>
    <t xml:space="preserve">LOFT-PIU20-EC              </t>
  </si>
  <si>
    <t>13-19 Ford Police Utility/Explorer Rescue gear storage Loft with custom foam cutouts - Interior Dimension 16.5" x 40" (Optional Accessories Available)</t>
  </si>
  <si>
    <t xml:space="preserve">LOFT-FPIU-RESQ </t>
  </si>
  <si>
    <t xml:space="preserve">13-19 Ford Police Utility/Explorer Loft Dual Weapon Extra Wide Storage Tray provides additional 4" of width for guns - LOFT-FPIU-2GX Includes 2 Gun Locks, Muzzle Bracket Assembly, Butt Cup &amp; Momentary Push Button Switch. (Optional Accessories Available) </t>
  </si>
  <si>
    <r>
      <t xml:space="preserve">LOFT-FPIU-2GX    </t>
    </r>
    <r>
      <rPr>
        <b/>
        <sz val="10"/>
        <rFont val="Arial"/>
        <family val="2"/>
      </rPr>
      <t xml:space="preserve">   </t>
    </r>
  </si>
  <si>
    <t xml:space="preserve">13-19 Ford FPIU Loft Dual Weapon Storage Tray w/ Auto Open - Interior Dimension 16.5" x 40"  LOFT-FPIU-2G-AO Includes 2 Gun Locks, Muzzle Bracket Assembly, Butt Cup &amp; Momentary Push Button Switch. For use with a 18" Shotgun &amp; M4 (Optional Accessories Available) </t>
  </si>
  <si>
    <t xml:space="preserve">LOFT-FPIU-2G-AO </t>
  </si>
  <si>
    <t xml:space="preserve">13-19 Ford FPIU Single Shotgun Storage Tray w/ Auto Open - Interior Dimension 16.5" x 40"  LOFT-FPIU-GV-AO Includes Shotgunun Lock, Butt Cup, Momentary Push Button Switch. (Optional Accessories Available) </t>
  </si>
  <si>
    <r>
      <t>LOFT-FPIU-SG-AO</t>
    </r>
    <r>
      <rPr>
        <b/>
        <i/>
        <sz val="9"/>
        <rFont val="Arial"/>
        <family val="2"/>
      </rPr>
      <t xml:space="preserve"> </t>
    </r>
  </si>
  <si>
    <t xml:space="preserve">13-19 Ford FPIU Single Weapon Storage Tray w/ Auto Open - Interior Dimension 16.5" x 40"  LOFT-FPIU-GV-AO Includes Standard Gun Lock, Muzzle Bracket Assembly, Momentary Push Button Switch. (Optional Accessories Available) </t>
  </si>
  <si>
    <r>
      <t>LOFT-FPIU-GV-AO</t>
    </r>
    <r>
      <rPr>
        <b/>
        <i/>
        <sz val="9"/>
        <rFont val="Arial"/>
        <family val="2"/>
      </rPr>
      <t xml:space="preserve"> </t>
    </r>
  </si>
  <si>
    <t xml:space="preserve">13-19 Ford Police Utility/Explorer Loft Dual Weapon Storage Tray - Interior Dimension 16.5" x 40"  LOFT-FPIU-2G Includes 2 Gun Locks, Muzzle Bracket Assembly, Butt Cup &amp; Momentary Push Button Switch. For use with a 18" Shotgun &amp; M4 (Optional Accessories Available) </t>
  </si>
  <si>
    <t xml:space="preserve">LOFT-FPIU-2G         </t>
  </si>
  <si>
    <t xml:space="preserve">13-19 Ford Police Utility/Explorer Loft Single Shotgun Storage Tray - Interior Dimension 16.5" x 40"  LOFT-FPIU-SG Includes Shotgun Lock, Butt Cup, Momentary Push Button Switch. (Optional Accessories Available) </t>
  </si>
  <si>
    <t xml:space="preserve">LOFT-FPIU-SG         </t>
  </si>
  <si>
    <t xml:space="preserve">13-19 Ford Police Utility/Explorer Loft Weapon Storage Tray - Interior Dimension 16.5" x 40"  LOFT-FPIU-GV Includes Standard Gun Lock, Muzzle Bracket Assembly, Momentary Push Button Switch. (Optional Accessories Available) </t>
  </si>
  <si>
    <t xml:space="preserve">LOFT-FPIU-GV         </t>
  </si>
  <si>
    <t>13-19 Ford Police Utility/Explorer Loft  Electronic Equipment Tray - Interior Dimension 16.5" x 40"   LOFT-FPIU-EC Includes removable stand-off electronics installation platform, allowing "bench" prep prior to installation. (Optional Accessories Available)</t>
  </si>
  <si>
    <t xml:space="preserve">LOFT-FPIU-EC         </t>
  </si>
  <si>
    <t>18+ Ford Expedtion Rescue gear storage Loft with custom foam cutouts - Interior Dimension 16.5" x 40" , APB Mounting Kit. (Optional Accessories Available)</t>
  </si>
  <si>
    <t xml:space="preserve">LOFT-EXPED19-RESQ     </t>
  </si>
  <si>
    <t xml:space="preserve">18+ Ford Expedition Loft Dual Weapon Storage Tray w/ Auto Open - Interior Dimension 16.5" x 40"  LOFT-EXPED19-2G-AO Includes 2 Gun Locks, Muzzle Bracket Assembly, Butt Cup &amp; Momentary Push Button Switch, APB Mounting Kit. For use with a 18" Shotgun &amp; M4 (Optional Accessories Available) </t>
  </si>
  <si>
    <t xml:space="preserve">LOFT-EXPED19-2G-AO      </t>
  </si>
  <si>
    <t xml:space="preserve">18+ Ford Expedition Loft Single Shotgun Storage Tray w/ Auto Open - Interior Dimension 16.5" x 40"  LOFT-EXPED19-SG-AO Includes Shotgun Lock, Butt Cup, Momentary Push Button Switch, APB Mounting Kit. (Optional Accessories Available) </t>
  </si>
  <si>
    <t xml:space="preserve">LOFT-EXPED19-SG-AO      </t>
  </si>
  <si>
    <t xml:space="preserve">18+ Ford Expedition Loft Weapon Storage Tray w/ Auto Open - Interior Dimension 16.5" x 40"  LOFT-EXPED19-GV-AO Includes Standard Gun Lock, Muzzle Bracket Assembly, Momentary Push Button Switch, APB Mounting Kit. (Optional Accessories Available) </t>
  </si>
  <si>
    <t xml:space="preserve">LOFT-EXPED19-GV-AO      </t>
  </si>
  <si>
    <t xml:space="preserve">18+ Expedition Loft Dual Weapon Extra Wide Storage Tray provides additional 4" of width for guns - LOFT-EXPED19-2GX Includes 2 Gun Locks, Muzzle Bracket Assembly, Butt Cup &amp; Momentary Push Button Switch, APB Mounting Kit. (Optional Accessories Available) </t>
  </si>
  <si>
    <t>LOFT-EXPED19-2GX</t>
  </si>
  <si>
    <t xml:space="preserve">18+ Ford Expedition Loft Dual Weapon Storage Tray - Interior Dimension 16.5" x 40"  LOFT-EXPED19-2G Includes 2 Gun Locks, Muzzle Bracket Assembly, Butt Cup &amp; Momentary Push Button Switch, APB Mounting Kit. For use with a 18" Shotgun &amp; M4 (Optional Accessories Available) </t>
  </si>
  <si>
    <t xml:space="preserve">LOFT-EXPED19-2G </t>
  </si>
  <si>
    <t xml:space="preserve">18+ Ford Expedition Loft Single Shotgun Storage Tray - Interior Dimension 16.5" x 40"  LOFT-EXPED19-SG Includes Shotgun Lock, Butt Cup, Momentary Push Button Switch. (Optional Accessories Available) </t>
  </si>
  <si>
    <t>LOFT-EXPED19-SG</t>
  </si>
  <si>
    <t xml:space="preserve">18+ Ford Expedition Loft Weapon Storage Tray - Interior Dimension 16.5" x 40"  LOFT-EXPED19-GV Includes Standard Gun Lock, Muzzle Bracket Assembly, Momentary Push Button Switch, APB Mounting Kit. (Optional Accessories Available) </t>
  </si>
  <si>
    <t xml:space="preserve">LOFT-EXPED19-GV </t>
  </si>
  <si>
    <t>18+ Ford Expedition Loft  Electronic Equipment Tray - Interior Dimension 16.5" x 40"   LOFT-EXPED19-EC Includes removable stand-off electronics installation platform, allowing "bench" prep prior to installation, APB Mounting Kit. (Optional Accessories Available)</t>
  </si>
  <si>
    <r>
      <t xml:space="preserve">LOFT-EXPED19-EC </t>
    </r>
    <r>
      <rPr>
        <b/>
        <sz val="10"/>
        <rFont val="Arial"/>
        <family val="2"/>
      </rPr>
      <t xml:space="preserve">    </t>
    </r>
  </si>
  <si>
    <t>12+ Dodge Durango Rescue gear storage Loft with custom foam cutouts - Interior Dimension 16.5" x 40" (Optional Accessories Available)</t>
  </si>
  <si>
    <r>
      <t xml:space="preserve">LOFT-DUR-RESQ  </t>
    </r>
    <r>
      <rPr>
        <b/>
        <i/>
        <sz val="9"/>
        <rFont val="Arial"/>
        <family val="2"/>
      </rPr>
      <t xml:space="preserve"> </t>
    </r>
  </si>
  <si>
    <t xml:space="preserve">12+ Dodge Durango Loft Dual Weapon Storage Tray w/ Auto Open - Interior Dimension 16.5" x 40"  LOFT-DUR-2G-AO Includes 2 Gun Locks, Muzzle Bracket Assembly, Butt Cup &amp; Momentary Push Button Switch. For use with a 18" Shotgun &amp; M4 (Optional Accessories Available) </t>
  </si>
  <si>
    <t xml:space="preserve">LOFT-DUR-2G-AO </t>
  </si>
  <si>
    <t xml:space="preserve">12+ Dodge Durango Loft Single Shotgun Storage Tray w/ Auto Open - Interior Dimension 16.5" x 40"  LOFT-DUR-SG-AO Includes Shotgun Lock, Butt Cup, Momentary Push Button Switch. (Optional Accessories Available) </t>
  </si>
  <si>
    <t xml:space="preserve">LOFT-DUR-SG-AO    </t>
  </si>
  <si>
    <t xml:space="preserve">12+ Dodge Durango Loft Single Weapon Storage Tray w/ Auto Open - Interior Dimension 16.5" x 40"  LOFT-DUR-GV-AO Includes Standard Gun Lock, Muzzle Bracket Assembly, Momentary Push Button Switch. (Optional Accessories Available) </t>
  </si>
  <si>
    <t xml:space="preserve">LOFT-DUR-GV-AO    </t>
  </si>
  <si>
    <t xml:space="preserve">12+ Dodge Durango Loft Dual Weapon Storage Tray - Interior Dimension 16.5" x 40"  LOFT-DUR-2G Includes 2 Gun Locks, Muzzle Bracket Assembly, Butt Cup &amp; Momentary Push Button Switch. For use with a 18" Shotgun &amp; M4 (Optional Accessories Available) </t>
  </si>
  <si>
    <t xml:space="preserve">LOFT-DUR-2G       </t>
  </si>
  <si>
    <t xml:space="preserve">12+ Dodge Durango Loft Single Shotgun Storage Tray - Interior Dimension 16.5" x 40"  LOFT-DUR-SG Includes Shotgun Lock, Butt Cup, Momentary Push Button Switch. (Optional Accessories Available) </t>
  </si>
  <si>
    <r>
      <t xml:space="preserve">LOFT-DUR-SG      </t>
    </r>
    <r>
      <rPr>
        <b/>
        <i/>
        <sz val="9"/>
        <rFont val="Arial"/>
        <family val="2"/>
      </rPr>
      <t xml:space="preserve">  </t>
    </r>
  </si>
  <si>
    <t xml:space="preserve">12+ Dodge Durango Loft Weapon Storage Tray - Interior Dimension 16.5" x 40"  LOFT-DUR-GV Includes Standard Gun Lock, Muzzle Bracket Assembly, Momentary Push Button Switch. (Optional Accessories Available) </t>
  </si>
  <si>
    <r>
      <t xml:space="preserve">LOFT-DUR-GV      </t>
    </r>
    <r>
      <rPr>
        <b/>
        <i/>
        <sz val="9"/>
        <rFont val="Arial"/>
        <family val="2"/>
      </rPr>
      <t xml:space="preserve">  </t>
    </r>
  </si>
  <si>
    <t>12+ Dodge Durango Loft  Electronic Equipment Tray - Interior Dimension 16.5" x 40"   LOFT-DUR-EC Includes removable stand-off electronics installation platform, allowing "bench" prep prior to installation. (Optional Accessories Available)</t>
  </si>
  <si>
    <r>
      <t xml:space="preserve">LOFT-DUR-EC      </t>
    </r>
    <r>
      <rPr>
        <b/>
        <i/>
        <sz val="9"/>
        <rFont val="Arial"/>
        <family val="2"/>
      </rPr>
      <t xml:space="preserve">  </t>
    </r>
  </si>
  <si>
    <t>The Weapons Storage Version of the LOFT is primarily intended for AR-15/M-4 Rifles  and/or Shotgun, any other custom weapons mounts may require LOFT-BCP Butt Cup and/or LOFT-UNIVLOCK Large Universal (Handcuff Style Ratchet) Lock Head</t>
  </si>
  <si>
    <t>Standard LOFT (16.5" X 40")      XL LOFT (16.5 x 44")</t>
  </si>
  <si>
    <t>21 + Tahoe Single Locking Compartment Storage For behind 3rd row seat.</t>
  </si>
  <si>
    <t>GNG-21TAH-B</t>
  </si>
  <si>
    <t>New Products - (Changes from Last Revision Highlighted in Yellow)</t>
  </si>
  <si>
    <t>List</t>
  </si>
  <si>
    <t>4/01/2025  V1.1</t>
  </si>
  <si>
    <t>2025 List Price Guide</t>
  </si>
  <si>
    <t>Tundra CrewMax 2022-2025</t>
  </si>
  <si>
    <t>Toyota</t>
  </si>
  <si>
    <t>Matte In-Channel Wind Deflector 4pc</t>
  </si>
  <si>
    <t>Westin</t>
  </si>
  <si>
    <t>Tacoma Double Cab 2016-2023</t>
  </si>
  <si>
    <t>4Runner 2010-2019</t>
  </si>
  <si>
    <t>Tundra CrewMax 2007-2021</t>
  </si>
  <si>
    <t>Tundra Crew Cab 2007-2021</t>
  </si>
  <si>
    <t>Titan XD/Titan Crew Cab 2017-2024</t>
  </si>
  <si>
    <t>Nissan</t>
  </si>
  <si>
    <t>Wrangler JL Unlimited 4dr 2018-2025; Gladiator 2018-2025</t>
  </si>
  <si>
    <t>Jeep</t>
  </si>
  <si>
    <t>Wrangler JK Unlimited 4dr 2007-2018</t>
  </si>
  <si>
    <t>Silverado/Sierra 1500 Extended Cab 2019-2025 (Excl. 2019 Silverado LD/Sierra 1500 Limited)</t>
  </si>
  <si>
    <t>Chevrolet/GMC</t>
  </si>
  <si>
    <t>Silverado/Sierra 1500 Crew Cab 2019-2025 (Excl. 2019 Silverado LD/Sierra 1500 Limited)</t>
  </si>
  <si>
    <t>Colorado/Canyon Crew Cab 2015-2020</t>
  </si>
  <si>
    <t>Suburban/Yukon XL/Yukon Denali XL/Escalade ESV 2015-2020</t>
  </si>
  <si>
    <t>Chevrolet/GMC/Cadillac</t>
  </si>
  <si>
    <t>Tahoe/Yukon/Yukon Denali/Escalade 2015-2020</t>
  </si>
  <si>
    <t>Silverado/Sierra 1500 Extended Cab 2014-2019; Silverado LD Extended Cab 2019; Sierra 1500 Limited Extended Cab 2019; 2500/3500 Extended Cab  2014-2019</t>
  </si>
  <si>
    <t>Silverado/Sierra 1500 Crew Cab 2014-2018; 2500/3500 Crew Cab 2014-2019</t>
  </si>
  <si>
    <t>Silverado/Sierra 2500/3500 Extended Cab 2007-2014 Silverado/Sierra 1500 Extended Cab 2007-2014</t>
  </si>
  <si>
    <t>Avalanche 2007-2014; Suburban/Yukon XL/Yukon Denali XL 2007-2014; Silverado/Sierra Crew Cab 2500/3500 2007-2014; Sierra/Silverado 1500 Crew Cab 2007-2014</t>
  </si>
  <si>
    <t>F-150 SuperCab 2015-2024; F-250/3500 SuperDuty Super Cab 2015-2024</t>
  </si>
  <si>
    <t>Ford</t>
  </si>
  <si>
    <t>F-150 SuperCrew 2015-2024; F-250/350 SuperDuty Crew Cab 2015-2024</t>
  </si>
  <si>
    <t>F-150 SuperCrew 2009-2014</t>
  </si>
  <si>
    <t>1500 Quad Cab 2019-2025 (Excl. 2019-2020 Ram 1500 Classic)</t>
  </si>
  <si>
    <t>Ram</t>
  </si>
  <si>
    <t>1500 Crew Cab 2019-2025 (Excl. 2019-2023 Ram 1500 Classic)</t>
  </si>
  <si>
    <t>Ram 1500 Quad Cab 2002-2018; Ram 1500 Classic Quad Cab 2002-2018; Ram 2500/3500 Quad Cab 2010-2020</t>
  </si>
  <si>
    <t>Dodge/Ram</t>
  </si>
  <si>
    <t>Ram 1500 Crew Cab 2012-2024; 1500 Classic Crew Cab 2012-2024; 2500/3500 Crew/Mega Cab 2012-2024</t>
  </si>
  <si>
    <t>Durango 2021-2025</t>
  </si>
  <si>
    <t>Dodge</t>
  </si>
  <si>
    <t>Defender Poly Rear Partition</t>
  </si>
  <si>
    <t>Westin Public Safety</t>
  </si>
  <si>
    <t>Bronco 2021-2025 (Excl. Bronco Sport) W/ XTS Front Bumper</t>
  </si>
  <si>
    <t>Brush Guard for XTS Front Bumper</t>
  </si>
  <si>
    <t>Sprinter 2019-2025</t>
  </si>
  <si>
    <t>Mercedes-Benz</t>
  </si>
  <si>
    <t>Accessory For XTS Rear-Tire Carrier Kit</t>
  </si>
  <si>
    <t>Bronco 2021-2025 (Excl. Bronco Sport, Heritage &amp; Heritage Limited)(W/ Ford Performance Heavy-Duty Modular Front Bumper</t>
  </si>
  <si>
    <t>XTS Brush Guard for OEM Front Bumper</t>
  </si>
  <si>
    <t>Accessory For XTS Rear - Pass. Carrier</t>
  </si>
  <si>
    <t>Bronco 2021-2025 (Excl. Bronco Sport)</t>
  </si>
  <si>
    <t>XTS Angular Bull Bar</t>
  </si>
  <si>
    <t>Accessory For XTS Rear - Driver Carrier</t>
  </si>
  <si>
    <t>XTS Round Bull Bar</t>
  </si>
  <si>
    <t>Bronco 2021-2025 (Excl. Bronco Sport &amp; Raptor)</t>
  </si>
  <si>
    <t>XTS Skid Plate</t>
  </si>
  <si>
    <t>Wrangler JL 2018-2025</t>
  </si>
  <si>
    <t>XTS Rear Bumper</t>
  </si>
  <si>
    <t>Bronco 2021-2025 (W/Sensors)(Excl. Bronco Sport, Heritage, &amp; Heritage Limited)</t>
  </si>
  <si>
    <t>XTS Bumper</t>
  </si>
  <si>
    <t>Accessory for XTS Hitch Mount Tire Carrier</t>
  </si>
  <si>
    <t>All</t>
  </si>
  <si>
    <t>XTS Fold Down Table - Hitch Carrier</t>
  </si>
  <si>
    <t>Frontier 2022-2024</t>
  </si>
  <si>
    <t>HDX Winch Mount Mod. Grille Guard Shell</t>
  </si>
  <si>
    <t>HDX Winch Mount Modular Grille Guard</t>
  </si>
  <si>
    <t>F-150 2021-2024 (Excl. Raptor &amp; 2022+ Lightning EV)</t>
  </si>
  <si>
    <t>F-150 2021-2025 (Excl. Platinum, Raptor &amp; 2022+ Lightning EV)(Excl. w/Sensors)</t>
  </si>
  <si>
    <t>2500/3500 2019-2024</t>
  </si>
  <si>
    <t>2500/3500 2019-2025</t>
  </si>
  <si>
    <t>Silverado 2500/3500 2020-2025 (Excl. W/ Sensors)</t>
  </si>
  <si>
    <t>Chevrolet</t>
  </si>
  <si>
    <t>Silverado 2500/3500 2020-2025 (Excl. w/ Sensors)</t>
  </si>
  <si>
    <t>Silverado 1500 2019-2021, 2023-2024 &amp; 1500 LTD 2022 (Excl. ZR2 &amp; 2019 LD)(Excl. W/ Sensors)</t>
  </si>
  <si>
    <t>Silverado 1500 2019-2021, 2023-2025; 1500 LTD 2022 (Excl. ZR2 &amp; 2019 LD)(Excl. Diesel)(Excl. W/Sensors)</t>
  </si>
  <si>
    <t>F-150 XL/SSV 2015-2020 (Excl. Platinum &amp; 2017+ Raptor)</t>
  </si>
  <si>
    <t>F-150 XL/SSV 2015-2020 (Excl. Platinum &amp; 2017+ Raptor)(Excl. w/Sensors)</t>
  </si>
  <si>
    <t>F-250/350 2017-2022</t>
  </si>
  <si>
    <t>F-250/350 2017-2022 (Excl. w/Sensors)</t>
  </si>
  <si>
    <t>Silverado 1500 2016-2018; Silverado LD 2019</t>
  </si>
  <si>
    <t>Tundra 2014-2021</t>
  </si>
  <si>
    <t>2500/3500 2010-2018</t>
  </si>
  <si>
    <t>Ram 1500 2009-2018; Ram 1500 Classic 2019-2023 (Excl. Rebel &amp; Warlock)</t>
  </si>
  <si>
    <t>Ram 1500 2009-2018; Ram 1500 Classic 2019-2024 (Excl. Rebel &amp; Warlock)</t>
  </si>
  <si>
    <t>F-250/350 2017-2022 (Excl. Harley Davidson, Limited, &amp; Raptor)(Excl. w/Sensors)</t>
  </si>
  <si>
    <t>HDX Modular Grille Guard</t>
  </si>
  <si>
    <t>Tacoma 2005-2023 (DCSB)</t>
  </si>
  <si>
    <t>XTS Rock Slider</t>
  </si>
  <si>
    <t>Bronco 2021-2025 4dr (Excl. Bronco Sport)</t>
  </si>
  <si>
    <t>XTS Pinch Weld Covers</t>
  </si>
  <si>
    <t>Bronco 2021-2025 2dr (Excl. Bronco Sport)</t>
  </si>
  <si>
    <t>Gladiator 2020-2025</t>
  </si>
  <si>
    <t>Wrangler JL Unlimited 4dr 2018-2025</t>
  </si>
  <si>
    <t>Tundra Double Cab 2022-2025</t>
  </si>
  <si>
    <t>Pro-e Electric Running Boards</t>
  </si>
  <si>
    <t>Bronco 2021-2025 4dr (Excl. Raptor &amp; Sport)</t>
  </si>
  <si>
    <t>2019-2025 Ranger SuperCrew</t>
  </si>
  <si>
    <t>Silverado/Sierra 1500 Crew Cab 2019-2025 (Excl. 2019 Silverado LD/Sierra 1500 Limited); Silverado/Sierra 2500/3500 Crew Cab 2020-2025</t>
  </si>
  <si>
    <t>Silverado/Sierra 1500 Double Cab 2019-2025 (Excl. 2019 Silverado LD/Sierra 1500 Limited); Silverado/Sierra 2500/3500 Double Cab 2020-2025</t>
  </si>
  <si>
    <t>Ram 1500 Crew Cab 2019-2025 (Excl. 2019-2023 1500 Classic)</t>
  </si>
  <si>
    <t>Colorado/Canyon Crew Cab 2015-2025</t>
  </si>
  <si>
    <t>F-150 SuperCrew 2015-2025; F-250/350 Crew Cab 2017-2025; Lightning 2022-2025</t>
  </si>
  <si>
    <t>F-150 SuperCab 2015-2025; F-250/350 SuperCab 2017-2025</t>
  </si>
  <si>
    <t>4Runner Trail Edition 2010-2017 (Excl. Limited); 4Runner SR5/TRD/TRD Pro 2014-2024 (Excl. Limited, Nightshade &amp; TRD Sport)</t>
  </si>
  <si>
    <t>Silverado/Sierra 1500 Crew Cab 2007-2018 (Excl Classic); 2500/3500 Crew Cab 2007-2019 (Excl. 2007 Classic)</t>
  </si>
  <si>
    <t>Ram 1500 Crew Cab 2009-2018; Ram 1500 Classic Crew Cab 2019-2023; 2500/3500 Crew Cab 2010-2025 (Excl Cab Chassis w/Def Tanks)</t>
  </si>
  <si>
    <t>Ram 1500 Quad Cab 2009-2018; Ram 1500 Classic Quad Cab 2019-2024</t>
  </si>
  <si>
    <t>Tundra Double Cab 2007-2021</t>
  </si>
  <si>
    <t>Tacoma Double Cab 2024-2025</t>
  </si>
  <si>
    <t>Tacoma Double Cab 2005-2023</t>
  </si>
  <si>
    <t>Pro-E Motor 18L</t>
  </si>
  <si>
    <t>Pro-e Motor Replacement 18L</t>
  </si>
  <si>
    <t>Pro-E Motor N16L</t>
  </si>
  <si>
    <t>Pro-e Motor Replacement N16L</t>
  </si>
  <si>
    <t>Pro-E Motor N16R</t>
  </si>
  <si>
    <t>Pro-e Motor Replacement N16R</t>
  </si>
  <si>
    <t>Pro-E Motor N15L</t>
  </si>
  <si>
    <t>Pro-e Motor Replacement N15L</t>
  </si>
  <si>
    <t>Pro-E Motor N15R</t>
  </si>
  <si>
    <t>Pro-e Motor Replacement N15R</t>
  </si>
  <si>
    <t>Pro-E Motor N03L</t>
  </si>
  <si>
    <t>Pro-e Motor Replacement N03L</t>
  </si>
  <si>
    <t>Pro-E Motor N03R</t>
  </si>
  <si>
    <t>Pro-e Motor Replacement N03R</t>
  </si>
  <si>
    <t>Pro-E Motor 18R</t>
  </si>
  <si>
    <t>Pro-e Motor Replacement 18R</t>
  </si>
  <si>
    <t>Pro-E Motor 17L</t>
  </si>
  <si>
    <t>Pro-e Motor Replacement 17L</t>
  </si>
  <si>
    <t>Pro-E Motor 17R</t>
  </si>
  <si>
    <t>Pro-e Motor Replacement 17R</t>
  </si>
  <si>
    <t>Pro-E Motor 16L</t>
  </si>
  <si>
    <t>Pro-e Motor Replacement 16L</t>
  </si>
  <si>
    <t>Pro-E Motor 16R</t>
  </si>
  <si>
    <t>Pro-e Motor Replacement 16R</t>
  </si>
  <si>
    <t>Pro-E Motor 15L</t>
  </si>
  <si>
    <t>Pro-e Motor Replacement 15L</t>
  </si>
  <si>
    <t>Pro-E Motor 15R</t>
  </si>
  <si>
    <t>Pro-e Motor Replacement 15R</t>
  </si>
  <si>
    <t>Pro-E Motor 03L</t>
  </si>
  <si>
    <t>Pro-e Motor Replacement 03L</t>
  </si>
  <si>
    <t>Pro-E Motor 03R</t>
  </si>
  <si>
    <t>Pro-e Motor Replacement 03R</t>
  </si>
  <si>
    <t>Pro-E Motor 02L</t>
  </si>
  <si>
    <t>Pro-e Motor Replacement 02L</t>
  </si>
  <si>
    <t>Pro-E Motor 02R</t>
  </si>
  <si>
    <t>Pro-e Motor Replacement 02R</t>
  </si>
  <si>
    <t>2021-2023 Bronco 2dr</t>
  </si>
  <si>
    <t>Pro-e Magnetic Kit</t>
  </si>
  <si>
    <t>All Pro-E Except Ford Bronco 2dr (A-11.81in, B-27.56in, Total-59.06in)</t>
  </si>
  <si>
    <t>Pro-E Running Board LED Light Kit (Contains 4 Lights)</t>
  </si>
  <si>
    <t>Pro-e Electric Running Boards LED Lights</t>
  </si>
  <si>
    <t>Pro-E Running Board Replacement Control Unit</t>
  </si>
  <si>
    <t>Pro-e Electric Running Boards Ctrl Unit</t>
  </si>
  <si>
    <t>Outlaw Running Boards</t>
  </si>
  <si>
    <t>Silverado/Sierra 1500 Crew Cab 2014-2018 (Rocker Mount); 2500/3500 Crew Cab 2015-2019 (Excl. Diesel)</t>
  </si>
  <si>
    <t>Ram 1500 Crew Cab 2009-2018; 1500 Classic Crew Cab 2019-2024; 2500/3500 Crew Cab 2010-2023 (Excl Cab Chassis w/Def Tank)</t>
  </si>
  <si>
    <t>4Runner Trail 2010-2017; 4Runner SR5/TRD/TRD Pro 2014-2024 (Excl. Limited, Nightshade &amp; TRD Sport)</t>
  </si>
  <si>
    <t>Silverado/Sierra 1500 Crew Cab 2019-2025; Silverado/Sierra 2500/3500 Crew Cab 2020-2025</t>
  </si>
  <si>
    <t>Sprinter 2007-2025</t>
  </si>
  <si>
    <t>Outlaw Rear Step</t>
  </si>
  <si>
    <t>Sprinter 2007-2025 144" Wheelbase</t>
  </si>
  <si>
    <t>Silverado/Sierra 2500/3500 Crew Cab (6.5' Bed) 2020-2025</t>
  </si>
  <si>
    <t>AT6 Running Boards</t>
  </si>
  <si>
    <t>2015-2022 Chevy/GMC Canyon/Colorado 5'3" Bed</t>
  </si>
  <si>
    <t>Hard Tri-Fold Tonneau Cover</t>
  </si>
  <si>
    <t>2015-2025 F-150 6.5' Bed</t>
  </si>
  <si>
    <t>2015-2025 F-150 5'5" Bed; 2021-2025 F-150 Lightning 5'5" Bed</t>
  </si>
  <si>
    <t>2005-2015 Toyota Tacoma 5' Bed</t>
  </si>
  <si>
    <t>2007-2021 Cargo MgmtToyota Tundra 5'7" Bed</t>
  </si>
  <si>
    <t>2007-2021 Cargo MgmtToyota Tundra 6.5" Bed</t>
  </si>
  <si>
    <t>2004-2014 Ford F-150 2WD/4WD 6'7" Bed</t>
  </si>
  <si>
    <t>2022-2025 Maverick 4.5' Bed</t>
  </si>
  <si>
    <t>2019-2025 1500 (Excl. Classic)(Excl. RamBox) 6.3' Bed</t>
  </si>
  <si>
    <t>2019-2025 Silverado/Sierra 1500 6.5' Bed</t>
  </si>
  <si>
    <t>2020-2025 Silverado/Sierra 2500 3500HD 6.6' Bed</t>
  </si>
  <si>
    <t>2019-2025 1500 (Excl. Classic)(Excl. RamBox) 5.6' Bed</t>
  </si>
  <si>
    <t>2014-2018 GM SILVERADO/SIERRA 5'8" Bed</t>
  </si>
  <si>
    <t>2014-2019 Rail CapChevy/GMC 1500/2500HD/3500HD 6'7" Bed</t>
  </si>
  <si>
    <t>2010-2018 Ram 1500 6'4" Bed</t>
  </si>
  <si>
    <t>2016-2023 Tacoma 6.2' Bed</t>
  </si>
  <si>
    <t>2005-2015 Toyota Tacoma 6'2" Bed</t>
  </si>
  <si>
    <t>2020-2025 Gladiator</t>
  </si>
  <si>
    <t>2007-2013 Rail CapsChevy/GMC 1500 5'8" Bed</t>
  </si>
  <si>
    <t>2022-2025 Tundra 6.4' Bed W/ Cargo Management</t>
  </si>
  <si>
    <t>2022-2025 Frontier 5' Bed W/ Cargo Management</t>
  </si>
  <si>
    <t>2019-2023 Ranger 5' Bed</t>
  </si>
  <si>
    <t>2019-2025 Silverado/Sierra 1500 5.7' Bed</t>
  </si>
  <si>
    <t>2019-2023 Ranger 6' Bed</t>
  </si>
  <si>
    <t>2015-2022 Chevy/GMC Canyon/Colorado 6'2" Bed</t>
  </si>
  <si>
    <t>2024-2025 Toyota Tacoma 6'2" Bed</t>
  </si>
  <si>
    <t>2024-2025 Tacoma 5' Bed</t>
  </si>
  <si>
    <t>2008-2016 Ford Super Duty 6'10" Bed</t>
  </si>
  <si>
    <t>2005-2021 Cargo MgmtNissan Frontier 5' Bed</t>
  </si>
  <si>
    <t>2004-2014 Ford F-150 2WD/4WD 5'7" Bed</t>
  </si>
  <si>
    <t>Rod Supporter For All Hard Trifold Tonneau Covers</t>
  </si>
  <si>
    <t>Tonneau Cover Hard Trifold Rod</t>
  </si>
  <si>
    <t>Latch Protector For All Hard Trifold Tonneau Covers</t>
  </si>
  <si>
    <t>Tonneau Cover Hard Trifold Latch Protector</t>
  </si>
  <si>
    <t>Installation Hard Kits</t>
  </si>
  <si>
    <t>Tonneau Cover Hard Trifold Install Kit</t>
  </si>
  <si>
    <t>2024 Tacoma 2WD/4WD (5' Bed)</t>
  </si>
  <si>
    <t>2022-2023 Tundra W/Cargo Management (5' 5" Bed)</t>
  </si>
  <si>
    <t>2022-2023 Frontier W/Cargo Management (5' Bed)</t>
  </si>
  <si>
    <t>2022-2023 Tundra W/Cargo Management (6' 5" Bed)</t>
  </si>
  <si>
    <t>2020-2022 Gladiator JT 4WD (5' Bed)</t>
  </si>
  <si>
    <t>2016-2023 Tacoma (6'2" Bed)</t>
  </si>
  <si>
    <t>2016-2023 Tacoma 2WD/4WD (5' Bed)</t>
  </si>
  <si>
    <t>2019-2023 Ranger 2WD/4WD (6' Bed)</t>
  </si>
  <si>
    <t>Installation Hard Kits For PN # 19-44025, 19-44795</t>
  </si>
  <si>
    <t>Installation Kit For PN # 19-44735, 19-44745, 19-44785, 19-46365</t>
  </si>
  <si>
    <t>Installation Kit For PN # 19-43995, 19-44705, 19-46355</t>
  </si>
  <si>
    <t>Waterproof Foam For all Hard Trifold Tonneau Covers</t>
  </si>
  <si>
    <t>Tonneau Cover Hard Trifold Foam</t>
  </si>
  <si>
    <t>2016-2023 Tacoma 5' Bed</t>
  </si>
  <si>
    <t>2017-2022 Ford Super Duty 6'10" Bed</t>
  </si>
  <si>
    <t>2022-2025 Tundra 5.4' Bed W/ Cargo Management</t>
  </si>
  <si>
    <t>2017-2023 Honda Ridgeline 5'4" (64") Bed</t>
  </si>
  <si>
    <t>Honda</t>
  </si>
  <si>
    <t>Soft Tri-Fold Tonneau Cover</t>
  </si>
  <si>
    <t>2015-2022 Colorado/Canyon Fleetside 5.2' (61") Bed</t>
  </si>
  <si>
    <t>2015-2025 F-150 6.5' (79") Bed</t>
  </si>
  <si>
    <t>2021-2025 Ford F-150 5'5" Bed; 2021-2025 F-150 Lightning 5'5" Bed</t>
  </si>
  <si>
    <t>2005-2015 Toyota Tacoma 5' (60")Bed</t>
  </si>
  <si>
    <t>2014-2021 Toyota Tundra 5.5' (66") Bed</t>
  </si>
  <si>
    <t>2014-2021 Toyota Tundra 6.5'(78") Bed</t>
  </si>
  <si>
    <t>2015-2021 F-150 Standard Short Bed 8'</t>
  </si>
  <si>
    <t>2022-2025 Maverick 4.5' (54") Bed</t>
  </si>
  <si>
    <t>2019-2025 1500 New Body (Excl. Classic) 6.3' (76") Bed</t>
  </si>
  <si>
    <t>2019-2025 Silverado/Sierra 1500 (Excl. 2019-2023 Classic) 6.6' (79") Bed</t>
  </si>
  <si>
    <t>2019-2025 Silverado/Sierra 1500 (Excl. 2019-2024 Classic) 5.8' (70") Bed</t>
  </si>
  <si>
    <t>2019-2025 1500 New Body (Excl. Classic) 5.6' (67") Bed</t>
  </si>
  <si>
    <t>2015-2020 Ford F-150 5'5" Bed</t>
  </si>
  <si>
    <t>2014-2018 Chevy Silverado GMC Sierra 1500; 2019 LD / Limited 5'9" (69") Bed</t>
  </si>
  <si>
    <t>2014-2018 Chevy Silverado / GMC Sierra 1500; 2015-2019 2500 HD 3500 HD; 2019 LD/Limited Only 6'6"(78") Bed</t>
  </si>
  <si>
    <t>2009-2024 Dodge Ram 1500; 2003-2025 2500/3500; 2019-2024 Classic 6.3' (76") Bed</t>
  </si>
  <si>
    <t>2009-2024 Dodge Ram 1500; 2019-2024 Classic 5.6' (67") Bed</t>
  </si>
  <si>
    <t>2016-2023 Tacoma 6' (74") Bed</t>
  </si>
  <si>
    <t>2007-13 Chevy Silverado/ GMC Sierra 1500 (NOT FIT 2007 Classic) 5'9" (69") Bed</t>
  </si>
  <si>
    <t>2022-2024 Toyota Tundra 6.5' (79") Bed (with Utility)</t>
  </si>
  <si>
    <t>2022-2025 Frontier 6' Bed W/ Cargo Management</t>
  </si>
  <si>
    <t>2020-2025 Silverado/Sierra 2500 3500HD 6.8' (82") Bed</t>
  </si>
  <si>
    <t>2015-2022 Colorado/Canyon Fleetside 6.2' (74") Bed</t>
  </si>
  <si>
    <t>1982-2013 Ford Ranger; 1994-2010 Mazda B-Series 6' Bed</t>
  </si>
  <si>
    <t>2024-2025 Tacoma 6' Bed</t>
  </si>
  <si>
    <t>1999-2016 Ford F-250 F-350 Super Duty 6.75' Bed (81")</t>
  </si>
  <si>
    <t>2005-2021 Nissan Frontier; 2009-2012 Suzuki Equator 6' (73") Bed</t>
  </si>
  <si>
    <t>2005-2021 Nissan Frontier; 2009-2012 Suzuki Equator 5' (59") Bed</t>
  </si>
  <si>
    <t>2009-2014 Ford F-150 5.5' (66") Bed</t>
  </si>
  <si>
    <t>2020-2024 Gladiator (5' Bed)(W/ Utility)</t>
  </si>
  <si>
    <t>Tonneau Cover Soft Trifold Utility Bracket</t>
  </si>
  <si>
    <t>2022-2024 Tundra (6.5' Bed)(W/Utility)</t>
  </si>
  <si>
    <t>2022-2024 Frontier (5' Bed) &amp; (6' Bed)(W/Utility)</t>
  </si>
  <si>
    <t>Tonneau Cover Soft Trifold Utl Trk Bkt</t>
  </si>
  <si>
    <t>2024-2025 Ranger 5' Bed</t>
  </si>
  <si>
    <t>Complete Rear Latch Assembly For All Soft Trifold Tonneau Covers</t>
  </si>
  <si>
    <t>Tonneau Cover Soft Trifold Latch</t>
  </si>
  <si>
    <t>Complete front Latch Assembly For All Soft Trifold Tonneau Covers</t>
  </si>
  <si>
    <t>Rear Hinge Form (x2 Set) For All Soft Trifold Tonneau Covers</t>
  </si>
  <si>
    <t>Tonneau Cover Soft Trifold Hinge</t>
  </si>
  <si>
    <t>Front Hinge Form (x2 Set) For All Soft Trifold Tonneau Covers</t>
  </si>
  <si>
    <t>Rear Foam 2.09 X 2.09 X .39in (x2 Set) For All Soft Trifold Tonneau Covers</t>
  </si>
  <si>
    <t>Tonneau Cover Soft Trifold Foam</t>
  </si>
  <si>
    <t>Front Foam 1.77 X 1.77 X .47in (x2 Set) For All Soft Trifold Tonneau Covers (Exc. 19-21295, 19-24025, 19-24315, 19-24795, 19-26355, 19-26365)</t>
  </si>
  <si>
    <t>Front Foam 3.86 X 3.86 X .59in (x2 Set) For PN # 19-21295, 19-24025, 19-24315, 19-24795, 19-26355, 19-26365</t>
  </si>
  <si>
    <t>Seal Strip 78.74 X 1.18 X .24in For All Soft Trifold Tonneau Covers (Exc. 19-22785, 19-22815)</t>
  </si>
  <si>
    <t>Tonneau Cover Soft Trifold Seal</t>
  </si>
  <si>
    <t>2024-2025 Ranger (5' Bed) Front Seal Strip 59.06 X 1.18 X .98</t>
  </si>
  <si>
    <t>2017-2024 Nissan Titan 5.5' (67") Bed</t>
  </si>
  <si>
    <t>2016-2023 Tacoma 5' (60") Bed</t>
  </si>
  <si>
    <t>2017-2025 F-250/350 Super Duty 6.75' (82") Bed</t>
  </si>
  <si>
    <t>2022-2025 Tundra 5.5' Bed W/ Cargo Management</t>
  </si>
  <si>
    <t>Soft Roll-Up Tonneau Cover</t>
  </si>
  <si>
    <t>2023-2025 Colorado/Canyon 5'1" (61") Bed</t>
  </si>
  <si>
    <t>2019-2022 Chevy Colorado / GMC Canyon 5'2" Bed</t>
  </si>
  <si>
    <t>2019-2025 1500 New Body (Excl. 2019-2023 Classic) 6.3' (76") Bed</t>
  </si>
  <si>
    <t>2019-2025 Silverado/Sierra 1500 (Excl. 2019-2023 Classic) 6'7" (79") Bed</t>
  </si>
  <si>
    <t>2019-2025 Silverado/Sierra 1500 (Excl. 2019-2024 Classic) 5'10" (70") Bed</t>
  </si>
  <si>
    <t>2015-2025 Ford F-150 5'5" Bed</t>
  </si>
  <si>
    <t>2014-2018 Chevy Silverado / GMC Sierra 1500; 2015-2019 2500 HD 3500 HD; 2019 LD/Limited Only 6'6" (78") Bed</t>
  </si>
  <si>
    <t>2009-2024 Dodge Ram 1500; 2010-2025 2500/3500; 2019-2024 Classic 6'4" (76") Bed</t>
  </si>
  <si>
    <t>2009-2018 Dodge Ram 1500; 2019-2023 Classic 5'7" (67") Bed</t>
  </si>
  <si>
    <t>1999-16 Ford F-250 F-350 Super Duty 6.75' Bed (81")</t>
  </si>
  <si>
    <t>2022-2025 Tundra 6.5' (79") Bed</t>
  </si>
  <si>
    <t>2022-2024 Nissan Frontier 6' (73") Bed</t>
  </si>
  <si>
    <t>2022-2025 Frontier 5' Bed</t>
  </si>
  <si>
    <t>2020-2025 Silverado/Sierra 2500 3500HD 6'10" (82") Bed</t>
  </si>
  <si>
    <t>2019-2022 Chevy Colorado / GMC Canyon 6' Bed</t>
  </si>
  <si>
    <t>2024-2025 Tacoma 5' (60") Bed</t>
  </si>
  <si>
    <t>2019-2023 Ranger (5' Bed) Soft Roll &amp; Soft Tri-Fold Front Seal Strip 59.06 X 1.18 X 1.18 in</t>
  </si>
  <si>
    <t>Tonneau Cover Soft Roll-Up/Tri Cvr Seal</t>
  </si>
  <si>
    <t>Latching System For All Soft Roll Tonneau Covers</t>
  </si>
  <si>
    <t>Tonneau Cover Latching System</t>
  </si>
  <si>
    <t>Front Seal Strip 59.06 X .98 X .39 in For All Soft Roll Tonneau Covers &amp; PN # 19-23995, 19-24095, 19-24165, 19-24795, 19-26355, 19-26365</t>
  </si>
  <si>
    <t>Front Seal Strip 59.06 X 1.38 X .16 in For PN # 19-14705, 19-14735, 19-14745, 19-14785, 19-24705, 19-24735, 19-24745, 19-24785</t>
  </si>
  <si>
    <t>2022-2024 Frontier (5' Bed) Front Seal Strip 59.06 X 1.18 X .63 in</t>
  </si>
  <si>
    <t>Tonneau Cover Soft Roll-Up Cover Seal</t>
  </si>
  <si>
    <t>2019-2023 Ranger (6' Bed) Front Seal Strip 59.06 X 1.18 X .79 in</t>
  </si>
  <si>
    <t>Front Seal Strip 59.06 X .91 X .67 in For PN # 19-12785, 19-12815, 19-22785, 19-22815</t>
  </si>
  <si>
    <t>Front Seal Strip 59.06 X .79 X .16 in For PN # 19-12785, 19-12815, 19-22785, 19-22815</t>
  </si>
  <si>
    <t>For All Soft Roll Tonneau Covers Front R Corner Foam 2.40 X 1.89 X .31 in (Left and Right Pair )</t>
  </si>
  <si>
    <t>Tonneau Cover Soft Roll-Up Corner Foam</t>
  </si>
  <si>
    <t>2020-2024 Gladiator JT 5' (5' bed) W/O Utility Track Bed Clamp C</t>
  </si>
  <si>
    <t>Tonneau Cover Soft Roll-Up Bed Clamp</t>
  </si>
  <si>
    <t>2020-2024 Gladiator JT 5' (5' bed) W/O Utility Track Bed Clamp B</t>
  </si>
  <si>
    <t>2020-2024 Gladiator JT 5' (5' bed) W/ Utility Track Bed Clamp C</t>
  </si>
  <si>
    <t>2020-2024 Gladiator JT 5' (5' bed) W/ Utility Track Bed Clamp B</t>
  </si>
  <si>
    <t>2020-2024 Gladiator JT 5' (5' bed) W/ Utility Track Bed Clamp A</t>
  </si>
  <si>
    <t>Bed Clamp C For PN # 19-12785, 19-12815</t>
  </si>
  <si>
    <t>Bed Clamp B For PN # 19-12785, 19-12815</t>
  </si>
  <si>
    <t>Bed Clamp A For PN # 19-10285, 19-11065, 19-12785, 19-12815, 19-14095, 19-14185</t>
  </si>
  <si>
    <t>2022-2024 Frontier</t>
  </si>
  <si>
    <t>Universal Bed Clamp For All Soft Roll Tonneau Covers (Exc. PN # 19-11065, 19-12785, 19-12815, 19-14075, 19-14185)</t>
  </si>
  <si>
    <t>2022-2025 Tundra 5.5' (67") Bed</t>
  </si>
  <si>
    <t>Universal Full-Size Rack 50"x58"</t>
  </si>
  <si>
    <t>Mesa Roof Rack</t>
  </si>
  <si>
    <t>Universal Mid-Size Rack 45"x55"</t>
  </si>
  <si>
    <t>For Mesa Roof Racks</t>
  </si>
  <si>
    <t>Mesa Roof Rack T-Slot</t>
  </si>
  <si>
    <t>Extension for 2019-2025 Sprinter W/ 170" WB</t>
  </si>
  <si>
    <t>Wrangler JL Unlimited 4Dr 2018-2025</t>
  </si>
  <si>
    <t>2019-2025 Sprinter High Roof</t>
  </si>
  <si>
    <t>Mesa Side Ladder</t>
  </si>
  <si>
    <t>2019-2025 Sprinter 144" Wheel Base W/ High Roof</t>
  </si>
  <si>
    <t>Bronco 2021-2024 4dr (Excl. Bronco Sport)</t>
  </si>
  <si>
    <t>Mesa Roof Rack Main and Cross Bars 4dr</t>
  </si>
  <si>
    <t>Mesa Roof Rack Visor &amp; Mounting Brackets</t>
  </si>
  <si>
    <t>4Runner 2010-2023</t>
  </si>
  <si>
    <t>Mesa Roof Rack Main Bars and Cross Bars</t>
  </si>
  <si>
    <t>Mesa Roof Rack Visor and Mount Brackets</t>
  </si>
  <si>
    <t>4Runner 2010-2024</t>
  </si>
  <si>
    <t>20mm Tablet Holder up to 11" Wide</t>
  </si>
  <si>
    <t>20mm Phone Holder up to 3.4" Wide</t>
  </si>
  <si>
    <t>20mm Phones Holder up to 3.4" Wide</t>
  </si>
  <si>
    <t>20mm GoPro Adaptor Mount</t>
  </si>
  <si>
    <t>20mm Telescoping Arm Mount 9.5" to 13"</t>
  </si>
  <si>
    <t>20mm Arm Mount Medium 5.9"</t>
  </si>
  <si>
    <t>20mm Arm Mount large 8.26"</t>
  </si>
  <si>
    <t>20mm Arm Mount Extra Small 3.54"</t>
  </si>
  <si>
    <t>AMPS Compatible Base Mount 1.50in x 1.18in</t>
  </si>
  <si>
    <t>AMPS Compatible Base Mount 38mm x 30mm</t>
  </si>
  <si>
    <t>.79in to .79in Connector Ball For Arm Mounts</t>
  </si>
  <si>
    <t>20mm to 20mm Connector Ball For Arm Moun</t>
  </si>
  <si>
    <t>AMPS Compatible 2 Hole .79 Ball Mount 1.85in</t>
  </si>
  <si>
    <t>AMPS Compatible 2 Hole 20mm Ball Mount 4</t>
  </si>
  <si>
    <t>AMPS Compatible 2 Hole .79in Ball Mount 1.50in</t>
  </si>
  <si>
    <t>AMPS Compatible 2 Hole 20mm Ball Mount 3</t>
  </si>
  <si>
    <t>Equipment Installation Case</t>
  </si>
  <si>
    <t>Interceptor Utility PASP 2023-2025</t>
  </si>
  <si>
    <t>Console</t>
  </si>
  <si>
    <t>Side Extension for Laptop Mount</t>
  </si>
  <si>
    <t>Faceplate/Fillerplate Replacement Screw Kit</t>
  </si>
  <si>
    <t>Console Faceplate Screws</t>
  </si>
  <si>
    <t>Silverado 1500 2024-2025, Tahoe 2021-2025</t>
  </si>
  <si>
    <t>Console Front Module</t>
  </si>
  <si>
    <t>Dodge Charger Pursuit 2023-2024</t>
  </si>
  <si>
    <t>Sound Off Signal</t>
  </si>
  <si>
    <t>Console Siren Controller Faceplate</t>
  </si>
  <si>
    <t>Motorola</t>
  </si>
  <si>
    <t>Console Radio Faceplate</t>
  </si>
  <si>
    <t>Whelen</t>
  </si>
  <si>
    <t>Feniex</t>
  </si>
  <si>
    <t>Harris</t>
  </si>
  <si>
    <t>Interceptor Utility 2020-2025</t>
  </si>
  <si>
    <t>Console Cover Plate</t>
  </si>
  <si>
    <t>Mounting bracket for 500-0007 Printer bracket and 9" wide conosles. Includes bracket for Havis docking station.</t>
  </si>
  <si>
    <t>Keyboard Printer Mount Bracket</t>
  </si>
  <si>
    <t>Dual Cup Holder Faceplate, 5" Opening</t>
  </si>
  <si>
    <t>Console Cup Holder</t>
  </si>
  <si>
    <t>MA-COM Harris</t>
  </si>
  <si>
    <t>Rectangular Rocker Switches (2), Horizontal Orientation, 1.5" Opening</t>
  </si>
  <si>
    <t>Console Switch Faceplate</t>
  </si>
  <si>
    <t>Police Interceptor Sedan 2011-2019</t>
  </si>
  <si>
    <t>Sliding Trunk Tray</t>
  </si>
  <si>
    <t>Tahoe 2015-2019</t>
  </si>
  <si>
    <t>Rear Organizer Cage Base</t>
  </si>
  <si>
    <t>Police Interceptor Utility 2020-2024</t>
  </si>
  <si>
    <t>Police Interceptor Utility 2011-2025</t>
  </si>
  <si>
    <t>Equip Install Tray</t>
  </si>
  <si>
    <t>Security Combination Lock for PA-ROC-9821 Weapons Vault Tumbler lock</t>
  </si>
  <si>
    <t>ROC Combo Lock</t>
  </si>
  <si>
    <t>ROC Mounting Hardware</t>
  </si>
  <si>
    <t>Police Interceptor Utility 2011-2019</t>
  </si>
  <si>
    <t>Misc - 6 Rectangle Cutouts for Switches, 2.75" Opening. (WMATA ONLY) (Switches not included)</t>
  </si>
  <si>
    <t>Console Face Plate</t>
  </si>
  <si>
    <t>Misc - 3 Rectangle Cutouts for Switches, 2.75" Opening. (WMATA ONLY) (Switches not included)</t>
  </si>
  <si>
    <t>Misc - 3 Rectangle Cutouts for Switches, 3" Opening. (Priority Install Only)</t>
  </si>
  <si>
    <t>Console Faceplate</t>
  </si>
  <si>
    <t>Misc - Power Distribution Unit, 3.25" Opening. (Priority Install Only)</t>
  </si>
  <si>
    <t>Police Interceptor Utility 2013-2025</t>
  </si>
  <si>
    <t>Equipment Install Case</t>
  </si>
  <si>
    <t>Brother</t>
  </si>
  <si>
    <t>Console Printer Faceplate</t>
  </si>
  <si>
    <t>Police Interceptor Utility 2020-2025</t>
  </si>
  <si>
    <t>Storage Box - 4" x 7' x 2" for 9" wide console, 4" Opening</t>
  </si>
  <si>
    <t>Console Change Tray</t>
  </si>
  <si>
    <t>Storage Tray - 4" x 7" x 1" for 9" Wide Console, 4" Opening</t>
  </si>
  <si>
    <t>Storage Box - 3" x 7" x 1" for 9" wide console, 3" Opening</t>
  </si>
  <si>
    <t>Faceplate for Remote Head Siren Controller (Specify Make &amp; Model)</t>
  </si>
  <si>
    <t>T Knob w/ Key Lock for PA-ROC-9821 Weapons Vault</t>
  </si>
  <si>
    <t>ROC T Knob</t>
  </si>
  <si>
    <t>Simplex 900 Lock for PA-ROC-9821 Weapons Vault</t>
  </si>
  <si>
    <t>ROC Lock</t>
  </si>
  <si>
    <t>Police Responder Fusion 2019-2020</t>
  </si>
  <si>
    <t>Misc - (3) 12v Outlets, 2" Opening</t>
  </si>
  <si>
    <t>Console Power Faceplate</t>
  </si>
  <si>
    <t>Misc - (2) 5v Outlets, 2" Opening</t>
  </si>
  <si>
    <t>Misc - (2) 12v Outlets, 2" Opening</t>
  </si>
  <si>
    <t>Tahoe 2015-2025, F150 2018-2025; Yukon 2015-2025</t>
  </si>
  <si>
    <t>Chevrolet/Ford/GMC</t>
  </si>
  <si>
    <t>Tahoe 2015-2020; Yukon 2015-2020</t>
  </si>
  <si>
    <t>Police Interceptor Utility 2013-2019</t>
  </si>
  <si>
    <t>Police Interceptor Sedan 2013-2019</t>
  </si>
  <si>
    <t>F150 2018-2025</t>
  </si>
  <si>
    <t>2020-2025 Police Interceptor Utility (W/Setina Partition)</t>
  </si>
  <si>
    <t>Equipment Cases</t>
  </si>
  <si>
    <t>Interceptor Utility 2019-2025</t>
  </si>
  <si>
    <t>Microphone Clips w/ extended "L" Bracket 2.125x1.5x6" 11 Gage Steel w/ (2) 3" long Slots</t>
  </si>
  <si>
    <t>Console Mic Clip</t>
  </si>
  <si>
    <t>Faceplate w/ (2) Cup Holders - Internal</t>
  </si>
  <si>
    <t>Weapons Vault for Sliding Rear Organizer Cage w/ Simplex 900 Lock</t>
  </si>
  <si>
    <t>Weapons Vault</t>
  </si>
  <si>
    <t>Upper Tier Walls for Sliding Rear Organizer Cage 8" high.</t>
  </si>
  <si>
    <t>Tahoe 2015-2025</t>
  </si>
  <si>
    <t>Shelf w/ 3 Dividers for Sliding Rear Organizer Cage</t>
  </si>
  <si>
    <t>ROC Shelf w/Dividers</t>
  </si>
  <si>
    <t>Drawer Half Size 16x16x4"</t>
  </si>
  <si>
    <t>ROC Drawer</t>
  </si>
  <si>
    <t>Drawer Full Size 31.5x16x6"</t>
  </si>
  <si>
    <t>Cone Holder for Sliding Rear Organizer Cage</t>
  </si>
  <si>
    <t>ROC Cone Holder</t>
  </si>
  <si>
    <t>Additional Divider for ROC-9800-S3D</t>
  </si>
  <si>
    <t>ROC Divider</t>
  </si>
  <si>
    <t>Microphone Clip w/ L-Bracket</t>
  </si>
  <si>
    <t>Microphone Clip</t>
  </si>
  <si>
    <t>2020-2025 Police Interceptor Utility</t>
  </si>
  <si>
    <t>Datamax-O'Neil</t>
  </si>
  <si>
    <t>Zebra</t>
  </si>
  <si>
    <t>Console Printer Mount Faceplate</t>
  </si>
  <si>
    <t>Star</t>
  </si>
  <si>
    <t>Mastercom</t>
  </si>
  <si>
    <t>Code 3</t>
  </si>
  <si>
    <t>Code 3 - TS-NS-CONT, 2" Opening</t>
  </si>
  <si>
    <t>Ef Johnson</t>
  </si>
  <si>
    <t>Fenix</t>
  </si>
  <si>
    <t>Kenwood</t>
  </si>
  <si>
    <t>L3</t>
  </si>
  <si>
    <t>Console Camera Faceplate</t>
  </si>
  <si>
    <t>Midland</t>
  </si>
  <si>
    <t>Misc - (2) 12v Outlets &amp; (2) 5v/USB Outlets, 2" Opening</t>
  </si>
  <si>
    <t>Uniden</t>
  </si>
  <si>
    <t>Federal Signal</t>
  </si>
  <si>
    <t>Dual Cup Holder Faceplate ANGLED for 14" wide consoles. 6.5" Opening</t>
  </si>
  <si>
    <t>Dual Cup Holder Faceplate for 9" wide console. 4.5" Opening</t>
  </si>
  <si>
    <t>8" Filler Plate For 9" Wide Console Opening</t>
  </si>
  <si>
    <t>Console Filler Plate</t>
  </si>
  <si>
    <t>6" filler plate for 9" wide console opening</t>
  </si>
  <si>
    <t>5" Filler Plate For 9" Wide Console Opening</t>
  </si>
  <si>
    <t>.5" filler plate for 9" wide console opening</t>
  </si>
  <si>
    <t>4" filler plate for 9" wide console opening</t>
  </si>
  <si>
    <t>3" filler plate for 9" wide console opening</t>
  </si>
  <si>
    <t>2.5" filler plate for 9" wide console opening</t>
  </si>
  <si>
    <t>2" filler plate for 9" wide console opening</t>
  </si>
  <si>
    <t>1.5" filler plate for 9" wide console opening</t>
  </si>
  <si>
    <t>1" filler plate for 9" wide console opening</t>
  </si>
  <si>
    <t>Storage box - 2" x 3" x 7" for 9" Wide console, 4.5" Opening</t>
  </si>
  <si>
    <t>Rocker Switch and Single 12V Power Plug, 2" Opening</t>
  </si>
  <si>
    <t>Bendix King</t>
  </si>
  <si>
    <t>2015-2025 Tahoe; 2018-2025 F-150; 2015-2025 Yukon</t>
  </si>
  <si>
    <t>Console Side Storage Lid</t>
  </si>
  <si>
    <t>F150/F250/F350 2018-2025</t>
  </si>
  <si>
    <t>Durango Pursuit 2021-2025</t>
  </si>
  <si>
    <t>Tahoe 2021-2025</t>
  </si>
  <si>
    <t>Charger 2011-2024</t>
  </si>
  <si>
    <t>Tahoe 2015-2020</t>
  </si>
  <si>
    <t>Silverado 1500 PPV 2024-2025, Tahoe PPV 2021-2025</t>
  </si>
  <si>
    <t>F150/F250/F350 2021-2025</t>
  </si>
  <si>
    <t>4x7" Arm rest pad w/ Telescopic Post. Mounts to the side of console. Side impact collapsable.</t>
  </si>
  <si>
    <t>Console Armrest</t>
  </si>
  <si>
    <t>4x7" Arm rest pad w/ Telescopic Post. Mounts on top of console. Side impact collapsable.</t>
  </si>
  <si>
    <t>3x10" single arm rest pad w/ Telescopic Post for side or rear of console. Consoles must have side &amp; rear mounting slots</t>
  </si>
  <si>
    <t>4x7" Arm rest pad w/ Telescopic Post for rear of 9 in. wide console. Console must have side slots</t>
  </si>
  <si>
    <t>Interceptor Sedan 2011-2019</t>
  </si>
  <si>
    <t>Interceptor Utility 2011-2019</t>
  </si>
  <si>
    <t>Police Fusion 2019</t>
  </si>
  <si>
    <t>Tool Hooks (Set of 2) for Sliding Rear Organizer Cage</t>
  </si>
  <si>
    <t>ROC Tow Hooks</t>
  </si>
  <si>
    <t>F150/F250/F350/F450/F550/F650 2018-2025</t>
  </si>
  <si>
    <t>Police Interceptor Utility 2025</t>
  </si>
  <si>
    <t>On-Dash Tablet and Keyboard Mount</t>
  </si>
  <si>
    <t>With Slide Out Drawer for Brother Pocket Jet and Prontek i80. Includes Laptop Mount Spacer Bracket with VESA and 3 x 3 in, Bolt Pattern</t>
  </si>
  <si>
    <t>Under Laptop Printer Tray</t>
  </si>
  <si>
    <t>Tablet Mount with Single Telescopic Post and G.R.I.P. Tilt/Swivel with Display Holder on Under the Seat Base for Ford SUPER DUTY Trucks (2017+)(F250-F650)</t>
  </si>
  <si>
    <t>TM-5501 Series Tablet Mount Single Post</t>
  </si>
  <si>
    <t>Tablet Tilt Swivel Mount</t>
  </si>
  <si>
    <t>Printer Mount U Bracket</t>
  </si>
  <si>
    <t>Tablet and Keyboard mount for Large Truck Cabins</t>
  </si>
  <si>
    <t>Tablet &amp; Keyboard Mount</t>
  </si>
  <si>
    <t>Mounting Leg for On Dash Tablet Mount</t>
  </si>
  <si>
    <t>Durango 2011-2025; RAM 2011-2025, Grand Cherokee 2011-2025</t>
  </si>
  <si>
    <t>Dodge/Ram/Jeep</t>
  </si>
  <si>
    <t>TM &amp; KM Series Mount Feet &amp; Hardware</t>
  </si>
  <si>
    <t>Super Duty Trucks 2011-2016</t>
  </si>
  <si>
    <t>Tahoe 2011-2014, 2021; Express Van 2011-2025; F150 2011-2025; Super Duty Trucks 2017-2025; Expedition 2018-2025; E-series Van 2011-2025</t>
  </si>
  <si>
    <t>Chevrolet/Ford</t>
  </si>
  <si>
    <t>Malibu 2011-2025;Traverse 2018-2025;Caravan 2011-2025;Charger 2011-2024;Edge 2013-2025;Escape 2013-2025;Explorer 2011-2025;Fusion 2013-2025;Intercept Sedan 2011-2019;Intercept Utility 2011-2025;Taurus 2011-2019;Transit Connt. 2011-2025;Transit Van 2013-2025</t>
  </si>
  <si>
    <t>Chevrolet/Dodge/Ford</t>
  </si>
  <si>
    <t>Feet and Hardware for Tablet and Keyboard Mounts</t>
  </si>
  <si>
    <t>Underseat Base for Laptop Mount</t>
  </si>
  <si>
    <t>For Coban TITAN M7</t>
  </si>
  <si>
    <t>TM-5120 Series Adaptor Plate</t>
  </si>
  <si>
    <t>3x3 Hole Pattern</t>
  </si>
  <si>
    <t>Adaptor Plate</t>
  </si>
  <si>
    <t>For Panasonic PDRC Display</t>
  </si>
  <si>
    <t>Stainless Steel Hinged Tablet Mount For Rhino Tab Docking Station</t>
  </si>
  <si>
    <t>TM-5000 Series Tablet Mount</t>
  </si>
  <si>
    <t>Stainless Steel Backing Plate for 500-0214 (TM-5312-RHINO) Mount</t>
  </si>
  <si>
    <t>Trunk of KING TOUR-PAK Motorcycle</t>
  </si>
  <si>
    <t>Harley-Davidson</t>
  </si>
  <si>
    <t>Tablet Mount</t>
  </si>
  <si>
    <t>Harley Davidson</t>
  </si>
  <si>
    <t>Motorcycle Trunk Tablet Mount</t>
  </si>
  <si>
    <t>Tablet, Keyboard And Monitor Folding Mount with Tilt And Swivel</t>
  </si>
  <si>
    <t>Adjustable Angle Fold Down DH &amp; Adjustable Angle Fold Up Adjustable Tray for 12" Keyboard.</t>
  </si>
  <si>
    <t>12" Telescopic Post for Tablet on 8x8" Base Plate.</t>
  </si>
  <si>
    <t>TM-5120 Series On-Dash Tablet Mount</t>
  </si>
  <si>
    <t>On-Dash Tablet Mount</t>
  </si>
  <si>
    <t>10" Arm w/ 500-0069 (AP-UNIV), 1x10" Post, &amp; 5x4" Base Plate w/ Adjustable Angle</t>
  </si>
  <si>
    <t>Horizontal Tablet Mount - 6 in. Post with 4 x 6 Base</t>
  </si>
  <si>
    <t>Horizontal Tablet Mount - 6 in. Post with 4 x 4 Base</t>
  </si>
  <si>
    <t>Constrained Tablet Mount with Horizontal Base</t>
  </si>
  <si>
    <t>Folding Horizontal Tablet Mount</t>
  </si>
  <si>
    <t>Retractable Low Profile Mount for Patrol PC RHINOTAB w/ Docking Station</t>
  </si>
  <si>
    <t>Hinged Tablet Mount for Data911 15'' M7 Display</t>
  </si>
  <si>
    <t>Hinged Tablet Mount for Data911 12" M6, M7 &amp; M8 Displays</t>
  </si>
  <si>
    <t>4" Arm w/ 500-0069 (AP-UNIV), &amp; 3x11" Bottom Side Mounting Plate w/ Adjustable Pivot.</t>
  </si>
  <si>
    <t>Vertical Tablet Mount - 2 x 4 in. Base</t>
  </si>
  <si>
    <t>Horizontal Tablet Mount - 2 x 6 in. Base</t>
  </si>
  <si>
    <t>6" Telescopic Post w/ 500-0069 (AP-UNIV), &amp; 1/4x6x8" Flat Base for Table Top w/ NO Mounting Holes. To be used for holding tablets on desks</t>
  </si>
  <si>
    <t>Horizontal Tablet Mount - 6 in. Post with 6 x 8 in. Base</t>
  </si>
  <si>
    <t>Horizontal Tablet Mount - 6 in. Post with 4 x 7 in. Base</t>
  </si>
  <si>
    <t>Horizontal Tablet Mount - 6 in. Post with 6 x 6 in. Base</t>
  </si>
  <si>
    <t>Horizontal Tablet Mount - 4 x 6 in. Base</t>
  </si>
  <si>
    <t>Horizontal Tablet Mount - 7 in. Post with 6 x 8 in. Base</t>
  </si>
  <si>
    <t>Horizontal Tablet Mount - 4 in. Post with 6 x 6 in. Base</t>
  </si>
  <si>
    <t>Police Interceptor Utility 2011-2021</t>
  </si>
  <si>
    <t>TA-2732 Series Laptop Mount</t>
  </si>
  <si>
    <t>12" Post w/ Double Arm &amp; 500-0069 (AP-UNIV) on Bridge Over 13" Wide Console</t>
  </si>
  <si>
    <t>TA-2000 Series Laptop Mount</t>
  </si>
  <si>
    <t>12" Post w/ Double Arm &amp; 500-0069 (AP-UNIV) on Adjustable Bridge Designed to Fit Over Console</t>
  </si>
  <si>
    <t>Laptop Mount With 6 x 7 in. Console/Vertical Offset Side Mount</t>
  </si>
  <si>
    <t>Side Base w/ 4x10'' Mounting Plate &amp; 1.5x1.5x12'' Tube receptacle for MID Section.</t>
  </si>
  <si>
    <t>Side Base</t>
  </si>
  <si>
    <t>3.5" Low Profile Post w/ Double Arm &amp; 500-0069 (AP-UNIV) for Fire Engine Cover w/ Adjustable Angle "L" Base</t>
  </si>
  <si>
    <t>Laptop Mount With 8 x 12 in. Horizontal Mount Plate</t>
  </si>
  <si>
    <t>Laptop Mount With 6 x 8 in. Horizontal Mount Plate</t>
  </si>
  <si>
    <t>3.5" Low Profile Post w/ Double Arm &amp; 500-0069 (AP-UNIV) on 4x8" Bottom Mounting Plate</t>
  </si>
  <si>
    <t>3.7" Low Profile Post w/ Double Arm &amp; 500-0069 (AP-UNIV) on 10x12" "L" Base</t>
  </si>
  <si>
    <t>Mount w/ flat base for Seiko Printer Model MPA40</t>
  </si>
  <si>
    <t>Printer Mount</t>
  </si>
  <si>
    <t>Retractable Mount for Zebra RW420 Printer for Rear of Panasonic CF19/CF31 Docking Station</t>
  </si>
  <si>
    <t>Retractable Printer Mount</t>
  </si>
  <si>
    <t>Retractable Mount for Zebra ZQ520 Printer w/ Base for Front of 9" wide Console w/ "L" Legs</t>
  </si>
  <si>
    <t>Retractable Mount for Zebra ZQ520 Printer w/ Base for Rear of Console</t>
  </si>
  <si>
    <t>Retractable Mount for Zebra RW420 Printer w/ Base for Rear of Console</t>
  </si>
  <si>
    <t>Mount for Zebra ZQ520 Printer w/ Quick Release for Partition</t>
  </si>
  <si>
    <t>Mount for Zebra RW420 Printer w/ Quick Release for Partition</t>
  </si>
  <si>
    <t>Rear Support for Under the Seat Mounts</t>
  </si>
  <si>
    <t>Rear Support for Under Seat Mounts</t>
  </si>
  <si>
    <t>Front Support for Tablet and Keyboard Mounts</t>
  </si>
  <si>
    <t>Backing Plate for Tablet and Keyboard Mounts</t>
  </si>
  <si>
    <t>Tablet Or Keyboard Mount Base, Console/Vertical Side Mount</t>
  </si>
  <si>
    <t>Backing Plate for Mounting Base of 500-0011 (TM-5501UDB-SMP)</t>
  </si>
  <si>
    <t>TM &amp; KM Series Mount Back Plate</t>
  </si>
  <si>
    <t>TA Series Feet &amp; Hardware</t>
  </si>
  <si>
    <t>TM &amp; KM Series Mount Under Seat Base</t>
  </si>
  <si>
    <t>Keyboard Mounting Post</t>
  </si>
  <si>
    <t>Tablet and Keyboard Mount Display 10 in. Post</t>
  </si>
  <si>
    <t>Tablet and Keyboard Mount Display 12 in. Post</t>
  </si>
  <si>
    <t>12" Display Post w/ 4" Arm &amp; G.R.I.P. Tilt/Swivel for TM &amp; KM Series Mounts</t>
  </si>
  <si>
    <t>TM &amp; KM Series Mount Display Post</t>
  </si>
  <si>
    <t>10" Display Post w/ 4" Arm &amp; G.R.I.P. Tilt/Swivel for TM &amp; KM Series Mounts</t>
  </si>
  <si>
    <t>Mid-Section for Tablet and Keyboard Mounts</t>
  </si>
  <si>
    <t>Mid-Section w/ Adjustable Shaft Collars for Two Round Posts. The Collar Receptacles for the Display Post are Located 1.25" Apart From the Main Square Post Towards the Front of the Vehicle &amp; the Collar Receptacles for the Keyboard Post are Located Next to the Main Square Post Towards the Rear of the Vehicle. Main Post is 1.25x1.25x10" Square Tube Designed to Mate w/ Adjustable TM &amp; KM Series Mount Under Seat Base</t>
  </si>
  <si>
    <t>TM &amp; KM Series Mount Mid Section</t>
  </si>
  <si>
    <t>Mid-Section Portion for Tablet And Keyboard Mounts, for 500-0001 And Similar</t>
  </si>
  <si>
    <t>Mid-Section w/ Adjustable Shaft Collars for Two Round Posts. The Collar Receptacles for the Display Post are Located next to the Main Square Post towards the Rear of the vehicle &amp; the Collar Receptacles for the Keyboard Post are Located 5" Away from the Main Square Post Towards the Rear of the Vehicle. Main Post is 1.25x1.25x10" Square Tube Designed to Mate w/ Adjustable TM &amp; KM Series Mount Under Seat Base</t>
  </si>
  <si>
    <t>Mount Plate Adaptor for Motorcycle Mount</t>
  </si>
  <si>
    <t>TM &amp; KM Series Mount Passenger Leg</t>
  </si>
  <si>
    <t>TM &amp; KM Series Mount Driver Leg</t>
  </si>
  <si>
    <t>Side Mount Plate for Console/Vertical Side Laptop Mounts</t>
  </si>
  <si>
    <t>Mid-Section with Adjustable Shaft Collars for One Round Post Located Next to the Main Square Post Towards the Rear of the Vehicle. Main Post is 1.25" x 1.25" x 10" Square Tube Designed to Mate with Adjustable Base Series TA-2500-B</t>
  </si>
  <si>
    <t>TA Series Mid Section</t>
  </si>
  <si>
    <t>Mid-Section for Underseat Laptop Mount</t>
  </si>
  <si>
    <t>Articulation for Laptop Series Mount</t>
  </si>
  <si>
    <t>TA Series Mount</t>
  </si>
  <si>
    <t>Top Section for Laptop Mount</t>
  </si>
  <si>
    <t>Telescopic Post on 6x6" Flat Bottom Mounting Plate Base Only</t>
  </si>
  <si>
    <t>1" Rubber Grommet</t>
  </si>
  <si>
    <t>Rubber Ring</t>
  </si>
  <si>
    <t>Female "T" Knob for Main arm channel with 5/16"-18 thread.</t>
  </si>
  <si>
    <t>TM &amp; KM Series Mount T Knob Female</t>
  </si>
  <si>
    <t>Side Clips for Thin Keyboards</t>
  </si>
  <si>
    <t>Side Clips for Thick Keyboards</t>
  </si>
  <si>
    <t>Side Clips for Keyboard Tray (Set of 2) (Specify Keyboard)</t>
  </si>
  <si>
    <t>TM &amp; KM Series Mount Side Clips</t>
  </si>
  <si>
    <t>Trim for Keyboard Rest Pad</t>
  </si>
  <si>
    <t>Knob Male 5/16 in. Thread for Tablet and Keyboard Mounts</t>
  </si>
  <si>
    <t>Knob Male 1/4 in. Thread for Tablet and Keyboard Mounts</t>
  </si>
  <si>
    <t>Knob Female 5/16 Thread for Tablet and Keyboard Mounts</t>
  </si>
  <si>
    <t>Female "L" Knob for G.R.I.P. Articulation w/ 1/4-20 thread.</t>
  </si>
  <si>
    <t>TM &amp; KM Series Mount L Knob Female</t>
  </si>
  <si>
    <t>High Hold Down Clips w/ Hardware for Adjustable Laptop Trays (Set of 4)</t>
  </si>
  <si>
    <t>Laptop Tray High Hold Down Clips</t>
  </si>
  <si>
    <t>Low Hold Down Clips for Laptop Trays</t>
  </si>
  <si>
    <t>Equinox 2011-2025</t>
  </si>
  <si>
    <t>TA-2505 Series Laptop Mount</t>
  </si>
  <si>
    <t>Silverado 2015-2025</t>
  </si>
  <si>
    <t>Express 1500/2500/3500 2011-2025;Silverado 2011-2014, 2021-2025;Tahoe 2011-2014, 2021-2025;Expedition 2018-2025;E-Series 2011-2025;F150 2011-2025;F250/F350/F450/F550/F650 2017-2025;Ranger 2018-2025</t>
  </si>
  <si>
    <t>Express 2011-2025</t>
  </si>
  <si>
    <t>Retractable Printer Mount for Zebra ZQ520 w/ Base for Rear of Console for CT State Police</t>
  </si>
  <si>
    <t>Heavy Duty Adjustable Mounting System w/ 18" Post for Getac Display (w/ Side Covers) &amp; Keyboard</t>
  </si>
  <si>
    <t>Set of 2 "L" Legs for the Retractable Printer Mount w/ Base for Rear of Console</t>
  </si>
  <si>
    <t>Keyboard Side-Offset Mount</t>
  </si>
  <si>
    <t>Low Profile Keyboard Tray Mount</t>
  </si>
  <si>
    <t>KM-5000 Series Keyboard Mount</t>
  </si>
  <si>
    <t>Holster w/ Top Latch for TG3 Keyboard only in Vertical Position</t>
  </si>
  <si>
    <t>Holster w/ Velcro Strap for TG3 Keyboard only in Horizontal Position</t>
  </si>
  <si>
    <t>"Adjustable Tray for Large Keyboards (14.5""). Dimension Ranges, Height 0-1.125""; Width 14.5""-15.5""; Depth 4""-No Limit "</t>
  </si>
  <si>
    <t>13.5 in. Keyboard Tray</t>
  </si>
  <si>
    <t>"Adjustable Tray for Small Keyboards (10""). Dimension Ranges: Height 0-1.125""; Width 10""-11""; Depth 4""-No Limit "</t>
  </si>
  <si>
    <t>12 in. Keyboard Tray</t>
  </si>
  <si>
    <t>Display Holder for VESA</t>
  </si>
  <si>
    <t>Display Holder for Tablet Docking System for iPad</t>
  </si>
  <si>
    <t>Display Holder</t>
  </si>
  <si>
    <t>Display Holder for Panasonic PDRC</t>
  </si>
  <si>
    <t>Display Holder for Motorola MW810</t>
  </si>
  <si>
    <t>For Data911 15" M7 Display</t>
  </si>
  <si>
    <t>For Data911 15" Display</t>
  </si>
  <si>
    <t>VESA 75;VESA 100</t>
  </si>
  <si>
    <t>Laptop Mount Adaptor Plate</t>
  </si>
  <si>
    <t>Adaptor Plate for 500-0212 (TM-5223-HD) w/ mounting holes for tablet holder &amp; holes for TG3 keyboard.</t>
  </si>
  <si>
    <t>Mount Adaptor Plate</t>
  </si>
  <si>
    <t>For Patrol PC Rhino Docking Station w/ Adjustable Angle for Keyboard Tray (Keyboard Tray not included)</t>
  </si>
  <si>
    <t>For Map Light to be mounted on Keyboard Tray</t>
  </si>
  <si>
    <t>For Tablet Holders &amp; Docking Stations</t>
  </si>
  <si>
    <t>For Havis UT-101 Laptop Tray</t>
  </si>
  <si>
    <t>Tablet Adaptor Plate</t>
  </si>
  <si>
    <t>For Data911 12" M6, M7 &amp; M8 Displays</t>
  </si>
  <si>
    <t>For Data911 15" M7 &amp; M8 Displays</t>
  </si>
  <si>
    <t>For Data911 15" M6 Display w/ Vertical Adjustment Slots</t>
  </si>
  <si>
    <t>Adaptor Plate for Data 911 12" M6, M7, M8 Display for TM-5120 Series On-Dash Mount</t>
  </si>
  <si>
    <t>Patrol PC</t>
  </si>
  <si>
    <t>Patrol PC Adaptor Plate</t>
  </si>
  <si>
    <t>2x4" Hole Pattern</t>
  </si>
  <si>
    <t>For Panasonic CF30 w/ Panasonic Docking Station</t>
  </si>
  <si>
    <t>Adaptor Bracket</t>
  </si>
  <si>
    <t>For Panasonic CF19 w/ Panasonic Docking Station</t>
  </si>
  <si>
    <t>Expedition 2011-2017</t>
  </si>
  <si>
    <t>Laptop Mount With Underseat Base</t>
  </si>
  <si>
    <t>Tablet Mount with Underseat Base</t>
  </si>
  <si>
    <t>Traverse 2014-2017</t>
  </si>
  <si>
    <t>Foot, powder coat, black,</t>
  </si>
  <si>
    <t>Silverado 2015-2025;Suburban 2015-2020;Tahoe 2015-2020</t>
  </si>
  <si>
    <t>Super Duty 2011-2016</t>
  </si>
  <si>
    <t>Colorado 2011-2015;Durango 2011-2025;Ram 1500/2500/3500 2011-2025;Ranger 2006-2012;Grand Cherokee 2018-2025</t>
  </si>
  <si>
    <t>Chevrolet/Dodge/Ford/Jeep/Ram</t>
  </si>
  <si>
    <t>FOR LA COUNTY SHERIFF ONLY;Malibu 2011-2025; Traverse 2018-2025; Charger 2011-2024; Caravan 2011-2025; Edge 2013-2025; Escape 2013-2025; Explorer 2011-2025; Fusion 2013-2025; Police Interceptor Sedan 2011-2019; Police Interceptor Utility 2011-2025; Taurus 2011-2019; Transit Connect 2011-2025; Transit Van 2013-2025</t>
  </si>
  <si>
    <t>TM-5502 Series Tablet &amp; Keyboard Mount Double Post</t>
  </si>
  <si>
    <t>Tablet Post w/ 500-0004 (UDB-01); Keyboard Post &amp; Adjustable Tray for 12" Keyboard. Used for non-mounted table top demonstrations.</t>
  </si>
  <si>
    <t>Tablet and Keyboard Mount With Underseat Base</t>
  </si>
  <si>
    <t>12" Tablet Post w/ 500-0004 (UDB-01); 10" Keyboard Post &amp; Adjustable Tray for 12" Keyboard; Mid-Section on square base. Mounts to horizontal flat surface.</t>
  </si>
  <si>
    <t>Tablet and Keyboard Mount Universal With Horizontal Base</t>
  </si>
  <si>
    <t>Impala 2003-2020</t>
  </si>
  <si>
    <t>F250/F350 2011-2016</t>
  </si>
  <si>
    <t>Console/Vertical Surface Tablet, Keyboard, and Printer Mount</t>
  </si>
  <si>
    <t>Tahoe 2015-2020;Suburban 2015-2020;Silverado 1500/2500/3500 2015-2020;Sierra 1500/2500/3500 2015-2020</t>
  </si>
  <si>
    <t>Tablet, Keyboard, and Printer Mount</t>
  </si>
  <si>
    <t>On-Dash Tablet, Keyboard, and Printer Mount</t>
  </si>
  <si>
    <t>Data911 12 in. M6/M7/M8 and TAC5</t>
  </si>
  <si>
    <t>Display Holder for Data 911</t>
  </si>
  <si>
    <t>VESA 75, VESA 100 &amp; 2x4" Hole Patterns</t>
  </si>
  <si>
    <t>Horizontal/Vertical Tablet Mount - 4 x 5 in. Base</t>
  </si>
  <si>
    <t>Keyboard Rest Pad</t>
  </si>
  <si>
    <t>Adjustable Laptop Tray For Large Laptops</t>
  </si>
  <si>
    <t>Colorado 2011-2015;Durango 2011-2022;Ram 1500/2500/3500 2011-2021;Ranger 2006-2012;Grand Cherokee 2018-2025</t>
  </si>
  <si>
    <t>Keyboard Side Mount</t>
  </si>
  <si>
    <t>Tablet Mount - Console/Vertical Side Mount</t>
  </si>
  <si>
    <t>Laptop Mount - Console/Vertical Side Mount</t>
  </si>
  <si>
    <t>Colorado 2021-2025;Imapala 2003-2020;Silverado 1500 2015-2025;Suburban 2015-2020;Tahoe 2015-2020</t>
  </si>
  <si>
    <t>TG3 Keyboard, Brother PJ-723</t>
  </si>
  <si>
    <t>Keyboard Printer Mount, Combination Printer Holder And Keyboard Tray Holder</t>
  </si>
  <si>
    <t>Tablet and Keyboard Mount Console/Vertical Side Mount</t>
  </si>
  <si>
    <t>Universal Display Bracket for 500 Series Mounts</t>
  </si>
  <si>
    <t>Microsoft Surface Pro 4 thru 7</t>
  </si>
  <si>
    <t>Tablet Shell Docking Station for Microsoft Surface Pro 4 thru 7</t>
  </si>
  <si>
    <t>Tab-Shell w/ Quick Connector for Apple iPad AIR (1/2)</t>
  </si>
  <si>
    <t>Tablet Shell</t>
  </si>
  <si>
    <t>Tablet Docking Station w/ 5VDC Charger for Apple IPAD PRO 12.9; Mates w/ 400-0063 (TS-405-QCIPADPRO129 Tab-Shell)</t>
  </si>
  <si>
    <t>Tablet Docking Station</t>
  </si>
  <si>
    <t>Tablet Docking Station w/ 5VDC Charger for Apple IPAD MINI (2); Mates w/ 400-0061 (TS-405-QC-IPAD-MINI2 Tab-Shell)</t>
  </si>
  <si>
    <t>Tablet Docking Station w/ 5VDC Charger for Apple IPAD AIR (1/2); Mates w/ 400-0072 (TS-405-QC-IPAD-AIR Tab-Shell)</t>
  </si>
  <si>
    <t>Tablet Docking Station w/ 5VDC Fast Charger for Apple IPAD 2017; Mates w/ 400-0030 (TS-405-QC-IPAD-17 Tab-Shell)</t>
  </si>
  <si>
    <t>Circuit Board &amp; Box for Tablet Docking Station</t>
  </si>
  <si>
    <t>Panasonic CF19</t>
  </si>
  <si>
    <t>Adjustable Panasonic CF19 Tablet Holder</t>
  </si>
  <si>
    <t>Swivel Adaptor Plate w/ Universal Mounting Holes for 400-0006 (TH-396) Tablet Holder. Allows 400-0006 (TH-396) to be Used in Portrait or Landscape Orientation</t>
  </si>
  <si>
    <t>Tablet Holder Swivel</t>
  </si>
  <si>
    <t>Tab-Shell w/ Quick Connector for Apple iPAD PRO 12.9 (Mates w/ 400-0071 (TS-405-PDSIPADPRO129 Tablet Docking Station)</t>
  </si>
  <si>
    <t>Tab-Shell w/ Quick Connector for Apple iPad MINI (2)</t>
  </si>
  <si>
    <t>Tablet Shell Power Cable</t>
  </si>
  <si>
    <t>Power Cable for Tab-Shell, 12' Long w/ 2 Conductor 18 Gage AWG Terminated in Molex Connector w/ Fuse &amp; Fuse Holder</t>
  </si>
  <si>
    <t>Power Cable</t>
  </si>
  <si>
    <t>Tamper Resistant Mount w/ Swing Arm, 12" Offset Telescopic Post &amp; Adjustable Under Seat Base (includes Front Support)</t>
  </si>
  <si>
    <t>Orbital G.R.I.P. Mount</t>
  </si>
  <si>
    <t>Orbital Mount 12 in. Post</t>
  </si>
  <si>
    <t>Tamper Resistant Mount on 14'' Telescopic Square Post w/ 4'x4'' Base Plate</t>
  </si>
  <si>
    <t>Orbital Mount 8 in. Post</t>
  </si>
  <si>
    <t>Tamper Resistant Mount w/ 45 inclined shaft &amp; 5" Telescopic Post on 4x6" Base Plate</t>
  </si>
  <si>
    <t>Tamper Resistant Mount w/ 5" Arm &amp; Side Mounting Plate</t>
  </si>
  <si>
    <t>Tamper Resistant Mount w/ 5" Arm &amp; Insert Base for Cupholder</t>
  </si>
  <si>
    <t>Tamper Resistant Mount on Adjustable Frame w/ Triple Bend</t>
  </si>
  <si>
    <t>Tamper Resistant Mount on 7" Telescopic Square Post &amp; Side Mounting Base</t>
  </si>
  <si>
    <t>Tamper Resistant Mount w/ 45 inclined shaft &amp; Flat Base</t>
  </si>
  <si>
    <t>Tamper Resistant Mount w/ Double-Bend Base</t>
  </si>
  <si>
    <t>Motorcycle</t>
  </si>
  <si>
    <t>Orbital Mount for Motorcycle</t>
  </si>
  <si>
    <t>Orbital Mount 5 in. Arm</t>
  </si>
  <si>
    <t>Orbital Mount 8 in. Arm Clamp On</t>
  </si>
  <si>
    <t>Orbital Mount 10 in. Post</t>
  </si>
  <si>
    <t>Tamper Resistant Mount w/ on 3" post w/ 3x3" Flat Base</t>
  </si>
  <si>
    <t>Orbital Mount 3 in. Post</t>
  </si>
  <si>
    <t>Tamper Resistant Mount w/ on Small Right Angle Base</t>
  </si>
  <si>
    <t>Tamper Resistant Mount w/ on Small Flat Base</t>
  </si>
  <si>
    <t>Adaptor plate w/ VESA 75 pattern &amp; OG pattern mounting holes</t>
  </si>
  <si>
    <t>Adjustable Tamper Resistant Aluminum Tablet Holder w/ Cam Lock (for 7" to 10" Tablets) w/ LEFT Connector Cover &amp; Power Supply</t>
  </si>
  <si>
    <t>Tablet Holder Adjustable</t>
  </si>
  <si>
    <t>Circuit Board Power Supply for TH-386/387 w/ 6" Micro USB Cable</t>
  </si>
  <si>
    <t>Electronic Power Supply</t>
  </si>
  <si>
    <t>Quick Connect Cable 3' Long for 14-Pin Quick Connector of HiNT Tab-Shell to USB-A Connector</t>
  </si>
  <si>
    <t>Quick Connect Cable</t>
  </si>
  <si>
    <t>Tab-Shell with Quick Connector for Samsung GALAXY TAB A (10.5'') Model SMT597</t>
  </si>
  <si>
    <t>Samsung T387</t>
  </si>
  <si>
    <t>Tablet Shell for Samsung T387</t>
  </si>
  <si>
    <t>Samsung T380</t>
  </si>
  <si>
    <t>Tablet Shell for Samsung T380</t>
  </si>
  <si>
    <t>Samsung T307</t>
  </si>
  <si>
    <t>Tablet Shell for Samsung T307</t>
  </si>
  <si>
    <t>Internal Cable Harness for Tab-Shell w/ Quick Connector for Samsung GALAXY TAB E (8'')</t>
  </si>
  <si>
    <t>Internal Cable Harness</t>
  </si>
  <si>
    <t>Tablet Docking Station with 5VDC Charger for Samsung GALAXY TAB A (10.5'') Model SMT597 (Mates with HiNT Tab-Shell TS-405-QC)</t>
  </si>
  <si>
    <t>Adaptor Plate for TH-386 to RAM Ball w/ 2-3/8'' Circular Base</t>
  </si>
  <si>
    <t>Adaptor Plate for TH-386 to RAM Ball w/ Rectangle Base</t>
  </si>
  <si>
    <t>Sign Holder Bracket for NXTPS 7X96" Sign</t>
  </si>
  <si>
    <t>Single Holder Bracket</t>
  </si>
  <si>
    <t>Backing Plate for OG-505 w/ 8-32 PEM nuts &amp; (4) 8-32x0.75'' Pan head Phillips screws</t>
  </si>
  <si>
    <t>Backing Plate for OG-503 Mount</t>
  </si>
  <si>
    <t>Power distribution Mounting bracket - Version2 (MINIMUM PURCHASE QUANTITY: 10)</t>
  </si>
  <si>
    <t>Conenctor Panel</t>
  </si>
  <si>
    <t>Power distribution Mounting bracket - Version1 (MINIMUM PURCHASE QUANTITY: 10)</t>
  </si>
  <si>
    <t>Connector Panel</t>
  </si>
  <si>
    <t>Sensor Bar Bracket for IRIS Flush Mount Sensor. Includes (4) 2.75" 8-32 pan head machine screws; (4) #8 washers; (4) nylon locking 8-32 nuts</t>
  </si>
  <si>
    <t>Sensor Bracket Holder</t>
  </si>
  <si>
    <t>To convert from 400-0006 (TH-396) Articulation to VESA 75, 2x4", 2" OG, &amp; G.R.I.P.; Adjustable (for Portrait or Landscape Orientation)</t>
  </si>
  <si>
    <t>OG Series Adaptor Plate</t>
  </si>
  <si>
    <t>To convert Orbital G.R.I.P. Articulation to 400-0006 (TH-396); Adjustable (for Portrait or Landscape Orientation)</t>
  </si>
  <si>
    <t>To convert from Orbital G.R.I.P. Articulation to VESA 75 Pattern</t>
  </si>
  <si>
    <t>To convert from Orbital G.R.I.P. Articulation to VESA 100 Pattern</t>
  </si>
  <si>
    <t>1001 code. Set of two with ring</t>
  </si>
  <si>
    <t>Tubular Cam Key</t>
  </si>
  <si>
    <t>601 code. Set of two with ring</t>
  </si>
  <si>
    <t>Microsoft Surface Pro 8 and Up</t>
  </si>
  <si>
    <t>Tablet Shell Docking Station for Microsoft Surface Pro 8 and Up</t>
  </si>
  <si>
    <t>Tablet Shell For Microsoft Surface Pro 4 thru 7</t>
  </si>
  <si>
    <t>Tablet Holder for 7 in. x 13 in. Tablets</t>
  </si>
  <si>
    <t>Orbital Mount 6 in. Post</t>
  </si>
  <si>
    <t>Orbital Mount for Cup Holder</t>
  </si>
  <si>
    <t>Tablet Holder for Large Ruggedized Tablets</t>
  </si>
  <si>
    <t>Samsung Galaxy TAB A7 Lite Model T227U</t>
  </si>
  <si>
    <t>Tablet Shell Docking Station for Samsung Galaxy</t>
  </si>
  <si>
    <t>Samsung A7 Lite T227U</t>
  </si>
  <si>
    <t>Tablet Shell, Samsung Tablet, A7</t>
  </si>
  <si>
    <t>Silverado 1500/LD 2014-2025; Silverado 1500 LTD 2022; Tahoe PPV 2015-2025; RAM 1500 SSV 2013-2018; 1500 SSV Classic 2019-2023; Expedition/SSV 2015-2017; F-150 SSV/Police Respond 2015-2025 (Excl. Lightning)(Push Bumper Light Channel 33.1 inch Whelen, 4 Hole)</t>
  </si>
  <si>
    <t>Chevrolet/Dodge/Ford/Ram</t>
  </si>
  <si>
    <t>Elite 33.1" 4 Light Channel</t>
  </si>
  <si>
    <t>Silverado 1500/LD 2014-2025; Silverado 1500 LTD 2022; Tahoe PPV 2015-2025; RAM 1500 SSV 2013-2018; 1500 SSV Classic 2019-2023; Expedition/SSV 2015-2017; F-150 SSV/Police Respond 2015-2025 (Excl. Lightning)(Push Bumper Light Channel 33.1 inch Whelen, 2 Hole)</t>
  </si>
  <si>
    <t>Elite 33.1" 2 Light Channel</t>
  </si>
  <si>
    <t>Silverado 1500/LD 2014-2025; Silverado 1500 LTD 2022; Tahoe PPV 2015-2025; RAM 1500 SSV 2013-2018; 1500 SSV Classic 2019-2023; Expedition/SSV 2015-2017; F-150 SSV/Police Respond 2015-2025 (Excl. Lightning)(Push Bumper Light Channel 33.1 inch for Code MR6 &amp; Soundoff MPowerHD, 4 Hole)</t>
  </si>
  <si>
    <t>Silverado 1500/LD 2014-2025; Silverado 1500 LTD 2022; Tahoe PPV 2015-2025; RAM 1500 SSV 2013-2018; 1500 SSV Classic 2019-2023; Expedition/SSV 2015-2017; F-150 SSV/Police Respond 2015-2025 (Excl. Lightning)(Push Bumper Light Channel 33.1 inch for Code MR6 &amp; Soundoff MPowerHD, 2 Hole)</t>
  </si>
  <si>
    <t>Silverado 1500/LD 2014-2025; Silverado 1500 LTD 2022; Tahoe PPV 2015-2025; RAM 1500 SSV 2013-2018; 1500 SSV Classic 2019-2023; Expedition/SSV 2015-2017; F-150 SSV/Police Respond 2015-2025 (Excl. Lightning)(Push Bumper Light Channel 33.1 inch Soundoff, 4 Hole)</t>
  </si>
  <si>
    <t>Silverado 1500/LD 2014-2025; Silverado 1500 LTD 2022; Tahoe PPV 2015-2025; RAM 1500 SSV 2013-2018; 1500 SSV Classic 2019-2023; Expedition/SSV 2015-2017; F-150 SSV/Police Respond 2015-2025 (Excl. Lightning)(Push Bumper Light Channel 33.1 inch Soundoff, 2 Hole)</t>
  </si>
  <si>
    <t>Silverado 1500/LD 2014-2025; Silverado 1500 LTD 2022; Tahoe PPV 2015-2025; RAM 1500 SSV 2013-2018; 1500 SSV Classic 2019-2023; Expedition/SSV 2015-2017; F-150 SSV/Police Respond 2015-2025 (Excl. Lightning)(Push Bumper Light Channel 33.1 inch Federal Signal Micropulse Light, 4 Hole)</t>
  </si>
  <si>
    <t>Silverado 1500/LD 2014-2025; Silverado 1500 LTD 2022; Tahoe PPV 2015-2025; RAM 1500 SSV 2013-2018; 1500 SSV Classic 2019-2023; Expedition/SSV 2015-2017; F-150 SSV/Police Respond 2015-2025 (Excl. Lightning)(Push Bumper Light Channel 33.1 inch Federal Signal Micropulse Light, 2 Hole)</t>
  </si>
  <si>
    <t>Silverado 1500/LD 2014-2025; Silverado 1500 LTD 2022; Tahoe PPV 2015-2025; RAM 1500 SSV 2013-2018; 1500 SSV Classic 2019-2023; Expedition/SSV 2015-2017; F-150 SSV/Police Respond 2015-2025 (Excl. Lightning)(Push Bumper Light Channel 33.1 inch Code 3, 4 Hole for Chase Lights)</t>
  </si>
  <si>
    <t>Silverado 1500/LD 2014-2025; Silverado 1500 LTD 2022; Tahoe PPV 2015-2025; RAM 1500 SSV 2013-2018; 1500 SSV Classic 2019-2023; Expedition/SSV 2015-2017; F-150 SSV/Police Respond 2015-2025 (Excl. Lightning)(Push Bumper Light Channel 33.1 inch Code 3, 2 Hole for Chase Lights)</t>
  </si>
  <si>
    <t>Silverado 1500/LD 2014-2025; Silverado 1500 LTD 2022; Tahoe PPV 2015-2025; RAM 1500 SSV 2013-2018; 1500 SSV Classic 2019-2023; Expedition/SSV 2015-2017; F-150 SSV/Police Respond 2015-2025 (Excl. Lightning)(Push Bumper Light Channel 33.1 inch Solid)</t>
  </si>
  <si>
    <t>Elite 33.1" Solid Channel</t>
  </si>
  <si>
    <t>Caprice PPV 2012-2017; Charger Prusuit 2011-2023; Durango 2020-2025; Police Intercept Sedan 2013-2019; Police Intercept Utility 2012-2025 (Push Bumper Light Channel 23.5 inch Whelen, 4 Hole)</t>
  </si>
  <si>
    <t>Elite 23.5" 4 Light Channel</t>
  </si>
  <si>
    <t>Caprice PPV 2012-2017; Charger Prusuit 2011-2023; Durango 2020-2025; Police Intercept Sedan 2013-2019; Police Intercept Utility 2012-2025 (Push Bumper Light Channel 23.5 inch Whelen, 2 Hole)</t>
  </si>
  <si>
    <t>Elite 23.5" 2 Light Channel</t>
  </si>
  <si>
    <t>Caprice PPV 2012-2017; Charger Prusuit 2011-2023; Durango 2020-2025; Police Intercept Sedan 2013-2019; Police Intercept Utility 2012-2025 (Push Bumper Light Channel 23.5 inch for Code MR6 &amp; Soundoff MPowerHD, 4 Hole)</t>
  </si>
  <si>
    <t>Caprice PPV 2012-2017; Charger Prusuit 2011-2023; Durango 2020-2025; Police Intercept Sedan 2013-2019; Police Intercept Utility 2012-2025 (Push Bumper Light Channel 23.5 inch for Code MR6 &amp; Soundoff MPowerHD, 2 Hole)</t>
  </si>
  <si>
    <t>Caprice PPV 2012-2017; Charger Prusuit 2011-2023; Durango 2020-2025; Police Intercept Sedan 2013-2019; Police Intercept Utility 2012-2025 (Push Bumper Light Channel 23.5 inch Soundoff, 4 Hole)</t>
  </si>
  <si>
    <t>Caprice PPV 2012-2017; Charger Prusuit 2011-2023; Durango 2020-2025; Police Intercept Sedan 2013-2019; Police Intercept Utility 2012-2025 (Push Bumper Light Channel 23.5 inch Soundoff, 2 Hole)</t>
  </si>
  <si>
    <t>Caprice PPV 2012-2017; Charger Prusuit 2011-2023; Durango 2020-2025; Police Intercept Sedan 2013-2019; Police Intercept Utility 2012-2025 (Push Bumper Light Channel 23.5 inch Federel Signal Micropulse Light, 4 Hole)</t>
  </si>
  <si>
    <t>Caprice PPV 2012-2017; Charger Prusuit 2011-2023; Durango 2020-2025; Police Intercept Sedan 2013-2019; Police Intercept Utility 2012-2025 (Push Bumper Light Channel 23.5 inch Federal Signal, 4 Hole)</t>
  </si>
  <si>
    <t>Caprice PPV 2012-2017; Charger Prusuit 2011-2023; Durango 2020-2025; Police Intercept Sedan 2013-2019; Police Intercept Utility 2012-2025 (Push Bumper Light Channel 23.5 inch Federel Signal Micropulse Light, 2 Hole)</t>
  </si>
  <si>
    <t>Caprice PPV 2012-2017; Charger Prusuit 2011-2023; Durango 2020-2025; Police Intercept Sedan 2013-2019; Police Intercept Utility 2012-2025 (Push Bumper Light Channel 23.5 inch Federal Signal, 2 Hole)</t>
  </si>
  <si>
    <t>Caprice PPV 2012-2017; Charger Prusuit 2011-2023; Durango 2020-2025; Police Intercept Sedan 2013-2019; Police Intercept Utility 2012-2025 (Push Bumper Light Channel 23.5 inch Code 3, 3 Hole for Chase Lights)</t>
  </si>
  <si>
    <t>Elite 23.5" 3 Light Channel</t>
  </si>
  <si>
    <t>Caprice PPV 2012-2017; Charger Prusuit 2011-2023; Durango 2020-2025; Police Intercept Sedan 2013-2019; Police Intercept Utility 2012-2025 (Push Bumper Light Channel 23.5 inch Code 3, 2 Hole for Chase Lights)</t>
  </si>
  <si>
    <t>Caprice PPV 2012-2017; Charger Prusuit 2011-2023; Durango 2020-2025; Police Intercept Sedan 2013-2019; Police Intercept Utility 2012-2025 (Push Bumper Light Channel 23.5 inch Solid)</t>
  </si>
  <si>
    <t>Elite 23.5" Solid Channel</t>
  </si>
  <si>
    <t>"For use with Light Channels 36-6005F2MP, 36-6005F4MP, 36-6015F2MP, and 36-6015F4MP"</t>
  </si>
  <si>
    <t xml:space="preserve">Individual light bracket </t>
  </si>
  <si>
    <t>F-150/F-150 Police Responder/F-150 XL SSV 2021-2025</t>
  </si>
  <si>
    <t>PIT Bar EliteXD</t>
  </si>
  <si>
    <t>F-150/F-150 Police Responder/F-150 XL SSV 2021-2023</t>
  </si>
  <si>
    <t>Push Bumper EliteXD HD Brackets</t>
  </si>
  <si>
    <t>2021-2025 F-150</t>
  </si>
  <si>
    <t>F-150/F-150 Police Responder/F-150 XL SSV 2021-2025 (Excl. F150 Lightning EV)</t>
  </si>
  <si>
    <t>Push Bumper EliteXD</t>
  </si>
  <si>
    <t>Silverado 1500 2019-2021 (Excl. 2019 LD) &amp; 1500 LTD 2022 (Excl. New Body Style)</t>
  </si>
  <si>
    <t>Wing Wrap EliteXD</t>
  </si>
  <si>
    <t>Accessory for 36-53805 Push Bumper 2015-2020 Tahoe/Surburban (Excl. Surburban 2500HD/3500HD)</t>
  </si>
  <si>
    <t>Push Bumper EliteXD Wire Cover</t>
  </si>
  <si>
    <t>Tahoe/Suburban 2015-2020 (Excl. Suburban 2500HD/3500HD)</t>
  </si>
  <si>
    <t>Ram 1500 2013-2018; Ram 1500 Classic 2019-2020</t>
  </si>
  <si>
    <t>Ram 1500 2013-2018; Ram 1500 Classic 2019-2023</t>
  </si>
  <si>
    <t>Accessory for 36-2135 Push Bumper 2023-2025 Silverado PPV</t>
  </si>
  <si>
    <t>Silverado PPV 2023-2025; Tahoe PPV 2025</t>
  </si>
  <si>
    <t>2023-2025 Silverado PPV</t>
  </si>
  <si>
    <t>Accessory for 36-52065 Push Bumper EliteXD F-150/F150 Police Responder/F-150 XL SSV 2015-2025</t>
  </si>
  <si>
    <t>F-150/F-150 Police Responder/F-150 XL SSV 2015-2025</t>
  </si>
  <si>
    <t>F-150 Police Responder 2015-2020</t>
  </si>
  <si>
    <t>F-150/F-150 Police Responder/F-150 XL SSV 2015-2020</t>
  </si>
  <si>
    <t>Accessory for 36-4185 Push Bumper Elite 2024-2025 Blazer EV PPV</t>
  </si>
  <si>
    <t>Push Bumper Elite Wire Cover</t>
  </si>
  <si>
    <t>2024-2025 Blazer Police Pursuit Vehicle</t>
  </si>
  <si>
    <t>Wing Wrap Elite</t>
  </si>
  <si>
    <t>PIT Bar Elite</t>
  </si>
  <si>
    <t>2024-2025 Blazer EV Police Pursuit Vehicle</t>
  </si>
  <si>
    <t>Push Bumper Elite</t>
  </si>
  <si>
    <t>Accessory for 36-4075 Push Bumper Elite 2021-2025 Dodge Durango</t>
  </si>
  <si>
    <t>Durango 2020</t>
  </si>
  <si>
    <t>Accessory for 36-4045 Push Bumper Elite 2021-2025 Tahoe PPV</t>
  </si>
  <si>
    <t>Tahoe 2021-2024 Police Pursuit Vehicle</t>
  </si>
  <si>
    <t>Tahoe 2021-2025 Police Pursuit Vehicle</t>
  </si>
  <si>
    <t>Accessory for 36-2125 Push Bumper Elite 2020-2025 Police Interceptor Utility</t>
  </si>
  <si>
    <t>Elite Upright Wire Cover</t>
  </si>
  <si>
    <t>Police Interceptor Utility 2016-2019</t>
  </si>
  <si>
    <t>Caprice PPV 2012-2017</t>
  </si>
  <si>
    <t>Accessory for 36-2035 Push Bumper Elite 2011-2023 Charger Pursuit</t>
  </si>
  <si>
    <t>Charger Pursuit 2011-2023</t>
  </si>
  <si>
    <t>Accessory for 36-2005 &amp; 36-2055 Push Bumper Elite 2012-2019 Police Interceptor Utility</t>
  </si>
  <si>
    <t>Police Interceptor Utility 2012-2015</t>
  </si>
  <si>
    <t>Silverado PPV 2023-2025</t>
  </si>
  <si>
    <t>Defender Single Cell/OE Seat</t>
  </si>
  <si>
    <t>Defender Single Cell OE Seat/Single Pris</t>
  </si>
  <si>
    <t>Defender Single Cell Panel/OE Seat/Single Prisoner Seat</t>
  </si>
  <si>
    <t>Defender Single Cell Panel / Full Prisoner Seat</t>
  </si>
  <si>
    <t>Defender Modular Single Cell</t>
  </si>
  <si>
    <t>Tahoe PPV 2021-2025</t>
  </si>
  <si>
    <t>Defender Single Cell</t>
  </si>
  <si>
    <t>2021-2025 Tahoe Police Pursuit Vehicle</t>
  </si>
  <si>
    <t>Defender Rear Window Guard</t>
  </si>
  <si>
    <t>Defender Floor Pan</t>
  </si>
  <si>
    <t>Defender Side Window Guards</t>
  </si>
  <si>
    <t>F-150 Police Responder 2018-2020</t>
  </si>
  <si>
    <t>Tahoe PPV 2015-2020</t>
  </si>
  <si>
    <t>Defender Door Cover Panels</t>
  </si>
  <si>
    <t>F-150 Police Responder 2018-2025</t>
  </si>
  <si>
    <t>Defender Prisoner Seat</t>
  </si>
  <si>
    <t>Defender Modular Frnt Partition Complete</t>
  </si>
  <si>
    <t>Defender Rear Partition</t>
  </si>
  <si>
    <t>Defender Rear Partition Poly Window</t>
  </si>
  <si>
    <t>Defender Electronics Panel</t>
  </si>
  <si>
    <t>Tahoe Police Pursuit Vehicle 2021-2025</t>
  </si>
  <si>
    <t>Defender Modular Frnt Partition Driver</t>
  </si>
  <si>
    <t>Defender Front Partition</t>
  </si>
  <si>
    <t>Small Device Mount with Ball Joint. 2.5" square plate and start knob</t>
  </si>
  <si>
    <t>SD Series Mount</t>
  </si>
  <si>
    <t>Small Device Mount w/ Ball Joint &amp; 45 inclined shaft w/ 10" Telescopic Square Post &amp; Adjustable Base to mount Under the Seat Bolts</t>
  </si>
  <si>
    <t>Small Device Mount w/ Ball Joint &amp; 45 inclined shaft &amp; Telescopic Aluminum Post w/ Side of Console &amp; Floor Adjustable Mounting Plates</t>
  </si>
  <si>
    <t>Small Device Mount w/ Ball Joint &amp; 10" Telescopic Square Post w/ 6x6" Base Plate</t>
  </si>
  <si>
    <t>Small Device Mount w/ Ball Joint &amp; 45 inclined shaft &amp; 5" Telescopic Square Post w/ 4x6" Base Plate</t>
  </si>
  <si>
    <t>Small Device Mount w/ Ball Joint &amp; 85 inclined shaft w/ 10" Telescopic Square Post on Under the Seat Bolt Base (Attaches to the front left vertical anchor bolt of the front passenger seat)</t>
  </si>
  <si>
    <t>Small Device Mount w/ Ball Joint &amp; Telescopic Square Post on Base w/ Adjustable Angle &amp; Two Adjustable Supports</t>
  </si>
  <si>
    <t>Small Device Mount w/ Ball Joint &amp; 85 inclined shaft w/ Cup Holder Base</t>
  </si>
  <si>
    <t>Small Device Mount w/ Ball Joint &amp; 85 inclined shaft on 7" Telescopic Square Post w/ Base Plate to Slide Under the Taxi Meter</t>
  </si>
  <si>
    <t>Small Device Mount 7 in. Post</t>
  </si>
  <si>
    <t>Small Device Mount w/ Ball Joint &amp; 45 Inclined Shaft on Telescopic Square Post w/ Slotted Base</t>
  </si>
  <si>
    <t>Small Device Mount w/ Ball Joint &amp; 45 inclined shaft on 3x5" Mounting Base</t>
  </si>
  <si>
    <t>Small Device Mount w/ Ball Joint &amp; "U" Bolts Base for 1.25" H&amp;rail</t>
  </si>
  <si>
    <t>Tamper Resistant Small Device Mount on Square Base</t>
  </si>
  <si>
    <t>Small Device Mount Square Base</t>
  </si>
  <si>
    <t>Small Device Mount w/ Ball Joint &amp; 1x3" Rectangular Base</t>
  </si>
  <si>
    <t>Small Device Mount w/ Ball Joint &amp; Round Aluminum Shaft w/ 3/8-16 Bolt</t>
  </si>
  <si>
    <t>Tamper Resistant Small Device Mount w/ Dual Ball Clamps on Square Base</t>
  </si>
  <si>
    <t>Small Device Mount w/ Double Ball Joint &amp; 2.5x2.5" Square Base</t>
  </si>
  <si>
    <t>Small Device Mount w/ Ball Joint &amp; 1.5x3" Right Angle Base</t>
  </si>
  <si>
    <t>Small Device Mount w/ Ball Joint &amp; 2.5x2.5" Square Base</t>
  </si>
  <si>
    <t>T Knob Female (1/4-20" thread)</t>
  </si>
  <si>
    <t>SD Series Part</t>
  </si>
  <si>
    <t>Star Knob Male (1/4-20" thread, 3/4" long)</t>
  </si>
  <si>
    <t>MDT Plate for Vector 800 &amp; Ball w/ 1/4-20 Threaded Hole</t>
  </si>
  <si>
    <t>MDT Multi-Plate 2.5x5.5"</t>
  </si>
  <si>
    <t>MDT Plate</t>
  </si>
  <si>
    <t>MDT Multi-Plate 2.5x5.5" (Specify Model of MDT) w/ Ball w/ Square Base</t>
  </si>
  <si>
    <t>MDT Multi-Plate 2.5x5.5" (Specify Model of MDT) &amp; Aluminum Shaft w/ 1/4-20 Thread</t>
  </si>
  <si>
    <t>MDT Multi-Plate (Specify Model of MDT)</t>
  </si>
  <si>
    <t>Small Device Replacement Clamp</t>
  </si>
  <si>
    <t>Ball w/ 1/4-20 Threaded Hole</t>
  </si>
  <si>
    <t>Ball w/ Square Base w/ 2x2" hole pattern</t>
  </si>
  <si>
    <t>"L" Base 1/4 by 3x5x6 (Designed to Host part # SD-124)</t>
  </si>
  <si>
    <t>Small Device Mount w/ "Clamp-It" Ball Joint w/ 85 inclined shaft &amp; 10" Telescopic Square Post w/ Side Bars Base (Includes VECTOR 9000 MDT Plate)</t>
  </si>
  <si>
    <t>Small Device Mount 10 in. Post</t>
  </si>
  <si>
    <t>Steel enclosure for DDS MSLATE terminal w/ Mount for door opening mechanism</t>
  </si>
  <si>
    <t>Westin Logo T-Shirt Size XXXL</t>
  </si>
  <si>
    <t>MERCH: Westin T-Shirt XXXLarge</t>
  </si>
  <si>
    <t>Westin Logo T-Shirt Size XXL</t>
  </si>
  <si>
    <t>MERCH: Westin T-Shirt XXLarge</t>
  </si>
  <si>
    <t>Westin Logo T-Shirt Size XL</t>
  </si>
  <si>
    <t>MERCH: Westin T-Shirt XLarge</t>
  </si>
  <si>
    <t>Westin Logo T-Shirt Size Small</t>
  </si>
  <si>
    <t>MERCH: Westin T-Shirt Small</t>
  </si>
  <si>
    <t>Westin Logo T-Shirt Size Medium</t>
  </si>
  <si>
    <t>MERCH: Westin T-Shirt Medium</t>
  </si>
  <si>
    <t>Westin Logo T-Shirt Size Large</t>
  </si>
  <si>
    <t>MERCH: Westin T-Shirt Large</t>
  </si>
  <si>
    <t>2024 New Products Guide</t>
  </si>
  <si>
    <t>Westin 2024 New Products</t>
  </si>
  <si>
    <t>Apparel/Displays/Lit</t>
  </si>
  <si>
    <t>Catalog - Public Safety</t>
  </si>
  <si>
    <t>Westin Public Safety 2024 Catalog</t>
  </si>
  <si>
    <t>Westin Mini Catalog 2025</t>
  </si>
  <si>
    <t>MERCH: Westin Catalog Mini 2025</t>
  </si>
  <si>
    <t>App Guide Westin 2020</t>
  </si>
  <si>
    <t>Westin Application Guide 2020</t>
  </si>
  <si>
    <t>Half Page Catalog</t>
  </si>
  <si>
    <t>Westin 2018 New Products</t>
  </si>
  <si>
    <t>Gatefold Brochure</t>
  </si>
  <si>
    <t>Westin 2024 Mini Product Guide</t>
  </si>
  <si>
    <t>Superwinch Logo T-Shirt Size XXXL</t>
  </si>
  <si>
    <t>MERCH: Superwinch T-Shirt XXXLarge</t>
  </si>
  <si>
    <t>Superwinch</t>
  </si>
  <si>
    <t>Superwinch Logo T-Shirt Size XXL</t>
  </si>
  <si>
    <t>MERCH: Superwinch T-Shirt XXLarge</t>
  </si>
  <si>
    <t>Superwinch Logo T-Shirt Size XL</t>
  </si>
  <si>
    <t>MERCH: Superwinch T-Shirt XLarge</t>
  </si>
  <si>
    <t>Superwinch Logo T-Shirt Size Small</t>
  </si>
  <si>
    <t>MERCH: Superwinch T-Shirt Small</t>
  </si>
  <si>
    <t>Superwinch Logo T-Shirt Size Medium</t>
  </si>
  <si>
    <t>MERCH: Superwinch T-Shirt Medium</t>
  </si>
  <si>
    <t>Superwinch Logo T-Shirt Size Large</t>
  </si>
  <si>
    <t>MERCH: Superwinch T-Shirt Large</t>
  </si>
  <si>
    <t>Superwinch Mini Catalog 2025</t>
  </si>
  <si>
    <t>MERCH: Superwinch Catalog Mini 2025</t>
  </si>
  <si>
    <t>Superwinch 2019 Product Catalog</t>
  </si>
  <si>
    <t>40 inch Sample</t>
  </si>
  <si>
    <t>HDX Xtreme Step Board Display</t>
  </si>
  <si>
    <t>HDX Drop Step - 40" Sample</t>
  </si>
  <si>
    <t>HDX Drop Step Display</t>
  </si>
  <si>
    <t>Wade Sure-Fit Mat Display Kit</t>
  </si>
  <si>
    <t>Sure-Fit Floor Liner Display</t>
  </si>
  <si>
    <t>MD 3 Winch Display Stand w/Header Card</t>
  </si>
  <si>
    <t>Superwinch Display Stand &amp; Header Card</t>
  </si>
  <si>
    <t>HDX Grille Guard &amp; Running Board Display Stand</t>
  </si>
  <si>
    <t>HDX Grille Guard &amp; Running Board Display</t>
  </si>
  <si>
    <t>Wind Deflector Sample</t>
  </si>
  <si>
    <t>MD Wind Deflector Display</t>
  </si>
  <si>
    <t>Includes: 55470 Step Up Tower Display; 55411 Header Card (12" x 36"); 21-52400 Oval Pro Traxx 4; 21-55400 Oval Pro Traxx 5; 28-55400 R5 Nerf Step Bar SS; 28-75405 R7 Nerf Step Bar BL; 56-25405 HDX Xtreme Step BLK; 56-15405 HDX Drop Step BLK</t>
  </si>
  <si>
    <t>Step-Up Tower w/6 Step Sa</t>
  </si>
  <si>
    <t>Step-Up Tower Display</t>
  </si>
  <si>
    <t>Step-Up Display Tower</t>
  </si>
  <si>
    <t>Header Card</t>
  </si>
  <si>
    <t>MD HDX Bumper Header Card</t>
  </si>
  <si>
    <t>MD Header Step Up Tower</t>
  </si>
  <si>
    <t>LED Counter Display w/EF2 Light</t>
  </si>
  <si>
    <t>LED Counter Top Display</t>
  </si>
  <si>
    <t>LED Light Merchandising Display Case</t>
  </si>
  <si>
    <t>MD LED Light Case</t>
  </si>
  <si>
    <t>6 ft W x 2.5ft H (limit 1 per location)</t>
  </si>
  <si>
    <t>Westin Jeep Banner</t>
  </si>
  <si>
    <t>MD Bull Bar Mount Bracket</t>
  </si>
  <si>
    <t>Westin Banner</t>
  </si>
  <si>
    <t>Westin Truck Banner</t>
  </si>
  <si>
    <t>50 inch display sample</t>
  </si>
  <si>
    <t>Triple Tube Rock Rails</t>
  </si>
  <si>
    <t>Pro-E Running Board Display</t>
  </si>
  <si>
    <t>Pro-E Power Running Board Display Box 2</t>
  </si>
  <si>
    <t>Pro-E Power Running Board Display Box 1</t>
  </si>
  <si>
    <t>Pro-E Power Running Board Display</t>
  </si>
  <si>
    <t>Thrasher Step Board - 50" Sample</t>
  </si>
  <si>
    <t>40 inch display sample</t>
  </si>
  <si>
    <t>R7 Nerf Step 40" Sample</t>
  </si>
  <si>
    <t>R5 Nerf Step - 40" Sample</t>
  </si>
  <si>
    <t>Outlaw Running Boards Display</t>
  </si>
  <si>
    <t>Outlaw Running Boards - Display</t>
  </si>
  <si>
    <t>Grate Steps Display</t>
  </si>
  <si>
    <t>Grate Steps - 40" Sample</t>
  </si>
  <si>
    <t>Sure-Grip Board Display</t>
  </si>
  <si>
    <t>Sure-Grip Running Board - 40" Sample</t>
  </si>
  <si>
    <t>MD SG6 Display</t>
  </si>
  <si>
    <t>E-Series Step Display</t>
  </si>
  <si>
    <t>E-Series 3 - 40" Sample</t>
  </si>
  <si>
    <t>MD Pro Traxx 6 Display</t>
  </si>
  <si>
    <t>Pro Traxx 6 - 40" Sample</t>
  </si>
  <si>
    <t>MD Oval Pro Traxx 5</t>
  </si>
  <si>
    <t>Pro Traxx 5 - 40" Sample</t>
  </si>
  <si>
    <t>MD Oval Pro Traxx 4 (includes hardware for 55476 display)</t>
  </si>
  <si>
    <t>Pro Traxx 4 - 40" Sample</t>
  </si>
  <si>
    <t>Outlaw Drop Nerf Step 40 Inch Display</t>
  </si>
  <si>
    <t>Hard Lopro Tri-Fold Tonneau Cvr Disp Kit</t>
  </si>
  <si>
    <t>Soft Tri-Fold Tonneau Cover Display Kit</t>
  </si>
  <si>
    <t>Soft Roll-Up Tonneau Cover Display Kit</t>
  </si>
  <si>
    <t>Brush Cap Bottle .6 oz.</t>
  </si>
  <si>
    <t>Touch-up Paint</t>
  </si>
  <si>
    <t>Aerosol 4.5 oz.</t>
  </si>
  <si>
    <t>Locking Compression Handle for HD Brute Box, includes 4 RV3 Rivets</t>
  </si>
  <si>
    <t>Brute Parts Kit</t>
  </si>
  <si>
    <t xml:space="preserve">RETRACTOR SET, SEAT BELT </t>
  </si>
  <si>
    <t>Small bracket cover replacement for Pro Traxx steps</t>
  </si>
  <si>
    <t>Pro Traxx Bracket Cover</t>
  </si>
  <si>
    <t>R5 XD Bracket Cover</t>
  </si>
  <si>
    <t>Large bracket cover replacement for Pro Traxx steps</t>
  </si>
  <si>
    <t>Sure-Grip End Cap Fits Driver Front or Passenger Rear (1pc)</t>
  </si>
  <si>
    <t>Sure-Grip End Cap B</t>
  </si>
  <si>
    <t>Sure-Grip End Cap Fits Passenger Front or Driver Rear (1pc)</t>
  </si>
  <si>
    <t>Sure-Grip End Cap A</t>
  </si>
  <si>
    <t>Replacement molding 52 inches long, set of 2 (for MN mfg grille guards only)</t>
  </si>
  <si>
    <t>Sportsman GG Rub Strip Repl (US)</t>
  </si>
  <si>
    <t>Plastic End Cap 3 inch (1 piece)</t>
  </si>
  <si>
    <t>Signature 3 End Cap</t>
  </si>
  <si>
    <t>End Cap - 3 inch E-Series Step Bar</t>
  </si>
  <si>
    <t>E-Series 3 End Cap</t>
  </si>
  <si>
    <t>BRACKET, SUPP TOP DVR "B"</t>
  </si>
  <si>
    <t>BADGE, HDX DISPLAY</t>
  </si>
  <si>
    <t>HDX Grille Guard Rubber Strip Repl</t>
  </si>
  <si>
    <t>HDX Grille Guard Rub Strip Repl</t>
  </si>
  <si>
    <t>Replacement service kit includes 17.75 inch step pad and fasteners</t>
  </si>
  <si>
    <t>HDX Xtreme Step Pad</t>
  </si>
  <si>
    <t>6" step pad w/fasteners (Set of 2)</t>
  </si>
  <si>
    <t>HDX Drop Step Pad</t>
  </si>
  <si>
    <t>Replacement service kit includes two 11 inch die stamped step pads and fasteners</t>
  </si>
  <si>
    <t>HDX Drop Step Pads (Set of 2)</t>
  </si>
  <si>
    <t>15" Step Plate w/screws (Set of 2)</t>
  </si>
  <si>
    <t>HDX Stainless Drop Step Plate Repl Kit</t>
  </si>
  <si>
    <t>11" Step Plate w/screws (Set of 2)</t>
  </si>
  <si>
    <t>Replacement service kit includes two 15.5 inch die stamped step pads and fasteners</t>
  </si>
  <si>
    <t>6" Step Plate w/screws (Set of 2)</t>
  </si>
  <si>
    <t>HINT SPECIAL ORDER ITEM</t>
  </si>
  <si>
    <t>Sportsman Grille Guard Rubber Strip Repl</t>
  </si>
  <si>
    <t>Sportsman Grille Guard Rub Strip Repl</t>
  </si>
  <si>
    <t>Includes front and rear end cap with fasteners</t>
  </si>
  <si>
    <t>R7 Nerf Step Bar End Cap Kit</t>
  </si>
  <si>
    <t>Replacement Service Kit with 22in pad</t>
  </si>
  <si>
    <t>R7 Nerf Step Bar Pad &amp; Clips</t>
  </si>
  <si>
    <t>Replacement Service Kit with 31.5in pad</t>
  </si>
  <si>
    <t>Driver Front &amp; Passenger Rear (set of 2)</t>
  </si>
  <si>
    <t>R5 End Cap Kit</t>
  </si>
  <si>
    <t>Replacement Service Kit with 20.5in pad</t>
  </si>
  <si>
    <t>R5 Nerf Step Bar Pad &amp; Clips</t>
  </si>
  <si>
    <t>Replacement Service Kit with 30.5in pad</t>
  </si>
  <si>
    <t>Replacement Service Kit with 20in pad</t>
  </si>
  <si>
    <t>Platinum 3 Step Pad &amp; Clips</t>
  </si>
  <si>
    <t>Signature 3 Step Pad &amp; Clips</t>
  </si>
  <si>
    <t>Replacement Service Kit with 24in pad</t>
  </si>
  <si>
    <t>Platinum 4 WTW Step Pad &amp; Clips</t>
  </si>
  <si>
    <t>Replacement Service Kit with 21in pad</t>
  </si>
  <si>
    <t>E-Series 3 Step Pad &amp; Clips</t>
  </si>
  <si>
    <t>Front &amp; Rear End Cap Kit w/screws and retainer sleeves</t>
  </si>
  <si>
    <t>Premier 6 End Cap Kit</t>
  </si>
  <si>
    <t>Replacement Service Kit with 33in pad</t>
  </si>
  <si>
    <t>Premier 6 Step Pad &amp; Clips</t>
  </si>
  <si>
    <t>Oval 4 in Tube Step End Cap Kit</t>
  </si>
  <si>
    <t>Premier 4 End Cap Kit</t>
  </si>
  <si>
    <t>Replacement Service Kit with 18in pad</t>
  </si>
  <si>
    <t>Premier 4 In. Oval Rear Step Pad</t>
  </si>
  <si>
    <t>Replacement Service Kit with 26in pad</t>
  </si>
  <si>
    <t>Premier 4 In. Oval Front Step Pad</t>
  </si>
  <si>
    <t>Pro Traxx 6 Step Pad &amp; Clips</t>
  </si>
  <si>
    <t>Replacement Service Kit with 14in pad</t>
  </si>
  <si>
    <t>Pro Traxx 5 Step Pad &amp; Clips</t>
  </si>
  <si>
    <t>Replacement Service Kit with 24in pad (5 stud)</t>
  </si>
  <si>
    <t>Pro Traxx 4 Step Pad &amp; Clips</t>
  </si>
  <si>
    <t>Replacement Service Kit with 24in pad (6 stud)</t>
  </si>
  <si>
    <t>Platinum 4in Oval Series Pad &amp; Clips</t>
  </si>
  <si>
    <t>Front passenger tuber fender light replacement for 62-1025</t>
  </si>
  <si>
    <t>Replacement Light</t>
  </si>
  <si>
    <t>Front driver tuber fender light replacement for 62-1025</t>
  </si>
  <si>
    <t xml:space="preserve">LED LIGHT, BACK-UP       </t>
  </si>
  <si>
    <t>LED LIGHT, LICENSE PLATE</t>
  </si>
  <si>
    <t>Replacement magnetic switch (2 pcs)</t>
  </si>
  <si>
    <t>SG6 Switch Replacement</t>
  </si>
  <si>
    <t>Dakota 1997-2004 (For 31012 &amp; 32012 Bumper)</t>
  </si>
  <si>
    <t>PM Bumper Step Pad Repl</t>
  </si>
  <si>
    <t>Fey</t>
  </si>
  <si>
    <t>Light Kit - PM: 31006, 32006, 31013, 32013, 31014 &amp; 32014</t>
  </si>
  <si>
    <t>Bumper Light Kit Repl</t>
  </si>
  <si>
    <t>Light Kit - PM: 31002, 31003, 31004 &amp; 32003</t>
  </si>
  <si>
    <t>Light Kit - For all Universal &amp; PM: 31000, 31001 &amp; 32000</t>
  </si>
  <si>
    <t>Step Pads - Perfect Match. Fits #31000, 31001, 32000</t>
  </si>
  <si>
    <t>Bumper Step Pad Repl 4pc</t>
  </si>
  <si>
    <t>Step Pads - Surestep downSize. Fits: 71001</t>
  </si>
  <si>
    <t>Bumper Step Pad Repl</t>
  </si>
  <si>
    <t>Step Pads L &amp; R for Surestep Deluxe XLT fits PN# 20007 &amp; 21007</t>
  </si>
  <si>
    <t>Step Pads - Surestep, downSize. Fits: #66001, 76001</t>
  </si>
  <si>
    <t>Step Pads, FullSize Fits: 20003, 21003, 68100, 69100</t>
  </si>
  <si>
    <t>Step Pads L &amp; R for Surestep FullSize fits PN# 20022 &amp; 21002</t>
  </si>
  <si>
    <t>Tacoma 1995-2004</t>
  </si>
  <si>
    <t>Perfect Match Bumper</t>
  </si>
  <si>
    <t>Silverado/Sierra 1500LD/2500LD 'Classic' 1999-2007 (Fleet Side only)</t>
  </si>
  <si>
    <t>C/K PickUp 1988-1998</t>
  </si>
  <si>
    <t>Comanche 1987-1992</t>
  </si>
  <si>
    <t>Universal Bumper Mount Kit</t>
  </si>
  <si>
    <t>Dakota 1987-1996</t>
  </si>
  <si>
    <t>S-Series 1983-2004 (Equipment Group &amp; Sport Package Only); Ranger 1982-2004 (Excl. Splash); Mazda Pickup 1994-2004</t>
  </si>
  <si>
    <t>Chevrolet/GMC/Ford/Mazda</t>
  </si>
  <si>
    <t>Pickup 1986-1993</t>
  </si>
  <si>
    <t>Mazda</t>
  </si>
  <si>
    <t>Bronco 1978-1996</t>
  </si>
  <si>
    <t>D50 Pickup 1987-1993; Mitsubishi Pickup 1987-1997</t>
  </si>
  <si>
    <t>Dodge/Mitsubishi</t>
  </si>
  <si>
    <t>Pickup 1986.5-2004 (Excl. Frontier)</t>
  </si>
  <si>
    <t>D50 Pickup 1983-1986; Mitsubishi Pickup 1983-1986; Pickup 1980-1988</t>
  </si>
  <si>
    <t>Dodge/Mitsubishi/Toyota</t>
  </si>
  <si>
    <t>Dakota 1997-2004 (Excl. Quad Cab)</t>
  </si>
  <si>
    <t>Tacoma 1995-1999</t>
  </si>
  <si>
    <t>Pickup 1989-1994</t>
  </si>
  <si>
    <t>Fleet Side 1967-1972 Long Bed</t>
  </si>
  <si>
    <t>F-150/250 LD 1967-1996; F250 HD/350 1967-1998</t>
  </si>
  <si>
    <t>Ram 1500 1994.5-2001 (Excl. model w/ tailgate light); Ram 2500/3500 (Excl. model w/ tailgate light)1994-2002</t>
  </si>
  <si>
    <t>C/K-Series 1988-2000; Fleet Side Reg/Ext Cab 1973-1987; C/K Fleet Side Crew Cab 1973-1991; Fleet Side 1972-1993; F Series Style Side 1967-1996; F-250/350HD 1997-1998 (Excl 250LD)</t>
  </si>
  <si>
    <t>Chevrolet/GMC/Ford</t>
  </si>
  <si>
    <t>C/K-Series Pickup 1988-1998</t>
  </si>
  <si>
    <t>C/K-Series Pickup 1973-1991</t>
  </si>
  <si>
    <t>S-Series 1983-2004 (Equipment Group &amp; Sport Package Only); Ranger 1982-2004 (Excl. Splash); Hombre 1996-2004; Pickup 1986-2004; Nissan Pickup 1986.5-2004 (Excl. Frontier); Tacoma 1995-1999; Toyota Pickup 1980-1994; S-Series Blazer/Jimmy 1983-1986</t>
  </si>
  <si>
    <t>Chevrolet/GMC/Ford/Isuzu/Mazda/Toyota/Nissan</t>
  </si>
  <si>
    <t>Surestep Universal Bumper</t>
  </si>
  <si>
    <t>S-Series 1983-2004; Ranger 1982-2004 (Excl. Splash); Hombre 1996-2004; Pickup 1986-2004; Nissan Pickup 1986.5-2004 (Excl. Frontier); Tacoma 1995-1999; Toyota Pickup 1980-1994</t>
  </si>
  <si>
    <t>Diamondstep Universal Bumper</t>
  </si>
  <si>
    <t>Dakota 1987-2004 (Excl. Quad Cab); Comanche 1987-1992</t>
  </si>
  <si>
    <t>Dodge/Jeep</t>
  </si>
  <si>
    <t>D50 Pickup 1983-1993; Pickup 1983-1997; Toyota Pickup 1980-1988</t>
  </si>
  <si>
    <t>S-Series 1983-2004 (Equipment Group &amp; Sport Package Only); Ranger 1982-2004 (Excl. Splash); Hombre 1996-2004; Nissan Pickup 1986.5-1997; Tacoma 1995-1999; Toyota Pickup 1980-1994; Van 1992-2007 Full size (will not work with factory hitch)</t>
  </si>
  <si>
    <t>Fleet Side Reg/Ext Cab 1973-1987; C/K Fleet Side Crew Cab 1973-1991; Fleet Side 1967-1972 Long Bed; Fleet Side 1972-1993; Ram Charger 1978-1985; Bronco 1978-1996; F-Series Style Side 1967-1996; F-250/350 HD 1997-1998 (Excl. F-250 LD 1997-1998)</t>
  </si>
  <si>
    <t>Chevrolet/GMC/Dodge/Ford</t>
  </si>
  <si>
    <t>Van 1992-2012 Full Size (Excl. factory hitch)</t>
  </si>
  <si>
    <t>Van 1992-2012 Full Size (will not work with factory hitch)</t>
  </si>
  <si>
    <t>C/K-Series 1988-2000; Ram 1500 1994.5-2001 (Excl. model w/ tailgate light); Ram 2500/3500 1994-2002 (Excl. model w/ tailgate light)</t>
  </si>
  <si>
    <t>Chevrolet/GMC/Dodge</t>
  </si>
  <si>
    <t>9" x 15" tray w/ 4 silver aluminum dividers. Fits tool boxes 80-RB184, 80-RB174, 80-RB172 &amp; 80-RB164.</t>
  </si>
  <si>
    <t>Tool Box Tray</t>
  </si>
  <si>
    <t>Brute</t>
  </si>
  <si>
    <t>19"L x 3.5"H x 15"W Tray w/ 4 silver dividers. Fits tool boxes: 80-RB121LP, 80-RB121LP-B, 80-RB123FL, 80-RB123FL-B, 80-RB127FL, 80-RB127FL-B, 80-RB137FL, 80-RB137FL-B, 80-RB154FL, 80-RB154FL-B, 80-RB124GW, 80-RB124GW-B, 80-RB134GW, 80-RB134GW-B, 80-RB153GW, 80-RB153GW-B, 80-RB157GW, 80-RB157GW-B</t>
  </si>
  <si>
    <t>LosiderSafe w/Rear Bedsafe Roller Drawer; Passenger Side; Overall Dims: 70x11.5x15.5 In.; Approx. Cu Ft: 7.22</t>
  </si>
  <si>
    <t>Brute LosiderSafe Tool Box</t>
  </si>
  <si>
    <t>LosiderSafe w/Rear Bedsafe Roller Drawer; Driver Side; Overall Dims: 56x11.5x15.5 In.; Approx. Cu Ft: 5.78</t>
  </si>
  <si>
    <t>BRTBX Drawer Divider for for 80-TB400-BD Series (1PC)</t>
  </si>
  <si>
    <t>Brute Drawer Divider</t>
  </si>
  <si>
    <t>Tool Box divider for 80-UB-TD Series (1PC)</t>
  </si>
  <si>
    <t>BRTBX Drawer Divider for 80-TBS200-BD Series (1PC)</t>
  </si>
  <si>
    <t>Contractor TopSider 90in w/ Drawers &amp; Doors Overall Dims: 90x13.5x21 In.; Approx. Cu Ft: 14.8 In.</t>
  </si>
  <si>
    <t>Brute Contractor TopSider Tool Box</t>
  </si>
  <si>
    <t>Contractor TopSider 88in w/ Drawers &amp; Doors Overall Dims: 88x13.5x21 In.; Approx. Cu Ft: 14.4 In.</t>
  </si>
  <si>
    <t>Contractor TopSider 72in w/ Doors Overall Dims: 72x13.5x21 In.; Approx. Cu Ft: 13.5 In.</t>
  </si>
  <si>
    <t>Contractor TopSider 72in w/ Drawers &amp; Doors Overall Dims: 72x13.5x21 In.; Approx. Cu Ft: 13.5 In.</t>
  </si>
  <si>
    <t>Contractor TopSider 60in w/ Doors Overall Dims: 60x13.5x21 In.; Approx. Cu Ft: 10.2 In.</t>
  </si>
  <si>
    <t>Contractor TopSider 60in w/ Drawers &amp; Doors Overall Dims: 60x13.5x21 In.; Approx. Cu Ft: 10.2 In.</t>
  </si>
  <si>
    <t>Contractor TopSider 48in w/ Drawers &amp; Doors Overall Dims: 48x13.5x21 In.; Approx. Cu Ft: 7.9 In.</t>
  </si>
  <si>
    <t>High Cap 96in Stake Bed Contractor TopSider w/ Doors Overall Dims: 96x20x24 In.; Approx. Cu Ft: 26.7 In.</t>
  </si>
  <si>
    <t>Brute High Cap 96in Stake Bed Contractor Box</t>
  </si>
  <si>
    <t>High Cap 96in Stake Bed Contractor TopSider w/ Base Drawers Overall Dims: 96x20x24 In.; Approx. Cu Ft: 26.7 In.</t>
  </si>
  <si>
    <t>High Cap 72in Stake Bed Contractor TopSider w/ Base Drawers Overall Dims: 72x20x24 In.; Approx. Cu Ft: 20 In.</t>
  </si>
  <si>
    <t>Brute High Cap 72in Stake Bed Contractor Box</t>
  </si>
  <si>
    <t>Chest 47in Overall Dims: 47x20x19 In.; Base Dims: 47x16x19 In.; Approx. Cu Ft: 10.3 In.</t>
  </si>
  <si>
    <t>Brute Chest Box</t>
  </si>
  <si>
    <t>Maximus 30in Chest Overall Dims: 48x30x30 In.; Base Dims: 48x28x17 In.; Approx. Cu Ft: 25 In.</t>
  </si>
  <si>
    <t>Brute Maximus 30in Chest Box</t>
  </si>
  <si>
    <t>Low Profile LoSider Side Rail 56in Box Overall Dims: 56x19x11.75 In.; Base Dims: 56x13.5x7 In.; Approx. Cu Ft: 7.1 In.</t>
  </si>
  <si>
    <t>Brute Low Profile LoSider Tool Box</t>
  </si>
  <si>
    <t>Pork Chop Pass Side 46in Overall Dims: 46.25x9.25x19 In.; Approx. Cu Ft: 4.7 In.</t>
  </si>
  <si>
    <t>Brute Pork Chop Side Tool Box</t>
  </si>
  <si>
    <t>Full Lid Mid Size / Down Size XOver Long Bed Only Overall Dims: 62x20x18 In.; Base Dims: 51x20x11 In.; Approx. Cu Ft: 12.9 In.</t>
  </si>
  <si>
    <t>Brute Crossover Full Lid Tool Box</t>
  </si>
  <si>
    <t>UnderBody 48in x 20in w/ Top Drawer Overall Dims: 48x18x20 In.; Approx. Cu Ft: 10 In.</t>
  </si>
  <si>
    <t>Brute UnderBody Tool Box</t>
  </si>
  <si>
    <t>UnderBody 36in x 20in w/ Top Drawer Overall Dims: 36x18x20 In.; Approx. Cu Ft: 7.5 In.</t>
  </si>
  <si>
    <t>Contractor TopSider 96in w/ Drawers &amp; Doors Overall Dims: 96x13.5x21 In.; Approx. Cu Ft: 15.8 In.</t>
  </si>
  <si>
    <t>Contractor TopSider 96in w/ Doors Overall Dims: 96x13.5x21 In.; Approx. Cu Ft: 15.8 In.</t>
  </si>
  <si>
    <t>Contractor TopSider 90in w/ Doors Overall Dims: 90x13.5x21 In.; Approx. Cu Ft: 14.8 In.</t>
  </si>
  <si>
    <t>Contractor TopSider 88in w/ Doors Overall Dims: 88x13.5x21 In.; Approx. Cu Ft: 14.4 In.</t>
  </si>
  <si>
    <t>Contractor TopSider 48in w/ Doors Overall Dims: 48x13.5x21 In.; Approx. Cu Ft: 7.9 In.</t>
  </si>
  <si>
    <t>High Cap 72in Stake Bed Contractor TopSider w/ Doors Overall Dims: 72x20x24 In.; Approx. Cu Ft: 20 In.</t>
  </si>
  <si>
    <t>49" Commercial Class; Overall Dims: 45x15x19 In.; Approx. Cu Ft: 7</t>
  </si>
  <si>
    <t>Brute Trailer Tongue Box</t>
  </si>
  <si>
    <t>V Shape Goose Neck 5th Wheel 57in Tailgate Box 1 Drawer/2 Swing Doors Overall Dims: 57x19x19 In.; Approx. Cu Ft: 8.1 In.</t>
  </si>
  <si>
    <t>Brute V Shape Goose Neck Tool Box</t>
  </si>
  <si>
    <t>HD Under Body 18in x 36in Drop Down Door Overall Dims: 48x18x18 In.; Approx. Cu Ft: 11 In.</t>
  </si>
  <si>
    <t>Brute HD Under Body Tool Box</t>
  </si>
  <si>
    <t>High Cap HD Top Sdr 16in x 96in w/flip up Doors Overall Dims: 96x16x18 In.; Approx. Cu Ft: 19.4 In.</t>
  </si>
  <si>
    <t>Brute High Capacity HD Top Sider Box</t>
  </si>
  <si>
    <t>HD Top Sider 13in x 96in w/flip up Doors Overall Dims: 96x13x16 In.; Approx. Cu Ft: 14.5 In.</t>
  </si>
  <si>
    <t>Brute HD TopSider Tool Box</t>
  </si>
  <si>
    <t>High Cap HD Top Sdr 16in x 88in w/flip up Doors Overall Dims: 88x16x18 In.; Approx. Cu Ft: 17.8 In.</t>
  </si>
  <si>
    <t>Brute High Capacity HD TopSider Tool Box</t>
  </si>
  <si>
    <t>HD Top Sider 13in x 88in w/flip up Doors Overall Dims: 88x13x16 In.; Approx. Cu Ft: 13.3 In.</t>
  </si>
  <si>
    <t>High Cap HD Top Sdr 16in x 72in w/flip up Door Overall Dims: 72x16x18 In.; Approx. Cu Ft: 14.7 In.</t>
  </si>
  <si>
    <t>HD Top Sider 13in x 72in w/flip up Door Overall Dims: 72x13x16 In.; Approx. Cu Ft: 10.9 In.</t>
  </si>
  <si>
    <t>HD Top Sider 13in x 60in w/flip up Door Overall Dims: 60x13x16 In.; Approx. Cu Ft: 9.2 In.</t>
  </si>
  <si>
    <t>HD Top Sider 13in x 48in w/flip up Door Overall Dims: 48x13x16 In.; Approx. Cu Ft: 7.4 In.</t>
  </si>
  <si>
    <t>Almn Conduit Carier 121.5in (w/install kit) Overall Dims: 121.5x11x6 In.; Approx. Cu Ft: 4.7 In.</t>
  </si>
  <si>
    <t>Brute Aluminum Conduit Carrier</t>
  </si>
  <si>
    <t>3 Sedan 2004-2009</t>
  </si>
  <si>
    <t>Tape On Wind Deflector 4pc</t>
  </si>
  <si>
    <t>Impala 2000-2005</t>
  </si>
  <si>
    <t>F-150 SuperCrew 2015-2025; F-250/350 SuperCrew SuperDuty 2017-2025</t>
  </si>
  <si>
    <t>1500 Quad Cab 2019-2025 (Excl. 2019-2023 Ram 1500 Classic)</t>
  </si>
  <si>
    <t>Silverado/Sierra 1500 Double Cab 2019-2022 (Excl. 2019 Silverado LD/Sierra 1500 Limited)</t>
  </si>
  <si>
    <t>Tape On Wind Deflector 2pc</t>
  </si>
  <si>
    <t>In Channel Wind Deflector 4pc</t>
  </si>
  <si>
    <t>4Runner 2010-2022</t>
  </si>
  <si>
    <t>Frontier Crew Cab 2005-2021</t>
  </si>
  <si>
    <t>Titan XD/Titan Crew Cab 2016-2024</t>
  </si>
  <si>
    <t>Grand Cherokee 2011-2021</t>
  </si>
  <si>
    <t>Escalade ESV/EXT/Avalance 2002-2006; Silverado/Sierra Classic Crew Cab 2007; Silverado/SierraSuburban/Yukon XL/Yukon Xl Denali 2000-2006; Denali XL 2001-2006</t>
  </si>
  <si>
    <t>Cadillac/Chevrolet/GMC</t>
  </si>
  <si>
    <t>Silverado/Sierra 1500 Crew Cab 2019-2025 (Excl. 2019 Silverado LD/Sierra 1500 Limited); Silverado/Sierra 2500/3500HD Crew Cab 2020-2025</t>
  </si>
  <si>
    <t>Colorado/Canyon Crew Cab 2015-2022</t>
  </si>
  <si>
    <t>Silverado/Sierra 1500 Double Cab 2014-2019; Silverado LD Double Cab 2019; Sierra 1500 Limited Double Cab 2019; 2500/3500 Double Cab 2015-2018</t>
  </si>
  <si>
    <t>Silverado/Sierra 1500 Crew Cab 2014-2018; 2500/3500 Crew Cab 2015-2019</t>
  </si>
  <si>
    <t>Silverado/Sierra 2500/3500 Extended Cab 2007-2014 Silverado/Sierra 1500 Extended Cab 2007-2013</t>
  </si>
  <si>
    <t>Avalanche 2007-2013; Suburban/Yukon XL/Yukon Denali XL 2007-2014; Silverado/Sierra Crew Cab 2500/3500 2007-2014; Sierra/Silverado 1500 Crew Cab 2007-2013</t>
  </si>
  <si>
    <t>Tahoe/Yukon/Yukon Denali 2007-2014</t>
  </si>
  <si>
    <t>Excursion 2000-2005</t>
  </si>
  <si>
    <t>F-250/350/450/550 Crew Cab 1999-2016</t>
  </si>
  <si>
    <t>F-150 SuperCab 2015-2025; F-250/350 SuperDuty Super Cab 2017-2025</t>
  </si>
  <si>
    <t>F-150 SuperCrew 2015-2025; F-250/350 SuperDuty Crew Cab 2017-2025</t>
  </si>
  <si>
    <t>Freestyle 2004-2007; Taurus X 2008-2009</t>
  </si>
  <si>
    <t>Ram 1500 Quad Cab 2002-2009</t>
  </si>
  <si>
    <t>Ram 1500 Quad Cab 2009-2018; Ram 1500 Classic Quad Cab 2019-2023; Ram 2500/3500 Quad Cab 2010-2025</t>
  </si>
  <si>
    <t>Ram 1500 Crew Cab 2009-2018; 1500 Classic Crew Cab 2019-2023; 2500/3500 Crew/Mega Cab 2010-2025</t>
  </si>
  <si>
    <t>Wrangler JL 2dr 2018-2025</t>
  </si>
  <si>
    <t>In Channel Wind Deflector 2pc</t>
  </si>
  <si>
    <t>Silverado/Sierra 1500 Crew/Double Cab 2014-2018; Silverado/Sierra 2500/3500 2015-2019; Tahoe/Suburban/Yukon/Yukon Denali/Escalade 2015-2020</t>
  </si>
  <si>
    <t>Sure Fit Floor Liners Front</t>
  </si>
  <si>
    <t>Sierra 1500 2014-2018; Sierra 1500 Limited 2019; Sierra 2500/3500 2015-2019</t>
  </si>
  <si>
    <t>GMC</t>
  </si>
  <si>
    <t>Platinum Bug Shield</t>
  </si>
  <si>
    <t>Tacoma 2016-2023</t>
  </si>
  <si>
    <t>Tacoma 2005-2011</t>
  </si>
  <si>
    <t>F-150 2015-2020</t>
  </si>
  <si>
    <t>1500 2019-2025 (Excl. 2019-2023 Ram 1500 Classic)</t>
  </si>
  <si>
    <t>Ram 2500/3500 2010-2018</t>
  </si>
  <si>
    <t>Ram 2009-2018 (Excl. Rebel &amp; Warlock); Ram 1500 Classic 2019-2024</t>
  </si>
  <si>
    <t>Silverado 1500 2019-2025 (Excl. 2019 Silverado LD)</t>
  </si>
  <si>
    <t>Silverado 1500 2016-2018</t>
  </si>
  <si>
    <t>Colorado 2015-2022</t>
  </si>
  <si>
    <t>Inner Fenders - Rear</t>
  </si>
  <si>
    <t>Wrangler JL 2018-2025; Gladiator 2020-2025</t>
  </si>
  <si>
    <t>Inner Fenders - Front</t>
  </si>
  <si>
    <t>Wrangler JK 2007-2018</t>
  </si>
  <si>
    <t>Tube Fenders - Rear</t>
  </si>
  <si>
    <t>Tube Fenders - Front</t>
  </si>
  <si>
    <t>Bronco 2022-2025 (Excl. Bronco Sport)</t>
  </si>
  <si>
    <t>Spare Tire Delete Plate</t>
  </si>
  <si>
    <t>3rd Brakelight/RotoPax Combo Mount</t>
  </si>
  <si>
    <t>Wrangler JK 2007-2018; Wrangler JL 2018-2025</t>
  </si>
  <si>
    <t>RotoPax Mount</t>
  </si>
  <si>
    <t>Off-Road Jack Mount</t>
  </si>
  <si>
    <t>WJ2 Spare Tire Relocator</t>
  </si>
  <si>
    <t>WJ2 LED Brackets</t>
  </si>
  <si>
    <t>Gladiator 2020-2025 w/Sensors</t>
  </si>
  <si>
    <t>WJ2 Rear Bumper w/Sensor</t>
  </si>
  <si>
    <t>WJ2 Rear Bumper</t>
  </si>
  <si>
    <t>Wrangler JL 2018-2024 (Excl. JK)(W/Sensors)</t>
  </si>
  <si>
    <t>WJ2 Rear Bumper w/Sensors</t>
  </si>
  <si>
    <t>Wrangler JL 2018-2025 (w/Sensors)</t>
  </si>
  <si>
    <t>WJ2 Rear Bumper w/Tire Carrier w/Sensors</t>
  </si>
  <si>
    <t>Wrangler JL 2018-2024 (Excl. JK)</t>
  </si>
  <si>
    <t>Tire Carrier</t>
  </si>
  <si>
    <t>WJ2 Rear Bumper w/Tire Carrier</t>
  </si>
  <si>
    <t>Wrangler JK 2007-2018 (Excludes JL)</t>
  </si>
  <si>
    <t>WJ2 Rear Bumper With Tire Carrier</t>
  </si>
  <si>
    <t>WJ2 Full Width Front Bumper w/LED Light Bar Mount</t>
  </si>
  <si>
    <t>WJ2 Full Width Front Bumper w/Bull Bar</t>
  </si>
  <si>
    <t>WJ2 Full Width Front Bumper</t>
  </si>
  <si>
    <t>WJ2 Front Bumper Skid Plate (Unlighted)</t>
  </si>
  <si>
    <t>WJ2 Stubby Front Bumper w/LED Light Bar Mount</t>
  </si>
  <si>
    <t>WJ2 Stubby Front Bumper w/Bull Bar</t>
  </si>
  <si>
    <t>WJ2 Stubby Front Bumper</t>
  </si>
  <si>
    <t>WJ2 Full Width Front Bumper w/LED Light</t>
  </si>
  <si>
    <t>WJ2 Skid Plate for Front Bumper</t>
  </si>
  <si>
    <t>Spare Tire Mount Delete</t>
  </si>
  <si>
    <t>Bronco 2021-2025 (Excl. Bronco Sport); Wrangler JL 2018-2025</t>
  </si>
  <si>
    <t>Ford/Jeep</t>
  </si>
  <si>
    <t>Aceessory For XTS Rear - P/S Swingout</t>
  </si>
  <si>
    <t>Accessory For XTS Rear - D/S Swingout</t>
  </si>
  <si>
    <t>Pro Series Round Bull Bar</t>
  </si>
  <si>
    <t>XTS Front Bumper</t>
  </si>
  <si>
    <t>Cybertruck 2024-2025</t>
  </si>
  <si>
    <t>Tesla</t>
  </si>
  <si>
    <t>Pro-Series Rear Bumper</t>
  </si>
  <si>
    <t>Tacoma 2024-2025</t>
  </si>
  <si>
    <t>F-250/350 2023-2025</t>
  </si>
  <si>
    <t>Silverado/Sierra 1500 2019-2025 (Excl. 2019 LD/Limited); Silverado/Sierra 2500/3500 2020-2025</t>
  </si>
  <si>
    <t>F-250/350/450/550 Super Duty 2011-2016</t>
  </si>
  <si>
    <t>Tundra 2022-2025</t>
  </si>
  <si>
    <t>F-150 Raptor 2017-2020</t>
  </si>
  <si>
    <t>Ram 1500 2019-2024 (Excl. 2019-2023 1500 Classic)</t>
  </si>
  <si>
    <t>Colorado/Canyon 2015-2022; Colorado ZR2 2017-2022</t>
  </si>
  <si>
    <t>Tacoma 2016-2023 (Excl. Vehicles with Blind Spot Monitoring System)</t>
  </si>
  <si>
    <t>Tundra 2014-2021 (Excl. Vehicles with Blind Spot Monitoring System)</t>
  </si>
  <si>
    <t>Ram 1500 2009-2018; 1500 Classic 2019-2024; 2500 2010-2018; 3500 2010-2018 (Excl. Dual Rear Wheel)</t>
  </si>
  <si>
    <t>F-150 2015-2023 (Excl. Raptor)(Excl. 2022+ Lightning EV)</t>
  </si>
  <si>
    <t>Silverado/Sierra 1500 2014-2018; Silverado LD/Sierra 1500 Limited 2019; Silverado/Sierra 2500/3500 2015-2019</t>
  </si>
  <si>
    <t>License Plate Relocator Bracket</t>
  </si>
  <si>
    <t>Silverado 2500/3500 2024-2025</t>
  </si>
  <si>
    <t>Pro-Series Front Bumper</t>
  </si>
  <si>
    <t>Pro-Series Mid Width Front Bumper</t>
  </si>
  <si>
    <t>Silverado 1500 2023-2025</t>
  </si>
  <si>
    <t>Frontier 2022-2024 (W/ Intelligent Cruise Control)</t>
  </si>
  <si>
    <t>F-150 2021-2023 (Excl. 2022+ Lightning EV &amp; Raptor)</t>
  </si>
  <si>
    <t>Silverado 2500/3500 2020-2023</t>
  </si>
  <si>
    <t>Silverado 1500 2019-2021 &amp; 1500 LTD 2022 (Excl. 2019 LD)(Excl. Diesel)</t>
  </si>
  <si>
    <t>Ram 2500/3500 2013-2018</t>
  </si>
  <si>
    <t>Silverado 2500/3500 2015-2019</t>
  </si>
  <si>
    <t>4Runner 2014-2024 (Excl. Limited &amp; Nightshade)</t>
  </si>
  <si>
    <t>Pro-Series Bumper w/Round Bull</t>
  </si>
  <si>
    <t>Pro-Series Bumper Round Bull Bar</t>
  </si>
  <si>
    <t>Pro-Series Bumper w/Angular Bull Bar</t>
  </si>
  <si>
    <t>Pro-Series Bumper Angular Bull Bar</t>
  </si>
  <si>
    <t>4Runner 2014-2024 (Excl. Limited, Nightshade &amp; TRD Sport)</t>
  </si>
  <si>
    <t>1500 2019-2024 (Excl. 1500 2019-2023 Classic)(Excl. Rebel &amp; Warlock)(Excl. Diesel)</t>
  </si>
  <si>
    <t>F-150 2018-2020 (Excl. Raptor)</t>
  </si>
  <si>
    <t>Square LED Light Kit for Outlaw Front Bumpers, includes 4 HyperQ LED lights and 2 brackets.</t>
  </si>
  <si>
    <t>Outlaw/Pro-Mod Bumper Light Kit Square</t>
  </si>
  <si>
    <t>Round LED Light Kit for Outlaw Front Bumpers, includes 4 Round LED Auxiliary lights and 2 brackets.</t>
  </si>
  <si>
    <t>Outlaw/Pro-Mod Bumper Light Kit Round</t>
  </si>
  <si>
    <t>Outlaw Rear Bumper</t>
  </si>
  <si>
    <t>Silverado/Sierra 1500 2019-2025 (Excl. 2019 Silverado LD/ Sierra 1500 Limited) (Accessory for Outlaw Rear Bumper Only)</t>
  </si>
  <si>
    <t>Outlaw Bumper Hitch Accessory</t>
  </si>
  <si>
    <t>Ram 1500 2019-2025 (Excl. 2019-2023 1500 Classic)</t>
  </si>
  <si>
    <t>Pro-Mod Skid Plate</t>
  </si>
  <si>
    <t>Ram 2500/3500 2019-2025</t>
  </si>
  <si>
    <t>Silverado 1500 2019-2021 &amp; 1500 LTD 2022 (Excl. 2019 LD)</t>
  </si>
  <si>
    <t>Outlaw/Pro-Mod Skid Plate</t>
  </si>
  <si>
    <t>Ram 1500 2019-2024 (Excl. 2019-2023 1500 Classic)(Excl. Rebel &amp; Warlock)</t>
  </si>
  <si>
    <t>Colorado 2015-2020 (Excl. ZR2)</t>
  </si>
  <si>
    <t>2019-2023 Ranger</t>
  </si>
  <si>
    <t>Ram 1500 2013-2018; Ram 1500 Classic 2019-2024 (Excl. Rebel, Warlock &amp; TRX)</t>
  </si>
  <si>
    <t>F-150 2015-2020 (Excl. 2018-2020 EcoBoost)</t>
  </si>
  <si>
    <t>Outlaw Front Bumper</t>
  </si>
  <si>
    <t>Outlaw Nerf Step Bars</t>
  </si>
  <si>
    <t>Silverado/Sierra 1500 Double Cab 2014-2018; Silverado LD/Sierra 1500 Limited Double Cab 2019; 2500/3500 Double Cab 2015-2019</t>
  </si>
  <si>
    <t>Pro-Mod Front Bumper</t>
  </si>
  <si>
    <t>Ram 1500 2019-2024 (Excl. 2019-2023 1500 Classic)(Excl. Rebel, Warlock &amp; TRX)</t>
  </si>
  <si>
    <t>F-150 (Excl. Raptor) 2018-2020</t>
  </si>
  <si>
    <t>Colorado 2015-2022 (Excl. ZR2)</t>
  </si>
  <si>
    <t>1500 2009-2018; Ram 1500 Classic 2019-2024 (Excl. Rebel, Warlock &amp; TRX)</t>
  </si>
  <si>
    <t>Colorado 2015-2018</t>
  </si>
  <si>
    <t>HDX Bandit Rear Bumper</t>
  </si>
  <si>
    <t>Silverado/Sierra 2500-3500 2015-2019</t>
  </si>
  <si>
    <t>F-250/350 2011-2016</t>
  </si>
  <si>
    <t>F-150 2015-2020 (Excl. Raptor)</t>
  </si>
  <si>
    <t>HDX Bandit Front Bumper</t>
  </si>
  <si>
    <t>Silverado 2500/3500 2011-2014</t>
  </si>
  <si>
    <t>Silverado 1500 2019-2021, 1500 LTD 2022 (Excl. 2019 LD)(Excl. Diesel)</t>
  </si>
  <si>
    <t>F-250/350/450/550 2023-2025</t>
  </si>
  <si>
    <t>F-150 2018-2020 (Excl. EcoBoost)(Excl. Raptor)</t>
  </si>
  <si>
    <t>HDX Winch Mount Grille Guard</t>
  </si>
  <si>
    <t>F-150 2021 (Excl. Raptor)</t>
  </si>
  <si>
    <t>HDX Winch Mount Grille Guard Shell</t>
  </si>
  <si>
    <t>F-150 2021-2025 (Excl. Platinum, Raptor &amp; 2022+ Lightning EV)(Excl. W/Sensors)</t>
  </si>
  <si>
    <t>Suburban/Tahoe 2022-2024</t>
  </si>
  <si>
    <t>Suburban/Tahoe 2021-2025</t>
  </si>
  <si>
    <t>2500/3500 2019-2025 (Excl. Power Wagon)</t>
  </si>
  <si>
    <t>F-250/350 2020-2022</t>
  </si>
  <si>
    <t>Silverado 2500/3500 2020-2025</t>
  </si>
  <si>
    <t>1500 2019-2024 (Excl. 1500 Classic)(Excl. Rebel &amp; Warlock)</t>
  </si>
  <si>
    <t>1500 2019-2025 (Excl. 1500 2019-2024 Classic)(Excl. Rebel, Warlock &amp; TRX)(Excl. ECO Diesel)</t>
  </si>
  <si>
    <t>Silverado 1500 2019-2021, 2023-2024 (Excl. ZR2 &amp; 2019 LD)</t>
  </si>
  <si>
    <t>Silverado 1500 2019-2021, 2023-2025 &amp; 2022 1500 LTD (Excl. ZR2 &amp; 2019 LD)(Excl. Diesel)</t>
  </si>
  <si>
    <t>F-250/350 2017-2019</t>
  </si>
  <si>
    <t>F-150/F-150 XL SSV 2015-2020 (Excl. Raptor)</t>
  </si>
  <si>
    <t>Silverado 1500 2014-2015</t>
  </si>
  <si>
    <t>F-150/F-150 XL SSV 2009-2014</t>
  </si>
  <si>
    <t>Silverado 1500 2007-2013 (Excl. Classic)</t>
  </si>
  <si>
    <t>Ladder Rack (Set of 2)</t>
  </si>
  <si>
    <t>HD Ladder Rack</t>
  </si>
  <si>
    <t>Ladder Rack (Single)</t>
  </si>
  <si>
    <t>Accessory for HLR Truck Rack</t>
  </si>
  <si>
    <t>HLR Mini Light Bar Mounts</t>
  </si>
  <si>
    <t>HLR Beacon Light Top Mount</t>
  </si>
  <si>
    <t>HLR Beacon Light Side Mount</t>
  </si>
  <si>
    <t>HLR LED Auxiliary Light Mount</t>
  </si>
  <si>
    <t>HLR LED Light Bar Brackets</t>
  </si>
  <si>
    <t>HLR Adjustable Tie Down - Multi-Point</t>
  </si>
  <si>
    <t>HLR Adjustable Tie Down - Single Point</t>
  </si>
  <si>
    <t>Tacoma 2024</t>
  </si>
  <si>
    <t>HLR Truck Rack</t>
  </si>
  <si>
    <t>Silverado/Sierra 2500/3500 2020-2024</t>
  </si>
  <si>
    <t>HLR Parts Kit and Accessory Kit Set</t>
  </si>
  <si>
    <t>Silverado/Sierra 2500/3500 2020-2025</t>
  </si>
  <si>
    <t>Silverado/Sierra 1500 2019-2024 (Excl. 2019 Silverado LD/Sierra 1500 Limited)</t>
  </si>
  <si>
    <t>Silverado/Sierra 1500 2019-2024 (Excl. 2019 Silverado LD/Sierra 1500 Limited); Silverado/Sierra 2500/3500 2020-2024</t>
  </si>
  <si>
    <t>HLR Hoop 4</t>
  </si>
  <si>
    <t>Silverado/Sierra 1500 2019-2025 (Excl. 2019 Silverado LD/Sierra 1500 Limited)</t>
  </si>
  <si>
    <t>Ram 1500 2019-2024 (Excl. 2019+ 1500 Classic)</t>
  </si>
  <si>
    <t>Tundra 2007-2021</t>
  </si>
  <si>
    <t>Tacoma 2005-2023</t>
  </si>
  <si>
    <t>HLR Hoop 3</t>
  </si>
  <si>
    <t>F-250/F-350 2017-2019-2024</t>
  </si>
  <si>
    <t>F-250/350/450 Super Duty 2017-2025</t>
  </si>
  <si>
    <t>F250/F350 1999-2016</t>
  </si>
  <si>
    <t>F-250/F-350 1999-2024</t>
  </si>
  <si>
    <t>HLR Hoop 2</t>
  </si>
  <si>
    <t>Super Duty 1999-2016</t>
  </si>
  <si>
    <t>F150 2015-2020</t>
  </si>
  <si>
    <t>F-150 2015-2025 (Excl. 2022+ Lightning EV)</t>
  </si>
  <si>
    <t>Ram 1500 2009-2018; Ram 1500 Classic 2019-2023; 2500/3500 2009-2018</t>
  </si>
  <si>
    <t>Ram 1500 2009-2018; Ram 1500 Classic 2019-2024; 2500/3500 2009-2018 (Excl. 5.8ft Bed)</t>
  </si>
  <si>
    <t>Silverado 1500 2007-2018 (Excl Classic); Silverado LD 2019; 2500/3500 2007-2019</t>
  </si>
  <si>
    <t>Silverado 1500 2007-2018 (Excl Classic); Silverado LD 2019; 2500/3500 2007-2019; Ram 1500 2009-2018; Ram 1500 Classic 2019-2023; 2500/3500 2009-2018; F150 2015-2024 (Excl. 2022+ Lightning EV); Tundra 2007-2021; Ram 1500 2019-2024</t>
  </si>
  <si>
    <t>Chevrolet/Ram/Ford/Toyota</t>
  </si>
  <si>
    <t>HLR Hoop 1</t>
  </si>
  <si>
    <t>Ram 1500 2002-2018; 1500 Classic 2019-2023; 2500/3500 2003-2025</t>
  </si>
  <si>
    <t>HD Headache Rack</t>
  </si>
  <si>
    <t>Silverado/Sierra 1500 1999-2018; Silverado LD/Sierra 1500 Limited 2019; Silverado/Sierra 2500/3500 1999-2025; C/K Pickup 1500/2500/3500 1988-2000 (Excl 1988-1991 Crew Cab); F-150 2004-2025 (Excl. 2004 Heritage &amp; 2022+ Lightning EV); Tundra 2007-2021</t>
  </si>
  <si>
    <t>Chevrolet/Ford/GMC/Toyota</t>
  </si>
  <si>
    <t>Silverado/Sierra 1500 1999-2018; Silverado LD/Sierra 1500 Limited 2019; Silverado/Sierra 2500/3500 1999-2025; C/K Pickup 1500/2500/3500 1988-2000 (Excl 1988-1991 Crew Cab); F-150 2004-2025 (Excl. Heritage &amp; 2022+ Lightning EV); Tundra 2007-2021</t>
  </si>
  <si>
    <t>Chevrolet/GMC/Ford/Toyota</t>
  </si>
  <si>
    <t>F-250/350 2008-2025; F-450/550HD 2008-2024</t>
  </si>
  <si>
    <t>F-250/350 2008-2025; 450/550HD 2008-2024</t>
  </si>
  <si>
    <t>H-Rack Oversized Box Bracket</t>
  </si>
  <si>
    <t>Headache Rack Tool Box Bracket</t>
  </si>
  <si>
    <t>HDX Running Boards</t>
  </si>
  <si>
    <t>Gladiator 2020-2024</t>
  </si>
  <si>
    <t>Ranger SuperCrew 2019-2024</t>
  </si>
  <si>
    <t>Ram 1500 Crew Cab 2009-2018; Ram 1500 Classic Crew Cab 2019-2024; 2500/3500 Crew Cab 2010-2025 (Excl Cab Chassis w/Def Tanks)</t>
  </si>
  <si>
    <t>F150 SuperCrew 2015-2025; F250/350 Crew Cab 2017-2025; Lightning 2022-2025</t>
  </si>
  <si>
    <t>Sierra 1500 2022-2025 (Excl. 2022 Old Body)</t>
  </si>
  <si>
    <t>F-150 2021-2025 w/Front Camera (Excl. Raptor, Platinum &amp; 2022+ Lightning EV)</t>
  </si>
  <si>
    <t>F-150 2021-2025 w/o Front Camera (Excl. Platinum, Raptor &amp; 2022+ Lightning EV)</t>
  </si>
  <si>
    <t>Transit 150/250/350 2015-2025 (Excl. 2022+ EV)(W/O Front Sensor)</t>
  </si>
  <si>
    <t>Ram 2500/3500 2019-2025 (Excl. Power Wagon)(Excl. w/Sensors)</t>
  </si>
  <si>
    <t>1500 2019-2024 (Excl. 1500 2019-2023 Classic)(Excl. Rebel, Warlock &amp; TRX)(Excl. ECO Diesel)</t>
  </si>
  <si>
    <t>Sierra 1500 2019-2021; 1500 Limited 2022 (Excl. 2019 Limited)(Excl. Diesel)(Excl. w/Sensors)</t>
  </si>
  <si>
    <t>Sierra 1500 2019-2021; 1500 Limited 2022 (Excl. 2019 Limited)(Excl. Diesel)(Excl. W/ Sensors)</t>
  </si>
  <si>
    <t>Silverado 1500 2019-2021, 2023-2025 &amp; 1500 LTD 2022 (Excl. ZR2 &amp; 2019 LD)(Excl. W/ Sensors)</t>
  </si>
  <si>
    <t>F-250/350 2017-2022 (Excl. Harley Davidson, Limited &amp; Raptor)(w/Front Camera)</t>
  </si>
  <si>
    <t>F-150 2015-2020 (Excl. Platinum &amp; 2017+ Raptor)(W/ Front Camera)</t>
  </si>
  <si>
    <t>Tacoma 2016-2023 (Excl. w/Sensors)</t>
  </si>
  <si>
    <t>Silverado 1500 2016-2018; Silverado LD 2019 (Excl. w/Sensors)</t>
  </si>
  <si>
    <t>Colorado 2015-2022 (Excl. Bison &amp; ZR2)</t>
  </si>
  <si>
    <t>F-150 2015-2020 (Excl. Platinum &amp; 2017+ Raptor)(W/O Front Camera)</t>
  </si>
  <si>
    <t>4Runner SR5/Trail/TRD 2014-2024 (Excl. Limited, Nightshade &amp; TRD Sport)</t>
  </si>
  <si>
    <t>Sierra 2500/3500HD 2015-2019</t>
  </si>
  <si>
    <t>Sierra 2500/3500 2015-2019</t>
  </si>
  <si>
    <t>Silverado 2500/3500HD 2015-2019</t>
  </si>
  <si>
    <t>Tundra 2014-2021 (Excl. w/Sensors)</t>
  </si>
  <si>
    <t>Tundra 2014-2021 (Excl. W/ Sensorrs)</t>
  </si>
  <si>
    <t>Ram 1500 2009-2018 (Excl. Rebel)(Excl. Express &amp; Sport)(Excl. W/Sensors) ; Ram 1500 Classic 2019-2024 (Excl. Rebel &amp; Warlock)(Excl. Express)(Excl. W/Sensors)</t>
  </si>
  <si>
    <t>Ram 1500 2009-2018; Ram 1500 Classic 2019-2024 (Excl. Rebel, Warlock &amp; TRX)(Excl. Sport/Express)</t>
  </si>
  <si>
    <t>F-150 2009-2014 (Excl. w/Sensors)</t>
  </si>
  <si>
    <t>F-250/350 Super Duty 2011-2016</t>
  </si>
  <si>
    <t>F-250/350HD Super Duty 2011-2016</t>
  </si>
  <si>
    <t>Sierra 1500 2022-2025 (Excl. 2022 Old Body)(Excl. AT4X)</t>
  </si>
  <si>
    <t>HDX Grille Guard</t>
  </si>
  <si>
    <t>F-150 2021-2025 w/oFront Camera (Excl. Raptor, Platinum &amp; 2022+ Lightning EV)</t>
  </si>
  <si>
    <t>Transit 150/250/350 2015-2025 (Excl. 2022+ EV)</t>
  </si>
  <si>
    <t>Ram 2500/3500 2019-2025 (Excl. Power Wagon)</t>
  </si>
  <si>
    <t>Silverado 2500/3500 2020-2025 (W/ Sensors)</t>
  </si>
  <si>
    <t>Sierra 1500 2019-2021; 1500 Limited 2022 (Excl. 2019 Limited)(Excl. Diesel)</t>
  </si>
  <si>
    <t>Silverado 1500 2019-2021, 2023-2025 &amp; 1500 LTD 2022 (Excl. ZR2 &amp; 2019 LD) w/Front Sensors</t>
  </si>
  <si>
    <t>Silverado 1500 2019-2025 &amp; 1500 LTD 2022 (Excl. ZR2 &amp; 2019 LD)(Excl. W/ Sensors)</t>
  </si>
  <si>
    <t>F-250/350 2017-2022 w/Front Camera</t>
  </si>
  <si>
    <t>F-150 2015-2020 (Excl. Platinum &amp; Raptor)(W/ Front Camera)</t>
  </si>
  <si>
    <t>Sierra 1500 2016-2018; Sierra 1500 Limited 2019</t>
  </si>
  <si>
    <t>Titan XD 2016-2024</t>
  </si>
  <si>
    <t>F-150 2015-2020 (Excl. Platinum &amp; 2017+ Raptor)(W/O Camera)</t>
  </si>
  <si>
    <t>4Runner Trail/SR5/TRD 2014-2024 (Excl. Limited, Nightshade &amp; TRD Sport)</t>
  </si>
  <si>
    <t>Tundra 2014-2021 (Excl. W/Sensors)</t>
  </si>
  <si>
    <t>Tundra 2014-2021 (Excl. W/ Sensors)</t>
  </si>
  <si>
    <t>Sierra 1500 2014-2015</t>
  </si>
  <si>
    <t>Sierra 2500/3500 2011-2014 (Excl Denali)</t>
  </si>
  <si>
    <t>Silverado 2500HD/3500 2011-2014</t>
  </si>
  <si>
    <t>F-150 2009-2014</t>
  </si>
  <si>
    <t>F-250/350/450/550HD Super Duty 2008-2010</t>
  </si>
  <si>
    <t>Sierra 25/3500HD 2007-2010</t>
  </si>
  <si>
    <t>Silverado 25/3500HD 2007-2010</t>
  </si>
  <si>
    <t>Sierra 1500 2007-2013</t>
  </si>
  <si>
    <t>Tundra 2007-2013</t>
  </si>
  <si>
    <t>F-150 2004-2008</t>
  </si>
  <si>
    <t>Ram 1500 2006-2008; 25/3500 2006-2009</t>
  </si>
  <si>
    <t>Silverado 'Classic' 1500HD/2500LD 2003-2007</t>
  </si>
  <si>
    <t>Silverado 'Classic' 1500 2003-2007</t>
  </si>
  <si>
    <t>Silverado/Sierra 25/3500 Diesel 2017-2019</t>
  </si>
  <si>
    <t>HDX DEF Tank Skid Plate</t>
  </si>
  <si>
    <t>Includes 10 inch LED Lights (set of 2) w/wiring harness</t>
  </si>
  <si>
    <t>HDX Flush Mount B-FORCE LED Light Kit</t>
  </si>
  <si>
    <t>Includes 6 inch LED Lights (set of 2) w/wiring harness</t>
  </si>
  <si>
    <t>HDX Grille Guard LED Light Bracket for 20 or 30 inch LED Bar</t>
  </si>
  <si>
    <t>HDX Grille Guard LED Light Bracket</t>
  </si>
  <si>
    <t>HDX Grille Guard Light Clamps Universal (Pak of 2)</t>
  </si>
  <si>
    <t>HDX Grille Guard Light Clamps</t>
  </si>
  <si>
    <t>2500/3500 Crew Cab 2019-2025 (6.5 ft Bed)</t>
  </si>
  <si>
    <t>HDX Stainless Drop Wheel-to-Wheel Nerf Step Bars</t>
  </si>
  <si>
    <t>Silverado/Sierra 2500/3500 Crew Cab (8' Bed) 2020-2025</t>
  </si>
  <si>
    <t>Silverado/Sierra 2500/3500 Double Cab (8' Bed) 2020-2025</t>
  </si>
  <si>
    <t>Ram 1500 Quad Cab 2019-2025 (6.5' Bed)(Excl. 1500 Classic)</t>
  </si>
  <si>
    <t>Ram 1500 Crew Cab 2019-2025 (6.5' Bed)(Excl. 1500 Classic)</t>
  </si>
  <si>
    <t>Silverado/Sierra 1500 Double Cab 2019-2025 (6.5' Bed)(Excl. 2019 Silverado LD/Sierra 1500 Limited)</t>
  </si>
  <si>
    <t>Ram 1500 Crew Cab 2019-2025 (5'7" Bed)(Excl. 1500 Classic)</t>
  </si>
  <si>
    <t>Silverado/Sierra 1500 Crew Cab 2019-2025 (6.5' Bed) (Excl. 2019 Silverado LD/Sierra 1500 Limited)</t>
  </si>
  <si>
    <t>Silverado/Sierra 1500 Crew Cab 2019-2025 (5.5' Bed) (Excl. 2019 Silverado LD/Sierra 1500 Limited)</t>
  </si>
  <si>
    <t>Silverado/Sierra 1500 Double Cab 2014-2018 (6.5' Bed); Silverado LD/Sierra 1500 Limited Double Cab 2019 (6.5' Bed); 2500/3500 Double Cab 2015-2019 (6.5' Bed) &amp; Dually (8 ft Bed)</t>
  </si>
  <si>
    <t>Silverado/Sierra 2500/3500 Crew Cab 2007-2019 (8' Bed)(Excl. Dually) (Excl. 2007 Classic)</t>
  </si>
  <si>
    <t>Silverado/Sierra 1500 Crew Cab 2007-2018 (6.5' Bed)(Excl. Classic); 2500/3500 Crew Cab 2007-2019 (6.5' Bed) &amp; Dually (8' Bed)</t>
  </si>
  <si>
    <t>Ram 2500/3500 Crew Cab 2019-2025 (8 ft Bed) (Excl. Dually)</t>
  </si>
  <si>
    <t>2500/3500 Crew Cab 2010-2018 (8.0' Bed)(Excl. Dually)</t>
  </si>
  <si>
    <t>Ram 1500 Crew Cab 2009-2018 (6.5' Bed); 1500 Classic Crew Cab 2019-2024 (6.5' Bed); 2500/3500 Crew Cab 2010-2018 (6.5' Bed)</t>
  </si>
  <si>
    <t>Ram 1500 Crew Cab 2009-2018 (5.5' Bed); 1500 Classic Crew Cab 2019-2024 (5.5' Bed)</t>
  </si>
  <si>
    <t>Tacoma Double Cab 2016-2023 (6 ft Bed)</t>
  </si>
  <si>
    <t>F-250/350 Crew Cab 2017-2022 (6.75' Bed)</t>
  </si>
  <si>
    <t>F-250/350/450/550 Crew Cab 1999-2016 (6.75' Bed)</t>
  </si>
  <si>
    <t>HDX Drop Wheel-to-Wheel Nerf Step Bars</t>
  </si>
  <si>
    <t>Silverado/Sierra 1500 Crew Cab 2007-2018 (5.5' Bed) Excl. Classic</t>
  </si>
  <si>
    <t>Ram 2500/3500 Crew Cab 2010-2018 (8' Bed) (Excl. Dually)</t>
  </si>
  <si>
    <t>CyberTuck 2024-2025</t>
  </si>
  <si>
    <t>HDX Xtreme Nerf Step Bars</t>
  </si>
  <si>
    <t>2019-2023 Ranger SuperCab</t>
  </si>
  <si>
    <t>Ram 1500 Quad Cab 2019-2025 (Excl. 1500 Classic)</t>
  </si>
  <si>
    <t>Ram 1500 Crew Cab 2019-2025 (Excl. 1500 Classic)</t>
  </si>
  <si>
    <t>Titan XD Crew Cab 2016-2024; Titan Crew Cab 2017-2024</t>
  </si>
  <si>
    <t>Colorado/Canyon Extended Cab 2015-2022</t>
  </si>
  <si>
    <t>Silverado/Sierra 1500 2007-2018;Silverado/Sierra 2500/3500 Crew Cab 2007-2019 (Excl Classic)</t>
  </si>
  <si>
    <t>Silverado/Sierra 1500 Ext/Double Cab 2007-2018 (Excl. 2007 Classic); Silverado/Sierra 1500 LD/Limited Double Cab 2019; 2500/3500 Ext/Double Cab 2007-2019 (Excl. 2007 Classic)</t>
  </si>
  <si>
    <t>Ram 1500 Crew Cab 2009-2018; 1500 Classic Crew Cab 2019-2024; 2500/3500 Crew Cab 2010-2025 (Excl Cab Chassis w/Def Tank)</t>
  </si>
  <si>
    <t>Wrangler JK 2dr 2007-2018</t>
  </si>
  <si>
    <t>F-250/350/450/550 Super Cab 1999-2016</t>
  </si>
  <si>
    <t>HDX Stainless Drop Nerf Step Bars</t>
  </si>
  <si>
    <t>Frontier Crew Cab 2022-2025</t>
  </si>
  <si>
    <t>Silverado/Sierra 1500 Crew Cab 2007-2018; 2500/3500 Crew Cab 2007-2019 (Excl. Classic)</t>
  </si>
  <si>
    <t>Silverado/Sierra 1500 Crew Cab 2004-2013; 2500/3500 2001-2019 (Body Mount)</t>
  </si>
  <si>
    <t>Silverado/Sierra 1500 Ext Cab 1999-2013; 2500/3500 Extended/Double Cab 2001-2019 (Body Mount)</t>
  </si>
  <si>
    <t>HDX Drop Nerf Step Bars</t>
  </si>
  <si>
    <t>Silverado/Sierra 1500 Regular Cab 2019-2025; Silverado/Sierra 2500/3500 Regular Cab 2020-2025</t>
  </si>
  <si>
    <t>Tacoma Xtracab 2024-2025</t>
  </si>
  <si>
    <t>Tacoma Access Cab 2005-2023</t>
  </si>
  <si>
    <t>57" Length</t>
  </si>
  <si>
    <t>Overland Cargo Rails 57 in.</t>
  </si>
  <si>
    <t>45" Length</t>
  </si>
  <si>
    <t>Overland Cargo Rails 45 in.</t>
  </si>
  <si>
    <t>Tacoma 2005-2025</t>
  </si>
  <si>
    <t>Overland Cargo Rack Base</t>
  </si>
  <si>
    <t>Tacoma 2005-2023 (6ft Bed)</t>
  </si>
  <si>
    <t>Overland Cargo Rack</t>
  </si>
  <si>
    <t>Tacoma 2005-2023 (5ft Bed)</t>
  </si>
  <si>
    <t>Tailgate Mat</t>
  </si>
  <si>
    <t>Universal Mid Size; 54 in x 15 in</t>
  </si>
  <si>
    <t>Tundra 2007-2015</t>
  </si>
  <si>
    <t>Tacoma 2005-2015</t>
  </si>
  <si>
    <t>Silverado/Sierra 2007-2018</t>
  </si>
  <si>
    <t>Chevy/GMC 1999-2006</t>
  </si>
  <si>
    <t>F-150 2004-2014</t>
  </si>
  <si>
    <t>Maverick 2022-2025</t>
  </si>
  <si>
    <t>Truck Bed Mat</t>
  </si>
  <si>
    <t>Silverado/Sierra 1500 2019-2025 (6.5' Bed) (Excl. 2019 Silverado LD/Sierra 1500 Limited)</t>
  </si>
  <si>
    <t>Silverado/Sierra 1500 2019-2025 (5.75' Bed)</t>
  </si>
  <si>
    <t>2019-2023 Ranger SuperCrew (5 ft bed)</t>
  </si>
  <si>
    <t>Ram 1500 2019-2025 (6.5' Bed)(Excl. 2019-2023 Ram 1500 Classic)</t>
  </si>
  <si>
    <t>Ram 1500 2019-2025 (5'7" Bed)(Excl. 2019-2023 Ram 1500 Classic)</t>
  </si>
  <si>
    <t>F-250/350 2017-2025 (8 ft Bed)</t>
  </si>
  <si>
    <t>F-250/350 2017-2025 (6.5 ft Bed)</t>
  </si>
  <si>
    <t>Colorado/Canyon 2015-2022 (6 ft. Bed)</t>
  </si>
  <si>
    <t>Colorado/Canyon 2015-2022 (5 ft. Bed)</t>
  </si>
  <si>
    <t>F-150 2015-2025 (8ft Bed)</t>
  </si>
  <si>
    <t>F-150 2015-2025 (6.5ft Bed)</t>
  </si>
  <si>
    <t>F-150 2015-2025 (5.5ft Bed)</t>
  </si>
  <si>
    <t>Tacoma 2005-2023 (5 ft Bed)</t>
  </si>
  <si>
    <t>Ram 1500 2003-2018; 1500 Classic 2019-2023 (8ft bed)</t>
  </si>
  <si>
    <t>Tundra &amp; Double Cab 1999-2006 (6.5 ft Bed)</t>
  </si>
  <si>
    <t>Tundra 2007-2021 (5.5 ft Bed)</t>
  </si>
  <si>
    <t>Tundra 2007-2021 (6.5 ft Bed)</t>
  </si>
  <si>
    <t>Tacoma 2005-2023 (6 ft Bed)</t>
  </si>
  <si>
    <t>Ram 1500 2009-2018; 1500 Classic 2019-2024 (5.5ft bed)</t>
  </si>
  <si>
    <t>Ram 1500 2002-2018; 1500 Classic 2019-2024; 2500/3500 2002-2018 (6.5 ft bed)</t>
  </si>
  <si>
    <t>Silverado/Sierra 1500/250/3500 1999-2006 (6.5 ft Bed)(Excl. 99-00 C/K); Silverado/Sierra 1500/2500/3500 Classic 2007</t>
  </si>
  <si>
    <t>Silverado/Sierra 1500 2007-2018; Silverado LD 2019; Sierra 1500 Limited 2019; 2500/3500 2007-2019 (8 ft Bed)(Excl. Classic)</t>
  </si>
  <si>
    <t>Silverado/Sierra 1500 2007-2018</t>
  </si>
  <si>
    <t>Silverado/Sierra 1500 2007-2018; Silverado LD 2019; Sierra 1500 Limited 2019; 2500/3500 2007-2019 (6.5 ft Bed)(Excl. Classic)</t>
  </si>
  <si>
    <t>F-250/350 Super Duty 1999-2016 (8ft bed)</t>
  </si>
  <si>
    <t>F-250/350 Super Duty 1999-2016 (6.75ft bed)</t>
  </si>
  <si>
    <t>F-150 2004-2014 (6.5 ft Bed)(Excl. Heritage)</t>
  </si>
  <si>
    <t>F-150 2004-2014 (5.5 ft Bed)(Excl. Heritage)</t>
  </si>
  <si>
    <t>Tacoma 2024-2025 (5.2 ft Bed)</t>
  </si>
  <si>
    <t>Silverado/Sierra 1500 1999-2014 (8 ft Bed); 2500/3500 2001-2014 (8 ft Bed); Ram 1500/2500 1994-2024 (8 ft Bed); F-150 2004-2023 (8 ft Bed)(Excl. Heritage &amp; 2022+ Lightning EV); F-250/350/450/550HD Super Duty 1999-2025 (8 ft Bed); Tundra 2007-2021 (8 ft Bed)</t>
  </si>
  <si>
    <t>Chevrolet/GMC/Dodge/Ram/Ford/Toyota</t>
  </si>
  <si>
    <t>Platinum Oval Bed Rails</t>
  </si>
  <si>
    <t>F-150 2004-2014 (6.5 ft Bed)(Excl. Heritage Edition); F-250/350/450/550 Super Duty 1999-2024 (6.75 ft Bed)</t>
  </si>
  <si>
    <t>Silverado/Sierra (6.5' Bed) 1993-2013; Ram 2500/3500 (6.5' Bed) 1994-2024; F-150 (6.5' Bed) 2015-2025 (Excl. 2022+ Lightning EV); Ranger (6.0' bed) 1998-2011; Ram 1500 (6.5' Bed) 1994-2018; Ram 1500 Classic (6.5' Bed) 2019-2023</t>
  </si>
  <si>
    <t>Silverado/Sierra 2007-2013 (5.5 ft Bed); Ram 1500 2009-2018 (5.5 ft Bed); Ram 1500 Classic 2019-2023 (5.5 ft Bed); F-150 2004-2025 (5.5 ft Bed) (Excl. 2004 Heritage &amp; 2022+ Lightning EV)</t>
  </si>
  <si>
    <t>Tundra CrewMax 2007-2021 (5.5 ft Bed)</t>
  </si>
  <si>
    <t>Universal 47.5 in</t>
  </si>
  <si>
    <t>Universal 36 in</t>
  </si>
  <si>
    <t>For SI 12000 and 15000 Hydraulic Winches</t>
  </si>
  <si>
    <t>Motor</t>
  </si>
  <si>
    <t>For SI 10000 and H10P Hydraulic Winches</t>
  </si>
  <si>
    <t>For SI 8000 and H8P Hydraulic Winches</t>
  </si>
  <si>
    <t>For SI 8000. 10000, 12000 and 15000 Hydraulic Winches</t>
  </si>
  <si>
    <t>SI Small Parts Kit</t>
  </si>
  <si>
    <t>Accessory Roller Fairlead for SH1000 Narrow Drum Hoist</t>
  </si>
  <si>
    <t>Roller Fairlead</t>
  </si>
  <si>
    <t>Clevis Flag w/Logo 1 inch x 12 inch</t>
  </si>
  <si>
    <t>Clevis Flag</t>
  </si>
  <si>
    <t>Replacement Roller Fairlead for SI 8/10/12/15/18 Hydraulic Winches Narrow Drum; Tiger Shark 15000/18000 Winches</t>
  </si>
  <si>
    <t>Cable Tensioner for SI 8/10/12/15/18 Hydraulic Winches Narrow Drum</t>
  </si>
  <si>
    <t>Cable Tensioner</t>
  </si>
  <si>
    <t>Replacement Contactor for SI Small Frame 24V DC Winch</t>
  </si>
  <si>
    <t>Contactor</t>
  </si>
  <si>
    <t>Replacement Contactor for S5500/S7500 12V Winches</t>
  </si>
  <si>
    <t>Brake Kit H15P</t>
  </si>
  <si>
    <t>Control Box Relocation Cablke Kit for SX10/12 Winches.</t>
  </si>
  <si>
    <t>Control Box Relocation Cable Kit SX10/12</t>
  </si>
  <si>
    <t>Replacement Latches for Winch2Go and Winch2Go SR Winches</t>
  </si>
  <si>
    <t>Winch2Go Replacement Latches</t>
  </si>
  <si>
    <t>Tensioner Kit For Tiger Shark 66.7kN</t>
  </si>
  <si>
    <t>Tensioner Kit Tiger Shark 66.7kN</t>
  </si>
  <si>
    <t>Replacement Brush Kit for Tiger Shark 9500/11500 and SX10/12 Winches</t>
  </si>
  <si>
    <t>Repl Brush Kit TS 9500/11500 &amp; SX10/12</t>
  </si>
  <si>
    <t>Replacement Hardware Kit for Terra 2500/2500SR/3500/3500SR/4500/4500SR, Winch2Go, Winch2Go SR, LT2000, LT3000, LT4000, LT4000SR, and UT3000 Winches</t>
  </si>
  <si>
    <t>Replacement Hardware Kit Terra/W2G/LT/UG</t>
  </si>
  <si>
    <t>Replacement Hardware Kit for SX 10/10SR/12/12SR, Tiger Shark 9500/9500SR/11500/11500SR</t>
  </si>
  <si>
    <t>Replacement Hardware Kit SX10/12</t>
  </si>
  <si>
    <t>Replacement Hardware Kit for Tiger Shark 15000/15000SR/18000/18000SR 12V/24V Winches</t>
  </si>
  <si>
    <t>Replacement Hardware Kit TS15/18</t>
  </si>
  <si>
    <t>Replacement Socket Assembly for the AC 1500 Winch.</t>
  </si>
  <si>
    <t>Remote Control Socket AC1500</t>
  </si>
  <si>
    <t>Replacement Remote Control for the AC 1500 Winch.</t>
  </si>
  <si>
    <t>Remote Control Wired AC1500</t>
  </si>
  <si>
    <t>Replacement Control Box/Motor for the AC 1500 Winch.</t>
  </si>
  <si>
    <t>Control Box Kit</t>
  </si>
  <si>
    <t>For the AC 1500 Winch. Includes Bushings, Bearings, and Set Screw.</t>
  </si>
  <si>
    <t>Small Parts Kit AC1500</t>
  </si>
  <si>
    <t>Replacement Motor for LP8500 and LP10000 Winches</t>
  </si>
  <si>
    <t>Replacement Motor for LP8500/10000 Winch</t>
  </si>
  <si>
    <t>Replacement Clutch Assembly for LP8500 and LP10000 Winches</t>
  </si>
  <si>
    <t>Replacement Clutch Assembly LP8500/10000</t>
  </si>
  <si>
    <t>For LP8500 and LP10000 Winches. Includes Bushings, Bearings, O-Rings, and Gaskets.</t>
  </si>
  <si>
    <t>Small Parts Kit for LP8500/10000</t>
  </si>
  <si>
    <t>Replacement Clutch Assembly for S5500, S5500SR, S7500, and S7500SR Winches</t>
  </si>
  <si>
    <t>Replacement Clutch Assembly S5500/7500</t>
  </si>
  <si>
    <t>Replacement 24V Circuit Breaker for LT; LP; UT series winches; Tiger Shark 9500/11500/35K; S5500/S7500 Winches</t>
  </si>
  <si>
    <t>Repl. Circuit Brkr LT/LP/UT/TS9500/11500</t>
  </si>
  <si>
    <t>Replacement 24V Solenoid for Tiger Shark 9500/11500/35K, SX10/12 Winches</t>
  </si>
  <si>
    <t>Repl. Solenoid 24V TS9500/11500 SX10/12</t>
  </si>
  <si>
    <t>Replacement Socket Assembly for Winch2Go and Winch2Go SR Winches</t>
  </si>
  <si>
    <t>Socket Assembly Winch2Go/Winch2GoSR</t>
  </si>
  <si>
    <t>Replacement Cables for Winch2Go and Winch2Go SR Winches</t>
  </si>
  <si>
    <t>Cables Winch2Go/Winch2GoSR</t>
  </si>
  <si>
    <t>For LT3000/4000/4000SR, Winch2Go, and Winch2Go SR Winches. Includes Bushings, Bearings, O-Rings, and Seals.</t>
  </si>
  <si>
    <t>Small Parts Kit LT3000/4000/4000SR W2G</t>
  </si>
  <si>
    <t>Replacement Hawse aluminum fairlead for SP 35/35SR/45/45SR Winches</t>
  </si>
  <si>
    <t>Hawse Fairlead for SP 35/35SR/45/45SR</t>
  </si>
  <si>
    <t>Replacement Wiring Harness for SP 35/35SR/45/45SR Winches</t>
  </si>
  <si>
    <t>Repl Wiring Harness SP 35/35SR/45/45SR</t>
  </si>
  <si>
    <t>Replacement Socket Assembly for SP 35/35SR/45/45SR Winches</t>
  </si>
  <si>
    <t>Socket Assembly SP 35/35SR/45/45SR</t>
  </si>
  <si>
    <t>Replacement Motor for SP 45/45SR</t>
  </si>
  <si>
    <t>Replacement Motor SP 45/45SR Winches</t>
  </si>
  <si>
    <t>Replacement Motor for SP 35/35SR</t>
  </si>
  <si>
    <t>Replacement Motor SP 35/35SR Winches</t>
  </si>
  <si>
    <t>Replacement Cables for SP 35/35SR/45/45SR Winches</t>
  </si>
  <si>
    <t>Replacement Cables SP 35/35SR/45/45SR</t>
  </si>
  <si>
    <t>For SP 35/35SR/45/45SR. Includes Bushings, Bearings, O-Rings, and Gaskets.</t>
  </si>
  <si>
    <t>Small Parts Kit SP 35/35SR/45/45SR</t>
  </si>
  <si>
    <t>Synthetic Rope Protective Sleeve</t>
  </si>
  <si>
    <t>Replacement Motor for Tiger Shark 18K/66.7kN 24V Winches</t>
  </si>
  <si>
    <t>Replacement Control Box for Tiger Shark 18K/66.7 kN Winch</t>
  </si>
  <si>
    <t>Control Box Tiger Shark 66.7 kN 24V</t>
  </si>
  <si>
    <t>Replacement Contactor for Tiger Shark 18K/66.7 kN Winch</t>
  </si>
  <si>
    <t>Replacement Contactor Tiger Shark 24V</t>
  </si>
  <si>
    <t>For Tiger Shark 15000/15000SR. Includes Seals, Bushings, Bearings and Brake Assembly.</t>
  </si>
  <si>
    <t>Small Parts Kit</t>
  </si>
  <si>
    <t>Replacement Clutch Assembly for Tiger Shark 15000/15000SR</t>
  </si>
  <si>
    <t>Replacement Clutch Assembly</t>
  </si>
  <si>
    <t>Rated for Working Loads up to 18,000 lbs.</t>
  </si>
  <si>
    <t>Winch Hook</t>
  </si>
  <si>
    <t>For S5500, S5500SR, S7500, and S7500SR Winches</t>
  </si>
  <si>
    <t>Power Cable Kit</t>
  </si>
  <si>
    <t>For S5500, S5500SR, S7500, and S7500SR Winches. Includes Seals, Bushings, Bearings and Brake Assembly.</t>
  </si>
  <si>
    <t>Replacement Motor for S5500, S5500SR, S7500, and S7500SR Winches</t>
  </si>
  <si>
    <t>Replacement Motor</t>
  </si>
  <si>
    <t>For Terra 2500/2500SR/3500/3500SR/4500/4500SR. Includes Bushings, Bearings, O-Rings, and Tie Bars.</t>
  </si>
  <si>
    <t>Replacement Socket Assembly for 2500/2500SR/3500/3500SR/4500/4500SR Winches</t>
  </si>
  <si>
    <t>Socket Assembly</t>
  </si>
  <si>
    <t>Replacement Handlebar Switch for 2500/2500SR/3500/3500SR/4500/4500SR Winches</t>
  </si>
  <si>
    <t>Handlebar Switch</t>
  </si>
  <si>
    <t>Replacement Cables for 2500/2500SR/3500/3500SR/4500/4500SR Winches</t>
  </si>
  <si>
    <t>Cables</t>
  </si>
  <si>
    <t>Replacement Contactor for 2500/2500SR/3500/3500SR/4500/4500SR Winches</t>
  </si>
  <si>
    <t>Replacement Motor for Terra 4500/4500SR Winches</t>
  </si>
  <si>
    <t>Replacement Motor for Terra 3500/3500SR Winches</t>
  </si>
  <si>
    <t>Replacement Motor for Terra 2500/2500SR Winches</t>
  </si>
  <si>
    <t>For SX 10/10SR/12/12SR.</t>
  </si>
  <si>
    <t>SX10/12 (Rated for Working Loads up to 12,000 lbs)</t>
  </si>
  <si>
    <t>Hook</t>
  </si>
  <si>
    <t>Replacemet Hawse Fairlead SX10SR/12SR; Tiger Shark 15000SR/18000SR Winches (Includes M10 Mounting Hardware)</t>
  </si>
  <si>
    <t>Hawse Fairlead</t>
  </si>
  <si>
    <t>Replacement Cables for Tiger Shark 18000/18000SR/15000/15000SR/66.7kN Winches</t>
  </si>
  <si>
    <t>For SX 10/10SR/12/12SR. Includes Seals, Bushings, Bearings and Brake Assembly.</t>
  </si>
  <si>
    <t>Replacement Contactor for Tiger Shark 18000/18000SR/15000/15000SR Winches</t>
  </si>
  <si>
    <t>Replacement Clutch Assembly for SX10/10SR/12/12SR</t>
  </si>
  <si>
    <t>Replacement Remote Control for SX10/10SR/12/12SR.</t>
  </si>
  <si>
    <t>Remote Control Wired</t>
  </si>
  <si>
    <t>For Tiger Shark 18000/18000SR/66 kN Winches. Includes Seals, Bushings, Bearings, and Brake Assembly</t>
  </si>
  <si>
    <t>Replacement Motor for SX 12/12SR. Includes Motor and Roller Bearing</t>
  </si>
  <si>
    <t>Replacement Clutch for Tiger Shark 18000/18000SR Winches</t>
  </si>
  <si>
    <t>Clutch</t>
  </si>
  <si>
    <t>Replacement Motor for SX 10/10SR. Includes Motor and Roller Bearing</t>
  </si>
  <si>
    <t>Replacement Motor for Tiger Shark 18000/18000SR/15000/15000SR Winches. Includes Motor and Roller Bearing</t>
  </si>
  <si>
    <t>Replacement Socket Assembly for SX 10/10SR/12/12SR. Include Remote Control Socket and Wiring.</t>
  </si>
  <si>
    <t>Remote Control Socket</t>
  </si>
  <si>
    <t>Replacement Control Box for Tiger Shark 18000/18000SR/15000/15000SR Winches. Includes Control Box, Remote Socket, Motor Cables, Power Cable, Contactor, Hardware</t>
  </si>
  <si>
    <t>Control Box</t>
  </si>
  <si>
    <t>Replacement Control Box for SX 10/10SR/12/12SR. Includes Control Box, Remote Socket, Motor Cables, Power Cable, Contactor, Drum Light Wiring, Hardware. (Does not include wireless receiver)</t>
  </si>
  <si>
    <t>Replacement Drum Assembly for Tiger Shark 9500/11500</t>
  </si>
  <si>
    <t>Drum Assembly</t>
  </si>
  <si>
    <t>Clevis Hook for LT3000/AC1500 1/4 IN.</t>
  </si>
  <si>
    <t>Rated for Working Loads up to 7,500 lbs.</t>
  </si>
  <si>
    <t>Replacement Motor (6.0HP) for SX12 Winches</t>
  </si>
  <si>
    <t>Replacement Motor (5.5HP) for SX10 Winches</t>
  </si>
  <si>
    <t>Replacement Wired Remote for SX10/12 Winches</t>
  </si>
  <si>
    <t>Wired Remote</t>
  </si>
  <si>
    <t>Replacement Hawse Fairlead for SX10SR/12SR Winches</t>
  </si>
  <si>
    <t>Replacement Tie Bar w/Led Light for SX10/12 Winches</t>
  </si>
  <si>
    <t>Tie Bar w/Led Light</t>
  </si>
  <si>
    <t>Replacement Clutch Handle for SX10/12 Winches</t>
  </si>
  <si>
    <t>Clutch Handle</t>
  </si>
  <si>
    <t>For Tiger Shark 9500/9500SR/11500/11500SR Winches. Includes Seals, Bushings, Bearings and Brake Assembly.</t>
  </si>
  <si>
    <t>Replacement Socket Assembly for SX10/12 Winches</t>
  </si>
  <si>
    <t>Replacement Solenoid Box Assembly for Tiger Shark 11500 &amp; 9500</t>
  </si>
  <si>
    <t>Solenoid Box Assembly</t>
  </si>
  <si>
    <t>Replacement Motor for Talon 9.5/14.0 Winches</t>
  </si>
  <si>
    <t>Replacement Remote Control with 15' cable for S3000/S3500/S4000/S4500/S5500/S7500/S9000; X9 Winches; C1000 Crane Winch (3 pin plug)</t>
  </si>
  <si>
    <t>Remote Control</t>
  </si>
  <si>
    <t>Replacement Motor for Tiger Shark 11500 Winch</t>
  </si>
  <si>
    <t>Replacement Motor for Tiger Shark 9500 Winch</t>
  </si>
  <si>
    <t>Replacement Brake Assembly for Tiger Shark 9500/11500</t>
  </si>
  <si>
    <t>Brake Assembly</t>
  </si>
  <si>
    <t>Replacement Roller Fairlead for Tiger Shark 13500/15500/17500 Winches</t>
  </si>
  <si>
    <t>Replacement Remote Control for Tiger Shark 9500/11500; LP8500/10000; UT3000 Winches</t>
  </si>
  <si>
    <t>Replacement Roller Fairlead for Tiger Shark 9500/11500, SX10/12 Winches</t>
  </si>
  <si>
    <t>Replacement Solenoid for Tiger Shark 9500/11500/35K, SX10/12 Winches</t>
  </si>
  <si>
    <t>Solenoid TS9500/11500/35K &amp; SX10/12</t>
  </si>
  <si>
    <t>Replacement Brake for Tiger Shark 9500</t>
  </si>
  <si>
    <t>Brake</t>
  </si>
  <si>
    <t>Replacement Wire Rope 7/16" diameter x 82' length for the Tiger Shark 15000 Winch</t>
  </si>
  <si>
    <t>Wire Winch Rope Tiger Shark 15K</t>
  </si>
  <si>
    <t>Replacement Synthetic Rope 15/32" diameter x 78' length for the Tiger Shark 15000SR Winch</t>
  </si>
  <si>
    <t>Synthetic Winch Rope Tiger Shark 15000SR</t>
  </si>
  <si>
    <t>Replacement Synthetic Rope 1/4 in x 40ft. For SP 35SR/45SR Winches</t>
  </si>
  <si>
    <t>Synthetic Winch Rope 40' SP 35SR/45SR</t>
  </si>
  <si>
    <t>Replacement Wire Rope 15/64 in x 40 ft. for SP 35/45 Winches</t>
  </si>
  <si>
    <t>Wire Winch Rope 40' for SP 35/45 Winches</t>
  </si>
  <si>
    <t>Replacement Synthetic Rope 33/64" diameter x 78.7' length for Tiger Shark 18000SR 12V/24V Winches</t>
  </si>
  <si>
    <t>Synthetic Winch Rope</t>
  </si>
  <si>
    <t>Motor Carbon brush set for S5500 &amp; S7500 winch</t>
  </si>
  <si>
    <t>Brush Assembly</t>
  </si>
  <si>
    <t>Replacement Synthetic Rope 3/8" diameter x 80' length for Tiger Shark 9500/11500SR, SX10/12SR</t>
  </si>
  <si>
    <t>Replacement Socket Assembly for Tiger Shark 15000/18000 Winches</t>
  </si>
  <si>
    <t>Repl Socket Assembly Tiger Shark 15K/18K</t>
  </si>
  <si>
    <t>Replacement Clutch Handle for Tiger Shark 13500/15500/17500 Winches</t>
  </si>
  <si>
    <t>Rated for Working Loads up to 12,000 Lbs.</t>
  </si>
  <si>
    <t>Replacement Wire Rope 3/8" diameter x 80' length for Tigershark 11500; NX10000 Winches</t>
  </si>
  <si>
    <t>Wire Winch Rope</t>
  </si>
  <si>
    <t>Replacement Wire Rope 5/16" diameter x 95' length for Tigershark 9500; Talon 9500/12500 Winches</t>
  </si>
  <si>
    <t>Replacement Socket Assembly for Tiger Shark 9500/9500SR/11500/11500SR/18000/18000SR; LP8500/10000; UT3000 Winches</t>
  </si>
  <si>
    <t>Replacement Hawse Aluminum Fairlead for Tiger Shark 9.5/11.5/15/18 &amp; 35kN Winches</t>
  </si>
  <si>
    <t>Replacement Clutch Handle for Tiger Shark 9500/11500 Winches</t>
  </si>
  <si>
    <t>Replacement Clutch Handle for Talon 14/18 Winches/4</t>
  </si>
  <si>
    <t>Replacement Synthetic Dyneema Rope 1/2" diameter x 90' length for Talon 14.0SR 12V/18.0SR 12V Winches</t>
  </si>
  <si>
    <t>Replacement Steel Wire Rope 29/64" diameter x 85' (11.5mm x 26m) length for Talon 14/18; Tiger Shark 18K Winches</t>
  </si>
  <si>
    <t>Wire Winch Rope Tiger Shark 18K 12/24V</t>
  </si>
  <si>
    <t>Replacement Clutch Handle for Talon 9500/12500 Winches</t>
  </si>
  <si>
    <t>Gearbox Coupling for Talon 9500/12500</t>
  </si>
  <si>
    <t>Coupling</t>
  </si>
  <si>
    <t>Drum Bushing</t>
  </si>
  <si>
    <t>Drum Bushing-Pair</t>
  </si>
  <si>
    <t>Snatch Block rated to 12,000 lbs</t>
  </si>
  <si>
    <t>Snatch Block</t>
  </si>
  <si>
    <t>Replacement Socket Assembly for S3000/S3500/S4000/S4500/S5500/S7500/S9000; X9 Winches; C1000 Crane Winch</t>
  </si>
  <si>
    <t>Replacement Wire Rope 3/8" diameter x 85' length for LP8500/LP10000, SX10/12 Winches</t>
  </si>
  <si>
    <t>Replacement Solenoid for LP8500 Gen 2; LP10000 Winches</t>
  </si>
  <si>
    <t>Solenoid</t>
  </si>
  <si>
    <t>Replacement Hawse steel for LP8500 Winch</t>
  </si>
  <si>
    <t>Replacement Remote Control with 30' cable for S3000/S3500/S4000/S4500/S5500/S7500/S9000; X9 Winches; C1000 Crane Winch</t>
  </si>
  <si>
    <t>Replacement Motor Cover for S5500/S7500 Winches (3 pin plug)</t>
  </si>
  <si>
    <t>Motor Cover</t>
  </si>
  <si>
    <t>Replacement Fairlead Assembly for S5500/S7500 Winches</t>
  </si>
  <si>
    <t>Fairlead Assembly</t>
  </si>
  <si>
    <t>Replacement Drum for S7500</t>
  </si>
  <si>
    <t>Drum</t>
  </si>
  <si>
    <t>Replacement Drum for S5500</t>
  </si>
  <si>
    <t>Brake for S5500/7500</t>
  </si>
  <si>
    <t>Replacement Motor for S5500/S7500 24V Winches</t>
  </si>
  <si>
    <t>Replacement Motor for S5500/S7500 12V Winches</t>
  </si>
  <si>
    <t>Baseplate for S5500/S7500 Winches</t>
  </si>
  <si>
    <t>S5500 Drum Cover, Plastic, Yellow</t>
  </si>
  <si>
    <t>Drum Cover</t>
  </si>
  <si>
    <t>Replacement Clutch Handle for S5500/S7500 Winches</t>
  </si>
  <si>
    <t>Replacement Synthetic Rope 5/16" diameter x 55' length for S5500/S7500 Synthetic Winch</t>
  </si>
  <si>
    <t>Replacement Wire Rope 5/16" diameter x 55' length for S5500/S7500 Winches</t>
  </si>
  <si>
    <t>Replacement Contactor for S5500/S7500 24V Winches</t>
  </si>
  <si>
    <t>Replacement Hawse Aluminum for Terra 45SR/4500SR Winches</t>
  </si>
  <si>
    <t>Replacement Hawse Aluminum for Terra 25SR/2500SR/35SR/3500SR Winches</t>
  </si>
  <si>
    <t>Replacement Socket Assembly for Terra 25/35/45 Winches</t>
  </si>
  <si>
    <t>Replacement Synthetic Rope 1/4" Diameter X 50' Length for Terra 4500SR</t>
  </si>
  <si>
    <t>Synthetic Winch Rope 14/ in. x 30 ft. for Terra 25SR/2500SR/35SR/3500SR; LT 4000 Synthetic Winches; Winch2Go</t>
  </si>
  <si>
    <t>Replacement Wire Rope 15/64" Diameter X 50' Length for Terra 4500</t>
  </si>
  <si>
    <t>Replacement Wire Rope 5.4MMX9.2M Length for Terra 25/2500/35/3500; LT2000/3000/4000; UT3000 Winches; Winch2Go</t>
  </si>
  <si>
    <t>Replacement Motor for Terra 25 Winch</t>
  </si>
  <si>
    <t>Replacement Roller Fairlead for Terra 25/2500/35/3500 Winches</t>
  </si>
  <si>
    <t>Replacement Roller Fairlead for Terra 45/4500 Winches</t>
  </si>
  <si>
    <t>Mounting Plate For LT UTV Winches</t>
  </si>
  <si>
    <t>Replacement Motor for LT4000 Winch; Winch2Go</t>
  </si>
  <si>
    <t>Replacement Hawse aluminum for LT4000SR Winch</t>
  </si>
  <si>
    <t>Replacement Control Box for UT3000 12V Winch</t>
  </si>
  <si>
    <t>Replacement Circuit Breaker for Terra, LT, and UT Winches; 100 AMP Rating</t>
  </si>
  <si>
    <t>Circuit Breaker</t>
  </si>
  <si>
    <t>Replacement Socket Assembly for LT2500/3000/4000 Winches</t>
  </si>
  <si>
    <t>Replacement Roller Fairlead for LT2000/3000/4000 Winches</t>
  </si>
  <si>
    <t>Replacement Remote Control for LT3000/4000 and Winch2Go Winches</t>
  </si>
  <si>
    <t>Replacement Rocker Switch for LT3000/4000 Winches</t>
  </si>
  <si>
    <t>Switch</t>
  </si>
  <si>
    <t>Replacement Solenoid for LT3000, LT4000 &amp; Winch2Go</t>
  </si>
  <si>
    <t>Replacement Drum for LT3000 Winch</t>
  </si>
  <si>
    <t>Replacement Motor for LT3000 Winch</t>
  </si>
  <si>
    <t>Replacement Remote Control for LT2000 Winches</t>
  </si>
  <si>
    <t>Remote Control LT2000</t>
  </si>
  <si>
    <t>Snatch Block rated to 36,000 lbs</t>
  </si>
  <si>
    <t>Snatch Block rated to 20,000 lbs</t>
  </si>
  <si>
    <t>Husky 24V and X9 24V Winches</t>
  </si>
  <si>
    <t>Winch Motor, 24V, 2.0kW</t>
  </si>
  <si>
    <t>Replacement Motor for the Tiger Shark 35 Winch 24V</t>
  </si>
  <si>
    <t>Motor Tiger Shark 35 24V</t>
  </si>
  <si>
    <t>Emergency Disconnect Switch for Tiger Shark 35 Winches</t>
  </si>
  <si>
    <t>Emergency Disconnect Switch</t>
  </si>
  <si>
    <t>Tensioner H15P</t>
  </si>
  <si>
    <t>Air Clutch for H8P/H10P Winches</t>
  </si>
  <si>
    <t>Air Clutch</t>
  </si>
  <si>
    <t>Replacement Roller Fairlead for H8P/H10P Hydraulic Winches Standard Drum</t>
  </si>
  <si>
    <t>Replacement Drum Seal for LT-3000 Winch</t>
  </si>
  <si>
    <t>Drum Seal</t>
  </si>
  <si>
    <t>Replacement Drum Bearing for LT-3000 Winch</t>
  </si>
  <si>
    <t>Drum Bearing</t>
  </si>
  <si>
    <t>Wrangler JL 2018-2025; Gladiator 2020-2025 (Excl. Diesel)</t>
  </si>
  <si>
    <t>Control Box Relocation Bracket SX10/12</t>
  </si>
  <si>
    <t>1" diameter x 30' long, black, rated at 10,000 lbs. Working Load, 30,950 lbs. Max Strength. Includes a durable black water resistant storage bag with Superwinch logo</t>
  </si>
  <si>
    <t>Kinetic Recovery Rope</t>
  </si>
  <si>
    <t>Recovery Traction Boards (Pair)</t>
  </si>
  <si>
    <t>Recovery Boards</t>
  </si>
  <si>
    <t>Universal/Tacoma 2016-2023, 4Runner 40th Anniv/SR5 &amp; Premium/TRD Off-Road &amp; Pro/Trail/Venture 2014-2023 (Excl. Limited/Nightshade/TRD Sport)</t>
  </si>
  <si>
    <t>Auxiliary Battery Mount</t>
  </si>
  <si>
    <t>4" wide x 8' long with reinforced closed-loop ends rated at 30,000 lbs</t>
  </si>
  <si>
    <t>Tree Trunk Protector</t>
  </si>
  <si>
    <t>2" wide x 8' long with reinforced closed-loop ends rated at 20,000 lbs</t>
  </si>
  <si>
    <t>3" wide x 30' long with reinforced closed-loop ends rated at 26,000 lbs</t>
  </si>
  <si>
    <t>Recovery Strap</t>
  </si>
  <si>
    <t>For use on winch ropes 5/16"-1/2" diameter</t>
  </si>
  <si>
    <t>Winch Hook Snubber</t>
  </si>
  <si>
    <t>Size XL</t>
  </si>
  <si>
    <t>Winching Gloves</t>
  </si>
  <si>
    <t>For use on winch ropes 5/32"-1/4" diameter</t>
  </si>
  <si>
    <t>Includes: (2) 3/4" Bow Shackles rated at 10,000 lbs, (1) 2"x8' Tree Trunk Protector rated at 20,000 lbs, (1) 3"x30' Recovery Strap rated at 26,000 lbs, (1) Winching Gloves, Denier Gear Bag</t>
  </si>
  <si>
    <t>Getaway Recovery Kit</t>
  </si>
  <si>
    <t>Includes: (1) 8,8000 lb Snatch Block, (1) 1/2" Bow Shackles rated at 4,400 lbs, (2) 1"x8' Tree Trunk Protector rated at 10,000 lbs, (1) Winching Gloves, Denier Gear Bag</t>
  </si>
  <si>
    <t>Recovery Kit Light Duty</t>
  </si>
  <si>
    <t>Includes: (1) 20,000 lb Snatch Block, (2) 3/4" Bow Shackles rated at 10,000 lbs, (1) 2"x30" Recovery Strap rated at 20,000 lbs, (1) 2"x8' Tree Trunk Protector rated at 20,000 lbs, (1) Winch Hook Snubber, (1) Winching Gloves, Heavy Duty Denier Gear Bag</t>
  </si>
  <si>
    <t>Recovery Kit Medium Duty</t>
  </si>
  <si>
    <t>Includes: (1) 36,000 lb Snatch Block, (2) 3/4" Bow Shackles rated at 10,000 lbs, (1) 4"x8' Tree Trunk Protector rated at 30,000 lbs, (1) 3"x30' Recovery Strap rated at 26,000 lbs, (1) 10 ft of 5/16" grade-1 Choker Chain, (1) Winching Gloves, Heavy Duty Denier Gear Bag</t>
  </si>
  <si>
    <t>Recovery Kit Heavy Duty</t>
  </si>
  <si>
    <t>1/2" Soft Shackle; 38,000 lbs. breaking strength</t>
  </si>
  <si>
    <t>Soft Shackle</t>
  </si>
  <si>
    <t>Fits 2" Class III/IV Hitch Receiver rated at 10,000 lbs; includes 3/4" bow shackle with 7/8" pin</t>
  </si>
  <si>
    <t>Receiver Shackle Bracket</t>
  </si>
  <si>
    <t>Heavy duty vinyl type material with lead free weight, interior accessory pockets, and hook &amp; loop fasteners. 19.5" x 16.75" with white Superwinch logo</t>
  </si>
  <si>
    <t>Winch Rope Dampener</t>
  </si>
  <si>
    <t>(2) 3/4" with 7/8" diameter pin; 10,000 lb capacity</t>
  </si>
  <si>
    <t>Bow Shackle</t>
  </si>
  <si>
    <t>2" wide x 30' long with reinforced closed-loop ends rated to 20,000lbs</t>
  </si>
  <si>
    <t>Polaris RZR Pro R 2020-2024</t>
  </si>
  <si>
    <t>UTV Winch Bumper RZR Pro XP</t>
  </si>
  <si>
    <t>Polaris RZR Pro XP 2020-2024</t>
  </si>
  <si>
    <t>UTV Winch Bumper RZR Pro XP 2020-2024</t>
  </si>
  <si>
    <t>Bronco 2021-2025 (Excl. Raptor &amp; Sport)</t>
  </si>
  <si>
    <t>Hidden Winch Mount</t>
  </si>
  <si>
    <t>Use with LT2000 Winch only. Kit includes: Weather Sealed Rocker Switch with Mounting Hardware, High Amp Relay Control Box &amp; Owner's Manual.</t>
  </si>
  <si>
    <t>ATV Handlebar Switch Upgrade Kit</t>
  </si>
  <si>
    <t>Neoprene Material with Superwinch Logo for use with LT Series; Terra Series; UT Series Winches</t>
  </si>
  <si>
    <t>Winch Cover</t>
  </si>
  <si>
    <t>Replacement Roller Fairlead for LP10000 Winch</t>
  </si>
  <si>
    <t>(2) 1/2" with 5/8" diameter pin; 4,400 lb capacity</t>
  </si>
  <si>
    <t>1" wide x 8' long with reinforced closed-loop ends and rated to 10,000 lbs</t>
  </si>
  <si>
    <t>24V;Includes: wireless receiver and transmitter</t>
  </si>
  <si>
    <t>Replacement Wireless Remote Kit 24V</t>
  </si>
  <si>
    <t>Includes: wireless receiver and transmitter</t>
  </si>
  <si>
    <t>Replacement Wireless Remote Kit</t>
  </si>
  <si>
    <t>Includes: wireless receiver, transmitter, lanyard and all required wiring, adapters and hardware. For all 12V electric Superwinch winches (Excl. hydraulic)(Excl. LT2000 Winch)</t>
  </si>
  <si>
    <t>Wireless Remote Kit</t>
  </si>
  <si>
    <t>Remote Control with 12 ft cable for Terra 25/25SR/2500/2500SR/35/35SR/3500/3500SR/45/45SR/4500/4500SR; Tiger Shark 13500/15000/1500SR/15500/17500/18000/18000SR; NX-1 Winches; SH1000 Hoists</t>
  </si>
  <si>
    <t>Remote Control for Tiger Shark 9500/9500SR/11500/11500SR/18000/18000SR; LP8500/10000; UT3000 Winches</t>
  </si>
  <si>
    <t>Remote Control with 15' cable for S3000/S3500/S4000/S4500/S5500/S7500/S9000; X9 Winches; C1000 Crane Winch</t>
  </si>
  <si>
    <t>Remote Control with 30' cable for S3000/S3500/S4000/S4500/S5500/S7500/S9000; X9 Winches; C1000 Crane Winch</t>
  </si>
  <si>
    <t>Electrical Connectors for winches up to 18,000 lbs</t>
  </si>
  <si>
    <t>Quick Connect</t>
  </si>
  <si>
    <t>Pulley Block rated to 12,000 lbs</t>
  </si>
  <si>
    <t>Pulley Block</t>
  </si>
  <si>
    <t>Pulley Block rated to 8,000 lbs</t>
  </si>
  <si>
    <t>Pulley Block with Hook</t>
  </si>
  <si>
    <t>Replacement Circuit Breaker for LP; Tiger Shark 9500/113500/35K; S5500/S7500 Winches; 150 AMP Rating</t>
  </si>
  <si>
    <t>Cir Bkr LP TS9500/113500/35K S5500/S7500</t>
  </si>
  <si>
    <t>For use with SX 10000, Talon 9.5, Tiger Shark 9500, LP 8500/10000, Terra 45, UT3000 and SX 45 Winches. Includes: Mounting Hardware, Fairlead Adapter Plate and Hitch Pin; Works With Any 2" Receiver Hitch.</t>
  </si>
  <si>
    <t>Cradle Hitch Mount</t>
  </si>
  <si>
    <t>24' Leadwire, electrical connectors and cable ties. Fits 5,000-18,000 lb Winches</t>
  </si>
  <si>
    <t>Quick Connect Front Wiring Kit 24'</t>
  </si>
  <si>
    <t>5' Leadwire, electrical connectors and cable ties. Fits 5,000-18,000 lb Winches</t>
  </si>
  <si>
    <t>Quick Connect Front Wiring Kit</t>
  </si>
  <si>
    <t>Neoprene Material with Superwinch Logo for use with S Series</t>
  </si>
  <si>
    <t>Winch Cover S Series Winches</t>
  </si>
  <si>
    <t>Neoprene Materialwith Superwinch Logo for use with Talon 9.5 (non-integrated) Talon 12.5; Tiger Shark 13500/15500/17500 Winches</t>
  </si>
  <si>
    <t>Neoprene Material with Superwinch Logo for use with Sx 10000/12000; Talon 9.5 Integrated Winches</t>
  </si>
  <si>
    <t>Neoprene Material with Superwinch Logo for use with LP Series; Tiger Shark 9500/11500</t>
  </si>
  <si>
    <t>4500 lbs., 12V DC, 1/4 in. x 50 ft. Synthetic rope, sealed solenoid with circuit breaker, handheld remote control and handlebar switch, 1.8 hp, 3 stage planetary, 198:1 gear ratio, aluminum hawse fairlead, mounting plate.</t>
  </si>
  <si>
    <t>Terra 4500SR Winch</t>
  </si>
  <si>
    <t>4500 lbs., 12V DC, 15/64 in. x 50 ft. Steel rope, sealed solenoid with circuit breaker, handheld remote control and handlebar switch, 1.8 hp, 3 stage planetary, 198:1 gear ratio, 4 way roller fairlead, mounting plate.</t>
  </si>
  <si>
    <t>Terra 4500</t>
  </si>
  <si>
    <t>4,500 lbs., 12 VDC, 1/4 in x 40 ft. synthetic rope, sealed solenoid with circuit breaker, handheld remote control and dash mounted switch, 1.8 hp, 3-stage planetary, 198:1 gear ratio, hawse fairlead</t>
  </si>
  <si>
    <t>SP 45SR Winch</t>
  </si>
  <si>
    <t>4,500 lbs., 12 VDC, 15/64 in x 40 ft. steel rope, sealed solenoid with circuit breaker, handheld remote control and dash mounted switch, 3-stage planetary, 198:1 gear ratio, roller fairlead</t>
  </si>
  <si>
    <t>SP 45 Winch</t>
  </si>
  <si>
    <t>4,000 lbs, 12 VDC, 3/16 in x 50 ft synthetic rope, 12 ft corded handheld remote, 1.4 Hp, 166:1 gear ratio, steel baseplate with integrated hawse fairlead. Includes: (2) 8 ft straps rated at 4,000 lbs, (3) D-Shackles rated at 4,000 lbs, (1) Snatch Block rated at 8,000 lbs, (1) 10 ft quick connect power cord and leather gloves.</t>
  </si>
  <si>
    <t>Winch2Go SR</t>
  </si>
  <si>
    <t>4,000 lbs, 12 VDC, 7/32 in x 40 ft steel rope, 12 ft corded handheld remote, 1.4 Hp, 166:1 gear ratio, steel baseplate with integrated hawse fairlead. Includes: (2) 8 ft straps rated at 4,000 lbs, (3) D-Shackles rated at 4,000 lbs, (1) Snatch Block rated at 8,000 lbs, (1) 10 ft quick connect power cord and leather gloves</t>
  </si>
  <si>
    <t>Winch2Go Steel Rope</t>
  </si>
  <si>
    <t>3500 lbs., 12V DC, 7/32 in. x 32 ft. Synthetic rope, sealed solenoid with circuit breaker, handheld remote control and handlebar switch, 1.6 hp, 3 stage planetary, 198:1 gear ratio, aluminum hawse fairlead, mounting plate.</t>
  </si>
  <si>
    <t>Terra 3500SR Winch</t>
  </si>
  <si>
    <t>3500 lbs., 12V DC, 7/32 in. x 32 ft. steel rope, sealed solenoid with circuit breaker, handheld remote control and handlebar switch, 1.6 hp, 3 stage planetary, 198:1 gear ratio, 4 way roller fairlead, mounting plate.</t>
  </si>
  <si>
    <t>Terra 3500 Winch</t>
  </si>
  <si>
    <t>3,500 lbs., 12 VDC, 7/32 in x 40 ft. synthetic rope, sealed solenoid with circuit breaker, handheld remote control and dash mounted switch, 3-stage planetary, 198:1 gear ratio, hawse fairlead</t>
  </si>
  <si>
    <t>SP 35SR Winch</t>
  </si>
  <si>
    <t>3,500 lbs., 12 VDC, 7/32 in x 40 ft. steel rope, sealed solenoid with circuit breaker, handheld remote control and dash mounted switch, 3-stage planetary, 198:1 gear ratio, roller fairlead</t>
  </si>
  <si>
    <t>SP 35 Winch</t>
  </si>
  <si>
    <t>2500 lbs., 12V DC, 3/16 in. x 40 ft. Synthetic rope, sealed solenoid with circuit breaker, handheld remote control and handlebar switch, 1.5 hp, 3 stage planetary, 138:1 gear ratio, aluminum hawse fairlead, mounting plate.</t>
  </si>
  <si>
    <t>Terra 2500SR Winch</t>
  </si>
  <si>
    <t>2500 lbs., 12V DC, 3/16 in. x 40 ft. steel rope, sealed solenoid with circuit breaker, handheld remote control and handlebar switch, 1.5 hp, 3 stage planetary, 138:1 gear ratio, 4 way roller fairlead, mounting plate.</t>
  </si>
  <si>
    <t>Terra 2500 Winch</t>
  </si>
  <si>
    <t>For SI 8000, 10000, 12000, AND 15000 Hydraulic Winches</t>
  </si>
  <si>
    <t>Brake Kit for SI Hydraulic Winches</t>
  </si>
  <si>
    <t>7,500 lbs, 24 VDC, 5/16 in x 54 ft synthetic rope, 30.5 ft handheld remote control, 3.6 Hp, mechanical brake, 3-stage planetary, 249:1 gear ratio, stainless steel 2-way fairlead</t>
  </si>
  <si>
    <t>S7500SR Winch</t>
  </si>
  <si>
    <t>7,500 lbs, 24 VDC, 5/16 in x 54 ft steel rope, 30.5 ft handheld remote control, 3.6 Hp, mechanical brake, 3-stage planetary, 249:1 gear ratio, stainless steel 2-way fairlead</t>
  </si>
  <si>
    <t>S7500 Winch</t>
  </si>
  <si>
    <t>7,500 lbs, 12 VDC, 5/16 in x 55 ft synthetic rope, 30.5 ft handheld remote control, 3.6 Hp, mechanical brake, 3-stage planetary, 249:1 gear ratio, stainless steel 2-way fairlead</t>
  </si>
  <si>
    <t>7,500 lbs, 12 VDC, 5/16 in x 55 ft steel rope, 30.5 ft handheld remote control, 3.6 Hp, mechanical brake, 3-stage planetary, 249:1 gear ratio, stainless steel 2-way fairlead</t>
  </si>
  <si>
    <t>5,500 lbs, 24 VDC, 1/4 in x 60 ft synthetic rope, 30.5 ft handheld remote control, 3.6 Hp, mechanical brake, 3-stage planetary, 185:1 gear ratio, stainless steel 2-way fairlead</t>
  </si>
  <si>
    <t>S5500SR Winch</t>
  </si>
  <si>
    <t>5,500 lbs, 24 VDC, 7/32 in x 60 ft steel rope, 30.5 ft handheld remote control, 3.6 Hp, mechanical brake, 3-stage planetary, 185:1 gear ratio, stainless steel 2-way fairlead</t>
  </si>
  <si>
    <t>S5500 Winch</t>
  </si>
  <si>
    <t>5,500 lbs, 12 VDC, 1/4 in x 60 ft synthetic rope, 30.5 ft handheld remote control, 3.6 Hp, mechanical brake, 3-stage planetary, 185:1 gear ratio, stainless steel 2-way fairlead</t>
  </si>
  <si>
    <t>5,500 lbs, 12 VDC, 9/32 in x 60 ft steel rope, 30.5 ft handheld remote control, 3.6 Hp, mechanical brake, 3-stage planetary, 185:1 gear ratio, stainless steel 2-way fairlead</t>
  </si>
  <si>
    <t>3,000 lbs, 12 VDC, 3/16 in x 40 ft steel rope, circuit breaker protected, 12 ft handheld remote control, 1.2 Hp, dynamic brake, 1-stage planetary, 153:1 gear ratio, zinc plated 4-way roller fairlead</t>
  </si>
  <si>
    <t>UT3000 Winch</t>
  </si>
  <si>
    <t>2,000 lbs, 12 VDC, 5/32 in x 49 ft steel rope, circuit breaker protected, 8 ft handheld remote control, 1.0 Hp, no brake, 1-stage planetary, 153:1 gear ratio, no fairlead</t>
  </si>
  <si>
    <t>LT2000 Winch</t>
  </si>
  <si>
    <t>4,000 lbs, 12 VDC, 3/16 in x 50 ft synthetic rope, sealed solenoid, 12 ft handheld remote control and handle bar switch, 1.4 Hp, automatic load holding brake, 3-stage planetary, 166:1 gear ratio, aluminum hawse fairlead</t>
  </si>
  <si>
    <t>LT4000SR Winch</t>
  </si>
  <si>
    <t>4,000 lbs, 12 VDC, 3/16 in x 50 ft steel rope, sealed solenoid, 12 ft handheld remote control and handle bar switch, 1.4 Hp, automatic load holding brake, 3-stage planetary, 166:1 gear ratio, zinc plated 4-way roller fairlead</t>
  </si>
  <si>
    <t>LT4000 Winch</t>
  </si>
  <si>
    <t>3,000 lbs, 12 VDC, 3/16 in x 50 ft steel rope, sealed solenoid, 12 ft handheld remote, 1.2 Hp, automatic load holding brake, 1-stage planetary, 136:1 gear ratio, zinc plated 4-way roller fairlead</t>
  </si>
  <si>
    <t>LT3000 Winch</t>
  </si>
  <si>
    <t>2,000 lbs, 12 VDC, 5/32 in x 49 ft steel rope, dual relays and circuit breaker protected, handle bar mounted switch, 1.0 Hp, dynamic brake, 1-stage planetary, 153:1 gear ratio, zinc plated 4-way roller fairlead</t>
  </si>
  <si>
    <t>EN Compliant, 35KN, 24 VDC, no rope, weather sealed solenoid, handheld remote control, 6.0 Hp, 3-stage planetary, 218:1 gear ratio and stainless steel 4-way roller fairlead</t>
  </si>
  <si>
    <t>Tiger Shark 35 Winch 24v</t>
  </si>
  <si>
    <t>EN Compliant, 35KN, 24 VDC, 10 MM x 21.3 M steel rope, weather sealed solenoid, handheld remote control, 3.2 Hp, 3-stage planetary, 218:1 gear ratio and stainless steel 4-way roller fairlead</t>
  </si>
  <si>
    <t>Tiger Shark 35 Winch</t>
  </si>
  <si>
    <t>EN Compliant, 35KN, 12 VDC, no rope, weather sealed solenoid, handheld remote control, 6.0 Hp, 3-stage planetary, 218:1 gear ratio and stainless steel 4-way roller fairlead</t>
  </si>
  <si>
    <t>EN Compliant, 35KN, 12 VDC, 10 MM x 21.3 M steel rope, weather sealed solenoid, handheld remote control, 6.0 Hp, 3-stage planetary, 218:1 gear ratio and stainless steel 4-way roller fairlead</t>
  </si>
  <si>
    <t>EN Compliant, 35KN, 12 VDC, no rope, weather sealed solenoid, handheld remote control, 6.0 Hp, 3-stage planetary, 218:1 gear ratio and aluminum hawse fairlead</t>
  </si>
  <si>
    <t>1,5000 lbs., 1.1 HP 120V AC permanent magnetic motor, standard drum, dynamic motor brake, planetary gear, 262:1 gear ratio; kit includes: 10ft remote control, 1/8 In x 35ft. wire rope, roller fairlead, and 9.6ft power cord</t>
  </si>
  <si>
    <t>AC 1500 Winch</t>
  </si>
  <si>
    <t>12,000 lbs., 12 VDC, 3/8 in x 80 ft. synthetic rope, ergo handheld remote control, 6.0 HP, automatic brake, 3-stage planetary, 231:1 gear ratio, ergo pull and turn freespool clutch, aluminum hawse fairlead</t>
  </si>
  <si>
    <t>SX12SR Winch</t>
  </si>
  <si>
    <t>12,000 lbs., 12 VDC, 3/8 in x 80 ft. synthetic rope, ergo handheld remote control, wireless remote, 6.0 HP, automatic brake, 3-stage planetary, 231:1 gear ratio, ergo pull and turn freespool clutch, aluminum hawse fairlead</t>
  </si>
  <si>
    <t>12,000 lbs., 12 VDC, 3/8 in x 85 ft. wire rope, ergo handheld remote control, 6.0 HP, automatic brake, 3-stage planetary, 231:1 gear ratio, ergo pull and turn freespool clutch, stainless steel 4-way roller fairlead</t>
  </si>
  <si>
    <t>SX12 Winch</t>
  </si>
  <si>
    <t>10,000 lbs., 12 VDC, 3/8 in x 80 ft. synthetic rope, ergo handheld remote control, 5.5 HP, automatic brake, 3-stage planetary, 218:1 gear ratio, ergo pull and turn freespool clutch, aluminum hawse fairlead</t>
  </si>
  <si>
    <t>SX10SR Winch</t>
  </si>
  <si>
    <t>10,000 lbs., 12 VDC, 3/8 in x 80 ft. synthetic rope, ergo handheld remote control, wireless remote, 5.5 HP, automatic brake, 3-stage planetary, 218:1 gear ratio, ergo pull and turn freespool clutch, aluminum hawse fairlead</t>
  </si>
  <si>
    <t>10,000 lbs., 12 VDC, 3/8 in x 85 ft. wire rope, ergo handheld remote control, 5.5 HP, automatic brake, 3-stage planetary, 218:1 gear ratio, ergo pull and turn freespool clutch, stainless steel 4-way roller fairlead</t>
  </si>
  <si>
    <t>SX10 Winch</t>
  </si>
  <si>
    <t>Synthetic Rope for Hand Hauler 1000 Winch</t>
  </si>
  <si>
    <t>Hand Hauler 1000 Winch Repl. Synth. Rope</t>
  </si>
  <si>
    <t>Remote Control for Hand Hauler 1000 Winch</t>
  </si>
  <si>
    <t>Hand Hauler 1000 Winch Repl. Remote</t>
  </si>
  <si>
    <t>Battery Charger for Hand Hauler 1000 Winch</t>
  </si>
  <si>
    <t>Hand Hauler 1000 Winch Battery Charger</t>
  </si>
  <si>
    <t>Battery for Hand Hauler 1000 Winch</t>
  </si>
  <si>
    <t>Hand Hauler 1000 Winch Repl. Battery</t>
  </si>
  <si>
    <t>Soft Shackle Rope end safely replaces metal hook,28' Synthetic rope,24 VDC 1,000 lbs rated line pull,2.0AH Lithium Battery &amp; Charger,13' handheld wired remote control,Wireless remote works up to 50',DC Brushed Motor,Variable Speed,LED Display</t>
  </si>
  <si>
    <t>Hand Hauler 1000 Winch</t>
  </si>
  <si>
    <t>9,500 lbs, 12 VDC, 3/8 in x 80 ft synthetic rope, weather sealed solenoid, handheld remote control, 5.2 Hp, 3-stage planetary, 218:1 gear ratio and aluminum hawse fairlead</t>
  </si>
  <si>
    <t>Tiger Shark 9500SR Winch</t>
  </si>
  <si>
    <t>9,500 lbs, 12 VDC, 11/32 in x 95 ft steel rope, weather sealed solenoid, handheld remote control, 5.2 Hp, 3-stage planetary, 218:1 gear ratio and stainless steel 4-way roller fairlead</t>
  </si>
  <si>
    <t>Tiger Shark 9500 Winch</t>
  </si>
  <si>
    <t>18,000 lbs., 24 VDC, 33/64 in. x 78.7 ft. synthetic rope, handheld remote control with 30 ft. cable, 6.8 HP, automatic cone brake, 3-stage planetary, 345:1 gear ratio, freespool clutch, aluminum hawse fairlead</t>
  </si>
  <si>
    <t>Tiger Shark 18000SR Winch 24V</t>
  </si>
  <si>
    <t>18,000 lbs., 24 VDC, 29/64 in x 85 ft. wire rope, handheld remote control with 30 ft. cable, 6.8 HP, automatic cone brake, 3-stage planetary, 345:1 gear ratio, freespool clutch, 4-way roller fairlead</t>
  </si>
  <si>
    <t>Tiger Shark 18000 Winch 24V</t>
  </si>
  <si>
    <t>66.7 kN, Meets EN 14492-1, CE Compliance, 24VDC, No Rope, handheld remote control with 30 ft cable, 6.8 HP, automatic brake, 3-stage planetary, 345:1 gear ratio, freespool clutch, 4-way roller fairlead</t>
  </si>
  <si>
    <t>Tiger Shark 66.7 kN EN 24V Winch</t>
  </si>
  <si>
    <t>18,000 lbs., 12 VDC, 33/64 in. x 78.7 ft. synthetic rope, handheld remote control, 6.8 HP, automatic cone brake, 3-stage planetary, 345:1 gear ratio, freespool clutch, aluminum hawse fairlead</t>
  </si>
  <si>
    <t>Tiger Shark 18000SR Winch</t>
  </si>
  <si>
    <t>18,000 lbs., 12 VDC, 29/64 in x 85 ft. wire rope, handheld remote control, 6.8 HP, automatic cone brake, 3-stage planetary, 345:1 gear ratio, freespool clutch, 4-way roller fairlead</t>
  </si>
  <si>
    <t>Tiger Shark 18000 Winch</t>
  </si>
  <si>
    <t>15,000 lbs., 12 VDC, 15/32 in. x 78 ft. synthetic rope, handheld remote control, 6.8 HP, automatic brake, 3-stage planetary, 262:1 gear ratio, freespool clutch, aluminum hawse fairlead</t>
  </si>
  <si>
    <t>Tiger Shark 15000SR Winch</t>
  </si>
  <si>
    <t>15,000 lbs., 12 VDC, 7/16 in. x 82 ft. wire rope, handheld remote control, 6.8 HP, automatic brake, 3-stage planetary, 262:1 gear ratio, freespool clutch, 4-way roller fairlead</t>
  </si>
  <si>
    <t>Tiger Shark 15000 Winch</t>
  </si>
  <si>
    <t>11,500 lbs, 12 VDC, 3/8 in x 80 ft synthetic rope, weather sealed solenoid, handheld remote control, 5.8 Hp, 3-stage planetary, 218:1 gear ratio and aluminum hawse fairlead</t>
  </si>
  <si>
    <t>Tiger Shark 11500SR Winch</t>
  </si>
  <si>
    <t>11,500 lbs, 12 VDC, 3/8 in x 84 ft steel rope, weather sealed solenoid, handheld remote control, 5.8 Hp, 3-stage planetary, 218:1 gear ratio and stainless steel 4-way roller fairlead</t>
  </si>
  <si>
    <t>Tiger Shark 11500 Winch</t>
  </si>
  <si>
    <t>F-150 2009-2020; F-250/350 2020-2025 (Excl. Platinum &amp; 2017+ Raptor)</t>
  </si>
  <si>
    <t>MAX Winch Tray Face Plate</t>
  </si>
  <si>
    <t>Silverado 1500 2014-2025 &amp; 1500 LTD 2022; Silverado LD 2019; Silverado 2500/3500 2007-2025</t>
  </si>
  <si>
    <t>Tow Hook (1 per)</t>
  </si>
  <si>
    <t>MAX Winch Tray Tow Hook</t>
  </si>
  <si>
    <t>Use with Hawse Fairlead Winches</t>
  </si>
  <si>
    <t>Winch Mount License Plate Re-locator</t>
  </si>
  <si>
    <t>Use with Roller Fairlead Winches</t>
  </si>
  <si>
    <t>Ram 1500 2009-2018; Ram 1500 Classic 2019-2024 (Exclude Warlock, Rebel &amp; TRX)</t>
  </si>
  <si>
    <t>MAX Tray Bull Bar/Light Bar</t>
  </si>
  <si>
    <t>F-150 2009-2020; F-250/350 2020-2025 (Excl. 2017 &amp; up Raptor Edition) (Excl. Platinum Edition)</t>
  </si>
  <si>
    <t>F-250/350/450/550 Super Duty 2008-2016</t>
  </si>
  <si>
    <t>2500/3500 2010-2025</t>
  </si>
  <si>
    <t>Silverado 1500 2007-2025 &amp; 1500 LTD 2022; Sierra 2007-2015 (Excl. 2007 Classic); Silverado LD 2019; Silverado 2500/3500 2015-2025; Tahoe/Suburban 2015-2020 (Excl. Suburban 2500HD/3500HD)</t>
  </si>
  <si>
    <t>Colorado/Canyon 2015-2022; Tacoma 2005-2015</t>
  </si>
  <si>
    <t>Chevrolet/GMC/Toyota</t>
  </si>
  <si>
    <t>Colorado/Canyon 2015-2022; Tacoma 2005-2023</t>
  </si>
  <si>
    <t>MAX Winch Tray</t>
  </si>
  <si>
    <t>Ram 2500/3500 2019-2025 (Exclude Power Wagon)</t>
  </si>
  <si>
    <t>1500 2019-2025 (Excl. 2019-2024 1500 Classic)(Excl. Rebel, Warlock &amp; TRX)(Excl. ECO Diesel)</t>
  </si>
  <si>
    <t>Silverado 1500 2019-2021, 2022 LTD, 2023-2025 (Excl. 2019 LD)</t>
  </si>
  <si>
    <t>Wrangler JL 2dr/Wrangler JL Unlimited 4dr 2018-2025; Gladiator 2020-2025</t>
  </si>
  <si>
    <t>WJ2 Winch Tray</t>
  </si>
  <si>
    <t>F-250/350 2017-2025; F-450/550 2023-2024</t>
  </si>
  <si>
    <t>Colorado/Canyon 2015-2020</t>
  </si>
  <si>
    <t>F-150/F-150 XL SSV 2015-2025 (Excl. Raptor and Lightning)</t>
  </si>
  <si>
    <t>Ram 1500 Special Service Vehicle 2013-2018; Ram 1500 Classic Special Service Vehicle 2019-2024</t>
  </si>
  <si>
    <t>Silverado 25/3500 2007-2010 (Excl Classic)</t>
  </si>
  <si>
    <t>Silverado/Sierra 1500 2014-2015</t>
  </si>
  <si>
    <t>Silverado/Sierra 1500 2007-2013</t>
  </si>
  <si>
    <t>Silverado 25/3500 HD Classic 2003-2007</t>
  </si>
  <si>
    <t>Silverado 1500LD Classic 2003-2007</t>
  </si>
  <si>
    <t>Wrangler Unlimited 4dr 2007-2011; Wrangler 2dr 2007-2011</t>
  </si>
  <si>
    <t>Transmission Pan Skid Plate</t>
  </si>
  <si>
    <t>Wrangler JL Unlimited 4dr 2018-2025 (Exclude 4xe)</t>
  </si>
  <si>
    <t>Gas Tank Skid Plate</t>
  </si>
  <si>
    <t>Wrangler JL 2018-2025 (Excl. 4xe)</t>
  </si>
  <si>
    <t>Muffler Skid Plate</t>
  </si>
  <si>
    <t>Wrangler JL 2dr/Wrangler JL Unlimited 4dr 2018-2025 (Excl. 4xe, Diesel, Turbo &amp; V8); 2020-2025 Gladiator (Excl. Diesel &amp; Turbo)</t>
  </si>
  <si>
    <t>Oil Pan Skid Plate</t>
  </si>
  <si>
    <t>Transfer Case Skid Plate</t>
  </si>
  <si>
    <t>Wrangler JL 2dr/Wrangler JL Unlimited 4dr 2018-2025 (Excl. Diesel, Manual Trans, Turbo)(Excl. 4xe)</t>
  </si>
  <si>
    <t>Wrangler JK 2012-2018</t>
  </si>
  <si>
    <t>Evap Canister Skid Plate</t>
  </si>
  <si>
    <t>Oil Pan/Transmission Skid Plate</t>
  </si>
  <si>
    <t>Rock Slider Steps</t>
  </si>
  <si>
    <t>Triple Tube Rock Rail Steps</t>
  </si>
  <si>
    <t>Silverado 1500 2019-2021, 2022-2025 &amp; 1500 LTD 2022 (Excl. 2019 LD)</t>
  </si>
  <si>
    <t>HDX Bandit Bumper Sensor Kit</t>
  </si>
  <si>
    <t>Sportsman X Grille Guard</t>
  </si>
  <si>
    <t>Ram 1500 2019-2024 (Excl. 1500 Classic, Rebel, Warlock &amp; TRX)</t>
  </si>
  <si>
    <t>Silverado 1500 2019-2021, 2023-2025 (Excl. ZR2 &amp; 2019 LD)</t>
  </si>
  <si>
    <t>Grand Cherokee 2014-2021</t>
  </si>
  <si>
    <t>Frontier 2012-2021</t>
  </si>
  <si>
    <t>Sportsman X Grille Guard accessory for 1500/2500/3500 trucks. Includes 26 inch Double Row LED with harness.</t>
  </si>
  <si>
    <t>Sportsman X Light Kit</t>
  </si>
  <si>
    <t>Sportsman X Sensor Kit</t>
  </si>
  <si>
    <t>Silverado 1500 2019-2025 &amp; 1500 LTD 2022 (Excl. 2019 LD); Sierra 1500 2019-2025 &amp; 1500 Limited 2022 (Excl. 2019 Limited)</t>
  </si>
  <si>
    <t>Small Trucks / SUV's with sensors</t>
  </si>
  <si>
    <t>Sportsman X Mesh Panel</t>
  </si>
  <si>
    <t>F-150 2015-2020; Tundra 2014-2021</t>
  </si>
  <si>
    <t>Ford/Toyota</t>
  </si>
  <si>
    <t>Silverado 1500 2016-2018; Silverado LD 2019; Ram 1500 2009-2018; Ram 1500 Classic 2019-2024</t>
  </si>
  <si>
    <t>Colorado 2015-2022; Frontier 2012-2021; 4Runner 2014-2024 (Excl. Limited, Nightshade &amp; TRD Sport); Tacoma 2005-2015</t>
  </si>
  <si>
    <t>Chevrolet/Nissan/Toyota</t>
  </si>
  <si>
    <t>Sportsman Grille Guard</t>
  </si>
  <si>
    <t>Silverado 1500 2019-2025 (Excl. 2019 LD)(Excl. W/ Sensors)</t>
  </si>
  <si>
    <t>Colorado 2/4 WD 2015-2022 (Excl. Bison &amp; ZR2)</t>
  </si>
  <si>
    <t>Explorer 2011-2015</t>
  </si>
  <si>
    <t>Silverado 1500LD 2007-2013</t>
  </si>
  <si>
    <t>FJ Cruiser 2006-2014</t>
  </si>
  <si>
    <t>Escalade EXT/ESV 2007-2013 (Excl Platinum); Yukon/Yukon XL 1500 2007-2014 (Excl Hybrid)</t>
  </si>
  <si>
    <t>Cadillac/GMC</t>
  </si>
  <si>
    <t>F-150 2006-2008</t>
  </si>
  <si>
    <t>Ram 1500 2006-2008; 25/3500/Mega Cab (Excl Sport/LaRamie) 2006-2009</t>
  </si>
  <si>
    <t>F-250/350/450/550HD Super Duty 2005-2007; Excursion 2005</t>
  </si>
  <si>
    <t>Colorado 2004-2011; Canyon 2004-2012; I-Series 2006-2008</t>
  </si>
  <si>
    <t>Titan King/Crew Cab 2004-2015; Armada 2004-2015</t>
  </si>
  <si>
    <t>Tundra (Excl D-Cab) 2003-2006</t>
  </si>
  <si>
    <t>Silverado 2500HD/3500 'Classic' 2003-2007</t>
  </si>
  <si>
    <t>Sierra 'Classic' 1500LD 2003-2007</t>
  </si>
  <si>
    <t>Ram 1500 2002-2005; 25/3500 2003-2005</t>
  </si>
  <si>
    <t>Silverado 'Classic' 1500LD 2003-2007; Avalanche w/ out Cladding 2003-2006</t>
  </si>
  <si>
    <t>Tacoma 1998-2004</t>
  </si>
  <si>
    <t>Ranger/Ranger 'Edge' 2001-2005; B-Series 2001-2010</t>
  </si>
  <si>
    <t>Ford/Mazda</t>
  </si>
  <si>
    <t>Explorer Sport 2001-2004; Sport Trac 2001-2006</t>
  </si>
  <si>
    <t>Sierra 1500LD 1999-2002; Yukon/Yukon XL 2000-2006 (Excl Denali)</t>
  </si>
  <si>
    <t>F-150/250LD 4WD 1997-2004 (Heritage Edition); F-150 Super Crew 4WD 2001-2003; Expedition 4WD 1997-2002</t>
  </si>
  <si>
    <t>F-250/350/450/550HD Super Duty 1999-2004 (Excl. Harley Davidson Edition) ; Excursion 2000-2004</t>
  </si>
  <si>
    <t>Silverado 1500LD 1999-2002; Suburban/Tahoe 2000-2006</t>
  </si>
  <si>
    <t>Dakota 1997-2004; Durango 1998-2003</t>
  </si>
  <si>
    <t>Mercedes-Benz Sprinter 2019-2025</t>
  </si>
  <si>
    <t>Active Cruise Control Relocator Sprinter</t>
  </si>
  <si>
    <t>2019-2022 Ranger (Accessory for Pro-Mod &amp; Outlaw Front Bumper)</t>
  </si>
  <si>
    <t>Active Cruise Control Relocator</t>
  </si>
  <si>
    <t>F-150 2015-2020; F-150 Raptor 2017-2020 (Accessory for Pro-Series, Pro-Mod &amp; Outlaw Front Bumpers)</t>
  </si>
  <si>
    <t>Accessory for 57-3970 for 1500 2019-2024 (Excl. 1500 Classic)</t>
  </si>
  <si>
    <t>Tube-Mount Sensor Relocator</t>
  </si>
  <si>
    <t>Ram 1500 2009-2018; 1500 Classic 2019-2024; 2500/3500 2010-2018</t>
  </si>
  <si>
    <t>Sensor Relocator</t>
  </si>
  <si>
    <t>Silverado/Sierra 1500 2014-2018; Silverado LD/Sierra 1500 Limited 2019; Silverado/Sierra 2500/3500 2015-2019; Tahoe/Suburban 2015-2020 (Excl. Suburban 2500HD/3500HD)</t>
  </si>
  <si>
    <t>XTS Bronco Overhead Light Mount</t>
  </si>
  <si>
    <t>Ultimate LED Bull Bar</t>
  </si>
  <si>
    <t>Silverado 1500 2019-2021, 2023-2025 &amp; 1500 LTD 2022 (Excl. 2019 LD)</t>
  </si>
  <si>
    <t>4Runner 2010-2024 (Excl. 14+ Limited)(Excl. Nightshade)(Excl. 22+ TRD Sport)</t>
  </si>
  <si>
    <t>F-150 2015-2022 (Excl. Raptor)(Excl. 2022 Lightning EV)</t>
  </si>
  <si>
    <t>Tundra 2007-2021; Sequoia 2008-2022</t>
  </si>
  <si>
    <t>Ultimate Bull Bar</t>
  </si>
  <si>
    <t>Colorado/Canyon 2015-2022</t>
  </si>
  <si>
    <t>Pathfinder 2005-2007; Frontier 2005-2017; Xterra 2005-2015</t>
  </si>
  <si>
    <t>F-150 2004-2008; Mark LT 2006-2008</t>
  </si>
  <si>
    <t>Ford/Lincoln</t>
  </si>
  <si>
    <t>Tundra 1999-2006; Sequoia 2001-2007</t>
  </si>
  <si>
    <t>HD LED Bar Clamp for 2in diameter tube</t>
  </si>
  <si>
    <t>HD 2in Bar Clamp Bracket</t>
  </si>
  <si>
    <t>F-150 2011-2012 W/EcoBoost Only</t>
  </si>
  <si>
    <t>Bull Bar License Plate Bracket</t>
  </si>
  <si>
    <t>License Plate Relocator</t>
  </si>
  <si>
    <t>Bracket for 20 inch LED Light Bar</t>
  </si>
  <si>
    <t>Bull Bar LED Bracket</t>
  </si>
  <si>
    <t>E-Series Bull Bar</t>
  </si>
  <si>
    <t>Silverado/Sierra 1500 2016-2018; Silverado LD 2019; Sierra 1500 Limited 2019</t>
  </si>
  <si>
    <t>Silverado/Sierra 2500/3500 2015-2019</t>
  </si>
  <si>
    <t>Tundra 2007-2018; Sequoia 2007-2018</t>
  </si>
  <si>
    <t>Silverado/Sierra 'Classic' 1500HD/2500HD/3500HD 2001-2007; 2500LD 1999-2007; Tahoe/Suburban/Yukon/XL 2000-2006; Avalanche 2002-2006 1999-2007; Tahoe/Suburban/Yukon/XL 2000-2006; Avalanche 2002-2006</t>
  </si>
  <si>
    <t>Silverado/Sierra 'Classic' 1500LD 1999-2007; Tahoe/Suburban/Yukon/XL 2000-2006; Avalanche 2002-2006 1/2 ton 2000-2006; Avalanche 2002-2006 1/2 ton</t>
  </si>
  <si>
    <t>CR-V 2007-2011</t>
  </si>
  <si>
    <t>Safari Bull Bar Mount Kit</t>
  </si>
  <si>
    <t>Vue 2002-2007; Equinox 2005-2009; Torrent 2006-2009</t>
  </si>
  <si>
    <t>Saturn/Chevrolet/Pontiac</t>
  </si>
  <si>
    <t>Endeavor 2003-2008</t>
  </si>
  <si>
    <t>Mitsubishi</t>
  </si>
  <si>
    <t>Rainier 2004-2007; Trailblazer 2002-2009; Envoy 2002-2008; Ascender 2003-2008; Bravada 2002-2004</t>
  </si>
  <si>
    <t>Chevrolet/GMC/Buick/Isuzu/Oldsmobile</t>
  </si>
  <si>
    <t>GX470 2/4WD 2003-2004; 4Runner 2003-2009</t>
  </si>
  <si>
    <t>Lexus/Toyota</t>
  </si>
  <si>
    <t>Grand Vitara 1999-2005; XL7 1999-2003</t>
  </si>
  <si>
    <t>Suzuki</t>
  </si>
  <si>
    <t>Tracker 1999-2004</t>
  </si>
  <si>
    <t>Pilot 2003-2008; MDX 2003-2006</t>
  </si>
  <si>
    <t>Honda/Acura</t>
  </si>
  <si>
    <t>CRV 2002-2006</t>
  </si>
  <si>
    <t>Explorer 4dr 2002-2005</t>
  </si>
  <si>
    <t>Ranger/Edge 2001-2008 (Excl STX); B-Series Pickup 2001-2012</t>
  </si>
  <si>
    <t>Escape/Tribute/Mariner 2001-2007</t>
  </si>
  <si>
    <t>Ford/Mazda/Mercury</t>
  </si>
  <si>
    <t>Explorer Sport 2001-2004/Sport Trac 2001-2005</t>
  </si>
  <si>
    <t>Grand Cherokee/Laredo 1999-2004</t>
  </si>
  <si>
    <t>Pathfinder/QX4 1999.5-2004</t>
  </si>
  <si>
    <t>Nissan/Infiniti</t>
  </si>
  <si>
    <t>Tacoma/PreRunner 1998-2004</t>
  </si>
  <si>
    <t>Durango 1998-2003;Dakota 1997-2004</t>
  </si>
  <si>
    <t>S-Series/Blazer Downsize 1998-2004; Hombre P/U 1998-2003; Bravada 1998-2001; Jimmy 1998-2002</t>
  </si>
  <si>
    <t>Chevrolet/GMC/Oldsmobile/Isuzu</t>
  </si>
  <si>
    <t>Explorer 1996-2001; Mountaineer 1997-2001; Ranger/B-Series Pickup 1998-2000</t>
  </si>
  <si>
    <t>Ford/Mercury/Mazda</t>
  </si>
  <si>
    <t>CRV 1997-2001</t>
  </si>
  <si>
    <t>Light Bar Universal (10.75in mounting depth)</t>
  </si>
  <si>
    <t>Safari Bull Bar</t>
  </si>
  <si>
    <t>Light Bar Universal (11.5in mounting depth)</t>
  </si>
  <si>
    <t>Light Bar Universal (14.75in mounting depth)</t>
  </si>
  <si>
    <t>Thrasher Running Boards</t>
  </si>
  <si>
    <t>Titan XD Crew Cab 2016-2024; Titan 2017-2024</t>
  </si>
  <si>
    <t>Ram 1500 2009-2018; 1500 Classic 2019-2023; 2500/3500 Crew Cab 2010-2024</t>
  </si>
  <si>
    <t>R7 Nerf Step Bars</t>
  </si>
  <si>
    <t>Silverado/Sierra 1500 Crew Cab 2007-2018; 2500/3500 Crew Cab 2007-2019 (Excl. 2007 Classic)</t>
  </si>
  <si>
    <t>Ram 2500/3500 Crew Cab 2019-2025 (6.5 ft Bed)</t>
  </si>
  <si>
    <t>R5 M-Series Wheel-to-Wheel Nerf Step Bars</t>
  </si>
  <si>
    <t>Silverado/Sierra 1500 Crew Cab 2019-2025 (5.5' Bed); Silverado/Sierra 1500 Double 2019-2025 Cab (6.5' Bed)(Excl. 2019 Silverado LD/Sierra 1500 Limited)</t>
  </si>
  <si>
    <t>Silverado/Sierra 1500 Extended/Double Cab 2007-2018 (6.5' Bed) (Excl. 2007 Classic); Silverado LD/Sierra 1500 Limited Double Cab 2019 (6.5' Bed); 2500/3500 Extended/Double Cab 2007-2019 (6.5' Bed) &amp; Dually (8' Bed) (Excl. 2007 Classic)</t>
  </si>
  <si>
    <t>Silverado/Sierra 1500 Crew Cab 2007-2018 (5.5' Bed) Excl. 2007 Classic</t>
  </si>
  <si>
    <t>Ram 2500/3500 Crew Cab 2010-2018 (6.5' Bed)</t>
  </si>
  <si>
    <t>Ram 1500 Quad Cab 2009-2018 (6.5' Bed); Ram 1500 Classic Quad Cab 2019-2024 (6.5' Bed); 1500 Crew Cab (5.5 Bed) 2009-2018; 1500 Classic Crew Cab (5.5 Bed) 2019-2024</t>
  </si>
  <si>
    <t>R5 M-Series XD Wheel to Wheel Nerf Step Bars</t>
  </si>
  <si>
    <t>R5 Nerf Step Bars</t>
  </si>
  <si>
    <t>R5 XD Nerf Step Bars</t>
  </si>
  <si>
    <t>Explorer 2020-2025</t>
  </si>
  <si>
    <t>4Runner Limited 2010-2024; 4Runner Limited &amp; SR5 2010-2013 (Excl Trail Edition)</t>
  </si>
  <si>
    <t>4Runner SR5 &amp; TRD 2014-2024; Trail Edition 2010-2017 (Excl. Limited)(W/ Cladding)</t>
  </si>
  <si>
    <t>4Runner SR5 &amp; TRD 2014-2024; Trail Edition 2010-2017 (Excl. Limited)</t>
  </si>
  <si>
    <t>Frontier Extended/King Cab 2005-2021</t>
  </si>
  <si>
    <t>Includes 4 end caps with integrated LED lights and wiring harness.</t>
  </si>
  <si>
    <t>R5 LED Light Kit</t>
  </si>
  <si>
    <t>Black Aluminum Running Boards 83in</t>
  </si>
  <si>
    <t>SG6 LED Running Boards</t>
  </si>
  <si>
    <t>Polished Aluminum Running Boards 83 inches</t>
  </si>
  <si>
    <t>Polished Aluminum Running Boards 85.5in</t>
  </si>
  <si>
    <t>Black Aluminum Running Board 83 inches</t>
  </si>
  <si>
    <t>SG6 Running Boards</t>
  </si>
  <si>
    <t>Polished Aluminum Running Board 83 inches</t>
  </si>
  <si>
    <t>Black Aluminum Running Board 85.5 inches</t>
  </si>
  <si>
    <t>Polished Aluminum Running Board 85.5 inches</t>
  </si>
  <si>
    <t>Black Aluminum Running Board 89.5 inches</t>
  </si>
  <si>
    <t>Polished Aluminum Running Board 89.5 inches</t>
  </si>
  <si>
    <t>Black Aluminum Running Board 79 inches</t>
  </si>
  <si>
    <t>Polished Aluminum Running Board 79 inches</t>
  </si>
  <si>
    <t>Black Aluminum Running Board 74.25 inches</t>
  </si>
  <si>
    <t>Polished Aluminum Running Board 74.25 inches</t>
  </si>
  <si>
    <t>Black Aluminum Running Board 68.4 inches</t>
  </si>
  <si>
    <t>Polished Aluminum Running Board 68.4 inches</t>
  </si>
  <si>
    <t>Ram 1500 Crew Cab 2009-2018; Ram 1500 Classic Crew Cab 2019-2023; 2500/3500 Crew Cab 2010-2024</t>
  </si>
  <si>
    <t>Sure-Grip Running Boards w/Mount Kit</t>
  </si>
  <si>
    <t>Ram 1500 Quad Cab 2009-2018; Ram 1500 Classic Quad Cab 2019-2023</t>
  </si>
  <si>
    <t>Tacoma Xtra/Double Cab 2024-2025; 4Runner SR5/TRD/TRD Pro/Limited 2025</t>
  </si>
  <si>
    <t>Running Board Mount Kit</t>
  </si>
  <si>
    <t>Express/Savana 2003-2025 155" WB (For Single 54" Passenger Sliding Door)</t>
  </si>
  <si>
    <t>ProMaster 2500/3500 2014-2025 159" WB (for Single 54" Passenger Sliding Door)</t>
  </si>
  <si>
    <t>Sprinter 2007-2025 (for Single 54" Rear Door)</t>
  </si>
  <si>
    <t>Sprinter 2007-2025 (for Single 54" Passenger Sliding Door)</t>
  </si>
  <si>
    <t>Sprinter 2007-2025 (for 46" Drivers Side and 97" Passenger Side)</t>
  </si>
  <si>
    <t>Frontier 2022-2025 Crew Cab and King Cab</t>
  </si>
  <si>
    <t>ProMaster 1500/2500/3500 2014-2025 (For Single 54" Rear Door)</t>
  </si>
  <si>
    <t>ProMaster 1500/2500/3500 2014-2025 136" WB (For Single 54" Passenger Sliding Door)</t>
  </si>
  <si>
    <t>ProMaster 2500/3500 2014-2025 159" WB (For 46" Driver Side and 86" Passenger Side)</t>
  </si>
  <si>
    <t>ProMaster 1500/2500/3500 2014-2025 136" WB (For 46" Driver Side and 97" Passenger Side)</t>
  </si>
  <si>
    <t>Express/Savana 2003-2025 (For Single 54" Rear Door)</t>
  </si>
  <si>
    <t>Express/Savana 2003-2025 135" WB (For Single 54" Passenger Sliding Door)</t>
  </si>
  <si>
    <t>Express/Savana 2003-2025 155" WB (For 46" Drivers Side and 97" Passenger Side)</t>
  </si>
  <si>
    <t>Express/Savana 2003-2025 135" WB (For 46" Drivers Side and 97" Passenger Side)</t>
  </si>
  <si>
    <t>Transit Van 150/250/350 2015-2025 (for Single 54 inch Rear Door)</t>
  </si>
  <si>
    <t>Transit Van 150/250/350 2015-2025 (for Single 54 inch Passenger Sliding Door)</t>
  </si>
  <si>
    <t>Transit Van 150/250/350 2015-2025 (For 46" Drivers Side and 97" Passenger Side)</t>
  </si>
  <si>
    <t>Traverse 2018-2023</t>
  </si>
  <si>
    <t>2019-2025 Ranger SuperCrew/SuperCab</t>
  </si>
  <si>
    <t>Silverado/Sierra 1500 Double/Crew Cab 2019-2025 (Excl. 2019 Silverado LD/Sierra 1500 Limited); Silverado/Sierra 2500/3500 Double Cab/Crew Cab 2020-2025</t>
  </si>
  <si>
    <t>Ram 1500 Quad/Crew Cab 2019-2025 (Excl. 2019-2023 1500 Classic)</t>
  </si>
  <si>
    <t>Colorado/Canyon Crew Cab 2015-2025; Ext Cab 2015-2023</t>
  </si>
  <si>
    <t>F-150 Regular/SuperCab 2015-2025; F-250/350 Super Duty Regular Cab/Super Cab 2017-2025</t>
  </si>
  <si>
    <t>Silverado/Sierra 1500 Double/Crew Cab 2014-2018; Silverado LD/Sierra 1500 Limited 2019; 2500/3500 Double/Crew Cab 2015-2019</t>
  </si>
  <si>
    <t>Silverado/Sierra 1500 Regular Cab 2014-2018 (Rocker Mount); 2500/3500 Regular Cab 2015-2019 (Excl Diesel)</t>
  </si>
  <si>
    <t>Pilot 2009-2012; MDX 2009-2013</t>
  </si>
  <si>
    <t>Durango 2011-2017; Grand Cherokee 2011-2017</t>
  </si>
  <si>
    <t>Explorer 4Dr 2011-2019</t>
  </si>
  <si>
    <t>4Runner SR5 2010-2013; 4Runner Limited &amp; TRD Sport 2010-2024 (Excl. Trail Edition)</t>
  </si>
  <si>
    <t>Ram 1500 Quad/Crew Cab 2009-2018; Ram 1500 Classic Quad/Crew Cab 2019-2023; 2500/3500 Crew Cab 2010-2024</t>
  </si>
  <si>
    <t>Ram 1500 Regular Cab 2009-2018; 1500 Classic Regular Cab 2019-2023; 2500/3500 Regular Cab 2010-2024</t>
  </si>
  <si>
    <t>Sequoia 2008-2022</t>
  </si>
  <si>
    <t>Highlander 2008-2013</t>
  </si>
  <si>
    <t>Santa Fe 2007-2012</t>
  </si>
  <si>
    <t>Hyundai</t>
  </si>
  <si>
    <t>Enclave 2008-2017; Traverse 2009-2017; Acadia 2007-2016 (Excl Denali); Outlook 2007-2010</t>
  </si>
  <si>
    <t>Buick/Chevrolet/GMC/Saturn</t>
  </si>
  <si>
    <t>Edge 2007-2014/MKX 2007-2015</t>
  </si>
  <si>
    <t>Expedition 1997-2014; Expedition EL 2007-2014 (Excl. Funkmaster Flex Edition)</t>
  </si>
  <si>
    <t>Explorer Sport Trac 2007-2010</t>
  </si>
  <si>
    <t>Grand Cherokee 2005-2010; Commander 2006-2010</t>
  </si>
  <si>
    <t>Ridgeline 2006-2014</t>
  </si>
  <si>
    <t>Silverado/Sierra 1500 Crew Cab 2007-2013; Silverado/Sierra 2500/3500HD Crew Cab 2008-2014</t>
  </si>
  <si>
    <t>Silverado/Sierra 1500 Ext Cab 2007-2013; Silverado/Sierra 2500/3500HD Ext Cab 2008-2014</t>
  </si>
  <si>
    <t>Silverado/Sierra 1500 Reg Cab 2007-2013; 25/3500 Reg Cab 2007-2014</t>
  </si>
  <si>
    <t>Tundra Double Cab/CrewMax 2007-2021</t>
  </si>
  <si>
    <t>Explorer 2006-2010; Mountaineer 2006-2010</t>
  </si>
  <si>
    <t>Ford/Mercury</t>
  </si>
  <si>
    <t>Suburban/Tahoe/Yukon/Yukon XL 2005-2013; Avalanche (w/o Cladding) 2003-2012; Avalanche (w/Cladding) 2002-2006</t>
  </si>
  <si>
    <t>Frontier Crew Cab 2005-2021; Pathfinder 2005-2012</t>
  </si>
  <si>
    <t>Tacoma Regular Cab 2005-2023</t>
  </si>
  <si>
    <t>Tacoma Access/Double Cab 2005-2023</t>
  </si>
  <si>
    <t>Tacoma Double Cab 2001-2004</t>
  </si>
  <si>
    <t>Colorado/Canyon 2004-2012; Isuzu I-Series Crew 2006-2008 Crew Cab</t>
  </si>
  <si>
    <t>QX 2004-2009; Armada 2004-2015; Titan Ext./King/Crew Cab 2004-2015</t>
  </si>
  <si>
    <t>Infiniti/Nissan</t>
  </si>
  <si>
    <t>Durango 2004-2010; Aspen 2006-2009</t>
  </si>
  <si>
    <t>Dodge/Chrysler</t>
  </si>
  <si>
    <t>F-150 Reg Cab (excl. Heritage) 2004-2012; F-150 SuperCrew 2004-2008; Mark LT 2006-2008</t>
  </si>
  <si>
    <t>F-150 SuperCab 2004-2014 (Excl Heritage)</t>
  </si>
  <si>
    <t>4Runner 2006-2009; Base model 2003-2009</t>
  </si>
  <si>
    <t>Silverado/Sierra Classic 1500/2500LD Reg Cab 1999-2007; 2500HD/3500 Reg Cab 2001-2007</t>
  </si>
  <si>
    <t>Pilot 2003-2008</t>
  </si>
  <si>
    <t>CR-V 2002-2006</t>
  </si>
  <si>
    <t>Ram 1500 Quad Cab 2002-2008; 25/3500 Quad Cab 2003-2009; 45/5500 Quad Cab 2008-2009</t>
  </si>
  <si>
    <t>Highlander 2001-2007</t>
  </si>
  <si>
    <t>Trailblazer 2002-2009; Envoy 2002-2010; Bravada 2002-2004; Ascender 5 Passenger 2003-2008</t>
  </si>
  <si>
    <t>Explorer/Mountaineer 4dr (Excl Sport) 2002-2005</t>
  </si>
  <si>
    <t>Sequoia 2001-2007/Tundra D-Cab 2004-2006</t>
  </si>
  <si>
    <t>Silverado/Sierra 'Classic' 1500/2500HD/3500 Crew Cab 2001-2007</t>
  </si>
  <si>
    <t>F-150/250LD SuperCab, 3 &amp; 4dr 1997-2004; F-150 Super Crew 2001-2003</t>
  </si>
  <si>
    <t>F-250/350 Crew Cab 1999-2016; Excursion 1999-2005</t>
  </si>
  <si>
    <t>F-250/350 Super Cab 1999-2016</t>
  </si>
  <si>
    <t>Ram 1500 Quad Cab 1994-2001; 25/3500 3dr &amp; Quad Cab 1994-2002</t>
  </si>
  <si>
    <t>Tundra Ext Cab 1999-2006</t>
  </si>
  <si>
    <t>Ranger Ext Cab 4DR 1998-2002 (w/Rocker pinch weld)</t>
  </si>
  <si>
    <t>Explorer 1995-2001</t>
  </si>
  <si>
    <t>Blazer S-Series 1997-2004 (4dr only); S-10 Pickup Ext. Cab 1997-2004; Jimmy S-Series 1997-2004 (4dr only); Sonoma Ext. Cab 1997-2004</t>
  </si>
  <si>
    <t>Tacoma Access Cab 1999-2004</t>
  </si>
  <si>
    <t>Suburban 1992-1999; C/K Series Crew Cab 1992-2000</t>
  </si>
  <si>
    <t>Suburban/Tahoe/Yukon/YukonXL 2000-2004 (Excl 02-04 Z71)</t>
  </si>
  <si>
    <t>Silverado/Sierra 'Classic' 1500/2500LD 1999-2007; 2500HD/3500 Ext Cab 2001-2007</t>
  </si>
  <si>
    <t>Tahoe 2dr &amp; 4dr 1995-1999; Yukon 2 &amp; 4dr 1996-1999</t>
  </si>
  <si>
    <t>C/K Series Ext Cab 1988-1998</t>
  </si>
  <si>
    <t>Molded Step Board lighted 93 in</t>
  </si>
  <si>
    <t>Molded Running Boards</t>
  </si>
  <si>
    <t>Molded Step Board Unlighted 93 in</t>
  </si>
  <si>
    <t>Molded Step Board lighted 79 in</t>
  </si>
  <si>
    <t>Molded Step Board Unlighted 79 in</t>
  </si>
  <si>
    <t>Molded Step Board lighted 72 in</t>
  </si>
  <si>
    <t>Molded Step Board Unlighted 72 in</t>
  </si>
  <si>
    <t>Trim Seal Gasket (Gap Strip) for 93 in Sure-Grip Step Board</t>
  </si>
  <si>
    <t>Sure-Grip Gap Strip</t>
  </si>
  <si>
    <t>Step Board Light Bulb 4/pkg</t>
  </si>
  <si>
    <t>Molded Running Board Light Bulb Kit</t>
  </si>
  <si>
    <t>Step Board Light Lens/housing 4/pkg</t>
  </si>
  <si>
    <t>Running Board Light Lens</t>
  </si>
  <si>
    <t>Step Board Wiring Harness Kit 1/pkg</t>
  </si>
  <si>
    <t>Lighted Running Board Wiring Harness</t>
  </si>
  <si>
    <t>Step Board Black Plastic Light Cavity Cover 2/pkg</t>
  </si>
  <si>
    <t>Molded Running Board Light Cavity Cover</t>
  </si>
  <si>
    <t>Trim Seal Gasket (Gap Strip) for 93 in Molded Step Board</t>
  </si>
  <si>
    <t>Molded Gap Strip</t>
  </si>
  <si>
    <t>Sure Grip Board Light Kit (Set of 4)</t>
  </si>
  <si>
    <t>Sure-Grip Light Kit</t>
  </si>
  <si>
    <t>Silverado/Sierra 1500 Crew Cab 2019-2024; Silverado/Sierra 2500/3500 Crew Cab 2020-2024</t>
  </si>
  <si>
    <t>Sure-Grip Running Boards w/Mounting Kit</t>
  </si>
  <si>
    <t>2015-2021 F-150 SuperCrew</t>
  </si>
  <si>
    <t>Silverado/Sierra 1500 Double Cab 2019-2024 (Excl. 2019 Silverado LD/Sierra 1500 Limited); Silverado/Sierra 2500/3500 Double Cab 2020-2024</t>
  </si>
  <si>
    <t>Colorado/Canyon Crew Cab 2015-2024</t>
  </si>
  <si>
    <t>2015-2021 F-150 SuperCab</t>
  </si>
  <si>
    <t>Colorado/Canyon Ext Cab 2015-2024</t>
  </si>
  <si>
    <t>2015-2021 F-150 Regular Cab</t>
  </si>
  <si>
    <t>46" Drivers Side and 86" Passenger Side</t>
  </si>
  <si>
    <t>Grate Steps Running Boards</t>
  </si>
  <si>
    <t>Single 54" Passenger Sliding Door or Rear</t>
  </si>
  <si>
    <t>46" Driver &amp; 97" Passenger Side</t>
  </si>
  <si>
    <t>ProMaster 1500/2500/3500 2014-2025 (Single 54" Rear)</t>
  </si>
  <si>
    <t>ProMaster 1500/2500/3500 2014-2025 136" WB (Single 54" Passenger Sliding Door)</t>
  </si>
  <si>
    <t>ProMaster 1500/2500/3500 2014-2025 159" WB (46" Drivers Side and 86" Passenger Side)</t>
  </si>
  <si>
    <t>ProMaster 1500/2500/3500 2014-2025 136" WB (46" Drivers Side and 97" Passenger Side)</t>
  </si>
  <si>
    <t>Express/Savana 2003-2021 (Single 54" Rear)</t>
  </si>
  <si>
    <t>Express/Savana 2003-2021 135" WB (Single 54" Passenger Sliding Door)</t>
  </si>
  <si>
    <t>Express/Savana 2003-2021 135" WB (46" Drivers Side and 97" Passenger Side)</t>
  </si>
  <si>
    <t>Transit Van 150/250/350/ 2015-2025 (For Single 54" Passenger Sliding Door)</t>
  </si>
  <si>
    <t>Transit Van 150/250/350 2015-2025 (46" Driver side &amp; 97" Passenger side)</t>
  </si>
  <si>
    <t>Textured Black Running Boards 83 inches</t>
  </si>
  <si>
    <t>Textured Black Running Boards 86 inches</t>
  </si>
  <si>
    <t>Textured Black Running Boards 90 inches</t>
  </si>
  <si>
    <t>Textured Black Running Boards 79 inches</t>
  </si>
  <si>
    <t>Textured Black Running Boards 75 inches</t>
  </si>
  <si>
    <t>Textured Black Running Boards 68 inches</t>
  </si>
  <si>
    <t>Textured Black Running Boards 54 inches</t>
  </si>
  <si>
    <t>Brite Aluminum Running Boards 85 inches</t>
  </si>
  <si>
    <t>Sure-Grip Running Boards</t>
  </si>
  <si>
    <t>Polished Aluminum Step Board 93 in</t>
  </si>
  <si>
    <t>Polished Aluminum Step Board 79 in</t>
  </si>
  <si>
    <t>Polished Aluminum Step Board 72 in</t>
  </si>
  <si>
    <t>Polished Aluminum Step Board 69 in</t>
  </si>
  <si>
    <t>Polished Aluminum Running Boards 54 inches</t>
  </si>
  <si>
    <t>Black Aluminum Step Board 85 in</t>
  </si>
  <si>
    <t>Brushed Aluminum Running Boards 85 inches</t>
  </si>
  <si>
    <t>Black Aluminum Step Board 93 in</t>
  </si>
  <si>
    <t>Brushed Aluminum Step Board 93 in</t>
  </si>
  <si>
    <t>Black Aluminum Step Board 79 in</t>
  </si>
  <si>
    <t>Brushed Aluminum Step Board 79 in</t>
  </si>
  <si>
    <t>Black Aluminum Step Board 72 in</t>
  </si>
  <si>
    <t>Brushed Aluminum Step Board 72 in</t>
  </si>
  <si>
    <t>Black Aluminum Step Board 69 in</t>
  </si>
  <si>
    <t>Brushed Aluminum Step Board 69 in</t>
  </si>
  <si>
    <t>Black Aluminum Running Boards 54 inches</t>
  </si>
  <si>
    <t>Brushed Aluminum Running Boards 54 inches</t>
  </si>
  <si>
    <t>F-150 Regular Cab 2015-2025; F-250/350 Super Duty Regular Cab 2017-2025</t>
  </si>
  <si>
    <t>Signature 3 Nerf Step Bars</t>
  </si>
  <si>
    <t>Ram 1500 Regular Cab 2009-2018; 1500 Classic Regular Cab 2019-2024; 2500/3500 Regular Cab 2010-2025</t>
  </si>
  <si>
    <t>Ranger/Ranger 'Edge' Super Cab/B-Series Pickup Extra Cab 2dr 1998-2010</t>
  </si>
  <si>
    <t>Ranger/Ranger 'Edge' Reg Cab/B-Series Pickup Reg Cab 1998-2011</t>
  </si>
  <si>
    <t>Silverado/Sierra 1500 Crew Cab 1999-2013; 1500HD Crew Cab 2001-2006; 25/3500HD Crew Cab 2001-2014</t>
  </si>
  <si>
    <t>Silverado/Sierra 1500 Ext Cab 1999-2013; 2500LD Ext Cab 1999-2004; 25/3500HD Ext Cab 2001-2014</t>
  </si>
  <si>
    <t>4Runner 4dr 1996-2002</t>
  </si>
  <si>
    <t>1999-2016 F-250/350/450/550HD Super Duty Reg Cab</t>
  </si>
  <si>
    <t>Ram 1500 Quad Cab 1998-2001; 25/3500 Quad Cab 1998-2002</t>
  </si>
  <si>
    <t>Wrangler/SE/Sport/Sahara 1997-2006</t>
  </si>
  <si>
    <t>C/K Series Crew Cab 1992-2000</t>
  </si>
  <si>
    <t>Tacoma Reg Cab 1995-2004 (4WD or PreRunner only)</t>
  </si>
  <si>
    <t>Jimmy/Blazer Downsize 4dr 1995-2004; Bravada 4dr 1996-2001</t>
  </si>
  <si>
    <t>Chevrolet/GMC/Oldsmobile</t>
  </si>
  <si>
    <t>Ram 1500 Club Cab 1994-2001; 25/3500 Club Cab 1994-2002</t>
  </si>
  <si>
    <t>S-Series/Sonoma Ext Cab 2 &amp; 3dr 1982-2004; Hombre PU Ext Cab 1998-2003</t>
  </si>
  <si>
    <t>GMC/Isuzu</t>
  </si>
  <si>
    <t>Ram 1500 Reg Cab 1994-2001; 25/3500 Reg Cab 1994-2002</t>
  </si>
  <si>
    <t>Suburban 1992-1999 (Excl 1/2 Ton 4WD)</t>
  </si>
  <si>
    <t>F-Series Pickup SuperCab 2Dr 1980-1998 (1997-1998 HD models only)</t>
  </si>
  <si>
    <t>PU Reg Cab 1989-1994</t>
  </si>
  <si>
    <t>Ranger/Mazda Reg 1982-1997</t>
  </si>
  <si>
    <t>Blazer Full Size 2dr 1992-1994; C/K Reg Cab 1988-1998; Tahoe 2dr 1995-1999; Yukon 2dr 1992-1999</t>
  </si>
  <si>
    <t>F-150 SuperCab 2015-2025 (6.5 ft Bed)(Excl. 2022+ Lightning EV)</t>
  </si>
  <si>
    <t>Platinum 4 Oval W2W Nerf Step Bars</t>
  </si>
  <si>
    <t>Silverado/Sierra 2500/3500 Crew Cab 2015-2019 (8' Bed)</t>
  </si>
  <si>
    <t>Silverado/Sierra 2500/3500 Double Cab 2015-2019 (6.5' Bed) &amp; Dually (8' Bed)</t>
  </si>
  <si>
    <t>E-Series 3 Nerf Step Bars</t>
  </si>
  <si>
    <t>Silverado/Sierra 1500 Double Cab 2019-2025 (Excl. 2019 Silverado LD/Sierra 1500 Limited)</t>
  </si>
  <si>
    <t>Silverado/Sierra 1500 Regular Cab 2019-2025</t>
  </si>
  <si>
    <t>Titan XD Crew Cab 2016-2024</t>
  </si>
  <si>
    <t>Silverado/Sierra 2500/3500 Crew Cab 2015-2019 (Body Mount)</t>
  </si>
  <si>
    <t>Silverado/Sierra 2500/3500 Double Cab 2015-2019 (Body Mount)</t>
  </si>
  <si>
    <t>Silverado/Sierra 2500/3500 Reg Cab 2015-2019 (Body Mount)</t>
  </si>
  <si>
    <t>4Runner Trail Edition 2010-2017 (Excl. Limited); 4Runner SR5 &amp; TRD 2014-2024 (Excl. Limited, Nightshade &amp; TRD Sport)</t>
  </si>
  <si>
    <t>Silverado/Sierra 1500 Crew Cab 2014-2018 (Body Mount)</t>
  </si>
  <si>
    <t>Silverado/Sierra 1500 Double Cab 2014-2018 (Body Mount); Silverado LD/Sierra 1500 Limited Double Cab 2019 (Body Mount)</t>
  </si>
  <si>
    <t>Silverado/Sierra 1500 Double Cab 2014-2018 (Rocker Mount); Silverado LD 2019; Sierra 1500 Limited 2019; 2500/3500 Double Cab 2015-2019 (Excl Diesel)</t>
  </si>
  <si>
    <t>Grand Cherokee 2011-2017</t>
  </si>
  <si>
    <t>Explorer 2011-2019</t>
  </si>
  <si>
    <t>4Runner SR5 2010-2013; 4Runner Limited 2010-2024 (Excl. Trail Edition)</t>
  </si>
  <si>
    <t>Ram 2500/3500 Mega Cab 2010-2024</t>
  </si>
  <si>
    <t>Ram 1500 Crew Cab 2009-2018; 1500 Classic Crew Cab 2019-2023; 2500/3500 Crew Cab 2010-2024 (Excl Cab Chassis w/Def Tank)</t>
  </si>
  <si>
    <t>F-150 SuperCab 2009-2014</t>
  </si>
  <si>
    <t>F-150 Reg Cab 2009-2014</t>
  </si>
  <si>
    <t>Nitro 2007-2012</t>
  </si>
  <si>
    <t>Traverse 2009-2017; Acadia 2007-2017; Enclave 2008-2017; Outlook 2007-2010</t>
  </si>
  <si>
    <t>Chevrolet/GMC/Buick/Saturn</t>
  </si>
  <si>
    <t>Tundra Regular Cab 2007-2017</t>
  </si>
  <si>
    <t>Colorado/Canyon Crew Cab 2004-2012; I-Series Crew Cab 2006-2008</t>
  </si>
  <si>
    <t>Chevrolet/GMC/Isuzu</t>
  </si>
  <si>
    <t>Colorado/Canyon Ext Cab 2004-2012; I-Series Ext Cab 2006-2008</t>
  </si>
  <si>
    <t>Explorer 2006-2010</t>
  </si>
  <si>
    <t>Tahoe 4Dr 2000-2014 (Excl 2002-2009 Z71); Yukon 4Dr 2000-2014 (Excl 2002-2010 Z71)</t>
  </si>
  <si>
    <t>1500 Suburban (Excl. 2500)/Yukon XL (Excl. 2500) 2000-2013; Avalanche (Excl. 2500)(w/o Cladding) 2003-2013</t>
  </si>
  <si>
    <t>1500 Suburban (Excl. 2500)/1500 Yukon XL (Excl. 2500) 2000-2013; Avalanche (Excl. 2500)(w/o Cladding) 2003-2013</t>
  </si>
  <si>
    <t>Commander 2006-2010; Grand Cherokee 2005-2010</t>
  </si>
  <si>
    <t>Ram 1500 Mega Cab 2006-2009</t>
  </si>
  <si>
    <t>Tacoma Xtra Cab 2024-2025</t>
  </si>
  <si>
    <t>H3 2006-2010</t>
  </si>
  <si>
    <t>Hummer</t>
  </si>
  <si>
    <t>Dakota Club Cab 2005-2011</t>
  </si>
  <si>
    <t>Dakota Quad Cab 2005-2011</t>
  </si>
  <si>
    <t>Tundra Double Cab 2004-2006</t>
  </si>
  <si>
    <t>F-150 SuperCrew 2004-2008 (Excl. Heritage); Mark LT 2006-2008</t>
  </si>
  <si>
    <t>F-150 SuperCrew 2004-2008 (Excl Heritage); Mark LT 2006-2008</t>
  </si>
  <si>
    <t>F-150 SuperCab 2004-2008 (Excl. Heritage)</t>
  </si>
  <si>
    <t>F-150 Reg Cab 2004-2008 (Excl. Heritage)</t>
  </si>
  <si>
    <t>Ram 1500 Reg Cab 2002-2008; 25/3500 Reg Cab 2003-2009; 45/5500 Reg Cab 2008-2009 Excl Rumble Bee</t>
  </si>
  <si>
    <t>Rainier 2004-2007; Trailblazer 2002-2009; Envoy 2002-2009; Ascender 5 Passenger 2003-2008; Bravada 4Dr 2002-2004</t>
  </si>
  <si>
    <t>Buick/Chevrolet/GMC/Isuzu/Oldsmobile</t>
  </si>
  <si>
    <t>Ranger/Ranger 'Edge' SuperCab 1998-2011; B-Series Extra Cab 2Dr 1998-2010</t>
  </si>
  <si>
    <t>F-150 SuperCrew 4Dr 2001-2004 (2004 Heritage Only)</t>
  </si>
  <si>
    <t>Silverado/Sierra 1500 Ext. Cab 1999-2014; 2500LD Ext. Cab 1999-2004; 2500/3500HD Ext. Cab 2001-2014</t>
  </si>
  <si>
    <t>Ranger/Ranger 'Edge' SuperCab 1999-2011; B-Series Pickup Extra Cab 4Dr 1998-2010 1998-2010</t>
  </si>
  <si>
    <t>F-150/250LD SuperCab 1999-2004 (2004 Heritage Only)</t>
  </si>
  <si>
    <t>Silverado/Sierra 1500 Reg Cab 1999-2013; 2500LD Reg Cab 1999-2004; 2500HD/3500 Reg Cab 2001-2014</t>
  </si>
  <si>
    <t>F-250/350/450/550HD Crew Cab 1999-2016</t>
  </si>
  <si>
    <t>F-250/350/450/550HD Super Duty Reg Cab 1999-2016</t>
  </si>
  <si>
    <t>F-250/350/450/550HD Super Cab 1999-2016</t>
  </si>
  <si>
    <t>F-150/250LD Reg Cab 1997-2004 (2004 Heritage Only)</t>
  </si>
  <si>
    <t>Wrangler/SE/Sport/Sahara/Rubicon 1997-2006 (Excl. Unlimited)</t>
  </si>
  <si>
    <t>Expedition 1997-2014 (Excl. EL model)</t>
  </si>
  <si>
    <t>F-Series Reg Cab 1980-1997 (97 HD models only); Bronco Full Size 1980-1996</t>
  </si>
  <si>
    <t>Premier Oval Nerf Step Bar Mount Kit</t>
  </si>
  <si>
    <t>Ram 1500 Quad/Crew Cab 2019-2025 (Excl. 1500 Classic)</t>
  </si>
  <si>
    <t>F-150 Regular/SuperCab/SuperCrew 2015-2025; F-250/350 Super Duty Regular Cab/SuperCab/Crew Cab 2017-2025</t>
  </si>
  <si>
    <t>Silverado/Sierra 1500 Double/Crew Cab 2014-2018; Silverado/Sierra 2500/3500 Double/Crew Cab 2015-2019; Silverado LD 2019; Sierra 1500 Limited Double Cab 2019</t>
  </si>
  <si>
    <t>Silverado/Sierra 1500 Regular Cab 2014-2018; 2500/3500 Regular Cab 2015-2019</t>
  </si>
  <si>
    <t>Explorer 4dr 2011-2019</t>
  </si>
  <si>
    <t>4Runner Limited 2010-2018; 4Runner SR5 2010-2013 (Excl Trail Edition)</t>
  </si>
  <si>
    <t>Ram 1500 Quad/Crew Cab 2009-2018; 1500 Classic Quad/Crew Cab 2019-2024; 2500/3500 Crew Cab 2010-2025</t>
  </si>
  <si>
    <t>F-150 Super Cab &amp; Super Crew 2004-2014 (Excl Heritage); Mark LT 2006-2008</t>
  </si>
  <si>
    <t>Enclave 2008-2017; Traverse 2009-2017; Acadia 2007-2016 (Excl Denali); Outlook 2007-2009</t>
  </si>
  <si>
    <t>Equinox 2005-2009; Torrent 2006-2009; Vue 2006-2007</t>
  </si>
  <si>
    <t>Chevrolet/GMC/Pontiac/Saturn</t>
  </si>
  <si>
    <t>Grand Cherokee 2005-2011; Commander 2006-2010</t>
  </si>
  <si>
    <t>Explorer/Mountaineer 2006-2010; Sport Trac 2007-2010</t>
  </si>
  <si>
    <t>Suburban/Tahoe/Yukon/Yukon XL 2005-2013 (excl Z71 &amp; Hybrid) ; Avalance w/cladding 2002-2006; Avalanche w/o cladding 2003-2013</t>
  </si>
  <si>
    <t>Frontier Crew Cab/Ext. Cab 2005-2021; Pathfinder 2005-2012; Xterra 2005-2015</t>
  </si>
  <si>
    <t>Ranger Ext Cab 4dr 1998-2012</t>
  </si>
  <si>
    <t>Ranger Ext Cab 2dr 1998-2012</t>
  </si>
  <si>
    <t>QX5 2004-2010; Armada 2004-2015; Titan Crew Cab 2004-2015; Titan Ext Cab/King Cab 2004-2015</t>
  </si>
  <si>
    <t>Tundra 4dr Ext Cab 1999-2006; Double Cab 2004-2006</t>
  </si>
  <si>
    <t>Explorer 2002-2005</t>
  </si>
  <si>
    <t>Tahoe 4dr 2000-2013 (Excl 02-04 Z71); Yukon 4 dr 2000-2004 (Excl 04 Z71)</t>
  </si>
  <si>
    <t>C/K Series Ext Cab 1988-1999</t>
  </si>
  <si>
    <t>Expedition EL 2007-2014; Expedition 1997-2014</t>
  </si>
  <si>
    <t>Silverado/Sierra 1500 Reg Cab 1999-2013; 15/2500LD Ext Cab 1999-2013</t>
  </si>
  <si>
    <t>Silverado/Sierra 1500 Crew Cab 2004-2013; 1500HD Crew Cab 2001-2006; 2500/3500HD Crew Cab 2001-2014</t>
  </si>
  <si>
    <t>Silverado/Sierra 2500HD/3500 Reg/Ext Cab 1999-2014 (Excl HD Diesel)</t>
  </si>
  <si>
    <t>F-150 SuperCrew 2001-2004</t>
  </si>
  <si>
    <t>F-150/250LD 1997-2004 (Heritage Edition) Reg/Ext Cab</t>
  </si>
  <si>
    <t>F-250/350/450/550HD Reg Cab/Super Cab/Crew Cab 1999-2016</t>
  </si>
  <si>
    <t>Ram Reg Cab 1500 2002-2008; 25/3500 2003-2009; 45/5500 2008-2009</t>
  </si>
  <si>
    <t>Ram Quad Cab 1500 2002-2008; 25/3500 2003-2009; 45/5500 2008-2009</t>
  </si>
  <si>
    <t>Ram Quad Cab 1500 1998-2001; 25/3500 1998-2002</t>
  </si>
  <si>
    <t>Black 6in Oval Nerf Steps 91 inches</t>
  </si>
  <si>
    <t>Premier 6 Oval Nerf Step Bars</t>
  </si>
  <si>
    <t>Stainless Steel 6in Oval Nerf Steps 91 inches</t>
  </si>
  <si>
    <t>Black 6in Oval Nerf Steps 85 inches</t>
  </si>
  <si>
    <t>Stainless Steel 6in Oval Nerf Steps 85 inches</t>
  </si>
  <si>
    <t>Black 6in Oval Nerf Steps 75 inches</t>
  </si>
  <si>
    <t>Stainless Steel 6in Oval Nerf Steps 75 inches</t>
  </si>
  <si>
    <t>Black 6in Oval Nerf Steps 53 inches</t>
  </si>
  <si>
    <t>Stainless Steel 6 in Oval Nerf Steps 53 inches</t>
  </si>
  <si>
    <t>Black 4in Oval Nerf Steps 61.5 inches</t>
  </si>
  <si>
    <t>Premier 4 Oval Nerf Step Bars</t>
  </si>
  <si>
    <t>Stainless Steel 4in Oval Nerf Steps 61.5 inches</t>
  </si>
  <si>
    <t>Black 4in Oval Nerf Steps 72 inches</t>
  </si>
  <si>
    <t>Stainless Steel 4in Oval Nerf Steps 72 inches</t>
  </si>
  <si>
    <t>Black 4in Oval Nerf Steps 91 inches</t>
  </si>
  <si>
    <t>Stainless Steel 4in Oval Nerf Steps 91 inches</t>
  </si>
  <si>
    <t>Black 4in Oval Nerf Steps 85 inches</t>
  </si>
  <si>
    <t>Stainless Steel 4in Oval Nerf Steps 85 inches</t>
  </si>
  <si>
    <t>Black 4in Oval Nerf Steps 75 inches</t>
  </si>
  <si>
    <t>Stainless Steel 4in Oval Nerf Step 75 inches</t>
  </si>
  <si>
    <t>Black 4in Oval Nerf Steps 53 inches</t>
  </si>
  <si>
    <t>Stainless Steel 4in Oval Nerf Steps 53 inches</t>
  </si>
  <si>
    <t>PRO TRAXX 6 Oval Nerf Step Bars</t>
  </si>
  <si>
    <t>PRO TRAXX 5 Oval W2W Nerf Step Bars</t>
  </si>
  <si>
    <t>F-250/350 SuperCab 2017-2022 (8' Bed)</t>
  </si>
  <si>
    <t>F-250/350 SuperCab 2017-2025 (6.75' Bed)</t>
  </si>
  <si>
    <t>F-250/350 Crew Cab 2017-2022 (8' Bed)</t>
  </si>
  <si>
    <t>F-250/350 Crew Cab 2017-2025 (6.75' Bed)</t>
  </si>
  <si>
    <t>F-150 SuperCrew 2015-2020 (6.5' Bed)</t>
  </si>
  <si>
    <t>F-150 SuperCab 2015-2020 (6.5 ft Bed)</t>
  </si>
  <si>
    <t>Silverado/Sierra 1500 Extended Cab 2007-2013 (8' Bed) (Excl. 2007 Classic); 2500/3500 Extended/Double Cab 2007-2019 (8' Bed)(Excl. Dually) (Excl. 2007 Classic)</t>
  </si>
  <si>
    <t>Silverado/Sierra 2500/3500 Crew Cab 2007-2019 (8' Bed) (Incl. Diesel) (Excl. Dually) (Excl. 2007 Classic)</t>
  </si>
  <si>
    <t>Silverado/Sierra 1500 Crew Cab 2007-2018 (5.5' Bed) Excl 2007 Classic</t>
  </si>
  <si>
    <t>2500/3500 Crew Cab 2010-2018 (8 ft Bed) (Excl. Dually)</t>
  </si>
  <si>
    <t>Ram 1500 Crew Cab 2009-2018 (6.5' Bed); 1500 Classic Crew Cab 2019-2024 (6.5' Bed); 2500/3500 Crew Cab 2010-2025 (6.5' Bed)</t>
  </si>
  <si>
    <t>Ram 1500 Crew Cab 2009-2018 (5.5' Bed); Ram 1500 Classic Crew Cab 2019-2024 (5.5' Bed); Ram 1500 Quad Cab 2009-2018 (6.5' Bed); Ram 1500 Classic Quad Cab 2019-2024 (6.5' Bed)</t>
  </si>
  <si>
    <t>F-250/350 Super Cab 1999-2016 (6.75' Bed)</t>
  </si>
  <si>
    <t>F-250/350/450/550 Crew Cab 1999-2016 (8' Bed) (Excl Dually)</t>
  </si>
  <si>
    <t>Tundra Double Cab 2007-2021 (6.5 ft Bed)</t>
  </si>
  <si>
    <t>F-150 SuperCab 2009-2014 (6.5' Bed)</t>
  </si>
  <si>
    <t>PRO TRAXX 5 Oval Nerf Step Bars</t>
  </si>
  <si>
    <t>Silverado/Sierra 2500/3500 Regular Cab 2015-2019 Diesel (Rocker Mount)</t>
  </si>
  <si>
    <t>4Runner SR5/TRD/TRD Pro 2014-2024 (Excl. Limited, Nightshade &amp; TRD Sport); Trail Edition 2010-2017</t>
  </si>
  <si>
    <t>Silverado/Sierra 1500 Double Cab 2014-2018; Silverado LD 2019; Sierra 1500 Limited 2019; 2500/3500 Double Cab 2015-2019</t>
  </si>
  <si>
    <t>4Runner Limited 2010-2024; 4Runner SR5 2010-2013 (Excl. Trail Edition)</t>
  </si>
  <si>
    <t>Ram 1500 Crew Cab 2009-2018; 1500 Classic Crew Cab 2019-2024; 2500/3500 Crew Cab 2010-2024 (Excl Cab Chassis w/Def Tank)</t>
  </si>
  <si>
    <t>Silverado/Sierra 1500 Crew Cab 2007-2013; 25/3500HD Crew Cab 2007-2010 (Incl Diesel); 25/3500HD Crew Cab 2011-2014 (Excl Diesel)</t>
  </si>
  <si>
    <t>Silverado/Sierra 1500 Ext Cab 2007-2013; 25/3500HD Ext Cab 2007-2010 (Incl Diesel); 25/3500HD Ext Cab 2011-2014 (Excl Diesel)</t>
  </si>
  <si>
    <t>PRO TRAXX 4 Oval Nerf Step Bars</t>
  </si>
  <si>
    <t>Silverado/Sierra 1500 Regular Cab 2014-2018; 2500/3500 Regular Cab 2015-2019 (Incl. Diesel)</t>
  </si>
  <si>
    <t>Tacoma XtraCab 2024-2025</t>
  </si>
  <si>
    <t>Silverado/Sierra 1500 Reg Cab 2007-2013; Silverado/Sierra 2500/3500HD Reg Cab 2007-2014</t>
  </si>
  <si>
    <t>Platinum 4 Oval Nerf Step Bars</t>
  </si>
  <si>
    <t>4Runner SR5 2010-2013 (Excl Trail Edition); Limited &amp; TRD Sport 2010-2024</t>
  </si>
  <si>
    <t>Tahoe 4Dr 2000-2014 (Excl 2002-2008 Z71 model); Yukon 4Dr 2000-2014 (Excl 2004-2010 Z71 model)</t>
  </si>
  <si>
    <t>Avalanche (Excl. 2500) w/o cladding 2003-2013; Suburban 1500 2000-2014 (Excl. 2004-2008 Z71)(Excl. 2500); Yukon XL 2000-2014 (Excl. 2500)</t>
  </si>
  <si>
    <t>Ram Mega Cab 2006-2009</t>
  </si>
  <si>
    <t>F-150 SuperCrew 2004-2008; Mark LT 2006-2008</t>
  </si>
  <si>
    <t>F-150 SuperCab 2004-2008</t>
  </si>
  <si>
    <t>F-150 Reg Cab 2004-2008</t>
  </si>
  <si>
    <t>Ram 1500 2002-2008; 25/3500 2003-2009; 45/5500 2008-2009 Reg Cab</t>
  </si>
  <si>
    <t>Silverado/Sierra 1500 Crew Cab 1999-2013; 1500HD Crew Cab 2001-2007; 25/3500HD Crew Cab 2001-2014 (Excl 2011-2014 HD Diesel)</t>
  </si>
  <si>
    <t>Silverado/Sierra 1500 Reg Cab 1999-2013; 2500LD Reg Cab 1999-2004; 25/3500HD Reg Cab 2001-2014</t>
  </si>
  <si>
    <t>F-250/350/450/550HD 4Dr Super Cab 1999-2016</t>
  </si>
  <si>
    <t>2015-2025 F-150 SuperCrew Cab; 2022-2024 F-150 Lightning SuperCrew Cab; 2017-2024 F-250/350 Super Duty Crew Cab</t>
  </si>
  <si>
    <t>Outlaw Drop Running Boards</t>
  </si>
  <si>
    <t>2024 Tacoma Double Cab Pickup</t>
  </si>
  <si>
    <t>Outlaw Drop Nerf Step Bars</t>
  </si>
  <si>
    <t>Silverado/Sierra 1500 Crew Cab 2014-2018 (Rocker Mount); 25/3500 Crew Cab 2015-2019 (Excl.Diesel)</t>
  </si>
  <si>
    <t>34" step for 2" receiver</t>
  </si>
  <si>
    <t>HDX Stainless Drop Hitch Step</t>
  </si>
  <si>
    <t>HDX Drop Hitch Step</t>
  </si>
  <si>
    <t>27" step for 2" receiver</t>
  </si>
  <si>
    <t>R5 Hitch Step</t>
  </si>
  <si>
    <t>Grate Steps Hitch Step</t>
  </si>
  <si>
    <t>PRO TRAXX 5 Hitch Step</t>
  </si>
  <si>
    <t>Truck-Pal Tailgate Ladder</t>
  </si>
  <si>
    <t>Wrangler JL 2dr/Wrangler JL Unlimited 4dr 2018-2025 (Excl Sport, Sport S &amp; Sahara); Gladiator 2020-2025 (Excl. Sport, Sport S, Overland, North Edition)</t>
  </si>
  <si>
    <t>LED Hood Scoops</t>
  </si>
  <si>
    <t>Wrangler JL 2018-2025; Gladiator 2020-2025 (Excl. Mohave &amp; Rubicon 392)(Excl. 4xe)</t>
  </si>
  <si>
    <t>Pillar LED Light Mount</t>
  </si>
  <si>
    <t>LED Cowl Mount</t>
  </si>
  <si>
    <t>Bumper Mount in. LED Bar</t>
  </si>
  <si>
    <t>Bumper Mount Light Bar</t>
  </si>
  <si>
    <t>Lower Pillar Mounts</t>
  </si>
  <si>
    <t>LED Hood Mount</t>
  </si>
  <si>
    <t>Overhead Light Hoop</t>
  </si>
  <si>
    <t>LED Rock Light Kit</t>
  </si>
  <si>
    <t>Includes qty 4 lights, 14 feet 9 inches long wiring harness and switch.</t>
  </si>
  <si>
    <t>Single Row 6 x 3W Bridgelux w/terminated wiring (set of 2)</t>
  </si>
  <si>
    <t>FM6 Flush Mount LED</t>
  </si>
  <si>
    <t>LED Auxiliary Light 3 inch x 2.5 inch Flood w/5W Cree (Set of 2)</t>
  </si>
  <si>
    <t>Quadrant LED Auxiliary Light</t>
  </si>
  <si>
    <t>Set of (2) 3.2 in. x 3 in. 5W Cree Flood beam w/Black faceplate</t>
  </si>
  <si>
    <t>HyperQ B-FORCE LED Auxiliary Lights</t>
  </si>
  <si>
    <t>Set of (2) 3.2 in. x 3 in. 5W Cree Spot beam w/Black faceplate</t>
  </si>
  <si>
    <t>Set of (2) 3.2 in. x 3 in. 5W Cree Flood beam</t>
  </si>
  <si>
    <t>HyperQ LED Auxiliary Light</t>
  </si>
  <si>
    <t>Set of (2) 3.2 in. x 3 in. 5W Cree Spot beam</t>
  </si>
  <si>
    <t>FM4Q 3W Osram w/mounting hardware and pigtail connectors (set of 2)</t>
  </si>
  <si>
    <t>FM4Q Flush Mount LED</t>
  </si>
  <si>
    <t>14 ft. long, 14 gauge includes 20 amp fuse w/hard plastic wire loom cover w/pigtail to connect 2 lights.</t>
  </si>
  <si>
    <t>LED Wiring Harness</t>
  </si>
  <si>
    <t>11 ft. long, 12 gauge includes 30 amp fuse w/hard plastic wire loom cover and single connector.</t>
  </si>
  <si>
    <t>11 ft. long, 14 gauge includes 15 amp fuse w/hard plastic wire loom cover and single connector.</t>
  </si>
  <si>
    <t>LED Work Utility Light Square 4.6 inch x 5.3 inch Flood w/3W Epistar</t>
  </si>
  <si>
    <t>Square LED Work Utility Light</t>
  </si>
  <si>
    <t>LED Work Utility Light Square 4.6 inch x 5.3 inch Spot w/3W Epistar</t>
  </si>
  <si>
    <t>LED Work Utility Light Square 4.5 inch x 5.4 inch Flood w/3W Epistar</t>
  </si>
  <si>
    <t>LED Work Utility Light Round 5 inch Flood w/3W Epistar</t>
  </si>
  <si>
    <t>Round LED Work Utility Light</t>
  </si>
  <si>
    <t>LED Work Utility Light Round 5 inch Spot w/3W Epistar</t>
  </si>
  <si>
    <t>LED Work Utility Light Round 4.5 inch Spot w/3W Epistar</t>
  </si>
  <si>
    <t>LED Auxiliary Light 4.5 inch x 4.5 inch Square Flood w/3W Osram (Set of 2)</t>
  </si>
  <si>
    <t>Axis LED Auxiliary Light</t>
  </si>
  <si>
    <t>LED Auxiliary Light 4.5 inch x 4.5 inch Square Spot w/3W Osram (Set of 2)</t>
  </si>
  <si>
    <t>LED Auxiliary Light 4.75 inch Round Flood w/3W Osram (Set of 2)</t>
  </si>
  <si>
    <t>LED Auxiliary Light 4.75 inch Round Spot w/3W Osram (Set of 2)</t>
  </si>
  <si>
    <t>LED Light Bar Double Row 50 inch Combo w/3W Epistar</t>
  </si>
  <si>
    <t>EF2 LED Light Bar</t>
  </si>
  <si>
    <t>LED Light Bar Double Row 40 inch Spot w/3W Epistar</t>
  </si>
  <si>
    <t>LED Light Bar Double Row 40 inch Combo w/3W Epistar</t>
  </si>
  <si>
    <t>LED Light Bar Double Row 30 inch Combo w/3W Epistar</t>
  </si>
  <si>
    <t>LED Light Bar Double Row 20 inch Spot w/3W Epistar</t>
  </si>
  <si>
    <t>LED Light Bar Double Row 20 inch Combo w/3W Epistar</t>
  </si>
  <si>
    <t>LED Light Bar Double Row 12 inch Combo w/3W Epistar</t>
  </si>
  <si>
    <t>LED Light Bar Double Row 6 inch Spot w/3W Epistar</t>
  </si>
  <si>
    <t>LED Light Bar Double Row 6 inch Combo w/3W Epistar</t>
  </si>
  <si>
    <t>LED Light Bar Single Row 5.5 inch Flex w/3W Epistar (Set of 2)</t>
  </si>
  <si>
    <t>Fusion5 LED Light Bar</t>
  </si>
  <si>
    <t>LED Light Bar Low Profile Single Row 40 inch Flex w/5W Cree</t>
  </si>
  <si>
    <t>Xtreme LED Light Bar</t>
  </si>
  <si>
    <t>LED Light Bar Low Profile Single Row 30 inch Flex w/5W Cree</t>
  </si>
  <si>
    <t>LED Light Bar Low Profile Single Row 30 inch Flood w/5W Cree</t>
  </si>
  <si>
    <t>LED Light Bar Low Profile Single Row 20 inch Flex w/5W Cree</t>
  </si>
  <si>
    <t>LED Light Bar Low Profile Single Row 20 inch Flood w/5W Cree</t>
  </si>
  <si>
    <t>B-FORCE LED Light Bar Double Row 4 inch Flood w/3W Cree</t>
  </si>
  <si>
    <t>B-FORCE LED Light Bar</t>
  </si>
  <si>
    <t>B-FORCE LED Light Bar Double Row 40 inch Combo w/3W Cree</t>
  </si>
  <si>
    <t>B-FORCE LED Light Bar Double Row 30 inch Combo w/3W Cree</t>
  </si>
  <si>
    <t>B-FORCE LED Light Bar Double Row 2 inch Flood w/3W Cree</t>
  </si>
  <si>
    <t>B-FORCE LED Light Bar Double Row 20 inch Combo w/3W Cree</t>
  </si>
  <si>
    <t>B-FORCE LED Light Bar Double Row 12 inch Combo w/3W Cree</t>
  </si>
  <si>
    <t>B-FORCE LED Light Bar Double Row 10 inch Combo w/3W Cree</t>
  </si>
  <si>
    <t>B-FORCE LED Light Bar Double Row 6 inch Combo w/3W Cree</t>
  </si>
  <si>
    <t>B-FORCE LED Light Bar Double Row 50 inch Combo w/3W Cree</t>
  </si>
  <si>
    <t>B-FORCE LED Light Bar Single Row 6 inch Flood w/5W Cree</t>
  </si>
  <si>
    <t>B-FORCE Single Row LED</t>
  </si>
  <si>
    <t>B-FORCE LED Light Bar Single Row 50 inch Combo w/5W Cree</t>
  </si>
  <si>
    <t>B-FORCE LED Light Bar Single Row 40 inch Combo w/5W Cree</t>
  </si>
  <si>
    <t>B-FORCE LED Light Bar Single Row 30 inch Combo w/5W Cree</t>
  </si>
  <si>
    <t>B-FORCE LED Light Bar Single Row 20 inch Combo w/5W Cree</t>
  </si>
  <si>
    <t>B-FORCE LED Light Bar Single Row 10 inch Combo w/5W Cree</t>
  </si>
  <si>
    <t>Application Description</t>
  </si>
  <si>
    <t>Make</t>
  </si>
  <si>
    <t>Product</t>
  </si>
  <si>
    <t>Brand</t>
  </si>
  <si>
    <t>Part#</t>
  </si>
  <si>
    <t>5 Years</t>
  </si>
  <si>
    <t>MATRIX Z3 DUAL-TONE W/ ROTARY CONTROLLER</t>
  </si>
  <si>
    <t>Z3SXR-1</t>
  </si>
  <si>
    <t>MATRIX Z3 DUAL-TONE W/ PB CONTROLLER</t>
  </si>
  <si>
    <t>Z3SXP-1</t>
  </si>
  <si>
    <t>MATRIX Z3 DUAL-TONE W/ HANDHELD CONTROLLER</t>
  </si>
  <si>
    <t>Z3SXH-1</t>
  </si>
  <si>
    <t>MATRIX Z3 W/ ROTARY CONTROLLER</t>
  </si>
  <si>
    <t>Z3SR-1</t>
  </si>
  <si>
    <t>MATRIX Z3 W/ PB CONTROLLER</t>
  </si>
  <si>
    <t>Z3SP-1</t>
  </si>
  <si>
    <t>Z3 SERIAL OBD MODULE AND HARNESS TH21</t>
  </si>
  <si>
    <t>Z3S-OBD-TH21</t>
  </si>
  <si>
    <t>Z3 serial OBD module &amp; harness DUR/CH</t>
  </si>
  <si>
    <t>Z3S-OBD-DURCH</t>
  </si>
  <si>
    <t>1 Year</t>
  </si>
  <si>
    <t xml:space="preserve">Z3S OBD: PIU 20+, EXP 21+, F150-F350 21+, MUSTANG </t>
  </si>
  <si>
    <t>Z3S-OBD-001</t>
  </si>
  <si>
    <t>MATRIX Z3S MIC EXTENSION CABLE,25FT</t>
  </si>
  <si>
    <t>Z3S-MIC-EXT</t>
  </si>
  <si>
    <t>MATRIX Z3 W/ PUSH BUTTON CONTROLLER</t>
  </si>
  <si>
    <t>Z3SH-1</t>
  </si>
  <si>
    <t>ASSY,WIRE,4-PIN SPLITTER</t>
  </si>
  <si>
    <t>V2V-SPLIT</t>
  </si>
  <si>
    <t>ASSY,WIRE,4-PIN EXT CABLE, 177"</t>
  </si>
  <si>
    <t>V2V-EXT</t>
  </si>
  <si>
    <t>2 Years</t>
  </si>
  <si>
    <t>MATRIX,V2V SYNC MODULE</t>
  </si>
  <si>
    <t>V2V</t>
  </si>
  <si>
    <t>3599L5 SIREN - CONTROLLER</t>
  </si>
  <si>
    <t>T15061</t>
  </si>
  <si>
    <t>SUCTION CUP KIT, 1 3/4", CLEAR VINYL (3 PER KIT)</t>
  </si>
  <si>
    <t>T03434</t>
  </si>
  <si>
    <t>MATRIX SWITCH NODE</t>
  </si>
  <si>
    <t>SWITCHNODE</t>
  </si>
  <si>
    <t>SPKR BKT KIT,PS,SILVERADO-EV24</t>
  </si>
  <si>
    <t>SPKR-BKT-PS-SVE24</t>
  </si>
  <si>
    <t>SPKR BKT KIT,PS,PIU20</t>
  </si>
  <si>
    <t>SPKR-BKT-PS-PIU20</t>
  </si>
  <si>
    <t>SPKR BKT KIT,PS,BLAZER-EV24</t>
  </si>
  <si>
    <t>SPKR-BKT-PS-BZE24</t>
  </si>
  <si>
    <t>SPKR BKT KIT,DS,SILVERADO-EV24</t>
  </si>
  <si>
    <t>SPKR-BKT-DS-SVE24</t>
  </si>
  <si>
    <t>SPKR BKT KIT,DS,PIU20</t>
  </si>
  <si>
    <t>SPKR-BKT-DS-PIU20</t>
  </si>
  <si>
    <t>SPKR BKT KIT,DS,BLAZER-EV24</t>
  </si>
  <si>
    <t>SPKR-BKT-DS-BZE24</t>
  </si>
  <si>
    <t>PROGRAMMABLE VOICE AMPLIFIER</t>
  </si>
  <si>
    <t>PRMAMP</t>
  </si>
  <si>
    <t>100W BUMPER MOUNT SPEAKER WITHCHROME PLATED FINISH</t>
  </si>
  <si>
    <t>PB100C</t>
  </si>
  <si>
    <t>100W BUMPER MOUNT SPEAKER WITHBLACK PAINTED FINISH</t>
  </si>
  <si>
    <t>PB100B</t>
  </si>
  <si>
    <t>STANDARD NOISE CANCELLING      MICROPHONE</t>
  </si>
  <si>
    <t>NC-MIC</t>
  </si>
  <si>
    <t>MAGNET HOLDER FOR MIC</t>
  </si>
  <si>
    <t>MICMAG</t>
  </si>
  <si>
    <t>MATRIX,CAT5,SPLITTER,CONTROL,BOX</t>
  </si>
  <si>
    <t>MATRIX SPLITTER</t>
  </si>
  <si>
    <t>3 Years</t>
  </si>
  <si>
    <t>LOW FREQUENCY SPEAKER</t>
  </si>
  <si>
    <t>LF-SPK</t>
  </si>
  <si>
    <t>LOW FREQ SPEAKER KIT, 1 AMP, 1 SPEAKER</t>
  </si>
  <si>
    <t>LF-KIT1</t>
  </si>
  <si>
    <t>LOW FREQ SPEAKER KIT, 1 AMP, 2 SPEAKERS</t>
  </si>
  <si>
    <t>LF-KIT</t>
  </si>
  <si>
    <t>LOW FREQUENCY AMP</t>
  </si>
  <si>
    <t>LF-AMP</t>
  </si>
  <si>
    <t>LOW FREQ SPEAKER KIT DURANGO 2022+</t>
  </si>
  <si>
    <t>LF-004</t>
  </si>
  <si>
    <t>LOW FREQ DUAL SPEAKER KIT TAHOE 2021+</t>
  </si>
  <si>
    <t>LF-003</t>
  </si>
  <si>
    <t>LOW FREQ DUAL SPEAKER KIT PIU 2020+</t>
  </si>
  <si>
    <t>LF-002</t>
  </si>
  <si>
    <t>Flasher, Solid State, W/LED Flash Patterns</t>
  </si>
  <si>
    <t>LEDFLASHER1W</t>
  </si>
  <si>
    <t>Flasher, Solid State, w/Connector &amp; LED Flash Patt</t>
  </si>
  <si>
    <t>LEDFLASHER1</t>
  </si>
  <si>
    <t>Wiring Harness (36") for 3955 Siren (connector,scr</t>
  </si>
  <si>
    <t>HDHARN</t>
  </si>
  <si>
    <t>H3 Covert Siren, Input Wire Box</t>
  </si>
  <si>
    <t>H3CS-W</t>
  </si>
  <si>
    <t>H3 COVERT UNDERCOVER SIREN, 100W</t>
  </si>
  <si>
    <t>H3CS</t>
  </si>
  <si>
    <t>FLUSH MOUNT BUMPER SPEAKER    (CAST) - CHROME</t>
  </si>
  <si>
    <t>FM100C</t>
  </si>
  <si>
    <t>Z3S SIREN MICROPHONE</t>
  </si>
  <si>
    <t>CZZ3SMIC</t>
  </si>
  <si>
    <t>Z3S HARNESS SET</t>
  </si>
  <si>
    <t>CZZ3SH</t>
  </si>
  <si>
    <t>REPLACEMENT,MATRIX,HANDHELD,LEGENDS</t>
  </si>
  <si>
    <t>CZZ3HL</t>
  </si>
  <si>
    <t>Z3S ROTARY CONTROL HEAD</t>
  </si>
  <si>
    <t>CZRCH</t>
  </si>
  <si>
    <t>Z3S PUSH BUTTON CONTROL HEAD</t>
  </si>
  <si>
    <t>CZPCH</t>
  </si>
  <si>
    <t>REPLACEMENT,MATRIX,HANDHELD</t>
  </si>
  <si>
    <t>CZMHH</t>
  </si>
  <si>
    <t>MATRIX, 25FT 8 CIRCUIT, CAT5</t>
  </si>
  <si>
    <t>CZCAT5</t>
  </si>
  <si>
    <t>SPKR KIT,F15 FORD F150 -C3100</t>
  </si>
  <si>
    <t>CZ3108</t>
  </si>
  <si>
    <t>REPLACE,3599LSIREN,CONTROLLER</t>
  </si>
  <si>
    <t>CZ3102</t>
  </si>
  <si>
    <t>REPLACE,BUTTN LABEL INSERTS-XCEL SIREN</t>
  </si>
  <si>
    <t>CZ0290</t>
  </si>
  <si>
    <t>REPLACE,BRACKET,HEAVY DUTY,MIC FOR DASH</t>
  </si>
  <si>
    <t>CZ0279</t>
  </si>
  <si>
    <t>XCEL MIC WITH MAG HOLDER</t>
  </si>
  <si>
    <t>CZ0254</t>
  </si>
  <si>
    <t>MATRIX Z3S MIC WITH MAG HOLDER</t>
  </si>
  <si>
    <t>CZ0253</t>
  </si>
  <si>
    <t>REPLACE,220-1275-00 SPEAKER BRACKET</t>
  </si>
  <si>
    <t>CZ0185</t>
  </si>
  <si>
    <t>REPLACE,C3900,BKTS15+ F15018+ EXPN W HDW</t>
  </si>
  <si>
    <t>CZ0142</t>
  </si>
  <si>
    <t>REPLACE,SIREN HVY DUTY MIC DASH MNT</t>
  </si>
  <si>
    <t>CZ0116</t>
  </si>
  <si>
    <t>REPLACE,Z3SXP W ADAPTER BOX</t>
  </si>
  <si>
    <t>CZ0106</t>
  </si>
  <si>
    <t>REPLACE,Z3SP W ADAPTER BOX</t>
  </si>
  <si>
    <t>CZ0105</t>
  </si>
  <si>
    <t>PORTABLE SELF CONTAIN LIGHT &amp; SIREN KIT</t>
  </si>
  <si>
    <t>CLSLK-1</t>
  </si>
  <si>
    <t>Slim Speaker with 2 speaker   array,no mount brack</t>
  </si>
  <si>
    <t>C3900X</t>
  </si>
  <si>
    <t>Slim Speaker with universal   'U' bracket</t>
  </si>
  <si>
    <t>C3900U</t>
  </si>
  <si>
    <t>SPEAKER W BRACKET,SINGLE,TH21</t>
  </si>
  <si>
    <t>C3900TH21-SO</t>
  </si>
  <si>
    <t>(1)SPEAKER W SNGL/DUAL BRACKET,TH21</t>
  </si>
  <si>
    <t>C3900TH21-SD</t>
  </si>
  <si>
    <t>C3900 SPKR,T1 SILVERADO 19+,SINGLE/DUAL</t>
  </si>
  <si>
    <t>C3900SLV19</t>
  </si>
  <si>
    <t>C3900 SPKR WITH MUSTANGMACHE SINGLEMOUNT</t>
  </si>
  <si>
    <t>C3900MME-SO</t>
  </si>
  <si>
    <t>C3900 SPKR WITH MUSTANGMACHE DUALMOUNT</t>
  </si>
  <si>
    <t>C3900MME-SD</t>
  </si>
  <si>
    <t>Slim Speaker with universal   "L" bracket</t>
  </si>
  <si>
    <t>C3900L</t>
  </si>
  <si>
    <t>SLIM SPEAKER WITH 2015+ F150  &amp; 2018+ EXPDN SINGLE</t>
  </si>
  <si>
    <t>C3900EXPNF150-SD</t>
  </si>
  <si>
    <t>C3900 SKPR W/ DUR 2015+ BRKT, SINGLE</t>
  </si>
  <si>
    <t>C3900DUR2</t>
  </si>
  <si>
    <t>C3100 Speaker, 100w w/o Brackets</t>
  </si>
  <si>
    <t>C3100X</t>
  </si>
  <si>
    <t>C3100 SPEAKER W/ UNIVERSAL BRKT</t>
  </si>
  <si>
    <t>C3100U</t>
  </si>
  <si>
    <t>SPEAKER W BRACKET,SINGLE OR DUAL,TH21</t>
  </si>
  <si>
    <t>C3100TH21</t>
  </si>
  <si>
    <t>C3100 SPKR,T1 SILVERADO 19+,SINGLE/DUAL</t>
  </si>
  <si>
    <t>C3100SLV19</t>
  </si>
  <si>
    <t>C3100 Speaker w/ Ford Interceptor Utility Bracket,</t>
  </si>
  <si>
    <t>C3100-PIU</t>
  </si>
  <si>
    <t>C3100 SPKR WITH MUSTANGMACHE SINGLEMOUNT</t>
  </si>
  <si>
    <t>C3100MME-SO</t>
  </si>
  <si>
    <t>C3100 SPKR WITH MUSTANGMACHE DUALMOUNT</t>
  </si>
  <si>
    <t>C3100MME-SD</t>
  </si>
  <si>
    <t>C3100 SPKR W/ F150 15+ BRACKET</t>
  </si>
  <si>
    <t>C3100F15015</t>
  </si>
  <si>
    <t>C3100 SPEAKER WITH 2015+ F150 &amp; 2018+ EXPDN SINGLE</t>
  </si>
  <si>
    <t>C3100EXPNF150-SD</t>
  </si>
  <si>
    <t>C3100,SPKR,100W,EXPEDITION</t>
  </si>
  <si>
    <t>C3100EN07</t>
  </si>
  <si>
    <t>C3100 Speaker w/Charger 15+ Latch Mount Bracket</t>
  </si>
  <si>
    <t>C3100CH15-LM</t>
  </si>
  <si>
    <t>CHARGER C3100 SPEAKER, SINGLE , 2015+</t>
  </si>
  <si>
    <t>C3100CH15-2</t>
  </si>
  <si>
    <t>CHARGER C3100 SPEAKER,SINGLE, 2015+</t>
  </si>
  <si>
    <t>C3100CH15</t>
  </si>
  <si>
    <t>C3100 SPEAKER W/BAIL BRACKET</t>
  </si>
  <si>
    <t>C3100BB</t>
  </si>
  <si>
    <t>Remote switch, programmable,  6 backlit buttons</t>
  </si>
  <si>
    <t>450R-L6</t>
  </si>
  <si>
    <t>V-CON SIREN WITH AIR HORN</t>
  </si>
  <si>
    <t>3692S</t>
  </si>
  <si>
    <t>V-CON SIREN WITH AIR HORN AND LIGHT CONTROL (4 AUX</t>
  </si>
  <si>
    <t>3692L4S</t>
  </si>
  <si>
    <t>V-CON SIREN WITH AIR HORN AND HYPERYELP</t>
  </si>
  <si>
    <t>3672S</t>
  </si>
  <si>
    <t>V-CON SIREN WITH AIR HORN, HYPERYELP</t>
  </si>
  <si>
    <t>3672L4S</t>
  </si>
  <si>
    <t>H2 COVERT SIREN,WITH HANDHELD CONTROLLER</t>
  </si>
  <si>
    <t>3599L5</t>
  </si>
  <si>
    <t>XCEL Siren,12V, Hard-Wired Mic (Stock)</t>
  </si>
  <si>
    <t>3492S</t>
  </si>
  <si>
    <t>XCEL REMOTE CH,12V,LITE CNTRL,PLUGIN MIC</t>
  </si>
  <si>
    <t>3492R</t>
  </si>
  <si>
    <t>XCEL Siren,12V w/Light Control,Hard-wired Mic (Sto</t>
  </si>
  <si>
    <t>3492L6S</t>
  </si>
  <si>
    <t>HEAVY DUTY ON/OFF TOGGLE SWITCH</t>
  </si>
  <si>
    <t>301SW</t>
  </si>
  <si>
    <t>MOTORCYCLE SIREN FOR EXTERIOR MOUNT</t>
  </si>
  <si>
    <t>BANSHEE LOW FREQUENCY SIREN</t>
  </si>
  <si>
    <t>PATIENT LIGHT,VV,48LED, 12-24VDC, W</t>
  </si>
  <si>
    <t>PCL-LED-VV-P</t>
  </si>
  <si>
    <t>PATIENT LIGHT,VV,48LED,12-24VDC,9IN</t>
  </si>
  <si>
    <t>PCL-LED-VV</t>
  </si>
  <si>
    <t>9-LED Patient Compartment     Light</t>
  </si>
  <si>
    <t>PCL-LED</t>
  </si>
  <si>
    <t>ANTIMICROBIAL DOME LIGHT 6IN</t>
  </si>
  <si>
    <t>DLC-LED-VV</t>
  </si>
  <si>
    <t>Corner Compartment Light,61.2"72 LED,45 Degree,12-</t>
  </si>
  <si>
    <t>CW0805</t>
  </si>
  <si>
    <t>Corner Compartment Light,51.3"60 LED,45 Degree,12-</t>
  </si>
  <si>
    <t>CW0804</t>
  </si>
  <si>
    <t>Corner Compartment Light,41.4"48 LED,45 Degree,12-</t>
  </si>
  <si>
    <t>CW0803</t>
  </si>
  <si>
    <t>Corner Compartment Light,31.5"36 LED,45 Degree,12-</t>
  </si>
  <si>
    <t>CW0802</t>
  </si>
  <si>
    <t>Corner Compartment Light,21.5"24 LED,45 Degree,12-</t>
  </si>
  <si>
    <t>CW0801</t>
  </si>
  <si>
    <t>Corner Compartment Light,11.6"12 LED,45 Degree,12-</t>
  </si>
  <si>
    <t>CW0800</t>
  </si>
  <si>
    <t>INTLIGHT,192LED,33"RECT,12-24V</t>
  </si>
  <si>
    <t>CW0602</t>
  </si>
  <si>
    <t>INTLIGHT,96LED,18",W/S,12-24V</t>
  </si>
  <si>
    <t>CW0600</t>
  </si>
  <si>
    <t>INT.LIGHT,138 LED, 18.25"X3.5"REC. FLAT PANL W/SWI</t>
  </si>
  <si>
    <t>CW0502</t>
  </si>
  <si>
    <t xml:space="preserve">INT.LIGHT,42LED,7" X 3.5" RECTFLAT PNEL W/SWITCH, </t>
  </si>
  <si>
    <t>CW0500</t>
  </si>
  <si>
    <t xml:space="preserve">INT.LIGHT,R/W,RECT,FLUSH MNT. 12/24V,17.7"W/TOUCH </t>
  </si>
  <si>
    <t>CW0412-WR</t>
  </si>
  <si>
    <t>Int Light 17.7" Rect, Flush Mount, 12/24</t>
  </si>
  <si>
    <t>CW0412</t>
  </si>
  <si>
    <t xml:space="preserve">INT.LIGHT,R/W,RECT,FLUSH MNT. 12/24V,11.8"W/TOUCH </t>
  </si>
  <si>
    <t>CW0411-WR</t>
  </si>
  <si>
    <t>Int Light 11.8" Rect, Flush Mount, 12/24V w/Switch</t>
  </si>
  <si>
    <t>CW0411</t>
  </si>
  <si>
    <t>INT.LIGHT,R/W,RECT,FLUSH MNT. 12/24V,5.4"W/TOUCH S</t>
  </si>
  <si>
    <t>CW0410-WR</t>
  </si>
  <si>
    <t>Int Light 5.4" Rect, Flush Mount, 12/24V w/Switch</t>
  </si>
  <si>
    <t>CW0410</t>
  </si>
  <si>
    <t>INT.LIGHT,R/W,RECT,FLUSH MNT. 12/24V,17.7"</t>
  </si>
  <si>
    <t>CW0402-WR</t>
  </si>
  <si>
    <t>Int Light 17.7" Rect, Flush Mount, 12/24V</t>
  </si>
  <si>
    <t>CW0402</t>
  </si>
  <si>
    <t>INT.LIGHT,R/W,RECT,FLUSH MNT. 12/24V,11.8"</t>
  </si>
  <si>
    <t>CW0401-WR</t>
  </si>
  <si>
    <t>Int Light 11.8" Rect, Flush Mount, 12/24V</t>
  </si>
  <si>
    <t>CW0401</t>
  </si>
  <si>
    <t>INT.LIGHT,R/W,RECT,FLUSH MNT. 12/24V,5.4"</t>
  </si>
  <si>
    <t>CW0400-WR</t>
  </si>
  <si>
    <t>Int Light 5.4" Rect, Flush Mount, 12/24V</t>
  </si>
  <si>
    <t>CW0400</t>
  </si>
  <si>
    <t>LED, interior, self adhesive  strip, 12V, 76.5"</t>
  </si>
  <si>
    <t>CW0177</t>
  </si>
  <si>
    <t>LED, interior, self adhesive  strip, 12V, 36"</t>
  </si>
  <si>
    <t>CW0136</t>
  </si>
  <si>
    <t>LED, interior, self adhesive  strip, 12V, 24"</t>
  </si>
  <si>
    <t>CW0124</t>
  </si>
  <si>
    <t>LED, interior, self adhesive  strip, 12V, 12"</t>
  </si>
  <si>
    <t>CW0112</t>
  </si>
  <si>
    <t>LED, interior, self adhesive  strip, 12V, 6"</t>
  </si>
  <si>
    <t>CW0106</t>
  </si>
  <si>
    <t>LED, interior, self adhesive  strip, 12V, 16' roll</t>
  </si>
  <si>
    <t>CW0100</t>
  </si>
  <si>
    <t>COMPLETE PRE-EMPTION SYSTEM</t>
  </si>
  <si>
    <t>NPE1000</t>
  </si>
  <si>
    <t>Preemption Traffic Signal,12v</t>
  </si>
  <si>
    <t>MDASHCPE</t>
  </si>
  <si>
    <t>6 Months</t>
  </si>
  <si>
    <t>Strobe reflector for emitter</t>
  </si>
  <si>
    <t>LMTUBE</t>
  </si>
  <si>
    <t>LOW PROFILE 795H EMITTER FOR  INSTALL IN 2100,2700</t>
  </si>
  <si>
    <t>E795LP-LX</t>
  </si>
  <si>
    <t>THIN SUPERVISOR MNT KIT,TH21</t>
  </si>
  <si>
    <t>TSMTG-TH21</t>
  </si>
  <si>
    <t>THIN SUPERVISOR MNT KIT,TAHOE 15+</t>
  </si>
  <si>
    <t>TSMTG-TAH15</t>
  </si>
  <si>
    <t>THIN SUPERVISOR MNT KIT,SLVRDO 19+</t>
  </si>
  <si>
    <t>TSMTG-SLV</t>
  </si>
  <si>
    <t>THIN SUPERVISOR MNT KIT,PIU20</t>
  </si>
  <si>
    <t>TSMTG-PIU20</t>
  </si>
  <si>
    <t>THIN SUPERVISOR MNT KIT,PIU 16-19</t>
  </si>
  <si>
    <t>TSMTG-PIU16</t>
  </si>
  <si>
    <t>THIN SUPERVISOR MNT KIT,F-150 2015+</t>
  </si>
  <si>
    <t>TSMTG-F15015</t>
  </si>
  <si>
    <t>THIN SUPERVISOR MNT KIT,DURANGO 12+</t>
  </si>
  <si>
    <t>TSMTG-DUR12</t>
  </si>
  <si>
    <t>THIN SUPERVISOR MNT KIT,CHARGER 15+</t>
  </si>
  <si>
    <t>TSMTG-CH15</t>
  </si>
  <si>
    <t>THIN SUPERVISOR MNT KIT,2024+BLAZER-EV</t>
  </si>
  <si>
    <t>TSMTG-BZE24</t>
  </si>
  <si>
    <t>07 Toyota Tacoma &amp; Pre-Runner Adapter Bracket</t>
  </si>
  <si>
    <t>TOYTAC</t>
  </si>
  <si>
    <t>KIT,SWITCHNODE BRACKET,TH21</t>
  </si>
  <si>
    <t>SNMTG-TH21</t>
  </si>
  <si>
    <t>KIT,SWITCHNODE BRACKET,PIU20</t>
  </si>
  <si>
    <t>SNMTG-PIU20</t>
  </si>
  <si>
    <t>Universal Roof Rack adapter   &amp; mnt 2100,2700,Exca</t>
  </si>
  <si>
    <t>ROOFRAK</t>
  </si>
  <si>
    <t>PERMANENT MOUNTING KIT FOR    LIGHT BARS</t>
  </si>
  <si>
    <t>PERMX</t>
  </si>
  <si>
    <t>BRACKET,MTS,GRILLE,TAHOE 2021+</t>
  </si>
  <si>
    <t>MTSMTG-006</t>
  </si>
  <si>
    <t>BRACKET,MTS,SILVERADO 2021+</t>
  </si>
  <si>
    <t>MTSMTG-005</t>
  </si>
  <si>
    <t>BRACKET,MTS,F-SERIES 2021+</t>
  </si>
  <si>
    <t>MTSMTG-004</t>
  </si>
  <si>
    <t>METAL MOUNT KIT FOR 2100</t>
  </si>
  <si>
    <t>LXKIT</t>
  </si>
  <si>
    <t xml:space="preserve">TOW TRUCK PYLON CENTER        MOUNTING CONVERSION </t>
  </si>
  <si>
    <t>KITTOW</t>
  </si>
  <si>
    <t>UNIVERSAL GUTTER HOOKS</t>
  </si>
  <si>
    <t>GUTTERHK</t>
  </si>
  <si>
    <t>ADAPTER BRKT, UNIVERSAL (NOT PURS RATED)</t>
  </si>
  <si>
    <t>GMBTRK</t>
  </si>
  <si>
    <t>1991-2006 FORD EXPLORER MNTINGADAPTER KIT</t>
  </si>
  <si>
    <t>FDXPLR</t>
  </si>
  <si>
    <t xml:space="preserve">MNTG ADAPTER FOR 11+ FORD PI  UTILITY FOR 52" bar </t>
  </si>
  <si>
    <t>FDPIU11-52</t>
  </si>
  <si>
    <t>CROWN VIC 1992+ MTG ADAPTER   BRACKET</t>
  </si>
  <si>
    <t>FDCV92</t>
  </si>
  <si>
    <t>2004-08 FORD F-150 MOUNTING   ADAPTOR KIT</t>
  </si>
  <si>
    <t>FD150PU</t>
  </si>
  <si>
    <t>ADAPTOR BRKT FORD F SERIES ALUM ROOF 15+</t>
  </si>
  <si>
    <t>FD15015</t>
  </si>
  <si>
    <t>ADAPTOR BRKT 2014 Dodg JOURNEY</t>
  </si>
  <si>
    <t>DGJRNY</t>
  </si>
  <si>
    <t>DODGE DURANGO (2011+)MTG ADAPT</t>
  </si>
  <si>
    <t>DGDUR11</t>
  </si>
  <si>
    <t>REPLACE,LIGHT BAR SERIAL INTERFACE BOX</t>
  </si>
  <si>
    <t>CZMATSIB</t>
  </si>
  <si>
    <t>REPLACE,SERIAL LIGHT BAR POWER HUB</t>
  </si>
  <si>
    <t>CZMATPH</t>
  </si>
  <si>
    <t>REPLACE,SERIAL LIGHT BAR CONTROLLER</t>
  </si>
  <si>
    <t>CZMATLBC</t>
  </si>
  <si>
    <t>D-PILLAR,TAHOE21+,HOUSING,PAIR</t>
  </si>
  <si>
    <t>CZDPTH21</t>
  </si>
  <si>
    <t>D-PILLAR,PIU20+,HOUSING,PAIR</t>
  </si>
  <si>
    <t>CZDPPIU20</t>
  </si>
  <si>
    <t>D-PILLAR,HARNESS,DISCRETE_CONTROL(QTY1)</t>
  </si>
  <si>
    <t>CZDPH2</t>
  </si>
  <si>
    <t>CD3794RW,D-PILLAR(CONNECTOR+STEADYBURN)</t>
  </si>
  <si>
    <t>CZDP94RW</t>
  </si>
  <si>
    <t>CD3794RBW,D-PILLAR(CONNECTOR+STEADYBURN)</t>
  </si>
  <si>
    <t>CZDP94RBW</t>
  </si>
  <si>
    <t>CD3794RBA,D-PILLAR(CONNECTOR+STEADYBURN)</t>
  </si>
  <si>
    <t>CZDP94RBA</t>
  </si>
  <si>
    <t>CD3794RB,D-PILLAR(CONNECTOR+STEADYBURN)</t>
  </si>
  <si>
    <t>CZDP94RB</t>
  </si>
  <si>
    <t>CD3794RAW,D-PILLAR(CONNECTOR+STEADYBURN)</t>
  </si>
  <si>
    <t>CZDP94RAW</t>
  </si>
  <si>
    <t>CD3794RA,D-PILLAR(CONNECTOR+STEADYBURN)</t>
  </si>
  <si>
    <t>CZDP94RA</t>
  </si>
  <si>
    <t>CD3794BW,D-PILLAR(CONNECTOR+STEADYBURN)</t>
  </si>
  <si>
    <t>CZDP94BW</t>
  </si>
  <si>
    <t>CD3794BAW,D-PILLAR(CONNECTOR+STEADYBURN)</t>
  </si>
  <si>
    <t>CZDP94BAW</t>
  </si>
  <si>
    <t>CD3794BA,D-PILLAR(CONNECTOR+STEADYBURN)</t>
  </si>
  <si>
    <t>CZDP94BA</t>
  </si>
  <si>
    <t>CD3794AW,D-PILLAR(CONNECTOR+STEADYBURN)</t>
  </si>
  <si>
    <t>CZDP94AW</t>
  </si>
  <si>
    <t>CD5031RW,D-PILLAR(CONNECTOR+STEADYBURN)</t>
  </si>
  <si>
    <t>CZDP31RW</t>
  </si>
  <si>
    <t>CD5031RBW,D-PILLAR(CONNECTOR+STEADYBURN)</t>
  </si>
  <si>
    <t>CZDP31RBW</t>
  </si>
  <si>
    <t>CD5031RBA,D-PILLAR(CONNECTOR+STEADYBURN)</t>
  </si>
  <si>
    <t>CZDP31RBA</t>
  </si>
  <si>
    <t>CD5031RB,D-PILLAR(CONNECTOR+STEADYBURN)</t>
  </si>
  <si>
    <t>CZDP31RB</t>
  </si>
  <si>
    <t>CD5031RAW,D-PILLAR(CONNECTOR+STEADYBURN)</t>
  </si>
  <si>
    <t>CZDP31RAW</t>
  </si>
  <si>
    <t>CD5031BW,D-PILLAR(CONNECTOR+STEADYBURN)</t>
  </si>
  <si>
    <t>CZDP31BW</t>
  </si>
  <si>
    <t>CD5031BAW,D-PILLAR(CONNECTOR+STEADYBURN)</t>
  </si>
  <si>
    <t>CZDP31BAW</t>
  </si>
  <si>
    <t>CD5031AW,D-PILLAR(CONNECTOR+STEADYBURN)</t>
  </si>
  <si>
    <t>CZDP31AW</t>
  </si>
  <si>
    <t>REPLACE,LAMP,55W,12V,H1,BASE HALOGEN</t>
  </si>
  <si>
    <t>CZ4004</t>
  </si>
  <si>
    <t>REPLACE,BULB,XENON STROBE,2009</t>
  </si>
  <si>
    <t>CZ4003</t>
  </si>
  <si>
    <t>REPLACE,GASKT-CHASS-MULTI SUPERVISOR-U</t>
  </si>
  <si>
    <t>CZ3707</t>
  </si>
  <si>
    <t>REPLACE,CONTROLBOX-MC SUPERVISOR-TS</t>
  </si>
  <si>
    <t>CZ3703</t>
  </si>
  <si>
    <t>REPLACEMENT,MAX TOP OUTBOARD LENS - CLR</t>
  </si>
  <si>
    <t>CZ3402C</t>
  </si>
  <si>
    <t>27 LENS,SERIAL,UP,O/B,W LENS CLIPS,RED</t>
  </si>
  <si>
    <t>CZ27UR</t>
  </si>
  <si>
    <t>27 LENS,SERIAL,UP,O/B,W LENS CLIPS,BLACK</t>
  </si>
  <si>
    <t>CZ27UBLK</t>
  </si>
  <si>
    <t>27 LENS,SERIAL,UP,O/B,W LENS CLIPS,BLUE</t>
  </si>
  <si>
    <t>CZ27UB</t>
  </si>
  <si>
    <t>REPLACE,5LED,SERIAL PRIZM,TD,WHITE</t>
  </si>
  <si>
    <t>CZ27TD</t>
  </si>
  <si>
    <t>27IF Single REF12 Red/Red Module</t>
  </si>
  <si>
    <t>CZ27IFF12RR</t>
  </si>
  <si>
    <t>27IF Single REF8 White Module</t>
  </si>
  <si>
    <t>CZ27IF8W</t>
  </si>
  <si>
    <t>27IF Single REF3 Blue Module</t>
  </si>
  <si>
    <t>CZ27IF3B</t>
  </si>
  <si>
    <t>CZ27IF12RR</t>
  </si>
  <si>
    <t>27IF Single REF12 Red/Blue Module</t>
  </si>
  <si>
    <t>CZ27IF12RB</t>
  </si>
  <si>
    <t>27IF Single REF12 Amber/Amber Module</t>
  </si>
  <si>
    <t>CZ27IF12AA</t>
  </si>
  <si>
    <t>ADAPTER, T-BRACKET FOR CORNER,27 SERIES</t>
  </si>
  <si>
    <t>CZ27CRNRADPTBRK</t>
  </si>
  <si>
    <t>JUMPER,27 SERIES,CC, DUAL COLOR</t>
  </si>
  <si>
    <t>CZ27CCMCJUMPER</t>
  </si>
  <si>
    <t>27CC Single REF8 Red Module</t>
  </si>
  <si>
    <t>CZ27CC8R</t>
  </si>
  <si>
    <t>27CC Single REF8 Blue Module</t>
  </si>
  <si>
    <t>CZ27CC8B</t>
  </si>
  <si>
    <t>27CC Single REF3 White Module</t>
  </si>
  <si>
    <t>CZ27CC3W</t>
  </si>
  <si>
    <t>27CC Single REF3 Red  Module</t>
  </si>
  <si>
    <t>CZ27CC3R</t>
  </si>
  <si>
    <t>27CC Multicolor REF22 Red/White Module</t>
  </si>
  <si>
    <t>CZ27CC22RW</t>
  </si>
  <si>
    <t>27CC Multicolor REF22 Red/Blue Module</t>
  </si>
  <si>
    <t>CZ27CC22RB</t>
  </si>
  <si>
    <t>27CC Multicolor REF22 Red/Amber Module</t>
  </si>
  <si>
    <t>CZ27CC22RA</t>
  </si>
  <si>
    <t>REPLACE,ASSY,SUB,RX2700,22UP,CC,BW</t>
  </si>
  <si>
    <t>CZ27CC22OB-BW</t>
  </si>
  <si>
    <t>27CC Multicolor REF22 Blue/White Module</t>
  </si>
  <si>
    <t>CZ27CC22BW</t>
  </si>
  <si>
    <t>27CC Single Corner REF12 White Module</t>
  </si>
  <si>
    <t>CZ27CC12W</t>
  </si>
  <si>
    <t>27CC Single Corner REF12 Red Module</t>
  </si>
  <si>
    <t>CZ27CC12R</t>
  </si>
  <si>
    <t>REPLACE,ASSY,SUB,RX2700,12UP,CC,RED</t>
  </si>
  <si>
    <t>CZ27CC12OB-R</t>
  </si>
  <si>
    <t>REPLACE,ASSY,SUB,RX2700,12UP,CC,BLUE</t>
  </si>
  <si>
    <t>CZ27CC12OB-B</t>
  </si>
  <si>
    <t>27CC Single Corner REF12 Blue Module</t>
  </si>
  <si>
    <t>CZ27CC12B</t>
  </si>
  <si>
    <t>27CC Single Corner REF12 Amber Module</t>
  </si>
  <si>
    <t>CZ27CC12A</t>
  </si>
  <si>
    <t>BLANKING BRACKETS,27 SERIES,1.5in, QTY 2</t>
  </si>
  <si>
    <t>CZ27BLNKBRK-1.5</t>
  </si>
  <si>
    <t>REPLACE,5LED,SERIAL PRIZM,ALLEY,WHITE</t>
  </si>
  <si>
    <t>CZ27AL</t>
  </si>
  <si>
    <t>REPLACE,24LED,SERIAL PRIZM,RED/WHITE</t>
  </si>
  <si>
    <t>CZ2724RW</t>
  </si>
  <si>
    <t>REPLACE,24LED,SERIAL PRIZM,R/B/W</t>
  </si>
  <si>
    <t>CZ2724RBW</t>
  </si>
  <si>
    <t>REPLACE,24LED,SERIAL PRIZM,R/B/A</t>
  </si>
  <si>
    <t>CZ2724RBA</t>
  </si>
  <si>
    <t>REPLACE,24LED,SERIAL PRIZM,R/A/W</t>
  </si>
  <si>
    <t>CZ2724RAW</t>
  </si>
  <si>
    <t>REPLACE,24LED,SERIAL PRIZM,RED/AMBER</t>
  </si>
  <si>
    <t>CZ2724RA</t>
  </si>
  <si>
    <t>REPLACE,24LED,SERIAL PRIZM,BLUE/WHITE</t>
  </si>
  <si>
    <t>CZ2724BW</t>
  </si>
  <si>
    <t>REPLACE,24LED,SERIAL PRIZM,BLUE/AMBER</t>
  </si>
  <si>
    <t>CZ2724BA</t>
  </si>
  <si>
    <t>REPLACE,12LED,PRIZM,RED,IF</t>
  </si>
  <si>
    <t>CZ2712IFR</t>
  </si>
  <si>
    <t>REPLACE,12LED,PRIZM,RED,CC</t>
  </si>
  <si>
    <t>CZ2712CCR</t>
  </si>
  <si>
    <t>REPLACEMENT,LENS,27,LWR,11",CLEAR</t>
  </si>
  <si>
    <t>CZ2711C</t>
  </si>
  <si>
    <t>27 LENS,UPPER,CENTER,8",RED</t>
  </si>
  <si>
    <t>CZ2708UR</t>
  </si>
  <si>
    <t>27 LENS,UPPER,CENTER,8",BLACK</t>
  </si>
  <si>
    <t>CZ2708UBLK</t>
  </si>
  <si>
    <t>27 LENS,UPPER,CENTER,8",BLUE</t>
  </si>
  <si>
    <t>CZ2708UB</t>
  </si>
  <si>
    <t>REPLACEMENT,LENS, 27,LWR,8",CLEAR</t>
  </si>
  <si>
    <t>CZ2708C</t>
  </si>
  <si>
    <t>REPLACEMENT,LENS,27,LWR,OB,CLEAR</t>
  </si>
  <si>
    <t>CZ2701C</t>
  </si>
  <si>
    <t>REPLACE,ASSY,SUB,RX2700,12UP,DUMB,RED</t>
  </si>
  <si>
    <t>CZ2700R</t>
  </si>
  <si>
    <t>REPLACE,ASSY,SUB,RX2700,12UP,CC,AMB</t>
  </si>
  <si>
    <t>CZ2700A</t>
  </si>
  <si>
    <t>REPLACE,SUB,NOVA EMITTER FOR PURSUIT,DS</t>
  </si>
  <si>
    <t>CZ25NPE-R</t>
  </si>
  <si>
    <t>REPLACE,SUB,NOVA EMITTER FOR PURSUIT,PS</t>
  </si>
  <si>
    <t>CZ25NPE-L</t>
  </si>
  <si>
    <t>REPLACE,LENS,PURSUIT,LWR,6",CENTER</t>
  </si>
  <si>
    <t>CZ2516C</t>
  </si>
  <si>
    <t>REPLACE,LENS,PURSUIT,LWR,12",CENTER</t>
  </si>
  <si>
    <t>CZ2515C</t>
  </si>
  <si>
    <t>REPLACE,LENS,PURSUIT,LOWER,O/B,CLR</t>
  </si>
  <si>
    <t>CZ2514C</t>
  </si>
  <si>
    <t>REPLACE,LENS,PURSUIT,UPPER,CNTR 6",RED</t>
  </si>
  <si>
    <t>CZ2513R</t>
  </si>
  <si>
    <t>REPLACE,LENS,PURSUIT,UPPER,CNTR 6",CLR</t>
  </si>
  <si>
    <t>CZ2513C</t>
  </si>
  <si>
    <t>REPLACE,LENS,PURSUIT,UPPER,CNTR,12",RED</t>
  </si>
  <si>
    <t>CZ2512R</t>
  </si>
  <si>
    <t>REPLACE,LENS,PURSUIT,UPPER,CNTR,12",CLR</t>
  </si>
  <si>
    <t>CZ2512C</t>
  </si>
  <si>
    <t>REPLACE,LENS,PURSUIT,UPPER,CNTR 12",AMB</t>
  </si>
  <si>
    <t>CZ2512A</t>
  </si>
  <si>
    <t>REPLACE,LENS,PURSUIT,UPPER,OB,RED</t>
  </si>
  <si>
    <t>CZ2511R</t>
  </si>
  <si>
    <t>REPLACE,LENS,PURSUIT,UPPER,OB,CLR</t>
  </si>
  <si>
    <t>CZ2511C</t>
  </si>
  <si>
    <t>REPLACE,LENS,PURSUIT,UPPER,OB,AMBER</t>
  </si>
  <si>
    <t>CZ2511A</t>
  </si>
  <si>
    <t>REPLACE PURSUIT,10IN,INTERNAL,WIRE,ASSY</t>
  </si>
  <si>
    <t>CZ2510</t>
  </si>
  <si>
    <t>REPLACE,25 SER,LED,LOWER,1CH WHITE</t>
  </si>
  <si>
    <t>CZ2503W</t>
  </si>
  <si>
    <t>REPLACE,25 SER,LED,LOWER,1CH RED</t>
  </si>
  <si>
    <t>CZ2503R</t>
  </si>
  <si>
    <t>REPLACE,25 SER,LED,LOWER,1CH BLUE</t>
  </si>
  <si>
    <t>CZ2503B</t>
  </si>
  <si>
    <t>REPLACE,25 SER,LED,LOWER,1CH AMBER</t>
  </si>
  <si>
    <t>CZ2503A</t>
  </si>
  <si>
    <t>REPLACE,25 SER,LED,UPPER,SAE,WHITE</t>
  </si>
  <si>
    <t>CZ2502W</t>
  </si>
  <si>
    <t>REPLACE,25 SER,LED,UPPER,SAE,BLUE-C</t>
  </si>
  <si>
    <t>CZ2502B</t>
  </si>
  <si>
    <t>REPLACE,25 SER,LED,UPPER,SAE,AMBER</t>
  </si>
  <si>
    <t>CZ2502A</t>
  </si>
  <si>
    <t>REPLACE PURSUIT USB-CAN</t>
  </si>
  <si>
    <t>CZ2501USB</t>
  </si>
  <si>
    <t>REPLACE PURSUIT JBOX</t>
  </si>
  <si>
    <t>CZ2500JB</t>
  </si>
  <si>
    <t>21 LENS,SERIAL,UPPER,END,TINTED</t>
  </si>
  <si>
    <t>CZ21UT</t>
  </si>
  <si>
    <t>21 LENS,SERIAL,UPPER,END,CLEAR</t>
  </si>
  <si>
    <t>CZ21UC</t>
  </si>
  <si>
    <t>21 LENS,SERIAL,UP,END,BLK PHOTOCELL INS</t>
  </si>
  <si>
    <t>CZ21UBWI</t>
  </si>
  <si>
    <t>21 LENS,SERIAL,UPPER,22",BLACK</t>
  </si>
  <si>
    <t>CZ21U22BLK</t>
  </si>
  <si>
    <t>REPLACE,6LED,SERIAL TORUS,TD,RED/WHITE</t>
  </si>
  <si>
    <t>CZ21TDRW</t>
  </si>
  <si>
    <t>REPLACE,9LED,SERIAL TORUS,TD,R//B/W</t>
  </si>
  <si>
    <t>CZ21TDRBW</t>
  </si>
  <si>
    <t>REPLACE,9LED,SERIAL TORUS,TD,R/A/W</t>
  </si>
  <si>
    <t>CZ21TDRAW</t>
  </si>
  <si>
    <t>REPLACE,6LED,SERIAL TORUS,TD,BLUE3/WHITE</t>
  </si>
  <si>
    <t>CZ21TDBW</t>
  </si>
  <si>
    <t>REPLACE,6LED,SERIAL TORUS,TD,AMBER/WHITE</t>
  </si>
  <si>
    <t>CZ21TDAW</t>
  </si>
  <si>
    <t>REPLACEMENT,21 SER,STT,PAIR</t>
  </si>
  <si>
    <t>CZ21STT</t>
  </si>
  <si>
    <t>REPLACEMENT,LENS,21,LWR,22",CLEAR</t>
  </si>
  <si>
    <t>CZ21L22C</t>
  </si>
  <si>
    <t>REPLACEMENT,21 IF,STR9CB</t>
  </si>
  <si>
    <t>CZ21IF9CB</t>
  </si>
  <si>
    <t>REPLACEMENT,21 IF,STR6CR</t>
  </si>
  <si>
    <t>CZ21IF6CR</t>
  </si>
  <si>
    <t>REPLACEMENT,21 IF,STR3R</t>
  </si>
  <si>
    <t>CZ21IF3R</t>
  </si>
  <si>
    <t>REPLACEMENT,21 CC,CRNR,TR9W</t>
  </si>
  <si>
    <t>CZ21CC9W</t>
  </si>
  <si>
    <t>REPLACEMENT,21 CC,CRNR,TR9R</t>
  </si>
  <si>
    <t>CZ21CC9R</t>
  </si>
  <si>
    <t>REPLACEMENT,21 CC,CRNR,TR9G</t>
  </si>
  <si>
    <t>CZ21CC9G</t>
  </si>
  <si>
    <t>REPLACEMENT,21 CC,CRNR,TR9B</t>
  </si>
  <si>
    <t>CZ21CC9B</t>
  </si>
  <si>
    <t>REPLACEMENT,21 CC,CRNR,TR9A</t>
  </si>
  <si>
    <t>CZ21CC9A</t>
  </si>
  <si>
    <t>REPLACEMENT,21 CC,CRNR,TR6R</t>
  </si>
  <si>
    <t>CZ21CC6R</t>
  </si>
  <si>
    <t>REPLACEMENT,21 CC,CRNR,TR6B</t>
  </si>
  <si>
    <t>CZ21CC6B</t>
  </si>
  <si>
    <t>REPLACEMENT,21 CC,CRNR,TR6A</t>
  </si>
  <si>
    <t>CZ21CC6A</t>
  </si>
  <si>
    <t>REPLACEMENT,21 CC,TR4R</t>
  </si>
  <si>
    <t>CZ21CC4R</t>
  </si>
  <si>
    <t>REPLACEMENT,21 CC,TR4G</t>
  </si>
  <si>
    <t>CZ21CC4G</t>
  </si>
  <si>
    <t>REPLACEMENT,21 CC,TR4B</t>
  </si>
  <si>
    <t>CZ21CC4B</t>
  </si>
  <si>
    <t>REPLACEMENT,21 CC,TR4A</t>
  </si>
  <si>
    <t>CZ21CC4A</t>
  </si>
  <si>
    <t>REPLACEMENT,21 CC,TR3W</t>
  </si>
  <si>
    <t>CZ21CC3W</t>
  </si>
  <si>
    <t>REPLACEMENT,21 CC,TR3R</t>
  </si>
  <si>
    <t>CZ21CC3R</t>
  </si>
  <si>
    <t>REPLACEMENT,21 CC,TR3B</t>
  </si>
  <si>
    <t>CZ21CC3B</t>
  </si>
  <si>
    <t>REPLACEMENT,21 CC,TR3 ALLEY</t>
  </si>
  <si>
    <t>CZ21CC3AL</t>
  </si>
  <si>
    <t>REPLACEMENT,21 CC,TR3A</t>
  </si>
  <si>
    <t>CZ21CC3A</t>
  </si>
  <si>
    <t>REPLACEMENT,21 CC,TR18RW</t>
  </si>
  <si>
    <t>CZ21CC18RW</t>
  </si>
  <si>
    <t>REPLACEMENT,21 CC,TR18RB</t>
  </si>
  <si>
    <t>CZ21CC18RB</t>
  </si>
  <si>
    <t>REPLACEMENT,21 CC,TR18RA</t>
  </si>
  <si>
    <t>CZ21CC18RA</t>
  </si>
  <si>
    <t>REPLACEMENT,21 CC,TR18BW</t>
  </si>
  <si>
    <t>CZ21CC18BW</t>
  </si>
  <si>
    <t>REPLACEMENT,21 CC,TR18BA</t>
  </si>
  <si>
    <t>CZ21CC18BA</t>
  </si>
  <si>
    <t>REPLACEMENT,21 CC,TR18AW</t>
  </si>
  <si>
    <t>CZ21CC18AW</t>
  </si>
  <si>
    <t>REPLACEMENT,TR3,21/27 SER,TD/AL/WL</t>
  </si>
  <si>
    <t>CZ2127WL</t>
  </si>
  <si>
    <t>REPLACEMENT,LENS,21_27,UPR,OB,TINTED</t>
  </si>
  <si>
    <t>CZ2127UT</t>
  </si>
  <si>
    <t>REPLACEMENT,LENS,21_27,UPR,OB,RED</t>
  </si>
  <si>
    <t>CZ2127UR</t>
  </si>
  <si>
    <t>REPLACEMENT,LENS,21_27,UPR,OB,CLEAR</t>
  </si>
  <si>
    <t>CZ2127UC</t>
  </si>
  <si>
    <t>REPLACEMENT,LENS,21_27,UPR,OB,BLACK</t>
  </si>
  <si>
    <t>CZ2127UBLK</t>
  </si>
  <si>
    <t>REPLACEMENT,LENS,21_27,UPR,OB,BLUE</t>
  </si>
  <si>
    <t>CZ2127UB</t>
  </si>
  <si>
    <t>REPLACEMENT,LENS,21_27,UPR,OB,AMBER</t>
  </si>
  <si>
    <t>CZ2127UA</t>
  </si>
  <si>
    <t>REPLACEMENT,LENS,21-27,UPR,8",RED</t>
  </si>
  <si>
    <t>CZ2127U8R</t>
  </si>
  <si>
    <t>REPLACEMENT,LENS,21-27,UPR,8",CLEAR</t>
  </si>
  <si>
    <t>CZ2127U8C</t>
  </si>
  <si>
    <t>REPLACEMENT,LENS,21-27,UPR,8",BLACK</t>
  </si>
  <si>
    <t>CZ2127U8BLK</t>
  </si>
  <si>
    <t>REPLACEMENT,LENS,21-27,UPR,8",BLUE</t>
  </si>
  <si>
    <t>CZ2127U8B</t>
  </si>
  <si>
    <t>REPLACEMENT,LENS,21-27,UPR,22",CLEAR</t>
  </si>
  <si>
    <t>CZ2127U22C</t>
  </si>
  <si>
    <t>REPLACEMENT,LENS,21-27,UPR,22",BLACK</t>
  </si>
  <si>
    <t>CZ2127U22BLK</t>
  </si>
  <si>
    <t>REPLACEMENT,LENS,21-27,UPR,11",TINTED</t>
  </si>
  <si>
    <t>CZ2127U11T</t>
  </si>
  <si>
    <t>REPLACEMENT,LENS,21-27,UPR,11",RED</t>
  </si>
  <si>
    <t>CZ2127U11R</t>
  </si>
  <si>
    <t>REPLACEMENT,LENS,21-27,UPR,11",CLEAR</t>
  </si>
  <si>
    <t>CZ2127U11C</t>
  </si>
  <si>
    <t>REPLACEMENT,LENS,21-27,UPR,11",BLACK</t>
  </si>
  <si>
    <t>CZ2127U11BLK</t>
  </si>
  <si>
    <t>REPLACEMENT,LENS,21-27,UPR,11",AMBER</t>
  </si>
  <si>
    <t>CZ2127U11A</t>
  </si>
  <si>
    <t>REPLACE,18LED,SERIAL TORUS,R/W/G</t>
  </si>
  <si>
    <t>CZ2118RWG</t>
  </si>
  <si>
    <t>REPLACE,18LED,SERIAL TORUS,R/B/W</t>
  </si>
  <si>
    <t>CZ2118RBW</t>
  </si>
  <si>
    <t>REPLACE,18LED,SERIAL TORUS,R/B/A</t>
  </si>
  <si>
    <t>CZ2118RBA</t>
  </si>
  <si>
    <t>REPLACE,18LED,SERIAL TORUS,R/A/W</t>
  </si>
  <si>
    <t>CZ2118RAW</t>
  </si>
  <si>
    <t>REPLACE,18LED,SERIAL TORUS,R/A/G</t>
  </si>
  <si>
    <t>CZ2118RAG</t>
  </si>
  <si>
    <t>REPLACE,18LED,SERIAL TORUS,B/A/W</t>
  </si>
  <si>
    <t>CZ2118BAW</t>
  </si>
  <si>
    <t>REPLACE,18LED,SERIAL TORUS,A/W/G</t>
  </si>
  <si>
    <t>CZ2118AWG</t>
  </si>
  <si>
    <t>REPLACE,16LED,SERIAL TORUS,RED/WHITE</t>
  </si>
  <si>
    <t>CZ2116RW</t>
  </si>
  <si>
    <t>REPLACE,16LED,SERIAL TORUS,RED/BLUE</t>
  </si>
  <si>
    <t>CZ2116RB</t>
  </si>
  <si>
    <t>REPLACE,16LED,SERIAL TORUS,RED/AMBER</t>
  </si>
  <si>
    <t>CZ2116RA</t>
  </si>
  <si>
    <t>REPLACEMENT,LENS,21,LWR,16",TINTED</t>
  </si>
  <si>
    <t>CZ2116LT</t>
  </si>
  <si>
    <t>REPLACEMENT,LENS,21,LWR,16",CLEAR</t>
  </si>
  <si>
    <t>CZ2116LC</t>
  </si>
  <si>
    <t>REPLACE,16LED,SERIAL TORUS,BLUE/WHITE</t>
  </si>
  <si>
    <t>CZ2116BW</t>
  </si>
  <si>
    <t>REPLACE,16LED,SERIAL TORUS,BLUE/AMBER</t>
  </si>
  <si>
    <t>CZ2116BA</t>
  </si>
  <si>
    <t>REPLACE,16LED,SERIAL TORUS,AMBER/WHITE</t>
  </si>
  <si>
    <t>CZ2116AW</t>
  </si>
  <si>
    <t>REPLACE,12LED,SERIAL TORUS,RED/WHITE</t>
  </si>
  <si>
    <t>CZ2112RW</t>
  </si>
  <si>
    <t>REPLACE,12LED,SERIAL TORUS,RED/AMBER</t>
  </si>
  <si>
    <t>CZ2112RA</t>
  </si>
  <si>
    <t>REPLACE,12LED,SERIAL TORUS,BLUE/WHITE</t>
  </si>
  <si>
    <t>CZ2112BW</t>
  </si>
  <si>
    <t>REPLACE,12LED,SERIAL TORUS,BLUE/AMBER</t>
  </si>
  <si>
    <t>CZ2112BA</t>
  </si>
  <si>
    <t>REPLACE,12LED,SERIAL TORUS,AMBER/WHITE</t>
  </si>
  <si>
    <t>CZ2112AW</t>
  </si>
  <si>
    <t>REPLACEMENT,LENS,21,LWR,11",TINTED</t>
  </si>
  <si>
    <t>CZ2111T</t>
  </si>
  <si>
    <t>REPLACEMENT,LENS,21,LWR,11",AMB</t>
  </si>
  <si>
    <t>CZ2111LA</t>
  </si>
  <si>
    <t>REPLACEMENT,LENS,21,LWR,11",CLEAR</t>
  </si>
  <si>
    <t>CZ2111C</t>
  </si>
  <si>
    <t>REPLACEMENT,LENS, 21,LWR,OB,TINTED</t>
  </si>
  <si>
    <t>CZ2101T</t>
  </si>
  <si>
    <t>REPLACEMENT,LENS,21,LWR,OB,CLEAR</t>
  </si>
  <si>
    <t>CZ2101C</t>
  </si>
  <si>
    <t>REPLACEMENT,LENS, 21,LWR,OB,AMB</t>
  </si>
  <si>
    <t>CZ2101A</t>
  </si>
  <si>
    <t>REPLACE,SEAL LENS 7X9</t>
  </si>
  <si>
    <t>CZ2012</t>
  </si>
  <si>
    <t>REPLACE,SEAL LENS 3X7</t>
  </si>
  <si>
    <t>CZ2011</t>
  </si>
  <si>
    <t>REPLACE,7X9 GASKET KIT</t>
  </si>
  <si>
    <t>CZ2010</t>
  </si>
  <si>
    <t>REPLACE,4X6 GASKET KIT</t>
  </si>
  <si>
    <t>CZ2009</t>
  </si>
  <si>
    <t>REPLACE,3x7 GASKET KIT</t>
  </si>
  <si>
    <t>CZ2008</t>
  </si>
  <si>
    <t>REPLACE, ADJ MTG KIT - BOXED</t>
  </si>
  <si>
    <t>CZ2007</t>
  </si>
  <si>
    <t>REPLACE,H3CS_WIREBOX,140-2546-00</t>
  </si>
  <si>
    <t>CZ0346</t>
  </si>
  <si>
    <t>REPLACE,CONTROL_BOX,OL72R-RBW-CM</t>
  </si>
  <si>
    <t>CZ0332</t>
  </si>
  <si>
    <t>REPLACE,CONTROL_BOX,OL60R-RAW-CM</t>
  </si>
  <si>
    <t>CZ0331</t>
  </si>
  <si>
    <t>REPLACE,CONTROL_BOX,OL60R-BAW-CM</t>
  </si>
  <si>
    <t>CZ0330</t>
  </si>
  <si>
    <t>REPLACE,CONTROL_BOX,OL60R-RBW-CM</t>
  </si>
  <si>
    <t>CZ0328</t>
  </si>
  <si>
    <t>REPLACE,CONTROL_BOX,OL60L-BAW-CM</t>
  </si>
  <si>
    <t>CZ0324</t>
  </si>
  <si>
    <t>REPLACE,CONTROL_BOX,OL60L-RBW-CM</t>
  </si>
  <si>
    <t>CZ0322</t>
  </si>
  <si>
    <t>REPLACEMENT,MOLDED SHIM FOR LP MNT KIT</t>
  </si>
  <si>
    <t>CZ0275</t>
  </si>
  <si>
    <t>LENS, AMBER, 550</t>
  </si>
  <si>
    <t>CZ0271A</t>
  </si>
  <si>
    <t>REPLACEMENT-FLUSH MOUNT/GRILLE SPEAKER L</t>
  </si>
  <si>
    <t>CZ0270</t>
  </si>
  <si>
    <t>REPLACEMENT-FRAME BRKT TALL W/CAGE NUT</t>
  </si>
  <si>
    <t>CZ0268</t>
  </si>
  <si>
    <t>REPLACE,MIC EXT,20FT,REMOTE SIREN CHEAD</t>
  </si>
  <si>
    <t>CZ0264</t>
  </si>
  <si>
    <t>REPLACE,19SILV,SPEAKER,BRACKET</t>
  </si>
  <si>
    <t>CZ0257</t>
  </si>
  <si>
    <t>REPLACE,SIB SERIAL PWR,SIB SERIAL INPUT</t>
  </si>
  <si>
    <t>CZ0251</t>
  </si>
  <si>
    <t>REPLACE,160-0535-00 WITH T57389 FIRMWARE</t>
  </si>
  <si>
    <t>CZ0250</t>
  </si>
  <si>
    <t>PCB,SV/WM,WITH T11776 SOFTWARE</t>
  </si>
  <si>
    <t>CZ0242</t>
  </si>
  <si>
    <t>CLIP LATCH 16 SERIES LBAR SS BLACK</t>
  </si>
  <si>
    <t>CZ0221</t>
  </si>
  <si>
    <t>REPLACE,EMITTER,STROBE,TUBE</t>
  </si>
  <si>
    <t>CZ0160</t>
  </si>
  <si>
    <t>REPLACE,MULTI COLOR LB CC KIT-T54710</t>
  </si>
  <si>
    <t>CZ0153</t>
  </si>
  <si>
    <t>REPLACE,SUB,SINGLECOLOR LB CC KIT,T54634</t>
  </si>
  <si>
    <t>CZ0147</t>
  </si>
  <si>
    <t>ACCESSORY,2 END CAPS &amp; 2 6" WIRES</t>
  </si>
  <si>
    <t>CZ0112</t>
  </si>
  <si>
    <t>REPLACE,SINGLE COLOR LBAR CC KIT,T57457</t>
  </si>
  <si>
    <t>CZ0101</t>
  </si>
  <si>
    <t>REPLACE,MULTICOLR LIGHT BAR CC KT,T54728</t>
  </si>
  <si>
    <t>CZ0100</t>
  </si>
  <si>
    <t>REPLACE,CCBOARD,140-1607-00/T54705</t>
  </si>
  <si>
    <t>CZ0089</t>
  </si>
  <si>
    <t>REPLACE,CCBOARD,140-1606-00/549-0374-00</t>
  </si>
  <si>
    <t>CZ0088</t>
  </si>
  <si>
    <t>REPLACE,SINGLE COLOR LB CC KIT-T57453</t>
  </si>
  <si>
    <t>CZ0080</t>
  </si>
  <si>
    <t>REPLACE,MULTICOLOR LB CC KT, T54614</t>
  </si>
  <si>
    <t>CZ0079</t>
  </si>
  <si>
    <t>REPLACE,SINGLE COLOR LB CC KIT-T57406</t>
  </si>
  <si>
    <t>CZ0077</t>
  </si>
  <si>
    <t>REPLACE,MULTICOLOR LIGHT BAR CC KT,54714</t>
  </si>
  <si>
    <t>CZ0075</t>
  </si>
  <si>
    <t>REPLACE,MULTICOLOR LIGHT BAR CC KT,54713</t>
  </si>
  <si>
    <t>CZ0074</t>
  </si>
  <si>
    <t>REPLACE,METAL MNT KIT W/T03297 FEET</t>
  </si>
  <si>
    <t>CZ0073</t>
  </si>
  <si>
    <t>REPLACE,LOOM,PURSUIT,4C,WITH 10GA16.4'</t>
  </si>
  <si>
    <t>CZ0071</t>
  </si>
  <si>
    <t>ASSY,PCA, PM SUPERVISOR/WINGMN</t>
  </si>
  <si>
    <t>CZ0068</t>
  </si>
  <si>
    <t>REPLACE,MULTICOLOR LIGHT BAR CC KT,54607</t>
  </si>
  <si>
    <t>CZ0061</t>
  </si>
  <si>
    <t>REPLACE,SUPERVISOR/WINGMN,T11776</t>
  </si>
  <si>
    <t>CZ0060</t>
  </si>
  <si>
    <t>ASSY,SUB,SINGLE COLOR LIGHTBAR CCT54616</t>
  </si>
  <si>
    <t>CZ0055</t>
  </si>
  <si>
    <t>ASSY,SUB,SINGLE COLOR LIGHTBAR CCT54633</t>
  </si>
  <si>
    <t>CZ0040</t>
  </si>
  <si>
    <t>REPLACE,MULTI CLR LIGHT BR CC KT,5490376</t>
  </si>
  <si>
    <t>CZ0036</t>
  </si>
  <si>
    <t>REPLACE,SINGLE COLOR LB CC KIT,54624</t>
  </si>
  <si>
    <t>CZ0035</t>
  </si>
  <si>
    <t>REPLACE,MULTI COLOR LBR CC KT,T54615</t>
  </si>
  <si>
    <t>CZ0034</t>
  </si>
  <si>
    <t>REPLACE,MULTICOLOR LIGHT BAR CC KT,54609</t>
  </si>
  <si>
    <t>CZ0032</t>
  </si>
  <si>
    <t>REPLACE,MULTI COLOR LB CC KIT-T54709</t>
  </si>
  <si>
    <t>CZ0017</t>
  </si>
  <si>
    <t>REPLACE,SINGLE COLOR LB CC KIT-T54600</t>
  </si>
  <si>
    <t>CZ0015</t>
  </si>
  <si>
    <t>REPLACE,SINGLE COLOR LB CC KIT-T54608</t>
  </si>
  <si>
    <t>CZ0014</t>
  </si>
  <si>
    <t>CONTROLLER,UNIVERSAL,CODE3</t>
  </si>
  <si>
    <t>CZ0000</t>
  </si>
  <si>
    <t>Chevy Traverse(10)Adapter Brkt</t>
  </si>
  <si>
    <t>CVYTRV</t>
  </si>
  <si>
    <t>Mntg Adapter Brkt, White 2015 Silverado</t>
  </si>
  <si>
    <t>CVYSLVR15-W</t>
  </si>
  <si>
    <t>Mntg Adapter Brkt, Black 2015 Silverado</t>
  </si>
  <si>
    <t>CVYSLVR15</t>
  </si>
  <si>
    <t>ADAPTER BRKT CHEVY COLORADO 15</t>
  </si>
  <si>
    <t>CVYCLDO</t>
  </si>
  <si>
    <t>CITADEL,MATRIX,EXPEDITION,RED/BLU/WHT</t>
  </si>
  <si>
    <t>CITEXPN-RBW-CM</t>
  </si>
  <si>
    <t>CITADEL,MATRIX,EXPEDITION,RAW/BAW</t>
  </si>
  <si>
    <t>CITEXPN-RBAW-CM</t>
  </si>
  <si>
    <t>CITADEL,MATRIX,EXPEDITION,RED/BLU/AMB</t>
  </si>
  <si>
    <t>CITEXPN-RBA-CM</t>
  </si>
  <si>
    <t>CITADEL,MATRIX,EXPEDITION,RED/AMB/WHT</t>
  </si>
  <si>
    <t>CITEXPN-RAW-CM</t>
  </si>
  <si>
    <t>CITADEL,MATRIX,EXPEDITION,BLU/AMB/WHT</t>
  </si>
  <si>
    <t>CITEXPN-BAW-CM</t>
  </si>
  <si>
    <t>CITADEL,MATRIX,DURANGO 2012-2020,RBW</t>
  </si>
  <si>
    <t>CITDUR-RBW-CM</t>
  </si>
  <si>
    <t>CITADEL,MATRIX,DURANGO 2012-2020,RAW/BAW</t>
  </si>
  <si>
    <t>CITDUR-RBAW-CM</t>
  </si>
  <si>
    <t>CITADEL,MATRIX,DURANGO 2012-2020,RBA</t>
  </si>
  <si>
    <t>CITDUR-RBA-CM</t>
  </si>
  <si>
    <t>CITADEL,MATRIX,DURANGO 2012-2020,RAW</t>
  </si>
  <si>
    <t>CITDUR-RAW-CM</t>
  </si>
  <si>
    <t>CITADEL,MATRIX,DURANGO 2012-2020,BAW</t>
  </si>
  <si>
    <t>CITDUR-BAW-CM</t>
  </si>
  <si>
    <t>CITADEL,MATRIX,2021 DURANGO,RED/BLU/WHT</t>
  </si>
  <si>
    <t>CITDUR21-RBW-CM</t>
  </si>
  <si>
    <t>CITADEL,MATRIX,2021 DURANGO,RAW/BAW</t>
  </si>
  <si>
    <t>CITDUR21-RBAW-CM</t>
  </si>
  <si>
    <t>CITADEL,MATRIX,2021 DURANGO,RED/BLU/AMB</t>
  </si>
  <si>
    <t>CITDUR21-RBA-CM</t>
  </si>
  <si>
    <t>CITADEL,MATRIX,2021 DURANGO,RED/AMB/WHT</t>
  </si>
  <si>
    <t>CITDUR21-RAW-CM</t>
  </si>
  <si>
    <t>CITADEL,MATRIX,2021 DURANGO,BLU/AMB/WHT</t>
  </si>
  <si>
    <t>CITDUR21-BAW-CM</t>
  </si>
  <si>
    <t>ADAPTER KIT FOR CHEVROLET     ASTRO VAN</t>
  </si>
  <si>
    <t>ASTRVN</t>
  </si>
  <si>
    <t>Perm Mount Hardware for use w/the Adjustable Mount</t>
  </si>
  <si>
    <t>ADM-PERM</t>
  </si>
  <si>
    <t>ADJUSTABLE MTG. KIT</t>
  </si>
  <si>
    <t>ADMKIT</t>
  </si>
  <si>
    <t>ADJUSTABLE MTG. KIT, PURSUIT  LIGHTBAR</t>
  </si>
  <si>
    <t>ADM25KIT</t>
  </si>
  <si>
    <t>ADAPTER BRACKET,MUSTANGMACHE,BLK</t>
  </si>
  <si>
    <t>ADJBKT018-B</t>
  </si>
  <si>
    <t>ADAPTER BRACKET, 2018+ EXPEDITION,WHT</t>
  </si>
  <si>
    <t>ADJBKT017-W</t>
  </si>
  <si>
    <t>ADAPTER BRACKET, 2018+ EXPEDITION,BLK</t>
  </si>
  <si>
    <t>ADJBKT017-B</t>
  </si>
  <si>
    <t>ADAPTOR KIT LB, WHT BKT TAHOE 21+</t>
  </si>
  <si>
    <t>ADJBKT016-W</t>
  </si>
  <si>
    <t>ADAPTOR KIT LB, BLK BKT TAHOE 21+</t>
  </si>
  <si>
    <t>ADJBKT016-B</t>
  </si>
  <si>
    <t>ADAPTOR KIT LIGHTBAR,BLK,DODGE RAM</t>
  </si>
  <si>
    <t>ADJBKT014-B</t>
  </si>
  <si>
    <t>MTG BR KT BLK 2020 RANGER</t>
  </si>
  <si>
    <t>ADJBKT013-B</t>
  </si>
  <si>
    <t>ADAPTOR KIT LIGHTBAR,WHT,19 SILVERADO</t>
  </si>
  <si>
    <t>ADJBKT012-W</t>
  </si>
  <si>
    <t>ADAPTOR KIT LIGHTBAR,BLK,19 SILVERADO</t>
  </si>
  <si>
    <t>ADJBKT012-B</t>
  </si>
  <si>
    <t>ADAPTOR KIT LIGHTBAR,WHT BKT PIU20</t>
  </si>
  <si>
    <t>ADJBKT011-W</t>
  </si>
  <si>
    <t>ADAPTOR KIT LIGHTBAR,BLK BKT PIU20</t>
  </si>
  <si>
    <t>ADJBKT011-B</t>
  </si>
  <si>
    <t>MTG BR KT WHT 2019-DURANGO</t>
  </si>
  <si>
    <t>ADJBKT010-W</t>
  </si>
  <si>
    <t>MTG BR KT BLK 2019 DURANGO</t>
  </si>
  <si>
    <t>ADJBKT010-B</t>
  </si>
  <si>
    <t>MTG BR KT WHT 2015- TAHOE,SILVERADO-EV</t>
  </si>
  <si>
    <t>ADJBKT008-W</t>
  </si>
  <si>
    <t>MTG BR KT BLK 2015- TAHOE,SILVERADO-EV</t>
  </si>
  <si>
    <t>ADJBKT008-B</t>
  </si>
  <si>
    <t>MTG BR KT WHT 2012-PRS PI UTILITY</t>
  </si>
  <si>
    <t>ADJBKT004-W</t>
  </si>
  <si>
    <t>MTG BR KT BLK 2012-PRS PI UTILITY</t>
  </si>
  <si>
    <t>ADJBKT004-B</t>
  </si>
  <si>
    <t>MTG BR KT BLK 2012-PRS PI SEDN</t>
  </si>
  <si>
    <t>ADJBKT003-B</t>
  </si>
  <si>
    <t>MTG BR KT WHT 2011-PRS CHARGER</t>
  </si>
  <si>
    <t>ADJBKT001-W</t>
  </si>
  <si>
    <t>MTG BR KT BLK 2011-PRS CHARGER</t>
  </si>
  <si>
    <t>ADJBKT001-B</t>
  </si>
  <si>
    <t>D-Pillar, Tahoe, CD3794, RW-BW</t>
  </si>
  <si>
    <t>43-T94RWBW</t>
  </si>
  <si>
    <t>D-Pillar, Tahoe, CD3794, RW-RW</t>
  </si>
  <si>
    <t>43-T94RW</t>
  </si>
  <si>
    <t>D-Pillar, Tahoe, CD3794, RBW-RBW</t>
  </si>
  <si>
    <t>43-T94RBW</t>
  </si>
  <si>
    <t>D-Pillar, Tahoe, CD3794, 2RBW-6RBA</t>
  </si>
  <si>
    <t>43-T94RBAW</t>
  </si>
  <si>
    <t>D-Pillar, Tahoe, CD3794, RB-RB</t>
  </si>
  <si>
    <t>43-T94RB</t>
  </si>
  <si>
    <t>D-Pillar, Tahoe, CD3794, BW-BW</t>
  </si>
  <si>
    <t>43-T94BW</t>
  </si>
  <si>
    <t>D-Pillar, Tahoe, CD5031, RW-BW</t>
  </si>
  <si>
    <t>43-T31RWBW</t>
  </si>
  <si>
    <t>D-Pillar, Tahoe, CD5031, RW-RW</t>
  </si>
  <si>
    <t>43-T31RW</t>
  </si>
  <si>
    <t>D-Pillar, Tahoe, CD5031, RBW-RBW</t>
  </si>
  <si>
    <t>43-T31RBW</t>
  </si>
  <si>
    <t>D-Pillar, Tahoe, CD5031, 2RBW-6RBA</t>
  </si>
  <si>
    <t>43-T31RBAW</t>
  </si>
  <si>
    <t>D-Pillar, Tahoe, CD5031, RB-RB</t>
  </si>
  <si>
    <t>43-T31RB</t>
  </si>
  <si>
    <t>D-Pillar, Tahoe, CD5031, 6BW-2RB</t>
  </si>
  <si>
    <t>43-T31BWRB</t>
  </si>
  <si>
    <t>D-Pillar, Tahoe, CD5031, BW-BW</t>
  </si>
  <si>
    <t>43-T31BW</t>
  </si>
  <si>
    <t>D-Pillar, PIU, CD3794, RW-BW</t>
  </si>
  <si>
    <t>43-P94RWBW</t>
  </si>
  <si>
    <t>D-Pillar, PIU, CD3794, RW-RW</t>
  </si>
  <si>
    <t>43-P94RW</t>
  </si>
  <si>
    <t>D-Pillar, PIU, CD3794, RBW-RBW</t>
  </si>
  <si>
    <t>43-P94RBW</t>
  </si>
  <si>
    <t>D-Pillar, PIU, CD3794, 2RBW-6RBA</t>
  </si>
  <si>
    <t>43-P94RBAW</t>
  </si>
  <si>
    <t>D-Pillar, PIU, CD3794, RB-RB</t>
  </si>
  <si>
    <t>43-P94RB</t>
  </si>
  <si>
    <t>D-Pillar, PIU, CD3794, BW-BW</t>
  </si>
  <si>
    <t>43-P94BW</t>
  </si>
  <si>
    <t>D-Pillar, PIU, CD5031, RW-BW</t>
  </si>
  <si>
    <t>43-P31RWBW</t>
  </si>
  <si>
    <t>D-Pillar, PIU, CD5031, RW-RW</t>
  </si>
  <si>
    <t>43-P31RW</t>
  </si>
  <si>
    <t>D-Pillar, PIU, CD5031, RBW-RBW</t>
  </si>
  <si>
    <t>43-P31RBW</t>
  </si>
  <si>
    <t>D-Pillar, PIU, CD5031, 2RBW-6RBW</t>
  </si>
  <si>
    <t>43-P31RBAW</t>
  </si>
  <si>
    <t>D-Pillar, PIU, CD5031, RB-RB</t>
  </si>
  <si>
    <t>43-P31RB</t>
  </si>
  <si>
    <t>D-Pillar, PIU, CD5031, 6BW-2RB</t>
  </si>
  <si>
    <t>43-P31BWRB</t>
  </si>
  <si>
    <t>D-Pillar, PIU, CD5031, BW-BW</t>
  </si>
  <si>
    <t>43-P31BW</t>
  </si>
  <si>
    <t>CITADEL,MATRIX,TAHOE,RED/BLU/AMB</t>
  </si>
  <si>
    <t>42-T94RBA-CM</t>
  </si>
  <si>
    <t>CITADEL,MATRIX,PIU,RED/BLU/AMB</t>
  </si>
  <si>
    <t>42-P94RBA-CM</t>
  </si>
  <si>
    <t>CITADEL,MATRIX,CD3794,RED/BLU/AMB</t>
  </si>
  <si>
    <t>42-94RBA-CM</t>
  </si>
  <si>
    <t>CITADEL,MATRIX,CD3794,BLU/AMB/WHT</t>
  </si>
  <si>
    <t>42-94BAW-CM</t>
  </si>
  <si>
    <t>CITADEL,MATRIX,TAHOE,RED/BLU/WHT</t>
  </si>
  <si>
    <t>42-3TRBW-CM</t>
  </si>
  <si>
    <t>CITADEL,MATRIX,TAHOE,R/A/W,B/A/W</t>
  </si>
  <si>
    <t>42-3TRBAW-CM</t>
  </si>
  <si>
    <t>42-3TRBA-CM</t>
  </si>
  <si>
    <t>CITADEL,MATRIX,TAHOE,RED/AMB/WHT</t>
  </si>
  <si>
    <t>42-3TRAW-CM</t>
  </si>
  <si>
    <t>CITADEL,MATRIX,TAHOE,BLU/AMB/WHT</t>
  </si>
  <si>
    <t>42-3TBAW-CM</t>
  </si>
  <si>
    <t>CITADEL,MATRIX,PIU,RED/BLU/WHT</t>
  </si>
  <si>
    <t>42-3PRBW-CM</t>
  </si>
  <si>
    <t>CITADEL,MATRIX,PIU,R/A/W,B/A/W</t>
  </si>
  <si>
    <t>42-3PRBAW-CM</t>
  </si>
  <si>
    <t>42-3PRBA-CM</t>
  </si>
  <si>
    <t>CITADEL,MATRIX,PIU,RED/AMB/WHT</t>
  </si>
  <si>
    <t>42-3PRAW-CM</t>
  </si>
  <si>
    <t>CITADEL,MATRIX,CD3802,RED/BLU/AMB</t>
  </si>
  <si>
    <t>42-02RBA-CM</t>
  </si>
  <si>
    <t>CITADEL,MATRIX,CD3802,BLU/AMB/WHT</t>
  </si>
  <si>
    <t>42-02BAW-CM</t>
  </si>
  <si>
    <t>THIN WINGMAN, MATRIX, 2024+BLAZER-EV, RBA</t>
  </si>
  <si>
    <t>40-30050-CM</t>
  </si>
  <si>
    <t>THIN WINGMAN, MATRIX, DUR15+, RBA</t>
  </si>
  <si>
    <t>40-30030-CM</t>
  </si>
  <si>
    <t>THIN WINGMAN, MATRIX, TAHOE21+, RBA</t>
  </si>
  <si>
    <t>40-30020-CM</t>
  </si>
  <si>
    <t>THIN WINGMAN, MATRIX, PIU20+, RBA</t>
  </si>
  <si>
    <t>40-30010-CM</t>
  </si>
  <si>
    <t>THIN WINGMAN, MATRIX, RBA</t>
  </si>
  <si>
    <t>40-30007-CM</t>
  </si>
  <si>
    <t>THIN WINGMAN, MATRIX, BAW</t>
  </si>
  <si>
    <t>40-30005-CM</t>
  </si>
  <si>
    <t>THIN WINGMAN, MATRIX, RW/BW</t>
  </si>
  <si>
    <t>40-30004-CM</t>
  </si>
  <si>
    <t>THIN WINGMAN, MATRIX, BA</t>
  </si>
  <si>
    <t>40-30003-CM</t>
  </si>
  <si>
    <t>THIN WINGMAN, MATRIX, RB</t>
  </si>
  <si>
    <t>40-30002-CM</t>
  </si>
  <si>
    <t>THIN SUPERVISOR, MATRIX, TAHOE'25, RBW</t>
  </si>
  <si>
    <t>39-30031-CM</t>
  </si>
  <si>
    <t/>
  </si>
  <si>
    <t>THIN SUPERVISOR, MATRIX, PIU'25, RAW</t>
  </si>
  <si>
    <t>39-30027-CM</t>
  </si>
  <si>
    <t>THIN SUPERVISOR, MATRIX, PIU'25, RBW</t>
  </si>
  <si>
    <t>39-30021-CM</t>
  </si>
  <si>
    <t>THIN SUPERVISOR, MATRIX, BW</t>
  </si>
  <si>
    <t>39-30017-CM</t>
  </si>
  <si>
    <t>THIN SUPERVISOR, MATRIX, RBW</t>
  </si>
  <si>
    <t>39-30008-CM</t>
  </si>
  <si>
    <t>THIN SUPERVISOR, MATRIX, RBA</t>
  </si>
  <si>
    <t>39-30007-CM</t>
  </si>
  <si>
    <t>THIN SUPERVISOR, MATRIX, RAW</t>
  </si>
  <si>
    <t>39-30006-CM</t>
  </si>
  <si>
    <t>THIN SUPERVISOR, MATRIX, BAW</t>
  </si>
  <si>
    <t>39-30005-CM</t>
  </si>
  <si>
    <t>THIN SUPERVISOR, MATRIX, RW/BW</t>
  </si>
  <si>
    <t>39-30004-CM</t>
  </si>
  <si>
    <t>THIN SUPERVISOR, MATRIX, RB</t>
  </si>
  <si>
    <t>39-30002-CM</t>
  </si>
  <si>
    <t>LBR,25M,53"/1.3M,143-30783-25</t>
  </si>
  <si>
    <t>25-30783-CM</t>
  </si>
  <si>
    <t>LBR,25M,71"/1.8M,143-30782-25</t>
  </si>
  <si>
    <t>25-30782-CM</t>
  </si>
  <si>
    <t>LBR,25M,59"/1.5M,143-30781-25</t>
  </si>
  <si>
    <t>25-30781-CM</t>
  </si>
  <si>
    <t>LBR,25M,36"/0.9M,143-30777-25</t>
  </si>
  <si>
    <t>25-30777-CM</t>
  </si>
  <si>
    <t>LBR,25M,30"/0.8M,143-30776-25</t>
  </si>
  <si>
    <t>25-30776-CM</t>
  </si>
  <si>
    <t>LBR,25,53"/1.3M,143-30072-25</t>
  </si>
  <si>
    <t>25-30072-C</t>
  </si>
  <si>
    <t>LBR,16M,52"/1.3M,143-32632-16</t>
  </si>
  <si>
    <t>16-32632-CM</t>
  </si>
  <si>
    <t>LBR,16M,52"/1.3M,143-32631-16</t>
  </si>
  <si>
    <t>16-32631-CM</t>
  </si>
  <si>
    <t>LBR,16M,52"/1.3M,143-32630-16</t>
  </si>
  <si>
    <t>16-32630-CM</t>
  </si>
  <si>
    <t>LBR,16M,52"/1.3M,143-32612-16</t>
  </si>
  <si>
    <t>16-32612-CM</t>
  </si>
  <si>
    <t>LBR,16M,47"/1.2M,143-32576-16</t>
  </si>
  <si>
    <t>16-32576-CM</t>
  </si>
  <si>
    <t>LBR,16M,23"/0.6M,143-32279-16</t>
  </si>
  <si>
    <t>16-32279-CM</t>
  </si>
  <si>
    <t>LBR,16M,52"/1.3M,143-32057-16</t>
  </si>
  <si>
    <t>16-32057-CM</t>
  </si>
  <si>
    <t>12+ PRO,60"/1.5M</t>
  </si>
  <si>
    <t>12-70039-C</t>
  </si>
  <si>
    <t>12-70038-C</t>
  </si>
  <si>
    <t>12+ PRO,54"/1.4M</t>
  </si>
  <si>
    <t>12-70037-C</t>
  </si>
  <si>
    <t>12-70030-C</t>
  </si>
  <si>
    <t>12+ PRO,48"/1.2M</t>
  </si>
  <si>
    <t>12-70028-C</t>
  </si>
  <si>
    <t>12-70025-C</t>
  </si>
  <si>
    <t>12-70010-C</t>
  </si>
  <si>
    <t>12-70007-C</t>
  </si>
  <si>
    <t>12-70006-C</t>
  </si>
  <si>
    <t>12+ PRO,24"/0.6M</t>
  </si>
  <si>
    <t>12-70005-C</t>
  </si>
  <si>
    <t>12-70004-C</t>
  </si>
  <si>
    <t>12-70001-C</t>
  </si>
  <si>
    <t>UTILITY BAR,33", DOUBLE,COMBO 12-56V</t>
  </si>
  <si>
    <t>UTLY33-DC</t>
  </si>
  <si>
    <t>DS-WORK LAMP, 9 LED, SQUARE,FLOOD,12-24V</t>
  </si>
  <si>
    <t>E92006</t>
  </si>
  <si>
    <t>ACCESSORY MAGNETIC MOUNTING   PLATE,CW301X,WHITE</t>
  </si>
  <si>
    <t>CZ3016</t>
  </si>
  <si>
    <t>ACCESSORY,EXTENSION WIRE, 5   METERS,DASH MOUNT</t>
  </si>
  <si>
    <t>CZ3013</t>
  </si>
  <si>
    <t>ACCESSORY,DASH MOUNT WIRE, 5  METERS</t>
  </si>
  <si>
    <t>CZ3012</t>
  </si>
  <si>
    <t>ACCESSORY,FLOOD DIFFUSER FOR  CW301X</t>
  </si>
  <si>
    <t>CZ3010F</t>
  </si>
  <si>
    <t>HD LED,DT,HEATED LENS,12-24V,FLOOD</t>
  </si>
  <si>
    <t>CW4020</t>
  </si>
  <si>
    <t>UTILITY BAR,LED,25",DOUBLE,COMBO,12-24V</t>
  </si>
  <si>
    <t>CW3225</t>
  </si>
  <si>
    <t>UTILITY BAR,LED,14",DOUBLE,COMBO,12-24V</t>
  </si>
  <si>
    <t>CW3214</t>
  </si>
  <si>
    <t>UTILITY BAR, LED,8",DOUBLE,COMBO,12-24V</t>
  </si>
  <si>
    <t>CW3208</t>
  </si>
  <si>
    <t>UTILITY BAR,LED,32",SINGLE,COMBO,12-24V</t>
  </si>
  <si>
    <t>CW3132</t>
  </si>
  <si>
    <t>UTILITY BAR,LED,20",SINGLE,COMBO,12-24V</t>
  </si>
  <si>
    <t>CW3120</t>
  </si>
  <si>
    <t>UTILITY BAR,LED,9",SINGLE,FLOOD,12-24V</t>
  </si>
  <si>
    <t>CW3109</t>
  </si>
  <si>
    <t>360 WIRELESS,SPOTLIGHT,PERM,WHITE,12-24V</t>
  </si>
  <si>
    <t>CW3011</t>
  </si>
  <si>
    <t>360 WIRELESS,SPOTLIGHT,PERM,BLACK,12-24V</t>
  </si>
  <si>
    <t>CW3010</t>
  </si>
  <si>
    <t>MD LED,4 LED FLOOD W/ DRL,12-24V</t>
  </si>
  <si>
    <t>CW3007-F</t>
  </si>
  <si>
    <t>WORKLAMP,3X3,SQ,6LED, FLOOD,12-24</t>
  </si>
  <si>
    <t>CW3006-F</t>
  </si>
  <si>
    <t>HD LED,FLOOD,W/DT,W/VENT/12-48V</t>
  </si>
  <si>
    <t>CW2605</t>
  </si>
  <si>
    <t>WORKLAMP, 5LED,SQ,FLOOD W     WHT/BLU LED &amp; AC CRG</t>
  </si>
  <si>
    <t>CW2461CWB</t>
  </si>
  <si>
    <t>SWIVEL WORKLAMP,9LED,SQUARE,  FLOOD,12-24V</t>
  </si>
  <si>
    <t>CW2451</t>
  </si>
  <si>
    <t>SWIVEL WORKLAMP,9LED,SQUARE,  SPOT,12-24V</t>
  </si>
  <si>
    <t>CW2450</t>
  </si>
  <si>
    <t>Worklamp, 6 LED, Low Profile, 12-24 VDC, Flood</t>
  </si>
  <si>
    <t>CW2441</t>
  </si>
  <si>
    <t>WORK LAMP,16 LED,SQUARE,FLOOD,12-24V</t>
  </si>
  <si>
    <t>CW2421</t>
  </si>
  <si>
    <t>LED Worklamp, 4.5" Square, 12-24 VDC, Flood</t>
  </si>
  <si>
    <t>CW2311</t>
  </si>
  <si>
    <t>WORKLAMP,6LED,SQ,FLD,12-24V</t>
  </si>
  <si>
    <t>CW2101</t>
  </si>
  <si>
    <t>XTP6 LIGHT HEAD,RED WITH      BLACK BEZEL</t>
  </si>
  <si>
    <t>XTP6RR</t>
  </si>
  <si>
    <t>XTP6 MULTI COLOR LIGHT HEAD   RED/WHITE WITH BLACK</t>
  </si>
  <si>
    <t>XTP6MCRW</t>
  </si>
  <si>
    <t xml:space="preserve">XTP6 MULTI COLOR LIGHT HEAD   RED/BLUE WITH BLACK </t>
  </si>
  <si>
    <t>XTP6MCRB</t>
  </si>
  <si>
    <t>XTP6 MULTI COLOR LIGHT HEAD   RED/AMBER WITH BLACK</t>
  </si>
  <si>
    <t>XTP6MCRA</t>
  </si>
  <si>
    <t>XTP6 MULTI COLOR LIGHT HEAD   BLUE/WHITE WITH BLAC</t>
  </si>
  <si>
    <t>XTP6MCBW</t>
  </si>
  <si>
    <t>XTP6 MULTI COLOR LIGHT HEAD   BLUE/AMBER WITH BLAC</t>
  </si>
  <si>
    <t>XTP6MCBA</t>
  </si>
  <si>
    <t>XTP6 MULTI COLOR LIGHT HEAD   AMBER/WHITE WITH BLA</t>
  </si>
  <si>
    <t>XTP6MCAW</t>
  </si>
  <si>
    <t>XTP6 LIGHT HEAD,GREEN WITH    BLACK BEZEL</t>
  </si>
  <si>
    <t>XTP6GG</t>
  </si>
  <si>
    <t>XTP6 LIGHT HEAD,BLUE WITH     BLACK BEZEL</t>
  </si>
  <si>
    <t>XTP6BB</t>
  </si>
  <si>
    <t>XTP6 LIGHT HEAD,AMBER,WITH BLACK BEZEL</t>
  </si>
  <si>
    <t>XTP6AA</t>
  </si>
  <si>
    <t>XTP4 LIGHT HEAD,WHITE/WHITE   WITH BLACK BEZEL</t>
  </si>
  <si>
    <t>XTP4WW</t>
  </si>
  <si>
    <t>BEZEL,BLK RUBBER FOR XTP4 LGHT HEAD,2021</t>
  </si>
  <si>
    <t>XTP4RUBZ2</t>
  </si>
  <si>
    <t>XTP4 LIGHT HEAD,RED/RED W/CONN FOR CITAD</t>
  </si>
  <si>
    <t>XTP4RR-CT</t>
  </si>
  <si>
    <t>XTP4 LIGHT HEAD,RED/RED WITH  BLACK BEZEL</t>
  </si>
  <si>
    <t>XTP4RR</t>
  </si>
  <si>
    <t>XTP4 MULTI COLOR LIGHT HEAD,  RED/WHITE WITH BLACK</t>
  </si>
  <si>
    <t>XTP4MCRW</t>
  </si>
  <si>
    <t xml:space="preserve">XTP4 MULTI COLOR LIGHT HEAD,  RED/BLUE WITH BLACK </t>
  </si>
  <si>
    <t>XTP4MCRB</t>
  </si>
  <si>
    <t>XTP4 MULTI COLOR LIGHT HEAD,  RED/AMBER WITH BLACK</t>
  </si>
  <si>
    <t>XTP4MCRA</t>
  </si>
  <si>
    <t>XTP4 MULTI COLOR LIGHT HEAD,  BLUE/WHITE WITH BLAC</t>
  </si>
  <si>
    <t>XTP4MCBW</t>
  </si>
  <si>
    <t>XTP4 MULTI COLOR LIGHT HEAD   BLUE/AMBER WITH BLAC</t>
  </si>
  <si>
    <t>XTP4MCBA</t>
  </si>
  <si>
    <t>XTP4 MULTI COLOR LIGHT HEAD,  AMBER/WHITE WITH BLA</t>
  </si>
  <si>
    <t>XTP4MCAW</t>
  </si>
  <si>
    <t>XTP4 LIGHT HEAD,GREEN/GREEN   WITH BLACK BEZEL</t>
  </si>
  <si>
    <t>XTP4GG</t>
  </si>
  <si>
    <t>XTP4 DUAL STACK LIGHT HEAD,   WHITE WITH BLACK BEZ</t>
  </si>
  <si>
    <t>XTP4DSWW</t>
  </si>
  <si>
    <t>XTP4 DUAL STACK LIGHT HEAD,   RED WITH BLACK BEZEL</t>
  </si>
  <si>
    <t>XTP4DSRR</t>
  </si>
  <si>
    <t>XTP4 DUAL STACK MULTI COLOR   RED/WHITE WITH BLACK</t>
  </si>
  <si>
    <t>XTP4DSMCRW</t>
  </si>
  <si>
    <t xml:space="preserve">XTP4 DUAL STACK MULTI COLOR   RED/BLUE WITH BLACK </t>
  </si>
  <si>
    <t>XTP4DSMCRB</t>
  </si>
  <si>
    <t>XTP4 DUAL STACK MULTI COLOR   RED/AMBER WITH BLACK</t>
  </si>
  <si>
    <t>XTP4DSMCRA</t>
  </si>
  <si>
    <t>XTP4 DUAL STACK MULTI COLOR   BLUE/WHITE WITH BLAC</t>
  </si>
  <si>
    <t>XTP4DSMCBW</t>
  </si>
  <si>
    <t>CHROME BEZEL FOR XTP4DS,2021 DESIGN</t>
  </si>
  <si>
    <t>XTP4DSCHMBZ2</t>
  </si>
  <si>
    <t>XTP4 DUAL STACK LIGHT HEAD,   BLUE WITH BLACK BEZE</t>
  </si>
  <si>
    <t>XTP4DSBB</t>
  </si>
  <si>
    <t>XTP4 DUAL STACK LIGHT HEAD,   AMBER WITH BLACK BEZ</t>
  </si>
  <si>
    <t>XTP4DSAA</t>
  </si>
  <si>
    <t>CHROME BEZEL FOR XTP4,2021 DESIGN</t>
  </si>
  <si>
    <t>XTP4CHMBZ2</t>
  </si>
  <si>
    <t>XTP4 LIGHT HEAD,BLU/BLU W/CONN FOR CITAD</t>
  </si>
  <si>
    <t>XTP4BB-CT</t>
  </si>
  <si>
    <t>XTP4 LIGHT HEAD,BLUE/BLUE WITHBLACK BEZEL</t>
  </si>
  <si>
    <t>XTP4BB</t>
  </si>
  <si>
    <t>XTP4 LIGHT HEAD,AMBER/AMBER,  WITH BLACK BEZEL</t>
  </si>
  <si>
    <t>XTP4AA</t>
  </si>
  <si>
    <t>XTP3 LIGHT HEAD,WHITE,WITH BLACK BEZEL</t>
  </si>
  <si>
    <t>XTP3W</t>
  </si>
  <si>
    <t>XTP3 LIGHT HEAD,RED,WITH BLACK BEZEL</t>
  </si>
  <si>
    <t>XTP3R</t>
  </si>
  <si>
    <t>XTP3 LIGHT HEAD,GREEN,WITH BLACK BEZEL</t>
  </si>
  <si>
    <t>XTP3G</t>
  </si>
  <si>
    <t>CHROME BEZEL FOR XTP3,2021 DESIGN</t>
  </si>
  <si>
    <t>XTP3CHMBZ2</t>
  </si>
  <si>
    <t>XT/XTP6 L-BRACKET 90 DEGREE</t>
  </si>
  <si>
    <t>XT6LBKT</t>
  </si>
  <si>
    <t>XT6/XTP6 BOLT ON GRILL BRACKET</t>
  </si>
  <si>
    <t>XT6GRL</t>
  </si>
  <si>
    <t>XT4/XTP4 MIRROR MOUNT 2015 CHARGER</t>
  </si>
  <si>
    <t>XT4MMNT-CH15</t>
  </si>
  <si>
    <t>BRACKET,GRILLE,LOW,PROFILE,XTP4/ULT</t>
  </si>
  <si>
    <t>XT4LPGBKT</t>
  </si>
  <si>
    <t>XT/XTP4 L-BRACKET 90 DEGREE</t>
  </si>
  <si>
    <t>XT4LBKT</t>
  </si>
  <si>
    <t>XT4/XTP4,XT4DS/XTP4DS,BOLT-ON GRILL BRKT</t>
  </si>
  <si>
    <t>XT4GRL</t>
  </si>
  <si>
    <t>DUAL STAK XT/XTP4,SNGL STAK XTP4DS BKT</t>
  </si>
  <si>
    <t>XT4-DL2</t>
  </si>
  <si>
    <t>XT4 SERIES ARROW 47" 50FT CABL(T11724)</t>
  </si>
  <si>
    <t>XT447AS-50</t>
  </si>
  <si>
    <t>XT4 SERIES ARROWSTIK 47"</t>
  </si>
  <si>
    <t>XT447AS</t>
  </si>
  <si>
    <t>UNIV LICENSE PLATE BRACKET,XT/XTP3,TREX</t>
  </si>
  <si>
    <t>XT3LPBKT</t>
  </si>
  <si>
    <t>XT/XTP3 L-BRACKET 90 DEGREE</t>
  </si>
  <si>
    <t>XT3LBKT</t>
  </si>
  <si>
    <t>UNIV BOLT-ON GRILL BRKT XT3/XTP3,T-REX</t>
  </si>
  <si>
    <t>XT3GRL</t>
  </si>
  <si>
    <t>Extreme XT3 Series 8 Head, Flashing, All Red</t>
  </si>
  <si>
    <t>XT308RR</t>
  </si>
  <si>
    <t>Extreme XT3 Series 8 Head, Flashing, 4 Red- 4 Blue</t>
  </si>
  <si>
    <t>XT308RB</t>
  </si>
  <si>
    <t>Extreme XT3 Series 8 Head, Flashing, All Blue</t>
  </si>
  <si>
    <t>XT308BB</t>
  </si>
  <si>
    <t>Extreme XT3 Series 8 Head Arrowstik w/Switch Panel</t>
  </si>
  <si>
    <t>XT308AS</t>
  </si>
  <si>
    <t>Extreme XT3 Series 8 Head, Flashing, All Amber</t>
  </si>
  <si>
    <t>XT308AA</t>
  </si>
  <si>
    <t>Extreme Quad 3-Head LED ModuleRED/WHITE</t>
  </si>
  <si>
    <t>XT304RRWW</t>
  </si>
  <si>
    <t>Extreme Quad 3-Head LED ModuleRed</t>
  </si>
  <si>
    <t>XT304RRRR</t>
  </si>
  <si>
    <t>Extreme Quad 3-Head LED ModuleR/B</t>
  </si>
  <si>
    <t>XT304RRBB</t>
  </si>
  <si>
    <t>Extreme Quad 3-Head LED ModuleBlue</t>
  </si>
  <si>
    <t>XT304BBBB</t>
  </si>
  <si>
    <t>Extreme Quad 3-Head LED ModuleAmber</t>
  </si>
  <si>
    <t>XT304AAAA</t>
  </si>
  <si>
    <t>Extreme Dual 3-Head LED ModuleR/W</t>
  </si>
  <si>
    <t>XT302RW</t>
  </si>
  <si>
    <t>Extreme Dual 3-Head LED ModuleR/R</t>
  </si>
  <si>
    <t>XT302RR</t>
  </si>
  <si>
    <t>Extreme Dual 3-Head LED ModuleR/B</t>
  </si>
  <si>
    <t>XT302RB</t>
  </si>
  <si>
    <t>Extreme Dual 3-Head LED ModuleR/A</t>
  </si>
  <si>
    <t>XT302RA</t>
  </si>
  <si>
    <t>Extreme Dual 3-Head LED ModuleB/W</t>
  </si>
  <si>
    <t>XT302BW</t>
  </si>
  <si>
    <t>Extreme Dual 3-Head LED ModuleB/B</t>
  </si>
  <si>
    <t>XT302BB</t>
  </si>
  <si>
    <t>Extreme Dual 3-Head LED ModuleB/A</t>
  </si>
  <si>
    <t>XT302BA</t>
  </si>
  <si>
    <t>Extreme Dual 3-Head LED ModuleA/W</t>
  </si>
  <si>
    <t>XT302AW</t>
  </si>
  <si>
    <t>Extreme Dual 3-Head LED ModuleA/A</t>
  </si>
  <si>
    <t>XT302AA</t>
  </si>
  <si>
    <t>WINDOW SHROUD,DOUBLE</t>
  </si>
  <si>
    <t>WS2L</t>
  </si>
  <si>
    <t>WINDOW SHROUD,SINGLE</t>
  </si>
  <si>
    <t>WS1L</t>
  </si>
  <si>
    <t>DEUTSCH DOT CABLE CONV KIT</t>
  </si>
  <si>
    <t>WPPLUG1</t>
  </si>
  <si>
    <t>WATERPROOF PLUG SET FOR STROBEPERIMETER LIGHT</t>
  </si>
  <si>
    <t>WPPLUG</t>
  </si>
  <si>
    <t>LED FLASHER,HAL,12-24VDC,WHITE</t>
  </si>
  <si>
    <t>VSW</t>
  </si>
  <si>
    <t>LED FLASHER,HAL,12-24VDC,RED/WHT</t>
  </si>
  <si>
    <t>VSRW</t>
  </si>
  <si>
    <t>LED FLASHER,HAL,12-24VDC,RED/BLU</t>
  </si>
  <si>
    <t>VSRB</t>
  </si>
  <si>
    <t>LED FLASHER,HAL,12-24VDC,RED</t>
  </si>
  <si>
    <t>VSR</t>
  </si>
  <si>
    <t>LED FLASHER,HAL,12-24VDC,BLU/WHT</t>
  </si>
  <si>
    <t>VSBW</t>
  </si>
  <si>
    <t>LED FLASHER,HAL,12-24VDC,BLUE</t>
  </si>
  <si>
    <t>VSB</t>
  </si>
  <si>
    <t>LED FLASHER,HAL,12-24VDC,AMB/WHT</t>
  </si>
  <si>
    <t>VSAW</t>
  </si>
  <si>
    <t>LED FLASHER,HAL,12-24VDC,AMB/RED</t>
  </si>
  <si>
    <t>VSAR</t>
  </si>
  <si>
    <t>LED FLASHER,HAL,12-24VDC,AMB/GRN</t>
  </si>
  <si>
    <t>VSAG</t>
  </si>
  <si>
    <t>LED FLASHER,HAL,12-24VDC,,AMB/BLU</t>
  </si>
  <si>
    <t>VSAB</t>
  </si>
  <si>
    <t>LED FLASHER,HAL,12-24VDC,AMBER</t>
  </si>
  <si>
    <t>VSA</t>
  </si>
  <si>
    <t>Visor Flip Light w/dual Par36 LED Red/Red</t>
  </si>
  <si>
    <t>VFP36RR</t>
  </si>
  <si>
    <t>Visor Flip Light w/dual Par36 LED Red/Blue</t>
  </si>
  <si>
    <t>VFP36RB</t>
  </si>
  <si>
    <t>Visor Flip Light w/dual Par36 w/clr lens,(1)Red(1)</t>
  </si>
  <si>
    <t>VFP36CRW</t>
  </si>
  <si>
    <t>Visor Flip Light w/dual Par36 LED w/clear lens &amp; R</t>
  </si>
  <si>
    <t>VFP36CRR</t>
  </si>
  <si>
    <t>Visor Flip Light w/dual Par36 LED w/clear lens,Red</t>
  </si>
  <si>
    <t>VFP36CRB</t>
  </si>
  <si>
    <t>Visor Flip Light w/dual Par36 LED w/clear lens,Blu</t>
  </si>
  <si>
    <t>VFP36CBB</t>
  </si>
  <si>
    <t>Visor Flip Light w/dual Par36 LED Blue/Blue</t>
  </si>
  <si>
    <t>VFP36BB</t>
  </si>
  <si>
    <t>REAR SPLR BKT PIU,MR6,XT/XTP4,MT,M180,PR</t>
  </si>
  <si>
    <t>UPRRBKT-PIU</t>
  </si>
  <si>
    <t>FRNT UP GRILL INSRT XTP3 MNT BKT PIU20</t>
  </si>
  <si>
    <t>UPGXTP-INS-PIU20</t>
  </si>
  <si>
    <t>GRILL BKT PR TAHOE 25+, UPPER</t>
  </si>
  <si>
    <t>UPGMB-TH25</t>
  </si>
  <si>
    <t>GRILLE MOUNTING BRACKET 2020 PIU</t>
  </si>
  <si>
    <t>UPGMB-PIU20</t>
  </si>
  <si>
    <t>MEGA TRICOLOR, RED,BLUE,WHITE</t>
  </si>
  <si>
    <t>ULTTC-RBW</t>
  </si>
  <si>
    <t>MEGA TRICOLOR, BLUE,AMBER,WHT.</t>
  </si>
  <si>
    <t>ULTTC-BAW</t>
  </si>
  <si>
    <t>12 LED THIN MNT, DUAL COLOR   12-24V, RED/WHITE, W</t>
  </si>
  <si>
    <t>ULTMC-RW-CT</t>
  </si>
  <si>
    <t>ULTMC-RW-CEL</t>
  </si>
  <si>
    <t>12 LED THIN MNT, DUAL COLOR   12-24V, RED/BLUE, WP</t>
  </si>
  <si>
    <t>ULTMC-RB-CT</t>
  </si>
  <si>
    <t>12 LED THIN MNT, DUAL COLOR   12-24V, RED/AMBER, W</t>
  </si>
  <si>
    <t>ULTMC-RA-CT</t>
  </si>
  <si>
    <t>ULTMC-RA-CEL</t>
  </si>
  <si>
    <t xml:space="preserve">12 LED THIN MNT, DUAL COLOR   12-24V, BLUE/WHITE, </t>
  </si>
  <si>
    <t>ULTMC-BW-CT</t>
  </si>
  <si>
    <t>ULTMC-BW-CEL</t>
  </si>
  <si>
    <t>12 LED,THIN MOUNT,DUAL COLOR, 12-24V,BA</t>
  </si>
  <si>
    <t>ULTMC-BA-CT</t>
  </si>
  <si>
    <t>12 LED,THIN MOUNT,DUAL COLOR, 12-24V,BA,STY BRN</t>
  </si>
  <si>
    <t>ULTMC-BA-CEL</t>
  </si>
  <si>
    <t>12 LED THIN MNT, DUAL COLOR   12-24V, AMBER/WHITE,</t>
  </si>
  <si>
    <t>ULTMC-AW-CT</t>
  </si>
  <si>
    <t>ULTMC-AW-CEL</t>
  </si>
  <si>
    <t>6 LED, THIN SURFACE MNT,12-24VWHITE, WP CONNECTOR</t>
  </si>
  <si>
    <t>ULT6-W-CT</t>
  </si>
  <si>
    <t>6 LED, THIN SURFACE MNT,12-24VRED, WP CONNECTOR</t>
  </si>
  <si>
    <t>ULT6-R-CT</t>
  </si>
  <si>
    <t>6 LED, THIN SURFACE MNT,12-24VBLUE, WP CONNECTOR</t>
  </si>
  <si>
    <t>ULT6-B-CT</t>
  </si>
  <si>
    <t>6 LED, THIN SURFACE MNT,12-24VBLUE</t>
  </si>
  <si>
    <t>ULT6-B</t>
  </si>
  <si>
    <t>6LED,THIN SURFACE MOUNT,12-24VA</t>
  </si>
  <si>
    <t>ULT6-A-CT</t>
  </si>
  <si>
    <t>6 LED, THIN SURFACE MNT,12-24VAMBER</t>
  </si>
  <si>
    <t>ULT6-A</t>
  </si>
  <si>
    <t>THIN WINGMAN MOUNT KIT,UNIVERSAL</t>
  </si>
  <si>
    <t>TWMTG-UNIV</t>
  </si>
  <si>
    <t>THIN WINGMAN MOUNT KIT,DURANGO 15+</t>
  </si>
  <si>
    <t>TWMTG-DUR15</t>
  </si>
  <si>
    <t>THIN WINGMAN MOUNT KIT,CHARGER 15+</t>
  </si>
  <si>
    <t>TWMTG-CH15</t>
  </si>
  <si>
    <t>BKT PR SIDE WINDOW, T-REX XT/XTP3,TRS3</t>
  </si>
  <si>
    <t>TRXWIND</t>
  </si>
  <si>
    <t>ADAPTER BRACKET, TRANSIT VAN, 2015+</t>
  </si>
  <si>
    <t>TRSVAN</t>
  </si>
  <si>
    <t>BASE UNIT2, LED STT 4X6 RED   SA T07878</t>
  </si>
  <si>
    <t>T56420</t>
  </si>
  <si>
    <t>THIN SUPERVISOR UNIV MNT BKT KIT</t>
  </si>
  <si>
    <t>SFMTG-TSUNIV</t>
  </si>
  <si>
    <t>L BRACKET, SD LIGHTS</t>
  </si>
  <si>
    <t>SD24LBRKT</t>
  </si>
  <si>
    <t>NARROWSTIK 1.71 IN. SPACER,PAINTED, BLACK</t>
  </si>
  <si>
    <t>S51272</t>
  </si>
  <si>
    <t>SPACER 0.71 PAINTED NARROWSTIKEXTERIOR</t>
  </si>
  <si>
    <t>S51190</t>
  </si>
  <si>
    <t>BRACKET KIT, UNIVERSAL, C3RNR</t>
  </si>
  <si>
    <t>RNRBKT-UNIV</t>
  </si>
  <si>
    <t>BRACKET KIT, TAHOE, C3RNR</t>
  </si>
  <si>
    <t>RNRBKT-TH</t>
  </si>
  <si>
    <t>BRACKET,OUTLINER,RBOARD,SILVERADO 2020</t>
  </si>
  <si>
    <t>RNRBKT-SILV20</t>
  </si>
  <si>
    <t>BRACKET KIT,SILV,C3RNR</t>
  </si>
  <si>
    <t>RNRBKT-SILV</t>
  </si>
  <si>
    <t>BRACKET KIT,RAM,C3RNR</t>
  </si>
  <si>
    <t>RNRBKT-RAM</t>
  </si>
  <si>
    <t>BRACKET KIT,2020 PIU,C3RNR</t>
  </si>
  <si>
    <t>RNRBKT-PIU20</t>
  </si>
  <si>
    <t>BRACKET KIT, FORD PIU, C3RNR</t>
  </si>
  <si>
    <t>RNRBKT-PIU</t>
  </si>
  <si>
    <t>BRACKET KIT, FUSION, C3RNR</t>
  </si>
  <si>
    <t>RNRBKT-FUS</t>
  </si>
  <si>
    <t>BRACKET KIT, F150,C3RNR</t>
  </si>
  <si>
    <t>RNRBKT-F150</t>
  </si>
  <si>
    <t>BRACKET,OUTLINER/RUNNING BOARD,EXPEDITIN</t>
  </si>
  <si>
    <t>RNRBKT-EXP</t>
  </si>
  <si>
    <t>BRACKET KIT, DURANGO,C3RNR</t>
  </si>
  <si>
    <t>RNRBKT-DUR</t>
  </si>
  <si>
    <t>BRACKET KIT, CH, C3RNR</t>
  </si>
  <si>
    <t>RNRBKT-CH</t>
  </si>
  <si>
    <t>BRACKET KIT,2024+BLAZER-EV,C3RNR</t>
  </si>
  <si>
    <t>RNRBKT-BZE24</t>
  </si>
  <si>
    <t>BRACKET,OUTLINER/RUN BOARD 60" ,TAHOE 21</t>
  </si>
  <si>
    <t>RNRBKT2-TH21</t>
  </si>
  <si>
    <t>REAR BUMPER MOUNT,TH21,PAIR</t>
  </si>
  <si>
    <t>RBM-TH21</t>
  </si>
  <si>
    <t>Rear Bumper Mount, 2016+ PIU  Pair</t>
  </si>
  <si>
    <t>RBM-PIU</t>
  </si>
  <si>
    <t>BRKT,PUSH BMPR,VERT 45,TRX/XT3/4,XTP3/4</t>
  </si>
  <si>
    <t>PBV45</t>
  </si>
  <si>
    <t>BRKT,PSH BMPR,HORIZ 45,TRX,XT3/4,XTP3/4</t>
  </si>
  <si>
    <t>PBH45</t>
  </si>
  <si>
    <t>M180 white, HEADLIGHT REPLACEMENT</t>
  </si>
  <si>
    <t>OL-M180L-W</t>
  </si>
  <si>
    <t>M180 RED,HEADLIGHT REPLACEMENT</t>
  </si>
  <si>
    <t>OL-M180L-R</t>
  </si>
  <si>
    <t>M180 multi color,RD/WH,HDLGHT REPLCMNT</t>
  </si>
  <si>
    <t>OL-M180LMC-RW</t>
  </si>
  <si>
    <t>M180 multi color,RD/BL,HDLGHT REPLCMNT</t>
  </si>
  <si>
    <t>OL-M180LMC-RB</t>
  </si>
  <si>
    <t>M180 MULIT COLOR,RED/AM,HDLGHT REPLCMNT</t>
  </si>
  <si>
    <t>OL-M180LMC-RA</t>
  </si>
  <si>
    <t>M180 multi color,BL/WHT,HDLGHT REPLCMNT</t>
  </si>
  <si>
    <t>OL-M180LMC-BW</t>
  </si>
  <si>
    <t>M180 multi color,BL/AM,HDLGHT REPLCMNT</t>
  </si>
  <si>
    <t>OL-M180LMC-BA</t>
  </si>
  <si>
    <t>M180 multi color, AM/WHT HDLGHT REPLCMNT</t>
  </si>
  <si>
    <t>OL-M180LMC-AW</t>
  </si>
  <si>
    <t>M180 MULIT COLOR,AM,GRN HDLGHT REPLCMNT</t>
  </si>
  <si>
    <t>OL-M180LMC-AG</t>
  </si>
  <si>
    <t>M180 GREEN,HEADLIGHT REPLACEMENT</t>
  </si>
  <si>
    <t>OL-M180L-G</t>
  </si>
  <si>
    <t>M180 BLUE,HEADLIGHT REPLACEMENT</t>
  </si>
  <si>
    <t>OL-M180L-B</t>
  </si>
  <si>
    <t>M180 amber,HEADLIGHT REPLACEMENT</t>
  </si>
  <si>
    <t>OL-M180L-A</t>
  </si>
  <si>
    <t>MATRIX OUTLINER, 72", RBW, RIGHTCABLEEXI</t>
  </si>
  <si>
    <t>OL72R-RBW-CM</t>
  </si>
  <si>
    <t>MATRIX OUTLINER, 72", BAW, RIGHTCABLEEXI</t>
  </si>
  <si>
    <t>OL72R-BAW-CM</t>
  </si>
  <si>
    <t>MATRIX OUTLINER, 72", RBW, LEFTCABLEEXIT</t>
  </si>
  <si>
    <t>OL72L-RBW-CM</t>
  </si>
  <si>
    <t>MATRIX OUTLINER, 72", BAW, LEFTCABLEEXIT</t>
  </si>
  <si>
    <t>OL72L-BAW-CM</t>
  </si>
  <si>
    <t>MATRIX OUTLINER, 60", RBW, RIGHTCABLEEXI</t>
  </si>
  <si>
    <t>OL60R-RBW-CM</t>
  </si>
  <si>
    <t>MATRIX OUTLINER, 60", RBA, RIGHTCABLEEXI</t>
  </si>
  <si>
    <t>OL60R-RBA-CM</t>
  </si>
  <si>
    <t>MATRIX OUTLINER, 60", RAW, RIGHTCABLEEXI</t>
  </si>
  <si>
    <t>OL60R-RAW-CM</t>
  </si>
  <si>
    <t>MATRIX OUTLINER, 60", BAW, RIGHTCABLEEXI</t>
  </si>
  <si>
    <t>OL60R-BAW-CM</t>
  </si>
  <si>
    <t>MATRIX OUTLINER, 60", RBW, LEFTCABLEEXIT</t>
  </si>
  <si>
    <t>OL60L-RBW-CM</t>
  </si>
  <si>
    <t>MATRIX OUTLINER, 60", RAW, LEFTCABLEEXIT</t>
  </si>
  <si>
    <t>OL60L-RAW-CM</t>
  </si>
  <si>
    <t>MATRIX OUTLINER, 60", BAW, LEFTCABLEEXIT</t>
  </si>
  <si>
    <t>OL60L-BAW-CM</t>
  </si>
  <si>
    <t>NARROWSTIK MTG BRACKETS, F-150</t>
  </si>
  <si>
    <t>NSTIK-MTG-F150</t>
  </si>
  <si>
    <t>HIDE-A-BULLET,SHORT,12-24VDC, WHITE</t>
  </si>
  <si>
    <t>ND0010W</t>
  </si>
  <si>
    <t>HIDE-A-BULLET,SHORT,12-24VDC, BLUE</t>
  </si>
  <si>
    <t>ND0010B</t>
  </si>
  <si>
    <t>TORUS,NARROWSTIK,8LED,12V,SPLIT,AMB</t>
  </si>
  <si>
    <t>NASLTS8SP</t>
  </si>
  <si>
    <t>TORUS,NARROWSTIK,8LED,12V,47",AMB,50FT</t>
  </si>
  <si>
    <t>NASLTS84750</t>
  </si>
  <si>
    <t>TORUS,NARROWSTIK,8LED,12V,47",AMB,35FT</t>
  </si>
  <si>
    <t>NASLTS84735</t>
  </si>
  <si>
    <t>TORUS,NARROWSTIK,8LED,12V,47"",AMB</t>
  </si>
  <si>
    <t>NASLTS847</t>
  </si>
  <si>
    <t>TORUS,NARROWSTIK,8LED,12V,39",RED/BLU</t>
  </si>
  <si>
    <t>NASLTS839RB</t>
  </si>
  <si>
    <t>TORUS,NARROWSTIK,8LED,12V,39",AMB,50FT</t>
  </si>
  <si>
    <t>NASLTS83950</t>
  </si>
  <si>
    <t>TORUS,NARROWSTIK,8LED,12V,39",AMB,35FT</t>
  </si>
  <si>
    <t>NASLTS83935</t>
  </si>
  <si>
    <t>TORUS,NARROWSTIK,8LED,12V,39",AMB</t>
  </si>
  <si>
    <t>NASLTS839</t>
  </si>
  <si>
    <t>TORUS,NARROWSTIK,6LED,12V,SPLIT,AMB,35'</t>
  </si>
  <si>
    <t>NASLTS6SP35</t>
  </si>
  <si>
    <t>TORUS,NARROWSTIK,6LED,12V,SPLIT,AMB</t>
  </si>
  <si>
    <t>NASLTS6SP</t>
  </si>
  <si>
    <t>TORUS,NARROWSTIK,6LED,12V,30",AMB</t>
  </si>
  <si>
    <t>NASLTS630</t>
  </si>
  <si>
    <t>TORUS,NARROWSTIK,5LED,12V,47",AMB,50FT</t>
  </si>
  <si>
    <t>NASLTS54750</t>
  </si>
  <si>
    <t>TORUS,NARROWSTIK,5LED,12V,39",AMB,50FT</t>
  </si>
  <si>
    <t>NASLTS53950</t>
  </si>
  <si>
    <t>TORUS,NARROWSTIK,5LED,12V,39",AMB</t>
  </si>
  <si>
    <t>NASLTS539</t>
  </si>
  <si>
    <t>NEW NARROWSTIK CONTROL HEAD   (LED CONTROLLER)</t>
  </si>
  <si>
    <t>NASLCH2</t>
  </si>
  <si>
    <t>MEGATHIN STIK,1/2RED,1/2BLUE, 16FT</t>
  </si>
  <si>
    <t>MTS835S-RB</t>
  </si>
  <si>
    <t>MEGATHIN STIK,SINGLE,BLUE, 16FT</t>
  </si>
  <si>
    <t>MTS835S-B</t>
  </si>
  <si>
    <t>MEGATHIN STICK,35.1"8,AMBER,  16FT CABLE</t>
  </si>
  <si>
    <t>MTS835S-A</t>
  </si>
  <si>
    <t>MEGATHIN STICK,35.1",4R/W,4B/W,16FT</t>
  </si>
  <si>
    <t>MTS835MC-RWBW</t>
  </si>
  <si>
    <t>MEGATHIN STICK,35.1",8R/W,16FT</t>
  </si>
  <si>
    <t>MTS835MC-RW</t>
  </si>
  <si>
    <t>MEGATHIN STICK,35.1"8,RED/BLUE, 16FT CABLE</t>
  </si>
  <si>
    <t>MTS835MC-RB</t>
  </si>
  <si>
    <t>MEGATHIN STICK,35.1"4,RD/AM,4-BL/AM,16FT CABLE</t>
  </si>
  <si>
    <t>MTS835MC-RABA</t>
  </si>
  <si>
    <t>MEGATHIN STICK,35.1"8,RED/AMB, 16FT CAB</t>
  </si>
  <si>
    <t>MTS835MC-RA</t>
  </si>
  <si>
    <t>MEGATHIN STICK,35.1"8,BLE/AMB,16FT CABLE</t>
  </si>
  <si>
    <t>MTS835MC-BA</t>
  </si>
  <si>
    <t>MEGATHIN STICK,35.1"'8,AMB/WHT, 16FT CABLE</t>
  </si>
  <si>
    <t>MTS835MC-AW</t>
  </si>
  <si>
    <t>MEGATHIN STICK,26.4"3-RED,3BLU12" PIGTAIL W/ CONNE</t>
  </si>
  <si>
    <t>MTS626S-RB</t>
  </si>
  <si>
    <t>MEGATHIN STICK,26.4",6,BLU,12" PIGTAI</t>
  </si>
  <si>
    <t>MTS626S-B</t>
  </si>
  <si>
    <t>MEGATHIN STICK,26.4"6 ,AMBER,16FT CABLE</t>
  </si>
  <si>
    <t>MTS626S-A</t>
  </si>
  <si>
    <t>MEGATHIN STICK,26.4"3,RD/WH,3-BL/WH, 16F</t>
  </si>
  <si>
    <t>MTS626MC-RWBW</t>
  </si>
  <si>
    <t>MEGATHIN STICK,26.4"6,RED/WHT HD,16FT CA</t>
  </si>
  <si>
    <t>MTS626MC-RW</t>
  </si>
  <si>
    <t>MEGATHIN STICK,26.4"6,RED/BLUE, 16FT CABLE</t>
  </si>
  <si>
    <t>MTS626MC-RB</t>
  </si>
  <si>
    <t>MEGATHIN STICK,26.4"3,RD/AM,3-BL/AM, 16FT CABLE</t>
  </si>
  <si>
    <t>MTS626MC-RABA</t>
  </si>
  <si>
    <t>MEGATHIN STICK,26.4"3,RA,16 FT CABLE</t>
  </si>
  <si>
    <t>MTS626MC-RA</t>
  </si>
  <si>
    <t>MEGATHIN STICK,26.4"6,BLU/WHT HD,16FT CA</t>
  </si>
  <si>
    <t>MTS626MC-BW</t>
  </si>
  <si>
    <t>MEGATHIN STICK,26.4"6,BLU/AMB HD, 16FT CABLE</t>
  </si>
  <si>
    <t>MTS626MC-BA</t>
  </si>
  <si>
    <t>MEGATHIN STICK,26.4"6,AMB/WHT HD,16FT CABLE</t>
  </si>
  <si>
    <t>MTS626MC-AW</t>
  </si>
  <si>
    <t>MEGATHIN STICK,17.7",BLUE/WHT,16FT CABLE</t>
  </si>
  <si>
    <t>MTS418MC-BW</t>
  </si>
  <si>
    <t>MATRIX MEGATHIN STIK, 8HD, 35.1" RBW</t>
  </si>
  <si>
    <t>MTS35RBW-CM</t>
  </si>
  <si>
    <t>MATRIX MEGATHIN STIK, 8HD, 35.1" RBA</t>
  </si>
  <si>
    <t>MTS35RBA-CM</t>
  </si>
  <si>
    <t>MATRIX MEGATHIN STIK, 6HD, 26.4" RBW</t>
  </si>
  <si>
    <t>MTS26RBW-CM</t>
  </si>
  <si>
    <t>MATRIX MEGATHIN STIK, 6HD, 26.4" RBA</t>
  </si>
  <si>
    <t>MTS26RBA-CM</t>
  </si>
  <si>
    <t>BEZEL, WHITE, MR6</t>
  </si>
  <si>
    <t>MR6-WTBZ</t>
  </si>
  <si>
    <t>6LED UNIV. MNT.-WHITE, STEADY BURN</t>
  </si>
  <si>
    <t>MR6-W-SB</t>
  </si>
  <si>
    <t>WEDGE KIT FOR MR6 AND M180 LIGHTS, 4 PCS.</t>
  </si>
  <si>
    <t>MR6-WEDGEKIT</t>
  </si>
  <si>
    <t>6LED UNIV. MNT.-RED, STEADY BURN</t>
  </si>
  <si>
    <t>MR6-R-SB</t>
  </si>
  <si>
    <t>12LED MC UNIV. MNT-RED/WHITE, STEADY BURN</t>
  </si>
  <si>
    <t>MR6MC-RW-SB</t>
  </si>
  <si>
    <t>12LED MC UNIV. MNT-RED/BLUE, STEADY BURN</t>
  </si>
  <si>
    <t>MR6MC-RB-SB</t>
  </si>
  <si>
    <t>12LED MC UNIV. MNT-RED/AMBER, STEADY BURN</t>
  </si>
  <si>
    <t>MR6MC-RA-SB</t>
  </si>
  <si>
    <t>12LED MC UNIV. MNT-BLUE/WHITE, STEADY BURN</t>
  </si>
  <si>
    <t>MR6MC-BW-SB</t>
  </si>
  <si>
    <t>12LED MC UNIV. MNT-BLUE/AMBER, STEADY BURN</t>
  </si>
  <si>
    <t>MR6MC-BA-SB</t>
  </si>
  <si>
    <t>12LED MC UNIV. MNT-AMBER/WHITE, STEADY BURN</t>
  </si>
  <si>
    <t>MR6MC-AW-SB</t>
  </si>
  <si>
    <t>12LED MC UNIV. MNT-AMBER/GREEN, STEADY BURN</t>
  </si>
  <si>
    <t>MR6MC-AG-SB</t>
  </si>
  <si>
    <t>UNIVERSAL LICENSE PLATE BRACKET FOR MR6 HORIZONTAL</t>
  </si>
  <si>
    <t>MR6LPBKT-H</t>
  </si>
  <si>
    <t>MR6 L BRACKET</t>
  </si>
  <si>
    <t>MR6LBKT</t>
  </si>
  <si>
    <t>6LED UNIV. MNT.-GREEN, STEADY BURN</t>
  </si>
  <si>
    <t>MR6-G-SB</t>
  </si>
  <si>
    <t>FLUSH MOUNT KIT W/GROMMET FOR MR6 LIGHTS</t>
  </si>
  <si>
    <t>MR6FMKIT</t>
  </si>
  <si>
    <t>6LED UNIV. MNT.-BLUE, STEADY BURN</t>
  </si>
  <si>
    <t>MR6-B-SB</t>
  </si>
  <si>
    <t>6LED UNIV. MNT.-AMBER, STEADY BURN</t>
  </si>
  <si>
    <t>MR6-A-SB</t>
  </si>
  <si>
    <t>24 LED HEAD,MULTIMOUNT,12-24V,RBAW, STEADY BURN</t>
  </si>
  <si>
    <t>MR24Q-RBAW-SB</t>
  </si>
  <si>
    <t>HIDE A BLAST,6LED,FLUSH MNT,12-24V,WHT</t>
  </si>
  <si>
    <t>MICROPAK-W</t>
  </si>
  <si>
    <t>HIDE A BLAST,6LED,FLUSH MNT,12-24V,RED</t>
  </si>
  <si>
    <t>MICROPAK-R</t>
  </si>
  <si>
    <t>MICROPAK, L BRACKET</t>
  </si>
  <si>
    <t>MICROPAK-LBKT</t>
  </si>
  <si>
    <t>HIDE A BLAST,6LED,FLUSH MNT,12-24V,GRN</t>
  </si>
  <si>
    <t>MICROPAK-G</t>
  </si>
  <si>
    <t>HIDE A BLAST,6LED,FLUSH MNT,12-24V,R/W</t>
  </si>
  <si>
    <t>MICROPAK-DC-RW</t>
  </si>
  <si>
    <t>HIDE A BLAST,6LED,FLUSH MNT,12-24V,R/B</t>
  </si>
  <si>
    <t>MICROPAK-DC-RB</t>
  </si>
  <si>
    <t>HIDE A BLAST,6LED,FLUSH MNT,12-24V,R/A</t>
  </si>
  <si>
    <t>MICROPAK-DC-RA</t>
  </si>
  <si>
    <t>HIDE A BLAST,6LED,FLUSH MNT,12-24V,B/W</t>
  </si>
  <si>
    <t>MICROPAK-DC-BW</t>
  </si>
  <si>
    <t>HIDE A BLAST,6LED,FLUSH MNT,12-24V,B/A</t>
  </si>
  <si>
    <t>MICROPAK-DC-BA</t>
  </si>
  <si>
    <t>HIDE A BLAST,6LED,FLUSH MNT,12-24V,A/W</t>
  </si>
  <si>
    <t>MICROPAK-DC-AW</t>
  </si>
  <si>
    <t>HIDE A BLAST,6LED,FLUSH MNT,12-24V,A/G</t>
  </si>
  <si>
    <t>MICROPAK-DC-AG</t>
  </si>
  <si>
    <t>HIDE A BLAST,6LED,FLUSH MNT,12-24V,BLU</t>
  </si>
  <si>
    <t>MICROPAK-B</t>
  </si>
  <si>
    <t>HIDE A BLAST,6LED,FLUSH MNT,12-24V,AMB</t>
  </si>
  <si>
    <t>MICROPAK-A</t>
  </si>
  <si>
    <t>M180 SINGLE, WHITE</t>
  </si>
  <si>
    <t>M180S-W-SB</t>
  </si>
  <si>
    <t>M180 SINGLE, RED, STEADY BURN</t>
  </si>
  <si>
    <t>M180S-R-SB</t>
  </si>
  <si>
    <t>M180,MC SINGLE, RED/WHITE, STEADY BURN</t>
  </si>
  <si>
    <t>M180SMC-RW-SB</t>
  </si>
  <si>
    <t>M180,MC SINGLE, RED/BLUE, STEADY BURN</t>
  </si>
  <si>
    <t>M180SMC-RB-SB</t>
  </si>
  <si>
    <t>M180,MC SINGLE,RED/AMBER,STEADY BURN</t>
  </si>
  <si>
    <t>M180SMC-RA-SB</t>
  </si>
  <si>
    <t>M180,MC SINGLE, BLUE/WHITE, STEADY BURN</t>
  </si>
  <si>
    <t>M180SMC-BW-SB</t>
  </si>
  <si>
    <t>M180,MC SINGLE,BLUE/AMBER,STEADY BURN</t>
  </si>
  <si>
    <t>M180SMC-BA-SB</t>
  </si>
  <si>
    <t>M180,MC SINGLE, AMBER/WHITE, STEADY BURN</t>
  </si>
  <si>
    <t>M180SMC-AW-SB</t>
  </si>
  <si>
    <t>M180,MC SINGLE, AMBER/GREEN, STEADY BURN</t>
  </si>
  <si>
    <t>M180SMC-AG-SB</t>
  </si>
  <si>
    <t>M180 SINGLE, GREEN, STEADY BURN</t>
  </si>
  <si>
    <t>M180S-G-SB</t>
  </si>
  <si>
    <t>M180 SINGLE, BLUE, STEADY BURN</t>
  </si>
  <si>
    <t>M180S-B-SB</t>
  </si>
  <si>
    <t>M180 SINGLE,AMBER,STEADY BURN</t>
  </si>
  <si>
    <t>M180S-A-SB</t>
  </si>
  <si>
    <t>M180 SINGLE,AMBER</t>
  </si>
  <si>
    <t>M180S-A</t>
  </si>
  <si>
    <t>M180 LARGE,WHITE</t>
  </si>
  <si>
    <t>M180L-W-SB</t>
  </si>
  <si>
    <t>M180L-W</t>
  </si>
  <si>
    <t>M180 LARGE,RED</t>
  </si>
  <si>
    <t>M180L-R-SB</t>
  </si>
  <si>
    <t>M180,MC LARGE, RED/WHITE, STEADY BURN</t>
  </si>
  <si>
    <t>M180LMC-RW-SB</t>
  </si>
  <si>
    <t>M180,MC LARGE, RED/BLUE,STEADY BURN</t>
  </si>
  <si>
    <t>M180LMC-RB-SB</t>
  </si>
  <si>
    <t>M180,MC LARGE, RED/BLUE</t>
  </si>
  <si>
    <t>M180LMC-RB</t>
  </si>
  <si>
    <t>M180,MC LARGE,RED/AMBER</t>
  </si>
  <si>
    <t>M180LMC-RA</t>
  </si>
  <si>
    <t>M180,MC LARGE, BLUE/WHITE,STEADY BURN</t>
  </si>
  <si>
    <t>M180LMC-BW-SB</t>
  </si>
  <si>
    <t>M180,MC LARGE, AMBER/WHITE,STEADY BURN</t>
  </si>
  <si>
    <t>M180LMC-AW-SB</t>
  </si>
  <si>
    <t>M180,MC LARGE, AMBER/GREEN</t>
  </si>
  <si>
    <t>M180LMC-AG-SB</t>
  </si>
  <si>
    <t>M180L, 'L' Bracket</t>
  </si>
  <si>
    <t>M180L-LBKT</t>
  </si>
  <si>
    <t>M180 LARGE,GREEN</t>
  </si>
  <si>
    <t>M180L-G-SB</t>
  </si>
  <si>
    <t>M180L-G</t>
  </si>
  <si>
    <t>M180 LARGE, BLUE, STEADY BURN</t>
  </si>
  <si>
    <t>M180L-B-SB</t>
  </si>
  <si>
    <t>M180 LARGE,AMBER,STEADY BURN</t>
  </si>
  <si>
    <t>M180L-A-SB</t>
  </si>
  <si>
    <t>REAR LIC PLT BKT 07+ TAHOE,XT/XTP3,TREX</t>
  </si>
  <si>
    <t>LXEXLPBKTRTH</t>
  </si>
  <si>
    <t>LIC PLT BKT,PIU 15+,REAR,XT/XTP3/4/6,ULT</t>
  </si>
  <si>
    <t>LXEXLPBKTR-PIU</t>
  </si>
  <si>
    <t>LICENSE PLATE BRACKET (rear)  2015+ CHARGER xt3,tr</t>
  </si>
  <si>
    <t>LXEXLPBKTR-CH15</t>
  </si>
  <si>
    <t>LIC PLT BKT,PIU15+,FRONT,XT/XTP3/4/6,ULT</t>
  </si>
  <si>
    <t>LXEXLPBKT-PIU</t>
  </si>
  <si>
    <t>LIC PLT BKT 06+ IMPALA,XT/XTP3,TREX,MR6</t>
  </si>
  <si>
    <t>LXEXLPBKT-IMP06</t>
  </si>
  <si>
    <t>LICENSE PLATE BRACKET FOR 19+DURANGO</t>
  </si>
  <si>
    <t>LXEXLPBKT-DUR</t>
  </si>
  <si>
    <t>LIC PLT BKT 06+ CHR PIU.XT/XTP3,TREX,MR6</t>
  </si>
  <si>
    <t>LXEXLPBKT-CHR</t>
  </si>
  <si>
    <t>LIC PLT BKT 15+ CHRGR XT/XTP3,TREX,MR6</t>
  </si>
  <si>
    <t>LXEXLPBKT-CH15</t>
  </si>
  <si>
    <t>LIC PLT BKT 11+ CHRGR,XT/XTP3,TREX,MR6</t>
  </si>
  <si>
    <t>LXEXLPBKT-CH11</t>
  </si>
  <si>
    <t>LED EXTERNAL LICENSE PLATE MOUNTING BRAC</t>
  </si>
  <si>
    <t>LXEXLPBKT</t>
  </si>
  <si>
    <t>LED,SM,STACK,DUAL,12V,BLK BZ,R/R</t>
  </si>
  <si>
    <t>LXEXB2F-RR</t>
  </si>
  <si>
    <t>LED,SM,STACK,DUAL,12V,BLK BZ,A/W</t>
  </si>
  <si>
    <t>LXEXB2F-AW</t>
  </si>
  <si>
    <t>LED,SM,STACK,DUAL,12V,BLK BZ,A/R</t>
  </si>
  <si>
    <t>LXEXB2F-AR</t>
  </si>
  <si>
    <t>LED,SM,SINGLE,12V,BLK BZ,WHT</t>
  </si>
  <si>
    <t>LXEXB1F-W</t>
  </si>
  <si>
    <t>LED,SM,SINGLE,12V,BLK BZ,RED</t>
  </si>
  <si>
    <t>LXEXB1F-R</t>
  </si>
  <si>
    <t>LED,SM,SINGLE,12V,BLK BZ,BLUE</t>
  </si>
  <si>
    <t>LXEXB1F-B</t>
  </si>
  <si>
    <t>LED,SM,SINGLE,12V,BLK BZ,AMB</t>
  </si>
  <si>
    <t>LXEXB1F-A</t>
  </si>
  <si>
    <t>90° L-BRACKET W/HARDWRE LED-EX MOUNTING</t>
  </si>
  <si>
    <t>LXEX90</t>
  </si>
  <si>
    <t>LED,SM,STACK,DUAL,12V,ALM BZ,W/W</t>
  </si>
  <si>
    <t>LXEX2F-WW</t>
  </si>
  <si>
    <t>LED,SM,STACK,DUAL,12V,ALM BZ,W/R</t>
  </si>
  <si>
    <t>LXEX2F-WR</t>
  </si>
  <si>
    <t>LED,SM,STACK,DUAL,12V,ALM BZ,R/R</t>
  </si>
  <si>
    <t>LXEX2F-RR</t>
  </si>
  <si>
    <t>LED,SM,STACK,DUAL,12V,ALM BZ,B/W</t>
  </si>
  <si>
    <t>LXEX2F-BW</t>
  </si>
  <si>
    <t>LED,SM,STACK,DUAL,12V,ALM BZ,B/R</t>
  </si>
  <si>
    <t>LXEX2F-BR</t>
  </si>
  <si>
    <t>LED,SM,STACK,DUAL,12V,ALM BZ,B/B</t>
  </si>
  <si>
    <t>LXEX2F-BB</t>
  </si>
  <si>
    <t>LED,SM,STACK,DUAL,12V,ALM BZ,A/W</t>
  </si>
  <si>
    <t>LXEX2F-AW</t>
  </si>
  <si>
    <t>LED,SM,STACK,DUAL,12V,ALM BZ,A/R</t>
  </si>
  <si>
    <t>LXEX2F-AR</t>
  </si>
  <si>
    <t>LED,SM,STACK,DUAL,12V,ALM BZ,A/B</t>
  </si>
  <si>
    <t>LXEX2F-AB</t>
  </si>
  <si>
    <t>LED,SM,STACK,DUAL,12V,ALM BZ,A/A</t>
  </si>
  <si>
    <t>LXEX2F-AA</t>
  </si>
  <si>
    <t>LED,SM,SINGLE,12V,ALM BZ,STDY,RED</t>
  </si>
  <si>
    <t>LXEX1S-R</t>
  </si>
  <si>
    <t>LED,SM,SINGLE,12V,ALM BZ,WHT</t>
  </si>
  <si>
    <t>LXEX1F-W</t>
  </si>
  <si>
    <t>LED,SM,SINGLE,12V,ALM BZ,RED</t>
  </si>
  <si>
    <t>LXEX1F-R</t>
  </si>
  <si>
    <t>LED,SM,SINGLE,12V,ALM BZ,BLUE</t>
  </si>
  <si>
    <t>LXEX1F-B</t>
  </si>
  <si>
    <t>LED,SM,SINGLE,12V,ALM BZ,AMB</t>
  </si>
  <si>
    <t>LXEX1F-A</t>
  </si>
  <si>
    <t>TAKEDOWN ASSY,EXTERIOR,KNUCKLEMOUNT, W/2 WIRE HARN</t>
  </si>
  <si>
    <t>LTD901</t>
  </si>
  <si>
    <t>LIC PLATE MNT BKT,TH 15,XT/XTP3,TREX,MR6</t>
  </si>
  <si>
    <t>LPBKT-TH15</t>
  </si>
  <si>
    <t>LIC PLATE MNT BKT REAR,2021 TAHOE</t>
  </si>
  <si>
    <t>LPBKTR-TH21</t>
  </si>
  <si>
    <t>LIC PLATE MNT BKT FRONT,2021 TAHOE</t>
  </si>
  <si>
    <t>LPBKTF-TH21</t>
  </si>
  <si>
    <t>Linear, Microthin, Clear</t>
  </si>
  <si>
    <t>LINEARMTC</t>
  </si>
  <si>
    <t>LIGHTHEAD FLASH PATTERN PROGRAMMER, CODE 3</t>
  </si>
  <si>
    <t>LHP-C3</t>
  </si>
  <si>
    <t>HARLEY SUPERVISOR, TRICOLOR,  MEGATHINS, RED/BLUE/</t>
  </si>
  <si>
    <t>HDTRIRBW</t>
  </si>
  <si>
    <t>HARLEY DAVIDSON COMPLETE      SPEAKER KIT</t>
  </si>
  <si>
    <t>HDSPKT</t>
  </si>
  <si>
    <t>HARLEY SUPERVISOR, MEGATHINS, RW,RW,BW,BW</t>
  </si>
  <si>
    <t>HDMTRBW</t>
  </si>
  <si>
    <t>HARLEY SUPERVISOR, MEGATHINS, RB,RB,RB,RB</t>
  </si>
  <si>
    <t>HDMTRB</t>
  </si>
  <si>
    <t>HARLEY SUPERVISOR, MEGATHINS, BW,BW,BW,BW</t>
  </si>
  <si>
    <t>HDMTBW</t>
  </si>
  <si>
    <t>HD XT3 &amp; LED-EX FRONT FORK    MOUNT ASSY.</t>
  </si>
  <si>
    <t>HD513</t>
  </si>
  <si>
    <t>H.D.Rear Guard clamp kit mountXT6/MR6 to side rail</t>
  </si>
  <si>
    <t>HD1546</t>
  </si>
  <si>
    <t xml:space="preserve">H.D.Rear Guard clamp kit mount2-XT3s to side rail </t>
  </si>
  <si>
    <t>HD1533</t>
  </si>
  <si>
    <t>H.D.Side Guard clamp kit mountXT6/MR6 to side rail</t>
  </si>
  <si>
    <t>HD1246</t>
  </si>
  <si>
    <t xml:space="preserve">H.D.Side Guard clamp kit mount2-XT3s to side rail </t>
  </si>
  <si>
    <t>HD1233</t>
  </si>
  <si>
    <t>HIDEABLAST CORNER LED - WHITE</t>
  </si>
  <si>
    <t>HB915W</t>
  </si>
  <si>
    <t>HIDEABLAST CORNER LED - RED</t>
  </si>
  <si>
    <t>HB915R</t>
  </si>
  <si>
    <t>HIDEABLAST CORNER LED - BLUE</t>
  </si>
  <si>
    <t>HB915B</t>
  </si>
  <si>
    <t>HIDEABLAST CORNER LED - AMBER</t>
  </si>
  <si>
    <t>HB915A</t>
  </si>
  <si>
    <t>GRILL BKT PR TAHOE 21+,UPPER &amp; LOWER</t>
  </si>
  <si>
    <t>GMB-TH21</t>
  </si>
  <si>
    <t>GRILL BKT PR TAHOE 15+,XT/XTP4,MR6,ULT</t>
  </si>
  <si>
    <t>GMBTH15</t>
  </si>
  <si>
    <t>GRILLE BKT, 24 F150</t>
  </si>
  <si>
    <t>GMB-F15024</t>
  </si>
  <si>
    <t>GRILL BKT,PR,F150,XT/XTP3/4/6,MR6,CHASE</t>
  </si>
  <si>
    <t>GMB-F150</t>
  </si>
  <si>
    <t>GRILL BKT PR EXPN 21+,UPPER &amp; LOWER</t>
  </si>
  <si>
    <t>GMB-EXP</t>
  </si>
  <si>
    <t>GRILL BRACKET,DURANGO,2019+</t>
  </si>
  <si>
    <t>GMBDUR</t>
  </si>
  <si>
    <t>GRILL BKT,PR,CHR 11+,XT/XTP3/6,LEDX,TRS</t>
  </si>
  <si>
    <t>GMBCH11</t>
  </si>
  <si>
    <t>FRONT UPPER SIDE MIRROR MNT BKT 21 TAHOE</t>
  </si>
  <si>
    <t>FSM-BKT-TH21</t>
  </si>
  <si>
    <t>FRONTSIDE MIRROR MTG,TH,M180,MR6,XT/XTP3</t>
  </si>
  <si>
    <t>FSM-BKT-TH</t>
  </si>
  <si>
    <t>FRONT UPPER SIDE MIRROR MNT BKT 2020 PIU</t>
  </si>
  <si>
    <t>FSM-BKT-PIU20</t>
  </si>
  <si>
    <t>FRNTSIDEMIRRORMNT,PIU,M180,MR6,XT/XTP3</t>
  </si>
  <si>
    <t>FSM-BKT-PIU</t>
  </si>
  <si>
    <t>FRONT SIDE MIRROR MTG,2021 F150,M180,MR6</t>
  </si>
  <si>
    <t>FSM-BKT-F15021</t>
  </si>
  <si>
    <t>BKT PR FRONT LOWER BUMPER MNT,TH21</t>
  </si>
  <si>
    <t>FLBM-TH21</t>
  </si>
  <si>
    <t>XTP6 BLACK BEZEL,MNT GASKET,MNT SCREWS</t>
  </si>
  <si>
    <t>CZXTP6BZL</t>
  </si>
  <si>
    <t>XTP4DS BLK BEZEL,MNT GSKT SCRWS,2021 DES</t>
  </si>
  <si>
    <t>CZXTP4DSBZL2</t>
  </si>
  <si>
    <t>XTP4 BLACK BEZEL,MNT GASKET,MNT SCREWS</t>
  </si>
  <si>
    <t>CZXTP4BZL</t>
  </si>
  <si>
    <t>XTP3 BLK BEZEL,MNT GSKT SCRWS,2021 DESIG</t>
  </si>
  <si>
    <t>CZXTP3BZL2</t>
  </si>
  <si>
    <t>BEZEL,CHROME,CD3801/CD3802</t>
  </si>
  <si>
    <t>CZ3801CHBZ</t>
  </si>
  <si>
    <t>BEZEL,BLACK,CD3801/CD3802</t>
  </si>
  <si>
    <t>CZ3801BKBZ</t>
  </si>
  <si>
    <t>BRKT,STUD MNT,UltraFlexTM,DIR. LIGHT</t>
  </si>
  <si>
    <t>CZ3793SMBKT</t>
  </si>
  <si>
    <t>WEDGE KIT XTP4,4 PCS,5 DEGREE</t>
  </si>
  <si>
    <t>CZ3704-WDG</t>
  </si>
  <si>
    <t>WEDGE KIT XTP3,4 PCS,5 DEGREE</t>
  </si>
  <si>
    <t>CZ3703-WDG</t>
  </si>
  <si>
    <t>REPLACE,3955 HARNESS WIRING KIT</t>
  </si>
  <si>
    <t>CZ0166</t>
  </si>
  <si>
    <t>ACCESSORY,XTP4RR,CITADEL</t>
  </si>
  <si>
    <t>CZ0148</t>
  </si>
  <si>
    <t>REPLACE,85 SERIES,AMB LENS,O-RING,GASKET</t>
  </si>
  <si>
    <t>CZ0139</t>
  </si>
  <si>
    <t>REPLACE,85 SERIES,RED LENS,O-RING,GASKET</t>
  </si>
  <si>
    <t>CZ0138</t>
  </si>
  <si>
    <t>REPLACE,65 TURN,AMB LENS,O-RING,GASKET</t>
  </si>
  <si>
    <t>CZ0137</t>
  </si>
  <si>
    <t>REPLACE,65 STT,RED LENS,O-RING,GASKET</t>
  </si>
  <si>
    <t>CZ0136</t>
  </si>
  <si>
    <t>REPLACE,65 SERIES,CLR LENS,O-RING,GASKET</t>
  </si>
  <si>
    <t>CZ0135</t>
  </si>
  <si>
    <t>REPLACE,65 SERIES,BLU LENS,O-RING,GASKET</t>
  </si>
  <si>
    <t>CZ0134</t>
  </si>
  <si>
    <t>REPLACE,65 SERIES,AMB LENS,O-RING,GASKET</t>
  </si>
  <si>
    <t>CZ0133</t>
  </si>
  <si>
    <t>REPLACE,65 SERIES,RED LENS,O-RING,GASKET</t>
  </si>
  <si>
    <t>CZ0132</t>
  </si>
  <si>
    <t>REPLACE,45,TURN,AMB LENS,O-RING,GASKET</t>
  </si>
  <si>
    <t>CZ0131</t>
  </si>
  <si>
    <t>REPLACE,45 SERIES,CLR LENS,O-RING,GASKET</t>
  </si>
  <si>
    <t>CZ0129</t>
  </si>
  <si>
    <t>REPLACE,45 SERIES,BLU LENS,O-RING,GASKET</t>
  </si>
  <si>
    <t>CZ0128</t>
  </si>
  <si>
    <t>REPLACE,45 SERIES,AMB LENS,O-RING,GASKET</t>
  </si>
  <si>
    <t>CZ0127</t>
  </si>
  <si>
    <t>REPLACE,45 SERIES,RED LENS,O-RING,GASKET</t>
  </si>
  <si>
    <t>CZ0126</t>
  </si>
  <si>
    <t>REPLACE,85,79SCENE,BEZEL,BEZEL GASKET</t>
  </si>
  <si>
    <t>CZ0125</t>
  </si>
  <si>
    <t>REPLACE,65,46SCENE,BEZEL,BEZEL GASKET</t>
  </si>
  <si>
    <t>CZ0124</t>
  </si>
  <si>
    <t>REPLACE,45,37SCENE,BEZEL,BEZEL GASKET</t>
  </si>
  <si>
    <t>CZ0123</t>
  </si>
  <si>
    <t>REPLACE,HEADLIGHT MOUNT 65 SERIES</t>
  </si>
  <si>
    <t>CZ0119</t>
  </si>
  <si>
    <t>ASSY,MEGATHIN,STIK,SINGLE,35FT</t>
  </si>
  <si>
    <t>CZ0113</t>
  </si>
  <si>
    <t>REPLACE,ASSY,SUB,CITADEL,CELS,ULTMC-BA</t>
  </si>
  <si>
    <t>CZ0096</t>
  </si>
  <si>
    <t>REPLACE,FLUSH MOUNT BEZEL-M180L</t>
  </si>
  <si>
    <t>CZ0086</t>
  </si>
  <si>
    <t>REPLACEMENT,XTP4MCRA,IF</t>
  </si>
  <si>
    <t>CZ0083RA</t>
  </si>
  <si>
    <t>REPLACEMENT,XTP4MCBW,IF</t>
  </si>
  <si>
    <t>CZ0083BW</t>
  </si>
  <si>
    <t>REPLACEMENT,XTP4MCBA,CELS</t>
  </si>
  <si>
    <t>CZ0083BA</t>
  </si>
  <si>
    <t>NASTK-TS 3LED BLUE FLASHING   MODULE</t>
  </si>
  <si>
    <t>CZ0059</t>
  </si>
  <si>
    <t>ASSY,FLUSH MOUNT BEZEL</t>
  </si>
  <si>
    <t>CZ0048</t>
  </si>
  <si>
    <t>ASSY,BEZEL,M180L,CHROME</t>
  </si>
  <si>
    <t>CZ0047</t>
  </si>
  <si>
    <t>ASSY,MEGATHIN,STIK,SINGLE,18FT</t>
  </si>
  <si>
    <t>CZ0046</t>
  </si>
  <si>
    <t>ACCESSORY,TORUS,SINGLE,NASL, MOD,RED</t>
  </si>
  <si>
    <t>CZ0001R</t>
  </si>
  <si>
    <t>ACCESSORY,TORUS,SINGLE,NASL,MOD,BLU</t>
  </si>
  <si>
    <t>CZ0001B</t>
  </si>
  <si>
    <t>ACCESSORY,TORUS,SINGLE,NASL, MOD,AMB</t>
  </si>
  <si>
    <t>CZ0001A</t>
  </si>
  <si>
    <t>GRILL BKT PR TAHOE 21+,GRILL CENTER</t>
  </si>
  <si>
    <t>CTGMB-TH21</t>
  </si>
  <si>
    <t>COMMANDSTIK,MOUNT,BKT,PIU20</t>
  </si>
  <si>
    <t>CSTIK-BKT-PIU20</t>
  </si>
  <si>
    <t>CHASE BOLT ON GRILL BRACKET</t>
  </si>
  <si>
    <t>CHSGRL</t>
  </si>
  <si>
    <t>135 DEG WARN-WORKLIGHT COMBO,12-24V,RWBW</t>
  </si>
  <si>
    <t>CD9215RWBW</t>
  </si>
  <si>
    <t>135 DEG WARN-WORK LIGHT COMBO,12-24V,RW</t>
  </si>
  <si>
    <t>CD9215RW</t>
  </si>
  <si>
    <t>135 DEG WARN-WORK LIGHT COMBO,12-24V,BW</t>
  </si>
  <si>
    <t>CD9215BW</t>
  </si>
  <si>
    <t>135 DEG WARN-WORK LIGHT COMBO,12-24V,AW</t>
  </si>
  <si>
    <t>CD9215AW</t>
  </si>
  <si>
    <t>12 LED,HIDE-A-BLAST,1" MNT,SELF-CONT,WHT</t>
  </si>
  <si>
    <t>CD9012W</t>
  </si>
  <si>
    <t>12 LED,HIDE-A-BLAST,1" MNT,SELF-CONT,RW</t>
  </si>
  <si>
    <t>CD9012RW</t>
  </si>
  <si>
    <t>12 LED,HIDE-A-BLAST,1" MNT,SELF-CONT,RB</t>
  </si>
  <si>
    <t>CD9012RB</t>
  </si>
  <si>
    <t>12 LED,HIDE-A-BLAST,T-LOCK,SELF-CONT,WHT</t>
  </si>
  <si>
    <t>CD9012-PI-W</t>
  </si>
  <si>
    <t>12 LED,HIDE-A-BLAST,T-LOCK,SELF-CONT,RW</t>
  </si>
  <si>
    <t>CD9012-PI-RW</t>
  </si>
  <si>
    <t>12 LED,HIDE-A-BLAST,T-LOCK,SELF-CONT,RB</t>
  </si>
  <si>
    <t>CD9012-PI-RB</t>
  </si>
  <si>
    <t>12 LED,HIDE-A-BLAST,T-LOCK,SELF-CONT,BW</t>
  </si>
  <si>
    <t>CD9012-PI-BW</t>
  </si>
  <si>
    <t>12 LED,HIDE-A-BLAST,1" MNT,SELF-CONT,BW</t>
  </si>
  <si>
    <t>CD9012BW</t>
  </si>
  <si>
    <t>12 LED,HIDE-A-BLAST,1" MNT,SELF-CONT,AW</t>
  </si>
  <si>
    <t>CD9012AW</t>
  </si>
  <si>
    <t>DIR,CORNER,12LED,12-24VDC,CLR LENS,R/B</t>
  </si>
  <si>
    <t>CD5101CRB</t>
  </si>
  <si>
    <t>DIRECTIONAL,VISOR,DECK,DASH,2 LIGHTSRWBW</t>
  </si>
  <si>
    <t>CD5051VDL2-RWBW</t>
  </si>
  <si>
    <t>DIRECTIONAL,VISOR,DECK,DASH,2 LIGHTS,RW</t>
  </si>
  <si>
    <t>CD5051VDL2-RW</t>
  </si>
  <si>
    <t>DIRECTIONAL,VISOR,DECK,DASH,2 LIGHTS,BW</t>
  </si>
  <si>
    <t>CD5051VDL2-BW</t>
  </si>
  <si>
    <t>DIRECTIONAL,VISOR,DECK,DASH,2 LIGHTS,AW</t>
  </si>
  <si>
    <t>CD5051VDL2-AW</t>
  </si>
  <si>
    <t>DIRECTIONAL,VISOR,DECK,DASH,1 LIGHT,RW</t>
  </si>
  <si>
    <t>CD5051VDL1-RW</t>
  </si>
  <si>
    <t>DIRECTIONAL,VISOR,DECK,DASH,1 LIGHT,RB</t>
  </si>
  <si>
    <t>CD5051VDL1-RB</t>
  </si>
  <si>
    <t>DIRECTIONAL,VISOR,DECK,DASH,1 LIGHT,BW</t>
  </si>
  <si>
    <t>CD5051VDL1-BW</t>
  </si>
  <si>
    <t>DIRECTIONAL,VISOR,DECK,DASH,1 LIGHT,AW</t>
  </si>
  <si>
    <t>CD5051VDL1-AW</t>
  </si>
  <si>
    <t>DIRECTIONAL,VISOR,DECK,DASH,1 LIGHT,AB</t>
  </si>
  <si>
    <t>CD5051VDL1-AB</t>
  </si>
  <si>
    <t>18LED,DUAL COLOR,NARROW,GRILLE12-24VDC,RW</t>
  </si>
  <si>
    <t>CD5051RW</t>
  </si>
  <si>
    <t>18LED,DUAL COLOR,NARROW,GRILLE12-24VDC,RB</t>
  </si>
  <si>
    <t>CD5051RB</t>
  </si>
  <si>
    <t>18LED,DUAL COLOR,NARROW,GRILLE12-24VDC,RA</t>
  </si>
  <si>
    <t>CD5051RA</t>
  </si>
  <si>
    <t>9LED, NARROW,GRILLE, 12-24VDC,RED</t>
  </si>
  <si>
    <t>CD5051R</t>
  </si>
  <si>
    <t>18LED,DUAL COLOR,NARROW,GRILLE12-24VDC,BW</t>
  </si>
  <si>
    <t>CD5051BW</t>
  </si>
  <si>
    <t>18LED,DUAL COLOR,NARROW,GRILLE12-24VDC,BA</t>
  </si>
  <si>
    <t>CD5051BA</t>
  </si>
  <si>
    <t>9LED, NARROW,GRILLE, 12-24VDC,BLUE</t>
  </si>
  <si>
    <t>CD5051B</t>
  </si>
  <si>
    <t>18LED,DUAL COLOR,NARROW,GRILLE12-24VDC,AW</t>
  </si>
  <si>
    <t>CD5051AW</t>
  </si>
  <si>
    <t>9LED, NARROW,GRILLE, 12-24VDC,AMBER</t>
  </si>
  <si>
    <t>CD5051A</t>
  </si>
  <si>
    <t>DIRCTINL,SURF/STUDMNT,12LED,12-24VDC,R/W,STEADY BU</t>
  </si>
  <si>
    <t>CD5031RW-SB</t>
  </si>
  <si>
    <t>DIRCTINL,SM/STUDMNT,18LED,12-24VDC,R/B/W,STEADY BU</t>
  </si>
  <si>
    <t>CD5031RBW-SB</t>
  </si>
  <si>
    <t>DIRCTINL,SURF/STUDMNT,12LED,12-24VDC,R/B,STEADY BU</t>
  </si>
  <si>
    <t>CD5031RB-SB</t>
  </si>
  <si>
    <t>DIRCTINL,SM/STUDMNT,18LED,12-24VDC,R/B/A,STEADY BU</t>
  </si>
  <si>
    <t>CD5031RBA-SB</t>
  </si>
  <si>
    <t>DIRCTINL,SM/STUDMNT,18LED,12-24VDC,R/A/W, STEADY B</t>
  </si>
  <si>
    <t>CD5031RAW-SB</t>
  </si>
  <si>
    <t>CD5031RAW</t>
  </si>
  <si>
    <t>DIRCTINL,SURF/STUDMNT,12LED,12-24VDC,B/W,STEADY BU</t>
  </si>
  <si>
    <t>CD5031BW-SB</t>
  </si>
  <si>
    <t>DIRCTINL,SM/STUDMNT,18LED,12-24VDC,B/A/W,STEADY BU</t>
  </si>
  <si>
    <t>CD5031BAW-SB</t>
  </si>
  <si>
    <t>DIRCTINL,SURF/STUDMNT,12LED,12-24VDC,A/W,STEADY BU</t>
  </si>
  <si>
    <t>CD5031AW-SB</t>
  </si>
  <si>
    <t>DIR LED,LEDEX,12-24V,BLACK,WHITE,SB</t>
  </si>
  <si>
    <t>CD4081W</t>
  </si>
  <si>
    <t>DIR LED,LEDEX,12-24V,BLACK,RED,SB</t>
  </si>
  <si>
    <t>CD4081R</t>
  </si>
  <si>
    <t>DIR LED,LEDEX,12-24V,BLACK,BLU/WHT, SB</t>
  </si>
  <si>
    <t>CD4081BW</t>
  </si>
  <si>
    <t>DIR LED,LEDEX,12-24V,BLACK,BLUE,SB</t>
  </si>
  <si>
    <t>CD4081B</t>
  </si>
  <si>
    <t>DIR LED,LEDEX,12-24V,BLACK,AMB/WHT,SB</t>
  </si>
  <si>
    <t>CD4081AW</t>
  </si>
  <si>
    <t>DIR LED,LEDEX,12-24V,BLACK,AMBER,SB</t>
  </si>
  <si>
    <t>CD4081A</t>
  </si>
  <si>
    <t>DIR LED,LEDEX,12-24V,CHROME,RED/WHT,SB</t>
  </si>
  <si>
    <t>CD4080RW</t>
  </si>
  <si>
    <t>DIR LED,LEDEX,12-24V,CHROME,RED/BLU,SB</t>
  </si>
  <si>
    <t>CD4080RB</t>
  </si>
  <si>
    <t>DIR LED,LEDEX,12-24V,CHROME,RED,SB</t>
  </si>
  <si>
    <t>CD4080R</t>
  </si>
  <si>
    <t>DIR LED,LEDEX,12-24V,CHROME,BLUE,SB</t>
  </si>
  <si>
    <t>CD4080B</t>
  </si>
  <si>
    <t>DIR LED,LEDEX,12-24V,CHROME,AMB/WHT,SB</t>
  </si>
  <si>
    <t>CD4080AW</t>
  </si>
  <si>
    <t>DIR LED,LEDEX,12-24V,CHROME,AMBER,SB</t>
  </si>
  <si>
    <t>CD4080A</t>
  </si>
  <si>
    <t>DIRECTIONAL,WINDOW SHROUD,2LGHTHEADSRWBW</t>
  </si>
  <si>
    <t>CD3974RWBW</t>
  </si>
  <si>
    <t>DIRECTIONAL,WINDOW SHROUD,2LGHTHEADS,RW</t>
  </si>
  <si>
    <t>CD3974RW</t>
  </si>
  <si>
    <t>DIRECTIONAL,WINDOW SHROUD,2LGHTHEADS,BW</t>
  </si>
  <si>
    <t>CD3974BW</t>
  </si>
  <si>
    <t>DIRECTIONAL,WINDOW SHROUD,2LGHTHEADS,AW</t>
  </si>
  <si>
    <t>CD3974AW</t>
  </si>
  <si>
    <t>DIR LED,SURF MNT,THIN,12-24V,RED/WHT, STEADY BURN</t>
  </si>
  <si>
    <t>CD3802RW-SB</t>
  </si>
  <si>
    <t>DIR LED,SURF MNT,THIN,R/B/W,SMOKED LENS, STEADY BU</t>
  </si>
  <si>
    <t>CD3802RBW-S-SB</t>
  </si>
  <si>
    <t>DIR LED,SURF MNT,THIN,12-24V,RED/BLU/WHT,STEADY BU</t>
  </si>
  <si>
    <t>CD3802RBW-SB</t>
  </si>
  <si>
    <t>DIR LED,SURF MNT,THIN,12-24V,RED/BLU, STEADY BURN</t>
  </si>
  <si>
    <t>CD3802RB-SB</t>
  </si>
  <si>
    <t>DIR LED,SURF MNT,THIN,12-24V,RED/BLU/AMB,STEADY BU</t>
  </si>
  <si>
    <t>CD3802RBA-SB</t>
  </si>
  <si>
    <t>DIR LED,SURF MNT,THIN,12-24V,RED/AMB/WHT, STEADY B</t>
  </si>
  <si>
    <t>CD3802RAW-SB</t>
  </si>
  <si>
    <t>DIR LED,SURF MNT,THIN,12-24V,BLU/WHT,STEADY BURN</t>
  </si>
  <si>
    <t>CD3802BW-SB</t>
  </si>
  <si>
    <t>DIR LED,SURF MNT,THIN,12-24V,BLU/AMB/WHT, STEADY B</t>
  </si>
  <si>
    <t>CD3802BAW-SB</t>
  </si>
  <si>
    <t>DIR LED,SURF MNT,THIN,12-24V,AMB/WHT,STEADY BURN</t>
  </si>
  <si>
    <t>CD3802AW-SB</t>
  </si>
  <si>
    <t>DIR LED,SURF MNT,THIN,12-24V,AMB/RED,STEADY BURN</t>
  </si>
  <si>
    <t>CD3802AR-SB</t>
  </si>
  <si>
    <t>DIR LED,SURF MNT,THIN,12-24V,AMB/GRN/WHT, STEADY B</t>
  </si>
  <si>
    <t>CD3802AGW-SB</t>
  </si>
  <si>
    <t>DIR LED,SURF MNT,THIN,12-24V,AMB/GRN, STEADY BURN</t>
  </si>
  <si>
    <t>CD3802AG-SB</t>
  </si>
  <si>
    <t>DIR LED,SURF MNT,THIN,12-24V,AMB/BLU,STEADY BURN</t>
  </si>
  <si>
    <t>CD3802AB-SB</t>
  </si>
  <si>
    <t>DIR LED,SURF MNT,THIN,12-24V,WHT,STEADY BURN</t>
  </si>
  <si>
    <t>CD3801W-SB</t>
  </si>
  <si>
    <t>DIR LED,SURF MNT,THIN,12-24V,RED,STEADY BURN</t>
  </si>
  <si>
    <t>CD3801R-SB</t>
  </si>
  <si>
    <t>DIR LED,SURF MNT,THIN,12-24V,GRN,STEADY BURN</t>
  </si>
  <si>
    <t>CD3801G-SB</t>
  </si>
  <si>
    <t>DIR LED,SURF MNT,THIN,12-24V,BLU,STEADY BURN</t>
  </si>
  <si>
    <t>CD3801B-SB</t>
  </si>
  <si>
    <t>DIR LED,SURF MNT,THIN,12-24V,AMB,STEADY BURN</t>
  </si>
  <si>
    <t>CD3801A-SB</t>
  </si>
  <si>
    <t>DIR,12LED,SM,FLEXIBLE,DC,12-24V,W/M</t>
  </si>
  <si>
    <t>CD3794WM-SB</t>
  </si>
  <si>
    <t>DIR,12LED,SM,FLEXIBLE,DC,12-24V,R/W, STEADY BURN</t>
  </si>
  <si>
    <t>CD3794RW-SB</t>
  </si>
  <si>
    <t>DIR,18LED,SM,FLEXIBLE,TC,12-24V,R/B/W, STEADY BURN</t>
  </si>
  <si>
    <t>CD3794RBW-SB</t>
  </si>
  <si>
    <t>DIR,12LED,SM,FLEXIBLE,DC,12-24V,R/B, STEADY BURN</t>
  </si>
  <si>
    <t>CD3794RB-SB</t>
  </si>
  <si>
    <t>DIR,18LED,SM,FLEXIBLE,TC,12-24V,R/B/A,STEADY BURN</t>
  </si>
  <si>
    <t>CD3794RBA-SB</t>
  </si>
  <si>
    <t>DIR,18LED,SM,FLEXIBLE,TC,12-24V,R/A/W,STEADY BURN</t>
  </si>
  <si>
    <t>CD3794RAW-SB</t>
  </si>
  <si>
    <t>DIR,12LED,SM,FLEXIBLE,DC,12-24V,R/A, STEADY BURN</t>
  </si>
  <si>
    <t>CD3794RA-SB</t>
  </si>
  <si>
    <t>DIR,12LED,SM,FLEXIBLE,DC,12-24V,B/W, STEADY BURN</t>
  </si>
  <si>
    <t>CD3794BW-SB</t>
  </si>
  <si>
    <t>DIR,18LED,SM,FLEXIBLE,TC,12-24V,B/A/W,STEADY BURN</t>
  </si>
  <si>
    <t>CD3794BAW-SB</t>
  </si>
  <si>
    <t>DIR,12LED,SM,FLEXIBLE,DC,12-24V,B/A, STEADY BURN</t>
  </si>
  <si>
    <t>CD3794BA-SB</t>
  </si>
  <si>
    <t>DIR,12LED,SM,FLEXIBLE,DC,12-24V,A/W, STEADY BURN</t>
  </si>
  <si>
    <t>CD3794AW-SB</t>
  </si>
  <si>
    <t>DIR,8LED,SM,FLEXIBLE,DC,12-24V,R/W,STEADY BURN</t>
  </si>
  <si>
    <t>CD3793RW-SB</t>
  </si>
  <si>
    <t>DIR,8LED,SM,FLEXIBLE,DC,12-24V,R/B,STEADY BURN</t>
  </si>
  <si>
    <t>CD3793RB-SB</t>
  </si>
  <si>
    <t>DIR,8LED,SM,FLEXIBLE,DC,12-24V,R/A,STEADY BURN</t>
  </si>
  <si>
    <t>CD3793RA-SB</t>
  </si>
  <si>
    <t>DIR,8LED,SM,FLEXIBLE,DC,12-24V,B/W,STEADY BURN</t>
  </si>
  <si>
    <t>CD3793BW-SB</t>
  </si>
  <si>
    <t>DIR,8LED,SM,FLEXIBLE,DC,12-24V,B/A</t>
  </si>
  <si>
    <t>CD3793BA-SB</t>
  </si>
  <si>
    <t>CD3793BA</t>
  </si>
  <si>
    <t>DIR,8LED,SM,FLEXIBLE,DC,12-24V,A/W,STEADY BURN</t>
  </si>
  <si>
    <t>CD3793AW-SB</t>
  </si>
  <si>
    <t>12LED,12-24V,RED-WHITE,CHASE,STEADY BURN</t>
  </si>
  <si>
    <t>CD3766RW-SB</t>
  </si>
  <si>
    <t>12LED,SM,12-24V,RED-BLUE,CHASE,STEADY BURN</t>
  </si>
  <si>
    <t>CD3766RB-SB</t>
  </si>
  <si>
    <t>12LED,12-24V,RED-AMBER,CHASE</t>
  </si>
  <si>
    <t>CD3766RA-SB</t>
  </si>
  <si>
    <t>CD3766RA</t>
  </si>
  <si>
    <t>6 LED,12-24V,BLUE-WHITE,CHASE, STEADY BURN</t>
  </si>
  <si>
    <t>CD3766BW-SB</t>
  </si>
  <si>
    <t>12LED,12-24V,BLUE-AMBER,CHASE,STEADY BURN</t>
  </si>
  <si>
    <t>CD3766BA-SB</t>
  </si>
  <si>
    <t>12LED,12-24V,AMBER-WHITE,CHASE, STEADY BURN</t>
  </si>
  <si>
    <t>CD3766AW-SB</t>
  </si>
  <si>
    <t>DIR,SURF,THIN,6LED,12-24V,RED/WHT</t>
  </si>
  <si>
    <t>CD3602RW</t>
  </si>
  <si>
    <t>DIR,SURF,THIN,6LED,12-24V,RED/BLU</t>
  </si>
  <si>
    <t>CD3602RB</t>
  </si>
  <si>
    <t>DIR,SURF,THIN,6LED,12-24V,BLU/WHT</t>
  </si>
  <si>
    <t>CD3602BW</t>
  </si>
  <si>
    <t>DIR,SURF,THIN,6LED,12-24V,AMB/WHT</t>
  </si>
  <si>
    <t>CD3602AW</t>
  </si>
  <si>
    <t>DIRECTIONAL,LOWPROF,12LED,12-24V,SC,WHT</t>
  </si>
  <si>
    <t>CD3511W</t>
  </si>
  <si>
    <t>DIRECTIONAL,LOWPROF,16LED,12-24V,SC,R/W</t>
  </si>
  <si>
    <t>CD3511RW</t>
  </si>
  <si>
    <t>DIRECTIONAL,LOWPROF,16LED,12-24V,SC,R/B</t>
  </si>
  <si>
    <t>CD3511RB</t>
  </si>
  <si>
    <t>DIRECTIONAL,LOWPROF,12LED,12-24V,SC,RED</t>
  </si>
  <si>
    <t>CD3511R</t>
  </si>
  <si>
    <t>DIRECTIONAL,LOWPROF,16LED,12-24V,SC,B/W</t>
  </si>
  <si>
    <t>CD3511BW</t>
  </si>
  <si>
    <t>DIRECTIONAL,LOWPROF,12LED,12-24V,SC,BLU</t>
  </si>
  <si>
    <t>CD3511B</t>
  </si>
  <si>
    <t>DIRECTIONAL,LOWPROF,16LED,12-24V,SC,A/W</t>
  </si>
  <si>
    <t>CD3511AW</t>
  </si>
  <si>
    <t>DIRECTIONAL,LOWPROF,16LED,12-24V,SC,A/R</t>
  </si>
  <si>
    <t>CD3511AR</t>
  </si>
  <si>
    <t>DIRECTIONAL,LOWPROF,16LED,12-24V,SC,A/B</t>
  </si>
  <si>
    <t>CD3511AB</t>
  </si>
  <si>
    <t>DIRECTIONAL,LOWPROF,12LED,12-24V,SC,AMB</t>
  </si>
  <si>
    <t>CD3511A</t>
  </si>
  <si>
    <t>72"RUNNING BOARD,RIGHT WIRE EXIT,DC,RW</t>
  </si>
  <si>
    <t>C3RNRDC-72R-RW</t>
  </si>
  <si>
    <t>72"RUNNING BOARD,RIGHT WIRE EXIT,DC,BWRW</t>
  </si>
  <si>
    <t>C3RNRDC-72R-BWRW</t>
  </si>
  <si>
    <t>72"RUNNING BOARD,RIGHT WIRE EXIT,DC,BW</t>
  </si>
  <si>
    <t>C3RNRDC-72R-BW</t>
  </si>
  <si>
    <t>72"RUNNING BOARD,RIGHT WIRE EXIT,DC,AW</t>
  </si>
  <si>
    <t>C3RNRDC-72R-AW</t>
  </si>
  <si>
    <t>72"RUNNING BOARD,LEFT WIRE EXIT,DC,RW</t>
  </si>
  <si>
    <t>C3RNRDC-72L-RW</t>
  </si>
  <si>
    <t>72"RUNNING BOARD,LEFT WIRE EXIT,DC,BWRW</t>
  </si>
  <si>
    <t>C3RNRDC-72L-BWRW</t>
  </si>
  <si>
    <t>72"RUNNING BOARD,LEFT WIRE EXIT,DC,BW</t>
  </si>
  <si>
    <t>C3RNRDC-72L-BW</t>
  </si>
  <si>
    <t>72"RUNNING BOARD,LEFT WIRE EXIT,DC,AW</t>
  </si>
  <si>
    <t>C3RNRDC-72L-AW</t>
  </si>
  <si>
    <t>60"RUNNING BOARD,RIGHT WIRE EXIT,DC,RW</t>
  </si>
  <si>
    <t>C3RNRDC-60R-RW</t>
  </si>
  <si>
    <t>60"RUNNING BOARD,RIGHT WIRE EXIT,DC,BWRW</t>
  </si>
  <si>
    <t>C3RNRDC-60R-BWRW</t>
  </si>
  <si>
    <t>60"RUNNING BOARD,RIGHT WIRE EXIT,DC,BW</t>
  </si>
  <si>
    <t>C3RNRDC-60R-BW</t>
  </si>
  <si>
    <t>60"RUNNING BOARD,RIGHT WIRE EXIT,DC,AW</t>
  </si>
  <si>
    <t>C3RNRDC-60R-AW</t>
  </si>
  <si>
    <t>60"RUNNING BOARD,LEFT WIRE EXIT,DC,RW</t>
  </si>
  <si>
    <t>C3RNRDC-60L-RW</t>
  </si>
  <si>
    <t>60"RUNNING BOARD,LEFT WIRE EXIT,DC,BWRW</t>
  </si>
  <si>
    <t>C3RNRDC-60L-BWRW</t>
  </si>
  <si>
    <t>60"RUNNING BOARD,LEFT WIRE EXIT,DC,BW</t>
  </si>
  <si>
    <t>C3RNRDC-60L-BW</t>
  </si>
  <si>
    <t>60"RUNNING BOARD,LEFT WIRE EXIT,DC,AW</t>
  </si>
  <si>
    <t>C3RNRDC-60L-AW</t>
  </si>
  <si>
    <t>36"RUNNING BOARD,LEFT WIRE EXIT,DC,RW</t>
  </si>
  <si>
    <t>C3RNRDC-36L-RW</t>
  </si>
  <si>
    <t>36"RUNNING BOARD,LEFT WIRE EXIT,DC,BWRW</t>
  </si>
  <si>
    <t>C3RNRDC-36L-BWRW</t>
  </si>
  <si>
    <t>36"RUNNING BOARD,LEFT WIRE EXIT,DC,AW</t>
  </si>
  <si>
    <t>C3RNRDC-36L-AW</t>
  </si>
  <si>
    <t>24"RUNNING BOARD,LEFT WIRE EXIT,DC,RW</t>
  </si>
  <si>
    <t>C3RNRDC-24L-RW</t>
  </si>
  <si>
    <t>24"RUNNING BOARD,LEFT WIRE EXIT,DC,BWRW</t>
  </si>
  <si>
    <t>C3RNRDC-24L-BWRW</t>
  </si>
  <si>
    <t>24"RUNNING BOARD,LEFT WIRE EXIT,DC,BW</t>
  </si>
  <si>
    <t>C3RNRDC-24L-BW</t>
  </si>
  <si>
    <t>24"RUNNING BOARD,LEFT WIRE EXIT,DC,AW</t>
  </si>
  <si>
    <t>C3RNRDC-24L-AW</t>
  </si>
  <si>
    <t>BELOW SIDE MIRROR MNT BKT, 2021 TAHOE</t>
  </si>
  <si>
    <t>BSM-BKT-TH21</t>
  </si>
  <si>
    <t>BELOW SIDE MIRROR MNT BKT, 2015 TAHOE</t>
  </si>
  <si>
    <t>BSM-BKT-TH</t>
  </si>
  <si>
    <t>BELOW SIDE MIRROR MNT BKT, 2025 PIU</t>
  </si>
  <si>
    <t>BSM-BKT-PIU25</t>
  </si>
  <si>
    <t>BELOW SIDE MIRROR MNT BKT, 2020 PIU</t>
  </si>
  <si>
    <t>BSM-BKT-PIU20</t>
  </si>
  <si>
    <t>BELOW SIDE MIRROR MNT BKT, 2012 PIU</t>
  </si>
  <si>
    <t>BSM-BKT-PIU</t>
  </si>
  <si>
    <t>BELOW SIDE MIRROR MNT BKT, 2012 PI Sedan</t>
  </si>
  <si>
    <t>BSM-BKT-PI</t>
  </si>
  <si>
    <t>BELOW SIDE MIRROR MNT BKT, 2024 MUSTANG MACH E</t>
  </si>
  <si>
    <t>BSM-BKT-MME</t>
  </si>
  <si>
    <t>BELOW SIDE MIRROR MNT BKT, 2021 F150</t>
  </si>
  <si>
    <t>BSM-BKT-F15021</t>
  </si>
  <si>
    <t>BELOW SIDE MIRROR MNT BKT, 2015 F150</t>
  </si>
  <si>
    <t>BSM-BKT-F150</t>
  </si>
  <si>
    <t>BELOW SIDE MIRROR MNT BKT, 2018 DURANGO</t>
  </si>
  <si>
    <t>BSM-BKT-DUR</t>
  </si>
  <si>
    <t>BELOW SIDE MIRROR MNT BKT, 2011 CHARGER</t>
  </si>
  <si>
    <t>BSM-BKT-CH</t>
  </si>
  <si>
    <t>BELOW SIDE MIRROR MNT BKT, 2024 BLAZER-EV</t>
  </si>
  <si>
    <t>BSM-BKT-BZE24</t>
  </si>
  <si>
    <t>B PILLAR BKT '11 NGPI CHRGR XT/XTP3,TREX</t>
  </si>
  <si>
    <t>BPILBKT-PI</t>
  </si>
  <si>
    <t>BEHIND GRILLE MOUNTING BRACKET 21 TAHOE</t>
  </si>
  <si>
    <t>BHGMB-TH21</t>
  </si>
  <si>
    <t>BEHIND GRILLE MOUNTING BRACKET 2020 PIU</t>
  </si>
  <si>
    <t>BHGMB-PIU20</t>
  </si>
  <si>
    <t>LED PERIMETER 7X9 WHITE</t>
  </si>
  <si>
    <t>85W</t>
  </si>
  <si>
    <t>LED PERIMETER 7X9 RED/AMBER</t>
  </si>
  <si>
    <t>85RA</t>
  </si>
  <si>
    <t>LED PERIMETER 7X9 WHITE W/ BEZEL AND GASKET</t>
  </si>
  <si>
    <t>85BZW</t>
  </si>
  <si>
    <t>LED PERIMETER 7X9 RED/AMBER   W/BEZEL</t>
  </si>
  <si>
    <t>85BZRA</t>
  </si>
  <si>
    <t>LED PERIMETER 7X9 RED W/ BEZELAND GASKET</t>
  </si>
  <si>
    <t>85BZR</t>
  </si>
  <si>
    <t>LED PERIMETER 7X9 BLUE W/ BEZEL AND GASKET</t>
  </si>
  <si>
    <t>85BZB</t>
  </si>
  <si>
    <t>LED PERIMETER 7X9 AMBER W/ BEZEL AND GASKET</t>
  </si>
  <si>
    <t>85BZA</t>
  </si>
  <si>
    <t>LED PERIMETER 7X9 BLUE</t>
  </si>
  <si>
    <t>85B</t>
  </si>
  <si>
    <t>LED PERIMETER 7X9 AMBER</t>
  </si>
  <si>
    <t>85A</t>
  </si>
  <si>
    <t>7X9 LED SCENE LIGHT w/BEZEL</t>
  </si>
  <si>
    <t>79SCENE</t>
  </si>
  <si>
    <t>PRIZ II PER,8LED,STDY,7X9BZL,12-24V,C/R</t>
  </si>
  <si>
    <t>798SCRBZ</t>
  </si>
  <si>
    <t>PRIZ II PER,8LED,7X9,W/BEZEL,12-24V,R</t>
  </si>
  <si>
    <t>798RBZ-75</t>
  </si>
  <si>
    <t>PRIZ II PER,8LED,7X9,12-24V,R</t>
  </si>
  <si>
    <t>798R-75</t>
  </si>
  <si>
    <t>PRIZ II PER,8LED,7X9,W/BEZEL,12-24V,CR</t>
  </si>
  <si>
    <t>798CRBZ-75</t>
  </si>
  <si>
    <t>PRIZ II PER,8LED,7X9,12-24V,CR</t>
  </si>
  <si>
    <t>798CR-75</t>
  </si>
  <si>
    <t>PRIZ II PER,8LED,7X9,W/BEZEL,12-24V,CB</t>
  </si>
  <si>
    <t>798CBBZ-75</t>
  </si>
  <si>
    <t>PRIZ II PER,8LED,7X9,12-24V,CB</t>
  </si>
  <si>
    <t>798CB-75</t>
  </si>
  <si>
    <t>PRIZ II PER,8LED,7X9,W/BEZEL,12-24V,CA</t>
  </si>
  <si>
    <t>798CABZ-75</t>
  </si>
  <si>
    <t>PRIZ II PER,8LED,7X9,12-24V,CA</t>
  </si>
  <si>
    <t>798CA-75</t>
  </si>
  <si>
    <t>PRIZ II PER,8LED,7X9,W/BEZEL,12-24V,B</t>
  </si>
  <si>
    <t>798BBZ-75</t>
  </si>
  <si>
    <t>PRIZ II PER,8LED,7X9,12-24V,B</t>
  </si>
  <si>
    <t>798B-75</t>
  </si>
  <si>
    <t>PRIZ II PER,8LED,7X9,W/BEZEL,12-24V,A</t>
  </si>
  <si>
    <t>798ABZ-75</t>
  </si>
  <si>
    <t>PRIZ II PER,8LED,7X9,12-24V,A</t>
  </si>
  <si>
    <t>798A-75</t>
  </si>
  <si>
    <t>PRIZ II PER,22LED,7X9,W/BEZEL,12V,CRW</t>
  </si>
  <si>
    <t>7922CRWBZ</t>
  </si>
  <si>
    <t>PRIZ II PER,22LED,7X9,12V,CRW</t>
  </si>
  <si>
    <t>7922CRW</t>
  </si>
  <si>
    <t>PRIZ II PER,22LED,7X9,W/BEZEL,12V,CRB</t>
  </si>
  <si>
    <t>7922CRBBZ</t>
  </si>
  <si>
    <t>PRIZ II PER,22LED,7X9,12V,CRB</t>
  </si>
  <si>
    <t>7922CRB</t>
  </si>
  <si>
    <t>PRIZ II PER,22LED,7X9,W/BEZEL,12V,CRA</t>
  </si>
  <si>
    <t>7922CRABZ</t>
  </si>
  <si>
    <t>PRIZ II PER,22LED,7X9,W/BEZEL,12V,CBW</t>
  </si>
  <si>
    <t>7922CBWBZ</t>
  </si>
  <si>
    <t>PRIZ II PER,22LED,7X9,W/BEZEL,12V,CBA</t>
  </si>
  <si>
    <t>7922CBABZ</t>
  </si>
  <si>
    <t>PRIZ II PER,22LED,7X9,12V,CBA</t>
  </si>
  <si>
    <t>7922CBA</t>
  </si>
  <si>
    <t>PRIZ II PER,22LED,7X9,12V,CAW</t>
  </si>
  <si>
    <t>7922CAW</t>
  </si>
  <si>
    <t>PRIZ II PER,12LED,7X9,W/BEZEL,12-24V,W</t>
  </si>
  <si>
    <t>7912WBZ-75</t>
  </si>
  <si>
    <t>PRIZ II PER,12LED,7X9,12-24V,W</t>
  </si>
  <si>
    <t>7912W-75</t>
  </si>
  <si>
    <t>PRIZ II PER,12LED,7X9,W/BEZEL,12-24V,R</t>
  </si>
  <si>
    <t>7912RBZ-75</t>
  </si>
  <si>
    <t>PRIZ II PER,12LED,7X9,12-24V,R</t>
  </si>
  <si>
    <t>7912R-75</t>
  </si>
  <si>
    <t>PRIZ II PER,12LED,7X9,W/BEZEL,12-24V,CR</t>
  </si>
  <si>
    <t>7912CRBZ-75</t>
  </si>
  <si>
    <t>PRIZ II PER,12LED,7X9,12-24V,CR</t>
  </si>
  <si>
    <t>7912CR-75</t>
  </si>
  <si>
    <t>PRIZ II PER,12LED,7X9,12-24V,CB</t>
  </si>
  <si>
    <t>7912CB-75</t>
  </si>
  <si>
    <t>PRIZ II PER,12LED,7X9,W/BEZEL,12-24V,CA</t>
  </si>
  <si>
    <t>7912CABZ-75</t>
  </si>
  <si>
    <t>PRIZ II PER,12LED,7X9,12-24V,CA</t>
  </si>
  <si>
    <t>7912CA-75</t>
  </si>
  <si>
    <t>PRIZ II PER,12LED,7X9,W/BEZEL,12-24V,B</t>
  </si>
  <si>
    <t>7912BBZ-75</t>
  </si>
  <si>
    <t>PRIZ II PER,12LED,7X9,W/BEZEL,12-24V,A</t>
  </si>
  <si>
    <t>7912ABZ-75</t>
  </si>
  <si>
    <t>LED STT PERIMETER 4X6 RED</t>
  </si>
  <si>
    <t>65STR</t>
  </si>
  <si>
    <t>QUAD STACK HOUSING FOR 4X6 LEDPERIMETER</t>
  </si>
  <si>
    <t>65STK4</t>
  </si>
  <si>
    <t>TRIPLE STACK HOUSING FOR 4X6  LED PERIMETER</t>
  </si>
  <si>
    <t>65STK3</t>
  </si>
  <si>
    <t>LED STT PERIMETER 4X6 RED W/ BEZEL AND GASKET</t>
  </si>
  <si>
    <t>65STBZR</t>
  </si>
  <si>
    <t xml:space="preserve">LED PERIMETER 4X6 AMBER TURN  W/BEZEL, ARROW, AND </t>
  </si>
  <si>
    <t>65STBZA</t>
  </si>
  <si>
    <t>LED STT PERIMETER 4X6 AMBER</t>
  </si>
  <si>
    <t>65STA</t>
  </si>
  <si>
    <t>LED PERIMETER 4X6 RED/WHITE</t>
  </si>
  <si>
    <t>65RW</t>
  </si>
  <si>
    <t>LED REVERSE LIGHT 4X6 WHITE   SET TO STEADY BURN</t>
  </si>
  <si>
    <t>65RV</t>
  </si>
  <si>
    <t>LED PERIMETER 4X6 RED/AMBER</t>
  </si>
  <si>
    <t>65RA</t>
  </si>
  <si>
    <t>65 SERIES LED PACKAGE W/65STA,65STR, 65W, 65R, 65S</t>
  </si>
  <si>
    <t>65PKG4</t>
  </si>
  <si>
    <t xml:space="preserve">LED/Hal 4X6 Quad Stack Pkg    65STR,65TA,61RV,65R </t>
  </si>
  <si>
    <t>65PKG2</t>
  </si>
  <si>
    <t>65 SERIES LED PACKAGE W/ 65TA 65STR, 65W, 65STK3</t>
  </si>
  <si>
    <t>65PKG</t>
  </si>
  <si>
    <t xml:space="preserve">LED PERIMETER 4X6 FOR HEADLAMPHOUSING MNT - AMBER </t>
  </si>
  <si>
    <t>65FSTA</t>
  </si>
  <si>
    <t>RETRO KIT CHANGE HEADLAMP OSC ILASER TO 4X6 LED RE</t>
  </si>
  <si>
    <t>65FRTRR</t>
  </si>
  <si>
    <t>4X6 LED FOR HEADLAMP HOUSING  MOUNTING - RED</t>
  </si>
  <si>
    <t>65FR</t>
  </si>
  <si>
    <t>4X6 LED FOR HEADLAMP HOUSING  MOUNTING - BLUE</t>
  </si>
  <si>
    <t>65FB</t>
  </si>
  <si>
    <t>4X6 LED FOR HEADLAMP HOUSING  MOUNTING - AMBER</t>
  </si>
  <si>
    <t>65FA</t>
  </si>
  <si>
    <t>RED LED PERIMETER 4X6 W/CLEAR LENS</t>
  </si>
  <si>
    <t>65CR</t>
  </si>
  <si>
    <t>LED PERIMETER 4X6 WHITE W/ BEZEL AND GASKET</t>
  </si>
  <si>
    <t>65BZW</t>
  </si>
  <si>
    <t>LED PERIMETER 4X6RED/WHT W/BZL</t>
  </si>
  <si>
    <t>65BZRW</t>
  </si>
  <si>
    <t>LED REVERSE LIGHT 4X6 WHITE W/BEZEL AND GASKET - S</t>
  </si>
  <si>
    <t>65BZRV</t>
  </si>
  <si>
    <t>LED PERIMETER 4X6 RED, W/BEZEL&amp; GASKET SET TO STEA</t>
  </si>
  <si>
    <t>65BZRS</t>
  </si>
  <si>
    <t>LED PERIMETER 4X6RED/BLU W/BZL</t>
  </si>
  <si>
    <t>65BZRB</t>
  </si>
  <si>
    <t>LED PERIMETER 4X6RED/AMB W/BZL</t>
  </si>
  <si>
    <t>65BZRA</t>
  </si>
  <si>
    <t>LED PERIMETER 4X6 RED W/ BEZELAND GASKET</t>
  </si>
  <si>
    <t>65BZR</t>
  </si>
  <si>
    <t>LED PERIMETER 4x6 RED W/CLEAR LENS</t>
  </si>
  <si>
    <t>65BZCR</t>
  </si>
  <si>
    <t>LED PERIMETER 4x6 BLUE W/CLEARLENS</t>
  </si>
  <si>
    <t>65BZCB</t>
  </si>
  <si>
    <t>LED PERIMETER 4x6 AMBER W/CLEAR LENS</t>
  </si>
  <si>
    <t>65BZCA</t>
  </si>
  <si>
    <t>LED PERIMETER 4X6 BLUE W/ BEZEL AND GASKET</t>
  </si>
  <si>
    <t>65BZB</t>
  </si>
  <si>
    <t>LED PERIMETER 4X6 AMBER W/ BEZEL AND GASKET</t>
  </si>
  <si>
    <t>65BZA</t>
  </si>
  <si>
    <t>LED PERIMETER 4X6 BLUE</t>
  </si>
  <si>
    <t>65B</t>
  </si>
  <si>
    <t>5051 MOUNTING KIT</t>
  </si>
  <si>
    <t>5051DSS</t>
  </si>
  <si>
    <t>PRIZ II PER,8LED,4X6,W/BEZEL,12-24V,W</t>
  </si>
  <si>
    <t>468WBZ-75</t>
  </si>
  <si>
    <t>PRIZ II PER,8LED,4X6,12-24V,W</t>
  </si>
  <si>
    <t>468W-75</t>
  </si>
  <si>
    <t>PRIZ II PER,8LED,4X6,W/BEZEL,12-24V,R</t>
  </si>
  <si>
    <t>468RBZ-75</t>
  </si>
  <si>
    <t>PRIZ II PER,8LED,4X6,12-24V,R</t>
  </si>
  <si>
    <t>468R-75</t>
  </si>
  <si>
    <t>4x6 RED PRIZMII PERIMETER RTROKIT FOR HEADLAMP (OS</t>
  </si>
  <si>
    <t>468FRTRR</t>
  </si>
  <si>
    <t>PRIZ II PER,8LED,4X6,FLUSH,12-24V,R</t>
  </si>
  <si>
    <t>468FR-75</t>
  </si>
  <si>
    <t>PRIZ II PER,8LED,4X6,W/BEZEL,12-24V,CR</t>
  </si>
  <si>
    <t>468CRBZ-75</t>
  </si>
  <si>
    <t>PRIZ II PER,8LED,4X6,12-24V,CR</t>
  </si>
  <si>
    <t>468CR-75</t>
  </si>
  <si>
    <t>PRIZ II PER,8LED,4X6,W/BEZEL,12-24V,CB</t>
  </si>
  <si>
    <t>468CBBZ-75</t>
  </si>
  <si>
    <t>PRIZ II PER,8LED,4X6,12-24V,CB</t>
  </si>
  <si>
    <t>468CB-75</t>
  </si>
  <si>
    <t>PRIZ II PER,8LED,4X6,W/BEZEL,12-24V,CA</t>
  </si>
  <si>
    <t>468CABZ-75</t>
  </si>
  <si>
    <t>PRIZ II PER,8LED,4X6,12-24V,CA</t>
  </si>
  <si>
    <t>468CA-75</t>
  </si>
  <si>
    <t>PRIZ II PER,8LED,4X6,W/BEZEL,12-24V,B</t>
  </si>
  <si>
    <t>468BBZ-75</t>
  </si>
  <si>
    <t>PRIZ II PER,8LED,4X6,12-24V,B</t>
  </si>
  <si>
    <t>468B-75</t>
  </si>
  <si>
    <t>PRIZ II PER,8LED,4X6,W/BEZEL,12-24V,A</t>
  </si>
  <si>
    <t>468ABZ-75</t>
  </si>
  <si>
    <t>PRIZ II PER,8LED,4X6,12-24V,A</t>
  </si>
  <si>
    <t>468A-75</t>
  </si>
  <si>
    <t>PRIZ II PER,22LED,4X6,W/BEZEL,12V,CRW</t>
  </si>
  <si>
    <t>4622CRWBZ</t>
  </si>
  <si>
    <t>PRIZ II PER,22LED,4X6,12V,CRW</t>
  </si>
  <si>
    <t>4622CRW</t>
  </si>
  <si>
    <t>PRIZ II PER,22LED,4X6,W/BEZEL,12V,CRB</t>
  </si>
  <si>
    <t>4622CRBBZ</t>
  </si>
  <si>
    <t>PRIZ II PER,22LED,4X6,12V,CRB</t>
  </si>
  <si>
    <t>4622CRB</t>
  </si>
  <si>
    <t>PRIZ II PER,22LED,4X6,W/BEZEL,12V,CRA</t>
  </si>
  <si>
    <t>4622CRABZ</t>
  </si>
  <si>
    <t>PRIZ II PER,22LED,4X6,12V,CRA</t>
  </si>
  <si>
    <t>4622CRA</t>
  </si>
  <si>
    <t>PRIZ II PER,22LED,4X6,W/BEZEL,12V,CBW</t>
  </si>
  <si>
    <t>4622CBWBZ</t>
  </si>
  <si>
    <t>PRIZ II PER,22LED,4X6,12V,CBW</t>
  </si>
  <si>
    <t>4622CBW</t>
  </si>
  <si>
    <t>PRIZ II PER,22LED,4X6,W/BEZEL,12V,CBA</t>
  </si>
  <si>
    <t>4622CBABZ</t>
  </si>
  <si>
    <t>PRIZ II PER,22LED,4X6,12V,CBA</t>
  </si>
  <si>
    <t>4622CBA</t>
  </si>
  <si>
    <t>PRIZ II PER,22LED,4X6,W/BEZEL,12V,CAW</t>
  </si>
  <si>
    <t>4622CAWBZ</t>
  </si>
  <si>
    <t>PRIZ II PER,22LED,4X6,12V,CAW</t>
  </si>
  <si>
    <t>4622CAW</t>
  </si>
  <si>
    <t>PRIZ II PER,12LED,4X6,W/BEZEL,12V,W</t>
  </si>
  <si>
    <t>4612WBZ-75</t>
  </si>
  <si>
    <t>PRIZ II PER,12LED,4X6,12V,W</t>
  </si>
  <si>
    <t>4612W-75</t>
  </si>
  <si>
    <t>PRIZMII PERM,STEADY,CLR WHITE,W BEZEL</t>
  </si>
  <si>
    <t>4612SCWBZ</t>
  </si>
  <si>
    <t>PRIZ II PER,12LED,4X6,W/BEZEL,12V,R</t>
  </si>
  <si>
    <t>4612RBZ-75</t>
  </si>
  <si>
    <t>PRIZ II PER,12LED,4X6,12V,R</t>
  </si>
  <si>
    <t>4612R-75</t>
  </si>
  <si>
    <t>PRIZ II PER,12LED,4X6,W/BEZEL,12V,G</t>
  </si>
  <si>
    <t>4612GBZ-75</t>
  </si>
  <si>
    <t>PRIZ II PER,12LED,4X6,12V,G</t>
  </si>
  <si>
    <t>4612G-75</t>
  </si>
  <si>
    <t>PRIZ II PER,12LED,4X6,FLUSH,12V,R</t>
  </si>
  <si>
    <t>4612FR</t>
  </si>
  <si>
    <t>PRIZ II PER,12LED,4X6,FLUSH,12V,CR</t>
  </si>
  <si>
    <t>4612FCR</t>
  </si>
  <si>
    <t>PRIZ II PER,12LED,4X6,FLUSH,12V,CB</t>
  </si>
  <si>
    <t>4612FCB</t>
  </si>
  <si>
    <t>PRIZ II PER,12LED,4X6,FLUSH,12V,CA</t>
  </si>
  <si>
    <t>4612FCA</t>
  </si>
  <si>
    <t>PRIZ II PER,12LED,4X6,FLUSH,12V,A</t>
  </si>
  <si>
    <t>4612FA</t>
  </si>
  <si>
    <t>PRIZ II PER,12LED,4X6,W/BEZEL,12V,CRW</t>
  </si>
  <si>
    <t>4612CRWBZ-75</t>
  </si>
  <si>
    <t>PRIZ II PER,12LED,4X6,12V,CRW</t>
  </si>
  <si>
    <t>4612CRW-75</t>
  </si>
  <si>
    <t>PRIZ II PER,12LED,4X6,W/BEZEL,12V,CR</t>
  </si>
  <si>
    <t>4612CRBZ-75</t>
  </si>
  <si>
    <t>PRIZ II PER,12LED,4X6,W/BEZEL,12V,CRB</t>
  </si>
  <si>
    <t>4612CRBBZ-75</t>
  </si>
  <si>
    <t>PRIZ II PER,12LED,4X6,12V,CRB</t>
  </si>
  <si>
    <t>4612CRB-75</t>
  </si>
  <si>
    <t>PRIZ II PER,12LED,4X6,12V,CR</t>
  </si>
  <si>
    <t>4612CR-75</t>
  </si>
  <si>
    <t>PRIZ II PER,12LED,4X6,W/BEZEL,12V,CG</t>
  </si>
  <si>
    <t>4612CGBZ-75</t>
  </si>
  <si>
    <t>PRIZ II PER,12LED,4X6,12V,CG</t>
  </si>
  <si>
    <t>4612CG-75</t>
  </si>
  <si>
    <t>PRIZ II PER,12LED,4X6,W/BEZEL,12V,CB</t>
  </si>
  <si>
    <t>4612CBBZ-75</t>
  </si>
  <si>
    <t>PRIZ II PER,12LED,4X6,12V,CB</t>
  </si>
  <si>
    <t>4612CB-75</t>
  </si>
  <si>
    <t>PRIZ II PER,12LED,4X6,W/BEZEL,12V,CAW</t>
  </si>
  <si>
    <t>4612CAWBZ-75</t>
  </si>
  <si>
    <t>PRIZ II PER,12LED,4X6,W/BEZEL,12V,CA</t>
  </si>
  <si>
    <t>4612CABZ-75</t>
  </si>
  <si>
    <t>PRIZ II PER,12LED,4X6,12V,CA</t>
  </si>
  <si>
    <t>4612CA-75</t>
  </si>
  <si>
    <t>PRIZ II PER,12LED,4X6,W/BEZEL,12V,B</t>
  </si>
  <si>
    <t>4612BBZ-75</t>
  </si>
  <si>
    <t>PRIZ II PER,12LED,4X6,12V,B</t>
  </si>
  <si>
    <t>4612B-75</t>
  </si>
  <si>
    <t>PRIZ II PER,12LED,4X6,W/BEZEL,12V,A</t>
  </si>
  <si>
    <t>4612ABZ-75</t>
  </si>
  <si>
    <t>PRIZ II PER,12LED,4X6,12V,A</t>
  </si>
  <si>
    <t>4612A-75</t>
  </si>
  <si>
    <t>LED PERIMETER 3X7 WHITE</t>
  </si>
  <si>
    <t>45W</t>
  </si>
  <si>
    <t>LED TURN ARROW PERIMETER 3X7  AMBER</t>
  </si>
  <si>
    <t>45TA</t>
  </si>
  <si>
    <t>LED 3X7 STOP/TURN/TAIL W/BEZELPERIMETER</t>
  </si>
  <si>
    <t>45STBZR</t>
  </si>
  <si>
    <t>LED REVERSE LIGHT 3X7 WHITE   SET TO STEADY BURN</t>
  </si>
  <si>
    <t>45RV</t>
  </si>
  <si>
    <t>LED PERIMETER 3X7 RED/BLUE</t>
  </si>
  <si>
    <t>45RB</t>
  </si>
  <si>
    <t>LED PERIMETER 3X7 GREEN</t>
  </si>
  <si>
    <t>45G</t>
  </si>
  <si>
    <t>LED Perimeter 3X7 Clear Lens  and Red LEDs</t>
  </si>
  <si>
    <t>45CR</t>
  </si>
  <si>
    <t>LED PERIMETER 3X7 WHITE W/ BEZEL AND GASKET</t>
  </si>
  <si>
    <t>45BZW</t>
  </si>
  <si>
    <t>LED TURN ARROW PERIMETER 3X7  AMBER W/BEZEL</t>
  </si>
  <si>
    <t>45BZTA</t>
  </si>
  <si>
    <t>LED PERIMETER 3X7RED/WHT W/BZL</t>
  </si>
  <si>
    <t>45BZRW</t>
  </si>
  <si>
    <t>LED 7X3 REVERSE LIGHT WHITE   SET TO STEADY BURN W</t>
  </si>
  <si>
    <t>45BZRV</t>
  </si>
  <si>
    <t>LED PERIMETER 3X7RED/BLU W/BZL</t>
  </si>
  <si>
    <t>45BZRB</t>
  </si>
  <si>
    <t>LED PERIMETER 3X7RED/AMB W/BZL</t>
  </si>
  <si>
    <t>45BZRA</t>
  </si>
  <si>
    <t>LED PERIMETER 3X7 RED W/ BEZELAND GASKET</t>
  </si>
  <si>
    <t>45BZR</t>
  </si>
  <si>
    <t>LED PERIMETER 3X7 GREEN W/ BEZEL AND GASKET</t>
  </si>
  <si>
    <t>45BZG</t>
  </si>
  <si>
    <t xml:space="preserve">LED PERIMETER, 3 X 7, CLEAR   LENS, RED/BLUE LED, </t>
  </si>
  <si>
    <t>45BZCRB</t>
  </si>
  <si>
    <t>LED PERIMETER, 3 X 7, CLEAR   LENS, RED LED, W/ BE</t>
  </si>
  <si>
    <t>45BZCR</t>
  </si>
  <si>
    <t>LED PERIMETER, 3 X 7, CLEAR   LENS, BLUE LED, W/ B</t>
  </si>
  <si>
    <t>45BZCB</t>
  </si>
  <si>
    <t xml:space="preserve">LED PERIMETER, 3 X 7, CLEAR   LENS, AMBER LED, W/ </t>
  </si>
  <si>
    <t>45BZCA</t>
  </si>
  <si>
    <t>LED PERIMETER 3X7 BLUE W/ BEZEL AND GASKET</t>
  </si>
  <si>
    <t>45BZB</t>
  </si>
  <si>
    <t>LED PERIMETER 3X7 AMBER W/ BEZEL AND GASKET</t>
  </si>
  <si>
    <t>45BZA</t>
  </si>
  <si>
    <t>3x7 LED SCENE LIGHT w/BEZEL</t>
  </si>
  <si>
    <t>37SCENE</t>
  </si>
  <si>
    <t>PRIZ II PER,8LED,3X7,W/BEZEL,12-24V,W</t>
  </si>
  <si>
    <t>378WBZ-75</t>
  </si>
  <si>
    <t>PRIZ II PER,8LED,3X7,12-24V,W</t>
  </si>
  <si>
    <t>378W-75</t>
  </si>
  <si>
    <t>3x7, steady burn, bezel, clear lens, REF</t>
  </si>
  <si>
    <t>378SCRBZ</t>
  </si>
  <si>
    <t>PRIZ II PER,8LED,3X7,W/BEZEL,12-24V,R</t>
  </si>
  <si>
    <t>378RBZ-75</t>
  </si>
  <si>
    <t>PRIZ II PER,8LED,3X7,12-24V,R</t>
  </si>
  <si>
    <t>378R-75</t>
  </si>
  <si>
    <t>PRIZ II PER,8LED,3X7,W/BEZEL12-24V,CR</t>
  </si>
  <si>
    <t>378CRBZ-75</t>
  </si>
  <si>
    <t>PRIZ II PER,8LED,3X7,12-24V,CR</t>
  </si>
  <si>
    <t>378CR-75</t>
  </si>
  <si>
    <t>PRIZ II PER,8LED,3X7,W/BEZEL,12-24V,CB</t>
  </si>
  <si>
    <t>378CBBZ-75</t>
  </si>
  <si>
    <t>PRIZ II PER,8LED,3X7,12-24V,CB</t>
  </si>
  <si>
    <t>378CB-75</t>
  </si>
  <si>
    <t>PRIZ II PER,8LED,3X7,W/BEZEL,12-24V,CA</t>
  </si>
  <si>
    <t>378CABZ-75</t>
  </si>
  <si>
    <t>PRIZ II PER,8LED,3X7,12-24V,CA</t>
  </si>
  <si>
    <t>378CA-75</t>
  </si>
  <si>
    <t>PRIZ II PER,8LED,3X7,W/BEZEL,12-24V,B</t>
  </si>
  <si>
    <t>378BBZ-75</t>
  </si>
  <si>
    <t>PRIZ II PER,8LED,3X7,12-24V,B</t>
  </si>
  <si>
    <t>378B-75</t>
  </si>
  <si>
    <t>PRIZ II PER,8LED,3X7,W/BEZEL,12-24V,A</t>
  </si>
  <si>
    <t>378ABZ-75</t>
  </si>
  <si>
    <t>PRIZ II PER,8LED,3X7,12-24V,A</t>
  </si>
  <si>
    <t>378A-75</t>
  </si>
  <si>
    <t>CHROME BEZEL, CHASE (3766) LGT</t>
  </si>
  <si>
    <t>3766CHBZ</t>
  </si>
  <si>
    <t>PRIZ II PER,22LED,3X7,W/BEZEL,12V,CRW</t>
  </si>
  <si>
    <t>3722CRWBZ</t>
  </si>
  <si>
    <t>PRIZ II PER,22LED,3X7,12V,CRW</t>
  </si>
  <si>
    <t>3722CRW</t>
  </si>
  <si>
    <t>PRIZ II PER,22LED,3X7,W/BEZEL,12V,CRB</t>
  </si>
  <si>
    <t>3722CRBBZ</t>
  </si>
  <si>
    <t>PRIZ II PER,22LED,3X7,12V,CRB</t>
  </si>
  <si>
    <t>3722CRB</t>
  </si>
  <si>
    <t>PRIZ II PER,22LED,3X7,W/BEZEL,12-24V,CRA</t>
  </si>
  <si>
    <t>3722CRABZ</t>
  </si>
  <si>
    <t>PRIZ II PER,22LED,3X7,W/BEZEL,12V,CBW</t>
  </si>
  <si>
    <t>3722CBWBZ</t>
  </si>
  <si>
    <t>PRIZ II PER,22LED,3X7,12V,CBW</t>
  </si>
  <si>
    <t>3722CBW</t>
  </si>
  <si>
    <t>PRIZ II PER,22LED,3X7,W/BEZEL,12V,CBA</t>
  </si>
  <si>
    <t>3722CBABZ</t>
  </si>
  <si>
    <t>PRIZ II PER,22LED,3X7,12V,CBA</t>
  </si>
  <si>
    <t>3722CBA</t>
  </si>
  <si>
    <t>PRIZ II PER,22LED,3X7,W/BEZEL,12V,CAW</t>
  </si>
  <si>
    <t>3722CAWBZ</t>
  </si>
  <si>
    <t>PRIZ II PER,22LED,3X7,12V,CAW</t>
  </si>
  <si>
    <t>3722CAW</t>
  </si>
  <si>
    <t>PRIZ II PER,12LED,3X7,W/BEZEL,12-24V,W</t>
  </si>
  <si>
    <t>3712WBZ-75</t>
  </si>
  <si>
    <t>PRIZ II PER,12LED,STDY,3X7,12V,CA</t>
  </si>
  <si>
    <t>3712SCABZ</t>
  </si>
  <si>
    <t>PRIZ II PER,12LED,3X7,W/BEZEL,12-24V,R</t>
  </si>
  <si>
    <t>3712RBZ-75</t>
  </si>
  <si>
    <t>PRIZ II PER,12LED,3X7,12-24V,R</t>
  </si>
  <si>
    <t>3712R-75</t>
  </si>
  <si>
    <t>PRIZ II PER,12LED,3X7,W/BEZEL,12-24V,CRW</t>
  </si>
  <si>
    <t>3712CRWBZ-75</t>
  </si>
  <si>
    <t>PRIZ II PER,12LED,3X7,12-24V,CRW</t>
  </si>
  <si>
    <t>3712CRW-75</t>
  </si>
  <si>
    <t>PRIZ II PER,12LED,3X7,W/BEZEL,12-24V,CR</t>
  </si>
  <si>
    <t>3712CRBZ-75</t>
  </si>
  <si>
    <t>PRIZ II PER,12LED,3X7,W/BEZEL,12-24V,CRB</t>
  </si>
  <si>
    <t>3712CRBBZ-75</t>
  </si>
  <si>
    <t>PRIZ II PER,12LED,3X7,12-24V,CRB</t>
  </si>
  <si>
    <t>3712CRB-75</t>
  </si>
  <si>
    <t>PRIZ II PER,12LED,3X7,12-24V,CR</t>
  </si>
  <si>
    <t>3712CR-75</t>
  </si>
  <si>
    <t>PRIZ II PER,12LED,3X7,W/BEZEL,12-24V,CG</t>
  </si>
  <si>
    <t>3712CGBZ-75</t>
  </si>
  <si>
    <t>PRIZ II PER,12LED,3X7,W/BEZEL,12-24V,CB</t>
  </si>
  <si>
    <t>3712CBBZ-75</t>
  </si>
  <si>
    <t>PRIZ II PER,12LED,3X7,12-24V,CB</t>
  </si>
  <si>
    <t>3712CB-75</t>
  </si>
  <si>
    <t>PRIZ II PER,12LED,3X7,W/BEZEL,12-24V,CAW</t>
  </si>
  <si>
    <t>3712CAWBZ-75</t>
  </si>
  <si>
    <t>PRIZ II PER,12LED,3X7,W/BEZEL,12-24V,CA</t>
  </si>
  <si>
    <t>3712CABZ-75</t>
  </si>
  <si>
    <t>PRIZ II PER,12LED,3X7,W/BEZEL,12-24V,B</t>
  </si>
  <si>
    <t>3712BBZ-75</t>
  </si>
  <si>
    <t>PRIZ II PER,12LED,3X7,W/BEZEL,12-24V,A</t>
  </si>
  <si>
    <t>3712ABZ-75</t>
  </si>
  <si>
    <t>PRIZ II PER,12LED,3X7,12-24V,A</t>
  </si>
  <si>
    <t>3712A-75</t>
  </si>
  <si>
    <t>square beacon pedestal mount  bracket</t>
  </si>
  <si>
    <t>SB-PDSTL-BRKT</t>
  </si>
  <si>
    <t>HIGH OUTPUT LED BEACON,RED LENS,RED L</t>
  </si>
  <si>
    <t>SB48RR</t>
  </si>
  <si>
    <t>High output LED Beacon, clear lens, red LEDs, 12-2</t>
  </si>
  <si>
    <t>SB48CR</t>
  </si>
  <si>
    <t>HIGH OUTPUT LED BEACON,CLEAR, LENS,AMB,LEDS,12-24V</t>
  </si>
  <si>
    <t>SB48CA</t>
  </si>
  <si>
    <t>High output LED Beacon, blu   lens, blu LEDs, 12-2</t>
  </si>
  <si>
    <t>SB48BB</t>
  </si>
  <si>
    <t>High output LED Beacon, Amb   lens, amb LEDs, 12-2</t>
  </si>
  <si>
    <t>SB48AA</t>
  </si>
  <si>
    <t>DS-3RD BRAKE LIGHT MOUNT,FORD,HALOGEN,WH</t>
  </si>
  <si>
    <t>EZ1001W-FH</t>
  </si>
  <si>
    <t>DS-3RD BRAKE LIGHT MOUNT,FORD,HALOGEN,BL</t>
  </si>
  <si>
    <t>EZ1001B-FH</t>
  </si>
  <si>
    <t>DS-3RD BRAKE LIGHT MOUNT,FORD,LED,WHITE</t>
  </si>
  <si>
    <t>EZ1000W-FL</t>
  </si>
  <si>
    <t>DS-3RD BRAKE LIGHT MOUNT,FORD,LED,BLACK</t>
  </si>
  <si>
    <t>EZ1000B-FL</t>
  </si>
  <si>
    <t>DUOBEAMII FRAME &amp; CLEAR LENSESASSEMBLED</t>
  </si>
  <si>
    <t>DB2SHELL</t>
  </si>
  <si>
    <t>DuoBeamII 15",4 D STACK TORUS,R/B,C LENS</t>
  </si>
  <si>
    <t>DB2-8TSSCRB</t>
  </si>
  <si>
    <t>DuoBeamII Amber Lens &amp; LED, 3-PrizmII Ref8, 1-Priz</t>
  </si>
  <si>
    <t>DB24PZ812AHPWLH</t>
  </si>
  <si>
    <t>DUOBEAM,27,10"/0.26M,3-REF8,1-REF12,AA,</t>
  </si>
  <si>
    <t>DB2-4PZ812AA-LA</t>
  </si>
  <si>
    <t>DUOBEAM II,4 PRIZM R12 A LED,C LENS,FM</t>
  </si>
  <si>
    <t>DB2-4PZ12CA</t>
  </si>
  <si>
    <t>DUOBEAM II,4 PRIZM R12 A LED,A LENS,FM</t>
  </si>
  <si>
    <t>DB2-4PZ12AA</t>
  </si>
  <si>
    <t>DUOBEAM II,4 PRIZM TRS6,BA-24V</t>
  </si>
  <si>
    <t>DB2-4MC16-BA-24V</t>
  </si>
  <si>
    <t>DUOBEAM II,4 PRIZM TRS6,CLR LENS,BL/AM</t>
  </si>
  <si>
    <t>DB2-4MC16-BA</t>
  </si>
  <si>
    <t>DUOBEAMII,TS6,REDTOP-BTM,NFPA,4R-PS</t>
  </si>
  <si>
    <t>DB2-4LTSSNFPA-RR-PS</t>
  </si>
  <si>
    <t>DUOBEAMII,TS6,REDTOP-BTM,NFPA,4R-DS</t>
  </si>
  <si>
    <t>DB2-4LTSSNFPA-RR-DS</t>
  </si>
  <si>
    <t>DUOBEAMII,TS6,CLRTOP,CLRBTM,4R-DS</t>
  </si>
  <si>
    <t>DB2-4LTSS6CRR-DS</t>
  </si>
  <si>
    <t>DUOBEAMII 15",3PRIZM R12,AMB LED,CLR LEN</t>
  </si>
  <si>
    <t>DB2-3CPZ12CA</t>
  </si>
  <si>
    <t>DUOBEAM,27,10"/0.26M,DS,C/C,PS</t>
  </si>
  <si>
    <t>DB2-2PZNFPA2-PS</t>
  </si>
  <si>
    <t>DUOBEAM,27,10"/0.26M,DS,C/C,KIT</t>
  </si>
  <si>
    <t>DB2-2PZNFPA2-KIT</t>
  </si>
  <si>
    <t>DUOBEAM,27,10"/0.26M,DS,C/C,DS</t>
  </si>
  <si>
    <t>DB2-2PZNFPA2-DS</t>
  </si>
  <si>
    <t>DUOBEAM,27,10""/0.26M,PS,R/R</t>
  </si>
  <si>
    <t>DB2-2PZNFPA1-PS</t>
  </si>
  <si>
    <t>DUOBEAM,27,10""/0.26M,DS,R/R</t>
  </si>
  <si>
    <t>DB2-2PZNFPA1-DS</t>
  </si>
  <si>
    <t>DUOBEAM,27,10""/0.26M,A/A</t>
  </si>
  <si>
    <t>DB2-2PZ1228-NYTWAY</t>
  </si>
  <si>
    <t>DUOBEAM II,PRIZM R12 A LED,C LENS,FM</t>
  </si>
  <si>
    <t>DB2-2PZ1228CA</t>
  </si>
  <si>
    <t>DUOBEAM II,PRIZM,2-12 LED AMB,2-8 LED,AM</t>
  </si>
  <si>
    <t>DB2-2PZ1228AA</t>
  </si>
  <si>
    <t>ALTERNATIVE HBT RAIL MNT W MNT PLATE,BLK</t>
  </si>
  <si>
    <t>CZ6016-B</t>
  </si>
  <si>
    <t>ALTERNATIVE HBT RAIL MOUNT,BLK</t>
  </si>
  <si>
    <t>CZ6015-B</t>
  </si>
  <si>
    <t>ACCESSORY MOUNTING BRACKET 5500 SERIES</t>
  </si>
  <si>
    <t>CZ5500BKT</t>
  </si>
  <si>
    <t>REPLACEMENT LENS-RED,ARCH BEACON</t>
  </si>
  <si>
    <t>CZ0267</t>
  </si>
  <si>
    <t>BEACON,LED,360,CLASS1,RED/BLUE</t>
  </si>
  <si>
    <t>CB7265CRB</t>
  </si>
  <si>
    <t>Reflex beacon,clear lens,red  LEDs,vacuum mount</t>
  </si>
  <si>
    <t>C5590CR-VM</t>
  </si>
  <si>
    <t>Reflex beacon,clear lens,red&amp; blue LEDs,vacuum mou</t>
  </si>
  <si>
    <t>C5590CRB-VM</t>
  </si>
  <si>
    <t>Reflex beacon,clear lens,red&amp; blue LEDs</t>
  </si>
  <si>
    <t>C5590CRB</t>
  </si>
  <si>
    <t>Reflex beacon,clear lens,blue LEDs,vacuum mount</t>
  </si>
  <si>
    <t>C5590CB-VM</t>
  </si>
  <si>
    <t>Reflex beacon,clear lens,blue LEDs</t>
  </si>
  <si>
    <t>C5590CB</t>
  </si>
  <si>
    <t>Reflex beacon,clear lens,     amber LEDs,vacuum mo</t>
  </si>
  <si>
    <t>C5590CA-VM</t>
  </si>
  <si>
    <t>Reflex beacon,clear lens, amber LEDs</t>
  </si>
  <si>
    <t>C5590CA</t>
  </si>
  <si>
    <t>Reflex beacon,amber lens,     amber LEDs,vacuum mo</t>
  </si>
  <si>
    <t>C5590AA-VM</t>
  </si>
  <si>
    <t>Reflex beacon,amber lens,     amber LEDs</t>
  </si>
  <si>
    <t>C5590AA</t>
  </si>
  <si>
    <t>reflex micro led minibar, 11" 12-24Vdc, VM, red/wh</t>
  </si>
  <si>
    <t>C5550CRW-VM</t>
  </si>
  <si>
    <t>reflex micro led minibar, 11" 12-24Vdc, PERM, red/</t>
  </si>
  <si>
    <t>C5550CRW</t>
  </si>
  <si>
    <t xml:space="preserve">micro reflex led minibar, 11",12-24Vdc, VM, Clear </t>
  </si>
  <si>
    <t>C5550CR-VM</t>
  </si>
  <si>
    <t>qeflex micro led minibar, 11" 12-24Vdc, VM, red/bl</t>
  </si>
  <si>
    <t>C5550CRB-VM</t>
  </si>
  <si>
    <t>C5550CRB</t>
  </si>
  <si>
    <t>reflex micro led minibar, 11" 12-24Vdc, VM, red/AM</t>
  </si>
  <si>
    <t>C5550CRA-VM</t>
  </si>
  <si>
    <t>C5550CRA</t>
  </si>
  <si>
    <t>micro reflex led minibar, 11",12-24Vdc, PERM, clea</t>
  </si>
  <si>
    <t>C5550CR</t>
  </si>
  <si>
    <t>reflex micro led minibar, 11" 12-24Vdc, VM, blu/wh</t>
  </si>
  <si>
    <t>C5550CBW-VM</t>
  </si>
  <si>
    <t>reflex micro led minibar, 11" 12-24Vdc, PERM, blu/</t>
  </si>
  <si>
    <t>C5550CBW</t>
  </si>
  <si>
    <t>reflex micro led minibar, 11" 12-24Vdc, VM, blu/am</t>
  </si>
  <si>
    <t>C5550CBA-VM</t>
  </si>
  <si>
    <t>C5550CBA</t>
  </si>
  <si>
    <t>reflex micro led minibar, 11" 12-24Vdc, VM, amb/wh</t>
  </si>
  <si>
    <t>C5550CAW-VM</t>
  </si>
  <si>
    <t>reflex micro led minibar, 11" 12-24Vdc, PERM, amb/</t>
  </si>
  <si>
    <t>C5550CAW</t>
  </si>
  <si>
    <t>C5550CA-VM</t>
  </si>
  <si>
    <t>REFLEX,MICRO,LED,MINIBAR, 11" 12-24VDC, VM,AMB/GRN</t>
  </si>
  <si>
    <t>C5550CAG-VM</t>
  </si>
  <si>
    <t>REFLEX,MICRO,LED,MINIBAR, 11" 12-24VDC, PERM,AMB/G</t>
  </si>
  <si>
    <t>C5550CAG</t>
  </si>
  <si>
    <t>micro reflex led minibar, 11",12-24Vdc, PERM, Clea</t>
  </si>
  <si>
    <t>C5550CA</t>
  </si>
  <si>
    <t>micro reflex led minibar, 11",12-24Vdc, VM, AMB</t>
  </si>
  <si>
    <t>C5550AA-VM</t>
  </si>
  <si>
    <t>micro reflex led minibar, 11",12-24Vdc, PERM, AMB</t>
  </si>
  <si>
    <t>C5550AA</t>
  </si>
  <si>
    <t>C3 LED MCBAR,17",12-24,VAC,CLR/RED</t>
  </si>
  <si>
    <t>C5517CR-VM</t>
  </si>
  <si>
    <t>C3 LED MCBAR,17",12-24,VAC,CLR/RED/BLU</t>
  </si>
  <si>
    <t>C5517CRB-VM</t>
  </si>
  <si>
    <t>C3 LED MICROBAR, 17", 12-24V, CLR/RED/BL</t>
  </si>
  <si>
    <t>C5517CRB</t>
  </si>
  <si>
    <t>C3 LED MICROBAR, 17", 12-24V, CLR/RED</t>
  </si>
  <si>
    <t>C5517CR</t>
  </si>
  <si>
    <t>C3 LED MCBAR,17",12-24,VAC,CLR/BLU</t>
  </si>
  <si>
    <t>C5517CB-VM</t>
  </si>
  <si>
    <t>C3 LED MICROBAR, 17", 12-24V, CLR/BLUE</t>
  </si>
  <si>
    <t>C5517CB</t>
  </si>
  <si>
    <t>C3 LED MCBAR,17",12-24,VAC,CLR/AMB</t>
  </si>
  <si>
    <t>C5517CA-VM</t>
  </si>
  <si>
    <t>C3 LED MICROBAR, 17", 12-24V, CLR/AMB</t>
  </si>
  <si>
    <t>C5517CA</t>
  </si>
  <si>
    <t>C3 LED MCBAR,17",12-24,VAC,AMB/AMB</t>
  </si>
  <si>
    <t>C5517AA-VM</t>
  </si>
  <si>
    <t>C3 LED MICROBAR, 17", 12-24V, AMB/AMB</t>
  </si>
  <si>
    <t>C5517AA</t>
  </si>
  <si>
    <t>ARCH BEACON BRANCH GUARD</t>
  </si>
  <si>
    <t>ARCH-BG</t>
  </si>
  <si>
    <t>LED BEACON,360*,12VDC,36W,STEADY BURN</t>
  </si>
  <si>
    <t>A36-WS</t>
  </si>
  <si>
    <t>LED BEACON,360*,12VDC,36R STEADY BURN</t>
  </si>
  <si>
    <t>A36-RS</t>
  </si>
  <si>
    <t>LED BEACON,360*,12VDC,36R</t>
  </si>
  <si>
    <t>A36-R</t>
  </si>
  <si>
    <t>LED BEACON,360*,12VDC,36CRW</t>
  </si>
  <si>
    <t>A36-CRW</t>
  </si>
  <si>
    <t>LED BEACON,360*,12VDC,36CRB</t>
  </si>
  <si>
    <t>A36-CRB</t>
  </si>
  <si>
    <t>LED BEACON,360*,12VDC,36CRA</t>
  </si>
  <si>
    <t>A36-CRA</t>
  </si>
  <si>
    <t>LED BEACON,360*,12VDC,36CR</t>
  </si>
  <si>
    <t>A36-CR</t>
  </si>
  <si>
    <t>LED BEACON,360*,12VDC,36CBA</t>
  </si>
  <si>
    <t>A36-CBA</t>
  </si>
  <si>
    <t>LED BEACON,360*,12VDC,36CB</t>
  </si>
  <si>
    <t>A36-CB</t>
  </si>
  <si>
    <t>LED BEACON,360*,12VDC,36CAW</t>
  </si>
  <si>
    <t>A36-CAW</t>
  </si>
  <si>
    <t>LED BEACON,360*,12VDC,36CA</t>
  </si>
  <si>
    <t>A36-CA</t>
  </si>
  <si>
    <t>LED BEACON,360*,12VDC,36B,STEADY BURN</t>
  </si>
  <si>
    <t>A36-BS</t>
  </si>
  <si>
    <t>LED BEACON,360*,12VDC,36B</t>
  </si>
  <si>
    <t>A36-B</t>
  </si>
  <si>
    <t>LED BEACON,360*,12VDC,36A,STEADY BURN</t>
  </si>
  <si>
    <t>A36-AS</t>
  </si>
  <si>
    <t>LED BEACON,360*,12VDC,36A</t>
  </si>
  <si>
    <t>A36-A</t>
  </si>
  <si>
    <t>LED BEACON,360,12VDC,18R</t>
  </si>
  <si>
    <t>A18-R</t>
  </si>
  <si>
    <t>LED BEACON,360,12VDC,18CR</t>
  </si>
  <si>
    <t>A18-CR</t>
  </si>
  <si>
    <t>LED BEACON,360,12VDC,18CA</t>
  </si>
  <si>
    <t>A18-CA</t>
  </si>
  <si>
    <t>LED BEACON,360,12VDC,18B</t>
  </si>
  <si>
    <t>A18-B</t>
  </si>
  <si>
    <t>LED BEACON,360,12VDC,18A</t>
  </si>
  <si>
    <t>A18-A</t>
  </si>
  <si>
    <t>DS-ALARM,BACK-UP,112DBA,12-36VDC,GFN</t>
  </si>
  <si>
    <t>850N</t>
  </si>
  <si>
    <t>DS-ALARM,BACK-UP,97DBA,12-48VDC</t>
  </si>
  <si>
    <t>List
(incl. tariff)</t>
  </si>
  <si>
    <t>Warranty</t>
  </si>
  <si>
    <t>Numeric Part No</t>
  </si>
  <si>
    <t>16-32573-CM</t>
  </si>
  <si>
    <t>LBR,16M,47"/1.2M,143-32573-16</t>
  </si>
  <si>
    <t>16-32579-CM</t>
  </si>
  <si>
    <t>LBR,16M,47"/1.2M,143-32579-16</t>
  </si>
  <si>
    <t>16-32582-CM</t>
  </si>
  <si>
    <t>LBR,16M,47"/1.2M,143-32582-16</t>
  </si>
  <si>
    <t>16-32585-CM</t>
  </si>
  <si>
    <t>LBR,16M,47"/1.2M,143-32585-16</t>
  </si>
  <si>
    <t>16-32587-CM</t>
  </si>
  <si>
    <t>LBR,16M,52"/1.3M,143-32587-16</t>
  </si>
  <si>
    <t>16-32588-CM</t>
  </si>
  <si>
    <t>LBR,16M,52"/1.3M,143-32588-16</t>
  </si>
  <si>
    <t>16-32589-CM</t>
  </si>
  <si>
    <t>LBR,16M,47"/1.2M,143-32589-16</t>
  </si>
  <si>
    <t>16-32599-CM</t>
  </si>
  <si>
    <t>LBR,16M,52"/1.3M,143-32599-16</t>
  </si>
  <si>
    <t>16-32602-CM</t>
  </si>
  <si>
    <t>LBR,16M,47"/1.2M,143-32602-16</t>
  </si>
  <si>
    <t>16-32605-CM</t>
  </si>
  <si>
    <t>LBR,16M,52"/1.3M,143-32605-16</t>
  </si>
  <si>
    <t>16-32606-CM</t>
  </si>
  <si>
    <t>LBR,16M,52"/1.3M,143-32606-16</t>
  </si>
  <si>
    <t>16-32613-CM</t>
  </si>
  <si>
    <t>LBR,16M,47"/1.2M,143-32613-16</t>
  </si>
  <si>
    <t>16-32614-CM</t>
  </si>
  <si>
    <t>LBR,16M,52"/1.3M,143-32614-16</t>
  </si>
  <si>
    <t>16-32615-CM</t>
  </si>
  <si>
    <t>LBR,16M,52"/1.3M,143-32615-16</t>
  </si>
  <si>
    <t>16-32616-CM</t>
  </si>
  <si>
    <t>LBR,16M,47"/1.2M,143-32616-16</t>
  </si>
  <si>
    <t>16-32625-CM</t>
  </si>
  <si>
    <t>LBR,16M,52"/1.3M,143-32625-16</t>
  </si>
  <si>
    <t>16-32635-CM</t>
  </si>
  <si>
    <t>LBR,16M,52"/1.3M,143-32635-16</t>
  </si>
  <si>
    <t>16-32639-CM</t>
  </si>
  <si>
    <t>LBR,16M,52"/1.3M,143-32639-16</t>
  </si>
  <si>
    <t>16-32642-CM</t>
  </si>
  <si>
    <t>LBR,16M,52"/1.3M,143-32642-16</t>
  </si>
  <si>
    <t>16-32645-CM</t>
  </si>
  <si>
    <t>LBR,16M,47"/1.2M,143-32645-16</t>
  </si>
  <si>
    <t>16-32646-CM</t>
  </si>
  <si>
    <t>LBR,16M,47"/1.2M,143-32646-16</t>
  </si>
  <si>
    <t>16-32653-CM</t>
  </si>
  <si>
    <t>LBR,16M,47"/1.2M,143-32653-16</t>
  </si>
  <si>
    <t>16-32662-CM</t>
  </si>
  <si>
    <t>LBR,16M,52"/1.3M,143-32662-16</t>
  </si>
  <si>
    <t>16-32667-CM</t>
  </si>
  <si>
    <t>LBR,16M,52"/1.3M,143-32667-16</t>
  </si>
  <si>
    <t>16-32669-CM</t>
  </si>
  <si>
    <t>LBR,16M,52"/1.3M,143-32669-16</t>
  </si>
  <si>
    <t>16-32672-CM</t>
  </si>
  <si>
    <t>LBR,16M,52"/1.3M,143-32672-16</t>
  </si>
  <si>
    <t>16-32673-CM</t>
  </si>
  <si>
    <t>LBR,16M,36"/0.9M,143-32673-16</t>
  </si>
  <si>
    <t>16-32687-CM</t>
  </si>
  <si>
    <t>LBR,16M,58"/1.5M,143-32687-16</t>
  </si>
  <si>
    <t>16-32689-CM</t>
  </si>
  <si>
    <t>LBR,16M,52"/1.3M,143-32689-16</t>
  </si>
  <si>
    <t>16-32690-CM</t>
  </si>
  <si>
    <t>LBR,16M,52"/1.3M,143-32690-16</t>
  </si>
  <si>
    <t>16-32692-CM</t>
  </si>
  <si>
    <t>LBR,16M,52"/1.3M,143-32692-16</t>
  </si>
  <si>
    <t>16-32701-CM</t>
  </si>
  <si>
    <t>LBR,16M,47"/1.2M,143-32701-16</t>
  </si>
  <si>
    <t>16-32707-CM</t>
  </si>
  <si>
    <t>LBR,16M,47"/1.2M,143-32707-16</t>
  </si>
  <si>
    <t>16-32713-CM</t>
  </si>
  <si>
    <t>LBR,16M,52"/1.3M,143-32713-16</t>
  </si>
  <si>
    <t>16-32714-CM</t>
  </si>
  <si>
    <t>LBR,16M,52"/1.3M,143-32714-16</t>
  </si>
  <si>
    <t>16-32726-CM</t>
  </si>
  <si>
    <t>LBR,16M,52"/1.3M,143-32726-16</t>
  </si>
  <si>
    <t>16-32728-CM</t>
  </si>
  <si>
    <t>LBR,16M,47"/1.2M,143-32728-16</t>
  </si>
  <si>
    <t>16-32729-CM</t>
  </si>
  <si>
    <t>LBR,16M,47"/1.2M,143-32729-16</t>
  </si>
  <si>
    <t>16-32737-CM</t>
  </si>
  <si>
    <t>LBR,16M,52"/1.3M,143-32737-16</t>
  </si>
  <si>
    <t>16-32740-CM</t>
  </si>
  <si>
    <t>LBR,16M,52"/1.3M,143-32740-16</t>
  </si>
  <si>
    <t>16-32745-CM</t>
  </si>
  <si>
    <t>LBR,16M,47"/1.2M,143-32745-16</t>
  </si>
  <si>
    <t>16-32746-CM</t>
  </si>
  <si>
    <t>LBR,16M,52"/1.3M,143-32746-16</t>
  </si>
  <si>
    <t>16-32748-CM</t>
  </si>
  <si>
    <t>LBR,16M,47"/1.2M,143-32748-16</t>
  </si>
  <si>
    <t>16-32749-CM</t>
  </si>
  <si>
    <t>LBR,16M,52"/1.3M,143-32749-16</t>
  </si>
  <si>
    <t>16-32750-CM</t>
  </si>
  <si>
    <t>LBR,16M,52"/1.3M,143-32750-16</t>
  </si>
  <si>
    <t>16-32751-CM</t>
  </si>
  <si>
    <t>LBR,16M,52"/1.3M,143-32751-16</t>
  </si>
  <si>
    <t>16-32752-CM</t>
  </si>
  <si>
    <t>LBR,16M,52"/1.3M,143-32752-16</t>
  </si>
  <si>
    <t>16-32753-CM</t>
  </si>
  <si>
    <t>LBR,16M,52"/1.3M,143-32753-16</t>
  </si>
  <si>
    <t>16-32780-CM</t>
  </si>
  <si>
    <t>LBR,16M,52"/1.3M,143-32780-16</t>
  </si>
  <si>
    <t>16-32802-CM</t>
  </si>
  <si>
    <t>LBR,16M,52"/1.3M,143-32802-16</t>
  </si>
  <si>
    <t>16-32836-CM</t>
  </si>
  <si>
    <t>LBR,16M,52"/1.3M,143-32836-16</t>
  </si>
  <si>
    <t>16-32840-CM</t>
  </si>
  <si>
    <t>LBR,16M,52"/1.3M,143-32840-16</t>
  </si>
  <si>
    <t>16-32842-CM</t>
  </si>
  <si>
    <t>LBR,16M,52"/1.3M,143-32842-16</t>
  </si>
  <si>
    <t>16-32844-CM</t>
  </si>
  <si>
    <t>LBR,16M,52"/1.3M,143-32844-16</t>
  </si>
  <si>
    <t>16-32847-CM</t>
  </si>
  <si>
    <t>LBR,16M,52"/1.3M,143-32847-16</t>
  </si>
  <si>
    <t>16-32852-CM</t>
  </si>
  <si>
    <t>LBR,16M,52"/1.3M,143-32852-16</t>
  </si>
  <si>
    <t>16-32853-CM</t>
  </si>
  <si>
    <t>LBR,16M,52"/1.3M,143-32853-16</t>
  </si>
  <si>
    <t>16-32867-CM</t>
  </si>
  <si>
    <t>LBR,16M,52"/1.3M,143-32867-16</t>
  </si>
  <si>
    <t>16-32881-CM</t>
  </si>
  <si>
    <t>LBR,16M,47"/1.2M,143-32881-16</t>
  </si>
  <si>
    <t>16-32882-CM</t>
  </si>
  <si>
    <t>LBR,16M,52"/1.3M,143-32882-16</t>
  </si>
  <si>
    <t>16-32885-CM</t>
  </si>
  <si>
    <t>LBR,16M,47"/1.2M,143-32885-16</t>
  </si>
  <si>
    <t>16-32913-CM</t>
  </si>
  <si>
    <t>LBR,16M,52"/1.3M,143-32913-16</t>
  </si>
  <si>
    <t>16-32917-CM</t>
  </si>
  <si>
    <t>LBR,16M,58"/1.5M,143-32917-16</t>
  </si>
  <si>
    <t>16-32918-CM</t>
  </si>
  <si>
    <t>LBR,16M,58"/1.5M,143-32918-16</t>
  </si>
  <si>
    <t>16-32919-CM</t>
  </si>
  <si>
    <t>LBR,16M,47"/1.2M,143-32919-16</t>
  </si>
  <si>
    <t>16-32920-CM</t>
  </si>
  <si>
    <t>LBR,16M,52"/1.3M,143-32920-16</t>
  </si>
  <si>
    <t>16-32921-CM</t>
  </si>
  <si>
    <t>LBR,16M,58"/1.5M,143-32921-16</t>
  </si>
  <si>
    <t>16-32922-CM</t>
  </si>
  <si>
    <t>LBR,16M,52"/1.3M,143-32922-16</t>
  </si>
  <si>
    <t>16-32924-CM</t>
  </si>
  <si>
    <t>LBR,16M,58"/1.5M,143-32924-16</t>
  </si>
  <si>
    <t>16-32928-CM</t>
  </si>
  <si>
    <t>LBR,16M,47"/1.2M,143-32928-16</t>
  </si>
  <si>
    <t>16-32930-CM</t>
  </si>
  <si>
    <t>LBR,16M,47"/1.2M,143-32930-16</t>
  </si>
  <si>
    <t>16-32937-CM</t>
  </si>
  <si>
    <t>LBR,16M,52"/1.3M,143-32937-16</t>
  </si>
  <si>
    <t>16-32940-CM</t>
  </si>
  <si>
    <t>LBR,16M,52"/1.3M,143-32940-16</t>
  </si>
  <si>
    <t>16-32948-CM</t>
  </si>
  <si>
    <t>LBR,16M,47"/1.2M,143-32948-16</t>
  </si>
  <si>
    <t>16-32953-CM</t>
  </si>
  <si>
    <t>LBR,16M,52"/1.3M,143-32953-16</t>
  </si>
  <si>
    <t>16-32959-CM</t>
  </si>
  <si>
    <t>LBR,16M,52"/1.3M,143-32959-16</t>
  </si>
  <si>
    <t>16-32961-CM</t>
  </si>
  <si>
    <t>LBR,16M,52"/1.3M,143-32961-16</t>
  </si>
  <si>
    <t>16-32965-CM</t>
  </si>
  <si>
    <t>LBR,16M,52"/1.3M,143-32965-16</t>
  </si>
  <si>
    <t>16-32970-CM</t>
  </si>
  <si>
    <t>LBR,16M,52"/1.3M,143-32970-16</t>
  </si>
  <si>
    <t>16-32981-CM</t>
  </si>
  <si>
    <t>LBR,16M,47"/1.2M,143-32981-16</t>
  </si>
  <si>
    <t>16-32996-CM</t>
  </si>
  <si>
    <t>LBR,16M,52"/1.3M,143-32996-16</t>
  </si>
  <si>
    <t>16-33003-CM</t>
  </si>
  <si>
    <t>LBR,16M,52"/1.3M,143-33003-16</t>
  </si>
  <si>
    <t>16-33004-CM</t>
  </si>
  <si>
    <t>LBR,16M,52"/1.3M,143-33004-16</t>
  </si>
  <si>
    <t>16-33013-CM</t>
  </si>
  <si>
    <t>LBR,16M,52"/1.3M,143-33013-16</t>
  </si>
  <si>
    <t>16-33015-CM</t>
  </si>
  <si>
    <t>LBR,16M,47"/1.2M,143-33015-16</t>
  </si>
  <si>
    <t>16-33016-CM</t>
  </si>
  <si>
    <t>LBR,16M,52"/1.3M,143-33016-16</t>
  </si>
  <si>
    <t>16-33021-CM</t>
  </si>
  <si>
    <t>LBR,16M,52"/1.3M,143-33021-16</t>
  </si>
  <si>
    <t>16-33028-CM</t>
  </si>
  <si>
    <t>LBR,16M,52"/1.3M,143-33028-16</t>
  </si>
  <si>
    <t>16-33031-CM</t>
  </si>
  <si>
    <t>LBR,16M,52"/1.3M,143-33031-16</t>
  </si>
  <si>
    <t>16-33052-CM</t>
  </si>
  <si>
    <t>LBR,16M,52"/1.3M,143-33052-16</t>
  </si>
  <si>
    <t>16-33062-CM</t>
  </si>
  <si>
    <t>LBR,16M,52"/1.3M,143-33062-16</t>
  </si>
  <si>
    <t>16-33066-CM</t>
  </si>
  <si>
    <t>LBR,16M,52"/1.3M,143-33066-16</t>
  </si>
  <si>
    <t>16-33070-CM</t>
  </si>
  <si>
    <t>LBR,16M,47"/1.2M,143-33070-16</t>
  </si>
  <si>
    <t>16-33074-CM</t>
  </si>
  <si>
    <t>LBR,16M,52"/1.3M,143-33074-16</t>
  </si>
  <si>
    <t>16-33079-CM</t>
  </si>
  <si>
    <t>LBR,16M,52"/1.3M,143-33079-16</t>
  </si>
  <si>
    <t>16-33095-CM</t>
  </si>
  <si>
    <t>LBR,16M,52"/1.3M,143-33095-16</t>
  </si>
  <si>
    <t>16-33114-CM</t>
  </si>
  <si>
    <t>LBR,16M,52"/1.3M,143-33114-16</t>
  </si>
  <si>
    <t>16-33137-CM</t>
  </si>
  <si>
    <t>LBR,16M,52"/1.3M,143-33137-16</t>
  </si>
  <si>
    <t>16-33142-CM</t>
  </si>
  <si>
    <t>LBR,16M,52"/1.3M,143-33142-16</t>
  </si>
  <si>
    <t>16-33156-CM</t>
  </si>
  <si>
    <t>LBR,16M,52"/1.3M,143-33156-16</t>
  </si>
  <si>
    <t>16-33165-CM</t>
  </si>
  <si>
    <t>LBR,16M,52"/1.3M,143-33165-16</t>
  </si>
  <si>
    <t>16-33166-CM</t>
  </si>
  <si>
    <t>LBR,16M,52"/1.3M,143-33166-16</t>
  </si>
  <si>
    <t>16-33169-CM</t>
  </si>
  <si>
    <t>LBR,16M,52"/1.3M,143-33169-16</t>
  </si>
  <si>
    <t>16-33170-CM</t>
  </si>
  <si>
    <t>LBR,16M,47"/1.2M,143-33170-16</t>
  </si>
  <si>
    <t>16-33175-CM</t>
  </si>
  <si>
    <t>LBR,16M,52"/1.3M,143-33175-16</t>
  </si>
  <si>
    <t>16-33180-CM</t>
  </si>
  <si>
    <t>LBR,16M,52"/1.3M,143-33180-16</t>
  </si>
  <si>
    <t>16-33194-CM</t>
  </si>
  <si>
    <t>LBR,16M,47"/1.2M,143-33194-16</t>
  </si>
  <si>
    <t>16-33219-CM</t>
  </si>
  <si>
    <t>LBR,16M,52"/1.3M,143-33219-16</t>
  </si>
  <si>
    <t>16-33226-CM</t>
  </si>
  <si>
    <t>LBR,16M,47"/1.2M,143-33226-16</t>
  </si>
  <si>
    <t>16-33233-CM</t>
  </si>
  <si>
    <t>LBR,16M,47"/1.2M,143-33233-16</t>
  </si>
  <si>
    <t>16-33239-CM</t>
  </si>
  <si>
    <t>LBR,16M,52"/1.3M,143-33239-16</t>
  </si>
  <si>
    <t>16-33242-CM</t>
  </si>
  <si>
    <t>LBR,16M,58"/1.5M,143-33242-16</t>
  </si>
  <si>
    <t>16-33252-CM</t>
  </si>
  <si>
    <t>LBR,16M,47"/1.2M,143-33252-16</t>
  </si>
  <si>
    <t>16-33254-CM</t>
  </si>
  <si>
    <t>LBR,16M,47"/1.2M,143-33254-16</t>
  </si>
  <si>
    <t>16-33264-CM</t>
  </si>
  <si>
    <t>LBR,16M,52"/1.3M,143-33264-16</t>
  </si>
  <si>
    <t>16-33265-C</t>
  </si>
  <si>
    <t>LBR,16CC,47"/1.2M,143-33265-16</t>
  </si>
  <si>
    <t>16-33269-CM</t>
  </si>
  <si>
    <t>LBR,16M,52"/1.3M,143-33269-16</t>
  </si>
  <si>
    <t>16-33272-C</t>
  </si>
  <si>
    <t>LBR,16CC,52"/1.3M,143-33272-16</t>
  </si>
  <si>
    <t>16-33275-C</t>
  </si>
  <si>
    <t>LBR,16CC,47"/1.2M,143-33275-16</t>
  </si>
  <si>
    <t>16-33279-C</t>
  </si>
  <si>
    <t>LBR,16CC,47"/1.2M,143-33279-16</t>
  </si>
  <si>
    <t>16-33286-C</t>
  </si>
  <si>
    <t>LBR,16CC,47"/1.2M,143-33286-16</t>
  </si>
  <si>
    <t>16-33292-CM</t>
  </si>
  <si>
    <t>LBR,16M,52"/1.3M,143-33292-16</t>
  </si>
  <si>
    <t>16-33294-CM</t>
  </si>
  <si>
    <t>LBR,16M,52"/1.3M,143-33294-16</t>
  </si>
  <si>
    <t>16-33295-C</t>
  </si>
  <si>
    <t>LBR,16CC,52"/1.3M,143-33295-16</t>
  </si>
  <si>
    <t>16-33298-C</t>
  </si>
  <si>
    <t>LBR,16CC,47"/1.2M,143-33298-16</t>
  </si>
  <si>
    <t>16-33300-CM</t>
  </si>
  <si>
    <t>LBR,16M,52"/1.3M,143-33300-16</t>
  </si>
  <si>
    <t>16-33301-C</t>
  </si>
  <si>
    <t>LBR,16CC,52"/1.3M,143-33301-16</t>
  </si>
  <si>
    <t>16-33302-C</t>
  </si>
  <si>
    <t>LBR,16CC,52"/1.3M,143-33302-16</t>
  </si>
  <si>
    <t>16-33304-C</t>
  </si>
  <si>
    <t>LBR,16CC,22"/0.6M,143-33304-16</t>
  </si>
  <si>
    <t>16-33306-C</t>
  </si>
  <si>
    <t>LBR,16CC,52"/1.3M,143-33306-16</t>
  </si>
  <si>
    <t>16-33311-C</t>
  </si>
  <si>
    <t>LBR,16CC,52"/1.3M,143-33311-16</t>
  </si>
  <si>
    <t>16-33313-C</t>
  </si>
  <si>
    <t>LBR,16CC,52"/1.3M,143-33313-16</t>
  </si>
  <si>
    <t>16-33315-CM</t>
  </si>
  <si>
    <t>LBR,16M,52"/1.3M,143-33315-16</t>
  </si>
  <si>
    <t>16-33317-C</t>
  </si>
  <si>
    <t>LBR,16CC,47"/1.2M,143-33317-16</t>
  </si>
  <si>
    <t>16-33318-CM</t>
  </si>
  <si>
    <t>LBR,16M,52"/1.3M,143-33318-16</t>
  </si>
  <si>
    <t>16-33319-C</t>
  </si>
  <si>
    <t>LBR,16CC,47"/1.2M,143-33319-16</t>
  </si>
  <si>
    <t>16-33320-C</t>
  </si>
  <si>
    <t>LBR,16CC,69"/1.8M,143-33320-16</t>
  </si>
  <si>
    <t>16-33321-C</t>
  </si>
  <si>
    <t>LBR,16CC,36"/0.9M,143-33321-16</t>
  </si>
  <si>
    <t>16-33322-C</t>
  </si>
  <si>
    <t>LBR,16CC,36"/0.9M,143-33322-16</t>
  </si>
  <si>
    <t>16-33323-CM</t>
  </si>
  <si>
    <t>LBR,16M,52"/1.3M,143-33323-16</t>
  </si>
  <si>
    <t>16-33324-C</t>
  </si>
  <si>
    <t>LBR,16CC,47"/1.2M,143-33324-16</t>
  </si>
  <si>
    <t>16-33325-CM</t>
  </si>
  <si>
    <t>LBR,16M,58"/1.5M,143-33325-16</t>
  </si>
  <si>
    <t>16-33327-C</t>
  </si>
  <si>
    <t>LBR,16CC,52"/1.3M,143-33327-16</t>
  </si>
  <si>
    <t>16-33330-C</t>
  </si>
  <si>
    <t>LBR,16CC,47"/1.2M,143-33330-16</t>
  </si>
  <si>
    <t>16-33332-CM</t>
  </si>
  <si>
    <t>LBR,16M,52"/1.3M,143-33332-16</t>
  </si>
  <si>
    <t>16-33336-C</t>
  </si>
  <si>
    <t>LBR,16CC,52"/1.3M,143-33336-16</t>
  </si>
  <si>
    <t>16-33339-C</t>
  </si>
  <si>
    <t>LBR,16CC,52"/1.3M,143-33339-16</t>
  </si>
  <si>
    <t>16-33340-C</t>
  </si>
  <si>
    <t>LBR,16CC,52"/1.3M,143-33340-16</t>
  </si>
  <si>
    <t>16-33341-C</t>
  </si>
  <si>
    <t>LBR,16CC,22"/0.6M,143-33341-16</t>
  </si>
  <si>
    <t>16-33342-C</t>
  </si>
  <si>
    <t>LBR,16CC,52"/1.3M,143-33342-16</t>
  </si>
  <si>
    <t>16-33346-C</t>
  </si>
  <si>
    <t>LBR,16CC,52"/1.3M,143-33346-16</t>
  </si>
  <si>
    <t>16-33353-CM</t>
  </si>
  <si>
    <t>LBR,16M,47"/1.2M,143-33353-16</t>
  </si>
  <si>
    <t>16-33358-C</t>
  </si>
  <si>
    <t>LBR,16CC,47"/1.2M,143-33358-16</t>
  </si>
  <si>
    <t>16-33360-C</t>
  </si>
  <si>
    <t>LBR,16CC,52"/1.3M,143-33360-16</t>
  </si>
  <si>
    <t>16-33363-C</t>
  </si>
  <si>
    <t>LBR,16CC,52"/1.3M,143-33363-16</t>
  </si>
  <si>
    <t>16-33365-C</t>
  </si>
  <si>
    <t>LBR,16CC,58"/1.5M,143-33365-16</t>
  </si>
  <si>
    <t>16-33368-C</t>
  </si>
  <si>
    <t>LBR,16CC,52"/1.3M,143-33368-16</t>
  </si>
  <si>
    <t>16-33369-C</t>
  </si>
  <si>
    <t>LBR,16CC,58"/1.5M,143-33369-16</t>
  </si>
  <si>
    <t>16-33373-C</t>
  </si>
  <si>
    <t>LBR,16CC,52"/1.3M,143-33373-16</t>
  </si>
  <si>
    <t>16-33380-C</t>
  </si>
  <si>
    <t>LBR,16CC,22"/0.6M,143-33380-16</t>
  </si>
  <si>
    <t>16-33381-C</t>
  </si>
  <si>
    <t>LBR,16CC,22"/0.6M,143-33381-16</t>
  </si>
  <si>
    <t>16-33383-C</t>
  </si>
  <si>
    <t>LBR,16CC,52"/1.3M,143-33383-16</t>
  </si>
  <si>
    <t>16-33384-C</t>
  </si>
  <si>
    <t>LBR,16CC,52"/1.3M,143-33384-16</t>
  </si>
  <si>
    <t>16-33385-CM</t>
  </si>
  <si>
    <t>LBR,16M,52"/1.3M,143-33385-16</t>
  </si>
  <si>
    <t>16-33386-C</t>
  </si>
  <si>
    <t>LBR,16CC,80"/2M,143-33386-16</t>
  </si>
  <si>
    <t>16-33387-C</t>
  </si>
  <si>
    <t>LBR,16CC,52"/1.3M,143-33387-16</t>
  </si>
  <si>
    <t>16-33392-C</t>
  </si>
  <si>
    <t>LBR,16CC,52"/1.3M,143-33392-16</t>
  </si>
  <si>
    <t>16-33397-C</t>
  </si>
  <si>
    <t>LBR,16CC,47"/1.2M,143-33397-16</t>
  </si>
  <si>
    <t>16-33399-C</t>
  </si>
  <si>
    <t>LBR,16CC,47"/1.2M,143-33399-16</t>
  </si>
  <si>
    <t>16-33403-CM</t>
  </si>
  <si>
    <t>LBR,16M,47"/1.2M,143-33403-16</t>
  </si>
  <si>
    <t>16-33405-CM</t>
  </si>
  <si>
    <t>LBR,16M,47"/1.2M,143-33405-16</t>
  </si>
  <si>
    <t>16-33406-CM</t>
  </si>
  <si>
    <t>LBR,16M,47"/1.2M,143-33406-16</t>
  </si>
  <si>
    <t>16-33411-C</t>
  </si>
  <si>
    <t>LBR,16CC,52"/1.3M,143-33411-16</t>
  </si>
  <si>
    <t>16-33412-C</t>
  </si>
  <si>
    <t>LBR,16CC,52"/1.3M,143-33412-16</t>
  </si>
  <si>
    <t>16-33413-C</t>
  </si>
  <si>
    <t>LBR,16CC,47"/1.2M,143-33413-16</t>
  </si>
  <si>
    <t>16-33415-C</t>
  </si>
  <si>
    <t>LBR,16CC,52"/1.3M,143-33415-16</t>
  </si>
  <si>
    <t>16-33416-C</t>
  </si>
  <si>
    <t>LBR,16CC,22"/0.6M,143-33416-16</t>
  </si>
  <si>
    <t>16-33424-C</t>
  </si>
  <si>
    <t>LBR,16CC,47"/1.2M,143-33424-16</t>
  </si>
  <si>
    <t>16-33425-C</t>
  </si>
  <si>
    <t>LBR,16CC,52"/1.3M,143-33425-16</t>
  </si>
  <si>
    <t>16-33428-C</t>
  </si>
  <si>
    <t>LBR,16CC,52"/1.3M,143-33428-16</t>
  </si>
  <si>
    <t>16-33432-C</t>
  </si>
  <si>
    <t>LBR,16CC,47"/1.2M,143-33432-16</t>
  </si>
  <si>
    <t>16-33435-C</t>
  </si>
  <si>
    <t>LBR,16CC,52"/1.3M,143-33435-16</t>
  </si>
  <si>
    <t>16-33436-C</t>
  </si>
  <si>
    <t>LBR,16CC,58"/1.5M,143-33436-16</t>
  </si>
  <si>
    <t>16-33437-C</t>
  </si>
  <si>
    <t>LBR,16CC,52"/1.3M,143-33437-16</t>
  </si>
  <si>
    <t>16-33438-C</t>
  </si>
  <si>
    <t>LBR,16CC,52"/1.3M,143-33438-16</t>
  </si>
  <si>
    <t>16-33439-C</t>
  </si>
  <si>
    <t>LBR,16CC,47"/1.2M,143-33439-16</t>
  </si>
  <si>
    <t>16-33443-C</t>
  </si>
  <si>
    <t>LBR,16CC,47"/1.2M,143-33443-16</t>
  </si>
  <si>
    <t>16-33444-C</t>
  </si>
  <si>
    <t>LBR,16CC,58"/1.5M,143-33444-16</t>
  </si>
  <si>
    <t>16-33447-CM</t>
  </si>
  <si>
    <t>LBR,16M,52"/1.3M,143-33447-16</t>
  </si>
  <si>
    <t>16-33448-C</t>
  </si>
  <si>
    <t>LBR,16CC,52"/1.3M,143-33448-16</t>
  </si>
  <si>
    <t>16-33449-C</t>
  </si>
  <si>
    <t>LBR,16CC,52"/1.3M,143-33449-16</t>
  </si>
  <si>
    <t>16-33450-C</t>
  </si>
  <si>
    <t>LBR,16CC,52"/1.3M,143-33450-16</t>
  </si>
  <si>
    <t>16-33454-C</t>
  </si>
  <si>
    <t>LBR,16CC,47"/1.2M,143-33454-16</t>
  </si>
  <si>
    <t>16-33460-C</t>
  </si>
  <si>
    <t>LBR,16CC,52"/1.3M,143-33460-16</t>
  </si>
  <si>
    <t>16-33462-CM</t>
  </si>
  <si>
    <t>LBR,16M,52"/1.3M,143-33462-16</t>
  </si>
  <si>
    <t>16-33464-C</t>
  </si>
  <si>
    <t>LBR,16CC,36"/0.9M,143-33464-16</t>
  </si>
  <si>
    <t>16-33466-C</t>
  </si>
  <si>
    <t>LBR,16CC,36"/0.9M,143-33466-16</t>
  </si>
  <si>
    <t>16-33467-C</t>
  </si>
  <si>
    <t>LBR,16CC,36"/0.9M,143-33467-16</t>
  </si>
  <si>
    <t>16-33469-C</t>
  </si>
  <si>
    <t>LBR,16CC,58"/1.5M,143-33469-16</t>
  </si>
  <si>
    <t>16-33470-C</t>
  </si>
  <si>
    <t>LBR,16CC,47"/1.2M,143-33470-16</t>
  </si>
  <si>
    <t>16-33471-CM</t>
  </si>
  <si>
    <t>LBR,16M,36"/0.9M,143-33471-16</t>
  </si>
  <si>
    <t>16-33472-C</t>
  </si>
  <si>
    <t>LBR,16CC,47"/1.2M,143-33472-16</t>
  </si>
  <si>
    <t>16-33473-C</t>
  </si>
  <si>
    <t>LBR,16CC,47"/1.2M,143-33473-16</t>
  </si>
  <si>
    <t>16-33474-C</t>
  </si>
  <si>
    <t>LBR,16CC,58"/1.5M,143-33474-16</t>
  </si>
  <si>
    <t>16-33476-C</t>
  </si>
  <si>
    <t>LBR,16CC,47"/1.2M,143-33476-16</t>
  </si>
  <si>
    <t>16-33477-C</t>
  </si>
  <si>
    <t>LBR,16CC,47"/1.2M,143-33477-16</t>
  </si>
  <si>
    <t>16-33487-CM</t>
  </si>
  <si>
    <t>LBR,16M,47"/1.2M,143-33487-16</t>
  </si>
  <si>
    <t>16-33488-C</t>
  </si>
  <si>
    <t>LBR,16CC,52"/1.3M,143-33488-16</t>
  </si>
  <si>
    <t>16-33489-C</t>
  </si>
  <si>
    <t>LBR,16CC,58"/1.5M,143-33489-16</t>
  </si>
  <si>
    <t>16-33490-C</t>
  </si>
  <si>
    <t>LBR,16CC,22"/0.6M,143-33490-16</t>
  </si>
  <si>
    <t>16-33491-C</t>
  </si>
  <si>
    <t>LBR,16CC,58"/1.5M,143-33491-16</t>
  </si>
  <si>
    <t>16-33493-C</t>
  </si>
  <si>
    <t>LBR,16CC,47"/1.2M,143-33493-16</t>
  </si>
  <si>
    <t>16-33494-C</t>
  </si>
  <si>
    <t>LBR,16CC,52"/1.3M,143-33494-16</t>
  </si>
  <si>
    <t>16-33495-C</t>
  </si>
  <si>
    <t>LBR,16CC,47"/1.2M,143-33495-16</t>
  </si>
  <si>
    <t>16-33496-C</t>
  </si>
  <si>
    <t>LBR,16CC,47"/1.2M,143-33496-16</t>
  </si>
  <si>
    <t>16-33497-C</t>
  </si>
  <si>
    <t>LBR,16CC,47"/1.2M,143-33497-16</t>
  </si>
  <si>
    <t>16-33502-C</t>
  </si>
  <si>
    <t>LBR,16CC,22"/0.6M,143-33502-16</t>
  </si>
  <si>
    <t>16-33503-C</t>
  </si>
  <si>
    <t>LBR,16CC,47"/1.2M,143-33503-16</t>
  </si>
  <si>
    <t>16-33504-C</t>
  </si>
  <si>
    <t>LBR,16CC,52"/1.3M,143-33504-16</t>
  </si>
  <si>
    <t>16-33510-C</t>
  </si>
  <si>
    <t>LBR,16CC,22"/0.6M,143-33510-16</t>
  </si>
  <si>
    <t>16-33511-C</t>
  </si>
  <si>
    <t>LBR,16CC,58"/1.5M,143-33511-16</t>
  </si>
  <si>
    <t>16-33512-C</t>
  </si>
  <si>
    <t>LBR,16CC,69"/1.8M,143-33512-16</t>
  </si>
  <si>
    <t>16-33513-C</t>
  </si>
  <si>
    <t>LBR,16CC,22"/0.6M,143-33513-16</t>
  </si>
  <si>
    <t>16-33514-C</t>
  </si>
  <si>
    <t>LBR,16CC,69"/1.8M,143-33514-16</t>
  </si>
  <si>
    <t>16-33515-C</t>
  </si>
  <si>
    <t>LBR,16CC,52"/1.3M,143-33515-16</t>
  </si>
  <si>
    <t>16-33516-C</t>
  </si>
  <si>
    <t>LBR,16CC,69"/1.8M,143-33516-16</t>
  </si>
  <si>
    <t>16-33518-C</t>
  </si>
  <si>
    <t>LBR,16CC,52"/1.3M,143-33518-16</t>
  </si>
  <si>
    <t>16-33522-C</t>
  </si>
  <si>
    <t>LBR,16CC,52"/1.3M,143-33522-16</t>
  </si>
  <si>
    <t>16-33523-C</t>
  </si>
  <si>
    <t>LBR,16CC,52"/1.3M,143-33523-16</t>
  </si>
  <si>
    <t>16-33525-C</t>
  </si>
  <si>
    <t>LBR,16CC,58"/1.5M,143-33525-16</t>
  </si>
  <si>
    <t>16-33527-C</t>
  </si>
  <si>
    <t>LBR,16CC,52"/1.3M,143-33527-16</t>
  </si>
  <si>
    <t>16-33529-C</t>
  </si>
  <si>
    <t>LBR,16CC,52"/1.3M,143-33529-16</t>
  </si>
  <si>
    <t>16-33532-C</t>
  </si>
  <si>
    <t>LBR,16CC,52"/1.3M,143-33532-16</t>
  </si>
  <si>
    <t>16-33533-C</t>
  </si>
  <si>
    <t>LBR,16CC,47"/1.2M,143-33533-16</t>
  </si>
  <si>
    <t>16-33534-C</t>
  </si>
  <si>
    <t>LBR,16CC,47"/1.2M,143-33534-16</t>
  </si>
  <si>
    <t>16-33536-CM</t>
  </si>
  <si>
    <t>LBR,16M,80"/2M,143-33536-16</t>
  </si>
  <si>
    <t>16-33537-C</t>
  </si>
  <si>
    <t>LBR,16CC,69"/1.8M,143-33537-16</t>
  </si>
  <si>
    <t>16-33541-C</t>
  </si>
  <si>
    <t>LBR,16CC,47"/1.2M,143-33541-16</t>
  </si>
  <si>
    <t>16-33542-C</t>
  </si>
  <si>
    <t>LBR,16CC,52"/1.3M,143-33542-16</t>
  </si>
  <si>
    <t>16-33564-C</t>
  </si>
  <si>
    <t>LBR,16CC,47"/1.2M,143-33564-16</t>
  </si>
  <si>
    <t>16-33565-CM</t>
  </si>
  <si>
    <t>LBR,16M,22"/0.6M,143-33565-16</t>
  </si>
  <si>
    <t>16-33567-C</t>
  </si>
  <si>
    <t>LBR,16CC,52"/1.3M,143-33567-16</t>
  </si>
  <si>
    <t>16-33569-C</t>
  </si>
  <si>
    <t>LBR,16CC,52"/1.3M,143-33569-16</t>
  </si>
  <si>
    <t>16-33570-C</t>
  </si>
  <si>
    <t>LBR,16CC,52"/1.3M,143-33570-16</t>
  </si>
  <si>
    <t>16-33571-C</t>
  </si>
  <si>
    <t>LBR,16CC,52"/1.3M,143-33571-16</t>
  </si>
  <si>
    <t>16-33572-CM</t>
  </si>
  <si>
    <t>LBR,16M,52"/1.3M,143-33572-16</t>
  </si>
  <si>
    <t>16-33575-C</t>
  </si>
  <si>
    <t>LBR,16CC,58"/1.5M,143-33575-16</t>
  </si>
  <si>
    <t>16-33578-CM</t>
  </si>
  <si>
    <t>LBR,16M,52"/1.3M,143-33578-16</t>
  </si>
  <si>
    <t>16-33582-C</t>
  </si>
  <si>
    <t>LBR,16CC,52"/1.3M,143-33582-16</t>
  </si>
  <si>
    <t>16-33584-C</t>
  </si>
  <si>
    <t>LBR,16CC,47"/1.2M,143-33584-16</t>
  </si>
  <si>
    <t>16-33585-CM</t>
  </si>
  <si>
    <t>LBR,16M,52"/1.3M,143-33585-16</t>
  </si>
  <si>
    <t>16-33586-C</t>
  </si>
  <si>
    <t>LBR,16CC,47"/1.2M,143-33586-16</t>
  </si>
  <si>
    <t>16-33588-C</t>
  </si>
  <si>
    <t>LBR,16CC,52"/1.3M,143-33588-16</t>
  </si>
  <si>
    <t>16-33592-C</t>
  </si>
  <si>
    <t>LBR,16CC,47"/1.2M,143-33592-16</t>
  </si>
  <si>
    <t>16-33593-C</t>
  </si>
  <si>
    <t>LBR,16CC,47"/1.2M,143-33593-16</t>
  </si>
  <si>
    <t>16-33595-C</t>
  </si>
  <si>
    <t>LBR,16CC,52"/1.3M,143-33595-16</t>
  </si>
  <si>
    <t>16-33600-C</t>
  </si>
  <si>
    <t>LBR,16CC,52"/1.3M,143-33600-16</t>
  </si>
  <si>
    <t>16-33601-C</t>
  </si>
  <si>
    <t>LBR,16CC,58"/1.5M,143-33601-16</t>
  </si>
  <si>
    <t>16-33605-CM</t>
  </si>
  <si>
    <t>LBR,16M,47"/1.2M,143-33605-16</t>
  </si>
  <si>
    <t>16-33606-C</t>
  </si>
  <si>
    <t>LBR,16CC,58"/1.5M,143-33606-16</t>
  </si>
  <si>
    <t>16-33608-CM</t>
  </si>
  <si>
    <t>LBR,16M,47"/1.2M,143-33608-16</t>
  </si>
  <si>
    <t>16-33610-CM</t>
  </si>
  <si>
    <t>LBR,16M,58"/1.5M,143-33610-16</t>
  </si>
  <si>
    <t>16-33612-C</t>
  </si>
  <si>
    <t>LBR,16CC,52"/1.3M,143-33612-16</t>
  </si>
  <si>
    <t>16-33615-C</t>
  </si>
  <si>
    <t>LBR,16CC,47"/1.2M,143-33615-16</t>
  </si>
  <si>
    <t>16-33619-CM</t>
  </si>
  <si>
    <t>LBR,16M,52"/1.3M,143-33619-16</t>
  </si>
  <si>
    <t>16-33621-CM</t>
  </si>
  <si>
    <t>LBR,16M,52"/1.3M,143-33621-16</t>
  </si>
  <si>
    <t>16-33622-CM</t>
  </si>
  <si>
    <t>LBR,16M,52"/1.3M,143-33622-16</t>
  </si>
  <si>
    <t>16-33624-C</t>
  </si>
  <si>
    <t>LBR,16CC,52"/1.3M,143-33624-16</t>
  </si>
  <si>
    <t>16-33627-CM</t>
  </si>
  <si>
    <t>LBR,16M,52"/1.3M,143-33627-16</t>
  </si>
  <si>
    <t>16-33628-C</t>
  </si>
  <si>
    <t>LBR,16CC,52"/1.3M,143-33628-16</t>
  </si>
  <si>
    <t>16-33630-C</t>
  </si>
  <si>
    <t>LBR,16CC,47"/1.2M,143-33630-16</t>
  </si>
  <si>
    <t>16-33631-C</t>
  </si>
  <si>
    <t>LBR,16CC,52"/1.3M,143-33631-16</t>
  </si>
  <si>
    <t>16-33637-C</t>
  </si>
  <si>
    <t>LBR,16CC,44"/1.1M,143-33637-16</t>
  </si>
  <si>
    <t>16-33638-C</t>
  </si>
  <si>
    <t>LBR,16CC,52"/1.3M,143-33638-16</t>
  </si>
  <si>
    <t>16-33639-C</t>
  </si>
  <si>
    <t>LBR,16CC,52"/1.3M,143-33639-16</t>
  </si>
  <si>
    <t>16-33641-CM</t>
  </si>
  <si>
    <t>LBR,16M,58"/1.5M,143-33641-16</t>
  </si>
  <si>
    <t>16-33644-C</t>
  </si>
  <si>
    <t>LBR,16CC,52"/1.3M,143-33644-16</t>
  </si>
  <si>
    <t>16-33646-C</t>
  </si>
  <si>
    <t>LBR,16CC,47"/1.2M,143-33646-16</t>
  </si>
  <si>
    <t>16-33647-C</t>
  </si>
  <si>
    <t>LBR,16CC,47"/1.2M,143-33647-16</t>
  </si>
  <si>
    <t>16-33648-C</t>
  </si>
  <si>
    <t>LBR,16CC,47"/1.2M,143-33648-16</t>
  </si>
  <si>
    <t>16-33649-C</t>
  </si>
  <si>
    <t>LBR,16CC,52"/1.3M,143-33649-16</t>
  </si>
  <si>
    <t>16-33653-C</t>
  </si>
  <si>
    <t>LBR,16CC,69"/1.8M,143-33653-16</t>
  </si>
  <si>
    <t>16-33654-C</t>
  </si>
  <si>
    <t>LBR,16CC,58"/1.5M,143-33654-16</t>
  </si>
  <si>
    <t>16-33655-C</t>
  </si>
  <si>
    <t>LBR,16CC,47"/1.2M,143-33655-16</t>
  </si>
  <si>
    <t>16-33658-CM</t>
  </si>
  <si>
    <t>LBR,16M,52"/1.3M,143-33658-16</t>
  </si>
  <si>
    <t>16-33659-CM</t>
  </si>
  <si>
    <t>LBR,16M,47"/1.2M,143-33659-16</t>
  </si>
  <si>
    <t>16-33663-C</t>
  </si>
  <si>
    <t>LBR,16CC,52"/1.3M,143-33663-16</t>
  </si>
  <si>
    <t>16-33666-C</t>
  </si>
  <si>
    <t>LBR,16CC,47"/1.2M,143-33666-16</t>
  </si>
  <si>
    <t>16-33672-C</t>
  </si>
  <si>
    <t>LBR,16CC,47"/1.2M,143-33672-16</t>
  </si>
  <si>
    <t>16-33673-C</t>
  </si>
  <si>
    <t>LBR,16CC,47"/1.2M,143-33673-16</t>
  </si>
  <si>
    <t>16-33675-CM</t>
  </si>
  <si>
    <t>LBR,16M,52"/1.3M,143-33675-16</t>
  </si>
  <si>
    <t>16-33681-C</t>
  </si>
  <si>
    <t>LBR,16CC,58"/1.5M,143-33681-16</t>
  </si>
  <si>
    <t>16-33682-C</t>
  </si>
  <si>
    <t>LBR,16CC,52"/1.3M,143-33682-16</t>
  </si>
  <si>
    <t>16-33683-C</t>
  </si>
  <si>
    <t>LBR,16CC,52"/1.3M,143-33683-16</t>
  </si>
  <si>
    <t>16-33684-C</t>
  </si>
  <si>
    <t>LBR,16CC,52"/1.3M,143-33684-16</t>
  </si>
  <si>
    <t>16-33686-C</t>
  </si>
  <si>
    <t>LBR,16CC,52"/1.3M,143-33686-16</t>
  </si>
  <si>
    <t>16-33696-C</t>
  </si>
  <si>
    <t>LBR,16CC,52"/1.3M,143-33696-16</t>
  </si>
  <si>
    <t>16-33698-C</t>
  </si>
  <si>
    <t>LBR,16CC,47"/1.2M,143-33698-16</t>
  </si>
  <si>
    <t>16-33699-CM</t>
  </si>
  <si>
    <t>LBR,16M,58"/1.5M,143-33699-16</t>
  </si>
  <si>
    <t>16-33709-C</t>
  </si>
  <si>
    <t>LBR,16CC,47"/1.2M,143-33709-16</t>
  </si>
  <si>
    <t>16-33710-C</t>
  </si>
  <si>
    <t>LBR,16CC,52"/1.3M,143-33710-16</t>
  </si>
  <si>
    <t>16-33711-C</t>
  </si>
  <si>
    <t>LBR,16CC,47"/1.2M,143-33711-16</t>
  </si>
  <si>
    <t>16-33713-C</t>
  </si>
  <si>
    <t>LBR,16CC,47"/1.2M,143-33713-16</t>
  </si>
  <si>
    <t>16-33715-C</t>
  </si>
  <si>
    <t>LBR,16CC,52"/1.3M,143-33715-16</t>
  </si>
  <si>
    <t>16-33719-C</t>
  </si>
  <si>
    <t>LBR,16CC,52"/1.3M,143-33719-16</t>
  </si>
  <si>
    <t>16-33720-CM</t>
  </si>
  <si>
    <t>LBR,16M,52"/1.3M,143-33720-16</t>
  </si>
  <si>
    <t>16-33724-C</t>
  </si>
  <si>
    <t>LBR,16CC,47"/1.2M,143-33724-16</t>
  </si>
  <si>
    <t>16-33725-C</t>
  </si>
  <si>
    <t>LBR,16CC,52"/1.3M,143-33725-16</t>
  </si>
  <si>
    <t>16-33726-C</t>
  </si>
  <si>
    <t>LBR,16CC,47"/1.2M,143-33726-16</t>
  </si>
  <si>
    <t>16-33728-C</t>
  </si>
  <si>
    <t>LBR,16CC,47"/1.2M,143-33728-16</t>
  </si>
  <si>
    <t>16-33730-C</t>
  </si>
  <si>
    <t>LBR,16CC,52"/1.3M,143-33730-16</t>
  </si>
  <si>
    <t>16-33733-CM</t>
  </si>
  <si>
    <t>LBR,16M,52"/1.3M,143-33733-16</t>
  </si>
  <si>
    <t>16-33734-C</t>
  </si>
  <si>
    <t>LBR,16CC,47"/1.2M,143-33734-16</t>
  </si>
  <si>
    <t>16-33735-C</t>
  </si>
  <si>
    <t>LBR,16CC,52"/1.3M,143-33735-16</t>
  </si>
  <si>
    <t>16-33738-C</t>
  </si>
  <si>
    <t>LBR,16CC,52"/1.3M,143-33738-16</t>
  </si>
  <si>
    <t>16-33742-C</t>
  </si>
  <si>
    <t>LBR,16CC,47"/1.2M,143-33742-16</t>
  </si>
  <si>
    <t>16-33744-C</t>
  </si>
  <si>
    <t>LBR,16CC,47"/1.2M,143-33744-16</t>
  </si>
  <si>
    <t>16-33745-C</t>
  </si>
  <si>
    <t>LBR,16CC,52"/1.3M,143-33745-16</t>
  </si>
  <si>
    <t>16-33750-C</t>
  </si>
  <si>
    <t>LBR,16CC,47"/1.2M,143-33750-16</t>
  </si>
  <si>
    <t>16-33752-CM</t>
  </si>
  <si>
    <t>LBR,16M,47"/1.2M,143-33752-16</t>
  </si>
  <si>
    <t>16-33753-CM</t>
  </si>
  <si>
    <t>LBR,16M,58"/1.5M,143-33753-16</t>
  </si>
  <si>
    <t>16-33754-C</t>
  </si>
  <si>
    <t>LBR,16CC,47"/1.2M,143-33754-16</t>
  </si>
  <si>
    <t>16-33755-CM</t>
  </si>
  <si>
    <t>LBR,16M,58"/1.5M,143-33755-16</t>
  </si>
  <si>
    <t>16-33756-CM</t>
  </si>
  <si>
    <t>LBR,16M,47"/1.2M,143-33756-16</t>
  </si>
  <si>
    <t>16-33760-CM</t>
  </si>
  <si>
    <t>LBR,16M,52"/1.3M,143-33760-16</t>
  </si>
  <si>
    <t>16-33761-CM</t>
  </si>
  <si>
    <t>LBR,16M,58"/1.5M,143-33761-16</t>
  </si>
  <si>
    <t>16-33764-C</t>
  </si>
  <si>
    <t>LBR,16CC,52"/1.3M,143-33764-16</t>
  </si>
  <si>
    <t>16-33766-C</t>
  </si>
  <si>
    <t>LBR,16CC,47"/1.2M,143-33766-16</t>
  </si>
  <si>
    <t>16-33769-CM</t>
  </si>
  <si>
    <t>LBR,16M,52"/1.3M,143-33769-16</t>
  </si>
  <si>
    <t>16-33772-C</t>
  </si>
  <si>
    <t>LBR,16CC,47"/1.2M,143-33772-16</t>
  </si>
  <si>
    <t>16-33773-CM</t>
  </si>
  <si>
    <t>LBR,16M,52"/1.3M,143-33773-16</t>
  </si>
  <si>
    <t>16-33776-CM</t>
  </si>
  <si>
    <t>LBR,16M,52"/1.3M,143-33776-16</t>
  </si>
  <si>
    <t>16-33778-C</t>
  </si>
  <si>
    <t>LBR,16CC,52"/1.3M,143-33778-16</t>
  </si>
  <si>
    <t>16-33779-CM</t>
  </si>
  <si>
    <t>LBR,16M,52"/1.3M,143-33779-16</t>
  </si>
  <si>
    <t>16-33781-C</t>
  </si>
  <si>
    <t>LBR,16CC,52"/1.3M,143-33781-16</t>
  </si>
  <si>
    <t>16-33782-C</t>
  </si>
  <si>
    <t>LBR,16CC,52"/1.3M,143-33782-16</t>
  </si>
  <si>
    <t>16-33784-C</t>
  </si>
  <si>
    <t>LBR,16CC,58"/1.5M,143-33784-16</t>
  </si>
  <si>
    <t>16-33786-C</t>
  </si>
  <si>
    <t>LBR,16CC,69"/1.8M,143-33786-16</t>
  </si>
  <si>
    <t>16-33787-CM</t>
  </si>
  <si>
    <t>LBR,16M,52"/1.3M,143-33787-16</t>
  </si>
  <si>
    <t>16-33789-C</t>
  </si>
  <si>
    <t>LBR,16CC,52"/1.3M,143-33789-16</t>
  </si>
  <si>
    <t>16-33790-C</t>
  </si>
  <si>
    <t>LBR,16CC,69"/1.8M,143-33790-16</t>
  </si>
  <si>
    <t>16-33791-CM</t>
  </si>
  <si>
    <t>LBR,16M,47"/1.2M,143-33791-16</t>
  </si>
  <si>
    <t>16-33793-CM</t>
  </si>
  <si>
    <t>LBR,16M,58"/1.5M,143-33793-16</t>
  </si>
  <si>
    <t>16-33794-C</t>
  </si>
  <si>
    <t>LBR,16CC,47"/1.2M,143-33794-16</t>
  </si>
  <si>
    <t>16-33796-C</t>
  </si>
  <si>
    <t>LBR,16CC,52"/1.3M,143-33796-16</t>
  </si>
  <si>
    <t>16-33798-C</t>
  </si>
  <si>
    <t>LBR,16CC,80"/2M,143-33798-16</t>
  </si>
  <si>
    <t>16-33799-CM</t>
  </si>
  <si>
    <t>LBR,16M,52"/1.3M,143-33799-16</t>
  </si>
  <si>
    <t>16-33800-CM</t>
  </si>
  <si>
    <t>LBR,16M,22"/0.6M,143-33800-16</t>
  </si>
  <si>
    <t>16-33801-C</t>
  </si>
  <si>
    <t>LBR,16CC,47"/1.2M,143-33801-16</t>
  </si>
  <si>
    <t>16-33802-CM</t>
  </si>
  <si>
    <t>LBR,16M,52"/1.3M,143-33802-16</t>
  </si>
  <si>
    <t>16-33803-C</t>
  </si>
  <si>
    <t>LBR,16CC,58"/1.5M,143-33803-16</t>
  </si>
  <si>
    <t>16-33808-CM</t>
  </si>
  <si>
    <t>LBR,16M,58"/1.5M,143-33808-16</t>
  </si>
  <si>
    <t>16-33810-C</t>
  </si>
  <si>
    <t>LBR,16CC,58"/1.5M,143-33810-16</t>
  </si>
  <si>
    <t>16-33811-CM</t>
  </si>
  <si>
    <t>LBR,16M,52"/1.3M,143-33811-16</t>
  </si>
  <si>
    <t>16-33812-C</t>
  </si>
  <si>
    <t>LBR,16CC,52"/1.3M,143-33812-16</t>
  </si>
  <si>
    <t>16-33813-CM</t>
  </si>
  <si>
    <t>LBR,16M,52"/1.3M,143-33813-16</t>
  </si>
  <si>
    <t>16-33816-C</t>
  </si>
  <si>
    <t>LBR,16CC,52"/1.3M,143-33816-16</t>
  </si>
  <si>
    <t>16-33818-C</t>
  </si>
  <si>
    <t>LBR,16CC,47"/1.2M,143-33818-16</t>
  </si>
  <si>
    <t>16-33821-C</t>
  </si>
  <si>
    <t>LBR,16CC,36"/0.9M,143-33821-16</t>
  </si>
  <si>
    <t>16-33823-C</t>
  </si>
  <si>
    <t>LBR,16CC,52"/1.3M,143-33823-16</t>
  </si>
  <si>
    <t>16-33825-CM</t>
  </si>
  <si>
    <t>LBR,16M,47"/1.2M,143-33825-16</t>
  </si>
  <si>
    <t>16-33827-C</t>
  </si>
  <si>
    <t>LBR,16CC,58"/1.5M,143-33827-16</t>
  </si>
  <si>
    <t>16-33830-CM</t>
  </si>
  <si>
    <t>LBR,16M,69"/1.8M,143-33830-16</t>
  </si>
  <si>
    <t>16-33835-CM</t>
  </si>
  <si>
    <t>LBR,16M,47"/1.2M,143-33835-16</t>
  </si>
  <si>
    <t>16-33838-C</t>
  </si>
  <si>
    <t>LBR,16CC,47"/1.2M,143-33838-16</t>
  </si>
  <si>
    <t>16-33841-CM</t>
  </si>
  <si>
    <t>LBR,16M,47"/1.2M,143-33841-16</t>
  </si>
  <si>
    <t>16-33844-C</t>
  </si>
  <si>
    <t>LBR,16CC,52"/1.3M,143-33844-16</t>
  </si>
  <si>
    <t>16-33845-CM</t>
  </si>
  <si>
    <t>LBR,16M,52"/1.3M,143-33845-16</t>
  </si>
  <si>
    <t>16-33847-C</t>
  </si>
  <si>
    <t>LBR,16CC,52"/1.3M,143-33847-16</t>
  </si>
  <si>
    <t>16-33848-C</t>
  </si>
  <si>
    <t>LBR,16CC,58"/1.5M,143-33848-16</t>
  </si>
  <si>
    <t>16-33850-C</t>
  </si>
  <si>
    <t>LBR,16CC,52"/1.3M,143-33850-16</t>
  </si>
  <si>
    <t>16-33851-C</t>
  </si>
  <si>
    <t>LBR,16CC,52"/1.3M,143-33851-16</t>
  </si>
  <si>
    <t>16-33853-C</t>
  </si>
  <si>
    <t>LBR,16CC,52"/1.3M,143-33853-16</t>
  </si>
  <si>
    <t>16-33854-C</t>
  </si>
  <si>
    <t>LBR,16CC,47"/1.2M,143-33854-16</t>
  </si>
  <si>
    <t>16-33855-CM</t>
  </si>
  <si>
    <t>LBR,16M,52"/1.3M,143-33855-16</t>
  </si>
  <si>
    <t>16-33856-C</t>
  </si>
  <si>
    <t>LBR,16CC,52"/1.3M,143-33856-16</t>
  </si>
  <si>
    <t>16-33857-C</t>
  </si>
  <si>
    <t>LBR,16CC,22"/0.6M,143-33857-16</t>
  </si>
  <si>
    <t>16-33862-C</t>
  </si>
  <si>
    <t>LBR,16CC,47"/1.2M,143-33862-16</t>
  </si>
  <si>
    <t>16-33864-C</t>
  </si>
  <si>
    <t>LBR,16CC,36"/0.9M,143-33864-16</t>
  </si>
  <si>
    <t>16-33871-CM</t>
  </si>
  <si>
    <t>LBR,16M,47"/1.2M,143-33871-16</t>
  </si>
  <si>
    <t>16-33872-CM</t>
  </si>
  <si>
    <t>LBR,16M,52"/1.3M,143-33872-16</t>
  </si>
  <si>
    <t>16-33876-C</t>
  </si>
  <si>
    <t>LBR,16CC,47"/1.2M,143-33876-16</t>
  </si>
  <si>
    <t>16-33877-C</t>
  </si>
  <si>
    <t>LBR,16CC,58"/1.5M,143-33877-16</t>
  </si>
  <si>
    <t>16-33882-C</t>
  </si>
  <si>
    <t>LBR,16CC,52"/1.3M,143-33882-16</t>
  </si>
  <si>
    <t>16-33883-CM</t>
  </si>
  <si>
    <t>LBR,16M,52"/1.3M,143-33883-16</t>
  </si>
  <si>
    <t>16-33886-C</t>
  </si>
  <si>
    <t>LBR,16CC,47"/1.2M,143-33886-16</t>
  </si>
  <si>
    <t>16-33887-C</t>
  </si>
  <si>
    <t>LBR,16CC,47"/1.2M,143-33887-16</t>
  </si>
  <si>
    <t>16-33888-CM</t>
  </si>
  <si>
    <t>LBR,16M,52"/1.3M,143-33888-16</t>
  </si>
  <si>
    <t>16-33889-C</t>
  </si>
  <si>
    <t>LBR,16CC,47"/1.2M,143-33889-16</t>
  </si>
  <si>
    <t>16-33890-CM</t>
  </si>
  <si>
    <t>LBR,16M,52"/1.3M,143-33890-16</t>
  </si>
  <si>
    <t>16-33892-C</t>
  </si>
  <si>
    <t>LBR,16CC,58"/1.5M,143-33892-16</t>
  </si>
  <si>
    <t>16-33894-C</t>
  </si>
  <si>
    <t>LBR,16CC,58"/1.5M,143-33894-16</t>
  </si>
  <si>
    <t>16-33898-C</t>
  </si>
  <si>
    <t>LBR,16CC,52"/1.3M,143-33898-16</t>
  </si>
  <si>
    <t>16-33899-CM</t>
  </si>
  <si>
    <t>LBR,16M,52"/1.3M,143-33899-16</t>
  </si>
  <si>
    <t>16-33901-CM</t>
  </si>
  <si>
    <t>LBR,16M,58"/1.5M,143-33901-16</t>
  </si>
  <si>
    <t>16-33902-C</t>
  </si>
  <si>
    <t>LBR,16CC,58"/1.5M,143-33902-16</t>
  </si>
  <si>
    <t>16-33903-CM</t>
  </si>
  <si>
    <t>LBR,16M,52"/1.3M,143-33903-16</t>
  </si>
  <si>
    <t>16-33905-C</t>
  </si>
  <si>
    <t>LBR,16CC,58"/1.5M,143-33905-16</t>
  </si>
  <si>
    <t>16-33906-C</t>
  </si>
  <si>
    <t>LBR,16CC,52"/1.3M,143-33906-16</t>
  </si>
  <si>
    <t>16-33908-C</t>
  </si>
  <si>
    <t>LBR,16CC,52"/1.3M,143-33908-16</t>
  </si>
  <si>
    <t>16-33909-CM</t>
  </si>
  <si>
    <t>LBR,16M,47"/1.2M,143-33909-16</t>
  </si>
  <si>
    <t>16-33911-C</t>
  </si>
  <si>
    <t>LBR,16CC,47"/1.2M,143-33911-16</t>
  </si>
  <si>
    <t>16-33914-C</t>
  </si>
  <si>
    <t>LBR,16CC,52"/1.3M,143-33914-16</t>
  </si>
  <si>
    <t>16-33916-CM</t>
  </si>
  <si>
    <t>LBR,16M,52"/1.3M,143-33916-16</t>
  </si>
  <si>
    <t>16-33917-C</t>
  </si>
  <si>
    <t>LBR,16CC,47"/1.2M,143-33917-16</t>
  </si>
  <si>
    <t>16-33919-CM</t>
  </si>
  <si>
    <t>LBR,16M,47"/1.2M,143-33919-16</t>
  </si>
  <si>
    <t>16-33922-C</t>
  </si>
  <si>
    <t>LBR,16CC,52"/1.3M,143-33922-16</t>
  </si>
  <si>
    <t>16-33923-CM</t>
  </si>
  <si>
    <t>LBR,16M,52"/1.3M,143-33923-16</t>
  </si>
  <si>
    <t>16-33931-C</t>
  </si>
  <si>
    <t>LBR,16CC,52"/1.3M,143-33931-16</t>
  </si>
  <si>
    <t>16-33932-C</t>
  </si>
  <si>
    <t>LBR,16CC,52"/1.3M,143-33932-16</t>
  </si>
  <si>
    <t>16-33933-C</t>
  </si>
  <si>
    <t>LBR,16CC,52"/1.3M,143-33933-16</t>
  </si>
  <si>
    <t>16-33934-C</t>
  </si>
  <si>
    <t>LBR,16CC,47"/1.2M,143-33934-16</t>
  </si>
  <si>
    <t>16-33935-CM</t>
  </si>
  <si>
    <t>LBR,16M,52"/1.3M,143-33935-16</t>
  </si>
  <si>
    <t>16-33936-C</t>
  </si>
  <si>
    <t>LBR,16CC,52"/1.3M,143-33936-16</t>
  </si>
  <si>
    <t>16-33937-CM</t>
  </si>
  <si>
    <t>LBR,16M,47"/1.2M,143-33937-16</t>
  </si>
  <si>
    <t>16-33938-CM</t>
  </si>
  <si>
    <t>LBR,16M,47"/1.2M,143-33938-16</t>
  </si>
  <si>
    <t>16-33939-CM</t>
  </si>
  <si>
    <t>LBR,16M,69"/1.8M,143-33939-16</t>
  </si>
  <si>
    <t>16-33943-C</t>
  </si>
  <si>
    <t>LBR,16CC,80"/2M,143-33943-16</t>
  </si>
  <si>
    <t>16-33946-C</t>
  </si>
  <si>
    <t>LBR,16CC,52"/1.3M,143-33946-16</t>
  </si>
  <si>
    <t>16-33950-C</t>
  </si>
  <si>
    <t>LBR,16CC,52"/1.3M,143-33950-16</t>
  </si>
  <si>
    <t>16-33951-C</t>
  </si>
  <si>
    <t>LBR,16CC,69"/1.8M,143-33951-16</t>
  </si>
  <si>
    <t>16-33953-CM</t>
  </si>
  <si>
    <t>LBR,16M,52"/1.3M,143-33953-16</t>
  </si>
  <si>
    <t>16-33955-C</t>
  </si>
  <si>
    <t>LBR,16CC,52"/1.3M,143-33955-16</t>
  </si>
  <si>
    <t>16-33958-CM</t>
  </si>
  <si>
    <t>LBR,16M,52"/1.3M,143-33958-16</t>
  </si>
  <si>
    <t>16-33959-C</t>
  </si>
  <si>
    <t>LBR,16CC,22"/0.6M,143-33959-16</t>
  </si>
  <si>
    <t>16-33961-C</t>
  </si>
  <si>
    <t>LBR,16CC,52"/1.3M,143-33961-16</t>
  </si>
  <si>
    <t>16-33966-C</t>
  </si>
  <si>
    <t>LBR,16CC,47"/1.2M,143-33966-16</t>
  </si>
  <si>
    <t>16-33971-CM</t>
  </si>
  <si>
    <t>LBR,16M,52"/1.3M,143-33971-16</t>
  </si>
  <si>
    <t>16-33976-CM</t>
  </si>
  <si>
    <t>LBR,16M,52"/1.3M,143-33976-16</t>
  </si>
  <si>
    <t>16-33977-CM</t>
  </si>
  <si>
    <t>LBR,16M,52"/1.3M,143-33977-16</t>
  </si>
  <si>
    <t>16-33979-CM</t>
  </si>
  <si>
    <t>LBR,16M,52"/1.3M,143-33979-16</t>
  </si>
  <si>
    <t>16-33981-CM</t>
  </si>
  <si>
    <t>LBR,16M,52"/1.3M,143-33981-16</t>
  </si>
  <si>
    <t>16-33982-C</t>
  </si>
  <si>
    <t>LBR,16CC,52"/1.3M,143-33982-16</t>
  </si>
  <si>
    <t>16-33983-CM</t>
  </si>
  <si>
    <t>LBR,16M,47"/1.2M,143-33983-16</t>
  </si>
  <si>
    <t>16-33984-C</t>
  </si>
  <si>
    <t>LBR,16CC,36"/0.9M,143-33984-16</t>
  </si>
  <si>
    <t>16-33985-CM</t>
  </si>
  <si>
    <t>LBR,16M,52"/1.3M,143-33985-16</t>
  </si>
  <si>
    <t>16-33986-CM</t>
  </si>
  <si>
    <t>LBR,16M,36"/0.9M,143-33986-16</t>
  </si>
  <si>
    <t>16-33988-C</t>
  </si>
  <si>
    <t>LBR,16CC,52"/1.3M,143-33988-16</t>
  </si>
  <si>
    <t>16-33989-C</t>
  </si>
  <si>
    <t>LBR,16CC,52"/1.3M,143-33989-16</t>
  </si>
  <si>
    <t>16-33990-C</t>
  </si>
  <si>
    <t>LBR,16CC,52"/1.3M,143-33990-16</t>
  </si>
  <si>
    <t>16-33992-C</t>
  </si>
  <si>
    <t>LBR,16CC,52"/1.3M,143-33992-16</t>
  </si>
  <si>
    <t>16-33996-CM</t>
  </si>
  <si>
    <t>LBR,16M,52"/1.3M,143-33996-16</t>
  </si>
  <si>
    <t>16-33999-C</t>
  </si>
  <si>
    <t>LBR,16CC,52"/1.3M,143-33999-16</t>
  </si>
  <si>
    <t>16-34001-C</t>
  </si>
  <si>
    <t>LBR,16CC,52"/1.3M,143-34001-16</t>
  </si>
  <si>
    <t>16-34003-CM</t>
  </si>
  <si>
    <t>LBR,16M,52"/1.3M,143-34003-16</t>
  </si>
  <si>
    <t>16-34005-C</t>
  </si>
  <si>
    <t>LBR,16CC,22"/0.6M,143-34005-16</t>
  </si>
  <si>
    <t>16-34009-CM</t>
  </si>
  <si>
    <t>LBR,16M,22"/0.6M,143-34009-16</t>
  </si>
  <si>
    <t>16-34012-C</t>
  </si>
  <si>
    <t>LBR,16CC,52"/1.3M,143-34012-16</t>
  </si>
  <si>
    <t>16-34015-C</t>
  </si>
  <si>
    <t>LBR,16CC,47"/1.2M,143-34015-16</t>
  </si>
  <si>
    <t>16-34019-C</t>
  </si>
  <si>
    <t>LBR,16CC,52"/1.3M,143-34019-16</t>
  </si>
  <si>
    <t>16-34025-C</t>
  </si>
  <si>
    <t>LBR,16CC,52"/1.3M,143-34025-16</t>
  </si>
  <si>
    <t>16-34027-C</t>
  </si>
  <si>
    <t>LBR,16CC,22"/0.6M,143-34027-16</t>
  </si>
  <si>
    <t>16-34029-CM</t>
  </si>
  <si>
    <t>LBR,16M,47"/1.2M,143-34029-16</t>
  </si>
  <si>
    <t>16-34030-CM</t>
  </si>
  <si>
    <t>LBR,16M,52"/1.3M,143-34030-16</t>
  </si>
  <si>
    <t>16-34035-C</t>
  </si>
  <si>
    <t>LBR,16CC,52"/1.3M,143-34035-16</t>
  </si>
  <si>
    <t>16-34037-C</t>
  </si>
  <si>
    <t>LBR,16CC,52"/1.3M,143-34037-16</t>
  </si>
  <si>
    <t>16-34039-CM</t>
  </si>
  <si>
    <t>LBR,16M,52"/1.3M,143-34039-16</t>
  </si>
  <si>
    <t>16-34040-CM</t>
  </si>
  <si>
    <t>LBR,16M,47"/1.2M,143-34040-16</t>
  </si>
  <si>
    <t>16-34041-CM</t>
  </si>
  <si>
    <t>LBR,16M,52"/1.3M,143-34041-16</t>
  </si>
  <si>
    <t>16-34043-CM</t>
  </si>
  <si>
    <t>LBR,16M,52"/1.3M,143-34043-16</t>
  </si>
  <si>
    <t>16-34044-C</t>
  </si>
  <si>
    <t>LBR,16CC,52"/1.3M,143-34044-16</t>
  </si>
  <si>
    <t>16-34045-CM</t>
  </si>
  <si>
    <t>LBR,16M,52"/1.3M,143-34045-16</t>
  </si>
  <si>
    <t>16-34049-CM</t>
  </si>
  <si>
    <t>LBR,16M,69"/1.8M,143-34049-16</t>
  </si>
  <si>
    <t>16-34053-C</t>
  </si>
  <si>
    <t>LBR,16CC,52"/1.3M,143-34053-16</t>
  </si>
  <si>
    <t>16-34055-C</t>
  </si>
  <si>
    <t>LBR,16CC,44"/1.1M,143-34055-16</t>
  </si>
  <si>
    <t>16-34064-CM</t>
  </si>
  <si>
    <t>LBR,16M,58"/1.5M,143-34064-16</t>
  </si>
  <si>
    <t>16-34065-CM</t>
  </si>
  <si>
    <t>LBR,16M,52"/1.3M,143-34065-16</t>
  </si>
  <si>
    <t>16-34068-CM</t>
  </si>
  <si>
    <t>LBR,16M,52"/1.3M,143-34068-16</t>
  </si>
  <si>
    <t>16-34069-CM</t>
  </si>
  <si>
    <t>LBR,16M,52"/1.3M,143-34069-16</t>
  </si>
  <si>
    <t>16-34073-CM</t>
  </si>
  <si>
    <t>LBR,16M,52"/1.3M,143-34073-16</t>
  </si>
  <si>
    <t>16-34076-CM</t>
  </si>
  <si>
    <t>LBR,16M,36"/0.9M,143-34076-16</t>
  </si>
  <si>
    <t>16-34079-C</t>
  </si>
  <si>
    <t>LBR,16CC,47"/1.2M,143-34079-16</t>
  </si>
  <si>
    <t>16-34082-CM</t>
  </si>
  <si>
    <t>LBR,16M,52"/1.3M,143-34082-16</t>
  </si>
  <si>
    <t>16-34083-C</t>
  </si>
  <si>
    <t>LBR,16CC,47"/1.2M,143-34083-16</t>
  </si>
  <si>
    <t>16-34084-C</t>
  </si>
  <si>
    <t>LBR,16CC,52"/1.3M,143-34084-16</t>
  </si>
  <si>
    <t>16-34087-C</t>
  </si>
  <si>
    <t>LBR,16CC,52"/1.3M,143-34087-16</t>
  </si>
  <si>
    <t>16-34090-CM</t>
  </si>
  <si>
    <t>LBR,16M,52"/1.3M,143-34090-16</t>
  </si>
  <si>
    <t>16-34093-CM</t>
  </si>
  <si>
    <t>LBR,16M,52"/1.3M,143-34093-16</t>
  </si>
  <si>
    <t>16-34096-CM</t>
  </si>
  <si>
    <t>LBR,16M,52"/1.3M,143-34096-16</t>
  </si>
  <si>
    <t>16-34098-CM</t>
  </si>
  <si>
    <t>LBR,16M,47"/1.2M,143-34098-16</t>
  </si>
  <si>
    <t>16-34100-C</t>
  </si>
  <si>
    <t>LBR,16CC,52"/1.3M,143-34100-16</t>
  </si>
  <si>
    <t>16-34102-C</t>
  </si>
  <si>
    <t>LBR,16CC,47"/1.2M,143-34102-16</t>
  </si>
  <si>
    <t>16-34103-C</t>
  </si>
  <si>
    <t>LBR,16CC,47"/1.2M,143-34103-16</t>
  </si>
  <si>
    <t>16-34105-CM</t>
  </si>
  <si>
    <t>LBR,16M,52"/1.3M,143-34105-16</t>
  </si>
  <si>
    <t>16-34110-C</t>
  </si>
  <si>
    <t>LBR,16CC,80"/2M,143-34110-16</t>
  </si>
  <si>
    <t>16-34118-C</t>
  </si>
  <si>
    <t>LBR,16CC,52"/1.3M,143-34118-16</t>
  </si>
  <si>
    <t>16-34119-CM</t>
  </si>
  <si>
    <t>LBR,16M,52"/1.3M,143-34119-16</t>
  </si>
  <si>
    <t>16-34121-C</t>
  </si>
  <si>
    <t>LBR,16CC,47"/1.2M,143-34121-16</t>
  </si>
  <si>
    <t>16-34126-CM</t>
  </si>
  <si>
    <t>LBR,16M,52"/1.3M,143-34126-16</t>
  </si>
  <si>
    <t>16-34127-CM</t>
  </si>
  <si>
    <t>LBR,16M,52"/1.3M,143-34127-16</t>
  </si>
  <si>
    <t>16-34131-C</t>
  </si>
  <si>
    <t>LBR,16CC,44"/1.1M,143-34131-16</t>
  </si>
  <si>
    <t>16-34132-C</t>
  </si>
  <si>
    <t>LBR,16CC,52"/1.3M,143-34132-16</t>
  </si>
  <si>
    <t>16-34133-C</t>
  </si>
  <si>
    <t>LBR,16CC,52"/1.3M,143-34133-16</t>
  </si>
  <si>
    <t>16-34134-C</t>
  </si>
  <si>
    <t>LBR,16CC,52"/1.3M,143-34134-16</t>
  </si>
  <si>
    <t>16-34135-C</t>
  </si>
  <si>
    <t>LBR,16CC,58"/1.5M,143-34135-16</t>
  </si>
  <si>
    <t>16-34136-C</t>
  </si>
  <si>
    <t>LBR,16CC,58"/1.5M,143-34136-16</t>
  </si>
  <si>
    <t>16-34137-CM</t>
  </si>
  <si>
    <t>LBR,16M,52"/1.3M,143-34137-16</t>
  </si>
  <si>
    <t>16-34139-C</t>
  </si>
  <si>
    <t>LBR,16CC,47"/1.2M,143-34139-16</t>
  </si>
  <si>
    <t>16-34142-CM</t>
  </si>
  <si>
    <t>LBR,16M,52"/1.3M,143-34142-16</t>
  </si>
  <si>
    <t>16-34144-CM</t>
  </si>
  <si>
    <t>LBR,16M,47"/1.2M,143-34144-16</t>
  </si>
  <si>
    <t>16-34147-CM</t>
  </si>
  <si>
    <t>LBR,16M,52"/1.3M,143-34147-16</t>
  </si>
  <si>
    <t>16-34148-CM</t>
  </si>
  <si>
    <t>LBR,16M,58"/1.5M,143-34148-16</t>
  </si>
  <si>
    <t>16-34150-C</t>
  </si>
  <si>
    <t>LBR,16CC,47"/1.2M,143-34150-16</t>
  </si>
  <si>
    <t>16-34151-CM</t>
  </si>
  <si>
    <t>LBR,16M,36"/0.9M,143-34151-16</t>
  </si>
  <si>
    <t>16-34153-C</t>
  </si>
  <si>
    <t>LBR,16CC,58"/1.5M,143-34153-16</t>
  </si>
  <si>
    <t>16-34158-C</t>
  </si>
  <si>
    <t>LBR,16CC,52"/1.3M,143-34158-16</t>
  </si>
  <si>
    <t>16-34165-C</t>
  </si>
  <si>
    <t>LBR,16CC,52"/1.3M,143-34165-16</t>
  </si>
  <si>
    <t>16-34169-C</t>
  </si>
  <si>
    <t>LBR,16CC,22"/0.6M,143-34169-16</t>
  </si>
  <si>
    <t>16-34171-CM</t>
  </si>
  <si>
    <t>LBR,16M,52"/1.3M,143-34171-16</t>
  </si>
  <si>
    <t>16-34177-C</t>
  </si>
  <si>
    <t>LBR,16CC,52"/1.3M,143-34177-16</t>
  </si>
  <si>
    <t>16-34179-C</t>
  </si>
  <si>
    <t>LBR,16CC,52"/1.3M,143-34179-16</t>
  </si>
  <si>
    <t>16-34180-CM</t>
  </si>
  <si>
    <t>LBR,16M,52"/1.3M,143-34180-16</t>
  </si>
  <si>
    <t>16-34186-CM</t>
  </si>
  <si>
    <t>LBR,16M,44"/1.1M,143-34186-16</t>
  </si>
  <si>
    <t>16-34187-CM</t>
  </si>
  <si>
    <t>LBR,16M,80"/2M,143-34187-16</t>
  </si>
  <si>
    <t>16-34189-CM</t>
  </si>
  <si>
    <t>LBR,16M,58"/1.5M,143-34189-16</t>
  </si>
  <si>
    <t>16-34193-CM</t>
  </si>
  <si>
    <t>LBR,16M,52"/1.3M,143-34193-16</t>
  </si>
  <si>
    <t>16-34194-C</t>
  </si>
  <si>
    <t>LBR,16CC,52"/1.3M,143-34194-16</t>
  </si>
  <si>
    <t>16-34198-C</t>
  </si>
  <si>
    <t>LBR,16CC,58"/1.5M,143-34198-16</t>
  </si>
  <si>
    <t>16-34199-C</t>
  </si>
  <si>
    <t>LBR,16CC,47"/1.2M,143-34199-16</t>
  </si>
  <si>
    <t>16-34200-C</t>
  </si>
  <si>
    <t>LBR,16CC,44"/1.1M,143-34200-16</t>
  </si>
  <si>
    <t>16-34205-CM</t>
  </si>
  <si>
    <t>LBR,16M,47"/1.2M,143-34205-16</t>
  </si>
  <si>
    <t>16-34206-C</t>
  </si>
  <si>
    <t>LBR,16CC,44"/1.1M,143-34206-16</t>
  </si>
  <si>
    <t>16-34207-C</t>
  </si>
  <si>
    <t>LBR,16CC,47"/1.2M,143-34207-16</t>
  </si>
  <si>
    <t>16-34210-C</t>
  </si>
  <si>
    <t>LBR,16CC,47"/1.2M,143-34210-16</t>
  </si>
  <si>
    <t>16-34211-C</t>
  </si>
  <si>
    <t>LBR,16CC,47"/1.2M,143-34211-16</t>
  </si>
  <si>
    <t>16-34212-C</t>
  </si>
  <si>
    <t>LBR,16CC,52"/1.3M,143-34212-16</t>
  </si>
  <si>
    <t>16-34215-CM</t>
  </si>
  <si>
    <t>LBR,16M,47"/1.2M,143-34215-16</t>
  </si>
  <si>
    <t>16-34216-CM</t>
  </si>
  <si>
    <t>LBR,16M,47"/1.2M,143-34216-16</t>
  </si>
  <si>
    <t>16-34217-CM</t>
  </si>
  <si>
    <t>LBR,16M,58"/1.5M,143-34217-16</t>
  </si>
  <si>
    <t>16-34220-C</t>
  </si>
  <si>
    <t>LBR,16CC,52"/1.3M,143-34220-16</t>
  </si>
  <si>
    <t>16-34221-C</t>
  </si>
  <si>
    <t>LBR,16CC,52"/1.3M,143-34221-16</t>
  </si>
  <si>
    <t>16-34222-C</t>
  </si>
  <si>
    <t>LBR,16CC,52"/1.3M,143-34222-16</t>
  </si>
  <si>
    <t>16-34223-C</t>
  </si>
  <si>
    <t>LBR,16CC,69"/1.8M,143-34223-16</t>
  </si>
  <si>
    <t>16-34226-C</t>
  </si>
  <si>
    <t>LBR,16CC,52"/1.3M,143-34226-16</t>
  </si>
  <si>
    <t>16-34227-C</t>
  </si>
  <si>
    <t>LBR,16CC,47"/1.2M,143-34227-16</t>
  </si>
  <si>
    <t>16-34228-CM</t>
  </si>
  <si>
    <t>LBR,16M,52"/1.3M,143-34228-16</t>
  </si>
  <si>
    <t>16-34232-C</t>
  </si>
  <si>
    <t>LBR,16CC,69"/1.8M,143-34232-16</t>
  </si>
  <si>
    <t>16-34234-C</t>
  </si>
  <si>
    <t>LBR,16CC,52"/1.3M,143-34234-16</t>
  </si>
  <si>
    <t>16-34237-C</t>
  </si>
  <si>
    <t>LBR,16CC,52"/1.3M,143-34237-16</t>
  </si>
  <si>
    <t>16-34238-C</t>
  </si>
  <si>
    <t>LBR,16CC,58"/1.5M,143-34238-16</t>
  </si>
  <si>
    <t>16-34240-C</t>
  </si>
  <si>
    <t>LBR,16CC,44"/1.1M,143-34240-16</t>
  </si>
  <si>
    <t>16-34241-C</t>
  </si>
  <si>
    <t>LBR,16CC,52"/1.3M,143-34241-16</t>
  </si>
  <si>
    <t>16-34242-C</t>
  </si>
  <si>
    <t>LBR,16CC,58"/1.5M,143-34242-16</t>
  </si>
  <si>
    <t>16-34245-C</t>
  </si>
  <si>
    <t>LBR,16CC,52"/1.3M,143-34245-16</t>
  </si>
  <si>
    <t>16-34249-C</t>
  </si>
  <si>
    <t>LBR,16CC,47"/1.2M,143-34249-16</t>
  </si>
  <si>
    <t>16-34250-C</t>
  </si>
  <si>
    <t>LBR,16CC,52"/1.3M,143-34250-16</t>
  </si>
  <si>
    <t>16-34253-C</t>
  </si>
  <si>
    <t>LBR,16CC,47"/1.2M,143-34253-16</t>
  </si>
  <si>
    <t>16-34255-CM</t>
  </si>
  <si>
    <t>LBR,16M,52"/1.3M,143-34255-16</t>
  </si>
  <si>
    <t>16-34256-CM</t>
  </si>
  <si>
    <t>LBR,16M,52"/1.3M,143-34256-16</t>
  </si>
  <si>
    <t>16-34257-CM</t>
  </si>
  <si>
    <t>LBR,16M,58"/1.5M,143-34257-16</t>
  </si>
  <si>
    <t>16-34260-CM</t>
  </si>
  <si>
    <t>LBR,16M,52"/1.3M,143-34260-16</t>
  </si>
  <si>
    <t>16-34262-C</t>
  </si>
  <si>
    <t>LBR,16CC,80"/2M,143-34262-16</t>
  </si>
  <si>
    <t>16-34263-C</t>
  </si>
  <si>
    <t>LBR,16CC,52"/1.3M,143-34263-16</t>
  </si>
  <si>
    <t>16-34265-CM</t>
  </si>
  <si>
    <t>LBR,16M,22"/0.6M,143-34265-16</t>
  </si>
  <si>
    <t>16-34270-CM</t>
  </si>
  <si>
    <t>LBR,16M,47"/1.2M,143-34270-16</t>
  </si>
  <si>
    <t>16-34275-CM</t>
  </si>
  <si>
    <t>LBR,16M,47"/1.2M,143-34275-16</t>
  </si>
  <si>
    <t>16-34278-CM</t>
  </si>
  <si>
    <t>LBR,16M,52"/1.3M,143-34278-16</t>
  </si>
  <si>
    <t>16-34286-C</t>
  </si>
  <si>
    <t>LBR,16CC,69"/1.8M,143-34286-16</t>
  </si>
  <si>
    <t>16-34287-CM</t>
  </si>
  <si>
    <t>LBR,16M,52"/1.3M,143-34287-16</t>
  </si>
  <si>
    <t>16-34290-C</t>
  </si>
  <si>
    <t>LBR,16CC,52"/1.3M,143-34290-16</t>
  </si>
  <si>
    <t>16-34292-CM</t>
  </si>
  <si>
    <t>LBR,16M,58"/1.5M,143-34292-16</t>
  </si>
  <si>
    <t>16-34294-CM</t>
  </si>
  <si>
    <t>LBR,16M,52"/1.3M,143-34294-16</t>
  </si>
  <si>
    <t>16-34295-C</t>
  </si>
  <si>
    <t>LBR,16CC,47"/1.2M,143-34295-16</t>
  </si>
  <si>
    <t>16-34296-C</t>
  </si>
  <si>
    <t>LBR,16CC,52"/1.3M,143-34296-16</t>
  </si>
  <si>
    <t>16-34304-C</t>
  </si>
  <si>
    <t>LBR,16CC,36"/0.9M,143-34304-16</t>
  </si>
  <si>
    <t>16-34305-CM</t>
  </si>
  <si>
    <t>LBR,16M,52"/1.3M,143-34305-16</t>
  </si>
  <si>
    <t>16-34309-C</t>
  </si>
  <si>
    <t>LBR,16CC,47"/1.2M,143-34309-16</t>
  </si>
  <si>
    <t>16-34311-CM</t>
  </si>
  <si>
    <t>LBR,16M,52"/1.3M,143-34311-16</t>
  </si>
  <si>
    <t>16-34312-CM</t>
  </si>
  <si>
    <t>LBR,16M,52"/1.3M,143-34312-16</t>
  </si>
  <si>
    <t>16-34316-C</t>
  </si>
  <si>
    <t>LBR,16CC,47"/1.2M,143-34316-16</t>
  </si>
  <si>
    <t>16-34317-C</t>
  </si>
  <si>
    <t>LBR,16CC,52"/1.3M,143-34317-16</t>
  </si>
  <si>
    <t>16-34318-CM</t>
  </si>
  <si>
    <t>LBR,16M,52"/1.3M,143-34318-16</t>
  </si>
  <si>
    <t>16-34319-C</t>
  </si>
  <si>
    <t>LBR,16CC,58"/1.5M,143-34319-16</t>
  </si>
  <si>
    <t>16-34320-C</t>
  </si>
  <si>
    <t>LBR,16CC,52"/1.3M,143-34320-16</t>
  </si>
  <si>
    <t>16-34321-CM</t>
  </si>
  <si>
    <t>LBR,16M,52"/1.3M,143-34321-16</t>
  </si>
  <si>
    <t>16-34322-CM</t>
  </si>
  <si>
    <t>LBR,16M,52"/1.3M,143-34322-16</t>
  </si>
  <si>
    <t>16-34324-C</t>
  </si>
  <si>
    <t>LBR,16CC,58"/1.5M,143-34324-16</t>
  </si>
  <si>
    <t>16-34325-C</t>
  </si>
  <si>
    <t>LBR,16CC,52"/1.3M,143-34325-16</t>
  </si>
  <si>
    <t>16-34326-CM</t>
  </si>
  <si>
    <t>LBR,16M,52"/1.3M,143-34326-16</t>
  </si>
  <si>
    <t>16-34328-C</t>
  </si>
  <si>
    <t>LBR,16CC,47"/1.2M,143-34328-16</t>
  </si>
  <si>
    <t>16-34330-C</t>
  </si>
  <si>
    <t>LBR,16CC,47"/1.2M,143-34330-16</t>
  </si>
  <si>
    <t>16-34332-CM</t>
  </si>
  <si>
    <t>LBR,16M,47"/1.2M,143-34332-16</t>
  </si>
  <si>
    <t>16-34333-C</t>
  </si>
  <si>
    <t>LBR,16CC,58"/1.5M,143-34333-16</t>
  </si>
  <si>
    <t>16-34334-C</t>
  </si>
  <si>
    <t>LBR,16CC,80"/2M,143-34334-16</t>
  </si>
  <si>
    <t>16-34336-CM</t>
  </si>
  <si>
    <t>LBR,16M,47"/1.2M,143-34336-16</t>
  </si>
  <si>
    <t>16-34337-C</t>
  </si>
  <si>
    <t>LBR,16CC,47"/1.2M,143-34337-16</t>
  </si>
  <si>
    <t>16-34338-C</t>
  </si>
  <si>
    <t>LBR,16CC,58"/1.5M,143-34338-16</t>
  </si>
  <si>
    <t>16-34343-C</t>
  </si>
  <si>
    <t>LBR,16CC,36"/0.9M,143-34343-16</t>
  </si>
  <si>
    <t>16-34344-C</t>
  </si>
  <si>
    <t>LBR,16CC,36"/0.9M,143-34344-16</t>
  </si>
  <si>
    <t>16-34345-C</t>
  </si>
  <si>
    <t>LBR,16CC,52"/1.3M,143-34345-16</t>
  </si>
  <si>
    <t>16-34351-C</t>
  </si>
  <si>
    <t>LBR,16CC,47"/1.2M,143-34351-16</t>
  </si>
  <si>
    <t>16-34352-C</t>
  </si>
  <si>
    <t>LBR,16CC,47"/1.2M,143-34352-16</t>
  </si>
  <si>
    <t>16-34353-C</t>
  </si>
  <si>
    <t>LBR,16CC,58"/1.5M,143-34353-16</t>
  </si>
  <si>
    <t>16-34358-CM</t>
  </si>
  <si>
    <t>LBR,16M,36"/0.9M,143-34358-16</t>
  </si>
  <si>
    <t>16-34359-C</t>
  </si>
  <si>
    <t>LBR,16CC,52"/1.3M,143-34359-16</t>
  </si>
  <si>
    <t>16-34360-C</t>
  </si>
  <si>
    <t>LBR,16CC,58"/1.5M,143-34360-16</t>
  </si>
  <si>
    <t>16-34364-CM</t>
  </si>
  <si>
    <t>LBR,16M,52"/1.3M,143-34364-16</t>
  </si>
  <si>
    <t>16-34365-C</t>
  </si>
  <si>
    <t>LBR,16CC,47"/1.2M,143-34365-16</t>
  </si>
  <si>
    <t>16-34368-C</t>
  </si>
  <si>
    <t>LBR,16CC,52"/1.3M,143-34368-16</t>
  </si>
  <si>
    <t>16-34369-C</t>
  </si>
  <si>
    <t>LBR,16CC,52"/1.3M,143-34369-16</t>
  </si>
  <si>
    <t>16-34374-CM</t>
  </si>
  <si>
    <t>LBR,16M,47"/1.2M,143-34374-16</t>
  </si>
  <si>
    <t>16-34375-C</t>
  </si>
  <si>
    <t>LBR,16CC,58"/1.5M,143-34375-16</t>
  </si>
  <si>
    <t>16-34376-C</t>
  </si>
  <si>
    <t>LBR,16CC,47"/1.2M,143-34376-16</t>
  </si>
  <si>
    <t>16-34378-C</t>
  </si>
  <si>
    <t>LBR,16CC,47"/1.2M,143-34378-16</t>
  </si>
  <si>
    <t>16-34379-C</t>
  </si>
  <si>
    <t>LBR,16CC,58"/1.5M,143-34379-16</t>
  </si>
  <si>
    <t>16-34381-C</t>
  </si>
  <si>
    <t>LBR,16CC,52"/1.3M,143-34381-16</t>
  </si>
  <si>
    <t>16-34386-C</t>
  </si>
  <si>
    <t>LBR,16CC,47"/1.2M,143-34386-16</t>
  </si>
  <si>
    <t>16-34387-C</t>
  </si>
  <si>
    <t>LBR,16CC,47"/1.2M,143-34387-16</t>
  </si>
  <si>
    <t>16-34389-C</t>
  </si>
  <si>
    <t>LBR,16CC,58"/1.5M,143-34389-16</t>
  </si>
  <si>
    <t>16-34391-C</t>
  </si>
  <si>
    <t>LBR,16CC,22"/0.6M,143-34391-16</t>
  </si>
  <si>
    <t>16-34392-C</t>
  </si>
  <si>
    <t>LBR,16CC,47"/1.2M,143-34392-16</t>
  </si>
  <si>
    <t>16-34396-C</t>
  </si>
  <si>
    <t>LBR,16CC,52"/1.3M,143-34396-16</t>
  </si>
  <si>
    <t>16-34397-C</t>
  </si>
  <si>
    <t>LBR,16CC,47"/1.2M,143-34397-16</t>
  </si>
  <si>
    <t>16-34400-CM</t>
  </si>
  <si>
    <t>LBR,16M,47"/1.2M,143-34400-16</t>
  </si>
  <si>
    <t>16-34401-CM</t>
  </si>
  <si>
    <t>LBR,16M,44"/1.1M,143-34401-16</t>
  </si>
  <si>
    <t>16-34404-C</t>
  </si>
  <si>
    <t>LBR,16CC,52"/1.3M,143-34404-16</t>
  </si>
  <si>
    <t>16-34406-C</t>
  </si>
  <si>
    <t>LBR,16CC,58"/1.5M,143-34406-16</t>
  </si>
  <si>
    <t>16-34407-C</t>
  </si>
  <si>
    <t>LBR,16CC,52"/1.3M,143-34407-16</t>
  </si>
  <si>
    <t>16-34408-C</t>
  </si>
  <si>
    <t>LBR,16CC,47"/1.2M,143-34408-16</t>
  </si>
  <si>
    <t>16-34410-C</t>
  </si>
  <si>
    <t>LBR,16CC,47"/1.2M,143-34410-16</t>
  </si>
  <si>
    <t>16-34412-CM</t>
  </si>
  <si>
    <t>LBR,16M,47"/1.2M,143-34412-16</t>
  </si>
  <si>
    <t>16-34413-CM</t>
  </si>
  <si>
    <t>LBR,16M,52"/1.3M,143-34413-16</t>
  </si>
  <si>
    <t>16-34414-CM</t>
  </si>
  <si>
    <t>LBR,16M,80"/2M,143-34414-16</t>
  </si>
  <si>
    <t>16-34420-C</t>
  </si>
  <si>
    <t>LBR,16CC,52"/1.3M,143-34420-16</t>
  </si>
  <si>
    <t>16-34425-CM</t>
  </si>
  <si>
    <t>LBR,16M,47"/1.2M,143-34425-16</t>
  </si>
  <si>
    <t>16-34429-CM</t>
  </si>
  <si>
    <t>LBR,16M,69"/1.8M,143-34429-16</t>
  </si>
  <si>
    <t>16-34431-CM</t>
  </si>
  <si>
    <t>LBR,16M,52"/1.3M,143-34431-16</t>
  </si>
  <si>
    <t>16-34433-CM</t>
  </si>
  <si>
    <t>LBR,16M,52"/1.3M,143-34433-16</t>
  </si>
  <si>
    <t>16-34442-CM</t>
  </si>
  <si>
    <t>LBR,16M,52"/1.3M,143-34442-16</t>
  </si>
  <si>
    <t>16-34457-CM</t>
  </si>
  <si>
    <t>LBR,16M,52"/1.3M,143-34457-16</t>
  </si>
  <si>
    <t>16-34458-CM</t>
  </si>
  <si>
    <t>LBR,16M,47"/1.2M,143-34458-16</t>
  </si>
  <si>
    <t>16-34468-C</t>
  </si>
  <si>
    <t>LBR,16CC,52"/1.3M,143-34468-16</t>
  </si>
  <si>
    <t>16-34469-CM</t>
  </si>
  <si>
    <t>LBR,16M,52"/1.3M,143-34469-16</t>
  </si>
  <si>
    <t>16-34470-C</t>
  </si>
  <si>
    <t>LBR,16CC,22"/0.6M,143-34470-16</t>
  </si>
  <si>
    <t>16-34471-C</t>
  </si>
  <si>
    <t>LBR,16CC,22"/0.6M,143-34471-16</t>
  </si>
  <si>
    <t>16-34473-C</t>
  </si>
  <si>
    <t>LBR,16CC,52"/1.3M,143-34473-16</t>
  </si>
  <si>
    <t>16-34474-CM</t>
  </si>
  <si>
    <t>LBR,16M,36"/0.9M,143-34474-16</t>
  </si>
  <si>
    <t>16-34478-CM</t>
  </si>
  <si>
    <t>LBR,16M,58"/1.5M,143-34478-16</t>
  </si>
  <si>
    <t>16-34480-C</t>
  </si>
  <si>
    <t>LBR,16CC,47"/1.2M,143-34480-16</t>
  </si>
  <si>
    <t>16-34486-C</t>
  </si>
  <si>
    <t>LBR,16CC,52"/1.3M,143-34486-16</t>
  </si>
  <si>
    <t>16-34488-C</t>
  </si>
  <si>
    <t>LBR,16CC,36"/0.9M,143-34488-16</t>
  </si>
  <si>
    <t>16-34489-CM</t>
  </si>
  <si>
    <t>LBR,16M,52"/1.3M,143-34489-16</t>
  </si>
  <si>
    <t>16-34498-CM</t>
  </si>
  <si>
    <t>LBR,16M,52"/1.3M,143-34498-16</t>
  </si>
  <si>
    <t>16-34499-C</t>
  </si>
  <si>
    <t>LBR,16CC,36"/0.9M,143-34499-16</t>
  </si>
  <si>
    <t>16-34501-C</t>
  </si>
  <si>
    <t>LBR,16CC,58"/1.5M,143-34501-16</t>
  </si>
  <si>
    <t>16-34502-C</t>
  </si>
  <si>
    <t>LBR,16CC,44"/1.1M,143-34502-16</t>
  </si>
  <si>
    <t>16-34505-C</t>
  </si>
  <si>
    <t>LBR,16CC,44"/1.1M,143-34505-16</t>
  </si>
  <si>
    <t>16-34508-CM</t>
  </si>
  <si>
    <t>LBR,16M,52"/1.3M,143-34508-16</t>
  </si>
  <si>
    <t>16-34518-CM</t>
  </si>
  <si>
    <t>LBR,16M,52"/1.3M,143-34518-16</t>
  </si>
  <si>
    <t>16-34519-C</t>
  </si>
  <si>
    <t>LBR,16CC,69"/1.8M,143-34519-16</t>
  </si>
  <si>
    <t>16-34522-C</t>
  </si>
  <si>
    <t>LBR,16CC,22"/0.6M,143-34522-16</t>
  </si>
  <si>
    <t>16-34525-C</t>
  </si>
  <si>
    <t>LBR,16CC,47"/1.2M,143-34525-16</t>
  </si>
  <si>
    <t>16-34526-C</t>
  </si>
  <si>
    <t>LBR,16CC,47"/1.2M,143-34526-16</t>
  </si>
  <si>
    <t>16-34527-C</t>
  </si>
  <si>
    <t>LBR,16CC,36"/0.9M,143-34527-16</t>
  </si>
  <si>
    <t>16-34531-C</t>
  </si>
  <si>
    <t>LBR,16CC,47"/1.2M,143-34531-16</t>
  </si>
  <si>
    <t>16-34532-CM</t>
  </si>
  <si>
    <t>LBR,16M,52"/1.3M,143-34532-16</t>
  </si>
  <si>
    <t>16-34533-C</t>
  </si>
  <si>
    <t>LBR,16CC,47"/1.2M,143-34533-16</t>
  </si>
  <si>
    <t>16-34534-CM</t>
  </si>
  <si>
    <t>LBR,16M,47"/1.2M,143-34534-16</t>
  </si>
  <si>
    <t>16-34537-C</t>
  </si>
  <si>
    <t>LBR,16CC,80"/2M,143-34537-16</t>
  </si>
  <si>
    <t>16-34541-C</t>
  </si>
  <si>
    <t>LBR,16CC,52"/1.3M,143-34541-16</t>
  </si>
  <si>
    <t>16-34543-CM</t>
  </si>
  <si>
    <t>LBR,16M,52"/1.3M,143-34543-16</t>
  </si>
  <si>
    <t>16-34545-CM</t>
  </si>
  <si>
    <t>LBR,16M,52"/1.3M,143-34545-16</t>
  </si>
  <si>
    <t>16-34546-C</t>
  </si>
  <si>
    <t>LBR,16CC,47"/1.2M,143-34546-16</t>
  </si>
  <si>
    <t>16-34547-C</t>
  </si>
  <si>
    <t>LBR,16CC,52"/1.3M,143-34547-16</t>
  </si>
  <si>
    <t>16-34548-CM</t>
  </si>
  <si>
    <t>LBR,16M,52"/1.3M,143-34548-16</t>
  </si>
  <si>
    <t>16-34549-CM</t>
  </si>
  <si>
    <t>LBR,16M,47"/1.2M,143-34549-16</t>
  </si>
  <si>
    <t>16-34550-CM</t>
  </si>
  <si>
    <t>LBR,16M,47"/1.2M,143-34550-16</t>
  </si>
  <si>
    <t>16-34551-C</t>
  </si>
  <si>
    <t>LBR,16CC,52"/1.3M,143-34551-16</t>
  </si>
  <si>
    <t>16-34552-C</t>
  </si>
  <si>
    <t>LBR,16CC,22"/0.6M,143-34552-16</t>
  </si>
  <si>
    <t>16-34553-CM</t>
  </si>
  <si>
    <t>LBR,16M,52"/1.3M,143-34553-16</t>
  </si>
  <si>
    <t>16-34554-C</t>
  </si>
  <si>
    <t>LBR,16CC,58"/1.5M,143-34554-16</t>
  </si>
  <si>
    <t>16-34555-C</t>
  </si>
  <si>
    <t>LBR,16CC,69"/1.8M,143-34555-16</t>
  </si>
  <si>
    <t>16-34556-C</t>
  </si>
  <si>
    <t>LBR,16CC,58"/1.5M,143-34556-16</t>
  </si>
  <si>
    <t>16-34557-C</t>
  </si>
  <si>
    <t>LBR,16CC,52"/1.3M,143-34557-16</t>
  </si>
  <si>
    <t>16-34558-C</t>
  </si>
  <si>
    <t>LBR,16CC,47"/1.2M,143-34558-16</t>
  </si>
  <si>
    <t>16-34559-CM</t>
  </si>
  <si>
    <t>LBR,16M,52"/1.3M,143-34559-16</t>
  </si>
  <si>
    <t>16-34560-C</t>
  </si>
  <si>
    <t>LBR,16CC,58"/1.5M,143-34560-16</t>
  </si>
  <si>
    <t>16-34561-CM</t>
  </si>
  <si>
    <t>LBR,16M,69"/1.8M,143-34561-16</t>
  </si>
  <si>
    <t>16-34562-CM</t>
  </si>
  <si>
    <t>LBR,16M,58"/1.5M,143-34562-16</t>
  </si>
  <si>
    <t>16-34563-CM</t>
  </si>
  <si>
    <t>LBR,16M,69"/1.8M,143-34563-16</t>
  </si>
  <si>
    <t>16-34564-CM</t>
  </si>
  <si>
    <t>LBR,16M,47"/1.2M,143-34564-16</t>
  </si>
  <si>
    <t>16-34565-CM</t>
  </si>
  <si>
    <t>LBR,16M,47"/1.2M,143-34565-16</t>
  </si>
  <si>
    <t>16-34568-C</t>
  </si>
  <si>
    <t>LBR,16CC,22"/0.6M,143-34568-16</t>
  </si>
  <si>
    <t>16-34569-CM</t>
  </si>
  <si>
    <t>LBR,16M,52"/1.3M,143-34569-16</t>
  </si>
  <si>
    <t>16-34570-C</t>
  </si>
  <si>
    <t>LBR,16CC,58"/1.5M,143-34570-16</t>
  </si>
  <si>
    <t>16-34571-C</t>
  </si>
  <si>
    <t>LBR,16CC,52"/1.3M,143-34571-16</t>
  </si>
  <si>
    <t>16-34572-CM</t>
  </si>
  <si>
    <t>LBR,16M,52"/1.3M,143-34572-16</t>
  </si>
  <si>
    <t>16-34573-CM</t>
  </si>
  <si>
    <t>LBR,16M,52"/1.3M,143-34573-16</t>
  </si>
  <si>
    <t>16-34574-C</t>
  </si>
  <si>
    <t>LBR,16CC,47"/1.2M,143-34574-16</t>
  </si>
  <si>
    <t>16-34575-C</t>
  </si>
  <si>
    <t>LBR,16CC,52"/1.3M,143-34575-16</t>
  </si>
  <si>
    <t>16-34576-C</t>
  </si>
  <si>
    <t>LBR,16CC,52"/1.3M,143-34576-16</t>
  </si>
  <si>
    <t>16-34577-CM</t>
  </si>
  <si>
    <t>LBR,16M,22"/0.6M,143-34577-16</t>
  </si>
  <si>
    <t>16-34578-C</t>
  </si>
  <si>
    <t>LBR,16CC,22"/0.6M,143-34578-16</t>
  </si>
  <si>
    <t>16-34579-C</t>
  </si>
  <si>
    <t>LBR,16CC,52"/1.3M,143-34579-16</t>
  </si>
  <si>
    <t>16-34580-C</t>
  </si>
  <si>
    <t>LBR,16CC,47"/1.2M,143-34580-16</t>
  </si>
  <si>
    <t>16-34582-CM</t>
  </si>
  <si>
    <t>LBR,16M,47"/1.2M,143-34582-16</t>
  </si>
  <si>
    <t>16-34583-CM</t>
  </si>
  <si>
    <t>LBR,16M,47"/1.2M,143-34583-16</t>
  </si>
  <si>
    <t>16-34584-C</t>
  </si>
  <si>
    <t>LBR,16CC,52"/1.3M,143-34584-16</t>
  </si>
  <si>
    <t>16-34585-C</t>
  </si>
  <si>
    <t>LBR,16CC,52"/1.3M,143-34585-16</t>
  </si>
  <si>
    <t>16-34586-C</t>
  </si>
  <si>
    <t>LBR,16CC,47"/1.2M,143-34586-16</t>
  </si>
  <si>
    <t>16-34587-CM</t>
  </si>
  <si>
    <t>LBR,16M,52"/1.3M,143-34587-16</t>
  </si>
  <si>
    <t>16-34588-CM</t>
  </si>
  <si>
    <t>LBR,16M,52"/1.3M,143-34588-16</t>
  </si>
  <si>
    <t>16-34589-CM</t>
  </si>
  <si>
    <t>LBR,16M,22"/0.6M,143-34589-16</t>
  </si>
  <si>
    <t>16-34590-C</t>
  </si>
  <si>
    <t>LBR,16CC,52"/1.3M,143-34590-16</t>
  </si>
  <si>
    <t>16-34591-CM</t>
  </si>
  <si>
    <t>LBR,16M,52"/1.3M,143-34591-16</t>
  </si>
  <si>
    <t>16-34593-CM</t>
  </si>
  <si>
    <t>LBR,16M,47"/1.2M,143-34593-16</t>
  </si>
  <si>
    <t>16-34594-CM</t>
  </si>
  <si>
    <t>LBR,16M,52"/1.3M,143-34594-16</t>
  </si>
  <si>
    <t>16-34595-CM</t>
  </si>
  <si>
    <t>LBR,16M,52"/1.3M,143-34595-16</t>
  </si>
  <si>
    <t>16-34596-C</t>
  </si>
  <si>
    <t>LBR,16CC,52"/1.3M,143-34596-16</t>
  </si>
  <si>
    <t>16-34597-CM</t>
  </si>
  <si>
    <t>LBR,16M,52"/1.3M,143-34597-16</t>
  </si>
  <si>
    <t>16-34598-CM</t>
  </si>
  <si>
    <t>LBR,16M,52"/1.3M,143-34598-16</t>
  </si>
  <si>
    <t>16-34599-C</t>
  </si>
  <si>
    <t>LBR,16CC,52"/1.3M,143-34599-16</t>
  </si>
  <si>
    <t>16-34600-C</t>
  </si>
  <si>
    <t>LBR,16CC,22"/0.6M,143-34600-16</t>
  </si>
  <si>
    <t>16-34601-CM</t>
  </si>
  <si>
    <t>LBR,16M,47"/1.2M,143-34601-16</t>
  </si>
  <si>
    <t>16-34602-C</t>
  </si>
  <si>
    <t>LBR,16CC,58"/1.5M,143-34602-16</t>
  </si>
  <si>
    <t>16-34603-C</t>
  </si>
  <si>
    <t>LBR,16CC,58"/1.5M,143-34603-16</t>
  </si>
  <si>
    <t>16-34604-CM</t>
  </si>
  <si>
    <t>LBR,16M,52"/1.3M,143-34604-16</t>
  </si>
  <si>
    <t>16-34605-C</t>
  </si>
  <si>
    <t>LBR,16CC,47"/1.2M,143-34605-16</t>
  </si>
  <si>
    <t>16-34606-CM</t>
  </si>
  <si>
    <t>LBR,16M,58"/1.5M,143-34606-16</t>
  </si>
  <si>
    <t>16-34607-CM</t>
  </si>
  <si>
    <t>LBR,16M,58"/1.5M,143-34607-16</t>
  </si>
  <si>
    <t>16-34608-CM</t>
  </si>
  <si>
    <t>LBR,16M,58"/1.5M,143-34608-16</t>
  </si>
  <si>
    <t>16-34609-CM</t>
  </si>
  <si>
    <t>LBR,16M,52"/1.3M,143-34609-16</t>
  </si>
  <si>
    <t>16-34610-CM</t>
  </si>
  <si>
    <t>LBR,16M,52"/1.3M,143-34610-16</t>
  </si>
  <si>
    <t>16-34611-CM</t>
  </si>
  <si>
    <t>LBR,16M,52"/1.3M,143-34611-16</t>
  </si>
  <si>
    <t>16-34612-CM</t>
  </si>
  <si>
    <t>LBR,16M,58"/1.5M,143-34612-16</t>
  </si>
  <si>
    <t>16-34613-CM</t>
  </si>
  <si>
    <t>LBR,16M,44"/1.1M,143-34613-16</t>
  </si>
  <si>
    <t>16-34614-CM</t>
  </si>
  <si>
    <t>LBR,16M,47"/1.2M,143-34614-16</t>
  </si>
  <si>
    <t>16-34615-CM</t>
  </si>
  <si>
    <t>LBR,16M,47"/1.2M,143-34615-16</t>
  </si>
  <si>
    <t>16-34616-C</t>
  </si>
  <si>
    <t>LBR,16CC,58"/1.5M,143-34616-16</t>
  </si>
  <si>
    <t>16-34617-C</t>
  </si>
  <si>
    <t>LBR,16CC,52"/1.3M,143-34617-16</t>
  </si>
  <si>
    <t>16-34618-C</t>
  </si>
  <si>
    <t>LBR,16CC,44"/1.1M,143-34618-16</t>
  </si>
  <si>
    <t>16-34619-C</t>
  </si>
  <si>
    <t>LBR,16CC,44"/1.1M,143-34619-16</t>
  </si>
  <si>
    <t>16-34620-C</t>
  </si>
  <si>
    <t>LBR,16CC,47"/1.2M,143-34620-16</t>
  </si>
  <si>
    <t>16-34621-CM</t>
  </si>
  <si>
    <t>LBR,16M,47"/1.2M,143-34621-16</t>
  </si>
  <si>
    <t>16-34622-C</t>
  </si>
  <si>
    <t>LBR,16CC,47"/1.2M,143-34622-16</t>
  </si>
  <si>
    <t>16-34623-C</t>
  </si>
  <si>
    <t>LBR,16CC,52"/1.3M,143-34623-16</t>
  </si>
  <si>
    <t>16-34624-CM</t>
  </si>
  <si>
    <t>LBR,16M,52"/1.3M,143-34624-16</t>
  </si>
  <si>
    <t>16-34626-C</t>
  </si>
  <si>
    <t>LBR,16CC,58"/1.5M,143-34626-16</t>
  </si>
  <si>
    <t>16-34628-CM</t>
  </si>
  <si>
    <t>LBR,16M,22"/0.6M,143-34628-16</t>
  </si>
  <si>
    <t>16-34629-C</t>
  </si>
  <si>
    <t>LBR,16CC,47"/1.2M,143-34629-16</t>
  </si>
  <si>
    <t>16-34630-CM</t>
  </si>
  <si>
    <t>LBR,16M,52"/1.3M,143-34630-16</t>
  </si>
  <si>
    <t>16-34633-C</t>
  </si>
  <si>
    <t>LBR,16CC,47"/1.2M,143-34633-16</t>
  </si>
  <si>
    <t>16-34634-C</t>
  </si>
  <si>
    <t>LBR,16CC,52"/1.3M,143-34634-16</t>
  </si>
  <si>
    <t>16-34635-C</t>
  </si>
  <si>
    <t>LBR,16CC,52"/1.3M,143-34635-16</t>
  </si>
  <si>
    <t>16-34636-C</t>
  </si>
  <si>
    <t>LBR,16CC,58"/1.5M,143-34636-16</t>
  </si>
  <si>
    <t>16-34637-C</t>
  </si>
  <si>
    <t>LBR,16CC,47"/1.2M,143-34637-16</t>
  </si>
  <si>
    <t>16-34638-C</t>
  </si>
  <si>
    <t>LBR,16CC,52"/1.3M,143-34638-16</t>
  </si>
  <si>
    <t>16-34640-CM</t>
  </si>
  <si>
    <t>LBR,16M,47"/1.2M,143-34640-16</t>
  </si>
  <si>
    <t>16-34641-C</t>
  </si>
  <si>
    <t>LBR,16CC,58"/1.5M,143-34641-16</t>
  </si>
  <si>
    <t>16-34642-CM</t>
  </si>
  <si>
    <t>LBR,16M,52"/1.3M,143-34642-16</t>
  </si>
  <si>
    <t>16-34643-C</t>
  </si>
  <si>
    <t>LBR,16CC,69"/1.8M,143-34643-16</t>
  </si>
  <si>
    <t>16-34646-C</t>
  </si>
  <si>
    <t>LBR,16CC,52"/1.3M,143-34646-16</t>
  </si>
  <si>
    <t>16-34647-C</t>
  </si>
  <si>
    <t>LBR,16CC,47"/1.2M,143-34647-16</t>
  </si>
  <si>
    <t>16-34648-C</t>
  </si>
  <si>
    <t>LBR,16CC,47"/1.2M,143-34648-16</t>
  </si>
  <si>
    <t>16-34649-C</t>
  </si>
  <si>
    <t>LBR,16CC,58"/1.5M,143-34649-16</t>
  </si>
  <si>
    <t>16-34650-C</t>
  </si>
  <si>
    <t>LBR,16CC,52"/1.3M,143-34650-16</t>
  </si>
  <si>
    <t>16-34651-C</t>
  </si>
  <si>
    <t>LBR,16CC,58"/1.5M,143-34651-16</t>
  </si>
  <si>
    <t>16-34652-C</t>
  </si>
  <si>
    <t>LBR,16CC,52"/1.3M,143-34652-16</t>
  </si>
  <si>
    <t>16-34653-C</t>
  </si>
  <si>
    <t>LBR,16CC,52"/1.3M,143-34653-16</t>
  </si>
  <si>
    <t>16-34655-CM</t>
  </si>
  <si>
    <t>LBR,16M,52"/1.3M,143-34655-16</t>
  </si>
  <si>
    <t>16-34656-C</t>
  </si>
  <si>
    <t>LBR,16CC,69"/1.8M,143-34656-16</t>
  </si>
  <si>
    <t>16-34657-C</t>
  </si>
  <si>
    <t>LBR,16CC,36"/0.9M,143-34657-16</t>
  </si>
  <si>
    <t>16-34658-C</t>
  </si>
  <si>
    <t>LBR,16CC,52"/1.3M,143-34658-16</t>
  </si>
  <si>
    <t>16-34659-C</t>
  </si>
  <si>
    <t>LBR,16CC,47"/1.2M,143-34659-16</t>
  </si>
  <si>
    <t>16-34660-C</t>
  </si>
  <si>
    <t>LBR,16CC,80"/2M,143-34660-16</t>
  </si>
  <si>
    <t>16-34661-C</t>
  </si>
  <si>
    <t>LBR,16CC,58"/1.5M,143-34661-16</t>
  </si>
  <si>
    <t>16-34662-CM</t>
  </si>
  <si>
    <t>LBR,16M,47"/1.2M,143-34662-16</t>
  </si>
  <si>
    <t>16-34663-C</t>
  </si>
  <si>
    <t>LBR,16CC,47"/1.2M,143-34663-16</t>
  </si>
  <si>
    <t>16-34664-C</t>
  </si>
  <si>
    <t>LBR,16CC,22"/0.6M,143-34664-16</t>
  </si>
  <si>
    <t>16-34665-CM</t>
  </si>
  <si>
    <t>LBR,16M,52"/1.3M,143-34665-16</t>
  </si>
  <si>
    <t>16-34666-C</t>
  </si>
  <si>
    <t>LBR,16CC,47"/1.2M,143-34666-16</t>
  </si>
  <si>
    <t>16-34667-C</t>
  </si>
  <si>
    <t>LBR,16CC,58"/1.5M,143-34667-16</t>
  </si>
  <si>
    <t>16-34668-CM</t>
  </si>
  <si>
    <t>LBR,16M,52"/1.3M,143-34668-16</t>
  </si>
  <si>
    <t>16-34669-C</t>
  </si>
  <si>
    <t>LBR,16CC,47"/1.2M,143-34669-16</t>
  </si>
  <si>
    <t>16-34670-CM</t>
  </si>
  <si>
    <t>LBR,16M,36"/0.9M,143-34670-16</t>
  </si>
  <si>
    <t>16-34671-CM</t>
  </si>
  <si>
    <t>LBR,16M,52"/1.3M,143-34671-16</t>
  </si>
  <si>
    <t>16-34672-CM</t>
  </si>
  <si>
    <t>LBR,16M,52"/1.3M,143-34672-16</t>
  </si>
  <si>
    <t>16-34673-CM</t>
  </si>
  <si>
    <t>LBR,16M,52"/1.3M,143-34673-16</t>
  </si>
  <si>
    <t>16-34674-CM</t>
  </si>
  <si>
    <t>LBR,16M,58"/1.5M,143-34674-16</t>
  </si>
  <si>
    <t>16-34677-CM</t>
  </si>
  <si>
    <t>LBR,16M,47"/1.2M,143-34677-16</t>
  </si>
  <si>
    <t>16-34678-CM</t>
  </si>
  <si>
    <t>LBR,16M,58"/1.5M,143-34678-16</t>
  </si>
  <si>
    <t>16-34679-CM</t>
  </si>
  <si>
    <t>LBR,16M,58"/1.5M,143-34679-16</t>
  </si>
  <si>
    <t>16-34680-CM</t>
  </si>
  <si>
    <t>LBR,16M,52"/1.3M,143-34680-16</t>
  </si>
  <si>
    <t>16-34682-CM</t>
  </si>
  <si>
    <t>LBR,16M,44"/1.1M,143-34682-16</t>
  </si>
  <si>
    <t>16-34683-CM</t>
  </si>
  <si>
    <t>LBR,16M,52"/1.3M,143-34683-16</t>
  </si>
  <si>
    <t>16-34684-C</t>
  </si>
  <si>
    <t>LBR,16CC,52"/1.3M,143-34684-16</t>
  </si>
  <si>
    <t>16-34685-C</t>
  </si>
  <si>
    <t>LBR,16CC,22"/0.6M,143-34685-16</t>
  </si>
  <si>
    <t>16-34686-C</t>
  </si>
  <si>
    <t>LBR,16CC,58"/1.5M,143-34686-16</t>
  </si>
  <si>
    <t>16-34687-CM</t>
  </si>
  <si>
    <t>LBR,16M,52"/1.3M,143-34687-16</t>
  </si>
  <si>
    <t>16-34688-CM</t>
  </si>
  <si>
    <t>LBR,16M,52"/1.3M,143-34688-16</t>
  </si>
  <si>
    <t>16-34689-C</t>
  </si>
  <si>
    <t>LBR,16CC,44"/1.1M,143-34689-16</t>
  </si>
  <si>
    <t>16-34690-CM</t>
  </si>
  <si>
    <t>LBR,16M,44"/1.1M,143-34690-16</t>
  </si>
  <si>
    <t>16-34691-CM</t>
  </si>
  <si>
    <t>LBR,16M,58"/1.5M,143-34691-16</t>
  </si>
  <si>
    <t>16-34692-CM</t>
  </si>
  <si>
    <t>LBR,16M,52"/1.3M,143-34692-16</t>
  </si>
  <si>
    <t>16-34693-CM</t>
  </si>
  <si>
    <t>LBR,16M,52"/1.3M,143-34693-16</t>
  </si>
  <si>
    <t>16-34694-CM</t>
  </si>
  <si>
    <t>LBR,16M,52"/1.3M,143-34694-16</t>
  </si>
  <si>
    <t>16-34695-CM</t>
  </si>
  <si>
    <t>LBR,16M,52"/1.3M,143-34695-16</t>
  </si>
  <si>
    <t>16-34696-CM</t>
  </si>
  <si>
    <t>LBR,16M,52"/1.3M,143-34696-16</t>
  </si>
  <si>
    <t>16-34697-C</t>
  </si>
  <si>
    <t>LBR,16CC,22"/0.6M,143-34697-16</t>
  </si>
  <si>
    <t>16-34698-CM</t>
  </si>
  <si>
    <t>LBR,16M,52"/1.3M,143-34698-16</t>
  </si>
  <si>
    <t>16-34699-CM</t>
  </si>
  <si>
    <t>LBR,16M,52"/1.3M,143-34699-16</t>
  </si>
  <si>
    <t>16-34700-CM</t>
  </si>
  <si>
    <t>LBR,16M,52"/1.3M,143-34700-16</t>
  </si>
  <si>
    <t>16-34701-CM</t>
  </si>
  <si>
    <t>LBR,16M,52"/1.3M,143-34701-16</t>
  </si>
  <si>
    <t>16-34702-C</t>
  </si>
  <si>
    <t>LBR,16CC,80"/2M,143-34702-16</t>
  </si>
  <si>
    <t>16-34703-C</t>
  </si>
  <si>
    <t>LBR,16CC,52"/1.3M,143-34703-16</t>
  </si>
  <si>
    <t>16-34704-C</t>
  </si>
  <si>
    <t>LBR,16CC,58"/1.5M,143-34704-16</t>
  </si>
  <si>
    <t>16-34705-CM</t>
  </si>
  <si>
    <t>LBR,16M,52"/1.3M,143-34705-16</t>
  </si>
  <si>
    <t>16-34706-CM</t>
  </si>
  <si>
    <t>LBR,16M,52"/1.3M,143-34706-16</t>
  </si>
  <si>
    <t>16-34707-C</t>
  </si>
  <si>
    <t>LBR,16CC,52"/1.3M,143-34707-16</t>
  </si>
  <si>
    <t>16-34709-C</t>
  </si>
  <si>
    <t>LBR,16CC,47"/1.2M,143-34709-16</t>
  </si>
  <si>
    <t>16-34710-C</t>
  </si>
  <si>
    <t>LBR,16CC,52"/1.3M,143-34710-16</t>
  </si>
  <si>
    <t>16-34711-CM</t>
  </si>
  <si>
    <t>LBR,16M,22"/0.6M,143-34711-16</t>
  </si>
  <si>
    <t>16-34712-C</t>
  </si>
  <si>
    <t>LBR,16CC,52"/1.3M,143-34712-16</t>
  </si>
  <si>
    <t>16-34713-CM</t>
  </si>
  <si>
    <t>LBR,16M,58"/1.5M,143-34713-16</t>
  </si>
  <si>
    <t>16-34714-CM</t>
  </si>
  <si>
    <t>LBR,16M,36"/0.9M,143-34714-16</t>
  </si>
  <si>
    <t>16-34715-C</t>
  </si>
  <si>
    <t>LBR,16CC,58"/1.5M,143-34715-16</t>
  </si>
  <si>
    <t>16-34716-CM</t>
  </si>
  <si>
    <t>LBR,16M,52"/1.3M,143-34716-16</t>
  </si>
  <si>
    <t>16-34717-C</t>
  </si>
  <si>
    <t>LBR,16CC,36"/0.9M,143-34717-16</t>
  </si>
  <si>
    <t>16-34718-C</t>
  </si>
  <si>
    <t>LBR,16CC,36"/0.9M,143-34718-16</t>
  </si>
  <si>
    <t>16-34719-CM</t>
  </si>
  <si>
    <t>LBR,16M,58"/1.5M,143-34719-16</t>
  </si>
  <si>
    <t>16-34720-C</t>
  </si>
  <si>
    <t>LBR,16CC,52"/1.3M,143-34720-16</t>
  </si>
  <si>
    <t>16-34721-C</t>
  </si>
  <si>
    <t>LBR,16CC,52"/1.3M,143-34721-16</t>
  </si>
  <si>
    <t>16-34722-C</t>
  </si>
  <si>
    <t>LBR,16CC,52"/1.3M,143-34722-16</t>
  </si>
  <si>
    <t>16-34723-CM</t>
  </si>
  <si>
    <t>LBR,16M,58"/1.5M,143-34723-16</t>
  </si>
  <si>
    <t>16-34724-CM</t>
  </si>
  <si>
    <t>LBR,16M,52"/1.3M,143-34724-16</t>
  </si>
  <si>
    <t>16-34725-CM</t>
  </si>
  <si>
    <t>LBR,16M,52"/1.3M,143-34725-16</t>
  </si>
  <si>
    <t>16-34726-C</t>
  </si>
  <si>
    <t>LBR,16CC,47"/1.2M,143-34726-16</t>
  </si>
  <si>
    <t>16-34727-CM</t>
  </si>
  <si>
    <t>LBR,16M,52"/1.3M,143-34727-16</t>
  </si>
  <si>
    <t>16-34728-C</t>
  </si>
  <si>
    <t>LBR,16CC,47"/1.2M,143-34728-16</t>
  </si>
  <si>
    <t>16-34729-CM</t>
  </si>
  <si>
    <t>LBR,16M,52"/1.3M,143-34729-16</t>
  </si>
  <si>
    <t>16-34730-CM</t>
  </si>
  <si>
    <t>LBR,16M,36"/0.9M,143-34730-16</t>
  </si>
  <si>
    <t>16-34731-CM</t>
  </si>
  <si>
    <t>LBR,16M,52"/1.3M,143-34731-16</t>
  </si>
  <si>
    <t>16-34732-CM</t>
  </si>
  <si>
    <t>LBR,16M,52"/1.3M,143-34732-16</t>
  </si>
  <si>
    <t>16-34733-CM</t>
  </si>
  <si>
    <t>LBR,16M,44"/1.1M,143-34733-16</t>
  </si>
  <si>
    <t>16-34734-CM</t>
  </si>
  <si>
    <t>LBR,16M,47"/1.2M,143-34734-16</t>
  </si>
  <si>
    <t>16-34735-CM</t>
  </si>
  <si>
    <t>LBR,16M,44"/1.1M,143-34735-16</t>
  </si>
  <si>
    <t>16-34736-C</t>
  </si>
  <si>
    <t>LBR,16CC,58"/1.5M,143-34736-16</t>
  </si>
  <si>
    <t>16-34737-CM</t>
  </si>
  <si>
    <t>LBR,16M,44"/1.1M,143-34737-16</t>
  </si>
  <si>
    <t>16-34738-CM</t>
  </si>
  <si>
    <t>LBR,16M,36"/0.9M,143-34738-16</t>
  </si>
  <si>
    <t>16-34739-C</t>
  </si>
  <si>
    <t>LBR,16CC,69"/1.8M,143-34739-16</t>
  </si>
  <si>
    <t>16-34740-CM</t>
  </si>
  <si>
    <t>LBR,16M,52"/1.3M,143-34740-16</t>
  </si>
  <si>
    <t>16-34741-CM</t>
  </si>
  <si>
    <t>LBR,16M,36"/0.9M,143-34741-16</t>
  </si>
  <si>
    <t>16-34776-C</t>
  </si>
  <si>
    <t>LBR,16CC,47"/1.2M,143-34776-16</t>
  </si>
  <si>
    <t>16-34777-CM</t>
  </si>
  <si>
    <t>LBR,16M,58"/1.5M,143-34777-16</t>
  </si>
  <si>
    <t>16-34778-C</t>
  </si>
  <si>
    <t>LBR,16CC,52"/1.3M,143-34778-16</t>
  </si>
  <si>
    <t>16-34779-CM</t>
  </si>
  <si>
    <t>LBR,16M,52"/1.3M,143-34779-16</t>
  </si>
  <si>
    <t>16-34780-CM</t>
  </si>
  <si>
    <t>LBR,16M,47"/1.2M,143-34780-16</t>
  </si>
  <si>
    <t>16-34781-C</t>
  </si>
  <si>
    <t>LBR,16CC,47"/1.2M,143-34781-16</t>
  </si>
  <si>
    <t>16-34782-C</t>
  </si>
  <si>
    <t>LBR,16CC,52"/1.3M,143-34782-16</t>
  </si>
  <si>
    <t>16-34783-C</t>
  </si>
  <si>
    <t>LBR,16CC,52"/1.3M,143-34783-16</t>
  </si>
  <si>
    <t>16-34784-CM</t>
  </si>
  <si>
    <t>LBR,16M,52"/1.3M,143-34784-16</t>
  </si>
  <si>
    <t>16-34785-CM</t>
  </si>
  <si>
    <t>LBR,16M,52"/1.3M,143-34785-16</t>
  </si>
  <si>
    <t>16-34786-C</t>
  </si>
  <si>
    <t>LBR,16CC,52"/1.3M,143-34786-16</t>
  </si>
  <si>
    <t>16-34787-CM</t>
  </si>
  <si>
    <t>LBR,16M,22"/0.6M,143-34787-16</t>
  </si>
  <si>
    <t>16-34788-CM</t>
  </si>
  <si>
    <t>LBR,16M,22"/0.6M,143-34788-16</t>
  </si>
  <si>
    <t>16-34789-C</t>
  </si>
  <si>
    <t>LBR,16CC,52"/1.3M,143-34789-16</t>
  </si>
  <si>
    <t>16-34790-C</t>
  </si>
  <si>
    <t>LBR,16CC,47"/1.2M,143-34790-16</t>
  </si>
  <si>
    <t>25-30001-C</t>
  </si>
  <si>
    <t>LBR,25,53"/1.3M,143-30001-25</t>
  </si>
  <si>
    <t>25-30003-C</t>
  </si>
  <si>
    <t>LBR,25,47"/1.2M,143-30003-25</t>
  </si>
  <si>
    <t>25-30032-C</t>
  </si>
  <si>
    <t>LBR,25,47"/1.2M,143-30032-25</t>
  </si>
  <si>
    <t>25-30048-C</t>
  </si>
  <si>
    <t>LBR,25,59"/1.5M,143-30048-25</t>
  </si>
  <si>
    <t>25-30091-C</t>
  </si>
  <si>
    <t>LBR,25,47"/1.2M,143-30091-25</t>
  </si>
  <si>
    <t>25-30108-C</t>
  </si>
  <si>
    <t>LBR,25,59"/1.5M,143-30108-25</t>
  </si>
  <si>
    <t>25-30116-C</t>
  </si>
  <si>
    <t>LBR,25,53"/1.3M,143-30116-25</t>
  </si>
  <si>
    <t>25-30129-C</t>
  </si>
  <si>
    <t>LBR,25,47"/1.2M,143-30129-25</t>
  </si>
  <si>
    <t>25-30173-C</t>
  </si>
  <si>
    <t>LBR,25,53"/1.3M,143-30173-25</t>
  </si>
  <si>
    <t>25-30230-C</t>
  </si>
  <si>
    <t>LBR,25,47"/1.2M,143-30230-25</t>
  </si>
  <si>
    <t>25-30253-C</t>
  </si>
  <si>
    <t>LBR,25,53"/1.3M,143-30253-25</t>
  </si>
  <si>
    <t>25-30275-C</t>
  </si>
  <si>
    <t>LBR,25,53"/1.3M,143-30275-25</t>
  </si>
  <si>
    <t>25-30303-C</t>
  </si>
  <si>
    <t>LBR,25,53"/1.3M,143-30303-25</t>
  </si>
  <si>
    <t>25-30320-C</t>
  </si>
  <si>
    <t>LBR,25,53"/1.3M,143-30320-25</t>
  </si>
  <si>
    <t>25-30328-C</t>
  </si>
  <si>
    <t>LBR,25,53"/1.3M,143-30328-25</t>
  </si>
  <si>
    <t>25-30354-C</t>
  </si>
  <si>
    <t>LBR,25,53"/1.3M,143-30354-25</t>
  </si>
  <si>
    <t>25-30357-C</t>
  </si>
  <si>
    <t>LBR,25,47"/1.2M,143-30357-25</t>
  </si>
  <si>
    <t>25-30368-C</t>
  </si>
  <si>
    <t>LBR,25,53"/1.3M,143-30368-25</t>
  </si>
  <si>
    <t>25-30377-C</t>
  </si>
  <si>
    <t>LBR,25,47"/1.2M,143-30377-25</t>
  </si>
  <si>
    <t>25-30552-C</t>
  </si>
  <si>
    <t>LBR,25,47"/1.2M,143-30552-25</t>
  </si>
  <si>
    <t>25-30554-C</t>
  </si>
  <si>
    <t>LBR,25,71"/1.8M,143-30554-25</t>
  </si>
  <si>
    <t>25-30555-C</t>
  </si>
  <si>
    <t>LBR,25,47"/1.2M,143-30555-25</t>
  </si>
  <si>
    <t>25-30558-C</t>
  </si>
  <si>
    <t>LBR,25,71"/1.8M,143-30558-25</t>
  </si>
  <si>
    <t>25-30582-C</t>
  </si>
  <si>
    <t>LBR,25,53"/1.3M,143-30582-25</t>
  </si>
  <si>
    <t>25-30606-C</t>
  </si>
  <si>
    <t>LBR,25,53"/1.3M,143-30606-25</t>
  </si>
  <si>
    <t>25-30607-C</t>
  </si>
  <si>
    <t>LBR,25,53"/1.3M,143-30607-25</t>
  </si>
  <si>
    <t>25-30613-C</t>
  </si>
  <si>
    <t>LBR,25,53"/1.3M,143-30613-25</t>
  </si>
  <si>
    <t>25-30615-C</t>
  </si>
  <si>
    <t>LBR,25,53"/1.3M,143-30615-25</t>
  </si>
  <si>
    <t>25-30624-C</t>
  </si>
  <si>
    <t>LBR,25,47"/1.2M,143-30624-25</t>
  </si>
  <si>
    <t>25-30632-C</t>
  </si>
  <si>
    <t>LBR,25,53"/1.3M,143-30632-25</t>
  </si>
  <si>
    <t>25-30634-C</t>
  </si>
  <si>
    <t>LBR,25,53"/1.3M,143-30634-25</t>
  </si>
  <si>
    <t>25-30638-C</t>
  </si>
  <si>
    <t>LBR,25,53"/1.3M,143-30638-25</t>
  </si>
  <si>
    <t>25-30640-C</t>
  </si>
  <si>
    <t>LBR,25,53"/1.3M,143-30640-25</t>
  </si>
  <si>
    <t>25-30647-C</t>
  </si>
  <si>
    <t>LBR,25,53"/1.3M,143-30647-25</t>
  </si>
  <si>
    <t>25-30648-C</t>
  </si>
  <si>
    <t>LBR,25,71"/1.8M,143-30648-25</t>
  </si>
  <si>
    <t>25-30649-C</t>
  </si>
  <si>
    <t>LBR,25,53"/1.3M,143-30649-25</t>
  </si>
  <si>
    <t>25-30650-C</t>
  </si>
  <si>
    <t>LBR,25,47"/1.2M,143-30650-25</t>
  </si>
  <si>
    <t>25-30652-C</t>
  </si>
  <si>
    <t>LBR,25,53"/1.3M,143-30652-25</t>
  </si>
  <si>
    <t>25-30655-C</t>
  </si>
  <si>
    <t>LBR,25,77"/2M,143-30655-25</t>
  </si>
  <si>
    <t>25-30660-C</t>
  </si>
  <si>
    <t>LBR,25,59"/1.5M,143-30660-25</t>
  </si>
  <si>
    <t>25-30663-C</t>
  </si>
  <si>
    <t>LBR,25,47"/1.2M,143-30663-25</t>
  </si>
  <si>
    <t>25-30666-C</t>
  </si>
  <si>
    <t>LBR,25,47"/1.2M,143-30666-25</t>
  </si>
  <si>
    <t>25-30672-C</t>
  </si>
  <si>
    <t>LBR,25,53"/1.3M,143-30672-25</t>
  </si>
  <si>
    <t>25-30679-C</t>
  </si>
  <si>
    <t>LBR,25,53"/1.3M,143-30679-25</t>
  </si>
  <si>
    <t>25-30699-C</t>
  </si>
  <si>
    <t>LBR,25,53"/1.3M,143-30699-25</t>
  </si>
  <si>
    <t>25-30701-C</t>
  </si>
  <si>
    <t>LBR,25,53"/1.3M,143-30701-25</t>
  </si>
  <si>
    <t>25-30722-C</t>
  </si>
  <si>
    <t>LBR,25,30"/0.8M,143-30722-25</t>
  </si>
  <si>
    <t>25-30724-C</t>
  </si>
  <si>
    <t>LBR,25,53"/1.3M,143-30724-25</t>
  </si>
  <si>
    <t>25-30737-C</t>
  </si>
  <si>
    <t>LBR,25,53"/1.3M,143-30737-25</t>
  </si>
  <si>
    <t>25-30739-C</t>
  </si>
  <si>
    <t>LBR,25,47"/1.2M,143-30739-25</t>
  </si>
  <si>
    <t>25-30751-C</t>
  </si>
  <si>
    <t>LBR,25,53"/1.3M,143-30751-25</t>
  </si>
  <si>
    <t>25-30778-CM</t>
  </si>
  <si>
    <t>LBR,25M,42"/1M,143-30778-25</t>
  </si>
  <si>
    <t>25-30784-C</t>
  </si>
  <si>
    <t>LBR,25,59"/1.5M,143-30784-25</t>
  </si>
  <si>
    <t>25-30805-C</t>
  </si>
  <si>
    <t>LBR,25,53"/1.3M,143-30805-25</t>
  </si>
  <si>
    <t>25-30808-C</t>
  </si>
  <si>
    <t>LBR,25,47"/1.2M,143-30808-25</t>
  </si>
  <si>
    <t>25-30816-C</t>
  </si>
  <si>
    <t>LBR,25,53"/1.3M,143-30816-25</t>
  </si>
  <si>
    <t>25-30817-C</t>
  </si>
  <si>
    <t>LBR,25,47"/1.2M,143-30817-25</t>
  </si>
  <si>
    <t>25-30823-C</t>
  </si>
  <si>
    <t>LBR,25,53"/1.3M,143-30823-25</t>
  </si>
  <si>
    <t>25-30829-C</t>
  </si>
  <si>
    <t>LBR,25,47"/1.2M,143-30829-25</t>
  </si>
  <si>
    <t>25-30830-C</t>
  </si>
  <si>
    <t>LBR,25,47"/1.2M,143-30830-25</t>
  </si>
  <si>
    <t>25-30831-C</t>
  </si>
  <si>
    <t>LBR,25,47"/1.2M,143-30831-25</t>
  </si>
  <si>
    <t>25-30839-C</t>
  </si>
  <si>
    <t>LBR,25,53"/1.3M,143-30839-25</t>
  </si>
  <si>
    <t>25-30840-C</t>
  </si>
  <si>
    <t>LBR,25,59"/1.5M,143-30840-25</t>
  </si>
  <si>
    <t>25-30858-C</t>
  </si>
  <si>
    <t>LBR,25,47"/1.2M,143-30858-25</t>
  </si>
  <si>
    <t>25-30864-C</t>
  </si>
  <si>
    <t>LBR,25,53"/1.3M,143-30864-25</t>
  </si>
  <si>
    <t>25-30866-C</t>
  </si>
  <si>
    <t>LBR,25,53"/1.3M,143-30866-25</t>
  </si>
  <si>
    <t>25-30870-C</t>
  </si>
  <si>
    <t>LBR,25,24"/0.6M,143-30870-25</t>
  </si>
  <si>
    <t>25-30871-C</t>
  </si>
  <si>
    <t>LBR,25,24"/0.6M,143-30871-25</t>
  </si>
  <si>
    <t>25-30872-C</t>
  </si>
  <si>
    <t>LBR,25,53"/1.3M,143-30872-25</t>
  </si>
  <si>
    <t>25-30874-C</t>
  </si>
  <si>
    <t>LBR,25,59"/1.5M,143-30874-25</t>
  </si>
  <si>
    <t>25-30875-C</t>
  </si>
  <si>
    <t>LBR,25,53"/1.3M,143-30875-25</t>
  </si>
  <si>
    <t>25-30876-C</t>
  </si>
  <si>
    <t>LBR,25,53"/1.3M,143-30876-25</t>
  </si>
  <si>
    <t>25-30877-C</t>
  </si>
  <si>
    <t>LBR,25,53"/1.3M,143-30877-25</t>
  </si>
  <si>
    <t>25-30878-C</t>
  </si>
  <si>
    <t>LBR,25,71"/1.8M,143-30878-25</t>
  </si>
  <si>
    <t>25-30880-C</t>
  </si>
  <si>
    <t>LBR,25,59"/1.5M,143-30880-25</t>
  </si>
  <si>
    <t>25-30883-C</t>
  </si>
  <si>
    <t>LBR,25,47"/1.2M,143-30883-25</t>
  </si>
  <si>
    <t>25-30884-C</t>
  </si>
  <si>
    <t>LBR,25,53"/1.3M,143-30884-25</t>
  </si>
  <si>
    <t>25-30891-C</t>
  </si>
  <si>
    <t>LBR,25,47"/1.2M,143-30891-25</t>
  </si>
  <si>
    <t>25-30892-C</t>
  </si>
  <si>
    <t>LBR,25,59"/1.5M,143-30892-25</t>
  </si>
  <si>
    <t>25-30893-C</t>
  </si>
  <si>
    <t>LBR,25,47"/1.2M,143-30893-25</t>
  </si>
  <si>
    <t>25-30898-C</t>
  </si>
  <si>
    <t>LBR,25,47"/1.2M,143-30898-25</t>
  </si>
  <si>
    <t>25-30899-C</t>
  </si>
  <si>
    <t>LBR,25,53"/1.3M,143-30899-25</t>
  </si>
  <si>
    <t>25-30903-C</t>
  </si>
  <si>
    <t>LBR,25,24"/0.6M,143-30903-25</t>
  </si>
  <si>
    <t>25-30904-C</t>
  </si>
  <si>
    <t>LBR,25,77"/2M,143-30904-25</t>
  </si>
  <si>
    <t>25-30905-C</t>
  </si>
  <si>
    <t>LBR,25,53"/1.3M,143-30905-25</t>
  </si>
  <si>
    <t>25-30906-C</t>
  </si>
  <si>
    <t>LBR,25,47"/1.2M,143-30906-25</t>
  </si>
  <si>
    <t>25-30913-C</t>
  </si>
  <si>
    <t>LBR,25,71"/1.8M,143-30913-25</t>
  </si>
  <si>
    <t>25-30915-CM</t>
  </si>
  <si>
    <t>LBR,25M,47"/1.2M,143-30915-25</t>
  </si>
  <si>
    <t>25-30916-CM</t>
  </si>
  <si>
    <t>LBR,25M,30"/0.8M,143-30916-25</t>
  </si>
  <si>
    <t>25-30917-C</t>
  </si>
  <si>
    <t>LBR,25,77"/2M,143-30917-25</t>
  </si>
  <si>
    <t>25-30921-C</t>
  </si>
  <si>
    <t>LBR,25,47"/1.2M,143-30921-25</t>
  </si>
  <si>
    <t>25-30923-C</t>
  </si>
  <si>
    <t>LBR,25,47"/1.2M,143-30923-25</t>
  </si>
  <si>
    <t>25-30928-C</t>
  </si>
  <si>
    <t>LBR,25,53"/1.3M,143-30928-25</t>
  </si>
  <si>
    <t>25-30929-C</t>
  </si>
  <si>
    <t>LBR,25,59"/1.5M,143-30929-25</t>
  </si>
  <si>
    <t>25-30930-CM</t>
  </si>
  <si>
    <t>LBR,25M,53"/1.3M,143-30930-25</t>
  </si>
  <si>
    <t>25-30932-CM</t>
  </si>
  <si>
    <t>LBR,25M,30"/0.8M,143-30932-25</t>
  </si>
  <si>
    <t>25-30933-CM</t>
  </si>
  <si>
    <t>LBR,25M,30"/0.8M,143-30933-25</t>
  </si>
  <si>
    <t>25-30934-CM</t>
  </si>
  <si>
    <t>LBR,25M,71"/1.8M,143-30934-25</t>
  </si>
  <si>
    <t>25-30935-CM</t>
  </si>
  <si>
    <t>LBR,25M,59"/1.5M,143-30935-25</t>
  </si>
  <si>
    <t>25-30936-C</t>
  </si>
  <si>
    <t>LBR,25,53"/1.3M,143-30936-25</t>
  </si>
  <si>
    <t>25-30937-CM</t>
  </si>
  <si>
    <t>LBR,25M,30"/0.8M,143-30937-25</t>
  </si>
  <si>
    <t>25-30938-CM</t>
  </si>
  <si>
    <t>LBR,25M,53"/1.3M,143-30938-25</t>
  </si>
  <si>
    <t>25-30939-C</t>
  </si>
  <si>
    <t>LBR,25,77"/2M,143-30939-25</t>
  </si>
  <si>
    <t>25-30940-CM</t>
  </si>
  <si>
    <t>LBR,25M,53"/1.3M,143-30940-25</t>
  </si>
  <si>
    <t>25-30941-CM</t>
  </si>
  <si>
    <t>LBR,25M,53"/1.3M,143-30941-25</t>
  </si>
  <si>
    <t>25-30942-CM</t>
  </si>
  <si>
    <t>LBR,25M,53"/1.3M,143-30942-25</t>
  </si>
  <si>
    <t>25-30943-CM</t>
  </si>
  <si>
    <t>LBR,25M,53"/1.3M,143-30943-25</t>
  </si>
  <si>
    <t>25-30944-CM</t>
  </si>
  <si>
    <t>LBR,25M,53"/1.3M,143-30944-25</t>
  </si>
  <si>
    <t>25-30946-CM</t>
  </si>
  <si>
    <t>LBR,25M,53"/1.3M,143-30946-25</t>
  </si>
  <si>
    <t>25-30947-C</t>
  </si>
  <si>
    <t>LBR,25,47"/1.2M,143-30947-25</t>
  </si>
  <si>
    <t>25-30948-CM</t>
  </si>
  <si>
    <t>LBR,25M,53"/1.3M,143-30948-25</t>
  </si>
  <si>
    <t>25-30949-CM</t>
  </si>
  <si>
    <t>LBR,25M,53"/1.3M,143-30949-25</t>
  </si>
  <si>
    <t>25-30950-CM</t>
  </si>
  <si>
    <t>LBR,25M,71"/1.8M,143-30950-25</t>
  </si>
  <si>
    <t>25-30951-CM</t>
  </si>
  <si>
    <t>LBR,25M,53"/1.3M,143-30951-25</t>
  </si>
  <si>
    <t>25-30952-CM</t>
  </si>
  <si>
    <t>LBR,25M,47"/1.2M,143-30952-25</t>
  </si>
  <si>
    <t>25-30953-CM</t>
  </si>
  <si>
    <t>LBR,25M,53"/1.3M,143-30953-25</t>
  </si>
  <si>
    <t>25-30954-CM</t>
  </si>
  <si>
    <t>LBR,25M,47"/1.2M,143-30954-25</t>
  </si>
  <si>
    <t>25-30961-C</t>
  </si>
  <si>
    <t>LBR,25,53"/1.3M,143-30961-25</t>
  </si>
  <si>
    <t>25-30962-C</t>
  </si>
  <si>
    <t>LBR,25,53"/1.3M,143-30962-25</t>
  </si>
  <si>
    <t>25-30963-C</t>
  </si>
  <si>
    <t>LBR,25,30"/0.8M,143-30963-25</t>
  </si>
  <si>
    <t>25-30964-C</t>
  </si>
  <si>
    <t>LBR,25,53"/1.3M,143-30964-25</t>
  </si>
  <si>
    <t>25-30965-C</t>
  </si>
  <si>
    <t>LBR,25,53"/1.3M,143-30965-25</t>
  </si>
  <si>
    <t>25-30967-CM</t>
  </si>
  <si>
    <t>LBR,25M,53"/1.3M,143-30967-25</t>
  </si>
  <si>
    <t>25-30968-C</t>
  </si>
  <si>
    <t>LBR,25,24"/0.6M,143-30968-25</t>
  </si>
  <si>
    <t>25-30969-C</t>
  </si>
  <si>
    <t>LBR,25,24"/0.6M,143-30969-25</t>
  </si>
  <si>
    <t>25-30974-C</t>
  </si>
  <si>
    <t>LBR,25,53"/1.3M,143-30974-25</t>
  </si>
  <si>
    <t>25-30978-C</t>
  </si>
  <si>
    <t>LBR,25,53"/1.3M,143-30978-25</t>
  </si>
  <si>
    <t>25-30980-C</t>
  </si>
  <si>
    <t>LBR,25,53"/1.3M,143-30980-25</t>
  </si>
  <si>
    <t>25-30984-C</t>
  </si>
  <si>
    <t>LBR,25,47"/1.2M,143-30984-25</t>
  </si>
  <si>
    <t>25-30985-C</t>
  </si>
  <si>
    <t>LBR,25,47"/1.2M,143-30985-25</t>
  </si>
  <si>
    <t>25-30986-C</t>
  </si>
  <si>
    <t>LBR,25,53"/1.3M,143-30986-25</t>
  </si>
  <si>
    <t>25-30987-C</t>
  </si>
  <si>
    <t>LBR,25,47"/1.2M,143-30987-25</t>
  </si>
  <si>
    <t>25-30989-C</t>
  </si>
  <si>
    <t>LBR,25,24"/0.6M,143-30989-25</t>
  </si>
  <si>
    <t>25-30990-CM</t>
  </si>
  <si>
    <t>LBR,25M,53"/1.3M,143-30990-25</t>
  </si>
  <si>
    <t>25-30992-C</t>
  </si>
  <si>
    <t>LBR,25,53"/1.3M,143-30992-25</t>
  </si>
  <si>
    <t>25-30993-C</t>
  </si>
  <si>
    <t>LBR,25,53"/1.3M,143-30993-25</t>
  </si>
  <si>
    <t>25-30994-C</t>
  </si>
  <si>
    <t>LBR,25,53"/1.3M,143-30994-25</t>
  </si>
  <si>
    <t>25-30995-C</t>
  </si>
  <si>
    <t>LBR,25,59"/1.5M,143-30995-25</t>
  </si>
  <si>
    <t>25-30996-C</t>
  </si>
  <si>
    <t>LBR,25,53"/1.3M,143-30996-25</t>
  </si>
  <si>
    <t>25-30997-CM</t>
  </si>
  <si>
    <t>LBR,25M,53"/1.3M,143-30997-25</t>
  </si>
  <si>
    <t>25-30998-C</t>
  </si>
  <si>
    <t>LBR,25,77"/2M,143-30998-25</t>
  </si>
  <si>
    <t>25-31000-C</t>
  </si>
  <si>
    <t>LBR,25,59"/1.5M,143-31000-25</t>
  </si>
  <si>
    <t>25-31001-C</t>
  </si>
  <si>
    <t>LBR,25,71"/1.8M,143-31001-25</t>
  </si>
  <si>
    <t>25-31002-C</t>
  </si>
  <si>
    <t>LBR,25,53"/1.3M,143-31002-25</t>
  </si>
  <si>
    <t>25-31003-C</t>
  </si>
  <si>
    <t>LBR,25,59"/1.5M,143-31003-25</t>
  </si>
  <si>
    <t>25-31004-C</t>
  </si>
  <si>
    <t>LBR,25,24"/0.6M,143-31004-25</t>
  </si>
  <si>
    <t>25-31009-C</t>
  </si>
  <si>
    <t>LBR,25,53"/1.3M,143-31009-25</t>
  </si>
  <si>
    <t>25-31012-C</t>
  </si>
  <si>
    <t>LBR,25,47"/1.2M,143-31012-25</t>
  </si>
  <si>
    <t>25-31014-C</t>
  </si>
  <si>
    <t>LBR,25,77"/2M,143-31014-25</t>
  </si>
  <si>
    <t>25-31015-CM</t>
  </si>
  <si>
    <t>LBR,25M,47"/1.2M,143-31015-25</t>
  </si>
  <si>
    <t>25-31018-C</t>
  </si>
  <si>
    <t>LBR,25,42"/1M,143-31018-25</t>
  </si>
  <si>
    <t>25-31022-CM</t>
  </si>
  <si>
    <t>LBR,25M,53"/1.3M,143-31022-25</t>
  </si>
  <si>
    <t>25-31023-C</t>
  </si>
  <si>
    <t>LBR,25,53"/1.3M,143-31023-25</t>
  </si>
  <si>
    <t>25-31025-CM</t>
  </si>
  <si>
    <t>LBR,25M,53"/1.3M,143-31025-25</t>
  </si>
  <si>
    <t>25-31026-CM</t>
  </si>
  <si>
    <t>LBR,25M,53"/1.3M,143-31026-25</t>
  </si>
  <si>
    <t>25-31028-CM</t>
  </si>
  <si>
    <t>LBR,25M,53"/1.3M,143-31028-25</t>
  </si>
  <si>
    <t>25-31030-C</t>
  </si>
  <si>
    <t>LBR,25,53"/1.3M,143-31030-25</t>
  </si>
  <si>
    <t>25-31031-C</t>
  </si>
  <si>
    <t>LBR,25,47"/1.2M,143-31031-25</t>
  </si>
  <si>
    <t>25-31032-C</t>
  </si>
  <si>
    <t>LBR,25,47"/1.2M,143-31032-25</t>
  </si>
  <si>
    <t>25-31034-CM</t>
  </si>
  <si>
    <t>LBR,25M,53"/1.3M,143-31034-25</t>
  </si>
  <si>
    <t>25-31036-CM</t>
  </si>
  <si>
    <t>LBR,25M,53"/1.3M,143-31036-25</t>
  </si>
  <si>
    <t>25-31039-CM</t>
  </si>
  <si>
    <t>LBR,25M,47"/1.2M,143-31039-25</t>
  </si>
  <si>
    <t>25-31042-CM</t>
  </si>
  <si>
    <t>LBR,25M,47"/1.2M,143-31042-25</t>
  </si>
  <si>
    <t>25-31044-CM</t>
  </si>
  <si>
    <t>LBR,25M,53"/1.3M,143-31044-25</t>
  </si>
  <si>
    <t>25-31045-C</t>
  </si>
  <si>
    <t>LBR,25,59"/1.5M,143-31045-25</t>
  </si>
  <si>
    <t>25-31046-C</t>
  </si>
  <si>
    <t>LBR,25,47"/1.2M,143-31046-25</t>
  </si>
  <si>
    <t>25-31047-C</t>
  </si>
  <si>
    <t>LBR,25,53"/1.3M,143-31047-25</t>
  </si>
  <si>
    <t>25-31048-CM</t>
  </si>
  <si>
    <t>LBR,25M,47"/1.2M,143-31048-25</t>
  </si>
  <si>
    <t>25-31051-CM</t>
  </si>
  <si>
    <t>LBR,25M,42"/1M,143-31051-25</t>
  </si>
  <si>
    <t>25-31052-C</t>
  </si>
  <si>
    <t>LBR,25,59"/1.5M,143-31052-25</t>
  </si>
  <si>
    <t>25-31053-CM</t>
  </si>
  <si>
    <t>LBR,25M,47"/1.2M,143-31053-25</t>
  </si>
  <si>
    <t>25-31054-CM</t>
  </si>
  <si>
    <t>LBR,25M,53"/1.3M,143-31054-25</t>
  </si>
  <si>
    <t>25-31055-CM</t>
  </si>
  <si>
    <t>LBR,25M,71"/1.8M,143-31055-25</t>
  </si>
  <si>
    <t>25-31056-CM</t>
  </si>
  <si>
    <t>LBR,25M,53"/1.3M,143-31056-25</t>
  </si>
  <si>
    <t>25-31057-CM</t>
  </si>
  <si>
    <t>LBR,25M,53"/1.3M,143-31057-25</t>
  </si>
  <si>
    <t>25-31058-CM</t>
  </si>
  <si>
    <t>LBR,25M,47"/1.2M,143-31058-25</t>
  </si>
  <si>
    <t>25-31059-CM</t>
  </si>
  <si>
    <t>LBR,25M,47"/1.2M,143-31059-25</t>
  </si>
  <si>
    <t>25-31060-CM</t>
  </si>
  <si>
    <t>LBR,25M,59"/1.5M,143-31060-25</t>
  </si>
  <si>
    <t>25-31061-C</t>
  </si>
  <si>
    <t>LBR,25,36"/0.9M,143-31061-25</t>
  </si>
  <si>
    <t>25-31062-C</t>
  </si>
  <si>
    <t>LBR,25,30"/0.8M,143-31062-25</t>
  </si>
  <si>
    <t>25-31063-C</t>
  </si>
  <si>
    <t>LBR,25,53"/1.3M,143-31063-25</t>
  </si>
  <si>
    <t>25-31064-CM</t>
  </si>
  <si>
    <t>LBR,25M,53"/1.3M,143-31064-25</t>
  </si>
  <si>
    <t>25-31065-C</t>
  </si>
  <si>
    <t>LBR,25,24"/0.6M,143-31065-25</t>
  </si>
  <si>
    <t>25-31066-CM</t>
  </si>
  <si>
    <t>LBR,25M,53"/1.3M,143-31066-25</t>
  </si>
  <si>
    <t>25-31067-C</t>
  </si>
  <si>
    <t>LBR,25,53"/1.3M,143-31067-25</t>
  </si>
  <si>
    <t>25-31068-CM</t>
  </si>
  <si>
    <t>LBR,25M,53"/1.3M,143-31068-25</t>
  </si>
  <si>
    <t>25-31069-CM</t>
  </si>
  <si>
    <t>LBR,25M,53"/1.3M,143-31069-25</t>
  </si>
  <si>
    <t>25-31070-CM</t>
  </si>
  <si>
    <t>LBR,25M,53"/1.3M,143-31070-25</t>
  </si>
  <si>
    <t>25-31071-CM</t>
  </si>
  <si>
    <t>LBR,25M,53"/1.3M,143-31071-25</t>
  </si>
  <si>
    <t>25-31072-CM</t>
  </si>
  <si>
    <t>LBR,25M,30"/0.8M,143-31072-25</t>
  </si>
  <si>
    <t>25-31073-CM</t>
  </si>
  <si>
    <t>LBR,25M,71"/1.8M,143-31073-25</t>
  </si>
  <si>
    <t>25-31074-CM</t>
  </si>
  <si>
    <t>LBR,25M,53"/1.3M,143-31074-25</t>
  </si>
  <si>
    <t>25-31075-CM</t>
  </si>
  <si>
    <t>LBR,25M,53"/1.3M,143-31075-25</t>
  </si>
  <si>
    <t>25-31076-CM</t>
  </si>
  <si>
    <t>LBR,25M,59"/1.5M,143-31076-25</t>
  </si>
  <si>
    <t>25-31077-CM</t>
  </si>
  <si>
    <t>LBR,25M,30"/0.8M,143-31077-25</t>
  </si>
  <si>
    <t>25-31078-C</t>
  </si>
  <si>
    <t>LBR,25,24"/0.6M,143-31078-25</t>
  </si>
  <si>
    <t>25-31079-CM</t>
  </si>
  <si>
    <t>LBR,25M,53"/1.3M,143-31079-25</t>
  </si>
  <si>
    <t>25-31080-CM</t>
  </si>
  <si>
    <t>LBR,25M,53"/1.3M,143-31080-25</t>
  </si>
  <si>
    <t>25-31081-CM</t>
  </si>
  <si>
    <t>LBR,25M,53"/1.3M,143-31081-25</t>
  </si>
  <si>
    <t>25-31082-CM</t>
  </si>
  <si>
    <t>LBR,25M,47"/1.2M,143-31082-25</t>
  </si>
  <si>
    <t>25-31083-CM</t>
  </si>
  <si>
    <t>LBR,25M,47"/1.2M,143-31083-25</t>
  </si>
  <si>
    <t>25-31084-CM</t>
  </si>
  <si>
    <t>LBR,25M,53"/1.3M,143-31084-25</t>
  </si>
  <si>
    <t>25-31085-CM</t>
  </si>
  <si>
    <t>LBR,25M,53"/1.3M,143-31085-25</t>
  </si>
  <si>
    <t>25-31086-CM</t>
  </si>
  <si>
    <t>LBR,25M,53"/1.3M,143-31086-25</t>
  </si>
  <si>
    <t>25-31105-C</t>
  </si>
  <si>
    <t>LBR,25,53"/1.3M,143-31105-25</t>
  </si>
  <si>
    <t>25-31106-CM</t>
  </si>
  <si>
    <t>LBR,25M,53"/1.3M,143-31106-25</t>
  </si>
  <si>
    <t>27-30002-C</t>
  </si>
  <si>
    <t>LBR,27,80"/2M,143-30002-27</t>
  </si>
  <si>
    <t>27-30030-C</t>
  </si>
  <si>
    <t>LBR,27,36"/0.9M,143-30030-27</t>
  </si>
  <si>
    <t>27-30059-C</t>
  </si>
  <si>
    <t>LBR,27,80"/2M,143-30059-27</t>
  </si>
  <si>
    <t>27-30179-C</t>
  </si>
  <si>
    <t>LBR,27,47"/1.2M,143-30179-27</t>
  </si>
  <si>
    <t>27-30226-C</t>
  </si>
  <si>
    <t>LBR,27,18"/0.5M,143-30226-27</t>
  </si>
  <si>
    <t>27-30227-C</t>
  </si>
  <si>
    <t>LBR,27,18"/0.5M,143-30227-27</t>
  </si>
  <si>
    <t>27-30247-C</t>
  </si>
  <si>
    <t>LBR,27,18"/0.5M,143-30247-27</t>
  </si>
  <si>
    <t>27-30248-C</t>
  </si>
  <si>
    <t>LBR,27,18"/0.5M,143-30248-27</t>
  </si>
  <si>
    <t>27-30341-CM</t>
  </si>
  <si>
    <t>LBR,27INL,52"/1.3M,143-30341-27</t>
  </si>
  <si>
    <t>27-30342-CM</t>
  </si>
  <si>
    <t>LBR,27INL,52"/1.3M,143-30342-27</t>
  </si>
  <si>
    <t>27-30381-CM</t>
  </si>
  <si>
    <t>LBR,27INL,52"/1.3M,143-30381-27</t>
  </si>
  <si>
    <t>27-30395-C</t>
  </si>
  <si>
    <t>LBR,27,80"/2M,143-30395-27</t>
  </si>
  <si>
    <t>27-30469-CM</t>
  </si>
  <si>
    <t>LBR,27INL,22"/0.6M,143-30469-27</t>
  </si>
  <si>
    <t>27-30470-CM</t>
  </si>
  <si>
    <t>LBR,27INL,22"/0.6M,143-30470-27</t>
  </si>
  <si>
    <t>27-30483-CM</t>
  </si>
  <si>
    <t>LBR,27INL,52"/1.3M,143-30483-27</t>
  </si>
  <si>
    <t>27-30607-CM</t>
  </si>
  <si>
    <t>LBR,27INL,58"/1.5M,143-30607-27</t>
  </si>
  <si>
    <t>27-30645-CM</t>
  </si>
  <si>
    <t>LBR,27INL,36"/0.9M,143-30645-27</t>
  </si>
  <si>
    <t>27-30675-C</t>
  </si>
  <si>
    <t>LBR,27,18"/0.5M,143-30675-27</t>
  </si>
  <si>
    <t>27-30676-C</t>
  </si>
  <si>
    <t>LBR,27,18"/0.5M,143-30676-27</t>
  </si>
  <si>
    <t>27-30684-C</t>
  </si>
  <si>
    <t>LBR,27,47"/1.2M,143-30684-27</t>
  </si>
  <si>
    <t>27-30693-CM</t>
  </si>
  <si>
    <t>LBR,27M,52"/1.3M,143-30693-27</t>
  </si>
  <si>
    <t>27-30705-CM</t>
  </si>
  <si>
    <t>LBR,27M,52"/1.3M,143-30705-27</t>
  </si>
  <si>
    <t>27-30751-C</t>
  </si>
  <si>
    <t>LBR,27CC,91"/2.3M,143-30751-27</t>
  </si>
  <si>
    <t>27-30785-CM</t>
  </si>
  <si>
    <t>LBR,27M,47"/1.2M,143-30785-27</t>
  </si>
  <si>
    <t>27-30789-CM</t>
  </si>
  <si>
    <t>LBR,27M,52"/1.3M,143-30789-27</t>
  </si>
  <si>
    <t>27-30794-C</t>
  </si>
  <si>
    <t>LBR,27CC,52"/1.3M,143-30794-27</t>
  </si>
  <si>
    <t>27-30796-C</t>
  </si>
  <si>
    <t>LBR,27CC,52"/1.3M,143-30796-27</t>
  </si>
  <si>
    <t>27-30806-CM</t>
  </si>
  <si>
    <t>LBR,27M,52"/1.3M,143-30806-27</t>
  </si>
  <si>
    <t>27-30816-C</t>
  </si>
  <si>
    <t>LBR,27CC,58"/1.5M,143-30816-27</t>
  </si>
  <si>
    <t>27-30820-CM</t>
  </si>
  <si>
    <t>LBR,27M,52"/1.3M,143-30820-27</t>
  </si>
  <si>
    <t>27-30899-C</t>
  </si>
  <si>
    <t>LBR,27CC,52"/1.3M,143-30899-27</t>
  </si>
  <si>
    <t>27-30907-CM</t>
  </si>
  <si>
    <t>LBR,27M,52"/1.3M,143-30907-27</t>
  </si>
  <si>
    <t>27-30909-CM</t>
  </si>
  <si>
    <t>LBR,27M,52"/1.3M,143-30909-27</t>
  </si>
  <si>
    <t>27-30911-CM</t>
  </si>
  <si>
    <t>LBR,27M,52"/1.3M,143-30911-27</t>
  </si>
  <si>
    <t>27-30920-CM</t>
  </si>
  <si>
    <t>LBR,27M,52"/1.3M,143-30920-27</t>
  </si>
  <si>
    <t>27-30928-CM</t>
  </si>
  <si>
    <t>LBR,27M,52"/1.3M,143-30928-27</t>
  </si>
  <si>
    <t>27-30936-C</t>
  </si>
  <si>
    <t>LBR,27CC,80"/2M,143-30936-27</t>
  </si>
  <si>
    <t>27-30938-C</t>
  </si>
  <si>
    <t>LBR,27CC,47"/1.2M,143-30938-27</t>
  </si>
  <si>
    <t>27-30948-CM</t>
  </si>
  <si>
    <t>LBR,27M,52"/1.3M,143-30948-27</t>
  </si>
  <si>
    <t>27-30959-C</t>
  </si>
  <si>
    <t>LBR,27CC,47"/1.2M,143-30959-27</t>
  </si>
  <si>
    <t>27-30971-CM</t>
  </si>
  <si>
    <t>LBR,27M,52"/1.3M,143-30971-27</t>
  </si>
  <si>
    <t>27-30974-C</t>
  </si>
  <si>
    <t>LBR,27CC,80"/2M,143-30974-27</t>
  </si>
  <si>
    <t>27-30978-C</t>
  </si>
  <si>
    <t>LBR,27CC,36"/0.9M,143-30978-27</t>
  </si>
  <si>
    <t>27-30988-CM</t>
  </si>
  <si>
    <t>LBR,27M,52"/1.3M,143-30988-27</t>
  </si>
  <si>
    <t>27-31009-CM</t>
  </si>
  <si>
    <t>LBR,27M,52"/1.3M,143-31009-27</t>
  </si>
  <si>
    <t>27-31024-CM</t>
  </si>
  <si>
    <t>LBR,27M,52"/1.3M,143-31024-27</t>
  </si>
  <si>
    <t>27-31038-C</t>
  </si>
  <si>
    <t>LBR,27CC,91"/2.3M,143-31038-27</t>
  </si>
  <si>
    <t>27-31068-C</t>
  </si>
  <si>
    <t>LBR,27CC,69"/1.8M,143-31068-27</t>
  </si>
  <si>
    <t>27-31092-C</t>
  </si>
  <si>
    <t>LBR,27CC,58"/1.5M,143-31092-27</t>
  </si>
  <si>
    <t>27-31097-CM</t>
  </si>
  <si>
    <t>LBR,27M,52"/1.3M,143-31097-27</t>
  </si>
  <si>
    <t>27-31109-CM</t>
  </si>
  <si>
    <t>LBR,27M,52"/1.3M,143-31109-27</t>
  </si>
  <si>
    <t>27-31112-C</t>
  </si>
  <si>
    <t>LBR,27CC,47"/1.2M,143-31112-27</t>
  </si>
  <si>
    <t>27-31116-C</t>
  </si>
  <si>
    <t>LBR,27CC,44"/1.1M,143-31116-27</t>
  </si>
  <si>
    <t>27-31117-C</t>
  </si>
  <si>
    <t>LBR,27CC,47"/1.2M,143-31117-27</t>
  </si>
  <si>
    <t>27-31132-CM</t>
  </si>
  <si>
    <t>LBR,27M,47"/1.2M,143-31132-27</t>
  </si>
  <si>
    <t>27-31135-C</t>
  </si>
  <si>
    <t>LBR,27CC,52"/1.3M,143-31135-27</t>
  </si>
  <si>
    <t>27-31136-CM</t>
  </si>
  <si>
    <t>LBR,27M,47"/1.2M,143-31136-27</t>
  </si>
  <si>
    <t>27-31145-CM</t>
  </si>
  <si>
    <t>LBR,27M,47"/1.2M,143-31145-27</t>
  </si>
  <si>
    <t>27-31148-C</t>
  </si>
  <si>
    <t>LBR,27CC,52"/1.3M,143-31148-27</t>
  </si>
  <si>
    <t>27-31154-C</t>
  </si>
  <si>
    <t>LBR,27CC,47"/1.2M,143-31154-27</t>
  </si>
  <si>
    <t>27-31156-CM</t>
  </si>
  <si>
    <t>LBR,27M,80"/2M,143-31156-27</t>
  </si>
  <si>
    <t>27-31159-C</t>
  </si>
  <si>
    <t>LBR,27CC,52"/1.3M,143-31159-27</t>
  </si>
  <si>
    <t>27-31160-CM</t>
  </si>
  <si>
    <t>LBR,27M,47"/1.2M,143-31160-27</t>
  </si>
  <si>
    <t>27-31164-C</t>
  </si>
  <si>
    <t>LBR,27CC,91"/2.3M,143-31164-27</t>
  </si>
  <si>
    <t>27-31165-C</t>
  </si>
  <si>
    <t>LBR,27CC,44"/1.1M,143-31165-27</t>
  </si>
  <si>
    <t>27-31166-CM</t>
  </si>
  <si>
    <t>LBR,27M,52"/1.3M,143-31166-27</t>
  </si>
  <si>
    <t>27-31168-C</t>
  </si>
  <si>
    <t>LBR,27CC,52"/1.3M,143-31168-27</t>
  </si>
  <si>
    <t>27-31170-C</t>
  </si>
  <si>
    <t>LBR,27CC,47"/1.2M,143-31170-27</t>
  </si>
  <si>
    <t>27-31176-C</t>
  </si>
  <si>
    <t>LBR,27CC,52"/1.3M,143-31176-27</t>
  </si>
  <si>
    <t>27-31177-CM</t>
  </si>
  <si>
    <t>LBR,27M,44"/1.1M,143-31177-27</t>
  </si>
  <si>
    <t>27-31179-CM</t>
  </si>
  <si>
    <t>LBR,27M,52"/1.3M,143-31179-27</t>
  </si>
  <si>
    <t>27-31181-C</t>
  </si>
  <si>
    <t>LBR,27CC,80"/2M,143-31181-27</t>
  </si>
  <si>
    <t>27-31188-C</t>
  </si>
  <si>
    <t>LBR,27CC,47"/1.2M,143-31188-27</t>
  </si>
  <si>
    <t>27-31198-C</t>
  </si>
  <si>
    <t>LBR,27CC,52"/1.3M,143-31198-27</t>
  </si>
  <si>
    <t>27-31199-C</t>
  </si>
  <si>
    <t>LBR,27CC,69"/1.8M,143-31199-27</t>
  </si>
  <si>
    <t>27-31201-CM</t>
  </si>
  <si>
    <t>LBR,27M,58"/1.5M,143-31201-27</t>
  </si>
  <si>
    <t>27-31205-C</t>
  </si>
  <si>
    <t>LBR,27CC,47"/1.2M,143-31205-27</t>
  </si>
  <si>
    <t>27-31206-CM</t>
  </si>
  <si>
    <t>LBR,27M,52"/1.3M,143-31206-27</t>
  </si>
  <si>
    <t>27-31209-CM</t>
  </si>
  <si>
    <t>LBR,27M,52"/1.3M,143-31209-27</t>
  </si>
  <si>
    <t>27-31211-C</t>
  </si>
  <si>
    <t>LBR,27CC,69"/1.8M,143-31211-27</t>
  </si>
  <si>
    <t>27-31212-CM</t>
  </si>
  <si>
    <t>LBR,27M,52"/1.3M,143-31212-27</t>
  </si>
  <si>
    <t>27-31218-C</t>
  </si>
  <si>
    <t>LBR,27CC,58"/1.5M,143-31218-27</t>
  </si>
  <si>
    <t>27-31220-C</t>
  </si>
  <si>
    <t>LBR,27CC,69"/1.8M,143-31220-27</t>
  </si>
  <si>
    <t>27-31224-C</t>
  </si>
  <si>
    <t>LBR,27CC,52"/1.3M,143-31224-27</t>
  </si>
  <si>
    <t>27-31225-C</t>
  </si>
  <si>
    <t>LBR,27CC,47"/1.2M,143-31225-27</t>
  </si>
  <si>
    <t>27-31226-CM</t>
  </si>
  <si>
    <t>LBR,27M,52"/1.3M,143-31226-27</t>
  </si>
  <si>
    <t>27-31227-CM</t>
  </si>
  <si>
    <t>LBR,27M,47"/1.2M,143-31227-27</t>
  </si>
  <si>
    <t>27-31230-C</t>
  </si>
  <si>
    <t>LBR,27CC,52"/1.3M,143-31230-27</t>
  </si>
  <si>
    <t>27-31233-CM</t>
  </si>
  <si>
    <t>LBR,27M,52"/1.3M,143-31233-27</t>
  </si>
  <si>
    <t>27-31234-CM</t>
  </si>
  <si>
    <t>LBR,27M,69"/1.8M,143-31234-27</t>
  </si>
  <si>
    <t>27-31235-CM</t>
  </si>
  <si>
    <t>LBR,27M,69"/1.8M,143-31235-27</t>
  </si>
  <si>
    <t>27-31237-CM</t>
  </si>
  <si>
    <t>LBR,27M,58"/1.5M,143-31237-27</t>
  </si>
  <si>
    <t>27-31239-C</t>
  </si>
  <si>
    <t>LBR,27CC,52"/1.3M,143-31239-27</t>
  </si>
  <si>
    <t>27-31240-C</t>
  </si>
  <si>
    <t>LBR,27CC,52"/1.3M,143-31240-27</t>
  </si>
  <si>
    <t>27-31243-CM</t>
  </si>
  <si>
    <t>LBR,27M,52"/1.3M,143-31243-27</t>
  </si>
  <si>
    <t>27-31250-C</t>
  </si>
  <si>
    <t>LBR,27CC,52"/1.3M,143-31250-27</t>
  </si>
  <si>
    <t>27-31251-C</t>
  </si>
  <si>
    <t>LBR,27CC,52"/1.3M,143-31251-27</t>
  </si>
  <si>
    <t>27-31256-C</t>
  </si>
  <si>
    <t>LBR,27CC,47"/1.2M,143-31256-27</t>
  </si>
  <si>
    <t>27-31257-C</t>
  </si>
  <si>
    <t>LBR,27CC,52"/1.3M,143-31257-27</t>
  </si>
  <si>
    <t>27-31261-C</t>
  </si>
  <si>
    <t>LBR,27CC,80"/2M,143-31261-27</t>
  </si>
  <si>
    <t>27-31262-C</t>
  </si>
  <si>
    <t>LBR,27CC,52"/1.3M,143-31262-27</t>
  </si>
  <si>
    <t>27-31265-C</t>
  </si>
  <si>
    <t>LBR,27CC,47"/1.2M,143-31265-27</t>
  </si>
  <si>
    <t>27-31268-C</t>
  </si>
  <si>
    <t>LBR,27CC,47"/1.2M,143-31268-27</t>
  </si>
  <si>
    <t>27-31269-CM</t>
  </si>
  <si>
    <t>LBR,27M,22"/0.6M,143-31269-27</t>
  </si>
  <si>
    <t>27-31270-CM</t>
  </si>
  <si>
    <t>LBR,27M,22"/0.6M,143-31270-27</t>
  </si>
  <si>
    <t>27-31278-CM</t>
  </si>
  <si>
    <t>LBR,27M,47"/1.2M,143-31278-27</t>
  </si>
  <si>
    <t>27-31279-CM</t>
  </si>
  <si>
    <t>LBR,27M,52"/1.3M,143-31279-27</t>
  </si>
  <si>
    <t>27-31280-CM</t>
  </si>
  <si>
    <t>LBR,27M,22"/0.6M,143-31280-27</t>
  </si>
  <si>
    <t>27-31281-CM</t>
  </si>
  <si>
    <t>LBR,27M,22"/0.6M,143-31281-27</t>
  </si>
  <si>
    <t>27-31285-C</t>
  </si>
  <si>
    <t>LBR,27CC,69"/1.8M,143-31285-27</t>
  </si>
  <si>
    <t>27-31286-CM</t>
  </si>
  <si>
    <t>LBR,27M,69"/1.8M,143-31286-27</t>
  </si>
  <si>
    <t>27-31287-CM</t>
  </si>
  <si>
    <t>LBR,27M,52"/1.3M,143-31287-27</t>
  </si>
  <si>
    <t>27-31288-CM</t>
  </si>
  <si>
    <t>LBR,27M,52"/1.3M,143-31288-27</t>
  </si>
  <si>
    <t>27-31289-C</t>
  </si>
  <si>
    <t>LBR,27CC,52"/1.3M,143-31289-27</t>
  </si>
  <si>
    <t>27-31290-C</t>
  </si>
  <si>
    <t>LBR,27CC,52"/1.3M,143-31290-27</t>
  </si>
  <si>
    <t>27-31291-CM</t>
  </si>
  <si>
    <t>LBR,27M,58"/1.5M,143-31291-27</t>
  </si>
  <si>
    <t>27-31292-CM</t>
  </si>
  <si>
    <t>LBR,27M,52"/1.3M,143-31292-27</t>
  </si>
  <si>
    <t>27-31294-CM</t>
  </si>
  <si>
    <t>LBR,27M,91"/2.3M,143-31294-27</t>
  </si>
  <si>
    <t>27-31304-C</t>
  </si>
  <si>
    <t>LBR,27CC,52"/1.3M,143-31304-27</t>
  </si>
  <si>
    <t>27-31305-C</t>
  </si>
  <si>
    <t>LBR,27CC,47"/1.2M,143-31305-27</t>
  </si>
  <si>
    <t>27-31309-C</t>
  </si>
  <si>
    <t>LBR,27CC,80"/2M,143-31309-27</t>
  </si>
  <si>
    <t>27-31312-C</t>
  </si>
  <si>
    <t>LBR,27CC,58"/1.5M,143-31312-27</t>
  </si>
  <si>
    <t>27-31313-C</t>
  </si>
  <si>
    <t>LBR,27CC,52"/1.3M,143-31313-27</t>
  </si>
  <si>
    <t>27-31316-C</t>
  </si>
  <si>
    <t>LBR,27CC,52"/1.3M,143-31316-27</t>
  </si>
  <si>
    <t>27-31317-C</t>
  </si>
  <si>
    <t>LBR,27CC,80"/2M,143-31317-27</t>
  </si>
  <si>
    <t>27-31324-C</t>
  </si>
  <si>
    <t>LBR,27CC,47"/1.2M,143-31324-27</t>
  </si>
  <si>
    <t>27-31327-CM</t>
  </si>
  <si>
    <t>LBR,27M,47"/1.2M,143-31327-27</t>
  </si>
  <si>
    <t>27-31332-C</t>
  </si>
  <si>
    <t>LBR,27CC,52"/1.3M,143-31332-27</t>
  </si>
  <si>
    <t>27-31335-C</t>
  </si>
  <si>
    <t>LBR,27CC,80"/2M,143-31335-27</t>
  </si>
  <si>
    <t>27-31336-C</t>
  </si>
  <si>
    <t>LBR,27CC,52"/1.3M,143-31336-27</t>
  </si>
  <si>
    <t>27-31337-C</t>
  </si>
  <si>
    <t>LBR,27CC,47"/1.2M,143-31337-27</t>
  </si>
  <si>
    <t>27-31338-CM</t>
  </si>
  <si>
    <t>LBR,27M,80"/2M,143-31338-27</t>
  </si>
  <si>
    <t>27-31341-C</t>
  </si>
  <si>
    <t>LBR,27CC,80"/2M,143-31341-27</t>
  </si>
  <si>
    <t>27-31345-C</t>
  </si>
  <si>
    <t>LBR,27CC,47"/1.2M,143-31345-27</t>
  </si>
  <si>
    <t>27-31347-C</t>
  </si>
  <si>
    <t>LBR,27CC,52"/1.3M,143-31347-27</t>
  </si>
  <si>
    <t>27-31348-CM</t>
  </si>
  <si>
    <t>LBR,27M,47"/1.2M,143-31348-27</t>
  </si>
  <si>
    <t>27-31349-CM</t>
  </si>
  <si>
    <t>LBR,27M,52"/1.3M,143-31349-27</t>
  </si>
  <si>
    <t>27-31350-CM</t>
  </si>
  <si>
    <t>LBR,27M,58"/1.5M,143-31350-27</t>
  </si>
  <si>
    <t>27-31351-C</t>
  </si>
  <si>
    <t>LBR,27CC,58"/1.5M,143-31351-27</t>
  </si>
  <si>
    <t>27-31353-CM</t>
  </si>
  <si>
    <t>LBR,27M,52"/1.3M,143-31353-27</t>
  </si>
  <si>
    <t>27-31354-C</t>
  </si>
  <si>
    <t>LBR,27CC,58"/1.5M,143-31354-27</t>
  </si>
  <si>
    <t>27-31355-C</t>
  </si>
  <si>
    <t>LBR,27CC,52"/1.3M,143-31355-27</t>
  </si>
  <si>
    <t>27-31359-C</t>
  </si>
  <si>
    <t>LBR,27CC,47"/1.2M,143-31359-27</t>
  </si>
  <si>
    <t>27-31360-C</t>
  </si>
  <si>
    <t>LBR,27CC,47"/1.2M,143-31360-27</t>
  </si>
  <si>
    <t>27-31368-C</t>
  </si>
  <si>
    <t>LBR,27CC,69"/1.8M,143-31368-27</t>
  </si>
  <si>
    <t>27-31369-CM</t>
  </si>
  <si>
    <t>LBR,27M,52"/1.3M,143-31369-27</t>
  </si>
  <si>
    <t>27-31370-CM</t>
  </si>
  <si>
    <t>LBR,27M,47"/1.2M,143-31370-27</t>
  </si>
  <si>
    <t>27-31372-C</t>
  </si>
  <si>
    <t>LBR,27CC,47"/1.2M,143-31372-27</t>
  </si>
  <si>
    <t>27-31374-C</t>
  </si>
  <si>
    <t>LBR,27CC,52"/1.3M,143-31374-27</t>
  </si>
  <si>
    <t>27-31376-C</t>
  </si>
  <si>
    <t>LBR,27CC,47"/1.2M,143-31376-27</t>
  </si>
  <si>
    <t>27-31377-C</t>
  </si>
  <si>
    <t>LBR,27CC,58"/1.5M,143-31377-27</t>
  </si>
  <si>
    <t>27-31379-C</t>
  </si>
  <si>
    <t>LBR,27CC,52"/1.3M,143-31379-27</t>
  </si>
  <si>
    <t>27-31380-C</t>
  </si>
  <si>
    <t>LBR,27CC,69"/1.8M,143-31380-27</t>
  </si>
  <si>
    <t>27-31387-CM</t>
  </si>
  <si>
    <t>LBR,27M,47"/1.2M,143-31387-27</t>
  </si>
  <si>
    <t>27-31389-C</t>
  </si>
  <si>
    <t>LBR,27CC,52"/1.3M,143-31389-27</t>
  </si>
  <si>
    <t>27-31390-CM</t>
  </si>
  <si>
    <t>LBR,27M,52"/1.3M,143-31390-27</t>
  </si>
  <si>
    <t>27-31391-C</t>
  </si>
  <si>
    <t>LBR,27CC,47"/1.2M,143-31391-27</t>
  </si>
  <si>
    <t>27-31392-C</t>
  </si>
  <si>
    <t>LBR,27CC,52"/1.3M,143-31392-27</t>
  </si>
  <si>
    <t>27-31393-C</t>
  </si>
  <si>
    <t>LBR,27CC,47"/1.2M,143-31393-27</t>
  </si>
  <si>
    <t>27-31395-C</t>
  </si>
  <si>
    <t>LBR,27CC,58"/1.5M,143-31395-27</t>
  </si>
  <si>
    <t>27-31396-C</t>
  </si>
  <si>
    <t>LBR,27CC,52"/1.3M,143-31396-27</t>
  </si>
  <si>
    <t>27-31397-C</t>
  </si>
  <si>
    <t>LBR,27CC,52"/1.3M,143-31397-27</t>
  </si>
  <si>
    <t>27-31398-CM</t>
  </si>
  <si>
    <t>LBR,27M,47"/1.2M,143-31398-27</t>
  </si>
  <si>
    <t>27-31399-CM</t>
  </si>
  <si>
    <t>LBR,27M,58"/1.5M,143-31399-27</t>
  </si>
  <si>
    <t>27-31400-C</t>
  </si>
  <si>
    <t>LBR,27CC,58"/1.5M,143-31400-27</t>
  </si>
  <si>
    <t>27-31401-C</t>
  </si>
  <si>
    <t>LBR,27CC,52"/1.3M,143-31401-27</t>
  </si>
  <si>
    <t>27-31402-CM</t>
  </si>
  <si>
    <t>LBR,27M,58"/1.5M,143-31402-27</t>
  </si>
  <si>
    <t>27-31403-CM</t>
  </si>
  <si>
    <t>LBR,27M,52"/1.3M,143-31403-27</t>
  </si>
  <si>
    <t>27-31404-C</t>
  </si>
  <si>
    <t>LBR,27CC,58"/1.5M,143-31404-27</t>
  </si>
  <si>
    <t>27-31405-C</t>
  </si>
  <si>
    <t>LBR,27CC,47"/1.2M,143-31405-27</t>
  </si>
  <si>
    <t>27-31406-C</t>
  </si>
  <si>
    <t>LBR,27CC,80"/2M,143-31406-27</t>
  </si>
  <si>
    <t>27-31407-CM</t>
  </si>
  <si>
    <t>LBR,27M,52"/1.3M,143-31407-27</t>
  </si>
  <si>
    <t>27-31417-C</t>
  </si>
  <si>
    <t>LBR,27CC,69"/1.8M,143-31417-27</t>
  </si>
  <si>
    <t>27-31418-C</t>
  </si>
  <si>
    <t>LBR,27CC,52"/1.3M,143-31418-27</t>
  </si>
  <si>
    <t>27-31419-C</t>
  </si>
  <si>
    <t>LBR,27CC,69"/1.8M,143-31419-27</t>
  </si>
  <si>
    <t>27-31420-C</t>
  </si>
  <si>
    <t>LBR,27CC,52"/1.3M,143-31420-27</t>
  </si>
  <si>
    <t>27-31422-CM</t>
  </si>
  <si>
    <t>LBR,27M,52"/1.3M,143-31422-27</t>
  </si>
  <si>
    <t>LBR,16M,52"/1.3M,143-32226-16</t>
  </si>
  <si>
    <t>16-32226-CM</t>
  </si>
  <si>
    <t>12-70193-C</t>
  </si>
  <si>
    <t>12-70192-C</t>
  </si>
  <si>
    <t>12-70191-C</t>
  </si>
  <si>
    <t>12-70190-C</t>
  </si>
  <si>
    <t>12-70171-C</t>
  </si>
  <si>
    <t>12-70170-C</t>
  </si>
  <si>
    <t>12-70169-C</t>
  </si>
  <si>
    <t>12-70168-C</t>
  </si>
  <si>
    <t>12-70167-C</t>
  </si>
  <si>
    <t>12-70166-C</t>
  </si>
  <si>
    <t>12-70165-C</t>
  </si>
  <si>
    <t>12-70164-C</t>
  </si>
  <si>
    <t>12-70163-C</t>
  </si>
  <si>
    <t>12-70162-C</t>
  </si>
  <si>
    <t>12-70161-C</t>
  </si>
  <si>
    <t>12-70160-C</t>
  </si>
  <si>
    <t>12-70159-C</t>
  </si>
  <si>
    <t>12-70158-C</t>
  </si>
  <si>
    <t>12-70157-C</t>
  </si>
  <si>
    <t>12-70156-C</t>
  </si>
  <si>
    <t>12-70155-C</t>
  </si>
  <si>
    <t>12-70154-C</t>
  </si>
  <si>
    <t>12-70153-C</t>
  </si>
  <si>
    <t>12-70152-C</t>
  </si>
  <si>
    <t>12-70151-C</t>
  </si>
  <si>
    <t>12-70150-C</t>
  </si>
  <si>
    <t>12-70149-C</t>
  </si>
  <si>
    <t>12-70148-C</t>
  </si>
  <si>
    <t>12-70147-C</t>
  </si>
  <si>
    <t>12-70146-C</t>
  </si>
  <si>
    <t>12-70145-C</t>
  </si>
  <si>
    <t>12-70144-C</t>
  </si>
  <si>
    <t>12-70143-C</t>
  </si>
  <si>
    <t>12-70142-C</t>
  </si>
  <si>
    <t>12-70141-C</t>
  </si>
  <si>
    <t>12-70140-C</t>
  </si>
  <si>
    <t>12-70138-C</t>
  </si>
  <si>
    <t>12-70134-C</t>
  </si>
  <si>
    <t>12-70133-C</t>
  </si>
  <si>
    <t>12-70132-C</t>
  </si>
  <si>
    <t>12-70129-C</t>
  </si>
  <si>
    <t>12-70128-C</t>
  </si>
  <si>
    <t>12-70126-C</t>
  </si>
  <si>
    <t>12-70111-C</t>
  </si>
  <si>
    <t>12-70109-C</t>
  </si>
  <si>
    <t>12-70108-C</t>
  </si>
  <si>
    <t>12-70104-C</t>
  </si>
  <si>
    <t>12-70099-C</t>
  </si>
  <si>
    <t>12-70095-C</t>
  </si>
  <si>
    <t>12-70091-C</t>
  </si>
  <si>
    <t>12-70087-C</t>
  </si>
  <si>
    <t>12-70086-C</t>
  </si>
  <si>
    <t>12-70079-C</t>
  </si>
  <si>
    <t>12-70076-C</t>
  </si>
  <si>
    <t>12-70075-C</t>
  </si>
  <si>
    <t>12-70071-C</t>
  </si>
  <si>
    <t>12-70062-C</t>
  </si>
  <si>
    <t>12-70057-C</t>
  </si>
  <si>
    <t>12-70054-C</t>
  </si>
  <si>
    <t>12-70052-C</t>
  </si>
  <si>
    <t>12-70051-C</t>
  </si>
  <si>
    <t>12-70050-C</t>
  </si>
  <si>
    <t>Non-Catalog Lightbar Price List</t>
  </si>
  <si>
    <t>Single T-Rail Mount
Hatch Mount
Universal Lock
Handcuff Key Override</t>
  </si>
  <si>
    <t>GK2388ITU20HK</t>
  </si>
  <si>
    <t>Single T-Rail Mount
Hatch Mount
Universal Lock
#2 Key Override</t>
  </si>
  <si>
    <t>GK2388ITU20</t>
  </si>
  <si>
    <t>Single T-Rail Mount
Large 40MM
With #2 Key Override
*Powdercoated Black</t>
  </si>
  <si>
    <t>GK23251L</t>
  </si>
  <si>
    <t>Single T-Rail Mount
Large 40MM
With #2 Key Override
*Powdercoated Green</t>
  </si>
  <si>
    <t>GK13681LSSCA</t>
  </si>
  <si>
    <t>FIREARM MOUNT SYSTEMS</t>
  </si>
  <si>
    <t xml:space="preserve">Cargo Scale Box
*ACCOMODATES Up To 8 Scales </t>
  </si>
  <si>
    <t>TK0888ITU20</t>
  </si>
  <si>
    <t>*RECOMMENDED #12VS Cargo Area Rear Partition NOT INCLUDED</t>
  </si>
  <si>
    <t>SCALE BOX</t>
  </si>
  <si>
    <t>CARGO DECK w/ DRAWER SUPER MAX &amp; SIMPLEX LOCK
*NOT COMPATIBLE WITH: SPT Partition
*INCLUDES REQUIRED:
   -Dual Poly Wall for Recessed Panel or XL Front Partition
   -Lower Cargo Deck w/ Rubber Mat
   -Storage Box
   -Door Panel 1pc Driver Side ONLY
*INCLUDES OPTIONAL ACCESSORIES:
   -Upper Cargo Deck
   -TPO Single Replacement Seat w/ Smart Belt System
   -Door Panel Aluminum 1pc Passenger Side ONLY
   -Window Barrier 2pc Set Horizontal Bars
*DOES NOT INCLUDE REQUIRED:
   -Recessed Panel or XL Front Partition
   -#12VS Rear Partition</t>
  </si>
  <si>
    <t>TK1769ITU20</t>
  </si>
  <si>
    <t>CARGO DECK w/ DRAWER SUPER MAX WITH KEY LOCK
*NOT COMPATIBLE WITH: SPT Partition
*INCLUDES REQUIRED:
   -Dual Poly Wall for Recessed Panel or XL Front Partition
   -Lower Cargo Deck w/ Rubber Mat
   -Storage Box
   -Door Panel 1pc Driver Side ONLY
*INCLUDES OPTIONAL ACCESSORIES:
   -Upper Cargo Deck
   -TPO Single Replacement Seat w/ Center Pull Seat Belt
   -Door Panel Aluminum 1pc Passenger Side ONLY
   -Window Barrier 2pc Set Horizontal Bars
*DOES NOT INCLUDE REQUIRED:
   -Recessed Panel or XL Front Partition
   -#12VS Rear Partition</t>
  </si>
  <si>
    <t>TK1553ITU20</t>
  </si>
  <si>
    <t>*INCLUDES: CARGO DECK W/ DRAWER MAX AND ALL AVAILABLE OPTIONAL ACCESSORIES
*DOES NOT INCLUDE REQUIRED RECESSED PANEL/XL FRONT PARTITION OR #12VS REAR PARTITION</t>
  </si>
  <si>
    <t>***NEW CARGO DECK SUPER MAX SYSTEM**</t>
  </si>
  <si>
    <t>Window Barrier 2pc Set Horizontal Steel Bars</t>
  </si>
  <si>
    <t>WK0514ITU20H</t>
  </si>
  <si>
    <t>Door Panel 1pc Passenger Side ONLY</t>
  </si>
  <si>
    <t>1D1388ITU20</t>
  </si>
  <si>
    <t>Upper Cargo Deck
*REQUIRED:
   -TK1552ITU20 Cargo Deck w/ Drawer Max NOT INCLUDED</t>
  </si>
  <si>
    <t>TPA18454</t>
  </si>
  <si>
    <r>
      <rPr>
        <b/>
        <sz val="12"/>
        <color rgb="FFFF0000"/>
        <rFont val="Calibri"/>
        <family val="2"/>
        <scheme val="minor"/>
      </rPr>
      <t>OPTIONAL ACCESSORY UPGRADES</t>
    </r>
    <r>
      <rPr>
        <b/>
        <sz val="10"/>
        <color theme="1"/>
        <rFont val="Calibri"/>
        <family val="2"/>
        <scheme val="minor"/>
      </rPr>
      <t xml:space="preserve">
*REQUIRED: CARGO DECK W/ DRAWER MAX NOT INCLUDED</t>
    </r>
  </si>
  <si>
    <t>CARGO DECK w/ DRAWER MAX WITH KEY LOCK
*NOT COMPATIBLE WITH: SPT Partition
*INCLUDES REQUIRED:
   -Dual Poly Wall for Recessed Panel or XL Front Partition
   -Lower Cargo Deck w/ Rubber Mat
   -Storage Box
   -Door Panel 1pc Driver Side ONLY
*DOES NOT INCLUDE REQUIRED:
   -Recessed Panel or XL Front Partition
   -#12VS Rear Partition</t>
  </si>
  <si>
    <t>TK1552ITU20</t>
  </si>
  <si>
    <t>***NEW CARGO DECK MAX SYSTEM**</t>
  </si>
  <si>
    <r>
      <rPr>
        <b/>
        <sz val="10"/>
        <color rgb="FFFF0000"/>
        <rFont val="Calibri"/>
        <family val="2"/>
        <scheme val="minor"/>
      </rPr>
      <t xml:space="preserve">**NEW** </t>
    </r>
    <r>
      <rPr>
        <sz val="10"/>
        <color theme="1"/>
        <rFont val="Calibri"/>
        <family val="2"/>
        <scheme val="minor"/>
      </rPr>
      <t>EZ Lift Sliding Single Drawer System
With Key Lock</t>
    </r>
  </si>
  <si>
    <t>TK1789ITU20</t>
  </si>
  <si>
    <r>
      <rPr>
        <b/>
        <sz val="10"/>
        <color rgb="FFFF0000"/>
        <rFont val="Calibri"/>
        <family val="2"/>
        <scheme val="minor"/>
      </rPr>
      <t>**NEW**</t>
    </r>
    <r>
      <rPr>
        <sz val="10"/>
        <color theme="1"/>
        <rFont val="Calibri"/>
        <family val="2"/>
        <scheme val="minor"/>
      </rPr>
      <t xml:space="preserve"> EZ Lift Sliding Single Drawer System
With Simplex Lock</t>
    </r>
  </si>
  <si>
    <t>TK1720ITU20</t>
  </si>
  <si>
    <t>Cargo Rear Deck EZ Lift
With Lower Tray
*REPLACES CARGO FLOOR
*NOT COMPATIBLE WITH:
   -Lift Top Series Cargo Boxes</t>
  </si>
  <si>
    <t>TK1423ITU20</t>
  </si>
  <si>
    <t>CARGO DECK
*Replaces Cargo Floor 
*NOT COMPATIBLE WITH Lift Top Series Cargo Boxes</t>
  </si>
  <si>
    <t>TK1105ITU20</t>
  </si>
  <si>
    <t>CARGO DECK
*Replaces Cargo Floor 
*NOT COMPATIBLE WITH Lift Top Series Cargo Boxes
*REQUIRED #12VS Cargo Area Rear Partition with Radio Panel NOT INCLUDED</t>
  </si>
  <si>
    <t>EZ Lift Concealed Lock Boxes
*Not Compatible with Factory Deck</t>
  </si>
  <si>
    <t>TK2321ITU20</t>
  </si>
  <si>
    <t>Cargo Command Module
*Only Compatible with EZ Lift Dual Drawer System</t>
  </si>
  <si>
    <t>TK1431ITU20</t>
  </si>
  <si>
    <t>Elevated Single Drawer Cargo Box
Required:
  - #12VS Rear Cargo Partition</t>
  </si>
  <si>
    <t>TK1320ITU20</t>
  </si>
  <si>
    <t>EZ Lift Dual Drawer System
With Simplex Locks Qty 2</t>
  </si>
  <si>
    <t>TK1418ITU20</t>
  </si>
  <si>
    <t>EZ Lift Dual Drawer System
With Key Handle Locks Qty 2</t>
  </si>
  <si>
    <t>TK1417ITU20</t>
  </si>
  <si>
    <t>EZ Lift Dual Drawer System
With Driver Side Simplex Lock Qty 1, Passenger Side Key Handle Lock</t>
  </si>
  <si>
    <t>TK1413ITU20</t>
  </si>
  <si>
    <t>TK2307ITU20</t>
  </si>
  <si>
    <t>CARGO DECK
*Replaces Cargo Floor 
*NOT COMPATIBLE WITH Lift Top Series Cargo Boxes
*REQUIRED #12VS Cargo Area Rear Partition NOT INCLUDED</t>
  </si>
  <si>
    <t>Freestanding Cargo Box Bracket Kit
*NOT COMPATIBLE WITH:
   -EZ Lift Cargo Deck</t>
  </si>
  <si>
    <t>TF0292ITU20</t>
  </si>
  <si>
    <t>CARGO BOX BRACKETS</t>
  </si>
  <si>
    <t>Cargo Tray Lift Top Sliding White Board
*COMPATIBLE WITH:
   -Cargo Radio Tray With No Lock TRN</t>
  </si>
  <si>
    <t>TPA12874</t>
  </si>
  <si>
    <t>Cargo Tray Top Sliding White Board 
*COMPATIBLE WITH:
   -Cargo Radio Tray With No Lock TRN</t>
  </si>
  <si>
    <t>TPA12419</t>
  </si>
  <si>
    <t>Cargo Radio Tray
With No lock TRN</t>
  </si>
  <si>
    <t>TPA9289</t>
  </si>
  <si>
    <t>CARGO BOX
ACCESSORY</t>
  </si>
  <si>
    <t>**CARGO BOX TRANSFER KITS ARE AVAILABLE. PLEASE CONTACT YOUR REGIONS REPRESENTATIVE FOR PART NUMBER AND PRICE**</t>
  </si>
  <si>
    <t>CARGO BOX
DSR- Drawer, Sliding With Electic RFID Lock
BSN- Base Sliding With No Lock
* COMPATIBLE WITH:
   -UTILITY 2020 EZ-LIFT ONLY</t>
  </si>
  <si>
    <t>TK0842ITU20EZ</t>
  </si>
  <si>
    <t>CARGO BOX
DSE- Drawer, Sliding With Electric Key Pad Lock
BSN- Base Sliding With No Lock
* COMPATIBLE WITH:
   -UTILITY 2020 EZ-LIFT ONLY</t>
  </si>
  <si>
    <t>TK0841ITU20EZ</t>
  </si>
  <si>
    <t>CARGO BOX
DSC- Drawer, Sliding With Combination Lock
BSC- Base Sliding With Combination Lock
* COMPATIBLE WITH:
   -UTILITY 2020 EZ-LIFT ONLY</t>
  </si>
  <si>
    <t>TK0248ITU20EZ</t>
  </si>
  <si>
    <t>CARGO BOX
DSC- Drawer, Sliding With Combination Lock
BSK- Base Sliding With Key Lock
* COMPATIBLE WITH:
   -UTILITY 2020 EZ-LIFT ONLY</t>
  </si>
  <si>
    <t>TK0255ITU20EZ</t>
  </si>
  <si>
    <t>CARGO BOX
DSC- Drawer, Sliding With Combination Lock
BSN- Base Sliding With No Lock
* COMPATIBLE WITH:
   -UTILITY 2020 EZ-LIFT ONLY</t>
  </si>
  <si>
    <t>TK0241ITU20EZ</t>
  </si>
  <si>
    <t>CARGO BOX
DSK- Drawer, Sliding With Key Lock
BSC- Base Sliding With Combination Lock
* COMPATIBLE WITH:
   -UTILITY 2020 EZ-LIFT ONLY</t>
  </si>
  <si>
    <t>TK0246ITU20EZ</t>
  </si>
  <si>
    <t>CARGO BOX
DSK- Drawer, Sliding With Key Lock
BSK- Base Sliding With Key Lock
* COMPATIBLE WITH:
   -UTILITY 2020 EZ-LIFT ONLY</t>
  </si>
  <si>
    <t>TK0250ITU20EZ</t>
  </si>
  <si>
    <t>CARGO BOX
DSK- Drawer, Sliding With Key Lock
BSN- Base Sliding With No Lock
* COMPATIBLE WITH:
   -UTILITY 2020 EZ-LIFT ONLY</t>
  </si>
  <si>
    <t>TK0233ITU20EZ</t>
  </si>
  <si>
    <t>SLIDING DRAWER</t>
  </si>
  <si>
    <t>CARGO BOX
TOA- Tray, Open Top With Anchor Points
BSR- Base Sliding With Electric RFID Lock
* COMPATIBLE WITH:
   -UTILITY 2020 EZ-LIFT ONLY</t>
  </si>
  <si>
    <t>TK0835ITU20EZ</t>
  </si>
  <si>
    <t>CARGO BOX
TOA- Tray, Open Top With Anchor Points
BSE- Base Sliding With Electic Key Pad Lock
* COMPATIBLE WITH:
   -UTILITY 2020 EZ-LIFT ONLY</t>
  </si>
  <si>
    <t>TK0836ITU20EZ</t>
  </si>
  <si>
    <t>CARGO BOX
TOA- Tray, Open Top With Anchor Points
BSC- Base Sliding With Combination Lock
* COMPATIBLE WITH:
   -UTILITY 2020 EZ-LIFT ONLY</t>
  </si>
  <si>
    <t>TK0236ITU20EZ</t>
  </si>
  <si>
    <t>CARGO BOX
TOA- Tray, Open Top With Anchor Points
BSK- Base Sliding With Key Lock
* COMPATIBLE WITH:
   -UTILITY 2020 EZ-LIFT ONLY</t>
  </si>
  <si>
    <t>TK0254ITU20EZ</t>
  </si>
  <si>
    <t>CARGO BOX
TOA- Tray, Open Top With Anchor Points
BSN- Base Sliding With No Lock
* COMPATIBLE WITH:
   -UTILITY 2020 EZ-LIFT ONLY</t>
  </si>
  <si>
    <t>TK0247ITU20EZ</t>
  </si>
  <si>
    <t>OPEN-TOP TRAY</t>
  </si>
  <si>
    <t>CARGO BOX
TFN- Tray, Fixed With No Lock
BSE- Base Sliding With Electric Key Pad Lock
* COMPATIBLE WITH:
   -UTILITY 2020 EZ-LIFT ONLY</t>
  </si>
  <si>
    <t>TK0839ITU20EZ</t>
  </si>
  <si>
    <t>CARGO BOX
TFN- Tray, Fixed With No Lock
BSC- Base Sliding With Combination Lock
* COMPATIBLE WITH:
   -UTILITY 2020 EZ-LIFT ONLY</t>
  </si>
  <si>
    <t>TK0244ITU20EZ</t>
  </si>
  <si>
    <t>CARGO BOX
TFN- Tray, Fixed With No Lock
BSK- Base Sliding With Key Lock
* COMPATIBLE WITH:
   -UTILITY 2020 EZ-LIFT ONLY</t>
  </si>
  <si>
    <t>TK0252ITU20EZ</t>
  </si>
  <si>
    <t>CARGO BOX 
TFN- Tray, Fixed With No Lock
BSN- Base Sliding With No Lock
* COMPATIBLE WITH:
   -UTILITY 2020 EZ-LIFT ONLY</t>
  </si>
  <si>
    <t>TK0231ITU20EZ</t>
  </si>
  <si>
    <t>*COMPATIBLE WITH 2020 EZ Lift Cargo Deck</t>
  </si>
  <si>
    <t>FIXED TRAY</t>
  </si>
  <si>
    <t>*REQUIRED Setina #12VS Rear Cargo Partition Or Freestanding Brackets NOT INCLUDED</t>
  </si>
  <si>
    <t>CARGO BOX</t>
  </si>
  <si>
    <t>CARGO BOX
DSR- Drawer, Sliding With Electic RFID Lock
BSN- Base Sliding With No Lock</t>
  </si>
  <si>
    <t>TK0842ITU20</t>
  </si>
  <si>
    <t>CARGO BOX
DSE- Drawer, Sliding With Electric Key Pad Lock
BSN- Base Sliding With No Lock</t>
  </si>
  <si>
    <t>TK0841ITU20</t>
  </si>
  <si>
    <t>CARGO BOX
DSC- Drawer, Sliding With Combination Lock
BSC- Base Sliding With Combination Lock</t>
  </si>
  <si>
    <t>TK0248ITU20</t>
  </si>
  <si>
    <t>CARGO BOX
DSC- Drawer, Sliding With Combination Lock
BSK- Base Sliding With Key Lock</t>
  </si>
  <si>
    <t>TK0255ITU20</t>
  </si>
  <si>
    <t>CARGO BOX
DSC- Drawer, Sliding With Combination Lock
BSN- Base Sliding With No Lock</t>
  </si>
  <si>
    <t>TK0241ITU20</t>
  </si>
  <si>
    <t>CARGO BOX
DSK- Drawer, Sliding With Key Lock
BSC- Base Sliding With Combination Lock</t>
  </si>
  <si>
    <t>TK0246ITU20</t>
  </si>
  <si>
    <t>CARGO BOX
DSK- Drawer, Sliding With Key Lock
BSK- Base Sliding With Key Lock</t>
  </si>
  <si>
    <t>TK0250ITU20</t>
  </si>
  <si>
    <t>CARGO BOX
DSK- Drawer, Sliding With Key Lock
BSN- Base Sliding With No Lock</t>
  </si>
  <si>
    <t>TK0233ITU20</t>
  </si>
  <si>
    <t>CARGO BOX
LFR- Lift Top, Fixed Box With Electic RFID Lock
BSN- Base Sliding With No Lock</t>
  </si>
  <si>
    <t>TK0843ITU20</t>
  </si>
  <si>
    <t>CARGO BOX
LFE- Lift Top, Fixed Box With Electic Key Pad Lock
BSN- Base Sliding With No Lock</t>
  </si>
  <si>
    <t>TK0844ITU20</t>
  </si>
  <si>
    <t>CARGO BOX
LFC- Lift Top, Fixed Box With Combination Lock 
BSC- Base Sliding With Combination Lock</t>
  </si>
  <si>
    <t>TK0243ITU20</t>
  </si>
  <si>
    <t>CARGO BOX
LFC- Lift Top, Fixed Box With Combination Lock 
BSK- Base Sliding With Key Lock</t>
  </si>
  <si>
    <t>TK0251ITU20</t>
  </si>
  <si>
    <t>CARGO BOX 
LFC- Lift Top, Fixed Box With Combination Lock
BSN- Base Sliding With No Lock</t>
  </si>
  <si>
    <t>TK0230ITU20</t>
  </si>
  <si>
    <t>CARGO BOX
LFK- Lift Top, Fixed Box With Key Lock 
BSC- Base Sliding With Combination Lock</t>
  </si>
  <si>
    <t>TK0245ITU20</t>
  </si>
  <si>
    <t>CARGO BOX
LFK- Lift Top, Fixed Box With Key Lock 
BSK- Base Sliding With Key Lock</t>
  </si>
  <si>
    <t>TK0253ITU20</t>
  </si>
  <si>
    <t>CARGO BOX 
LFK- Lift Top, Fixed Box With Key Lock 
BSN- Base Sliding With No Lock</t>
  </si>
  <si>
    <t>TK0232ITU20</t>
  </si>
  <si>
    <t>LIFT-TOP FIXED DRAWER</t>
  </si>
  <si>
    <t>CARGO BOX
TOA- Tray, Open Top With Anchor Points
BSR- Base Sliding With Electric RFID Lock</t>
  </si>
  <si>
    <t>TK0835ITU20</t>
  </si>
  <si>
    <t>CARGO BOX
TOA- Tray, Open Top With Anchor Points
BSE- Base Sliding With Electic Key Pad Lock</t>
  </si>
  <si>
    <t>TK0836ITU20</t>
  </si>
  <si>
    <t>CARGO BOX
TOA- Tray, Open Top With Anchor Points
BSC- Base Sliding With Combination Lock</t>
  </si>
  <si>
    <t>TK0236ITU20</t>
  </si>
  <si>
    <t>CARGO BOX
TOA- Tray, Open Top With Anchor Points
BSK- Base Sliding With Key Lock</t>
  </si>
  <si>
    <t>TK0254ITU20</t>
  </si>
  <si>
    <t>CARGO BOX
TOA- Tray, Open Top With Anchor Points
BSN- Base Sliding With No Lock</t>
  </si>
  <si>
    <t>TK0247ITU20</t>
  </si>
  <si>
    <t>CARGO BOX
TFN- Tray, Fixed With No Lock
BSE- Base Sliding With Electric Key Pad Lock</t>
  </si>
  <si>
    <t>TK0839ITU20</t>
  </si>
  <si>
    <t>CARGO BOX
TFN- Tray, Fixed With No Lock
BSC- Base Sliding With Combination Lock</t>
  </si>
  <si>
    <t>TK0244ITU20</t>
  </si>
  <si>
    <t>CARGO BOX
TFN- Tray, Fixed With No Lock
BSK- Base Sliding With Key Lock</t>
  </si>
  <si>
    <t>TK0252ITU20</t>
  </si>
  <si>
    <t>CARGO BOX 
TFN- Tray, Fixed With No Lock
BSN- Base Sliding With No Lock</t>
  </si>
  <si>
    <t>TK0231ITU20</t>
  </si>
  <si>
    <t>*NOT COMPATIBLE WITH EZ Lift Cargo Deck</t>
  </si>
  <si>
    <t>Floor Pan VDRAIN
Individual 1 Piece</t>
  </si>
  <si>
    <t>PP9640</t>
  </si>
  <si>
    <t>*COMPATIBLE With All Setina Seats</t>
  </si>
  <si>
    <t>FLOOR PANS</t>
  </si>
  <si>
    <t>***FOR USE WITH MODEL YEARS 2020-2025***</t>
  </si>
  <si>
    <t>Full REPLACEMENT Transport Seat
TPO Plastic
With SETINA SMARTBELT SYSTEM
*INCLUDES REQUIRED:
   -#12VS Stationary Window Vinyl Coated Expanded Metal Cargo Area Rear Partition
*Seat Belt Retractors Pre-Installed to Save 30 Minutes of Install Time</t>
  </si>
  <si>
    <t>QK2120ITU25</t>
  </si>
  <si>
    <t>Full REPLACEMENT Transport Seat 
TPO Plastic
Wth SETINA SMARTBELT SYSTEM
*INCLUDES REQUIRED:
   -#12VS Stationary Window Coated Polycarbonate Cargo Area Rear Partition
*Seat Belt Retractors Pre-Installed to Save 30 Minutes of Install Time</t>
  </si>
  <si>
    <t>QK2141ITU25</t>
  </si>
  <si>
    <t>Full REPLACEMENT Transport Seat
TPO Plastic
With Center Pull Seat Belts
*INCLUDES REQUIRED:
   -#12VS Stationary Window Vinyl Coated Expanded Metal Cargo Area Rear Partition
*Seat Belt Retractors Pre-Installed to Save 30 Minutes of Install Time</t>
  </si>
  <si>
    <t>QK0635ITU25</t>
  </si>
  <si>
    <t>QK0566ITU25</t>
  </si>
  <si>
    <t>*FOR USE WITH Tall Man TM &amp; SPT Partitions</t>
  </si>
  <si>
    <t>*INCLUDES REQUIRED #12VS Stationary Window Cargo Area Rear Partition</t>
  </si>
  <si>
    <t>FULL REPLACMENT TRANSPORT SEAT</t>
  </si>
  <si>
    <t>***FOR USE WITH MODEL YEAR 2025***</t>
  </si>
  <si>
    <t>Full COVER Transport Seat
TPO Plastic
With SETINA SMARTBELT SYSTEM
*INCLUDES REQUIRED:
   -#12VS Stationary Window Coated Polycarbonate Cargo Area Rear Partition
*Seat Belt Retractors Pre-Installed to Save 30 Minutes of Install Time</t>
  </si>
  <si>
    <t>QK2144ITU25</t>
  </si>
  <si>
    <t>Full COVER Transport Seat
TPO Plastic
With SETINA SMARTBELT SYSTEM
*INCLUDES REQUIRED:
#12VS Stationary Window Vinyl Coated Expanded Metal Cargo Area Rear Partition
*Seat Belt Retractors Pre-Installed to Save 30 Minutes of Install Time</t>
  </si>
  <si>
    <t>QK2143ITU25</t>
  </si>
  <si>
    <t>Full COVER Transport Seat
TPO Plastic
With Center Pull Seat Belts
*INCLUDES REQUIRED:
   -#12VS Stationary Window Coated Polycarbonate Cargo Area Rear Partition
*Seat Belt Retractors Pre-Installed to Save 30 Minutes of Install Time</t>
  </si>
  <si>
    <t>QK0496ITU25</t>
  </si>
  <si>
    <t>Full COVER Transport Seat
TPO Plastic
With Center Pull Seat Belts
*INCLUDES REQUIRED:
   -#12VS Stationary Window Vinyl Coated Expanded Metal Cargo Area Rear Partition
*Seat Belt Retractors Pre-Installed to Save 30 Minutes of Install Time</t>
  </si>
  <si>
    <t>QK0495ITU25</t>
  </si>
  <si>
    <t>*FOR USE WITH XL Tall Man TM &amp; SPT Partitions</t>
  </si>
  <si>
    <t>FULL COVER TRANSPORT SEATING</t>
  </si>
  <si>
    <t>SETINA SMARTBELT SYSTEM
*FOR USE WITH:
   -Stock Seat
*INCLUDES:
   -#12VS Stationary Window Coated Polycarbonate Cargo Partition
*Seat Belt Retractors Pre-Installed to Save 30 Minutes of Install Time</t>
  </si>
  <si>
    <t>QK2146ITU20</t>
  </si>
  <si>
    <t>SETINA SMARTBELT SYSTEM
*FOR USE WITH:
   -Stock Seat
*INCLUDES:
   -#12VS Stationary Window Vinyl Coated Expanded Metal Cargo Area Rear Partition
*Seat Belt Retractors Pre-Installed to Save 30 Minutes of Install Time</t>
  </si>
  <si>
    <t>QK2151ITU20</t>
  </si>
  <si>
    <t>SETINA SMARTBELT SYSTEM
FOR USE WITH STOCK SEAT</t>
  </si>
  <si>
    <t>***FOR USE WITH MODEL YEARS 2020-2024***</t>
  </si>
  <si>
    <t>SETINA SMARTBELT SYSTEM
*FOR USE WITH:
   -Stock Seat
*REQUIRED:
   -#12VS Stationary Window Cargo Partition NOT INCLUDED</t>
  </si>
  <si>
    <t>QK1316ITU20</t>
  </si>
  <si>
    <t>SETINA CENTERPULL SEAT BELT SYSTEM
*FOR USE WITH:
   -Stock Seat
*REQUIRED:
   -#12VS Stationary Window Cargo Partition NOT INCLUDED</t>
  </si>
  <si>
    <t>QK2316ITU20</t>
  </si>
  <si>
    <t>SETINA CENTERPULL SEAT BELT SYSTEM
FOR USE WITH STOCK SEAT</t>
  </si>
  <si>
    <t>QK2120ITU20</t>
  </si>
  <si>
    <t>QK2141ITU20</t>
  </si>
  <si>
    <t>QK0635ITU20</t>
  </si>
  <si>
    <t>Full REPLACEMENT Transport Seat
TPO Plastic
With SETINA SMARTBELT SYSTEM</t>
  </si>
  <si>
    <t>QK2121ITU20</t>
  </si>
  <si>
    <t>Full REPLACEMENT Transport Seat
TPO Plastic
With Center Pull Seat Belts</t>
  </si>
  <si>
    <t>QK0634ITU20</t>
  </si>
  <si>
    <t>*REQUIRED #12VS Cargo Area Rear Partition NOT INCLUDED</t>
  </si>
  <si>
    <t>QK2144ITU20</t>
  </si>
  <si>
    <t>QK2143ITU20</t>
  </si>
  <si>
    <t>QK0496ITU20</t>
  </si>
  <si>
    <t>QK0495ITU20</t>
  </si>
  <si>
    <t>Full COVER Transport Seat
TPO Plastic
With SETINA SMARTBELT SYSTEM</t>
  </si>
  <si>
    <t>QK2142ITU20</t>
  </si>
  <si>
    <t>Full COVER Transport Seat
TPO Plastic
With Center Pull Seat Belts</t>
  </si>
  <si>
    <t>QK0494ITU20</t>
  </si>
  <si>
    <t>*FOR USE WITH XL Tall Man Partitions Only</t>
  </si>
  <si>
    <t>*REQUIRED #12VS Stationary Window Cargo Area Rear Partition NOT INCLUDED</t>
  </si>
  <si>
    <t>Skid Plate
Steel
*FOR USE WITH:
   -Hybrid Battery
        (Covers REAR-MOUNTED Hybrid Battery System ONLY)
*COMPATIBLE WITH:
   -Skid Plate SK0561ITU20H *NOT INCLUDED</t>
  </si>
  <si>
    <t>SK1492ITU20</t>
  </si>
  <si>
    <t>Skid Plate
Steel 
*FOR USE WITH:
   -Hybrid Battery
*COMPATIBLE WITH:
   -Skid Plate SK1492ITU20 *NOT INCLUDED
*NOT COMPATIBLE WITH:
   -Ecoboost Engine</t>
  </si>
  <si>
    <t>SK0561ITU20H</t>
  </si>
  <si>
    <t>Skid Plate
Steel 
*FOR USE WITH or WITHOUT:
   -Ecoboost Engine</t>
  </si>
  <si>
    <t>SK0561ITU20</t>
  </si>
  <si>
    <t>SKID PLATE</t>
  </si>
  <si>
    <t>Firearm Mount Transfer Kit
Forward Facing Partition Mount
With Mount Plate
*ONLY COMPATIBLE WITH:
   -SPT Single Prisoner Transport Partition
*NOT COMPATIBLE WITH:
   -Center Consoles Exceeding 23" Length</t>
  </si>
  <si>
    <t>GT0536ITU20</t>
  </si>
  <si>
    <t>FIREARM MOUNT SYSTEM TRANSFER KIT
*RECOMMENDED FOR USE With Double T-Rail System</t>
  </si>
  <si>
    <t>T-Rail Mount Kit
Free Standing 
For Admin Vehicle</t>
  </si>
  <si>
    <t>GF1092ITU20A</t>
  </si>
  <si>
    <t xml:space="preserve">T-Rail Mount Kit
Free Standing </t>
  </si>
  <si>
    <t>GF1092ITU20</t>
  </si>
  <si>
    <t>FREE STANDING FIREARM MOUNT SYSTEM
*INCLUDES Free Standing Mount ONLY</t>
  </si>
  <si>
    <t>K9 Full Containment Insert
Occupies Full Back Seat
*INCLUDED:
   -Front Sliding Door Partition
   -Rear Partition
   -Door Panels
   -Window Barriers
*FOR USE WITH:
   -10" Fan NOT INCLUDED</t>
  </si>
  <si>
    <t>CK2393ITU20-10</t>
  </si>
  <si>
    <t>K9 Full Containment Insert
Occupies Full Back Seat
*INCLUDED:
   -Front Sliding Door Partition
   -Rear Partition
   -Door Panels
   -Window Barriers</t>
  </si>
  <si>
    <t>CK2393ITU20</t>
  </si>
  <si>
    <t>*COMPATIBLE WITH EZ-Lift Deck System</t>
  </si>
  <si>
    <t>K9 FULL CONTAINMENT INSERT</t>
  </si>
  <si>
    <t>K9 Ultimate Max
K9 Exit points 2: Drivers side &amp; Between Front Seats
Passenger Side Storage 
*RECOMMENDED:
  - Cargo Box NOT INCLUDED
*FOR USE WITH:
  -10" Fan NOT INCLUDED</t>
  </si>
  <si>
    <t>CK2114ITU20-10</t>
  </si>
  <si>
    <t>K9 Ultimate Max
K9 Exit points 2: Drivers side &amp; Between Front Seats
Passenger Side Storage 
*RECOMMENDED:
  - Cargo Box NOT INCLUDED</t>
  </si>
  <si>
    <t>CK2114ITU20</t>
  </si>
  <si>
    <t>*See "K9 ELECTRONICES" Page</t>
  </si>
  <si>
    <t>*RECOMMENDED Cargo Box NOT INCLUDED</t>
  </si>
  <si>
    <t>***NEW K9 ULTIMATE MAX SYSTEM**</t>
  </si>
  <si>
    <t>Ultimate K9 2
K9 Exit points 2: Drivers side &amp; Between Front Seats
Prisoner Passenger Side Exit
*RECOMMENDED:
   -Cargo Box NOT INCLUDED
*FOR USE WITH:
   -10" Fan NOT INCLUDED</t>
  </si>
  <si>
    <t>CK2386ITU20-10</t>
  </si>
  <si>
    <t>Ultimate K9 2
K9 Exit points 2: Drivers side &amp; Between Front Seats
Prisoner Passenger Side Exit
*RECOMMENDED:
   -Cargo Box NOT INCLUDED</t>
  </si>
  <si>
    <t>CK2386ITU20</t>
  </si>
  <si>
    <t>K9 SOLUTIONS</t>
  </si>
  <si>
    <t>K9 ULTIMATE 2</t>
  </si>
  <si>
    <t xml:space="preserve">Door Panel VS
Aluminum
Replaces OEM Door Panels </t>
  </si>
  <si>
    <t>DK0598ITU20</t>
  </si>
  <si>
    <t>Door Panel VS
TPO Plastic Black
Installs Over OEM Door Panels</t>
  </si>
  <si>
    <t>DK0100ITU20</t>
  </si>
  <si>
    <t>DOOR PANELS</t>
  </si>
  <si>
    <t>Window Barrier VS 3-Piece Set
Side Windows &amp; Rear Hatch
Steel Horizontal
Rear Cargo Compartment
*NOT COMPATIBLE WITH: #12VS Cargo Area Partition</t>
  </si>
  <si>
    <t>WK1343ITU20</t>
  </si>
  <si>
    <t>Window Barrier VS 3-Piece Set
Side Windows &amp; Rear Hatch
Steel Horizontal
Rear Cargo Compartment
*REQUIRED FOR INSTALL: #12VS Cargo Area Partition
WORKS WITH OR WITHOUT INNER EDGE LIGHT BAR</t>
  </si>
  <si>
    <t>WK0040ITU20</t>
  </si>
  <si>
    <t>Window Barrier VS 2-Piece Set
Side Windows
Steel Horizontal
Rear Cargo Compartment
*NOT COMPATIBLE WITH: #12VS Cargo Area Partition</t>
  </si>
  <si>
    <t>WK0137ITU20</t>
  </si>
  <si>
    <t>Window Barrier VS 2-Piece Set
Side Windows
Steel Horizontal
Rear Cargo Compartment
*REQUIRED FOR INSTALL: #12VS Cargo Area Partition</t>
  </si>
  <si>
    <t>WK0046ITU20</t>
  </si>
  <si>
    <t>Window Barrier VS Rear Hatch
Steel Horizontal
Rear Cargo Compartment
WORKS WITH OR WITHOUT INNER EDGE LIGHT BAR</t>
  </si>
  <si>
    <t>WK0041ITU20</t>
  </si>
  <si>
    <t>CARGO AREA WINDOW BARRIERS</t>
  </si>
  <si>
    <t>Window Barrier VS
Steel Horizontal</t>
  </si>
  <si>
    <t>Window Barrier VS
Steel Vertical</t>
  </si>
  <si>
    <t>WK0514ITU20</t>
  </si>
  <si>
    <t>Window Barrier VS
Polycarbonate Tinted</t>
  </si>
  <si>
    <t>WK1491ITU20T</t>
  </si>
  <si>
    <t>Window Barrier VS
Polycarbonate</t>
  </si>
  <si>
    <t>WK0595ITU20</t>
  </si>
  <si>
    <t>WINDOW BARRIERS</t>
  </si>
  <si>
    <t>*** FOR USE WITH 2020-2025 MODEL YEARS***</t>
  </si>
  <si>
    <t>PB10 Headlight Guard
Steel
With PB9S Wrap
Steel</t>
  </si>
  <si>
    <t>HK2272ITU25</t>
  </si>
  <si>
    <t>PB10 Headlight Guard
Steel
With PB9A Wrap
Aluminum</t>
  </si>
  <si>
    <t>HK2273ITU25</t>
  </si>
  <si>
    <t>PB8 Headlight Guard
Steel
Double Loop</t>
  </si>
  <si>
    <t>HK0809ITU25</t>
  </si>
  <si>
    <t>PB6 Headlight Guard
Steel
With PB5 Wrap
Aluminum</t>
  </si>
  <si>
    <t>HK2322ITU25</t>
  </si>
  <si>
    <t>HEADLIGHT GUARDS</t>
  </si>
  <si>
    <t>***2025 HEADLIGHT GUARDS**</t>
  </si>
  <si>
    <t>PB9S Fender Wraps
Steel
PB400/450</t>
  </si>
  <si>
    <t>FK2271ITU25</t>
  </si>
  <si>
    <t>PB9A Fender Wraps
Aluminum
PB400/450</t>
  </si>
  <si>
    <t>FK0402ITU25</t>
  </si>
  <si>
    <t>PB5 Fender Wraps
Aluminum
PB400/450</t>
  </si>
  <si>
    <t>FK0400ITU25</t>
  </si>
  <si>
    <t>FENDER WRAPS</t>
  </si>
  <si>
    <t>***2025 FENDER WRAPS***</t>
  </si>
  <si>
    <t>HK2272ITU20</t>
  </si>
  <si>
    <t>HK2273ITU20</t>
  </si>
  <si>
    <t>HK0809ITU20</t>
  </si>
  <si>
    <t>HK0810ITU20</t>
  </si>
  <si>
    <t>***2020-2024 HEADLIGHT GUARDS**</t>
  </si>
  <si>
    <t>FK2271ITU20</t>
  </si>
  <si>
    <t>FK0402ITU20</t>
  </si>
  <si>
    <t>FK0400ITU20</t>
  </si>
  <si>
    <t>***2020-2024 FENDER WRAPS***</t>
  </si>
  <si>
    <t>Police Bike Rack</t>
  </si>
  <si>
    <t>OK1304ITU</t>
  </si>
  <si>
    <t>BIKE RACK</t>
  </si>
  <si>
    <t>**PUSH BUMPER TRANSFER KITS ARE AVAILABLE. PLEASE CONTACT YOUR REGIONS REPRESENTATIVE FOR PART NUMBER AND PRICE**</t>
  </si>
  <si>
    <t>*AVAILABLE With Mar Resistant Horizontal Crossbar Pad Add $60 to Price (Call For Part ID)</t>
  </si>
  <si>
    <t>PB450LR6 LIGHT-READY
With WHELEN ION</t>
  </si>
  <si>
    <t>BK1543ITU20</t>
  </si>
  <si>
    <t>PB450LR6 LIGHT-READY
With SOUNDOFF SIGNAL NFORCE</t>
  </si>
  <si>
    <t>BK1511ITU20</t>
  </si>
  <si>
    <t>PB450LR6 LIGHT-READY
With SOUNDOFF SIGNAL MPOWER</t>
  </si>
  <si>
    <t>BK1527ITU20</t>
  </si>
  <si>
    <t>PB450LR6 LIGHT-READY
With FENIEX FUSION/ QUAD</t>
  </si>
  <si>
    <t>PB450LR6 LIGHT-READY
With FEDERAL SIGNAL MICROPULSE</t>
  </si>
  <si>
    <t>BK1559ITU20</t>
  </si>
  <si>
    <t>PB450LR6 LIGHT-READY
With D&amp;R GENESIS</t>
  </si>
  <si>
    <t>PB450LR6 LIGHT-READY
With CODE3 MR6</t>
  </si>
  <si>
    <t>BK1585ITU20</t>
  </si>
  <si>
    <r>
      <t xml:space="preserve">PB450LR LIGHT-READY PUSH BUMPERS - </t>
    </r>
    <r>
      <rPr>
        <b/>
        <sz val="10"/>
        <color rgb="FFFF0000"/>
        <rFont val="Calibri"/>
        <family val="2"/>
        <scheme val="minor"/>
      </rPr>
      <t>WIRING HARNESSES NOT INCLUDED</t>
    </r>
    <r>
      <rPr>
        <b/>
        <sz val="10"/>
        <color theme="1"/>
        <rFont val="Calibri"/>
        <family val="2"/>
        <scheme val="minor"/>
      </rPr>
      <t xml:space="preserve">
6 Lights Total: 4 Forward Facing, 1 Each Side - Standard Configuration</t>
    </r>
  </si>
  <si>
    <t>**NEW LIGHT-READY PUSH BUMPERS**</t>
  </si>
  <si>
    <t>PB450LR4 LIGHT-READY
With WHELEN ION</t>
  </si>
  <si>
    <t>BK1542ITU20</t>
  </si>
  <si>
    <t>PB450LR4 LIGHT-READY
With SOUNDOFF SIGNAL NFORCE</t>
  </si>
  <si>
    <t>BK1510ITU20</t>
  </si>
  <si>
    <t>PB450LR4 LIGHT-READY
With SOUNDOFF SIGNAL MPOWER</t>
  </si>
  <si>
    <t>BK1526ITU20</t>
  </si>
  <si>
    <t>PB450LR4 LIGHT-READY
With FENIEX FUSION/ QUAD</t>
  </si>
  <si>
    <t>BK1366ITU20</t>
  </si>
  <si>
    <t>PB450LR4 LIGHT-READY
With FEDERAL SIGNAL MICROPULSE</t>
  </si>
  <si>
    <t>BK1558ITU20</t>
  </si>
  <si>
    <t>PB450LR4 LIGHT-READY
With D&amp;R GENESIS</t>
  </si>
  <si>
    <t>BK1604ITU20</t>
  </si>
  <si>
    <t>PB450LR4 LIGHT-READY
With CODE3 MR6</t>
  </si>
  <si>
    <t>BK1584ITU20</t>
  </si>
  <si>
    <r>
      <t xml:space="preserve">PB450LR LIGHT-READY PUSH BUMPERS - </t>
    </r>
    <r>
      <rPr>
        <b/>
        <sz val="10"/>
        <color rgb="FFFF0000"/>
        <rFont val="Calibri"/>
        <family val="2"/>
        <scheme val="minor"/>
      </rPr>
      <t>WIRING HARNESSES NOT INCLUDED</t>
    </r>
    <r>
      <rPr>
        <b/>
        <sz val="10"/>
        <color theme="1"/>
        <rFont val="Calibri"/>
        <family val="2"/>
        <scheme val="minor"/>
      </rPr>
      <t xml:space="preserve">
4 Lights Total: 2 Forward Facing, 1 Each Side - Standard Configuration</t>
    </r>
  </si>
  <si>
    <t>PB450LR2 LIGHT-READY
With WHELEN ION</t>
  </si>
  <si>
    <t>BK1541ITU20</t>
  </si>
  <si>
    <t>PB450LR2 LIGHT-READY
With SOUNDOFF SIGNAL NFORCE</t>
  </si>
  <si>
    <t>BK1509ITU20</t>
  </si>
  <si>
    <t>PB450LR2 LIGHT-READY
With SOUNDOFF SIGNAL MPOWER</t>
  </si>
  <si>
    <t>BK1525ITU20</t>
  </si>
  <si>
    <t>PB450LR2 LIGHT-READY
With FENIEX FUSION/ QUAD</t>
  </si>
  <si>
    <t>BK1687ITU20</t>
  </si>
  <si>
    <t>PB450LR2 LIGHT-READY
With FEDERAL SIGNAL MICROPULSE</t>
  </si>
  <si>
    <t>BK1557ITU20</t>
  </si>
  <si>
    <t>PB450LR2 LIGHT-READY
With D&amp;R GENESIS</t>
  </si>
  <si>
    <t>BK1603ITU20</t>
  </si>
  <si>
    <t>PB450LR2 LIGHT-READY
With CODE3 MR6</t>
  </si>
  <si>
    <t>BK1583ITU20</t>
  </si>
  <si>
    <r>
      <t xml:space="preserve">PB450LR LIGHT-READY PUSH BUMPERS - </t>
    </r>
    <r>
      <rPr>
        <b/>
        <sz val="10"/>
        <color rgb="FFFF0000"/>
        <rFont val="Calibri"/>
        <family val="2"/>
        <scheme val="minor"/>
      </rPr>
      <t>WIRING HARNESSES NOT INCLUDED</t>
    </r>
    <r>
      <rPr>
        <b/>
        <sz val="10"/>
        <color theme="1"/>
        <rFont val="Calibri"/>
        <family val="2"/>
        <scheme val="minor"/>
      </rPr>
      <t xml:space="preserve">
2 Forward Facing Lights - Standard Configuration</t>
    </r>
  </si>
  <si>
    <t>PB450L6
With FEDERAL SIGNAL MICROPULSE TRI-COLOR 18-LED</t>
  </si>
  <si>
    <t>PB450L6
With SOUNDOFF SIGNAL MPOWER TRI-COLOR 18-LED</t>
  </si>
  <si>
    <t>PB450L6
With WHELEN ION TRI-COLOR</t>
  </si>
  <si>
    <t>PB450L LIGHTED PUSH BUMPERS
6 Lights Total: 4 Forward Facing, 1 Each Side
*ONLY Full Size Bumper Available</t>
  </si>
  <si>
    <t>PB450L4
With FEDERAL SIGNAL MICROPULSE TRI-COLOR 18-LED</t>
  </si>
  <si>
    <t>PB450L4
With SOUNDOFF SIGNAL MPOWER TRI-COLOR 18-LED</t>
  </si>
  <si>
    <t>PB450L4
With WHELEN ION TRI-COLOR</t>
  </si>
  <si>
    <t>PB450L LIGHTED PUSH BUMPERS
4 Lights Total: 2 Forward Facing, 1 Each Side
*ONLY Full Size Bumper Available</t>
  </si>
  <si>
    <t>PB450L2
With FEDERAL SIGNAL MICROPULSE TRI-COLOR 18-LED</t>
  </si>
  <si>
    <t>PB450L2
With SOUNDOFF SIGNAL MPOWER TRI-COLOR 18-LED</t>
  </si>
  <si>
    <t>PB450L2
With WHELEN ION TRI-COLOR</t>
  </si>
  <si>
    <t>PB450L LIGHTED PUSH BUMPERS
2 Forward Facing Lights
*ONLY Full Size Bumper Available</t>
  </si>
  <si>
    <t>PB400 VS Bumper
Full Bumper
Steel</t>
  </si>
  <si>
    <t>BK0535ITU20</t>
  </si>
  <si>
    <t>PB400 VS Bumper
Full Bumper
Aluminum</t>
  </si>
  <si>
    <t>BK0534ITU20</t>
  </si>
  <si>
    <t>PB400 PUSH BUMPERS</t>
  </si>
  <si>
    <t>RADIO BOX WITH SLIDING DOOR &amp; COMPRESSION LATCH
*NOT COMPATIBLE WITH:
   -EZ-Lift Cargo Deck
*REQUIRED:
   -#12VS Cargo Area Partition NOT INCLUDED</t>
  </si>
  <si>
    <t>AK1391ITU202ND</t>
  </si>
  <si>
    <t>RADIO BOX WITH COMPRESSION LATCH
*NOT COMPATIBLE WITH:
   -EZ-Lift Cargo Deck
*REQUIRED:
   -#12VS Cargo Area Partition NOT INCLUDED</t>
  </si>
  <si>
    <t>AK0968ITU202ND</t>
  </si>
  <si>
    <t>PARTITION ACCESSORY</t>
  </si>
  <si>
    <t>Cargo Area Rear Partition w/ Radio Panel
#12VS Stationary Window
Coated Polycarbonate
*FOR USE WITH:
-2nd Row Seat
-Stock Seat</t>
  </si>
  <si>
    <t>PK1289ITU202ND</t>
  </si>
  <si>
    <t>Cargo Area Rear Partition w/ Radio Panel
#12VS Stationary Window
Vinyl Coated Expanded Metal
*FOR USE WITH:
 -2nd Row Seat
-Stock Seat</t>
  </si>
  <si>
    <t>PK1437ITU202ND</t>
  </si>
  <si>
    <t>CARGO AREA REAR PARTITIONS W/ RADIO PANEL
*FOR USE BEHIND 2nd Row Seat ONLY</t>
  </si>
  <si>
    <t>Cargo Area Rear Partition
#12VS Stationary Window
Coated Polycarbonate
*FOR USE WITH:
   -2nd Row Seat</t>
  </si>
  <si>
    <t>PK0316ITU252ND</t>
  </si>
  <si>
    <t>Cargo Area Rear Partition
#12VS Stationary Window
Vinyl Coated Expanded Metal
*FOR USE WITH:
   -2nd Row Seat</t>
  </si>
  <si>
    <t>PK0123ITU252ND</t>
  </si>
  <si>
    <t>CARGO AREA REAR PARTITIONS
*FOR USE BEHIND 2nd Row Seat ONLY</t>
  </si>
  <si>
    <t>PK0316ITU202ND</t>
  </si>
  <si>
    <t>PK0123ITU202ND</t>
  </si>
  <si>
    <t>DPT Dual Prisoner Transport Partition
*FOR USE WITH:
   -RECESSED OR XL PANEL Partition
   -Full COVER Transport Partition Seat</t>
  </si>
  <si>
    <t>2K0035ITU20RPFCTM</t>
  </si>
  <si>
    <t>DPT Dual Prisoner Transport Partition
*FOR USE WITH:
   -RECESSED OR XL PANEL Partition
   -Full REPLACEMENT Transport Partition Seat</t>
  </si>
  <si>
    <t>2K0035ITU20RPFRTM</t>
  </si>
  <si>
    <t>DPT Dual Prisoner Transport Partition
*FOR USE WITH:
   -RECESSED OR XL PANEL Partition
   -MIDDLE SEAT DELETE</t>
  </si>
  <si>
    <t>2K0035ITU20RPSDTM</t>
  </si>
  <si>
    <t>DPT Dual Prisoner Transport Partition
*FOR USE WITH:
   -RECESSED OR XL PANEL Partition
   -Full STOCK Seat</t>
  </si>
  <si>
    <t>2K0035ITU20RPWDTM</t>
  </si>
  <si>
    <t>DUAL PRISONER TRANSPORT PARTITIONS
*REQUIRED Front Partition &amp; #12VS Cargo Area Rear Partition NOT INCLUDED</t>
  </si>
  <si>
    <t>DPT</t>
  </si>
  <si>
    <t>Single Prisoner Transport Partition
#7VS SPT Stationary Window
Vinyl Coated Expanded Metal
*FOR USE WITH:
   -Full COVER Transport Partition Seat</t>
  </si>
  <si>
    <t>1K0576ITU20FC</t>
  </si>
  <si>
    <t>SPT Single Prisoner Transport Partition
#7VS SPT Stationary Window
Vinyl Coated Expanded Metal
*FOR USE WITH:
   -Stock Seat</t>
  </si>
  <si>
    <t>1K0576ITU20WD</t>
  </si>
  <si>
    <t>SPT Single Prisoner Transport Partition
#7VS SPT Stationary Window
Vinyl Coated Expanded Metal
*FOR USE WITH:
   -Partial Stock Seat</t>
  </si>
  <si>
    <t>1K0576ITU20ND</t>
  </si>
  <si>
    <t>SPT Single Prisoner Transport Partition
#6VS SPT  Stationary Window
Coated Polycarbonate
*FOR USE WITH:
   -Full REPLACEMENT Transport Partition Seat</t>
  </si>
  <si>
    <t>1K0574ITU20FR</t>
  </si>
  <si>
    <t>SPT Single Prisoner Transport Partition
#6VS SPT Stationary Window
Coated Polycarbonate
*FOR USE WITH:
   -Full COVER Transport Partition Seat</t>
  </si>
  <si>
    <t>1K0574ITU20FC</t>
  </si>
  <si>
    <t>SPT Single Prisoner Transport Partition Partition
#6VS SPT Stationary Window
Coated Polycarbonate 
*FOR USE WITH:
   -Stock Seat</t>
  </si>
  <si>
    <t>1K0574ITU20WD</t>
  </si>
  <si>
    <t>SPT Single Prisoner Transport Partition Partition
#6VS SPT Stationary Window
Coated Polycarbonate 
*FOR USE WITH:
   -Partial Stock Seat</t>
  </si>
  <si>
    <t>1K0574ITU20ND</t>
  </si>
  <si>
    <t>SINGLE PRISONER TRANSPORT PARTITIONS
*INCLUDES Lower Extension Panels
*REQUIRED #12VS Cargo Area Rear Partition NOT INCLUDED</t>
  </si>
  <si>
    <t>SPT</t>
  </si>
  <si>
    <t>**PARTITION TRANSFER KITS ARE AVAILABLE. PLEASE CONTACT YOUR REGIONS REPRESENTATIVE FOR PART NUMBER AND PRICE**</t>
  </si>
  <si>
    <t>#10XL C2 Horizontal Sliding Window
Uncoated Polycarbonate
With Slotted Polycarbonate Window Security Screen
XL Panel Partition TM (Tall Man)</t>
  </si>
  <si>
    <t>PK1185ITU20TM</t>
  </si>
  <si>
    <t>#10XL C2 Horizontal Sliding Window
Coated Polycarbonate
With Slotted Polycarbonate Window Security Screen
XL Panel Partition TM (Tall Man)</t>
  </si>
  <si>
    <t>PK1186ITU20TM</t>
  </si>
  <si>
    <t>#10XL C Horizontal Sliding Window
Uncoated Polycarbonate
With Expanded Metal Window Security Screen
XL Panel Partition TM (Tall Man)</t>
  </si>
  <si>
    <t>PK1125ITU20TM</t>
  </si>
  <si>
    <t>#10XL C Horizontal Sliding Window
Coated Polycarbonate
With Expanded Metal Window Security Screen
XL Panel Partition TM (Tall Man)</t>
  </si>
  <si>
    <t>PK1126ITU20TM</t>
  </si>
  <si>
    <t>#10XL Horizontal Sliding Window
Uncoated Polycarbonate
XL Panel Partition TM (Tall Man)</t>
  </si>
  <si>
    <t>PK1129ITU20TM</t>
  </si>
  <si>
    <t>#10XL Horizontal Sliding Window
Coated Polycarbonate
XL Panel Partition TM (Tall Man)</t>
  </si>
  <si>
    <t>PK1130ITU20TM</t>
  </si>
  <si>
    <t>Horizontal Sliding Window</t>
  </si>
  <si>
    <t>#8XL Stationary Window
1/2 Uncoated Polycarbonate 1/2 Vinyl Coated Expanded Metal
XL Panel Partition TM (Tall Man)</t>
  </si>
  <si>
    <t>PK1133ITU20TM</t>
  </si>
  <si>
    <t>#8XL Stationary Window
1/2 Coated Polycarbonate 1/2 Vinyl Coated Expanded Metal
XL Panel Partition TM (Tall Man)</t>
  </si>
  <si>
    <t>PK1134ITU20TM</t>
  </si>
  <si>
    <t>#7XL Stationary Window
Vinyl Coated Expanded Metal
XL Panel Partition TM (Tall Man)</t>
  </si>
  <si>
    <t>PK1140ITU20TM</t>
  </si>
  <si>
    <t>#6/7XL 3-Piece Stationary Window
Coated Polycarbonate With Vinyl Coated Expanded Metal Center Section
XL Panel Partition TM (Tall Man)</t>
  </si>
  <si>
    <t>PK1144ITU20TM</t>
  </si>
  <si>
    <t>#6XL Stationary Window
Uncoated Polycarbonate
XL Panel Partition TM (Tall Man)</t>
  </si>
  <si>
    <t>PK1137ITU20TM</t>
  </si>
  <si>
    <t>#6XL Stationary Window
Coated Polycarbonate
XL Panel Partition TM (Tall Man)</t>
  </si>
  <si>
    <t>PK1138ITU20TM</t>
  </si>
  <si>
    <t>XL (EXTRA LEGROOM) PARTITIONS
*INCLUDES XL Recessed Panel &amp; Lower Extension Panel</t>
  </si>
  <si>
    <t>Stationary Windows</t>
  </si>
  <si>
    <t>#10VS RP C2 Horizontal Sliding Window
Uncoated Polycarbonate
With Slotted Poly Window Security Screen
Recessed Panel Partition TM (Tall Man)</t>
  </si>
  <si>
    <t>PK0227ITU20TM</t>
  </si>
  <si>
    <t>#10VS RP C2 Horizontal Sliding Window
Coated Polycarbonate
With Slotted Poly Window Security Screen
Recessed Panel Partition TM (Tall Man)</t>
  </si>
  <si>
    <t>PK0228ITU20TM</t>
  </si>
  <si>
    <t>#10VS RP C Horizontal Sliding Window
Uncoated Polycarbonate
WitH Expanded Metal Window Security Screen
Recessed Panel Partition TM (Tall Man)</t>
  </si>
  <si>
    <t>PK0602ITU20TM</t>
  </si>
  <si>
    <t>#10VS RP C Horizontal Sliding Window
Coated Polycarbonate
With Expanded Metal Window Security Screen
Recessed Panel Partition TM (Tall Man)</t>
  </si>
  <si>
    <t>PK0419ITU20TM</t>
  </si>
  <si>
    <t>#10VS RP Horizontal Sliding Window
Uncoated Polycarbonate
Recessed Panel Partition TM (Tall Man)</t>
  </si>
  <si>
    <t>PK0439ITU20TM</t>
  </si>
  <si>
    <t>#10VS RP Horizontal Sliding Window
Coated Polycarbonate
Recessed Panel Partition TM (Tall Man)</t>
  </si>
  <si>
    <t>PK0355ITU20TM</t>
  </si>
  <si>
    <t>Horizontal Sliding Windows</t>
  </si>
  <si>
    <t>#8VS RP Stationary Window
1/2 Uncoated Polycarbonate 1/2 Vinyl Coated Expanded Metal
Recessed Panel Partition TM (Tall Man)</t>
  </si>
  <si>
    <t>PK0398ITU20TM</t>
  </si>
  <si>
    <t>#8VS RP Stationary Window
1/2 Coated Polycarbonate 1/2 Vinyl Coated Expanded Metal
Recessed Panel Partition TM (Tall Man)</t>
  </si>
  <si>
    <t>PK0369ITU20TM</t>
  </si>
  <si>
    <t>#7VS RP Stationary Window
Vinyl Coated Expanded Metal
Recessed Panel Partition TM (Tall Man)</t>
  </si>
  <si>
    <t>PK0420ITU20TM</t>
  </si>
  <si>
    <t>#6/7VS 3-Piece Window Stationary Window
Coated Polycarbonate With Vinyl Coated Expanded Metal Center Section
Recessed Panel Partition TM (Tall Man)</t>
  </si>
  <si>
    <t>PK0517ITU20TM</t>
  </si>
  <si>
    <t>#6VS RP Stationary Window
Uncoated Polycarbonate
Recessed Panel Partition TM (Tall Man)</t>
  </si>
  <si>
    <t>PK0373ITU20TM</t>
  </si>
  <si>
    <t>#6VS RP Stationary Window
Coated Polycarbonate
Recessed Panel Partition TM (Tall Man)</t>
  </si>
  <si>
    <t>PK0374ITU20TM</t>
  </si>
  <si>
    <t>RECESSED PANEL PARTITIONS
*INCLUDES 2 Piece Lower Extension Panel</t>
  </si>
  <si>
    <t>#10VS C2 Horizontal Sliding Window
Uncoated Polycarbonate
With Slotted Polycarbonate Window Security Screen
Flat Panel Partition TM (Tall Man)</t>
  </si>
  <si>
    <t>PK0225ITU20TM</t>
  </si>
  <si>
    <t>#10VS C2 Horizontal Sliding Window
Coated Polycarbonate
With Slotted Polycarbonate Window Security Screen
Flat Panel Partition TM (Tall Man)</t>
  </si>
  <si>
    <t>PK0226ITU20TM</t>
  </si>
  <si>
    <t>#10VS C Horizontal Sliding Window
Uncoated Polycarbonate
With Expanded Metal Window Security Screen
Flat Panel Partition TM (Tall Man)</t>
  </si>
  <si>
    <t>PK0601ITU20TM</t>
  </si>
  <si>
    <t>#10VS C Horizontal Sliding Window
Coated Polycarbonate
With Expanded Metal Window Security Screen
Flat Panel Partition TM (Tall Man)</t>
  </si>
  <si>
    <t>PK0350ITU20TM</t>
  </si>
  <si>
    <t>#10VS Horizontal Sliding Window
Uncoated Polycarbonate
Flat Panel Partition TM (Tall Man)</t>
  </si>
  <si>
    <t>PK0120ITU20TM</t>
  </si>
  <si>
    <t>#10VS Horizontal Sliding Window
Coated Polycarbonate
Flat Panel Partition TM (Tall Man)</t>
  </si>
  <si>
    <t>PK0121ITU20TM</t>
  </si>
  <si>
    <t>#8VS Stationary Window
1/2 Uncoated Polycarbonate 1/2 Vinyl Coated Expanded Metal
Flat Panel Partition TM (Tall Man)</t>
  </si>
  <si>
    <t>PK0118ITU20TM</t>
  </si>
  <si>
    <t>#8VS Stationary Window
1/2 Coated Polycarbonate 1/2 Vinyl Coated Expanded Metal
Flat Panel Partition TM (Tall Man)</t>
  </si>
  <si>
    <t>PK0119ITU20TM</t>
  </si>
  <si>
    <t>#7VS Stationary Window
Vinyl Coated Expanded Metal
Flat Panel Partition TM (Tall Man)</t>
  </si>
  <si>
    <t>PK0117ITU20TM</t>
  </si>
  <si>
    <t>#6/7VS 3-Piece Stationary Window
Coated Polycarbonate With Vinyl Coated Expanded Metal Center Section
Flat Panel Partition TM (Tall Man)</t>
  </si>
  <si>
    <t>PK0326ITU20TM</t>
  </si>
  <si>
    <t>#6VS Stationary Window
Uncoated Polycarbonate
Flat Panel Partition TM (Tall Man)</t>
  </si>
  <si>
    <t>PK0115ITU20TM</t>
  </si>
  <si>
    <t>#6VS Stationary Window
Coated Polycarbonate
Flat Panel Partition TM (Tall Man)</t>
  </si>
  <si>
    <t>PK0116ITU20TM</t>
  </si>
  <si>
    <t>FLAT PANEL PARTITIONS
*INCLUDES Full Lower Extension Panels</t>
  </si>
  <si>
    <t>RETAIL PRICE</t>
  </si>
  <si>
    <t>Ford Interceptor Utility</t>
  </si>
  <si>
    <t>TK0888FDT15F150</t>
  </si>
  <si>
    <t xml:space="preserve">CARGO DECK w/ DRAWER SUPER MAX
*COMPATIBLE WITH: Rear Window Barrier
*NOT COMPATIBLE WITH: SPT Partition
*INCLUDES REQUIRED:
   -Dual Poly Wall for Recessed Panel Front Partition
   -Radio Box
   -Lower Cargo Deck w/ Rubber Mat
   -Storage Box
   -Door Panel 1pc Driver Side ONLY
*INCLUDES OPTIONAL ACCESSORIES:
   -Upper Cargo Deck
   -TPO Single Replacement Seat w/ Center Pull Seat Belt
   -Door Panel Aluminum 1pc Passenger Side ONLY
   -Window Barrier 2pc Set Horizontal Bars
   -Rear Window Barrier 1pc
*DOES NOT INCLUDE REQUIRED:
   -Recessed Panel Front Partition
</t>
  </si>
  <si>
    <t>TK1338FDT15F150</t>
  </si>
  <si>
    <t>*INCLUDES: CARGO DECK W/ DRAWER MAX AND ALL AVAILABLE OPTIONAL ACCESSORIES
*DOES NOT INCLUDE REQUIRED RECESSED PANEL FRONT PARTITION</t>
  </si>
  <si>
    <t>WK0514FDT15F150H</t>
  </si>
  <si>
    <t>Window Barrier Rear Window
Steel
Horizontal</t>
  </si>
  <si>
    <t>WK0626FDT15F150E</t>
  </si>
  <si>
    <t>1D1388FDT15F150</t>
  </si>
  <si>
    <t>TPO Single Replacement Seat w/ Smart Belt System
*REQUIRED:
   -Cargo Deck w/ Drawer Max OR SPT w/o Driver Side Seat NOT INCLUDED</t>
  </si>
  <si>
    <t>QK2381FDT15F150</t>
  </si>
  <si>
    <t>TPO Single Replacement Seat w/ Center Pull Seat Belt
*REQUIRED:
   -Cargo Deck w/ Drawer Max OR SPT w/o Driver Side Seat NOT INCLUDED</t>
  </si>
  <si>
    <t>QK0465FDT15F150</t>
  </si>
  <si>
    <t>Upper Cargo Deck
*REQUIRED:
   -TK1261FDT15F150 OR TK1261FDT15F150RW Cargo Deck w/ Drawer Max NOT INCLUDED</t>
  </si>
  <si>
    <t>TPA14129</t>
  </si>
  <si>
    <t xml:space="preserve">CARGO DECK w/ DRAWER MAX
*COMPATIBLE WITH: Rear Window Barrier
*NOT COMPATIBLE WITH: SPT Partition
*INCLUDES REQUIRED:
   -Dual Poly Wall for Recessed Panel Front Partition
   -Radio Box
   -Lower Cargo Deck w/ Rubber Mat
   -Storage Box
   -Door Panel Aluminum 1pc Driver Side ONLY
*DOES NOT INCLUDE REQUIRED:
   -Recessed Panel Front Partition
</t>
  </si>
  <si>
    <t>TK1261FDT15F150RW</t>
  </si>
  <si>
    <t xml:space="preserve">CARGO DECK w/ DRAWER MAX
*NOT COMPATIBLE WITH: Rear Window Barrier
*NOT COMPATIBLE WITH: SPT Partition
*INCLUDES REQUIRED:
   -Dual Poly Wall for Recessed Panel Front Partition
   -Radio Box
   -Lower Cargo Deck w/ Rubber Mat
   -Storage Box
   -Door Panel Aluminum 1pc Driver Side ONLY
*DOES NOT INCLUDE REQUIRED:
   -Recessed Panel Front Partition
</t>
  </si>
  <si>
    <t>TK1261FDT15F150</t>
  </si>
  <si>
    <t>*DOES NOT INCLUDE REQUIRED RECESSED PANEL FRONT PARTITION
*AVAILABLE OPTIONAL ACCESSORY UPGRADES SOLD SEPERATELY</t>
  </si>
  <si>
    <t>Storage Box
Crew Cab
*FOR USE UNDER:
   -Rear Factory Seat</t>
  </si>
  <si>
    <t>TK2068FDT15F150</t>
  </si>
  <si>
    <t>CREW CAB STORAGE BOX</t>
  </si>
  <si>
    <t>*COMPATIBLE With Year Range 2015-2025</t>
  </si>
  <si>
    <t>TRANSPORT SEATING</t>
  </si>
  <si>
    <t>Firearm Mount Transfer Kit
Forward Facing Partition Mount
Without Mount Plate
*ONLY FOR USE WITH:
   -SPTSingle Prisoner Transport Partition</t>
  </si>
  <si>
    <t>GT0536FDT09F150</t>
  </si>
  <si>
    <t>*COMPATIBLE With Year Range 2009-2025</t>
  </si>
  <si>
    <t>*RECOMMENDED FOR USE with Double T-Rail System</t>
  </si>
  <si>
    <t>FIREARM MOUNT SYSTEM TRANSFER KIT</t>
  </si>
  <si>
    <t>GF1382FDT15F150</t>
  </si>
  <si>
    <t>DK0100FDT21F150</t>
  </si>
  <si>
    <t>***2021-2025 MODEL YEAR DOOR PANELS***</t>
  </si>
  <si>
    <t>Door Panel
Aluminum
Replaces OEM</t>
  </si>
  <si>
    <t>DK0598FDT15F150</t>
  </si>
  <si>
    <t>DK0100FDT15F150</t>
  </si>
  <si>
    <t>***2015-2020 MODEL YEAR DOOR PANELS***</t>
  </si>
  <si>
    <t>Window Barrier Rear Window
Polycarbonate
COMPATIBLE WITH: INNER EDGE LIGHT BAR</t>
  </si>
  <si>
    <t>WK0595FDT15F150PIE</t>
  </si>
  <si>
    <t>Window Barrier Rear Window
Steel
Expanded Metal</t>
  </si>
  <si>
    <t>Window Barrier Rear Window
Steel
Horizontal
WORKS WITH OR WITHOUT INNER EDGE LIGHT BAR</t>
  </si>
  <si>
    <t>WK0055FDT15F150</t>
  </si>
  <si>
    <t>Window Barrier Rear Window
Polycarbonate</t>
  </si>
  <si>
    <t>WK0595FDT15F150P</t>
  </si>
  <si>
    <t>Window Barrier
Steel
Horizontal</t>
  </si>
  <si>
    <t>Window Barrier
Polycarbonate Tinted</t>
  </si>
  <si>
    <t>WK1491FDT15F150T</t>
  </si>
  <si>
    <t>Window Barrier
Polycarbonate</t>
  </si>
  <si>
    <t>WK0595FDT15F150</t>
  </si>
  <si>
    <t>PB10 Headlight Guard
Steel
With PB9A Fender Wrap
Aluminum</t>
  </si>
  <si>
    <t>HK2273FDT21F150</t>
  </si>
  <si>
    <t>PB10 Headlight Guard
Steel
With PB9S Fender Wrap
Steel</t>
  </si>
  <si>
    <t>HK2272FDT21F150</t>
  </si>
  <si>
    <t>PB8 Headlight Guard
Double Loop</t>
  </si>
  <si>
    <t>HK0809FDT21F150</t>
  </si>
  <si>
    <t>***2021-2025 MODEL YEAR HEADLIGHT GUARDS***</t>
  </si>
  <si>
    <t>FK2271FDT21F150</t>
  </si>
  <si>
    <t>FK0402FDT21F150</t>
  </si>
  <si>
    <t>***2021-2025 MODEL YEAR FENDER WRAPS***</t>
  </si>
  <si>
    <t>BK1543FDT21F150</t>
  </si>
  <si>
    <t>BK1511FDT21F150</t>
  </si>
  <si>
    <t>BK1527FDT21F150</t>
  </si>
  <si>
    <t>BK1559FDT21F150</t>
  </si>
  <si>
    <t>BK1585FDT21F150</t>
  </si>
  <si>
    <t>BK1542FDT21F150</t>
  </si>
  <si>
    <t>BK1510FDT21F150</t>
  </si>
  <si>
    <t>BK1526FDT21F150</t>
  </si>
  <si>
    <t>BK1366FDT21F150</t>
  </si>
  <si>
    <t>BK1558FDT21F150</t>
  </si>
  <si>
    <t>BK1604FDT21F150</t>
  </si>
  <si>
    <t>BK1584FDT21F150</t>
  </si>
  <si>
    <t>***2021-2025 MODEL YEAR BUMPERS***</t>
  </si>
  <si>
    <t>PB450L2 LIGHT-READY
With WHELEN ION'</t>
  </si>
  <si>
    <t>BK1541FDT21F150</t>
  </si>
  <si>
    <t>PB450L2 LIGHT-READY
With SOUNDOFF SIGNAL NFORCE</t>
  </si>
  <si>
    <t>BK1509FDT21F150</t>
  </si>
  <si>
    <t>PB450L2 LIGHT-READY
With SOUNDOFF SIGNAL MPOWER</t>
  </si>
  <si>
    <t>BK1525FDT21F150</t>
  </si>
  <si>
    <t>PB450L2 LIGHT-READY
With FENIEX FUSION/ QUAD</t>
  </si>
  <si>
    <t>BK1687FDT21F150</t>
  </si>
  <si>
    <t>PB450L2 LIGHT-READY
With FEDERAL SIGNAL MICROPULSE</t>
  </si>
  <si>
    <t>BK1557FDT21F150</t>
  </si>
  <si>
    <t>PB450L2 LIGHT-READY
With D&amp;R GENESIS</t>
  </si>
  <si>
    <t>BK1603FDT21F150</t>
  </si>
  <si>
    <t>PB450L2 LIGHT-READY
With CODE3 MR6</t>
  </si>
  <si>
    <t>BK1583FDT21F150</t>
  </si>
  <si>
    <t>BK0282FDT21F150</t>
  </si>
  <si>
    <t>BK2338FDT21F150</t>
  </si>
  <si>
    <t>BK1001FDT21F150</t>
  </si>
  <si>
    <r>
      <t xml:space="preserve">PB450L4
With WHELEN ION
Winch-Ready Bumper
</t>
    </r>
    <r>
      <rPr>
        <sz val="10"/>
        <color rgb="FFFF0000"/>
        <rFont val="Calibri"/>
        <family val="2"/>
        <scheme val="minor"/>
      </rPr>
      <t>*SPECIAL ORDER ITEM, NO RETURNS OR CANCELLATIONS</t>
    </r>
  </si>
  <si>
    <t>BK2055FDT21F150</t>
  </si>
  <si>
    <t>BK0802FDT21F150</t>
  </si>
  <si>
    <t>BK2168FDT21F150</t>
  </si>
  <si>
    <t>BK2019FDT21F150</t>
  </si>
  <si>
    <t>*See "LIGHTS" Page For Additional Lighting Options &amp; Charges</t>
  </si>
  <si>
    <t>BK2124FDT21F150</t>
  </si>
  <si>
    <t>BK2166FDT21F150</t>
  </si>
  <si>
    <t>BK2017FDT21F150</t>
  </si>
  <si>
    <t>PB400 VS Bumper
Steel
Full Bumper</t>
  </si>
  <si>
    <t>BK0535FDT21F150</t>
  </si>
  <si>
    <r>
      <t xml:space="preserve">PB400 VS Bumper
Full Bumper
Aluminum
Winch-Ready
</t>
    </r>
    <r>
      <rPr>
        <sz val="10"/>
        <color rgb="FFFF0000"/>
        <rFont val="Calibri"/>
        <family val="2"/>
        <scheme val="minor"/>
      </rPr>
      <t>*SPECIAL ORDER ITEM, NO RETURNS OR CANCELLATIONS</t>
    </r>
  </si>
  <si>
    <t>BK0060FDT21F150</t>
  </si>
  <si>
    <t>BK0534FDT21F150</t>
  </si>
  <si>
    <t>HK2273FDT18F150</t>
  </si>
  <si>
    <t>HK2272FDT18F150</t>
  </si>
  <si>
    <t>HK0809FDT15F150</t>
  </si>
  <si>
    <t>***2015-2020 MODEL YEAR HEADLIGHT GUARDS***</t>
  </si>
  <si>
    <t>FK2271FDT18F150</t>
  </si>
  <si>
    <t>FK0402FDT18F150</t>
  </si>
  <si>
    <t>***2018-2020 MODEL YEAR FENDER WRAPS***</t>
  </si>
  <si>
    <t>BK1543FDT15F150</t>
  </si>
  <si>
    <t>BK1511FDT15F150</t>
  </si>
  <si>
    <t>BK1527FDT15F150</t>
  </si>
  <si>
    <t>BK1559FDT15F150</t>
  </si>
  <si>
    <t>BK1585FDT15F150</t>
  </si>
  <si>
    <t>BK1542FDT15F150</t>
  </si>
  <si>
    <t>BK1510FDT15F150</t>
  </si>
  <si>
    <t>BK1526FDT15F150</t>
  </si>
  <si>
    <t>BK1366FDT15F150</t>
  </si>
  <si>
    <t>BK1558FDT15F150</t>
  </si>
  <si>
    <t>BK1604FDT15F150</t>
  </si>
  <si>
    <t>BK1584FDT15F150</t>
  </si>
  <si>
    <t>***2015-2020 MODEL YEAR BUMPERS***</t>
  </si>
  <si>
    <t>BK1541FDT15F150</t>
  </si>
  <si>
    <t>BK1509FDT15F150</t>
  </si>
  <si>
    <t>BK1525FDT15F150</t>
  </si>
  <si>
    <t>BK1687FDT15F150</t>
  </si>
  <si>
    <t>BK1557FDT15F150</t>
  </si>
  <si>
    <t>BK1603FDT15F150</t>
  </si>
  <si>
    <t>BK1583FDT15F150</t>
  </si>
  <si>
    <t>BK0282FDT15F150</t>
  </si>
  <si>
    <t>BK2338FDT15F150</t>
  </si>
  <si>
    <t>BK1001FDT15F150</t>
  </si>
  <si>
    <t>BK0802FDT15F150</t>
  </si>
  <si>
    <t>BK2168FDT15F150</t>
  </si>
  <si>
    <t>BK2019FDT15F150</t>
  </si>
  <si>
    <t>BK2124FDT15F150</t>
  </si>
  <si>
    <t>BK2166FDT15F150</t>
  </si>
  <si>
    <t>BK2017FDT15F150</t>
  </si>
  <si>
    <t>BK0060FDT15F150</t>
  </si>
  <si>
    <t>BK0535FDT15F150</t>
  </si>
  <si>
    <t>BK0534FDT15F150</t>
  </si>
  <si>
    <t>DPT Dual Prisoner Transport Partition
*FOR USE WITH:
   -RECESSED PANEL Partition
   -PARTIAL STOCK Seat
  -Rear Window Barrier *SOLD SEPERATELY*</t>
  </si>
  <si>
    <t>2K0035FDT15F150RPNDRW</t>
  </si>
  <si>
    <t>DPT Dual Prisoner Transport Partition
*FOR USE WITH:
   -RECESSED PANEL Partition
   -PARTIAL STOCK Seat
*NOT COMPATIBLE WITH:
  -Rear Window Barrier</t>
  </si>
  <si>
    <t>2K0035FDT15F150RPNS</t>
  </si>
  <si>
    <t>DPT Dual Prisoner Transport Partition
*FOR USE WITH:
   -RECESSED PANEL Partition
   -Full STOCK Seat
  -Rear Window Barrier *SOLD SEPERATELY*</t>
  </si>
  <si>
    <t>2K0035FDT15F150RPWDRW</t>
  </si>
  <si>
    <t>DPT Dual Prisoner Transport Partition
*FOR USE WITH:
   -RECESSED PANEL Partition
   -Full STOCK Seat
*NOT COMPATIBLE WITH:
  -Rear Window Barrier</t>
  </si>
  <si>
    <t>2K0035FDT15F150RP</t>
  </si>
  <si>
    <t>DPT Dual Prisoner Transport Partition
*FOR USE WITH:
   -FLAT PANEL Partition
   -Full STOCK Seat
   -Rear Window Barrier *SOLD SEPERATELY*</t>
  </si>
  <si>
    <t>2K0035FDT15F150FPRW</t>
  </si>
  <si>
    <t>DPT Dual Prisoner Transport Partition
*FOR USE WITH:
   -FLAT PANEL Partition
   -Full STOCK Seat
*NOT COMPATIBLE WITH:
  -Rear Window Barrier</t>
  </si>
  <si>
    <t>2K0035FDT15F150FP</t>
  </si>
  <si>
    <t>DUAL PRISONER TRANSPORT PARTITIONS
*REQUIRED Front Partition NOT INCLUDED</t>
  </si>
  <si>
    <t>Single Prisoner Transport Partition
#7VS Stationary Window
Vinyl Coated Expanded Metal
*ONLY COMPATIBLE WITH:
   -Stock Seat
*FOR USE WITHOUT:
   -Driver's Side Rear Seat</t>
  </si>
  <si>
    <t>1K0576FDT15F150WOD</t>
  </si>
  <si>
    <t>Single Prisoner Transport Partition
#7VS Stationary Window
Vinyl Coated Expanded Metal
*ONLY COMPATIBLE WITH:
   -Stock Seat
*FOR USE WITH:
   -Driver's Side Rear Seat</t>
  </si>
  <si>
    <t>1K0576FDT15F150EDR</t>
  </si>
  <si>
    <t>Single Prisoner Transport Partition
#6VS Stationary Window
Coated Polycarbonate 
*ONLY COMPATIBLE WITH:
   -Partial Stock Seat
   -SPT Seat
*FOR USE WITHOUT:
   -Driver's Side Rear Seat</t>
  </si>
  <si>
    <t>1K0574FDT15F150WOD</t>
  </si>
  <si>
    <t>Single Prisoner Transport Partition
#6VS Stationary Window
Coated Polycarbonate 
*ONLY COMPATIBLE WITH:
   -Stock Seat
*FOR USE WITH:
   -Driver's Side Rear Seat</t>
  </si>
  <si>
    <t>1K0574FDT15F150PDR</t>
  </si>
  <si>
    <r>
      <t xml:space="preserve">SINGLE PRISONER TRANSPORT PARTITIONS
*INCLUDES Lower Extension Panels
</t>
    </r>
    <r>
      <rPr>
        <b/>
        <sz val="10"/>
        <color rgb="FFFF0000"/>
        <rFont val="Calibri"/>
        <family val="2"/>
        <scheme val="minor"/>
      </rPr>
      <t>*NOT COMPATIBLE WITH Rear Window Barrier</t>
    </r>
  </si>
  <si>
    <t>#10VS C2 RP Horizontal Sliding Window
Uncoated Polycarbonate
With Slotted Poly Window Security Screen
Recessed Panel Partition</t>
  </si>
  <si>
    <t>PK0227FDT15F150</t>
  </si>
  <si>
    <t>#10VS C2 RP Horizontal Sliding Window
Coated Polycarbonate
With Slotted Poly Window Security Screen
Recessed Panel Partition</t>
  </si>
  <si>
    <t>PK0228FDT15F150</t>
  </si>
  <si>
    <t>#10VS C RP Horizontal Sliding Window
Uncoated Polycarbonate
With Expanded Metal Window Security Screen
Recessed Panel Partition</t>
  </si>
  <si>
    <t>PK0602FDT15F150</t>
  </si>
  <si>
    <t>#10VS C RP Horizontal Sliding Window
Coated Polycarbonate
With Expanded Metal Window Security Screen
Recessed Panel Partition</t>
  </si>
  <si>
    <t>PK0419FDT15F150</t>
  </si>
  <si>
    <t>#10VS RP Horizontal Sliding Window
Uncoated Polycarbonate
Recessed Panel Partition</t>
  </si>
  <si>
    <t>PK0439FDT15F150</t>
  </si>
  <si>
    <t>#10VS RP Horizontal Sliding Window
Coated Polycarbonate
Recessed Panel Partition</t>
  </si>
  <si>
    <t>PK0355FDT15F150</t>
  </si>
  <si>
    <t>#8VS RP Stationary Window
1/2 Uncoated Polycarbonate 1/2 Vinyl Coated Expanded Metal
Recessed Panel Partition</t>
  </si>
  <si>
    <t>PK0398FDT15F150</t>
  </si>
  <si>
    <t>#8VS RP Stationary Window
1/2 Coated Polycarbonate 1/2 Vinyl Coated Expanded Metal
Recessed Panel Partition</t>
  </si>
  <si>
    <t>PK0369FDT15F150</t>
  </si>
  <si>
    <t>#7VS RP Stationary Window
Vinyl Coated Expanded Metal
Recessed Panel Partition</t>
  </si>
  <si>
    <t>PK0420FDT15F150</t>
  </si>
  <si>
    <t>#6/7VS RP 3-Piece Stationary Window
Coated Polycarbonate With Vinyl Coated Expanded Metal Center Section
Recessed Panel Partition</t>
  </si>
  <si>
    <t>PK0517FDT15F150</t>
  </si>
  <si>
    <t>#6VS RP Stationary Window
Uncoated Polycarbonate
Recessed Panel Partition</t>
  </si>
  <si>
    <t>PK0373FDT15F150</t>
  </si>
  <si>
    <t>#6VS RP Stationary Window
Coated Polycarbonate
Recessed Panel Partition</t>
  </si>
  <si>
    <t>PK0374FDT15F150</t>
  </si>
  <si>
    <t>#10VS C2  Horizontal Sliding Window
Uncoated Polycarbonate
With Slotted Polycarbonate Window Security Screen
Flat Panel Partition</t>
  </si>
  <si>
    <t>PK0225FDT15F150</t>
  </si>
  <si>
    <t>#10VS C2 Coated Polycarbonate
With Slotted Polycarbonate Window Security Screen
Flat Panel Partition</t>
  </si>
  <si>
    <t>PK0226FDT15F150</t>
  </si>
  <si>
    <t>#10VS  C Horizontal Sliding Window
Uncoated Polycarbonate
With Expanded Metal Window Security Screen
Flat Panel Partition</t>
  </si>
  <si>
    <t>PK0601FDT15F150</t>
  </si>
  <si>
    <t>#10VS C Horizontal Sliding Window
Coated Polycarbonate
With Expanded Metal Window Security Screen
Flat Panel Partition</t>
  </si>
  <si>
    <t>PK0350FDT15F150</t>
  </si>
  <si>
    <t>#10VS Horizontal Sliding Window
Uncoated Polycarbonate
Flat Panel Partition</t>
  </si>
  <si>
    <t>PK0120FDT15F150</t>
  </si>
  <si>
    <t>#10VS Horizontal Sliding Window
Coated Polycarbonate
Flat Panel Partition</t>
  </si>
  <si>
    <t>PK0121FDT15F150</t>
  </si>
  <si>
    <t>#8VS Stationary Window
1/2 Uncoated Polycarbonate 1/2 Vinyl Coated Expanded Metal
Flat Panel Partition</t>
  </si>
  <si>
    <t>PK0118FDT15F150</t>
  </si>
  <si>
    <t>#8VS Stationary Window
1/2 Coated Polycarbonate 1/2 Vinyl Coated Expanded Metal
Flat Panel Partition</t>
  </si>
  <si>
    <t>PK0119FDT15F150</t>
  </si>
  <si>
    <t>#7VS Stationary Window
Vinyl Coated Expanded Metal
Flat Panel Partition</t>
  </si>
  <si>
    <t>PK0117FDT15F150</t>
  </si>
  <si>
    <t>#6/7VS 3-Piece Stationary Window
Coated Polycarbonate With Vinyl Coated Expanded Metal Center Section
Flat Panel Partition</t>
  </si>
  <si>
    <t>PK0326FDT15F150</t>
  </si>
  <si>
    <t>#6VS Stationary Window
Uncoated Polycarbonate
Flat Panel Partition</t>
  </si>
  <si>
    <t>PK0115FDT15F150</t>
  </si>
  <si>
    <t>#6VS Stationary Window
Coated Polycarbonate
Flat Panel Partition</t>
  </si>
  <si>
    <t>PK0116FDT15F150</t>
  </si>
  <si>
    <t>FLAT PANEL PARTITIONS
*INCLUDES Full Lower Extension Panel</t>
  </si>
  <si>
    <t>Ford F150</t>
  </si>
  <si>
    <t>CARGO DECK W/ DRAWER SUPER MAX
*INCLUDES REQUIRED:
   -Dual Poly Wall for Recessed Panel Front Partition
   -Radio Box
   -Lower Cargo Deck w/ Rubber Mat (TPA14053)
   -Crew Cab Storage Box
   -Door Panel 1pc Driver Side
   -Vent Wall Cover
*INCLUDES OPTIONAL ACCESSORIES:
   -Upper Cargo Deck
   -TPO Single Replacement Seat w/ Center Pull Seat Belt
   -Door Panel 1pc Passenger Side
   -Window Barrier 2pc Set Horizontal Bars
   -Rear Window Barrier 1pc</t>
  </si>
  <si>
    <t>TK1338FDT17F250</t>
  </si>
  <si>
    <t>WK0514FDT17F250H</t>
  </si>
  <si>
    <t>Rear Window Barrier 1pc</t>
  </si>
  <si>
    <t>WK0626FDT17F250E</t>
  </si>
  <si>
    <t>1D1388FDT17F250</t>
  </si>
  <si>
    <t>QK2381FDT17F250</t>
  </si>
  <si>
    <t>QK0465FDT17F250</t>
  </si>
  <si>
    <t>Upper Cargo Deck
*REQUIRED:
   -TK1261FDT17F250 Cargo Deck w/ Drawer Max NOT INCLUDED</t>
  </si>
  <si>
    <t xml:space="preserve">Cargo Deck w/ Drawer Max
*COMPATIBLE WITH: Rear Window Barrier
*INCLUDES REQUIRED:
   -Dual Poly Wall for Recessed Panel Front Partition
   -Radio Box
   -Lower Cargo Deck w/ Rubber Mat (TPA14053)
   -Crew Cab Storage Box
   -Door Panel 1pc Driver Side ONLY
   -Vent Wall Cover
*DOES NOT INCLUDE REQUIRED:
   -Recessed Panel Front Partition
</t>
  </si>
  <si>
    <t>TK1261FDT17F250RW</t>
  </si>
  <si>
    <t xml:space="preserve">Cargo Deck w/ Drawer Max
*NOT COMPATIBLE WITH: Rear Window Barrier
*INCLUDES REQUIRED:
   -Dual Poly Wall for Recessed Panel Front Partition
   -Radio Box
   -Lower Cargo Deck w/ Rubber Mat (TPA14053)
   -Crew Cab Storage Box
   -Door Panel 1pc Driver Side ONLY
   -Vent Wall Cover
*DOES NOT INCLUDE REQUIRED:
   -Recessed Panel Front Partition
</t>
  </si>
  <si>
    <t>TK1261FDT17F250</t>
  </si>
  <si>
    <t>Cargo Box
*FOR USE WITH:
   -Crew Cab</t>
  </si>
  <si>
    <t>TK2068FDT17F250</t>
  </si>
  <si>
    <t>*COMPATIBLE With Year Range 2017-2025</t>
  </si>
  <si>
    <t>Firearm Mount Transfer Kit
Forward Facing Partition Mount
Without Mount Plate
*ONLY FOR USE WITH:
   -:SPT Single Prisoner Transport Partition</t>
  </si>
  <si>
    <t>GT0536FDT11F250</t>
  </si>
  <si>
    <t>*COMPATIBLE With Year Range 2011-2025</t>
  </si>
  <si>
    <t>GF1382FDT17F250</t>
  </si>
  <si>
    <t>DK0598FDT17F250</t>
  </si>
  <si>
    <t>DK0100FDT17F250</t>
  </si>
  <si>
    <t>WK0055FDT17F250</t>
  </si>
  <si>
    <t>WK0595FDT17F250P</t>
  </si>
  <si>
    <t>WK1491FDT17F250T</t>
  </si>
  <si>
    <t>WK0595FDT17F250</t>
  </si>
  <si>
    <t>***2017-2025 MODEL YEAR***</t>
  </si>
  <si>
    <t>HK0809FDT23F250</t>
  </si>
  <si>
    <t>***2023-2025 MODEL YEAR HEADLIGHT GUARDS***</t>
  </si>
  <si>
    <t>BK1543FDT23F250</t>
  </si>
  <si>
    <t>BK1511FDT23F250</t>
  </si>
  <si>
    <t>BK1527FDT23F250</t>
  </si>
  <si>
    <t>BK1559FDT23F250</t>
  </si>
  <si>
    <t>BK1585FDT23F250</t>
  </si>
  <si>
    <t>***2023-2025 MODEL YEAR BUMPERS***</t>
  </si>
  <si>
    <t>BK1542FDT23F250</t>
  </si>
  <si>
    <t>BK1510FDT23F250</t>
  </si>
  <si>
    <t>BK1526FDT23F250</t>
  </si>
  <si>
    <t>BK1366FDT23F250</t>
  </si>
  <si>
    <t>BK1558FDT23F250</t>
  </si>
  <si>
    <t>BK1604FDT23F250</t>
  </si>
  <si>
    <t>BK1584FDT23F250</t>
  </si>
  <si>
    <t>BK1541FDT23F250</t>
  </si>
  <si>
    <t>BK1509FDT23F250</t>
  </si>
  <si>
    <t>BK1525FDT23F250</t>
  </si>
  <si>
    <t>BK1687FDT23F250</t>
  </si>
  <si>
    <t>BK1557FDT23F250</t>
  </si>
  <si>
    <t>BK1603FDT23F250</t>
  </si>
  <si>
    <t>BK1583FDT23F250</t>
  </si>
  <si>
    <t>BK0282FDT23F250</t>
  </si>
  <si>
    <t>BK2338FDT23F250</t>
  </si>
  <si>
    <t>BK1001FDT23F250</t>
  </si>
  <si>
    <t>BK0802FDT23F250</t>
  </si>
  <si>
    <t>BK2168FDT23F250</t>
  </si>
  <si>
    <t>BK2019FDT23F250</t>
  </si>
  <si>
    <t>BK2124FDT23F250</t>
  </si>
  <si>
    <t>BK2166FDT23F250</t>
  </si>
  <si>
    <t>PB450L2
With WHELEN ION  TRI-COLOR</t>
  </si>
  <si>
    <t>BK2017FDT23F250</t>
  </si>
  <si>
    <t>BK0535FDT23F250</t>
  </si>
  <si>
    <r>
      <t xml:space="preserve">PB400 VS Bumper
Full Bumper
Aluminum
Winch-Ready
</t>
    </r>
    <r>
      <rPr>
        <sz val="10"/>
        <color rgb="FFFF0000"/>
        <rFont val="Calibri"/>
        <family val="2"/>
        <scheme val="minor"/>
      </rPr>
      <t>*SPECIAL ORDER ITEM, NO RETURNS OR CANCELLATIONS
*DESIGN PENDING</t>
    </r>
  </si>
  <si>
    <t>BK0060FDT23F250</t>
  </si>
  <si>
    <t>BK0534FDT23F250</t>
  </si>
  <si>
    <t>HK0809FDT17F250</t>
  </si>
  <si>
    <t>***2017-2022 MODEL YEAR HEADLIGHT GUARDS***</t>
  </si>
  <si>
    <t>BK1543FDT17F250</t>
  </si>
  <si>
    <t>BK1511FDT17F250</t>
  </si>
  <si>
    <t>BK1527FDT17F250</t>
  </si>
  <si>
    <t>BK1559FDT17F250</t>
  </si>
  <si>
    <t>BK1585FDT17F250</t>
  </si>
  <si>
    <t>BK1542FDT17F250</t>
  </si>
  <si>
    <t>BK1510FDT17F250</t>
  </si>
  <si>
    <t>BK1526FDT17F250</t>
  </si>
  <si>
    <t>BK1366FDT17F250</t>
  </si>
  <si>
    <t>BK1558FDT17F250</t>
  </si>
  <si>
    <t>BK1604FDT17F250</t>
  </si>
  <si>
    <t>BK1584FDT17F250</t>
  </si>
  <si>
    <t>***2017-2022 MODEL YEAR BUMPERS***</t>
  </si>
  <si>
    <t>BK1541FDT17F250</t>
  </si>
  <si>
    <t>BK1509FDT17F250</t>
  </si>
  <si>
    <t>BK1525FDT17F250</t>
  </si>
  <si>
    <t>BK1687FDT17F250</t>
  </si>
  <si>
    <t>BK1557FDT17F250</t>
  </si>
  <si>
    <t>BK1603FDT17F250</t>
  </si>
  <si>
    <t>BK1583FDT17F250</t>
  </si>
  <si>
    <t>BK0282FDT17F250</t>
  </si>
  <si>
    <t>BK2338FDT17F250</t>
  </si>
  <si>
    <t>BK1001FDT17F250</t>
  </si>
  <si>
    <t>BK0802FDT17F250</t>
  </si>
  <si>
    <t>BK2168FDT17F250</t>
  </si>
  <si>
    <t>BK2019FDT17F250</t>
  </si>
  <si>
    <t>BK2124FDT17F250</t>
  </si>
  <si>
    <t>BK2166FDT17F250</t>
  </si>
  <si>
    <t>BK2017FDT17F250</t>
  </si>
  <si>
    <t>BK0535FDT17F250</t>
  </si>
  <si>
    <t>BK0060FDT17F250</t>
  </si>
  <si>
    <t>BK0534FDT17F250</t>
  </si>
  <si>
    <t>2K0035FDT17F250RPNS</t>
  </si>
  <si>
    <t>2K0035FDT17F250RPWDRW</t>
  </si>
  <si>
    <t>2K0035FDT17F250RP</t>
  </si>
  <si>
    <t>2K0035FDT17F250FPRW</t>
  </si>
  <si>
    <t>2K0035FDT17F250FP</t>
  </si>
  <si>
    <t>1K0576FDT17F250E</t>
  </si>
  <si>
    <t>1K0576FDT17F250EDR</t>
  </si>
  <si>
    <t>Single Prisoner Transport Partition
#6VS Stationary Window
Coated Polycarbonate 
*ONLY COMPATIBLE WITH:
   -Stock Seat
*FOR USE WITHOUT:
   -Driver's Side Rear Seat</t>
  </si>
  <si>
    <t>1K0574FDT17F250WOD</t>
  </si>
  <si>
    <t>1K0574FDT17F250PDR</t>
  </si>
  <si>
    <r>
      <t xml:space="preserve">SINGLE PRISONER TRANSPORT PARTITIONS
*INCLUDES Lower Extension Panels
*COMPATIBLE With Stock Seats ONLY
</t>
    </r>
    <r>
      <rPr>
        <b/>
        <sz val="10"/>
        <color rgb="FFFF0000"/>
        <rFont val="Calibri"/>
        <family val="2"/>
        <scheme val="minor"/>
      </rPr>
      <t>*NOT COMPATIBLE WITH Rear Window Barrier</t>
    </r>
  </si>
  <si>
    <t>PK0227FDT17F250</t>
  </si>
  <si>
    <t>PK0228FDT17F250</t>
  </si>
  <si>
    <t>PK0602FDT17F250</t>
  </si>
  <si>
    <t>PK0419FDT17F250</t>
  </si>
  <si>
    <t>PK0439FDT17F250</t>
  </si>
  <si>
    <t>PK0355FDT17F250</t>
  </si>
  <si>
    <t>PK0398FDT17F250</t>
  </si>
  <si>
    <t>PK0369FDT17F250</t>
  </si>
  <si>
    <t>PK0420FDT17F250</t>
  </si>
  <si>
    <t>PK0517FDT17F250</t>
  </si>
  <si>
    <t>PK0373FDT17F250</t>
  </si>
  <si>
    <t>PK0374FDT17F250</t>
  </si>
  <si>
    <t>PK0225FDT17F250</t>
  </si>
  <si>
    <t>PK0226FDT17F250</t>
  </si>
  <si>
    <t>PK0601FDT17F250</t>
  </si>
  <si>
    <t>PK0350FDT17F250</t>
  </si>
  <si>
    <t>PK0120FDT17F250</t>
  </si>
  <si>
    <t>PK0121FDT17F250</t>
  </si>
  <si>
    <t>PK0118FDT17F250</t>
  </si>
  <si>
    <t>PK0119FDT17F250</t>
  </si>
  <si>
    <t>PK0117FDT17F250</t>
  </si>
  <si>
    <t>PK0326FDT17F250</t>
  </si>
  <si>
    <t>PK0115FDT17F250</t>
  </si>
  <si>
    <t>PK0116FDT17F250</t>
  </si>
  <si>
    <t>Ford F250-F550</t>
  </si>
  <si>
    <t>TK0888TAH21</t>
  </si>
  <si>
    <r>
      <t xml:space="preserve">CARGO DECK w/ DRAWER SUPER MAX - </t>
    </r>
    <r>
      <rPr>
        <b/>
        <sz val="10"/>
        <color rgb="FFFF0000"/>
        <rFont val="Calibri"/>
        <family val="2"/>
        <scheme val="minor"/>
      </rPr>
      <t>FOR USE WITH 2ND ROW SEAT DELETE OPTION CODE ATZ</t>
    </r>
    <r>
      <rPr>
        <sz val="10"/>
        <color theme="1"/>
        <rFont val="Calibri"/>
        <family val="2"/>
        <scheme val="minor"/>
      </rPr>
      <t xml:space="preserve">
*NOT COMPATIBLE WITH: SPT Partition
*INCLUDES REQUIRED:
   -Dual Poly Wall for Recessed Panel or XL Front Partition
   -Lower Cargo Deck w/ Rubber Mat
   -Storage Box
   -Door Panel 1pc Driver Side ONLY
*INCLUDES OPTIONAL ACCESSORIES:
   -Upper Cargo Deck
   -TPO Single Replacement Seat w/ Center Pull Seat Belt
   -Door Panel Aluminum 1pc Passenger Side ONLY
   -Window Barrier 2pc Set Horizontal Bars
*DOES NOT INCLUDE REQUIRED:
   -Recessed Panel or XL Front Partition
   -#12VS Rear Partition</t>
    </r>
  </si>
  <si>
    <t>TK1508TAH21</t>
  </si>
  <si>
    <t>CARGO DECK w/ DRAWER SUPER MAX
*NOT COMPATIBLE WITH: SPT Partition
*INCLUDES REQUIRED:
   -Dual Poly Wall for Recessed Panel or XL Front Partition
   -Lower Cargo Deck w/ Rubber Mat
   -Storage Box
   -Door Panel 1pc Driver Side ONLY
*INCLUDES OPTIONAL ACCESSORIES:
   -Upper Cargo Deck
   -TPO Single Replacement Seat w/ Center Pull Seat Belt
   -Door Panel Aluminum 1pc Passenger Side ONLY
   -Window Barrier 2pc Set Horizontal Bars
*DOES NOT INCLUDE REQUIRED:
   -Recessed Panel or XL Front Partition
   -#12VS Rear Partition</t>
  </si>
  <si>
    <t>TK1488TAH21</t>
  </si>
  <si>
    <t>WK0514TAH21H</t>
  </si>
  <si>
    <t>1D1388TAH21</t>
  </si>
  <si>
    <t>Upper Cargo Deck
*REQUIRED:
   -TK1487TAH21 Cargo Deck w/ Drawer Max NOT INCLUDED</t>
  </si>
  <si>
    <t>TPA18407</t>
  </si>
  <si>
    <t>CARGO DECK w/ DRAWER MAX
*NOT COMPATIBLE WITH: SPT Partition
*INCLUDES REQUIRED:
   -Dual Poly Wall for Recessed Panel or XL Front Partition
   -Lower Cargo Deck w/ Rubber Mat
   -Storage Box
   -Door Panel 1pc Driver Side ONLY
*DOES NOT INCLUDE REQUIRED:
   -Recessed Panel or XL Front Partition
   -#12VS Rear Partition</t>
  </si>
  <si>
    <t>TK1487TAH21</t>
  </si>
  <si>
    <t>Freestanding Cargo Box Bracket Kit
*COMPATIBLE WITH:
   -CARGO DECK: TK1324TAH21</t>
  </si>
  <si>
    <t>TF0507TAH21</t>
  </si>
  <si>
    <t>Cargo Rear Deck Firearm Storage Tray</t>
  </si>
  <si>
    <t>TK1445TAH21</t>
  </si>
  <si>
    <t>Cargo Rear Deck</t>
  </si>
  <si>
    <t>TK1334TAH21</t>
  </si>
  <si>
    <r>
      <t xml:space="preserve">CARGO DECK
</t>
    </r>
    <r>
      <rPr>
        <b/>
        <sz val="10"/>
        <color rgb="FFFF0000"/>
        <rFont val="Calibri"/>
        <family val="2"/>
        <scheme val="minor"/>
      </rPr>
      <t>*REQUIRED #12VS CARGO PARTITION FOR INSTALL - NOT INCLUDED*</t>
    </r>
  </si>
  <si>
    <t>TK1446TAH21</t>
  </si>
  <si>
    <t>TK1324TAH21</t>
  </si>
  <si>
    <t>*FOR USE WITHOUT #12VS CARGO PARTITION*</t>
  </si>
  <si>
    <t>CARGO DECK</t>
  </si>
  <si>
    <t>Elevated Single Drawer System
With Push Button Lock</t>
  </si>
  <si>
    <t>TK1320TAH21</t>
  </si>
  <si>
    <r>
      <t xml:space="preserve">CARGO BOX
ELEVATED SINGLE DRAWER SYSTEM
</t>
    </r>
    <r>
      <rPr>
        <b/>
        <sz val="10"/>
        <color rgb="FFFF0000"/>
        <rFont val="Calibri"/>
        <family val="2"/>
        <scheme val="minor"/>
      </rPr>
      <t>*REQUIRED #12VS CARGO PARTITION - SOLD SEPARATELY*</t>
    </r>
  </si>
  <si>
    <t>Cargo Command Module
*Only Compatible with Dual Drawer System</t>
  </si>
  <si>
    <t>TK1431TAH21</t>
  </si>
  <si>
    <t>Dual Drawer System
With Simplex Locks Qty 2</t>
  </si>
  <si>
    <t>TK0344TAH21</t>
  </si>
  <si>
    <r>
      <t xml:space="preserve">CARGO BOX
DUAL DRAWER SYSTEM
</t>
    </r>
    <r>
      <rPr>
        <b/>
        <sz val="10"/>
        <color rgb="FFFF0000"/>
        <rFont val="Calibri"/>
        <family val="2"/>
        <scheme val="minor"/>
      </rPr>
      <t>*REQUIRED CARGO REAR DECK</t>
    </r>
  </si>
  <si>
    <t>TK0842TAH21</t>
  </si>
  <si>
    <t>TK0841TAH21</t>
  </si>
  <si>
    <t>TK0248TAH21</t>
  </si>
  <si>
    <t>TK0255TAH21</t>
  </si>
  <si>
    <t>TK0241TAH21</t>
  </si>
  <si>
    <t>TK0246TAH21</t>
  </si>
  <si>
    <t>TK0250TAH21</t>
  </si>
  <si>
    <t>TK0233TAH21</t>
  </si>
  <si>
    <t>TK0843TAH21</t>
  </si>
  <si>
    <t>TK0844TAH21</t>
  </si>
  <si>
    <t>TK0243TAH21</t>
  </si>
  <si>
    <t>TK0251TAH21</t>
  </si>
  <si>
    <t>TK0230TAH21</t>
  </si>
  <si>
    <t>TK0245TAH21</t>
  </si>
  <si>
    <t>TK0253TAH21</t>
  </si>
  <si>
    <t>TK0232TAH21</t>
  </si>
  <si>
    <t>TK0835TAH21</t>
  </si>
  <si>
    <t>CARGO BOX
TOA- Tray, Open Top With Anchor Points
BSE- Base Sliding With Electric Key Pad Lock</t>
  </si>
  <si>
    <t>TK0836TAH21</t>
  </si>
  <si>
    <t>TK0236TAH21</t>
  </si>
  <si>
    <t>TK0254TAH21</t>
  </si>
  <si>
    <t>TK0247TAH21</t>
  </si>
  <si>
    <t>TK0839TAH21</t>
  </si>
  <si>
    <t>TK0244TAH21</t>
  </si>
  <si>
    <t>TK0252TAH21</t>
  </si>
  <si>
    <t>TK0231TAH21</t>
  </si>
  <si>
    <t>CARGO BOX
TRUNK TRAYS</t>
  </si>
  <si>
    <t>QK2316TAH21</t>
  </si>
  <si>
    <t>***2021-2025 MODEL YEARS***</t>
  </si>
  <si>
    <t>Child Restraint Retrofit Kit</t>
  </si>
  <si>
    <t>QR2406TAH21</t>
  </si>
  <si>
    <t>***DUE TO FMVSS225 (CHILD RESTRAINT) REQUIREMENTS IN THE IVD (INCOMPLETE VEHICLE DOCUMENT), YOU WILL NEED THE CHILD RESTRAINT RETROFIT KIT***</t>
  </si>
  <si>
    <t>CHILD RESTRAINT RETROFIT KIT</t>
  </si>
  <si>
    <t>***2021-2024 MODEL YEARS***</t>
  </si>
  <si>
    <t>Full REPLACEMENT Transport Seat 
TPO Plastic
Wth SETINA SMARTBELT SYSTEM
*INCLUDES REQUIRED:
   -#12VS Stationary Window Coated Polycarbonate Cargo Partition
*Seat Belt Retractors Pre-Installed to Save 30 Minutes of Install Time</t>
  </si>
  <si>
    <t>QK0308TAH21</t>
  </si>
  <si>
    <t>Full REPLACEMENT Transport Seat
TPO Plastic
With SETINA SMARTBELT SYSTEM
*INCLUDES REQUIRED:
   -#12VS Stationary Window Vinyl Coated Expanded Metal Cargo Partition
*Seat Belt Retractors Pre-Installed to Save 30 Minutes of Install Time</t>
  </si>
  <si>
    <t>QK0217TAH21</t>
  </si>
  <si>
    <t>Full REPLACEMENT Transport Seat
TPO Plastic
With Center Pull Seat Belts
*INCLUDES REQUIRED:
   -#12VS Stationary Window Coated Polycarbonate Cargo Partition
*Seat Belt Retractors Pre-Installed to Save 30 Minutes of Install Time</t>
  </si>
  <si>
    <t>QK0281TAH21</t>
  </si>
  <si>
    <t>Full REPLACEMENT Transport Seat
TPO Plastic
With Center Pull Seat Belts
*INCLUDES REQUIRED:
   -#12VS Stationary Window Vinyl Coated Expanded Metal Cargo Partition
*Seat Belt Retractors Pre-Installed to Save 30 Minutes of Install Time</t>
  </si>
  <si>
    <t>QK0215TAH21</t>
  </si>
  <si>
    <t>*INCLUDES REQUIRED #12VS Cargo Area Rear Partition</t>
  </si>
  <si>
    <r>
      <t xml:space="preserve">STAND ALONE OEM REPLACMENT CONTOUR TRANSPORT SEAT 
</t>
    </r>
    <r>
      <rPr>
        <b/>
        <sz val="10"/>
        <color rgb="FFFF0000"/>
        <rFont val="Calibri"/>
        <family val="2"/>
      </rPr>
      <t>WITH CHILD RESTRAINT ANCHORAGE SYSTEM
FOR USE WITH VEHICLES ORDERED WITH REAR SEAT DELETE OPTION CODE ATZ</t>
    </r>
  </si>
  <si>
    <t>QK0214TAH21</t>
  </si>
  <si>
    <t>QK0213TAH21</t>
  </si>
  <si>
    <t>***DUE TO FMVSS225 (CHILD RESTRAINT) REQUIREMENTS IN THE IVD (INCOMPLETE VEHICLE DOCUMENT), YOU WILL NEED THE CHILD RESTRAINT RETROFIT KIT (SOLD SEPERATELY)***</t>
  </si>
  <si>
    <r>
      <t xml:space="preserve">*REQUIRED #12VS Cargo Area Rear Partition NOT INCLUDED
</t>
    </r>
    <r>
      <rPr>
        <b/>
        <sz val="10"/>
        <color rgb="FFFF0000"/>
        <rFont val="Calibri"/>
        <family val="2"/>
      </rPr>
      <t>*FOR USE WITH VEHICLES ORDERED WITH REAR SEAT DELETE OPTION CODE ATZ</t>
    </r>
  </si>
  <si>
    <t>QK2041TAH21</t>
  </si>
  <si>
    <t>QK0343TAH21</t>
  </si>
  <si>
    <t>QK2024TAH21</t>
  </si>
  <si>
    <t>QK2023TAH21</t>
  </si>
  <si>
    <r>
      <t xml:space="preserve">*INCLUDES REQUIRED #12VS Cargo Area Rear Partition
</t>
    </r>
    <r>
      <rPr>
        <b/>
        <sz val="10"/>
        <color rgb="FFFF0000"/>
        <rFont val="Calibri"/>
        <family val="2"/>
        <scheme val="minor"/>
      </rPr>
      <t>*FOR USE WITHOUT 2ND ROW SEAT DELETE OPTION (CODE:ATZ)</t>
    </r>
  </si>
  <si>
    <t>STAND ALONE OEM REPLACMENT CONTOUR TRANSPORT SEAT</t>
  </si>
  <si>
    <t>QK1375TAH21</t>
  </si>
  <si>
    <t>QK1374TAH21</t>
  </si>
  <si>
    <r>
      <t xml:space="preserve">*REQUIRED #12VS Cargo Area Rear Partition NOT INCLUDED
</t>
    </r>
    <r>
      <rPr>
        <b/>
        <sz val="10"/>
        <color rgb="FFFF0000"/>
        <rFont val="Calibri"/>
        <family val="2"/>
        <scheme val="minor"/>
      </rPr>
      <t xml:space="preserve">*FOR USE WITHOUT 2ND ROW SEAT DELETE OPTION (CODE:ATZ) </t>
    </r>
  </si>
  <si>
    <t>Full COVER Transport Seat
TPO Plastic
Wth SETINA SMARTBELT SYSTEM
*INCLUDES REQUIRED:
   -#12VS Stationary Window Coated Polycarbonate Cargo Partition
*Seat Belt Retractors Pre-Installed to Save 30 Minutes of Install Time
*ONLY COMPATIBLE WITH:
   -XL Panel Front Partitions
   -SPT Single Prisoner Transports Partitions</t>
  </si>
  <si>
    <t>QK2415TAH21</t>
  </si>
  <si>
    <t>Full COVER Transport Seat
TPO Plastic
Wth SETINA SMARTBELT SYSTEM
*INCLUDES REQUIRED:
   -#12VS Stationary Window Vinyl Coated Expanded Metal Cargo Partition
*Seat Belt Retractors Pre-Installed to Save 30 Minutes of Install Time
*ONLY COMPATIBLE WITH:
   -XL Panel Front Partitions
   -SPT Single Prisoner Transports Partitions</t>
  </si>
  <si>
    <t>QK2413TAH21</t>
  </si>
  <si>
    <t>Full COVER Transport Seat
TPO Plastic
With Center Pull Seat Belts
*INCLUDES REQUIRED:
   -#12VS Stationary Window Coated Polycarbonate Cargo Partition
*Seat Belt Retractors Pre-Installed to Save 30 Minutes of Install Time
*ONLY COMPATIBLE WITH:
   -XL Panel Front Partitions
   -SPT Single Prisoner Transports Partitions</t>
  </si>
  <si>
    <t>QK2414TAH21</t>
  </si>
  <si>
    <t>Full COVER Transport Seat
TPO Plastic
With Center Pull Seat Belts
*INCLUDES REQUIRED:
   -#12VS Stationary Window Vinyl Coated Expanded Metal Cargo Partition
*Seat Belt Retractors Pre-Installed to Save 30 Minutes of Install Time
*ONLY COMPATIBLE WITH:
   -XL Panel Front Partitions
   -SPT Single Prisoner Transports Partitions</t>
  </si>
  <si>
    <t>QK2412TAH21</t>
  </si>
  <si>
    <t>COVER STYLE TRANSPORT SEATING
*INCLUDES REQUIRED #12VS Stationary Window Cargo Area Rear Partition</t>
  </si>
  <si>
    <t>Full COVER Transport Seat
TPO Plastic
Wth SETINA SMARTBELT SYSTEM
*REQUIRED:
   -#12VS Stationary Window Cargo Area Rear Partition NOT INCLUDED
*ONLY COMPATIBLE WITH:
   -XL Panel Front Partitions
   -SPT Single Prisoner Transports Partitions</t>
  </si>
  <si>
    <t>QK0358TAH21</t>
  </si>
  <si>
    <t>Full COVER Transport Seat
TPO Plastic
With Center Pull Seat Belts
*REQUIRED:
   -#12VS Stationary Window Cargo Area Rear Partition NOT INCLUDED
*ONLY COMPATIBLE WITH:
   -XL Panel Front Partitions
   -SPT Single Prisoner Transports Partitions</t>
  </si>
  <si>
    <t>QK2410TAH21</t>
  </si>
  <si>
    <t xml:space="preserve"> COVER STYLE TRANSPORT SEATING</t>
  </si>
  <si>
    <t>Firearm Mount Transfer Kit
Forward Facing Partition Mount
Without Mount Plate
*ONLY FOR USE WITH:
   -SPT Single Prisoner Transport Partition</t>
  </si>
  <si>
    <t>GT0536TAH21</t>
  </si>
  <si>
    <t>FIREARM MOUNT SYSTEM TRANSFER KIT
*RECOMMENDED FOR USE with Double T-Rail System</t>
  </si>
  <si>
    <t>GF1092TAH21</t>
  </si>
  <si>
    <t>K9 Full Containment Insert
Occupies Full Back Seat
*FOR USE WITH:
    -10" Fan NOT INCLUDED
*INCLUDES:
   -Front Sliding Door Partition
   -Rear Partition
   -Door Panels
   -Window Barriers</t>
  </si>
  <si>
    <t>CK2393TAH21-10</t>
  </si>
  <si>
    <t>K9 Full Containment Insert
Occupies Full Back Seat
*INCLUDES:
   -Front Sliding Door Partition
   -Rear Partition
   -Door Panels
   -Window Barriers</t>
  </si>
  <si>
    <t>CK2393TAH21</t>
  </si>
  <si>
    <t>*See "K9 ELECTRONICS" Page For Additional Electronics Options &amp; Charges</t>
  </si>
  <si>
    <t>Ultimate K9 2
K9 Exit points 2: 1 Drivers side &amp; 1 between front seats
Prisoner Passenger Side Exit
*FOR USE WITH:
   -10" Fan NOT INCLUDED
*COMPATIBLE WITH:
   -Cargo Box: Not Included
  -Rear Seat Delete Option Code ATZ
*INCLUDES:
   -Passenger Side Single Prisoner Replacement Seat</t>
  </si>
  <si>
    <t>CK2417TAH21-10</t>
  </si>
  <si>
    <t>Ultimate K9 2
K9 Exit points 2: Drivers Side &amp; Between Front Seats
Prisoner Passenger Side Exit
*COMPATIBLE WITH:
   -Cargo Box: Not Included
   -Rear Seat Delete Option Code ATZ
*INCLUDES:
   -Passenger Side Single Prisoner Replacement Seat</t>
  </si>
  <si>
    <t>CK2417TAH21</t>
  </si>
  <si>
    <t>*INCLUDES SPT Replacement Seat, Door Panels, Window Barriers &amp; Complete Interior Coverage</t>
  </si>
  <si>
    <t>K9 ULTIMATE 2 PACKAGE</t>
  </si>
  <si>
    <t>Ultimate K9 2
K9 Exit points 2: 1 Drivers side &amp; 1 between front seats
Prisoner Passenger Side Exit
*FOR USE WITH:
   -10" Fan NOT INCLUDED
*COMPATIBLE WITH:
   -Cargo Box: Not Included
*NOT COMPATIBLE WITH
   -Rear Seat Delete Option Code ATZ</t>
  </si>
  <si>
    <t>CK2052TAH21-10</t>
  </si>
  <si>
    <t>Ultimate K9 2
K9 Exit points 2: Drivers Side &amp; Between Front Seats
Prisoner Passenger Side Exit
*COMPATIBLE WITH:
   -Cargo Box: Not Included
*NOT COMPATIBLE WITH
   -Rear Seat Delete Option Code ATZ</t>
  </si>
  <si>
    <t>CK2052TAH21</t>
  </si>
  <si>
    <t>*INCLUDES Door Panels, Window Barriers &amp; Complete Interior Coverage</t>
  </si>
  <si>
    <t>***2021-2025 MODEL YEAR***</t>
  </si>
  <si>
    <t xml:space="preserve">Door Panel
Aluminum
Replaces OEM Door Panels </t>
  </si>
  <si>
    <t>DK0598TAH21</t>
  </si>
  <si>
    <t>Door Panel
TPO Plastic Black
Installs Over OEM Door Panels</t>
  </si>
  <si>
    <t>DK0100TAH21</t>
  </si>
  <si>
    <t>Window Barrier VS 2-Piece Set
Side Windows
Steel Horizontal
Rear Cargo Compartment</t>
  </si>
  <si>
    <t>WK0046TAH21</t>
  </si>
  <si>
    <t>Window Barrier 3-Piece Set
Steel Horizontal
Rear Cargo Compartment
*INCLUDES:
   -2 Side Windows
   -Rear Hatch</t>
  </si>
  <si>
    <t>WK0040TAH21</t>
  </si>
  <si>
    <t>Window Barrier Rear Hatch
Steel Horizontal
Rear Cargo Compartment</t>
  </si>
  <si>
    <t>WK0041TAH21</t>
  </si>
  <si>
    <t>Window Barrier 
Steel
Horizontal
*FOR USE WITH:
   -Stock Door Panels
   -SETINA TPO Door Panels
-Aluminum Door Panels</t>
  </si>
  <si>
    <t>Window Barrier 
Steel
Vertical
*FOR USE WITH:
   -Stock Door Panels
   -SETINA TPO Door Panels
-Aluminum Door Panels</t>
  </si>
  <si>
    <t>WK0514TAH21</t>
  </si>
  <si>
    <t>Window Barrier 
Polycarbonate Tinted
*FOR USE WITH:
   -Stock Door Panels
   -SETINA TPO Door Panels
-Aluminum Door Panels</t>
  </si>
  <si>
    <t>WK1491TAH21T</t>
  </si>
  <si>
    <t>Window Barrier 
Polycarbonate
*FOR USE WITH:
   -Stock Door Panels
   -SETINA TPO Door Panels
-Aluminum Door Panels</t>
  </si>
  <si>
    <t>WK0595TAH21</t>
  </si>
  <si>
    <t>PB10 Headlight Guard
Steel
With PB9S Wrap
Aluminum</t>
  </si>
  <si>
    <t>HK2273TAH21</t>
  </si>
  <si>
    <t>HK2272TAH21</t>
  </si>
  <si>
    <t>HK0809TAH21</t>
  </si>
  <si>
    <t>HK0810TAH21</t>
  </si>
  <si>
    <t>FK2271TAH21</t>
  </si>
  <si>
    <t>FK0402TAH21</t>
  </si>
  <si>
    <t>FK0400TAH21</t>
  </si>
  <si>
    <t>OK1304TAH</t>
  </si>
  <si>
    <t>POLICE BIKE RACK</t>
  </si>
  <si>
    <t>BK1543TAH25</t>
  </si>
  <si>
    <t>BK1511TAH25</t>
  </si>
  <si>
    <t>BK1527TAH25</t>
  </si>
  <si>
    <t>BK1559TAH25</t>
  </si>
  <si>
    <t>BK1585TAH25</t>
  </si>
  <si>
    <t>***2025 MODEL YEAR BUMPERS***</t>
  </si>
  <si>
    <t>BK1542TAH25</t>
  </si>
  <si>
    <t>BK1510TAH25</t>
  </si>
  <si>
    <t>BK1526TAH25</t>
  </si>
  <si>
    <t>BK1366TAH25</t>
  </si>
  <si>
    <t>BK1558TAH25</t>
  </si>
  <si>
    <t>BK1604TAH25</t>
  </si>
  <si>
    <t>BK1584TAH25</t>
  </si>
  <si>
    <t>BK1541TAH25</t>
  </si>
  <si>
    <t>BK1509TAH25</t>
  </si>
  <si>
    <t>BK1525TAH25</t>
  </si>
  <si>
    <t>BK1687TAH25</t>
  </si>
  <si>
    <t>BK1557TAH25</t>
  </si>
  <si>
    <t>BK1603TAH25</t>
  </si>
  <si>
    <t>BK1583TAH25</t>
  </si>
  <si>
    <t>BK0282TAH25</t>
  </si>
  <si>
    <t>BK2338TAH25</t>
  </si>
  <si>
    <t>BK1001TAH25</t>
  </si>
  <si>
    <t>BK0802TAH25</t>
  </si>
  <si>
    <t>BK2168TAH25</t>
  </si>
  <si>
    <t>BK2019TAH25</t>
  </si>
  <si>
    <t>BK2124TAH25</t>
  </si>
  <si>
    <t>BK2166TAH25</t>
  </si>
  <si>
    <t>BK2017TAH25</t>
  </si>
  <si>
    <t>BK0535TAH25</t>
  </si>
  <si>
    <t>BK0060TAH25</t>
  </si>
  <si>
    <t>BK0534TAH25</t>
  </si>
  <si>
    <t>PB400 Push Bumpers</t>
  </si>
  <si>
    <t>BK1543TAH21</t>
  </si>
  <si>
    <t>BK1511TAH21</t>
  </si>
  <si>
    <t>BK1527TAH21</t>
  </si>
  <si>
    <t>BK1559TAH21</t>
  </si>
  <si>
    <t>BK1585TAH21</t>
  </si>
  <si>
    <t>***2021-2024 MODEL YEAR BUMPERS***</t>
  </si>
  <si>
    <t>BK1542TAH21</t>
  </si>
  <si>
    <t>BK1510TAH21</t>
  </si>
  <si>
    <t>BK1526TAH21</t>
  </si>
  <si>
    <t>BK1366TAH21</t>
  </si>
  <si>
    <t>BK1558TAH21</t>
  </si>
  <si>
    <t>BK1604TAH21</t>
  </si>
  <si>
    <t>BK1584TAH21</t>
  </si>
  <si>
    <t>BK1541TAH21</t>
  </si>
  <si>
    <t>BK1509TAH21</t>
  </si>
  <si>
    <t>BK1525TAH21</t>
  </si>
  <si>
    <t>BK1687TAH21</t>
  </si>
  <si>
    <t>BK1557TAH21</t>
  </si>
  <si>
    <t>BK1603TAH21</t>
  </si>
  <si>
    <t>BK1583TAH21</t>
  </si>
  <si>
    <t>BK0282TAH21</t>
  </si>
  <si>
    <t>BK2338TAH21</t>
  </si>
  <si>
    <t>BK1001TAH21</t>
  </si>
  <si>
    <t>BK0802TAH21</t>
  </si>
  <si>
    <t>BK2168TAH21</t>
  </si>
  <si>
    <t>BK2019TAH21</t>
  </si>
  <si>
    <t>BK2124TAH21</t>
  </si>
  <si>
    <t>BK2166TAH21</t>
  </si>
  <si>
    <t>BK2017TAH21</t>
  </si>
  <si>
    <t>BK0535TAH21</t>
  </si>
  <si>
    <t>BK0060TAH21</t>
  </si>
  <si>
    <t>BK0534TAH21</t>
  </si>
  <si>
    <t>Cargo Area Rear Partition
For 2nd Row Seat
#12VS Stationary Window
Coated Polycarbonate Partition</t>
  </si>
  <si>
    <t>PK0316TAH212ND</t>
  </si>
  <si>
    <t>Cargo Area Parition
For 2nd Row Seat
#12VS Stationary Window
Vinyl Coated Expanded Metal</t>
  </si>
  <si>
    <t>PK0123TAH212ND</t>
  </si>
  <si>
    <t>2K0035TAH21RPFC</t>
  </si>
  <si>
    <t>2K0035TAH21RPFR</t>
  </si>
  <si>
    <t>DPT Dual Prisoner Transport Partition
*FOR USE WITH:
   -RECESSED OR XL PANEL Partition
   -PARTIAL STOCK SEAT</t>
  </si>
  <si>
    <t>2K0035TAH21RPND</t>
  </si>
  <si>
    <t>2K0035TAH21RPWD</t>
  </si>
  <si>
    <t>DPT Dual Prisoner Transport Partition
*FOR USE WITH:
   -FLAT PANEL Partition
   -Full REPLACEMENT Transport Seat</t>
  </si>
  <si>
    <t>2K0035TAH21FPFR</t>
  </si>
  <si>
    <t>DPT Dual Prisoner Transport Partition
*FOR USE WITH:
   -FLAT PANEL Partition
   -Full STOCK Seat</t>
  </si>
  <si>
    <t>2K0035TAH21FPWD</t>
  </si>
  <si>
    <t>Single Prisoner Transport
#7VS  Stationary Window
Vinyl Coated Expanded Metal
*FOR USE WITH:
   -Full REPLACEMENT Transport Seat</t>
  </si>
  <si>
    <t>1K0576TAH21FR</t>
  </si>
  <si>
    <t>Single Prisoner Transport
#7VS Stationary Window
Vinyl Coated Expanded Metal
*FOR USE WITH:
   -Full COVER Transport Seat</t>
  </si>
  <si>
    <t>1K0576TAH21FC</t>
  </si>
  <si>
    <t>Single PRISONER Transport Parition
#7VS Stationary Window
Vinyl Coated Expanded Metal
*FOR USE WITH:
   -Stock Seat</t>
  </si>
  <si>
    <t>1K0576TAH21WD</t>
  </si>
  <si>
    <t xml:space="preserve"> Single Prisoner Transport Partition
#6VS Stationary Window
Coated Polycarbonate
*FOR USE WITH:
   -Setina Full REPLACEMENT Transport Seat</t>
  </si>
  <si>
    <t>1K0574TAH21FR</t>
  </si>
  <si>
    <t xml:space="preserve"> Single Prisoner Transport Partition
#6VS Stationary Window
Coated Polycarbonate
*FOR USE WITH:
   -Setina Full COVER Transport Seat</t>
  </si>
  <si>
    <t>1K0574TAH21FC</t>
  </si>
  <si>
    <t>Single Prisoner Transport Partition
#6VS Stationary Window
Coated Polycarbonate 
*FOR USE WITH:
   -Stock Seat</t>
  </si>
  <si>
    <t>1K0574TAH21WD</t>
  </si>
  <si>
    <t>SINGLE PRISONER TRANSPORT PARTITIONS
*INCLUDES Lower Extension Panels
*REQUIRED #12VS Cargo Partition NOT INCLUDED</t>
  </si>
  <si>
    <t>#10XL C2 Horizontal Sliding Window
Uncoated Polycarbonate
With Slotted Polycarbonate Window Security Screen
XL Panel Partition</t>
  </si>
  <si>
    <t>PK1187TAH21</t>
  </si>
  <si>
    <t>#10XL C2 Horizontal Sliding Window
Coated Polycarbonate
With Slotted Polycarbonate Window Security Screen
XL Panel Partition</t>
  </si>
  <si>
    <t>PK1188TAH21</t>
  </si>
  <si>
    <t>#10XL C Horizontal Sliding Window
Uncoated Polycarbonate
With Expanded Metal Window Security Screen
XL Panel Partition</t>
  </si>
  <si>
    <t>PK1151TAH21</t>
  </si>
  <si>
    <t>#10XL C Horizontal Sliding Window
Coated Polycarbonate
With  Expanded Metal Window Security Screen
XL Panel Partition</t>
  </si>
  <si>
    <t>PK1152TAH21</t>
  </si>
  <si>
    <t>#10XL Horizontal Sliding Window
Uncoated Polycarbonate
XL Panel Partition</t>
  </si>
  <si>
    <t>PK1155TAH21</t>
  </si>
  <si>
    <t>#10XL Horizontal Sliding Window
Coated Polycarbonate
XL Panel Partition</t>
  </si>
  <si>
    <t>PK1156TAH21</t>
  </si>
  <si>
    <t>#8XL Stationary Window
1/2 Uncoated Polycarbonate 1/2 Vinyl Coated Expanded Metal
XL Panel Partition</t>
  </si>
  <si>
    <t>PK1157TAH21</t>
  </si>
  <si>
    <t>#8XL Stationary Window
1/2 Coated Polycarbonate 1/2 Vinyl Coated Expanded Metal
XL Panel Partition</t>
  </si>
  <si>
    <t>PK1160TAH21</t>
  </si>
  <si>
    <t>#7XL Stationary Window
Vinyl Coated Expanded Metal Partition
XL Panel Partition</t>
  </si>
  <si>
    <t>PK1166TAH21</t>
  </si>
  <si>
    <t>#6/7XL 3-Piece Stationary Window
Coated Polycarbonate With Vinyl Coated Expanded Metal Center Section
XL Panel Partition</t>
  </si>
  <si>
    <t>PK1170TAH21</t>
  </si>
  <si>
    <t>#6XL Stationary Window
Uncoated Polycarbonate
XL Panel Partition</t>
  </si>
  <si>
    <t>PK1163TAH21</t>
  </si>
  <si>
    <t>#6XL Stationary Window
Coated Polycarbonate
XL Panel Partition</t>
  </si>
  <si>
    <t>PK1164TAH21</t>
  </si>
  <si>
    <t>PK0227TAH21</t>
  </si>
  <si>
    <t>PK0228TAH21</t>
  </si>
  <si>
    <t>PK0602TAH21</t>
  </si>
  <si>
    <t>PK0419TAH21</t>
  </si>
  <si>
    <t>PK0439TAH21</t>
  </si>
  <si>
    <t>PK0355TAH21</t>
  </si>
  <si>
    <t>PK0398TAH21</t>
  </si>
  <si>
    <t>PK0369TAH21</t>
  </si>
  <si>
    <t>PK0420TAH21</t>
  </si>
  <si>
    <t>PK0517TAH21</t>
  </si>
  <si>
    <t>PK0373TAH21</t>
  </si>
  <si>
    <t>PK0374TAH21</t>
  </si>
  <si>
    <t>PK0225TAH21</t>
  </si>
  <si>
    <t>#10VS C2 Horizontal Sliding Window
Coated Polycarbonate
With Slotted Polycarbonate Window Security Screen
Flat Panel Partition</t>
  </si>
  <si>
    <t>PK0226TAH21</t>
  </si>
  <si>
    <t>#10VS  C Horizontal Sliding Window
Uncoated Polycarbonate
With  Expanded Metal Window Security Screen
Flat Panel Partition</t>
  </si>
  <si>
    <t>PK0601TAH21</t>
  </si>
  <si>
    <t>#10VS C Horizontal Sliding Window
Coated Polycarbonate
With  Expanded Metal Window Security Screen
Flat Panel Partition</t>
  </si>
  <si>
    <t>PK0350TAH21</t>
  </si>
  <si>
    <t>PK0120TAH21</t>
  </si>
  <si>
    <t>PK0121TAH21</t>
  </si>
  <si>
    <t>PK0118TAH21</t>
  </si>
  <si>
    <t>PK0119TAH21</t>
  </si>
  <si>
    <t>PK0117TAH21</t>
  </si>
  <si>
    <t>PK0326TAH21</t>
  </si>
  <si>
    <t>PK0115TAH21</t>
  </si>
  <si>
    <t>PK0116TAH21</t>
  </si>
  <si>
    <t>Chevrolet Tahoe</t>
  </si>
  <si>
    <t xml:space="preserve">CARGO DECK w/ DRAWER SUPER MAX
*COMPATIBLE WITH: Rear Window Barrier
*NOT COMPATIBLE WITH: Double Cab
*INCLUDES REQUIRED:
   -Dual Poly Wall for Recessed Panel Front Partition
   -Radio Box
   -Lower Cargo Deck w/ Rubber Mat
   -Storage Box
   -TPO Single Replacement Seat w/ Center Pull Seat Belt
   -Door Panel Aluminum 2pc Set
*INCLUDES OPTIONAL ACCESSORIES:
   -Upper Cargo Deck
   -Window Barrier 2pc Set Horizontal Bars
   -Rear Window Barrier 1pc
*DOES NOT INCLUDE REQUIRED:
   -Recessed Panel Front Partition
</t>
  </si>
  <si>
    <t>TK1339CHT191500</t>
  </si>
  <si>
    <t>WK0514CHT191500H</t>
  </si>
  <si>
    <t>WK0055CHT191500</t>
  </si>
  <si>
    <t>Upper Cargo Deck
*REQUIRED:
   -TK1459CHT191500RW Cargo Deck w/ Drawer Max NOT INCLUDED</t>
  </si>
  <si>
    <t>TPA15086</t>
  </si>
  <si>
    <t xml:space="preserve">CARGO DECK w/ DRAWER MAX
*COMPATIBLE WITH: Rear Window Barrier
*NOT COMPATIBLE WITH: Double Cab
*INCLUDES REQUIRED:
   -Dual Poly Wall for Recessed Panel Front Partition
   -Radio Box
   -Lower Cargo Deck w/ Rubber Mat
   -Storage Box
   -TPO Single Replacement Seat w/ Center Pull Seat Belt
   -Door Panel Aluminum 2pc Set
*DOES NOT INCLUDE REQUIRED:
   -Recessed Panel Front Partition
</t>
  </si>
  <si>
    <t>TK1459CHT191500RW</t>
  </si>
  <si>
    <t xml:space="preserve">CARGO DECK w/ DRAWER MAX
*NOT COMPATIBLE WITH: Rear Window Barrier
*NOT COMPATIBLE WITH: SPT Partition
*INCLUDES REQUIRED:
   -Dual Poly Wall for Recessed Panel Front Partition
   -Radio Box
   -Lower Cargo Deck w/ Rubber Mat
   -Storage Box
   -TPO Single Replacement Seat w/ Center Pull Seat Belt
   -Door Panel Aluminum 2pc Set
*DOES NOT INCLUDE REQUIRED:
   -Recessed Panel Front Partition
</t>
  </si>
  <si>
    <t>TK1459CHT191500</t>
  </si>
  <si>
    <t>T-Rail Mount Kit
Free Standing</t>
  </si>
  <si>
    <t>GF1382CHT191500</t>
  </si>
  <si>
    <t>DK0598CHT191500</t>
  </si>
  <si>
    <t>WK0595CHT191500P</t>
  </si>
  <si>
    <t>Window Barrier 
Steel Horizontal
*FOR USE WITH Stock or Aluminum Door Panel</t>
  </si>
  <si>
    <t>Window Barrier 
Steel Vertical
*FOR USE WITH Stock or Aluminum Door Panel</t>
  </si>
  <si>
    <t>WK0514CHT191500</t>
  </si>
  <si>
    <t>Window Barrier 
Polycarbonate Tinted
*FOR USE WITH Stock or Aluminum Door Panel</t>
  </si>
  <si>
    <t>WK1491CHT191500T</t>
  </si>
  <si>
    <t>Window Barrier 
Polycarbonate
*FOR USE WITH Stock or Aluminum Door Panel</t>
  </si>
  <si>
    <t>WK0595CHT191500</t>
  </si>
  <si>
    <t>HK2273CHT221500</t>
  </si>
  <si>
    <t>HK2272CHT221500</t>
  </si>
  <si>
    <t xml:space="preserve">PB8 Headlight Guard
Double Loop
</t>
  </si>
  <si>
    <t>HK0809CHT221500</t>
  </si>
  <si>
    <t>VIN REQUIRED FOR M/Y 2022</t>
  </si>
  <si>
    <t>**2022-2025 Model Year Headlight Guards**</t>
  </si>
  <si>
    <t>FK2271CHT221500</t>
  </si>
  <si>
    <t>FK0402CHT221500</t>
  </si>
  <si>
    <t>**2022-2025 Model Year Fender Wraps*</t>
  </si>
  <si>
    <t>BK1543CHT221500</t>
  </si>
  <si>
    <t>BK1511CHT221500</t>
  </si>
  <si>
    <t>BK1527CHT221500</t>
  </si>
  <si>
    <t>BK1559CHT221500</t>
  </si>
  <si>
    <t>BK1585CHT221500</t>
  </si>
  <si>
    <t>**2022-2025 Model Year Push Bumpers**</t>
  </si>
  <si>
    <t>BK1542CHT221500</t>
  </si>
  <si>
    <t>BK1510CHT221500</t>
  </si>
  <si>
    <t>BK1526CHT221500</t>
  </si>
  <si>
    <t>BK1366CHT221500</t>
  </si>
  <si>
    <t>BK1558CHT221500</t>
  </si>
  <si>
    <t>BK1604CHT221500</t>
  </si>
  <si>
    <t>BK1584CHT221500</t>
  </si>
  <si>
    <t>BK1541CHT221500</t>
  </si>
  <si>
    <t>BK1509CHT221500</t>
  </si>
  <si>
    <t>BK1525CHT221500</t>
  </si>
  <si>
    <t>BK1687CHT221500</t>
  </si>
  <si>
    <t>BK1557CHT221500</t>
  </si>
  <si>
    <t>BK1603CHT221500</t>
  </si>
  <si>
    <t>BK1583CHT221500</t>
  </si>
  <si>
    <t>BK0282CHT221500</t>
  </si>
  <si>
    <t>BK2338CHT221500</t>
  </si>
  <si>
    <t>BK1001CHT221500</t>
  </si>
  <si>
    <t>BK0802CHT221500</t>
  </si>
  <si>
    <t>BK2168CHT221500</t>
  </si>
  <si>
    <t>BK2019CHT221500</t>
  </si>
  <si>
    <t>BK2124CHT221500</t>
  </si>
  <si>
    <t>BK2166CHT221500</t>
  </si>
  <si>
    <t>BK2017CHT221500</t>
  </si>
  <si>
    <t>BK0535CHT221500</t>
  </si>
  <si>
    <t>BK0534CHT221500</t>
  </si>
  <si>
    <t>HK0809CHT191500</t>
  </si>
  <si>
    <t>VIN REQUIRED FOR M/Y 2019</t>
  </si>
  <si>
    <t>**2019-2022 Model Year Headlight Guards**</t>
  </si>
  <si>
    <t>BK1543CHT191500</t>
  </si>
  <si>
    <t>BK1511CHT191500</t>
  </si>
  <si>
    <t>BK1527CHT191500</t>
  </si>
  <si>
    <t>BK1559CHT191500</t>
  </si>
  <si>
    <t>BK1585CHT191500</t>
  </si>
  <si>
    <t>**2019-2022 Model Year Push Bumpers**</t>
  </si>
  <si>
    <t>BK1542CHT191500</t>
  </si>
  <si>
    <t>BK1510CHT191500</t>
  </si>
  <si>
    <t>BK1526CHT191500</t>
  </si>
  <si>
    <t>BK1366CHT191500</t>
  </si>
  <si>
    <t>BK1558CHT191500</t>
  </si>
  <si>
    <t>BK1604CHT191500</t>
  </si>
  <si>
    <t>BK1584CHT191500</t>
  </si>
  <si>
    <t>BK1541CHT191500</t>
  </si>
  <si>
    <t>BK1509CHT191500</t>
  </si>
  <si>
    <t>BK1525CHT191500</t>
  </si>
  <si>
    <t>BK1687CHT191500</t>
  </si>
  <si>
    <t>BK1557CHT191500</t>
  </si>
  <si>
    <t>BK1603CHT191500</t>
  </si>
  <si>
    <t>BK1583CHT191500</t>
  </si>
  <si>
    <t>BK0282CHT191500</t>
  </si>
  <si>
    <t>BK2338CHT191500</t>
  </si>
  <si>
    <t>BK1001CHT191500</t>
  </si>
  <si>
    <t>BK0802CHT191500</t>
  </si>
  <si>
    <t>BK2168CHT191500</t>
  </si>
  <si>
    <t>BK2019CHT191500</t>
  </si>
  <si>
    <t>BK2124CHT191500</t>
  </si>
  <si>
    <t>BK2166CHT191500</t>
  </si>
  <si>
    <t>BK2017CHT191500</t>
  </si>
  <si>
    <t>BK0535CHT191500</t>
  </si>
  <si>
    <t>BK0534CHT191500</t>
  </si>
  <si>
    <t>DPT Dual Prisoner Transport Partition
*FOR USE WITH:
   - Crew Cab
   - RECESSED OR XL PANEL Partition
   - Full STOCK Seat
  -Rear Window Barrier *SOLD SEPERATELY*</t>
  </si>
  <si>
    <t>2K0035CHT191500RPWDRW</t>
  </si>
  <si>
    <t>DPT Dual Prisoner Transport Partition
*FOR USE WITH:
   - Crew Cab
   - RECESSED OR XL PANEL Partition
   - Full STOCK Seat
*NOT COMPATIBLE WITH:
  -Rear Window Barrier</t>
  </si>
  <si>
    <t>2K0035CHT191500RPWD</t>
  </si>
  <si>
    <t>Single PRISONER Transport Parition
#7VS Stationary Window
Vinyl Coated Expanded Metal
*FOR USE WITH Stock Seat ONLY</t>
  </si>
  <si>
    <t>1K0576CHT191500</t>
  </si>
  <si>
    <t>Single Prisoner Transport Partition
#6VS Stationary Window
Coated Polycarbonate 
*FOR USE WITH Stock Seat ONLY</t>
  </si>
  <si>
    <t>1K0574CHT191500</t>
  </si>
  <si>
    <t>PK1187CHT191500</t>
  </si>
  <si>
    <t>PK1188CHT191500</t>
  </si>
  <si>
    <t>PK1151CHT191500</t>
  </si>
  <si>
    <t>#10XL C Horizontal Sliding Window
Coated Polycarbonate
With Expanded Metal Window Security Screen
XL Panel Partition</t>
  </si>
  <si>
    <t>PK1152CHT191500</t>
  </si>
  <si>
    <t>PK1155CHT191500</t>
  </si>
  <si>
    <t>PK1156CHT191500</t>
  </si>
  <si>
    <t>PK1157CHT191500</t>
  </si>
  <si>
    <t>PK1160CHT191500</t>
  </si>
  <si>
    <t>PK1166CHT191500</t>
  </si>
  <si>
    <t>PK1170CHT191500</t>
  </si>
  <si>
    <t>PK1163CHT191500</t>
  </si>
  <si>
    <t>PK1164CHT191500</t>
  </si>
  <si>
    <t>PK0227CHT191500</t>
  </si>
  <si>
    <t>PK0228CHT191500</t>
  </si>
  <si>
    <t>PK0602CHT191500</t>
  </si>
  <si>
    <t>PK0419CHT191500</t>
  </si>
  <si>
    <t>PK0439CHT191500</t>
  </si>
  <si>
    <t>PK0355CHT191500</t>
  </si>
  <si>
    <t>PK0398CHT191500</t>
  </si>
  <si>
    <t>PK0369CHT191500</t>
  </si>
  <si>
    <t>PK0420CHT191500</t>
  </si>
  <si>
    <t>PK0517CHT191500</t>
  </si>
  <si>
    <t>PK0373CHT191500</t>
  </si>
  <si>
    <t>PK0374CHT191500</t>
  </si>
  <si>
    <t>PK0225CHT191500</t>
  </si>
  <si>
    <t>PK0226CHT191500</t>
  </si>
  <si>
    <t>PK0601CHT191500</t>
  </si>
  <si>
    <t>PK0350CHT191500</t>
  </si>
  <si>
    <t>PK0120CHT191500</t>
  </si>
  <si>
    <t>PK0121CHT191500</t>
  </si>
  <si>
    <t>PK0118CHT191500</t>
  </si>
  <si>
    <t>PK0119CHT191500</t>
  </si>
  <si>
    <t>PK0117CHT191500</t>
  </si>
  <si>
    <t>PK0326CHT191500</t>
  </si>
  <si>
    <t>PK0115CHT191500</t>
  </si>
  <si>
    <t>PK0116CHT191500</t>
  </si>
  <si>
    <t>Chevy Truck 1500</t>
  </si>
  <si>
    <t>Freestanding Cargo Box Bracket Kit</t>
  </si>
  <si>
    <t>TF0237DUR11</t>
  </si>
  <si>
    <t>TK1320DUR11</t>
  </si>
  <si>
    <t>TK2391DUR11</t>
  </si>
  <si>
    <t>Cargo Deck
With Lower Radio Tray</t>
  </si>
  <si>
    <t>TK1246DUR11</t>
  </si>
  <si>
    <t>Cargo Deck</t>
  </si>
  <si>
    <t>TK1245DUR11</t>
  </si>
  <si>
    <t>Cargo Rear Deck EZ Lift
With Lower Tray and Lock
*REPLACES CARGO FLOOR
*COMPATIBLE WITH:
   -#12VS, Cargo Box &amp; Freestanding Cargo Box Brackets</t>
  </si>
  <si>
    <t>TK1460DUR11</t>
  </si>
  <si>
    <t>EZ LIFT CARGO DECK</t>
  </si>
  <si>
    <t>Cargo Storage Bin
Locking Box</t>
  </si>
  <si>
    <t>TK2383DUR11</t>
  </si>
  <si>
    <t>CARGO STORAGE BINS</t>
  </si>
  <si>
    <t>TK0842DUR11</t>
  </si>
  <si>
    <t>TK0841DUR11</t>
  </si>
  <si>
    <t>TK0248DUR11</t>
  </si>
  <si>
    <t>TK0255DUR11</t>
  </si>
  <si>
    <t>TK0241DUR11</t>
  </si>
  <si>
    <t>TK0246DUR11</t>
  </si>
  <si>
    <t>TK0250DUR11</t>
  </si>
  <si>
    <t>TK0233DUR11</t>
  </si>
  <si>
    <t>TK0843DUR11</t>
  </si>
  <si>
    <t>TK0844DUR11</t>
  </si>
  <si>
    <t>TK0243DUR11</t>
  </si>
  <si>
    <t>TK0251DUR11</t>
  </si>
  <si>
    <t>TK0230DUR11</t>
  </si>
  <si>
    <t>TK0245DUR11</t>
  </si>
  <si>
    <t>TK0253DUR11</t>
  </si>
  <si>
    <t>TK0232DUR11</t>
  </si>
  <si>
    <t>TK0835DUR11</t>
  </si>
  <si>
    <t>TK0836DUR11</t>
  </si>
  <si>
    <t>TK0236DUR11</t>
  </si>
  <si>
    <t>TK0254DUR11</t>
  </si>
  <si>
    <t>TK0247DUR11</t>
  </si>
  <si>
    <t>TK0839DUR11</t>
  </si>
  <si>
    <t>TK0244DUR11</t>
  </si>
  <si>
    <t>TK0252DUR11</t>
  </si>
  <si>
    <t>TK0231DUR11</t>
  </si>
  <si>
    <t>*REQUIRED Setina #12VS Rear Cargo Area Partition Or Freestanding Brackets NOT INCLUDED</t>
  </si>
  <si>
    <t>QK0491DUR11</t>
  </si>
  <si>
    <t>SEATING AREA</t>
  </si>
  <si>
    <t>Full REPLACEMENT Transport Seat 
TPO Plastic
Wth SETINA SMARTBELT SYSTEM
*INCLUDES REQUIRED:
   -#12VS Stationary Window Vinyle Coated Expanded Metal Cargo Partition
*Seat Belt Retractors Pre-Installed to Save 30 Minutes of Install Time</t>
  </si>
  <si>
    <t>QK2120DUR11</t>
  </si>
  <si>
    <t>QK2141DUR11</t>
  </si>
  <si>
    <t>QK0635DUR11</t>
  </si>
  <si>
    <t>QK0566DUR11</t>
  </si>
  <si>
    <t>*REQUIRED #12VS Cargo Area Rear Partition INCLUDED</t>
  </si>
  <si>
    <t>FULL REPLACEMENT TRANSPORT SEATING</t>
  </si>
  <si>
    <t>Full REPLACEMENT Transport Seat
TPO Plastic
With SETINA SMART BELT SYSTEM</t>
  </si>
  <si>
    <t>QK2121DUR11</t>
  </si>
  <si>
    <t>QK0634DUR11</t>
  </si>
  <si>
    <r>
      <t xml:space="preserve">Forward Facing Partition Mount
Dual T-Rail Mount
2 Universal XL
With Handcuff Key Override
*ONLY FOR USE WITH:
</t>
    </r>
    <r>
      <rPr>
        <sz val="10"/>
        <color rgb="FFFF0000"/>
        <rFont val="Calibri"/>
        <family val="2"/>
        <scheme val="minor"/>
      </rPr>
      <t xml:space="preserve">   -SPT Single Prisoner Transport Partition to Fit Stock Seat  Manufactured Dec 2018-Present</t>
    </r>
  </si>
  <si>
    <t>GK0643DUR11HK</t>
  </si>
  <si>
    <r>
      <t xml:space="preserve">Forward Facing Partition Mount
Dual T-Rail Mount
2 Universal XL
With #2 Key Override
*ONLY FOR USE WITH:
</t>
    </r>
    <r>
      <rPr>
        <sz val="10"/>
        <color rgb="FFFF0000"/>
        <rFont val="Calibri"/>
        <family val="2"/>
        <scheme val="minor"/>
      </rPr>
      <t xml:space="preserve">   -SPT Single Prisoner Transport Partition to Fit Stock Seat  Manufactured Dec 2018-Present</t>
    </r>
  </si>
  <si>
    <t>GK0643DUR11</t>
  </si>
  <si>
    <r>
      <t xml:space="preserve">Forward Facing Partition Mount
With Single T-Rail Mount
Universal XL
With Handcuff Key Override
*ONLY FOR USE WITH:
</t>
    </r>
    <r>
      <rPr>
        <sz val="10"/>
        <color rgb="FFFF0000"/>
        <rFont val="Calibri"/>
        <family val="2"/>
        <scheme val="minor"/>
      </rPr>
      <t xml:space="preserve">   -SPT Single Prisoner Transport Partition to Fit Stock Seat  Manufactured Dec 2018-Present</t>
    </r>
  </si>
  <si>
    <t>GK0642DUR11HK</t>
  </si>
  <si>
    <r>
      <t xml:space="preserve">Forward Facing Partition Mount
With Single T-Rail Mount
Universal XL
With #2 Key Override
*ONLY FOR USE WITH:
</t>
    </r>
    <r>
      <rPr>
        <sz val="10"/>
        <color rgb="FFFF0000"/>
        <rFont val="Calibri"/>
        <family val="2"/>
        <scheme val="minor"/>
      </rPr>
      <t xml:space="preserve">   -SPT Single Prisoner Transport Partition to Fit Stock Seat  Manufactured Dec 2018-Present</t>
    </r>
  </si>
  <si>
    <t>GK0642DUR11</t>
  </si>
  <si>
    <r>
      <t xml:space="preserve">FORWARD FACING FIREARM MOUNT SYSTEMS 
TO BE USED WITH SINGLE PRISONER PARTITION - </t>
    </r>
    <r>
      <rPr>
        <b/>
        <sz val="10"/>
        <color rgb="FFFF0000"/>
        <rFont val="Calibri"/>
        <family val="2"/>
        <scheme val="minor"/>
      </rPr>
      <t>STOCK SEAT ONLY</t>
    </r>
  </si>
  <si>
    <r>
      <t xml:space="preserve">Firearm Mount Transfer Kit
Forward Facing Partition Mount
With Mount Plate
*ONLY FOR USE WITH:
   </t>
    </r>
    <r>
      <rPr>
        <sz val="10"/>
        <color rgb="FFFF0000"/>
        <rFont val="Calibri"/>
        <family val="2"/>
        <scheme val="minor"/>
      </rPr>
      <t>-SPT Single Prisoner Transport Partition Manufactured Dec 2018-Present</t>
    </r>
    <r>
      <rPr>
        <sz val="10"/>
        <color theme="1"/>
        <rFont val="Calibri"/>
        <family val="2"/>
        <scheme val="minor"/>
      </rPr>
      <t xml:space="preserve">
*RECOMMENDED FOR USE WITH:
   -Double T-Rail System</t>
    </r>
  </si>
  <si>
    <t>GT0536DUR11</t>
  </si>
  <si>
    <r>
      <t xml:space="preserve">Firearm Mount Transfer Kit
Forward Facing Partition Mount
Without Mount Plate
*ONLY FOR USE WITH:
   </t>
    </r>
    <r>
      <rPr>
        <sz val="10"/>
        <color rgb="FFFF0000"/>
        <rFont val="Calibri"/>
        <family val="2"/>
        <scheme val="minor"/>
      </rPr>
      <t>-SPT Single Prisoner Transport Partition Manufactured between Jan 2011-Nov 2018</t>
    </r>
    <r>
      <rPr>
        <sz val="10"/>
        <color theme="1"/>
        <rFont val="Calibri"/>
        <family val="2"/>
        <scheme val="minor"/>
      </rPr>
      <t xml:space="preserve">
*RECOMMENDED FOR USE WITH:
   -Double T-Rail System</t>
    </r>
  </si>
  <si>
    <t>GT0536DUR11O</t>
  </si>
  <si>
    <t>GF1092DUR11</t>
  </si>
  <si>
    <t>CK0406DUR11-10</t>
  </si>
  <si>
    <t>CK0406DUR11</t>
  </si>
  <si>
    <t>*REQUIRED Cargo Box NOT INCLUDED</t>
  </si>
  <si>
    <t>DK0100DUR11</t>
  </si>
  <si>
    <t>Window Barrier VS 3-Piece Set
Side Windows &amp; Rear Hatch
Steel Horizontal
Rear Cargo Compartment
*REQUIRED:
   -#12VS Stationary Window Cargo Area Rear Partition NOT INCLUDED</t>
  </si>
  <si>
    <t>WK0040DUR11</t>
  </si>
  <si>
    <t>Window Barrier 
Steel
Horizontal
*FOR USE WITH:
   -Stock Door Panels
   -SETINA TPO Door Panels</t>
  </si>
  <si>
    <t>WK0514DUR11H</t>
  </si>
  <si>
    <t>Window Barrier 
Steel
Vertical
*FOR USE WITH:
   -Stock Door Panels
   -SETINA TPO Door Panels</t>
  </si>
  <si>
    <t>WK0514DUR11</t>
  </si>
  <si>
    <t>Window Barrier 
Polycarbonate Tinted
*FOR USE WITH:
   -Stock Door Panels
   -SETINA TPO Door Panels</t>
  </si>
  <si>
    <t>WK1491DUR11T</t>
  </si>
  <si>
    <t>Window Barrier 
Polycarbonate
*FOR USE WITH:
   -Stock Door Panels
   -SETINA TPO Door Panels</t>
  </si>
  <si>
    <t>WK0595DUR11</t>
  </si>
  <si>
    <t>***2011-2026 MODEL YEAR***</t>
  </si>
  <si>
    <t>HK2273DUR21</t>
  </si>
  <si>
    <t>HK2272DUR21</t>
  </si>
  <si>
    <t>HK0809DUR21</t>
  </si>
  <si>
    <t>HK0810DUR21</t>
  </si>
  <si>
    <t>***2021-2026 MODEL YEAR HEADLIGHT GUARDS***</t>
  </si>
  <si>
    <t>FK2271DUR21</t>
  </si>
  <si>
    <t>FK0402DUR21</t>
  </si>
  <si>
    <t>FK0400DUR21</t>
  </si>
  <si>
    <t>***2021-2026 MODEL YEAR FENDER WRAPS***</t>
  </si>
  <si>
    <t>OK1304DUR</t>
  </si>
  <si>
    <t>BK1543DUR21</t>
  </si>
  <si>
    <t>BK1511DUR21</t>
  </si>
  <si>
    <t>BK1527DUR21</t>
  </si>
  <si>
    <t>BK1559DUR21</t>
  </si>
  <si>
    <t>BK1585DUR21</t>
  </si>
  <si>
    <t>***2021-2026 MODEL YEAR BUMPERS***</t>
  </si>
  <si>
    <t>BK1542DUR21</t>
  </si>
  <si>
    <t>BK1510DUR21</t>
  </si>
  <si>
    <t>BK1526DUR21</t>
  </si>
  <si>
    <t>BK1366DUR21</t>
  </si>
  <si>
    <t>BK1558DUR21</t>
  </si>
  <si>
    <t>BK1604DUR21</t>
  </si>
  <si>
    <t>BK1584DUR21</t>
  </si>
  <si>
    <t>BK1541DUR21</t>
  </si>
  <si>
    <t>BK1509DUR21</t>
  </si>
  <si>
    <t>BK1525DUR21</t>
  </si>
  <si>
    <t>BK1687DUR21</t>
  </si>
  <si>
    <t>BK1557DUR21</t>
  </si>
  <si>
    <t>BK1603DUR21</t>
  </si>
  <si>
    <t>BK1583DUR21</t>
  </si>
  <si>
    <t>BK0282DUR21</t>
  </si>
  <si>
    <t>BK2338DUR21</t>
  </si>
  <si>
    <t>BK1001DUR21</t>
  </si>
  <si>
    <t>BK0802DUR21</t>
  </si>
  <si>
    <t>BK2168DUR21</t>
  </si>
  <si>
    <t>BK2019DUR21</t>
  </si>
  <si>
    <t>BK2124DUR21</t>
  </si>
  <si>
    <t>BK2166DUR21</t>
  </si>
  <si>
    <t>BK2017DUR21</t>
  </si>
  <si>
    <t>BK0535DUR21</t>
  </si>
  <si>
    <t>BK0534DUR21</t>
  </si>
  <si>
    <t>HK2273DUR11</t>
  </si>
  <si>
    <t>HK2272DUR11</t>
  </si>
  <si>
    <t>HK0809DUR11</t>
  </si>
  <si>
    <t>HK0810DUR11</t>
  </si>
  <si>
    <t>***2011-2020 MODEL YEAR HEADLIGHT GUARDS***</t>
  </si>
  <si>
    <t>FK2271DUR11</t>
  </si>
  <si>
    <t>FK0402DUR11</t>
  </si>
  <si>
    <t>FK0400DUR11</t>
  </si>
  <si>
    <t>***2011-2020 MODEL YEAR FENDER WRAPS***</t>
  </si>
  <si>
    <t>BK1543DUR11</t>
  </si>
  <si>
    <t>BK1511DUR11</t>
  </si>
  <si>
    <t>BK1527DUR11</t>
  </si>
  <si>
    <t>BK1559DUR11</t>
  </si>
  <si>
    <t>BK1585DUR11</t>
  </si>
  <si>
    <t>PB450LR4 LIGHT-READY
With WHELEN ION'</t>
  </si>
  <si>
    <t>BK1542DUR11</t>
  </si>
  <si>
    <t>BK1510DUR11</t>
  </si>
  <si>
    <t>BK1526DUR11</t>
  </si>
  <si>
    <t>BK1366DUR11</t>
  </si>
  <si>
    <t>BK1558DUR11</t>
  </si>
  <si>
    <t>BK1604DUR11</t>
  </si>
  <si>
    <t>BK1584DUR11</t>
  </si>
  <si>
    <t>***2011-2020 MODEL YEAR BUMPERS***</t>
  </si>
  <si>
    <t>BK1541DUR11</t>
  </si>
  <si>
    <t>BK1509DUR11</t>
  </si>
  <si>
    <t>BK1525DUR11</t>
  </si>
  <si>
    <t>BK1687DUR11</t>
  </si>
  <si>
    <t>BK1557DUR11</t>
  </si>
  <si>
    <t>BK1603DUR11</t>
  </si>
  <si>
    <t>BK1583DUR11</t>
  </si>
  <si>
    <t>BK0282DUR11</t>
  </si>
  <si>
    <t>BK2338DUR11</t>
  </si>
  <si>
    <t>BK1001DUR11</t>
  </si>
  <si>
    <t>BK0802DUR11</t>
  </si>
  <si>
    <t>BK2168DUR11</t>
  </si>
  <si>
    <t>BK2019DUR11</t>
  </si>
  <si>
    <t>BK2124DUR11</t>
  </si>
  <si>
    <t>BK2166DUR11</t>
  </si>
  <si>
    <t>BK2017DUR11</t>
  </si>
  <si>
    <t>BK0535DUR11</t>
  </si>
  <si>
    <t>BK0534DUR11</t>
  </si>
  <si>
    <t>Cargo Area Rear Partition
#12VS Stationary Window
Coated Polycarbonate Partition 
*FOR USE WITH:
   -2nd Row Seat</t>
  </si>
  <si>
    <t>PK0316DUR112ND</t>
  </si>
  <si>
    <t>Cargo Area Parition
#12VS Stationary Window
Vinyl Coated Expanded Metal
*FOR USE WITH:
   -2nd Row Seat</t>
  </si>
  <si>
    <t>PK0123DUR112ND</t>
  </si>
  <si>
    <t>DPT Dual Prisoner Transport Partition
*FOR USE WITH:
   -RECESSED OR XL PANEL Partition
   -Full REPLACEMENT Transport Seat</t>
  </si>
  <si>
    <t>2K0035DUR11RPSAS</t>
  </si>
  <si>
    <t>2K0035DUR11RP</t>
  </si>
  <si>
    <t>Single PRISONER Transport Parition
#7VS Stationary Window
Vinyl Coated Expanded Metal
FOR USE WITH:
   - Setina Replacement Seat</t>
  </si>
  <si>
    <t>1K0576DUR11FSR</t>
  </si>
  <si>
    <t>Single Prisoner Transport Partition
#6VS Stationary Window
Coated Polycarbonate 
FOR USE WITH:
   - Setina Replacement Seat</t>
  </si>
  <si>
    <t>1K0574DUR11FSR</t>
  </si>
  <si>
    <t>Single PRISONER Transport Parition
#7VS Stationary Window
Vinyl Coated Expanded Metal
FOR USE WITH:
   - Full Stock Seat</t>
  </si>
  <si>
    <t>1K0576DUR11</t>
  </si>
  <si>
    <t>Single Prisoner Transport Partition
#6VS Stationary Window
Coated Polycarbonate 
FOR USE WITH:
   - Full Stock Seat</t>
  </si>
  <si>
    <t>1K0574DUR11</t>
  </si>
  <si>
    <r>
      <t xml:space="preserve">SINGLE PRISONER TRANSPORT PARTITIONS
*INCLUDES Lower Extension Panels
</t>
    </r>
    <r>
      <rPr>
        <b/>
        <sz val="10"/>
        <color rgb="FFFF0000"/>
        <rFont val="Calibri"/>
        <family val="2"/>
        <scheme val="minor"/>
      </rPr>
      <t>*REQUIRES #12VS REAR PARTITION SOLD SEPARATELY</t>
    </r>
  </si>
  <si>
    <t>PK1185DUR11</t>
  </si>
  <si>
    <t>PK1186DUR11</t>
  </si>
  <si>
    <t>PK1125DUR11</t>
  </si>
  <si>
    <t>PK1126DUR11</t>
  </si>
  <si>
    <t>PK1129DUR11</t>
  </si>
  <si>
    <t>PK1130DUR11</t>
  </si>
  <si>
    <t>PK1133DUR11</t>
  </si>
  <si>
    <t>PK1134DUR11</t>
  </si>
  <si>
    <t>PK1140DUR11</t>
  </si>
  <si>
    <t>PK1170DUR11</t>
  </si>
  <si>
    <t>PK1137DUR11</t>
  </si>
  <si>
    <t>PK1138DUR11</t>
  </si>
  <si>
    <t>PK0227DUR11</t>
  </si>
  <si>
    <t>PK0228DUR11</t>
  </si>
  <si>
    <t>PK0602DUR11</t>
  </si>
  <si>
    <t>PK0419DUR11</t>
  </si>
  <si>
    <t>PK0439DUR11</t>
  </si>
  <si>
    <t>PK0355DUR11</t>
  </si>
  <si>
    <t>PK0398DUR11</t>
  </si>
  <si>
    <t>PK0369DUR11</t>
  </si>
  <si>
    <t>PK0420DUR11</t>
  </si>
  <si>
    <t>PK0517DUR11</t>
  </si>
  <si>
    <t>PK0373DUR11</t>
  </si>
  <si>
    <t>PK0374DUR11</t>
  </si>
  <si>
    <t>PK0225DUR11</t>
  </si>
  <si>
    <t>PK0226DUR11</t>
  </si>
  <si>
    <t>PK0601DUR11</t>
  </si>
  <si>
    <t>PK0350DUR11</t>
  </si>
  <si>
    <t>PK0120DUR11</t>
  </si>
  <si>
    <t>PK0121DUR11</t>
  </si>
  <si>
    <t>PK0118DUR11</t>
  </si>
  <si>
    <t>PK0119DUR11</t>
  </si>
  <si>
    <t>PK0117DUR11</t>
  </si>
  <si>
    <t>PK0326DUR11</t>
  </si>
  <si>
    <t>PK0115DUR11</t>
  </si>
  <si>
    <t>PK0116DUR11</t>
  </si>
  <si>
    <t>Dodge Durango</t>
  </si>
  <si>
    <t>CARGO DECK w/ DRAWER SUPER MAX
*COMPATIBLE WITH: Rear Window Barrier
*NOT COMPATIBLE WITH: SPT Partition
*INCLUDES REQUIRED:
   -Dual Poly Wall for Recessed Panel Front Partition
   -Radio Box
   -Lower Cargo Deck w/ Rubber Mat
   -Storage Box
   -Door Panel Aluminum 1pc Driver Side ONLY
   -Rear Window Barrier 1pc
   -TPO Replacement Seat with Center Pull Seat Belts
*INCLUDES OPTIONAL ACCESSORIES:
   -Upper Cargo Deck
   -Door Panel Aluminum 1pc Passenger Side ONLY
   -Window Barrier 2pc Set Horizontal Bars
*DOES NOT INCLUDE REQUIRED:
   -Recessed Panel Front Partition</t>
  </si>
  <si>
    <t>TK1231DRT191500CC</t>
  </si>
  <si>
    <t>WK0514DRT191500H</t>
  </si>
  <si>
    <t>1D1388DRT191500CC</t>
  </si>
  <si>
    <t>Upper Cargo Deck
*REQUIRED:
   -TK0084DRT191500CC Cargo Deck w/ Drawer Max NOT INCLUDED</t>
  </si>
  <si>
    <t>TPA16089</t>
  </si>
  <si>
    <t>***NEW CARGO DECK SYSTEM**</t>
  </si>
  <si>
    <t>CARGO DECK w/ DRAWER MAX
*COMPATIBLE WITH: Rear Window Barrier
*NOT COMPATIBLE WITH: SPT Partition
*INCLUDES REQUIRED:
   -Dual Poly Wall for Recessed Panel Front Partition
   -Radio Box
   -Lower Cargo Deck w/ Rubber Mat
   -Storage Box
   -Door Panel Aluminum 1pc Driver Side ONLY
   -Rear Window Barrier 1pc
   -TPO Replacement Seat with Center Pull Seat Belts
*DOES NOT INCLUDE REQUIRED:
   -Recessed Panel Front Partition</t>
  </si>
  <si>
    <t>TK0084DRT191500CC</t>
  </si>
  <si>
    <t>GF1382DRT191500</t>
  </si>
  <si>
    <t>FREE STANDING WEAPONS MOUNT SYSTEM
*INCLUDES Free Standing Mount ONLY
*REQUIRED Weapon System NOT INCLUDED</t>
  </si>
  <si>
    <t>Window Barrier Rear Window
Steel Horizontal</t>
  </si>
  <si>
    <t>WK0055DRT191500</t>
  </si>
  <si>
    <t>REAR WINDOW BARRIER</t>
  </si>
  <si>
    <t>Window Barrier 
Steel
Horizontal
*FOR USE WITH:
   -Stock Door Panels
   -Crew Cab</t>
  </si>
  <si>
    <t>Window Barrier 
Polycarbonate Tinted
*FOR USE WITH:
   -Stock Door Panels
   -Crew Cab</t>
  </si>
  <si>
    <t>WK1491DRT191500T</t>
  </si>
  <si>
    <t>Window Barrier 
Polycarbonate
*FOR USE WITH:
   -Stock Door Panels
   -Crew Cab</t>
  </si>
  <si>
    <t>WK0595DRT191500</t>
  </si>
  <si>
    <t>DK0598DRT191500CC</t>
  </si>
  <si>
    <t xml:space="preserve">DOOR PANELS
</t>
  </si>
  <si>
    <t>**2019-2025 MODEL YEAR**</t>
  </si>
  <si>
    <t>HK0809DRT191500</t>
  </si>
  <si>
    <t>**2019-2024 MODEL YEAR**</t>
  </si>
  <si>
    <t>BK1543DRT251500</t>
  </si>
  <si>
    <t>BK1511DRT251500</t>
  </si>
  <si>
    <t>BK1527DRT251500</t>
  </si>
  <si>
    <t>BK1559DRT251500</t>
  </si>
  <si>
    <t>BK1585DRT251500</t>
  </si>
  <si>
    <t>**2025-2025 MODEL YEAR**</t>
  </si>
  <si>
    <t>BK1542DRT251500</t>
  </si>
  <si>
    <t>BK1510DRT251500</t>
  </si>
  <si>
    <t>BK1526DRT251500</t>
  </si>
  <si>
    <t>BK1366DRT251500</t>
  </si>
  <si>
    <t>BK1558DRT251500</t>
  </si>
  <si>
    <t>BK1604DRT251500</t>
  </si>
  <si>
    <t>BK1584DRT251500</t>
  </si>
  <si>
    <t>BK1541DRT251500</t>
  </si>
  <si>
    <t>BK1509DRT251500</t>
  </si>
  <si>
    <t>BK1525DRT251500</t>
  </si>
  <si>
    <t>BK1687DRT251500</t>
  </si>
  <si>
    <t>BK1557DRT251500</t>
  </si>
  <si>
    <t>BK1603DRT251500</t>
  </si>
  <si>
    <t>BK1583DRT251500</t>
  </si>
  <si>
    <t>BK0282DRT251500</t>
  </si>
  <si>
    <t>BK2338DRT251500</t>
  </si>
  <si>
    <t>BK1001DRT251500</t>
  </si>
  <si>
    <t>BK0802DRT251500</t>
  </si>
  <si>
    <t>BK2168DRT251500</t>
  </si>
  <si>
    <t>BK2019DRT251500</t>
  </si>
  <si>
    <t>PB450L LIGHTED PUSH BUMPERS
4 Lights Total: 2 Forward Facing, 1 Each Side
*ONLY Full Size Bumper Available
*COMPATIBLE With Dodge Ram Trucks Equipped With Steel Front Fascia ONLY</t>
  </si>
  <si>
    <t>BK2124DRT251500</t>
  </si>
  <si>
    <t>BK2166DRT251500</t>
  </si>
  <si>
    <t>BK2017DRT251500</t>
  </si>
  <si>
    <t>PB450L LIGHTED PUSH BUMPERS
2 Forward Facing Lights
*ONLY Full Size Bumper Available
*COMPATIBLE With Dodge Ram Trucks Equipped With Steel Front Fascia ONLY</t>
  </si>
  <si>
    <t>BK0535DRT251500</t>
  </si>
  <si>
    <t>BK0534DRT251500</t>
  </si>
  <si>
    <t>PB400 PUSH BUMPERS
*COMPATIBLE With Dodge Ram Trucks Equipped With Steel Front Fascia ONLY</t>
  </si>
  <si>
    <t>BK1543DRT191500</t>
  </si>
  <si>
    <t>BK1511DRT191500</t>
  </si>
  <si>
    <t>BK1527DRT191500</t>
  </si>
  <si>
    <t>BK1559DRT191500</t>
  </si>
  <si>
    <t>BK1585DRT191500</t>
  </si>
  <si>
    <t>BK1542DRT191500</t>
  </si>
  <si>
    <t>BK1510DRT191500</t>
  </si>
  <si>
    <t>BK1526DRT191500</t>
  </si>
  <si>
    <t>BK1366DRT191500</t>
  </si>
  <si>
    <t>BK1558DRT191500</t>
  </si>
  <si>
    <t>BK1604DRT191500</t>
  </si>
  <si>
    <t>BK1584DRT191500</t>
  </si>
  <si>
    <t>BK1541DRT191500</t>
  </si>
  <si>
    <t>BK1509DRT191500</t>
  </si>
  <si>
    <t>BK1525DRT191500</t>
  </si>
  <si>
    <t>BK1687DRT191500</t>
  </si>
  <si>
    <t>BK1557DRT191500</t>
  </si>
  <si>
    <t>BK1603DRT191500</t>
  </si>
  <si>
    <t>BK1583DRT191500</t>
  </si>
  <si>
    <t>BK0282DRT191500</t>
  </si>
  <si>
    <t>BK2338DRT191500</t>
  </si>
  <si>
    <t>BK1001DRT191500</t>
  </si>
  <si>
    <t>BK0802DRT191500</t>
  </si>
  <si>
    <t>BK2168DRT191500</t>
  </si>
  <si>
    <t>BK2019DRT191500</t>
  </si>
  <si>
    <t>BK2124DRT191500</t>
  </si>
  <si>
    <t>BK2166DRT191500</t>
  </si>
  <si>
    <t>BK2017DRT191500</t>
  </si>
  <si>
    <t>BK0535DRT191500</t>
  </si>
  <si>
    <t>BK0534DRT191500</t>
  </si>
  <si>
    <t>Single Prisoner Transport Partition
#7VS Stationary Window
Coated Polycarbonate
*ONLY FOR USE WITH:
   -Full Stock Seat
   -Crew Cab</t>
  </si>
  <si>
    <t>1K0576DRT191500WD</t>
  </si>
  <si>
    <t>Single Prisoner Transport Partition
#6VS Stationary Window
Coated Polycarbonate
*ONLY FOR USE WITH:
   -Full Stock Seat
   -Crew Cab</t>
  </si>
  <si>
    <t>1K0574DRT191500WD</t>
  </si>
  <si>
    <t>#10VS RP Horizontal Sliding Window
Coated Polycarbonate
Recessed Panel Partition
*ONLY FOR USE WITH:
   -Crew Cab</t>
  </si>
  <si>
    <t>PK0355DRT191500</t>
  </si>
  <si>
    <t>#10VS RP Horizontal Sliding Window
Uncoated Polycarbonate
Recessed Panel Partition
*ONLY FOR USE WITH:
   -Crew Cab</t>
  </si>
  <si>
    <t>PK0439DRT191500</t>
  </si>
  <si>
    <t>#10VS C2 Horizontal Sliding Window
Coated Polycarbonate
With Slotted Polycarbonate Window Security Screen
Flat Panel Partition
*FOR USE WITH:
   -Crew Cab
   -Quad Cab</t>
  </si>
  <si>
    <t>PK0226DRT191500</t>
  </si>
  <si>
    <t>#10VS C2  Horizontal Sliding Window
Uncoated Polycarbonate
With Slotted Polycarbonate Window Security Screen
Flat Panel Partition
*FOR USE WITH:
   -Crew Cab
   -Quad Cab</t>
  </si>
  <si>
    <t>PK0225DRT191500</t>
  </si>
  <si>
    <t>#10VS C RP Horizontal Sliding Window
Uncoated Polycarbonate
With Expanded Metal Window Security Screen
Recessed Panel Partition
*ONLY FOR USE WITH:
   -Crew Cab</t>
  </si>
  <si>
    <t>PK0601DRT191500</t>
  </si>
  <si>
    <t>#10VS Horizontal Sliding Window
Coated Polycarbonate
Flat Panel Partition
*FOR USE WITH:
   -Crew Cab
   -Quad Cab</t>
  </si>
  <si>
    <t>PK0121DRT191500</t>
  </si>
  <si>
    <t>#10VS Horizontal Sliding Window
Uncoated Polycarbonate
Flat Panel Partition
*FOR USE WITH:
   -Crew Cab
   -Quad Cab</t>
  </si>
  <si>
    <t>PK0120DRT191500</t>
  </si>
  <si>
    <t>#8VS Stationary Window
1/2 Coated Polycarbonate 1/2 Vinyl Coated Expanded Metal
Flat Panel Partition
*FOR USE WITH:
   -Crew Cab
   -Quad Cab</t>
  </si>
  <si>
    <t>PK0119DRT191500</t>
  </si>
  <si>
    <t>#8VS Stationary Window
1/2 Uncoated Polycarbonate 1/2 Vinyl Coated Expanded Metal
Flat Panel Partition
*FOR USE WITH:
   -Crew Cab
   -Quad Cab</t>
  </si>
  <si>
    <t>PK0118DRT191500</t>
  </si>
  <si>
    <t>#7VS Stationary Window
Vinyl Coated Expanded Metal
Flat Panel Partition
*FOR USE WITH:
   -Crew Cab
   -Quad Cab</t>
  </si>
  <si>
    <t>PK0117DRT191500</t>
  </si>
  <si>
    <t>#6/7VS 3-Piece Stationary Window
Coated Polycarbonate With Vinyl Coated Expanded Metal Center Section
Flat Panel Partition
*FOR USE WITH:
   -Crew Cab
   -Quad Cab</t>
  </si>
  <si>
    <t>PK0326DRT191500</t>
  </si>
  <si>
    <t>#6VS Stationary Window
Coated Polycarbonate
Flat Panel Partition
*FOR USE WITH:
   -Crew Cab
   -Quad Cab</t>
  </si>
  <si>
    <t>PK0116DRT191500</t>
  </si>
  <si>
    <t>#6VS Stationary Window
Uncoated Polycarbonate
Flat Panel Partition
*FOR USE WITH:
   -Crew Cab
   -Quad Cab</t>
  </si>
  <si>
    <t>PK0115DRT191500</t>
  </si>
  <si>
    <t>*INCLUDES Full Lower Extension Panel</t>
  </si>
  <si>
    <t>FLAT PANEL PARTITIONS</t>
  </si>
  <si>
    <t>All New Dodge Ram 1500</t>
  </si>
  <si>
    <t>Trunk Tray Fan
Complete Assembly</t>
  </si>
  <si>
    <t>AT7858</t>
  </si>
  <si>
    <t>Trunk Tray
Aluminum
With Lid &amp; Lock</t>
  </si>
  <si>
    <t>TK1167CGR11</t>
  </si>
  <si>
    <t>Trunk Tray
Aluminum</t>
  </si>
  <si>
    <t>TK1189CGR11</t>
  </si>
  <si>
    <t>CARGO STORAGE BOX</t>
  </si>
  <si>
    <t>QK0491CGR11</t>
  </si>
  <si>
    <t>FLOOR PANS
*COMPATIBLE With All Setina Seats</t>
  </si>
  <si>
    <t>SETINA SMARTBELT SYSTEM
*ONLY FOR USE WITH:
   -Stock Seat</t>
  </si>
  <si>
    <t>QK2145CGR11</t>
  </si>
  <si>
    <t>QK2316CGR11</t>
  </si>
  <si>
    <t>SETINA CENTER PULL SEAT BELT SYSTEM
FOR USE WITH STOCK SEAT</t>
  </si>
  <si>
    <t>QK2121CGR11</t>
  </si>
  <si>
    <t>QK0634CGR11</t>
  </si>
  <si>
    <t>GT0536CGR11</t>
  </si>
  <si>
    <t>T-Rail Free Standing Mount Kit</t>
  </si>
  <si>
    <t>GF1092CGR11</t>
  </si>
  <si>
    <t>Containment Units Include Door Panels, Window Barriers and Complete Interior Coverage</t>
  </si>
  <si>
    <t>K9 Containment Unit
 Occupies Full Back Seat
*FOR USE WITH REQUIRED Recessed Panel Front Partition NOT INCLUDED</t>
  </si>
  <si>
    <t>CK0515CGR11RP</t>
  </si>
  <si>
    <t>K9 Containment Unit
Occupies Full Back Seat
*REQUIRED:
   -Flat Panel Front Partition NOT INCLUDED</t>
  </si>
  <si>
    <t>CK0515CGR11</t>
  </si>
  <si>
    <t>*COMPATIBLE With Year Range 2011-2023</t>
  </si>
  <si>
    <t>K9 CONTAINMENT SOLUTIONS
*REQUIRES Front Partition NOT INCLUDED</t>
  </si>
  <si>
    <t>Transmission Plate
Steel
*COMPATIBLE WITH:
   -V6 Transmission All Wheel Drive Pursuit
*FOR FULL UNDERCARRIAGE COVERAGE:
   -RECOMMENDED Skid Plate NOT INCLUDED</t>
  </si>
  <si>
    <t>MK0707CGR21V6</t>
  </si>
  <si>
    <t>***2021 MODEL YEAR V6 TRANSMISSION PLATE***</t>
  </si>
  <si>
    <t>Skid Plate
Steel
*COMPATIBLE WITH:
   -V8 Engine
   -Rear Wheel Drive Pursuit
*FOR FULL UNDERCARRIAGE COVERAGE:
   -RECOMMENDED Transmission Plate NOT INCLUDED</t>
  </si>
  <si>
    <t>SK0075CGR21V8</t>
  </si>
  <si>
    <t>Skid Plate
Steel
*COMPATIBLE WITH:
   -V6 Engine
   -All Wheel Drive Pursuit
*FOR FULL UNDERCARRIAGE COVERAGE:
   -RECOMMENDED Transmission Plate NOT INCLUDED</t>
  </si>
  <si>
    <t>SK0075CGR21V6</t>
  </si>
  <si>
    <t>***2021 MODEL YEAR SKID PLATE***</t>
  </si>
  <si>
    <t>Transmission Plate
Steel
*COMPATIBLE WITH:
   -V8 Transmission All Wheel Drive Pursuit
*FOR FULL UNDERCARRIAGE COVERAGE:
   -RECOMMENDED Skid Plate NOT INCLUDED</t>
  </si>
  <si>
    <t>MK0707CGR14V8</t>
  </si>
  <si>
    <t>***2014-2021 MODEL YEAR V8 TRANSMISSION PLATE***</t>
  </si>
  <si>
    <t>Skid Plate
Steel
*COMPATIBLE WITH:
   -V8 Engine
   -All Wheel Drive Pursuit
*FOR FULL UNDERCARRIAGE COVERAGE:
   -RECOMMENDED Transmission Plate NOT INCLUDED</t>
  </si>
  <si>
    <t>SK0075CGR14V8</t>
  </si>
  <si>
    <t>***2014-2020 MODEL YEAR SKID PLATE***</t>
  </si>
  <si>
    <t>SK0075CGR11V8</t>
  </si>
  <si>
    <t>***2011-2023 MODEL YEAR SKID PLATE***</t>
  </si>
  <si>
    <t>DK0100CGR11</t>
  </si>
  <si>
    <t>Window Barrier
Steel
Vertical</t>
  </si>
  <si>
    <t>WK0513CGR11</t>
  </si>
  <si>
    <t>WK1490CGR11T</t>
  </si>
  <si>
    <t>WK0594CGR11</t>
  </si>
  <si>
    <t>HK2270CGR15</t>
  </si>
  <si>
    <t>HK2269CGR15</t>
  </si>
  <si>
    <t>PB8 Headlight
Guard Double Loop</t>
  </si>
  <si>
    <t>HK0806CGR15</t>
  </si>
  <si>
    <t>PB6 Headlight Guard
With PB5 Wrap</t>
  </si>
  <si>
    <t>HK0807CGR15</t>
  </si>
  <si>
    <t>*COMPATIBLE With Year Range 2015-2023</t>
  </si>
  <si>
    <t>FK2268CGR15</t>
  </si>
  <si>
    <t>FK0411CGR15</t>
  </si>
  <si>
    <t>FK0617CGR15</t>
  </si>
  <si>
    <t>OK1342CGR</t>
  </si>
  <si>
    <t>BK1535CGR15</t>
  </si>
  <si>
    <t>BK1503CGR15</t>
  </si>
  <si>
    <t>BK1519CGR15</t>
  </si>
  <si>
    <t>BK1356CGR15</t>
  </si>
  <si>
    <t>BK1534CGR15</t>
  </si>
  <si>
    <t>BK1502CGR15</t>
  </si>
  <si>
    <t>BK1518CGR15</t>
  </si>
  <si>
    <t>BK1550CGR15</t>
  </si>
  <si>
    <t>BK1602CGR15</t>
  </si>
  <si>
    <t>BK1578CGR15</t>
  </si>
  <si>
    <t>BK1533CGR15</t>
  </si>
  <si>
    <t>BK1501CGR15</t>
  </si>
  <si>
    <t>BK1517CGR15</t>
  </si>
  <si>
    <t>BK1549CGR15</t>
  </si>
  <si>
    <t>BK1601CGR15</t>
  </si>
  <si>
    <t>BK1577CGR15</t>
  </si>
  <si>
    <t>BK2340CGR15</t>
  </si>
  <si>
    <t>BK1000CGR15</t>
  </si>
  <si>
    <t>BK2093CGR15</t>
  </si>
  <si>
    <t>BK2164CGR15</t>
  </si>
  <si>
    <t>BK2007CGR15</t>
  </si>
  <si>
    <t>PB450L LIGHTED PUSH BUMPERS
4 Lights Total: 2 Forward Facing, 1 Each Side</t>
  </si>
  <si>
    <t>BK2091CGR15</t>
  </si>
  <si>
    <t>BK2162CGR15</t>
  </si>
  <si>
    <t>BK2005CGR15</t>
  </si>
  <si>
    <t>PB450L LIGHTED PUSH BUMPERS
2 Forward Facing Lights</t>
  </si>
  <si>
    <t>PB400 VS Bumper
Steel</t>
  </si>
  <si>
    <t>BK0533CGR15</t>
  </si>
  <si>
    <t>PB400 VS Bumper
Aluminum</t>
  </si>
  <si>
    <t>BK0532CGR15</t>
  </si>
  <si>
    <t>DPT Dual Prisoner Transport Partition
*FOR USE WITH:
   - XL PANEL Partition
   - Full REPLACEMENT Transport Seat</t>
  </si>
  <si>
    <t>2K0034CGR11FSRXL</t>
  </si>
  <si>
    <t>DPT Dual Prisoner Transport Partition
*FOR USE WITH:
   - RECESSED PANEL Partition
   - Full REPLACEMENT Transport Seat</t>
  </si>
  <si>
    <t>2K0034CGR11FSRRP</t>
  </si>
  <si>
    <t>DPT Dual Prisoner Transport Partition
*FOR USE WITH:
   - RECESSED PANEL Partition
   - Full STOCK Seat</t>
  </si>
  <si>
    <t>2K0034CGR11RP</t>
  </si>
  <si>
    <t>DPT Dual Prisoner Transport Partition
*FOR USE WITH:
   - FLAT PANEL Partition
   - Full REPLACEMENT Transport Seat</t>
  </si>
  <si>
    <t>2K0034CGR11FPFR</t>
  </si>
  <si>
    <t>DPT Dual Prisoner Transport Partition
*FOR USE WITH:
   - FLAT PANEL Partition
   - Full STOCK Seat</t>
  </si>
  <si>
    <t>2K0034CGR11</t>
  </si>
  <si>
    <t>SPT Single Prisoner Transport
#7S Stationary Window
Vinyl Coated Expanded Metal
*ONLY FOR USE WITH:
   -Full REPLACEMENT Transport Seat</t>
  </si>
  <si>
    <t>1K0575CGR11FSR</t>
  </si>
  <si>
    <t>SPT Single PRISONER Transport Parition
#7S Stationary Window
Vinyl Coated Expanded Metal
*ONLY FOR USE WITH:
   -Stock Seat</t>
  </si>
  <si>
    <t>1K0575CGR11E</t>
  </si>
  <si>
    <t>SPT Single Prisoner Transport
#6S  Stationary Window
Coated Polycarbonate
*ONLY FOR USE WITH:
   -Full REPLACEMENT Transport Seat</t>
  </si>
  <si>
    <t>1K0573CGR11FSR</t>
  </si>
  <si>
    <t>SPT Single Prisoner Transport Partition
#6S Stationary Window
Coated Polycarbonate 
*ONLY FOR USE WITH:
   -Stock Seat</t>
  </si>
  <si>
    <t>1K0573CGR11P</t>
  </si>
  <si>
    <t>SINGLE PRISONER TRANSPORT PARTITIONS
*INCLUDES Lower Extension Panels</t>
  </si>
  <si>
    <t>#10XL C2 Horizontal Sliding Window
Uncoated Polycarbonate
With Slotted Polycarbonate Window Security Screen
XL Panel Partition
*STANDARD OPTION:
   -Tall Man</t>
  </si>
  <si>
    <t>PK1185CGR11</t>
  </si>
  <si>
    <t>#10XL C2 Horizontal Sliding Window
Coated Polycarbonate
With Slotted Polycarbonate Window Security Screen
XL Panel Partition
*STANDARD OPTION:
   -Tall Man</t>
  </si>
  <si>
    <t>PK1186CGR11</t>
  </si>
  <si>
    <t>#10XL C Horizontal Sliding Window
Uncoated Polycarbonate
With Expanded Metal Window Security Screen
XL Panel Partition
*STANDARD OPTION:
   -Tall Man</t>
  </si>
  <si>
    <t>PK1125CGR11</t>
  </si>
  <si>
    <t>#10XL C Horizontal Sliding Window
Coated Polycarbonate
With Expanded Metal Window Security Screen
XL Panel Partition
*STANDARD OPTION:
   -Tall Man</t>
  </si>
  <si>
    <t>PK1126CGR11</t>
  </si>
  <si>
    <t>#10XL Horizontal Sliding Window
Uncoated Polycarbonate
XL Panel Partition
*STANDARD OPTION:
   -Tall Man</t>
  </si>
  <si>
    <t>PK1129CGR11</t>
  </si>
  <si>
    <t>#10XL Horizontal Sliding Window
Coated Polycarbonate
XL Panel Partition
*STANDARD OPTION:
   -Tall Man</t>
  </si>
  <si>
    <t>PK1130CGR11</t>
  </si>
  <si>
    <t>#8XL Stationary Window
1/2 Uncoated Polycarbonate 1/2 Vinyl Coated Expanded Metal
XL Panel Partition
*STANDARD OPTION:
   -Tall Man</t>
  </si>
  <si>
    <t>PK1133CGR11</t>
  </si>
  <si>
    <t>#8XL Stationary Window
1/2 Coated Polycarbonate 1/2 Vinyl Coated Expanded Metal
XL Panel Partition
*STANDARD OPTION:
   -Tall Man</t>
  </si>
  <si>
    <t>PK1134CGR11</t>
  </si>
  <si>
    <t>#7XL Stationary Window
Vinyl Coated Expanded Metal Partition
XL Panel Partition
*STANDARD OPTION:
   -Tall Man</t>
  </si>
  <si>
    <t>PK1140CGR11</t>
  </si>
  <si>
    <t>#6/7XL 3-Piece Stationary Window
Coated Polycarbonate With Vinyl Coated Expanded Metal Center Section
XL Panel Partition
*STANDARD OPTION:
   -Tall Man</t>
  </si>
  <si>
    <t>PK1144CGR11</t>
  </si>
  <si>
    <t>#6XL Stationary Window
Uncoated Polycarbonate
XL Panel Partition
*STANDARD OPTION:
   -Tall Man</t>
  </si>
  <si>
    <t>PK1137CGR11</t>
  </si>
  <si>
    <t>#6XL Stationary Window
Coated Polycarbonate
XL Panel Partition
*STANDARD OPTION:
   -Tall Man</t>
  </si>
  <si>
    <t>PK1138CGR11</t>
  </si>
  <si>
    <r>
      <t xml:space="preserve">XL (EXTRA LEGROOM) PARTITIONS
*INCLUDES XL Recessed Panel &amp; Lower Extension Panel
</t>
    </r>
    <r>
      <rPr>
        <b/>
        <sz val="10"/>
        <color rgb="FFFF0000"/>
        <rFont val="Calibri"/>
        <family val="2"/>
        <scheme val="minor"/>
      </rPr>
      <t>*TALL MAN OPTION STANDARD</t>
    </r>
  </si>
  <si>
    <t>Lower Extension Panel
2 Pieces</t>
  </si>
  <si>
    <t>ST0380CGR11</t>
  </si>
  <si>
    <t>RECESSED PANEL FULL LOWER EXTENSION PANEL
*REQUIRED FOR All "S Series" Recesed Panel Partitions</t>
  </si>
  <si>
    <t>*TM Partitions Available Please Add Suffix "TM" To Part Number</t>
  </si>
  <si>
    <t>#10S C2 RP Horizontal Sliding Window
Uncoated Polycarbonate
With Slotted Poly Window Security Screen
Recessed Panel Partition</t>
  </si>
  <si>
    <t>PK0223CGR11</t>
  </si>
  <si>
    <t>#10S C2 RP Horizontal Sliding Window
Coated Polycarbonate
With Slotted Poly Window Security Screen
Recessed Panel Partition</t>
  </si>
  <si>
    <t>PK0224CGR11</t>
  </si>
  <si>
    <t>#10S C RP Horizontal Sliding Window
Uncoated Polycarbonate
With Expanded Metal Window Security Screen
Recessed Panel Partition</t>
  </si>
  <si>
    <t>PK0600CGR11</t>
  </si>
  <si>
    <t>#10S C RP Horizontal Sliding Window
Coated Polycarbonate
With Expanded Metal Window Security Screen
Recessed Panel Partition</t>
  </si>
  <si>
    <t>PK0418CGR11</t>
  </si>
  <si>
    <t>#10S RP Horizontal Sliding Window
Uncoated Polycarbonate
Recessed Panel Partition</t>
  </si>
  <si>
    <t>PK0334CGR11</t>
  </si>
  <si>
    <t>#10S RP Horizontal Sliding Window
Coated Polycarbonate
Recessed Panel Partition</t>
  </si>
  <si>
    <t>PK0315CGR11</t>
  </si>
  <si>
    <t>#8S RP Stationary Window
1/2 Uncoated Polycarbonate 1/2 Vinyl Coated Expanded Metal
Recessed Panel Partition</t>
  </si>
  <si>
    <t>PK0325CGR11</t>
  </si>
  <si>
    <t>#8S RP Stationary Window
1/2 Coated Polycarbonate 1/2 Vinyl Coated Expanded Metal
Recessed Panel Partition</t>
  </si>
  <si>
    <t>PK0333CGR11</t>
  </si>
  <si>
    <t>#7S RP Stationary Window
Vinyl Coated Expanded Metal
Recessed Panel Partition</t>
  </si>
  <si>
    <t>PK0332CGR11</t>
  </si>
  <si>
    <t>#6/7S RP 3-Piece Stationary Window
Coated Polycarbonate With Vinyl Coated Expanded Metal Center Section
Recessed Panel Partition</t>
  </si>
  <si>
    <t>PK0331CGR11</t>
  </si>
  <si>
    <t>#6S RP Stationary Window
Uncoated Polycarbonate
Recessed Panel Partition</t>
  </si>
  <si>
    <t>PK0329CGR11</t>
  </si>
  <si>
    <t>#6S RP Stationary Window
Coated Polycarbonate
Recessed Panel Partition</t>
  </si>
  <si>
    <t>PK0330CGR11</t>
  </si>
  <si>
    <t>RECESSED PANEL PARTITIONS
*REQUIRED 2 Piece Lower Extension Panel NOT INCLUDED</t>
  </si>
  <si>
    <t>Lower Exension Panel
Full</t>
  </si>
  <si>
    <t>PP7671</t>
  </si>
  <si>
    <t>FLAT PANEL FULL LOWER EXTENSION PANEL
*REQUIRED FOR All "S Series" Flat Panel Partitions</t>
  </si>
  <si>
    <t>#10S C2 Horizontal Sliding Window
Uncoated Polycarbonate
With Slotted Polycarbonate Window Security Screen
Flat Panel Partition</t>
  </si>
  <si>
    <t>PK0221CGR11</t>
  </si>
  <si>
    <t>#10S C2 Horizontal Sliding Window
Coated Polycarbonate
With Slotted Polycarbonate Window Security Screen
Flat Panel Partition</t>
  </si>
  <si>
    <t>PK0222CGR11</t>
  </si>
  <si>
    <t>#10S C Horizontal Sliding Window
Uncoated Polycarbonate
With Expanded Metal Window Security Screen
Flat Panel Partition</t>
  </si>
  <si>
    <t>PK0577CGR11</t>
  </si>
  <si>
    <t>#10S C Horizontal Sliding Window
Coated Polycarbonate
With Expanded Metal Window Security Screen
Flat Panel Partition</t>
  </si>
  <si>
    <t>PK0305CGR11</t>
  </si>
  <si>
    <t>#10S Horizontal Sliding Window
Uncoated Polycarbonate
Flat Panel Partition</t>
  </si>
  <si>
    <t>PK0107CGR11</t>
  </si>
  <si>
    <t>#10S Horizontal Sliding Window
Coated Polycarbonate
Flat Panel Partition</t>
  </si>
  <si>
    <t>PK0108CGR11</t>
  </si>
  <si>
    <t>#8S Stationary Window
1/2 Uncoated Polycarbonate 1/2 Vinyl Coated Expanded Metal
Flat Panel Partition</t>
  </si>
  <si>
    <t>PK0104CGR11</t>
  </si>
  <si>
    <t>#8S Stationary Window
1/2 Coated Polycarbonate 1/2 Vinyl Coated Expanded Metal
Flat Panel Partition</t>
  </si>
  <si>
    <t>PK0800CGR11</t>
  </si>
  <si>
    <t>#7S Stationary Window
Vinyl Coated Expanded Metal
Flat Panel Partition</t>
  </si>
  <si>
    <t>PK0103CGR11</t>
  </si>
  <si>
    <t>#6/7S 3-Piece Stationary Window
Coated Polycarbonate With Vinyl Coated Expanded Metal Center Section
Flat Panel Partition</t>
  </si>
  <si>
    <t>PK0135CGR11</t>
  </si>
  <si>
    <t>#6S Stationary Window
Uncoated Polycarbonate
Flat Panel Partition</t>
  </si>
  <si>
    <t>PK0101CGR11</t>
  </si>
  <si>
    <t>#6S Stationary Window
Coated Polycarbonate
Flat Panel Partition</t>
  </si>
  <si>
    <t>PK0102CGR11</t>
  </si>
  <si>
    <t>FLAT PANEL PARTITIONS
*REQUIRED Full Lower Extension Panel NOT INCLUDED</t>
  </si>
  <si>
    <t>Dodge Charger</t>
  </si>
  <si>
    <t>Window Barrier 5-Piece
Steel Expanded Metal</t>
  </si>
  <si>
    <t>WK1467VOY20</t>
  </si>
  <si>
    <t>Cargo Area Parition
#12VS Stationary Window
Coated Polycarbonate
*FOR USE WITH:
   -3rd Row Seat</t>
  </si>
  <si>
    <t>PK0316VOY203RD</t>
  </si>
  <si>
    <t>Cargo Area Parition
#12VS Stationary Window
Vinyl Coated Expanded Metal
*FOR USE WITH:
   -3rd Row Seat</t>
  </si>
  <si>
    <t>PK0123VOY203RD</t>
  </si>
  <si>
    <t>CARGO AREA REAR PARTITIONS
*FOR USE BEHIND 3rd Row Seat ONLY</t>
  </si>
  <si>
    <t>#12VS</t>
  </si>
  <si>
    <t>Cargo Area Parition
#12VS Stationary Window
Coated Polycarbonate
*FOR USE WITH:
   -2nd Row Seat</t>
  </si>
  <si>
    <t>PK0316VOY202ND</t>
  </si>
  <si>
    <t>PK0123VOY202ND</t>
  </si>
  <si>
    <t>PK0226VOY20</t>
  </si>
  <si>
    <t>PK0350VOY20</t>
  </si>
  <si>
    <t>PK0121VOY20</t>
  </si>
  <si>
    <t>PK0118VOY20</t>
  </si>
  <si>
    <t>PK0119VOY20</t>
  </si>
  <si>
    <t>PK0117VOY20</t>
  </si>
  <si>
    <t>PK0116VOY20</t>
  </si>
  <si>
    <t>LIMITED PRODUCTION: NO RETURNS OR CANCELLATIONS</t>
  </si>
  <si>
    <t>Chrysler Voyager &amp; Pacifica</t>
  </si>
  <si>
    <t>CARGO DECK w/ DRAWER SUPER MAX
*COMPATIBLE WITH: Rear Window Barrier
*NOT COMPATIBLE WITH: SPT Partition
*INCLUDES REQUIRED:
   -Dual Poly Wall for Recessed Panel Front Partition
   -Radio Box
   -Lower Cargo Deck w/ Rubber Mat
   -Storage Box
   -Door Panel Aluminum 1pc Driver Side ONLY
   -Rear Window Barrier 1pc
   -Aluminum Seat with Center Pull Seat Belts
*INCLUDES OPTIONAL ACCESSORIES:
   -Upper Cargo Deck
   -Door Panel Aluminum 1pc Passenger Side ONLY
   -Window Barrier 2pc Set Horizontal Bars
*DOES NOT INCLUDE REQUIRED:
   -Recessed Panel Front Partition</t>
  </si>
  <si>
    <t>TK1340DRT102500CC</t>
  </si>
  <si>
    <t>*COMPATIBLE With Year Range 2010-2025</t>
  </si>
  <si>
    <t>Window Barrier 2pc Set Horizontal Steel Bars
*FOR USE WITH ALUMINUM DOOR PANEL</t>
  </si>
  <si>
    <t>WK0514DRT102500WD</t>
  </si>
  <si>
    <t>Window Barrier 2pc Set Horizontal Steel Bars
*FOR USE WITH STOCK DOOR PANEL</t>
  </si>
  <si>
    <t>WK0514DRT102500</t>
  </si>
  <si>
    <t>1D1388DRT102500CC</t>
  </si>
  <si>
    <t>Upper Cargo Deck
*REQUIRED:
   -TK0084DRT102500CC Cargo Deck w/ Drawer Max NOT INCLUDED</t>
  </si>
  <si>
    <t>CARGO DECK w/ DRAWER MAX
*COMPATIBLE WITH: Rear Window Barrier
*NOT COMPATIBLE WITH: SPT Partition
*INCLUDES REQUIRED:
   -Dual Poly Wall for Recessed Panel Front Partition
   -Radio Box
   -Lower Cargo Deck w/ Rubber Mat
   -Storage Box
   -Door Panel Aluminum 1pc Driver Side ONLY
   -Rear Window Barrier 1pc
   -Aluminum Seat with Center Pull Seat Belts
*DOES NOT INCLUDE REQUIRED:
   -Recessed Panel Front Partition</t>
  </si>
  <si>
    <t>TK0084DRT102500CC</t>
  </si>
  <si>
    <t>GT0536DRT091500</t>
  </si>
  <si>
    <t>YEAR RANGE 2009-2018</t>
  </si>
  <si>
    <t>WEAPONS MOUNT SYSTEM TRANSFER KIT</t>
  </si>
  <si>
    <t>GF1092DRT102500</t>
  </si>
  <si>
    <t>*FOR USE WITH All Cab Sizes</t>
  </si>
  <si>
    <t>WK0055DRT102500</t>
  </si>
  <si>
    <t>REAR WINDOW BARRIERS</t>
  </si>
  <si>
    <t>**2010-2025 MODEL YEARS**</t>
  </si>
  <si>
    <t>Window Barrier 
Steel Vertical
*COMPATIBLE WITH:
   -Aluminum Door Panel
   -Crew Cab</t>
  </si>
  <si>
    <t>Window Barrier 
Steel Vertical
*COMPATIBLE WITH:
   -Stock Door Panels
   -Crew Cab</t>
  </si>
  <si>
    <t>Window Barrier 
Polycarbonate Tinted
*COMPATIBLE WITH:
   -Stock Door Panels
   -Crew Cab</t>
  </si>
  <si>
    <t>WK1491DRT102500T</t>
  </si>
  <si>
    <t>Window Barrier 
Polycarbonate
*COMPATIBLE WITH:
   -Stock Door Panels
   -Crew Cab</t>
  </si>
  <si>
    <t>WK0595DRT102500</t>
  </si>
  <si>
    <t>DK0598DRT192500</t>
  </si>
  <si>
    <t>HK0809DRT192500</t>
  </si>
  <si>
    <t>BK1543DRT192500</t>
  </si>
  <si>
    <t>BK1511DRT192500</t>
  </si>
  <si>
    <t>BK1527DRT192500</t>
  </si>
  <si>
    <t>BK1559DRT192500</t>
  </si>
  <si>
    <t>BK1585DRT192500</t>
  </si>
  <si>
    <t>BK1542DRT192500</t>
  </si>
  <si>
    <t>BK1510DRT192500</t>
  </si>
  <si>
    <t>BK1526DRT192500</t>
  </si>
  <si>
    <t>BK1366DRT192500</t>
  </si>
  <si>
    <t>BK1558DRT192500</t>
  </si>
  <si>
    <t>BK1604DRT192500</t>
  </si>
  <si>
    <t>BK1584DRT192500</t>
  </si>
  <si>
    <t>BK1541DRT192500</t>
  </si>
  <si>
    <t>BK1509DRT192500</t>
  </si>
  <si>
    <t>BK1525DRT192500</t>
  </si>
  <si>
    <t>BK1687DRT192500</t>
  </si>
  <si>
    <t>BK1557DRT192500</t>
  </si>
  <si>
    <t>BK1603DRT192500</t>
  </si>
  <si>
    <t>BK1583DRT192500</t>
  </si>
  <si>
    <t>BK0282DRT192500</t>
  </si>
  <si>
    <t>BK2338DRT192500</t>
  </si>
  <si>
    <t>BK1001DRT192500</t>
  </si>
  <si>
    <t>BK2168DRT192500</t>
  </si>
  <si>
    <t>BK0802DRT192500</t>
  </si>
  <si>
    <t>BK2019DRT192500</t>
  </si>
  <si>
    <t>BK2166DRT192500</t>
  </si>
  <si>
    <t>BK2124DRT192500</t>
  </si>
  <si>
    <t>BK2017DRT192500</t>
  </si>
  <si>
    <t>PB450L2 LIGHTED PUSH BUMPERS
2 Forward Facing Lights
*ONLY Full Size Bumper Available
*COMPATIBLE With Dodge Ram Trucks Equipped With Steel Front Fascia ONLY</t>
  </si>
  <si>
    <t>BK0060DRT192500</t>
  </si>
  <si>
    <r>
      <t xml:space="preserve">PB400 WINCH READY PUSH BUMPERS
*COMPATIBLE With Dodge Ram Trucks Equipped With Steel Front Fascia ONLY
</t>
    </r>
    <r>
      <rPr>
        <b/>
        <sz val="10"/>
        <color rgb="FFFF0000"/>
        <rFont val="Calibri"/>
        <family val="2"/>
        <scheme val="minor"/>
      </rPr>
      <t>*COMPATIBLE WITH MID-FRAME WINCH*</t>
    </r>
  </si>
  <si>
    <t>BK0535DRT192500</t>
  </si>
  <si>
    <t>BK0534DRT192500</t>
  </si>
  <si>
    <t>DPT Dual Prisoner Transport Partition
*FOR USE WITH:
   - Crew Cab
   - RECESSED PANEL Partition
   - Full STOCK Seat
*NOT COMPATIBLE WITH:
  -Rear Window Barrier</t>
  </si>
  <si>
    <t>2K0035DRT192500CCRPWD</t>
  </si>
  <si>
    <t>Single Prisoner Transport Partition
#7S Stationary Window
Vinyl Coated Expanded Metal
*ONLY FOR USE WITH:
   -Full Stock Seat
   -Crew Cab</t>
  </si>
  <si>
    <t>1K0576DRT192500WD</t>
  </si>
  <si>
    <t>Single Prisoner Transport Partition
#6S Stationary Window
Coated Polycarbonate 
*ONLY FOR USE WITH:
   -Full Stock Seat
   -Crew Cab</t>
  </si>
  <si>
    <t>1K0574DRT192500WD</t>
  </si>
  <si>
    <t>1K0576DRT192500CCPSCA</t>
  </si>
  <si>
    <t>1K0574DRT192500CCP</t>
  </si>
  <si>
    <t>***2010-2018 MODEL YEAR SINGLE PRISONER PARTITIONS***</t>
  </si>
  <si>
    <t>#10VS C2 RP Horizontal Sliding Window
Uncoated Polycarbonate
With Slotted Poly Window Security Screen
Recessed Panel Partition
FOR USE WITH:
 -Crew Cab</t>
  </si>
  <si>
    <t>PK0227DRT192500CC</t>
  </si>
  <si>
    <t>#10VS C2 RP Horizontal Sliding Window
Coated Polycarbonate
With Slotted Poly Window Security Screen
Recessed Panel Partition
FOR USE WITH:
 -Crew Cab</t>
  </si>
  <si>
    <t>PK0228DRT192500CC</t>
  </si>
  <si>
    <t>#10VS C RP Horizontal Sliding Window
Uncoated Polycarbonate
With Expanded Metal Window Security Screen
Recessed Panel Partition
FOR USE WITH:
 -Crew Cab</t>
  </si>
  <si>
    <t>PK0602DRT192500CC</t>
  </si>
  <si>
    <t>#10VS C RP Horizontal Sliding Window
Coated Polycarbonate
With Expanded Metal Window Security Screen
Recessed Panel Partition
FOR USE WITH:
 -Crew Cab</t>
  </si>
  <si>
    <t>PK0419DRT192500CC</t>
  </si>
  <si>
    <t>#10VS RP Horizontal Sliding Window
Uncoated Polycarbonate
Recessed Panel Partition
FOR USE WITH:
 -Crew Cab</t>
  </si>
  <si>
    <t>PK0439DRT192500CC</t>
  </si>
  <si>
    <t>#10VS RP Horizontal Sliding Window
Coated Polycarbonate
Recessed Panel Partition
FOR USE WITH:
 -Crew Cab</t>
  </si>
  <si>
    <t>PK0355DRT192500CC</t>
  </si>
  <si>
    <t>#8VS RP Stationary Window
1/2 Uncoated Polycarbonate 1/2 Vinyl Coated Expanded Metal
Recessed Panel Partition
FOR USE WITH:
 -Crew Cab</t>
  </si>
  <si>
    <t>PK0398DRT192500CC</t>
  </si>
  <si>
    <t>#8VS RP Stationary Window
1/2 Coated Polycarbonate 1/2 Vinyl Coated Expanded Metal
Recessed Panel Partition
FOR USE WITH:
 -Crew Cab</t>
  </si>
  <si>
    <t>PK0369DRT192500CC</t>
  </si>
  <si>
    <t>#7VS RP Stationary Window
Vinyl Coated Expanded Metal
Recessed Panel Partition
FOR USE WITH:
 -Crew Cab</t>
  </si>
  <si>
    <t>PK0420DRT192500CC</t>
  </si>
  <si>
    <t>#6/7VS RP 3-Piece Stationary Window
Coated Polycarbonate With Vinyl Coated Expanded Metal Center Section
Recessed Panel Partition
FOR USE WITH:
 -Crew Cab</t>
  </si>
  <si>
    <t>PK0517DRT192500CC</t>
  </si>
  <si>
    <t>#6VS RP Stationary Window
Uncoated Polycarbonate
Recessed Panel Partition
FOR USE WITH:
 -Crew Cab</t>
  </si>
  <si>
    <t>PK0373DRT192500CC</t>
  </si>
  <si>
    <t>#6VS RP Stationary Window
Coated Polycarbonate
Recessed Panel Partition
FOR USE WITH:
 -Crew Cab</t>
  </si>
  <si>
    <t>PK0374DRT192500CC</t>
  </si>
  <si>
    <t>PK0225DRT192500CC</t>
  </si>
  <si>
    <t>PK0226DRT192500CC</t>
  </si>
  <si>
    <t>PK0601DRT192500CC</t>
  </si>
  <si>
    <t>PK0350DRT192500CC</t>
  </si>
  <si>
    <t>PK0120DRT192500CC</t>
  </si>
  <si>
    <t>PK0121DRT192500CC</t>
  </si>
  <si>
    <t>PK0118DRT192500CC</t>
  </si>
  <si>
    <t>PK0119DRT192500CC</t>
  </si>
  <si>
    <t>PK0117DRT192500CC</t>
  </si>
  <si>
    <t>PK0326DRT192500CC</t>
  </si>
  <si>
    <t>PK0115DRT192500CC</t>
  </si>
  <si>
    <t>PK0116DRT192500CC</t>
  </si>
  <si>
    <t>Dodge Ram 2500-3500</t>
  </si>
  <si>
    <t>T-Rail Mount Kit
Free Standing
*FOR USE WITH:
   -Caravan Stow And Go
*NOT COMPATIBLE WITH:
   -Partitions</t>
  </si>
  <si>
    <t>GF1092CAR08</t>
  </si>
  <si>
    <t>PK0316CAR083RD</t>
  </si>
  <si>
    <t>PK0123CAR083RD</t>
  </si>
  <si>
    <t>Cargo Area Parition
#12VS Stationary Window
Coated Polycarbonate
*FOR USE WITH:
   -2nd Row Seat
   -Overhead Console</t>
  </si>
  <si>
    <t>PK0316CAR082NDOH</t>
  </si>
  <si>
    <t>PK0316CAR082ND</t>
  </si>
  <si>
    <t>Cargo Area Parition
#12VS Stationary Window
Vinyl Coated Expanded Metal
*FOR USE WITH:
   -2nd Row Seat
   -Overhead Console</t>
  </si>
  <si>
    <t>PK0123CAR082NDOH</t>
  </si>
  <si>
    <t>PK0123CAR082ND</t>
  </si>
  <si>
    <t>PK0225CAR08</t>
  </si>
  <si>
    <t>PK0226CAR08</t>
  </si>
  <si>
    <t>PK0601CAR08</t>
  </si>
  <si>
    <t>PK0350CAR08</t>
  </si>
  <si>
    <t>PK0120CAR08</t>
  </si>
  <si>
    <t>PK0121CAR08</t>
  </si>
  <si>
    <t>PK0118CAR08</t>
  </si>
  <si>
    <t>PK0119CAR08</t>
  </si>
  <si>
    <t>PK0117CAR08</t>
  </si>
  <si>
    <t>PK0326CAR08</t>
  </si>
  <si>
    <t>PK0115CAR08</t>
  </si>
  <si>
    <t>PK0116CAR08</t>
  </si>
  <si>
    <t>Dodge Caravan</t>
  </si>
  <si>
    <t>Single T-Rail Mount
Small
With Handcuff Key Override
COMPATIBLE WITH:
  - Single Prisoner Partitions</t>
  </si>
  <si>
    <t>GK03831STLY20HK</t>
  </si>
  <si>
    <t>Single T-Rail Mount
Small
With #2 Key Override
COMPATIBLE WITH:
  - Single Prisoner Partitions</t>
  </si>
  <si>
    <t>GK03831STLY20</t>
  </si>
  <si>
    <t>FIREARM SYSTEMS</t>
  </si>
  <si>
    <t>NK0920TLY20</t>
  </si>
  <si>
    <t>CONSOLE</t>
  </si>
  <si>
    <t>Full REPLACEMENT Transport Seat
TPO Plastic
To Fit Stock Seat Belts</t>
  </si>
  <si>
    <t>QK2112TLY20</t>
  </si>
  <si>
    <t>DK0100TLY20</t>
  </si>
  <si>
    <t>FK0400TLY20</t>
  </si>
  <si>
    <t>BK1543TLY20</t>
  </si>
  <si>
    <t>BK1511TLY20</t>
  </si>
  <si>
    <t>BK1527TLY20</t>
  </si>
  <si>
    <t>BK1559TLY20</t>
  </si>
  <si>
    <t>BK1585TLY20</t>
  </si>
  <si>
    <t>BK1542TLY20</t>
  </si>
  <si>
    <t>BK1510TLY20</t>
  </si>
  <si>
    <t>BK1526TLY20</t>
  </si>
  <si>
    <t>BK1366TLY20</t>
  </si>
  <si>
    <t>BK1558TLY20</t>
  </si>
  <si>
    <t>BK1604TLY20</t>
  </si>
  <si>
    <t>BK1584TLY20</t>
  </si>
  <si>
    <t>BK1541TLY20</t>
  </si>
  <si>
    <t>BK1509TLY20</t>
  </si>
  <si>
    <t>BK1525TLY20</t>
  </si>
  <si>
    <t>BK1687TLY20</t>
  </si>
  <si>
    <t>BK1557TLY20</t>
  </si>
  <si>
    <t>BK1603TLY20</t>
  </si>
  <si>
    <t>BK1583TLY20</t>
  </si>
  <si>
    <t>BK0282TLY20</t>
  </si>
  <si>
    <t>BK2338TLY20</t>
  </si>
  <si>
    <t>BK1001TLY20</t>
  </si>
  <si>
    <t>BK0802TLY20</t>
  </si>
  <si>
    <t>BK2168TLY20</t>
  </si>
  <si>
    <t>BK2019TLY20</t>
  </si>
  <si>
    <t>BK2124TLY20</t>
  </si>
  <si>
    <t>BK2166TLY20</t>
  </si>
  <si>
    <t>BK2017TLY20</t>
  </si>
  <si>
    <t>BK0535TLY20</t>
  </si>
  <si>
    <t>BK0534TLY20</t>
  </si>
  <si>
    <t>FOLD DOWN RADIO STORAGE LOCKER
Cargo Area Rear Partition
#12VS Stationary Window - GLASS</t>
  </si>
  <si>
    <t>PK0666TLY20</t>
  </si>
  <si>
    <t>SPT Single Prisoner Transport Partition
#6VS SPT Stationary Window
Coated Polycarbonate
*FOR USE WITH:
   -Stock Seat</t>
  </si>
  <si>
    <t>1K0574TLY20WD</t>
  </si>
  <si>
    <t>1K0574TLY20FR</t>
  </si>
  <si>
    <t>SINGLE PRISONER TRANSPORT PARTITIONS
*INCLUDES Lower Extension Panels
Requires #12VS Partition - Sold Separately</t>
  </si>
  <si>
    <t>#10DXL C Horizontal Sliding Window
Coated Polycarbonate
With Expanded Metal Window Security Screen
DXL Panel Partition</t>
  </si>
  <si>
    <t>PK2073TLY20</t>
  </si>
  <si>
    <t>#10DXL Horizontal Sliding Window
Coated Polycarbonate
DXL Panel Partition</t>
  </si>
  <si>
    <t>PK2075TLY20</t>
  </si>
  <si>
    <t>DUAL XL (EXTRA LEGROOM) PARTITIONS
*INCLUDES XL Recessed Panel &amp; Lower Extension Panel</t>
  </si>
  <si>
    <t>Tesla Model Y</t>
  </si>
  <si>
    <t>10sec DELAY TIMER w/ SWITCH</t>
  </si>
  <si>
    <t>GK0726</t>
  </si>
  <si>
    <t>SANTA CRUZ LOCK ACCESSORY</t>
  </si>
  <si>
    <t>Barrel Mount Insert
*FOR USE WITH Small lock</t>
  </si>
  <si>
    <t>PG3968</t>
  </si>
  <si>
    <t>SMALL LOCK ACCESSORY</t>
  </si>
  <si>
    <t>Lock Replacement Key #2
(1 Piece Single Key)</t>
  </si>
  <si>
    <t>PGKEY#2</t>
  </si>
  <si>
    <t>Universal XL Lock
With Handcuff Key Override</t>
  </si>
  <si>
    <t>GK0815HK</t>
  </si>
  <si>
    <t>Universal XL Lock
#2 Key</t>
  </si>
  <si>
    <t>GK0815</t>
  </si>
  <si>
    <t>Large Lock
With Handcuff Key Override</t>
  </si>
  <si>
    <t>GK0525HK</t>
  </si>
  <si>
    <t>Large Lock
#2 Key</t>
  </si>
  <si>
    <t>GK0525</t>
  </si>
  <si>
    <t>Small Lock
With Handcuff Key Override</t>
  </si>
  <si>
    <t>GK0524HK</t>
  </si>
  <si>
    <t>Small Lock
#2 Key</t>
  </si>
  <si>
    <t>GK0524</t>
  </si>
  <si>
    <t>LOCKS ONLY</t>
  </si>
  <si>
    <t>TRUNK TRAY ACCESSORIES</t>
  </si>
  <si>
    <t>Single T-Rail
Trunk Tray Mount  Large
With Handcuff Key Override</t>
  </si>
  <si>
    <t>GK10261LTHK</t>
  </si>
  <si>
    <t>Single T-Rail
Trunk Tray Mount
Large
With #2 Key Override</t>
  </si>
  <si>
    <t>GK10261LT</t>
  </si>
  <si>
    <t>Single T-Rail
Trunk Tray Mount
Small
With Handcuff Key Override</t>
  </si>
  <si>
    <t>GK10251STHK</t>
  </si>
  <si>
    <t>Single T-Rail
Trunk Tray Mount
Small
With #2 Key Override</t>
  </si>
  <si>
    <t>GK10251ST</t>
  </si>
  <si>
    <t>TRUNK TRAY WEAPONS SYSTEMS</t>
  </si>
  <si>
    <t>Dual T-Rail Mount
1 Small lock
With Handcuff Key Override
1 Universal Vaultlock
With Handcuff Key Override</t>
  </si>
  <si>
    <t>GK10141S1UHK</t>
  </si>
  <si>
    <t>Dual T-Rail Mount
1 Small lock
With #2 Key Override
1 Universal Vaultlock
With #2 Key Override</t>
  </si>
  <si>
    <t>GK10141S1U</t>
  </si>
  <si>
    <t>Dual T-Rail Mount
1 Universal
1 Universal VAULTLOCK HK</t>
  </si>
  <si>
    <t>GK10112UHK</t>
  </si>
  <si>
    <t>Dual T-Rail Mount
1 Universal
1 Universal VAULTLOCK
With #2 Key Override</t>
  </si>
  <si>
    <t>GK10112U</t>
  </si>
  <si>
    <t>VAULTLOCK DUAL WEAPON MOUNT SYSTEM
WITH DOUBLE LOCKS
VAULTLOCK</t>
  </si>
  <si>
    <t>Single T-Rail Mount
1 Universal Vaultlock
With Handcuff Key Override</t>
  </si>
  <si>
    <t>GK10701UHK</t>
  </si>
  <si>
    <t>Single T-Rail Mount
1 Universal Vaultlock
With #2 Key Override</t>
  </si>
  <si>
    <t>GK10701U</t>
  </si>
  <si>
    <t>VAULTLOCK SINGLE WEAPON MOUNT SYSTEM
WITH SINGLE LOCK
VAULTLOCK</t>
  </si>
  <si>
    <t>Blac-Rac NEW COLD WIRE TECHNOLOGY
Retrofit Kit
Converts 1082E from Dec 2018 thru Jun 2019
*INCLUDES:
   -Transmitter
*SOLD SEPARATELY
   -Momentary Switch, Required if NOT wiring into Smart Siren Controller</t>
  </si>
  <si>
    <t>GR1435</t>
  </si>
  <si>
    <t>Blac-Rac NEW COLD WIRE TECHNOLOGY
Retrofit Kit
Converts 1082E from Nov 2018 and prior
*INCLUDES:
   -Circuitboard and Transmitter
*SOLD SEPARATELY
   -Momentary Switch, Required if NOT wiring into Smart Siren Controller</t>
  </si>
  <si>
    <t>GR1436</t>
  </si>
  <si>
    <t>Blac-Rac NEW COLD WIRE TECHNOLOGY
Momentary Switch
*REQUIRED IF:
   -Required if NOT wiring into Smart Siren Controller</t>
  </si>
  <si>
    <t>GK0750</t>
  </si>
  <si>
    <t>BLAC-RAC ***NEW COLD WIRE TECHNOLOGY***
RETROFIT KITS</t>
  </si>
  <si>
    <t xml:space="preserve">Blac-Rac
4130E Shotgun Lock ONLY
*ADVERTISED "LE" LAW ENFORCEMENT </t>
  </si>
  <si>
    <t>GK1263E</t>
  </si>
  <si>
    <t>***NEW BLAC-RAC LAW SHOTGUN LOCK 4130E***</t>
  </si>
  <si>
    <t xml:space="preserve">Blac-Rac
Key #209 </t>
  </si>
  <si>
    <t>GK1714</t>
  </si>
  <si>
    <t>Blac-Rac
1091E Electric MARINE</t>
  </si>
  <si>
    <t>BLACRAC_1091E</t>
  </si>
  <si>
    <t>Blac-Rac
1082E Blac-Rac, Trigger Guard and Receiver
***NEW COLD WIRE TECHNOLOGY INCLUDED*** 
SOLD SEPARATELY:
Momentary Switch, Required if NOT wiring into Smart Siren Controller</t>
  </si>
  <si>
    <t>GK1409E</t>
  </si>
  <si>
    <t>Blac-Rac
1091M Manual MARINE</t>
  </si>
  <si>
    <t>BLACRAC_1091M</t>
  </si>
  <si>
    <t>BLAC-RAC LOCKS ONLY</t>
  </si>
  <si>
    <t>Dual T-Rail Mount
1082E Blac-Rac, Trigger Guard and Receiver
***NEW COLD WIRE TECHNOLOGY INCLUDED***
SOLD SEPARATELY
Momentary Switch, Required if NOT wiring into Smart Siren Controller</t>
  </si>
  <si>
    <t>GK2001E</t>
  </si>
  <si>
    <t>*FOR USE WITH All Vehicles
*FOR USE WHEN Mounting to Partition or Freestanding Bases</t>
  </si>
  <si>
    <t>DUAL WEAPON MOUNT SYSTEM WITH SINGLE LOCK</t>
  </si>
  <si>
    <t>WEAPON MOUNT SYSTEM WITH BLAC-RAC LOCKS</t>
  </si>
  <si>
    <t>Dual T-Rail Mount
2 1082E Blac-Rac, Trigger Guard and Receiver
***NEW COLD WIRE TECHNOLOGY INCLUDED***
SOLD SEPARATELY
Momentary Switch, Required if NOT wiring into Smart Siren Controller</t>
  </si>
  <si>
    <t>GK11222B</t>
  </si>
  <si>
    <t>Dual T-Rail Mount
1 Universal XL
1 1082E Blac-Rac, Trigger Guard and Receiver
***NEW COLD WIRE TECHNOLOGY INCLUDED***
SOLD SEPARATELY
Momentary Switch, Required if NOT wiring into Smart Siren Controller</t>
  </si>
  <si>
    <t>GK11211B1U</t>
  </si>
  <si>
    <t>Dual T-Rail Mount
1 Universal XL with Handcuff Key Override
1 1082E Blac-Rac, Trigger Guard and Receiver
***NEW COLD WIRE TECHNOLOGY INCLUDED***
SOLD SEPARATELY
Momentary Switch, Required if NOT wiring into Smart Siren Controller
With Handcuff Key Override</t>
  </si>
  <si>
    <t>GK11211B1UHK</t>
  </si>
  <si>
    <t>Dual T-Rail Mount
1 Large
1 1082E Blac-Rac, Trigger Guard and Receiver
***NEW COLD WIRE TECHNOLOGY INCLUDED***
SOLD SEPARATELY
Momentary Switch, Required if NOT wiring into Smart Siren Controller</t>
  </si>
  <si>
    <t>GK11201B1L</t>
  </si>
  <si>
    <t>Dual T-Rail Mount
1 Large with Handcuff Key Override
1 1082E Blac-Rac, Trigger Guard and Receiver
***NEW COLD WIRE TECHNOLOGY INCLUDED***
SOLD SEPARATELY
Momentary Switch, Required if NOT wiring into Smart Siren Controller</t>
  </si>
  <si>
    <t>GK11201B1LHK</t>
  </si>
  <si>
    <t>Dual T-Rail Mount
1 Small
1 1082E Blac-Rac, Trigger Guard and Receiver
***NEW COLD WIRE TECHNOLOGY INCLUDED***
SOLD SEPARATELY
Momentary Switch, Required if NOT wiring into Smart Siren Controller</t>
  </si>
  <si>
    <t>GK11191B1S</t>
  </si>
  <si>
    <t>Dual T-Rail Mount
1 Small with Handcuff Key Override
1 1082E Blac-Rac, Trigger Guard and Receiver
***NEW COLD WIRE TECHNOLOGY INCLUDED***
SOLD SEPARATELY
Momentary Switch, Required if NOT wiring into Smart Siren Controller</t>
  </si>
  <si>
    <t>GK11191B1SHK</t>
  </si>
  <si>
    <t>Dual T-Rail Mount
1 4130E Blac-Rac Shotgun Lock
1 1082E Blac-Rac, Trigger Guard and Receiver
***NEW COLD WIRE TECHNOLOGY INCLUDED***
SOLD SEPARATELY
Momentary Switch, Required if NOT wiring into Smart Siren Controller
*ADVERTISED "LE" LAW ENFORCEMENT MSRP $929.00</t>
  </si>
  <si>
    <t>GK12621B14</t>
  </si>
  <si>
    <t>DUAL WEAPON MOUNT SYSTEM WITH DOUBLE LOCKS</t>
  </si>
  <si>
    <t>Single T-Rail Mount
1080M Blac-Rac</t>
  </si>
  <si>
    <t>GK0069M</t>
  </si>
  <si>
    <t>Single T-Rail Mount
1082E Blac-Rac, Trigger Guard and Receiver
***NEW COLD WIRE TECHNOLOGY INCLUDED***
SOLD SEPARATELY
Momentary Switch, Required if NOT wiring into Smart Siren Controller</t>
  </si>
  <si>
    <t>GK0068E</t>
  </si>
  <si>
    <t>Single T-Rail Mount
4130E Blac-Rac Shotgun Lock
*ADVERTISED "LE" LAW ENFORCEMENT MSRP $389.00</t>
  </si>
  <si>
    <t>GK170514</t>
  </si>
  <si>
    <t>SINGLE WEAPON MOUNT SYSTEM WITH SINGLE LOCK</t>
  </si>
  <si>
    <t>Dual T-Rail Mount
No Locks</t>
  </si>
  <si>
    <t>GK1028</t>
  </si>
  <si>
    <t>Single T-Rail Mount
No Locks</t>
  </si>
  <si>
    <t>GK1024</t>
  </si>
  <si>
    <t>WEAPON MOUNT SYSTEMS WITHOUT LOCKS</t>
  </si>
  <si>
    <t>Dual T-Rail Mount
Universal XL
With #2 Key Override</t>
  </si>
  <si>
    <t>GK20041U</t>
  </si>
  <si>
    <t>Dual T-Rail Mount
Universal XL 
With Handcuff Key Override</t>
  </si>
  <si>
    <t>GK20041UHK</t>
  </si>
  <si>
    <t>Dual T-Rail Mount
Large
With #2 Key Override</t>
  </si>
  <si>
    <t>GK20031L</t>
  </si>
  <si>
    <t>Dual T-Rail Mount
Large
With Handcuff Key Override</t>
  </si>
  <si>
    <t>GK20031LHK</t>
  </si>
  <si>
    <t>Dual T-Rail Mount
Small
With #2 Key Override</t>
  </si>
  <si>
    <t>GK20021S</t>
  </si>
  <si>
    <t>Dual T-Rail Mount
Small
With Handcuff Key Override</t>
  </si>
  <si>
    <t>GK20021SHK</t>
  </si>
  <si>
    <t>Dual T-Rail Mount
2 Universal XL
With #2 Key Override</t>
  </si>
  <si>
    <t>GK10342U</t>
  </si>
  <si>
    <t>Dual T-Rail Mount
2 Universal XL 
Handcuff Key Override</t>
  </si>
  <si>
    <t>GK10342UHK</t>
  </si>
  <si>
    <t>Dual T-Rail Mount
2 Large
With #2 Key Override</t>
  </si>
  <si>
    <t>GK10332L</t>
  </si>
  <si>
    <t>Dual T-Rail Mount
2 Large
Handcuff Key Override</t>
  </si>
  <si>
    <t>GK10332LHK</t>
  </si>
  <si>
    <t>Dual T-Rail Mount
2 Small
With #2 Key Override</t>
  </si>
  <si>
    <t>GK10322S</t>
  </si>
  <si>
    <t>Dual T-Rail Mount
2 Small
With Handcuff Key Override</t>
  </si>
  <si>
    <t>GK10322SHK</t>
  </si>
  <si>
    <t>Dual T-Rail Mount
1 Large
1 Universal XL
With #2 Key Override</t>
  </si>
  <si>
    <t>GK10311L1U</t>
  </si>
  <si>
    <t>Dual T-Rail Mount
1 Large
1 Universal XL
With Handcuff Key Override</t>
  </si>
  <si>
    <t>GK10311L1UHK</t>
  </si>
  <si>
    <t>Dual T-Rail Mount
1 Small
1 Universal XL
With #2 Key Override</t>
  </si>
  <si>
    <t>GK10301S1U</t>
  </si>
  <si>
    <t>Dual T-Rail Mount
1 Small, 1 Universal XL
With Handcuff Key Override</t>
  </si>
  <si>
    <t>GK10301S1UHK</t>
  </si>
  <si>
    <t>Dual T-Rail Mount
1 Small
1 Large
With #2 Key Override</t>
  </si>
  <si>
    <t>GK10291S1L</t>
  </si>
  <si>
    <t>Dual T-Rail Mount
1 Small
1 Larg
Handcuff Key Override</t>
  </si>
  <si>
    <t>GK10291S1LHK</t>
  </si>
  <si>
    <t>Single T-Rail Mount
Universal XL
With #2 Key Override</t>
  </si>
  <si>
    <t>GK10271U</t>
  </si>
  <si>
    <t>Single T-Rail Mount
Universal XL
With Handcuff Key Override</t>
  </si>
  <si>
    <t>GK10271UHK</t>
  </si>
  <si>
    <t>Single T-Rail Mount
Large
With #2 Key Override</t>
  </si>
  <si>
    <t>GK10261L</t>
  </si>
  <si>
    <t>Single T-Rail Mount
Large
With Handcuff Key Override</t>
  </si>
  <si>
    <t>GK10261LHK</t>
  </si>
  <si>
    <t>Single T-Rail Mount
Small
With #2 Key Override</t>
  </si>
  <si>
    <t>GK10251S</t>
  </si>
  <si>
    <t>Single T-Rail Mount
Small
With Handcuff Key Override</t>
  </si>
  <si>
    <t>GK10251SHK</t>
  </si>
  <si>
    <t>Firearm Mount Systems</t>
  </si>
  <si>
    <t>Savvy Temperature Control System
*COMPATIBLE With 10" Fan
*Fan NOT INCLUDED</t>
  </si>
  <si>
    <t>EK0684FDT09F250</t>
  </si>
  <si>
    <t>Maxi Thin Fan
10" Fan ONLY</t>
  </si>
  <si>
    <t>EK0689FDT09F250</t>
  </si>
  <si>
    <t>Premier System
*Fan NOT INCLUDED</t>
  </si>
  <si>
    <t>EK0683FDT09F250</t>
  </si>
  <si>
    <t>Premier
Canine System
With Bailout
*Fan NOT INCLUDED</t>
  </si>
  <si>
    <t>EK0691FDT09F250</t>
  </si>
  <si>
    <t>Premier
Pager System</t>
  </si>
  <si>
    <t>EK0690FDT09F250</t>
  </si>
  <si>
    <t>Ford Truck F250</t>
  </si>
  <si>
    <t>EK0684FDT09F150</t>
  </si>
  <si>
    <t>Maxi Thin Fan
*10" Fan ONLY</t>
  </si>
  <si>
    <t>EK0689FDT09F150</t>
  </si>
  <si>
    <t>EK0683FDT09F150</t>
  </si>
  <si>
    <t>EK0691FDT09F150</t>
  </si>
  <si>
    <t>EK0690FDT09F150</t>
  </si>
  <si>
    <t>Ford Truck F150</t>
  </si>
  <si>
    <t>EK0684ITU12</t>
  </si>
  <si>
    <t>EK0689ITU12</t>
  </si>
  <si>
    <t>EK0683ITU12</t>
  </si>
  <si>
    <t>EK0691ITU12</t>
  </si>
  <si>
    <t>EK0690ITU12</t>
  </si>
  <si>
    <t>EK0684EPD07</t>
  </si>
  <si>
    <t>EK0689EPD07</t>
  </si>
  <si>
    <t>EK0683EPD07</t>
  </si>
  <si>
    <t>EK0691EPD07</t>
  </si>
  <si>
    <t>EK0690EPD07</t>
  </si>
  <si>
    <t>Ford Expedition</t>
  </si>
  <si>
    <t>EK0684DRT09</t>
  </si>
  <si>
    <t>EK0689DUR11</t>
  </si>
  <si>
    <t>EK0683DUR11</t>
  </si>
  <si>
    <t>EK0691DUR11</t>
  </si>
  <si>
    <t>EK0690DUR11</t>
  </si>
  <si>
    <t>EK0689DRT09</t>
  </si>
  <si>
    <t>EK0683DRT09</t>
  </si>
  <si>
    <t>EK0691DRT09</t>
  </si>
  <si>
    <t>EK0690DRT09</t>
  </si>
  <si>
    <t>Dodge Ram Truck</t>
  </si>
  <si>
    <t>EK0684CHT07</t>
  </si>
  <si>
    <t>EK0689CHT07</t>
  </si>
  <si>
    <t>EK0683CHT07</t>
  </si>
  <si>
    <t>EK0691CHT07</t>
  </si>
  <si>
    <t>EK0690CHT07</t>
  </si>
  <si>
    <t>Chevrolet Truck 1500/2500/3500</t>
  </si>
  <si>
    <t>Chevrolet Truck</t>
  </si>
  <si>
    <t>EK0684TAH00</t>
  </si>
  <si>
    <t>EK0689TAH00</t>
  </si>
  <si>
    <t>EK0683TAH00</t>
  </si>
  <si>
    <t>EK0691TAH00</t>
  </si>
  <si>
    <t>EK0690TAH00</t>
  </si>
  <si>
    <t>VANS, TRUCKS, SUV'S</t>
  </si>
  <si>
    <t>Savvy Temperature Control System
*COMPATIBLE With 7.5" Fan
*Fan NOT INCLUDED</t>
  </si>
  <si>
    <t>EK0684CGR06</t>
  </si>
  <si>
    <t>Savvy Fan
*7.5" Fan ONLY</t>
  </si>
  <si>
    <t>EK0688CGR06</t>
  </si>
  <si>
    <t>EK0683CGR06</t>
  </si>
  <si>
    <t>EK0691CGR06</t>
  </si>
  <si>
    <t>EK0690CGR06</t>
  </si>
  <si>
    <t>CARS</t>
  </si>
  <si>
    <t>Premier K9 by Criminalistics K9 Electronics</t>
  </si>
  <si>
    <t>GK03831SMUE21HK</t>
  </si>
  <si>
    <t>GK03831SMUE21</t>
  </si>
  <si>
    <t>Full REPLACEMENT Transport Seat
TPO Plastic
With Factory Seat Belts</t>
  </si>
  <si>
    <t>QK2112MUE21</t>
  </si>
  <si>
    <t>Window Barrier VS Rear Hatch
Steel Horizontal
Rear Cargo Compartment</t>
  </si>
  <si>
    <t>WK1200MUE21</t>
  </si>
  <si>
    <t>WK0595MUE21</t>
  </si>
  <si>
    <t>DK0598MUE21</t>
  </si>
  <si>
    <t xml:space="preserve">PB5 Fender Wraps
PB300/400 </t>
  </si>
  <si>
    <t>FK0400MUE21</t>
  </si>
  <si>
    <t>HK0809MUE21</t>
  </si>
  <si>
    <t>BK1543MUE21</t>
  </si>
  <si>
    <t>BK1511MUE21</t>
  </si>
  <si>
    <t>BK1527MUE21</t>
  </si>
  <si>
    <t>BK1559MUE21</t>
  </si>
  <si>
    <t>BK1585MUE21</t>
  </si>
  <si>
    <t>BK1542MUE21</t>
  </si>
  <si>
    <t>BK1510MUE21</t>
  </si>
  <si>
    <t>BK1526MUE21</t>
  </si>
  <si>
    <t>BK1366MUE21</t>
  </si>
  <si>
    <t>BK1558MUE21</t>
  </si>
  <si>
    <t>BK1604MUE21</t>
  </si>
  <si>
    <t>BK1584MUE21</t>
  </si>
  <si>
    <t>BK1541MUE21</t>
  </si>
  <si>
    <t>BK1509MUE21</t>
  </si>
  <si>
    <t>BK1525MUE21</t>
  </si>
  <si>
    <t>BK1687MUE21</t>
  </si>
  <si>
    <t>BK1557MUE21</t>
  </si>
  <si>
    <t>BK1603MUE21</t>
  </si>
  <si>
    <t>BK1583MUE21</t>
  </si>
  <si>
    <t>BK0282MUE21</t>
  </si>
  <si>
    <t>BK2338MUE21</t>
  </si>
  <si>
    <t>BK1001MUE21</t>
  </si>
  <si>
    <t>BK0802MUE21</t>
  </si>
  <si>
    <t>BK2168MUE21</t>
  </si>
  <si>
    <t>BK2019MUE21</t>
  </si>
  <si>
    <t>4 Lights Total: 2 Forward Facing, 1 Each Side</t>
  </si>
  <si>
    <t>PB450L LIGHTED PUSH BUMPERS</t>
  </si>
  <si>
    <t>BK2124MUE21</t>
  </si>
  <si>
    <t>BK2166MUE21</t>
  </si>
  <si>
    <t>BK2017MUE21</t>
  </si>
  <si>
    <t>2 Forward Facing Lights</t>
  </si>
  <si>
    <t>BK0535MUE21</t>
  </si>
  <si>
    <t>BK0534MUE21</t>
  </si>
  <si>
    <t>FOLD DOWN RADIO STORAGE LOCKER
Cargo Area Rear Partition
#12VS Stationary Window - Coated Polycarbonate</t>
  </si>
  <si>
    <t>PK0666MUE21</t>
  </si>
  <si>
    <t>*FOR USE BEHIND 2nd Row Seat ONLY</t>
  </si>
  <si>
    <t>CARGO AREA REAR PARTITIONS</t>
  </si>
  <si>
    <t>2K0035MUE21XLFR</t>
  </si>
  <si>
    <t>SPT Single Prisoner Transport Partition
#7VS SPT  Stationary Window
Vinyl Coated Expaneded Metal
*FOR USE WITH:
   -Full REPLACEMENT Transport Partition Seat</t>
  </si>
  <si>
    <t>1K0576MUE21FR</t>
  </si>
  <si>
    <t>1K0574MUE21FR</t>
  </si>
  <si>
    <t>Requires #12VS Partition - Sold Separately</t>
  </si>
  <si>
    <t>*INCLUDES Lower Extension Panels</t>
  </si>
  <si>
    <t>SINGLE PRISONER TRANSPORT PARTITIONS</t>
  </si>
  <si>
    <t>PK1185MUE21</t>
  </si>
  <si>
    <t>PK1186MUE21</t>
  </si>
  <si>
    <t>PK1125MUE21</t>
  </si>
  <si>
    <t>PK1126MUE21</t>
  </si>
  <si>
    <t>PK1129MUE21</t>
  </si>
  <si>
    <t>PK1130MUE21</t>
  </si>
  <si>
    <t>PK1133MUE21</t>
  </si>
  <si>
    <t>PK1134MUE21</t>
  </si>
  <si>
    <t>PK1140MUE21</t>
  </si>
  <si>
    <t>PK1144MUE21</t>
  </si>
  <si>
    <t>PK1137MUE21</t>
  </si>
  <si>
    <t>PK1138MUE21</t>
  </si>
  <si>
    <t>Mustang Mach E</t>
  </si>
  <si>
    <t>TK1338F1E22</t>
  </si>
  <si>
    <t>WK0514F1E22H</t>
  </si>
  <si>
    <t>WK0626F1E22E</t>
  </si>
  <si>
    <t>1D1388F1E22</t>
  </si>
  <si>
    <t>QK2381F1E22</t>
  </si>
  <si>
    <t>QK0465F1E22</t>
  </si>
  <si>
    <t>Upper Cargo Deck
*REQUIRED:
   -TK1261F1E22RW Cargo Deck w/ Drawer Max NOT INCLUDED</t>
  </si>
  <si>
    <t>.</t>
  </si>
  <si>
    <t>TK1261F1E22RW</t>
  </si>
  <si>
    <t>TK1261F1E22</t>
  </si>
  <si>
    <t>RADIO BOX - FOR USE IN FRUNK</t>
  </si>
  <si>
    <t>AK0968F1E22</t>
  </si>
  <si>
    <t>RADIO BOX</t>
  </si>
  <si>
    <t>TK2068F1E22</t>
  </si>
  <si>
    <t>GF1382F1E22</t>
  </si>
  <si>
    <t>WK0055F1E22</t>
  </si>
  <si>
    <t>WK0595F1E22P</t>
  </si>
  <si>
    <t>WK1491F1E22T</t>
  </si>
  <si>
    <t>WK0595F1E22</t>
  </si>
  <si>
    <t>DK0598F1E22</t>
  </si>
  <si>
    <t>DK0100F1E22</t>
  </si>
  <si>
    <t>HK2273F1E22</t>
  </si>
  <si>
    <t>HK0809F1E22</t>
  </si>
  <si>
    <t>FK0402F1E22</t>
  </si>
  <si>
    <t>BK1543F1E22</t>
  </si>
  <si>
    <t>BK1511F1E22</t>
  </si>
  <si>
    <t>BK1527F1E22</t>
  </si>
  <si>
    <t>BK1559F1E22</t>
  </si>
  <si>
    <t>BK1585F1E22</t>
  </si>
  <si>
    <t>BK1542F1E22</t>
  </si>
  <si>
    <t>BK1510F1E22</t>
  </si>
  <si>
    <t>BK1526F1E22</t>
  </si>
  <si>
    <t>BK1366F1E22</t>
  </si>
  <si>
    <t>BK1558F1E22</t>
  </si>
  <si>
    <t>BK1604F1E22</t>
  </si>
  <si>
    <t>BK1584F1E22</t>
  </si>
  <si>
    <t>BK1541F1E22</t>
  </si>
  <si>
    <t>BK1509F1E22</t>
  </si>
  <si>
    <t>BK1525F1E22</t>
  </si>
  <si>
    <t>BK1687F1E22</t>
  </si>
  <si>
    <t>BK1557F1E22</t>
  </si>
  <si>
    <t>BK1603F1E22</t>
  </si>
  <si>
    <t>BK1583F1E22</t>
  </si>
  <si>
    <t>BK0282F1E22</t>
  </si>
  <si>
    <t>BK2338F1E22</t>
  </si>
  <si>
    <t>BK1001F1E22</t>
  </si>
  <si>
    <t>BK0802F1E22</t>
  </si>
  <si>
    <t>BK2168F1E22</t>
  </si>
  <si>
    <t>BK2019F1E22</t>
  </si>
  <si>
    <t>BK2124F1E22</t>
  </si>
  <si>
    <t>BK2166F1E22</t>
  </si>
  <si>
    <t>BK2017F1E22</t>
  </si>
  <si>
    <t>BK0534F1E22</t>
  </si>
  <si>
    <t>1K0576F1E22WOD</t>
  </si>
  <si>
    <t>1K0576F1E22EDR</t>
  </si>
  <si>
    <t>1K0574F1E22WOD</t>
  </si>
  <si>
    <t>1K0574F1E22PDR</t>
  </si>
  <si>
    <t>PK0227F1E22</t>
  </si>
  <si>
    <t>PK0228F1E22</t>
  </si>
  <si>
    <t>PK0602F1E22</t>
  </si>
  <si>
    <t>PK0419F1E22</t>
  </si>
  <si>
    <t>PK0439F1E22</t>
  </si>
  <si>
    <t>PK0355F1E22</t>
  </si>
  <si>
    <t>PK0398F1E22</t>
  </si>
  <si>
    <t>PK0369F1E22</t>
  </si>
  <si>
    <t>PK0420F1E22</t>
  </si>
  <si>
    <t>PK0517F1E22</t>
  </si>
  <si>
    <t>PK0373F1E22</t>
  </si>
  <si>
    <t>PK0374F1E22</t>
  </si>
  <si>
    <t>Ford F150 Electric - Lightning</t>
  </si>
  <si>
    <t>TK0661BLE24</t>
  </si>
  <si>
    <t>CARGO BOX - SINGLE DRAWER
DSK- Drawer, Sliding With RFID Card Lock</t>
  </si>
  <si>
    <t>TK1693BLE24</t>
  </si>
  <si>
    <t>CARGO BOX - SINGLE DRAWER
DSK- Drawer, Sliding With Key Lock</t>
  </si>
  <si>
    <t>TK0126BLE24</t>
  </si>
  <si>
    <t>*REQUIRED Setina #12VS Rear Cargo Partition</t>
  </si>
  <si>
    <t>QK1620BLE24</t>
  </si>
  <si>
    <t>QK1684BLE24</t>
  </si>
  <si>
    <t>*FOR USE WITH XL Partitions</t>
  </si>
  <si>
    <t>QK1224BLE24</t>
  </si>
  <si>
    <t>QK1576BLE24</t>
  </si>
  <si>
    <t>DK0100BLE24</t>
  </si>
  <si>
    <t>DK0598BLE24</t>
  </si>
  <si>
    <t>WK0595BLE24</t>
  </si>
  <si>
    <t>WK0514BLE24H</t>
  </si>
  <si>
    <t>WK0514BLE24</t>
  </si>
  <si>
    <t>BK1543BLE24</t>
  </si>
  <si>
    <t>BK1511BLE24</t>
  </si>
  <si>
    <t>BK1527BLE24</t>
  </si>
  <si>
    <t>BK1559BLE24</t>
  </si>
  <si>
    <t>BK1585BLE24</t>
  </si>
  <si>
    <t>BK1542BLE24</t>
  </si>
  <si>
    <t>BK1510BLE24</t>
  </si>
  <si>
    <t>BK1526BLE24</t>
  </si>
  <si>
    <t>BK1366BLE24</t>
  </si>
  <si>
    <t>BK1558BLE24</t>
  </si>
  <si>
    <t>BK1604BLE24</t>
  </si>
  <si>
    <t>BK1584BLE24</t>
  </si>
  <si>
    <t>BK1541BLE24</t>
  </si>
  <si>
    <t>BK1509BLE24</t>
  </si>
  <si>
    <t>BK1525BLE24</t>
  </si>
  <si>
    <t>BK1687BLE24</t>
  </si>
  <si>
    <t>BK1557BLE24</t>
  </si>
  <si>
    <t>BK1603BLE24</t>
  </si>
  <si>
    <t>BK1583BLE24</t>
  </si>
  <si>
    <t>BK0282BLE24</t>
  </si>
  <si>
    <t>BK2338BLE24</t>
  </si>
  <si>
    <t>BK1001BLE24</t>
  </si>
  <si>
    <t>BK0802BLE24</t>
  </si>
  <si>
    <t>BK2168BLE24</t>
  </si>
  <si>
    <t>BK2019BLE24</t>
  </si>
  <si>
    <t>BK2124BLE24</t>
  </si>
  <si>
    <t>BK2166BLE24</t>
  </si>
  <si>
    <t>BK2017BLE24</t>
  </si>
  <si>
    <t>BK0535BLE24</t>
  </si>
  <si>
    <t>BK0534BLE24</t>
  </si>
  <si>
    <t>PK0316BLE242ND</t>
  </si>
  <si>
    <t>PK1185BLE24</t>
  </si>
  <si>
    <t>PK1186BLE24</t>
  </si>
  <si>
    <t>PK1125BLE24</t>
  </si>
  <si>
    <t>PK1126BLE24</t>
  </si>
  <si>
    <t>PK1129BLE24</t>
  </si>
  <si>
    <t>PK1130BLE24</t>
  </si>
  <si>
    <t>PK1133BLE24</t>
  </si>
  <si>
    <t>PK1134BLE24</t>
  </si>
  <si>
    <t>PK1140BLE24</t>
  </si>
  <si>
    <t>PK1144BLE24</t>
  </si>
  <si>
    <t>PK1137BLE24</t>
  </si>
  <si>
    <t>PK1138BLE24</t>
  </si>
  <si>
    <t>ALL NEW CHEVY BLAZER EV</t>
  </si>
  <si>
    <t>TK1339CHT202500</t>
  </si>
  <si>
    <t>WK0514CHT202500H</t>
  </si>
  <si>
    <t>WK0055CHT202500</t>
  </si>
  <si>
    <t>Upper Cargo Deck
*REQUIRED:
   -TK1459CHT202500RW Cargo Deck w/ Drawer Max NOT INCLUDED</t>
  </si>
  <si>
    <t>TK1459CHT202500RW</t>
  </si>
  <si>
    <t>TK1459CHT202500</t>
  </si>
  <si>
    <t>GT0536CHT10</t>
  </si>
  <si>
    <t>GF1382CHT202500</t>
  </si>
  <si>
    <t>*INCLUDES Free Standing Mount ONLY</t>
  </si>
  <si>
    <t>FREE STANDING FIREARM MOUNT SYSTEM</t>
  </si>
  <si>
    <t>DK0598CHT202500</t>
  </si>
  <si>
    <t>WK0595CHT202500P</t>
  </si>
  <si>
    <t>Window Barrier 
Steel
Horizontal
*FOR USE WITH:
   -All Door Panels</t>
  </si>
  <si>
    <t>Window Barrier 
Steel
Vertical
*FOR USE WITH:
   -All Door Panels</t>
  </si>
  <si>
    <t>WK0514CHT202500</t>
  </si>
  <si>
    <t>Window Barrier 
Polycarbonate
*FOR USE WITH:
   -All Door Panels</t>
  </si>
  <si>
    <t>WK0595CHT202500</t>
  </si>
  <si>
    <t>**2020-2025 Model Year**</t>
  </si>
  <si>
    <t>HK0809CHT242500</t>
  </si>
  <si>
    <t>**2024-2025 Model Year Headlight Guards**</t>
  </si>
  <si>
    <t>BK1543CHT242500</t>
  </si>
  <si>
    <t>BK1511CHT242500</t>
  </si>
  <si>
    <t>BK1527CHT242500</t>
  </si>
  <si>
    <t>BK1559CHT242500</t>
  </si>
  <si>
    <t>BK1585CHT242500</t>
  </si>
  <si>
    <t>**2024-2025 Model Year Push Bumpers**</t>
  </si>
  <si>
    <t>BK1542CHT242500</t>
  </si>
  <si>
    <t>BK1510CHT242500</t>
  </si>
  <si>
    <t>BK1526CHT242500</t>
  </si>
  <si>
    <t>BK1366CHT242500</t>
  </si>
  <si>
    <t>BK1558CHT242500</t>
  </si>
  <si>
    <t>BK1604CHT242500</t>
  </si>
  <si>
    <t>BK1584CHT242500</t>
  </si>
  <si>
    <t>BK1541CHT242500</t>
  </si>
  <si>
    <t>BK1509CHT242500</t>
  </si>
  <si>
    <t>BK1525CHT242500</t>
  </si>
  <si>
    <t>BK1687CHT242500</t>
  </si>
  <si>
    <t>BK1557CHT242500</t>
  </si>
  <si>
    <t>BK1603CHT242500</t>
  </si>
  <si>
    <t>BK1583CHT242500</t>
  </si>
  <si>
    <t>BK0282CHT242500</t>
  </si>
  <si>
    <t>BK2338CHT242500</t>
  </si>
  <si>
    <t>BK1001CHT242500</t>
  </si>
  <si>
    <t>BK0802CHT242500</t>
  </si>
  <si>
    <t>BK2168CHT242500</t>
  </si>
  <si>
    <t>BK2019CHT242500</t>
  </si>
  <si>
    <t>BK2124CHT242500</t>
  </si>
  <si>
    <t>BK2166CHT242500</t>
  </si>
  <si>
    <t>BK2017CHT242500</t>
  </si>
  <si>
    <r>
      <t xml:space="preserve">PB400 VS Aluminum Winch Bumper Full
</t>
    </r>
    <r>
      <rPr>
        <sz val="10"/>
        <color rgb="FFFF0000"/>
        <rFont val="Calibri"/>
        <family val="2"/>
        <scheme val="minor"/>
      </rPr>
      <t>*SPECIAL ORDER ITEM, NO RETURNS OR CANCELLATIONS</t>
    </r>
  </si>
  <si>
    <t>BK0060CHT242500</t>
  </si>
  <si>
    <t>*SPECIAL ORDER ITEM, CANNOT BE CANCELLED &amp; NON RETURNABLE*
*COMPATIBLE WITH MID-FRAME WINCH*</t>
  </si>
  <si>
    <t>PB400 Winch-Ready Push Bumpers</t>
  </si>
  <si>
    <t>BK0535CHT242500</t>
  </si>
  <si>
    <t>BK0534CHT242500</t>
  </si>
  <si>
    <t>HK0809CHT202500</t>
  </si>
  <si>
    <t>**2020-2023 Model Year Push Bumpers**</t>
  </si>
  <si>
    <t>BK1543CHT202500</t>
  </si>
  <si>
    <t>BK1511CHT202500</t>
  </si>
  <si>
    <t>BK1527CHT202500</t>
  </si>
  <si>
    <t>BK1559CHT202500</t>
  </si>
  <si>
    <t>BK1585CHT202500</t>
  </si>
  <si>
    <t>BK1542CHT202500</t>
  </si>
  <si>
    <t>BK1510CHT202500</t>
  </si>
  <si>
    <t>BK1526CHT202500</t>
  </si>
  <si>
    <t>BK1366CHT202500</t>
  </si>
  <si>
    <t>BK1558CHT202500</t>
  </si>
  <si>
    <t>BK1604CHT202500</t>
  </si>
  <si>
    <t>BK1584CHT202500</t>
  </si>
  <si>
    <t>BK1541CHT202500</t>
  </si>
  <si>
    <t>BK1509CHT202500</t>
  </si>
  <si>
    <t>BK1525CHT202500</t>
  </si>
  <si>
    <t>BK1687CHT202500</t>
  </si>
  <si>
    <t>BK1557CHT202500</t>
  </si>
  <si>
    <t>BK1603CHT202500</t>
  </si>
  <si>
    <t>BK1583CHT202500</t>
  </si>
  <si>
    <t>BK0282CHT202500</t>
  </si>
  <si>
    <t>BK2338CHT202500</t>
  </si>
  <si>
    <t>BK1001CHT202500</t>
  </si>
  <si>
    <t>BK0802CHT202500</t>
  </si>
  <si>
    <t>BK2168CHT202500</t>
  </si>
  <si>
    <t>BK2019CHT202500</t>
  </si>
  <si>
    <t>BK2124CHT202500</t>
  </si>
  <si>
    <t>BK2166CHT202500</t>
  </si>
  <si>
    <t>BK2017CHT202500</t>
  </si>
  <si>
    <t>BK0060CHT202500</t>
  </si>
  <si>
    <t>BK0535CHT202500</t>
  </si>
  <si>
    <t>BK0534CHT202500</t>
  </si>
  <si>
    <t>2K0035CHT202500RP</t>
  </si>
  <si>
    <t>Single PRISONER Transport Parition
#7VS Stationary Window
Vinyl Coated Expanded Metal
*ONLY FOR USE WITH:
   -Full Stock Seat</t>
  </si>
  <si>
    <t>1K0576CHT202500WD</t>
  </si>
  <si>
    <t>Single Prisoner Transport Partition
#6VS Stationary Window
Coated Polycarbonate 
*ONLY FOR USE WITH:
   -Full Stock Seat</t>
  </si>
  <si>
    <t>1K0574CHT202500WD</t>
  </si>
  <si>
    <t>PK0227CHT202500</t>
  </si>
  <si>
    <t>PK0228CHT202500</t>
  </si>
  <si>
    <t>PK0602CHT202500</t>
  </si>
  <si>
    <t>PK0419CHT202500</t>
  </si>
  <si>
    <t>PK0439CHT202500</t>
  </si>
  <si>
    <t>PK0355CHT202500</t>
  </si>
  <si>
    <t>PK0398CHT202500</t>
  </si>
  <si>
    <t>PK0369CHT202500</t>
  </si>
  <si>
    <t>PK0420CHT202500</t>
  </si>
  <si>
    <t>PK0517CHT202500</t>
  </si>
  <si>
    <t>PK0373CHT202500</t>
  </si>
  <si>
    <t>PK0374CHT202500</t>
  </si>
  <si>
    <t>PK0225CHT202500</t>
  </si>
  <si>
    <t>PK0226CHT202500</t>
  </si>
  <si>
    <t>PK0601CHT202500</t>
  </si>
  <si>
    <t>PK0350CHT202500</t>
  </si>
  <si>
    <t>PK0120CHT202500</t>
  </si>
  <si>
    <t>PK0121CHT202500</t>
  </si>
  <si>
    <t>PK0118CHT202500</t>
  </si>
  <si>
    <t>PK0119CHT202500</t>
  </si>
  <si>
    <t>PK0117CHT202500</t>
  </si>
  <si>
    <t>PK0326CHT202500</t>
  </si>
  <si>
    <t>PK0115CHT202500</t>
  </si>
  <si>
    <t>PK0116CHT202500</t>
  </si>
  <si>
    <t>Chevrolet Silverado 2500-3500</t>
  </si>
  <si>
    <t>ZX80 TAA - Qualcomm QCS6490 + TAA, 8" With Webcam, Android 13 + 12GB RAM + 256GB Storage, Barcode Reader, Sunlight Readable (WUXGA LCD + Touchscreen + Hard Tip stylus), USB-C AC Adapter + US Power Cord, w/ Rear Camera + Internal Battery + Hot-swappable Standard Battery, WIFI + BT+ Dedicated GPS + 4G LTE, ANSI, 3 Year B2B Warranty</t>
  </si>
  <si>
    <t>Z8B7FHWA27YX</t>
  </si>
  <si>
    <t>ZX80</t>
  </si>
  <si>
    <t>ZX80 TAA - Qualcomm QCS6490 + TAA, 8" With Webcam, Android 13 + 12GB RAM + 256GB Storage, Sunlight Readable (WUXGA LCD + Touchscreen + Hard Tip stylus), USB-C AC Adapter + US Power Cord, w/ Rear Camera + Internal Battery + Hot-swappable High-capacity Battery, WIFI + BT+ Dedicated GPS + 4G LTE + Passthrough, 3 Year B2B Warranty</t>
  </si>
  <si>
    <t>Z8B7FXWA38XX</t>
  </si>
  <si>
    <t>ZX80 TAA - Qualcomm QCS6490 + TAA, 8" With Webcam, Android 13 + 12GB RAM + 256GB Storage, Sunlight Readable (WUXGA LCD + Touchscreen + Hard Tip stylus), USB-C AC Adapter + US Power Cord, w/ Rear Camera + Internal Battery + Hot-swappable Standard Battery, WIFI + BT+ Dedicated GPS + 4G LTE, 3 Year B2B Warranty</t>
  </si>
  <si>
    <t>Z8B7FXWA27XX</t>
  </si>
  <si>
    <t>ZX80 TAA - Qualcomm QCS6490 + TAA, 8" With Webcam, Android 13 + 12GB RAM + 256GB Storage, Sunlight Readable (WUXGA LCD + Touchscreen + Hard Tip stylus), USB-C AC Adapter + US Power Cord, w/ Rear Camera + Internal Battery + Battery Bay Cover, WIFI + BT+ Dedicated GPS + 4G LTE + Passthrough, 3 Year B2B Warranty</t>
  </si>
  <si>
    <t>Z8B7FXWA18XX</t>
  </si>
  <si>
    <t>ZX80 TAA - Qualcomm QCS6490 + TAA, 8" With Webcam, Android 13 + 12GB RAM + 256GB Storage, Sunlight Readable (WUXGA LCD + Touchscreen + Hard Tip stylus), USB-C AC Adapter + US Power Cord, w/ Rear Camera + Internal Battery + Hot-swappable Standard Battery, WIFI + BT, 3 Year B2B Warranty</t>
  </si>
  <si>
    <t>Z8B7FXWA2DXX</t>
  </si>
  <si>
    <t>ZX80 TAA - Qualcomm QCS6490 + TAA, 8" With Webcam, Android 13 + 12GB RAM + 256GB Storage, Sunlight Readable (WUXGA LCD + Touchscreen) + without Hard Tip stylus, USB-C AC Adapter + US Power Cord, w/ Rear Camera + Internal Battery + Hot-swappable Standard Battery, WIFI + BT, 3 Year B2B Warranty</t>
  </si>
  <si>
    <t>Z8B7FXDA2DXX</t>
  </si>
  <si>
    <t>ZX80 TAA - Qualcomm QCS6490 + TAA, 8" With Webcam, Android 13 + 12GB RAM + 256GB Storage, Sunlight Readable (WUXGA LCD + Touchscreen) + without Hard Tip stylus, Without USB-C AC adapter, w/ Rear Camera + Internal Battery + Battery Bay Cover, WIFI + BT, 3 Year B2B Warranty</t>
  </si>
  <si>
    <t>Z8B7FXDX1DXX</t>
  </si>
  <si>
    <t>ZX10G2 TAA - Qualcomm QCS6490 + TAA, 10" + w/ Webcam, Android 13 + 8GB RAM + 256GB Storage, LED Barcode Reader, Sunlight Readable (WUXGA LCD + Touchscreen + Hard Tip stylus), USB-C AC Adapter + US Power Cord, w/ Rear Camera + Standard Batteries (2-pack), WIFI + BT + Dedicated GPS + 5G Sub-6, 3 Year B2B Warranty</t>
  </si>
  <si>
    <t>Z8B1HZW15BBX</t>
  </si>
  <si>
    <t>ZX10G2</t>
  </si>
  <si>
    <t>ZX10G2 TAA - Qualcomm QCS6490 + TAA, 10" + w/ Webcam, Android 13 + 8GB RAM + 256GB Storage, Sunlight Readable (WUXGA LCD + Touchscreen + Digitizer), USB-C AC Adapter + US Power Cord, w/ Rear Camera + Standard Batteries (2-pack), WIFI + BT + Dedicated GPS + 5G Sub-6 + Passthrough, Tablet Hard Handle, 3 Year B2B Warranty</t>
  </si>
  <si>
    <t>Z8B1HXG15C1X</t>
  </si>
  <si>
    <t>ZX10G2 TAA - Qualcomm QCS6490 + TAA, 10" + w/ Webcam, Android 13 + 8GB RAM + 256GB Storage, Sunlight Readable (WUXGA LCD + Touchscreen + Hard Tip stylus), USB-C AC Adapter + US Power Cord, w/ Rear Camera + Standard Batteries (2-pack), WIFI + BT + Dedicated GPS + 5G Sub-6 + Passthrough, Tablet Hard Handle, 3 Year B2B Warranty</t>
  </si>
  <si>
    <t>Z8B1HXW15C1X</t>
  </si>
  <si>
    <t>ZX10G2 TAA - Qualcomm QCS6490 + TAA, 10" + w/ Webcam, Android 13 + 8GB RAM + 256GB Storage, Sunlight Readable (WUXGA LCD + Touchscreen + Hard Tip stylus), USB-C AC Adapter + US Power Cord, w/ Rear Camera + Standard Batteries (2-pack), WIFI + BT + Dedicated GPS + 5G Sub-6 + Passthrough, 3 Year B2B Warranty</t>
  </si>
  <si>
    <t>Z8B1HXW15CBX</t>
  </si>
  <si>
    <t>ZX10G2 TAA - Qualcomm QCS6490 + TAA, 10" + w/ Webcam, Android 13 + 8GB RAM + 256GB Storage, Sunlight Readable (WUXGA LCD + Touchscreen + Hard Tip stylus), USB-C AC Adapter + US Power Cord, w/ Rear Camera + Standard Batteries (2-pack), WIFI + BT + Dedicated GPS + 5G Sub-6, 3 Year B2B Warranty</t>
  </si>
  <si>
    <t>Z8B1HXW15BBX</t>
  </si>
  <si>
    <t>ZX10G2 TAA - Qualcomm QCS6490 + TAA, 10" + w/ Webcam, Android 13 + 8GB RAM + 256GB Storage, LED Barcode Reader, Sunlight Readable (WUXGA LCD + Touchscreen + Hard Tip stylus), USB-C AC Adapter + US Power Cord, w/ Rear Camera + Standard Batteries (2-pack), WIFI + BT + Dedicated GPS + 4G LTE, 3 Year B2B Warranty</t>
  </si>
  <si>
    <t>Z8B1HZW157BX</t>
  </si>
  <si>
    <t>ZX10G2 TAA - Qualcomm QCS6490 + TAA, 10" + w/ Webcam, Android 13 + 8GB RAM + 256GB Storage, Sunlight Readable (WUXGA LCD + Touchscreen + Digitizer), USB-C AC Adapter + US Power Cord, w/ Rear Camera + Standard Batteries (2-pack), WIFI + BT + Dedicated GPS + 4G LTE + Passthrough, Tablet Hard Handle, 3 Year B2B Warranty</t>
  </si>
  <si>
    <t>Z8B1HXG1581X</t>
  </si>
  <si>
    <t>ZX10G2 TAA - Qualcomm QCS6490 + TAA, 10" + w/ Webcam, Android 13 + 8GB RAM + 256GB Storage, Sunlight Readable (WUXGA LCD + Touchscreen + Digitizer), USB-C AC Adapter + US Power Cord, w/ Rear Camera + Standard Batteries (2-pack), WIFI + BT + Dedicated GPS, ANSI, 3 Year B2B Warranty</t>
  </si>
  <si>
    <t>Z8B1HXG15AYX</t>
  </si>
  <si>
    <t>ZX10G2 TAA - Qualcomm QCS6490 + TAA, 10" + w/ Webcam, Android 13 + 8GB RAM + 128GB Storage, Sunlight Readable (WUXGA LCD + Touchscreen + Hard Tip stylus), USB-C AC Adapter + US Power Cord, w/ Rear Camera + Standard Batteries (2-pack), WIFI + BT + Dedicated GPS + 5G Sub-6 + Passthrough, 3 Year B2B Warranty</t>
  </si>
  <si>
    <t>Z8B1GXW15CBX</t>
  </si>
  <si>
    <t>ZX10G2 TAA - Qualcomm QCS6490 + TAA, 10" + w/ Webcam, Android 13 + 8GB RAM + 128GB Storage, LED Barcode Reader, Sunlight Readable (WUXGA LCD + Touchscreen + Hard Tip stylus), USB-C AC Adapter + US Power Cord, w/ Rear Camera + Standard Batteries (2-pack), WIFI + BT + Dedicated GPS, ANSI, 3 Year B2B Warranty</t>
  </si>
  <si>
    <t>Z8B1GZW15AYX</t>
  </si>
  <si>
    <t>ZX10G2 TAA - Qualcomm QCS6490 + TAA, 10" + w/ Webcam, Android 13 + 8GB RAM + 256GB Storage, Sunlight Readable (WUXGA LCD + Touchscreen + Hard Tip stylus), USB-C AC Adapter + US Power Cord, w/ Rear Camera + Standard Batteries (2-pack), WIFI + BT + Dedicated GPS + 4G LTE + Passthrough, Tablet Hard Handle, 3 Year B2B Warranty</t>
  </si>
  <si>
    <t>Z8B1HXW1581X</t>
  </si>
  <si>
    <t>ZX10G2 TAA - Qualcomm QCS6490 + TAA, 10" + w/ Webcam, Android 13 + 8GB RAM + 256GB Storage, Sunlight Readable (WUXGA LCD + Touchscreen + Hard Tip stylus), USB-C AC Adapter + US Power Cord, w/ Rear Camera + Standard Batteries (2-pack), WIFI + BT + Dedicated GPS, ANSI, 3 Year B2B Warranty</t>
  </si>
  <si>
    <t>Z8B1HXW15AYX</t>
  </si>
  <si>
    <t>ZX10G2 TAA - Qualcomm QCS6490 + TAA, 10" + w/ Webcam, Android 13 + 8GB RAM + 256GB Storage, Sunlight Readable (WUXGA LCD + Touchscreen + Hard Tip stylus), USB-C AC Adapter + US Power Cord, w/ Rear Camera + Standard Batteries (2-pack), WIFI + BT + Dedicated GPS + 4G LTE + Passthrough, 3 Year B2B Warranty</t>
  </si>
  <si>
    <t>Z8B1HXW158BX</t>
  </si>
  <si>
    <t>ZX10G2 TAA - Qualcomm QCS6490 + TAA, 10" + w/ Webcam, Android 13 + 8GB RAM + 256GB Storage, LED Barcode Reader, Sunlight Readable (WUXGA LCD + Touchscreen + Hard Tip stylus), USB-C AC Adapter + US Power Cord, w/ Rear Camera + Standard Batteries (2-pack), WIFI + BT + Dedicated GPS, 3 Year B2B Warranty</t>
  </si>
  <si>
    <t>Z8B1HZW15ABX</t>
  </si>
  <si>
    <t>ZX10G2 TAA - Qualcomm QCS6490 + TAA, 10" + w/ Webcam, Android 13 + 8GB RAM + 256GB Storage, Sunlight Readable (WUXGA LCD + Touchscreen + Hard Tip stylus), USB-C AC Adapter + US Power Cord, w/ Rear Camera + Standard Batteries (2-pack), WIFI + BT + Dedicated GPS + 4G LTE, 3 Year B2B Warranty</t>
  </si>
  <si>
    <t>Z8B1HXW157BX</t>
  </si>
  <si>
    <t>ZX10G2 TAA - Qualcomm QCS6490 + TAA, 10" + w/ Webcam, Android 13 + 8GB RAM + 128GB Storage, Sunlight Readable (WUXGA LCD + Touchscreen + Hard Tip stylus), USB-C AC Adapter + US Power Cord, w/ Rear Camera + Standard Batteries (2-pack), WIFI + BT + Dedicated GPS, ANSI, 3 Year B2B Warranty</t>
  </si>
  <si>
    <t>Z8B1GXW15AYX</t>
  </si>
  <si>
    <t>ZX10G2 TAA - Qualcomm QCS6490 + TAA, 10" + w/ Webcam, Android 13 + 8GB RAM + 128GB Storage, Sunlight Readable (WUXGA LCD + Touchscreen + Hard Tip stylus), USB-C AC Adapter + US Power Cord, w/ Rear Camera + Standard Batteries (2-pack), WIFI + BT + Dedicated GPS + 4G LTE + Passthrough, 3 Year B2B Warranty</t>
  </si>
  <si>
    <t>Z8B1GXW158BX</t>
  </si>
  <si>
    <t>ZX10G2 TAA - Qualcomm QCS6490 + TAA, 10" + w/ Webcam, Android 13 + 8GB RAM + 128GB Storage, LED Barcode Reader, Sunlight Readable (WUXGA LCD + Touchscreen + Hard Tip stylus), USB-C AC Adapter + US Power Cord, w/ Rear Camera + Standard Batteries (2-pack), WIFI + BT + Dedicated GPS, 3 Year B2B Warranty</t>
  </si>
  <si>
    <t>Z8B1GZW15ABX</t>
  </si>
  <si>
    <t>ZX10G2 TAA - Qualcomm QCS6490 + TAA, 10" + w/ Webcam, Android 13 + 8GB RAM + 256GB Storage, Sunlight Readable (WUXGA LCD + Touchscreen + Hard Tip stylus), USB-C AC Adapter + US Power Cord, w/ Rear Camera + Standard Batteries (2-pack), WIFI + BT + Dedicated GPS, 3 Year B2B Warranty</t>
  </si>
  <si>
    <t>Z8B1HXW15ABX</t>
  </si>
  <si>
    <t>ZX10G2 TAA - Qualcomm QCS6490 + TAA, 10" + w/ Webcam, Android 13 + 8GB RAM + 128GB Storage, Sunlight Readable (WUXGA LCD + Touchscreen + Hard Tip stylus), USB-C AC Adapter + US Power Cord, w/ Rear Camera + Standard Batteries (2-pack), WIFI + BT + Dedicated GPS, NFC, 3 Year B2B Warranty</t>
  </si>
  <si>
    <t>Z8B1GXW15AB1</t>
  </si>
  <si>
    <t>ZX10G2 TAA - Qualcomm QCS6490 + TAA, 10" + w/ Webcam, Android 13 + 8GB RAM + 128GB Storage, Sunlight Readable (WUXGA LCD + Touchscreen + Hard Tip stylus), USB-C AC Adapter + US Power Cord, w/ Rear Camera + Standard Batteries (2-pack), WIFI + BT + Dedicated GPS, 3 Year B2B Warranty</t>
  </si>
  <si>
    <t>Z8B1GXW15ABX</t>
  </si>
  <si>
    <t>V120 - Intel Core Ultra 7 255H Processor, 12.2" with Windows Hello Webcam, Microsoft Windows 11 Pro x64 with 16GB RAM + TAA, 512GB PCIe SSD (user swappable), Sunlight Readable (WUXGA LCD+ Touchscreen) + Digitizer + HF RFID + Rear Camera, US KBD + US Power Cord, Membrane Backlit KBD, WIFI + BT + 5G Sub-6 + Dedicated GPS + Passthrough(**), Standard Batteries (2-pack) + Hard Handle + Large Bumper, Laser Barcode Reader, 3 Year B2B Warranty</t>
  </si>
  <si>
    <t>VV3P2YMABGCD</t>
  </si>
  <si>
    <t>V120</t>
  </si>
  <si>
    <t>V120 - Intel Core Ultra 5 225H Processor, 12.2" with Windows Hello Webcam, Microsoft Windows 11 Pro x64 with 16GB RAM + TAA, 1TB PCIe SSD (user swappable), Sunlight Readable (WUXGA LCD+ Touchscreen) + Digitizer + HF RFID + Rear Camera, US KBD + US Power Cord, Membrane Backlit KBD, WIFI + BT + 5G Sub-6 + Dedicated GPS + Passthrough(**), Standard Batteries (2-pack) + Soft Handle + Large Bumper, 3rd USB Type-A + Micro SD, 3 Year B2B Warranty</t>
  </si>
  <si>
    <t>VV1P2ZMABGAB</t>
  </si>
  <si>
    <t>V120 - Intel Core Ultra 7 255H Processor, 12.2" without Webcam, Microsoft Windows 11 Pro x64 with 32GB RAM + TAA, 1TB PCIe SSD (user swappable), Sunlight Readable (WUXGA LCD+ Touchscreen) + Digitizer + HF RFID + Rear Camera, US KBD + US Power Cord, Membrane Backlit KBD, WIFI + BT, Standard Batteries (2-pack) + Soft Handle + Large Bumper, 3rd USB Type-A + Micro SD, 3 Year B2B Warranty</t>
  </si>
  <si>
    <t>VV3B3ZMABDAB</t>
  </si>
  <si>
    <t>V120 - Intel Core Ultra 7 265H Processor,vPro Enterprise, 12.2" with Webcam, Microsoft Windows 11 Pro x64 with 16GB RAM + TAA, 512GB PCIe SSD (user swappable), Sunlight Readable (WUXGA LCD+ Touchscreen) + Digitizer + HF RFID + Rear Camera, US KBD + US Power Cord, Membrane Backlit KBD, WIFI + BT + 5G Sub-6 + Dedicated GPS + Passthrough(**), Standard Batteries (2-pack) + Hard Handle + Large Bumper, 3rd USB Type-A + Micro SD, 3 Year B2B Warranty</t>
  </si>
  <si>
    <t>VV412YMABGCB</t>
  </si>
  <si>
    <t>V120 - Intel Core Ultra 7 265H Processor,vPro Enterprise, 12.2" with Windows Hello Webcam, Microsoft Windows 11 Pro x64 with 16GB RAM + TAA, 512GB PCIe SSD (user swappable), Sunlight Readable (WUXGA LCD + Touchscreen) + HF RFID + Rear Camera, US KBD + US Power Cord, Membrane Backlit KBD, WIFI + BT + 5G Sub-6 + Dedicated GPS + Passthrough(**), Standard Batteries (2-pack) + Hard Handle + Large Bumper, Smart Card Reader + 3rd USB Type-A + Micro SD, 3 Year B2B Warranty</t>
  </si>
  <si>
    <t>VV4P2YDABGCH</t>
  </si>
  <si>
    <t>V120 - Intel Core Ultra 7 255H Processor, 12.2" with Webcam, Microsoft Windows 11 Pro x64 with 32GB RAM + TAA, 512GB PCIe SSD (user swappable), Sunlight Readable (WUXGA LCD+ Touchscreen) + Digitizer + HF RFID + Rear Camera, US KBD + US Power Cord, Membrane Backlit KBD, WIFI + BT + 4G LTE + Dedicated GPS + Passthrough(**), Standard Batteries (2-pack) + Soft Handle + Large Bumper, 3rd USB Type-A + Micro SD, 3 Year B2B Warranty</t>
  </si>
  <si>
    <t>VV313YMAB4AB</t>
  </si>
  <si>
    <t>V120 - Intel Core Ultra 5 225H Processor, 12.2" with Windows Hello Webcam, Microsoft Windows 11 Pro x64 with 16GB RAM + TAA, 256GB PCIe SSD (user swappable), Sunlight Readable (WUXGA LCD+ Touchscreen) + Digitizer + HF RFID + Rear Camera, US KBD + US Power Cord, Membrane Backlit KBD, WIFI + BT + 5G Sub-6 + Dedicated GPS + Passthrough(**), Standard Batteries (2-pack) + Hard Handle + Large Bumper, TraCS-compatible Barcode Reader, 3 Year B2B Warranty</t>
  </si>
  <si>
    <t>VV1P2PMABGCE</t>
  </si>
  <si>
    <t>V120 - Intel Core Ultra 5 225H Processor, 12.2" without Webcam, Microsoft Windows 11 Pro x64 with 32GB RAM + TAA, 512GB PCIe SSD (user swappable), Sunlight Readable (WUXGA LCD+ Touchscreen) + Digitizer + HF RFID + Rear Camera, US KBD + US Power Cord, Membrane Backlit KBD, WIFI + BT + 4G LTE w/ integrated GPS, Standard Batteries (2-pack) + Hard Handle + Large Bumper, 3rd USB Type-A + Micro SD, 3 Year B2B Warranty</t>
  </si>
  <si>
    <t>VV1B3YMAB1CB</t>
  </si>
  <si>
    <t>V120 - Intel Core Ultra 5 225H Processor, 12.2" with Windows Hello Webcam, Microsoft Windows 11 Pro x64 with 16GB RAM + TAA, 512GB PCIe SSD (user swappable), Sunlight Readable (WUXGA LCD+ Touchscreen) + Digitizer + HF RFID + Rear Camera, US KBD + US Power Cord, Membrane Backlit KBD, WIFI + BT + 5G Sub-6 + Dedicated GPS + Passthrough(**), Standard Batteries (2-pack) + Hard Handle + Large Bumper, 3rd USB Type-A + Micro SD, 3 Year B2B Warranty</t>
  </si>
  <si>
    <t>VV1P2YMABGCB</t>
  </si>
  <si>
    <t>V120 - Intel Core Ultra 7 255H Processor, 12.2" with Windows Hello Webcam, Microsoft Windows 11 Pro x64 with 16GB RAM + TAA, 256GB PCIe SSD (user swappable), Sunlight Readable (WUXGA LCD+ Touchscreen) + Digitizer + HF RFID + Rear Camera, US KBD + US Power Cord, Membrane Backlit KBD, WIFI + BT + 5G Sub-6 + Dedicated GPS + Passthrough(**), Standard Batteries (2-pack) + Hard Handle + Large Bumper, 3rd USB Type-A + Micro SD, 3 Year B2B Warranty</t>
  </si>
  <si>
    <t>VV3P2PMABGCB</t>
  </si>
  <si>
    <t>V120 - Intel Core Ultra 7 255H Processor, 12.2" with Webcam, Microsoft Windows 11 Pro x64 with 16GB RAM + TAA, 256GB PCIe SSD (user swappable), Sunlight Readable (WUXGA LCD+ Touchscreen) + Digitizer + HF RFID + Rear Camera, US KBD + US Power Cord, Membrane Backlit KBD, WIFI + BT + 5G Sub-6 + Dedicated GPS + Passthrough(**), Standard Batteries (2-pack) + Hard Handle + Large Bumper, 3rd USB Type-A + Micro SD, 3 Year B2B Warranty</t>
  </si>
  <si>
    <t>VV312PMABGCB</t>
  </si>
  <si>
    <t>V120 - Intel Core Ultra 7 255H Processor, 12.2" with Windows Hello Webcam, Microsoft Windows 11 Pro x64 with 16GB RAM + TAA, 256GB PCIe SSD (user swappable), Sunlight Readable (WUXGA LCD+ Touchscreen) + Digitizer + HF RFID + Rear Camera, US KBD + US Power Cord, Membrane Backlit KBD, WIFI + BT + Dedicated GPS(**), Standard Batteries (2-pack) + Hard Handle + Large Bumper, TraCS-compatible Barcode Reader, 3 Year B2B Warranty</t>
  </si>
  <si>
    <t>VV3P2PMABECE</t>
  </si>
  <si>
    <t>V120 - Intel Core Ultra 7 255H Processor, 12.2" without Webcam, Microsoft Windows 11 Pro x64 with 32GB RAM + TAA, 512GB PCIe SSD (user swappable), Sunlight Readable (WUXGA LCD+ Touchscreen) + Digitizer + HF RFID + Rear Camera, US KBD + US Power Cord, Membrane Backlit KBD, WIFI + BT, Standard Batteries (2-pack) + Soft Handle + Large Bumper, 3rd USB Type-A + Micro SD, 3 Year B2B Warranty</t>
  </si>
  <si>
    <t>VV3B3YMABDAB</t>
  </si>
  <si>
    <t>V120 - Intel Core Ultra 5 225H Processor, 12.2" with Webcam, Microsoft Windows 11 Pro x64 with 16GB RAM + TAA, 256GB PCIe SSD (user swappable), Sunlight Readable (WUXGA LCD+ Touchscreen) + Digitizer + HF RFID + Rear Camera, US KBD + US Power Cord, Membrane Backlit KBD, WIFI + BT + 5G Sub-6 + Dedicated GPS + Passthrough(**), Standard Batteries (2-pack) + Hard Handle + Large Bumper, Smart Card Reader + 3rd USB Type-A + Micro SD, 3 Year B2B Warranty</t>
  </si>
  <si>
    <t>VV112PMABGCH</t>
  </si>
  <si>
    <t>V120 - Intel Core Ultra 5 225H Processor, 12.2" with Windows Hello Webcam, Microsoft Windows 11 Pro x64 with 32GB RAM + TAA, 256GB PCIe SSD (user swappable), Sunlight Readable (WUXGA LCD+ Touchscreen) + Digitizer + HF RFID + Rear Camera, US KBD + US Power Cord, Membrane Backlit KBD, WIFI + BT + 4G LTE + Dedicated GPS + Passthrough(**), Standard Batteries (2-pack) + Hard Handle + Large Bumper, 3 Year B2B Warranty</t>
  </si>
  <si>
    <t>VV1P3PMAB4CX</t>
  </si>
  <si>
    <t>V120 - Intel Core Ultra 5 225H Processor, 12.2" with Windows Hello Webcam, Microsoft Windows 11 Pro x64 with 16GB RAM + TAA, 512GB PCIe SSD (user swappable), Sunlight Readable (WUXGA LCD+ Touchscreen) + Digitizer + HF RFID + Rear Camera, US KBD + US Power Cord, Membrane Backlit KBD, WIFI + BT + 4G LTE + Dedicated GPS + Passthrough(**), Standard Batteries (2-pack) + Hard Handle + Large Bumper, 3rd USB Type-A + Micro SD, 3 Year B2B Warranty</t>
  </si>
  <si>
    <t>VV1P2YMAB4CB</t>
  </si>
  <si>
    <t>V120 - Intel Core Ultra 7 255H Processor, 12.2" with Windows Hello Webcam, Microsoft Windows 11 Pro x64 with 16GB RAM + TAA, 256GB PCIe SSD (user swappable), Sunlight Readable (WUXGA LCD+ Touchscreen) + Digitizer + HF RFID, US KBD + US Power Cord, Membrane Backlit KBD, WIFI + BT + 5G Sub-6 + Dedicated GPS + Passthrough(**), Standard Batteries (2-pack) + Soft Handle + Large Bumper, 3rd USB Type-A + Micro SD, 3 Year B2B Warranty</t>
  </si>
  <si>
    <t>VV3P2PKABGAB</t>
  </si>
  <si>
    <t>V120 - Intel Core Ultra 5 225H Processor, 12.2" with Windows Hello Webcam, Microsoft Windows 11 Pro x64 with 16GB RAM + TAA, 256GB PCIe SSD (user swappable), Sunlight Readable (WUXGA LCD+ Touchscreen) + Digitizer + HF RFID + Rear Camera, US KBD + US Power Cord, Membrane Backlit KBD, WIFI + BT + 5G Sub-6 + Dedicated GPS + Passthrough(**), Standard Batteries (2-pack) + Hard Handle + Large Bumper, 3rd USB Type-A + Micro SD, 3 Year B2B Warranty</t>
  </si>
  <si>
    <t>VV1P2PMABGCB</t>
  </si>
  <si>
    <t>V120 - Intel Core Ultra 7 255H Processor, 12.2" with Webcam, Microsoft Windows 11 Pro x64 with 16GB RAM + TAA, 512GB PCIe SSD (user swappable), Sunlight Readable (WUXGA LCD+ Touchscreen) + Digitizer + HF RFID + Rear Camera, US KBD + US Power Cord, Membrane Backlit KBD, WIFI + BT + Dedicated GPS + Passthrough(**), Standard Batteries (2-pack) + Hard Handle + Large Bumper, 3rd USB Type-A + Micro SD, 3 Year B2B Warranty</t>
  </si>
  <si>
    <t>VV312YMABICB</t>
  </si>
  <si>
    <t>V120 - Intel Core Ultra 7 255H Processor, 12.2" with Windows Hello Webcam, Microsoft Windows 11 Pro x64 with 16GB RAM + TAA, 256GB PCIe SSD (user swappable), Sunlight Readable (WUXGA LCD+ Touchscreen) + Digitizer + HF RFID + Rear Camera, US KBD + US Power Cord, Membrane Backlit KBD, WIFI + BT + 4G LTE + Dedicated GPS + Passthrough(**), Standard Batteries (2-pack) + Hard Handle + Large Bumper, 3rd USB Type-A + Micro SD, 3 Year B2B Warranty</t>
  </si>
  <si>
    <t>VV3P2PMAB4CB</t>
  </si>
  <si>
    <t>V120 - Intel Core Ultra 7 265H Processor,vPro Enterprise, 12.2" without Webcam, Microsoft Windows 11 Pro x64 with 16GB RAM + TAA, 512GB PCIe SSD (user swappable), Sunlight Readable (WUXGA LCD+ Touchscreen) + Digitizer + HF RFID + Rear Camera, US KBD + US Power Cord, Membrane Backlit KBD, WIFI + BT, Standard Batteries (2-pack) + Soft Handle + Large Bumper, 3rd USB Type-A + Micro SD, 3 Year B2B Warranty</t>
  </si>
  <si>
    <t>VV4B2YMABDAB</t>
  </si>
  <si>
    <t>V120 - Intel Core Ultra 5 225H Processor, 12.2" with Webcam, Microsoft Windows 11 Pro x64 with 16GB RAM + TAA, 512GB PCIe SSD (user swappable), Sunlight Readable (WUXGA LCD+ Touchscreen) + Digitizer + HF RFID + Rear Camera, US KBD + US Power Cord, Membrane Backlit KBD, WIFI + BT, Standard Batteries (2-pack) + Soft Handle + Large Bumper, Laser Barcode Reader, 3 Year B2B Warranty</t>
  </si>
  <si>
    <t>VV112YMABDAD</t>
  </si>
  <si>
    <t>V120 - Intel Core Ultra 5 225H Processor, 12.2" with Windows Hello Webcam, Microsoft Windows 11 Pro x64 with 16GB RAM + TAA, 256GB PCIe SSD (user swappable), Sunlight Readable (WUXGA LCD+ Touchscreen) + Digitizer + HF RFID + Rear Camera, US KBD + US Power Cord, Membrane Backlit KBD, WIFI + BT + 4G LTE + Dedicated GPS + Passthrough(**), Standard Batteries (2-pack) + Hard Handle + Large Bumper, 3rd USB Type-A + Micro SD, 3 Year B2B Warranty</t>
  </si>
  <si>
    <t>VV1P2PMAB4CB</t>
  </si>
  <si>
    <t>V120 - Intel Core Ultra 7 255H Processor, 12.2" with Windows Hello Webcam, Microsoft Windows 11 Pro x64 with 16GB RAM + TAA, 256GB PCIe SSD (user swappable), Sunlight Readable (WUXGA LCD+ Touchscreen) + Digitizer + HF RFID + Rear Camera, US KBD + US Power Cord, Membrane Backlit KBD, WIFI + BT + Dedicated GPS + Passthrough(**), Standard Batteries (2-pack) + Soft Handle + Large Bumper, 3rd USB Type-A + Micro SD, 3 Year B2B Warranty</t>
  </si>
  <si>
    <t>VV3P2PMABIAB</t>
  </si>
  <si>
    <t>V120 - Intel Core Ultra 5 225H Processor, 12.2" with Webcam, Microsoft Windows 11 Pro x64 with 16GB RAM + TAA, 256GB PCIe SSD (user swappable), Sunlight Readable (WUXGA LCD+ Touchscreen) + Rear Camera, US KBD + US Power Cord, Membrane Backlit KBD, WIFI + BT + 4G LTE + Dedicated GPS + Passthrough(**), Standard Batteries (2-pack) + Hard Handle + Large Bumper, Laser Barcode Reader, 3 Year B2B Warranty</t>
  </si>
  <si>
    <t>VV112PCAB4CD</t>
  </si>
  <si>
    <t>V120 - Intel Core Ultra 5 225H Processor, 12.2" with Webcam, Microsoft Windows 11 Pro x64 with 16GB RAM + TAA, 256GB PCIe SSD (user swappable), Sunlight Readable (WUXGA LCD+ Touchscreen) + Digitizer + HF RFID + Rear Camera, US KBD + US Power Cord, Membrane Backlit KBD, WIFI + BT + 4G LTE + Dedicated GPS + Passthrough(**), Standard Batteries (2-pack) + Hard Handle + Large Bumper, 3rd USB Type-A + Micro SD, 3 Year B2B Warranty</t>
  </si>
  <si>
    <t>VV112PMAB4CB</t>
  </si>
  <si>
    <t>V120 - Intel Core Ultra 5 225H Processor, 12.2" with Windows Hello Webcam, Microsoft Windows 11 Pro x64 with 16GB RAM + TAA, 256GB PCIe SSD (user swappable), Sunlight Readable (WUXGA LCD+ Touchscreen) + Digitizer + HF RFID + Rear Camera, US KBD + US Power Cord, Membrane Backlit KBD, WIFI + BT, Standard Batteries (2-pack) + Hard Handle + Large Bumper, Laser Barcode Reader, 3 Year B2B Warranty</t>
  </si>
  <si>
    <t>VV1P2PMABDCD</t>
  </si>
  <si>
    <t>V120 - Intel Core Ultra 5 225H Processor, 12.2" with Windows Hello Webcam, Microsoft Windows 11 Pro x64 with 16GB RAM + TAA, 256GB PCIe SSD (user swappable), Sunlight Readable (WUXGA LCD+ Touchscreen) + Digitizer + HF RFID + Rear Camera, US KBD + US Power Cord, Membrane Backlit KBD, WIFI + BT + 4G LTE + Dedicated GPS + Passthrough(**), Standard Batteries (2-pack) + Hard Handle + Large Bumper, 3 Year B2B Warranty</t>
  </si>
  <si>
    <t>VV1P2PMAB4CX</t>
  </si>
  <si>
    <t>V120 - Intel Core Ultra 5 235H Processor, vPro Enterprise, 12.2" with Webcam, Microsoft Windows 11 Pro x64 with 8GB RAM + TAA, 256GB PCIe SSD (user swappable), Sunlight Readable (WUXGA LCD+ Touchscreen) + Digitizer + HF RFID, US KBD + US Power Cord, Membrane Backlit KBD, WIFI + BT + 5G Sub-6 + Dedicated GPS + Passthrough(**), Standard Batteries (2-pack) + Soft Handle + Large Bumper, Smart Card Reader, 3 Year B2B Warranty</t>
  </si>
  <si>
    <t>VV211PKABGAF</t>
  </si>
  <si>
    <t>V120 - Intel Core Ultra 5 225H Processor, 12.2" with Webcam, Microsoft Windows 11 Pro x64 with 32GB RAM + TAA, 256GB PCIe SSD (user swappable), Sunlight Readable (WUXGA LCD+ Touchscreen) + Digitizer + HF RFID + Rear Camera, US KBD + US Power Cord, Membrane Backlit KBD, WIFI + BT, Standard Batteries (2-pack) + Soft Handle + Large Bumper, 3rd USB Type-A + Micro SD, 3 Year B2B Warranty</t>
  </si>
  <si>
    <t>VV113PMABDAB</t>
  </si>
  <si>
    <t>V120 - Intel Core Ultra 7 265H Processor,vPro Enterprise, 12.2" without Webcam, Microsoft Windows 11 Pro x64 with 8GB RAM + TAA, 256GB PCIe SSD (user swappable), Sunlight Readable (WUXGA LCD+ Touchscreen) + Digitizer + HF RFID + Rear Camera, US KBD + US Power Cord, Membrane Backlit KBD, WIFI + BT + Dedicated GPS + Passthrough(**), Standard Batteries (2-pack) + Soft Handle + Large Bumper, 3rd USB Type-A + Micro SD, 3 Year B2B Warranty</t>
  </si>
  <si>
    <t>VV4B1PMABIAB</t>
  </si>
  <si>
    <t>V120 - Intel Core Ultra 5 225H Processor, 12.2" with Webcam, Microsoft Windows 11 Pro x64 with 16GB RAM + TAA, 256GB PCIe SSD (user swappable), Sunlight Readable (WUXGA LCD+ Touchscreen) + Digitizer + HF RFID + Rear Camera, US KBD + US Power Cord, Membrane Backlit KBD, WIFI + BT + 4G LTE w/ integrated GPS, Standard Batteries (2-pack) + Soft Handle + Large Bumper, 3rd USB Type-A + Micro SD, 3 Year B2B Warranty</t>
  </si>
  <si>
    <t>VV112PMAB1AB</t>
  </si>
  <si>
    <t>V120 - Intel Core Ultra 5 225H Processor, 12.2" with Windows Hello Webcam, Microsoft Windows 11 Pro x64 with 16GB RAM + TAA, 512GB PCIe SSD (user swappable), Sunlight Readable (WUXGA LCD+ Touchscreen) + Digitizer + HF RFID + Rear Camera, US KBD + US Power Cord, Membrane Backlit KBD, WIFI + BT, Standard Batteries (2-pack) + Hard Handle + Large Bumper, 3rd USB Type-A + Micro SD, 3 Year B2B Warranty</t>
  </si>
  <si>
    <t>VV1P2YMABDCB</t>
  </si>
  <si>
    <t>V120 - Intel Core Ultra 7 255H Processor, 12.2" with Windows Hello Webcam, Microsoft Windows 11 Pro x64 with 16GB RAM + TAA, 256GB PCIe SSD (user swappable), Sunlight Readable (WUXGA LCD+ Touchscreen) + Digitizer + HF RFID + Rear Camera, US KBD + US Power Cord, Membrane Backlit KBD, WIFI + BT, Standard Batteries (2-pack) + Hard Handle + Large Bumper, 3rd USB Type-A + Micro SD, 3 Year B2B Warranty</t>
  </si>
  <si>
    <t>VV3P2PMABDCB</t>
  </si>
  <si>
    <t>V120 - Intel Core Ultra 5 225H Processor, 12.2" without Webcam, Microsoft Windows 11 Pro x64 with 16GB RAM + TAA, 512GB PCIe SSD (user swappable), Sunlight Readable (WUXGA LCD+ Touchscreen) + Digitizer + HF RFID + Rear Camera, US KBD + US Power Cord, Membrane Backlit KBD, WIFI + BT, Standard Batteries (2-pack) + Soft Handle + Large Bumper, 3rd USB Type-A + Micro SD, 3 Year B2B Warranty</t>
  </si>
  <si>
    <t>VV1B2YMABDAB</t>
  </si>
  <si>
    <t>V120 - Intel Core Ultra 7 255H Processor, 12.2" with Webcam, Microsoft Windows 11 Pro x64 with 16GB RAM + TAA, 256GB PCIe SSD (user swappable), Sunlight Readable (WUXGA LCD+ Touchscreen) + Digitizer + HF RFID + Rear Camera, US KBD + US Power Cord, Membrane Backlit KBD, WIFI + BT, Standard Batteries (2-pack) + Soft Handle + Large Bumper, 3rd USB Type-A + Micro SD, 3 Year B2B Warranty</t>
  </si>
  <si>
    <t>VV312PMABDAB</t>
  </si>
  <si>
    <t>V120 - Intel Core Ultra 7 255H Processor, 12.2" with Windows Hello Webcam, Microsoft Windows 11 Pro x64 with 16GB RAM + TAA, 256GB PCIe SSD (user swappable), Sunlight Readable (WUXGA LCD+ Touchscreen) + Digitizer + HF RFID + Rear Camera, US KBD + US Power Cord, Membrane Backlit KBD, WIFI + BT, Standard Batteries (2-pack) + Hard Handle + Large Bumper, 3 Year B2B Warranty</t>
  </si>
  <si>
    <t>VV3P2PMABDCX</t>
  </si>
  <si>
    <t>V120 - Intel Core Ultra 5 235H Processor, vPro Enterprise, 12.2" with Webcam, Microsoft Windows 11 Pro x64 with 16GB RAM + TAA, 256GB PCIe SSD (user swappable), Sunlight Readable (WUXGA LCD+ Touchscreen) + Digitizer + HF RFID + Rear Camera, US KBD + US Power Cord, Membrane Backlit KBD, WIFI + BT, Standard Batteries (2-pack) + Hard Handle + Large Bumper, 3rd USB Type-A + Micro SD, 3 Year B2B Warranty</t>
  </si>
  <si>
    <t>VV212PMABDCB</t>
  </si>
  <si>
    <t>V120 - Intel Core Ultra 7 265H Processor,vPro Enterprise, 12.2" with Webcam, Microsoft Windows 11 Pro x64 with 8GB RAM + TAA, 256GB PCIe SSD (user swappable), Sunlight Readable (WUXGA LCD+ Touchscreen) + Digitizer + HF RFID + Rear Camera, US KBD + US Power Cord, Membrane Backlit KBD, WIFI + BT, Standard Batteries (2-pack) + Soft Handle + Large Bumper, 3rd USB Type-A + Micro SD, 3 Year B2B Warranty</t>
  </si>
  <si>
    <t>VV411PMABDAB</t>
  </si>
  <si>
    <t>V120 - Intel Core Ultra 5 225H Processor, 12.2" with Webcam, Microsoft Windows 11 Pro x64 with 8GB RAM + TAA, 256GB PCIe SSD (user swappable), Sunlight Readable (WUXGA LCD+ Touchscreen) + Digitizer + HF RFID + Rear Camera, US KBD + US Power Cord, Membrane Backlit KBD with Fingerprint (MOQ: 10), WIFI + BT, Standard Batteries (2-pack) + Soft Handle + Large Bumper + ANSI(**), 3rd USB Type-A + Micro SD, 3 Year B2B Warranty</t>
  </si>
  <si>
    <t>VV111PMAEDEB</t>
  </si>
  <si>
    <t>V120 - Intel Core Ultra 5 225H Processor, 12.2" with Windows Hello Webcam, Microsoft Windows 11 Pro x64 with 16GB RAM + TAA, 256GB PCIe SSD (user swappable), Sunlight Readable (WUXGA LCD+ Touchscreen) + Digitizer + HF RFID + Rear Camera, US KBD + US Power Cord, Membrane Backlit KBD, WIFI + BT, Standard Batteries (2-pack) + Hard Handle + Large Bumper, 3rd USB Type-A + Micro SD, 3 Year B2B Warranty</t>
  </si>
  <si>
    <t>VV1P2PMABDCB</t>
  </si>
  <si>
    <t>V120 - Intel Core Ultra 5 225H Processor, 12.2" with Windows Hello Webcam, Microsoft Windows 11 Pro x64 with 16GB RAM + TAA, 256GB PCIe SSD (user swappable), Sunlight Readable (WUXGA LCD+ Touchscreen) + Digitizer + HF RFID + Rear Camera, US KBD + US Power Cord, Membrane Backlit KBD, WIFI + BT, Standard Batteries (2-pack) + Soft Handle + Large Bumper, 3rd USB Type-A + Micro SD, 3 Year B2B Warranty</t>
  </si>
  <si>
    <t>VV1P2PMABDAB</t>
  </si>
  <si>
    <t>V120 - Intel Core Ultra 5 225H Processor, 12.2" with Webcam, Microsoft Windows 11 Pro x64 with 16GB RAM + TAA, 256GB PCIe SSD (user swappable), Sunlight Readable (WUXGA LCD+ Touchscreen) + Digitizer + HF RFID + Rear Camera, US KBD + US Power Cord, Membrane Backlit KBD, WIFI + BT, Standard Batteries (2-pack) + Hard Handle + Large Bumper, 3rd USB Type-A + Micro SD, 3 Year B2B Warranty</t>
  </si>
  <si>
    <t>VV112PMABDCB</t>
  </si>
  <si>
    <t>V120 - Intel Core Ultra 5 235H Processor, vPro Enterprise, 12.2" without Webcam, Microsoft Windows 11 Pro x64 with 8GB RAM + TAA, 256GB PCIe SSD (user swappable), Sunlight Readable (WUXGA LCD+ Touchscreen) + Digitizer + HF RFID + Rear Camera, US KBD + US Power Cord, Membrane Backlit KBD, WIFI + BT, Standard Batteries (2-pack) + Hard Handle + Large Bumper, 3rd USB Type-A + Micro SD, 3 Year B2B Warranty</t>
  </si>
  <si>
    <t>VV2B1PMABDCB</t>
  </si>
  <si>
    <t>V120 - Intel Core Ultra 5 225H Processor, 12.2" with Windows Hello Webcam, Microsoft Windows 11 Pro x64 with 8GB RAM + TAA, 256GB PCIe SSD (user swappable), Sunlight Readable (WUXGA LCD+ Touchscreen) + Digitizer + HF RFID + Rear Camera, US KBD + US Power Cord, Membrane Backlit KBD, WIFI + BT, Standard Batteries (2-pack) + Hard Handle + Large Bumper, 3rd USB Type-A + Micro SD, 3 Year B2B Warranty</t>
  </si>
  <si>
    <t>VV1P1PMABDCB</t>
  </si>
  <si>
    <t>V120 - Intel Core Ultra 5 225H Processor, 12.2" without Webcam, Microsoft Windows 11 Pro x64 with 8GB RAM + TAA, 256GB PCIe SSD (user swappable), Sunlight Readable (WUXGA LCD+ Touchscreen) + Digitizer + HF RFID + Rear Camera, US KBD + US Power Cord, Membrane Backlit KBD, WIFI + BT, Standard Batteries (2-pack) + Soft Handle + Large Bumper, 3rd USB Type-A + Micro SD, 3 Year B2B Warranty</t>
  </si>
  <si>
    <t>VV1B1PMABDAB</t>
  </si>
  <si>
    <t>V120 - Intel Core Ultra 5 225H Processor, 12.2" with Webcam, Microsoft Windows 11 Pro x64 with 8GB RAM + TAA, 256GB PCIe SSD (user swappable), Sunlight Readable (WUXGA LCD+ Touchscreen) + Digitizer + HF RFID + Rear Camera, US KBD + US Power Cord, Membrane Backlit KBD, WIFI + BT, Standard Batteries (2-pack) + Soft Handle + Large Bumper, 3rd USB Type-A + Micro SD, 3 Year B2B Warranty</t>
  </si>
  <si>
    <t>VV111PMABDAB</t>
  </si>
  <si>
    <t>V120 - Intel Core Ultra 5 225H Processor, 12.2" without Webcam, Microsoft Windows 11 Pro x64 with 8GB RAM + TAA, 256GB PCIe SSD (user swappable), Sunlight Readable (WUXGA LCD+ Touchscreen) + HF RFID, US KBD + US Power Cord, Membrane Backlit KBD, WIFI + BT, Standard Batteries (2-pack) + Hard Handle + Large Bumper, 3rd USB Type-A + RS232, 3 Year B2B Warranty</t>
  </si>
  <si>
    <t>VV1B1PBABDCA</t>
  </si>
  <si>
    <t>V110G7 TAA - Intel Core i5-1245U Processor, vPro Enterprise, 11.6" + Webcam, Microsoft Windows 11 Pro x64 with 16GB RAM + TAA, 512GB PCIe SSD (user swappable), Sunlight Readable (Full HD LCD+ Touchscreen+ Digitizer), US KBD + US Power cord, Membrane Backlit KBD, WIFI + BT + 5G Sub-6 + Dedicated GPS + Passthrough, USB Type-A x 2 + USB Type-C x 1 + Barcode Reader + HF RFID, Dual batteries, Touchpad W/ click button, 3 Year B2B Warranty</t>
  </si>
  <si>
    <t>VSD12YTABGXF</t>
  </si>
  <si>
    <t>V110G7</t>
  </si>
  <si>
    <t>V110G7 TAA - Intel Core i7-1255U  Processor, 11.6" + Windows Hello Webcam, Microsoft Windows 11 Pro x64 with 32GB RAM + TAA, 512GB PCIe SSD (user swappable), Sunlight Readable (Full HD LCD + Touchscreen + Hard Tip stylus), US KBD + US Power cord, Membrane Backlit KBD, WIFI + BT + 4G LTE + Dedicated GPS + Passthrough, Hard Handle, USB Type-A x 2 + USB Type-C x 1 + Barcode Reader + Rear Camera, Dual batteries, Touchpad W/ click button, 3 Year B2B Warranty</t>
  </si>
  <si>
    <t>VSEP3YJAB4BG</t>
  </si>
  <si>
    <t>V110G7 TAA - Intel Core i7-1255U  Processor, 11.6" + Windows Hello Webcam, Microsoft Windows 11 Pro x64 with 16GB RAM + TAA, 512GB PCIe SSD (user swappable), Sunlight Readable (Full HD LCD + Touchscreen + Hard Tip stylus), US KBD + US Power cord, Membrane Backlit KBD, WIFI + BT + 5G Sub-6 + Dedicated GPS + Passthrough, Hard Handle, USB Type-A x 2 + USB Type-C x 1 + Barcode Reader, Dual batteries, Touchpad W/ click button, 3 Year B2B Warranty</t>
  </si>
  <si>
    <t>VSEP2YJABGBE</t>
  </si>
  <si>
    <t>V110G7 TAA - Intel Core i7-1255U  Processor, 11.6" + Webcam, Microsoft Windows 11 Pro x64 with 64GB RAM + TAA, 256GB PCIe SSD (user swappable), Sunlight Readable (Full HD LCD + Touchscreen + Hard Tip stylus), US KBD + US Power cord, Membrane Backlit KBD, WIFI + BT + 4G LTE + Dedicated GPS + Passthrough, Hard Handle, USB Type-A x 2 + USB Type-C x 1 + Smart card reader, Dual batteries, Touchpad W/ click button, 3 Year B2B Warranty</t>
  </si>
  <si>
    <t>VSE14PJAB4BA</t>
  </si>
  <si>
    <t>V110G7 TAA - Intel Core i7-1255U  Processor, 11.6" + Webcam, Microsoft Windows 11 Pro x64 with 32GB RAM + TAA, 512GB PCIe SSD (user swappable), Sunlight Readable (Full HD LCD+ Touchscreen+ Digitizer), US KBD + US Power cord, Membrane Backlit KBD, WIFI + BT + 4G LTE + Dedicated GPS, USB Type-A x 2 + USB Type-C x 1 + Smart Card Reader + Rear Camera + SD card reader, Dual batteries, Touchpad W/ click button, 3 Year B2B Warranty</t>
  </si>
  <si>
    <t>VSE13YTAB3XR</t>
  </si>
  <si>
    <t>V110G7 TAA - Intel Core i5-1245U Processor, vPro Enterprise, 11.6" + Webcam, Microsoft Windows 11 Pro x64 with 16GB RAM + TAA, 512GB PCIe SSD (user swappable), Sunlight Readable (Full HD LCD+ Touchscreen+ Digitizer), US KBD + US Power cord, Membrane Backlit KBD, WIFI + BT + 5G Sub-6 + Dedicated GPS + Passthrough, USB Type-A x 2 + USB Type-C x 1 + Smart Card Reader + Rear Camera, Dual batteries, Touchpad W/ click button, 3 Year B2B Warranty</t>
  </si>
  <si>
    <t>VSD12YTABGXC</t>
  </si>
  <si>
    <t>V110G7 TAA - Intel Core i5-1245U Processor, vPro Enterprise, 11.6" + Webcam, Microsoft Windows 11 Pro x64 with 8GB RAM + TAA, 256GB PCIe SSD (user swappable), Sunlight Readable (Full HD LCD+ Touchscreen+ Digitizer), US KBD + US Power cord, Membrane Backlit KBD, WIFI + BT + 5G Sub-6 + Dedicated GPS + Passthrough, USB Type-A x 2 + USB Type-C x 1 + Barcode Reader + HF RFID, Dual batteries, Touchpad W/ click button, 3 Year B2B Warranty</t>
  </si>
  <si>
    <t>VSD11PTABGXF</t>
  </si>
  <si>
    <t>V110G7 TAA - Intel Core i7-1255U  Processor, 11.6" + Windows Hello Webcam, Microsoft Windows 11 Pro x64 with 16GB RAM + TAA, 256GB PCIe SSD (user swappable), Sunlight Readable (Full HD LCD+ Touchscreen+ Digitizer), US KBD + US Power cord, Membrane Backlit KBD, WIFI + BT + 5G Sub-6 + Dedicated GPS + Passthrough, USB Type-A x 2 + USB Type-C x 1 + Smart Card Reader + Rear Camera, Dual batteries, Touchpad W/ click button, 3 Year B2B Warranty</t>
  </si>
  <si>
    <t>VSEP2PTABGXC</t>
  </si>
  <si>
    <t>V110G7 TAA - Intel Core i5-1235U Processor, 11.6" + Windows Hello Webcam, Microsoft Windows 11 Pro x64 with 32GB RAM + TAA, 512GB PCIe SSD (user swappable), Sunlight Readable (Full HD LCD + Touchscreen + Hard Tip stylus), US KBD + US Power cord, Membrane Backlit KBD, WIFI + BT + 4G LTE + Dedicated GPS + Passthrough, USB Type-A x 2 + USB Type-C x 1 + Smart Card Reader + HF RFID + Rear Camera + SD card reader, Dual batteries, Touchpad W/ click button, 3 Year B2B Warranty</t>
  </si>
  <si>
    <t>VSCP3YJAB4XS</t>
  </si>
  <si>
    <t>V110G7 TAA - Intel Core i7-1265U Processor, vPro Enterprise, 11.6" + Windows Hello Webcam, Microsoft Windows 11 Pro x64 with 16GB RAM + TAA, 256GB PCIe SSD (user swappable), Sunlight Readable (Full HD LCD + Touchscreen + Hard Tip stylus), US KBD + US Power cord, Membrane Backlit KBD, WIFI + BT + 5G Sub-6 + Dedicated GPS + Passthrough, USB Type-A x 2 + USB Type-C x 1 + Smart card reader + HF RFID, Dual batteries, Touchpad W/ click button, 3 Year B2B Warranty</t>
  </si>
  <si>
    <t>VSFP2PJABGXB</t>
  </si>
  <si>
    <t>V110G7 TAA - Intel Core i7-1255U  Processor, 11.6" + Windows Hello Webcam, Microsoft Windows 11 Pro x64 with 16GB RAM + TAA, 512GB PCIe SSD (user swappable), Sunlight Readable (Full HD LCD + Touchscreen + Hard Tip stylus), US KBD + US Power cord, Membrane Backlit KBD, WIFI + BT + 5G Sub-6 + Dedicated GPS + Passthrough, Hard Handle, USB Type-A x 2 + USB Type-C x 1 + Smart card reader, Dual batteries, Touchpad W/ click button, 3 Year B2B Warranty</t>
  </si>
  <si>
    <t>VSEP2YJABGBA</t>
  </si>
  <si>
    <t>V110G7 TAA - Intel Core i5-1235U Processor, 11.6" + Windows Hello Webcam, Microsoft Windows 11 Pro x64 with 32GB RAM + TAA, 256GB PCIe SSD (user swappable), Sunlight Readable (Full HD LCD + Touchscreen + Hard Tip stylus), US KBD + US Power cord, Membrane Backlit KBD, WIFI + BT + 5G Sub-6 + Dedicated GPS + Passthrough, Hard Handle, USB Type-A x 2 + USB Type-C x 1 + Smart card reader, Dual batteries, Touchpad W/ click button, 3 Year B2B Warranty</t>
  </si>
  <si>
    <t>VSCP3PJABGBA</t>
  </si>
  <si>
    <t>V110G7 TAA - Intel Core i5-1235U Processor, 11.6" + Windows Hello Webcam, Microsoft Windows 11 Pro x64 with 16GB RAM + TAA, 256GB PCIe SSD (user swappable), Sunlight Readable (Full HD LCD+ Touchscreen+ Digitizer), US KBD + US Power cord, Membrane Backlit KBD, WIFI + BT + 4G LTE + Dedicated GPS + Passthrough, Hard Handle, USB Type-A x 2 + USB Type-C x 1 + Barcode Reader + Rear Camera, Dual batteries, Touchpad W/ click button, 3 Year B2B Warranty</t>
  </si>
  <si>
    <t>VSCP2PTAB4BG</t>
  </si>
  <si>
    <t>V110G7 TAA - Intel Core i7-1255U  Processor, 11.6" + Webcam, Microsoft Windows 11 Pro x64 with 16GB RAM + TAA, 256GB PCIe SSD (user swappable), Sunlight Readable (Full HD LCD + Touchscreen + Hard Tip stylus), US KBD + US Power cord, Membrane Backlit KBD, WIFI + BT + 5G Sub-6 + Dedicated GPS + Passthrough, Hard Handle, USB Type-A x 2 + USB Type-C x 1 + Smart Card Reader + Rear Camera, Dual batteries, Touchpad W/ click button, 3 Year B2B Warranty</t>
  </si>
  <si>
    <t>VSE12PJABGBC</t>
  </si>
  <si>
    <t>V110G7 TAA - Intel Core i7-1255U  Processor, 11.6" + Windows Hello Webcam, Microsoft Windows 11 Pro x64 with 32GB RAM + TAA, 256GB PCIe SSD (user swappable), Sunlight Readable (Full HD LCD+ Touchscreen+ Digitizer), US KBD + US Power cord, Membrane Backlit KBD, WIFI + BT + 4G LTE + Dedicated GPS + Passthrough, USB Type-A x 2 + USB Type-C x 1 + Smart card reader, Dual batteries, Touchpad W/ click button, 3 Year B2B Warranty</t>
  </si>
  <si>
    <t>VSEP3PTAB4XA</t>
  </si>
  <si>
    <t>V110G7 TAA - Intel Core i5-1235U Processor, 11.6" + Windows Hello Webcam, Microsoft Windows 11 Pro x64 with 16GB RAM + TAA, 512GB PCIe SSD (user swappable), Sunlight Readable (Full HD LCD + Touchscreen + Hard Tip stylus), US KBD(Special layout for GUSA only:relocation of ctrl, FN, Home, and backspace key)+US Power Cord, Membrane Backlit KBD, WIFI + BT + 5G Sub-6 + Dedicated GPS + Passthrough, Hard Handle, USB Type-A x 2 + USB Type-C x 1 + Smart card reader, Dual batteries, Touchpad W/ click button, 3 Year B2B Warranty</t>
  </si>
  <si>
    <t>VSCP2YJJBGBA</t>
  </si>
  <si>
    <t>V110G7 TAA - Intel Core i5-1235U Processor, 11.6" + Windows Hello Webcam, Microsoft Windows 11 Pro x64 with 16GB RAM + TAA, 512GB PCIe SSD (user swappable), Sunlight Readable (Full HD LCD + Touchscreen + Hard Tip stylus), US KBD + US Power cord, Membrane Backlit KBD, WIFI + BT + 5G Sub-6 + Dedicated GPS + Passthrough, Hard Handle, USB Type-A x 2 + USB Type-C x 1 + Smart card reader, Dual batteries, Touchpad W/ click button, 3 Year B2B Warranty</t>
  </si>
  <si>
    <t>VSCP2YJABGBA</t>
  </si>
  <si>
    <t>V110G7 TAA - Intel Core i5-1235U Processor, 11.6" + Windows Hello Webcam, Microsoft Windows 11 Pro x64 with 16GB RAM + TAA, 512GB PCIe SSD (user swappable), Sunlight Readable (Full HD LCD + Touchscreen + Hard Tip stylus), US KBD + US Power cord, Membrane Backlit KBD, WIFI + BT + 5G Sub-6 + Dedicated GPS + Passthrough, USB Type-A x 2 + USB Type-C x 1 + Smart card reader, Dual batteries, Touchpad W/ click button, 3 Year B2B Warranty</t>
  </si>
  <si>
    <t>VSCP2YJABGXA</t>
  </si>
  <si>
    <t>V110G7 TAA - Intel Core i7-1255U  Processor, 11.6" + Windows Hello Webcam, Microsoft Windows 11 Pro x64 with 16GB RAM + TAA, 256GB PCIe SSD (user swappable), Sunlight Readable (Full HD LCD + Touchscreen + Hard Tip stylus), US KBD + US Power cord, Membrane Backlit KBD, WIFI + BT + 5G Sub-6 + Dedicated GPS + Passthrough, Hard Handle, USB Type-A x 2 + USB Type-C x 1 + Smart card reader, Dual batteries, Touchpad W/ click button, 3 Year B2B Warranty</t>
  </si>
  <si>
    <t>VSEP2PJABGBA</t>
  </si>
  <si>
    <t>V110G7 TAA - Intel Core i5-1245U Processor, vPro Enterprise, 11.6" + Windows Hello Webcam, Microsoft Windows 11 Pro x64 with 16GB RAM + TAA, 256GB PCIe SSD (user swappable), Sunlight Readable (Full HD LCD + Touchscreen + Hard Tip stylus), US KBD + US Power cord, Membrane Backlit KBD, WIFI + BT + 5G Sub-6 + Dedicated GPS + Passthrough, USB Type-A x 2 + USB Type-C x 1 + Smart card reader + HF RFID, Dual batteries, Touchpad W/ click button, 3 Year B2B Warranty</t>
  </si>
  <si>
    <t>VSDP2PJABGXB</t>
  </si>
  <si>
    <t>V110G7 TAA - Intel Core i7-1255U  Processor, 11.6" + Windows Hello Webcam, Microsoft Windows 11 Pro x64 with 16GB RAM + TAA, 256GB PCIe SSD (user swappable), Sunlight Readable (Full HD LCD + Touchscreen + Hard Tip stylus), US KBD + US Power cord, Membrane Backlit KBD with Fingerprint, WIFI + BT + 4G LTE + Dedicated GPS + Passthrough, Hard Handle, USB Type-A x 2 + USB Type-C x 1 + Smart Card Reader + HF RFID + Rear Camera, Dual batteries, Touchpad W/ click button, 3 Year B2B Warranty</t>
  </si>
  <si>
    <t>VSEP2PJAE4BD</t>
  </si>
  <si>
    <t>V110G7 TAA - Intel Core i7-1255U  Processor, 11.6" + Windows Hello Webcam, Microsoft Windows 11 Pro x64 with 16GB RAM + TAA, 256GB PCIe SSD (user swappable), Sunlight Readable (Full HD LCD + Touchscreen + Hard Tip stylus), US KBD + US Power cord, Membrane Backlit KBD, WIFI + BT + 4G LTE + Dedicated GPS + Passthrough, Hard Handle, USB Type-A x 2 + USB Type-C x 1 + Barcode Reader, Dual batteries, Touchpad W/ click button, 3 Year B2B Warranty</t>
  </si>
  <si>
    <t>VSEP2PJAB4BE</t>
  </si>
  <si>
    <t>V110G7 TAA - Intel Core i5-1235U Processor, 11.6" + Windows Hello Webcam, Microsoft Windows 11 Pro x64 with 16GB RAM + TAA, 256GB PCIe SSD (user swappable), Sunlight Readable (Full HD LCD + Touchscreen + Hard Tip stylus), US KBD + US Power cord, Membrane Backlit KBD, WIFI + BT + 4G LTE + Dedicated GPS + Passthrough, Hard Handle, USB Type-A x 2 + USB Type-C x 1 + Barcode Reader + Rear Camera, Dual batteries, Touchpad W/ click button, 3 Year B2B Warranty</t>
  </si>
  <si>
    <t>VSCP2PJAB4BG</t>
  </si>
  <si>
    <t>V110G7 TAA - Intel Core i7-1255U  Processor, 11.6" + Webcam, Microsoft Windows 11 Pro x64 with 16GB RAM + TAA, 512GB PCIe SSD (user swappable), Sunlight Readable (Full HD LCD+ Touchscreen+ Digitizer), US KBD + US Power cord, Membrane Backlit KBD, WIFI + BT + 4G LTE + Dedicated GPS, Hard Handle, USB Type-A x 2 + USB Type-C x 1 + Smart card reader, Dual batteries, Touchpad W/ click button, 3 Year B2B Warranty</t>
  </si>
  <si>
    <t>VSE12YTAB3BA</t>
  </si>
  <si>
    <t>V110G7 TAA - Intel Core i5-1235U Processor, 11.6" + Windows Hello Webcam, Microsoft Windows 11 Pro x64 with 32GB RAM + TAA, 256GB PCIe SSD (user swappable), Sunlight Readable (Full HD LCD+ Touchscreen+ Digitizer), US KBD + US Power cord, Membrane Backlit KBD, WIFI + BT + 4G LTE + Dedicated GPS + Passthrough, Hard Handle, USB Type-A x 2 + USB Type-C x 1 + Smart card reader, Dual batteries, Touchpad W/ click button, 3 Year B2B Warranty</t>
  </si>
  <si>
    <t>VSCP3PTAB4BA</t>
  </si>
  <si>
    <t>V110G7 TAA - Intel Core i5-1235U Processor, 11.6" + Windows Hello Webcam, Microsoft Windows 11 Pro x64 with 16GB RAM + TAA, 256GB PCIe SSD (user swappable), Sunlight Readable (Full HD LCD + Touchscreen + Hard Tip stylus), US KBD + US Power cord, Membrane Backlit KBD, WIFI + BT + 4G LTE + Dedicated GPS + Passthrough, USB Type-A x 2 + USB Type-C x 1 + Barcode Reader + Rear Camera, Dual batteries, Touchpad W/ click button, 3 Year B2B Warranty</t>
  </si>
  <si>
    <t>VSCP2PJAB4XG</t>
  </si>
  <si>
    <t>V110G7 TAA - Intel Core i5-1235U Processor, 11.6" + Windows Hello Webcam, Microsoft Windows 11 Pro x64 with 16GB RAM + TAA, 256GB PCIe SSD (user swappable), Sunlight Readable (Full HD LCD + Touchscreen + Hard Tip stylus), US KBD + US Power cord, Membrane Backlit KBD, WIFI + BT + 4G LTE + Dedicated GPS + Passthrough, Hard Handle, USB Type-A x 2 + USB Type-C x 1 + Barcode Reader + HF RFID, Dual batteries, Touchpad W/ click button, 3 Year B2B Warranty</t>
  </si>
  <si>
    <t>VSCP2PJAB4BF</t>
  </si>
  <si>
    <t>V110G7 TAA - Intel Core i7-1255U  Processor, 11.6" + Windows Hello Webcam, Microsoft Windows 11 Pro x64 with 16GB RAM + TAA, 256GB PCIe SSD (user swappable), Sunlight Readable (Full HD LCD+ Touchscreen+ Digitizer), US KBD + US Power cord, Membrane Backlit KBD, WIFI + BT + 4G LTE + Dedicated GPS + Passthrough, USB Type-A x 2 + USB Type-C x 1 + Smart Card Reader + Rear Camera, Dual batteries, Touchpad W/ click button, 3 Year B2B Warranty</t>
  </si>
  <si>
    <t>VSEP2PTAB4XC</t>
  </si>
  <si>
    <t>V110G7 TAA - Intel Core i5-1235U Processor, 11.6" + Webcam, Microsoft Windows 11 Pro x64 with 16GB RAM + TAA, 256GB PCIe SSD (user swappable), Sunlight Readable (Full HD LCD + Touchscreen + Hard Tip stylus), US KBD + US Power cord, Membrane Backlit KBD, WIFI + BT + 5G Sub-6 + Dedicated GPS + Passthrough, Hard Handle, USB Type-A x 2 + USB Type-C x 1 + Smart card reader + SD card reader, Dual batteries, Touchpad W/ click button, 3 Year B2B Warranty</t>
  </si>
  <si>
    <t>VSC12PJABGBP</t>
  </si>
  <si>
    <t>V110G7 TAA - Intel Core i5-1235U Processor, 11.6" + Windows Hello Webcam, Microsoft Windows 11 Pro x64 with 16GB RAM + TAA, 256GB PCIe SSD (user swappable), Sunlight Readable (Full HD LCD + Touchscreen + Hard Tip stylus), US KBD + US Power cord, Membrane Backlit KBD, WIFI + BT + 4G LTE + Dedicated GPS + Passthrough, Hard Handle, USB Type-A x 2 + USB Type-C x 1 + TraCS-compatible Barcode Reader, Dual batteries, Touchpad W/ click button, 3 Year B2B Warranty</t>
  </si>
  <si>
    <t>VSCP2PJAB4BJ</t>
  </si>
  <si>
    <t>V110G7 TAA - Intel Core i5-1235U Processor, 11.6" + Windows Hello Webcam, Microsoft Windows 11 Pro x64 with 16GB RAM + TAA, 256GB PCIe SSD (user swappable), Sunlight Readable (Full HD LCD + Touchscreen + Hard Tip stylus), US KBD + US Power cord, Membrane Backlit KBD, WIFI + BT + 5G Sub-6 + Dedicated GPS + Passthrough, Hard Handle, USB Type-A x 2 + USB Type-C x 1 + Smart card reader, Dual batteries, Touchpad W/ click button, 3 Year B2B Warranty</t>
  </si>
  <si>
    <t>VSCP2PJABGBA</t>
  </si>
  <si>
    <t>V110G7 TAA - Intel Core i7-1255U  Processor, 11.6" + Windows Hello Webcam, Microsoft Windows 11 Pro x64 with 16GB RAM + TAA, 256GB PCIe SSD (user swappable), Sunlight Readable (Full HD LCD + Touchscreen + Hard Tip stylus), US KBD + US Power cord, Membrane Backlit KBD, WIFI + BT + Dedicated GPS, Hard Handle, USB Type-A x 2 + USB Type-C x 1 + TraCS-compatible Barcode Reader, Dual batteries, Touchpad W/ click button, 3 Year B2B Warranty</t>
  </si>
  <si>
    <t>VSEP2PJABEBJ</t>
  </si>
  <si>
    <t>V110G7 TAA - Intel Core i7-1255U  Processor, 11.6" + Windows Hello Webcam, Microsoft Windows 11 Pro x64 with 16GB RAM + TAA, 512GB PCIe SSD (user swappable), Sunlight Readable (Full HD LCD + Touchscreen + Hard Tip stylus), US KBD + US Power cord, Membrane Backlit KBD, WIFI + BT + 4G LTE + Dedicated GPS + Passthrough, Hard Handle, USB Type-A x 2 + USB Type-C x 1 + Smart card reader, Dual batteries, Touchpad W/ click button, 3 Year B2B Warranty</t>
  </si>
  <si>
    <t>VSEP2YJAB4BA</t>
  </si>
  <si>
    <t>V110G7 TAA - Intel Core i5-1235U Processor, 11.6" + Windows Hello Webcam, Microsoft Windows 11 Pro x64 with 16GB RAM + TAA, 256GB PCIe SSD (user swappable), Sunlight Readable (Full HD LCD + Touchscreen + Hard Tip stylus), US KBD + US Power cord, Membrane Backlit KBD, WIFI + BT + 4G LTE + Dedicated GPS + Passthrough, Hard Handle, USB Type-A x 2 + USB Type-C x 1 + Barcode Reader, Dual batteries, Touchpad W/ click button, 3 Year B2B Warranty</t>
  </si>
  <si>
    <t>VSCP2PJAB4BE</t>
  </si>
  <si>
    <t>V110G7 TAA - Intel Core i5-1235U Processor, 11.6" + Windows Hello Webcam, Microsoft Windows 11 Pro x64 with 16GB RAM + TAA, 256GB PCIe SSD (user swappable), Sunlight Readable (Full HD LCD + Touchscreen + Hard Tip stylus), US KBD + US Power cord, Membrane Backlit KBD, WIFI + BT + 5G Sub-6 + Dedicated GPS + Passthrough, USB Type-A x 2 + USB Type-C x 1 + Smart card reader, Dual batteries, Touchpad W/ click button, 3 Year B2B Warranty</t>
  </si>
  <si>
    <t>VSCP2PJABGXA</t>
  </si>
  <si>
    <t>V110G7 TAA - Intel Core i7-1255U  Processor, 11.6" + Windows Hello Webcam, Microsoft Windows 11 Pro x64 with 16GB RAM + TAA, 512GB PCIe SSD (user swappable), Sunlight Readable (Full HD LCD + Touchscreen + Hard Tip stylus), US KBD + US Power cord, Membrane Backlit KBD, WIFI + BT + 4G LTE + Dedicated GPS + Passthrough, USB Type-A x 2 + USB Type-C x 1 + Smart card reader, Dual batteries, Touchpad W/ click button, 3 Year B2B Warranty</t>
  </si>
  <si>
    <t>VSEP2YJAB4XA</t>
  </si>
  <si>
    <t>V110G7 TAA - Intel Core i5-1235U Processor, 11.6" + Windows Hello Webcam, Microsoft Windows 11 Pro x64 with 16GB RAM + TAA, 256GB PCIe SSD (user swappable), Sunlight Readable (Full HD LCD + Touchscreen + Hard Tip stylus), US KBD + US Power cord, Membrane Backlit KBD, WIFI + BT + 4G LTE + Dedicated GPS + Passthrough, USB Type-A x 2 + USB Type-C x 1 + Barcode Reader, Dual batteries, Touchpad W/ click button, 3 Year B2B Warranty</t>
  </si>
  <si>
    <t>VSCP2PJAB4XE</t>
  </si>
  <si>
    <t>V110G7 TAA - Intel Core i5-1245U Processor, vPro Enterprise, 11.6" + Webcam, Microsoft Windows 11 Pro x64 with 16GB RAM + TAA, 512GB PCIe SSD (user swappable), Sunlight Readable (Full HD LCD + Touchscreen + Hard Tip stylus), US KBD + US Power cord, Membrane Backlit KBD, WIFI + BT + 4G LTE + Dedicated GPS + Passthrough, USB Type-A x 2 + USB Type-C x 1 + Smart card reader + SD card reader, Dual batteries, Touchpad W/ click button, 3 Year B2B Warranty</t>
  </si>
  <si>
    <t>VSD12YJAB4XP</t>
  </si>
  <si>
    <t>V110G7 TAA - Intel Core i5-1235U Processor, 11.6" + Windows Hello Webcam, Microsoft Windows 11 Pro x64 with 16GB RAM + TAA, 256GB PCIe SSD (user swappable), Sunlight Readable (Full HD LCD + Touchscreen + Hard Tip stylus), US KBD + US Power cord, Membrane Backlit KBD, WIFI+ BT + 5G Sub-6 + Pass-through, USB Type-A x 2 + USB Type-C x 1 + Smart card reader, Dual batteries, Touchpad W/ click button, 3 Year B2B Warranty</t>
  </si>
  <si>
    <t>VSCP2PJABHXA</t>
  </si>
  <si>
    <t>V110G7 TAA - Intel Core i5-1235U Processor, 11.6" + Windows Hello Webcam, Microsoft Windows 11 Pro x64 with 16GB RAM + TAA, 256GB PCIe SSD (user swappable), Sunlight Readable (Full HD LCD + Touchscreen + Hard Tip stylus), US KBD + US Power cord, Membrane Backlit KBD, WIFI + BT + 4G LTE + Dedicated GPS + Passthrough, ANSI + Hard Handle, USB Type-A x 2 + USB Type-C x 1 + Smart Card Reader + Rear Camera, Dual batteries, Touchpad W/ click button, 3 Year B2B Warranty</t>
  </si>
  <si>
    <t>VSCP2PJAB4DC</t>
  </si>
  <si>
    <t>V110G7 TAA - Intel Core i5-1235U Processor, 11.6" + Windows Hello Webcam, Microsoft Windows 11 Pro x64 with 16GB RAM + TAA, 256GB PCIe SSD (user swappable), Sunlight Readable (Full HD LCD+ Touchscreen+ Digitizer), US KBD + US Power cord, Membrane Backlit KBD, WIFI + BT + 4G LTE + Dedicated GPS + Passthrough, Hard Handle, USB Type-A x 2 + USB Type-C x 1 + Smart Card Reader + Rear Camera, Dual batteries, Touchpad W/ click button, 3 Year B2B Warranty</t>
  </si>
  <si>
    <t>VSCP2PTAB4BC</t>
  </si>
  <si>
    <t>V110G7 TAA - Intel Core i5-1235U Processor, 11.6" + Windows Hello Webcam, Microsoft Windows 11 Pro x64 with 8GB RAM + TAA, 256GB PCIe SSD (user swappable), Sunlight Readable (Full HD LCD + Touchscreen + Hard Tip stylus), US KBD + US Power cord, Membrane Backlit KBD, WIFI + BT + 4G LTE + Dedicated GPS + Passthrough, Hard Handle, USB Type-A x 2 + USB Type-C x 1 + Barcode Reader + Rear Camera, Dual batteries, Touchpad W/ click button, 3 Year B2B Warranty</t>
  </si>
  <si>
    <t>VSCP1PJAB4BG</t>
  </si>
  <si>
    <t>V110G7 TAA - Intel Core i5-1235U Processor, 11.6" + Windows Hello Webcam, Microsoft Windows 11 Pro x64 with 16GB RAM + TAA, 512GB PCIe SSD (user swappable), Sunlight Readable (Full HD LCD + Touchscreen + Hard Tip stylus), US KBD + US Power cord, Membrane Backlit KBD, WIFI + BT + 4G LTE + Dedicated GPS + Passthrough, Hard Handle, USB Type-A x 2 + USB Type-C x 1 + Smart card reader, Dual batteries, Touchpad W/ click button, 3 Year B2B Warranty</t>
  </si>
  <si>
    <t>VSCP2YJAB4BA</t>
  </si>
  <si>
    <t>V110G7 TAA - Intel Core i5-1235U Processor, 11.6" + Webcam, Microsoft Windows 11 Pro x64 with 32GB RAM + TAA, 512GB PCIe SSD (user swappable), Sunlight Readable (Full HD LCD + Touchscreen + Hard Tip stylus), US KBD + US Power cord, Membrane Backlit KBD, WIFI + BT, USB Type-A x 2 + USB Type-C x 1 + Smart card reader + HF RFID, Dual batteries, Touchpad W/ click button, 3 Year B2B Warranty</t>
  </si>
  <si>
    <t>VSC13YJABDXB</t>
  </si>
  <si>
    <t>V110G7 TAA - Intel Core i5-1235U Processor, 11.6" + Webcam, Microsoft Windows 11 Pro x64 with 16GB RAM + TAA, 512GB PCIe SSD (user swappable), Sunlight Readable (Full HD LCD + Touchscreen + Hard Tip stylus), US KBD + US Power cord, Membrane Backlit KBD, WIFI + BT, Hard Handle, USB Type-A x 2 + USB Type-C x 1 + Barcode Reader, Dual batteries, Touchpad W/ click button, 3 Year B2B Warranty</t>
  </si>
  <si>
    <t>VSC12YJABDBE</t>
  </si>
  <si>
    <t>V110G7 TAA - Intel Core i7-1255U  Processor, 11.6" + Windows Hello Webcam, Microsoft Windows 11 Pro x64 with 16GB RAM + TAA, 256GB PCIe SSD (user swappable), Sunlight Readable (Full HD LCD + Touchscreen + Hard Tip stylus), US KBD + US Power cord, Membrane Backlit KBD, WIFI + BT + 4G LTE + Dedicated GPS + Passthrough, Hard Handle, USB Type-A x 2 + USB Type-C x 1 + Smart card reader, Dual batteries, Touchpad W/ click button, 3 Year B2B Warranty</t>
  </si>
  <si>
    <t>VSEP2PJAB4BA</t>
  </si>
  <si>
    <t>V110G7 TAA - Intel Core i7-1255U  Processor, 11.6" + Webcam, Microsoft Windows 11 Pro x64 with 8GB RAM + TAA, 1TB PCIe SSD (user swappable), Sunlight Readable (Full HD LCD + Touchscreen + Hard Tip stylus), US KBD + US Power cord, Membrane Backlit KBD, WIFI + BT, USB Type-A x 2 + USB Type-C x 1 + Smart card reader, Dual batteries, Touchpad W/ click button, 3 Year B2B Warranty</t>
  </si>
  <si>
    <t>VSE11ZJABDXA</t>
  </si>
  <si>
    <t>V110G7 TAA - Intel Core i5-1235U Processor, 11.6" + Windows Hello Webcam, Microsoft Windows 11 Pro x64 with 16GB RAM + TAA, 256GB PCIe SSD (user swappable), Sunlight Readable (Full HD LCD + Touchscreen + Hard Tip stylus), US KBD + US Power cord, Membrane Backlit KBD, WIFI + BT, Hard Handle, USB Type-A x 2 + USB Type-C x 1 + Barcode Reader + Rear Camera, Dual batteries, Touchpad W/ click button, 3 Year B2B Warranty</t>
  </si>
  <si>
    <t>VSCP2PJABDBG</t>
  </si>
  <si>
    <t>V110G7 TAA - Intel Core i7-1255U  Processor, 11.6" + Windows Hello Webcam, Microsoft Windows 11 Pro x64 with 16GB RAM + TAA, 256GB PCIe SSD (user swappable), Sunlight Readable (Full HD LCD + Touchscreen + Hard Tip stylus), US KBD + US Power cord, Membrane Backlit KBD, WIFI + BT + 4G LTE + Dedicated GPS + Passthrough, USB Type-A x 2 + USB Type-C x 1 + Smart card reader, Dual batteries, Touchpad W/ click button, 3 Year B2B Warranty</t>
  </si>
  <si>
    <t>VSEP2PJAB4XA</t>
  </si>
  <si>
    <t>V110G7 TAA - Intel Core i5-1235U Processor, 11.6" + Windows Hello Webcam, Microsoft Windows 11 Pro x64 with 16GB RAM + TAA, 256GB PCIe SSD (user swappable), Sunlight Readable (Full HD LCD + Touchscreen + Hard Tip stylus), US KBD + US Power cord, Membrane Backlit KBD, WIFI + BT + 4G LTE + Dedicated GPS + Passthrough, Hard Handle, USB Type-A x 2 + USB Type-C x 1 + Smart Card Reader + Rear Camera, Dual batteries, Touchpad W/ click button, 3 Year B2B Warranty</t>
  </si>
  <si>
    <t>VSCP2PJAB4BC</t>
  </si>
  <si>
    <t>V110G7 TAA - Intel Core i5-1235U Processor, 11.6" + Windows Hello Webcam, Microsoft Windows 11 Pro x64 with 16GB RAM + TAA, 256GB PCIe SSD (user swappable), Sunlight Readable (Full HD LCD + Touchscreen + Hard Tip stylus), US KBD + US Power cord, Membrane Backlit KBD, WIFI + BT + 4G LTE + Dedicated GPS + Passthrough, USB Type-A x 2 + USB Type-C x 1 + Smart Card Reader + Rear Camera, Dual batteries, Touchpad W/ click button, 3 Year B2B Warranty</t>
  </si>
  <si>
    <t>VSCP2PJAB4XC</t>
  </si>
  <si>
    <t>V110G7 TAA - Intel Core i5-1235U Processor, 11.6" + Webcam, Microsoft Windows 11 Pro x64 with 16GB RAM + TAA, 256GB PCIe SSD (user swappable), Sunlight Readable (Full HD LCD + Touchscreen + Hard Tip stylus), US KBD + US Power cord, Membrane Backlit KBD, WIFI + BT + 4G LTE + Dedicated GPS, Hard Handle, USB Type-A x 2 + USB Type-C x 1 + Smart Card Reader + Rear Camera, Dual batteries, Touchpad W/ click button, 3 Year B2B Warranty</t>
  </si>
  <si>
    <t>VSC12PJAB3BC</t>
  </si>
  <si>
    <t>V110G7 TAA - Intel Core i5-1235U Processor, 11.6" + Windows Hello Webcam, Microsoft Windows 11 Pro x64 with 16GB RAM + TAA, 256GB PCIe SSD (user swappable), Sunlight Readable (Full HD LCD + Touchscreen + Hard Tip stylus), US KBD + US Power cord, Membrane Backlit KBD, WIFI + BT + 4G LTE + Dedicated GPS + Passthrough, USB Type-A x 2 + USB Type-C x 1 + Smart card reader + HF RFID, Dual batteries, Touchpad W/ click button, 3 Year B2B Warranty</t>
  </si>
  <si>
    <t>VSCP2PJAB4XB</t>
  </si>
  <si>
    <t>V110G7 TAA - Intel Core i7-1255U  Processor, 11.6" + Windows Hello Webcam, Microsoft Windows 11 Pro x64 with 16GB RAM + TAA, 512GB PCIe SSD (user swappable), Sunlight Readable (Full HD LCD + Touchscreen + Hard Tip stylus), US KBD + US Power cord, Membrane Backlit KBD, WIFI + BT, Hard Handle, USB Type-A x 2 + USB Type-C x 1 + Smart card reader, Dual batteries, Touchpad W/ click button, 3 Year B2B Warranty</t>
  </si>
  <si>
    <t>VSEP2YJABDBA</t>
  </si>
  <si>
    <t>V110G7 TAA - Intel Core i5-1235U Processor, 11.6" + Windows Hello Webcam, Microsoft Windows 11 Pro x64 with 16GB RAM + TAA, 256GB PCIe SSD (user swappable), Sunlight Readable (Full HD LCD + Touchscreen + Hard Tip stylus), US KBD + US Power cord, Membrane Backlit KBD, WIFI + BT + 4G LTE + Dedicated GPS + Passthrough, Hard Handle, USB Type-A x 2 + USB Type-C x 1 + Smart card reader, Dual batteries, Touchpad W/ click button, 3 Year B2B Warranty</t>
  </si>
  <si>
    <t>VSCP2PJAB4BA</t>
  </si>
  <si>
    <t>V110G7 TAA - Intel Core i7-1255U  Processor, 11.6" + Windows Hello Webcam, Microsoft Windows 11 Pro x64 with 16GB RAM + TAA, 512GB PCIe SSD (user swappable), Sunlight Readable (Full HD LCD + Touchscreen + Hard Tip stylus), US KBD + US Power cord, Membrane Backlit KBD, WIFI + BT, USB Type-A x 2 + USB Type-C x 1 + Smart card reader, Dual batteries, Touchpad W/ click button, 3 Year B2B Warranty</t>
  </si>
  <si>
    <t>VSEP2YJABDXA</t>
  </si>
  <si>
    <t>V110G7 TAA - Intel Core i5-1235U Processor, 11.6" + Windows Hello Webcam, Microsoft Windows 11 Pro x64 with 16GB RAM + TAA, 256GB PCIe SSD (user swappable), Sunlight Readable (Full HD LCD + Touchscreen + Hard Tip stylus), US KBD + US Power cord, Membrane Backlit KBD, WIFI + BT + 4G LTE + Dedicated GPS + Passthrough, USB Type-A x 2 + USB Type-C x 1 + Smart card reader, Dual batteries, Touchpad W/ click button, 3 Year B2B Warranty</t>
  </si>
  <si>
    <t>VSCP2PJAB4XA</t>
  </si>
  <si>
    <t>V110G7 TAA - Intel Core i7-1255U  Processor, 11.6" + Windows Hello Webcam, Microsoft Windows 11 Pro x64 with 16GB RAM + TAA, 256GB PCIe SSD (user swappable), Sunlight Readable (Full HD LCD + Touchscreen + Hard Tip stylus), US KBD + US Power cord, Membrane Backlit KBD, WIFI + BT, Hard Handle, USB Type-A x 2 + USB Type-C x 1 + Smart Card Reader + Rear Camera, Dual batteries, Touchpad W/ click button, 3 Year B2B Warranty</t>
  </si>
  <si>
    <t>VSEP2PJABDBC</t>
  </si>
  <si>
    <t>V110G7 TAA - Intel Core i5-1235U Processor, 11.6" + Webcam, Microsoft Windows 11 Pro x64 with 8GB RAM + TAA, 256GB PCIe SSD (user swappable), Sunlight Readable (Full HD LCD + Touchscreen + Hard Tip stylus), US KBD + US Power cord, Membrane Backlit KBD, WIFI + BT, Hard Handle, USB Type-A x 2 + USB Type-C x 1 + Barcode Reader + Rear Camera, Dual batteries, Touchpad W/ click button, 3 Year B2B Warranty</t>
  </si>
  <si>
    <t>VSC11PJABDBG</t>
  </si>
  <si>
    <t>V110G7 TAA - Intel Core i5-1235U Processor, 11.6" + Webcam, Microsoft Windows 11 Pro x64 with 32GB RAM + TAA, 256GB PCIe SSD (user swappable), Sunlight Readable (Full HD LCD + Touchscreen + Hard Tip stylus), US KBD + US Power cord, Membrane Backlit KBD, WIFI + BT, USB Type-A x 2 + USB Type-C x 1 + Smart card reader, Dual batteries, Touchpad W/ click button, 3 Year B2B Warranty</t>
  </si>
  <si>
    <t>VSC13PJABDXA</t>
  </si>
  <si>
    <t>V110G7 TAA - Intel Core i7-1255U  Processor, 11.6" + Webcam, Microsoft Windows 11 Pro x64 with 8GB RAM + TAA, 256GB PCIe SSD (user swappable), Sunlight Readable (Full HD LCD + Touchscreen + Hard Tip stylus), US KBD + US Power cord, Membrane Backlit KBD, WIFI + BT + 4G LTE + Dedicated GPS, USB Type-A x 2 + USB Type-C x 1 + Smart card reader, Dual batteries, Touchpad W/ click button, 3 Year B2B Warranty</t>
  </si>
  <si>
    <t>VSE11PJAB3XA</t>
  </si>
  <si>
    <t>V110G7 TAA - Intel Core i5-1235U Processor, 11.6" + Webcam, Microsoft Windows 11 Pro x64 with 16GB RAM + TAA, 256GB PCIe SSD (user swappable), Sunlight Readable (Full HD LCD + Touchscreen + Hard Tip stylus), US KBD + US Power cord, Membrane Backlit KBD, WIFI + BT + 4G LTE, USB Type-A x 2 + USB Type-C x 1 + Smart card reader, Dual batteries, Touchpad W/ click button, 3 Year B2B Warranty</t>
  </si>
  <si>
    <t>VSC12PJAB1XA</t>
  </si>
  <si>
    <t>V110G7 TAA - Intel Core i7-1255U  Processor, 11.6" + Windows Hello Webcam, Microsoft Windows 11 Pro x64 with 16GB RAM + TAA, 256GB PCIe SSD (user swappable), Sunlight Readable (Full HD LCD + Touchscreen + Hard Tip stylus), US KBD + US Power cord, Membrane Backlit KBD, WIFI + BT, Hard Handle, USB Type-A x 2 + USB Type-C x 1 + Smart card reader, Dual batteries, Touchpad W/ click button, 3 Year B2B Warranty</t>
  </si>
  <si>
    <t>VSEP2PJABDBA</t>
  </si>
  <si>
    <t>V110G7 TAA - Intel Core i5-1235U Processor, 11.6" + Windows Hello Webcam, Microsoft Windows 11 Pro x64 with 8GB RAM + TAA, 256GB PCIe SSD (user swappable), Sunlight Readable (Full HD LCD + Touchscreen + Hard Tip stylus), US KBD + US Power cord, Membrane Backlit KBD, WIFI + BT + 4G LTE + Dedicated GPS + Passthrough, Hard Handle, USB Type-A x 2 + USB Type-C x 1 + Smart card reader, Dual batteries, Touchpad W/ click button, 3 Year B2B Warranty</t>
  </si>
  <si>
    <t>VSCP1PJAB4BA</t>
  </si>
  <si>
    <t>V110G7 TAA - Intel Core i5-1235U Processor, 11.6" + Windows Hello Webcam, Microsoft Windows 11 Pro x64 with 16GB RAM + TAA, 256GB PCIe SSD (user swappable), Sunlight Readable (Full HD LCD+ Touchscreen+ Digitizer), US KBD + US Power cord, Membrane Backlit KBD, WIFI + BT, USB Type-A x 2 + USB Type-C x 1 + Smart card reader, Dual batteries, Touchpad W/ click button, 3 Year B2B Warranty</t>
  </si>
  <si>
    <t>VSCP2PTABDXA</t>
  </si>
  <si>
    <t>V110G7 TAA - Intel Core i5-1235U Processor, 11.6" + Windows Hello Webcam, Microsoft Windows 11 Pro x64 with 16GB RAM + TAA, 256GB PCIe SSD (user swappable), Sunlight Readable (Full HD LCD + Touchscreen + Hard Tip stylus), US KBD + US Power cord, Membrane Backlit KBD, WIFI + BT, Hard Handle, USB Type-A x 2 + USB Type-C x 1 + Smart Card Reader + Rear Camera, Dual batteries, Touchpad W/ click button, 3 Year B2B Warranty</t>
  </si>
  <si>
    <t>VSCP2PJABDBC</t>
  </si>
  <si>
    <t>V110G7 TAA - Intel Core i5-1235U Processor, 11.6" + Windows Hello Webcam, Microsoft Windows 11 Pro x64 with 8GB RAM + TAA, 256GB PCIe SSD (user swappable), Sunlight Readable (Full HD LCD + Touchscreen + Hard Tip stylus), US KBD + US Power cord, Membrane Backlit KBD, WIFI + BT + 4G LTE + Dedicated GPS + Passthrough, USB Type-A x 2 + USB Type-C x 1 + Smart card reader, Dual batteries, Touchpad W/ click button, 3 Year B2B Warranty</t>
  </si>
  <si>
    <t>VSCP1PJAB4XA</t>
  </si>
  <si>
    <t>V110G7 TAA - Intel Core i5-1235U Processor, 11.6" + Webcam, Microsoft Windows 11 Pro x64 with 16GB RAM + TAA, 256GB PCIe SSD (user swappable), Sunlight Readable (Full HD LCD+ Touchscreen+ Digitizer), US KBD + US Power cord, Membrane Backlit KBD, WIFI + BT, USB Type-A x 2 + USB Type-C x 1 + Smart card reader, Dual batteries, Touchpad W/ click button, 3 Year B2B Warranty</t>
  </si>
  <si>
    <t>VSC12PTABDXA</t>
  </si>
  <si>
    <t>V110G7 TAA - Intel Core i5-1235U Processor, 11.6" + Webcam, Microsoft Windows 11 Pro x64 with 16GB RAM + TAA, 256GB PCIe SSD (user swappable), Sunlight Readable (Full HD LCD + Touchscreen + Hard Tip stylus), US KBD + US Power cord, Membrane Backlit KBD, WIFI + BT, ANSI, USB Type-A x 2 + USB Type-C x 1 + Smart card reader, Dual batteries, Touchpad W/ click button, 3 Year B2B Warranty</t>
  </si>
  <si>
    <t>VSC12PJABDCA</t>
  </si>
  <si>
    <t>V110G7 TAA - Intel Core i7-1255U  Processor, 11.6" + Webcam, Microsoft Windows 11 Pro x64 with 16GB RAM + TAA, 256GB PCIe SSD (user swappable), Sunlight Readable (Full HD LCD + Touchscreen + Hard Tip stylus), US KBD + US Power cord, Membrane Backlit KBD, WIFI + BT, USB Type-A x 2 + USB Type-C x 1 + Smart card reader, Dual batteries, Touchpad W/ click button, 3 Year B2B Warranty</t>
  </si>
  <si>
    <t>VSE12PJABDXA</t>
  </si>
  <si>
    <t>V110G7 TAA - Intel Core i5-1235U Processor, 11.6" + Windows Hello Webcam, Microsoft Windows 11 Pro x64 with 16GB RAM + TAA, 256GB PCIe SSD (user swappable), Sunlight Readable (Full HD LCD + Touchscreen + Hard Tip stylus), US KBD + US Power cord, Membrane Backlit KBD, WIFI + BT, Hard Handle, USB Type-A x 2 + USB Type-C x 1 + Smart card reader, Dual batteries, Touchpad W/ click button, 3 Year B2B Warranty</t>
  </si>
  <si>
    <t>VSCP2PJABDBA</t>
  </si>
  <si>
    <t>V110G7 TAA - Intel Core i5-1235U Processor, 11.6" + Windows Hello Webcam, Microsoft Windows 11 Pro x64 with 16GB RAM + TAA, 256GB PCIe SSD (user swappable), Sunlight Readable (Full HD LCD + Touchscreen + Hard Tip stylus), US KBD + US Power cord, Membrane Backlit KBD, WIFI + BT, USB Type-A x 2 + USB Type-C x 1 + Smart card reader, Dual batteries, Touchpad W/ click button, 3 Year B2B Warranty</t>
  </si>
  <si>
    <t>VSCP2PJABDXA</t>
  </si>
  <si>
    <t>V110G7 TAA - Intel Core i5-1235U Processor, 11.6" + Windows Hello Webcam, Microsoft Windows 11 Pro x64 with 8GB RAM + TAA, 256GB PCIe SSD (user swappable), Sunlight Readable (Full HD LCD + Touchscreen + Hard Tip stylus), US KBD + US Power cord, Membrane Backlit KBD, WIFI + BT, USB Type-A x 2 + USB Type-C x 1 + Smart Card Reader + Rear Camera, Dual batteries, Touchpad W/ click button, 3 Year B2B Warranty</t>
  </si>
  <si>
    <t>VSCP1PJABDXC</t>
  </si>
  <si>
    <t>V110G7 TAA - Intel Core i5-1235U Processor, 11.6" + Windows Hello Webcam, Microsoft Windows 11 Pro x64 with 8GB RAM + TAA, 256GB PCIe SSD (user swappable), Sunlight Readable (Full HD LCD + Touchscreen + Hard Tip stylus), US KBD + US Power cord, Membrane Backlit KBD, WIFI + BT, Hard Handle, USB Type-A x 2 + USB Type-C x 1 + Smart card reader, Dual batteries, Touchpad W/ click button, 3 Year B2B Warranty</t>
  </si>
  <si>
    <t>VSCP1PJABDBA</t>
  </si>
  <si>
    <t>V110G7 TAA - Intel Core i5-1235U Processor, 11.6" + Windows Hello Webcam, Microsoft Windows 11 Pro x64 with 8GB RAM + TAA, 256GB PCIe SSD (user swappable), Sunlight Readable (Full HD LCD + Touchscreen + Hard Tip stylus), US KBD + US Power cord, Membrane Backlit KBD, WIFI + BT, USB Type-A x 2 + USB Type-C x 1 + Smart card reader, Dual batteries, Touchpad W/ click button, 3 Year B2B Warranty</t>
  </si>
  <si>
    <t>VSCP1PJABDXA</t>
  </si>
  <si>
    <t>V110G7 TAA - Intel Core i5-1235U Processor, 11.6" + Webcam, Microsoft Windows 11 Pro x64 with 8GB RAM + TAA, 256GB PCIe SSD (user swappable), Sunlight Readable (Full HD LCD + Touchscreen + Hard Tip stylus), US KBD + US Power cord, Membrane Backlit KBD, WIFI + BT, USB Type-A x 2 + USB Type-C x 1 + Smart card reader, Dual batteries, Touchpad W/ click button, 3 Year B2B Warranty</t>
  </si>
  <si>
    <t>VSC11PJABDXA</t>
  </si>
  <si>
    <t>UX10G3 ANSI - Intel Core i5-1235U Processor, 10.1" + With Webcam+Standard Battery(1-pack), Microsoft Windows 11 Pro x64 with 8GB RAM + TAA, 256GB PCIe SSD, Sunlight Readable WUXGA LCD + Touchscreen + Hard Tip stylus + Rear Camera, DC Power Jack + AC Adapter + US Power Cord, WIFI + BT + 5G Sub-6 (EM9190) w/ integrated GPS, ANSI, 3 Year B2B Warranty</t>
  </si>
  <si>
    <t>USC114VAXPXC</t>
  </si>
  <si>
    <t>UX10G3</t>
  </si>
  <si>
    <t>UX10G3 ANSI - Intel Core i7-1255U  Processor, 10.1" + With Windows Hello Webcam + Tablet Hard Handle + Standard Battery (1-pack), Microsoft Windows 11 Pro x64 with 8GB RAM + TAA, 256GB PCIe SSD, Sunlight Readable WUXGA LCD + Touchscreen + Hard Tip stylus + Rear Camera, DC Power Jack + AC Adapter + US Power Cord, WIFI+ BT + 4G LTE (EM7511) w/ integrated GPS + Passthrough, HF RFID (Top Side), ANSI, 3 Year B2B Warranty</t>
  </si>
  <si>
    <t>USEC14VAX8SC</t>
  </si>
  <si>
    <t>UX10G3 ANSI - Intel Core i5-1235U Processor, 10.1" + With Webcam+Standard Battery(1-pack), Microsoft Windows 11 Pro x64 with 8GB RAM + TAA, 256GB PCIe SSD, Sunlight Readable WUXGA LCD + Touchscreen + Hard Tip stylus + Rear Camera, DC Power Jack + AC Adapter + US Power Cord, WIFI+BT+4G LTE (EM7511) w/ integrated GPS, ANSI, 3 Year B2B Warranty</t>
  </si>
  <si>
    <t>USC114VAX7XC</t>
  </si>
  <si>
    <t>UX10G3 - Intel Core i7-1255U  Processor, 10.1" + With Webcam + Tablet Hard Handle + Standard Battery (1-pack), Microsoft Windows 11 Pro x64 with 32GB RAM + TAA(**), 512GB PCIe SSD, Sunlight Readable WUXGA LCD + Touchscreen + Hard Tip stylus + Rear Camera, DC Power Jack + AC Adapter + US Power Cord, WIFI+BT+4G LTE (EM7511) w/ integrated GPS, RJ45, Bridge Battery, 3 Year B2B Warranty</t>
  </si>
  <si>
    <t>USEE36VAX7L3</t>
  </si>
  <si>
    <t>UX10G3 - Intel Core i5-1235U Processor, 10.1" + With Windows Hello Webcam + Standard Battery (1-pack), Microsoft Windows 11 Pro x64 with 32GB RAM + TAA(**), 512GB PCIe SSD, Sunlight Readable WUXGA LCD + Touchscreen + Digitizer + Rear Camera, DC Power Jack + AC Adapter + US Power Cord, WIFI+ BT + 4G LTE (EM7511) w/ integrated GPS + Passthrough, USB 3.2 Gen 1 Type - A, 3 Year B2B Warranty</t>
  </si>
  <si>
    <t>USC736WAX8EX</t>
  </si>
  <si>
    <t>UX10G3 - Intel Core i7-1255U  Processor, 10.1" + With Webcam + Tablet Hard Handle + Standard Battery (1-pack), Microsoft Windows 11 Pro x64 with 16GB RAM + TAA(**), 512GB PCIe SSD, Sunlight Readable WUXGA LCD + Touchscreen + Hard Tip stylus + Rear Camera, DC Power Jack + AC Adapter + US Power Cord, WIFI+ BT + 4G LTE (EM7511) w/ integrated GPS + Passthrough, 1D/2D Imager Barcode Reader, 3 Year B2B Warranty</t>
  </si>
  <si>
    <t>USEE26VAX8HX</t>
  </si>
  <si>
    <t>UX10G3 - Intel Core i5-1235U Processor, 10.1" + With Webcam+Standard Battery(1-pack), Microsoft Windows 11 Pro x64 with 16GB RAM + TAA(**), 256GB PCIe SSD, Sunlight Readable WUXGA LCD + Touchscreen + Digitizer + Rear Camera, DC Power Jack + AC Adapter + US Power Cord, WIFI+BT+4G LTE (EM7511) w/ integrated GPS, 1D/2D Imager Barcode Reader, Bridge Battery, 3 Year B2B Warranty</t>
  </si>
  <si>
    <t>USC124WAX7H3</t>
  </si>
  <si>
    <t>UX10G3 - Intel Core i5-1245U Processor, vPro Enterprise, 10.1" + With Webcam + Tablet Hard Handle + High Capacity Battery (1-pack), Microsoft Windows 11 Pro x64 with 8GB RAM + TAA, 256GB PCIe SSD, Sunlight Readable WUXGA LCD + Touchscreen + Digitizer + Rear Camera, DC Power Jack + AC Adapter + US Power Cord, WIFI+BT+4G LTE (EM7511) w/ integrated GPS, 1D/2D Imager Barcode Reader, Bridge Battery, 3 Year B2B Warranty</t>
  </si>
  <si>
    <t>USD514WAX7H3</t>
  </si>
  <si>
    <t>UX10G3 - Intel Core i5-1235U Processor, 10.1" + With Windows Hello Webcam + Tablet Hard Handle + Standard Battery (1-pack), Microsoft Windows 11 Pro x64 with 16GB RAM + TAA(**), 256GB PCIe SSD, Sunlight Readable WUXGA LCD + Touchscreen + Hard Tip stylus + Rear Camera, DC Power Jack + AC Adapter + US Power Cord, WIFI+ BT + 4G LTE (EM7511) w/ integrated GPS + Passthrough, 1D/2D Imager Barcode Reader, 3 Year B2B Warranty</t>
  </si>
  <si>
    <t>USCC24VAX8HX</t>
  </si>
  <si>
    <t>UX10G3 - Intel Core i5-1235U Processor, 10.1" + With Webcam+Standard Battery(1-pack), Microsoft Windows 11 Pro x64 with 16GB RAM + TAA(**), 256GB PCIe SSD, Sunlight Readable WUXGA LCD + Touchscreen + Hard Tip stylus + Rear Camera, DC Power Jack + AC Adapter + US Power Cord, WIFI+BT+4G LTE (EM7511) w/ integrated GPS, 1D/2D Imager Barcode Reader, 3 Year B2B Warranty</t>
  </si>
  <si>
    <t>USC124VAX7HX</t>
  </si>
  <si>
    <t>UX10G3 - Intel Core i7-1255U  Processor, 10.1" + With Windows Hello Webcam + Tablet Hard Handle + Standard Battery (1-pack), Microsoft Windows 11 Pro x64 with 16GB RAM + TAA(**), 256GB PCIe SSD, Sunlight Readable WUXGA LCD + Touchscreen + Hard Tip stylus + Rear Camera, DC Power Jack + AC Adapter + US Power Cord, WIFI+ BT + 4G LTE (EM7511) w/ integrated GPS + Passthrough, RJ45, 3 Year B2B Warranty</t>
  </si>
  <si>
    <t>USEC24VAX8LX</t>
  </si>
  <si>
    <t>UX10G3 - Intel Core i7-1255U  Processor, 10.1" + With Webcam+Standard Battery(1-pack), Microsoft Windows 11 Pro x64 with 16GB RAM + TAA(**), 256GB PCIe SSD, Sunlight Readable WUXGA LCD + Touchscreen + Hard Tip stylus + Rear Camera, DC Power Jack + AC Adapter + US Power Cord, RJ45, WIFI+BT+4G LTE (EM7511) w/ integrated GPS, HDMI, 3 Year B2B Warranty</t>
  </si>
  <si>
    <t>USE124VAL7AX</t>
  </si>
  <si>
    <t>UX10G3 - Intel Core i5-1235U Processor, 10.1" + With Windows Hello Webcam + Tablet Hard Handle + Standard Battery (1-pack), Microsoft Windows 11 Pro x64 with 16GB RAM + TAA(**), 512GB PCIe SSD, Sunlight Readable WUXGA LCD + Touchscreen + Hard Tip stylus + Rear Camera, DC Power Jack + AC Adapter + US Power Cord, WIFI+ BT + 4G LTE (EM7511) w/ integrated GPS + Passthrough, 3 Year B2B Warranty</t>
  </si>
  <si>
    <t>USCC26VAX8XX</t>
  </si>
  <si>
    <t>UX10G3 - Intel Core i5-1245U Processor, vPro Enterprise, 10.1" + With Windows Hello Webcam + Standard Battery (1-pack), Microsoft Windows 11 Pro x64 with 16GB RAM + TAA(**), 256GB PCIe SSD, Sunlight Readable WUXGA LCD + Touchscreen + Hard Tip stylus + Rear Camera, DC Power Jack + AC Adapter + US Power Cord, WIFI + BT, 1D/2D Imager Barcode Reader, 3 Year B2B Warranty</t>
  </si>
  <si>
    <t>USD724VAXDHX</t>
  </si>
  <si>
    <t>UX10G3 - Intel Core i5-1235U Processor, 10.1" + With Webcam+Standard Battery(1-pack), Microsoft Windows 11 Pro x64 with 8GB RAM + TAA, 256GB PCIe SSD, Sunlight Readable WUXGA LCD + Touchscreen + Hard Tip stylus + Rear Camera, DC Power Jack + AC Adapter + US Power Cord, WIFI+ BT + 4G LTE (EM7511) w/ integrated GPS + Passthrough, RJ45, Bridge Battery, 3 Year B2B Warranty</t>
  </si>
  <si>
    <t>USC114VAX8L3</t>
  </si>
  <si>
    <t>UX10G3 - Intel Core i5-1235U Processor, 10.1" + With Webcam + Tablet Hard Handle + Standard Battery (1-pack), Microsoft Windows 11 Pro x64 with 8GB RAM + TAA, 256GB PCIe SSD, Sunlight Readable WUXGA LCD + Touchscreen + Hard Tip stylus + Rear Camera, DC Power Jack + AC Adapter + US Power Cord, WIFI + BT, 1D/2D Imager Barcode Reader, Bridge Battery, 3 Year B2B Warranty</t>
  </si>
  <si>
    <t>USCE14VAXDH3</t>
  </si>
  <si>
    <t>UX10G3 - Intel Core i5-1235U Processor, 10.1" + With Webcam + Tablet Hard Handle + Standard Battery (1-pack), Microsoft Windows 11 Pro x64 with 16GB RAM + TAA(**), 256GB PCIe SSD, Sunlight Readable WUXGA LCD + Touchscreen + Hard Tip stylus + Rear Camera, DC Power Jack + AC Adapter + US Power Cord, WIFI + BT, HDMI, Bridge Battery, 3 Year B2B Warranty</t>
  </si>
  <si>
    <t>USCE24VAXDA3</t>
  </si>
  <si>
    <t>UX10G3 - Intel Core i5-1235U Processor, 10.1" + With Webcam+Standard Battery(1-pack), Microsoft Windows 11 Pro x64 with 8GB RAM + TAA, 256GB PCIe SSD, Sunlight Readable WUXGA LCD + Touchscreen + Hard Tip stylus + Rear Camera, DC Power Jack + AC Adapter + US Power Cord, WIFI + BT, 1D/2D Imager Barcode Reader, 3 Year B2B Warranty</t>
  </si>
  <si>
    <t>USC114VAXDHX</t>
  </si>
  <si>
    <t>UX10G3 - Intel Core i5-1235U Processor, 10.1" + With Webcam + Tablet Hard Handle + Standard Battery (1-pack), Microsoft Windows 11 Pro x64 with 16GB RAM + TAA(**), 256GB PCIe SSD, Sunlight Readable WUXGA LCD + Touchscreen + Hard Tip stylus + Rear Camera, DC Power Jack + AC Adapter + US Power Cord, WIFI + BT, 3 Year B2B Warranty</t>
  </si>
  <si>
    <t>USCE24VAXDXX</t>
  </si>
  <si>
    <t>UX10G3 - Intel Core i5-1235U Processor, 10.1" + With Webcam+Standard Battery(1-pack), Microsoft Windows 11 Pro x64 with 16GB RAM + TAA(**), 256GB PCIe SSD, Sunlight Readable WUXGA LCD + Touchscreen + Hard Tip stylus + Rear Camera, DC Power Jack + AC Adapter + US Power Cord, WIFI + BT, 3 Year B2B Warranty</t>
  </si>
  <si>
    <t>USC124VAXDXX</t>
  </si>
  <si>
    <t>UX10G3 - Intel Core i5-1235U Processor, 10.1" + With Webcam + High Capacity Battery (1-pack), Microsoft Windows 11 Pro x64 with 8GB RAM + TAA, 256GB PCIe SSD, Sunlight Readable WUXGA LCD + Touchscreen + Hard Tip stylus + Rear Camera, DC Power Jack + AC Adapter + US Power Cord, WIFI + BT, Bridge Battery, 3 Year B2B Warranty</t>
  </si>
  <si>
    <t>USC214VAXDX3</t>
  </si>
  <si>
    <t>UX10G3 - Intel Core i5-1235U Processor, 10.1" + With Webcam+Standard Battery(1-pack), Microsoft Windows 11 Pro x64 with 8GB RAM + TAA, 256GB PCIe SSD, Sunlight Readable WUXGA LCD + Touchscreen + Hard Tip stylus + Rear Camera, DC Power Jack + AC Adapter + US Power Cord, WIFI + BT, 3 Year B2B Warranty</t>
  </si>
  <si>
    <t>USC114VAXDXX</t>
  </si>
  <si>
    <t>S510 - Intel Core Ultra 5 125U Processor + Thunderbolt 4 x 1, 15.6" + Windows Hello Webcam, Microsoft Windows 11 Pro x64 with 16GB RAM + TAA, 512GB PCIe SSD (Main storage, user swappable), Sunlight Readable (Full HD LCD + Touchscreen + Stylus), US KBD + US Power Cord, Membrane Backlit KBD, WIFI + BT + 5G Sub-6 w/ dedicated GPS + Passthrough, Battery x 1 + TraCS-compatible Barcode Reader (Factory installed, Not removable), Without any extra option, 3 Year Limited Warranty</t>
  </si>
  <si>
    <t>SU172CQASSBX</t>
  </si>
  <si>
    <t>S510</t>
  </si>
  <si>
    <t>S510 - Intel Core Ultra 7 155U Processor + Thunderbolt 4 x 1, 15.6" + (Without Webcam), Microsoft Windows 11 Pro x64 with 32GB RAM + TAA, 1TB PCIe SSD (Main storage, user swappable), Sunlight Readable (Full HD LCD + Touchscreen + Stylus), US KBD + US Power Cord, Membrane Backlit KBD, WIFI + BT, Battery x 2, RS232 + Display Port + 3rd USB Type A (USB 3.2 Gen1 with PowerShare), 3 Year Limited Warranty</t>
  </si>
  <si>
    <t>SU4D3GQASDC6</t>
  </si>
  <si>
    <t>S510 - Intel Core Ultra 5 125U Processor + Thunderbolt 4 x 2, 15.6" + Windows Hello Webcam, Microsoft Windows 11 Pro x64 with 16GB RAM + TAA, 512GB PCIe SSD (Main storage, user swappable), Sunlight Readable (Full HD LCD + Touchscreen + Stylus), US KBD + US Power Cord, Membrane Backlit KBD, WIFI + BT + 5G Sub-6 w/ dedicated GPS + Passthrough, Battery x 2, Without any extra option, 3 Year Limited Warranty</t>
  </si>
  <si>
    <t>SU272CQASSCX</t>
  </si>
  <si>
    <t>S510 - Intel Core Ultra 7 155U Processor + Thunderbolt 4 x 1, 15.6" + Windows Hello Webcam, Microsoft Windows 11 Pro x64 with 16GB RAM + TAA, 256GB PCIe SSD (Main storage, user swappable), Sunlight Readable (Full HD LCD + Touchscreen + Stylus), US KBD + US Power Cord, Membrane Backlit KBD, WIFI + BT + 5G Sub-6 w/ dedicated GPS + Passthrough, Battery x 1, Without any extra option, 3 Year Limited Warranty</t>
  </si>
  <si>
    <t>SU472AQASSXX</t>
  </si>
  <si>
    <t>S510 - Intel Core Ultra 5 125U Processor + Thunderbolt 4 x 1, 15.6" + Windows Hello Webcam, Microsoft Windows 11 Pro x64 with 16GB RAM + TAA, 512GB PCIe SSD (Main storage, user swappable), Sunlight Readable (Full HD LCD + Touchscreen + Stylus), US KBD + US Power Cord, Membrane Backlit KBD, WIFI + BT + 4G LTE w/ integrated GPS + Passthrough, Battery x 1 + TraCS-compatible Barcode Reader (Factory installed, Not removable), Without any extra option, 3 Year Limited Warranty</t>
  </si>
  <si>
    <t>SU172CQASJBX</t>
  </si>
  <si>
    <t>S510 - Intel Core Ultra 7 155U Processor + Thunderbolt 4 x 1, 15.6" + (Without Webcam), Microsoft Windows 11 Pro x64 with 32GB RAM + TAA, 512GB PCIe SSD (Main storage, user swappable), Sunlight Readable (Full HD LCD + Touchscreen + Stylus), US KBD + US Power Cord, Membrane Backlit KBD, WIFI + BT, Battery x 2, RS232 + Display Port + 3rd USB Type A (USB 3.2 Gen1 with PowerShare), 3 Year Limited Warranty</t>
  </si>
  <si>
    <t>SU4D3CQASDC6</t>
  </si>
  <si>
    <t>S510 - Intel Core Ultra 5 125U Processor + Thunderbolt 4 x 1, 15.6" + Windows Hello Webcam, Microsoft Windows 11 Pro x64 with 16GB RAM + TAA, 256GB PCIe SSD (Main storage, user swappable), Sunlight Readable (Full HD LCD + Touchscreen + Stylus), US KBD + US Power Cord, Membrane Backlit KBD, WIFI + BT + 5G Sub-6 w/ dedicated GPS + Passthrough, Battery x 1, Without any extra option, 3 Year Limited Warranty</t>
  </si>
  <si>
    <t>SU172AQASSXX</t>
  </si>
  <si>
    <t>S510 - Intel Core Ultra 7 155U Processor + Thunderbolt 4 x 1, 15.6" + Windows Hello Webcam, Microsoft Windows 11 Pro x64 with 16GB RAM + TAA, 512GB PCIe SSD (Main storage, user swappable), Sunlight Readable (Full HD LCD + Touchscreen + Stylus), US KBD + US Power Cord, Membrane Backlit KBD, WIFI + BT + 4G LTE w/ dedicated GPS + Passthrough, Battery x 1, Without any extra option, 3 Year Limited Warranty</t>
  </si>
  <si>
    <t>SU472CQASHXX</t>
  </si>
  <si>
    <t>S510 - Intel Core Ultra 5 125U Processor + Thunderbolt 4 x 1, 15.6" + Windows Hello Webcam, Microsoft Windows 11 Pro x64 with 16GB RAM + TAA, 256GB PCIe SSD (Main storage, user swappable), Sunlight Readable (Full HD LCD + Touchscreen + Stylus), US KBD + US Power Cord, Membrane Backlit KBD, WIFI + BT + 4G LTE w/ dedicated GPS + Passthrough, Battery x 1 + Barcode Reader (Factory installed, Not removable), Without any extra option, 3 Year Limited Warranty</t>
  </si>
  <si>
    <t>SU172AQASHYX</t>
  </si>
  <si>
    <t>S510 - Intel Core Ultra 5 125U Processor + Thunderbolt 4 x 1, 15.6" + Windows Hello Webcam, Microsoft Windows 11 Pro x64 with 16GB RAM + TAA, 256GB PCIe SSD (Main storage, user swappable), Sunlight Readable (Full HD LCD + Touchscreen + Stylus), US KBD + US Power Cord, Membrane Backlit KBD, WIFI + BT + 5G Sub-6 w/ integrated GPS + Passthrough, Battery x 1, Without any extra option, 3 Year Limited Warranty</t>
  </si>
  <si>
    <t>SU172AQASQXX</t>
  </si>
  <si>
    <t>S510 - Intel Core Ultra 5 125U Processor + Thunderbolt 4 x 1, 15.6" + Webcam, Microsoft Windows 11 Pro x64 with 16GB RAM + TAA, 512GB PCIe SSD (Main storage, user swappable), Sunlight Readable (Full HD LCD + Touchscreen + Stylus), US KBD + US Power Cord, Membrane Backlit KBD + Micro SD, WIFI + BT + 4G LTE w/ dedicated GPS, Battery x 1, Without any extra option, 3 Year Limited Warranty</t>
  </si>
  <si>
    <t>SU1N2CQAFGXX</t>
  </si>
  <si>
    <t>S510 - Intel Core Ultra 5 125U Processor + Thunderbolt 4 x 1, 15.6" + Windows Hello Webcam, Microsoft Windows 11 Pro x64 with 16GB RAM + TAA, 512GB PCIe SSD (Main storage, user swappable), Sunlight Readable (Full HD LCD + Touchscreen + Stylus), US KBD + US Power Cord, Membrane Backlit KBD, WIFI + BT, Battery x 1 + Barcode Reader (Factory installed, Not removable), Without any extra option, 3 Year Limited Warranty</t>
  </si>
  <si>
    <t>SU172CQASDYX</t>
  </si>
  <si>
    <t>S510 - Intel Core Ultra 5 125U Processor + Thunderbolt 4 x 1, 15.6" + Windows Hello Webcam, Microsoft Windows 11 Pro x64 with 16GB RAM + TAA, 512GB PCIe SSD (Main storage, user swappable), Sunlight Readable (Full HD LCD + Touchscreen + Stylus), US KBD + US Power Cord, Membrane Backlit KBD, WIFI + BT + 4G LTE w/ dedicated GPS + Passthrough, Battery x 1, Without any extra option, 3 Year Limited Warranty</t>
  </si>
  <si>
    <t>SU172CQASHXX</t>
  </si>
  <si>
    <t>S510 - Intel Core Ultra 5 125U Processor + Thunderbolt 4 x 1, 15.6" + Windows Hello Webcam, Microsoft Windows 11 Pro x64 with 16GB RAM + TAA, 256GB PCIe SSD (Main storage, user swappable), Sunlight Readable (Full HD LCD + Touchscreen + Stylus), US KBD + US Power Cord, Membrane Backlit KBD, WIFI + BT, Battery x 1 + TraCS-compatible Barcode Reader (Factory installed, Not removable), Without any extra option, 3 Year Limited Warranty</t>
  </si>
  <si>
    <t>SU172AQASDBX</t>
  </si>
  <si>
    <t>S510 - Intel Core Ultra 5 125U Processor + Thunderbolt 4 x 2, 15.6" + Windows Hello Webcam, Microsoft Windows 11 Pro x64 with 16GB RAM + TAA, 256GB PCIe SSD (Main storage, user swappable), Sunlight Readable (Full HD LCD + Touchscreen + Stylus), US KBD + US Power Cord, Membrane Backlit KBD, WIFI + BT + 4G LTE w/ dedicated GPS + Passthrough, Battery x 1, Without any extra option, 3 Year Limited Warranty</t>
  </si>
  <si>
    <t>SU272AQASHXX</t>
  </si>
  <si>
    <t>S510 - Intel Core Ultra 5 125U Processor + Thunderbolt 4 x 1, 15.6" + Windows Hello Webcam, Microsoft Windows 11 Pro x64 with 16GB RAM + TAA, 256GB PCIe SSD (Main storage, user swappable), Sunlight Readable (Full HD LCD + Touchscreen + Stylus), US KBD + US Power Cord, Membrane Backlit KBD, WIFI + BT, Battery x 1 + Barcode Reader (Factory installed, Not removable), Without any extra option, 3 Year Limited Warranty</t>
  </si>
  <si>
    <t>SU172AQASDYX</t>
  </si>
  <si>
    <t>S510 - Intel Core Ultra 5 125U Processor + Thunderbolt 4 x 1, 15.6" + Windows Hello Webcam, Microsoft Windows 11 Pro x64 with 16GB RAM + TAA, 256GB PCIe SSD (Main storage, user swappable), Sunlight Readable (Full HD LCD + Touchscreen + Stylus), US KBD + US Power Cord, Membrane Backlit KBD, WIFI + BT + 4G LTE w/ dedicated GPS + Passthrough, Battery x 1, Without any extra option, 3 Year Limited Warranty</t>
  </si>
  <si>
    <t>SU172AQASHXX</t>
  </si>
  <si>
    <t>S510 - Intel Core Ultra 5 125U Processor + Thunderbolt 4 x 1, 15.6" + Windows Hello Webcam, Microsoft Windows 11 Pro x64 with 16GB RAM + TAA, 256GB PCIe SSD (Main storage, user swappable), Sunlight Readable (Full HD LCD + Touchscreen + Stylus), US KBD + US Power Cord, Membrane Backlit KBD, WIFI + BT + 4G LTE w/ integrated GPS + Passthrough, Battery x 1, Without any extra option, 3 Year Limited Warranty</t>
  </si>
  <si>
    <t>SU172AQASJXX</t>
  </si>
  <si>
    <t>S510 - Intel Core Ultra 5 125U Processor + Thunderbolt 4 x 1, 15.6" + Windows Hello Webcam, Microsoft Windows 11 Pro x64 with 16GB RAM + TAA, 512GB PCIe SSD (Main storage, user swappable), Sunlight Readable (Full HD LCD + Touchscreen + Stylus), US KBD + US Power Cord, Membrane Backlit KBD, WIFI + BT, Battery x 1, Without any extra option, 3 Year Limited Warranty</t>
  </si>
  <si>
    <t>SU172CQASDXX</t>
  </si>
  <si>
    <t>S510 - Intel Core Ultra 5 125U Processor + Thunderbolt 4 x 1, 15.6" + Windows Hello Webcam, Microsoft Windows 11 Pro x64 with 16GB RAM + TAA, 512GB PCIe SSD (Main storage, user swappable), Sunlight Readable (Full HD LCD), US KBD + US Power Cord, Membrane Backlit KBD, WIFI + BT, Battery x 1, Without any extra option, 3 Year Limited Warranty</t>
  </si>
  <si>
    <t>SU172C3ASDXX</t>
  </si>
  <si>
    <t>S510 - Intel Core Ultra 5 125U Processor + Thunderbolt 4 x 2, 15.6" + Windows Hello Webcam, Microsoft Windows 11 Pro x64 with 16GB RAM + TAA, 256GB PCIe SSD (Main storage, user swappable), Sunlight Readable (Full HD LCD + Touchscreen + Stylus), US KBD + US Power Cord, Membrane Backlit KBD, WIFI + BT, Battery x 1, Without any extra option, 3 Year Limited Warranty</t>
  </si>
  <si>
    <t>SU272AQASDXX</t>
  </si>
  <si>
    <t>S510 - Intel Core Ultra 5 125U Processor + Thunderbolt 4 x 1, 15.6" + Windows Hello Webcam, Microsoft Windows 11 Pro x64 with 16GB RAM + TAA, 256GB PCIe SSD (Main storage, user swappable), Sunlight Readable (Full HD LCD + Touchscreen + Stylus), US KBD + US Power Cord, Membrane Backlit KBD, WIFI + BT, Battery x 1, Without any extra option, 3 Year Limited Warranty</t>
  </si>
  <si>
    <t>SU172AQASDXX</t>
  </si>
  <si>
    <t>S510 - Intel Core Ultra 5 125U Processor + Thunderbolt 4 x 1, 15.6" + Webcam, Microsoft Windows 11 Pro x64 with 16GB RAM + TAA, 256GB PCIe SSD (Main storage, user swappable), Sunlight Readable (Full HD LCD + Touchscreen + Stylus), US KBD + US Power Cord, Membrane Backlit KBD, WIFI + BT, Battery x 1, Without any extra option, 3 Year Limited Warranty</t>
  </si>
  <si>
    <t>SU1N2AQASDXX</t>
  </si>
  <si>
    <t>S510 - Intel Core Ultra 5 125U Processor + Thunderbolt 4 x 1, 15.6" + Webcam, Microsoft Windows 11 Pro x64 with 8GB RAM + TAA, 256GB PCIe SSD (Main storage, user swappable), Sunlight Readable (Full HD LCD + Touchscreen + Stylus), US KBD + US Power Cord, Membrane Backlit KBD, WIFI + BT, Battery x 1, Without any extra option, 3 Year Limited Warranty</t>
  </si>
  <si>
    <t>SU1N1AQASDXX</t>
  </si>
  <si>
    <t>S510 - Intel Core Ultra 5 125U Processor + Thunderbolt 4 x 1, 15.6" + (Without Webcam), Microsoft Windows 11 Pro x64 with 8GB RAM + TAA, 256GB PCIe SSD (Main storage, user swappable), Sunlight Readable (Full HD LCD), US KBD + US Power Cord, Membrane Backlit KBD, WIFI + BT, Battery x 1, Without any extra option, 3 Year Limited Warranty</t>
  </si>
  <si>
    <t>SU1D1A3ASDXX</t>
  </si>
  <si>
    <t>S410G5 Performance - Intel Core i7-1360P Processor, 14" + Dual Battery (74.5Wh x 2) + Webcam, Microsoft Windows 11 Pro x64 with 64GB RAM + TAA, 1TB PCIe SSD (main storage, user swappable), Sunlight Readable (Full HD LCD + Touchscreen + Stylus), US KBD + US Power Cord, Membrane Backlit KBD, WIFI + BT + 5G Sub-6 (EM9190) w/ dedicated GPS/GLONASS + Passthrough, Discrete VGA GTX-1650 w/ 120W AC Adapter, Thunderbolt 4, 3 Year Limited Warranty</t>
  </si>
  <si>
    <t>ST4L4GQASS1X</t>
  </si>
  <si>
    <t>S410G5</t>
  </si>
  <si>
    <t>S410G5 - Intel Core i7-1360P Processor, 14" + Dual Battery (74.5Wh x 2) + Webcam, Microsoft Windows 11 Pro x64 with 32GB RAM + TAA, 2TB PCIe SSD (main storage, user swappable), Sunlight Readable (Full HD LCD + Touchscreen + Stylus), US KBD + US Power Cord, Membrane Backlit KBD + Micro SD, WIFI + BT + 4G LTE w/ integrated GPS/GLONASS, Blu-Ray Super-Multi Drive (user swappable), Thunderbolt 4, 3 Year Limited Warranty</t>
  </si>
  <si>
    <t>ST4L3MQAFFVX</t>
  </si>
  <si>
    <t>S410G5 - Intel Core i7-1360P Processor, 14" + Dual Battery (74.5Wh x 2) + HF RFID + Windows Hello Webcam, Microsoft Windows 11 Pro x64 with 16GB RAM + TAA, 512GB PCIe SSD (main storage, user swappable), Sunlight Readable (LCD + Touchscreen + Stylus), US KBD + US Power Cord, Membrane Backlit KBD, WIFI + BT + 5G Sub-6 (EM9190) w/ dedicated GPS/GLONASS + Passthrough, Barcode Reader, RS232+VGA Port+4th USB(USB 3.2 Gen 1 Type - A with PowerShare)+Thunderbolt 4, 3 Year Limited Warranty</t>
  </si>
  <si>
    <t>ST4T2CDASSYE</t>
  </si>
  <si>
    <t>S410G5 - Intel Core i7-1360P Processor, 14" + Windows Hello Webcam, Microsoft Windows 11 Pro x64 with 16GB RAM + TAA, 1TB PCIe SSD (main storage, user swappable), Sunlight Readable (Full HD LCD + Touchscreen + Stylus), US KBD + US Power Cord, Membrane Backlit KBD, WIFI + BT + 5G Sub-6 (EM9190) w/ dedicated GPS/GLONASS, Thunderbolt 4, 3 Year Limited Warranty</t>
  </si>
  <si>
    <t>ST472GQASRXX</t>
  </si>
  <si>
    <t>S410G5 - Intel Core i5-1340P Processor, 14" + Windows Hello Webcam + LF / HF RFID(**), Microsoft Windows 11 Pro x64 with 32GB RAM + TAA, 512GB PCIe SSD (main storage, user swappable), Sunlight Readable (Full HD LCD + Touchscreen + Stylus), US KBD + US Power Cord, Membrane Backlit KBD, WIFI + BT + 5G Sub-6 (EM9190) w/ dedicated GPS/GLONASS + Passthrough, Thunderbolt 4, 3 Year Limited Warranty</t>
  </si>
  <si>
    <t>ST2R3CQASSXX</t>
  </si>
  <si>
    <t>S410G5 - Intel Core i7-1360P Processor, 14" + Windows Hello Webcam + HF RFID, Microsoft Windows 11 Pro x64 with 32GB RAM + TAA, 512GB PCIe SSD (main storage, user swappable), Sunlight Readable (LCD + Touchscreen + Stylus), US KBD + US Power Cord, Membrane Backlit KBD, WIFI + BT + 5G Sub-6 (EM9190) w/ dedicated GPS/GLONASS + Passthrough, Thunderbolt 4, 3 Year Limited Warranty</t>
  </si>
  <si>
    <t>ST4Q3CDASSXX</t>
  </si>
  <si>
    <t>S410G5 - Intel Core i7-1360P Processor, 14" + Dual Battery (74.5Wh x 2) + HF RFID + Windows Hello Webcam, Microsoft Windows 11 Pro x64 with 16GB RAM + TAA, 512GB PCIe SSD (main storage, user swappable), Sunlight Readable (LCD + Touchscreen + Stylus), US KBD + US Power Cord, Membrane Backlit KBD, WIFI + BT + 5G Sub-6 (EM9190) w/ dedicated GPS/GLONASS + Passthrough, RS232+VGA Port+4th USB(USB 3.2 Gen 1 Type - A with PowerShare)+Thunderbolt 4, 3 Year Limited Warranty</t>
  </si>
  <si>
    <t>ST4T2CDASSXE</t>
  </si>
  <si>
    <t>S410G5 - Intel Core i7-1370P Processor, vPro Enterprise, 14" + Dual Battery (74.5Wh x 2) + Webcam, Microsoft Windows 11 Pro x64 with 32GB RAM + TAA, 512GB PCIe SSD (main storage, user swappable), Sunlight Readable (Full HD LCD), US KBD + US Power Cord, Membrane Backlit KBD + Micro SD, WIFI + BT + 4G LTE w/ integrated GPS/GLONASS, RS232+VGA Port+4th USB(USB 3.2 Gen 1 Type - A with PowerShare)+Thunderbolt 4, 3 Year Limited Warranty</t>
  </si>
  <si>
    <t>ST5L3C3AFFXE</t>
  </si>
  <si>
    <t>S410G5 - Intel Core i5-1340P Processor, 14" + Windows Hello Webcam + LF / HF RFID(**), Microsoft Windows 11 Pro x64 with 32GB RAM + TAA, 256GB PCIe SSD (main storage, user swappable), Sunlight Readable (Full HD LCD + Touchscreen + Stylus), US KBD + US Power Cord, Membrane Backlit KBD, WIFI + BT + 5G Sub-6 (EM9190) w/ dedicated GPS/GLONASS + Passthrough, Thunderbolt 4, 3 Year Limited Warranty</t>
  </si>
  <si>
    <t>ST2R3AQASSXX</t>
  </si>
  <si>
    <t>S410G5 - Intel Core i7-1360P Processor, 14" + Webcam + LF / HF RFID(**), Microsoft Windows 11 Pro x64 with 16GB RAM + TAA, 512GB PCIe SSD (main storage, user swappable), Sunlight Readable (Full HD LCD + Touchscreen + Stylus), US KBD + US Power Cord, Membrane Backlit KBD, WIFI + BT + Dedicated GPS / GLONASS, Barcode Reader, Thunderbolt 4, 3 Year Limited Warranty</t>
  </si>
  <si>
    <t>ST4K2CQAS3YX</t>
  </si>
  <si>
    <t>S410G5 - Intel Core i5-1340P Processor, 14" + Windows Hello Webcam + LF / HF RFID(**), Microsoft Windows 11 Pro x64 with 16GB RAM + TAA, 256GB PCIe SSD (main storage, user swappable), Sunlight Readable (Full HD LCD + Touchscreen + Stylus), US KBD + US Power Cord, Membrane Backlit KBD, WIFI + BT + 5G Sub-6 (EM9190) w/ dedicated GPS/GLONASS + Passthrough, Thunderbolt 4, 3 Year Limited Warranty</t>
  </si>
  <si>
    <t>ST2R2AQASSXX</t>
  </si>
  <si>
    <t>S410G5 - Intel Core i5-1340P Processor, 14" + Webcam, Microsoft Windows 11 Pro x64 with 32GB RAM + TAA, 256GB PCIe SSD (main storage, user swappable), Sunlight Readable (Full HD LCD + Touchscreen + Stylus), US KBD + US Power Cord, Membrane Backlit KBD + Smart Card Reader + Fingerprint, WIFI + BT + 4G LTE w/ integrated GPS/GLONASS + Passthrough, RS232 + Display Port + 2nd LAN (RJ45) + Thunderbolt 4, 3 Year Limited Warranty</t>
  </si>
  <si>
    <t>ST2N3AQAZJX2</t>
  </si>
  <si>
    <t>S410G5 - Intel Core i5-1340P Processor, 14" + Windows Hello Webcam, Microsoft Windows 11 Pro x64 with 16GB RAM + TAA, 512GB PCIe SSD (main storage, user swappable), Sunlight Readable (Full HD LCD + Touchscreen + Stylus), US KBD + US Power Cord, Membrane Backlit KBD, WIFI + BT + 5G Sub-6 (EM9190) w/ dedicated GPS/GLONASS + Passthrough, Thunderbolt 4, 3 Year Limited Warranty</t>
  </si>
  <si>
    <t>ST272CQASSXX</t>
  </si>
  <si>
    <t>S410G5 - Intel Core i7-1360P Processor, 14" + Windows Hello Webcam, Microsoft Windows 11 Pro x64 with 16GB RAM + TAA, 512GB PCIe SSD (main storage, user swappable), Sunlight Readable (Full HD LCD + Touchscreen + Stylus), US KBD + US Power Cord, Membrane Backlit KBD, WIFI + BT + 4G LTE w/ dedicated GPS/GLONASS + Passthrough, RS232+VGA Port+4th USB(USB 3.2 Gen 1 Type - A with PowerShare)+Thunderbolt 4, 3 Year Limited Warranty</t>
  </si>
  <si>
    <t>ST472CQASHXE</t>
  </si>
  <si>
    <t>S410G5 - Intel Core i7-1360P Processor, 14" + Dual Battery (74.5Wh x 2) + Windows Hello Webcam, Microsoft Windows 11 Pro x64 with 32GB RAM + TAA, 512GB PCIe SSD (main storage, user swappable), Sunlight Readable (Full HD LCD + Touchscreen + Stylus), US KBD + US Power Cord, Membrane Backlit KBD + Fingerprint, WIFI + BT, Thunderbolt 4, 3 Year Limited Warranty</t>
  </si>
  <si>
    <t>ST4S3CQATDXX</t>
  </si>
  <si>
    <t>S410G5 - Intel Core i7-1360P Processor, 14" + Windows Hello Webcam, Microsoft Windows 11 Pro x64 with 32GB RAM + TAA, 512GB PCIe SSD (main storage, user swappable), Sunlight Readable (Full HD LCD + Touchscreen + Stylus), US KBD + US Power Cord, Membrane Backlit KBD, WIFI + BT + Dedicated GPS / GLONASS, Thunderbolt 4, 3 Year Limited Warranty</t>
  </si>
  <si>
    <t>ST473CQAS3XX</t>
  </si>
  <si>
    <t>S410G5 - Intel Core i7-1360P Processor, 14" + Windows Hello Webcam + HF RFID, Microsoft Windows 11 Pro x64 with 16GB RAM + TAA, 512GB PCIe SSD (main storage, user swappable), Sunlight Readable (Full HD LCD + Touchscreen + Stylus), US KBD + US Power Cord, Membrane Backlit KBD, WIFI + BT, Barcode Reader, Thunderbolt 4, 3 Year Limited Warranty</t>
  </si>
  <si>
    <t>ST4Q2CQASDYX</t>
  </si>
  <si>
    <t>S410G5 - Intel Core i7-1360P Processor, 14" + Windows Hello Webcam + HF RFID, Microsoft Windows 11 Pro x64 with 32GB RAM + TAA, 512GB PCIe SSD (main storage, user swappable), Sunlight Readable (Full HD LCD + Touchscreen + Stylus), US KBD + US Power Cord, Membrane Backlit KBD, WIFI + BT, Thunderbolt 4, 3 Year Limited Warranty</t>
  </si>
  <si>
    <t>ST4Q3CQASDXX</t>
  </si>
  <si>
    <t>S410G5 - Intel Core i5-1340P Processor, 14" + Windows Hello Webcam, Microsoft Windows 11 Pro x64 with 16GB RAM + TAA, 256GB PCIe SSD (main storage, user swappable), Sunlight Readable (Full HD LCD + Touchscreen + Stylus), US KBD + US Power Cord, Membrane Backlit KBD, WIFI + BT + 4G LTE w/ dedicated GPS/GLONASS + Passthrough, TraCS-compatible Barcode Reader, Thunderbolt 4, 3 Year Limited Warranty</t>
  </si>
  <si>
    <t>ST272AQASHBX</t>
  </si>
  <si>
    <t>S410G5 - Intel Core i5-1340P Processor, 14" + Windows Hello Webcam, Microsoft Windows 11 Pro x64 with 16GB RAM + TAA, 256GB PCIe SSD (main storage, user swappable), Sunlight Readable (Full HD LCD + Touchscreen + Stylus), US KBD + US Power Cord, Membrane Backlit KBD, WIFI + BT + 5G Sub-6 (EM9190) w/ dedicated GPS/GLONASS + Passthrough, Thunderbolt 4, 3 Year Limited Warranty</t>
  </si>
  <si>
    <t>ST272AQASSXX</t>
  </si>
  <si>
    <t>S410G5 - Intel Core i7-1360P Processor, 14" + Windows Hello Webcam, Microsoft Windows 11 Pro x64 with 16GB RAM + TAA, 512GB PCIe SSD (main storage, user swappable), Sunlight Readable (Full HD LCD + Touchscreen + Stylus), US KBD + US Power Cord, Membrane Backlit KBD, WIFI + BT + 4G LTE w/ dedicated GPS/GLONASS + Passthrough, Thunderbolt 4, 3 Year Limited Warranty</t>
  </si>
  <si>
    <t>ST472CQASHXX</t>
  </si>
  <si>
    <t>S410G5 - Intel Core i5-1340P Processor, 14" + Windows Hello Webcam, Microsoft Windows 11 Pro x64 with 16GB RAM + TAA, 256GB PCIe SSD (main storage, user swappable), Sunlight Readable (Full HD LCD + Touchscreen + Stylus), US KBD + US Power Cord, Membrane Backlit KBD, WIFI + BT + 4G LTE w/ dedicated GPS/GLONASS + Passthrough, Barcode Reader, Thunderbolt 4, 3 Year Limited Warranty</t>
  </si>
  <si>
    <t>ST272AQASHYX</t>
  </si>
  <si>
    <t>S410G5 - Intel Core i7-1360P Processor, 14" + Windows Hello Webcam, Microsoft Windows 11 Pro x64 with 16GB RAM + TAA, 256GB PCIe SSD (main storage, user swappable), Sunlight Readable (Full HD LCD + Touchscreen + Stylus), US KBD + US Power Cord, Membrane Backlit KBD, WIFI + BT, Barcode Reader, RS232+Display Port+4th USB(USB 3.2 Gen 1 Type - A with PowerShare)+Thunderbolt 4, 3 Year Limited Warranty</t>
  </si>
  <si>
    <t>ST472AQASDY3</t>
  </si>
  <si>
    <t>S410G5 - Intel Core i5-1340P Processor, 14" + Windows Hello Webcam, Microsoft Windows 11 Pro x64 with 16GB RAM + TAA, 256GB PCIe SSD (main storage, user swappable), Sunlight Readable (Full HD LCD + Touchscreen + Stylus), US KBD + US Power Cord, Membrane Backlit KBD, WIFI + BT + 4G LTE w/ integrated GPS/GLONASS + Passthrough, TraCS-compatible Barcode Reader, Thunderbolt 4, 3 Year Limited Warranty</t>
  </si>
  <si>
    <t>ST272AQASJBX</t>
  </si>
  <si>
    <t>S410G5 - Intel Core i5-1340P Processor, 14" + Windows Hello Webcam, Microsoft Windows 11 Pro x64 with 16GB RAM + TAA, 256GB PCIe SSD (main storage, user swappable), Sunlight Readable (Full HD LCD + Touchscreen + Stylus), US KBD + US Power Cord, Membrane Backlit KBD, WIFI + BT + 5G Sub-6 (EM9190) w/ integrated GPS/GLONASS + Passthrough, Thunderbolt 4, 3 Year Limited Warranty</t>
  </si>
  <si>
    <t>ST272AQASQXX</t>
  </si>
  <si>
    <t>S410G5 - Intel Core i5-1340P Processor, 14" + Windows Hello Webcam, Microsoft Windows 11 Pro x64 with 32GB RAM + TAA, 512GB PCIe SSD (main storage, user swappable), Sunlight Readable (LCD + Touchscreen + Stylus), US KBD + US Power Cord, Membrane Backlit KBD, WIFI + BT + 4G LTE w/ integrated GPS/GLONASS + Passthrough, Thunderbolt 4, 3 Year Limited Warranty</t>
  </si>
  <si>
    <t>ST273CDASJXX</t>
  </si>
  <si>
    <t>S410G5 - Intel Core i7-1360P Processor, 14" + Windows Hello Webcam, Microsoft Windows 11 Pro x64 with 16GB RAM + TAA, 512GB PCIe SSD (main storage, user swappable), Sunlight Readable (Full HD LCD + Touchscreen + Stylus), US KBD + US Power Cord, Membrane Backlit KBD, WIFI + BT + 4G LTE w/ integrated GPS/GLONASS + Passthrough, Thunderbolt 4, 3 Year Limited Warranty</t>
  </si>
  <si>
    <t>ST472CQASJXX</t>
  </si>
  <si>
    <t>S410G5 - Intel Core i5-1340P Processor, 14" + Dual Battery (74.5Wh x 2) + Windows Hello Webcam, Microsoft Windows 11 Pro x64 with 16GB RAM + TAA, 256GB PCIe SSD (main storage, user swappable), Sunlight Readable (LCD + Touchscreen + Stylus), US KBD + US Power Cord, Membrane Backlit KBD, WIFI + BT + 4G LTE w/ dedicated GPS/GLONASS + Passthrough, Barcode Reader, Thunderbolt 4, 3 Year Limited Warranty</t>
  </si>
  <si>
    <t>ST2S2ADASHYX</t>
  </si>
  <si>
    <t>S410G5 - Intel Core i5-1340P Processor, 14" + Windows Hello Webcam, Microsoft Windows 11 Pro x64 with 16GB RAM + TAA, 256GB PCIe SSD (main storage, user swappable), Sunlight Readable (Full HD LCD + Touchscreen + Stylus), US KBD + US Power Cord, Membrane Backlit KBD, WIFI + BT + 4G LTE w/ integrated GPS/GLONASS + Passthrough, Barcode Reader, Thunderbolt 4, 3 Year Limited Warranty</t>
  </si>
  <si>
    <t>ST272AQASJYX</t>
  </si>
  <si>
    <t>S410G5 - Intel Core i7-1360P Processor, 14" + Webcam, Microsoft Windows 11 Pro x64 with 16GB RAM + TAA, 512GB PCIe SSD (main storage, user swappable), Sunlight Readable (LCD + Touchscreen + Stylus), US KBD + US Power Cord, Membrane Backlit KBD, WIFI + BT + 4G LTE w/ integrated GPS/GLONASS + Passthrough, RS232+VGA Port+4th USB(USB 3.2 Gen 1 Type - A with PowerShare)+Thunderbolt 4, 3 Year Limited Warranty</t>
  </si>
  <si>
    <t>ST4N2CDASJXE</t>
  </si>
  <si>
    <t>S410G5 - Intel Core i5-1350P Processor, vPro Enterprise, 14" + Webcam, Microsoft Windows 11 Pro x64 with 16GB RAM + TAA, 512GB PCIe SSD (main storage, user swappable), Sunlight Readable (LCD + Touchscreen + Stylus), US KBD + US Power Cord, Membrane Backlit KBD, WIFI + BT + 4G LTE w/ dedicated GPS/GLONASS + Passthrough, RS232+VGA Port+4th USB(USB 3.2 Gen 1 Type - A with PowerShare)+Thunderbolt 4, 3 Year Limited Warranty</t>
  </si>
  <si>
    <t>ST3N2CDASHXE</t>
  </si>
  <si>
    <t>S410G5 - Intel Core i5-1340P Processor, 14" + Webcam, Microsoft Windows 11 Pro x64 with 16GB RAM + TAA, 512GB PCIe SSD (main storage, user swappable), Sunlight Readable (Full HD LCD + Touchscreen + Stylus), US KBD + US Power Cord, Membrane Backlit KBD, WIFI + BT + 4G LTE w/ integrated GPS/GLONASS + Passthrough, RS232+VGA Port+4th USB(USB 3.2 Gen 1 Type - A with PowerShare)+Thunderbolt 4, 3 Year Limited Warranty</t>
  </si>
  <si>
    <t>ST2N2CQASJXE</t>
  </si>
  <si>
    <t>S410G5 - Intel Core i5-1340P Processor, 14" + Windows Hello Webcam, Microsoft Windows 11 Pro x64 with 16GB RAM + TAA, 512GB PCIe SSD (main storage, user swappable), Sunlight Readable (Full HD LCD + Touchscreen + Stylus), US KBD + US Power Cord, Membrane Backlit KBD, WIFI + BT + 4G LTE w/ dedicated GPS/GLONASS + Passthrough, Thunderbolt 4, 3 Year Limited Warranty</t>
  </si>
  <si>
    <t>ST272CQASHXX</t>
  </si>
  <si>
    <t>S410G5 - Intel Core i5-1340P Processor, 14" + (Without Webcam) + Dual Battery (74.5Wh x 2) + HF RFID, Microsoft Windows 11 Pro x64 with 16GB RAM + TAA, 256GB PCIe SSD (main storage, user swappable), Sunlight Readable (LCD), US KBD + US Power Cord, Membrane Backlit KBD, WIFI + BT + 5G Sub-6 (EM9190) w/ integrated GPS/GLONASS, Thunderbolt 4, 3 Year Limited Warranty</t>
  </si>
  <si>
    <t>ST2H2ACASPXX</t>
  </si>
  <si>
    <t>S410G5 - Intel Core i5-1340P Processor, 14" + Windows Hello Webcam + LF / HF RFID(**), Microsoft Windows 11 Pro x64 with 16GB RAM + TAA, 256GB PCIe SSD (main storage, user swappable), Sunlight Readable (Full HD LCD + Touchscreen + Stylus), US KBD + US Power Cord, Membrane Backlit KBD, WIFI + BT + 4G LTE w/ integrated GPS/GLONASS + Passthrough, Thunderbolt 4, 3 Year Limited Warranty</t>
  </si>
  <si>
    <t>ST2R2AQASJXX</t>
  </si>
  <si>
    <t>S410G5 - Intel Core i5-1340P Processor, 14" + Windows Hello Webcam + HF RFID, Microsoft Windows 11 Pro x64 with 16GB RAM + TAA, 256GB PCIe SSD (main storage, user swappable), Sunlight Readable (Full HD LCD + Touchscreen + Stylus), US KBD + US Power Cord, Membrane Backlit KBD, WIFI + BT + 4G LTE w/ dedicated GPS/GLONASS + Passthrough, Media Bay Battery (46.6Wh) (Third Battery, user swappable), Thunderbolt 4, 3 Year Limited Warranty</t>
  </si>
  <si>
    <t>ST2Q2AQASHLX</t>
  </si>
  <si>
    <t>S410G5 - Intel Core i7-1360P Processor, 14" + Windows Hello Webcam, Microsoft Windows 11 Pro x64 with 16GB RAM + TAA, 256GB PCIe SSD (main storage, user swappable), Sunlight Readable (Full HD LCD + Touchscreen + Stylus), US KBD + US Power Cord, Membrane Backlit KBD, WIFI + BT + 4G LTE w/ dedicated GPS/GLONASS + Passthrough, Thunderbolt 4, 3 Year Limited Warranty</t>
  </si>
  <si>
    <t>ST472AQASHXX</t>
  </si>
  <si>
    <t>S410G5 - Intel Core i5-1340P Processor, 14" + Dual Battery (74.5Wh x 2) + Windows Hello Webcam, Microsoft Windows 11 Pro x64 with 16GB RAM + TAA, 512GB PCIe SSD (main storage, user swappable), Sunlight Readable (LCD + Touchscreen + Stylus), US KBD + US Power Cord, Membrane Backlit KBD, WIFI + BT + 4G LTE w/ dedicated GPS/GLONASS + Passthrough, Thunderbolt 4, 3 Year Limited Warranty</t>
  </si>
  <si>
    <t>ST2S2CDASHXX</t>
  </si>
  <si>
    <t>S410G5 - Intel Core i5-1340P Processor, 14" + Windows Hello Webcam, Microsoft Windows 11 Pro x64 with 16GB RAM + TAA, 512GB PCIe SSD (main storage, user swappable), Sunlight Readable (Full HD LCD + Touchscreen + Stylus), US KBD + US Power Cord, Membrane Backlit KBD, WIFI + BT + 4G LTE w/ integrated GPS/GLONASS + Passthrough, Thunderbolt 4, 3 Year Limited Warranty</t>
  </si>
  <si>
    <t>ST272CQASJXX</t>
  </si>
  <si>
    <t>S410G5 - Intel Core i7-1360P Processor, 14" + Windows Hello Webcam, Microsoft Windows 11 Pro x64 with 16GB RAM + TAA, 256GB PCIe SSD (main storage, user swappable), Sunlight Readable (Full HD LCD + Touchscreen + Stylus), US KBD + US Power Cord, Membrane Backlit KBD, WIFI + BT + 4G LTE w/ integrated GPS/GLONASS + Passthrough, Thunderbolt 4, 3 Year Limited Warranty</t>
  </si>
  <si>
    <t>ST472AQASJXX</t>
  </si>
  <si>
    <t>S410G5 - Intel Core i7-1370P Processor, vPro Enterprise, 14" + (Without Webcam), Microsoft Windows 11 Pro x64 with 16GB RAM + TAA, 512GB PCIe SSD (main storage, user swappable), Sunlight Readable (Full HD LCD), US KBD + US Power Cord, Membrane Backlit KBD, WIFI + BT, RS232+VGA Port+4th USB(USB 3.2 Gen 1 Type - A with PowerShare)+Thunderbolt 4, 3 Year Limited Warranty</t>
  </si>
  <si>
    <t>ST5D2C3ASDXE</t>
  </si>
  <si>
    <t>S410G5 - Intel Core i5-1340P Processor, 14" + (Without Webcam), Microsoft Windows 11 Pro x64 with 16GB RAM + TAA, 512GB PCIe SSD (main storage, user swappable), Sunlight Readable (Full HD LCD + Touchscreen + Stylus), US KBD + US Power Cord, Membrane Backlit KBD + Smart Card Reader, WIFI + BT, DVD Super-Multi Drive (user swappable), RS232 + VGA Port + 2nd LAN (RJ45) + Thunderbolt 4, 3 Year Limited Warranty</t>
  </si>
  <si>
    <t>ST2D2CQAWDMI</t>
  </si>
  <si>
    <t>S410G5 - Intel Core i7-1360P Processor, 14" + Windows Hello Webcam + LF / HF RFID(**), Microsoft Windows 11 Pro x64 with 16GB RAM + TAA, 256GB PCIe SSD (main storage, user swappable), Sunlight Readable (Full HD LCD + Touchscreen + Stylus), US KBD + US Power Cord, Membrane Backlit KBD, WIFI + BT, Thunderbolt 4, 3 Year Limited Warranty</t>
  </si>
  <si>
    <t>ST4R2AQASDXX</t>
  </si>
  <si>
    <t>S410G5 - Intel Core i7-1360P Processor, 14" + Windows Hello Webcam, Microsoft Windows 11 Pro x64 with 16GB RAM + TAA, 256GB PCIe SSD (main storage, user swappable), Sunlight Readable (LCD + Touchscreen + Stylus), US KBD + US Power Cord, Membrane Backlit KBD, WIFI + BT + 4G LTE w/ dedicated GPS/GLONASS + Passthrough, Thunderbolt 4, 3 Year Limited Warranty</t>
  </si>
  <si>
    <t>ST472ADASHXX</t>
  </si>
  <si>
    <t>S410G5 - Intel Core i5-1340P Processor, 14" + Windows Hello Webcam, Microsoft Windows 11 Pro x64 with 16GB RAM + TAA, 512GB PCIe SSD (main storage, user swappable), Sunlight Readable (LCD + Touchscreen + Stylus), US KBD + US Power Cord, Membrane Backlit KBD, WIFI + BT + 4G LTE w/ integrated GPS/GLONASS + Passthrough, Thunderbolt 4, 3 Year Limited Warranty</t>
  </si>
  <si>
    <t>ST272CDASJXX</t>
  </si>
  <si>
    <t>S410G5 - Intel Core i7-1360P Processor, 14" + Windows Hello Webcam, Microsoft Windows 11 Pro x64 with 16GB RAM + TAA, 512GB PCIe SSD (main storage, user swappable), Sunlight Readable (Full HD LCD + Touchscreen + Stylus), US KBD + US Power Cord, Membrane Backlit KBD, WIFI + BT, Thunderbolt 4, 3 Year Limited Warranty</t>
  </si>
  <si>
    <t>ST472CQASDXX</t>
  </si>
  <si>
    <t>S410G5 - Intel Core i7-1360P Processor, 14" + (Without Webcam) + Dual Battery (74.5Wh x 2), Microsoft Windows 11 Pro x64 with 16GB RAM + TAA, 512GB PCIe SSD (main storage, user swappable), Sunlight Readable (Full HD LCD + Touchscreen + Stylus), US KBD + US Power Cord, Membrane Backlit KBD, WIFI + BT, Thunderbolt 4, 3 Year Limited Warranty</t>
  </si>
  <si>
    <t>ST4C2CQASDXX</t>
  </si>
  <si>
    <t>S410G5 - Intel Core i5-1350P Processor, vPro Enterprise, 14" + Webcam, Microsoft Windows 11 Pro x64 with 16GB RAM + TAA, 512GB PCIe SSD (main storage, user swappable), Sunlight Readable (LCD + Touchscreen + Stylus), US KBD + US Power Cord, Membrane Backlit KBD + Micro SD, WIFI + BT, RS232 + VGA Port + 2nd LAN (RJ45) + Thunderbolt 4, 3 Year Limited Warranty</t>
  </si>
  <si>
    <t>ST3N2CDAFDXI</t>
  </si>
  <si>
    <t>S410G5 - Intel Core i5-1340P Processor, 14" + Windows Hello Webcam, Microsoft Windows 11 Pro x64 with 16GB RAM + TAA, 256GB PCIe SSD (main storage, user swappable), Sunlight Readable (Full HD LCD + Touchscreen + Stylus), US KBD + US Power Cord, Membrane Backlit KBD, WIFI + BT, Barcode Reader, Thunderbolt 4, 3 Year Limited Warranty</t>
  </si>
  <si>
    <t>ST272AQASDYX</t>
  </si>
  <si>
    <t>S410G5 - Intel Core i5-1340P Processor, 14" + Windows Hello Webcam, Microsoft Windows 11 Pro x64 with 16GB RAM + TAA, 256GB PCIe SSD (main storage, user swappable), Sunlight Readable (Full HD LCD + Touchscreen + Stylus), US KBD + US Power Cord, Membrane Backlit KBD, WIFI + BT + 4G LTE w/ dedicated GPS/GLONASS + Passthrough, Thunderbolt 4, 3 Year Limited Warranty</t>
  </si>
  <si>
    <t>ST272AQASHXX</t>
  </si>
  <si>
    <t>S410G5 - Intel Core i5-1340P Processor, 14" + Windows Hello Webcam, Microsoft Windows 11 Pro x64 with 16GB RAM + TAA, 256GB PCIe SSD (main storage, user swappable), Sunlight Readable (LCD + Touchscreen + Stylus), US KBD + US Power Cord, Membrane Backlit KBD, WIFI + BT + 4G LTE w/ integrated GPS/GLONASS + Passthrough, RS232 + Display Port + 2nd LAN (RJ45) + Thunderbolt 4, 3 Year Limited Warranty</t>
  </si>
  <si>
    <t>ST272ADASJX2</t>
  </si>
  <si>
    <t>S410G5 - Intel Core i5-1340P Processor, 14" + Windows Hello Webcam, Microsoft Windows 11 Pro x64 with 16GB RAM + TAA, 256GB PCIe SSD (main storage, user swappable), Sunlight Readable (Full HD LCD + Touchscreen + Stylus), US KBD + US Power Cord, Membrane Backlit KBD, WIFI + BT + 4G LTE w/ integrated GPS/GLONASS + Passthrough, Thunderbolt 4, 3 Year Limited Warranty</t>
  </si>
  <si>
    <t>ST272AQASJXX</t>
  </si>
  <si>
    <t>S410G5 - Intel Core i5-1340P Processor, 14" + Dual Battery (74.5Wh x 2) + Windows Hello Webcam, Microsoft Windows 11 Pro x64 with 16GB RAM + TAA, 256GB PCIe SSD (main storage, user swappable), Sunlight Readable (LCD + Touchscreen + Stylus), US KBD + US Power Cord, Membrane Backlit KBD, WIFI + BT + 4G LTE w/ integrated GPS/GLONASS, Thunderbolt 4, 3 Year Limited Warranty</t>
  </si>
  <si>
    <t>ST2S2ADASFXX</t>
  </si>
  <si>
    <t>S410G5 - Intel Core i5-1340P Processor, 14" + Windows Hello Webcam, Microsoft Windows 11 Pro x64 with 16GB RAM + TAA, 512GB PCIe SSD (main storage, user swappable), Sunlight Readable (LCD + Touchscreen + Stylus), US KBD + US Power Cord, Membrane Backlit KBD, WIFI + BT + Dedicated GPS / GLONASS, Thunderbolt 4, 3 Year Limited Warranty</t>
  </si>
  <si>
    <t>ST272CDAS3XX</t>
  </si>
  <si>
    <t>S410G5 - Intel Core i5-1340P Processor, 14" + Windows Hello Webcam, Microsoft Windows 11 Pro x64 with 16GB RAM + TAA, 256GB PCIe SSD (main storage, user swappable), Sunlight Readable (LCD + Touchscreen + Stylus), US KBD + US Power Cord, Membrane Backlit KBD, WIFI + BT, Barcode Reader, Thunderbolt 4, 3 Year Limited Warranty</t>
  </si>
  <si>
    <t>ST272ADASDYX</t>
  </si>
  <si>
    <t>S410G5 - Intel Core i5-1340P Processor, 14" + Windows Hello Webcam, Microsoft Windows 11 Pro x64 with 16GB RAM + TAA, 256GB PCIe SSD (main storage, user swappable), Sunlight Readable (LCD + Touchscreen + Stylus), US KBD + US Power Cord, Membrane Backlit KBD, WIFI + BT + 4G LTE w/ dedicated GPS/GLONASS + Passthrough, Thunderbolt 4, 3 Year Limited Warranty</t>
  </si>
  <si>
    <t>ST272ADASHXX</t>
  </si>
  <si>
    <t>S410G5 - Intel Core i5-1350P Processor, vPro Enterprise, 14" + Dual Battery (74.5Wh x 2) + Windows Hello Webcam, Microsoft Windows 11 Pro x64 with 8GB RAM + TAA, 256GB PCIe SSD (main storage, user swappable), Sunlight Readable (Full HD LCD + Touchscreen + Stylus), US KBD + US Power Cord, Membrane Backlit KBD, WIFI + BT + Passthrough, RS232+VGA Port+4th USB(USB 3.2 Gen 1 Type - A with PowerShare)+Thunderbolt 4, 3 Year Limited Warranty</t>
  </si>
  <si>
    <t>ST3S1AQASKXE</t>
  </si>
  <si>
    <t>S410G5 - Intel Core i5-1340P Processor, 14" + Windows Hello Webcam, Microsoft Windows 11 Pro x64 with 16GB RAM + TAA, 512GB PCIe SSD (main storage, user swappable), Sunlight Readable (Full HD LCD + Touchscreen + Stylus), US KBD + US Power Cord, Membrane Backlit KBD, WIFI + BT, Thunderbolt 4, 3 Year Limited Warranty</t>
  </si>
  <si>
    <t>ST272CQASDXX</t>
  </si>
  <si>
    <t>S410G5 - Intel Core i5-1350P Processor, vPro Enterprise, 14" + Windows Hello Webcam, Microsoft Windows 11 Pro x64 with 16GB RAM + TAA, 256GB PCIe SSD (main storage, user swappable), Sunlight Readable (Full HD LCD + Touchscreen + Stylus), US KBD + US Power Cord, Membrane Backlit KBD + Fingerprint, WIFI + BT, Thunderbolt 4, 3 Year Limited Warranty</t>
  </si>
  <si>
    <t>ST372AQATDXX</t>
  </si>
  <si>
    <t>S410G5 - Intel Core i5-1340P Processor, 14" + Windows Hello Webcam, Microsoft Windows 11 Pro x64 with 16GB RAM + TAA, 256GB PCIe SSD (main storage, user swappable), Sunlight Readable (LCD + Touchscreen + Stylus), US KBD + US Power Cord, Membrane Backlit KBD, WIFI + BT + 4G LTE w/ integrated GPS/GLONASS + Passthrough, Thunderbolt 4, 3 Year Limited Warranty</t>
  </si>
  <si>
    <t>ST272ADASJXX</t>
  </si>
  <si>
    <t>S410G5 - Intel Core i5-1340P Processor, 14" + Webcam, Microsoft Windows 11 Pro x64 with 16GB RAM + TAA, 512GB PCIe SSD (main storage, user swappable), Sunlight Readable (Full HD LCD + Touchscreen + Stylus), US KBD + US Power Cord, Membrane Backlit KBD, WIFI + BT, Thunderbolt 4, 3 Year Limited Warranty</t>
  </si>
  <si>
    <t>ST2N2CQASDXX</t>
  </si>
  <si>
    <t>S410G5 - Intel Core i5-1340P Processor, 14" + Windows Hello Webcam, Microsoft Windows 11 Pro x64 with 8GB RAM + TAA, 256GB PCIe SSD (main storage, user swappable), Sunlight Readable (Full HD LCD + Touchscreen + Stylus), US KBD + US Power Cord, Membrane Backlit KBD, WIFI + BT + 4G LTE w/ dedicated GPS/GLONASS + Passthrough, Thunderbolt 4, 3 Year Limited Warranty</t>
  </si>
  <si>
    <t>ST271AQASHXX</t>
  </si>
  <si>
    <t>S410G5 - Intel Core i5-1340P Processor, 14" + (Without Webcam), Microsoft Windows 11 Pro x64 with 16GB RAM + TAA, 256GB PCIe SSD (main storage, user swappable), Sunlight Readable (LCD + Touchscreen + Stylus), US KBD + US Power Cord, Membrane Backlit KBD, WIFI + BT + 4G LTE w/ dedicated GPS/GLONASS + Passthrough, Thunderbolt 4, 3 Year Limited Warranty</t>
  </si>
  <si>
    <t>ST2D2ADASHXX</t>
  </si>
  <si>
    <t>S410G5 - Intel Core i5-1340P Processor, 14" + Webcam, Microsoft Windows 11 Pro x64 with 16GB RAM + TAA, 256GB PCIe SSD (main storage, user swappable), Sunlight Readable (Full HD LCD + Touchscreen + Stylus), US KBD + US Power Cord, Membrane Backlit KBD, WIFI + BT, RS232+VGA Port+4th USB(USB 3.2 Gen 1 Type - A with PowerShare)+Thunderbolt 4, 3 Year Limited Warranty</t>
  </si>
  <si>
    <t>ST2N2AQASDXE</t>
  </si>
  <si>
    <t>S410G5 - Intel Core i5-1340P Processor, 14" + (Without Webcam), Microsoft Windows 11 Pro x64 with 16GB RAM + TAA, 512GB PCIe SSD (main storage, user swappable), Sunlight Readable (Full HD LCD + Touchscreen + Stylus), US KBD + US Power Cord, Membrane Backlit KBD, WIFI + BT, Thunderbolt 4, 3 Year Limited Warranty</t>
  </si>
  <si>
    <t>ST2D2CQASDXX</t>
  </si>
  <si>
    <t>S410G5 - Intel Core i5-1340P Processor, 14" + Windows Hello Webcam, Microsoft Windows 11 Pro x64 with 8GB RAM + TAA, 256GB PCIe SSD (main storage, user swappable), Sunlight Readable (Full HD LCD + Touchscreen + Stylus), US KBD + US Power Cord, Membrane Backlit KBD, WIFI + BT + 4G LTE w/ integrated GPS/GLONASS + Passthrough, Thunderbolt 4, 3 Year Limited Warranty</t>
  </si>
  <si>
    <t>ST271AQASJXX</t>
  </si>
  <si>
    <t>S410G5 - Intel Core i5-1340P Processor, 14" + Windows Hello Webcam + HF RFID, Microsoft Windows 11 Pro x64 with 16GB RAM + TAA, 256GB PCIe SSD (main storage, user swappable), Sunlight Readable (Full HD LCD + Touchscreen + Stylus), US KBD + US Power Cord, Membrane Backlit KBD, WIFI + BT, Thunderbolt 4, 3 Year Limited Warranty</t>
  </si>
  <si>
    <t>ST2Q2AQASDXX</t>
  </si>
  <si>
    <t>S410G5 - Intel Core i5-1340P Processor, 14" + Webcam, Microsoft Windows 11 Pro x64 with 16GB RAM + TAA, 512GB PCIe SSD (main storage, user swappable), Sunlight Readable (Full HD LCD), US KBD + US Power Cord, Membrane Backlit KBD, WIFI + BT, Thunderbolt 4, 3 Year Limited Warranty</t>
  </si>
  <si>
    <t>ST2N2C3ASDXX</t>
  </si>
  <si>
    <t>S410G5 - Intel Core i5-1340P Processor, 14" + (Without Webcam), Microsoft Windows 11 Pro x64 with 16GB RAM + TAA, 256GB PCIe SSD (main storage, user swappable), Sunlight Readable (LCD + Touchscreen + Stylus), US KBD + US Power Cord, Membrane Backlit KBD, WIFI + BT + 4G LTE w/ integrated GPS/GLONASS + Passthrough, Thunderbolt 4, 3 Year Limited Warranty</t>
  </si>
  <si>
    <t>ST2D2ADASJXX</t>
  </si>
  <si>
    <t>S410G5 - Intel Core i5-1340P Processor, 14" + Windows Hello Webcam, Microsoft Windows 11 Pro x64 with 16GB RAM + TAA, 512GB PCIe SSD (main storage, user swappable), Sunlight Readable (LCD + Touchscreen + Stylus), US KBD + US Power Cord, Membrane Backlit KBD, WIFI + BT, Thunderbolt 4, 3 Year Limited Warranty</t>
  </si>
  <si>
    <t>ST272CDASDXX</t>
  </si>
  <si>
    <t>S410G5 - Intel Core i5-1340P Processor, 14" + Webcam, Microsoft Windows 11 Pro x64 with 16GB RAM + TAA, 256GB PCIe SSD (main storage, user swappable), Sunlight Readable (LCD), US KBD + US Power Cord, Membrane Backlit KBD, WIFI + BT + 4G LTE w/ integrated GPS/GLONASS, Thunderbolt 4, 3 Year Limited Warranty</t>
  </si>
  <si>
    <t>ST2N2ACASFXX</t>
  </si>
  <si>
    <t>S410G5 - Intel Core i5-1340P Processor, 14" + Webcam, Microsoft Windows 11 Pro x64 with 16GB RAM + TAA, 512GB PCIe SSD (main storage, user swappable), Sunlight Readable (LCD + Touchscreen + Stylus), US KBD + US Power Cord, Membrane Backlit KBD, WIFI + BT, Thunderbolt 4, 3 Year Limited Warranty</t>
  </si>
  <si>
    <t>ST2N2CDASDXX</t>
  </si>
  <si>
    <t>S410G5 - Intel Core i5-1340P Processor, 14" + Webcam, Microsoft Windows 11 Pro x64 with 16GB RAM + TAA, 256GB PCIe SSD (main storage, user swappable), Sunlight Readable (LCD + Touchscreen + Stylus), US KBD + US Power Cord, Membrane Backlit KBD, WIFI + BT + Dedicated GPS/GLONASS + Passthrough, Thunderbolt 4, 3 Year Limited Warranty</t>
  </si>
  <si>
    <t>ST2N2ADAS6XX</t>
  </si>
  <si>
    <t>S410G5 - Intel Core i5-1340P Processor, 14" + Windows Hello Webcam, Microsoft Windows 11 Pro x64 with 16GB RAM + TAA, 256GB PCIe SSD (main storage, user swappable), Sunlight Readable (Full HD LCD + Touchscreen + Stylus), US KBD + US Power Cord, Membrane Backlit KBD, WIFI + BT, Thunderbolt 4, 3 Year Limited Warranty</t>
  </si>
  <si>
    <t>ST272AQASDXX</t>
  </si>
  <si>
    <t>S410G5 - Intel Core i7-1360P Processor, 14" + (Without Webcam), Microsoft Windows 11 Pro x64 with 16GB RAM + TAA, 256GB PCIe SSD (main storage, user swappable), Sunlight Readable (LCD), US KBD + US Power Cord, Membrane Backlit KBD, WIFI + BT, RS232+VGA Port+4th USB(USB 3.2 Gen 1 Type - A with PowerShare)+Thunderbolt 4, 3 Year Limited Warranty</t>
  </si>
  <si>
    <t>ST4D2ACASDXE</t>
  </si>
  <si>
    <t>S410G5 - Intel Core i5-1340P Processor, 14" + Windows Hello Webcam, Microsoft Windows 11 Pro x64 with 16GB RAM + TAA, 256GB PCIe SSD (main storage, user swappable), Sunlight Readable (LCD + Touchscreen + Stylus), US KBD + US Power Cord, Membrane Backlit KBD + Fingerprint, WIFI + BT, Thunderbolt 4, 3 Year Limited Warranty</t>
  </si>
  <si>
    <t>ST272ADATDXX</t>
  </si>
  <si>
    <t>S410G5 - Intel Core i5-1340P Processor, 14" + Webcam, Microsoft Windows 11 Pro x64 with 16GB RAM + TAA, 256GB PCIe SSD (main storage, user swappable), Sunlight Readable (Full HD LCD + Touchscreen + Stylus), US KBD + US Power Cord, Membrane Backlit KBD, WIFI + BT, Thunderbolt 4, 3 Year Limited Warranty</t>
  </si>
  <si>
    <t>ST2N2AQASDXX</t>
  </si>
  <si>
    <t>S410G5 - Intel Core i5-1340P Processor, 14" + Windows Hello Webcam, Microsoft Windows 11 Pro x64 with 16GB RAM + TAA, 256GB PCIe SSD (main storage, user swappable), Sunlight Readable (LCD + Touchscreen + Stylus), US KBD + US Power Cord, Membrane Backlit KBD + Micro SD, WIFI + BT, Thunderbolt 4, 3 Year Limited Warranty</t>
  </si>
  <si>
    <t>ST272ADAFDXX</t>
  </si>
  <si>
    <t>S410G5 - Intel Core i5-1340P Processor, 14" + Windows Hello Webcam, Microsoft Windows 11 Pro x64 with 16GB RAM + TAA, 256GB PCIe SSD (main storage, user swappable), Sunlight Readable (Full HD LCD), US KBD + US Power Cord, Membrane Backlit KBD, WIFI + BT, Thunderbolt 4, 3 Year Limited Warranty</t>
  </si>
  <si>
    <t>ST272A3ASDXX</t>
  </si>
  <si>
    <t>S410G5 - Intel Core i5-1340P Processor, 14" + (Without Webcam), Microsoft Windows 11 Pro x64 with 8GB RAM + TAA, 256GB PCIe SSD (main storage, user swappable), Sunlight Readable (Full HD LCD), US KBD + US Power Cord, Membrane Backlit KBD, WIFI + BT + 4G LTE w/ integrated GPS/GLONASS, Thunderbolt 4, 3 Year Limited Warranty</t>
  </si>
  <si>
    <t>ST2D1A3ASFXX</t>
  </si>
  <si>
    <t>S410G5 - Intel Core i7-1360P Processor, 14" + Webcam, Microsoft Windows 11 Pro x64 with 8GB RAM + TAA, 256GB PCIe SSD (main storage, user swappable), Sunlight Readable (LCD), US KBD + US Power Cord, Membrane Backlit KBD, WIFI + BT, RS232+Display Port+4th USB(USB 3.2 Gen 1 Type - A with PowerShare)+Thunderbolt 4, 3 Year Limited Warranty</t>
  </si>
  <si>
    <t>ST4N1ACASDX3</t>
  </si>
  <si>
    <t>S410G5 - Intel Core i5-1340P Processor, 14" + Webcam, Microsoft Windows 11 Pro x64 with 16GB RAM + TAA, 256GB PCIe SSD (main storage, user swappable), Sunlight Readable (Full HD LCD), US KBD + US Power Cord, Membrane Backlit KBD, WIFI + BT, Thunderbolt 4, 3 Year Limited Warranty</t>
  </si>
  <si>
    <t>ST2N2A3ASDXX</t>
  </si>
  <si>
    <t>S410G5 - Intel Core i5-1340P Processor, 14" + Windows Hello Webcam, Microsoft Windows 11 Pro x64 with 16GB RAM + TAA, 256GB PCIe SSD (main storage, user swappable), Sunlight Readable (LCD + Touchscreen + Stylus), US KBD + US Power Cord, Membrane Backlit KBD, WIFI + BT, Thunderbolt 4, 3 Year Limited Warranty</t>
  </si>
  <si>
    <t>ST272ADASDXX</t>
  </si>
  <si>
    <t>S410G5 - Intel Core i5-1340P Processor, 14" + Webcam, Microsoft Windows 11 Pro x64 with 16GB RAM + TAA, 256GB PCIe SSD (main storage, user swappable), Sunlight Readable (LCD + Touchscreen + Stylus), US KBD + US Power Cord, Membrane Backlit KBD, WIFI + BT, Thunderbolt 4, 3 Year Limited Warranty</t>
  </si>
  <si>
    <t>ST2N2ADASDXX</t>
  </si>
  <si>
    <t>S410G5 - Intel Core i5-1340P Processor, 14" + Windows Hello Webcam, Microsoft Windows 11 Pro x64 with 8GB RAM + TAA, 256GB PCIe SSD (main storage, user swappable), Sunlight Readable (Full HD LCD + Touchscreen + Stylus), US KBD + US Power Cord, Membrane Backlit KBD, WIFI + BT, Thunderbolt 4, 3 Year Limited Warranty</t>
  </si>
  <si>
    <t>ST271AQASDXX</t>
  </si>
  <si>
    <t>S410G5 - Intel Core i5-1340P Processor, 14" + Windows Hello Webcam, Microsoft Windows 11 Pro x64 with 16GB RAM + TAA, 256GB PCIe SSD (main storage, user swappable), Sunlight Readable (LCD), US KBD + US Power Cord, Membrane Backlit KBD, WIFI + BT, Thunderbolt 4, 3 Year Limited Warranty</t>
  </si>
  <si>
    <t>ST272ACASDXX</t>
  </si>
  <si>
    <t>S410G5 - Intel Core i5-1340P Processor, 14" + (Without Webcam) + Dual Battery (74.5Wh x 2), Microsoft Windows 11 Pro x64 with 16GB RAM + TAA, 256GB PCIe SSD (main storage, user swappable), Sunlight Readable (LCD), US KBD + US Power Cord, Membrane Backlit KBD, WIFI + BT, Thunderbolt 4, 3 Year Limited Warranty</t>
  </si>
  <si>
    <t>ST2C2ACASDXX</t>
  </si>
  <si>
    <t>S410G5 - Intel Core i5-1340P Processor, 14" + Webcam, Microsoft Windows 11 Pro x64 with 16GB RAM + TAA, 256GB PCIe SSD (main storage, user swappable), Sunlight Readable (LCD), US KBD + US Power Cord, Membrane Backlit KBD, WIFI + BT, Thunderbolt 4, 3 Year Limited Warranty</t>
  </si>
  <si>
    <t>ST2N2ACASDXX</t>
  </si>
  <si>
    <t>S410G5 - Intel Core i5-1340P Processor, 14" + (Without Webcam), Microsoft Windows 11 Pro x64 with 16GB RAM + TAA, 256GB PCIe SSD (main storage, user swappable), Sunlight Readable (LCD), US KBD + US Power Cord, Membrane Backlit KBD, WIFI + BT, Thunderbolt 4, 3 Year Limited Warranty</t>
  </si>
  <si>
    <t>ST2D2ACASDXX</t>
  </si>
  <si>
    <t>S410G5 - Intel Core i5-1340P Processor, 14" + Webcam, Microsoft Windows 11 Pro x64 with 8GB RAM + TAA, 256GB PCIe SSD (main storage, user swappable), Sunlight Readable (LCD), US KBD + US Power Cord, Membrane Backlit KBD + Micro SD, WIFI + BT, Thunderbolt 4, 3 Year Limited Warranty</t>
  </si>
  <si>
    <t>ST2N1ACAFDXX</t>
  </si>
  <si>
    <t>S410G5 - Intel Core i5-1340P Processor, 14" + Webcam, Microsoft Windows 11 Pro x64 with 8GB RAM + TAA, 256GB PCIe SSD (main storage, user swappable), Sunlight Readable (LCD + Touchscreen + Stylus), US KBD + US Power Cord, Membrane Backlit KBD, WIFI + BT, Thunderbolt 4, 3 Year Limited Warranty</t>
  </si>
  <si>
    <t>ST2N1ADASDXX</t>
  </si>
  <si>
    <t>S410G5 - Intel Core i5-1340P Processor, 14" + Windows Hello Webcam, Microsoft Windows 11 Pro x64 with 8GB RAM + TAA, 256GB PCIe SSD (main storage, user swappable), Sunlight Readable (LCD), US KBD + US Power Cord, Membrane Backlit KBD, WIFI + BT, Thunderbolt 4, 3 Year Limited Warranty</t>
  </si>
  <si>
    <t>ST271ACASDXX</t>
  </si>
  <si>
    <t>S410G5 - Intel Core i5-1340P Processor, 14" + Webcam, Microsoft Windows 11 Pro x64 with 8GB RAM + TAA, 256GB PCIe SSD (main storage, user swappable), Sunlight Readable (LCD), US KBD + US Power Cord, Membrane Backlit KBD, WIFI + BT, Thunderbolt 4, 3 Year Limited Warranty</t>
  </si>
  <si>
    <t>ST2N1ACASDXX</t>
  </si>
  <si>
    <t>K120G3 with Keyboard Dock - Intel Core i7-1365U Processor, vPro Enterprise, 12.5" + W/Windows Hello Webcam + Standard Batteries (2-pack), Microsoft Windows 11 Pro x64 with 32GB RAM + TAA, 512GB PCIe SSD, Sunlight Readable Full HD LCD + Touchscreen + Rear Camera + Hard Tip stylus, USB-C AC Adapter + US Power Cord, US Keyboard Dock (w/ RF Passthrough), WIFI + BT + 5G Sub-6 (EM9190) + Dedicated GPS/Glonass + Passthrough(**), 3 Year B2B Warranty</t>
  </si>
  <si>
    <t>KT7736V1ANXX</t>
  </si>
  <si>
    <t>K120G3</t>
  </si>
  <si>
    <t>K120G3 with Keyboard Dock - Intel Core i5-1335U Processor, 12.5" + W/Windows Hello Webcam + Standard Batteries (2-pack), Microsoft Windows 11 Pro x64 with 16GB RAM + TAA, 256GB PCIe SSD, Sunlight Readable Full HD LCD + Touchscreen + Digitizer + Rear Camera, USB-C AC Adapter + US Power Cord, US Keyboard Dock (w/ RF Passthrough), Wifi + BT + 4G LTE (EM7511) w/ integrated GPS/Glonass + Passthrough, Laser Barcode Reader, 3 Year B2B Warranty</t>
  </si>
  <si>
    <t>KTA724W1ACXF</t>
  </si>
  <si>
    <t>K120G3 with Keyboard Dock - Intel Core i5-1335U Processor, 12.5" + W/ Webcam + Tablet Hard Handle + Standard Batteries (2-pack), Microsoft Windows 11 Pro x64 with 32GB RAM + TAA, 256GB PCIe SSD, Sunlight Readable Full HD LCD + Touchscreen + Digitizer + Rear Camera, USB-C AC Adapter + US Power Cord, US Keyboard Dock (w/ RF Passthrough), Wifi+BT+Passthrough, LED Barcode Reader, 3 Year B2B Warranty</t>
  </si>
  <si>
    <t>KTAE34W1AKXZ</t>
  </si>
  <si>
    <t>K120G3 with Keyboard Dock - Intel Core i5-1335U Processor, 12.5" + W/Windows Hello Webcam + Standard Batteries (2-pack), Microsoft Windows 11 Pro x64 with 16GB RAM + TAA, 256GB PCIe SSD, Sunlight Readable Full HD LCD + Touchscreen + Rear Camera + Hard Tip stylus, USB-C AC Adapter + US Power Cord, US Keyboard Dock (w/ RF Passthrough), WIFI + BT+ 5G Sub-6 (EM9190) w/ integrated GPS/Glonass + Pasthrough, 3 Year B2B Warranty</t>
  </si>
  <si>
    <t>KTA724V1AQXX</t>
  </si>
  <si>
    <t>K120G3 with Keyboard Dock - Intel Core i5-1335U Processor, 12.5" + W/Windows Hello Webcam + Standard Batteries (2-pack), Microsoft Windows 11 Pro x64 with 16GB RAM + TAA, 256GB PCIe SSD, Sunlight Readable Full HD LCD + Touchscreen + Rear Camera + Hard Tip stylus, USB-C AC Adapter + US Power Cord, US Keyboard Dock (w/ RF Passthrough), WIFI + BT + 4G LTE (EM7511) + Dedicated GPS/Glonass + Passthrough(**), 3 Year B2B Warranty</t>
  </si>
  <si>
    <t>KTA724V1AMXX</t>
  </si>
  <si>
    <t>K120G3 with Keyboard Dock - Intel Core i5-1335U Processor, 12.5" + W/Windows Hello Webcam + Standard Batteries (2-pack), Microsoft Windows 11 Pro x64 with 16GB RAM + TAA, 256GB PCIe SSD, Sunlight Readable Full HD LCD + Touchscreen + Rear Camera + Hard Tip stylus, USB-C AC Adapter + US Power Cord, US Keyboard Dock (w/ RF Passthrough), Wifi+BT+Passthrough, 3 Year B2B Warranty</t>
  </si>
  <si>
    <t>KTA724V1AKXX</t>
  </si>
  <si>
    <t>K120G3 - Intel Core i7-1365U Processor, vPro Enterprise, 12.5" + W/Windows Hello Webcam + Standard Batteries (2-pack), Microsoft Windows 11 Pro x64 with 32GB RAM + TAA, 512GB PCIe SSD, Sunlight Readable Full HD LCD + Touchscreen + Rear Camera + Hard Tip stylus, USB-C AC Adapter + US Power Cord, (Without Keyboard Dock), WIFI + BT + 5G Sub-6 (EM9190) + Dedicated GPS/Glonass + Passthrough(**), HF RFID, 3 Year B2B Warranty</t>
  </si>
  <si>
    <t>KT7736V1XNXS</t>
  </si>
  <si>
    <t>K120G3 - Intel Core i7-1355U  Processor, 12.5" + W/Windows Hello Webcam + Standard Batteries (2-pack), Microsoft Windows 11 Pro x64 with 32GB RAM + TAA, 512GB PCIe SSD, Sunlight Readable Full HD LCD + Touchscreen + Rear Camera + Hard Tip stylus, USB-C AC Adapter + US Power Cord, (Without Keyboard Dock), Wifi + BT + 4G LTE (EM7511) w/ integrated GPS/Glonass + Passthrough, 3 Year B2B Warranty</t>
  </si>
  <si>
    <t>KTB736V1XCXX</t>
  </si>
  <si>
    <t>K120G3 - Intel Core i5-1335U Processor, 12.5" + W/ Windows Hello Webcam + Tablet Hard Handle + Standard Batteries (2-pack), Microsoft Windows 11 Pro x64 with 16GB RAM + TAA, 256GB PCIe SSD, Sunlight Readable Full HD LCD + Touchscreen + Rear Camera + Hard Tip stylus, USB-C AC Adapter + US Power Cord, (Without Keyboard Dock), WIFI + BT + 4G LTE (EM7511) + Dedicated GPS/Glonass + Passthrough(**), TraCS-compatible Barcode Reader, 3 Year B2B Warranty</t>
  </si>
  <si>
    <t>KTAC24V1XMXG</t>
  </si>
  <si>
    <t>K120G3 - Intel Core i7-1355U  Processor, 12.5" + W/Windows Hello Webcam + Standard Batteries (2-pack), Microsoft Windows 11 Pro x64 with 16GB RAM + TAA, 512GB PCIe SSD, Sunlight Readable Full HD LCD + Touchscreen + Rear Camera + Hard Tip stylus, USB-C AC Adapter + US Power Cord, (Without Keyboard Dock), Wifi+BT+Passthrough, TraCS-compatible Barcode Reader, 3 Year B2B Warranty</t>
  </si>
  <si>
    <t>KTB726V1XKXG</t>
  </si>
  <si>
    <t>K120G3 - Intel Core i5-1335U Processor, 12.5" + W/Windows Hello Webcam + Standard Batteries (2-pack), Microsoft Windows 11 Pro x64 with 16GB RAM + TAA, 256GB PCIe SSD, Sunlight Readable Full HD LCD + Touchscreen + Rear Camera + Hard Tip stylus, USB-C AC Adapter + US Power Cord, (Without Keyboard Dock), WIFI + BT + 5G Sub-6 (EM9190) + Dedicated GPS/Glonass + Passthrough(**), 3 Year B2B Warranty</t>
  </si>
  <si>
    <t>KTA724V1XNXX</t>
  </si>
  <si>
    <t>K120G3 - Intel Core i5-1335U Processor, 12.5" + W/ Webcam + Tablet Hard Handle + Standard Batteries (2-pack), Microsoft Windows 11 Pro x64 with 32GB RAM + TAA, 256GB PCIe SSD, Sunlight Readable Full HD LCD + Touchscreen + Digitizer + Rear Camera, USB-C AC Adapter + US Power Cord, (Without Keyboard Dock), Wifi+BT+Passthrough, LED Barcode Reader, 3 Year B2B Warranty</t>
  </si>
  <si>
    <t>KTAE34W1XKXZ</t>
  </si>
  <si>
    <t>K120G3 - Intel Core i7-1355U  Processor, 12.5" + W/Windows Hello Webcam + Standard Batteries (2-pack), Microsoft Windows 11 Pro x64 with 32GB RAM + TAA, 256GB PCIe SSD, Sunlight Readable Full HD LCD + Touchscreen + Rear Camera + Hard Tip stylus, USB-C AC Adapter + US Power Cord, (Without Keyboard Dock), Wifi+BT+Passthrough, LED Barcode Reader, 3 Year B2B Warranty</t>
  </si>
  <si>
    <t>KTB734V1XKXZ</t>
  </si>
  <si>
    <t>K120G3 - Intel Core i5-1335U Processor, 12.5" + W/Windows Hello Webcam + Standard Batteries (2-pack), Microsoft Windows 11 Pro x64 with 16GB RAM + TAA, 256GB PCIe SSD, Sunlight Readable Full HD LCD + Touchscreen + Rear Camera + Hard Tip stylus, USB-C AC Adapter + US Power Cord, (Without Keyboard Dock), WIFI + BT + 4G LTE (EM7511) + Dedicated GPS/Glonass + Passthrough(**), LED Barcode Reader, 3 Year B2B Warranty</t>
  </si>
  <si>
    <t>KTA724V1XMXZ</t>
  </si>
  <si>
    <t>K120G3 - Intel Core i5-1335U Processor, 12.5" + W/Windows Hello Webcam + Standard Batteries (2-pack), Microsoft Windows 11 Pro x64 with 16GB RAM + TAA, 512GB PCIe SSD, Sunlight Readable Full HD LCD + Touchscreen + Rear Camera + Hard Tip stylus, USB-C AC Adapter + US Power Cord, (Without Keyboard Dock), WIFI + BT + 4G LTE (EM7511) + Dedicated GPS/Glonass + Passthrough(**), 3 Year B2B Warranty</t>
  </si>
  <si>
    <t>KTA726V1XMXX</t>
  </si>
  <si>
    <t>K120G3 - Intel Core i7-1355U  Processor, 12.5" + W/Windows Hello Webcam + Standard Batteries (2-pack), Microsoft Windows 11 Pro x64 with 16GB RAM + TAA, 256GB PCIe SSD, Sunlight Readable Full HD LCD + Touchscreen + Rear Camera + Hard Tip stylus, USB-C AC Adapter + US Power Cord, (Without Keyboard Dock), WIFI + BT + 4G LTE (EM7511) + Dedicated GPS/Glonass + Passthrough(**), 3 Year B2B Warranty</t>
  </si>
  <si>
    <t>KTB724V1XMXX</t>
  </si>
  <si>
    <t>K120G3 - Intel Core i5-1345U Processor, vPro Enterprise, 12.5" + W/ Webcam + High Capacity Batteries (2-pack), Microsoft Windows 11 Pro x64 with 16GB RAM + TAA, 256GB PCIe SSD, Sunlight Readable Full HD LCD + Touchscreen + Rear Camera + Hard Tip stylus, USB-C AC Adapter + US Power Cord, (Without Keyboard Dock), Wifi+BT+Passthrough, Laser Barcode Reader, 3 Year B2B Warranty</t>
  </si>
  <si>
    <t>KT6224V1XKXF</t>
  </si>
  <si>
    <t>K120G3 - Intel Core i5-1335U Processor, 12.5" + W/Windows Hello Webcam + Standard Batteries (2-pack), Microsoft Windows 11 Pro x64 with 16GB RAM + TAA, 256GB PCIe SSD, Sunlight Readable Full HD LCD + Touchscreen + Rear Camera + Hard Tip stylus, USB-C AC Adapter + US Power Cord, (Without Keyboard Dock), WIFI + BT + 4G LTE (EM7511) + Dedicated GPS/Glonass + Passthrough(**), 3 Year B2B Warranty</t>
  </si>
  <si>
    <t>KTA724V1XMXX</t>
  </si>
  <si>
    <t>K120G3 - Intel Core i7-1355U  Processor, 12.5" + W/Windows Hello Webcam + Standard Batteries (2-pack), Microsoft Windows 11 Pro x64 with 16GB RAM + TAA, 512GB PCIe SSD, Sunlight Readable Full HD LCD + Touchscreen + Rear Camera + Hard Tip stylus, USB-C AC Adapter + US Power Cord, (Without Keyboard Dock), Wifi+BT+Passthrough, 3 Year B2B Warranty</t>
  </si>
  <si>
    <t>KTB726V1XKXX</t>
  </si>
  <si>
    <t>K120G3 - Intel Core i7-1355U  Processor, 12.5" + W/ Webcam + Standard Batteries (2-pack), Microsoft Windows 11 Pro x64 with 16GB RAM + TAA, 512GB PCIe SSD, Sunlight Readable Full HD LCD + Touchscreen + Rear Camera + Hard Tip stylus, USB-C AC Adapter + US Power Cord, (Without Keyboard Dock), Wifi+BT+Passthrough, 3 Year B2B Warranty</t>
  </si>
  <si>
    <t>KTB126V1XKXX</t>
  </si>
  <si>
    <t>K120G3 - Intel Core i5-1335U Processor, 12.5" + W/ Webcam + Standard Batteries (2-pack), Microsoft Windows 11 Pro x64 with 16GB RAM + TAA, 256GB PCIe SSD, Sunlight Readable Full HD LCD + Touchscreen + Rear Camera + Hard Tip stylus, USB-C AC Adapter + US Power Cord, (Without Keyboard Dock), Wifi + BT + 4G LTE (EM7511) w/ integrated GPS/Glonass + Passthrough, 3 Year B2B Warranty</t>
  </si>
  <si>
    <t>KTA124V1XCXX</t>
  </si>
  <si>
    <t>K120G3 - Intel Core i5-1335U Processor, 12.5" + W/Windows Hello Webcam + Standard Batteries (2-pack), Microsoft Windows 11 Pro x64 with 16GB RAM + TAA, 256GB PCIe SSD, Sunlight Readable Full HD LCD + Touchscreen + Rear Camera + Hard Tip stylus, USB-C AC Adapter + US Power Cord, (Without Keyboard Dock), Wifi+BT+Passthrough, LED Barcode Reader, 3 Year B2B Warranty</t>
  </si>
  <si>
    <t>KTA724V1XKXZ</t>
  </si>
  <si>
    <t>K120G3 - Intel Core i5-1335U Processor, 12.5" + W/Windows Hello Webcam + Standard Batteries (2-pack), Microsoft Windows 11 Pro x64 with 16GB RAM + TAA, 512GB PCIe SSD, Sunlight Readable Full HD LCD + Touchscreen + Rear Camera + Hard Tip stylus, USB-C AC Adapter + US Power Cord, (Without Keyboard Dock), Wifi+BT+Passthrough, 3 Year B2B Warranty</t>
  </si>
  <si>
    <t>KTA726V1XKXX</t>
  </si>
  <si>
    <t>K120G3 - Intel Core i7-1355U  Processor, 12.5" + W/Windows Hello Webcam + Standard Batteries (2-pack), Microsoft Windows 11 Pro x64 with 16GB RAM + TAA, 256GB PCIe SSD, Sunlight Readable Full HD LCD + Touchscreen + Rear Camera + Hard Tip stylus, USB-C AC Adapter + US Power Cord, (Without Keyboard Dock), Wifi+BT+Passthrough, 3 Year B2B Warranty</t>
  </si>
  <si>
    <t>KTB724V1XKXX</t>
  </si>
  <si>
    <t>K120G3 - Intel Core i5-1335U Processor, 12.5" + W/ Webcam + Standard Batteries (2-pack), Microsoft Windows 11 Pro x64 with 16GB RAM + TAA, 256GB PCIe SSD, Sunlight Readable Full HD LCD + Touchscreen + Digitizer + Rear Camera, USB-C AC Adapter + US Power Cord, (Without Keyboard Dock), Wifi+BT+Passthrough, 3 Year B2B Warranty</t>
  </si>
  <si>
    <t>KTA124W1XKXX</t>
  </si>
  <si>
    <t>K120G3 - Intel Core i5-1335U Processor, 12.5" + W/Windows Hello Webcam + Standard Batteries (2-pack), Microsoft Windows 11 Pro x64 with 16GB RAM + TAA, 256GB PCIe SSD, Sunlight Readable Full HD LCD + Touchscreen + Rear Camera + Hard Tip stylus, USB-C AC Adapter + US Power Cord, (Without Keyboard Dock), Wifi+BT+Passthrough, HF RFID, 3 Year B2B Warranty</t>
  </si>
  <si>
    <t>KTA724V1XKXS</t>
  </si>
  <si>
    <t>K120G3 - Intel Core i5-1345U Processor, vPro Enterprise, 12.5" + W/ Webcam + Standard Batteries (2-pack), Microsoft Windows 11 Pro x64 with 16GB RAM + TAA, 256GB PCIe SSD, Sunlight Readable Full HD LCD + Touchscreen + Rear Camera + Hard Tip stylus, USB-C AC Adapter + US Power Cord, (Without Keyboard Dock), Wifi+BT+Passthrough, 3 Year B2B Warranty</t>
  </si>
  <si>
    <t>KT6124V1XKXX</t>
  </si>
  <si>
    <t>K120G3 - Intel Core i5-1335U Processor, 12.5" + W/ Windows Hello Webcam + Tablet Hard Handle + Standard Batteries (2-pack), Microsoft Windows 11 Pro x64 with 16GB RAM + TAA, 256GB PCIe SSD, Sunlight Readable Full HD LCD + Touchscreen + Rear Camera + Hard Tip stylus, USB-C AC Adapter + US Power Cord, (Without Keyboard Dock), Wifi+BT+Passthrough, 3 Year B2B Warranty</t>
  </si>
  <si>
    <t>KTAC24V1XKXX</t>
  </si>
  <si>
    <t>K120G3 - Intel Core i5-1335U Processor, 12.5" + W/Windows Hello Webcam + Standard Batteries (2-pack), Microsoft Windows 11 Pro x64 with 16GB RAM + TAA, 256GB PCIe SSD, Sunlight Readable Full HD LCD + Touchscreen + Rear Camera + Hard Tip stylus, USB-C AC Adapter + US Power Cord, (Without Keyboard Dock), Wifi+BT+Passthrough, 3 Year B2B Warranty</t>
  </si>
  <si>
    <t>KTA724V1XKXX</t>
  </si>
  <si>
    <t>K120G3 - Intel Core i5-1335U Processor, 12.5" + W/ Webcam + Standard Batteries (2-pack), Microsoft Windows 11 Pro x64 with 16GB RAM + TAA, 256GB PCIe SSD, Sunlight Readable Full HD LCD + Touchscreen + Rear Camera + Hard Tip stylus, USB-C AC Adapter + US Power Cord, (Without Keyboard Dock), Wifi+BT+Passthrough, 3 Year B2B Warranty</t>
  </si>
  <si>
    <t>KTA124V1XKXX</t>
  </si>
  <si>
    <t>F120 with 32GB RAM - Intel Core Ultra 7 258V Processor(**), 12.2" w/ Windows Hello Webcam, Microsoft Windows 11 Professional x64 with 32GB RAM + TAA, 512GB PCIe SSD, Sunlight Readable (WUXGA LCD + Touchscreen) + Hard Tip stylus, AC Adapter + US Power Cord, w/ Rear Camera + High Capacity Batteries (2-pack), WIFI + BT + 5G Sub-6 w/ integrated GPS/Glonass + Passthrough, Laser Barcode Reader, 3 Year B2B Warranty</t>
  </si>
  <si>
    <t>FW7736WA3BHX</t>
  </si>
  <si>
    <t>F120</t>
  </si>
  <si>
    <t>F120 with 32GB RAM - Intel Core Ultra 7 258V Processor(**), 12.2" w/ Windows Hello Webcam, Microsoft Windows 11 Professional x64 with 32GB RAM + TAA, 512GB PCIe SSD, Sunlight Readable (WUXGA LCD + Touchscreen) + Hard Tip stylus, AC Adapter + US Power Cord, w/ Rear Camera + Standard Batteries (2-pack), WIFI + BT + 4G LTE w/ integrated GPS/Glonass+ Passthrough, Laser Barcode Reader, Smart Card Reader, 3 Year B2B Warranty</t>
  </si>
  <si>
    <t>FW7736WA1MHA</t>
  </si>
  <si>
    <t>F120 with 32GB RAM - Intel Core Ultra 5 228V Processor, 12.2" w/ Windows Hello Webcam, Microsoft Windows 11 Professional x64 with 32GB RAM + TAA, 1TB PCIe SSD, Sunlight Readable (WUXGA LCD + Touchscreen) + Hard Tip stylus, AC Adapter + US Power Cord, w/ Rear Camera  + Tablet Hard Handle + Standard Batteries (2-pack), WIFI + BT + 4G LTE w/ integrated GPS/Glonass+ Passthrough, 3 Year B2B Warranty</t>
  </si>
  <si>
    <t>FW5739WA2MXX</t>
  </si>
  <si>
    <t>F120 with 32GB RAM - Intel Core Ultra 5 228V Processor, 12.2" w/ Windows Hello Webcam, Microsoft Windows 11 Professional x64 with 32GB RAM + TAA, 512GB PCIe SSD, Sunlight Readable (WUXGA LCD + Touchscreen + Digitizer), AC Adapter + US Power Cord, w/ Rear Camera + Standard Batteries (2-pack), WIFI + BT + 4G LTE w/ integrated GPS/Glonass, Fingerprint Reader, 3 Year B2B Warranty</t>
  </si>
  <si>
    <t>FW5736GA1LXC</t>
  </si>
  <si>
    <t>F120 with 32GB RAM - Intel Core Ultra 5 228V Processor, 12.2" w/ Windows Hello Webcam, Microsoft Windows 11 Professional x64 with 32GB RAM + TAA, 512GB PCIe SSD, Sunlight Readable (WUXGA LCD + Touchscreen) + Hard Tip stylus, AC Adapter + US Power Cord, w/ Rear Camera + Standard Batteries (2-pack), WIFI + BT + 5G Sub-6 w/ integrated GPS/Glonass + Passthrough, 3 Year B2B Warranty</t>
  </si>
  <si>
    <t>FW5736WA1BXX</t>
  </si>
  <si>
    <t>F120 with 32GB RAM - Intel Core Ultra 7 258V Processor(**), 12.2" w/ Windows Hello Webcam, Microsoft Windows 11 Professional x64 with 32GB RAM + TAA, 256GB PCIe SSD, Sunlight Readable (WUXGA LCD + Touchscreen) + Hard Tip stylus, AC Adapter + US Power Cord, w/ Rear Camera + Standard Batteries (2-pack), WiFi + BT, 3 Year B2B Warranty</t>
  </si>
  <si>
    <t>FW7734WA1DXX</t>
  </si>
  <si>
    <t>F120 with 16GB RAM - Intel Core Ultra 5 236V Processor, vPro Enterprise, 12.2" w/ Windows Hello Webcam, Microsoft Windows 11 Professional x64 with 16GB RAM + TAA, 512GB PCIe SSD, Sunlight Readable (WUXGA LCD + Touchscreen + Digitizer), AC Adapter + US Power Cord, w/ Rear Camera  + Tablet Hard Handle + Standard Batteries (2-pack), WIFI + BT + 4G LTE w/ integrated GPS/Glonass+ Passthrough, Laser Barcode Reader, Fingerprint Reader, 3 Year B2B Warranty</t>
  </si>
  <si>
    <t>FW2726GA2MHC</t>
  </si>
  <si>
    <t>F120 with 16GB RAM - Intel Core Ultra 7 266V Processor, vPro Enterprise, 12.2" w/ Windows Hello Webcam, Microsoft Windows 11 Professional x64 with 16GB RAM + TAA, 512GB PCIe SSD, Sunlight Readable (WUXGA LCD + Touchscreen + Digitizer), AC Adapter + US Power Cord, w/ Rear Camera + Standard Batteries (2-pack), WIFI + BT + 5G Sub-6 w/ integrated GPS/Glonass + Passthrough, HF RFID, 3 Year B2B Warranty</t>
  </si>
  <si>
    <t>FW4726GA1BXS</t>
  </si>
  <si>
    <t>F120 with 16GB RAM - Intel Core Ultra 7 256V Processor(**), 12.2" w/ Windows Hello Webcam, Microsoft Windows 11 Professional x64 with 16GB RAM + TAA, 512GB PCIe SSD, Sunlight Readable (WUXGA LCD + Touchscreen) + Hard Tip stylus, AC Adapter + US Power Cord, w/ Rear Camera + Standard Batteries (2-pack), WIFI + BT + 4G LTE w/ integrated GPS/Glonass+ Passthrough, TraCS-compatible Barcode Reader, 3 Year B2B Warranty</t>
  </si>
  <si>
    <t>FW3726WA1M1X</t>
  </si>
  <si>
    <t>F120 with 16GB RAM - Intel Core Ultra 7 256V Processor(**), 12.2" w/ Windows Hello Webcam, Microsoft Windows 11 Professional x64 with 16GB RAM + TAA, 512GB PCIe SSD, Sunlight Readable (WUXGA LCD + Touchscreen) + Hard Tip stylus, AC Adapter + US Power Cord, w/ Rear Camera + Standard Batteries (2-pack), WIFI + BT + 4G LTE w/ integrated GPS/Glonass+ Passthrough, Laser Barcode Reader, 3 Year B2B Warranty</t>
  </si>
  <si>
    <t>FW3726WA1MHX</t>
  </si>
  <si>
    <t>F120 with 16GB RAM - Intel Core Ultra 5 226V Processor, 12.2" w/ Windows Hello Webcam, Microsoft Windows 11 Professional x64 with 16GB RAM + TAA, 256GB PCIe SSD, Sunlight Readable (WUXGA LCD + Touchscreen + Digitizer), AC Adapter + US Power Cord, w/ Rear Camera  + Tablet Hard Handle + Standard Batteries (2-pack), WIFI + BT + 5G Sub-6 w/ integrated GPS/Glonass + Passthrough, Laser Barcode Reader, 3 Year B2B Warranty</t>
  </si>
  <si>
    <t>FW1724GA2BHX</t>
  </si>
  <si>
    <t>F120 with 16GB RAM - Intel Core Ultra 5 226V Processor, 12.2" w/ Windows Hello Webcam, Microsoft Windows 11 Professional x64 with 16GB RAM + TAA, 256GB PCIe SSD, Sunlight Readable (WUXGA LCD + Touchscreen) + Hard Tip stylus, AC Adapter + US Power Cord, w/ Rear Camera  + Tablet Hard Handle + Standard Batteries (2-pack), WIFI + BT + 5G Sub-6 w/ integrated GPS/Glonass + Passthrough, Laser Barcode Reader, Fingerprint Reader, 3 Year B2B Warranty</t>
  </si>
  <si>
    <t>FW1724WA2BHC</t>
  </si>
  <si>
    <t>F120 with 16GB RAM - Intel Core Ultra 7 256V Processor(**), 12.2" w/ Windows Hello Webcam, Microsoft Windows 11 Professional x64 with 16GB RAM + TAA, 512GB PCIe SSD, Sunlight Readable (WUXGA LCD + Touchscreen) + Hard Tip stylus, AC Adapter + US Power Cord, w/ Rear Camera  + Tablet Hard Handle + Standard Batteries (2-pack), WIFI + BT + 4G LTE w/ integrated GPS/Glonass+ Passthrough, 3 Year B2B Warranty</t>
  </si>
  <si>
    <t>FW3726WA2MXX</t>
  </si>
  <si>
    <t>F120 with 16GB RAM - Intel Core Ultra 5 226V Processor, 12.2" w/ Windows Hello Webcam, Microsoft Windows 11 Professional x64 with 16GB RAM + TAA, 256GB PCIe SSD, Sunlight Readable (WUXGA LCD + Touchscreen) + Hard Tip stylus, AC Adapter + US Power Cord, w/ Rear Camera + High Capacity Batteries (2-pack), WIFI + BT + 4G LTE w/ integrated GPS/Glonass, Laser Barcode Reader, 3 Year B2B Warranty</t>
  </si>
  <si>
    <t>FW1724WA3LHX</t>
  </si>
  <si>
    <t>F120 with 16GB RAM - Intel Core Ultra 5 226V Processor, 12.2" w/ Windows Hello Webcam, Microsoft Windows 11 Professional x64 with 16GB RAM + TAA, 256GB PCIe SSD, Sunlight Readable (WUXGA LCD + Touchscreen) + Hard Tip stylus, AC Adapter + US Power Cord, w/ Rear Camera + Standard Batteries (2-pack), WIFI + BT + 4G LTE w/ integrated GPS/Glonass+ Passthrough, TraCS-compatible Barcode Reader, 3 Year B2B Warranty</t>
  </si>
  <si>
    <t>FW1724WA1M1X</t>
  </si>
  <si>
    <t>F120 with 16GB RAM - Intel Core Ultra 7 256V Processor(**), 12.2" w/ Windows Hello Webcam, Microsoft Windows 11 Professional x64 with 16GB RAM + TAA, 256GB PCIe SSD, Sunlight Readable (WUXGA LCD + Touchscreen) + Hard Tip stylus, AC Adapter + US Power Cord, w/ Rear Camera + Standard Batteries (2-pack), WIFI + BT + 4G LTE w/ integrated GPS/Glonass, RS232(**), HF RFID, 3 Year B2B Warranty</t>
  </si>
  <si>
    <t>FW3724WA1LIS</t>
  </si>
  <si>
    <t>F120 with 16GB RAM - Intel Core Ultra 5 226V Processor, 12.2" w/ Windows Hello Webcam, Microsoft Windows 11 Professional x64 with 16GB RAM + TAA, 256GB PCIe SSD, Sunlight Readable (WUXGA LCD + Touchscreen) + Hard Tip stylus, AC Adapter + US Power Cord, w/ Rear Camera + Standard Batteries (2-pack), WIFI + BT + 4G LTE w/ integrated GPS/Glonass+ Passthrough, Laser Barcode Reader, 3 Year B2B Warranty</t>
  </si>
  <si>
    <t>FW1724WA1MHX</t>
  </si>
  <si>
    <t>F120 with 16GB RAM - Intel Core Ultra 7 256V Processor(**), 12.2" w/ Windows Hello Webcam, Microsoft Windows 11 Professional x64 with 16GB RAM + TAA, 256GB PCIe SSD, Sunlight Readable (WUXGA LCD + Touchscreen) + Hard Tip stylus, AC Adapter + US Power Cord, w/ Rear Camera + Standard Batteries (2-pack), WIFI + BT + 4G LTE w/ integrated GPS/Glonass, RJ45, HF RFID, 3 Year B2B Warranty</t>
  </si>
  <si>
    <t>FW3724WA1LLS</t>
  </si>
  <si>
    <t>F120 with 16GB RAM - Intel Core Ultra 5 226V Processor, 12.2" w/ Windows Hello Webcam, Microsoft Windows 11 Professional x64 with 16GB RAM + TAA, 256GB PCIe SSD, Sunlight Readable (WUXGA LCD + Touchscreen) + Hard Tip stylus, AC Adapter + US Power Cord, w/ Rear Camera + Standard Batteries (2-pack), WIFI + BT + 4G LTE w/ integrated GPS/Glonass+ Passthrough, LED Barcode Reader, 3 Year B2B Warranty</t>
  </si>
  <si>
    <t>FW1724WA1MZX</t>
  </si>
  <si>
    <t>F120 with 16GB RAM - Intel Core Ultra 7 266V Processor, vPro Enterprise, 12.2" w/ Windows Hello Webcam, Microsoft Windows 11 Professional x64 with 16GB RAM + TAA, 512GB PCIe SSD, Sunlight Readable (WUXGA LCD + Touchscreen) + Hard Tip stylus, AC Adapter + US Power Cord, w/o Rear Camera + Standard Batteries (2-pack)(**), WiFi + BT, 3 Year B2B Warranty</t>
  </si>
  <si>
    <t>FW4726WA4DXX</t>
  </si>
  <si>
    <t>F120 with 16GB RAM - Intel Core Ultra 7 256V Processor(**), 12.2" w/ Windows Hello Webcam, Microsoft Windows 11 Professional x64 with 16GB RAM + TAA, 256GB PCIe SSD, Sunlight Readable (WUXGA LCD + Touchscreen) + Hard Tip stylus, AC Adapter + US Power Cord, w/ Rear Camera  + Tablet Hard Handle + Standard Batteries (2-pack), WIFI + BT + 4G LTE w/ integrated GPS/Glonass+ Passthrough, 3 Year B2B Warranty</t>
  </si>
  <si>
    <t>FW3724WA2MXX</t>
  </si>
  <si>
    <t>F120 with 16GB RAM - Intel Core Ultra 5 226V Processor, 12.2" w/ Windows Hello Webcam, Microsoft Windows 11 Professional x64 with 16GB RAM + TAA, 512GB PCIe SSD, Sunlight Readable (WUXGA LCD + Touchscreen) + Hard Tip stylus, AC Adapter + US Power Cord, w/ Rear Camera + Standard Batteries (2-pack), WIFI + BT + 4G LTE w/ integrated GPS/Glonass, 3 Year B2B Warranty</t>
  </si>
  <si>
    <t>FW1726WA1LXX</t>
  </si>
  <si>
    <t>F120 with 16GB RAM - Intel Core Ultra 5 226V Processor, 12.2" w/ Windows Hello Webcam, Microsoft Windows 11 Professional x64 with 16GB RAM + TAA, 256GB PCIe SSD, Sunlight Readable (WUXGA LCD + Touchscreen) + Hard Tip stylus, AC Adapter + US Power Cord, w/ Rear Camera + Standard Batteries (2-pack), WIFI + BT + 5G Sub-6 w/ integrated GPS/Glonass + Passthrough, 3 Year B2B Warranty</t>
  </si>
  <si>
    <t>FW1724WA1BXX</t>
  </si>
  <si>
    <t>F120 with 16GB RAM - Intel Core Ultra 7 256V Processor(**), 12.2" w/ Windows Hello Webcam, Microsoft Windows 11 Professional x64 with 16GB RAM + TAA, 256GB PCIe SSD, Sunlight Readable (WUXGA LCD + Touchscreen) + Hard Tip stylus, AC Adapter + US Power Cord, w/ Rear Camera + Standard Batteries (2-pack), WIFI + BT + 4G LTE w/ integrated GPS/Glonass+ Passthrough, 3 Year B2B Warranty</t>
  </si>
  <si>
    <t>FW3724WA1MXX</t>
  </si>
  <si>
    <t>F120 with 16GB RAM - Intel Core Ultra 5 226V Processor, 12.2" w/ Windows Hello Webcam, Microsoft Windows 11 Professional x64 with 16GB RAM + TAA, 256GB PCIe SSD, Sunlight Readable (WUXGA LCD + Touchscreen) + Hard Tip stylus, AC Adapter + US Power Cord, w/ Rear Camera + Standard Batteries (2-pack), WIFI + BT + 5G Sub-6 w/ integrated GPS/Glonass, 3 Year B2B Warranty</t>
  </si>
  <si>
    <t>FW1724WA1AXX</t>
  </si>
  <si>
    <t>F120 with 16GB RAM - Intel Core Ultra 5 226V Processor, 12.2" w/ Windows Hello Webcam, Microsoft Windows 11 Professional x64 with 16GB RAM + TAA, 256GB PCIe SSD, Sunlight Readable (WUXGA LCD + Touchscreen + Digitizer), AC Adapter + US Power Cord, w/ Rear Camera + Standard Batteries (2-pack), WIFI + BT + 4G LTE w/ integrated GPS/Glonass+ Passthrough, 3 Year B2B Warranty</t>
  </si>
  <si>
    <t>FW1724GA1MXX</t>
  </si>
  <si>
    <t>F120 with 16GB RAM - Intel Core Ultra 5 226V Processor, 12.2" w/ Windows Hello Webcam, Microsoft Windows 11 Professional x64 with 16GB RAM + TAA, 256GB PCIe SSD, Sunlight Readable (WUXGA LCD + Touchscreen) + Hard Tip stylus, AC Adapter + US Power Cord, w/ Rear Camera + Standard Batteries (2-pack), WIFI + BT + 4G LTE w/ integrated GPS/Glonass+ Passthrough, RS232(**), 3 Year B2B Warranty</t>
  </si>
  <si>
    <t>FW1724WA1MIX</t>
  </si>
  <si>
    <t>F120 with 16GB RAM - Intel Core Ultra 5 226V Processor, 12.2" w/ Windows Hello Webcam, Microsoft Windows 11 Professional x64 with 16GB RAM + TAA, 512GB PCIe SSD, Sunlight Readable (WUXGA LCD + Touchscreen) + Hard Tip stylus, AC Adapter + US Power Cord, w/o Rear Camera + Standard Batteries (2-pack)(**), WiFi + BT, RS232(**), Smart Card Reader, 3 Year B2B Warranty</t>
  </si>
  <si>
    <t>FW1726WA4DIA</t>
  </si>
  <si>
    <t>F120 with 16GB RAM - Intel Core Ultra 5 226V Processor, 12.2" w/ Windows Hello Webcam, Microsoft Windows 11 Professional x64 with 16GB RAM + TAA, 256GB PCIe SSD, Sunlight Readable (WUXGA LCD + Touchscreen) + Hard Tip stylus, AC Adapter + US Power Cord, w/ Rear Camera + Standard Batteries (2-pack), WiFi + BT, TraCS-compatible Barcode Reader, 3 Year B2B Warranty</t>
  </si>
  <si>
    <t>FW1724WA1D1X</t>
  </si>
  <si>
    <t>F120 with 16GB RAM - Intel Core Ultra 5 226V Processor, 12.2" w/ Windows Hello Webcam, Microsoft Windows 11 Professional x64 with 16GB RAM + TAA, 256GB PCIe SSD, Sunlight Readable (WUXGA LCD + Touchscreen) + Hard Tip stylus, AC Adapter + US Power Cord, w/ Rear Camera + Standard Batteries (2-pack), WIFI + BT + 4G LTE w/ integrated GPS/Glonass+ Passthrough, RJ45, 3 Year B2B Warranty</t>
  </si>
  <si>
    <t>FW1724WA1MLX</t>
  </si>
  <si>
    <t>F120 with 16GB RAM - Intel Core Ultra 5 226V Processor, 12.2" w/ Windows Hello Webcam, Microsoft Windows 11 Professional x64 with 16GB RAM + TAA, 512GB PCIe SSD, Sunlight Readable (WUXGA LCD + Touchscreen) + Hard Tip stylus, AC Adapter + US Power Cord, w/o Rear Camera + Standard Batteries (2-pack)(**), WiFi + BT, RJ45, Smart Card Reader, 3 Year B2B Warranty</t>
  </si>
  <si>
    <t>FW1726WA4DLA</t>
  </si>
  <si>
    <t>F120 with 16GB RAM - Intel Core Ultra 7 256V Processor(**), 12.2" w/ Windows Hello Webcam, Microsoft Windows 11 Professional x64 with 16GB RAM + TAA, 512GB PCIe SSD, Sunlight Readable (WUXGA LCD + Touchscreen) + Hard Tip stylus, AC Adapter + US Power Cord, w/ Rear Camera + Standard Batteries (2-pack), WiFi + BT, 3 Year B2B Warranty</t>
  </si>
  <si>
    <t>FW3726WA1DXX</t>
  </si>
  <si>
    <t>F120 with 16GB RAM - Intel Core Ultra 5 226V Processor, 12.2" w/ Windows Hello Webcam, Microsoft Windows 11 Professional x64 with 16GB RAM + TAA, 512GB PCIe SSD, Sunlight Readable (WUXGA LCD + Touchscreen + Digitizer), AC Adapter + US Power Cord, w/ Rear Camera + Standard Batteries (2-pack), WiFi + BT, 3 Year B2B Warranty</t>
  </si>
  <si>
    <t>FW1726GA1DXX</t>
  </si>
  <si>
    <t>F120 with 16GB RAM - Intel Core Ultra 5 226V Processor, 12.2" w/ Windows Hello Webcam, Microsoft Windows 11 Professional x64 with 16GB RAM + TAA, 256GB PCIe SSD, Sunlight Readable (WUXGA LCD + Touchscreen) + Hard Tip stylus, AC Adapter + US Power Cord, w/ Rear Camera  + Tablet Hard Handle + Standard Batteries (2-pack), WIFI + BT + 4G LTE w/ integrated GPS/Glonass+ Passthrough, 3 Year B2B Warranty</t>
  </si>
  <si>
    <t>FW1724WA2MXX</t>
  </si>
  <si>
    <t>F120 with 16GB RAM - Intel Core Ultra 5 226V Processor, 12.2" w/ Windows Hello Webcam, Microsoft Windows 11 Professional x64 with 16GB RAM + TAA, 512GB PCIe SSD, Sunlight Readable (WUXGA LCD + Touchscreen) + Hard Tip stylus, AC Adapter + US Power Cord, w/ Rear Camera + Standard Batteries (2-pack), WiFi + BT, RS232(**), 3 Year B2B Warranty</t>
  </si>
  <si>
    <t>FW1726WA1DIX</t>
  </si>
  <si>
    <t>F120 with 16GB RAM - Intel Core Ultra 5 226V Processor, 12.2" w/ Windows Hello Webcam, Microsoft Windows 11 Professional x64 with 16GB RAM + TAA, 256GB PCIe SSD, Sunlight Readable (WUXGA LCD + Touchscreen) + Hard Tip stylus, AC Adapter + US Power Cord, w/ Rear Camera + Standard Batteries (2-pack), WIFI + BT + 4G LTE w/ integrated GPS/Glonass+ Passthrough, 3 Year B2B Warranty</t>
  </si>
  <si>
    <t>FW1724WA1MXX</t>
  </si>
  <si>
    <t>F120 with 16GB RAM - Intel Core Ultra 5 226V Processor, 12.2" w/ Windows Hello Webcam, Microsoft Windows 11 Professional x64 with 16GB RAM + TAA, 512GB PCIe SSD, Sunlight Readable (WUXGA LCD + Touchscreen) + Hard Tip stylus, AC Adapter + US Power Cord, w/ Rear Camera + Standard Batteries (2-pack), WiFi + BT, RJ45, 3 Year B2B Warranty</t>
  </si>
  <si>
    <t>FW1726WA1DLX</t>
  </si>
  <si>
    <t>F120 with 16GB RAM - Intel Core Ultra 5 226V Processor, 12.2" w/ Windows Hello Webcam, Microsoft Windows 11 Professional x64 with 16GB RAM + TAA, 256GB PCIe SSD, Sunlight Readable (WUXGA LCD + Touchscreen) + Hard Tip stylus, AC Adapter + US Power Cord, w/ Rear Camera + Standard Batteries (2-pack), WiFi + BT, LED Barcode Reader, 3 Year B2B Warranty</t>
  </si>
  <si>
    <t>FW1724WA1DZX</t>
  </si>
  <si>
    <t>F120 with 16GB RAM - Intel Core Ultra 5 226V Processor, 12.2" w/ Windows Hello Webcam, Microsoft Windows 11 Professional x64 with 16GB RAM + TAA, 512GB PCIe SSD, Sunlight Readable (WUXGA LCD + Touchscreen) + Hard Tip stylus, AC Adapter + US Power Cord, w/ Rear Camera + Standard Batteries (2-pack), WiFi + BT, 3 Year B2B Warranty</t>
  </si>
  <si>
    <t>FW1726WA1DXX</t>
  </si>
  <si>
    <t>F120 with 16GB RAM - Intel Core Ultra 7 256V Processor(**), 12.2" w/ Windows Hello Webcam, Microsoft Windows 11 Professional x64 with 16GB RAM + TAA, 256GB PCIe SSD, Sunlight Readable (WUXGA LCD + Touchscreen) + Hard Tip stylus, AC Adapter + US Power Cord, w/o Rear Camera + Standard Batteries (2-pack)(**), WiFi + BT, 3 Year B2B Warranty</t>
  </si>
  <si>
    <t>FW3724WA4DXX</t>
  </si>
  <si>
    <t>F120 with 16GB RAM - Intel Core Ultra 5 226V Processor, 12.2" w/ Windows Hello Webcam, Microsoft Windows 11 Professional x64 with 16GB RAM + TAA, 256GB PCIe SSD, Sunlight Readable (WUXGA LCD + Touchscreen) + Hard Tip stylus, AC Adapter + US Power Cord, w/ Rear Camera + Standard Batteries (2-pack), WiFi + BT, RS232(**), 3 Year B2B Warranty</t>
  </si>
  <si>
    <t>FW1724WA1DIX</t>
  </si>
  <si>
    <t>F120 with 16GB RAM - Intel Core Ultra 5 226V Processor, 12.2" w/ Windows Hello Webcam, Microsoft Windows 11 Professional x64 with 16GB RAM + TAA, 256GB PCIe SSD, Sunlight Readable (WUXGA LCD + Touchscreen) + Hard Tip stylus, AC Adapter + US Power Cord, w/ Rear Camera + Standard Batteries (2-pack), WiFi + BT, RJ45, 3 Year B2B Warranty</t>
  </si>
  <si>
    <t>FW1724WA1DLX</t>
  </si>
  <si>
    <t>F120 with 16GB RAM - Intel Core Ultra 5 226V Processor, 12.2" w/ Windows Hello Webcam, Microsoft Windows 11 Professional x64 with 16GB RAM + TAA, 256GB PCIe SSD, Sunlight Readable (WUXGA LCD + Touchscreen) + Hard Tip stylus, AC Adapter + US Power Cord, w/ Rear Camera + Standard Batteries (2-pack), WIFI + BT + Passthrough, 3 Year B2B Warranty</t>
  </si>
  <si>
    <t>FW1724WA1KXX</t>
  </si>
  <si>
    <t>F120 with 16GB RAM - Intel Core Ultra 5 226V Processor, 12.2" w/ Windows Hello Webcam, Microsoft Windows 11 Professional x64 with 16GB RAM + TAA, 256GB PCIe SSD, Sunlight Readable (WUXGA LCD + Touchscreen) + Hard Tip stylus, AC Adapter + US Power Cord, w/ Rear Camera + Standard Batteries (2-pack), WiFi + BT, 3 Year B2B Warranty</t>
  </si>
  <si>
    <t>FW1724WA1DXX</t>
  </si>
  <si>
    <t>F110G7 - Intel Core i7-1355U  Processor, 11.6" Windows Hello Webcam, Microsoft Windows 11 Pro x64 with 32GB RAM + TAA, 512GB PCIe SSD, Sunlight Readable (Full HD LCD+ Touchscreen+Hard Tip stylus), DC Power Jack + AC Adapter + US Power Cord, Rear Camera + High Capacity Batteries (2-pack), WIFI+ BT + 5G Sub-6 (EM9190) w/ integrated GPS/Glonass + Pass-through, Laser Barcode Reader, 3 Year B2B Warranty</t>
  </si>
  <si>
    <t>FTB736JA3QHX</t>
  </si>
  <si>
    <t>F110G7</t>
  </si>
  <si>
    <t>F110G7 - Intel Core i7-1365U Processor, vPro Enterprise, 11.6" Windows Hello Webcam, Microsoft Windows 11 Pro x64 with 16GB RAM + TAA, 512GB PCIe SSD, Sunlight Readable (Full HD LCD+ Touchscreen+ Digitizer), DC Power Jack + AC Adapter + US Power Cord, Rear Camera + Standard Batteries (2-pack), WIFI+ BT + 5G Sub-6 (EM9190) w/ integrated GPS/Glonass + Pass-through, HF RFID, 3 Year B2B Warranty</t>
  </si>
  <si>
    <t>FT7726TA1QXS</t>
  </si>
  <si>
    <t>F110G7 - Intel Core i7-1355U  Processor, 11.6" Windows Hello Webcam, Microsoft Windows 11 Pro x64 with 32GB RAM + TAA, 512GB PCIe SSD, Sunlight Readable (Full HD LCD+ Touchscreen+Hard Tip stylus), DC Power Jack + AC Adapter + US Power Cord, Rear Camera + Standard Batteries (2-pack), WIFI + BT + 4G LTE w/ integrated GPS/Glonass+ Passthrough, Laser Barcode Reader, Smart Card Reader, 3 Year B2B Warranty</t>
  </si>
  <si>
    <t>FTB736JA1MHA</t>
  </si>
  <si>
    <t>F110G7 - Intel Core i5-1335U Processor, 11.6" With Webcam, Microsoft Windows 11 Pro x64 with 16GB RAM + TAA, 256GB PCIe SSD, Sunlight Readable (Full HD LCD+ Touchscreen+Hard Tip stylus), DC Power Jack + AC Adapter + US Power Cord, Rear Camera + Standard Batteries (2-pack), WIFI + BT + 5G Sub-6 (EM9190) w/ integrated GPS/Glonass, Laser Barcode Reader + ANSI, LF/HF RFID(**), 3 Year B2B Warranty</t>
  </si>
  <si>
    <t>FTA124JA1PNV</t>
  </si>
  <si>
    <t>F110G7 - Intel Core i5-1345U Processor, vPro Enterprise, 11.6" Windows Hello Webcam, Microsoft Windows 11 Pro x64 with 16GB RAM + TAA, 512GB PCIe SSD, Sunlight Readable (Full HD LCD+ Touchscreen+ Digitizer), DC Power Jack + AC Adapter + US Power Cord, Rear Camera + Tablet Hard Handle + Standard Batteries (2-pack), WIFI + BT + 4G LTE w/ integrated GPS/Glonass+ Passthrough, Laser Barcode Reader, Fingerprint, 3 Year B2B Warranty</t>
  </si>
  <si>
    <t>FT6726TA2MHC</t>
  </si>
  <si>
    <t>F110G7 - Intel Core i5-1335U Processor, 11.6" Windows Hello Webcam, Microsoft Windows 11 Pro x64 with 16GB RAM + TAA, 256GB PCIe SSD, Sunlight Readable (Full HD LCD+ Touchscreen+Hard Tip stylus), DC Power Jack + AC Adapter + US Power Cord, Rear Camera + Tablet Hard Handle + Standard Batteries (2-pack), WIFI+ BT + 5G Sub-6 (EM9190) w/ integrated GPS/Glonass + Pass-through, Laser Barcode Reader, Fingerprint, 3 Year B2B Warranty</t>
  </si>
  <si>
    <t>FTA724JA2QHC</t>
  </si>
  <si>
    <t>F110G7 - Intel Core i5-1335U Processor, 11.6" With Webcam, Microsoft Windows 11 Pro x64 with 32GB RAM + TAA, 1TB PCIe SSD, Sunlight Readable (Full HD LCD+ Touchscreen+Hard Tip stylus), DC Power Jack + AC Adapter + US Power Cord, Rear Camera + Tablet Hard Handle + Standard Batteries (2-pack), WIFI + BT + 4G LTE w/ integrated GPS/Glonass+ Passthrough, 3 Year B2B Warranty</t>
  </si>
  <si>
    <t>FTA139JA2MXX</t>
  </si>
  <si>
    <t>F110G7 - Intel Core i5-1335U Processor, 11.6" Windows Hello Webcam, Microsoft Windows 11 Pro x64 with 32GB RAM + TAA, 512GB PCIe SSD, Sunlight Readable (Full HD LCD+ Touchscreen+ Digitizer), DC Power Jack + AC Adapter + US Power Cord, Rear Camera + Standard Batteries (2-pack), WIFI + BT + 4G LTE w/ integrated GPS/Glonass, Fingerprint, 3 Year B2B Warranty</t>
  </si>
  <si>
    <t>FTA736TA1LXC</t>
  </si>
  <si>
    <t>F110G7 - Intel Core i7-1355U  Processor, 11.6" Windows Hello Webcam, Microsoft Windows 11 Pro x64 with 16GB RAM + TAA, 512GB PCIe SSD, Sunlight Readable (Full HD LCD+ Touchscreen+Hard Tip stylus), DC Power Jack + AC Adapter + US Power Cord, Rear Camera + Standard Batteries (2-pack), WIFI + BT + 4G LTE w/ integrated GPS/Glonass+ Passthrough, Laser Barcode Reader, 3 Year B2B Warranty</t>
  </si>
  <si>
    <t>FTB726JA1MHX</t>
  </si>
  <si>
    <t>F110G7 - Intel Core i5-1335U Processor, 11.6" With Webcam, Microsoft Windows 11 Pro x64 with 16GB RAM + TAA, 256GB PCIe SSD, Sunlight Readable (Full HD LCD+ Touchscreen+Hard Tip stylus), DC Power Jack + AC Adapter + US Power Cord, Rear Camera + Tablet Hard Handle + Standard Batteries (2-pack), WIFI + BT + 5G Sub-6 (EM9190) w/ integrated GPS/Glonass, RJ45 + ANSI, 3 Year B2B Warranty</t>
  </si>
  <si>
    <t>FTA124JA2PRX</t>
  </si>
  <si>
    <t>F110G7 - Intel Core i5-1335U Processor, 11.6" With Webcam, Microsoft Windows 11 Pro x64 with 16GB RAM + TAA, 512GB PCIe SSD, Sunlight Readable (Full HD LCD+ Touchscreen+Hard Tip stylus), DC Power Jack + AC Adapter + US Power Cord, Rear Camera + Standard Batteries (2-pack), WIFI + BT + 4G LTE w/ integrated GPS/Glonass, RS232 + RJ45 + ANSI, 3 Year B2B Warranty</t>
  </si>
  <si>
    <t>FTA126JA1LSX</t>
  </si>
  <si>
    <t>F110G7 - Intel Core i7-1355U  Processor, 11.6" With Webcam, Microsoft Windows 11 Pro x64 with 16GB RAM + TAA, 256GB PCIe SSD, Sunlight Readable (Full HD LCD+ Touchscreen+Hard Tip stylus), DC Power Jack + AC Adapter + US Power Cord, Rear Camera + Standard Batteries (2-pack), WIFI + BT + 4G LTE w/ integrated GPS/Glonass, RS232 + RJ45, HF RFID, 3 Year B2B Warranty</t>
  </si>
  <si>
    <t>FTB124JA1LMS</t>
  </si>
  <si>
    <t>F110G7 - Intel Core i7-1355U  Processor, 11.6" Windows Hello Webcam, Microsoft Windows 11 Pro x64 with 16GB RAM + TAA, 512GB PCIe SSD, Sunlight Readable (Full HD LCD+ Touchscreen+Hard Tip stylus), DC Power Jack + AC Adapter + US Power Cord, Rear Camera + Tablet Hard Handle + Standard Batteries (2-pack), WIFI + BT + 4G LTE w/ integrated GPS/Glonass+ Passthrough, 3 Year B2B Warranty</t>
  </si>
  <si>
    <t>FTB726JA2MXX</t>
  </si>
  <si>
    <t>F110G7 - Intel Core i5-1335U Processor, 11.6" Windows Hello Webcam, Microsoft Windows 11 Pro x64 with 16GB RAM + TAA, 256GB PCIe SSD, Sunlight Readable (Full HD LCD+ Touchscreen+Hard Tip stylus), DC Power Jack + AC Adapter + US Power Cord, Rear Camera + Standard Batteries (2-pack), WIFI + BT + 4G LTE w/ integrated GPS/Glonass+ Passthrough, TraCS-compatible Barcode Reader, 3 Year B2B Warranty</t>
  </si>
  <si>
    <t>FTA724JA1M1X</t>
  </si>
  <si>
    <t>F110G7 - Intel Core i5-1335U Processor, 11.6" Windows Hello Webcam, Microsoft Windows 11 Pro x64 with 16GB RAM + TAA, 256GB PCIe SSD, Sunlight Readable (Full HD LCD+ Touchscreen+Hard Tip stylus), DC Power Jack + AC Adapter + US Power Cord, Rear Camera + Standard Batteries (2-pack), WIFI+ BT + 5G Sub-6 (EM9190) w/ integrated GPS/Glonass + Pass-through, 3 Year B2B Warranty</t>
  </si>
  <si>
    <t>FTA724JA1QXX</t>
  </si>
  <si>
    <t>F110G7 - Intel Core i5-1335U Processor, 11.6" Windows Hello Webcam, Microsoft Windows 11 Pro x64 with 16GB RAM + TAA, 256GB PCIe SSD, Sunlight Readable (Full HD LCD+ Touchscreen+Hard Tip stylus), DC Power Jack + AC Adapter + US Power Cord, Rear Camera + Standard Batteries (2-pack), WIFI + BT + 5G Sub-6 (EM9190) w/ integrated GPS/Glonass, 3 Year B2B Warranty</t>
  </si>
  <si>
    <t>FTA724JA1PXX</t>
  </si>
  <si>
    <t>F110G7 - Intel Core i5-1335U Processor, 11.6" With Webcam, Microsoft Windows 11 Pro x64 with 16GB RAM + TAA, 256GB PCIe SSD, Sunlight Readable (Full HD LCD+ Touchscreen+Hard Tip stylus), DC Power Jack + AC Adapter + US Power Cord, Rear Camera + High Capacity Batteries (2-pack), WIFI + BT + 4G LTE w/ integrated GPS/Glonass, Laser Barcode Reader, 3 Year B2B Warranty</t>
  </si>
  <si>
    <t>FTA124JA3LHX</t>
  </si>
  <si>
    <t>F110G7 - Intel Core i5-1335U Processor, 11.6" Windows Hello Webcam, Microsoft Windows 11 Pro x64 with 16GB RAM + TAA, 256GB PCIe SSD, Sunlight Readable (Full HD LCD+ Touchscreen+Hard Tip stylus), DC Power Jack + AC Adapter + US Power Cord, Rear Camera + Standard Batteries (2-pack), WIFI + BT + 4G LTE w/ integrated GPS/Glonass+ Passthrough, Laser Barcode Reader, 3 Year B2B Warranty</t>
  </si>
  <si>
    <t>FTA724JA1MHX</t>
  </si>
  <si>
    <t>F110G7 - Intel Core i5-1335U Processor, 11.6" Windows Hello Webcam, Microsoft Windows 11 Pro x64 with 16GB RAM + TAA, 256GB PCIe SSD, Sunlight Readable (Full HD LCD+ Touchscreen+Hard Tip stylus), DC Power Jack + AC Adapter + US Power Cord, Rear Camera + Standard Batteries (2-pack), WiFi + BT, Laser Barcode Reader + ANSI, Fingerprint, 3 Year B2B Warranty</t>
  </si>
  <si>
    <t>FTA724JA1DNC</t>
  </si>
  <si>
    <t>F110G7 - Intel Core i5-1335U Processor, 11.6" With Webcam, Microsoft Windows 11 Pro x64 with 16GB RAM + TAA, 256GB PCIe SSD, Sunlight Readable (Full HD LCD+ Touchscreen+Hard Tip stylus), DC Power Jack + AC Adapter + US Power Cord, Rear Camera + Standard Batteries (2-pack), WIFI+ BT + 5G Sub-6 (EM9190) w/ integrated GPS/Glonass + Pass-through, 3 Year B2B Warranty</t>
  </si>
  <si>
    <t>FTA124JA1QXX</t>
  </si>
  <si>
    <t>F110G7 - Intel Core i5-1335U Processor, 11.6" With Webcam, Microsoft Windows 11 Pro x64 with 8GB RAM + TAA, 512GB PCIe SSD, Sunlight Readable (Full HD LCD+ Touchscreen+Hard Tip stylus), DC Power Jack + AC Adapter + US Power Cord, Rear Camera + Standard Batteries (2-pack), WIFI + BT + 5G Sub-6 (EM9190) w/ integrated GPS/Glonass, 3 Year B2B Warranty</t>
  </si>
  <si>
    <t>FTA116JA1PXX</t>
  </si>
  <si>
    <t>F110G7 - Intel Core i5-1335U Processor, 11.6" Windows Hello Webcam, Microsoft Windows 11 Pro x64 with 16GB RAM + TAA, 256GB PCIe SSD, Sunlight Readable (Full HD LCD+ Touchscreen+Hard Tip stylus), DC Power Jack + AC Adapter + US Power Cord, Rear Camera + Standard Batteries (2-pack), WIFI + BT + 4G LTE w/ integrated GPS/Glonass+ Passthrough, LED Barcode Reader, 3 Year B2B Warranty</t>
  </si>
  <si>
    <t>FTA724JA1MZX</t>
  </si>
  <si>
    <t>F110G7 - Intel Core i7-1365U Processor, vPro Enterprise, 11.6" With Webcam, Microsoft Windows 11 Pro x64 with 8GB RAM + TAA, 256GB PCIe SSD, Sunlight Readable (Full HD LCD+ Touchscreen+ Digitizer), DC Power Jack + AC Adapter + US Power Cord, Rear Camera + Standard Batteries (2-pack), WIFI + BT + 4G LTE w/ integrated GPS/Glonass+ Passthrough, 3 Year B2B Warranty</t>
  </si>
  <si>
    <t>FT7114TA1MXX</t>
  </si>
  <si>
    <t>F110G7 - Intel Core i7-1355U  Processor, 11.6" Windows Hello Webcam, Microsoft Windows 11 Pro x64 with 32GB RAM + TAA, 256GB PCIe SSD, Sunlight Readable (Full HD LCD+ Touchscreen+Hard Tip stylus), DC Power Jack + AC Adapter + US Power Cord, Rear Camera + Standard Batteries (2-pack), WiFi + BT, 3 Year B2B Warranty</t>
  </si>
  <si>
    <t>FTB734JA1DXX</t>
  </si>
  <si>
    <t>F110G7 - Intel Core i7-1355U  Processor, 11.6" Windows Hello Webcam, Microsoft Windows 11 Pro x64 with 16GB RAM + TAA, 256GB PCIe SSD, Sunlight Readable (Full HD LCD+ Touchscreen+Hard Tip stylus), DC Power Jack + AC Adapter + US Power Cord, Rear Camera + Standard Batteries (2-pack), WIFI + BT + 4G LTE w/ integrated GPS/Glonass+ Passthrough, 3 Year B2B Warranty</t>
  </si>
  <si>
    <t>FTB724JA1MXX</t>
  </si>
  <si>
    <t>F110G7 - Intel Core i5-1335U Processor, 11.6" With Webcam, Microsoft Windows 11 Pro x64 with 16GB RAM + TAA, 256GB PCIe SSD, Sunlight Readable (Full HD LCD+ Touchscreen+Hard Tip stylus), DC Power Jack + AC Adapter + US Power Cord, Rear Camera + Standard Batteries (2-pack), WIFI + BT + 4G LTE w/ integrated GPS/Glonass+ Passthrough, RS232 + RJ45, 3 Year B2B Warranty</t>
  </si>
  <si>
    <t>FTA124JA1MMX</t>
  </si>
  <si>
    <t>F110G7 - Intel Core i7-1355U  Processor, 11.6" With Webcam, Microsoft Windows 11 Pro x64 with 16GB RAM + TAA, 256GB PCIe SSD, Sunlight Readable (Full HD LCD+ Touchscreen+Hard Tip stylus), DC Power Jack + AC Adapter + US Power Cord, Rear Camera + Tablet Hard Handle + Standard Batteries (2-pack), WIFI + BT + 4G LTE w/ integrated GPS/Glonass+ Passthrough, 3 Year B2B Warranty</t>
  </si>
  <si>
    <t>FTB124JA2MXX</t>
  </si>
  <si>
    <t>F110G7 - Intel Core i5-1335U Processor, 11.6" With Webcam, Microsoft Windows 11 Pro x64 with 16GB RAM + TAA, 512GB PCIe SSD, Sunlight Readable (Full HD LCD+ Touchscreen+Hard Tip stylus), DC Power Jack + AC Adapter + US Power Cord, Rear Camera + Standard Batteries (2-pack), WIFI + BT + 4G LTE w/ integrated GPS/Glonass, 3 Year B2B Warranty</t>
  </si>
  <si>
    <t>FTA126JA1LXX</t>
  </si>
  <si>
    <t>F110G7 - Intel Core i5-1335U Processor, 11.6" With Webcam, Microsoft Windows 11 Pro x64 with 16GB RAM + TAA, 256GB PCIe SSD, Sunlight Readable (Full HD LCD+ Touchscreen+ Digitizer), DC Power Jack + AC Adapter + US Power Cord, Rear Camera + Standard Batteries (2-pack), WIFI + BT + 4G LTE w/ integrated GPS/Glonass+ Passthrough, 3 Year B2B Warranty</t>
  </si>
  <si>
    <t>FTA124TA1MXX</t>
  </si>
  <si>
    <t>F110G7 - Intel Core i5-1335U Processor, 11.6" Windows Hello Webcam, Microsoft Windows 11 Pro x64 with 16GB RAM + TAA, 256GB PCIe SSD, Sunlight Readable (Full HD LCD+ Touchscreen+Hard Tip stylus), DC Power Jack + AC Adapter + US Power Cord, Rear Camera + Standard Batteries (2-pack), WiFi + BT, TraCS-compatible Barcode Reader, 3 Year B2B Warranty</t>
  </si>
  <si>
    <t>FTA724JA1D1X</t>
  </si>
  <si>
    <t>F110G7 - Intel Core i7-1355U  Processor, 11.6" Windows Hello Webcam, Microsoft Windows 11 Pro x64 with 16GB RAM + TAA, 512GB PCIe SSD, Sunlight Readable (Full HD LCD+ Touchscreen+Hard Tip stylus), DC Power Jack + AC Adapter + US Power Cord, Rear Camera + Standard Batteries (2-pack), WiFi + BT, 3 Year B2B Warranty</t>
  </si>
  <si>
    <t>FTB726JA1DXX</t>
  </si>
  <si>
    <t>F110G7 - Intel Core i5-1335U Processor, 11.6" With Webcam, Microsoft Windows 11 Pro x64 with 16GB RAM + TAA, 512GB PCIe SSD, Sunlight Readable (Full HD LCD+ Touchscreen+Hard Tip stylus), DC Power Jack + AC Adapter + US Power Cord, Rear Camera + Standard Batteries (2-pack), WiFi + BT, RS232 + RJ45, 3 Year B2B Warranty</t>
  </si>
  <si>
    <t>FTA126JA1DMX</t>
  </si>
  <si>
    <t>F110G7 - Intel Core i5-1335U Processor, 11.6" With Webcam, Microsoft Windows 11 Pro x64 with 16GB RAM + TAA, 256GB PCIe SSD, Sunlight Readable (Full HD LCD+ Touchscreen+Hard Tip stylus), DC Power Jack + AC Adapter + US Power Cord, Rear Camera + Standard Batteries (2-pack), WiFi + BT, TraCS-compatible Barcode Reader, 3 Year B2B Warranty</t>
  </si>
  <si>
    <t>FTA124JA1D1X</t>
  </si>
  <si>
    <t>F110G7 - Intel Core i5-1335U Processor, 11.6" Windows Hello Webcam, Microsoft Windows 11 Pro x64 with 16GB RAM + TAA, 256GB PCIe SSD, Sunlight Readable (Full HD LCD+ Touchscreen+Hard Tip stylus), DC Power Jack + AC Adapter + US Power Cord, Rear Camera + Tablet Hard Handle + Standard Batteries (2-pack), WIFI + BT + 4G LTE w/ integrated GPS/Glonass+ Passthrough, 3 Year B2B Warranty</t>
  </si>
  <si>
    <t>FTA724JA2MXX</t>
  </si>
  <si>
    <t>F110G7 - Intel Core i7-1355U  Processor, 11.6" Windows Hello Webcam, Microsoft Windows 11 Pro x64 with 16GB RAM + TAA, 256GB PCIe SSD, Sunlight Readable (Full HD LCD+ Touchscreen+Hard Tip stylus), DC Power Jack + AC Adapter + US Power Cord, Rear Camera + Standard Batteries (2-pack), WiFi + BT, ANSI, 3 Year B2B Warranty</t>
  </si>
  <si>
    <t>FTB724JA1DCX</t>
  </si>
  <si>
    <t>F110G7 - Intel Core i5-1335U Processor, 11.6" With Webcam, Microsoft Windows 11 Pro x64 with 16GB RAM + TAA, 512GB PCIe SSD, Sunlight Readable (Full HD LCD+ Touchscreen+ Digitizer), DC Power Jack + AC Adapter + US Power Cord, Rear Camera + Standard Batteries (2-pack), WiFi + BT, 3 Year B2B Warranty</t>
  </si>
  <si>
    <t>FTA126TA1DXX</t>
  </si>
  <si>
    <t>F110G7 - Intel Core i7-1355U  Processor, 11.6" With Webcam, Microsoft Windows 11 Pro x64 with 8GB RAM + TAA, 256GB PCIe SSD, Sunlight Readable (Full HD LCD+ Touchscreen+Hard Tip stylus), DC Power Jack + AC Adapter + US Power Cord, Rear Camera + Tablet Hard Handle + High Capacity Batteries (2-pack), WIFI + BT + 4G LTE w/ integrated GPS/Glonass+ Passthrough, 3 Year B2B Warranty</t>
  </si>
  <si>
    <t>FTB114JA5MXX</t>
  </si>
  <si>
    <t>F110G7 - Intel Core i5-1335U Processor, 11.6" Windows Hello Webcam, Microsoft Windows 11 Pro x64 with 16GB RAM + TAA, 256GB PCIe SSD, Sunlight Readable (Full HD LCD+ Touchscreen+Hard Tip stylus), DC Power Jack + AC Adapter + US Power Cord, Rear Camera + Standard Batteries (2-pack), WIFI + BT + 4G LTE w/ integrated GPS/Glonass+ Passthrough, 3 Year B2B Warranty</t>
  </si>
  <si>
    <t>FTA724JA1MXX</t>
  </si>
  <si>
    <t>F110G7 - Intel Core i5-1335U Processor, 11.6" With Webcam, Microsoft Windows 11 Pro x64 with 8GB RAM + TAA, 256GB PCIe SSD, Sunlight Readable (Full HD LCD+ Touchscreen+Hard Tip stylus), DC Power Jack + AC Adapter + US Power Cord, Rear Camera + Standard Batteries (2-pack), WIFI + BT + 4G LTE w/ integrated GPS/Glonass+ Passthrough, LED Barcode Reader, 3 Year B2B Warranty</t>
  </si>
  <si>
    <t>FTA114JA1MZX</t>
  </si>
  <si>
    <t>F110G7 - Intel Core i7-1355U  Processor, 11.6" With Webcam, Microsoft Windows 11 Pro x64 with 16GB RAM + TAA, 256GB PCIe SSD, Sunlight Readable (Full HD LCD+ Touchscreen+Hard Tip stylus), DC Power Jack + AC Adapter + US Power Cord, Rear Camera + Standard Batteries (2-pack), WiFi + BT, ANSI, 3 Year B2B Warranty</t>
  </si>
  <si>
    <t>FTB124JA1DCX</t>
  </si>
  <si>
    <t>F110G7 - Intel Core i5-1335U Processor, 11.6" With Webcam, Microsoft Windows 11 Pro x64 with 16GB RAM + TAA, 256GB PCIe SSD, Sunlight Readable (Full HD LCD+ Touchscreen+Hard Tip stylus), DC Power Jack + AC Adapter + US Power Cord, Rear Camera + Standard Batteries (2-pack), WIFI + BT + 4G LTE w/ integrated GPS/Glonass+ Passthrough, 3 Year B2B Warranty</t>
  </si>
  <si>
    <t>FTA124JA1MXX</t>
  </si>
  <si>
    <t>F110G7 - Intel Core i5-1335U Processor, 11.6" With Webcam, Microsoft Windows 11 Pro x64 with 16GB RAM + TAA, 256GB PCIe SSD, Sunlight Readable (Full HD LCD+ Touchscreen+Hard Tip stylus), DC Power Jack + AC Adapter + US Power Cord, Rear Camera + Standard Batteries (2-pack), WIFI + BT + 4G LTE w/ integrated GPS/Glonass, 3 Year B2B Warranty</t>
  </si>
  <si>
    <t>FTA124JA1LXX</t>
  </si>
  <si>
    <t>F110G7 - Intel Core i5-1335U Processor, 11.6" With Webcam, Microsoft Windows 11 Pro x64 with 8GB RAM + TAA, 256GB PCIe SSD, Sunlight Readable (Full HD LCD+ Touchscreen+Hard Tip stylus), DC Power Jack + AC Adapter + US Power Cord, Rear Camera + Standard Batteries (2-pack), WIFI + BT + 4G LTE w/ integrated GPS/Glonass, ANSI, 3 Year B2B Warranty</t>
  </si>
  <si>
    <t>FTA114JA1LCX</t>
  </si>
  <si>
    <t>F110G7 - Intel Core i5-1335U Processor, 11.6" With Webcam, Microsoft Windows 11 Pro x64 with 8GB RAM + TAA, 256GB PCIe SSD, Sunlight Readable (Full HD LCD+ Touchscreen+ Digitizer), DC Power Jack + AC Adapter + US Power Cord, Rear Camera + Standard Batteries (2-pack), WIFI + BT + 4G LTE w/ integrated GPS/Glonass, 3 Year B2B Warranty</t>
  </si>
  <si>
    <t>FTA114TA1LXX</t>
  </si>
  <si>
    <t>F110G7 - Intel Core i5-1335U Processor, 11.6" With Webcam, Microsoft Windows 11 Pro x64 with 16GB RAM + TAA, 256GB PCIe SSD, Sunlight Readable (Full HD LCD+ Touchscreen+Hard Tip stylus), DC Power Jack + AC Adapter + US Power Cord, Rear Camera + Standard Batteries (2-pack), WiFi + BT, LED Barcode Reader, 3 Year B2B Warranty</t>
  </si>
  <si>
    <t>FTA124JA1DZX</t>
  </si>
  <si>
    <t>F110G7 - Intel Core i5-1335U Processor, 11.6" Windows Hello Webcam, Microsoft Windows 11 Pro x64 with 8GB RAM + TAA, 256GB PCIe SSD, Sunlight Readable (Full HD LCD+ Touchscreen+Hard Tip stylus), DC Power Jack + AC Adapter + US Power Cord, Rear Camera + Tablet Hard Handle + Standard Batteries (2-pack), WiFi + BT, Laser Barcode Reader, 3 Year B2B Warranty</t>
  </si>
  <si>
    <t>FTA714JA2DHX</t>
  </si>
  <si>
    <t>F110G7 - Intel Core i7-1355U  Processor, 11.6" Windows Hello Webcam, Microsoft Windows 11 Pro x64 with 16GB RAM + TAA, 256GB PCIe SSD, Sunlight Readable (Full HD LCD+ Touchscreen+Hard Tip stylus), DC Power Jack + AC Adapter + US Power Cord, Rear Camera + Standard Batteries (2-pack), WiFi + BT, 3 Year B2B Warranty</t>
  </si>
  <si>
    <t>FTB724JA1DXX</t>
  </si>
  <si>
    <t>F110G7 - Intel Core i5-1335U Processor, 11.6" With Webcam, Microsoft Windows 11 Pro x64 with 16GB RAM + TAA, 512GB PCIe SSD, Sunlight Readable (Full HD LCD+ Touchscreen+Hard Tip stylus), DC Power Jack + AC Adapter + US Power Cord, Rear Camera + Standard Batteries (2-pack), WiFi + BT, 3 Year B2B Warranty</t>
  </si>
  <si>
    <t>FTA126JA1DXX</t>
  </si>
  <si>
    <t>F110G7 - Intel Core i5-1335U Processor, 11.6" With Webcam, Microsoft Windows 11 Pro x64 with 16GB RAM + TAA, 256GB PCIe SSD, Sunlight Readable (Full HD LCD+ Touchscreen+Hard Tip stylus), DC Power Jack + AC Adapter + US Power Cord, Rear Camera + Standard Batteries (2-pack), WiFi + BT, RS232 + RJ45, 3 Year B2B Warranty</t>
  </si>
  <si>
    <t>FTA124JA1DMX</t>
  </si>
  <si>
    <t>F110G7 - Intel Core i5-1335U Processor, 11.6" With Webcam, Microsoft Windows 11 Pro x64 with 16GB RAM + TAA, 256GB PCIe SSD, Sunlight Readable (Full HD LCD+ Touchscreen+Hard Tip stylus), DC Power Jack + AC Adapter + US Power Cord, Rear Camera + Standard Batteries (2-pack), WiFi + BT, ANSI, 3 Year B2B Warranty</t>
  </si>
  <si>
    <t>FTA124JA1DCX</t>
  </si>
  <si>
    <t>F110G7 - Intel Core i7-1355U  Processor, 11.6" With Webcam, Microsoft Windows 11 Pro x64 with 16GB RAM + TAA, 256GB PCIe SSD, Sunlight Readable (Full HD LCD+ Touchscreen+Hard Tip stylus), DC Power Jack + AC Adapter + US Power Cord, Rear Camera + Standard Batteries (2-pack), WiFi + BT, 3 Year B2B Warranty</t>
  </si>
  <si>
    <t>FTB124JA1DXX</t>
  </si>
  <si>
    <t>F110G7 - Intel Core i7-1355U  Processor, 11.6" With Webcam, Microsoft Windows 11 Pro x64 with 16GB RAM + TAA, 256GB PCIe SSD, Sunlight Readable (Full HD LCD+ Touchscreen+Hard Tip stylus), DC Power Jack + AC Adapter + US Power Cord, (Without Rear Camera) + Standard Batteries (2-pack), WiFi + BT, 3 Year B2B Warranty</t>
  </si>
  <si>
    <t>FTB124JA4DXX</t>
  </si>
  <si>
    <t>F110G7 - Intel Core i5-1335U Processor, 11.6" With Webcam, Microsoft Windows 11 Pro x64 with 8GB RAM + TAA, 256GB PCIe SSD, Sunlight Readable (Full HD LCD+ Touchscreen+Hard Tip stylus), DC Power Jack + AC Adapter + US Power Cord, Rear Camera + Standard Batteries (2-pack), WiFi + BT, Laser Barcode Reader, 3 Year B2B Warranty</t>
  </si>
  <si>
    <t>FTA114JA1DHX</t>
  </si>
  <si>
    <t>F110G7 - Intel Core i5-1345U Processor, vPro Enterprise, 11.6" With Webcam, Microsoft Windows 11 Pro x64 with 8GB RAM + TAA, 256GB PCIe SSD, Sunlight Readable (Full HD LCD+ Touchscreen+Hard Tip stylus), DC Power Jack + AC Adapter + US Power Cord, Rear Camera + Standard Batteries (2-pack), WiFi + BT, RJ45 + ANSI, 3 Year B2B Warranty</t>
  </si>
  <si>
    <t>FT6114JA1DRX</t>
  </si>
  <si>
    <t>F110G7 - Intel Core i5-1335U Processor, 11.6" Windows Hello Webcam, Microsoft Windows 11 Pro x64 with 8GB RAM + TAA, 256GB PCIe SSD, Sunlight Readable (Full HD LCD+ Touchscreen+Hard Tip stylus), DC Power Jack + AC Adapter + US Power Cord, Rear Camera + Standard Batteries (2-pack), WIFI + BT + 4G LTE w/ integrated GPS/Glonass+ Passthrough, 3 Year B2B Warranty</t>
  </si>
  <si>
    <t>FTA714JA1MXX</t>
  </si>
  <si>
    <t>F110G7 - Intel Core i5-1335U Processor, 11.6" With Webcam, Microsoft Windows 11 Pro x64 with 8GB RAM + TAA, 256GB PCIe SSD, Sunlight Readable (Full HD LCD+ Touchscreen+Hard Tip stylus), DC Power Jack + AC Adapter + US Power Cord, Rear Camera + Standard Batteries (2-pack), WIFI + BT + 4G LTE w/ integrated GPS/Glonass+ Passthrough, 3 Year B2B Warranty</t>
  </si>
  <si>
    <t>FTA114JA1MXX</t>
  </si>
  <si>
    <t>F110G7 - Intel Core i5-1345U Processor, vPro Enterprise, 11.6" With Webcam, Microsoft Windows 11 Pro x64 with 16GB RAM + TAA, 256GB PCIe SSD, Sunlight Readable (Full HD LCD+ Touchscreen+Hard Tip stylus), DC Power Jack + AC Adapter + US Power Cord, Rear Camera + Standard Batteries (2-pack), WiFi + BT, 3 Year B2B Warranty</t>
  </si>
  <si>
    <t>FT6124JA1DXX</t>
  </si>
  <si>
    <t>F110G7 - Intel Core i5-1335U Processor, 11.6" With Webcam, Microsoft Windows 11 Pro x64 with 8GB RAM + TAA, 256GB PCIe SSD, Sunlight Readable (Full HD LCD+ Touchscreen+Hard Tip stylus), DC Power Jack + AC Adapter + US Power Cord, Rear Camera + Standard Batteries (2-pack), WIFI + BT + 4G LTE w/ integrated GPS/Glonass, 3 Year B2B Warranty</t>
  </si>
  <si>
    <t>FTA114JA1LXX</t>
  </si>
  <si>
    <t>F110G7 - Intel Core i5-1335U Processor, 11.6" With Webcam, Microsoft Windows 11 Pro x64 with 16GB RAM + TAA, 256GB PCIe SSD, Sunlight Readable (Full HD LCD+ Touchscreen+Hard Tip stylus), DC Power Jack + AC Adapter + US Power Cord, Rear Camera + Standard Batteries (2-pack), WiFi + BT, RJ45, 3 Year B2B Warranty</t>
  </si>
  <si>
    <t>FTA124JA1DLX</t>
  </si>
  <si>
    <t>F110G7 - Intel Core i5-1335U Processor, 11.6" With Webcam, Microsoft Windows 11 Pro x64 with 16GB RAM + TAA, 256GB PCIe SSD, Sunlight Readable (Full HD LCD+ Touchscreen+Hard Tip stylus), DC Power Jack + AC Adapter + US Power Cord, Rear Camera + Standard Batteries (2-pack), WiFi + BT + Passthrough, 3 Year B2B Warranty</t>
  </si>
  <si>
    <t>FTA124JA1KXX</t>
  </si>
  <si>
    <t>F110G7 - Intel Core i7-1355U  Processor, 11.6" With Webcam, Microsoft Windows 11 Pro x64 with 8GB RAM + TAA, 256GB PCIe SSD, Sunlight Readable (Full HD LCD+ Touchscreen+Hard Tip stylus), DC Power Jack + AC Adapter + US Power Cord, Rear Camera + Standard Batteries (2-pack), WiFi + BT, USB 2.0, 3 Year B2B Warranty</t>
  </si>
  <si>
    <t>FTB114JA1DJX</t>
  </si>
  <si>
    <t>F110G7 - Intel Core i5-1335U Processor, 11.6" Windows Hello Webcam, Microsoft Windows 11 Pro x64 with 16GB RAM + TAA, 256GB PCIe SSD, Sunlight Readable (Full HD LCD+ Touchscreen+Hard Tip stylus), DC Power Jack + AC Adapter + US Power Cord, Rear Camera + Standard Batteries (2-pack), WiFi + BT, 3 Year B2B Warranty</t>
  </si>
  <si>
    <t>FTA724JA1DXX</t>
  </si>
  <si>
    <t>F110G7 - Intel Core i5-1335U Processor, 11.6" With Webcam, Microsoft Windows 11 Pro x64 with 16GB RAM + TAA, 256GB PCIe SSD, Sunlight Readable (Full HD LCD+ Touchscreen+Hard Tip stylus), DC Power Jack + AC Adapter + US Power Cord, Rear Camera + Standard Batteries (2-pack), WiFi + BT, 3 Year B2B Warranty</t>
  </si>
  <si>
    <t>FTA124JA1DXX</t>
  </si>
  <si>
    <t>F110G7 - Intel Core i5-1335U Processor, 11.6" With Webcam, Microsoft Windows 11 Pro x64 with 8GB RAM + TAA, 256GB PCIe SSD, Sunlight Readable (Full HD LCD+ Touchscreen+Hard Tip stylus), DC Power Jack + AC Adapter + US Power Cord, Rear Camera + Standard Batteries (2-pack), WiFi + BT, ANSI, 3 Year B2B Warranty</t>
  </si>
  <si>
    <t>FTA114JA1DCX</t>
  </si>
  <si>
    <t>F110G7 - Intel Core i7-1355U  Processor, 11.6" With Webcam, Microsoft Windows 11 Pro x64 with 8GB RAM + TAA, 256GB PCIe SSD, Sunlight Readable (Full HD LCD+ Touchscreen+Hard Tip stylus), DC Power Jack + AC Adapter + US Power Cord, Rear Camera + Standard Batteries (2-pack), WiFi + BT, 3 Year B2B Warranty</t>
  </si>
  <si>
    <t>FTB114JA1DXX</t>
  </si>
  <si>
    <t>F110G7 - Intel Core i5-1345U Processor, vPro Enterprise, 11.6" With Webcam, Microsoft Windows 11 Pro x64 with 8GB RAM + TAA, 256GB PCIe SSD, Sunlight Readable (Full HD LCD+ Touchscreen+Hard Tip stylus), DC Power Jack + AC Adapter + US Power Cord, Rear Camera + Standard Batteries (2-pack), WiFi + BT, 3 Year B2B Warranty</t>
  </si>
  <si>
    <t>FT6114JA1DXX</t>
  </si>
  <si>
    <t>F110G7 - Intel Core i5-1335U Processor, 11.6" With Webcam, Microsoft Windows 11 Pro x64 with 8GB RAM + TAA, 256GB PCIe SSD, Sunlight Readable (Full HD LCD+ Touchscreen+Hard Tip stylus), DC Power Jack + AC Adapter + US Power Cord, Rear Camera + Standard Batteries (2-pack), WiFi + BT, RJ45, 3 Year B2B Warranty</t>
  </si>
  <si>
    <t>FTA114JA1DLX</t>
  </si>
  <si>
    <t>F110G7 - Intel Core i5-1335U Processor, 11.6" Windows Hello Webcam, Microsoft Windows 11 Pro x64 with 8GB RAM + TAA, 256GB PCIe SSD, Sunlight Readable (Full HD LCD+ Touchscreen+Hard Tip stylus), DC Power Jack + AC Adapter + US Power Cord, Rear Camera + Tablet Hard Handle + Standard Batteries (2-pack), WiFi + BT, 3 Year B2B Warranty</t>
  </si>
  <si>
    <t>FTA714JA2DXX</t>
  </si>
  <si>
    <t>F110G7 - Intel Core i5-1335U Processor, 11.6" Windows Hello Webcam, Microsoft Windows 11 Pro x64 with 8GB RAM + TAA, 256GB PCIe SSD, Sunlight Readable (Full HD LCD+ Touchscreen+Hard Tip stylus), DC Power Jack + AC Adapter + US Power Cord, Rear Camera + Standard Batteries (2-pack), WiFi + BT, 3 Year B2B Warranty</t>
  </si>
  <si>
    <t>FTA714JA1DXX</t>
  </si>
  <si>
    <t>F110G7 - Intel Core i5-1335U Processor, 11.6" With Webcam, Microsoft Windows 11 Pro x64 with 8GB RAM + TAA, 256GB PCIe SSD, Sunlight Readable (Full HD LCD+ Touchscreen+Hard Tip stylus), DC Power Jack + AC Adapter + US Power Cord, Rear Camera + Standard Batteries (2-pack), WiFi + BT, 3 Year B2B Warranty</t>
  </si>
  <si>
    <t>FTA114JA1DXX</t>
  </si>
  <si>
    <t>B360G3 Pro - Intel Core Ultra 5 225H Processor, 13.3" + Windows Hello Webcam, Microsoft Windows 11 Pro x64 with 16GB RAM + TAA, 1TB PCIe SSD (main storage, user swappable), Sunlight Readable Full HD LCD 1400 nits + Touchscreen + Hard tip stylus, US KBD + US Power cord, Membrane Backlit KBD, Wifi + BT, RS232 + 2nd Thunderbolt 4, Expansion unit (High capacity battery x 2 + DVD Super Multi drive), Smart Card Reader, 3 Year B2B Warranty</t>
  </si>
  <si>
    <t>BV1729BABDLB</t>
  </si>
  <si>
    <t>B360G3</t>
  </si>
  <si>
    <t>B360G3 - Intel Core Ultra 5 225H Processor, 13.3" + Windows Hello Webcam, Microsoft Windows 11 Pro x64 with 32GB RAM + TAA, 1TB PCIe SSD (main storage, user swappable), Sunlight Readable Full HD LCD 1400 nits+Touchscreen+Hard tip stylus+1D/2D Imager Barcode Reader, US KBD + US Power cord, Membrane Backlit KBD, WIFI + BT + 4G LTE w/ dedicated GPS/Glonass + Passthrough, RS232 + 2nd Thunderbolt 4, Smart Card Reader, 3 Year B2B Warranty</t>
  </si>
  <si>
    <t>BV1739CABHLX</t>
  </si>
  <si>
    <t>B360G3 - Intel Core Ultra 7 255H Processor, 13.3" + Webcam + ANSI, Microsoft Windows 11 Pro x64 with 32GB RAM + TAA, 1TB PCIe SSD (main storage, user swappable), Sunlight Readable Full HD LCD 1400 nits + Touchscreen + Hard tip stylus, US KBD + US Power cord, Membrane Backlit KBD, WIFI + BT + 4G LTE w/ integrated GPS/Glonass + Passthrough, RS232 + 2nd Thunderbolt 4, Smart Card Reader, 3 Year B2B Warranty</t>
  </si>
  <si>
    <t>BV3C39BABJLX</t>
  </si>
  <si>
    <t>B360G3 - Intel Core Ultra 7 255H Processor, 13.3" + Windows Hello Webcam, Microsoft Windows 11 Pro x64 with 32GB RAM + TAA, 1TB PCIe SSD (main storage, user swappable), Sunlight Readable Full HD LCD 1400 nits + Touchscreen + Hard tip stylus, US KBD + US Power cord, Membrane Backlit KBD, WIFI + BT + 4G LTE w/ integrated GPS/Glonass + Passthrough, RS232 + 2nd Thunderbolt 4, Smart Card Reader, 3 Year B2B Warranty</t>
  </si>
  <si>
    <t>BV3739BABJLX</t>
  </si>
  <si>
    <t>B360G3 - Intel Core Ultra 7 255H Processor, 13.3" + Windows Hello Webcam + Micro SD Card Reader, Microsoft Windows 11 Pro x64 with 16GB RAM + TAA, 512GB PCIe SSD (main storage, user swappable), Sunlight Readable Full HD LCD 1400 nits+Touchscreen+Hard tip stylus+1D/2D Imager Barcode Reader, US KBD + US Power cord, Membrane Backlit KBD, WIFI + BT + 5G Sub-6 w/ dedicated GPS/Glonass + Passthrough(**), RS232 + 2nd Thunderbolt 4, Smart Card Reader, 3 Year B2B Warranty</t>
  </si>
  <si>
    <t>BV3N26CABWLX</t>
  </si>
  <si>
    <t>B360G3 - Intel Core Ultra 7 255H Processor, 13.3" + Windows Hello Webcam + Micro SD Card Reader, Microsoft Windows 11 Pro x64 with 32GB RAM + TAA, 512GB PCIe SSD (main storage, user swappable), Sunlight Readable Full HD LCD 1400 nits + Touchscreen + Hard tip stylus, US KBD + US Power cord, Membrane Backlit KBD with HF RFID, WIFI + BT + 4G LTE w/ dedicated GPS/Glonass + Passthrough, RS232 + 2nd Thunderbolt 4, Smart Card Reader, 3 Year B2B Warranty</t>
  </si>
  <si>
    <t>BV3N36BA6HLX</t>
  </si>
  <si>
    <t>B360G3 - Intel Core Ultra 7 255H Processor, 13.3" + Windows Hello Webcam + Micro SD Card Reader, Microsoft Windows 11 Pro x64 with 16GB RAM + TAA, 256GB PCIe SSD (main, user swappable) + 256GB PCIe SSD (second, user swappable), Sunlight Readable Full HD LCD 1400 nits + Touchscreen + Hard tip stylus, US KBD + US Power cord, Membrane Backlit KBD with HF RFID, WIFI + BT + 5G Sub-6 w/ dedicated GPS/Glonass + Passthrough(**), RS232 + Display port, Smart Card Reader, 3 Year B2B Warranty</t>
  </si>
  <si>
    <t>BV3N2RBA6WVX</t>
  </si>
  <si>
    <t>B360G3 - Intel Core Ultra 7 255H Processor, 13.3" + Webcam + Micro SD card reader, Microsoft Windows 11 Pro x64 with 32GB RAM + TAA, 1TB PCIe SSD (main storage, user swappable), Sunlight Readable Full HD LCD 1400 nits + Touchscreen + Hard tip stylus, US KBD + US Power cord, Membrane Backlit KBD, Wifi + BT, RS232 + 2nd Thunderbolt 4, Smart Card Reader, 3 Year B2B Warranty</t>
  </si>
  <si>
    <t>BV3L39BABDLX</t>
  </si>
  <si>
    <t>B360G3 - Intel Core Ultra 7 255H Processor, 13.3" + Windows Hello Webcam, Microsoft Windows 11 Pro x64 with 32GB RAM + TAA, 1TB PCIe SSD (main storage, user swappable), Sunlight Readable Full HD LCD 1400 nits + Touchscreen + Hard tip stylus, US KBD + US Power cord, Membrane Backlit KBD, Wifi + BT, RS232 + 2nd Thunderbolt 4, Smart Card Reader, 3 Year B2B Warranty</t>
  </si>
  <si>
    <t>BV3739BABDLX</t>
  </si>
  <si>
    <t>B360G3 - Intel Core Ultra 7 255H Processor, 13.3" + Windows Hello Webcam, Microsoft Windows 11 Pro x64 with 32GB RAM + TAA, 512GB PCIe SSD (main storage, user swappable), Sunlight Readable Full HD LCD 1400 nits + Touchscreen + Hard tip stylus, US KBD + US Power cord, Membrane Backlit KBD, WIFI + BT + 4G LTE w/ dedicated GPS/Glonass + Passthrough, RS232 + 2nd Thunderbolt 4, Smart Card Reader, 3 Year B2B Warranty</t>
  </si>
  <si>
    <t>BV3736BABHLX</t>
  </si>
  <si>
    <t>B360G3 - Intel Core Ultra 7 265H Processor,vPro Enterprise,[vPro Label-Config requires Dual TB4 port &amp; WiFi], 13.3" + Windows Hello Webcam, Microsoft Windows 11 Pro x64 with 16GB RAM + TAA, 256GB PCIe SSD (main storage, user swappable), Sunlight Readable Full HD LCD 1400 nits + Touchscreen + Hard tip stylus, US KBD + US Power cord, Membrane Backlit KBD + LF/HF RFID, WIFI + BT + 5G Sub-6 w/ integrated GPS/Glonass + Passthrough(**), RS232 + 2nd Thunderbolt 4, Smart Card Reader, 3 Year B2B Warranty</t>
  </si>
  <si>
    <t>BV4724BAUULX</t>
  </si>
  <si>
    <t>B360G3 - Intel Core Ultra 5 235H Processor,vPro Enterprise,[vPro Label-Config requires Dual TB4 port &amp; WiFi], 13.3" + Windows Hello Webcam, Microsoft Windows 11 Pro x64 with 16GB RAM + TAA, 512GB PCIe SSD (main storage, user swappable), Sunlight Readable Full HD LCD 1400 nits+Touchscreen+Hard tip stylus+1D/2D Imager Barcode Reader, US KBD + US Power cord, Membrane Backlit KBD, WIFI + BT + 4G LTE w/ dedicated GPS/Glonass + Passthrough, RS232 + 2nd Thunderbolt 4, Smart Card Reader, 3 Year B2B Warranty</t>
  </si>
  <si>
    <t>BV2726CABHLX</t>
  </si>
  <si>
    <t>B360G3 - Intel Core Ultra 7 255H Processor, 13.3" + Windows Hello Webcam, Microsoft Windows 11 Pro x64 with 32GB RAM + TAA, 256GB PCIe SSD (main storage, user swappable), Sunlight Readable Full HD LCD 1400 nits + Touchscreen + Hard tip stylus, US KBD + US Power cord, Membrane Backlit KBD, WIFI + BT + 5G Sub-6 w/ dedicated GPS/Glonass + Passthrough(**), RS232 + 2nd Thunderbolt 4, Smart Card Reader, 3 Year B2B Warranty</t>
  </si>
  <si>
    <t>BV3734BABWLX</t>
  </si>
  <si>
    <t>B360G3 - Intel Core Ultra 7 255H Processor, 13.3" + Windows Hello Webcam + Micro SD Card Reader, Microsoft Windows 11 Pro x64 with 32GB RAM + TAA, 256GB PCIe SSD (main storage, user swappable), Sunlight Readable Full HD LCD 1400 nits + Touchscreen + Hard tip stylus, US KBD + US Power cord, Membrane Backlit KBD, WIFI + BT + 4G LTE w/ dedicated GPS/Glonass + Passthrough, RS232 + 2nd Thunderbolt 4 + 2nd RJ45, Smart Card Reader, 3 Year B2B Warranty</t>
  </si>
  <si>
    <t>BV3N34BABHMX</t>
  </si>
  <si>
    <t>B360G3 - Intel Core Ultra 7 255H Processor, 13.3" + Windows Hello Webcam + Micro SD Card Reader, Microsoft Windows 11 Pro x64 with 16GB RAM + TAA, 256GB PCIe SSD (main storage, user swappable), Sunlight Readable Full HD LCD 1400 nits+Touchscreen+Hard tip stylus+1D/2D Imager Barcode Reader, US KBD + US Power cord, Membrane Backlit KBD, WIFI + BT + 4G LTE w/ dedicated GPS/Glonass + Passthrough, RS232 + 2nd Thunderbolt 4, Smart Card Reader, 3 Year B2B Warranty</t>
  </si>
  <si>
    <t>BV3N24CABHLX</t>
  </si>
  <si>
    <t>B360G3 - Intel Core Ultra 7 255H Processor, 13.3" + Windows Hello Webcam, Microsoft Windows 11 Pro x64 with 16GB RAM + TAA, 256GB PCIe SSD (main storage, user swappable), Sunlight Readable Full HD LCD 1400nits+Touchscreen+Hard tip stylus+TraCS-compatible1D/2D Imager Barcode Reader, US KBD + US Power cord, Membrane Backlit KBD, WIFI + BT + 4G LTE w/ dedicated GPS/Glonass + Passthrough, RS232 + 2nd Thunderbolt 4, Smart Card Reader, 3 Year B2B Warranty</t>
  </si>
  <si>
    <t>BV3724FABHLX</t>
  </si>
  <si>
    <t>B360G3 - Intel Core Ultra 7 255H Processor, 13.3" + Webcam + ANSI, Microsoft Windows 11 Pro x64 with 16GB RAM + TAA, 512GB PCIe SSD (main storage, user swappable), Sunlight Readable Full HD LCD 1400 nits + Touchscreen + Hard tip stylus, US KBD + US Power cord, Membrane Backlit KBD, WIFI + BT + 4G LTE w/ dedicated GPS/Glonass + Passthrough, RS232 + 2nd Thunderbolt 4, Smart Card Reader, 3 Year B2B Warranty</t>
  </si>
  <si>
    <t>BV3C26BABHLX</t>
  </si>
  <si>
    <t>B360G3 - Intel Core Ultra 7 255H Processor, 13.3" + Windows Hello Webcam, Microsoft Windows 11 Pro x64 with 16GB RAM + TAA, 256GB PCIe SSD (main storage, user swappable), Sunlight Readable Full HD LCD 1400 nits+Touchscreen+Hard tip stylus+1D/2D Imager Barcode Reader, US KBD + US Power cord, Membrane Backlit KBD, WIFI + BT + 4G LTE w/ integrated GPS/Glonass + Passthrough, RS232 + 2nd Thunderbolt 4, Smart Card Reader, 3 Year B2B Warranty</t>
  </si>
  <si>
    <t>BV3724CABJLX</t>
  </si>
  <si>
    <t>B360G3 - Intel Core Ultra 7 255H Processor, 13.3" + Windows Hello Webcam, Microsoft Windows 11 Pro x64 with 32GB RAM + TAA, 256GB PCIe SSD (main storage, user swappable), Sunlight Readable Full HD LCD 1400 nits + Touchscreen + Hard tip stylus, US KBD + US Power cord, Membrane Backlit KBD, WIFI + BT + 4G LTE w/ dedicated GPS/Glonass + Passthrough, RS232 + 2nd Thunderbolt 4, Smart Card Reader, 3 Year B2B Warranty</t>
  </si>
  <si>
    <t>BV3734BABHLX</t>
  </si>
  <si>
    <t>B360G3 - Intel Core Ultra 5 225H Processor, 13.3" + Windows Hello Webcam, Microsoft Windows 11 Pro x64 with 32GB RAM + TAA, 512GB PCIe SSD (main storage, user swappable), Sunlight Readable Full HD LCD 1400 nits + Touchscreen + Hard tip stylus, US KBD + US Power cord, Membrane Backlit KBD, WIFI + BT + 4G LTE w/ integrated GPS/Glonass + Passthrough, RS232 + 2nd Thunderbolt 4, Smart Card Reader, 3 Year B2B Warranty</t>
  </si>
  <si>
    <t>BV1736BABJLX</t>
  </si>
  <si>
    <t>B360G3 - Intel Core Ultra 7 255H Processor, 13.3" + Windows Hello Webcam + Micro SD Card Reader, Microsoft Windows 11 Pro x64 with 16GB RAM + TAA, 512GB PCIe SSD (main storage, user swappable), Sunlight Readable Full HD LCD 1400 nits + Touchscreen + Hard tip stylus, US KBD + US Power cord, Membrane Backlit KBD, WIFI + BT + 4G LTE w/ dedicated GPS/Glonass + Passthrough, RS232 + 2nd Thunderbolt 4, Smart Card Reader, 3 Year B2B Warranty</t>
  </si>
  <si>
    <t>BV3N26BABHLX</t>
  </si>
  <si>
    <t>B360G3 - Intel Core Ultra 7 255H Processor, 13.3" + Windows Hello Webcam + Micro SD Card Reader, Microsoft Windows 11 Pro x64 with 16GB RAM + TAA, 256GB PCIe SSD (main storage, user swappable), Sunlight Readable Full HD LCD 1400 nits + Touchscreen + Hard tip stylus, US KBD + US Power cord, Membrane Backlit KBD, WIFI + BT + 5G Sub-6 w/ dedicated GPS/Glonass + Passthrough(**), RS232 + 2nd Thunderbolt 4, Smart Card Reader, 3 Year B2B Warranty</t>
  </si>
  <si>
    <t>BV3N24BABWLX</t>
  </si>
  <si>
    <t>B360G3 - Intel Core Ultra 5 225H Processor, 13.3" + Windows Hello Webcam, Microsoft Windows 11 Pro x64 with 16GB RAM + TAA, 256GB PCIe SSD (main storage, user swappable), Sunlight Readable Full HD LCD 1400 nits+Touchscreen+Hard tip stylus+1D/2D Imager Barcode Reader, US KBD + US Power cord, Membrane Backlit KBD, WIFI + BT + 4G LTE w/ dedicated GPS/Glonass + Passthrough, RS232 + 2nd Thunderbolt 4, Smart Card Reader, 3 Year B2B Warranty</t>
  </si>
  <si>
    <t>BV1724CABHLX</t>
  </si>
  <si>
    <t>B360G3 - Intel Core Ultra 5 225H Processor, 13.3" + Windows Hello Webcam, Microsoft Windows 11 Pro x64 with 16GB RAM + TAA, 256GB PCIe SSD (main storage, user swappable), Sunlight Readable Full HD LCD 1400nits+Touchscreen+Hard tip stylus+TraCS-compatible1D/2D Imager Barcode Reader, US KBD + US Power cord, Membrane Backlit KBD, WIFI + BT + 4G LTE w/ integrated GPS/Glonass + Passthrough, RS232 + 2nd Thunderbolt 4, Smart Card Reader, 3 Year B2B Warranty</t>
  </si>
  <si>
    <t>BV1724FABJLX</t>
  </si>
  <si>
    <t>B360G3 - Intel Core Ultra 5 225H Processor, 13.3" + Windows Hello Webcam, Microsoft Windows 11 Pro x64 with 16GB RAM + TAA, 512GB PCIe SSD (main storage, user swappable), Sunlight Readable Full HD LCD 1400 nits + Touchscreen + Hard tip stylus, US KBD + US Power cord, Membrane Backlit KBD, WIFI + BT + 5G Sub-6 w/ integrated GPS/Glonass + Passthrough(**), RS232 + Display port, Smart Card Reader, 3 Year B2B Warranty</t>
  </si>
  <si>
    <t>BV1726BABUVX</t>
  </si>
  <si>
    <t>B360G3 - Intel Core Ultra 5 225H Processor, 13.3" + Windows Hello Webcam, Microsoft Windows 11 Pro x64 with 16GB RAM + TAA, 512GB PCIe SSD (main storage, user swappable), Sunlight Readable Full HD LCD 1400 nits + Touchscreen + Hard tip stylus, US KBD + US Power cord, Membrane Backlit KBD, WIFI + BT + 5G Sub-6 w/ integrated GPS/Glonass + Passthrough(**), RS232 + 2nd Thunderbolt 4, Smart Card Reader, 3 Year B2B Warranty</t>
  </si>
  <si>
    <t>BV1726BABULX</t>
  </si>
  <si>
    <t>B360G3 - Intel Core Ultra 7 255H Processor, 13.3" + Windows Hello Webcam, Microsoft Windows 11 Pro x64 with 32GB RAM + TAA, 512GB PCIe SSD (main storage, user swappable), Sunlight Readable Full HD LCD 1400 nits + Touchscreen + Hard tip stylus, US KBD + US Power cord, Membrane Backlit KBD, Wifi + BT, RS232 + 2nd Thunderbolt 4, Smart Card Reader, 3 Year B2B Warranty</t>
  </si>
  <si>
    <t>BV3736BABDLX</t>
  </si>
  <si>
    <t>B360G3 - Intel Core Ultra 5 225H Processor, 13.3" + Webcam + ANSI, Microsoft Windows 11 Pro x64 with 32GB RAM + TAA, 512GB PCIe SSD (main storage, user swappable), Sunlight Readable Full HD LCD 1400 nits + Touchscreen + Hard tip stylus, US KBD + US Power cord, Membrane Backlit KBD, Wifi + BT, RS232 + 2nd Thunderbolt 4, Smart Card Reader, 3 Year B2B Warranty</t>
  </si>
  <si>
    <t>BV1C36BABDLX</t>
  </si>
  <si>
    <t>B360G3 - Intel Core Ultra 5 225H Processor, 13.3" + Windows Hello Webcam, Microsoft Windows 11 Pro x64 with 16GB RAM + TAA, 512GB PCIe SSD (main storage, user swappable), Sunlight Readable Full HD LCD 1400 nits + Touchscreen + Hard tip stylus, US KBD + US Power cord, Membrane Backlit KBD with HF RFID, WIFI + BT + 4G LTE w/ integrated GPS/Glonass + Passthrough, RS232 + 2nd Thunderbolt 4, Smart Card Reader, 3 Year B2B Warranty</t>
  </si>
  <si>
    <t>BV1726BA6JLX</t>
  </si>
  <si>
    <t>B360G3 - Intel Core Ultra 5 235H Processor,vPro Enterprise,[vPro Label-Config requires Dual TB4 port &amp; WiFi], 13.3" + Windows Hello Webcam, Microsoft Windows 11 Pro x64 with 16GB RAM + TAA, 512GB PCIe SSD (main storage, user swappable), Sunlight Readable Full HD LCD 1400 nits + Touchscreen + Hard tip stylus, US KBD + US Power cord, Membrane Backlit KBD, WIFI + BT + 4G LTE w/ integrated GPS/Glonass, RS232 + 2nd Thunderbolt 4, Smart Card Reader, 3 Year B2B Warranty</t>
  </si>
  <si>
    <t>BV2726BABRLX</t>
  </si>
  <si>
    <t>B360G3 - Intel Core Ultra 5 225H Processor, 13.3" + Windows Hello Webcam, Microsoft Windows 11 Pro x64 with 16GB RAM + TAA, 512GB PCIe SSD (main storage, user swappable), Sunlight Readable Full HD LCD 1400 nits+Touchscreen+Hard tip stylus+1D/2D Imager Barcode Reader, US KBD + US Power cord, Membrane Backlit KBD, Wifi + BT, RS232 + 2nd Thunderbolt 4, Smart Card Reader, 3 Year B2B Warranty</t>
  </si>
  <si>
    <t>BV1726CABDLX</t>
  </si>
  <si>
    <t>B360G3 - Intel Core Ultra 7 255H Processor, 13.3" + Windows Hello Webcam + Micro SD Card Reader, Microsoft Windows 11 Pro x64 with 16GB RAM + TAA, 256GB PCIe SSD (main storage, user swappable), Sunlight Readable Full HD LCD 1400 nits + Touchscreen + Hard tip stylus, US KBD + US Power cord, Membrane Backlit KBD, WIFI + BT + 4G LTE w/ integrated GPS/Glonass + Passthrough, RS232 + 2nd Thunderbolt 4, Smart Card Reader, 3 Year B2B Warranty</t>
  </si>
  <si>
    <t>BV3N24BABJLX</t>
  </si>
  <si>
    <t>B360G3 - Intel Core Ultra 5 225H Processor, 13.3" + Windows Hello Webcam, Microsoft Windows 11 Pro x64 with 16GB RAM + TAA, 512GB PCIe SSD (main storage, user swappable), Sunlight Readable Full HD LCD 1400 nits + Touchscreen + Hard tip stylus, US KBD + US Power cord, Membrane Backlit KBD, WIFI + BT + 4G LTE w/ dedicated GPS/Glonass + Passthrough, RS232 + 2nd Thunderbolt 4, Smart Card Reader, 3 Year B2B Warranty</t>
  </si>
  <si>
    <t>BV1726BABHLX</t>
  </si>
  <si>
    <t>B360G3 - Intel Core Ultra 5 225H Processor, 13.3" + Windows Hello Webcam, Microsoft Windows 11 Pro x64 with 16GB RAM + TAA, 256GB PCIe SSD (main storage, user swappable), Sunlight Readable Full HD LCD 1400 nits + Touchscreen + Hard tip stylus, US KBD + US Power cord, Membrane Backlit KBD, WIFI + BT + 5G Sub-6 w/ dedicated GPS/Glonass + Passthrough(**), RS232 + 2nd Thunderbolt 4, Smart Card Reader, 3 Year B2B Warranty</t>
  </si>
  <si>
    <t>BV1724BABWLX</t>
  </si>
  <si>
    <t>B360G3 - Intel Core Ultra 5 225H Processor, 13.3" + Webcam, Microsoft Windows 11 Pro x64 with 16GB RAM + TAA, 512GB PCIe SSD (main storage, user swappable), Sunlight Readable Full HD LCD 1400 nits + Touchscreen + Hard tip stylus, US KBD + US Power cord, Membrane Backlit KBD, WIFI + BT + 4G LTE w/ integrated GPS/Glonass + Passthrough, RS232 + 2nd Thunderbolt 4, Smart Card Reader, 3 Year B2B Warranty</t>
  </si>
  <si>
    <t>BV1126BABJLX</t>
  </si>
  <si>
    <t>B360G3 - Intel Core Ultra 5 225H Processor, 13.3" + Webcam, Microsoft Windows 11 Pro x64 with 16GB RAM + TAA, 512GB PCIe SSD (main storage, user swappable), Sunlight Readable Full HD LCD 1400 nits + Touchscreen + Hard tip stylus, US KBD + US Power cord, Membrane Backlit KBD, WIFI + BT + 4G LTE w/ integrated GPS/Glonass, RS232 + Display port, Smart Card Reader, 3 Year B2B Warranty</t>
  </si>
  <si>
    <t>BV1126BABRVX</t>
  </si>
  <si>
    <t>B360G3 - Intel Core Ultra 7 255H Processor, 13.3" + Webcam, Microsoft Windows 11 Pro x64 with 16GB RAM + TAA, 256GB PCIe SSD (main storage, user swappable), Sunlight Readable Full HD LCD 1400 nits + Touchscreen + Hard tip stylus, US KBD + US Power cord, Membrane Backlit KBD, WIFI + BT + 4G LTE w/ integrated GPS/Glonass + Passthrough, RS232 + 2nd Thunderbolt 4, Smart Card Reader, 3 Year B2B Warranty</t>
  </si>
  <si>
    <t>BV3124BABJLX</t>
  </si>
  <si>
    <t>B360G3 - Intel Core Ultra 5 225H Processor, 13.3" + Webcam, Microsoft Windows 11 Pro x64 with 16GB RAM + TAA, 512GB PCIe SSD (main storage, user swappable), Sunlight Readable Full HD LCD 1400 nits + Touchscreen + Hard tip stylus, US KBD + US Power cord, Membrane Backlit KBD, WIFI + BT + 4G LTE w/ integrated GPS/Glonass, RS232 + VGA, Smart Card Reader, 3 Year B2B Warranty</t>
  </si>
  <si>
    <t>BV1126BABRGX</t>
  </si>
  <si>
    <t>B360G3 - Intel Core Ultra 7 255H Processor, 13.3" + Webcam + Micro SD card reader, Microsoft Windows 11 Pro x64 with 16GB RAM + TAA, 256GB PCIe SSD (main storage, user swappable), Sunlight Readable Full HD LCD 1400 nits + Touchscreen + Hard tip stylus, US KBD + US Power cord, Membrane Backlit KBD, Wifi + BT + Dedicated GPS/Glonass + Passthrough, RS232 + 2nd Thunderbolt 4, Smart Card Reader, 3 Year B2B Warranty</t>
  </si>
  <si>
    <t>BV3L24BABILX</t>
  </si>
  <si>
    <t>B360G3 - Intel Core Ultra 7 255H Processor, 13.3" + Windows Hello Webcam, Microsoft Windows 11 Pro x64 with 16GB RAM + TAA, 512GB PCIe SSD (main storage, user swappable), Sunlight Readable Full HD LCD 1400 nits + Touchscreen + Hard tip stylus, US KBD + US Power cord, Membrane Backlit KBD, Wifi + BT, RS232 + 2nd Thunderbolt 4, Smart Card Reader, 3 Year B2B Warranty</t>
  </si>
  <si>
    <t>BV3726BABDLX</t>
  </si>
  <si>
    <t>B360G3 - Intel Core Ultra 5 225H Processor, 13.3" + Windows Hello Webcam, Microsoft Windows 11 Pro x64 with 16GB RAM + TAA, 256GB PCIe SSD (main storage, user swappable), Sunlight Readable Full HD LCD 1400 nits+Touchscreen+Hard tip stylus+1D/2D Imager Barcode Reader, US KBD + US Power cord, Membrane Backlit KBD, Wifi + BT, RS232 + 2nd Thunderbolt 4, Smart Card Reader, 3 Year B2B Warranty</t>
  </si>
  <si>
    <t>BV1724CABDLX</t>
  </si>
  <si>
    <t>B360G3 - Intel Core Ultra 5 225H Processor, 13.3" + Windows Hello Webcam, Microsoft Windows 11 Pro x64 with 16GB RAM + TAA, 256GB PCIe SSD (main storage, user swappable), Sunlight Readable Full HD LCD 1400 nits + Touchscreen + Hard tip stylus, US KBD + US Power cord, Membrane Backlit KBD, WIFI + BT + 4G LTE w/ dedicated GPS/Glonass + Passthrough, RS232 + Display port, Smart Card Reader, 3 Year B2B Warranty</t>
  </si>
  <si>
    <t>BV1724BABHVX</t>
  </si>
  <si>
    <t>B360G3 - Intel Core Ultra 5 225H Processor, 13.3" + Windows Hello Webcam, Microsoft Windows 11 Pro x64 with 16GB RAM + TAA, 256GB PCIe SSD (main storage, user swappable), Sunlight Readable Full HD LCD 1400 nits + Touchscreen + Hard tip stylus, US KBD + US Power cord, Membrane Backlit KBD, WIFI + BT + 4G LTE w/ dedicated GPS/Glonass + Passthrough, RS232 + 2nd Thunderbolt 4, Smart Card Reader, 3 Year B2B Warranty</t>
  </si>
  <si>
    <t>BV1724BABHLX</t>
  </si>
  <si>
    <t>B360G3 - Intel Core Ultra 7 255H Processor, 13.3" + Webcam, Microsoft Windows 11 Pro x64 with 16GB RAM + TAA, 512GB PCIe SSD (main storage, user swappable), Sunlight Readable Full HD LCD 1400 nits + Touchscreen + Hard tip stylus, US KBD + US Power cord, Membrane Backlit KBD, Wifi + BT, RS232 + 2nd Thunderbolt 4, Smart Card Reader, 3 Year B2B Warranty</t>
  </si>
  <si>
    <t>BV3126BABDLX</t>
  </si>
  <si>
    <t>B360G3 - Intel Core Ultra 5 225H Processor, 13.3" + Windows Hello Webcam, Microsoft Windows 11 Pro x64 with 16GB RAM + TAA, 256GB PCIe SSD (main storage, user swappable), Sunlight Readable Full HD LCD 1400 nits + Touchscreen + Hard tip stylus, US KBD + US Power cord, Membrane Backlit KBD, WIFI + BT + 4G LTE w/ integrated GPS/Glonass + Passthrough, RS232 + 2nd Thunderbolt 4, Smart Card Reader, 3 Year B2B Warranty</t>
  </si>
  <si>
    <t>BV1724BABJLX</t>
  </si>
  <si>
    <t>B360G3 - Intel Core Ultra 5 225H Processor, 13.3" + Webcam, Microsoft Windows 11 Pro x64 with 16GB RAM + TAA, 256GB PCIe SSD (main, user swappable) + 256GB PCIe SSD (second, user swappable), Sunlight Readable Full HD LCD 1400 nits + Touchscreen + Hard tip stylus, US KBD + US Power cord, Membrane Backlit KBD, Wifi + BT, RS232 + 2nd Thunderbolt 4, Smart Card Reader, 3 Year B2B Warranty</t>
  </si>
  <si>
    <t>BV112RBABDLX</t>
  </si>
  <si>
    <t>B360G3 - Intel Core Ultra 5 225H Processor, 13.3" + Windows Hello Webcam, Microsoft Windows 11 Pro x64 with 16GB RAM + TAA, 512GB PCIe SSD (main storage, user swappable), Sunlight Readable Full HD LCD 1400 nits + Touchscreen + Hard tip stylus, US KBD + US Power cord, Membrane Backlit KBD, Wifi + BT, RS232 + 2nd Thunderbolt 4, Smart Card Reader, 3 Year B2B Warranty</t>
  </si>
  <si>
    <t>BV1726BABDLX</t>
  </si>
  <si>
    <t>B360G3 - Intel Core Ultra 7 255H Processor, 13.3" + Windows Hello Webcam, Microsoft Windows 11 Pro x64 with 16GB RAM + TAA, 256GB PCIe SSD (main storage, user swappable), Sunlight Readable Full HD LCD 1400 nits + Touchscreen + Hard tip stylus, US KBD + US Power cord, Membrane Backlit KBD, Wifi + BT, RS232 + 2nd Thunderbolt 4, Smart Card Reader, 3 Year B2B Warranty</t>
  </si>
  <si>
    <t>BV3724BABDLX</t>
  </si>
  <si>
    <t>B360G3 - Intel Core Ultra 5 225H Processor, 13.3" + Webcam, Microsoft Windows 11 Pro x64 with 16GB RAM + TAA, 512GB PCIe SSD (main storage, user swappable), Sunlight Readable Full HD LCD 1400 nits + Touchscreen + Hard tip stylus, US KBD + US Power cord, Membrane Backlit KBD, Wifi + BT, RS232 + VGA, Smart Card Reader, 3 Year B2B Warranty</t>
  </si>
  <si>
    <t>BV1126BABDGX</t>
  </si>
  <si>
    <t>B360G3 - Intel Core Ultra 5 225H Processor, 13.3" + Windows Hello Webcam, Microsoft Windows 11 Pro x64 with 16GB RAM + TAA, 256GB PCIe SSD (main storage, user swappable), Sunlight Readable Full HD LCD 1400 nits + Touchscreen + Hard tip stylus, US KBD + US Power cord, Membrane Backlit KBD, Wifi + BT, RS232 + VGA, Smart Card Reader, 3 Year B2B Warranty</t>
  </si>
  <si>
    <t>BV1724BABDGX</t>
  </si>
  <si>
    <t>B360G3 - Intel Core Ultra 5 225H Processor, 13.3" + Webcam, Microsoft Windows 11 Pro x64 with 16GB RAM + TAA, 256GB PCIe SSD (main storage, user swappable), Sunlight Readable Full HD LCD 1400 nits + Touchscreen + Hard tip stylus, US KBD + US Power cord, Membrane Backlit KBD, Wifi + BT, RS232 + VGA, Smart Card Reader, 3 Year B2B Warranty</t>
  </si>
  <si>
    <t>BV1124BABDGX</t>
  </si>
  <si>
    <t>B360G2 Pro - Intel Core i5-1240P Processor, 13.3" + Windows Hello Webcam, Microsoft Windows 11 Pro x64 with 16GB RAM + TAA, 1TB PCIe SSD (main storage, user swappable), Sunlight Readable Full HD LCD 1400 nits + Touchscreen + Hard tip stylus, US KBD + US Power cord, Membrane Backlit KBD, Wifi + BT, RS232 + VGA, Expansion unit (High capacity battery x 2 + DVD Super Multi drive), Smart card reader, RJ45, HDMI, 3 Year B2B Warranty</t>
  </si>
  <si>
    <t>BS3729BABDGB</t>
  </si>
  <si>
    <t>B360G2</t>
  </si>
  <si>
    <t>B360G2 - Intel Core i5-1240P Processor, 13.3" + Windows Hello Webcam, Microsoft Windows 11 Pro x64 with 32GB RAM + TAA, 1TB PCIe SSD (main storage, user swappable), Sunlight Readable Full HD LCD 1400 nits+Touchscreen+Hard tip stylus+1D/2D Imager Barcode Reader, US KBD + US Power cord, Membrane Backlit KBD, WIFI + BT + 4G LTE (EM7511) + dedicated GPS/Glonass + Passthrough, RS232 + VGA, Smart card reader, RJ45, HDMI, 3 Year B2B Warranty</t>
  </si>
  <si>
    <t>BS3739CABCGX</t>
  </si>
  <si>
    <t>B360G2 - Intel Core i7-1260P Processor, 13.3" + Webcam + ANSI, Microsoft Windows 11 Pro x64 with 32GB RAM + TAA, 1TB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</si>
  <si>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BS7C39BAB8GX</t>
  </si>
  <si>
    <t>B360G2 - Intel Core i7-1260P Processor, 13.3" + Windows Hello Webcam, Microsoft Windows 11 Pro x64 with 16GB RAM + TAA, 512GB PCIe SSD (main storage, user swappable), Sunlight Readable Full HD LCD 1400 nits+Touchscreen+Hard tip stylus+1D/2D Imager Barcode Reader, US KBD + US Power cord, Membrane Backlit KBD, WIFI + BT + 5G Sub-6 (EM9190) + dedicated GPS/Glonass + Passthrough, RS232 + VGA, Smart card reader, RJ45, HDMI, 3 Year B2B Warranty</t>
  </si>
  <si>
    <t>BS7726CABGGX</t>
  </si>
  <si>
    <t>B360G2 - Intel Core i7-1260P Processor, 13.3" + Windows Hello Webcam, Microsoft Windows 11 Pro x64 with 32GB RAM + TAA, 512GB PCIe SSD (main storage, user swappable), Sunlight Readable Full HD LCD 1400 nits + Touchscreen + Hard tip stylus, US KBD + US Power cord, Membrane Backlit KBD, WIFI + BT + 5G Sub-6 (EM9190) + dedicated GPS/Glonass + Passthrough, RS232 + VGA, Smart card reader, RJ45, HDMI, 3 Year B2B Warranty</t>
  </si>
  <si>
    <t>BS7736BABGGX</t>
  </si>
  <si>
    <t>B360G2 - Intel Core i7-1260P Processor, 13.3" + Windows Hello Webcam, Microsoft Windows 11 Pro x64 with 32GB RAM + TAA, 1TB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</si>
  <si>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BS7739BAB8GX</t>
  </si>
  <si>
    <t>B360G2 - Intel Core i7-1280P Processor, vPro Enterprise, 13.3" + Windows Hello Webcam, Microsoft Windows 11 Pro x64 with 16GB RAM + TAA, 256GB PCIe SSD (main storage, user swappable), Sunlight Readable Full HD LCD 1400 nits + Touchscreen + Hard tip stylus, US KBD + US Power cord, Membrane Backlit KBD + LF/HF RFID(**), WIFI + BT + 5G Sub-6 (EM9190) w/ integrated GPS/Glonass + Passthrough, RS232 + VGA, Smart card reader, RJ45, HDMI, 3 Year B2B Warranty</t>
  </si>
  <si>
    <t>BSB724BAUQGX</t>
  </si>
  <si>
    <t>B360G2 - Intel Core i7-1260P Processor, 13.3" + Windows Hello Webcam, Microsoft Windows 11 Pro x64 with 16GB RAM + TAA, 256GB PCIe SSD (main, user swappable) + 256GB PCIe SSD (second, user swappable), Sunlight Readable Full HD LCD 1400 nits + Touchscreen + Hard tip stylus, US KBD + US Power cord, Membrane Backlit KBD with HF RFID, WIFI + BT + 5G Sub-6 (EM9190) + dedicated GPS/Glonass + Passthrough, RS232 + VGA, Smart card reader, RJ45, HDMI, 3 Year B2B Warranty</t>
  </si>
  <si>
    <t>BS772RBA6GGX</t>
  </si>
  <si>
    <t>B360G2 - Intel Core i7-1260P Processor, 13.3" + Windows Hello Webcam, Microsoft Windows 11 Pro x64 with 32GB RAM + TAA, 256GB PCIe SSD (main storage, user swappable), Sunlight Readable Full HD LCD 1400 nits + Touchscreen + Hard tip stylus, US KBD + US Power cord, Membrane Backlit KBD, WIFI + BT + 5G Sub-6 (EM9190) + dedicated GPS/Glonass + Passthrough, RS232 + VGA, Smart card reader, RJ45, HDMI, 3 Year B2B Warranty</t>
  </si>
  <si>
    <t>BS7734BABGGX</t>
  </si>
  <si>
    <t>B360G2 - Intel Core i7-1260P Processor, 13.3" + Windows Hello Webcam, Microsoft Windows 11 Pro x64 with 32GB RAM + TAA, 512GB PCIe SSD (main storage, user swappable), Sunlight Readable Full HD LCD 1400 nits + Touchscreen + Hard tip stylus, US KBD + US Power cord, Membrane Backlit KBD with HF RFID, WIFI + BT + 4G LTE (EM7511) + dedicated GPS/Glonass + Passthrough, RS232 + VGA, Smart card reader, RJ45, HDMI, 3 Year B2B Warranty</t>
  </si>
  <si>
    <t>BS7736BA6CGX</t>
  </si>
  <si>
    <t>B360G2 - Intel Core i7-1260P Processor, 13.3" + Windows Hello Webcam, Microsoft Windows 11 Pro x64 with 32GB RAM + TAA, 1TB PCIe SSD (main storage, user swappable), Sunlight Readable Full HD LCD 1400 nits + Touchscreen + Hard tip stylus, US KBD + US Power cord, Membrane Backlit KBD, Wifi + BT, RS232 + VGA, Smart card reader, RJ45, HDMI, 3 Year B2B Warranty</t>
  </si>
  <si>
    <t>BS7739BABDGX</t>
  </si>
  <si>
    <t>B360G2 - Intel Core i7-1260P Processor, 13.3" + Webcam, Microsoft Windows 11 Pro x64 with 32GB RAM + TAA, 1TB PCIe SSD (main storage, user swappable), Sunlight Readable Full HD LCD 1400 nits + Touchscreen + Hard tip stylus, US KBD + US Power cord, Membrane Backlit KBD, Wifi + BT, RS232 + VGA, Smart card reader, RJ45, HDMI, 3 Year B2B Warranty</t>
  </si>
  <si>
    <t>BS7139BABDGX</t>
  </si>
  <si>
    <t>B360G2 - Intel Core i5-1240P Processor, 13.3" + Webcam, Microsoft Windows 11 Pro x64 with 16GB RAM + TAA, 512GB PCIe SSD (main storage, user swappable), Sunlight Readable Full HD LCD 1400 nits + Touchscreen + Hard tip stylus, US KBD + US Power cord, Membrane Backlit KBD with Fingerprint, WIFI + BT + 5G Sub-6 (EM9190) + dedicated GPS/Glonass + Passthrough, RS232 + VGA, Smart card reader, RJ45, HDMI, 3 Year B2B Warranty</t>
  </si>
  <si>
    <t>BS3126BADGGX</t>
  </si>
  <si>
    <t>B360G2 - Intel Core i7-1260P Processor, 13.3" + Windows Hello Webcam, Microsoft Windows 11 Pro x64 with 32GB RAM + TAA, 512GB PCIe SSD (main storage, user swappable), Sunlight Readable Full HD LCD 1400 nits + Touchscreen + Hard tip stylus, US KBD + US Power cord, Membrane Backlit KBD, WIFI + BT + 4G LTE (EM7511) + dedicated GPS/Glonass + Passthrough, RS232 + VGA, Smart card reader, RJ45, HDMI, 3 Year B2B Warranty</t>
  </si>
  <si>
    <t>BS7736BABCGX</t>
  </si>
  <si>
    <t>B360G2 - Intel Core i5-1250P Processor, vPro Enterprise, 13.3" + Windows Hello Webcam, Microsoft Windows 11 Pro x64 with 16GB RAM + TAA, 512GB PCIe SSD (main storage, user swappable), Sunlight Readable Full HD LCD 1400 nits+Touchscreen+Hard tip stylus+1D/2D Imager Barcode Reader, US KBD + US Power cord, Membrane Backlit KBD, WIFI + BT + 4G LTE (EM7511) + dedicated GPS/Glonass + Passthrough, RS232 + VGA, Smart card reader, RJ45, HDMI, 3 Year B2B Warranty</t>
  </si>
  <si>
    <t>BS5726CABCGX</t>
  </si>
  <si>
    <t>B360G2 - Intel Core i5-1240P Processor, 13.3" + Windows Hello Webcam, Microsoft Windows 11 Pro x64 with 16GB RAM + TAA, 512GB PCIe SSD (main storage, user swappable), Sunlight Readable Full HD LCD 1400 nits + Touchscreen + Hard tip stylus, US KBD + US Power cord, Membrane Backlit KBD, WIFI + BT + 5G Sub-6 (EM9190) w/ integrated GPS/Glonass + Passthrough, RS232 + Display port, Smart card reader, RJ45, HDMI, 3 Year B2B Warranty</t>
  </si>
  <si>
    <t>BS3726BABQVX</t>
  </si>
  <si>
    <t>B360G2 - Intel Core i7-1260P Processor, 13.3" + Windows Hello Webcam, Microsoft Windows 11 Pro x64 with 16GB RAM + TAA, 256GB PCIe SSD (main storage, user swappable), Sunlight Readable Full HD LCD 1400nits+Touchscreen+Hard tip stylus+TraCS-compatible1D/2D Imager Barcode Reader, US KBD + US Power cord, Membrane Backlit KBD, WIFI + BT + 4G LTE (EM7511) + dedicated GPS/Glonass + Passthrough, RS232 + VGA, Smart card reader, RJ45, HDMI, 3 Year B2B Warranty</t>
  </si>
  <si>
    <t>BS7724FABCGX</t>
  </si>
  <si>
    <t>B360G2 - Intel Core i7-1260P Processor, 13.3" + Windows Hello Webcam, Microsoft Windows 11 Pro x64 with 16GB RAM + TAA, 256GB PCIe SSD (main storage, user swappable), Sunlight Readable Full HD LCD 1400 nits + Touchscreen + Hard tip stylus, US KBD + US Power cord, Membrane Backlit KBD, WIFI + BT + 5G Sub-6 (EM9190) + dedicated GPS/Glonass + Passthrough, RS232 + VGA, Smart card reader, RJ45, HDMI, 3 Year B2B Warranty</t>
  </si>
  <si>
    <t>BS7724BABGGX</t>
  </si>
  <si>
    <t>B360G2 - Intel Core i7-1260P Processor, 13.3" + Windows Hello Webcam, Microsoft Windows 11 Pro x64 with 16GB RAM + TAA, 256GB PCIe SSD (main storage, user swappable), Sunlight Readable Full HD LCD 1400 nits+Touchscreen+Hard tip stylus+1D/2D Imager Barcode Reader, US KBD + US Power cord, Membrane Backlit KBD, WIFI + BT + 4G LTE (EM7511) + dedicated GPS/Glonass + Passthrough, RS232 + VGA, Smart card reader, RJ45, HDMI, 3 Year B2B Warranty</t>
  </si>
  <si>
    <t>BS7724CABCGX</t>
  </si>
  <si>
    <t>B360G2 - Intel Core i7-1260P Processor, 13.3" + Windows Hello Webcam, Microsoft Windows 11 Pro x64 with 32GB RAM + TAA, 256GB PCIe SSD (main storage, user swappable), Sunlight Readable Full HD LCD 1400 nits + Touchscreen + Hard tip stylus, US KBD + US Power cord, Membrane Backlit KBD, WIFI + BT + 4G LTE (EM7511) + dedicated GPS/Glonass + Passthrough, RS232 + Display port, Smart card reader, RJ45, HDMI, 3 Year B2B Warranty</t>
  </si>
  <si>
    <t>BS7734BABCVX</t>
  </si>
  <si>
    <t>B360G2 - Intel Core i7-1260P Processor, 13.3" + Webcam + ANSI, Microsoft Windows 11 Pro x64 with 16GB RAM + TAA, 512GB PCIe SSD (main storage, user swappable), Sunlight Readable Full HD LCD 1400 nits + Touchscreen + Hard tip stylus, US KBD + US Power cord, Membrane Backlit KBD, WIFI + BT + 4G LTE (EM7511) + dedicated GPS/Glonass + Passthrough, RS232 + VGA, Smart card reader, RJ45, HDMI, 3 Year B2B Warranty</t>
  </si>
  <si>
    <t>BS7C26BABCGX</t>
  </si>
  <si>
    <t>B360G2 - Intel Core i7-1260P Processor, 13.3" + Windows Hello Webcam, Microsoft Windows 11 Pro x64 with 16GB RAM + TAA, 256GB PCIe SSD (main storage, user swappable), Sunlight Readable Full HD LCD 1400 nits+Touchscreen+Hard tip stylus+1D/2D Imager Barcode Reader, US KBD + US Power cord, Membrane Backlit KBD, Wifi + BT + 4G LTE (EM7511) w/ integrated GPS/Glonass + Passthrough, RS232 + VGA, Smart card reader, RJ45, HDMI, 3 Year B2B Warranty</t>
  </si>
  <si>
    <t>BS7724CAB8GX</t>
  </si>
  <si>
    <t>B360G2 - Intel Core i5-1240P Processor, 13.3" + Windows Hello Webcam, Microsoft Windows 11 Pro x64 with 32GB RAM + TAA, 512GB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</si>
  <si>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BS3736BAB8GX</t>
  </si>
  <si>
    <t>B360G2 - Intel Core i7-1260P Processor, 13.3" + Windows Hello Webcam, Microsoft Windows 11 Pro x64 with 32GB RAM + TAA, 256GB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</si>
  <si>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BS7734BAB8GX</t>
  </si>
  <si>
    <t>B360G2 - Intel Core i5-1240P Processor, 13.3" + Windows Hello Webcam, Microsoft Windows 11 Pro x64 with 16GB RAM + TAA, 256GB PCIe SSD (main storage, user swappable), Sunlight Readable Full HD LCD 1400 nits + Touchscreen + Hard tip stylus, US KBD + US Power cord, Membrane Backlit KBD, WIFI + BT + 5G Sub-6 (EM9190) + dedicated GPS/Glonass + Passthrough, RS232 + VGA, Smart card reader, RJ45, HDMI, 3 Year B2B Warranty</t>
  </si>
  <si>
    <t>BS3724BABGGX</t>
  </si>
  <si>
    <t>B360G2 - Intel Core i7-1260P Processor, 13.3" + Windows Hello Webcam, Microsoft Windows 11 Pro x64 with 16GB RAM + TAA, 512GB PCIe SSD (main storage, user swappable), Sunlight Readable Full HD LCD 1400 nits + Touchscreen + Hard tip stylus, US KBD + US Power cord, Membrane Backlit KBD, WIFI + BT + 4G LTE (EM7511) + dedicated GPS/Glonass + Passthrough, RS232 + VGA, Smart card reader, RJ45, HDMI, 3 Year B2B Warranty</t>
  </si>
  <si>
    <t>BS7726BABCGX</t>
  </si>
  <si>
    <t>B360G2 - Intel Core i5-1240P Processor, 13.3" + Windows Hello Webcam, Microsoft Windows 11 Pro x64 with 16GB RAM + TAA, 256GB PCIe SSD (main storage, user swappable), Sunlight Readable Full HD LCD 1400 nits+Touchscreen+Hard tip stylus+1D/2D Imager Barcode Reader, US KBD + US Power cord, Membrane Backlit KBD, WIFI + BT + 4G LTE (EM7511) + dedicated GPS/Glonass + Passthrough, RS232 + VGA, Smart card reader, RJ45, HDMI, 3 Year B2B Warranty</t>
  </si>
  <si>
    <t>BS3724CABCGX</t>
  </si>
  <si>
    <t>B360G2 - Intel Core i5-1240P Processor, 13.3" + Windows Hello Webcam, Microsoft Windows 11 Pro x64 with 16GB RAM + TAA, 256GB PCIe SSD (main storage, user swappable), Sunlight Readable Full HD LCD 1400nits+Touchscreen+Hard tip stylus+TraCS-compatible1D/2D Imager Barcode Reader, US KBD + US Power cord, Membrane Backlit KBD, Wifi + BT + 4G LTE (EM7511) w/ integrated GPS/Glonass + Passthrough, RS232 + VGA, Smart card reader, RJ45, HDMI, 3 Year B2B Warranty</t>
  </si>
  <si>
    <t>BS3724FAB8GX</t>
  </si>
  <si>
    <t>B360G2 - Intel Core i7-1260P Processor, 13.3" + Windows Hello Webcam, Microsoft Windows 11 Pro x64 with 32GB RAM + TAA, 512GB PCIe SSD (main storage, user swappable), Sunlight Readable Full HD LCD 1400 nits + Touchscreen + Hard tip stylus, US KBD + US Power cord, Membrane Backlit KBD, Wifi + BT, RS232 + VGA, Smart card reader, RJ45, HDMI, 3 Year B2B Warranty</t>
  </si>
  <si>
    <t>BS7736BABDGX</t>
  </si>
  <si>
    <t>B360G2 - Intel Core i5-1240P Processor, 13.3" + Webcam + ANSI, Microsoft Windows 11 Pro x64 with 32GB RAM + TAA, 512GB PCIe SSD (main storage, user swappable), Sunlight Readable Full HD LCD 1400 nits + Touchscreen + Hard tip stylus, US KBD + US Power cord, Membrane Backlit KBD, Wifi + BT, RS232 + VGA, Smart card reader, RJ45, HDMI, 3 Year B2B Warranty</t>
  </si>
  <si>
    <t>BS3C36BABDGX</t>
  </si>
  <si>
    <t>B360G2 - Intel Core i5-1240P Processor, 13.3" + Windows Hello Webcam, Microsoft Windows 11 Pro x64 with 16GB RAM + TAA, 512GB PCIe SSD (main storage, user swappable), Sunlight Readable Full HD LCD 1400 nits + Touchscreen + Hard tip stylus, US KBD + US Power cord, Membrane Backlit KBD with HF RFID, Wifi + BT + 4G LTE (EM7511) w/ integrated GPS/Glonass + Passthrough, RS232 + VGA, Smart card reader, RJ45, HDMI, 3 Year B2B Warranty</t>
  </si>
  <si>
    <t>BS3726BA68GX</t>
  </si>
  <si>
    <t>B360G2 - Intel Core i5-1250P Processor, vPro Enterprise, 13.3" + Windows Hello Webcam, Microsoft Windows 11 Pro x64 with 16GB RAM + TAA, 512GB PCIe SSD (main storage, user swappable), Sunlight Readable Full HD LCD 1400 nits + Touchscreen + Hard tip stylus, US KBD + US Power cord, Membrane Backlit KBD, Wifi + BT + 4G LTE (EM7511) w/ integrated GPS/Glonass, RS232 + VGA, Smart card reader, RJ45, HDMI, 3 Year B2B Warranty</t>
  </si>
  <si>
    <t>BS5726BAB7GX</t>
  </si>
  <si>
    <t>B360G2 - Intel Core i5-1240P Processor, 13.3" + Windows Hello Webcam, Microsoft Windows 11 Pro x64 with 16GB RAM + TAA, 512GB PCIe SSD (main storage, user swappable), Sunlight Readable Full HD LCD 1400 nits+Touchscreen+Hard tip stylus+1D/2D Imager Barcode Reader, US KBD + US Power cord, Membrane Backlit KBD, Wifi + BT, RS232 + VGA, Smart card reader, RJ45, HDMI, 3 Year B2B Warranty</t>
  </si>
  <si>
    <t>BS3726CABDGX</t>
  </si>
  <si>
    <t>B360G2 - Intel Core i5-1240P Processor, 13.3" + Windows Hello Webcam, Microsoft Windows 11 Pro x64 with 16GB RAM + TAA, 512GB PCIe SSD (main storage, user swappable), Sunlight Readable Full HD LCD 1400 nits + Touchscreen + Hard tip stylus, US KBD + US Power cord, Membrane Backlit KBD, WIFI + BT + 4G LTE (EM7511) + dedicated GPS/Glonass + Passthrough, RS232 + VGA, Smart card reader, RJ45, HDMI, 3 Year B2B Warranty</t>
  </si>
  <si>
    <t>BS3726BABCGX</t>
  </si>
  <si>
    <t>B360G2 - Intel Core i7-1270P Processor, vPro Enterprise, 13.3" + Webcam, Microsoft Windows 11 Pro x64 with 8GB RAM + TAA, 256GB PCIe SSD (main storage, user swappable), Sunlight Readable Full HD LCD 1400 nits + Touchscreen + Hard tip stylus, US KBD + US Power cord, Membrane Backlit KBD with Fingerprint, WIFI + BT + 4G LTE (EM7511) + dedicated GPS/Glonass + Passthrough, RS232 + VGA, Smart card reader, RJ45, HDMI, 3 Year B2B Warranty</t>
  </si>
  <si>
    <t>BS9114BADCGX</t>
  </si>
  <si>
    <t>B360G2 - Intel Core i5-1240P Processor, 13.3" + Webcam, Microsoft Windows 11 Pro x64 with 16GB RAM + TAA, 512GB PCIe SSD (main storage, user swappable), Sunlight Readable Full HD LCD 1400 nits + Touchscreen + Hard tip stylus, US KBD + US Power cord, Membrane Backlit KBD, Wifi + BT + 4G LTE (EM7511) w/ integrated GPS/Glonass, RS232 + Display port, Smart card reader, RJ45, HDMI, 3 Year B2B Warranty</t>
  </si>
  <si>
    <t>BS3126BAB7VX</t>
  </si>
  <si>
    <t>B360G2 - Intel Core i7-1260P Processor, 13.3" + Windows Hello Webcam, Microsoft Windows 11 Pro x64 with 16GB RAM + TAA, 256GB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</si>
  <si>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BS7724BAB8GX</t>
  </si>
  <si>
    <t>B360G2 - Intel Core i5-1240P Processor, 13.3" + Webcam, Microsoft Windows 11 Pro x64 with 16GB RAM + TAA, 512GB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</si>
  <si>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BS3126BAB8GX</t>
  </si>
  <si>
    <t>B360G2 - Intel Core i5-1240P Processor, 13.3" + Webcam, Microsoft Windows 11 Pro x64 with 16GB RAM + TAA, 256GB PCIe SSD (main storage, user swappable), Sunlight Readable Full HD LCD 1400 nits + Touchscreen + Hard tip stylus, US KBD + US Power cord, Membrane Backlit KBD with Fingerprint, WIFI + BT + 4G LTE (EM7511) + dedicated GPS/Glonass + Passthrough, RS232 + VGA, Smart card reader, RJ45, HDMI, 3 Year B2B Warranty</t>
  </si>
  <si>
    <t>BS3124BADCGX</t>
  </si>
  <si>
    <t>B360G2 - Intel Core i7-1260P Processor, 13.3" + Webcam, Microsoft Windows 11 Pro x64 with 16GB RAM + TAA, 256GB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</si>
  <si>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BS7124BAB8GX</t>
  </si>
  <si>
    <t>B360G2 - Intel Core i5-1240P Processor, 13.3" + Windows Hello Webcam, Microsoft Windows 11 Pro x64 with 16GB RAM + TAA, 256GB PCIe SSD (main storage, user swappable), Sunlight Readable Full HD LCD 1400 nits + Touchscreen + Hard tip stylus, US KBD + US Power cord, Membrane Backlit KBD, WIFI + BT + 4G LTE (EM7511) + dedicated GPS/Glonass + Passthrough, RS232 + Display port, Smart card reader, RJ45, HDMI, 3 Year B2B Warranty</t>
  </si>
  <si>
    <t>BS3724BABCVX</t>
  </si>
  <si>
    <t>B360G2 - Intel Core i7-1260P Processor, 13.3" + Windows Hello Webcam, Microsoft Windows 11 Pro x64 with 16GB RAM + TAA, 512GB PCIe SSD (main storage, user swappable), Sunlight Readable Full HD LCD 1400 nits + Touchscreen + Hard tip stylus, US KBD + US Power cord, Membrane Backlit KBD, Wifi + BT, RS232 + VGA, Smart card reader, RJ45, HDMI, 3 Year B2B Warranty</t>
  </si>
  <si>
    <t>BS7726BABDGX</t>
  </si>
  <si>
    <t>B360G2 - Intel Core i5-1240P Processor, 13.3" + Windows Hello Webcam, Microsoft Windows 11 Pro x64 with 16GB RAM + TAA, 256GB PCIe SSD (main storage, user swappable), Sunlight Readable Full HD LCD 1400 nits+Touchscreen+Hard tip stylus+1D/2D Imager Barcode Reader, US KBD + US Power cord, Membrane Backlit KBD, Wifi + BT, RS232 + VGA, Smart card reader, RJ45, HDMI, 3 Year B2B Warranty</t>
  </si>
  <si>
    <t>BS3724CABDGX</t>
  </si>
  <si>
    <t>B360G2 - Intel Core i5-1240P Processor, 13.3" + Windows Hello Webcam, Microsoft Windows 11 Pro x64 with 16GB RAM + TAA, 256GB PCIe SSD (main storage, user swappable), Sunlight Readable Full HD LCD 1400 nits + Touchscreen + Hard tip stylus, US KBD + US Power cord, Membrane Backlit KBD, WIFI + BT + 4G LTE (EM7511) + dedicated GPS/Glonass + Passthrough, RS232 + VGA, Smart card reader, RJ45, HDMI, 3 Year B2B Warranty</t>
  </si>
  <si>
    <t>BS3724BABCGX</t>
  </si>
  <si>
    <t>B360G2 - Intel Core i7-1260P Processor, 13.3" + Webcam, Microsoft Windows 11 Pro x64 with 16GB RAM + TAA, 512GB PCIe SSD (main storage, user swappable), Sunlight Readable Full HD LCD 1400 nits + Touchscreen + Hard tip stylus, US KBD + US Power cord, Membrane Backlit KBD, Wifi + BT, RS232 + VGA, Smart card reader, RJ45, HDMI, 3 Year B2B Warranty</t>
  </si>
  <si>
    <t>BS7126BABDGX</t>
  </si>
  <si>
    <t>B360G2 - Intel Core i7-1260P Processor, 13.3" + Webcam, Microsoft Windows 11 Pro x64 with 16GB RAM + TAA, 256GB PCIe SSD (main storage, user swappable), Sunlight Readable Full HD LCD 1400 nits + Touchscreen + Hard tip stylus, US KBD + US Power cord, Membrane Backlit KBD, Wifi + BT + Dedicated GPS/Glonass + Passthrough, RS232 + VGA, Smart card reader, RJ45, HDMI, 3 Year B2B Warranty</t>
  </si>
  <si>
    <t>BS7124BABIGX</t>
  </si>
  <si>
    <t>B360G2 - Intel Core i5-1240P Processor, 13.3" + Windows Hello Webcam, Microsoft Windows 11 Pro x64 with 16GB RAM + TAA, 256GB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</si>
  <si>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BS3724BAB8GX</t>
  </si>
  <si>
    <t>B360G2 - Intel Core i5-1240P Processor, 13.3" + Webcam, Microsoft Windows 11 Pro x64 with 16GB RAM + TAA, 256GB PCIe SSD (main, user swappable) + 256GB PCIe SSD (second, user swappable), Sunlight Readable Full HD LCD 1400 nits + Touchscreen + Hard tip stylus, US KBD + US Power cord, Membrane Backlit KBD, Wifi + BT, RS232 + VGA, Smart card reader, RJ45, HDMI, 3 Year B2B Warranty</t>
  </si>
  <si>
    <t>BS312RBABDGX</t>
  </si>
  <si>
    <t>B360G2 - Intel Core i5-1240P Processor, 13.3" + Windows Hello Webcam, Microsoft Windows 11 Pro x64 with 16GB RAM + TAA, 512GB PCIe SSD (main storage, user swappable), Sunlight Readable Full HD LCD 1400 nits + Touchscreen + Hard tip stylus, US KBD + US Power cord, Membrane Backlit KBD, Wifi + BT, RS232 + VGA, Smart card reader, RJ45, HDMI, 3 Year B2B Warranty</t>
  </si>
  <si>
    <t>BS3726BABDGX</t>
  </si>
  <si>
    <t>B360G2 - Intel Core i7-1260P Processor, 13.3" + Windows Hello Webcam, Microsoft Windows 11 Pro x64 with 16GB RAM + TAA, 256GB PCIe SSD (main storage, user swappable), Sunlight Readable Full HD LCD 1400 nits + Touchscreen + Hard tip stylus, US KBD + US Power cord, Membrane Backlit KBD, Wifi + BT, RS232 + VGA, Smart card reader, RJ45, HDMI, 3 Year B2B Warranty</t>
  </si>
  <si>
    <t>BS7724BABDGX</t>
  </si>
  <si>
    <t>B360G2 - Intel Core i5-1240P Processor, 13.3" + Webcam, Microsoft Windows 11 Pro x64 with 16GB RAM + TAA, 512GB PCIe SSD (main storage, user swappable), Sunlight Readable Full HD LCD 1400 nits + Touchscreen + Hard tip stylus, US KBD + US Power cord, Membrane Backlit KBD, Wifi + BT, RS232 + VGA, Smart card reader, RJ45, HDMI, 3 Year B2B Warranty</t>
  </si>
  <si>
    <t>BS3126BABDGX</t>
  </si>
  <si>
    <t>B360G2 - Intel Core i5-1240P Processor, 13.3" + Windows Hello Webcam, Microsoft Windows 11 Pro x64 with 8GB RAM + TAA, 256GB PCIe SSD (main storage, user swappable), Sunlight Readable Full HD LCD 1400 nits + Touchscreen + Hard tip stylus, US KBD + US Power cord, Membrane Backlit KBD, WIFI + BT + 4G LTE (EM7511) + dedicated GPS/Glonass + Passthrough, RS232 + VGA, Smart card reader, RJ45, HDMI, 3 Year B2B Warranty</t>
  </si>
  <si>
    <t>BS3714BABCGX</t>
  </si>
  <si>
    <t>B360G2 - Intel Core i5-1240P Processor, 13.3" + Windows Hello Webcam, Microsoft Windows 11 Pro x64 with 16GB RAM + TAA, 256GB PCIe SSD (main storage, user swappable), Sunlight Readable Full HD LCD 1400 nits + Touchscreen + Hard tip stylus, US KBD + US Power cord, Membrane Backlit KBD, Wifi + BT, RS232 + VGA, Smart card reader, RJ45, HDMI, 3 Year B2B Warranty</t>
  </si>
  <si>
    <t>BS3724BABDGX</t>
  </si>
  <si>
    <t>B360G2 - Intel Core i5-1240P Processor, 13.3" + Webcam, Microsoft Windows 11 Pro x64 with 16GB RAM + TAA, 256GB PCIe SSD (main storage, user swappable), Sunlight Readable Full HD LCD 1400 nits + Touchscreen + Hard tip stylus, US KBD + US Power cord, Membrane Backlit KBD, Wifi + BT, RS232 + VGA, Smart card reader, RJ45, HDMI, 3 Year B2B Warranty</t>
  </si>
  <si>
    <t>BS3124BABDGX</t>
  </si>
  <si>
    <t>B360G2 - Intel Core i5-1240P Processor, 13.3" + Webcam, Microsoft Windows 11 Pro x64 with 8GB RAM + TAA, 256GB PCIe SSD (main storage, user swappable), Sunlight Readable Full HD LCD 1400 nits + Touchscreen + Hard tip stylus, US KBD + US Power cord, Membrane Backlit KBD, Wifi + BT, RS232 + VGA, Smart card reader, RJ45, HDMI, 3 Year B2B Warranty</t>
  </si>
  <si>
    <t>BS3114BABDGX</t>
  </si>
  <si>
    <t>SKU ID</t>
  </si>
  <si>
    <t>Model</t>
  </si>
  <si>
    <t>IPX6B,HOTFOOT,SPCL,SPVM TD</t>
  </si>
  <si>
    <t>Z865200637A-SPVM</t>
  </si>
  <si>
    <t>IPX6B,HOTFOOT,BLUE/RED/WHITE</t>
  </si>
  <si>
    <t>Z865200637-BRW</t>
  </si>
  <si>
    <t>AMPLIFIER,650001,100W</t>
  </si>
  <si>
    <t>Z8615011A</t>
  </si>
  <si>
    <t>DOME,BLK,RLNT</t>
  </si>
  <si>
    <t>Z858003474A-01</t>
  </si>
  <si>
    <t>LENS ASSY,AMB LED/AMBER LENS,</t>
  </si>
  <si>
    <t>Z857303742A-05</t>
  </si>
  <si>
    <t>DOME,VISION,BLUE</t>
  </si>
  <si>
    <t>Z8572001A-03</t>
  </si>
  <si>
    <t>DOME,VISION,CLEAR</t>
  </si>
  <si>
    <t>Z8572001A</t>
  </si>
  <si>
    <t>CTRL HD,SSP2000B</t>
  </si>
  <si>
    <t>Z853600632A-SSP2K</t>
  </si>
  <si>
    <t>CTRL HD,SSP3000B</t>
  </si>
  <si>
    <t>Z853600632A</t>
  </si>
  <si>
    <t>F/A,CONTROL UNIT SSP2000B</t>
  </si>
  <si>
    <t>Z853600629A-04</t>
  </si>
  <si>
    <t>F/A, CONTROL UNIT SSP2000B-200</t>
  </si>
  <si>
    <t>Z853600629A-03</t>
  </si>
  <si>
    <t>AMPLIFIER ASSY SSP3000B</t>
  </si>
  <si>
    <t>Z853600629A</t>
  </si>
  <si>
    <t>SCR,MACH FIL HD PHIL STL 10-32</t>
  </si>
  <si>
    <t>Z7000A160-08-MP25</t>
  </si>
  <si>
    <t>PCBA,LED S'MASTER,12V</t>
  </si>
  <si>
    <t>Z2005099C</t>
  </si>
  <si>
    <t>PCBA,CTRL,VALR-INTG</t>
  </si>
  <si>
    <t>Z20000465A-1234</t>
  </si>
  <si>
    <t>RELAY OUTPUT CONN KIT</t>
  </si>
  <si>
    <t>Z8615019A</t>
  </si>
  <si>
    <t>MIC,CONTROLLER,650003</t>
  </si>
  <si>
    <t>Z8615016A-03</t>
  </si>
  <si>
    <t>MIC,CONTROLLER,650002</t>
  </si>
  <si>
    <t>Z8615016A-02</t>
  </si>
  <si>
    <t>MIC,CONTROLLER,650001</t>
  </si>
  <si>
    <t>Z8615016A</t>
  </si>
  <si>
    <t>CONNECTION BOX,AS-422/6S</t>
  </si>
  <si>
    <t>Z8615014A</t>
  </si>
  <si>
    <t>CABLE HARNESS KIT, AS-422</t>
  </si>
  <si>
    <t>Z8615013A</t>
  </si>
  <si>
    <t>SIREN SUPPORT,AS-422/6S</t>
  </si>
  <si>
    <t>Z8615012A</t>
  </si>
  <si>
    <t>REPL. FILTER, RED</t>
  </si>
  <si>
    <t>Z8550251A</t>
  </si>
  <si>
    <t>REPL. LAMP,5W,HALOGEN,BI-PIN</t>
  </si>
  <si>
    <t>Z8550250A</t>
  </si>
  <si>
    <t>STRAP SHOULDER</t>
  </si>
  <si>
    <t>Z288B014</t>
  </si>
  <si>
    <t>GASKET,HANDLE</t>
  </si>
  <si>
    <t>Z288B013</t>
  </si>
  <si>
    <t>STANDOFF</t>
  </si>
  <si>
    <t>Z231A111</t>
  </si>
  <si>
    <t>PC BRD A12SA</t>
  </si>
  <si>
    <t>Z200C507F</t>
  </si>
  <si>
    <t>HORN ASSY,LEXAN,RED</t>
  </si>
  <si>
    <t>Z200C167-11</t>
  </si>
  <si>
    <t>HANDLE ASSM.</t>
  </si>
  <si>
    <t>Z19902829A</t>
  </si>
  <si>
    <t>CABLE ASSY,PA300</t>
  </si>
  <si>
    <t>Z175822A</t>
  </si>
  <si>
    <t>CABLE SHIELDED EQ2B</t>
  </si>
  <si>
    <t>Z1751075B</t>
  </si>
  <si>
    <t>HOUSING,MICROPHONE,RED LE</t>
  </si>
  <si>
    <t>Z170B155-11</t>
  </si>
  <si>
    <t>MICROPHONE, VOICE GUN</t>
  </si>
  <si>
    <t>Z137B115</t>
  </si>
  <si>
    <t>DRIVER W/STUD ADAPTOR</t>
  </si>
  <si>
    <t>Z132C107F</t>
  </si>
  <si>
    <t>SWITCH TGLE NEW PA300</t>
  </si>
  <si>
    <t>Z122377A</t>
  </si>
  <si>
    <t>RELAY, DPDT ZETTLER</t>
  </si>
  <si>
    <t>K03</t>
  </si>
  <si>
    <t>SNOW PLOW HEADLIGHT, PASSENGER</t>
  </si>
  <si>
    <t>ICSSPL-P PASS</t>
  </si>
  <si>
    <t>SNOW PLOW HEADLIGHT, DRIVER</t>
  </si>
  <si>
    <t>ICSSPL-P DRV</t>
  </si>
  <si>
    <t>DFC,PUSH BMPR/LOWER GUARD,</t>
  </si>
  <si>
    <t>DFC-SRVKIT1</t>
  </si>
  <si>
    <t>DFC,PUSH BMPR BRACKET KIT,</t>
  </si>
  <si>
    <t>DFC-PB-TAH21-HK</t>
  </si>
  <si>
    <t>DFC-PB-FRD21-HK</t>
  </si>
  <si>
    <t>DFC-PB-FPIU20-HK</t>
  </si>
  <si>
    <t>DFC-PB-DUR21-HK</t>
  </si>
  <si>
    <t>DFC,LOWER GUARD BRACKET KIT,</t>
  </si>
  <si>
    <t>DFC-LG-TAH21-HK</t>
  </si>
  <si>
    <t>DFC-LG-FRD21-HK</t>
  </si>
  <si>
    <t>DFC-LG-FPIU20-HK</t>
  </si>
  <si>
    <t>DFC-LG-DUR21-HK</t>
  </si>
  <si>
    <t>T-WIRE,18"(5/16NT:1/4NT)</t>
  </si>
  <si>
    <t>ZT300218-10-262</t>
  </si>
  <si>
    <t>ZT300218-10-214</t>
  </si>
  <si>
    <t>ZT300218-02-199</t>
  </si>
  <si>
    <t>T-WIRE,252"[5/16NT:1/2NT]</t>
  </si>
  <si>
    <t>ZT300210-10-027</t>
  </si>
  <si>
    <t>T-WIRE,20"(5/16NT:.393T)</t>
  </si>
  <si>
    <t>ZT3001318-10-02</t>
  </si>
  <si>
    <t>ZT3001318-09-01</t>
  </si>
  <si>
    <t>AMP,RUMBLER-2</t>
  </si>
  <si>
    <t>ZRUMBLER-2</t>
  </si>
  <si>
    <t>GASKET TAPE FOR EXTRUSION</t>
  </si>
  <si>
    <t>ZR55-07-01</t>
  </si>
  <si>
    <t>NPRN SPNG ST 1/16 H X 1/4</t>
  </si>
  <si>
    <t>ZR42-02-12</t>
  </si>
  <si>
    <t>MPS121UX, SURF.MNT,WITH</t>
  </si>
  <si>
    <t>ZMPS121UX-R-SM</t>
  </si>
  <si>
    <t>ZMPS121UX-A-SM</t>
  </si>
  <si>
    <t>IMPAXX,AOA,RED,COL LENS</t>
  </si>
  <si>
    <t>ZIPX302-4</t>
  </si>
  <si>
    <t>IMPAXX,AOA,AMBER,COL LENS</t>
  </si>
  <si>
    <t>ZIPX302-2</t>
  </si>
  <si>
    <t>WASHER,BRAKE PAD</t>
  </si>
  <si>
    <t>ZH7149-0A</t>
  </si>
  <si>
    <t>PAD,BRAKE</t>
  </si>
  <si>
    <t>ZH7148-0A</t>
  </si>
  <si>
    <t>BLK CHRM,HOUSING,Q2B,SS,</t>
  </si>
  <si>
    <t>ZH5205-03-BC</t>
  </si>
  <si>
    <t>HOUSING,Q2B,SS,POLISHED S</t>
  </si>
  <si>
    <t>ZH5205-03</t>
  </si>
  <si>
    <t>CABLE,RUMBLER</t>
  </si>
  <si>
    <t>ZCA-RUMBLER</t>
  </si>
  <si>
    <t>TUBING,HEAT SHRINK,CUT,3/</t>
  </si>
  <si>
    <t>ZC92-09-02-0003</t>
  </si>
  <si>
    <t>CABLE,3 COND,18 AWG,7 FT</t>
  </si>
  <si>
    <t>ZC305098A-03</t>
  </si>
  <si>
    <t>CABLE 4 COND ATKINSON</t>
  </si>
  <si>
    <t>ZC305096A-04</t>
  </si>
  <si>
    <t>CABLE 2 CONDUCTOR</t>
  </si>
  <si>
    <t>ZC305094A-02</t>
  </si>
  <si>
    <t>C-WIRE,240"(NS:NS)WRAP 8"</t>
  </si>
  <si>
    <t>ZC300210-10-002</t>
  </si>
  <si>
    <t>C-WIRE,252"(1/2NT:1/2NT)</t>
  </si>
  <si>
    <t>ZC300210-02-023</t>
  </si>
  <si>
    <t>ZC300210-02-021</t>
  </si>
  <si>
    <t>ZC300112-22-001</t>
  </si>
  <si>
    <t>HINGE PIN, STINGER SPIKE CASE</t>
  </si>
  <si>
    <t>Z865503668A</t>
  </si>
  <si>
    <t>HARDWARE KIT, MS4000U</t>
  </si>
  <si>
    <t>Z865502267A</t>
  </si>
  <si>
    <t>HARDWARE KIT, MS4000</t>
  </si>
  <si>
    <t>Z865502203A</t>
  </si>
  <si>
    <t>PLATE ASSY,NUT RETAINER,</t>
  </si>
  <si>
    <t>Z8653218A</t>
  </si>
  <si>
    <t>KIT,HD FLT MNT,3BRKT,3HDW,</t>
  </si>
  <si>
    <t>Z8653178-3</t>
  </si>
  <si>
    <t>HD FLT MNT, DOUBLE, LIGHTBAR</t>
  </si>
  <si>
    <t>Z8653178-2</t>
  </si>
  <si>
    <t>KIT,HD FLT MNT,1BKT/1HDW,LTB</t>
  </si>
  <si>
    <t>Z8653178-1</t>
  </si>
  <si>
    <t>TOP,END,12",LEGEND,AMBER</t>
  </si>
  <si>
    <t>Z8653176A-02</t>
  </si>
  <si>
    <t>KIT,BP FLAT MT,LEGEND</t>
  </si>
  <si>
    <t>Z8653168A</t>
  </si>
  <si>
    <t>KIT,PERM MNT,LEGEND</t>
  </si>
  <si>
    <t>Z8653134B-01</t>
  </si>
  <si>
    <t>KIT,MTG,LEGEND</t>
  </si>
  <si>
    <t>Z8653134B</t>
  </si>
  <si>
    <t>GASKET,END</t>
  </si>
  <si>
    <t>Z8653110A</t>
  </si>
  <si>
    <t>EXTRUSION, LGD/ALGT, 72.21",</t>
  </si>
  <si>
    <t>Z8653109A-72AC</t>
  </si>
  <si>
    <t>EXTRUSION,56"61" LEGEND</t>
  </si>
  <si>
    <t>Z8653109A-56</t>
  </si>
  <si>
    <t>EXTRUSION,LGD,48"&amp;53" W/HF</t>
  </si>
  <si>
    <t>Z8653109A-48HF</t>
  </si>
  <si>
    <t>EXTRUSION,LEGEND 39"</t>
  </si>
  <si>
    <t>Z8653109A</t>
  </si>
  <si>
    <t>REFLECTOR,2"CREE</t>
  </si>
  <si>
    <t>Z8653106A</t>
  </si>
  <si>
    <t>TOP,CENTER,GRAY,LEGEND</t>
  </si>
  <si>
    <t>Z8653103C-GRY</t>
  </si>
  <si>
    <t>TOP,CENTER,RED,LEGEND</t>
  </si>
  <si>
    <t>Z8653103C-04</t>
  </si>
  <si>
    <t>TOP,CENTER,BLU,LEGEND</t>
  </si>
  <si>
    <t>Z8653103C-03</t>
  </si>
  <si>
    <t>TOP,CENTER,AMB,LEGEND</t>
  </si>
  <si>
    <t>Z8653103C-02</t>
  </si>
  <si>
    <t>TOP,CTR,BLK,ALGT</t>
  </si>
  <si>
    <t>Z8653103C-01</t>
  </si>
  <si>
    <t>TOP,CENTER,CLR,LEGEND</t>
  </si>
  <si>
    <t>Z8653103C</t>
  </si>
  <si>
    <t>BASE, CENTER, LEGEND</t>
  </si>
  <si>
    <t>Z8653102A</t>
  </si>
  <si>
    <t>TOP,END,GRAY,LEGEND</t>
  </si>
  <si>
    <t>Z8653101C-GRY</t>
  </si>
  <si>
    <t>TOP,END,RED,LEGEND</t>
  </si>
  <si>
    <t>Z8653101C-04</t>
  </si>
  <si>
    <t>TOP,END,BLU,LEGEND</t>
  </si>
  <si>
    <t>Z8653101C-03</t>
  </si>
  <si>
    <t>TOP,END,AMB,LEGEND</t>
  </si>
  <si>
    <t>Z8653101C-02</t>
  </si>
  <si>
    <t>TOP,END,BLK,ALGT</t>
  </si>
  <si>
    <t>Z8653101C-01</t>
  </si>
  <si>
    <t>TOP,END,CLR</t>
  </si>
  <si>
    <t>Z8653101C</t>
  </si>
  <si>
    <t>BASE, END, RED</t>
  </si>
  <si>
    <t>Z8653100A-04</t>
  </si>
  <si>
    <t>BASE, END, BLUE</t>
  </si>
  <si>
    <t>Z8653100A-03</t>
  </si>
  <si>
    <t>BASE,END,CLEAR,LEGEND</t>
  </si>
  <si>
    <t>Z8653100A</t>
  </si>
  <si>
    <t>HD 2.5" FLT MNT. KIT,DBL</t>
  </si>
  <si>
    <t>Z865302704A-2</t>
  </si>
  <si>
    <t>KIT,MTG,LOW PERM,ALGT21</t>
  </si>
  <si>
    <t>Z865302573B-01</t>
  </si>
  <si>
    <t>KIT,MTG,LOW,ALGT</t>
  </si>
  <si>
    <t>Z865302573B</t>
  </si>
  <si>
    <t>PAD,LOW FOOT,ALGT</t>
  </si>
  <si>
    <t>Z865302554A</t>
  </si>
  <si>
    <t>DOME, RED, 21IN ALLEGIANT</t>
  </si>
  <si>
    <t>Z865302445A-R</t>
  </si>
  <si>
    <t>DOME, BLUE, 21IN ALLEGIANT</t>
  </si>
  <si>
    <t>Z865302445A-B</t>
  </si>
  <si>
    <t>DOME, AMBER, 21IN ALLEGIANT</t>
  </si>
  <si>
    <t>Z865302445A-A</t>
  </si>
  <si>
    <t>DOME, CLEAR, 21IN ALLEGIANT</t>
  </si>
  <si>
    <t>Z865302445A</t>
  </si>
  <si>
    <t>BASE, CLEAR, 21IN ALLEGIANT</t>
  </si>
  <si>
    <t>Z865302441A</t>
  </si>
  <si>
    <t>GASKET SET,BASE INTERFACE,LPL</t>
  </si>
  <si>
    <t>Z865302347A</t>
  </si>
  <si>
    <t>REFL,CENT,LPL</t>
  </si>
  <si>
    <t>Z865301936C</t>
  </si>
  <si>
    <t>REFL,END,LPL</t>
  </si>
  <si>
    <t>Z865301935C</t>
  </si>
  <si>
    <t>BASE,CENTER,ALGT</t>
  </si>
  <si>
    <t>Z865301934C</t>
  </si>
  <si>
    <t>BASE,END,ALGT</t>
  </si>
  <si>
    <t>Z865301933C</t>
  </si>
  <si>
    <t>KIT, LEGEND ID STRIP</t>
  </si>
  <si>
    <t>Z865301901A</t>
  </si>
  <si>
    <t>PCB/REFL. ASSY, PASS.SIDE,LPXH</t>
  </si>
  <si>
    <t>Z865301310</t>
  </si>
  <si>
    <t>PCB/REFL. ASSY, DRVR.SIDE,LPXH</t>
  </si>
  <si>
    <t>Z865301309</t>
  </si>
  <si>
    <t>KIT,RISER,2",INTG/LGD HOOK MNT</t>
  </si>
  <si>
    <t>Z865300732</t>
  </si>
  <si>
    <t>KIT,SHIM,MTG,INTG/LGD W/795H-E</t>
  </si>
  <si>
    <t>Z865300717</t>
  </si>
  <si>
    <t>REFURBISH KIT FOR LGD,BLU/RED</t>
  </si>
  <si>
    <t>Z865300399A-06</t>
  </si>
  <si>
    <t>REFURBISH KIT FOR LGD,RED/RED</t>
  </si>
  <si>
    <t>Z865300399A-05</t>
  </si>
  <si>
    <t>REFURBISH KIT FOR LGD,BLU/BLU</t>
  </si>
  <si>
    <t>Z865300399A-04</t>
  </si>
  <si>
    <t>REFURBISH KIT FOR LGD,BLU/CLR</t>
  </si>
  <si>
    <t>Z865300399A-03</t>
  </si>
  <si>
    <t>REFURBISH KIT FOR LGD,RED/CLR</t>
  </si>
  <si>
    <t>Z865300399A-02</t>
  </si>
  <si>
    <t>REFURBISH KIT FOR LGD,CLR/CLR</t>
  </si>
  <si>
    <t>Z865300399A-01</t>
  </si>
  <si>
    <t>REFURBISH KIT FOR LEGENDS</t>
  </si>
  <si>
    <t>Z865300399A</t>
  </si>
  <si>
    <t>KIT,MAGNETIC MOUNT,24"LGD</t>
  </si>
  <si>
    <t>Z865300332A</t>
  </si>
  <si>
    <t>KIT,MTG PADS,LIGHTBARS</t>
  </si>
  <si>
    <t>Z865300198B</t>
  </si>
  <si>
    <t>KIT,LGD MOUNTING HARDWARE</t>
  </si>
  <si>
    <t>Z865300124A</t>
  </si>
  <si>
    <t>POD ASSY,R/R,12/24V,VSLR1</t>
  </si>
  <si>
    <t>Z8652299A-RR</t>
  </si>
  <si>
    <t>POD ASSY,R/C,12/24V,VSLR1</t>
  </si>
  <si>
    <t>Z8652299A-RC</t>
  </si>
  <si>
    <t>KIT,MTG,SPLIT,VSLR</t>
  </si>
  <si>
    <t>Z8652298A</t>
  </si>
  <si>
    <t>SEAL,REAR,COVER,VSLR</t>
  </si>
  <si>
    <t>Z8652274A</t>
  </si>
  <si>
    <t>SEAL,COVER,FRT,VSLR</t>
  </si>
  <si>
    <t>Z8652273A</t>
  </si>
  <si>
    <t>FOOT ASSY,RH,VSLR60</t>
  </si>
  <si>
    <t>Z8652270A</t>
  </si>
  <si>
    <t>BRKT ASSY,PS SML MNT,46"</t>
  </si>
  <si>
    <t>Z8652255A-PS</t>
  </si>
  <si>
    <t>BRKT ASSY,DS SML MNT,46"</t>
  </si>
  <si>
    <t>Z8652255A-DS</t>
  </si>
  <si>
    <t>POD ASSY,VSLR,WA,LUXEON Z</t>
  </si>
  <si>
    <t>Z8652249A-WA</t>
  </si>
  <si>
    <t>POD ASSY,WHT,VSLR</t>
  </si>
  <si>
    <t>Z8652249A-W</t>
  </si>
  <si>
    <t>POD ASSY,VSLR,RWA,LUXEON Z</t>
  </si>
  <si>
    <t>Z8652249A-RWA</t>
  </si>
  <si>
    <t>POD ASSY,VSLR,RW,LUXEON Z</t>
  </si>
  <si>
    <t>Z8652249A-RW</t>
  </si>
  <si>
    <t>POD ASSY,RED/RED, VSLR</t>
  </si>
  <si>
    <t>Z8652249A-RR</t>
  </si>
  <si>
    <t>POD ASSY,RED/CLR,VSLR</t>
  </si>
  <si>
    <t>Z8652249A-RC</t>
  </si>
  <si>
    <t>POD ASSY,VSLR,RA,LUXEON Z</t>
  </si>
  <si>
    <t>Z8652249A-RA</t>
  </si>
  <si>
    <t>POD ASSY,VSLR,SPCL,PINK</t>
  </si>
  <si>
    <t>Z8652249A-PINK</t>
  </si>
  <si>
    <t>POD ASSY,VSLR,SPCL,ORANGE</t>
  </si>
  <si>
    <t>Z8652249A-ORANGE</t>
  </si>
  <si>
    <t>POD ASSY,GRN/CLR,VSLR</t>
  </si>
  <si>
    <t>Z8652249A-G</t>
  </si>
  <si>
    <t>POD ASSY,VSLR,BWAG,LUXEON Z</t>
  </si>
  <si>
    <t>Z8652249A-BWAG</t>
  </si>
  <si>
    <t>POD ASSY,VSLR,BW,LUXEON Z</t>
  </si>
  <si>
    <t>Z8652249A-BW</t>
  </si>
  <si>
    <t>POD ASSY,VSLR,BRWA,LUXEON Z</t>
  </si>
  <si>
    <t>Z8652249A-BRWA</t>
  </si>
  <si>
    <t>POD ASSY,VSLR,BRW,LUXEON Z</t>
  </si>
  <si>
    <t>Z8652249A-BRW</t>
  </si>
  <si>
    <t>POD ASSY,BLU/CLR VSLR</t>
  </si>
  <si>
    <t>Z8652249A-BC</t>
  </si>
  <si>
    <t>POD ASSY,BLU/BLU, VSLR</t>
  </si>
  <si>
    <t>Z8652249A-BB</t>
  </si>
  <si>
    <t>POD ASSY,AMB/CLR VSLR</t>
  </si>
  <si>
    <t>Z8652249A-AC</t>
  </si>
  <si>
    <t>POD ASSY,AMB/AMB,VSLR</t>
  </si>
  <si>
    <t>Z8652249A-AA</t>
  </si>
  <si>
    <t>BASE,LORISE,VSLR1</t>
  </si>
  <si>
    <t>Z8652234A</t>
  </si>
  <si>
    <t>BASE PLATE ASSY,VSLR1</t>
  </si>
  <si>
    <t>Z8652233A</t>
  </si>
  <si>
    <t>NAMEPLATE, VISION SLR</t>
  </si>
  <si>
    <t>Z8652212A</t>
  </si>
  <si>
    <t>KIT,ACCY,NYH PERM MT,</t>
  </si>
  <si>
    <t>Z8652187A</t>
  </si>
  <si>
    <t>SML ASSY,VSLR</t>
  </si>
  <si>
    <t>Z8652184B</t>
  </si>
  <si>
    <t>BRKT,LH END,STANDALONE</t>
  </si>
  <si>
    <t>Z8652177A</t>
  </si>
  <si>
    <t>BRACKET ASSY,ADJ FOOT,NYH</t>
  </si>
  <si>
    <t>Z8652176B</t>
  </si>
  <si>
    <t>BRACKET ASSY,ADJ FOOT,PER</t>
  </si>
  <si>
    <t>Z8652174A</t>
  </si>
  <si>
    <t>RIGHT HAND FOOT,46/53" VSLR</t>
  </si>
  <si>
    <t>Z8652172A</t>
  </si>
  <si>
    <t>FOOT, LH MOUNTING, NVB</t>
  </si>
  <si>
    <t>Z8652171A</t>
  </si>
  <si>
    <t>SEAL,COVER,EXTRUDED</t>
  </si>
  <si>
    <t>Z8652163B</t>
  </si>
  <si>
    <t>COVER,VBAR</t>
  </si>
  <si>
    <t>Z8652162A</t>
  </si>
  <si>
    <t>GASKET,CABLE HOUSING</t>
  </si>
  <si>
    <t>Z8652152A</t>
  </si>
  <si>
    <t>HOUSING,BAR CONN.</t>
  </si>
  <si>
    <t>Z8652149A</t>
  </si>
  <si>
    <t>CAP,PLAIN,RH</t>
  </si>
  <si>
    <t>Z8652144A</t>
  </si>
  <si>
    <t>CAP,PLAIN,LH</t>
  </si>
  <si>
    <t>Z8652143A</t>
  </si>
  <si>
    <t>GASKET,RH END CAP</t>
  </si>
  <si>
    <t>Z8652142A</t>
  </si>
  <si>
    <t>GASKET,LH END CAP</t>
  </si>
  <si>
    <t>Z8652141A</t>
  </si>
  <si>
    <t>RETAINER,CONN</t>
  </si>
  <si>
    <t>Z8652127A</t>
  </si>
  <si>
    <t>CONTROLLER ASSY,1-PIECE,</t>
  </si>
  <si>
    <t>Z8652126B</t>
  </si>
  <si>
    <t>BRACKET, HOOK ATTACH</t>
  </si>
  <si>
    <t>Z8652125A</t>
  </si>
  <si>
    <t>BRACKET ASSY, ADJ FOOT</t>
  </si>
  <si>
    <t>Z8652124A</t>
  </si>
  <si>
    <t>SEAL,POD</t>
  </si>
  <si>
    <t>Z8652107A</t>
  </si>
  <si>
    <t>DOME,POD,RED</t>
  </si>
  <si>
    <t>Z8652106B-R</t>
  </si>
  <si>
    <t>DOME,POD,GRN</t>
  </si>
  <si>
    <t>Z8652106B-G</t>
  </si>
  <si>
    <t>DOME,POD,BLU</t>
  </si>
  <si>
    <t>Z8652106B-B</t>
  </si>
  <si>
    <t>DOME,POD,AMB</t>
  </si>
  <si>
    <t>Z8652106B-A</t>
  </si>
  <si>
    <t>DOME,POD,CLR</t>
  </si>
  <si>
    <t>Z8652106B</t>
  </si>
  <si>
    <t>SEAL,RFQD,FPIU20</t>
  </si>
  <si>
    <t>Z865203359A</t>
  </si>
  <si>
    <t>KIT,ROOF QD,RETRO-FIT,ROOF</t>
  </si>
  <si>
    <t>Z865202713A</t>
  </si>
  <si>
    <t>KIT,ROOF QD,RETRO-FIT,LIGHTBAR</t>
  </si>
  <si>
    <t>Z865202712A</t>
  </si>
  <si>
    <t>KIT,HARN,STDLN MSG BRD REINST,</t>
  </si>
  <si>
    <t>Z865201766</t>
  </si>
  <si>
    <t>KIT,ROOF QD, RETRO-FIT</t>
  </si>
  <si>
    <t>Z865201225</t>
  </si>
  <si>
    <t>SEAL,SML</t>
  </si>
  <si>
    <t>Z865200996B</t>
  </si>
  <si>
    <t>STUD PLATE ASSY,1" STUDS, NVO-</t>
  </si>
  <si>
    <t>Z865200989-16</t>
  </si>
  <si>
    <t>KIT,MTG,STNDLN,MSG BRD B</t>
  </si>
  <si>
    <t>Z865200642</t>
  </si>
  <si>
    <t>IPX6B,VSLR1,RED/CLR</t>
  </si>
  <si>
    <t>Z865200638-RC</t>
  </si>
  <si>
    <t>IPX6B,VSLR1,BLU/BLU</t>
  </si>
  <si>
    <t>Z865200638-BFB</t>
  </si>
  <si>
    <t>IPX6B,VSLR1,AMB</t>
  </si>
  <si>
    <t>Z865200638-A</t>
  </si>
  <si>
    <t>PLATE,TOP,MSG BRD B-VSLR</t>
  </si>
  <si>
    <t>Z865200630</t>
  </si>
  <si>
    <t>BRKT,MNT,MSG BRD B-VSLR</t>
  </si>
  <si>
    <t>Z865200628</t>
  </si>
  <si>
    <t>CAP,MSG BRD B</t>
  </si>
  <si>
    <t>Z865200617A</t>
  </si>
  <si>
    <t>SEAL,MSG BRD B</t>
  </si>
  <si>
    <t>Z865200616A</t>
  </si>
  <si>
    <t>POD ASSY,VSLR IVP,RED,120RPM</t>
  </si>
  <si>
    <t>Z865200601A-R-120</t>
  </si>
  <si>
    <t>POD ASSY, VSLR IVP, WHITE,CNTR</t>
  </si>
  <si>
    <t>Z865200601A-CO-W</t>
  </si>
  <si>
    <t>KIT,ACCY,MSG BRD</t>
  </si>
  <si>
    <t>Z865200176A</t>
  </si>
  <si>
    <t>CTRL HD,MB1,STD MSG BRD</t>
  </si>
  <si>
    <t>Z865200116-01</t>
  </si>
  <si>
    <t>BRKT,MNT,ADJ,LEFT,</t>
  </si>
  <si>
    <t>Z865200099A</t>
  </si>
  <si>
    <t>BRKT,MNT,ADJ,RIGHT,</t>
  </si>
  <si>
    <t>Z865200098A</t>
  </si>
  <si>
    <t>BRKT,MNT,ADJ,UPPER,</t>
  </si>
  <si>
    <t>Z865200097A</t>
  </si>
  <si>
    <t>KIT,ACCY,CN SML</t>
  </si>
  <si>
    <t>Z865200073A</t>
  </si>
  <si>
    <t>KIT,PERM MT,51" VALOR</t>
  </si>
  <si>
    <t>Z8651159A</t>
  </si>
  <si>
    <t>KIT,HOOK MT,51" VALOR</t>
  </si>
  <si>
    <t>Z8651158A</t>
  </si>
  <si>
    <t>KIT,PERM MT,44" VALOR</t>
  </si>
  <si>
    <t>Z8651157A</t>
  </si>
  <si>
    <t>KIT,HOOK MT,44" VALOR</t>
  </si>
  <si>
    <t>Z8651156A</t>
  </si>
  <si>
    <t>KIT,ACCY,PERM MT,VALR,VSL</t>
  </si>
  <si>
    <t>Z8651154A</t>
  </si>
  <si>
    <t>KIT,ACCY,HOOK MT,VALR,VSL</t>
  </si>
  <si>
    <t>Z8651153A</t>
  </si>
  <si>
    <t>BRKT,RH HOOK ATTACH,VALOR</t>
  </si>
  <si>
    <t>Z8651122B</t>
  </si>
  <si>
    <t>BRKT,LH HOOK ATTACH,VALOR</t>
  </si>
  <si>
    <t>Z8651121B</t>
  </si>
  <si>
    <t>FOOT ASSY,RH MOUNTING,VALOR</t>
  </si>
  <si>
    <t>Z8651120C</t>
  </si>
  <si>
    <t>FOOT ASSY,LH MOUNTING,VALOR</t>
  </si>
  <si>
    <t>Z8651119C</t>
  </si>
  <si>
    <t>SEAL,EXTRUDED,VALOR</t>
  </si>
  <si>
    <t>Z8651116B</t>
  </si>
  <si>
    <t>COVER, VALR51, 30 PACK</t>
  </si>
  <si>
    <t>Z8651115B-30</t>
  </si>
  <si>
    <t>REFL,NARROW,MULTI</t>
  </si>
  <si>
    <t>Z8651111A</t>
  </si>
  <si>
    <t>BASE,MOLDED,51" VALOR</t>
  </si>
  <si>
    <t>Z8651102B</t>
  </si>
  <si>
    <t>BASE,MOLDED,44" VALOR</t>
  </si>
  <si>
    <t>Z8651100B</t>
  </si>
  <si>
    <t>KIT,SERV,PWR-GND,VALR,INTG,VSL</t>
  </si>
  <si>
    <t>Z865101904A</t>
  </si>
  <si>
    <t>KIT,LOW HOOK,VALR,SERV</t>
  </si>
  <si>
    <t>Z865101878A</t>
  </si>
  <si>
    <t>ADJ ASSY,LOW,HOOK,VALR</t>
  </si>
  <si>
    <t>Z865101876A</t>
  </si>
  <si>
    <t>FOOT,LOW,RH,VALR</t>
  </si>
  <si>
    <t>Z865101873A</t>
  </si>
  <si>
    <t>KIT,NOSE TD RELOCATION,VALR44</t>
  </si>
  <si>
    <t>Z865101577</t>
  </si>
  <si>
    <t>KIT,SHELL,VALR51</t>
  </si>
  <si>
    <t>Z865101223</t>
  </si>
  <si>
    <t>KIT,SHELL,VALR44</t>
  </si>
  <si>
    <t>Z865101222</t>
  </si>
  <si>
    <t>KIT,FLATMOUNT,HD-VALR</t>
  </si>
  <si>
    <t>Z865100870</t>
  </si>
  <si>
    <t>KIT,VALR51 DOME SERVICE</t>
  </si>
  <si>
    <t>Z865100374A</t>
  </si>
  <si>
    <t>KIT,VALR44 DOME SERVICE</t>
  </si>
  <si>
    <t>Z865100372A</t>
  </si>
  <si>
    <t>KIT,4 AIR TABS, VALOR</t>
  </si>
  <si>
    <t>Z865100143A</t>
  </si>
  <si>
    <t>HOUSING ASSY,W/ LABELS,</t>
  </si>
  <si>
    <t>Z8650106A</t>
  </si>
  <si>
    <t>KIT,MTG,LOW,INTG</t>
  </si>
  <si>
    <t>Z864901851B</t>
  </si>
  <si>
    <t>SPACER,LOW,INTG</t>
  </si>
  <si>
    <t>Z864901849B</t>
  </si>
  <si>
    <t>PAD,LOW FOOT,INTG</t>
  </si>
  <si>
    <t>Z864901848A</t>
  </si>
  <si>
    <t>KIT,SEARCHLIGHT MOUNT</t>
  </si>
  <si>
    <t>Z864901329</t>
  </si>
  <si>
    <t>KIT,HARDWARE,SEARCHLIGHT MOUNT</t>
  </si>
  <si>
    <t>Z864901328</t>
  </si>
  <si>
    <t>BRKT,TD,IPX HOTFT,INTG</t>
  </si>
  <si>
    <t>Z864901266</t>
  </si>
  <si>
    <t>SPONGE CORD,EXTR</t>
  </si>
  <si>
    <t>Z864900707-84</t>
  </si>
  <si>
    <t>KIT,INTG51 DOME SERVICE</t>
  </si>
  <si>
    <t>Z864900653</t>
  </si>
  <si>
    <t>KIT,INTG44 DOME SERVICE</t>
  </si>
  <si>
    <t>Z864900652</t>
  </si>
  <si>
    <t>EXTRUSION, 51" HWY BAR</t>
  </si>
  <si>
    <t>Z864900257A-51</t>
  </si>
  <si>
    <t>BASE, 51" HWY BAR</t>
  </si>
  <si>
    <t>Z864900255A</t>
  </si>
  <si>
    <t>BASE,44" HWY BAR</t>
  </si>
  <si>
    <t>Z864900253A</t>
  </si>
  <si>
    <t>MOUNTING GASKET,LED ROT.</t>
  </si>
  <si>
    <t>Z8627319A</t>
  </si>
  <si>
    <t>G5 DOME A,ROTATOR CLEAR</t>
  </si>
  <si>
    <t>Z8627205A-05</t>
  </si>
  <si>
    <t>G5 DOME A,ROTATOR RED</t>
  </si>
  <si>
    <t>Z8627205A-04</t>
  </si>
  <si>
    <t>G5 DOME A,ROTATOR AMBER</t>
  </si>
  <si>
    <t>Z8627205A-02</t>
  </si>
  <si>
    <t>G5 DOME,ROTATOR CLEAR, DRILLED</t>
  </si>
  <si>
    <t>Z862703512A-05</t>
  </si>
  <si>
    <t>OVERMOLDED 401 BASE,</t>
  </si>
  <si>
    <t>Z862702694B-401</t>
  </si>
  <si>
    <t>MOUNTING FLANGE, DIECAST,</t>
  </si>
  <si>
    <t>Z862702693A</t>
  </si>
  <si>
    <t>DOME, PRO LED, TALL, GREEN</t>
  </si>
  <si>
    <t>Z862702014A-06</t>
  </si>
  <si>
    <t>DOME, PRO LED, SHORT, CLEAR</t>
  </si>
  <si>
    <t>Z862702014A-05-S</t>
  </si>
  <si>
    <t>DOME, PRO LED, TALL, CLEAR</t>
  </si>
  <si>
    <t>Z862702014A-05</t>
  </si>
  <si>
    <t>DOME, PRO LED, SHORT, RED</t>
  </si>
  <si>
    <t>Z862702014A-04-S</t>
  </si>
  <si>
    <t>DOME, PRO LED, TALL, RED</t>
  </si>
  <si>
    <t>Z862702014A-04</t>
  </si>
  <si>
    <t>DOME, PRO LED, SHORT, BLUE</t>
  </si>
  <si>
    <t>Z862702014A-03-S</t>
  </si>
  <si>
    <t>DOME, PRO LED, TALL, BLUE</t>
  </si>
  <si>
    <t>Z862702014A-03</t>
  </si>
  <si>
    <t>DOME, PRO LED, SHORT, AMBER</t>
  </si>
  <si>
    <t>Z862702014A-02-S</t>
  </si>
  <si>
    <t>DOME, PRO LED, TALL, AMBER</t>
  </si>
  <si>
    <t>Z862702014A-02</t>
  </si>
  <si>
    <t>SHROUD ASSY,ILSFD,CH11</t>
  </si>
  <si>
    <t>Z8624285A</t>
  </si>
  <si>
    <t>KIT,MTG,ILSFDVHL-CH08</t>
  </si>
  <si>
    <t>Z8624208A</t>
  </si>
  <si>
    <t>SHROUD ASSY,ILSFD,CHGR 08</t>
  </si>
  <si>
    <t>Z8624197A</t>
  </si>
  <si>
    <t>SHROUD ASSY,ILSFD,IMP 08</t>
  </si>
  <si>
    <t>Z8624194A</t>
  </si>
  <si>
    <t>KIT, SIFMS, 25 FPIU</t>
  </si>
  <si>
    <t>Z862404759A</t>
  </si>
  <si>
    <t>KIT,MUST24,SIFMR</t>
  </si>
  <si>
    <t>Z862404503A</t>
  </si>
  <si>
    <t>SHRD ASSY,REAR,UPPER,SIFMR,</t>
  </si>
  <si>
    <t>Z862404502A</t>
  </si>
  <si>
    <t>COVER,REAR,UPPER,SIFMR,MUST24</t>
  </si>
  <si>
    <t>Z862404500A</t>
  </si>
  <si>
    <t>KIT,21MME,SIFMS</t>
  </si>
  <si>
    <t>Z862403998A</t>
  </si>
  <si>
    <t>COVER,PS,21MME,SIFM,CENT FOCUS</t>
  </si>
  <si>
    <t>Z862403995A</t>
  </si>
  <si>
    <t>COVER,DS,21MME,SIFM,CENT FOCUS</t>
  </si>
  <si>
    <t>Z862403994A</t>
  </si>
  <si>
    <t>SHRD ASSY,PS,21MME,SIFM,CENT</t>
  </si>
  <si>
    <t>Z862403993A</t>
  </si>
  <si>
    <t>SHRD ASSY,DS,21MME,SIFM,CENT</t>
  </si>
  <si>
    <t>Z862403992A</t>
  </si>
  <si>
    <t>KIT,15F150,SIFMR</t>
  </si>
  <si>
    <t>Z862403856A</t>
  </si>
  <si>
    <t>BRKT ASSY,LOWER,15F-150,SIFMR</t>
  </si>
  <si>
    <t>Z862403816A</t>
  </si>
  <si>
    <t>BRKT ASSY,UPPER,15F-150,SIFMR</t>
  </si>
  <si>
    <t>Z862403814A</t>
  </si>
  <si>
    <t>KIT,18EXPD,SIFMH</t>
  </si>
  <si>
    <t>Z862403783A</t>
  </si>
  <si>
    <t>KIT,21TAH,SIFZS</t>
  </si>
  <si>
    <t>Z862403761A</t>
  </si>
  <si>
    <t>COVER,PS,21TAH,SIFZ ILS</t>
  </si>
  <si>
    <t>Z862403758A</t>
  </si>
  <si>
    <t>COVER,DS,21TAH,SIFZ ILS</t>
  </si>
  <si>
    <t>Z862403757A</t>
  </si>
  <si>
    <t>SHRD ASSY,PS,21TAH,SIFZ ILS</t>
  </si>
  <si>
    <t>Z862403756A</t>
  </si>
  <si>
    <t>SHRD ASSY,DS,21TAH,SIFZ ILS</t>
  </si>
  <si>
    <t>Z862403755A</t>
  </si>
  <si>
    <t>COVER,18EXPD,SIFMH</t>
  </si>
  <si>
    <t>Z862403716A</t>
  </si>
  <si>
    <t>SHRD ASSY,18EXPD,SIFMH</t>
  </si>
  <si>
    <t>Z862403715A</t>
  </si>
  <si>
    <t>KIT,21TAH,SIFMH</t>
  </si>
  <si>
    <t>Z862403510A</t>
  </si>
  <si>
    <t>COVER ASSY,21TAH,SIFMH</t>
  </si>
  <si>
    <t>Z862403501A</t>
  </si>
  <si>
    <t>SHRD ASSY,21TAH,SIFMH</t>
  </si>
  <si>
    <t>Z862403499A</t>
  </si>
  <si>
    <t>KIT,21TAH,SIFMS</t>
  </si>
  <si>
    <t>Z862403426A</t>
  </si>
  <si>
    <t>COVER,PS,21TAH,SIFM,CENT FOCUS</t>
  </si>
  <si>
    <t>Z862403423A</t>
  </si>
  <si>
    <t>COVER,DS,21TAH,SIFM,CENT FOCUS</t>
  </si>
  <si>
    <t>Z862403422A</t>
  </si>
  <si>
    <t>SHRD ASSY,PS,21TAH,SIFM,CENT</t>
  </si>
  <si>
    <t>Z862403421A</t>
  </si>
  <si>
    <t>SHRD ASSY,DS,21TAH,SIFM,CENT</t>
  </si>
  <si>
    <t>Z862403420A</t>
  </si>
  <si>
    <t>COVER,PS,15F150,SIFZ ILS</t>
  </si>
  <si>
    <t>Z862403308A</t>
  </si>
  <si>
    <t>COVER,DS,15F150,SIFZ ILS</t>
  </si>
  <si>
    <t>Z862403307A</t>
  </si>
  <si>
    <t>KIT,19SILV,SIFZS</t>
  </si>
  <si>
    <t>Z862403291A</t>
  </si>
  <si>
    <t>COVER,PS,19SILV,SIFZ ILS</t>
  </si>
  <si>
    <t>Z862403288A</t>
  </si>
  <si>
    <t>COVER,DS,19SILV,SIFZ ILS</t>
  </si>
  <si>
    <t>Z862403287A</t>
  </si>
  <si>
    <t>SHRD ASSY,PS,19SILV,SIFZ ILS</t>
  </si>
  <si>
    <t>Z862403286A</t>
  </si>
  <si>
    <t>SHRD ASSY,DS,19SILV,SIFZ ILS</t>
  </si>
  <si>
    <t>Z862403285A</t>
  </si>
  <si>
    <t>KIT,19RAM,SIFZS</t>
  </si>
  <si>
    <t>Z862403165A</t>
  </si>
  <si>
    <t>COVER,DS,19RAM,SIFZ ILS</t>
  </si>
  <si>
    <t>Z862403161B</t>
  </si>
  <si>
    <t>SHRD ASSY,PS,19RAM,SIFZ ILS</t>
  </si>
  <si>
    <t>Z862403160B</t>
  </si>
  <si>
    <t>SHRD ASSY,DS,19RAM,SIFZ ILS</t>
  </si>
  <si>
    <t>Z862403159B</t>
  </si>
  <si>
    <t>KIT,20FPIU,SIFZS</t>
  </si>
  <si>
    <t>Z862403115A</t>
  </si>
  <si>
    <t>COVER,PS,20FPIU,SIFZ ILS</t>
  </si>
  <si>
    <t>Z862403112B</t>
  </si>
  <si>
    <t>COVER,DS,20FPIU,SIFZ ILS</t>
  </si>
  <si>
    <t>Z862403111B</t>
  </si>
  <si>
    <t>SHRD ASSY,PS,20FPIU,SIFZ ILS</t>
  </si>
  <si>
    <t>Z862403110B</t>
  </si>
  <si>
    <t>SHRD ASSY,DS,20FPIU,SIFZ ILS</t>
  </si>
  <si>
    <t>Z862403109B</t>
  </si>
  <si>
    <t>KIT,20FPIU,SIFMH</t>
  </si>
  <si>
    <t>Z862403071A</t>
  </si>
  <si>
    <t>KIT,20FPIU,SIFMP</t>
  </si>
  <si>
    <t>Z862403068A</t>
  </si>
  <si>
    <t>KIT,20FPIU,SIFMS</t>
  </si>
  <si>
    <t>Z862403066A</t>
  </si>
  <si>
    <t>COVER,PS,20FPIU,SIFM,CENT</t>
  </si>
  <si>
    <t>Z862403063B</t>
  </si>
  <si>
    <t>COVER,DS,20FPIU,SIFM,CENT</t>
  </si>
  <si>
    <t>Z862403062B</t>
  </si>
  <si>
    <t>SHRD ASSY,PS,20FPIU,SIFM,CENT</t>
  </si>
  <si>
    <t>Z862403061B</t>
  </si>
  <si>
    <t>SHRD ASSY,DS,20FPIU,SIFM,CENT</t>
  </si>
  <si>
    <t>Z862403060B</t>
  </si>
  <si>
    <t>COVER,HATCH,20FPIU,SIFMH</t>
  </si>
  <si>
    <t>Z862403056A</t>
  </si>
  <si>
    <t>SHRD ASSY,HATCH,20FPIU,SIFMH</t>
  </si>
  <si>
    <t>Z862403055A</t>
  </si>
  <si>
    <t>KIT,19CHLGR,SIFMS</t>
  </si>
  <si>
    <t>Z862403042A</t>
  </si>
  <si>
    <t>SHRD ASSY,DECK,SIFMR,19CHLGR</t>
  </si>
  <si>
    <t>Z862403038A</t>
  </si>
  <si>
    <t>KIT,19CHLGR,SIFMR</t>
  </si>
  <si>
    <t>Z862403036A</t>
  </si>
  <si>
    <t>KIT,17CHGR,CHILD RESTRAINTKIT,</t>
  </si>
  <si>
    <t>Z862402846A</t>
  </si>
  <si>
    <t>KIT,18DUR,SIFMH</t>
  </si>
  <si>
    <t>Z862402828A</t>
  </si>
  <si>
    <t>COVER,18DUR,SIFMH,CENT FOCUS</t>
  </si>
  <si>
    <t>Z862402808A</t>
  </si>
  <si>
    <t>SHRD ASSY,18DUR,SIFMH,CENT</t>
  </si>
  <si>
    <t>Z862402807A</t>
  </si>
  <si>
    <t>SHRD ASSY,DECK,SIFM,CHILD</t>
  </si>
  <si>
    <t>Z862402804A</t>
  </si>
  <si>
    <t>KIT,19SILV,SIFMS</t>
  </si>
  <si>
    <t>Z862402747A</t>
  </si>
  <si>
    <t>COVER,PS,19SILV,SIFM,CENT</t>
  </si>
  <si>
    <t>Z862402744A</t>
  </si>
  <si>
    <t>COVER,DS,19SILV,SIFM,CENT</t>
  </si>
  <si>
    <t>Z862402743A</t>
  </si>
  <si>
    <t>SHRD ASSY,PS,19SILV,SIFM,CENT</t>
  </si>
  <si>
    <t>Z862402742A</t>
  </si>
  <si>
    <t>SHRD ASSY,DS,19SILV,SIFM,CENT</t>
  </si>
  <si>
    <t>Z862402741A</t>
  </si>
  <si>
    <t>KIT,18EXPD,SIFMS</t>
  </si>
  <si>
    <t>Z862402650A</t>
  </si>
  <si>
    <t>SHRD ASSY,PS,18EXPD,SIFM,CENT</t>
  </si>
  <si>
    <t>Z862402563A</t>
  </si>
  <si>
    <t>SHRD ASSY,DS,18EXPD,SIFM,CENT</t>
  </si>
  <si>
    <t>Z862402562A</t>
  </si>
  <si>
    <t>COVER,PS,18EXPR,SIFM,CENT FOCU</t>
  </si>
  <si>
    <t>Z862402497A</t>
  </si>
  <si>
    <t>COVER,DS,18EXPR,SIFM,CENT FOCU</t>
  </si>
  <si>
    <t>Z862402496A</t>
  </si>
  <si>
    <t>SHRD ASSY,DS,18EXPR,SIFM,CENT</t>
  </si>
  <si>
    <t>Z862402494A</t>
  </si>
  <si>
    <t>KIT,18TRAV,SIFMS</t>
  </si>
  <si>
    <t>Z862402456A</t>
  </si>
  <si>
    <t>COVER,PS,18TRAV,SIFM,CENT</t>
  </si>
  <si>
    <t>Z862402453A</t>
  </si>
  <si>
    <t>COVER,DS,18TRAV,SIFM,CENT</t>
  </si>
  <si>
    <t>Z862402452A</t>
  </si>
  <si>
    <t>SHRD ASSY,PS,18TRAV,SIFM,CENT</t>
  </si>
  <si>
    <t>Z862402451A</t>
  </si>
  <si>
    <t>SHRD ASSY,DS,18TRAV,SIFM,CENT</t>
  </si>
  <si>
    <t>Z862402450A</t>
  </si>
  <si>
    <t>BRKT,OUT,PS,SMALL,UNIV</t>
  </si>
  <si>
    <t>Z862402421A</t>
  </si>
  <si>
    <t>BRKT,OUT,DS,SMALL,UNIV</t>
  </si>
  <si>
    <t>Z862402420A</t>
  </si>
  <si>
    <t>BRKT,CTR,PS,SMALL,UNIV</t>
  </si>
  <si>
    <t>Z862402419A</t>
  </si>
  <si>
    <t>BRKT,CTR,DS,SMALL,UNIV</t>
  </si>
  <si>
    <t>Z862402418A</t>
  </si>
  <si>
    <t>BRKT,SLOT,SMALL,UNIV</t>
  </si>
  <si>
    <t>Z862402417A</t>
  </si>
  <si>
    <t>KIT,18EDGE,SIFMP</t>
  </si>
  <si>
    <t>Z862402359A</t>
  </si>
  <si>
    <t>KIT,18EDGE,SIFMS</t>
  </si>
  <si>
    <t>Z862402357A</t>
  </si>
  <si>
    <t>BRKT,PS,18EDGE,SIFM,CENT FOCUS</t>
  </si>
  <si>
    <t>Z862402356A</t>
  </si>
  <si>
    <t>BRKT,DS,18EDGE,SIFM,CENT FOCUS</t>
  </si>
  <si>
    <t>Z862402355A</t>
  </si>
  <si>
    <t>COVER,PS,18EDGE,SIFM,CENT</t>
  </si>
  <si>
    <t>Z862402354A</t>
  </si>
  <si>
    <t>COVER,DS,18EDGE,SIFM,CENT</t>
  </si>
  <si>
    <t>Z862402353A</t>
  </si>
  <si>
    <t>SHRD ASSY,PS,18EDGE,SIFM,CENT</t>
  </si>
  <si>
    <t>Z862402352A</t>
  </si>
  <si>
    <t>SHRD ASSY,DS,18EDGE,SIFM,CENT</t>
  </si>
  <si>
    <t>Z862402351A</t>
  </si>
  <si>
    <t>KIT,15TAH,SIFMH</t>
  </si>
  <si>
    <t>Z862402348A</t>
  </si>
  <si>
    <t>BRKT,PS,17IMP,10TH GEN,SIFM,</t>
  </si>
  <si>
    <t>Z862402320A</t>
  </si>
  <si>
    <t>KIT,17F150,SIFMP CENT FOCUS IL</t>
  </si>
  <si>
    <t>Z862402310A</t>
  </si>
  <si>
    <t>KIT,17F150,SIFMS CENT FOCUS IL</t>
  </si>
  <si>
    <t>Z862402308A</t>
  </si>
  <si>
    <t>COVER,PS,17F150,SIFM,CENT FOCU</t>
  </si>
  <si>
    <t>Z862402305A</t>
  </si>
  <si>
    <t>COVER,DS,17F150,SIFM,CENT FOCU</t>
  </si>
  <si>
    <t>Z862402304A</t>
  </si>
  <si>
    <t>SHRD ASSY,PS,17F150,SIFM,CENT</t>
  </si>
  <si>
    <t>Z862402303A</t>
  </si>
  <si>
    <t>SHRD ASSY,DS,17F150,SIFM,CENT</t>
  </si>
  <si>
    <t>Z862402302A</t>
  </si>
  <si>
    <t>COVER,PS,17EQNX,SIFM,CENT</t>
  </si>
  <si>
    <t>Z862402281A</t>
  </si>
  <si>
    <t>COVER,DS,17EQNX,SIFM,CENT</t>
  </si>
  <si>
    <t>Z862402280A</t>
  </si>
  <si>
    <t>BRKT,PS,17EQNX,SIFM,CENT FOCUS</t>
  </si>
  <si>
    <t>Z862402249A</t>
  </si>
  <si>
    <t>BRKT,DS,17EQNX,SIFM,CENT FOCUS</t>
  </si>
  <si>
    <t>Z862402248A</t>
  </si>
  <si>
    <t>COVER,HATCH,TAH,SIFMH</t>
  </si>
  <si>
    <t>Z862402119A</t>
  </si>
  <si>
    <t>SHRD ASSY,HATCH,TAH,SIFMH</t>
  </si>
  <si>
    <t>Z862402118A</t>
  </si>
  <si>
    <t>KIT,16COL,SIFZS ILS</t>
  </si>
  <si>
    <t>Z862402095A</t>
  </si>
  <si>
    <t>SHRD ASSY,PS,16COL,SIFZ ILS</t>
  </si>
  <si>
    <t>Z862402090A</t>
  </si>
  <si>
    <t>SHRD ASSY,DS,16COL,SIFZ ILS</t>
  </si>
  <si>
    <t>Z862402089A</t>
  </si>
  <si>
    <t>SHRD ASSY,DECK,SIFM,17CHGR</t>
  </si>
  <si>
    <t>Z862401993A</t>
  </si>
  <si>
    <t>KIT,UNIV,SIFMP</t>
  </si>
  <si>
    <t>Z862401884A</t>
  </si>
  <si>
    <t>KIT,UNIV,SIFMS</t>
  </si>
  <si>
    <t>Z862401882A</t>
  </si>
  <si>
    <t>KIT,16RAM,SIFZS ILS</t>
  </si>
  <si>
    <t>Z862401831</t>
  </si>
  <si>
    <t>SHRD ASSY,PS,16RAM,SIFZ, ILS</t>
  </si>
  <si>
    <t>Z862401736</t>
  </si>
  <si>
    <t>SHRD ASSY,DS,16RAM,SIFZ, ILS</t>
  </si>
  <si>
    <t>Z862401735</t>
  </si>
  <si>
    <t>SHRD,UNIV UPR,PS,SIFM ILS</t>
  </si>
  <si>
    <t>Z862401702A</t>
  </si>
  <si>
    <t>SHRD,UNIV UPR,DS,SIFM ILS</t>
  </si>
  <si>
    <t>Z862401701A</t>
  </si>
  <si>
    <t>SHRD ASSY,PS,UNIV,SIFM ILS</t>
  </si>
  <si>
    <t>Z862401700A</t>
  </si>
  <si>
    <t>SHRD ASSY,DS,UNIV,SIFM ILS</t>
  </si>
  <si>
    <t>Z862401699A</t>
  </si>
  <si>
    <t>KIT,16DUR,SIFMP CENT FOCUS ILS</t>
  </si>
  <si>
    <t>Z862401672</t>
  </si>
  <si>
    <t>KIT,16DUR,SIFMS CENT FOCUS ILS</t>
  </si>
  <si>
    <t>Z862401670</t>
  </si>
  <si>
    <t>COVER,PS,16DUR,SIFM,CENT FOCUS</t>
  </si>
  <si>
    <t>Z862401667</t>
  </si>
  <si>
    <t>COVER,DS,16DUR,SIFM,CENT FOCUS</t>
  </si>
  <si>
    <t>Z862401666</t>
  </si>
  <si>
    <t>SHRD ASSY,PS,16DUR,SIFM,CENT</t>
  </si>
  <si>
    <t>Z862401665</t>
  </si>
  <si>
    <t>SHRD ASSY,DS,16DUR,SIFM,CENT</t>
  </si>
  <si>
    <t>Z862401664</t>
  </si>
  <si>
    <t>KIT,15CHGR,SIFZP ILS</t>
  </si>
  <si>
    <t>Z862401661</t>
  </si>
  <si>
    <t>KIT,15CHGR,SIFZS ILS</t>
  </si>
  <si>
    <t>Z862401659</t>
  </si>
  <si>
    <t>COVER,PS,15CHGR,SIFZ, ILS</t>
  </si>
  <si>
    <t>Z862401656</t>
  </si>
  <si>
    <t>COVER,DS,15CHGR,SIFZ, ILS</t>
  </si>
  <si>
    <t>Z862401655</t>
  </si>
  <si>
    <t>SHRD ASSY,PS,15CHGR,SIFZ, ILS</t>
  </si>
  <si>
    <t>Z862401654</t>
  </si>
  <si>
    <t>SHRD ASSY,DS,15CHGR,SIFZ, ILS</t>
  </si>
  <si>
    <t>Z862401653</t>
  </si>
  <si>
    <t>KIT,16CHGR,SIFMP CENT FOCUS IL</t>
  </si>
  <si>
    <t>Z862401643</t>
  </si>
  <si>
    <t>KIT,16CHGR,SIFMS CENT FOCUS IL</t>
  </si>
  <si>
    <t>Z862401641</t>
  </si>
  <si>
    <t>COVER,PS,16CHGR,SIFM,CENT FOCU</t>
  </si>
  <si>
    <t>Z862401638</t>
  </si>
  <si>
    <t>COVER,DS,16CHGR,SIFM,CENT FOCU</t>
  </si>
  <si>
    <t>Z862401637</t>
  </si>
  <si>
    <t>SHRD ASSY,PS,16CHGR,SIFM,CENT</t>
  </si>
  <si>
    <t>Z862401636</t>
  </si>
  <si>
    <t>SHRD ASSY,DS,16CHGR,SIFM,CENT</t>
  </si>
  <si>
    <t>Z862401635</t>
  </si>
  <si>
    <t>KIT,15TAH,SIFMS CENT FOCUS ILS</t>
  </si>
  <si>
    <t>Z862401630A</t>
  </si>
  <si>
    <t>COVER,PS,15TAH,SIFM,CENT FOCUS</t>
  </si>
  <si>
    <t>Z862401627A</t>
  </si>
  <si>
    <t>COVER,DS,15TAH,SIFM,CENT FOCUS</t>
  </si>
  <si>
    <t>Z862401626A</t>
  </si>
  <si>
    <t>SHRD ASSY,PS,15TAH,SIFM,CENT F</t>
  </si>
  <si>
    <t>Z862401625A</t>
  </si>
  <si>
    <t>SHRD ASSY,DS,15TAH,SIFM,CENT F</t>
  </si>
  <si>
    <t>Z862401624A</t>
  </si>
  <si>
    <t>KIT,15F150,SIFZP</t>
  </si>
  <si>
    <t>Z862401484C</t>
  </si>
  <si>
    <t>KIT,15F150,SIFZS</t>
  </si>
  <si>
    <t>Z862401482C</t>
  </si>
  <si>
    <t>SHRD ASSY,PS,15F150,SIFZ ILS</t>
  </si>
  <si>
    <t>Z862401479B</t>
  </si>
  <si>
    <t>SHRD ASSY,DS,15F150,SIFZ ILS</t>
  </si>
  <si>
    <t>Z862401475B</t>
  </si>
  <si>
    <t>KIT,UNIV,SIFZS</t>
  </si>
  <si>
    <t>Z862401245</t>
  </si>
  <si>
    <t>KIT,15TAH,SIFZS ILS</t>
  </si>
  <si>
    <t>Z862401239B</t>
  </si>
  <si>
    <t>SHIELD,SIDE,UNIV,SIFZ ILS</t>
  </si>
  <si>
    <t>Z862401206</t>
  </si>
  <si>
    <t>SHRD,UNIV UPR,PS,SIFZ ILS</t>
  </si>
  <si>
    <t>Z862401205</t>
  </si>
  <si>
    <t>SHRD,UNIV UPR,DS,SIFZ ILS</t>
  </si>
  <si>
    <t>Z862401204</t>
  </si>
  <si>
    <t>SHRD ASSY,PS,UNIV,SIFZ ILS</t>
  </si>
  <si>
    <t>Z862401203</t>
  </si>
  <si>
    <t>SHRD ASSY,DS,UNIV,SIFZ ILS</t>
  </si>
  <si>
    <t>Z862401202</t>
  </si>
  <si>
    <t>SHRD ASSY,PS,15TAH,SIFZ ILS</t>
  </si>
  <si>
    <t>Z862401151</t>
  </si>
  <si>
    <t>SHRD ASSY,DS,15TAH,SIFZ ILS</t>
  </si>
  <si>
    <t>Z862401150</t>
  </si>
  <si>
    <t>SHRD,UPR,PS,SIFZ ILS</t>
  </si>
  <si>
    <t>Z862401133</t>
  </si>
  <si>
    <t>SHRD,UPR,DS,SIFZ ILS</t>
  </si>
  <si>
    <t>Z862401132</t>
  </si>
  <si>
    <t>BRKT,DS/PS,2014 SPRINTER,SILSS</t>
  </si>
  <si>
    <t>Z862400974</t>
  </si>
  <si>
    <t>REFL,WIDE ANGLE,ZILS</t>
  </si>
  <si>
    <t>Z862400828</t>
  </si>
  <si>
    <t>BASE ASSY,ILSFD'13 INT</t>
  </si>
  <si>
    <t>Z862400024A</t>
  </si>
  <si>
    <t>SHROUD ASSY,ILSFD,13 INT</t>
  </si>
  <si>
    <t>Z862400022A</t>
  </si>
  <si>
    <t>SWIVEL MOUNT KIT,</t>
  </si>
  <si>
    <t>Z8623129A</t>
  </si>
  <si>
    <t>BRKT ASSY,6-BTN CNTRL HD</t>
  </si>
  <si>
    <t>Z8623120A</t>
  </si>
  <si>
    <t>CNTRL HD,PA4000-200</t>
  </si>
  <si>
    <t>Z862304059A</t>
  </si>
  <si>
    <t>BRKT,PF400,MTG</t>
  </si>
  <si>
    <t>Z862304026A</t>
  </si>
  <si>
    <t>CTRL HD,REMOTE,PW</t>
  </si>
  <si>
    <t>Z862303659A</t>
  </si>
  <si>
    <t>FINAL ASSY,PW,REMOTE,100 WATT</t>
  </si>
  <si>
    <t>Z862303658A-100</t>
  </si>
  <si>
    <t>BAIL BRACKET,PLASTIC,PATHWAY</t>
  </si>
  <si>
    <t>Z862303559A</t>
  </si>
  <si>
    <t>KNOB ASSY,ROTARY,PATHFINDER</t>
  </si>
  <si>
    <t>Z862303314B</t>
  </si>
  <si>
    <t>17BTN,CONVERGENCE</t>
  </si>
  <si>
    <t>Z862303172A</t>
  </si>
  <si>
    <t>COVER PLATE,USB</t>
  </si>
  <si>
    <t>Z862303005A</t>
  </si>
  <si>
    <t>6BTN,CONVERGENCE,PF</t>
  </si>
  <si>
    <t>Z862302919A-PF</t>
  </si>
  <si>
    <t>CLAMP,6BTN,SWIVEL MNT</t>
  </si>
  <si>
    <t>Z862302918A</t>
  </si>
  <si>
    <t>4BTN,CONVERGENCE,PF</t>
  </si>
  <si>
    <t>Z862302836A-PF</t>
  </si>
  <si>
    <t>F/A,HANDHELD,CONVERGENCE</t>
  </si>
  <si>
    <t>Z862302765A</t>
  </si>
  <si>
    <t>BRKT,SWIVEL CLAMP,HANDHELD,CON</t>
  </si>
  <si>
    <t>Z862302764A</t>
  </si>
  <si>
    <t>BRKT,MTG,HANDHELD,CONV</t>
  </si>
  <si>
    <t>Z862302763A</t>
  </si>
  <si>
    <t>MECH ASSY,AMP,PF200R,PATHFIND</t>
  </si>
  <si>
    <t>Z862302662A</t>
  </si>
  <si>
    <t>CONTROL HEAD,REMOTE,PF200R-IS</t>
  </si>
  <si>
    <t>Z862302151A-IS</t>
  </si>
  <si>
    <t>CTRL HD,REMOTE,PF200R,PATHFIND</t>
  </si>
  <si>
    <t>Z862302151A</t>
  </si>
  <si>
    <t>MECH. ASSY,PF200-RM,PATHFINDER</t>
  </si>
  <si>
    <t>Z862302144A-RM</t>
  </si>
  <si>
    <t>MECH ASSY,PF200,PATHFINDER</t>
  </si>
  <si>
    <t>Z862302144A</t>
  </si>
  <si>
    <t>KEYPAD ASSY,PF200-RM, PATHFIND</t>
  </si>
  <si>
    <t>Z862302143A-03</t>
  </si>
  <si>
    <t>KEYPAD ASSY,PF200, PATHFINDER</t>
  </si>
  <si>
    <t>Z862302143A</t>
  </si>
  <si>
    <t>FACEPLATE,PF200R-IS</t>
  </si>
  <si>
    <t>Z862302046B-03</t>
  </si>
  <si>
    <t>FACEPLATE,PATHFINDER</t>
  </si>
  <si>
    <t>Z862302046B</t>
  </si>
  <si>
    <t>EVAC MOUNTING GROMMET</t>
  </si>
  <si>
    <t>Z8620242A</t>
  </si>
  <si>
    <t>BASE,SWING MOUNT,HL</t>
  </si>
  <si>
    <t>Z8620224A</t>
  </si>
  <si>
    <t>KIT,MNTG,ALUM BASE,PM/FM</t>
  </si>
  <si>
    <t>Z8620154B</t>
  </si>
  <si>
    <t>BOTTOM,ALUMINUM,3/4" P25E</t>
  </si>
  <si>
    <t>Z8620149B</t>
  </si>
  <si>
    <t>SHIELD,LIGHT,ALTEC</t>
  </si>
  <si>
    <t>Z8620134A</t>
  </si>
  <si>
    <t>GASKET,FLUSH MNTG,ALTEC</t>
  </si>
  <si>
    <t>Z8620133A</t>
  </si>
  <si>
    <t>ELP,100W,NEODRVR,CTA HORN</t>
  </si>
  <si>
    <t>Z8619169A</t>
  </si>
  <si>
    <t>100W NEO DRIVER</t>
  </si>
  <si>
    <t>Z8619145A</t>
  </si>
  <si>
    <t>EQ2B CONTROL HEAD ASSY,MECH</t>
  </si>
  <si>
    <t>Z8616058B</t>
  </si>
  <si>
    <t>ACCY.KIT,EQ2B-100 &amp;</t>
  </si>
  <si>
    <t>Z8616044A</t>
  </si>
  <si>
    <t>MECH ASSY.,PF400Q, CONTROL HD</t>
  </si>
  <si>
    <t>Z861604465A</t>
  </si>
  <si>
    <t>CONTROL HEAD, FLUSH MOUNT</t>
  </si>
  <si>
    <t>Z8616042B</t>
  </si>
  <si>
    <t>SERVICE AMP,EQ2B,100W LEGACY</t>
  </si>
  <si>
    <t>Z8616033B-08</t>
  </si>
  <si>
    <t>SERVICE AMP,EQ2B,LEGACY</t>
  </si>
  <si>
    <t>Z8616033B-07</t>
  </si>
  <si>
    <t>MECH ASSY,EQ2B 100W</t>
  </si>
  <si>
    <t>Z8616033B-02</t>
  </si>
  <si>
    <t>AMPLIFIER ASSY,E-Q2B</t>
  </si>
  <si>
    <t>Z8616033B</t>
  </si>
  <si>
    <t>MECH ASSY, EQ2B, CONTROL HEAD</t>
  </si>
  <si>
    <t>Z8616026B</t>
  </si>
  <si>
    <t>CONTROL HD KIT EQ2B</t>
  </si>
  <si>
    <t>Z8616015A</t>
  </si>
  <si>
    <t>BACK COVER EQ2B CNTL HD</t>
  </si>
  <si>
    <t>Z8616009B</t>
  </si>
  <si>
    <t>BEZEL,IMPAXX,BLACK</t>
  </si>
  <si>
    <t>Z8613137A</t>
  </si>
  <si>
    <t>REFLECTOR,IMPAXX</t>
  </si>
  <si>
    <t>Z8613135A</t>
  </si>
  <si>
    <t>SUCTION CUP,MUSHROOM HEAD</t>
  </si>
  <si>
    <t>Z8613121A</t>
  </si>
  <si>
    <t>GASKET STRIP, CNX MPS121U,</t>
  </si>
  <si>
    <t>Z861304425A-4</t>
  </si>
  <si>
    <t>KIT,VISOR,DUAL XSTREAM</t>
  </si>
  <si>
    <t>Z861303605A</t>
  </si>
  <si>
    <t>SHROUD,D-PILLAR,LIGHTBAR,</t>
  </si>
  <si>
    <t>Z861303493A</t>
  </si>
  <si>
    <t>Z861303492A</t>
  </si>
  <si>
    <t>KIT,ACC'Y,DUAL,XSTREAM,US</t>
  </si>
  <si>
    <t>Z861302591A</t>
  </si>
  <si>
    <t>KIT,ACC'Y,SINGLE,XSTREAM,US</t>
  </si>
  <si>
    <t>Z861302590A</t>
  </si>
  <si>
    <t>BRKT,ATKN,</t>
  </si>
  <si>
    <t>Z8590265A</t>
  </si>
  <si>
    <t>CNTR SPKR ASSY, ATKINSON</t>
  </si>
  <si>
    <t>Z8590249A</t>
  </si>
  <si>
    <t>INTERCOM HOUSING ASSY</t>
  </si>
  <si>
    <t>Z8590217A</t>
  </si>
  <si>
    <t>PLATE,COVER,ENGRVD</t>
  </si>
  <si>
    <t>Z8590214A</t>
  </si>
  <si>
    <t>PLATE,COVER,ENGRVD,</t>
  </si>
  <si>
    <t>Z8590212A</t>
  </si>
  <si>
    <t>SPKR DRIVER ASSY ADCO</t>
  </si>
  <si>
    <t>Z8590175A</t>
  </si>
  <si>
    <t>GASKET,FLANGE MOUNT</t>
  </si>
  <si>
    <t>Z8590160A</t>
  </si>
  <si>
    <t>SPINNING ASSY,AD SPEAKER</t>
  </si>
  <si>
    <t>Z8590159A-01</t>
  </si>
  <si>
    <t>HSG,SPINNING,IRON GRAY SS</t>
  </si>
  <si>
    <t>Z8590158A-01</t>
  </si>
  <si>
    <t>BRKT,ADJUSTABLE,IRON GRAY</t>
  </si>
  <si>
    <t>Z8590155A-02</t>
  </si>
  <si>
    <t>BRKT ASSY ADJUSTABLE</t>
  </si>
  <si>
    <t>Z8590150B</t>
  </si>
  <si>
    <t>HSG,INTERCOM, GRAY</t>
  </si>
  <si>
    <t>Z8590093A-01</t>
  </si>
  <si>
    <t>KIT, ENCLOSURE CAP/STRAIN</t>
  </si>
  <si>
    <t>Z859003078A</t>
  </si>
  <si>
    <t>GASKET, COVER ATKINSON</t>
  </si>
  <si>
    <t>Z8590013B</t>
  </si>
  <si>
    <t>KEEPER,FULL HEX,GUTTER</t>
  </si>
  <si>
    <t>Z8583492A</t>
  </si>
  <si>
    <t>WASHER,GUTTER HOOK</t>
  </si>
  <si>
    <t>Z8583491A</t>
  </si>
  <si>
    <t>RETAINER,NUT,ARJ/VST FOOT</t>
  </si>
  <si>
    <t>Z8583490A</t>
  </si>
  <si>
    <t>KIT, KEEPER PLATE, VISTA</t>
  </si>
  <si>
    <t>Z8583193B</t>
  </si>
  <si>
    <t>MODULE,SER INTF,CONVERGENCE</t>
  </si>
  <si>
    <t>Z858303641A</t>
  </si>
  <si>
    <t>GASKET,DOME,CLEAR 6FT/ DOME</t>
  </si>
  <si>
    <t>Z8583020C-01</t>
  </si>
  <si>
    <t>REFL,RLNT</t>
  </si>
  <si>
    <t>Z858003475A</t>
  </si>
  <si>
    <t>DOME,GRAY,RLNT</t>
  </si>
  <si>
    <t>Z858003474B-GRY</t>
  </si>
  <si>
    <t>DOME,RED,RLNT</t>
  </si>
  <si>
    <t>Z858003474B-04</t>
  </si>
  <si>
    <t>DOME,BLUE,RLNT</t>
  </si>
  <si>
    <t>Z858003474B-03</t>
  </si>
  <si>
    <t>DOME,AMBER,RLNT</t>
  </si>
  <si>
    <t>Z858003474B-02</t>
  </si>
  <si>
    <t>DOME,BLACK,RLNT</t>
  </si>
  <si>
    <t>Z858003474B-01</t>
  </si>
  <si>
    <t>DOME,CLEAR,RLNT</t>
  </si>
  <si>
    <t>Z858003474B</t>
  </si>
  <si>
    <t>BASE, RELIANT</t>
  </si>
  <si>
    <t>Z858003473C</t>
  </si>
  <si>
    <t>INSTALL KIT,ECON SGNLMSTR</t>
  </si>
  <si>
    <t>Z8573327A</t>
  </si>
  <si>
    <t>RED DOT LAMP ASSY EMSBAR</t>
  </si>
  <si>
    <t>Z8573213A</t>
  </si>
  <si>
    <t>EXTRUSION,84",ALUMINUM,</t>
  </si>
  <si>
    <t>Z8573087A-12</t>
  </si>
  <si>
    <t>BEZEL, REV B</t>
  </si>
  <si>
    <t>Z8573060</t>
  </si>
  <si>
    <t>KIT,HARDWARE,SMSL</t>
  </si>
  <si>
    <t>Z857300305A</t>
  </si>
  <si>
    <t>SMSL BOARD ASSY.,12PPPP</t>
  </si>
  <si>
    <t>Z857300303A-22</t>
  </si>
  <si>
    <t>SMSL BOARD ASSY.,1PPPP</t>
  </si>
  <si>
    <t>Z857300303A-21</t>
  </si>
  <si>
    <t>VENT, ADHESIVE</t>
  </si>
  <si>
    <t>Z857300299A</t>
  </si>
  <si>
    <t>GASKET,ENDCAP,SML SOLARIS</t>
  </si>
  <si>
    <t>Z857300297A</t>
  </si>
  <si>
    <t>ENDCAP WITHOUT CABLE EXIT,</t>
  </si>
  <si>
    <t>Z857300296A</t>
  </si>
  <si>
    <t>ENDCAP WITH CABLE EXIT,</t>
  </si>
  <si>
    <t>Z857300295A</t>
  </si>
  <si>
    <t>LENS,BLUE</t>
  </si>
  <si>
    <t>Z8573001B-03</t>
  </si>
  <si>
    <t>INSERT,LEGENDS,6-BTN HD</t>
  </si>
  <si>
    <t>Z8572294F-05</t>
  </si>
  <si>
    <t>INSERTS,LEGENDS</t>
  </si>
  <si>
    <t>Z8572294E</t>
  </si>
  <si>
    <t>INSERT,LEGENDS,6-BTN CTRL</t>
  </si>
  <si>
    <t>Z8572294D-05</t>
  </si>
  <si>
    <t>GASKET,POD BASE</t>
  </si>
  <si>
    <t>Z8572222B</t>
  </si>
  <si>
    <t>GASKET,RING</t>
  </si>
  <si>
    <t>Z8572221A</t>
  </si>
  <si>
    <t>GASKET, POCKET</t>
  </si>
  <si>
    <t>Z8572106A</t>
  </si>
  <si>
    <t>MOUNTING BOLT, 3/8 - 16</t>
  </si>
  <si>
    <t>Z8572050B</t>
  </si>
  <si>
    <t>GASKET,POD</t>
  </si>
  <si>
    <t>Z8572030B</t>
  </si>
  <si>
    <t>PAD,MOUNTING</t>
  </si>
  <si>
    <t>Z8572029C</t>
  </si>
  <si>
    <t>POD BASE, LEFT</t>
  </si>
  <si>
    <t>Z8572004C</t>
  </si>
  <si>
    <t>POD BASE, RIGHT</t>
  </si>
  <si>
    <t>Z8572003C</t>
  </si>
  <si>
    <t>POD BASE ASSY CENTER W/GA</t>
  </si>
  <si>
    <t>Z8572002C</t>
  </si>
  <si>
    <t>HDWR KIT,ES100,ES100-DEU,</t>
  </si>
  <si>
    <t>Z8567207A</t>
  </si>
  <si>
    <t>BRACKET ASSY,MOUNTING</t>
  </si>
  <si>
    <t>Z8567192A</t>
  </si>
  <si>
    <t>ACCY KIT, ES100-DEU</t>
  </si>
  <si>
    <t>Z8567172A</t>
  </si>
  <si>
    <t>HORN CAST</t>
  </si>
  <si>
    <t>Z8567111A</t>
  </si>
  <si>
    <t>GRILLE MSFMT</t>
  </si>
  <si>
    <t>Z8567102A</t>
  </si>
  <si>
    <t>KIT,8567079-01,02,04,10</t>
  </si>
  <si>
    <t>Z8567097B</t>
  </si>
  <si>
    <t>FRICTION DISK</t>
  </si>
  <si>
    <t>Z8567096A</t>
  </si>
  <si>
    <t>TRIM RING</t>
  </si>
  <si>
    <t>Z8567093A</t>
  </si>
  <si>
    <t>BRKT,LIGHTHEAD,DUAL,ES100C-LTS</t>
  </si>
  <si>
    <t>Z856703404A</t>
  </si>
  <si>
    <t>GASKET,CONE</t>
  </si>
  <si>
    <t>Z8567012A</t>
  </si>
  <si>
    <t>PASS. SIDE GRILLE, ES100C,</t>
  </si>
  <si>
    <t>Z856700840-01</t>
  </si>
  <si>
    <t>DRVR. SIDE GRILLE, ES100C,</t>
  </si>
  <si>
    <t>Z856700840</t>
  </si>
  <si>
    <t>GRILLE,BLK,ELEC "F"</t>
  </si>
  <si>
    <t>Z856700276A</t>
  </si>
  <si>
    <t>CIG CORD WITH ON/OFF</t>
  </si>
  <si>
    <t>Z8560092A</t>
  </si>
  <si>
    <t>DOME/SEAL,AMBER,10"HIGHLIGHTER</t>
  </si>
  <si>
    <t>Z856003446A-A</t>
  </si>
  <si>
    <t>DOME/SEAL,CLEAR,10"HIGHLIGHTER</t>
  </si>
  <si>
    <t>Z856003446A</t>
  </si>
  <si>
    <t>BASE/REFL, 10IN HIGHLIGHTER</t>
  </si>
  <si>
    <t>Z856003445A</t>
  </si>
  <si>
    <t>SPACER, ROOF MOUNT BAR</t>
  </si>
  <si>
    <t>Z8559324A</t>
  </si>
  <si>
    <t>Z8559203A</t>
  </si>
  <si>
    <t>CONE TIP ASSY</t>
  </si>
  <si>
    <t>Z8556B096A</t>
  </si>
  <si>
    <t>NEO MAGNET MOTOR ASSY,W/L</t>
  </si>
  <si>
    <t>Z8556153B</t>
  </si>
  <si>
    <t>HD KIT BP100,-N &amp; AS124</t>
  </si>
  <si>
    <t>Z8556120B</t>
  </si>
  <si>
    <t>HD KIT TS100 &amp; TS100-N</t>
  </si>
  <si>
    <t>Z8556082C</t>
  </si>
  <si>
    <t>2-CH HI-SIDE ARJENT SL</t>
  </si>
  <si>
    <t>Z8554057A</t>
  </si>
  <si>
    <t>PAD BUMPER HOOKS</t>
  </si>
  <si>
    <t>Z8552492B</t>
  </si>
  <si>
    <t>BRKT BENT TRANSISTOR</t>
  </si>
  <si>
    <t>Z8552368A</t>
  </si>
  <si>
    <t>PLUG ASSEMBLY</t>
  </si>
  <si>
    <t>Z8550B088B</t>
  </si>
  <si>
    <t>ASSY,MAGNET</t>
  </si>
  <si>
    <t>Z8550A012A-02</t>
  </si>
  <si>
    <t>Z8550A012A-01</t>
  </si>
  <si>
    <t>MAGNET, RB50, CHROME</t>
  </si>
  <si>
    <t>Z8550300A</t>
  </si>
  <si>
    <t>ENDCAP,EXTRUSION,PLASTIC</t>
  </si>
  <si>
    <t>Z8542C175A</t>
  </si>
  <si>
    <t>GASKET,BULKHEAD</t>
  </si>
  <si>
    <t>Z8542A027A</t>
  </si>
  <si>
    <t>HOUSING ASSY</t>
  </si>
  <si>
    <t>Z8537C002</t>
  </si>
  <si>
    <t>MECH.ASSY,DUAL CTRL BOARD</t>
  </si>
  <si>
    <t>Z8537589B</t>
  </si>
  <si>
    <t>HARDWARE KIT,PA300</t>
  </si>
  <si>
    <t>Z8537573A</t>
  </si>
  <si>
    <t>KIT,ACCY,PA300,FUSE IN CH</t>
  </si>
  <si>
    <t>Z8537572A</t>
  </si>
  <si>
    <t>MTG KIT 690000 (PA300)</t>
  </si>
  <si>
    <t>Z8537561A</t>
  </si>
  <si>
    <t>KNOB</t>
  </si>
  <si>
    <t>Z8536C1041A</t>
  </si>
  <si>
    <t>KNOB,SLIDE SWITCH</t>
  </si>
  <si>
    <t>Z85361185D</t>
  </si>
  <si>
    <t>HRDWR KIT,SS200/SS201</t>
  </si>
  <si>
    <t>Z85361179A-01</t>
  </si>
  <si>
    <t>KIT MTG PA4000NY</t>
  </si>
  <si>
    <t>Z85361132A</t>
  </si>
  <si>
    <t>AMPLIFIER ASSY PA4K</t>
  </si>
  <si>
    <t>Z85361108A</t>
  </si>
  <si>
    <t>MIC.,CLIP,PART #HLN9073A</t>
  </si>
  <si>
    <t>Z85361082A</t>
  </si>
  <si>
    <t>BRACKET,MTG.CONTROL,SMART</t>
  </si>
  <si>
    <t>Z85361065A</t>
  </si>
  <si>
    <t>BRACKET,MOUNTING,SIREN</t>
  </si>
  <si>
    <t>Z85361059B</t>
  </si>
  <si>
    <t>PROJECTOR,MOLDED</t>
  </si>
  <si>
    <t>Z8470D118</t>
  </si>
  <si>
    <t>BRKT,SPKR MNTG,TS100</t>
  </si>
  <si>
    <t>Z8470124C</t>
  </si>
  <si>
    <t>PLUG HOLE</t>
  </si>
  <si>
    <t>Z8459A028</t>
  </si>
  <si>
    <t>LIGHT SHIELD W/ FS LOGO</t>
  </si>
  <si>
    <t>Z8444313C</t>
  </si>
  <si>
    <t>BRACKET,SUPPORT,STROBETUB</t>
  </si>
  <si>
    <t>Z8444293A</t>
  </si>
  <si>
    <t>MNTG BRACKET EVAC+</t>
  </si>
  <si>
    <t>Z8435717A</t>
  </si>
  <si>
    <t>KIT, NIGHTSPIRE, DOME</t>
  </si>
  <si>
    <t>Z843303374A</t>
  </si>
  <si>
    <t>DISC PLATE Q SIREN</t>
  </si>
  <si>
    <t>Z8427A016C</t>
  </si>
  <si>
    <t>CAP,CLUTCH</t>
  </si>
  <si>
    <t>Z8427A011</t>
  </si>
  <si>
    <t>BUSHING,SPACER</t>
  </si>
  <si>
    <t>Z8427A004</t>
  </si>
  <si>
    <t>WIRE NUT, ORANGE</t>
  </si>
  <si>
    <t>Z8287A165</t>
  </si>
  <si>
    <t>SWITCH, PUSH BUTTON #611,</t>
  </si>
  <si>
    <t>Z8283A691</t>
  </si>
  <si>
    <t>WASHER,FIBER</t>
  </si>
  <si>
    <t>Z8283A451</t>
  </si>
  <si>
    <t>SUB ASSY,RUMBLER,BODY,W/</t>
  </si>
  <si>
    <t>Z82831080A</t>
  </si>
  <si>
    <t>MNTG BRKT A,RUMBLER,</t>
  </si>
  <si>
    <t>Z82831074D</t>
  </si>
  <si>
    <t>FINAL ASSY,RUMBLER,SPKR</t>
  </si>
  <si>
    <t>Z82831072A</t>
  </si>
  <si>
    <t>KIT,BRKT,RUMBLER</t>
  </si>
  <si>
    <t>Z82831071D</t>
  </si>
  <si>
    <t>WOOFER,6",RUMBLER</t>
  </si>
  <si>
    <t>Z82831070C</t>
  </si>
  <si>
    <t>MECH ASSY,RUMBLER,</t>
  </si>
  <si>
    <t>Z82831059A</t>
  </si>
  <si>
    <t>DOME,RUMBLER</t>
  </si>
  <si>
    <t>Z82831056A</t>
  </si>
  <si>
    <t>COVER,NEW RUMBLER</t>
  </si>
  <si>
    <t>Z828303620A</t>
  </si>
  <si>
    <t>HSNG,REAR,NEW RUMBLER</t>
  </si>
  <si>
    <t>Z828303619A</t>
  </si>
  <si>
    <t>BOX,1.4",NEW RUMBLER</t>
  </si>
  <si>
    <t>Z828303618A</t>
  </si>
  <si>
    <t>BAND,EMBOSSED,RUMBLER</t>
  </si>
  <si>
    <t>Z828300071A</t>
  </si>
  <si>
    <t>BLK CHRM,STATOR,14" PORT</t>
  </si>
  <si>
    <t>Z8280D078A-BC</t>
  </si>
  <si>
    <t>STATOR,14' PORT</t>
  </si>
  <si>
    <t>Z8280D078A</t>
  </si>
  <si>
    <t>BLK CHRM,MOUNTING BASE</t>
  </si>
  <si>
    <t>Z8280C077A-BC</t>
  </si>
  <si>
    <t>MOUNTING BASE</t>
  </si>
  <si>
    <t>Z8280C077A</t>
  </si>
  <si>
    <t>BRAKE ASSY,12V</t>
  </si>
  <si>
    <t>Z8280B003J-02</t>
  </si>
  <si>
    <t>SPRING</t>
  </si>
  <si>
    <t>Z8280A017</t>
  </si>
  <si>
    <t>PLUNGER</t>
  </si>
  <si>
    <t>Z8280A010</t>
  </si>
  <si>
    <t>Z8280A009</t>
  </si>
  <si>
    <t>SOLENOID 12V</t>
  </si>
  <si>
    <t>Z8280A007-01</t>
  </si>
  <si>
    <t>BRACKET,SOLENOID</t>
  </si>
  <si>
    <t>Z8280A006</t>
  </si>
  <si>
    <t>BLK CHRM,STATOR GUARD</t>
  </si>
  <si>
    <t>Z8280106A-BC</t>
  </si>
  <si>
    <t>GUARD,STATOR</t>
  </si>
  <si>
    <t>Z8280106A</t>
  </si>
  <si>
    <t>BLK CHRM,FRONT GRILLE ASSY.</t>
  </si>
  <si>
    <t>Z8280104B-BC</t>
  </si>
  <si>
    <t>Q2B,FRONT GRILLE ASSY</t>
  </si>
  <si>
    <t>Z8280104B</t>
  </si>
  <si>
    <t>NEO-DRVR BP200 &amp; AS124</t>
  </si>
  <si>
    <t>Z8280090A</t>
  </si>
  <si>
    <t>BACKPLATE BP200-Q</t>
  </si>
  <si>
    <t>Z8280086A</t>
  </si>
  <si>
    <t>MOTOR,12V,Q2B SERIES C</t>
  </si>
  <si>
    <t>Z8280080B</t>
  </si>
  <si>
    <t>Q ROTOR/CLUTCH KIT(SERVIC</t>
  </si>
  <si>
    <t>Z8280065B-K</t>
  </si>
  <si>
    <t>CLUTCH ASSY,Q-SIREN, LARGE</t>
  </si>
  <si>
    <t>Z828000641</t>
  </si>
  <si>
    <t>GASKET,9.00 LG</t>
  </si>
  <si>
    <t>Z8240A107-05</t>
  </si>
  <si>
    <t>CLAMP,CORD</t>
  </si>
  <si>
    <t>Z8240A072</t>
  </si>
  <si>
    <t>PLUG,CONDUIT,1/2,RAW AS P</t>
  </si>
  <si>
    <t>Z8233A083A-0R</t>
  </si>
  <si>
    <t>Q2B BRAKE COVER ASSY.</t>
  </si>
  <si>
    <t>Z8209B009C</t>
  </si>
  <si>
    <t>KIT, INSTALL &amp; BRAKE</t>
  </si>
  <si>
    <t>Z8209A021B</t>
  </si>
  <si>
    <t>NAMEPLATE,LEGEND</t>
  </si>
  <si>
    <t>Z81462186A</t>
  </si>
  <si>
    <t>MAIN FACEPLATE 690000</t>
  </si>
  <si>
    <t>Z81461865A</t>
  </si>
  <si>
    <t>FACEPLATE,LOGO,PA300</t>
  </si>
  <si>
    <t>Z81461864A</t>
  </si>
  <si>
    <t>NMPLT,AD26C-Z</t>
  </si>
  <si>
    <t>Z81461821A-02</t>
  </si>
  <si>
    <t>NAMEPLATE,FLAT,TS100-N</t>
  </si>
  <si>
    <t>Z81461562A-05</t>
  </si>
  <si>
    <t>LABEL, SWITCH, BRACKET</t>
  </si>
  <si>
    <t>Z81461378A</t>
  </si>
  <si>
    <t>NAMEPLATE Q2B</t>
  </si>
  <si>
    <t>Z81461223C</t>
  </si>
  <si>
    <t>BEARING,BALL</t>
  </si>
  <si>
    <t>Z8126A017B</t>
  </si>
  <si>
    <t>GROMMET</t>
  </si>
  <si>
    <t>Z8108A014</t>
  </si>
  <si>
    <t>Z8108A002</t>
  </si>
  <si>
    <t>RING,RETAINING,BEARING</t>
  </si>
  <si>
    <t>Z8088A001B</t>
  </si>
  <si>
    <t>MIRROR, END, ACTION, NAVIGATOR</t>
  </si>
  <si>
    <t>Z806501793A</t>
  </si>
  <si>
    <t>MIRROR, DIAMOND, NAVIGATOR</t>
  </si>
  <si>
    <t>Z806501791A</t>
  </si>
  <si>
    <t>KIT, 4-IN RISER, NVG (4BRKT)</t>
  </si>
  <si>
    <t>Z806501522-4</t>
  </si>
  <si>
    <t>KIT, 4-IN RISER, NVG (2BRKT)</t>
  </si>
  <si>
    <t>Z806501522-2</t>
  </si>
  <si>
    <t>MIRROR, 10" NAVIGATOR, DRVR/PA</t>
  </si>
  <si>
    <t>Z806501487</t>
  </si>
  <si>
    <t>MECH ASSY, NVGROTD-W</t>
  </si>
  <si>
    <t>Z806501337-W</t>
  </si>
  <si>
    <t>MECH ASSY, NVGROTD-RW</t>
  </si>
  <si>
    <t>Z806501337-RW</t>
  </si>
  <si>
    <t>MECH ASSY, NVGROTD-RB</t>
  </si>
  <si>
    <t>Z806501337-RB</t>
  </si>
  <si>
    <t>MECH ASSY, NVGROTD-RA</t>
  </si>
  <si>
    <t>Z806501337-RA</t>
  </si>
  <si>
    <t>MECH ASSY, NVGROTD-R</t>
  </si>
  <si>
    <t>Z806501337-R</t>
  </si>
  <si>
    <t>MECH ASSY, NVGROTD-BW</t>
  </si>
  <si>
    <t>Z806501337-BW</t>
  </si>
  <si>
    <t>MECH ASSY, NVGROTD-B</t>
  </si>
  <si>
    <t>Z806501337-B</t>
  </si>
  <si>
    <t>MECH ASSY, NVGROTD-AW</t>
  </si>
  <si>
    <t>Z806501337-AW</t>
  </si>
  <si>
    <t>MECH ASSY, NVGROTD-A</t>
  </si>
  <si>
    <t>Z806501337-A</t>
  </si>
  <si>
    <t>MECH ASSY, NVG6X4QS-XXA</t>
  </si>
  <si>
    <t>Z806501335-XXA</t>
  </si>
  <si>
    <t>MECH ASSY, NVG6X4SM-WK</t>
  </si>
  <si>
    <t>Z806501335-WK</t>
  </si>
  <si>
    <t>MECH ASSY, NVG6X4SM-W</t>
  </si>
  <si>
    <t>Z806501335-W</t>
  </si>
  <si>
    <t>MECH ASSY, NVG6X4SM-RW</t>
  </si>
  <si>
    <t>Z806501335-RW</t>
  </si>
  <si>
    <t>MECH ASSY, NVG6X4QS-RRX</t>
  </si>
  <si>
    <t>Z806501335-RRX</t>
  </si>
  <si>
    <t>MECH ASSY, NVG6X4QS-RRW</t>
  </si>
  <si>
    <t>Z806501335-RRW</t>
  </si>
  <si>
    <t>MECH ASSY, NVG6X4QS-RRA</t>
  </si>
  <si>
    <t>Z806501335-RRA</t>
  </si>
  <si>
    <t>MECH ASSY, NVG6X4QS-RBX</t>
  </si>
  <si>
    <t>Z806501335-RBX</t>
  </si>
  <si>
    <t>MECH ASSY, NVG6X4QS-RBW</t>
  </si>
  <si>
    <t>Z806501335-RBW</t>
  </si>
  <si>
    <t>MECH ASSY, NVG6X4QS-RBA</t>
  </si>
  <si>
    <t>Z806501335-RBA</t>
  </si>
  <si>
    <t>MECH ASSY, NVG6X4SM-RB</t>
  </si>
  <si>
    <t>Z806501335-RB</t>
  </si>
  <si>
    <t>MECH ASSY, NVG6X4SM-RA</t>
  </si>
  <si>
    <t>Z806501335-RA</t>
  </si>
  <si>
    <t>MECH ASSY, NVG6X4SM-R</t>
  </si>
  <si>
    <t>Z806501335-R</t>
  </si>
  <si>
    <t>MECH ASSY, NVG6X4SM-BW</t>
  </si>
  <si>
    <t>Z806501335-BW</t>
  </si>
  <si>
    <t>MECH ASSY, NVG6X4QS-BRX</t>
  </si>
  <si>
    <t>Z806501335-BRX</t>
  </si>
  <si>
    <t>MECH ASSY, NVG6X4QS-BRW</t>
  </si>
  <si>
    <t>Z806501335-BRW</t>
  </si>
  <si>
    <t>MECH ASSY, NVG6X4QS-BRA</t>
  </si>
  <si>
    <t>Z806501335-BRA</t>
  </si>
  <si>
    <t>MECH ASSY, NVG6X4QS-BBX</t>
  </si>
  <si>
    <t>Z806501335-BBX</t>
  </si>
  <si>
    <t>MECH ASSY, NVG6X4QS-BBW</t>
  </si>
  <si>
    <t>Z806501335-BBW</t>
  </si>
  <si>
    <t>MECH ASSY, NVG6X4QS-BBA</t>
  </si>
  <si>
    <t>Z806501335-BBA</t>
  </si>
  <si>
    <t>MECH ASSY, NVG6X4SM-B</t>
  </si>
  <si>
    <t>Z806501335-B</t>
  </si>
  <si>
    <t>MECH ASSY, NVG6X4SM-AW</t>
  </si>
  <si>
    <t>Z806501335-AW</t>
  </si>
  <si>
    <t>MECH ASSY, NVG6X4SM-AB</t>
  </si>
  <si>
    <t>Z806501335-AB</t>
  </si>
  <si>
    <t>MECH ASSY, NVG6X4QS-AAX</t>
  </si>
  <si>
    <t>Z806501335-AAX</t>
  </si>
  <si>
    <t>MECH ASSY, NVG6X4QS-AAW</t>
  </si>
  <si>
    <t>Z806501335-AAW</t>
  </si>
  <si>
    <t>MECH ASSY, NVG6X4SM-A</t>
  </si>
  <si>
    <t>Z806501335-A</t>
  </si>
  <si>
    <t>MECH ASSY, NVG4X3-W</t>
  </si>
  <si>
    <t>Z806501313-W</t>
  </si>
  <si>
    <t>MECH ASSY, NVG4X3-RW</t>
  </si>
  <si>
    <t>Z806501313-RW</t>
  </si>
  <si>
    <t>MECH ASSY, NVG4X3-RB</t>
  </si>
  <si>
    <t>Z806501313-RB</t>
  </si>
  <si>
    <t>MECH ASSY, NVG4X3-R</t>
  </si>
  <si>
    <t>Z806501313-R</t>
  </si>
  <si>
    <t>MECH ASSY, NVG4X3-BW</t>
  </si>
  <si>
    <t>Z806501313-BW</t>
  </si>
  <si>
    <t>MECH ASSY, NVG4X3-B</t>
  </si>
  <si>
    <t>Z806501313-B</t>
  </si>
  <si>
    <t>MECH ASSY, NVG4X3-AW</t>
  </si>
  <si>
    <t>Z806501313-AW</t>
  </si>
  <si>
    <t>MECH ASSY, NVG4X3-A</t>
  </si>
  <si>
    <t>Z806501313-A</t>
  </si>
  <si>
    <t>MECH ASSY, NVG7X3S-WK</t>
  </si>
  <si>
    <t>Z806501199-WK</t>
  </si>
  <si>
    <t>MECH ASSY, NVG7X3S-W</t>
  </si>
  <si>
    <t>Z806501199-W</t>
  </si>
  <si>
    <t>MECH ASSY, NVG7X3S-RW</t>
  </si>
  <si>
    <t>Z806501199-RW</t>
  </si>
  <si>
    <t>MECH ASSY, NVG7X3S-RG</t>
  </si>
  <si>
    <t>Z806501199-RG</t>
  </si>
  <si>
    <t>MECH ASSY, NVG7X3S-RB</t>
  </si>
  <si>
    <t>Z806501199-RB</t>
  </si>
  <si>
    <t>MECH ASSY, NVG7X3S-RA</t>
  </si>
  <si>
    <t>Z806501199-RA</t>
  </si>
  <si>
    <t>MECH ASSY, NVG7X3S-R</t>
  </si>
  <si>
    <t>Z806501199-R</t>
  </si>
  <si>
    <t>MECH ASSY, NVG7X3S-G</t>
  </si>
  <si>
    <t>Z806501199-G</t>
  </si>
  <si>
    <t>MECH ASSY, NVG7X3S-BW</t>
  </si>
  <si>
    <t>Z806501199-BW</t>
  </si>
  <si>
    <t>MECH ASSY, NVG7X3S-B</t>
  </si>
  <si>
    <t>Z806501199-B</t>
  </si>
  <si>
    <t>MECH ASSY, NVG7X3S-AW</t>
  </si>
  <si>
    <t>Z806501199-AW</t>
  </si>
  <si>
    <t>MECH ASSY, NVG7X3S-AG</t>
  </si>
  <si>
    <t>Z806501199-AG</t>
  </si>
  <si>
    <t>MECH ASSY, NVG7X3S-AB</t>
  </si>
  <si>
    <t>Z806501199-AB</t>
  </si>
  <si>
    <t>MECH ASSY, NVG7X3S-A</t>
  </si>
  <si>
    <t>Z806501199-A</t>
  </si>
  <si>
    <t>NVG6X4-SST,PASS,MECH ASSY</t>
  </si>
  <si>
    <t>Z806500978-P</t>
  </si>
  <si>
    <t>NVG6X4-SST,DRVR,MECH ASSY</t>
  </si>
  <si>
    <t>Z806500978-D</t>
  </si>
  <si>
    <t>OPTICOM OPTION, NAVIGATOR</t>
  </si>
  <si>
    <t>Z806500962</t>
  </si>
  <si>
    <t>MIRROR, PARABOLIC, NAVIGATOR</t>
  </si>
  <si>
    <t>Z806500832</t>
  </si>
  <si>
    <t>MECH ASSY,NVG6X4-W</t>
  </si>
  <si>
    <t>Z806500795-W</t>
  </si>
  <si>
    <t>MECH ASSY, NVG6X4-TCLR DRVR</t>
  </si>
  <si>
    <t>Z806500795-TCLRD</t>
  </si>
  <si>
    <t>MECH ASSY, NVG6X4-TCLG PASS</t>
  </si>
  <si>
    <t>Z806500795-TCLGP</t>
  </si>
  <si>
    <t>MECH ASSY, NVG6X4-TCLG-DRVR</t>
  </si>
  <si>
    <t>Z806500795-TCLGD</t>
  </si>
  <si>
    <t>MECH ASSY, NVG6X4-TCLB PASS</t>
  </si>
  <si>
    <t>Z806500795-TCLBP</t>
  </si>
  <si>
    <t>MECH ASSY, NVG6X4-TCLB DRVR</t>
  </si>
  <si>
    <t>Z806500795-TCLBD</t>
  </si>
  <si>
    <t>MECH ASSY, NVG6X4-TCLA PASS</t>
  </si>
  <si>
    <t>Z806500795-TCLAP</t>
  </si>
  <si>
    <t>MECH ASSY, NVG6X4-TCLA DRVR</t>
  </si>
  <si>
    <t>Z806500795-TCLAD</t>
  </si>
  <si>
    <t>MECH ASSY,NVG6X4-RW</t>
  </si>
  <si>
    <t>Z806500795-RW</t>
  </si>
  <si>
    <t>MECH ASSY,NVG6X4-RB</t>
  </si>
  <si>
    <t>Z806500795-RB</t>
  </si>
  <si>
    <t>MECH ASSY,NVG6X4-RA</t>
  </si>
  <si>
    <t>Z806500795-RA</t>
  </si>
  <si>
    <t>MECH ASSY,NVG6X4-R</t>
  </si>
  <si>
    <t>Z806500795-R</t>
  </si>
  <si>
    <t>MECH ASSY,NVG6X4-G</t>
  </si>
  <si>
    <t>Z806500795-G</t>
  </si>
  <si>
    <t>MECH ASSY,NVG6X4-BW</t>
  </si>
  <si>
    <t>Z806500795-BW</t>
  </si>
  <si>
    <t>MECH ASSY,NVG6X4-B</t>
  </si>
  <si>
    <t>Z806500795-B</t>
  </si>
  <si>
    <t>MECH ASSY,NVG6X4-AW</t>
  </si>
  <si>
    <t>Z806500795-AW</t>
  </si>
  <si>
    <t>MECH ASSY,NVG6X4-AB</t>
  </si>
  <si>
    <t>Z806500795-AB</t>
  </si>
  <si>
    <t>MECH ASSY,NVG6X4-A</t>
  </si>
  <si>
    <t>Z806500795-A</t>
  </si>
  <si>
    <t>BRKT, MTG, 795H OPTICOM, NAVIG</t>
  </si>
  <si>
    <t>Z806500759</t>
  </si>
  <si>
    <t>DOME,SHORT END,RED,NAVIGA</t>
  </si>
  <si>
    <t>Z806500735-R</t>
  </si>
  <si>
    <t>DOME, SHORT END, BLUE, NAVIGA</t>
  </si>
  <si>
    <t>Z806500735-B</t>
  </si>
  <si>
    <t>DOME,SHORT END,AMBER,NAVIGA</t>
  </si>
  <si>
    <t>Z806500735-A</t>
  </si>
  <si>
    <t>DOME, SHORT END, CLEAR, NAVIGA</t>
  </si>
  <si>
    <t>Z806500735</t>
  </si>
  <si>
    <t>NAMEPLATE, END CAP, NAVIGATOR</t>
  </si>
  <si>
    <t>Z806500709</t>
  </si>
  <si>
    <t>BULKHEAD, NAVIGATOR, CLEAR</t>
  </si>
  <si>
    <t>Z806500526-C</t>
  </si>
  <si>
    <t>BULKHEAD, NAVIGATOR, BLACK</t>
  </si>
  <si>
    <t>Z806500526</t>
  </si>
  <si>
    <t>DOME,SHORT,RED,NAVIGATOR</t>
  </si>
  <si>
    <t>Z806500525A-R</t>
  </si>
  <si>
    <t>DOME,SHORT,BLUE,NAVIGATOR</t>
  </si>
  <si>
    <t>Z806500525A-B</t>
  </si>
  <si>
    <t>DOME,SHORT,AMBER,NAVIGATOR</t>
  </si>
  <si>
    <t>Z806500525A-A</t>
  </si>
  <si>
    <t>DOME,SHORT,CLEAR,NAVIGATOR</t>
  </si>
  <si>
    <t>Z806500525A</t>
  </si>
  <si>
    <t>DOME,LONG,RED,NAVIGATOR</t>
  </si>
  <si>
    <t>Z806500524A-R</t>
  </si>
  <si>
    <t>DOME,LONG,BLUE,NAVIGATOR</t>
  </si>
  <si>
    <t>Z806500524A-B</t>
  </si>
  <si>
    <t>DOME,LONG,AMBER,NAVIGATOR</t>
  </si>
  <si>
    <t>Z806500524A-A</t>
  </si>
  <si>
    <t>DOME,LONG,CLEAR,NAVIGATOR</t>
  </si>
  <si>
    <t>Z806500524A</t>
  </si>
  <si>
    <t>DOME,END,RED,NAVIGATOR</t>
  </si>
  <si>
    <t>Z806500523A-R</t>
  </si>
  <si>
    <t>DOME,END,BLUE,NAVIGATOR</t>
  </si>
  <si>
    <t>Z806500523A-B</t>
  </si>
  <si>
    <t>DOME,END,AMBER,NAVIGATOR</t>
  </si>
  <si>
    <t>Z806500523A-A</t>
  </si>
  <si>
    <t>DOME,END,CLEAR,NAVIGATOR</t>
  </si>
  <si>
    <t>Z806500523A</t>
  </si>
  <si>
    <t>GASKET,9X7 BASE/LENS,</t>
  </si>
  <si>
    <t>Z8012111A</t>
  </si>
  <si>
    <t>GASKET,7X3 BASE/LENS,</t>
  </si>
  <si>
    <t>Z8012110A</t>
  </si>
  <si>
    <t>GASKET,MOUNTING,7X3</t>
  </si>
  <si>
    <t>Z8012081A</t>
  </si>
  <si>
    <t>LENS,SMOOTH,CLEAR, 9X7</t>
  </si>
  <si>
    <t>Z8012067A-02</t>
  </si>
  <si>
    <t>GASKET,BTT BU 3H CASTING</t>
  </si>
  <si>
    <t>Z8012039A</t>
  </si>
  <si>
    <t>BTT BU 3 HORIZ. CASTING</t>
  </si>
  <si>
    <t>Z8012038A</t>
  </si>
  <si>
    <t>GASKET,BTT BU 4UP CASTING</t>
  </si>
  <si>
    <t>Z8012030A</t>
  </si>
  <si>
    <t>BTT BU 4UP CASTING</t>
  </si>
  <si>
    <t>Z8012029A</t>
  </si>
  <si>
    <t>GASKET,BTT BU 3UP CASTING</t>
  </si>
  <si>
    <t>Z8012028A</t>
  </si>
  <si>
    <t>BTT BU 3UP CASTING</t>
  </si>
  <si>
    <t>Z8012027A</t>
  </si>
  <si>
    <t>ORIGINAL REPL. LENS, QL64, GRN</t>
  </si>
  <si>
    <t>Z801202208A-04</t>
  </si>
  <si>
    <t>ORIGINAL REPL. LENS, QL64, BLU</t>
  </si>
  <si>
    <t>Z801202208A-03</t>
  </si>
  <si>
    <t>ORIGINAL REPL. LENS, QL64, CLR</t>
  </si>
  <si>
    <t>Z801202208A-02</t>
  </si>
  <si>
    <t>ORIGINAL REPL. LENS, QL64, AMB</t>
  </si>
  <si>
    <t>Z801202208A-01</t>
  </si>
  <si>
    <t>ORIGINAL REPL. LENS, QL64, RED</t>
  </si>
  <si>
    <t>Z801202208A</t>
  </si>
  <si>
    <t>LENS, QL73,GREEN,HORIZONTAL</t>
  </si>
  <si>
    <t>Z801201545-04</t>
  </si>
  <si>
    <t>LENS, QL73, BLUE,HORIZONTAL</t>
  </si>
  <si>
    <t>Z801201545-03</t>
  </si>
  <si>
    <t>LENS, QL73,CLEAR,HORIZONTAL</t>
  </si>
  <si>
    <t>Z801201545-02</t>
  </si>
  <si>
    <t>LENS, QL73,AMBER,HORIZONTAL</t>
  </si>
  <si>
    <t>Z801201545-01</t>
  </si>
  <si>
    <t>LENS, QL73, RED,HORIZONTAL</t>
  </si>
  <si>
    <t>Z801201545</t>
  </si>
  <si>
    <t>MECH. ASSY,QL64-TURN</t>
  </si>
  <si>
    <t>Z801201528</t>
  </si>
  <si>
    <t>MECH ASSY,QL64-BTT</t>
  </si>
  <si>
    <t>Z801201527</t>
  </si>
  <si>
    <t>MECH ASSY,QL64-BACKUP</t>
  </si>
  <si>
    <t>Z801201526</t>
  </si>
  <si>
    <t>MECH. ASSY,QL64-ARROW</t>
  </si>
  <si>
    <t>Z801201525</t>
  </si>
  <si>
    <t>CLEAR SMOOTH LENS, QL97</t>
  </si>
  <si>
    <t>Z801201444-02</t>
  </si>
  <si>
    <t>BLUE FLUTED LENS, QL97</t>
  </si>
  <si>
    <t>Z801201443B-03</t>
  </si>
  <si>
    <t>CLEAR FLUTED LENS,QL97</t>
  </si>
  <si>
    <t>Z801201443B-02</t>
  </si>
  <si>
    <t>AMBER FLUTED LENS, QL97</t>
  </si>
  <si>
    <t>Z801201443B-01</t>
  </si>
  <si>
    <t>RED FLUTED LENS,QL97</t>
  </si>
  <si>
    <t>Z801201443</t>
  </si>
  <si>
    <t>LENS,QL43,BLUE,HORIZONTAL</t>
  </si>
  <si>
    <t>Z801201253-03</t>
  </si>
  <si>
    <t>LENS,QL43,CLEAR,HORIZONTAL</t>
  </si>
  <si>
    <t>Z801201253-02</t>
  </si>
  <si>
    <t>LENS,QL43,AMBER,HORIZONTAL</t>
  </si>
  <si>
    <t>Z801201253-01</t>
  </si>
  <si>
    <t>LENS,QL43,RED,HORIZONTAL</t>
  </si>
  <si>
    <t>Z801201253</t>
  </si>
  <si>
    <t>LENS,QL73LEDSCENE</t>
  </si>
  <si>
    <t>Z801201076</t>
  </si>
  <si>
    <t>LENS,GREEN,SMOOTH,DUAL</t>
  </si>
  <si>
    <t>Z801200983B-04</t>
  </si>
  <si>
    <t>LENS,BLUE,SMOOTH,DUAL</t>
  </si>
  <si>
    <t>Z801200983B-03</t>
  </si>
  <si>
    <t>LENS,CLEAR,SMOOTH,DUAL</t>
  </si>
  <si>
    <t>Z801200983B-02</t>
  </si>
  <si>
    <t>LENS,SMOOTH,DUAL FASTENER,</t>
  </si>
  <si>
    <t>Z801200983B-01</t>
  </si>
  <si>
    <t>Z801200983B</t>
  </si>
  <si>
    <t>KIT, ACCESSORY, QL43, 64, 73</t>
  </si>
  <si>
    <t>Z801200965-01</t>
  </si>
  <si>
    <t>LENS,FLUTED,DUAL FASTENER,BLUE</t>
  </si>
  <si>
    <t>Z801200950-03</t>
  </si>
  <si>
    <t>LENS,FLUTED,DUAL FASTENER,CLR</t>
  </si>
  <si>
    <t>Z801200950-02</t>
  </si>
  <si>
    <t>LENS,FLUTED,DUAL FASTENER,AMB</t>
  </si>
  <si>
    <t>Z801200950-01</t>
  </si>
  <si>
    <t>LENS,FLUTED,DUAL FASTENER,RED</t>
  </si>
  <si>
    <t>Z801200950</t>
  </si>
  <si>
    <t>KIT,RETROFIT,795H-EXTB-P</t>
  </si>
  <si>
    <t>Z801002910A-P</t>
  </si>
  <si>
    <t>KIT,RETROFIT,795H-EXTB-D</t>
  </si>
  <si>
    <t>Z801002910A-D</t>
  </si>
  <si>
    <t>BRKT,PS,795H-EXTB</t>
  </si>
  <si>
    <t>Z801002908A-P</t>
  </si>
  <si>
    <t>BRKT,DS,795H-EXTB</t>
  </si>
  <si>
    <t>Z801002908A-D</t>
  </si>
  <si>
    <t>CABLE ASSY,25',OPTICOM</t>
  </si>
  <si>
    <t>Z8010009A</t>
  </si>
  <si>
    <t>BRACKET,OPTICOM 795H</t>
  </si>
  <si>
    <t>Z8010002A</t>
  </si>
  <si>
    <t>KIT,MTG HARDWARE,PF400</t>
  </si>
  <si>
    <t>Z77701562A</t>
  </si>
  <si>
    <t>KIT, TAH D-PILLAR LIGHTBAR</t>
  </si>
  <si>
    <t>Z77701433A</t>
  </si>
  <si>
    <t>KIT, HL10, PERM MOUNT</t>
  </si>
  <si>
    <t>Z77701318A</t>
  </si>
  <si>
    <t>KIT, LIGHTBAR DOME HARDWARE</t>
  </si>
  <si>
    <t>Z77701290A</t>
  </si>
  <si>
    <t>KIT,HDW,HANDHELD,PF200H</t>
  </si>
  <si>
    <t>Z77701058A</t>
  </si>
  <si>
    <t>KIT,HDW,CTRL HD,PATHFINDER</t>
  </si>
  <si>
    <t>Z77700992A</t>
  </si>
  <si>
    <t>GROMMET,WEB,1.0IDx1.13GDx.13GW</t>
  </si>
  <si>
    <t>Z77700891A</t>
  </si>
  <si>
    <t>KIT,HDW,PATHFINDER</t>
  </si>
  <si>
    <t>Z77700765B</t>
  </si>
  <si>
    <t>KIT,HARDWARE,HOOKS</t>
  </si>
  <si>
    <t>Z77700624</t>
  </si>
  <si>
    <t>KIT,HARDWARE,SPLIT VSLRs</t>
  </si>
  <si>
    <t>Z77700623</t>
  </si>
  <si>
    <t>TRIM SEAL,1/16 EDGE,6mm BULB</t>
  </si>
  <si>
    <t>Z77700500-56</t>
  </si>
  <si>
    <t>FLAP SEAL,1/16 EDGE,1-3/4 FLAP</t>
  </si>
  <si>
    <t>Z77700418-56</t>
  </si>
  <si>
    <t>NAMEPLATE,ALLEGIANT,ALGT</t>
  </si>
  <si>
    <t>Z71400916A</t>
  </si>
  <si>
    <t>RIVET,POP,OPEN END,1/8"HD</t>
  </si>
  <si>
    <t>Z7099A103-29</t>
  </si>
  <si>
    <t>RIVET,BLIND,3/32X.25,ALUM</t>
  </si>
  <si>
    <t>Z7099223A</t>
  </si>
  <si>
    <t>RUBBER RIVET NUT</t>
  </si>
  <si>
    <t>Z70900567</t>
  </si>
  <si>
    <t>LKWASH,INT TOOTH,SS,#10 S</t>
  </si>
  <si>
    <t>Z7075A072</t>
  </si>
  <si>
    <t>LKWASH,INT TTH SS 1/14 SC</t>
  </si>
  <si>
    <t>Z7075A067</t>
  </si>
  <si>
    <t>LKWASH EXT TTH 10 SCREW</t>
  </si>
  <si>
    <t>Z7075A031</t>
  </si>
  <si>
    <t>LKWASH,EXT TTH STL #8 SCR</t>
  </si>
  <si>
    <t>Z7075A025</t>
  </si>
  <si>
    <t>LOCKWASHER,INT TTH,STL,#1</t>
  </si>
  <si>
    <t>Z7075A014</t>
  </si>
  <si>
    <t>LOCKWASHER,EXT TTH,STL,1/</t>
  </si>
  <si>
    <t>Z7075A007</t>
  </si>
  <si>
    <t>LOCKWASHER,EXT TOOTH,1/4,</t>
  </si>
  <si>
    <t>Z7075078A</t>
  </si>
  <si>
    <t>LKWASH,SPR STL,.585X.875X</t>
  </si>
  <si>
    <t>Z7074A054A</t>
  </si>
  <si>
    <t>LKWASHER,SPLIT,SS,3/8 SCR</t>
  </si>
  <si>
    <t>Z7074A046</t>
  </si>
  <si>
    <t>LKWASHER,SPLIT,SS,5/16 SC</t>
  </si>
  <si>
    <t>Z7074A020</t>
  </si>
  <si>
    <t>WASHER SLIT LOCK</t>
  </si>
  <si>
    <t>Z7074A016</t>
  </si>
  <si>
    <t>LKWASHER,SPLIT,1/4 SCREW</t>
  </si>
  <si>
    <t>Z7074A015</t>
  </si>
  <si>
    <t>LKWASHER,SPLIT,STL,#6 SCR</t>
  </si>
  <si>
    <t>Z7074A001</t>
  </si>
  <si>
    <t>FLT WASHER 5/16 OD X .188</t>
  </si>
  <si>
    <t>Z7072A176A</t>
  </si>
  <si>
    <t>WASHR,FLT,FIBRE,1/4OD X .</t>
  </si>
  <si>
    <t>Z7072A171A</t>
  </si>
  <si>
    <t>WASHER</t>
  </si>
  <si>
    <t>Z7072A143A</t>
  </si>
  <si>
    <t>WASHER FL STL</t>
  </si>
  <si>
    <t>Z7072A140A</t>
  </si>
  <si>
    <t>WASH,FLT,STL,1-7/8OD X 1-</t>
  </si>
  <si>
    <t>Z7072A137A</t>
  </si>
  <si>
    <t>WASHER,FLAT,SS,.406X 1IN</t>
  </si>
  <si>
    <t>Z7072A035</t>
  </si>
  <si>
    <t>WASHER,FLAT,SS,.344X3/4X.</t>
  </si>
  <si>
    <t>Z7072A031</t>
  </si>
  <si>
    <t>WASHER,FLT,STL,.266X 1IN</t>
  </si>
  <si>
    <t>Z7072A026</t>
  </si>
  <si>
    <t>WASHER,FLAT,STL,.266X3/4X</t>
  </si>
  <si>
    <t>Z7072A025</t>
  </si>
  <si>
    <t>WASHER,FLAT,SS,.203X7/16X</t>
  </si>
  <si>
    <t>Z7072A015</t>
  </si>
  <si>
    <t>WASHER FLAT</t>
  </si>
  <si>
    <t>Z7072A012</t>
  </si>
  <si>
    <t>WASHER,FLAT,STL,.172X3/8X</t>
  </si>
  <si>
    <t>Z7072A005</t>
  </si>
  <si>
    <t>WASHR,NYLON,5/16,BLK,1/32</t>
  </si>
  <si>
    <t>Z7072301A</t>
  </si>
  <si>
    <t>WASH,FLAT,SS 5/16</t>
  </si>
  <si>
    <t>Z7072251A</t>
  </si>
  <si>
    <t>TS100 STEEL SPACER GASKET</t>
  </si>
  <si>
    <t>Z7072246A</t>
  </si>
  <si>
    <t>WSHR,FLT,SS,.344,.563 O.D</t>
  </si>
  <si>
    <t>Z7072234A</t>
  </si>
  <si>
    <t>O-RING,5/16 ID,</t>
  </si>
  <si>
    <t>Z7067016A</t>
  </si>
  <si>
    <t>NUT,FLANGE,5/16-18,HI.</t>
  </si>
  <si>
    <t>Z7065078A</t>
  </si>
  <si>
    <t>SCREW,GROMMET</t>
  </si>
  <si>
    <t>Z7065073A</t>
  </si>
  <si>
    <t>NUT,BARREL,1/4-20</t>
  </si>
  <si>
    <t>Z7065071B</t>
  </si>
  <si>
    <t>NUT,SPEED,U TYPE,6-32</t>
  </si>
  <si>
    <t>Z7060A015A</t>
  </si>
  <si>
    <t>NUT,HEX,3/8-16</t>
  </si>
  <si>
    <t>Z7059A063</t>
  </si>
  <si>
    <t>NUT,HEX,DBL CHAM,SS,1/4-2</t>
  </si>
  <si>
    <t>Z7059A020</t>
  </si>
  <si>
    <t>NUT,5/16-18,HI.CORR.RESIS</t>
  </si>
  <si>
    <t>Z7059125A</t>
  </si>
  <si>
    <t>NUT, 3/8-16,HI-CORR. RESI</t>
  </si>
  <si>
    <t>Z7059124A</t>
  </si>
  <si>
    <t>NUT,MACH,HEX,1/4-20,BLACK</t>
  </si>
  <si>
    <t>Z7059109A</t>
  </si>
  <si>
    <t>NUT,MACH SCR HEX KEPS 10-</t>
  </si>
  <si>
    <t>Z7058A047</t>
  </si>
  <si>
    <t>NUT,HEX EXT,KEPS 8-32 SS</t>
  </si>
  <si>
    <t>Z7058A045</t>
  </si>
  <si>
    <t>NUT,EL STOP,HEX,STL,#22TE</t>
  </si>
  <si>
    <t>Z7058A036A</t>
  </si>
  <si>
    <t>NUT, HEX EXT KEPS STL</t>
  </si>
  <si>
    <t>Z7058A022</t>
  </si>
  <si>
    <t>NUT, EL STOP HEX LT SS 1/</t>
  </si>
  <si>
    <t>Z7058A010</t>
  </si>
  <si>
    <t>NUT EL STOP HEX LT STL 1/</t>
  </si>
  <si>
    <t>Z7058A009</t>
  </si>
  <si>
    <t>NUT HEX KEPTS STL 1/4-20</t>
  </si>
  <si>
    <t>Z7058A005</t>
  </si>
  <si>
    <t>NUT,HEX,EXT KEPS,STL,10-3</t>
  </si>
  <si>
    <t>Z7058A004</t>
  </si>
  <si>
    <t>NUT,KEPS,1/4-20,SS</t>
  </si>
  <si>
    <t>Z7058050A</t>
  </si>
  <si>
    <t>NUT HEX HEAVY DUTY</t>
  </si>
  <si>
    <t>Z7057A056</t>
  </si>
  <si>
    <t>NUT,HEX,DBL CHAM,SS,5/16-</t>
  </si>
  <si>
    <t>Z7057A027</t>
  </si>
  <si>
    <t>NUT SELF CLINCH 1/4 20</t>
  </si>
  <si>
    <t>Z7056A012</t>
  </si>
  <si>
    <t>NUT,ACORN,1/4-20.LOW CROW</t>
  </si>
  <si>
    <t>Z7054A010</t>
  </si>
  <si>
    <t>ACORN NUT 8-32 LOW CROWN</t>
  </si>
  <si>
    <t>Z7054017A</t>
  </si>
  <si>
    <t>SCREW,HI-LO,PAN HD,#6-19</t>
  </si>
  <si>
    <t>Z7017A035-06</t>
  </si>
  <si>
    <t>SCREW,HI-LO,HEX.HD.#10</t>
  </si>
  <si>
    <t>Z7017A034-06</t>
  </si>
  <si>
    <t>SCREW,SHOULDER,BRASS,6-32</t>
  </si>
  <si>
    <t>Z7017A009-16-MP5</t>
  </si>
  <si>
    <t>SCREW,HEX HD,#10,TYPE B</t>
  </si>
  <si>
    <t>Z7011A135-10</t>
  </si>
  <si>
    <t>SCR,#10 TYP B,HEX W HD,TH</t>
  </si>
  <si>
    <t>Z7011A122-08</t>
  </si>
  <si>
    <t>Z7011A122-06</t>
  </si>
  <si>
    <t>SCR,THD FRM,SLT HEX HD,1/</t>
  </si>
  <si>
    <t>Z7011A118-06</t>
  </si>
  <si>
    <t>SCR,THD FRM,HEX W HD,STL</t>
  </si>
  <si>
    <t>Z7011A103-09</t>
  </si>
  <si>
    <t>SCR,THD FRM,HEX HD,STL 8-</t>
  </si>
  <si>
    <t>Z7011A103-06</t>
  </si>
  <si>
    <t>SCR HEX HD THD FRM 8/32</t>
  </si>
  <si>
    <t>Z7011A103-05</t>
  </si>
  <si>
    <t>SCR TAPTITE HX HD 10-32</t>
  </si>
  <si>
    <t>Z7011A067-06</t>
  </si>
  <si>
    <t>SCR,THD FRM PAN HD PHIL 8</t>
  </si>
  <si>
    <t>Z7011A062-08</t>
  </si>
  <si>
    <t>SCREW TAPTITE PAN HD PHIL</t>
  </si>
  <si>
    <t>Z7011A053-04</t>
  </si>
  <si>
    <t>SCREW,4BX3/4 PHIL OVAL HD</t>
  </si>
  <si>
    <t>Z7011A046-12-MP100</t>
  </si>
  <si>
    <t>SCR,THD FRM,PAN,PHIL,TYPE</t>
  </si>
  <si>
    <t>Z7011A041-04</t>
  </si>
  <si>
    <t>SCR,THD FRM,PAN HD,PHI,#6</t>
  </si>
  <si>
    <t>Z7011A011-05</t>
  </si>
  <si>
    <t>SCR,#10 TYP B,UC FLAT</t>
  </si>
  <si>
    <t>Z7011248A-08</t>
  </si>
  <si>
    <t>SCR,8-32 TT,UC FLAT TORX,</t>
  </si>
  <si>
    <t>Z7011247A-06</t>
  </si>
  <si>
    <t>SCR,#10 TYP B,PAN TORX,SS</t>
  </si>
  <si>
    <t>Z7011246A-08</t>
  </si>
  <si>
    <t>Z7011246A-06</t>
  </si>
  <si>
    <t>SCR,1/4-20 TT, UC FLAT</t>
  </si>
  <si>
    <t>Z7011245A-08</t>
  </si>
  <si>
    <t>SCREW,THD FROM #8 PHIL HD</t>
  </si>
  <si>
    <t>Z7011238A-24</t>
  </si>
  <si>
    <t>SCREW,PLASTITE 48-2,#10,</t>
  </si>
  <si>
    <t>Z7011234B-08</t>
  </si>
  <si>
    <t>SCREW,#6 PLASTITE 48-2,PH</t>
  </si>
  <si>
    <t>Z7011220A-05</t>
  </si>
  <si>
    <t>SCREW,SLOT,HWH,1/4-20,TT</t>
  </si>
  <si>
    <t>Z7011219A-16</t>
  </si>
  <si>
    <t>SCREW,#6 X 1.5",TYPE AB,S</t>
  </si>
  <si>
    <t>Z7011205A-24</t>
  </si>
  <si>
    <t>SCREW,THD FORM,#6 TYPE AB</t>
  </si>
  <si>
    <t>Z7011205A-10</t>
  </si>
  <si>
    <t>SCREW,TYPE B,TORX HD 8-32</t>
  </si>
  <si>
    <t>Z7011200-06</t>
  </si>
  <si>
    <t>SCR,TAPTITE,PAN HD,PHIL</t>
  </si>
  <si>
    <t>Z7011193A-06</t>
  </si>
  <si>
    <t>SCR PAN HD PHIL</t>
  </si>
  <si>
    <t>Z7011182A-12</t>
  </si>
  <si>
    <t>SCR,TORX,TT,STL,8-32</t>
  </si>
  <si>
    <t>Z7011173A-06</t>
  </si>
  <si>
    <t>SCR,THDFORM,HEX HD,TYPE B</t>
  </si>
  <si>
    <t>Z7011165A-10</t>
  </si>
  <si>
    <t>SCR,HEX HD,1/4-20,TAPTITE</t>
  </si>
  <si>
    <t>Z7011164B-08</t>
  </si>
  <si>
    <t>SCR,8-32,PAN TORX,TT,SS,B</t>
  </si>
  <si>
    <t>Z7011163B-06</t>
  </si>
  <si>
    <t>SCR,PN HD,TORX,TYP TT,8-3</t>
  </si>
  <si>
    <t>Z7011163B-04</t>
  </si>
  <si>
    <t>SCR,1/4-20 TT,PAN TORX,SS</t>
  </si>
  <si>
    <t>Z7011161B-16</t>
  </si>
  <si>
    <t>BOLT,CARRIAGE,1/4-20,CUSTOM</t>
  </si>
  <si>
    <t>Z70100531-12</t>
  </si>
  <si>
    <t>SCR,MACH PAN HD PIL STL 8</t>
  </si>
  <si>
    <t>Z7006A031-05</t>
  </si>
  <si>
    <t>SCR,MACH SLOT TORX SEMS 4</t>
  </si>
  <si>
    <t>Z7006A016B-04</t>
  </si>
  <si>
    <t>SCR,MACH PAN HD PHIL STL</t>
  </si>
  <si>
    <t>Z7006A011-06</t>
  </si>
  <si>
    <t>SCR,PAN HD,TORX/SLOT 6-32</t>
  </si>
  <si>
    <t>Z7006A006-04</t>
  </si>
  <si>
    <t>BOLT,CRG,SS,RD.HD.3/8-16</t>
  </si>
  <si>
    <t>Z7004A024-16</t>
  </si>
  <si>
    <t>BOLT,CARRIAGE,RD.HD,1/4-2</t>
  </si>
  <si>
    <t>Z7004A020-12</t>
  </si>
  <si>
    <t>BOLT,CARRIAGE,RD.HD.1/4-2</t>
  </si>
  <si>
    <t>Z7004A020-08</t>
  </si>
  <si>
    <t>BOLT,1/4-20,CARR,DOGPOINT</t>
  </si>
  <si>
    <t>Z7004031A-26</t>
  </si>
  <si>
    <t>BOLT,CRG,1/4-20,DOGPNT</t>
  </si>
  <si>
    <t>Z7004031A-14</t>
  </si>
  <si>
    <t>BOLT,RD HD,SQ NECK,SS,</t>
  </si>
  <si>
    <t>Z7004029A</t>
  </si>
  <si>
    <t>5/16-18 CARRIAGE BOLT S.S</t>
  </si>
  <si>
    <t>Z7004025A-16</t>
  </si>
  <si>
    <t>BOLT HEX HD SS 1/2-13</t>
  </si>
  <si>
    <t>Z7002A014-24</t>
  </si>
  <si>
    <t>BOLT HEX HD SS 5/16-18</t>
  </si>
  <si>
    <t>Z7002A005-14</t>
  </si>
  <si>
    <t>SCR,CAP HEX HD SS 5/16-18</t>
  </si>
  <si>
    <t>Z7002A005-12</t>
  </si>
  <si>
    <t>SCR CAP HEX HD STL 1/4-20</t>
  </si>
  <si>
    <t>Z7002A000-12</t>
  </si>
  <si>
    <t>Z7002A000-08</t>
  </si>
  <si>
    <t>SCR,MACH,PAN PHIL,6-32,31</t>
  </si>
  <si>
    <t>Z7000A427-10</t>
  </si>
  <si>
    <t>Z7000A404-07</t>
  </si>
  <si>
    <t>Z7000A404-05</t>
  </si>
  <si>
    <t>Z7000A404-04</t>
  </si>
  <si>
    <t>SCR,SLT,HEX WASHER HD,SS</t>
  </si>
  <si>
    <t>Z7000A336-06</t>
  </si>
  <si>
    <t>SCR,MACH HEX HD SS 1/4-20</t>
  </si>
  <si>
    <t>Z7000A311-12</t>
  </si>
  <si>
    <t>Z7000A311-10</t>
  </si>
  <si>
    <t>Z7000A311-08</t>
  </si>
  <si>
    <t>SCR,MACH HEX HD SS 8-32</t>
  </si>
  <si>
    <t>Z7000A302-16</t>
  </si>
  <si>
    <t>Z7000A302-14</t>
  </si>
  <si>
    <t>SCR,MACH FLT HD SLT BRS 1</t>
  </si>
  <si>
    <t>Z7000A230-32</t>
  </si>
  <si>
    <t>SCR,MACH FIL HD SLT STL 1/4-20</t>
  </si>
  <si>
    <t>Z7000A162-10-MP50</t>
  </si>
  <si>
    <t>Z7000A160-08-MP50</t>
  </si>
  <si>
    <t>SCREW,#4-40X3/8 PHIL.HD.Z</t>
  </si>
  <si>
    <t>Z7000A099-06</t>
  </si>
  <si>
    <t>SCR,MACH,RD HD,PHIL,SS 10</t>
  </si>
  <si>
    <t>Z7000A070-10</t>
  </si>
  <si>
    <t>SCR,MACH BIND HD PHIL STL 8-32</t>
  </si>
  <si>
    <t>Z7000A025-06-MP100</t>
  </si>
  <si>
    <t>SCR,MACH BIND HD SLT SS 8</t>
  </si>
  <si>
    <t>Z7000A008-03</t>
  </si>
  <si>
    <t>SCR,10-32,SHLDR,PAN TORX,</t>
  </si>
  <si>
    <t>Z7000557A-12</t>
  </si>
  <si>
    <t>SCR,MACH,1/4-20,PAN,PHIL,</t>
  </si>
  <si>
    <t>Z7000547A-08</t>
  </si>
  <si>
    <t>SCR,MACH,10-32,IND.HWH,SS</t>
  </si>
  <si>
    <t>Z7000498A-10</t>
  </si>
  <si>
    <t>SCREW SHOULDER Q ROTOR</t>
  </si>
  <si>
    <t>Z7000480A</t>
  </si>
  <si>
    <t>SCR 1/4-20 BUTTON HD</t>
  </si>
  <si>
    <t>Z7000476A-16</t>
  </si>
  <si>
    <t>SCR MACH RD HD PHL 10-24</t>
  </si>
  <si>
    <t>Z7000468-14</t>
  </si>
  <si>
    <t>SCR,MACH,PAN HD,TORX 10-3</t>
  </si>
  <si>
    <t>Z7000447A-10</t>
  </si>
  <si>
    <t>SCR,MACH,PHIL,PANHD 10-24</t>
  </si>
  <si>
    <t>Z7000442-06</t>
  </si>
  <si>
    <t>SCR,PN HD,TORX,MACH.8-32S</t>
  </si>
  <si>
    <t>Z7000433B-06</t>
  </si>
  <si>
    <t>SCREW,FLAT HD KPHIL,4-40</t>
  </si>
  <si>
    <t>Z7000259A-06</t>
  </si>
  <si>
    <t>SCR,MACH,8-32,BTN HD,HEX,SS,</t>
  </si>
  <si>
    <t>Z70001393A</t>
  </si>
  <si>
    <t>SCREW,M2.5,DELTA PT,6-LOBE,STL</t>
  </si>
  <si>
    <t>Z70000907A-06</t>
  </si>
  <si>
    <t>SCR,#8 HI-LO, TORX,,SS</t>
  </si>
  <si>
    <t>Z70000900A-08</t>
  </si>
  <si>
    <t>SCR,PLSTT EQ,#10 6LOBE,STL,BLK</t>
  </si>
  <si>
    <t>Z70000612-12</t>
  </si>
  <si>
    <t>SCREW,TYP TT,8-32,PAN HD,</t>
  </si>
  <si>
    <t>Z70000143A-06</t>
  </si>
  <si>
    <t>SCREW,TYP TT,1/4-20,PAN</t>
  </si>
  <si>
    <t>Z70000142A-10</t>
  </si>
  <si>
    <t>Z70000142A-08</t>
  </si>
  <si>
    <t>Z 6BTN ALGT,TXTOW3,FSJOIN</t>
  </si>
  <si>
    <t>Z6B-ALGT61JTXTOW3-A</t>
  </si>
  <si>
    <t>QUICKLINK #304 STA</t>
  </si>
  <si>
    <t>Z50095SSG</t>
  </si>
  <si>
    <t>SWIVEL 018-3/8"</t>
  </si>
  <si>
    <t>Z50030SSG</t>
  </si>
  <si>
    <t>SINGLE SECTION W/BUMP</t>
  </si>
  <si>
    <t>Z50017SSG</t>
  </si>
  <si>
    <t>ASSY,4BTN RLNT,GW1</t>
  </si>
  <si>
    <t>Z4B-RLNT48ZGW1-A</t>
  </si>
  <si>
    <t>MTG HRDWR KIT,EVAC+</t>
  </si>
  <si>
    <t>Z439029B</t>
  </si>
  <si>
    <t>SCREW,#6 PANHD, PHIL,TYPE</t>
  </si>
  <si>
    <t>Z438680</t>
  </si>
  <si>
    <t>BOOT,POTENTIOMETER</t>
  </si>
  <si>
    <t>Z288A542A</t>
  </si>
  <si>
    <t>BUMPER,PLUG,I.S. PART ONLY</t>
  </si>
  <si>
    <t>Z288A016</t>
  </si>
  <si>
    <t>GASKET,DRIVER,VG</t>
  </si>
  <si>
    <t>Z288A015-MP10</t>
  </si>
  <si>
    <t>FAN, TERMINATED: EQ2B</t>
  </si>
  <si>
    <t>Z288740A-02</t>
  </si>
  <si>
    <t>SEAL, PUSHBUTTON</t>
  </si>
  <si>
    <t>Z288697A</t>
  </si>
  <si>
    <t>GASKET,1.68 X 3.67 X 0.03</t>
  </si>
  <si>
    <t>Z2881407A</t>
  </si>
  <si>
    <t>PANEL SW ROCKER,RECTANGLE</t>
  </si>
  <si>
    <t>Z260624B-01</t>
  </si>
  <si>
    <t>DYNAMIC MICROPHONE W/MOD</t>
  </si>
  <si>
    <t>Z258B577D-03</t>
  </si>
  <si>
    <t>VISOR CARD,MARKED RMP</t>
  </si>
  <si>
    <t>Z256999K</t>
  </si>
  <si>
    <t>TERMINAL,MALE,Q-D.187 TAB</t>
  </si>
  <si>
    <t>Z233A157A-01</t>
  </si>
  <si>
    <t>TERMINAL FEMALE</t>
  </si>
  <si>
    <t>Z233A128A</t>
  </si>
  <si>
    <t>BUSHING,RIGHT ANGLE,HEYCO</t>
  </si>
  <si>
    <t>Z231A148A</t>
  </si>
  <si>
    <t>PLUG,0.875" HOLE</t>
  </si>
  <si>
    <t>Z231313A</t>
  </si>
  <si>
    <t>BUSHING,PLUG,1.218 O.D.</t>
  </si>
  <si>
    <t>Z231227A</t>
  </si>
  <si>
    <t>STRAIN RELIEF,LIQUID-TITE</t>
  </si>
  <si>
    <t>Z231225A</t>
  </si>
  <si>
    <t>DOME PLUG,3/4" NYLON</t>
  </si>
  <si>
    <t>Z231224A</t>
  </si>
  <si>
    <t>REV-LOCK STANDOFF</t>
  </si>
  <si>
    <t>Z230315A</t>
  </si>
  <si>
    <t>JACK SCREW</t>
  </si>
  <si>
    <t>Z230271A</t>
  </si>
  <si>
    <t>SUPPORT MINITURE</t>
  </si>
  <si>
    <t>Z230249A</t>
  </si>
  <si>
    <t>STANDOFF,6-32,0.375"</t>
  </si>
  <si>
    <t>Z230246A</t>
  </si>
  <si>
    <t>STANDOFF,SNAP-TOP,S.S.</t>
  </si>
  <si>
    <t>Z230240B</t>
  </si>
  <si>
    <t>STANDOFF PEM</t>
  </si>
  <si>
    <t>Z230186A</t>
  </si>
  <si>
    <t>2 POS TERMINAL STRIP</t>
  </si>
  <si>
    <t>Z229280A</t>
  </si>
  <si>
    <t>TERMINAL BLOCK 7-POS. NO</t>
  </si>
  <si>
    <t>Z229226A</t>
  </si>
  <si>
    <t>GROMMET,SPLIT WEB</t>
  </si>
  <si>
    <t>Z228134A</t>
  </si>
  <si>
    <t>TERMINAL 250 TAB 16-14</t>
  </si>
  <si>
    <t>Z224A217A-02</t>
  </si>
  <si>
    <t>TERMINAL 250 TAB 12-1</t>
  </si>
  <si>
    <t>Z224A216A-05</t>
  </si>
  <si>
    <t>TERMINAL QD 250REPT 16-1</t>
  </si>
  <si>
    <t>Z224A216A-04L</t>
  </si>
  <si>
    <t>TERMINAL 250 TAB 16-1</t>
  </si>
  <si>
    <t>Z224A216A-04</t>
  </si>
  <si>
    <t>TERMINAL QD 250 REPT 22-1</t>
  </si>
  <si>
    <t>Z224A216A-02</t>
  </si>
  <si>
    <t>TERM QD 250 RCPT 22-18</t>
  </si>
  <si>
    <t>Z224A216A-01L</t>
  </si>
  <si>
    <t>TERMINAL QD 250 RCPT 22-1</t>
  </si>
  <si>
    <t>Z224A216A-01</t>
  </si>
  <si>
    <t>TERMINAL QD 187 RCPT 16-1</t>
  </si>
  <si>
    <t>Z224A215A-04</t>
  </si>
  <si>
    <t>TERMINAL,QD,187 RCPT,22-1</t>
  </si>
  <si>
    <t>Z224A215A-01</t>
  </si>
  <si>
    <t>TERMINAL,BUTT CONNECTOR,1</t>
  </si>
  <si>
    <t>Z224A213A-02</t>
  </si>
  <si>
    <t>MTG HRDWR KIT,FIREBOLT</t>
  </si>
  <si>
    <t>Z211086B</t>
  </si>
  <si>
    <t>LENS FB BLUE</t>
  </si>
  <si>
    <t>Z205584</t>
  </si>
  <si>
    <t>EXTRUSION RUBBER 27.25 IN</t>
  </si>
  <si>
    <t>Z205003</t>
  </si>
  <si>
    <t>PCBA,W/A,SNGL END,SPCTRLX</t>
  </si>
  <si>
    <t>Z2005747A-WA</t>
  </si>
  <si>
    <t>PCBA,B/R/W,SNGL END,</t>
  </si>
  <si>
    <t>Z2005747A-BRW</t>
  </si>
  <si>
    <t>PCBA,AMB,SNGL END,SPCTRLX</t>
  </si>
  <si>
    <t>Z2005747A-A</t>
  </si>
  <si>
    <t>PCBA,CTRL,DS,VSLR6/8</t>
  </si>
  <si>
    <t>Z2005742A-1</t>
  </si>
  <si>
    <t>REPL. PCBA, CTRL, XXX SWST,</t>
  </si>
  <si>
    <t>Z2005691C-DXXX</t>
  </si>
  <si>
    <t>Z2005691C-CXXX</t>
  </si>
  <si>
    <t>Z2005691C-BXXX</t>
  </si>
  <si>
    <t>Z2005691C-AXXX</t>
  </si>
  <si>
    <t>PCBA,SML BACKER,PS.,VSLR</t>
  </si>
  <si>
    <t>Z2005678B-P</t>
  </si>
  <si>
    <t>PCBA,SML BACKER,DS.,VSLR</t>
  </si>
  <si>
    <t>Z2005678B-D</t>
  </si>
  <si>
    <t>PCBA,CTRL,VALR</t>
  </si>
  <si>
    <t>Z2005653A</t>
  </si>
  <si>
    <t>PCB,ASSY,RELAY,PA640</t>
  </si>
  <si>
    <t>Z2005279B</t>
  </si>
  <si>
    <t>PCBA, ATKINSON, SERVICE PART</t>
  </si>
  <si>
    <t>Z2005164D</t>
  </si>
  <si>
    <t>PCB,AD-26-8-M44</t>
  </si>
  <si>
    <t>Z2001896B</t>
  </si>
  <si>
    <t>AD-26C-4 PCB ASSY</t>
  </si>
  <si>
    <t>Z2001878B-01</t>
  </si>
  <si>
    <t>PCBA,CNSM,BACKER FOLLOWER</t>
  </si>
  <si>
    <t>Z20000519B-1</t>
  </si>
  <si>
    <t>PCBA, CNSMJ, BACKER FOLLOWER</t>
  </si>
  <si>
    <t>Z20000519B</t>
  </si>
  <si>
    <t>PCBA, CNSM BACKER CONTROLLER</t>
  </si>
  <si>
    <t>Z20000518B-2</t>
  </si>
  <si>
    <t>PCBA, CNSMJ BACKER CONT.</t>
  </si>
  <si>
    <t>Z20000518B-1</t>
  </si>
  <si>
    <t>PCBA, CNSMJ BACKER CONTROLLER</t>
  </si>
  <si>
    <t>Z20000518B</t>
  </si>
  <si>
    <t>PCBA, CNSM, BACKER CONTROLLER</t>
  </si>
  <si>
    <t>Z20000518A-2</t>
  </si>
  <si>
    <t>PCBA, CNSMJ, BACKER CONTROLLER</t>
  </si>
  <si>
    <t>Z20000518A-1</t>
  </si>
  <si>
    <t>Z20000518A</t>
  </si>
  <si>
    <t>Z20000465C-1234</t>
  </si>
  <si>
    <t>PCBA,ALGT,CNTR(C2),-##J4F</t>
  </si>
  <si>
    <t>Z20000442A-##J4F</t>
  </si>
  <si>
    <t>PCBA,ALGT,CNTR(C2),-##5JE</t>
  </si>
  <si>
    <t>Z20000442A-##5JE</t>
  </si>
  <si>
    <t>PCBA,ALGT,PI,-95##8Q</t>
  </si>
  <si>
    <t>Z20000441A-95##8Q</t>
  </si>
  <si>
    <t>PCBA,ALGT,DI,-##5$8D</t>
  </si>
  <si>
    <t>Z20000441A-##5$8D</t>
  </si>
  <si>
    <t>PCBA,ALGT,PS,-^4##5P</t>
  </si>
  <si>
    <t>Z20000440A-^4##5P</t>
  </si>
  <si>
    <t>PCBA,ALGT,DS,-5##5^D</t>
  </si>
  <si>
    <t>Z20000440A-5##5^D</t>
  </si>
  <si>
    <t>PCBA,EXPANSION MODULE 2</t>
  </si>
  <si>
    <t>Z20000385C-1234</t>
  </si>
  <si>
    <t>PCBA,CTRL,12/24,ALGT,FSJOIN,</t>
  </si>
  <si>
    <t>Z20000358C-234</t>
  </si>
  <si>
    <t>PCB,CTRL,12V/24V,ALGT</t>
  </si>
  <si>
    <t>Z20000358C-1234</t>
  </si>
  <si>
    <t>PCBA,LATITUDE SL8C,DS,BBBB</t>
  </si>
  <si>
    <t>Z20000241-1BBBB</t>
  </si>
  <si>
    <t>PCBA,LATITUDE SL8C,DS,AAAR</t>
  </si>
  <si>
    <t>Z20000241-1AAAR</t>
  </si>
  <si>
    <t>PCBA, NVGTR, CONVRGNCE CONTROL</t>
  </si>
  <si>
    <t>Z20000227</t>
  </si>
  <si>
    <t>PCBA, NVGTR 4-HD CONTRLR</t>
  </si>
  <si>
    <t>Z20000205A</t>
  </si>
  <si>
    <t>CONTROL BOARD, NAVIGATOR</t>
  </si>
  <si>
    <t>Z20000102</t>
  </si>
  <si>
    <t>PCBA,DUMB BKR,CN SML</t>
  </si>
  <si>
    <t>Z20000012B</t>
  </si>
  <si>
    <t>PCBA,SMART BKR,CN SML</t>
  </si>
  <si>
    <t>Z20000011B</t>
  </si>
  <si>
    <t>SWITCH, ROCKER, MOM, RED</t>
  </si>
  <si>
    <t>Z19903106A</t>
  </si>
  <si>
    <t>SWITCH, ROCKER, 3POS, RED</t>
  </si>
  <si>
    <t>Z19903105A</t>
  </si>
  <si>
    <t>SWITCH, ROCKER, 2POS, RED</t>
  </si>
  <si>
    <t>Z19903104A</t>
  </si>
  <si>
    <t>CARTON,SHIPPING</t>
  </si>
  <si>
    <t>Z180C345A</t>
  </si>
  <si>
    <t>CARTON,18X11X5.75</t>
  </si>
  <si>
    <t>Z180635A</t>
  </si>
  <si>
    <t>CABLE,INT.STT INPUT,LPXD</t>
  </si>
  <si>
    <t>Z1751629A</t>
  </si>
  <si>
    <t>INCOMING CABLE, LPX</t>
  </si>
  <si>
    <t>Z1751617B</t>
  </si>
  <si>
    <t>CABLE,50FT COMM,EXT,QD,VSLR-VA</t>
  </si>
  <si>
    <t>Z1751575A-600</t>
  </si>
  <si>
    <t>CABLE,COMM,EXT,NVB</t>
  </si>
  <si>
    <t>Z1751575A-300</t>
  </si>
  <si>
    <t>CABLE,COMM,INT,NVB</t>
  </si>
  <si>
    <t>Z1751574A-24</t>
  </si>
  <si>
    <t>CABLE,MB-POD,80",NVB</t>
  </si>
  <si>
    <t>Z1751566A-80</t>
  </si>
  <si>
    <t>CABLE,MB-POD,60",NVB</t>
  </si>
  <si>
    <t>Z1751566A-60</t>
  </si>
  <si>
    <t>CABLE,MB-POD,45",NVB</t>
  </si>
  <si>
    <t>Z1751566A-45</t>
  </si>
  <si>
    <t>CABLE,MB-POD,35",NVB</t>
  </si>
  <si>
    <t>Z1751566A-35</t>
  </si>
  <si>
    <t>CABLE,MB-POD,25",NVB</t>
  </si>
  <si>
    <t>Z1751566A-25</t>
  </si>
  <si>
    <t>CABLE,MB-POD,12",NVB</t>
  </si>
  <si>
    <t>Z1751566A-12</t>
  </si>
  <si>
    <t>CABLE ASSY,SPLITTER,ILS</t>
  </si>
  <si>
    <t>Z1751531A</t>
  </si>
  <si>
    <t>PLUG &amp; WIRE ASSY,HL</t>
  </si>
  <si>
    <t>Z1751515A</t>
  </si>
  <si>
    <t>CABLE,STT INPUT,LGDH/LGD</t>
  </si>
  <si>
    <t>Z1751513A</t>
  </si>
  <si>
    <t>WIRE HARNESS,15",CUSTOM</t>
  </si>
  <si>
    <t>Z1751480A</t>
  </si>
  <si>
    <t>CABLE,36",ARJS2</t>
  </si>
  <si>
    <t>Z1751364C</t>
  </si>
  <si>
    <t>CABLE ASSY,RS485,3 FT</t>
  </si>
  <si>
    <t>Z1751357A-08</t>
  </si>
  <si>
    <t>CABLE ASSY,RS485,10"</t>
  </si>
  <si>
    <t>Z1751357A-07</t>
  </si>
  <si>
    <t>CABLE ASSY,RS485 8",</t>
  </si>
  <si>
    <t>Z1751357A-06</t>
  </si>
  <si>
    <t>CABLE ASSY,RS485,50',</t>
  </si>
  <si>
    <t>Z1751357A-05</t>
  </si>
  <si>
    <t>CABLE, RJ45, 4FT</t>
  </si>
  <si>
    <t>Z1751357A-04</t>
  </si>
  <si>
    <t>CABLE ASSY,RS485,25',</t>
  </si>
  <si>
    <t>Z1751357A-02</t>
  </si>
  <si>
    <t>CABLE ASSY,INTERCOM,ALTEC</t>
  </si>
  <si>
    <t>Z1751247A</t>
  </si>
  <si>
    <t>SPKR CABLE TERM BP200</t>
  </si>
  <si>
    <t>Z1751082A</t>
  </si>
  <si>
    <t>CABLE, DISCREET, POWER OPTIMIZ</t>
  </si>
  <si>
    <t>Z17502847A-20</t>
  </si>
  <si>
    <t>WIRE ASSY,PWR,PF400,5FT</t>
  </si>
  <si>
    <t>Z17502785C-5</t>
  </si>
  <si>
    <t>WIRE ASSY,PWR,PF400,20FT</t>
  </si>
  <si>
    <t>Z17502785C-20</t>
  </si>
  <si>
    <t>WIRE ASSY,ADAPTER,SSP SERIES B</t>
  </si>
  <si>
    <t>Z17502749A</t>
  </si>
  <si>
    <t>WIRE ASSY,D-PILLAR LB,EXP MOD</t>
  </si>
  <si>
    <t>Z17502542A</t>
  </si>
  <si>
    <t>WIRE ASSY, AUDIO, PF400</t>
  </si>
  <si>
    <t>Z17502532B</t>
  </si>
  <si>
    <t>WIRE ASSY,PWR-GND,LONG,RLNT</t>
  </si>
  <si>
    <t>Z17502451A</t>
  </si>
  <si>
    <t>CIG PLUG ASSY, HL10</t>
  </si>
  <si>
    <t>Z17502345A</t>
  </si>
  <si>
    <t>WIRE ASSY,INPUT,EXPMOD,24CH</t>
  </si>
  <si>
    <t>Z17502052A</t>
  </si>
  <si>
    <t>WIRE ASSY,OUTPUT,EXPMOD,24CH</t>
  </si>
  <si>
    <t>Z17502048A</t>
  </si>
  <si>
    <t>MAG CORD, STANDARD, AM BEACONS</t>
  </si>
  <si>
    <t>Z17501973A</t>
  </si>
  <si>
    <t>WIRE ASSY, STT BLOCKING DIODES</t>
  </si>
  <si>
    <t>Z17501969A</t>
  </si>
  <si>
    <t>WIRE ASSY,CONVERGENCE CTRL</t>
  </si>
  <si>
    <t>Z17501957A</t>
  </si>
  <si>
    <t>CABLE ASSY, POWER, AM BEACONS,</t>
  </si>
  <si>
    <t>Z17501954A</t>
  </si>
  <si>
    <t>CABLE ASSY, 7-COND, 20FT</t>
  </si>
  <si>
    <t>Z17501910A-7C20</t>
  </si>
  <si>
    <t>CABLE ASSY,48",LEGEND</t>
  </si>
  <si>
    <t>Z17501858A-48</t>
  </si>
  <si>
    <t>CABLE ASSY,38",LEGEND</t>
  </si>
  <si>
    <t>Z17501858A-38</t>
  </si>
  <si>
    <t>CABLE ASSY,32",LEGEND</t>
  </si>
  <si>
    <t>Z17501858A-32</t>
  </si>
  <si>
    <t>CABLE ASSY,12",LEGEND</t>
  </si>
  <si>
    <t>Z17501858A-12</t>
  </si>
  <si>
    <t>WIRE ASSY,COIL CORD,RJ45-RJ45</t>
  </si>
  <si>
    <t>Z17501849A</t>
  </si>
  <si>
    <t>CABLE,USB2.0, A MALE TO MINI-B</t>
  </si>
  <si>
    <t>Z17501813A</t>
  </si>
  <si>
    <t>WIRE ASSY,9COND,WTHRTGHT,11.5F</t>
  </si>
  <si>
    <t>Z17501703A</t>
  </si>
  <si>
    <t>WIRE ASSY,EXT PWR STT,ALGT</t>
  </si>
  <si>
    <t>Z17501635A</t>
  </si>
  <si>
    <t>WIRE ASSY,END ROC,LPL</t>
  </si>
  <si>
    <t>Z17501593A</t>
  </si>
  <si>
    <t>CABLE,DISCRETE,LPL</t>
  </si>
  <si>
    <t>Z17501592A</t>
  </si>
  <si>
    <t>WIRE ASSY,I/O,PA640</t>
  </si>
  <si>
    <t>Z17501360B</t>
  </si>
  <si>
    <t>WIRE ASSY,RELAY,PA640</t>
  </si>
  <si>
    <t>Z17501359A</t>
  </si>
  <si>
    <t>CABLE ASSY,6-HD,60 FT,MPS</t>
  </si>
  <si>
    <t>Z17501188A-60</t>
  </si>
  <si>
    <t>CABLE ASSY,6-HD,30 FT,MPS</t>
  </si>
  <si>
    <t>Z17501188A-30</t>
  </si>
  <si>
    <t>CABLE ASSY,6-HD,15 FT,MPS</t>
  </si>
  <si>
    <t>Z17501188A-15</t>
  </si>
  <si>
    <t>CABLE,10-POS,NAVIGATOR,25"LG</t>
  </si>
  <si>
    <t>Z17501002-25</t>
  </si>
  <si>
    <t>CABLE, 10" NVG CNTRLR</t>
  </si>
  <si>
    <t>Z17500920</t>
  </si>
  <si>
    <t>CABLE, NAVITOR, 20 CNDCTR</t>
  </si>
  <si>
    <t>Z17500884</t>
  </si>
  <si>
    <t>CABLE, ALL ROTATOR NAVGTR</t>
  </si>
  <si>
    <t>Z17500847A</t>
  </si>
  <si>
    <t>WIRE ASSY,COMM,EXT,NVO-RFQD</t>
  </si>
  <si>
    <t>Z17500726-300</t>
  </si>
  <si>
    <t>WIRE ASSY,PWR-GND,EXT,NVO-RFQD</t>
  </si>
  <si>
    <t>Z17500725-252</t>
  </si>
  <si>
    <t>WIRE ASSY,BAR PIGTAIL,NVO-RFQD</t>
  </si>
  <si>
    <t>Z17500724-18</t>
  </si>
  <si>
    <t>PROG HEADER,TAG CONN, NL</t>
  </si>
  <si>
    <t>Z17500501</t>
  </si>
  <si>
    <t>CABLE, POD CONTROL, 45"</t>
  </si>
  <si>
    <t>Z17500429B-45</t>
  </si>
  <si>
    <t>CABLE, POD CONTROL, 25"</t>
  </si>
  <si>
    <t>Z17500429B-25</t>
  </si>
  <si>
    <t>LIGHT HEAD CABLE,NAVIGATOR</t>
  </si>
  <si>
    <t>Z17500428B</t>
  </si>
  <si>
    <t>CABLE, IVP, VSLR 6 POD SPLIT</t>
  </si>
  <si>
    <t>Z17500403A</t>
  </si>
  <si>
    <t>CABLE,DISCRETE,SIF ILS</t>
  </si>
  <si>
    <t>Z17500274B-300</t>
  </si>
  <si>
    <t>CABLE ASSY.,4COND,SL SIGMAS,50</t>
  </si>
  <si>
    <t>Z17500234B-50</t>
  </si>
  <si>
    <t>CABLE ASSY.,4-COND,SL SIGMAS</t>
  </si>
  <si>
    <t>Z17500234B-30</t>
  </si>
  <si>
    <t>WIRE ASSY,CTRL HD,MSG BRD</t>
  </si>
  <si>
    <t>Z17500046A</t>
  </si>
  <si>
    <t>WIRE HARN.,MAIN,SA MSG BRD</t>
  </si>
  <si>
    <t>Z17500029A-600</t>
  </si>
  <si>
    <t>WIRE ASSY,S/A MSG BRD</t>
  </si>
  <si>
    <t>Z17500029A-360</t>
  </si>
  <si>
    <t>WIRE ASSY,MSG BRD,NYH</t>
  </si>
  <si>
    <t>Z17500028A-72</t>
  </si>
  <si>
    <t>WIRE ASSY,MSG BRD,NYR</t>
  </si>
  <si>
    <t>Z17500028A-20</t>
  </si>
  <si>
    <t>WIRE ASSY,BRD-BRD,SIFZ ILS</t>
  </si>
  <si>
    <t>Z17500009A-36</t>
  </si>
  <si>
    <t>WIRE ASSY, BRD-BRD,SPECTRALUX</t>
  </si>
  <si>
    <t>Z17500009A-24</t>
  </si>
  <si>
    <t>WIRE ASSY,PCB CONN,CN SML</t>
  </si>
  <si>
    <t>Z17500009A-18</t>
  </si>
  <si>
    <t>Z17500009A-05</t>
  </si>
  <si>
    <t>CABLE,IN-CIRCUIT PROGRAMM</t>
  </si>
  <si>
    <t>Z17500003A</t>
  </si>
  <si>
    <t>LABEL, WARNING</t>
  </si>
  <si>
    <t>Z161A463A</t>
  </si>
  <si>
    <t>STATIC AWARENESS LABEL</t>
  </si>
  <si>
    <t>Z161A327A</t>
  </si>
  <si>
    <t>LABEL, MIC, A12SA</t>
  </si>
  <si>
    <t>Z161A138C</t>
  </si>
  <si>
    <t>LABEL,WARNING,BACKUP ALRM</t>
  </si>
  <si>
    <t>Z1612857A</t>
  </si>
  <si>
    <t>LABEL,WARNING,EYE DAMAGE</t>
  </si>
  <si>
    <t>Z1612358B</t>
  </si>
  <si>
    <t>LABEL,WARNING,SIREN/SPKR</t>
  </si>
  <si>
    <t>Z1612339A</t>
  </si>
  <si>
    <t>LABEL WARNING SPEAKER</t>
  </si>
  <si>
    <t>Z1612267B</t>
  </si>
  <si>
    <t>COVER MAGNET MYLAR LARGE</t>
  </si>
  <si>
    <t>Z1611464A-01</t>
  </si>
  <si>
    <t>SMALL MYLAR MAGNET COVER</t>
  </si>
  <si>
    <t>Z1611464A</t>
  </si>
  <si>
    <t>BRACKET,PHONE JACK</t>
  </si>
  <si>
    <t>Z159A187A</t>
  </si>
  <si>
    <t>TIE WRAP, UV STABILIZED</t>
  </si>
  <si>
    <t>Z150A146A</t>
  </si>
  <si>
    <t>CLAMP,CABLE TIE WRAP</t>
  </si>
  <si>
    <t>Z150A109</t>
  </si>
  <si>
    <t>CABLE TIE MOUNT,W/ SWIVEL</t>
  </si>
  <si>
    <t>Z150166A</t>
  </si>
  <si>
    <t>FUSE,10 AMP,3AG,32V</t>
  </si>
  <si>
    <t>Z148A108</t>
  </si>
  <si>
    <t>FUSE,15A 3AG 32V</t>
  </si>
  <si>
    <t>Z148A107</t>
  </si>
  <si>
    <t>LED,WHITE,XLAMP 7090,XR-E</t>
  </si>
  <si>
    <t>Z1471022A-E</t>
  </si>
  <si>
    <t>LED,AMBER,XLAMP 7090</t>
  </si>
  <si>
    <t>Z1471022A-03</t>
  </si>
  <si>
    <t>LED,BLUE,XLAMP 7090,</t>
  </si>
  <si>
    <t>Z1471022A-01</t>
  </si>
  <si>
    <t>CABLE,TELEPHONE,25' 8 CKT</t>
  </si>
  <si>
    <t>Z146903B</t>
  </si>
  <si>
    <t>HARNESS,ROC,LIN</t>
  </si>
  <si>
    <t>Z1461861B-20</t>
  </si>
  <si>
    <t>Z1461861B-12</t>
  </si>
  <si>
    <t>Z1461861B-05</t>
  </si>
  <si>
    <t>HARN,PWR/GND,EXT,NVB</t>
  </si>
  <si>
    <t>Z1461855A-252</t>
  </si>
  <si>
    <t>HARN,PWR/GND,INT,NVB</t>
  </si>
  <si>
    <t>Z1461854A-24</t>
  </si>
  <si>
    <t>WIRE HARNESS,PWG/GND,ILS</t>
  </si>
  <si>
    <t>Z1461816A</t>
  </si>
  <si>
    <t>WIRE ASSY,RUMBLER SPKR</t>
  </si>
  <si>
    <t>Z1461809A</t>
  </si>
  <si>
    <t>CABLE, 24"LGD,WHT LIGHT</t>
  </si>
  <si>
    <t>Z1461780A</t>
  </si>
  <si>
    <t>CABLE ASSY,9CONN,JERR-DAN</t>
  </si>
  <si>
    <t>Z1461410B</t>
  </si>
  <si>
    <t>HARNESS FOR 690005/06/09</t>
  </si>
  <si>
    <t>Z1461388A</t>
  </si>
  <si>
    <t>PA300,(690000)PWR HARNESS</t>
  </si>
  <si>
    <t>Z1461360A</t>
  </si>
  <si>
    <t>CLIP &amp; DEE,5/8 IN,FED</t>
  </si>
  <si>
    <t>Z144A105-01-MP10</t>
  </si>
  <si>
    <t>FUSEHOLDER,1.25"FUSE,BUSS</t>
  </si>
  <si>
    <t>Z143A120A</t>
  </si>
  <si>
    <t>JACK,PHONE 8-CKT,LOW PROF</t>
  </si>
  <si>
    <t>Z142121A-01</t>
  </si>
  <si>
    <t>KNOB, VOLUME CONTROL</t>
  </si>
  <si>
    <t>Z141A129A</t>
  </si>
  <si>
    <t>KNOB,CONTROL</t>
  </si>
  <si>
    <t>Z141A111</t>
  </si>
  <si>
    <t>Z141A102</t>
  </si>
  <si>
    <t>CONTROL KNOB</t>
  </si>
  <si>
    <t>Z141143A</t>
  </si>
  <si>
    <t>KNOB PUSH-ON EQ2B</t>
  </si>
  <si>
    <t>Z141134A</t>
  </si>
  <si>
    <t>KNOB INTERCOM</t>
  </si>
  <si>
    <t>Z141133A</t>
  </si>
  <si>
    <t>PLUG DOUBLE DENSITY 2X6</t>
  </si>
  <si>
    <t>Z140584A-12</t>
  </si>
  <si>
    <t>50A POWER CONN.MALE</t>
  </si>
  <si>
    <t>Z140535A</t>
  </si>
  <si>
    <t>MALE CONNECTOR PLUG 3.8IN</t>
  </si>
  <si>
    <t>Z140418A-08</t>
  </si>
  <si>
    <t>CONN MALE PLUG EQ2B</t>
  </si>
  <si>
    <t>Z140418A-07</t>
  </si>
  <si>
    <t>MALE CONNECTOR PLUG 5.0MM</t>
  </si>
  <si>
    <t>Z140417A-04</t>
  </si>
  <si>
    <t>PLUG,RIGHT ANGLE, 11 POS</t>
  </si>
  <si>
    <t>Z140338A-11</t>
  </si>
  <si>
    <t>PLUG,RIGHT ANGLE, 7 POS</t>
  </si>
  <si>
    <t>Z140338A-07</t>
  </si>
  <si>
    <t>ACCY PLUG 331105 SM CNTRL</t>
  </si>
  <si>
    <t>Z140325A-13</t>
  </si>
  <si>
    <t>HDR,AMP D-3100 SERIES</t>
  </si>
  <si>
    <t>Z1401513A-05</t>
  </si>
  <si>
    <t>HDR,.118 RA DUAL ROW</t>
  </si>
  <si>
    <t>Z1401510A-06</t>
  </si>
  <si>
    <t>CONNECTOR, 3 POS, SMT</t>
  </si>
  <si>
    <t>Z1401502A-03</t>
  </si>
  <si>
    <t>2-POS MINI-JUMPER</t>
  </si>
  <si>
    <t>Z139A209B</t>
  </si>
  <si>
    <t>CONNECTOR,SELF-STRIPPING</t>
  </si>
  <si>
    <t>Z139A174A</t>
  </si>
  <si>
    <t>RECPT,.393 PITCH,MINIFIT</t>
  </si>
  <si>
    <t>Z139532A-02</t>
  </si>
  <si>
    <t>FEMALE CONNECTOR,DEUTSH</t>
  </si>
  <si>
    <t>Z139501A</t>
  </si>
  <si>
    <t>CONN,8P8C RJ45 T ADAPT,1F TO 2</t>
  </si>
  <si>
    <t>Z13901989A</t>
  </si>
  <si>
    <t>COUPLER,RJ45 8X8K,STRAIGHT,BLK</t>
  </si>
  <si>
    <t>Z13901850A</t>
  </si>
  <si>
    <t>RELAY,30/40A,W/SUPRESSION</t>
  </si>
  <si>
    <t>Z131194A</t>
  </si>
  <si>
    <t>XSTR,IRFP3306</t>
  </si>
  <si>
    <t>Z125486A</t>
  </si>
  <si>
    <t>KIT,FUSE,20A,LGHBR</t>
  </si>
  <si>
    <t>Z124147A-02</t>
  </si>
  <si>
    <t>KIT,FUSE,40A,LGHBR</t>
  </si>
  <si>
    <t>Z124147A</t>
  </si>
  <si>
    <t>KIT,HRDW,MNT,LEGEND</t>
  </si>
  <si>
    <t>Z124146D</t>
  </si>
  <si>
    <t>KIT,HARDWARE,MSFMT-EF</t>
  </si>
  <si>
    <t>Z124126A</t>
  </si>
  <si>
    <t>KIT,HARDWARE,PERM MNT,UNI</t>
  </si>
  <si>
    <t>Z124123A</t>
  </si>
  <si>
    <t>SWITCH,ROCKER,ON/OFF,</t>
  </si>
  <si>
    <t>Z122385B</t>
  </si>
  <si>
    <t>SWITCH 3PDT TOGGLE</t>
  </si>
  <si>
    <t>Z122369A</t>
  </si>
  <si>
    <t>SWITCH PADDLE SPDT EQ2B</t>
  </si>
  <si>
    <t>Z122362A</t>
  </si>
  <si>
    <t>PADDLE,PCB,MOMENTARY</t>
  </si>
  <si>
    <t>Z122361A</t>
  </si>
  <si>
    <t>PUSHBUTTON SW.3POLE,9TERM</t>
  </si>
  <si>
    <t>Z122351A</t>
  </si>
  <si>
    <t>SWITCH TOGGL MOM. DPDT</t>
  </si>
  <si>
    <t>Z122339A</t>
  </si>
  <si>
    <t>SWITCH ON-OFF-ON</t>
  </si>
  <si>
    <t>Z122327A</t>
  </si>
  <si>
    <t>SWITCH ASSY</t>
  </si>
  <si>
    <t>Z122290C</t>
  </si>
  <si>
    <t>SWITCH,ROCKER,S.P.D.T.</t>
  </si>
  <si>
    <t>Z122283A</t>
  </si>
  <si>
    <t>TVS,SMT,SM8S36A,6600W,36V</t>
  </si>
  <si>
    <t>Z1151708A</t>
  </si>
  <si>
    <t>FERRITE CORE 2.40 OD</t>
  </si>
  <si>
    <t>Z112132A</t>
  </si>
  <si>
    <t>POT 10K 310</t>
  </si>
  <si>
    <t>Z106A123A</t>
  </si>
  <si>
    <t>POT 1K OHM INTERCOM</t>
  </si>
  <si>
    <t>Z106126A</t>
  </si>
  <si>
    <t>POT VOLUME</t>
  </si>
  <si>
    <t>Z106125A</t>
  </si>
  <si>
    <t>POT 500 OHM</t>
  </si>
  <si>
    <t>Z105314A</t>
  </si>
  <si>
    <t>MPSM6U TAKEDOWN HOTFOOT KIT</t>
  </si>
  <si>
    <t>MPSM6U-HFTDKT</t>
  </si>
  <si>
    <t>MPSM6U ALLEY HOTFOOT KIT</t>
  </si>
  <si>
    <t>MPSM6U-HFAKT</t>
  </si>
  <si>
    <t>SERV.BRD,END,PASS,LPXD,-MAAAA</t>
  </si>
  <si>
    <t>LP560DP-MAAAAS</t>
  </si>
  <si>
    <t>SERV.BRD,END,DRVR,LPXD,-AAAAM</t>
  </si>
  <si>
    <t>LP560DD-AAAAMS</t>
  </si>
  <si>
    <t>REPL DOME,POLY,FB/FB+-R</t>
  </si>
  <si>
    <t>205581-95</t>
  </si>
  <si>
    <t>FIXED SIDE MOUNT, NW</t>
  </si>
  <si>
    <t>LTP580-NW0-A</t>
  </si>
  <si>
    <t>FIXED TOP MOUNT, NO WIRE</t>
  </si>
  <si>
    <t>LTP570-NW0</t>
  </si>
  <si>
    <t>KIT FIXED MOUNT 3/4"" NPT W/ S</t>
  </si>
  <si>
    <t>LT101</t>
  </si>
  <si>
    <t>ADAPTER FIXED MOUNTS</t>
  </si>
  <si>
    <t>LT100</t>
  </si>
  <si>
    <t>RAISED POLE INDICATOR SWITCH</t>
  </si>
  <si>
    <t>LT-S102-A</t>
  </si>
  <si>
    <t>4 IN RECEIVER</t>
  </si>
  <si>
    <t>KR-4-SB-R</t>
  </si>
  <si>
    <t>KIT, SWIVEL W/TEETH</t>
  </si>
  <si>
    <t>FC504K</t>
  </si>
  <si>
    <t>COM PLUS-S,28K LUM,12/24VDC</t>
  </si>
  <si>
    <t>COMX-S-DC-570</t>
  </si>
  <si>
    <t>COM PLUS,28K LUM,12/24VDC,SIDE</t>
  </si>
  <si>
    <t>COMX-DC-530SW</t>
  </si>
  <si>
    <t>COMX-DC-530</t>
  </si>
  <si>
    <t>COMMANDER PLUS,20K LUMEN,12/24</t>
  </si>
  <si>
    <t>COMX-DC-260</t>
  </si>
  <si>
    <t>COM PLUS,28K LUM,120VAC,</t>
  </si>
  <si>
    <t>COMX-120-ON-600-603-P3</t>
  </si>
  <si>
    <t>COM PLUS,28K LUM ,120VAC,SIDE</t>
  </si>
  <si>
    <t>COMX-120-ON-530</t>
  </si>
  <si>
    <t>LED SCN,TRAPZ,DC,7LUM,YOKE MNT</t>
  </si>
  <si>
    <t>COMSB-TRP-YM-BLA</t>
  </si>
  <si>
    <t>COMSB-TRP-YM</t>
  </si>
  <si>
    <t>LED SCN,FLOOD,DC,7LUM,YOKE MNT</t>
  </si>
  <si>
    <t>COMSB-FLD-YM-BLA</t>
  </si>
  <si>
    <t>COMSB-FLD-YM</t>
  </si>
  <si>
    <t>COM M,14K LUM,12/24VDC,SIDE MT</t>
  </si>
  <si>
    <t>COMMS-DC-ON-530</t>
  </si>
  <si>
    <t>COM M,14K LUM,12/24VDC,FLOOD</t>
  </si>
  <si>
    <t>COMMS-DC-570</t>
  </si>
  <si>
    <t>COMM,SPECTRA MS,14K,120VAC,</t>
  </si>
  <si>
    <t>COMMS-120-ON-530-TW-F</t>
  </si>
  <si>
    <t>COM M,14K LUM,120VAC,SIDE MNT</t>
  </si>
  <si>
    <t>COMMS-120-ON-530</t>
  </si>
  <si>
    <t>COM M,14K LUM,120VAC FLOOD LED</t>
  </si>
  <si>
    <t>COMMS-120</t>
  </si>
  <si>
    <t>COM LC,8K LUMEN,12/24V,PUSH</t>
  </si>
  <si>
    <t>COMLC8K-576-PORT</t>
  </si>
  <si>
    <t>COM LC,20K LUM,12/24V,SIDE MNT</t>
  </si>
  <si>
    <t>COMLC20K-530SW-H</t>
  </si>
  <si>
    <t>COM LC,20K LUMEN,12/24VDC LED</t>
  </si>
  <si>
    <t>COMLC20K</t>
  </si>
  <si>
    <t>COM LC,15K LUMEN,12/24V, PUSH</t>
  </si>
  <si>
    <t>COMLC15K-576-PORT</t>
  </si>
  <si>
    <t>COM LC,BTM RAISE POLE W/10" OT</t>
  </si>
  <si>
    <t>COMLC15K-530-ST-TW-A-PORT</t>
  </si>
  <si>
    <t>COM LC,11K LUMENS,12/24 VDC,</t>
  </si>
  <si>
    <t>COMLC11K-570-ON</t>
  </si>
  <si>
    <t>COM LC,11K LUMEN,12/24V,SPT/FL</t>
  </si>
  <si>
    <t>COMLC11K-530-H</t>
  </si>
  <si>
    <t>COMMANDER,7K LUM,12-24VDC,SURF</t>
  </si>
  <si>
    <t>COM7K-900</t>
  </si>
  <si>
    <t>20K LUMEN, 12/24V, ON/OFF SWTH</t>
  </si>
  <si>
    <t>COM20K-ON-530SW</t>
  </si>
  <si>
    <t>20K LUMENS,12/24 VDC,SIDE MNT,</t>
  </si>
  <si>
    <t>COM20K-540TW</t>
  </si>
  <si>
    <t>COMMANDER, 20K LUMENS, 12V,</t>
  </si>
  <si>
    <t>COM20K-530SW-BOB</t>
  </si>
  <si>
    <t>20K LUMEN, 12/24V, SDEMNT BTTM</t>
  </si>
  <si>
    <t>COM20K-530SW</t>
  </si>
  <si>
    <t>20K LUMENS,12/24VDC,510 POLE</t>
  </si>
  <si>
    <t>COM20K-510</t>
  </si>
  <si>
    <t>20K LUMEN, 12/24 VDC, LED</t>
  </si>
  <si>
    <t>COM20K</t>
  </si>
  <si>
    <t>COMMANDER, 15K LUMENS, 12V,</t>
  </si>
  <si>
    <t>COM15K-830</t>
  </si>
  <si>
    <t>COMMANDER,15K LUM,12/24VDC</t>
  </si>
  <si>
    <t>COM15K-800-10</t>
  </si>
  <si>
    <t>15K LUMENS,CONTOUR BROW MOUNT</t>
  </si>
  <si>
    <t>COM15K-800-08</t>
  </si>
  <si>
    <t>COMMANDER, 15K LUMENS, 12/24,</t>
  </si>
  <si>
    <t>COM15K-800-05</t>
  </si>
  <si>
    <t>COMMANDER, DC 15K LUM,SPARTAN</t>
  </si>
  <si>
    <t>COM15K-800-03</t>
  </si>
  <si>
    <t>COMMANDER, 15K LUMEN,12/24VDC,</t>
  </si>
  <si>
    <t>COM15K-570</t>
  </si>
  <si>
    <t>COMMANDER,15K LUM,BOTTM RAISE</t>
  </si>
  <si>
    <t>COM15K-530SW</t>
  </si>
  <si>
    <t>15K LUMEN, 12/24V,</t>
  </si>
  <si>
    <t>COM15K-530</t>
  </si>
  <si>
    <t>15K LUMENS, LOW PROFILE SURFAC</t>
  </si>
  <si>
    <t>COM15K-260</t>
  </si>
  <si>
    <t>15K LUMEN, 12/24 VDC, LED</t>
  </si>
  <si>
    <t>COM15K</t>
  </si>
  <si>
    <t>20K LUMENS, 120 VAC, ON/OFF SW</t>
  </si>
  <si>
    <t>COM120-ON-600-603</t>
  </si>
  <si>
    <t>20K LUM,120 VAC,ON/OFFSIDE MNT</t>
  </si>
  <si>
    <t>COM120-ON-530SW</t>
  </si>
  <si>
    <t>20K LUMEN, ON/OFF SWITCH,</t>
  </si>
  <si>
    <t>COM120-ON-530</t>
  </si>
  <si>
    <t>20K LUMEN, 120 VAC, ON/OFF</t>
  </si>
  <si>
    <t>COM120-ON</t>
  </si>
  <si>
    <t>COMMANDER, 20K LUMENS,120V,</t>
  </si>
  <si>
    <t>COM120-570</t>
  </si>
  <si>
    <t>COMMANDER,120VAC,510 MOUNT</t>
  </si>
  <si>
    <t>COM120-510</t>
  </si>
  <si>
    <t>COMANDER, 15K LUMENS,120VAC,</t>
  </si>
  <si>
    <t>COM120-260</t>
  </si>
  <si>
    <t>20K LUMEN, 120 VAC,</t>
  </si>
  <si>
    <t>COM120</t>
  </si>
  <si>
    <t>SEARCHLIGHT, NIGHTSPIRE</t>
  </si>
  <si>
    <t>NS200-P-CE</t>
  </si>
  <si>
    <t>BRANCH GUARD, NIGHTSPIRE</t>
  </si>
  <si>
    <t>200NS-TALL</t>
  </si>
  <si>
    <t>NS200-P</t>
  </si>
  <si>
    <t>NS200-M</t>
  </si>
  <si>
    <t>NS200-DM</t>
  </si>
  <si>
    <t>Z7072A024</t>
  </si>
  <si>
    <t>SCR,THD FRM PAN HD PHIL,A</t>
  </si>
  <si>
    <t>Z7011A047-08</t>
  </si>
  <si>
    <t>LATCH (CLASP)</t>
  </si>
  <si>
    <t>Z50085SSG</t>
  </si>
  <si>
    <t>GROMMET(10),STINGER,RESIN</t>
  </si>
  <si>
    <t>Z50051B</t>
  </si>
  <si>
    <t>TIP GUARD (10) STINGER</t>
  </si>
  <si>
    <t>Z50040B</t>
  </si>
  <si>
    <t>INSERTION TOOL</t>
  </si>
  <si>
    <t>Z50035SSG</t>
  </si>
  <si>
    <t>STINGER XL SPIKE SYSTEM, 25',</t>
  </si>
  <si>
    <t>93225</t>
  </si>
  <si>
    <t>STINGER XL SPIKE SYSTEM, 10',</t>
  </si>
  <si>
    <t>93210</t>
  </si>
  <si>
    <t>STINGER XL SPIKE SYSTEM, 15.5'</t>
  </si>
  <si>
    <t>93200</t>
  </si>
  <si>
    <t>REPLACE SPK KIT,SER.XL,(50)</t>
  </si>
  <si>
    <t>93026-50</t>
  </si>
  <si>
    <t>XL,REPLACEMENT KIT</t>
  </si>
  <si>
    <t>93026</t>
  </si>
  <si>
    <t>ROPE AND SPOOL, 62 FT.</t>
  </si>
  <si>
    <t>91500</t>
  </si>
  <si>
    <t>UPGRADE-2010 TO 2015</t>
  </si>
  <si>
    <t>90600</t>
  </si>
  <si>
    <t>RAT TRAP II</t>
  </si>
  <si>
    <t>90502</t>
  </si>
  <si>
    <t>ROPE &amp; SPOOL</t>
  </si>
  <si>
    <t>90400</t>
  </si>
  <si>
    <t>STINGER SPIKE SYSTEM, 25',2025</t>
  </si>
  <si>
    <t>90225-62</t>
  </si>
  <si>
    <t>STINGER SPIKE SYSTEM, 25',</t>
  </si>
  <si>
    <t>90225</t>
  </si>
  <si>
    <t>STINGER TRAINER SYSTEM, 25',</t>
  </si>
  <si>
    <t>90216</t>
  </si>
  <si>
    <t>STINGER SPIKE SYSTEM, 10',</t>
  </si>
  <si>
    <t>90210</t>
  </si>
  <si>
    <t>STINGER TRAINER SYSTEM, 15.5',</t>
  </si>
  <si>
    <t>90209</t>
  </si>
  <si>
    <t>STINGER SPIKE SYSTEM, 15.5',</t>
  </si>
  <si>
    <t>90200</t>
  </si>
  <si>
    <t>REPL. CASE FOR STINGER,</t>
  </si>
  <si>
    <t>90041</t>
  </si>
  <si>
    <t>90035</t>
  </si>
  <si>
    <t>90031-10</t>
  </si>
  <si>
    <t>90031</t>
  </si>
  <si>
    <t>RAT-TRAP 2,REPLACEMENT</t>
  </si>
  <si>
    <t>90027</t>
  </si>
  <si>
    <t>REPLACE SPIKE KIT,SER.2000</t>
  </si>
  <si>
    <t>90026-50</t>
  </si>
  <si>
    <t>SERIES 2000 REP. SPIKE</t>
  </si>
  <si>
    <t>90026</t>
  </si>
  <si>
    <t>SINGLE SPIKE SECTION</t>
  </si>
  <si>
    <t>90025</t>
  </si>
  <si>
    <t>DURAFORCE,WIRE COVER,CHEVY</t>
  </si>
  <si>
    <t>DFC-WC-TAH21</t>
  </si>
  <si>
    <t>DURAFORCE,WIRE COVER,FORD</t>
  </si>
  <si>
    <t>DFC-WC-FRD21</t>
  </si>
  <si>
    <t>DFC-WC-FPIU20</t>
  </si>
  <si>
    <t>DURAFORCE WIRE COVER</t>
  </si>
  <si>
    <t>DFC-WC-DUR21</t>
  </si>
  <si>
    <t>DURAFORCE,UPPER GUARD,CHEVY</t>
  </si>
  <si>
    <t>DFC-UG-TAH21</t>
  </si>
  <si>
    <t>DURAFORCE,UPPER GUARD,FORD</t>
  </si>
  <si>
    <t>DFC-UG-FRD21</t>
  </si>
  <si>
    <t>DFC-UG-FPIU20</t>
  </si>
  <si>
    <t>DURAFORCE UPPER GUARD</t>
  </si>
  <si>
    <t>DFC-UG-DUR21</t>
  </si>
  <si>
    <t>DURAFORCE,TOP CHAN CVR,0 LIGHT</t>
  </si>
  <si>
    <t>DFC-TCP-2</t>
  </si>
  <si>
    <t>DFC-TCP-1</t>
  </si>
  <si>
    <t>DFC-TCP</t>
  </si>
  <si>
    <t>DURAFORCE,TOP CHAN CVR,4 LIGHT</t>
  </si>
  <si>
    <t>DFC-TC4L-2</t>
  </si>
  <si>
    <t>DFC-TC4L-1</t>
  </si>
  <si>
    <t>DFC-TC4L</t>
  </si>
  <si>
    <t>DURAFORCE,TOP CHAN CVR,2 LIGHT</t>
  </si>
  <si>
    <t>DFC-TC2L-2</t>
  </si>
  <si>
    <t>DFC-TC2L-1</t>
  </si>
  <si>
    <t>DFC-TC2L</t>
  </si>
  <si>
    <t>DURAFORCE,PUSH BUMPER,CHEVY</t>
  </si>
  <si>
    <t>DURAFORCE,PUSH BUMPER,FORD</t>
  </si>
  <si>
    <t>DURAFORCE PUSH BUMPER</t>
  </si>
  <si>
    <t>DURAFORCE,LOWER GUARD,CHEVY</t>
  </si>
  <si>
    <t>DFC-LG-TAH21</t>
  </si>
  <si>
    <t>DURAFORCE,LOWER GUARD,FORD</t>
  </si>
  <si>
    <t>DFC-LG-FRD21</t>
  </si>
  <si>
    <t>DFC-LG-FPIU20</t>
  </si>
  <si>
    <t>DURAFORCE LOWER GUARD</t>
  </si>
  <si>
    <t>DFC-LG-DUR21</t>
  </si>
  <si>
    <t>DURAFORCE,ES100C PUSH BUMPER</t>
  </si>
  <si>
    <t>DFC-SB-ES100C</t>
  </si>
  <si>
    <t>DURAFORCE,AS124 PUSH BUMPER</t>
  </si>
  <si>
    <t>DFC-SB-750501</t>
  </si>
  <si>
    <t>ICSSPL ADP,TRCKLITE 80859</t>
  </si>
  <si>
    <t>SPLCABLE-4</t>
  </si>
  <si>
    <t>ICSSPL ADP, F/W 28212</t>
  </si>
  <si>
    <t>SPLCABLE-3</t>
  </si>
  <si>
    <t>ICSSPL ADP, B/SD 16160250</t>
  </si>
  <si>
    <t>SPLCABLE-2</t>
  </si>
  <si>
    <t>ICSSPL ADP, BOSS MSC09417</t>
  </si>
  <si>
    <t>SPLCABLE-1</t>
  </si>
  <si>
    <t>KIT, PARTS FOR 84IN MPSUSM</t>
  </si>
  <si>
    <t>MPSUSM84-KIT</t>
  </si>
  <si>
    <t>84" MPS SGNLMSTR, 8 AMB. HDS</t>
  </si>
  <si>
    <t>MPSUSM84-DOT</t>
  </si>
  <si>
    <t>KIT,BRKT,MPSW9,MIRROR,21F150</t>
  </si>
  <si>
    <t>MPSMW9-FRD21MIR-CE</t>
  </si>
  <si>
    <t>KIT, SPACER, ICSPL24WL, 3 INCH</t>
  </si>
  <si>
    <t>ICSPL24WL-SPACRKT</t>
  </si>
  <si>
    <t>24" LIGHT BAR W/TOW WINCH BRKT</t>
  </si>
  <si>
    <t>ICSPL24-WL-SB</t>
  </si>
  <si>
    <t>KIT, ADAPTER, ICSPL24WL, MOUNT</t>
  </si>
  <si>
    <t>ICSPL24WL-ADAPTKT</t>
  </si>
  <si>
    <t>ICSPL24-WL</t>
  </si>
  <si>
    <t>HL ELITE,INDIANA DOT</t>
  </si>
  <si>
    <t>HL15PC-INDOT</t>
  </si>
  <si>
    <t>HL ELITE,AMB,PERM MNT,AMB DOME</t>
  </si>
  <si>
    <t>HL15P-A-CE</t>
  </si>
  <si>
    <t>KIT,HL15,WING LIGHT,10FT CABLE</t>
  </si>
  <si>
    <t>HL15-HDKIT</t>
  </si>
  <si>
    <t>HL MICRO, A, PERM MNT,AMB DOME</t>
  </si>
  <si>
    <t>HL10P-CALDOT</t>
  </si>
  <si>
    <t>KIT,HL10,WING LIGHT,10FT CABLE</t>
  </si>
  <si>
    <t>HL10-HDKIT</t>
  </si>
  <si>
    <t>CHMSL,DRILL-FREE BRKT,F-150</t>
  </si>
  <si>
    <t>CHMSL30-FRD23</t>
  </si>
  <si>
    <t>CHMSL18-FRD23</t>
  </si>
  <si>
    <t>ALGT61H,STOCKED BAR</t>
  </si>
  <si>
    <t>ALGT61H-TOWDP</t>
  </si>
  <si>
    <t>ALGT61H-TOW2FCW</t>
  </si>
  <si>
    <t>ALGT61H-TOW2FC</t>
  </si>
  <si>
    <t>ALGT53H,STOCKED BAR</t>
  </si>
  <si>
    <t>ALGT53H-TOW2FC</t>
  </si>
  <si>
    <t>ALGT53H-AMBR1HC</t>
  </si>
  <si>
    <t>ALGT53H-AMBR1FC</t>
  </si>
  <si>
    <t>ALGT45S,SPCL,STOCKED BAR</t>
  </si>
  <si>
    <t>ALGT45S-NCDOT</t>
  </si>
  <si>
    <t>ALGT45H,STOCKED BAR</t>
  </si>
  <si>
    <t>ALGT45H-AMBR1HC</t>
  </si>
  <si>
    <t>ALGT45H-AMBR1FC</t>
  </si>
  <si>
    <t>INTERCOM,12VDC,PRIMARY</t>
  </si>
  <si>
    <t>AD-26C-1-2-4-HD</t>
  </si>
  <si>
    <t>REPL ROCKER SWITCH</t>
  </si>
  <si>
    <t>671512</t>
  </si>
  <si>
    <t>LAMP, INDICATOR, FLASHING OR S</t>
  </si>
  <si>
    <t>607121-04SB</t>
  </si>
  <si>
    <t>KIT, DEUTSCH, TWO PIN</t>
  </si>
  <si>
    <t>605200D</t>
  </si>
  <si>
    <t>QUAD BOX CABLE, DUAL COLOR</t>
  </si>
  <si>
    <t>605015-30-D</t>
  </si>
  <si>
    <t>QUAD BOX CABLE, SINGLE COLOR</t>
  </si>
  <si>
    <t>605015-30</t>
  </si>
  <si>
    <t>2CH EXTERNAL RELAY</t>
  </si>
  <si>
    <t>605012</t>
  </si>
  <si>
    <t>FLASHER, DOT, 30 AMP</t>
  </si>
  <si>
    <t>605010</t>
  </si>
  <si>
    <t>851 LED LIGHT</t>
  </si>
  <si>
    <t>420450-02</t>
  </si>
  <si>
    <t>651 LED LIGHT</t>
  </si>
  <si>
    <t>420223-02</t>
  </si>
  <si>
    <t>651 UTILITY LED LIGHT</t>
  </si>
  <si>
    <t>420222-02</t>
  </si>
  <si>
    <t>SPIRE,TALL PLUS,MAG/SUC MNT,</t>
  </si>
  <si>
    <t>220TS-AW</t>
  </si>
  <si>
    <t>220TS-AR</t>
  </si>
  <si>
    <t>220TS-AG</t>
  </si>
  <si>
    <t>220TS-AB</t>
  </si>
  <si>
    <t>SPIRE,TALL PLUS,POLY FLNG,</t>
  </si>
  <si>
    <t>220TP-AW</t>
  </si>
  <si>
    <t>220TP-AR</t>
  </si>
  <si>
    <t>220TP-AG</t>
  </si>
  <si>
    <t>220TP-AB</t>
  </si>
  <si>
    <t>SPIRE,TALL PLUS,MAG MNT,</t>
  </si>
  <si>
    <t>220TM-AW</t>
  </si>
  <si>
    <t>220TM-AR</t>
  </si>
  <si>
    <t>220TM-AG</t>
  </si>
  <si>
    <t>220TM-AB</t>
  </si>
  <si>
    <t>SPIRE,TALL PLUS,DIECAST FLNG,</t>
  </si>
  <si>
    <t>220TD-AW</t>
  </si>
  <si>
    <t>220TD-AR</t>
  </si>
  <si>
    <t>220TD-AG</t>
  </si>
  <si>
    <t>220TD-AB</t>
  </si>
  <si>
    <t>SPIRE,TALL PLUS CORE,</t>
  </si>
  <si>
    <t>220TC-AW</t>
  </si>
  <si>
    <t>220TC-AR</t>
  </si>
  <si>
    <t>220TC-AG</t>
  </si>
  <si>
    <t>220TC-AB</t>
  </si>
  <si>
    <t>SPIRE,SHORT PLUS,MAG/SUC MNT,</t>
  </si>
  <si>
    <t>220SS-AW</t>
  </si>
  <si>
    <t>220SS-AR</t>
  </si>
  <si>
    <t>220SS-AG</t>
  </si>
  <si>
    <t>220SS-AB</t>
  </si>
  <si>
    <t>SPIRE,SHORT PLUS,POLY FLNG,</t>
  </si>
  <si>
    <t>220SP-AW</t>
  </si>
  <si>
    <t>220SP-AR</t>
  </si>
  <si>
    <t>220SP-AG</t>
  </si>
  <si>
    <t>220SP-AB</t>
  </si>
  <si>
    <t>SPIRE,SHORT PLUS,MAG MNT,</t>
  </si>
  <si>
    <t>220SM-AW</t>
  </si>
  <si>
    <t>220SM-AR</t>
  </si>
  <si>
    <t>220SM-AG</t>
  </si>
  <si>
    <t>220SM-AB</t>
  </si>
  <si>
    <t>SPIRE,SHORT PLUS,DIECST FLNG,</t>
  </si>
  <si>
    <t>220SD-AW</t>
  </si>
  <si>
    <t>220SD-AR</t>
  </si>
  <si>
    <t>220SD-AG</t>
  </si>
  <si>
    <t>220SD-AB</t>
  </si>
  <si>
    <t>SPIRE,SHORT PLUS CORE,</t>
  </si>
  <si>
    <t>220SC-AW</t>
  </si>
  <si>
    <t>220SC-AR</t>
  </si>
  <si>
    <t>220SC-AG</t>
  </si>
  <si>
    <t>220SC-AB</t>
  </si>
  <si>
    <t>ENDCAP KIT,ROOF MOUNT BAR</t>
  </si>
  <si>
    <t>210962SSG</t>
  </si>
  <si>
    <t>KIT,MOUNTING BAR,65"</t>
  </si>
  <si>
    <t>210960-65</t>
  </si>
  <si>
    <t>KIT,MOUNTING BAR,46"</t>
  </si>
  <si>
    <t>210960-46</t>
  </si>
  <si>
    <t>ALUM 3/4" PIPE/FLUSH BOTT</t>
  </si>
  <si>
    <t>210924SSG</t>
  </si>
  <si>
    <t>MG MNT KIT,FIREBOLTS</t>
  </si>
  <si>
    <t>210728</t>
  </si>
  <si>
    <t>PANEL,TOGGLE,1-HOLE</t>
  </si>
  <si>
    <t>210624SSG</t>
  </si>
  <si>
    <t>SWITCH,2 POS,TOGGLE,BLACK</t>
  </si>
  <si>
    <t>210620SSG</t>
  </si>
  <si>
    <t>KIT,L-BRKT,FIREBOLT</t>
  </si>
  <si>
    <t>210539</t>
  </si>
  <si>
    <t>SWITCH,ONE DIRECTIONAL</t>
  </si>
  <si>
    <t>210299SSG</t>
  </si>
  <si>
    <t>REPL DOME,POLY,FB/FB+-C</t>
  </si>
  <si>
    <t>205582-95</t>
  </si>
  <si>
    <t>REPL DOME,POLY,FB/FB+-A</t>
  </si>
  <si>
    <t>205580-95</t>
  </si>
  <si>
    <t>REPL DOME GASKET</t>
  </si>
  <si>
    <t>205004-95</t>
  </si>
  <si>
    <t>200TS-W</t>
  </si>
  <si>
    <t>200TS-R</t>
  </si>
  <si>
    <t>200TS-G</t>
  </si>
  <si>
    <t>200TS-B</t>
  </si>
  <si>
    <t>200TS-A</t>
  </si>
  <si>
    <t>200TP-W</t>
  </si>
  <si>
    <t>200TP-R</t>
  </si>
  <si>
    <t>200TP-G</t>
  </si>
  <si>
    <t>200TP-B</t>
  </si>
  <si>
    <t>200TP-A</t>
  </si>
  <si>
    <t>200TM-W</t>
  </si>
  <si>
    <t>200TM-R</t>
  </si>
  <si>
    <t>200TM-G</t>
  </si>
  <si>
    <t>200TM-B</t>
  </si>
  <si>
    <t>200TM-A</t>
  </si>
  <si>
    <t>200TD-W</t>
  </si>
  <si>
    <t>200TD-R</t>
  </si>
  <si>
    <t>200TD-G</t>
  </si>
  <si>
    <t>200TDDC-A</t>
  </si>
  <si>
    <t>200TD-B</t>
  </si>
  <si>
    <t>200TD-A</t>
  </si>
  <si>
    <t>200TC-W</t>
  </si>
  <si>
    <t>200TC-R</t>
  </si>
  <si>
    <t>200TC-G</t>
  </si>
  <si>
    <t>200TC-B</t>
  </si>
  <si>
    <t>200TC-A</t>
  </si>
  <si>
    <t>200SS-W</t>
  </si>
  <si>
    <t>200SS-R</t>
  </si>
  <si>
    <t>200SS-G</t>
  </si>
  <si>
    <t>200SS-B</t>
  </si>
  <si>
    <t>200SS-A</t>
  </si>
  <si>
    <t>200SP-W</t>
  </si>
  <si>
    <t>200SP-R</t>
  </si>
  <si>
    <t>200SP-G</t>
  </si>
  <si>
    <t>200SP-B</t>
  </si>
  <si>
    <t>200SP-A</t>
  </si>
  <si>
    <t>200SM-W</t>
  </si>
  <si>
    <t>200SM-R</t>
  </si>
  <si>
    <t>200SM-G</t>
  </si>
  <si>
    <t>200SM-B</t>
  </si>
  <si>
    <t>200SM-A</t>
  </si>
  <si>
    <t>200SD-W</t>
  </si>
  <si>
    <t>SPIRE,SHORT PLS,DIECAST FLNG,</t>
  </si>
  <si>
    <t>200SDU-A</t>
  </si>
  <si>
    <t>200SD-R</t>
  </si>
  <si>
    <t>200SD-G</t>
  </si>
  <si>
    <t>200SDDC-A</t>
  </si>
  <si>
    <t>200SD-B</t>
  </si>
  <si>
    <t>200SD-A</t>
  </si>
  <si>
    <t>200SC-W</t>
  </si>
  <si>
    <t>200SC-R</t>
  </si>
  <si>
    <t>200SC-G</t>
  </si>
  <si>
    <t>200SC-B</t>
  </si>
  <si>
    <t>200SC-A</t>
  </si>
  <si>
    <t>KITS,SPIRE,POLY FLNGMNT,10P</t>
  </si>
  <si>
    <t>200POLY-MP10</t>
  </si>
  <si>
    <t>DUST COVER, SPIRE, TALL</t>
  </si>
  <si>
    <t>200DC-TALL</t>
  </si>
  <si>
    <t>DUST COVER, SPIRE, SHORT</t>
  </si>
  <si>
    <t>200DC-SHORT</t>
  </si>
  <si>
    <t>BRANCH GUARD, SPIRE, TALL</t>
  </si>
  <si>
    <t>200B-TALL</t>
  </si>
  <si>
    <t>BRANCH GUARD, SPIRE, SHORT</t>
  </si>
  <si>
    <t>200B-SHORT</t>
  </si>
  <si>
    <t>REPL DOME,651/901-A</t>
  </si>
  <si>
    <t>200767-95</t>
  </si>
  <si>
    <t>SPIRE,TALL STD,MAG/SUC MNT,</t>
  </si>
  <si>
    <t>100TS-W</t>
  </si>
  <si>
    <t>100TS-R</t>
  </si>
  <si>
    <t>100TS-G</t>
  </si>
  <si>
    <t>100TS-B</t>
  </si>
  <si>
    <t>100TS-A</t>
  </si>
  <si>
    <t>SPIRE , TALL STD, RUBBER</t>
  </si>
  <si>
    <t>100TR-W</t>
  </si>
  <si>
    <t>100TR-R</t>
  </si>
  <si>
    <t>100TR-G</t>
  </si>
  <si>
    <t>100TR-B</t>
  </si>
  <si>
    <t>100TR-A</t>
  </si>
  <si>
    <t>SPIRE,TALL STD,POLY FLNG,</t>
  </si>
  <si>
    <t>100TP-W</t>
  </si>
  <si>
    <t>100TP-R</t>
  </si>
  <si>
    <t>100TP-G</t>
  </si>
  <si>
    <t>100TP-B</t>
  </si>
  <si>
    <t>100TP-A</t>
  </si>
  <si>
    <t>SPIRE,TALL STD,MAG MNT,</t>
  </si>
  <si>
    <t>100TM-W</t>
  </si>
  <si>
    <t>100TM-R</t>
  </si>
  <si>
    <t>100TM-G</t>
  </si>
  <si>
    <t>100TM-B</t>
  </si>
  <si>
    <t>SPIRE,TALL STD, MAG MNT,</t>
  </si>
  <si>
    <t>100TM-A</t>
  </si>
  <si>
    <t>SPIRE,TALL STD,DIECAST FLNG,</t>
  </si>
  <si>
    <t>100TD-W</t>
  </si>
  <si>
    <t>100TD-R</t>
  </si>
  <si>
    <t>100TD-G</t>
  </si>
  <si>
    <t>SPIRE,TALL,STD,DIECAST FLNG,</t>
  </si>
  <si>
    <t>100TDDC-A</t>
  </si>
  <si>
    <t>100TD-B</t>
  </si>
  <si>
    <t>100TD-A</t>
  </si>
  <si>
    <t>SPIRE,TALL STD CORE,</t>
  </si>
  <si>
    <t>100TC-W</t>
  </si>
  <si>
    <t>100TC-R</t>
  </si>
  <si>
    <t>100TC-G</t>
  </si>
  <si>
    <t>100TC-B</t>
  </si>
  <si>
    <t>100TC-A</t>
  </si>
  <si>
    <t>SPIRE,SHORT STD, MAG/SUC MT,</t>
  </si>
  <si>
    <t>100SS-W</t>
  </si>
  <si>
    <t>100SS-R</t>
  </si>
  <si>
    <t>100SS-G</t>
  </si>
  <si>
    <t>100SS-B</t>
  </si>
  <si>
    <t>100SS-A</t>
  </si>
  <si>
    <t>SPIRE, SHORT STD, RUBBER</t>
  </si>
  <si>
    <t>100SR-W</t>
  </si>
  <si>
    <t>100SR-R</t>
  </si>
  <si>
    <t>100SR-G</t>
  </si>
  <si>
    <t>100SR-B</t>
  </si>
  <si>
    <t>100SR-A</t>
  </si>
  <si>
    <t>SPIRE,SHORT STD,POLY FLNG,</t>
  </si>
  <si>
    <t>100SP-W</t>
  </si>
  <si>
    <t>100SP-R</t>
  </si>
  <si>
    <t>100SP-G</t>
  </si>
  <si>
    <t>100SP-B</t>
  </si>
  <si>
    <t>100SP-A</t>
  </si>
  <si>
    <t>SPIRE,SHORT STD, MAG MNT,</t>
  </si>
  <si>
    <t>100SM-W</t>
  </si>
  <si>
    <t>100SM-R</t>
  </si>
  <si>
    <t>100SM-G</t>
  </si>
  <si>
    <t>100SM-B</t>
  </si>
  <si>
    <t>100SM-A</t>
  </si>
  <si>
    <t>SPIRE,SHORT STD,DIECAST FLNG,</t>
  </si>
  <si>
    <t>100SD-W</t>
  </si>
  <si>
    <t>100SDU-A</t>
  </si>
  <si>
    <t>100SD-R</t>
  </si>
  <si>
    <t>100SD-G</t>
  </si>
  <si>
    <t>100SDDC-A</t>
  </si>
  <si>
    <t>100SD-B</t>
  </si>
  <si>
    <t>100SD-A</t>
  </si>
  <si>
    <t>SPIRE,SHORT STD CORE,</t>
  </si>
  <si>
    <t>100SC-W</t>
  </si>
  <si>
    <t>100SC-R</t>
  </si>
  <si>
    <t>100SC-G</t>
  </si>
  <si>
    <t>100SC-B</t>
  </si>
  <si>
    <t>100SC-A</t>
  </si>
  <si>
    <t>SOLENOID AND FOOT SWITCH KIT,</t>
  </si>
  <si>
    <t>Q2B-SWKIT</t>
  </si>
  <si>
    <t>BLK CHRM,PEDSTL. MNT,MECH,Q2B</t>
  </si>
  <si>
    <t>Q2B-P-BLK</t>
  </si>
  <si>
    <t>BLK CHRM,RECESS MNT,MECH,Q2B</t>
  </si>
  <si>
    <t>Q2B-NN-BLK</t>
  </si>
  <si>
    <t>SIREN,12V,PEDESTAL MNT.</t>
  </si>
  <si>
    <t>Q2B-012PSD</t>
  </si>
  <si>
    <t>SIREN,12V,NO BASE</t>
  </si>
  <si>
    <t>Q2B-012NNSD</t>
  </si>
  <si>
    <t>ELECTRONIC Q-SIREN, 200W</t>
  </si>
  <si>
    <t>EQ2B-CAL-F</t>
  </si>
  <si>
    <t>EQ2B SIREN,200W,FLUSH MNT</t>
  </si>
  <si>
    <t>EQ2B-200FM</t>
  </si>
  <si>
    <t>ELECTRONIC Q SIREN, 200W, RCFD</t>
  </si>
  <si>
    <t>EQ2B-200-RCFD</t>
  </si>
  <si>
    <t>EQ2B-200</t>
  </si>
  <si>
    <t>ELECTRONIC Q-SIREN, 100W</t>
  </si>
  <si>
    <t>EQ2B-100</t>
  </si>
  <si>
    <t>LENS,SML</t>
  </si>
  <si>
    <t>Z8652133B</t>
  </si>
  <si>
    <t>BRKT,OUT,PS,UNIV,SIFZ ILS</t>
  </si>
  <si>
    <t>Z862401211</t>
  </si>
  <si>
    <t>BRKT,OUT,DS,UNIV,SIFZ ILS</t>
  </si>
  <si>
    <t>Z862401210</t>
  </si>
  <si>
    <t>BRKT,CTR,PS,UNIV,SIFZ ILS</t>
  </si>
  <si>
    <t>Z862401209</t>
  </si>
  <si>
    <t>BRKT,CTR,DS,UNIV,SIFZ ILS</t>
  </si>
  <si>
    <t>Z862401208</t>
  </si>
  <si>
    <t>BRKT,SLOT,UNIV,SIFZ ILS</t>
  </si>
  <si>
    <t>Z862401207</t>
  </si>
  <si>
    <t>AMP.650002,100W</t>
  </si>
  <si>
    <t>Z8615011A-02</t>
  </si>
  <si>
    <t>BRKT,CHGR,MPS620U,PIT BUMPER</t>
  </si>
  <si>
    <t>Z861302679B</t>
  </si>
  <si>
    <t>SSP3-CTRL HD KIT</t>
  </si>
  <si>
    <t>Z853600955</t>
  </si>
  <si>
    <t>PCBA,LATITUDE SL8C,PS,RAAA</t>
  </si>
  <si>
    <t>Z20000241-RAAA</t>
  </si>
  <si>
    <t>PCBA,LATITUDE SL8C,PS,BBBB</t>
  </si>
  <si>
    <t>Z20000241-BBBB</t>
  </si>
  <si>
    <t>PCBA,LATITUDE SL8C,PS,BAAA</t>
  </si>
  <si>
    <t>Z20000241-BAAA</t>
  </si>
  <si>
    <t>FERRITE,CLAMP ON,TYPE 31,</t>
  </si>
  <si>
    <t>Z11300062A</t>
  </si>
  <si>
    <t>KIT, 4TH GEN RAM, XSTREAM,</t>
  </si>
  <si>
    <t>XSMBKT16</t>
  </si>
  <si>
    <t>BRKT KIT,24MUST,XSTREAM,VISOR,</t>
  </si>
  <si>
    <t>XSMBKT15</t>
  </si>
  <si>
    <t>BRKT KIT,21TAH,XSTREAM,VISOR,</t>
  </si>
  <si>
    <t>XSMBKT14</t>
  </si>
  <si>
    <t>BRKT KIT, FRD RNGR, DUAL, REAR</t>
  </si>
  <si>
    <t>XSMBKT13</t>
  </si>
  <si>
    <t>BRKT KIT,11DUR,XSTREAM,</t>
  </si>
  <si>
    <t>XSMBKT12</t>
  </si>
  <si>
    <t>BRKT KIT,20FPIU,XSTREAM,DUAL</t>
  </si>
  <si>
    <t>XSMBKT11</t>
  </si>
  <si>
    <t>BRKT KIT,F-150,XSTREAM,DUAL</t>
  </si>
  <si>
    <t>XSMBKT10</t>
  </si>
  <si>
    <t>BRKT KIT,CHGR,XSTREAM,DUAL</t>
  </si>
  <si>
    <t>XSMBKT07</t>
  </si>
  <si>
    <t>KIT,UNIV HDLNR MNT,XSTREAM</t>
  </si>
  <si>
    <t>XSMBKT03</t>
  </si>
  <si>
    <t>KIT,ADJ SWVL MNT,XSTREAM</t>
  </si>
  <si>
    <t>XSMBKT02</t>
  </si>
  <si>
    <t>KIT,VISOR MNT,XSTREAM</t>
  </si>
  <si>
    <t>XSMBKT01</t>
  </si>
  <si>
    <t>XSTREAM,DUAL,STDY,WAG</t>
  </si>
  <si>
    <t>XSM2X-WAG-US</t>
  </si>
  <si>
    <t>XSTREAM,DUAL,STDY,RWA</t>
  </si>
  <si>
    <t>XSM2X-RWA-US</t>
  </si>
  <si>
    <t>XSTREAM,DUAL,STDY,BWA</t>
  </si>
  <si>
    <t>XSM2X-BWA-US</t>
  </si>
  <si>
    <t>XSTREAM,DUAL,STDY,BRW</t>
  </si>
  <si>
    <t>XSM2X-BRW-US</t>
  </si>
  <si>
    <t>XSTREAM,DUAL,STDY,BRA</t>
  </si>
  <si>
    <t>XSM2X-BRA-US</t>
  </si>
  <si>
    <t>XSTREAM,DUAL,SYNC,WAG,US</t>
  </si>
  <si>
    <t>XSM2-WAG-US</t>
  </si>
  <si>
    <t>XSTREAM,DUAL,SYNC,RWA</t>
  </si>
  <si>
    <t>XSM2-RWA-US</t>
  </si>
  <si>
    <t>XSTREAM,DUAL,CIG,BRW,US</t>
  </si>
  <si>
    <t>XSM2C-BRW-US</t>
  </si>
  <si>
    <t>XSTREAM,DUAL,SYNC,BWA,US</t>
  </si>
  <si>
    <t>XSM2-BWA-US</t>
  </si>
  <si>
    <t>XSTREAM,DUAL,SYNC,BRW,US</t>
  </si>
  <si>
    <t>XSM2-BRW-US</t>
  </si>
  <si>
    <t>XSTREAM,DUAL,SYNC,BRA,US</t>
  </si>
  <si>
    <t>XSM2-BRA-US</t>
  </si>
  <si>
    <t>XSTREAM,SNGL,STDY,WAG</t>
  </si>
  <si>
    <t>XSM1X-WAG-US</t>
  </si>
  <si>
    <t>XSTREAM,SNGL,STDY,RWA</t>
  </si>
  <si>
    <t>XSM1X-RWA-US</t>
  </si>
  <si>
    <t>XSTREAM,SNGL,STDY,BWA</t>
  </si>
  <si>
    <t>XSM1X-BWA-US</t>
  </si>
  <si>
    <t>XSTREAM,SPCL,SNGL,SYNC,XBRW</t>
  </si>
  <si>
    <t>XSM1X-BRW-US</t>
  </si>
  <si>
    <t>XSTREAM,SNGL,STDY,BRA</t>
  </si>
  <si>
    <t>XSM1X-BRA-US</t>
  </si>
  <si>
    <t>XSTREAM,SNGL,SYNC,WAG,US</t>
  </si>
  <si>
    <t>XSM1-WAG-US</t>
  </si>
  <si>
    <t>XSTREAM,SNGL,SYNC,RWA</t>
  </si>
  <si>
    <t>XSM1-RWA-US</t>
  </si>
  <si>
    <t>XSTREAM,SNGL,CIG,WAG,US</t>
  </si>
  <si>
    <t>XSM1C-WAG-US</t>
  </si>
  <si>
    <t>XSTREAM,SNGL,CIG,RWA,US</t>
  </si>
  <si>
    <t>XSM1C-RWA-US</t>
  </si>
  <si>
    <t>XSTREAM,SNGL,CIG,BWA,US</t>
  </si>
  <si>
    <t>XSM1C-BWA-US</t>
  </si>
  <si>
    <t>XSTREAM,SNGL,CIG,BRW,US</t>
  </si>
  <si>
    <t>XSM1C-BRW-US</t>
  </si>
  <si>
    <t>XSTREAM,SNGL,SYNC,BWA,US</t>
  </si>
  <si>
    <t>XSM1-BWA-US</t>
  </si>
  <si>
    <t>XSTREAM,SNGL,SYNC,BRW,US</t>
  </si>
  <si>
    <t>XSM1-BRW-US</t>
  </si>
  <si>
    <t>XSTREAM,SNGL,SYNC,BRA,US</t>
  </si>
  <si>
    <t>XSM1-BRA-US</t>
  </si>
  <si>
    <t>VISION 6 POD SPLIT RWRBWB</t>
  </si>
  <si>
    <t>VSLR6DS-INT002</t>
  </si>
  <si>
    <t>VISION 6 POD SPLIT RWRRWR</t>
  </si>
  <si>
    <t>VSLR6DS-INT001</t>
  </si>
  <si>
    <t>VISION SLR,RED/CLR,W/AMB</t>
  </si>
  <si>
    <t>VSLR1-R2A02</t>
  </si>
  <si>
    <t>VISION SLR,RED/CLR,SNGL</t>
  </si>
  <si>
    <t>VSLR1-R2</t>
  </si>
  <si>
    <t>VIS SLR,RED/RED,RED IPX6,</t>
  </si>
  <si>
    <t>VSLR1-R1R21</t>
  </si>
  <si>
    <t>RED/RED POD, RED/PLAIN CLR IPX</t>
  </si>
  <si>
    <t>VSLR1-R1R02</t>
  </si>
  <si>
    <t>VIS SLR,RED/RED SNGL POD</t>
  </si>
  <si>
    <t>VSLR1-R1B12</t>
  </si>
  <si>
    <t>VISION SLR,RED/RED.W/AMB</t>
  </si>
  <si>
    <t>VSLR1-R1A02</t>
  </si>
  <si>
    <t>VISION SLR,RED/RED</t>
  </si>
  <si>
    <t>VSLR1-R1</t>
  </si>
  <si>
    <t>VISION SLR,A/C SNGL</t>
  </si>
  <si>
    <t>VSLR1P-A2R02</t>
  </si>
  <si>
    <t>VISION SLR,GRN/CLR SNGL</t>
  </si>
  <si>
    <t>VSLR1-G2</t>
  </si>
  <si>
    <t>VISION SLR,GRN/GRN SNGL</t>
  </si>
  <si>
    <t>VSLR1-G1</t>
  </si>
  <si>
    <t>VSLR1D-A2R02</t>
  </si>
  <si>
    <t>VISION SLR,BLUE/CLEAR</t>
  </si>
  <si>
    <t>VSLR1-B2</t>
  </si>
  <si>
    <t>VIS SLR,BLU/BLU SNGL POD</t>
  </si>
  <si>
    <t>VSLR1-B1A02</t>
  </si>
  <si>
    <t>VISION SLR,BLUE/BLUE SNGL</t>
  </si>
  <si>
    <t>VSLR1-B1</t>
  </si>
  <si>
    <t>VSLR1 AMB/CLR, RED/CLR</t>
  </si>
  <si>
    <t>VSLR1-A2R02</t>
  </si>
  <si>
    <t>VISION SLR,AMBER/CLEAR</t>
  </si>
  <si>
    <t>VSLR1-A2</t>
  </si>
  <si>
    <t>VSLR1 AMB/AMB, RED/CLR</t>
  </si>
  <si>
    <t>VSLR1-A1R02</t>
  </si>
  <si>
    <t>VISION SLR,AMB/AMB.W/AMB IPX</t>
  </si>
  <si>
    <t>VSLR1-A1A02</t>
  </si>
  <si>
    <t>VISION SLR,AMBER/AMBER</t>
  </si>
  <si>
    <t>VSLR1-A1</t>
  </si>
  <si>
    <t>KIT1, VEHICLE HARNESS</t>
  </si>
  <si>
    <t>VHARN1</t>
  </si>
  <si>
    <t>VALR51J,STOCKED</t>
  </si>
  <si>
    <t>VALR51J-PF3L</t>
  </si>
  <si>
    <t>VALR51J-PF3AL</t>
  </si>
  <si>
    <t>VALR51J-P2BL</t>
  </si>
  <si>
    <t>VALR51J-P1BL</t>
  </si>
  <si>
    <t>VALR51J-P1BH</t>
  </si>
  <si>
    <t>VALR44J,STOCKED</t>
  </si>
  <si>
    <t>VALR44J-PF3L</t>
  </si>
  <si>
    <t>VALR44J-PF3AL</t>
  </si>
  <si>
    <t>VALR44J-P2BL</t>
  </si>
  <si>
    <t>VALR44J-P1C</t>
  </si>
  <si>
    <t>VALR44J-P1BL</t>
  </si>
  <si>
    <t>VALR44J-P1BH</t>
  </si>
  <si>
    <t>PARK SIREN DEACTIVATOR</t>
  </si>
  <si>
    <t>UPKM-3</t>
  </si>
  <si>
    <t>UNIVERSAL PERM. MNTG. KIT</t>
  </si>
  <si>
    <t>UNPK</t>
  </si>
  <si>
    <t>UNIVERSAL HOOK MNTG. KIT</t>
  </si>
  <si>
    <t>UNHK</t>
  </si>
  <si>
    <t>K/UNDERCOVER ROTARY SWTCH</t>
  </si>
  <si>
    <t>UM3500K</t>
  </si>
  <si>
    <t>MIC ADAPTER,ULM60-SSP</t>
  </si>
  <si>
    <t>ULM60-SSP</t>
  </si>
  <si>
    <t>MIC ADAPTER,ULM60-RJ11</t>
  </si>
  <si>
    <t>ULM60-RJ11</t>
  </si>
  <si>
    <t>MIC ADAPTER,ULM60,PATHFINDER</t>
  </si>
  <si>
    <t>ULM60-PF</t>
  </si>
  <si>
    <t>CNTRL UNIT,LD300/CO301</t>
  </si>
  <si>
    <t>UC300</t>
  </si>
  <si>
    <t>SPEAKER,100W,NEO MAGNET,</t>
  </si>
  <si>
    <t>TS100-N</t>
  </si>
  <si>
    <t>SWITCH,7-CONTROL W/SLIDE &amp;</t>
  </si>
  <si>
    <t>SW400SS-B</t>
  </si>
  <si>
    <t>6-SWITCH CONTROL W/ BRKT</t>
  </si>
  <si>
    <t>SW300-B</t>
  </si>
  <si>
    <t>SWITCH,3-CONTROL</t>
  </si>
  <si>
    <t>SW30</t>
  </si>
  <si>
    <t>4-SWITCH CONTROL W/ BRKT</t>
  </si>
  <si>
    <t>SW200-B</t>
  </si>
  <si>
    <t>TWO ROCKER SWITCH</t>
  </si>
  <si>
    <t>SW2</t>
  </si>
  <si>
    <t>ONE ROCKER SWITCH KIT</t>
  </si>
  <si>
    <t>SW1</t>
  </si>
  <si>
    <t>SMART SIREN PLATINUM</t>
  </si>
  <si>
    <t>SSP3000B</t>
  </si>
  <si>
    <t>SMART SIREN PLATINUM 2000B</t>
  </si>
  <si>
    <t>SSP2000B</t>
  </si>
  <si>
    <t>30-FT EXTENSION CABLE</t>
  </si>
  <si>
    <t>SMEXTENSION-30</t>
  </si>
  <si>
    <t>15-FT EXTENSION CABLE 8200SM</t>
  </si>
  <si>
    <t>SMEXTENSION-15</t>
  </si>
  <si>
    <t>SMCONTROL, PERMANENT BRACKET</t>
  </si>
  <si>
    <t>SMCONTROL-BRKT</t>
  </si>
  <si>
    <t>SIGNALMASTER CONTROLLER</t>
  </si>
  <si>
    <t>SMCONTROL</t>
  </si>
  <si>
    <t>30-FT SM CABLE</t>
  </si>
  <si>
    <t>SMCABLE-30</t>
  </si>
  <si>
    <t>15-FT SM CABLE</t>
  </si>
  <si>
    <t>SMCABLE-15</t>
  </si>
  <si>
    <t>BRKT KIT,CNSM/LAT,19SILV</t>
  </si>
  <si>
    <t>SLB-SIL19ND</t>
  </si>
  <si>
    <t>BRKT KIT,CNSM/LAT,15F-150</t>
  </si>
  <si>
    <t>SLB-FRD15ND</t>
  </si>
  <si>
    <t>KIT,BRKT,SHORT,CNSM/LAT</t>
  </si>
  <si>
    <t>SLB-002</t>
  </si>
  <si>
    <t>KIT,BRKT,LONG,CNSM/LAT</t>
  </si>
  <si>
    <t>SLB-001</t>
  </si>
  <si>
    <t>SIGNALMASTER,SOLARIS,8HD</t>
  </si>
  <si>
    <t>SL8S-RB</t>
  </si>
  <si>
    <t>8HD SIGNALMASTER,SOLARIS,</t>
  </si>
  <si>
    <t>SL8S-A-50</t>
  </si>
  <si>
    <t>48"LATITUDE SIGNALMASTER,50'</t>
  </si>
  <si>
    <t>SL8S-A48-50</t>
  </si>
  <si>
    <t>48"LATITUDE SIGNALMASTER,</t>
  </si>
  <si>
    <t>SL8S-A48-1DEU</t>
  </si>
  <si>
    <t>48" LATITUDE SIGNALMASTER</t>
  </si>
  <si>
    <t>SL8S-A48</t>
  </si>
  <si>
    <t>SL8S-A</t>
  </si>
  <si>
    <t>8HD FLASHNG SIGNALMASTER,</t>
  </si>
  <si>
    <t>SL8F-RB</t>
  </si>
  <si>
    <t>SL8F-R</t>
  </si>
  <si>
    <t>8HD FLASHING STCK LGHT WLC,</t>
  </si>
  <si>
    <t>SL8FF-RW</t>
  </si>
  <si>
    <t>8HD FLASHING STCK LGHT</t>
  </si>
  <si>
    <t>SL8F-BR</t>
  </si>
  <si>
    <t>8HD FLSHNG SGNALMSTR,-BBABBABB</t>
  </si>
  <si>
    <t>SL8F-BA</t>
  </si>
  <si>
    <t>SL8F-B</t>
  </si>
  <si>
    <t>8HD LATITUDE,FLASHING,AMB/WHT</t>
  </si>
  <si>
    <t>SL8F-AW</t>
  </si>
  <si>
    <t>SL8F-AG</t>
  </si>
  <si>
    <t>SL8F-A</t>
  </si>
  <si>
    <t>8HD LATITUDE,FLASHING,RBRBRBRB</t>
  </si>
  <si>
    <t>SL8F-4R4B</t>
  </si>
  <si>
    <t>8HD LATITUDE,SML,FLASHING ENDS</t>
  </si>
  <si>
    <t>SL8C-RAR</t>
  </si>
  <si>
    <t>SL8C-RAB</t>
  </si>
  <si>
    <t>SL8C-BBB</t>
  </si>
  <si>
    <t>SL8C-BAB</t>
  </si>
  <si>
    <t>SIGNALMASTER,SOLARIS,6HD</t>
  </si>
  <si>
    <t>SL6S-A</t>
  </si>
  <si>
    <t>6HD FLASHNG SIGNALMASTER,</t>
  </si>
  <si>
    <t>SL6F-RB</t>
  </si>
  <si>
    <t>SL6F-R</t>
  </si>
  <si>
    <t>6HD FLASHING STCK LGHT WLC,</t>
  </si>
  <si>
    <t>SL6FF-RW</t>
  </si>
  <si>
    <t>6HD FLASHING STCK LGHT</t>
  </si>
  <si>
    <t>SL6F-BR</t>
  </si>
  <si>
    <t>SL6F-B</t>
  </si>
  <si>
    <t>6HD LATITUDE,FLASHING,AMB/WHT</t>
  </si>
  <si>
    <t>SL6F-AW</t>
  </si>
  <si>
    <t>SL6F-A</t>
  </si>
  <si>
    <t>4HD FLASHNG SIGNALMASTER,</t>
  </si>
  <si>
    <t>SL4F-RB</t>
  </si>
  <si>
    <t>SL4F-R</t>
  </si>
  <si>
    <t>SL4F-B</t>
  </si>
  <si>
    <t>SL4F-A</t>
  </si>
  <si>
    <t>SL4F-2R2B</t>
  </si>
  <si>
    <t>SIFZJS,STOCKED</t>
  </si>
  <si>
    <t>SIFZJS-TAH21-P3</t>
  </si>
  <si>
    <t>SIFZJS,STOCKED,</t>
  </si>
  <si>
    <t>SIFZJS-TA15-P3</t>
  </si>
  <si>
    <t>SIFZJS-FPIU20-P3</t>
  </si>
  <si>
    <t>SIFZJS-FD15-P3</t>
  </si>
  <si>
    <t>SIFZJS-CHGR16-P3</t>
  </si>
  <si>
    <t>SIFMS, STOCKED, AMBR2FF</t>
  </si>
  <si>
    <t>SIFMS-AMBR2FF</t>
  </si>
  <si>
    <t>SIFMJR,STOCKED,</t>
  </si>
  <si>
    <t>SIFMJUR-MUST24-P3</t>
  </si>
  <si>
    <t>SIFMJS,STOCKED,</t>
  </si>
  <si>
    <t>SIFMJS-UNIV-P3</t>
  </si>
  <si>
    <t>SIFMJS,STOCKED</t>
  </si>
  <si>
    <t>SIFMJS-TAH21-P3</t>
  </si>
  <si>
    <t>SIFMJS-TA15-P3</t>
  </si>
  <si>
    <t>SIFMJS-SIL25-P3</t>
  </si>
  <si>
    <t>SIFMJS-SIL19-P3</t>
  </si>
  <si>
    <t>SIFMJS-MUST19-P3</t>
  </si>
  <si>
    <t>SIFMJS-MME21-P3</t>
  </si>
  <si>
    <t>SIFMJS-MAL16-P3</t>
  </si>
  <si>
    <t>SIFMJS, STOCKED</t>
  </si>
  <si>
    <t>SIFMJS-FPIU25-P3</t>
  </si>
  <si>
    <t>SIFMJS-FPIU20-P3</t>
  </si>
  <si>
    <t>SIFMJS-FD15-P3</t>
  </si>
  <si>
    <t>SIFMJS-EXPR18-P3</t>
  </si>
  <si>
    <t>SIFMJS-EXPD18-P3</t>
  </si>
  <si>
    <t>SIFMJS-ESC20-P3</t>
  </si>
  <si>
    <t>SIFMJS-DUR16-P3</t>
  </si>
  <si>
    <t>SIFMJS-CMRY22-P3</t>
  </si>
  <si>
    <t>SIFMJS-CMD17-P3</t>
  </si>
  <si>
    <t>SIFMJS-CHGR16-P3</t>
  </si>
  <si>
    <t>SIFMJS-CAM16-P3</t>
  </si>
  <si>
    <t>SIFMJR,STOCKED</t>
  </si>
  <si>
    <t>SIFMJR-MUST19-P3</t>
  </si>
  <si>
    <t>SIFMJR-FD15-PF2</t>
  </si>
  <si>
    <t>SIFMJR-FD15-PF1</t>
  </si>
  <si>
    <t>SIFMJR-FD15-P3</t>
  </si>
  <si>
    <t>SIFMJR-CHGR17-PF2</t>
  </si>
  <si>
    <t>SIFMJR-CHGR17-PF1</t>
  </si>
  <si>
    <t>SIFMJR-CHGR17-P3</t>
  </si>
  <si>
    <t>SIFMJR-CAM16-P3</t>
  </si>
  <si>
    <t>SIFMJP,STOCKED,</t>
  </si>
  <si>
    <t>SIFMJP-ESC20-P3</t>
  </si>
  <si>
    <t>SIFMJP-CMRY22-P3</t>
  </si>
  <si>
    <t>SIFMJH,STOCKED</t>
  </si>
  <si>
    <t>SIFMJH-TAH21-PF2</t>
  </si>
  <si>
    <t>SIFMJH-TAH21-PF1</t>
  </si>
  <si>
    <t>SIFMJH-TAH21-P3</t>
  </si>
  <si>
    <t>SIFMJH,STOCKED,</t>
  </si>
  <si>
    <t>SIFMJH-TA15-P3</t>
  </si>
  <si>
    <t>SIFMJH-MME21-P3</t>
  </si>
  <si>
    <t>SIFMJH-FPIU20-PF2</t>
  </si>
  <si>
    <t>SIFMJH-FPIU20-PF1</t>
  </si>
  <si>
    <t>SIFMJH-FPIU20-P3</t>
  </si>
  <si>
    <t>SIFMJH-DUR18-PF2</t>
  </si>
  <si>
    <t>SIFMJH-DUR18-PF1</t>
  </si>
  <si>
    <t>SIFMJH-DUR18-P3</t>
  </si>
  <si>
    <t>SIFMJD,STOCKED,</t>
  </si>
  <si>
    <t>SIFMJD-MUST24-P3</t>
  </si>
  <si>
    <t>AMP/TIMER &amp; SOLO RUMBLER SPKR</t>
  </si>
  <si>
    <t>RUMBLER-SOLO</t>
  </si>
  <si>
    <t>AMP/TIMER &amp; 2 COMPACT SPKRS</t>
  </si>
  <si>
    <t>AMP/TIMER &amp; 2 SPEAKERS</t>
  </si>
  <si>
    <t>RUMBLER-3</t>
  </si>
  <si>
    <t>KIT,INTERFACE CLONING</t>
  </si>
  <si>
    <t>ROCPR2</t>
  </si>
  <si>
    <t>REMOTE MIC KIT,SSP</t>
  </si>
  <si>
    <t>RMK-SSP</t>
  </si>
  <si>
    <t>REMOTE MIC KIT,PF400</t>
  </si>
  <si>
    <t>RMK-PF400</t>
  </si>
  <si>
    <t>MIC EXTEN. KIT SS2000</t>
  </si>
  <si>
    <t>RMK</t>
  </si>
  <si>
    <t>RLNT48,STOCKED</t>
  </si>
  <si>
    <t>RLNT48Z-GW1</t>
  </si>
  <si>
    <t>RLNT48JS,STOCKED</t>
  </si>
  <si>
    <t>RLNT48JS-NMOKTX</t>
  </si>
  <si>
    <t>RLNT48J,STOCKED</t>
  </si>
  <si>
    <t>RLNT48J-GW1-NBX</t>
  </si>
  <si>
    <t>RLNT48J-GW1</t>
  </si>
  <si>
    <t>RLNT48J-ARWH4</t>
  </si>
  <si>
    <t>RLNT48J-AMBR2N4</t>
  </si>
  <si>
    <t>RLNT48J-AMBR2H4</t>
  </si>
  <si>
    <t>RLNT48J-AMBR2F4</t>
  </si>
  <si>
    <t>RLNT48J-AGWN4</t>
  </si>
  <si>
    <t>RLNT48J-AGWH4</t>
  </si>
  <si>
    <t>RLNT48J-ABWN4</t>
  </si>
  <si>
    <t>RLNT48J-ABWH4</t>
  </si>
  <si>
    <t>RLNT48J-ABWF4</t>
  </si>
  <si>
    <t>RLNT48J-ABWF</t>
  </si>
  <si>
    <t>RLNT48J-ABRH4</t>
  </si>
  <si>
    <t>RLNT48J-02RR</t>
  </si>
  <si>
    <t>RLNT48J-02RB</t>
  </si>
  <si>
    <t>RLNT48J-02CC</t>
  </si>
  <si>
    <t>RLNT48J-02BB</t>
  </si>
  <si>
    <t>RLNT48J-01RR</t>
  </si>
  <si>
    <t>RLNT48J-01RB</t>
  </si>
  <si>
    <t>RLNT48J-01CC</t>
  </si>
  <si>
    <t>RLNT48J-01BB</t>
  </si>
  <si>
    <t>UNIVERSAL COMPACT/SOLO RUMBLER</t>
  </si>
  <si>
    <t>RB-UNIV</t>
  </si>
  <si>
    <t>KIT,MNTG,UNIV,RUMBLER</t>
  </si>
  <si>
    <t>RB-U</t>
  </si>
  <si>
    <t>BRKT KIT,RUMBLER,TAH21</t>
  </si>
  <si>
    <t>RB-TAH21</t>
  </si>
  <si>
    <t>BRKT KIT, RUMBLER, TAH15</t>
  </si>
  <si>
    <t>RB-TAH15</t>
  </si>
  <si>
    <t>RUMBLER ACTUATION SWITCH KIT</t>
  </si>
  <si>
    <t>RB-SW</t>
  </si>
  <si>
    <t>BRKT KIT,RUMBLER SOLO,21TAH,</t>
  </si>
  <si>
    <t>RBS-TAH21ND</t>
  </si>
  <si>
    <t>BRKT KIT,RUMBLER,20SILV HD,</t>
  </si>
  <si>
    <t>RB-SILHD20</t>
  </si>
  <si>
    <t>20FPIU, RUMBLER S/C PS KIT</t>
  </si>
  <si>
    <t>RBS-FPIU20ND</t>
  </si>
  <si>
    <t>RUMBLER BRKT KIT FOR CPD</t>
  </si>
  <si>
    <t>RBS-ES23</t>
  </si>
  <si>
    <t>23+ DURANGO COMPACT/SOLO</t>
  </si>
  <si>
    <t>RBS-DUR23ND</t>
  </si>
  <si>
    <t>BRKT KIT,RUMBLER SOLO,15CHGR`</t>
  </si>
  <si>
    <t>RBS-CHGR15</t>
  </si>
  <si>
    <t>BRKT KIT, RUMBLER,16RAM</t>
  </si>
  <si>
    <t>RB-RAM16</t>
  </si>
  <si>
    <t>KIT,SINGLE SOLO RUMBLER SPKR</t>
  </si>
  <si>
    <t>RBKIT-SOLO</t>
  </si>
  <si>
    <t>KIT,2 COMPACT RUMBLER SPKRS</t>
  </si>
  <si>
    <t>KIT,DUAL RUMBLER SPKR</t>
  </si>
  <si>
    <t>RBKIT2</t>
  </si>
  <si>
    <t>KIT,1 COMPACT RUMBLER SPKR</t>
  </si>
  <si>
    <t>RBKIT1-COMPACT</t>
  </si>
  <si>
    <t>KIT,SINGLE RUMBLER SPKR</t>
  </si>
  <si>
    <t>RBKIT1</t>
  </si>
  <si>
    <t>KIT,MTG,RMBLR,GVAN,11</t>
  </si>
  <si>
    <t>RB-GVAN11</t>
  </si>
  <si>
    <t>BRKT KIT,RUMBLER,15F-150,ECO</t>
  </si>
  <si>
    <t>RB-FRD15E</t>
  </si>
  <si>
    <t>BRKT KIT,2015 F150,RUMBLER</t>
  </si>
  <si>
    <t>RB-FRD15</t>
  </si>
  <si>
    <t>RUMB. BRKT.KIT,FPIU20,NO-DRILL</t>
  </si>
  <si>
    <t>RB-FPIU20</t>
  </si>
  <si>
    <t>KIT,RMBLR, FORD HEAVY 2017</t>
  </si>
  <si>
    <t>RB-FHD17</t>
  </si>
  <si>
    <t>KIT,MNTG,08 F-SUPERDUTY,R</t>
  </si>
  <si>
    <t>RB-FHD08</t>
  </si>
  <si>
    <t>BRKT KIT,FORD ESCAPE,2020,4TH</t>
  </si>
  <si>
    <t>RB-ESC20</t>
  </si>
  <si>
    <t>KIT,MNTG,RUMBLER,'08</t>
  </si>
  <si>
    <t>RB-ES08</t>
  </si>
  <si>
    <t>BRKT KIT, RUMBLER, DUR19</t>
  </si>
  <si>
    <t>RB-DUR19</t>
  </si>
  <si>
    <t>BRKT KIT, RUMBLER, DUR15-18</t>
  </si>
  <si>
    <t>RB-DUR15</t>
  </si>
  <si>
    <t>BRKT KIT RUMBLER CHGR15</t>
  </si>
  <si>
    <t>RB-CHGR15</t>
  </si>
  <si>
    <t>BRKT KIT,RUMBLER COMP,21TAH,</t>
  </si>
  <si>
    <t>RBC2-TAH21ND</t>
  </si>
  <si>
    <t>2019+ DODGE DURANGO</t>
  </si>
  <si>
    <t>RBC2-RAM19ND-C15</t>
  </si>
  <si>
    <t>21+ FPIU ECO/PB 2 COMPACT</t>
  </si>
  <si>
    <t>RBC2PB-FPIU21-ECO</t>
  </si>
  <si>
    <t>MOUNTING KIT FOR 2 COMPACTS</t>
  </si>
  <si>
    <t>RBC2PB-FPIU20</t>
  </si>
  <si>
    <t>DURNAGO WESTIN PITBAR</t>
  </si>
  <si>
    <t>RBC2PB-DUR21-WES</t>
  </si>
  <si>
    <t>21+ DURANGO, PITBAR</t>
  </si>
  <si>
    <t>RBC2PB-DUR21</t>
  </si>
  <si>
    <t>21+F150, COMPACT RUMBLER KIT</t>
  </si>
  <si>
    <t>RBC2-FRD15ND</t>
  </si>
  <si>
    <t>20FPIU, RUMBLER S/C DS/PS KIT</t>
  </si>
  <si>
    <t>RBC2-FPIU20ND</t>
  </si>
  <si>
    <t>22+ FORD EXPEDITION</t>
  </si>
  <si>
    <t>RBC2-EXP22ND</t>
  </si>
  <si>
    <t>2 RUMBLER BRKT KIT FOR CPD</t>
  </si>
  <si>
    <t>RBC2-ES23</t>
  </si>
  <si>
    <t>23+ DURANGO 2 COMPACT</t>
  </si>
  <si>
    <t>RBC2-DUR23ND</t>
  </si>
  <si>
    <t>RBC1-RAM19ND-C15</t>
  </si>
  <si>
    <t>21+ FPIU ECO/PB 1 COMPACT</t>
  </si>
  <si>
    <t>RBC1PB-FPIU21-ECO</t>
  </si>
  <si>
    <t>MOUNTING KIT FOR 1 COMPACTS</t>
  </si>
  <si>
    <t>RBC1PB-FPIU20</t>
  </si>
  <si>
    <t>DURANGO WESTIN PITBAR</t>
  </si>
  <si>
    <t>RBC1PB-DUR21-WES</t>
  </si>
  <si>
    <t>RBC1PB-DUR21</t>
  </si>
  <si>
    <t>RBC1-EXP22ND</t>
  </si>
  <si>
    <t>KIT,BUMPER MOUNT,Q-MT</t>
  </si>
  <si>
    <t>Q-MT</t>
  </si>
  <si>
    <t>QUADRAFLARE,WARN,RED FLTD LENS</t>
  </si>
  <si>
    <t>QL97-RR</t>
  </si>
  <si>
    <t>KIT,TRIM RING W/GASKET,</t>
  </si>
  <si>
    <t>QL97MC</t>
  </si>
  <si>
    <t>BLACK TRIM RING W/GASKET,9X7</t>
  </si>
  <si>
    <t>QL97MBLK</t>
  </si>
  <si>
    <t>LED SCENE, 9X7 QUADRAFLARE,</t>
  </si>
  <si>
    <t>QL97LEDSCENE-SB-D</t>
  </si>
  <si>
    <t>QL97LEDSCENE-SB</t>
  </si>
  <si>
    <t>QUADRAFLARE,WARN,CLR FLTD LENS</t>
  </si>
  <si>
    <t>QL97C-WW</t>
  </si>
  <si>
    <t>QL97C-RW</t>
  </si>
  <si>
    <t>QL97C-RR</t>
  </si>
  <si>
    <t>QL97C-RB</t>
  </si>
  <si>
    <t>QL97C-RA</t>
  </si>
  <si>
    <t>QL97C-BB</t>
  </si>
  <si>
    <t>QL97C-AA</t>
  </si>
  <si>
    <t>QUADRAFLARE,WARN,BLU FLTD LENS</t>
  </si>
  <si>
    <t>QL97-BB</t>
  </si>
  <si>
    <t>QUADRAFLARE,BACKUP, CLR FLTD</t>
  </si>
  <si>
    <t>QL97-BACKUP</t>
  </si>
  <si>
    <t>QUADRAFLARE,WARN,AMB FLTD LENS</t>
  </si>
  <si>
    <t>QL97-AA</t>
  </si>
  <si>
    <t>FLASHING RED, RED LENS,</t>
  </si>
  <si>
    <t>QL73-RR</t>
  </si>
  <si>
    <t>QL73MC</t>
  </si>
  <si>
    <t>BLACK TRIM RING W/GASKET,7X3.</t>
  </si>
  <si>
    <t>QL73MBLK</t>
  </si>
  <si>
    <t>7X3 LED SCENE LIGHT, SB</t>
  </si>
  <si>
    <t>QL73LEDSCENE-SB</t>
  </si>
  <si>
    <t>BRACKET KIT, QL73-LB</t>
  </si>
  <si>
    <t>QL73-LB</t>
  </si>
  <si>
    <t>FLASHING WHT, CLR LENS,</t>
  </si>
  <si>
    <t>QL73C-WW</t>
  </si>
  <si>
    <t>FLASHING RED &amp; WHT,SPLIT COLOR</t>
  </si>
  <si>
    <t>QL73C-RW</t>
  </si>
  <si>
    <t>FLASHING RED, CLR LENS,</t>
  </si>
  <si>
    <t>QL73C-RR</t>
  </si>
  <si>
    <t>FLASHING RED &amp; BLU,SPLIT COLOR</t>
  </si>
  <si>
    <t>QL73C-RB</t>
  </si>
  <si>
    <t>FLASHING RED &amp; AMB,SPLIT COLOR</t>
  </si>
  <si>
    <t>QL73C-RA</t>
  </si>
  <si>
    <t>FLASHING BLUE, CLR LENS,</t>
  </si>
  <si>
    <t>QL73C-BB</t>
  </si>
  <si>
    <t>FLASHING AMB&amp;WHT, CLR LENS,</t>
  </si>
  <si>
    <t>QL73C-AW</t>
  </si>
  <si>
    <t>FLASHING AMBER, CLR LENS,</t>
  </si>
  <si>
    <t>QL73C-AA</t>
  </si>
  <si>
    <t>FLASHING BLUE, BLUE LENS,</t>
  </si>
  <si>
    <t>QL73-BB</t>
  </si>
  <si>
    <t>BACKUP LIGHT, QL73</t>
  </si>
  <si>
    <t>QL73-BACKUP</t>
  </si>
  <si>
    <t>ARROW, AMBER</t>
  </si>
  <si>
    <t>QL73-ARROW</t>
  </si>
  <si>
    <t>FLASHING AMB, AMB LENS,</t>
  </si>
  <si>
    <t>QL73-A-DEU</t>
  </si>
  <si>
    <t>QL73-AA</t>
  </si>
  <si>
    <t>TURN LT, 6X4, AMBER,</t>
  </si>
  <si>
    <t>QL64-TURN</t>
  </si>
  <si>
    <t>QL64,RED W/DEUTSCH CONN.,</t>
  </si>
  <si>
    <t>QL64-RRDEU</t>
  </si>
  <si>
    <t>QL64-RR</t>
  </si>
  <si>
    <t>HEADLIGHT MOUNT KIT</t>
  </si>
  <si>
    <t>QL64MHL</t>
  </si>
  <si>
    <t>TRIM RING W/GASKET,6X4,LT</t>
  </si>
  <si>
    <t>QL64MC</t>
  </si>
  <si>
    <t>BLACK TRIM RING W/GASKET,6X4,</t>
  </si>
  <si>
    <t>QL64MBLK</t>
  </si>
  <si>
    <t>6X4 LED SCENE LIGHT,SB</t>
  </si>
  <si>
    <t>QL64LEDSCENE-SB</t>
  </si>
  <si>
    <t>FLASHING GRN, GRN LENS,</t>
  </si>
  <si>
    <t>QL64-GG</t>
  </si>
  <si>
    <t>FLASHING WHT &amp;WHT; CLR LENS</t>
  </si>
  <si>
    <t>QL64C-WW</t>
  </si>
  <si>
    <t>QL64C-RW</t>
  </si>
  <si>
    <t>QL64C-RR</t>
  </si>
  <si>
    <t>FLASHING RED &amp; GRN,SPLIT COLOR</t>
  </si>
  <si>
    <t>QL64C-RG</t>
  </si>
  <si>
    <t>QL64C-RB</t>
  </si>
  <si>
    <t>QL64C-RA</t>
  </si>
  <si>
    <t>FLASHING GRN, CLR LENS,</t>
  </si>
  <si>
    <t>QL64C-GG</t>
  </si>
  <si>
    <t>QL64C-BB</t>
  </si>
  <si>
    <t>FLASHING AMB &amp; GRN,SPLIT COLOR</t>
  </si>
  <si>
    <t>QL64C-AG</t>
  </si>
  <si>
    <t>FLASHING AMB, CLR LENS,</t>
  </si>
  <si>
    <t>QL64C-AA</t>
  </si>
  <si>
    <t>BRAKE/TAIL/TURN, 6X4, RED,</t>
  </si>
  <si>
    <t>QL64-BTT</t>
  </si>
  <si>
    <t>QL64-BB</t>
  </si>
  <si>
    <t>BACK-UP LT, 6X4, WHITE,</t>
  </si>
  <si>
    <t>QL64-BACKUP</t>
  </si>
  <si>
    <t>TURN ARROW, 6X4, AMBER,</t>
  </si>
  <si>
    <t>QL64-ARROW</t>
  </si>
  <si>
    <t>QL64-AA</t>
  </si>
  <si>
    <t>BTT,4-UP CASTING,RT ARROW</t>
  </si>
  <si>
    <t>QL644V-RIGHT</t>
  </si>
  <si>
    <t>BTT,4-UP CASTING,LF ARROW</t>
  </si>
  <si>
    <t>QL644V-LEFT</t>
  </si>
  <si>
    <t>BTT,4-UP CASTING,TURN</t>
  </si>
  <si>
    <t>QL644V-LED</t>
  </si>
  <si>
    <t>CASTING ASSEMBLY, 4UP,VERT.</t>
  </si>
  <si>
    <t>QL644V</t>
  </si>
  <si>
    <t>3-UP VERT, B/R/G, HALLIBURT</t>
  </si>
  <si>
    <t>QL643V-RS912</t>
  </si>
  <si>
    <t>BTT,3UP CASTING,RIGHT ARROW</t>
  </si>
  <si>
    <t>QL643V-RIGHT</t>
  </si>
  <si>
    <t>BTT,3V CASTING,LFT ARROW</t>
  </si>
  <si>
    <t>QL643V-LEFT</t>
  </si>
  <si>
    <t>BTT,3V CASTING,TURN</t>
  </si>
  <si>
    <t>QL643V-LED</t>
  </si>
  <si>
    <t>CASTING ASSEMBLY 3UP, VERT.</t>
  </si>
  <si>
    <t>QL643V</t>
  </si>
  <si>
    <t>3-UP HORIZ,B/R/G,HALLIBURTON</t>
  </si>
  <si>
    <t>QL643H-RS912</t>
  </si>
  <si>
    <t>BTT,3H CASTING,RT ARROW</t>
  </si>
  <si>
    <t>QL643H-RIGHT</t>
  </si>
  <si>
    <t>BTT,3H CASTING,LF ARROW</t>
  </si>
  <si>
    <t>QL643H-LEFT</t>
  </si>
  <si>
    <t>BTT,3H CASTING,RIGHT TURN</t>
  </si>
  <si>
    <t>QL643H-LEDRGHT</t>
  </si>
  <si>
    <t>BTT,3H CASTING,LF TURN</t>
  </si>
  <si>
    <t>QL643H-LEDLEFT</t>
  </si>
  <si>
    <t>CASTING ASSEMBLY, 3HORIZ.</t>
  </si>
  <si>
    <t>QL643H</t>
  </si>
  <si>
    <t>QUADRAFLARE,LED-24V,WHITE,</t>
  </si>
  <si>
    <t>QL64-24-WW</t>
  </si>
  <si>
    <t>QUADRAFLARE,LED-24V,RED,</t>
  </si>
  <si>
    <t>QL64-24-RR</t>
  </si>
  <si>
    <t>QUADRAFLARE,LED-24V,GREEN,</t>
  </si>
  <si>
    <t>QL64-24-GG</t>
  </si>
  <si>
    <t>QUADRAFLARE,LED-24V,BLUE,</t>
  </si>
  <si>
    <t>QL64-24-BB</t>
  </si>
  <si>
    <t>QUADRAFLARE,LED-24V,AMBER,</t>
  </si>
  <si>
    <t>QL64-24-AA</t>
  </si>
  <si>
    <t>QL43, DUAL COLOR, DUMB</t>
  </si>
  <si>
    <t>QL43ZD-AW</t>
  </si>
  <si>
    <t>QL43, DUMB</t>
  </si>
  <si>
    <t>QL43Z-AA</t>
  </si>
  <si>
    <t>TURN LIGHT, QL43</t>
  </si>
  <si>
    <t>QL43-TURN</t>
  </si>
  <si>
    <t>QL43-RR</t>
  </si>
  <si>
    <t>TRIM RING W/GASKET,4X3,LT</t>
  </si>
  <si>
    <t>QL43MC</t>
  </si>
  <si>
    <t>QL43 DOT, DUAL COLOR</t>
  </si>
  <si>
    <t>QL43DD-AW</t>
  </si>
  <si>
    <t>QL43DD-AG</t>
  </si>
  <si>
    <t>QL43 DOT, BRAKE/TAIL/TURN</t>
  </si>
  <si>
    <t>QL43D-BTT</t>
  </si>
  <si>
    <t>QL43 DOT, BACKUP LIGHT</t>
  </si>
  <si>
    <t>QL43D-BACKUP</t>
  </si>
  <si>
    <t>QL43 DOT, AMBER</t>
  </si>
  <si>
    <t>QL43D-A</t>
  </si>
  <si>
    <t>FLASHING WHITE, CLR LENS,</t>
  </si>
  <si>
    <t>QL43C-WW</t>
  </si>
  <si>
    <t>QL43C-RW</t>
  </si>
  <si>
    <t>QL43C-RR</t>
  </si>
  <si>
    <t>QL43C-RB</t>
  </si>
  <si>
    <t>QL43C-BB</t>
  </si>
  <si>
    <t>FLASHING BLU &amp; AMB,SPLIT COLOR</t>
  </si>
  <si>
    <t>QL43C-BA</t>
  </si>
  <si>
    <t>QL43C-AA</t>
  </si>
  <si>
    <t>BRAKE, TURN, TAIL, QL43</t>
  </si>
  <si>
    <t>QL43-BTT</t>
  </si>
  <si>
    <t>QL43-BB</t>
  </si>
  <si>
    <t>BACKUP LIGHT, QL43</t>
  </si>
  <si>
    <t>QL43-BACKUP</t>
  </si>
  <si>
    <t>QL43-AA</t>
  </si>
  <si>
    <t>PATHWAY,100W,6 BTN</t>
  </si>
  <si>
    <t>PW100S6</t>
  </si>
  <si>
    <t>PATHWAY,100W,4 BTN</t>
  </si>
  <si>
    <t>PW100S4</t>
  </si>
  <si>
    <t>PATHWAY,100W,REMOTE</t>
  </si>
  <si>
    <t>PATHWAY,100W,HANDHELD</t>
  </si>
  <si>
    <t>PATHWAY,100W,SELF-CONT</t>
  </si>
  <si>
    <t>PW100</t>
  </si>
  <si>
    <t>PERIMETER LIGHT PROGRAMMER</t>
  </si>
  <si>
    <t>PLPR1</t>
  </si>
  <si>
    <t>ON-SCENE SYNC,GPS/AMBIENT</t>
  </si>
  <si>
    <t>CONN,8P8C RJ45 ADAPT, 1F TO 4</t>
  </si>
  <si>
    <t>PFSPLTR-4</t>
  </si>
  <si>
    <t>PATHFINDER PWR. DISTR. MODULE</t>
  </si>
  <si>
    <t>PFPDM-1</t>
  </si>
  <si>
    <t>SIREN, 400WATT, 6BTN</t>
  </si>
  <si>
    <t>PF400S6</t>
  </si>
  <si>
    <t>SIREN,400WATT,21BTN</t>
  </si>
  <si>
    <t>PF400S21</t>
  </si>
  <si>
    <t>SIREN,400WATT,17BTN,ROTARY</t>
  </si>
  <si>
    <t>PF400S17BRK</t>
  </si>
  <si>
    <t>SIREN,400WATT,17BTN</t>
  </si>
  <si>
    <t>PF400S17B</t>
  </si>
  <si>
    <t>SIREN,400WATT,REMOTE</t>
  </si>
  <si>
    <t>PF400R</t>
  </si>
  <si>
    <t>SIREN,400WATT,Q-TONE,21BTN</t>
  </si>
  <si>
    <t>PF400QS21</t>
  </si>
  <si>
    <t>SIREN,400WATT,Q-TONE,17BTN</t>
  </si>
  <si>
    <t>PF400QS17BRK</t>
  </si>
  <si>
    <t>PF400QS17B</t>
  </si>
  <si>
    <t>SIREN,400WATT,Q-TONE,REMOTE</t>
  </si>
  <si>
    <t>PF400QR</t>
  </si>
  <si>
    <t>SIREN,400WATT,Q-TONE,HANDHELD</t>
  </si>
  <si>
    <t>PF400QH</t>
  </si>
  <si>
    <t>SIREN,400 WATT, Q-TONE</t>
  </si>
  <si>
    <t>PF400QFM</t>
  </si>
  <si>
    <t>SIREN,400WATT,Q-TONE,AMP ONLY</t>
  </si>
  <si>
    <t>PF400QAMP</t>
  </si>
  <si>
    <t>SIREN,400WATT,Q-TONE</t>
  </si>
  <si>
    <t>PF400Q</t>
  </si>
  <si>
    <t>SIREN,400WATT,HANDHELD</t>
  </si>
  <si>
    <t>PF400H</t>
  </si>
  <si>
    <t>PATHFINDER,100/200W,9 BTN</t>
  </si>
  <si>
    <t>PF200S9</t>
  </si>
  <si>
    <t>PATHFINDER,100/200W,6 BTN</t>
  </si>
  <si>
    <t>PATHFINDER,100/200W,4 BTN</t>
  </si>
  <si>
    <t>PATHFINDER,100/200W,21BTN</t>
  </si>
  <si>
    <t>PATHFINDER,100/200W,17BTN,</t>
  </si>
  <si>
    <t>PATHFINDER,100/200W,17BTN</t>
  </si>
  <si>
    <t>PATHFINDER,REMOVABLE MIC</t>
  </si>
  <si>
    <t>PF200-RM</t>
  </si>
  <si>
    <t>PATHFINDER,100/200W,REMOTE</t>
  </si>
  <si>
    <t>PATHFINDER,100/200W,HANDHELD</t>
  </si>
  <si>
    <t>PATHFINDER,100/200W,AMP ONLY</t>
  </si>
  <si>
    <t>PF200AMP</t>
  </si>
  <si>
    <t>PATHFINDER,100/200W,SELF-CONT</t>
  </si>
  <si>
    <t>PATHFINDER,100W,REMOTE</t>
  </si>
  <si>
    <t>PF100R</t>
  </si>
  <si>
    <t>PATHFINDER,100W,HANDHELD</t>
  </si>
  <si>
    <t>PF100H</t>
  </si>
  <si>
    <t>PATHFINDER,100W,AMP ONLY</t>
  </si>
  <si>
    <t>PF100AMP</t>
  </si>
  <si>
    <t>DOT SYSTEM, PENN TURNPIKE,</t>
  </si>
  <si>
    <t>PENNTP-WPL-AG-2ST</t>
  </si>
  <si>
    <t>PENNTP-KIT-AGL-2T</t>
  </si>
  <si>
    <t>PENNTP-KIT-AGC-2S</t>
  </si>
  <si>
    <t>PENNTP-KIT-AG-2T</t>
  </si>
  <si>
    <t>PENNTP-KIT-AG-2S</t>
  </si>
  <si>
    <t>PBW RADAR SENSOR KIT</t>
  </si>
  <si>
    <t>PERIMETER BREACH WARNING</t>
  </si>
  <si>
    <t>PBWK-TAH21</t>
  </si>
  <si>
    <t>PBW FPIU20 MOUNTING KIT</t>
  </si>
  <si>
    <t>PBWK-FPIU20</t>
  </si>
  <si>
    <t>PBWK-DUR23</t>
  </si>
  <si>
    <t>SIREN,100/200W,FLUSH MNT</t>
  </si>
  <si>
    <t>PA4000-200</t>
  </si>
  <si>
    <t>PA300,100W,SELF-CONT</t>
  </si>
  <si>
    <t>PA300-100</t>
  </si>
  <si>
    <t>FSDIRECT OBD CONTROL MODULE</t>
  </si>
  <si>
    <t>OBDMOD16</t>
  </si>
  <si>
    <t>KIT,OBD INTERFACE MODULE,2021</t>
  </si>
  <si>
    <t>OBDCABLE8-GMCAN</t>
  </si>
  <si>
    <t>OBDCABLE,'23+ VEHICLE MODELS</t>
  </si>
  <si>
    <t>OBDCABLE8-6</t>
  </si>
  <si>
    <t>OBDCABLE,ELEC FRD INTERFACE,8F</t>
  </si>
  <si>
    <t>OBDCABLE8-4</t>
  </si>
  <si>
    <t>CABLE,OBD,DODGE CAN-C,6FT</t>
  </si>
  <si>
    <t>OBDCABLE6-DGCAN</t>
  </si>
  <si>
    <t>OBDCABLE,FORD GATEWAY-PF INTF,</t>
  </si>
  <si>
    <t>OBDCABLE,FORD-PF INTERFACE,6FT</t>
  </si>
  <si>
    <t>OBDCABLE6-2</t>
  </si>
  <si>
    <t>WIRE ASSY,VARIOUS,INTF,6 FT</t>
  </si>
  <si>
    <t>OBDCABLE6-1</t>
  </si>
  <si>
    <t>OBDCABLE,GM-PF INTERFACE,4F</t>
  </si>
  <si>
    <t>OBDCABLE4-5</t>
  </si>
  <si>
    <t>CABLE,OBD,DODGE CAN-C,25FT</t>
  </si>
  <si>
    <t>OBDCABLE,FORD-PF INTERFACE,25F</t>
  </si>
  <si>
    <t>OBDCABLE25-2</t>
  </si>
  <si>
    <t>WIRE ASSY,VARIOUS,INTF,25 FT</t>
  </si>
  <si>
    <t>OBDCABLE25-1</t>
  </si>
  <si>
    <t>OBDCALBE, SAE J1939, 20FT</t>
  </si>
  <si>
    <t>OBDCABLE20-HD1</t>
  </si>
  <si>
    <t>OBDCABLE20-GMCAN</t>
  </si>
  <si>
    <t>OBDCABLE20-6</t>
  </si>
  <si>
    <t>OBDCABLE,GM-PF INTERFACE,20F</t>
  </si>
  <si>
    <t>OBDCABLE20-5</t>
  </si>
  <si>
    <t>OBDCABLE,ELEC FD INTERFACE,20F</t>
  </si>
  <si>
    <t>OBDCABLE20-4</t>
  </si>
  <si>
    <t>73IN TOW5 NVG,FLT MNT,CLEAR</t>
  </si>
  <si>
    <t>NVG73D-TOW5FC</t>
  </si>
  <si>
    <t>73" NAV.,(4)RED ROT,(2)R/W ROT</t>
  </si>
  <si>
    <t>NVG73D-NFPA22</t>
  </si>
  <si>
    <t>MOUNT BRACKET, NS REMOTE</t>
  </si>
  <si>
    <t>NSCTRL-BKT</t>
  </si>
  <si>
    <t>NIGHTSPIRE REMOTE, WIRELESS</t>
  </si>
  <si>
    <t>NSCTRL-1</t>
  </si>
  <si>
    <t>MS4000 UNDERCOVER SIREN</t>
  </si>
  <si>
    <t>SIREN,COMPACT,ELECTRONIC</t>
  </si>
  <si>
    <t>MS4000</t>
  </si>
  <si>
    <t>MPS WIDE ANG X,RED/WHT</t>
  </si>
  <si>
    <t>MPSW9X-RW</t>
  </si>
  <si>
    <t>MPS WIDE ANG X,BLU/WHT</t>
  </si>
  <si>
    <t>MPSW9X-BW</t>
  </si>
  <si>
    <t>MPS WIDE ANG X,AMB/WHT</t>
  </si>
  <si>
    <t>MPSW9X-AW</t>
  </si>
  <si>
    <t>MICROPULSE 9,WIDE ANGLE,WHITE</t>
  </si>
  <si>
    <t>MPSW9-W</t>
  </si>
  <si>
    <t>MPS WIDE ANG,RED/WHT</t>
  </si>
  <si>
    <t>MPSW9-RW</t>
  </si>
  <si>
    <t>MPS WIDE ANG,RED/BLU/WHT,</t>
  </si>
  <si>
    <t>MPSW9-RBW-SMK</t>
  </si>
  <si>
    <t>MPS WIDE ANG,RED/BLU/WHT</t>
  </si>
  <si>
    <t>MPSW9-RBW</t>
  </si>
  <si>
    <t>MPS WIDE ANG,RED/BLU/AMB</t>
  </si>
  <si>
    <t>MPSW9-RBA</t>
  </si>
  <si>
    <t>MPS WIDE ANG,RED/BLU</t>
  </si>
  <si>
    <t>MPSW9-RB</t>
  </si>
  <si>
    <t>MPS WIDE ANG,RED/AMB/WHT</t>
  </si>
  <si>
    <t>MPSW9-RAW</t>
  </si>
  <si>
    <t>MPS WIDE ANG,RED/AMB</t>
  </si>
  <si>
    <t>MPSW9-RA</t>
  </si>
  <si>
    <t>MICROPULSE 9,WIDE ANGLE,RED</t>
  </si>
  <si>
    <t>MPSW9-R</t>
  </si>
  <si>
    <t>MPS WIDE ANG,BLU/WHT</t>
  </si>
  <si>
    <t>MPSW9-BW</t>
  </si>
  <si>
    <t>MPS WIDE ANG,BLU/AMB/WHT</t>
  </si>
  <si>
    <t>MPSW9-BAW</t>
  </si>
  <si>
    <t>MPS WIDE ANG,BLU/AMB</t>
  </si>
  <si>
    <t>MPSW9-BA</t>
  </si>
  <si>
    <t>MICROPULSE 9,WIDE ANGLE,BLUE</t>
  </si>
  <si>
    <t>MPSW9-B</t>
  </si>
  <si>
    <t>MPS WIDE ANG,AMB/GRN/WHT</t>
  </si>
  <si>
    <t>MPSW9-AGW</t>
  </si>
  <si>
    <t>MICROPULSE 9,WIDE ANGLE,AMBER</t>
  </si>
  <si>
    <t>MPSW9-A</t>
  </si>
  <si>
    <t>MPS WIDE ANG 6,SPLT,RED/BLU</t>
  </si>
  <si>
    <t>MPSW6-RB</t>
  </si>
  <si>
    <t>MPS WIDE ANG 6,SPLT,RED/RED</t>
  </si>
  <si>
    <t>MPSW6-R</t>
  </si>
  <si>
    <t>MPS WIDE ANG 6,SPLT,BLU/WHT</t>
  </si>
  <si>
    <t>MPSW6-BW</t>
  </si>
  <si>
    <t>MPS WIDE ANG 6,SPLT,BLU/BLU</t>
  </si>
  <si>
    <t>MPSW6-B</t>
  </si>
  <si>
    <t>MPS WIDE ANG 6,SPLT,AMB/AMB</t>
  </si>
  <si>
    <t>MPSW6-A</t>
  </si>
  <si>
    <t>65"SGLMSR,(8)AMB HDS,60' CBL</t>
  </si>
  <si>
    <t>MPSUSM65-A-60</t>
  </si>
  <si>
    <t>51" SGLMSR,(8)AMB HDS,(1)RED</t>
  </si>
  <si>
    <t>MPSUSM51-BRK-30</t>
  </si>
  <si>
    <t>51" SGLMSR,(8)AMB HDS,60' CBL</t>
  </si>
  <si>
    <t>MPSUSM51-A-60</t>
  </si>
  <si>
    <t>51" SGLMSR,(8)AMB HDS,30' CBL</t>
  </si>
  <si>
    <t>MPSUSM51-A-30</t>
  </si>
  <si>
    <t>44" SGLMSR,(8)AMB HDS, 60' CBL</t>
  </si>
  <si>
    <t>MPSUSM44-A-60</t>
  </si>
  <si>
    <t>44" SGLMSR,(8)AMB HDS, 30' CB</t>
  </si>
  <si>
    <t>MPSUSM44-A-30</t>
  </si>
  <si>
    <t>42" SGLMSR,(6)AMB HDS,(1)RED</t>
  </si>
  <si>
    <t>MPSUSM42-BRK-30</t>
  </si>
  <si>
    <t>42" SGLMSR,(6)AMB HDS,60' CBL</t>
  </si>
  <si>
    <t>MPSUSM42-A-60</t>
  </si>
  <si>
    <t>42" SGLMSR,(6)AMB HDS,30' CBL</t>
  </si>
  <si>
    <t>MPSUSM42-A-30</t>
  </si>
  <si>
    <t>42" SGNLMSR,(8)HD AMB ,60'CBL</t>
  </si>
  <si>
    <t>MPSUSM42-8A-60</t>
  </si>
  <si>
    <t>42'SGNLMSR,(8)HD AMB,30'CBL</t>
  </si>
  <si>
    <t>MPSUSM42-8A-30</t>
  </si>
  <si>
    <t>36" SGLMSR,(6)AMB HDS,(1)RED</t>
  </si>
  <si>
    <t>MPSUSM36-BRK-50</t>
  </si>
  <si>
    <t>32"SGLMSR,(6)AMB HDS,60' CBL</t>
  </si>
  <si>
    <t>MPSUSM32-A-60</t>
  </si>
  <si>
    <t>32" SGLMSTR,(6) AMB HDS,30'CBL</t>
  </si>
  <si>
    <t>MPSUSM32-A-30</t>
  </si>
  <si>
    <t>30" SGLMSR,(4)AMB HDS,(1) RED</t>
  </si>
  <si>
    <t>MPSUSM30-BRK-50</t>
  </si>
  <si>
    <t>23" SGLMSR,(4)AMB HDS,30' CBL</t>
  </si>
  <si>
    <t>MPSUSM23-A-30</t>
  </si>
  <si>
    <t>20" SGNLMSR,(4)HD AMB,30'CBL</t>
  </si>
  <si>
    <t>MPSUSM20-4A-30</t>
  </si>
  <si>
    <t>KIT,BRKT,PUSH BUMP,45 VERT,MPS</t>
  </si>
  <si>
    <t>MPSU-PB45V</t>
  </si>
  <si>
    <t>KIT,BRKT,PUSH BUMP,45 HORZ,MPS</t>
  </si>
  <si>
    <t>MPSU-PB45H</t>
  </si>
  <si>
    <t>BEZEL KIT,BLACK,MPS6xU</t>
  </si>
  <si>
    <t>MPSUMB6-3</t>
  </si>
  <si>
    <t>BEZEL KIT,WHITE,MPS6xU</t>
  </si>
  <si>
    <t>MPSUMB6-2</t>
  </si>
  <si>
    <t>BEZEL KIT,CHROME,MPS6xU</t>
  </si>
  <si>
    <t>MPSUMB6-1</t>
  </si>
  <si>
    <t>BEZEL KIT,BLACK,MPS3xU</t>
  </si>
  <si>
    <t>MPSUMB3-3</t>
  </si>
  <si>
    <t>BEZEL KIT,WHITE,MPS3xU</t>
  </si>
  <si>
    <t>MPSUMB3-2</t>
  </si>
  <si>
    <t>BEZEL KIT,CHROME,MPS3xU</t>
  </si>
  <si>
    <t>MPSUMB3-1</t>
  </si>
  <si>
    <t>BEZEL KIT,BLACK,MPS12xU</t>
  </si>
  <si>
    <t>MPSUMB12-3</t>
  </si>
  <si>
    <t>BEZEL KIT,WHITE,MPS12xU</t>
  </si>
  <si>
    <t>MPSUMB12-2</t>
  </si>
  <si>
    <t>BEZEL KIT,CHROME,MPS12xU</t>
  </si>
  <si>
    <t>MPSUMB12-1</t>
  </si>
  <si>
    <t>KIT,ANGLED BEZEL,MPS12U,BLACK</t>
  </si>
  <si>
    <t>MPSUMA12-3</t>
  </si>
  <si>
    <t>KIT,ANGLED BEZEL,MPS12U,CHROME</t>
  </si>
  <si>
    <t>MPSUMA12-1</t>
  </si>
  <si>
    <t>KIT, BRKT, MIRROR, UNIV,MPSMW9</t>
  </si>
  <si>
    <t>MPSMW9-UNIVMIR1</t>
  </si>
  <si>
    <t>MPSMW9-UNIVMIR</t>
  </si>
  <si>
    <t>KIT,BRKT,MPSW9,MIRROR,21TAH</t>
  </si>
  <si>
    <t>MPSMW9-TAH21MIR</t>
  </si>
  <si>
    <t>KIT, BRKT,MIRROR,15TAHOE</t>
  </si>
  <si>
    <t>MPSMW9-TAH15MIR</t>
  </si>
  <si>
    <t>WEDGE KIT, MPSW9 WIDE ANGLE</t>
  </si>
  <si>
    <t>MPSMW9-SPACRKT2</t>
  </si>
  <si>
    <t>MPSMW9-SPACRKT</t>
  </si>
  <si>
    <t>KIT,BRKT,MPSW9,MIRROR,19SIL</t>
  </si>
  <si>
    <t>MPSMW9-SIL19MIR</t>
  </si>
  <si>
    <t>SHROUD BRKT KIT,MPS WIDE ANG.9</t>
  </si>
  <si>
    <t>MPSMW9-SHD</t>
  </si>
  <si>
    <t>KIT,BRKT,MPSW9,MIRROR,19RAM</t>
  </si>
  <si>
    <t>MPSMW9-RAM19MIR</t>
  </si>
  <si>
    <t>KIT,TAILGATE BRKTS,POLARIS,MPS</t>
  </si>
  <si>
    <t>MPSMW9-POL1</t>
  </si>
  <si>
    <t>BRACKET KIT,MPSW9 WIDE ANGLE</t>
  </si>
  <si>
    <t>MPSMW9-LB</t>
  </si>
  <si>
    <t>MPSMW9-FRD21MIR</t>
  </si>
  <si>
    <t>BRKT KIT,SIDE MIRRORS,MPSW9</t>
  </si>
  <si>
    <t>MPSMW9-FRD15MIR</t>
  </si>
  <si>
    <t>MPSW9 MIRROR BRACKETS</t>
  </si>
  <si>
    <t>MPSMW9-FPIU25MIR</t>
  </si>
  <si>
    <t>KIT,BRKT,MPSW9,MIRROR,20FPIU</t>
  </si>
  <si>
    <t>MPSMW9-FPIU20MIR</t>
  </si>
  <si>
    <t>KIT,BRKT,MIRROR,EXP19,MPSMW9</t>
  </si>
  <si>
    <t>MPSMW9-EXP19MIR</t>
  </si>
  <si>
    <t>KIT,BRKT,MIRROR,DUR21,MPSMW9</t>
  </si>
  <si>
    <t>MPSMW9-DUR21MIR</t>
  </si>
  <si>
    <t>KIT,BRKT,MIRROR,11+ CHGR</t>
  </si>
  <si>
    <t>MPSMW9-CHGR11MIR</t>
  </si>
  <si>
    <t>BEZEL KIT, BLACK MICROPULSE</t>
  </si>
  <si>
    <t>MPSMW9-3</t>
  </si>
  <si>
    <t>BEZEL KIT, WHITE MICROPULSE</t>
  </si>
  <si>
    <t>MPSMW9-2</t>
  </si>
  <si>
    <t>CHROME BEZEL, MPSW9</t>
  </si>
  <si>
    <t>MPSMW9-1</t>
  </si>
  <si>
    <t>KIT, LIC PLT, MPS6U, MPS3U,</t>
  </si>
  <si>
    <t>MPSM-LPH1</t>
  </si>
  <si>
    <t>KIT,BRKT,MPS GRILLE,24 MUST,ND</t>
  </si>
  <si>
    <t>MPSM-GRL4</t>
  </si>
  <si>
    <t>BRKT KIT, MPSC, SWIVEL</t>
  </si>
  <si>
    <t>MPSMC-SBWN</t>
  </si>
  <si>
    <t>BRKT KIT, MPSC, L</t>
  </si>
  <si>
    <t>MPSMC-LBWN</t>
  </si>
  <si>
    <t>BEZEL &amp; SHROUD KIT</t>
  </si>
  <si>
    <t>MPSM6U-WIN90-12</t>
  </si>
  <si>
    <t>MPSM6U-WIN46-12</t>
  </si>
  <si>
    <t>DUAL HD. BEZEL &amp; SHROUD KIT,</t>
  </si>
  <si>
    <t>MPSM6U-WIN2</t>
  </si>
  <si>
    <t>BEZEL &amp; SHROUD KIT,MPSM6U,</t>
  </si>
  <si>
    <t>MPSM6U-WIN</t>
  </si>
  <si>
    <t>WEDGE KIT, MPS600U ULTRA</t>
  </si>
  <si>
    <t>MPSM6U-SPACRKT</t>
  </si>
  <si>
    <t>KIT, PYLON MOUNT, MPSU6</t>
  </si>
  <si>
    <t>MPSM6U-PLN</t>
  </si>
  <si>
    <t>BRACKET, HOOD MOUNT MPSM6U</t>
  </si>
  <si>
    <t>MPSM6U-HOOD</t>
  </si>
  <si>
    <t>WEDGE KIT,WHEEL WELL,20FPIU,4</t>
  </si>
  <si>
    <t>MPSM6U-FPIU20WW</t>
  </si>
  <si>
    <t>KIT,WEDGE,MPS6U,20FPIU</t>
  </si>
  <si>
    <t>MPSM6U-FPIU20SMW</t>
  </si>
  <si>
    <t>BRKT KIT, MPSM6U, FPIU 2020,</t>
  </si>
  <si>
    <t>MPSM6U-FPIU20GCO</t>
  </si>
  <si>
    <t>BRKT KIT,MPS,RUNNING BOARDS,</t>
  </si>
  <si>
    <t>MPSM6U-FD15UPRB</t>
  </si>
  <si>
    <t>KIT,BRKT,6HD SPOILER,EXP22</t>
  </si>
  <si>
    <t>MPSM6U-EXP22RS6</t>
  </si>
  <si>
    <t>BRKT KIT,MPS600U,TAH,B-PILLA</t>
  </si>
  <si>
    <t>MPSM6U-BP2</t>
  </si>
  <si>
    <t>BRKT KIT,MPS600U,CHGR,B-PILLAR</t>
  </si>
  <si>
    <t>MPSM6U-BP1</t>
  </si>
  <si>
    <t>KIT,BRKT,MPSM6-TA21RS,2 HEAD</t>
  </si>
  <si>
    <t>MPSM6-TA21RS1</t>
  </si>
  <si>
    <t>KIT,BRKT,MPSM6-TA21RS,6 HEAD</t>
  </si>
  <si>
    <t>MPSM6-TA21RS</t>
  </si>
  <si>
    <t>KIT, BRKT,MPSM6-TA15RS,6 HEAD</t>
  </si>
  <si>
    <t>MPSM6-TA15RS</t>
  </si>
  <si>
    <t>KIT,BRKT SWIVEL MNT,MS6</t>
  </si>
  <si>
    <t>MPSM6-SB</t>
  </si>
  <si>
    <t>KIT, MPS MNT, LIC PLATE,</t>
  </si>
  <si>
    <t>MPSM6-LPV3-DUR</t>
  </si>
  <si>
    <t>KIT,DUAL MNT,LP VERT,ADJ,MPS</t>
  </si>
  <si>
    <t>MPSM6-LPV1</t>
  </si>
  <si>
    <t>BRKT KIT,MPS MNT,LIC PLATE,</t>
  </si>
  <si>
    <t>MPSM6-LPH1</t>
  </si>
  <si>
    <t>KIT,L-BRKT,SINGLE HD,MS6</t>
  </si>
  <si>
    <t>MPSM6-LB</t>
  </si>
  <si>
    <t>KIT, BRKT, MPS, GRILLE</t>
  </si>
  <si>
    <t>MPSM6-GRL5</t>
  </si>
  <si>
    <t>KIT, GRILLE, '23 TAH</t>
  </si>
  <si>
    <t>MPSM6-GRL4</t>
  </si>
  <si>
    <t>BRKT KIT,MPS6,GRILLE,21TAH,</t>
  </si>
  <si>
    <t>MPSM6-GRL3</t>
  </si>
  <si>
    <t>BRKT KIT,21TAH,INT. GRILLE,</t>
  </si>
  <si>
    <t>MPSM6-GRL2</t>
  </si>
  <si>
    <t>KIT,BRKT,MPS,GRILLE</t>
  </si>
  <si>
    <t>MPSM6-GRL1</t>
  </si>
  <si>
    <t>BRKT KIT,MPS,RUNNING BOARDS</t>
  </si>
  <si>
    <t>MPSM6-FRD15RB</t>
  </si>
  <si>
    <t>KIT,BRKT,2HD SPOILER,FPIU20</t>
  </si>
  <si>
    <t>MPSM6-FPIU20RS3</t>
  </si>
  <si>
    <t>KIT,BRKT,6HD SPOILER,FPIU20</t>
  </si>
  <si>
    <t>MPSM6-FPIU20RS2</t>
  </si>
  <si>
    <t>KIT, BRKT,2HD SPOILER,FPIU20</t>
  </si>
  <si>
    <t>MPSM6-FPIU20RS1</t>
  </si>
  <si>
    <t>MPSM6 22 DURANGO SPOILER</t>
  </si>
  <si>
    <t>MPSM6-DU22RS</t>
  </si>
  <si>
    <t>KIT,L-BRKT,DUAL HD,TOP/</t>
  </si>
  <si>
    <t>MPSM6-DS</t>
  </si>
  <si>
    <t>KIT,L-BRKT,DUAL HD,LEFT/</t>
  </si>
  <si>
    <t>MPSM6-DL</t>
  </si>
  <si>
    <t>KIT, WEDGE, MPS3U</t>
  </si>
  <si>
    <t>MPSM3U-SPACRKT</t>
  </si>
  <si>
    <t>ROUND ADAPTER MOUNTING KIT</t>
  </si>
  <si>
    <t>MPSM3U-RND2</t>
  </si>
  <si>
    <t>BRKT KIT, 24 RAM, MPS3U,DTL2</t>
  </si>
  <si>
    <t>MPSM3U-RAM24DTL2</t>
  </si>
  <si>
    <t>BRKT KIT, 24 RAM, MPS3U,DTL</t>
  </si>
  <si>
    <t>MPSM3U-RAM24DTL</t>
  </si>
  <si>
    <t>KIT, PYLON MOUNT, MPSU3</t>
  </si>
  <si>
    <t>MPSM3U-PLN</t>
  </si>
  <si>
    <t>KIT, WEDGE, MPSM3UC</t>
  </si>
  <si>
    <t>MPSM3UC-SPACRKT</t>
  </si>
  <si>
    <t>KIT,BRKT SWIVEL MNT,MS3</t>
  </si>
  <si>
    <t>MPSM3-SB</t>
  </si>
  <si>
    <t>KIT,L-BRKT SINGLE HD,MS3</t>
  </si>
  <si>
    <t>MPSM3-LB</t>
  </si>
  <si>
    <t>MPSM3-DS</t>
  </si>
  <si>
    <t>MPSM3-DL</t>
  </si>
  <si>
    <t>MPSM12U-WIN90-12</t>
  </si>
  <si>
    <t>BEZEL &amp; SHROUD KIT,MPSM12U</t>
  </si>
  <si>
    <t>MPSM12U-WIN</t>
  </si>
  <si>
    <t>KIT, WEDGE, MPSM12U</t>
  </si>
  <si>
    <t>MPSM12U-SPACRKT</t>
  </si>
  <si>
    <t>KIT, PYLON MOUNT, MPSU12</t>
  </si>
  <si>
    <t>MPSM12U-PLN</t>
  </si>
  <si>
    <t>4 PACK MPS12U GASKETS</t>
  </si>
  <si>
    <t>MPSM12U-GSKT4</t>
  </si>
  <si>
    <t>BRKT KIT, 23 F150,MPSM12U,DTL2</t>
  </si>
  <si>
    <t>MPSM12U-FRD23DTL2</t>
  </si>
  <si>
    <t>BRKT KIT, 23 F150,MPSM12U,DTL</t>
  </si>
  <si>
    <t>MPSM12U-FRD23DTL</t>
  </si>
  <si>
    <t>KIT, SPOILER BRACKET,</t>
  </si>
  <si>
    <t>MPSM12-TA23RS2</t>
  </si>
  <si>
    <t>KIT,L-BRACKET,SINGLE HD,</t>
  </si>
  <si>
    <t>MPSM12-SB2</t>
  </si>
  <si>
    <t>KIT,BRKT,SWIVEL MNT, MS12</t>
  </si>
  <si>
    <t>MPSM12-SB</t>
  </si>
  <si>
    <t>KIT,FOG LGHT BRKTS,POLARIS,MPS</t>
  </si>
  <si>
    <t>MPSM12-POL1</t>
  </si>
  <si>
    <t>KIT,L-BRACKET,SINGLE HD</t>
  </si>
  <si>
    <t>MPSM12-LB</t>
  </si>
  <si>
    <t>FPIU MPS12 SPOILER BRACKET KIT</t>
  </si>
  <si>
    <t>MPSM12-FPIU20RS2</t>
  </si>
  <si>
    <t>DURANGO SPOILER BRACKET KIT</t>
  </si>
  <si>
    <t>MPSM12-DU22RS</t>
  </si>
  <si>
    <t>KIT,L-BRKT,SUAL HD TOP/BO</t>
  </si>
  <si>
    <t>MPSM12-DS</t>
  </si>
  <si>
    <t>MPSM12-DL</t>
  </si>
  <si>
    <t>MPS C SERIES,WHT</t>
  </si>
  <si>
    <t>MPSC-W</t>
  </si>
  <si>
    <t>MPS C SERIES,RED</t>
  </si>
  <si>
    <t>MPSC-R</t>
  </si>
  <si>
    <t>MPS C SERIES,BLU</t>
  </si>
  <si>
    <t>MPSC-B</t>
  </si>
  <si>
    <t>MPS C SERIES,AMB</t>
  </si>
  <si>
    <t>MPSC-A</t>
  </si>
  <si>
    <t>MPS C SERIES, X, DUAL, RED/WHT</t>
  </si>
  <si>
    <t>MPSC2X-RW</t>
  </si>
  <si>
    <t>MPS C SERIES, X, DUAL, RED/BLU</t>
  </si>
  <si>
    <t>MPSC2X-RB</t>
  </si>
  <si>
    <t>MPS C SERIES, X, DUAL, BLU/WHT</t>
  </si>
  <si>
    <t>MPSC2X-BW</t>
  </si>
  <si>
    <t>MPS C SERIES, DUAL, RED/WHT</t>
  </si>
  <si>
    <t>MPSC2-RW</t>
  </si>
  <si>
    <t>MPS C SERIES, DUAL, RED/BLU</t>
  </si>
  <si>
    <t>MPSC2-RB</t>
  </si>
  <si>
    <t>MPS C SERIES, DUAL, BLU/WHT</t>
  </si>
  <si>
    <t>MPSC2-BW</t>
  </si>
  <si>
    <t>MPS C SERIES, DUAL, AMB/WHT</t>
  </si>
  <si>
    <t>MPSC2-AW</t>
  </si>
  <si>
    <t>KIT,BRKT,6HD,SPOILER,SIL19</t>
  </si>
  <si>
    <t>MPS6U-SIL19RS6</t>
  </si>
  <si>
    <t>BRKT KIT,20FPIU,MPS,FOG LIGHT</t>
  </si>
  <si>
    <t>MPS6U-FPIU20FOG</t>
  </si>
  <si>
    <t>MICROPULSE HOOD MNT DUAL</t>
  </si>
  <si>
    <t>MPS652-WA</t>
  </si>
  <si>
    <t>MPS652-RW</t>
  </si>
  <si>
    <t>MPS652-BW</t>
  </si>
  <si>
    <t>MPS652-BR</t>
  </si>
  <si>
    <t>MICROPULSE HOOD MOUNT,</t>
  </si>
  <si>
    <t>MPS650-WW</t>
  </si>
  <si>
    <t>MPS650-RRT</t>
  </si>
  <si>
    <t>MPS650-RR</t>
  </si>
  <si>
    <t>MPS650-BB</t>
  </si>
  <si>
    <t>MICROPULSE HOOD MOUNT</t>
  </si>
  <si>
    <t>MPS650-AA</t>
  </si>
  <si>
    <t>TRI COLOR,18-LED,RED/BLU/WHT</t>
  </si>
  <si>
    <t>MPS63UX-RBW</t>
  </si>
  <si>
    <t>TRI COLOR, EDAC CONN, RED/BLU/</t>
  </si>
  <si>
    <t>MPS63UX-EDAC-RBA</t>
  </si>
  <si>
    <t>TRI COLOR,18-LED,RED/BLU/WHT,</t>
  </si>
  <si>
    <t>MPS63UX-8FT-RBW</t>
  </si>
  <si>
    <t>TRI COLOR,18-LED</t>
  </si>
  <si>
    <t>MPS63U-RGW</t>
  </si>
  <si>
    <t>TRI COLOR,18-LED,RED/GRN/AMB</t>
  </si>
  <si>
    <t>MPS63U-RGA</t>
  </si>
  <si>
    <t>TRI COLOR,18-LED,RED/BLUE/WHT,</t>
  </si>
  <si>
    <t>MPS63U-RBW-SMK</t>
  </si>
  <si>
    <t>TRI COLOR,18-LED,RED/BLUE/WHIT</t>
  </si>
  <si>
    <t>MPS63U-RBW</t>
  </si>
  <si>
    <t>MPS63U-RBA-SMK</t>
  </si>
  <si>
    <t>TRI COLOR,18-LED,RED/BLUE/AMB</t>
  </si>
  <si>
    <t>MPS63U-RBA</t>
  </si>
  <si>
    <t>TRI COLOR,18-LED,RED/AMBER/WHI</t>
  </si>
  <si>
    <t>MPS63U-RAW</t>
  </si>
  <si>
    <t>TRI COLOR, EDAC CONN,RED/BLUE/</t>
  </si>
  <si>
    <t>MPS63U-EDAC-RBA</t>
  </si>
  <si>
    <t>TRI COLOR,18-LED,BLUE/WHT/GRN</t>
  </si>
  <si>
    <t>MPS63U-BWG</t>
  </si>
  <si>
    <t>TRI COLOR,18-LED,BLUE/AMBER/WH</t>
  </si>
  <si>
    <t>MPS63U-BAW</t>
  </si>
  <si>
    <t>TRI COLOR,18-LED,AMBER/GREEN/W</t>
  </si>
  <si>
    <t>MPS63U-AGW</t>
  </si>
  <si>
    <t>MPS63U-8FT-RBW</t>
  </si>
  <si>
    <t>DUAL COLOR,12-LED,RED/WHT</t>
  </si>
  <si>
    <t>MPS62UX-RW</t>
  </si>
  <si>
    <t>DUAL COLOR,12-LED,RED/BLU</t>
  </si>
  <si>
    <t>MPS62UX-RB</t>
  </si>
  <si>
    <t>DUAL COLOR,12-LED,BLU/WHT</t>
  </si>
  <si>
    <t>MPS62UX-BW</t>
  </si>
  <si>
    <t>DUAL COLOR,12-LED,RED/WHITE</t>
  </si>
  <si>
    <t>MPS62U-RW</t>
  </si>
  <si>
    <t>DUAL COLOR,12-LED,RED/BLUE</t>
  </si>
  <si>
    <t>MPS62U-RB</t>
  </si>
  <si>
    <t>DUAL COLOR,12-LED,BLUE/WHITE</t>
  </si>
  <si>
    <t>MPS62U-BW</t>
  </si>
  <si>
    <t>DUAL COLOR,12-LED,BLUE/AMBER</t>
  </si>
  <si>
    <t>MPS62U-BA</t>
  </si>
  <si>
    <t>DUAL COLOR,12-LED,AMBER/WHITE</t>
  </si>
  <si>
    <t>MPS62U-AW</t>
  </si>
  <si>
    <t>DUAL COLOR,12-LED,AMBER/GREEN</t>
  </si>
  <si>
    <t>MPS62U-AG</t>
  </si>
  <si>
    <t>MICROPULSE ULTRA, DUAL COLOR</t>
  </si>
  <si>
    <t>MPS620U-RW</t>
  </si>
  <si>
    <t>MPS620U-RA</t>
  </si>
  <si>
    <t>MPS620U-BW</t>
  </si>
  <si>
    <t>MPS620U-BR</t>
  </si>
  <si>
    <t>MPS620U-BA</t>
  </si>
  <si>
    <t>MICROPULSE ULTRA,DUAL,8 FT</t>
  </si>
  <si>
    <t>MPS620U-8FT-RW</t>
  </si>
  <si>
    <t>SNGL COLOR,6-LED,WHITE</t>
  </si>
  <si>
    <t>MPS61U-W</t>
  </si>
  <si>
    <t>SNGL COLOR,6-LED,RED</t>
  </si>
  <si>
    <t>MPS61U-R</t>
  </si>
  <si>
    <t>SNGL COLOR,6-LED,BLUE</t>
  </si>
  <si>
    <t>MPS61U-B</t>
  </si>
  <si>
    <t>SNGL COLOR,6-LED,AMBER</t>
  </si>
  <si>
    <t>MPS61U-A</t>
  </si>
  <si>
    <t>MICROPULSE ULTRA,</t>
  </si>
  <si>
    <t>MPS600U-WW</t>
  </si>
  <si>
    <t>MPS600U-RR</t>
  </si>
  <si>
    <t>MPS600U-BW</t>
  </si>
  <si>
    <t>MPS600U-AA</t>
  </si>
  <si>
    <t>DUAL COLOR,6-LED,BLUE/AMBER</t>
  </si>
  <si>
    <t>MPS32UX-BA</t>
  </si>
  <si>
    <t>DUAL COLOR,6-LED,RED/WHT,</t>
  </si>
  <si>
    <t>MPS32U-RW-SMK</t>
  </si>
  <si>
    <t>DUAL COLOR,6-LED,RED/WHITE</t>
  </si>
  <si>
    <t>MPS32U-RW</t>
  </si>
  <si>
    <t>DUAL COLOR,6-LED,RED/BLUE,</t>
  </si>
  <si>
    <t>MPS32U-RB-SMK</t>
  </si>
  <si>
    <t>DUAL COLOR,6-LED,RED/BLUE</t>
  </si>
  <si>
    <t>MPS32U-RB</t>
  </si>
  <si>
    <t>DUAL COLOR,6-LED,RED/AMBER</t>
  </si>
  <si>
    <t>MPS32U-RA</t>
  </si>
  <si>
    <t>DUAL COLOR,6-LED,BLUE/WHT,</t>
  </si>
  <si>
    <t>MPS32U-BW-SMK</t>
  </si>
  <si>
    <t>DUAL COLOR,6-LED,BLUE/WHITE</t>
  </si>
  <si>
    <t>MPS32U-BW</t>
  </si>
  <si>
    <t>MPS32U-BA</t>
  </si>
  <si>
    <t>DUAL COLOR,6-LED,AMBER/WHITE</t>
  </si>
  <si>
    <t>MPS32U-AW</t>
  </si>
  <si>
    <t>MPS32U-AG, PATPK</t>
  </si>
  <si>
    <t>MPS32U-AG-PATPK</t>
  </si>
  <si>
    <t>DUAL COLOR,6-LED,AMBER/GREEN</t>
  </si>
  <si>
    <t>MPS32U-AG</t>
  </si>
  <si>
    <t>SNGL COLOR,3-LED,AMBER</t>
  </si>
  <si>
    <t>MPS31UX-A</t>
  </si>
  <si>
    <t>SNGL COLOR,3-LED,WHITE</t>
  </si>
  <si>
    <t>MPS31U-W</t>
  </si>
  <si>
    <t>SNGL COLOR,3-LED,RED</t>
  </si>
  <si>
    <t>MPS31U-R</t>
  </si>
  <si>
    <t>SNGL COLOR,3-LED,GREEN</t>
  </si>
  <si>
    <t>MPS31U-G</t>
  </si>
  <si>
    <t>SNGL COLOR,3-LED,BLUE</t>
  </si>
  <si>
    <t>MPS31U-B</t>
  </si>
  <si>
    <t>MPS31U-A</t>
  </si>
  <si>
    <t>MICROPULSE ULTRA,300,RED</t>
  </si>
  <si>
    <t>MPS300U-R</t>
  </si>
  <si>
    <t>TRI COLOR,36-LED,RED/BLUE/WHT,</t>
  </si>
  <si>
    <t>MPS123U-RBW-SMK</t>
  </si>
  <si>
    <t>TRI COLOR,36-LED,RED/BLUE/WHIT</t>
  </si>
  <si>
    <t>MPS123U-RBW</t>
  </si>
  <si>
    <t>TRI COLOR,36-LED,RED/BLUE/AMB</t>
  </si>
  <si>
    <t>MPS123U-RBA</t>
  </si>
  <si>
    <t>TRI COLOR,36-LED,RED/AMBER/WHI</t>
  </si>
  <si>
    <t>MPS123U-RAW</t>
  </si>
  <si>
    <t>TRI COLOR,36-LED,BLUE/AMBER/WH</t>
  </si>
  <si>
    <t>MPS123U-BAW</t>
  </si>
  <si>
    <t>TRI COLOR,36-LED,AMBER/GREEN/W</t>
  </si>
  <si>
    <t>MPS123U-AGW</t>
  </si>
  <si>
    <t>TRI COLOR,36-LED,AMB/BLU/GRN</t>
  </si>
  <si>
    <t>MPS123U-ABG</t>
  </si>
  <si>
    <t>PCBA,MICROPULSE,24LED,AMB/WHT</t>
  </si>
  <si>
    <t>MPS122UX-AW</t>
  </si>
  <si>
    <t>DUAL COLOR,24-LED,RED/WHITE</t>
  </si>
  <si>
    <t>MPS122U-RW</t>
  </si>
  <si>
    <t>DUAL COLOR,24-LED,RED/BLUE</t>
  </si>
  <si>
    <t>MPS122U-RB</t>
  </si>
  <si>
    <t>DUAL COLOR,24-LED,BLUE/WHITE</t>
  </si>
  <si>
    <t>MPS122U-BW</t>
  </si>
  <si>
    <t>DUAL COLOR,24-LED,BLUE/AMBER</t>
  </si>
  <si>
    <t>MPS122U-BA</t>
  </si>
  <si>
    <t>DUAL COLOR,24-LED,AMBER/WHITE</t>
  </si>
  <si>
    <t>MPS122U-AW</t>
  </si>
  <si>
    <t>MICROPULSE,ULTRA,X,DUAL</t>
  </si>
  <si>
    <t>MPS1220UX-RW</t>
  </si>
  <si>
    <t>MICROPULSE,ULTRA,DUAL,BLU/RED</t>
  </si>
  <si>
    <t>MPS1220U-BR</t>
  </si>
  <si>
    <t>MICROPULSE,ULTRA,DUAL,AMB/WHT</t>
  </si>
  <si>
    <t>MPS1220U-AW</t>
  </si>
  <si>
    <t>SNGL COLOR,12-LED,RED</t>
  </si>
  <si>
    <t>MPS121UX-R</t>
  </si>
  <si>
    <t>MPS121U-R</t>
  </si>
  <si>
    <t>SNGL COLOR,12-LED,AMBER</t>
  </si>
  <si>
    <t>MPS121U-A</t>
  </si>
  <si>
    <t>MICROPULSE 1202 ULTRA SERIES,</t>
  </si>
  <si>
    <t>MPS1202U-RR</t>
  </si>
  <si>
    <t>MICROPHONE,MNCT,SERIES D</t>
  </si>
  <si>
    <t>MNCT-SD</t>
  </si>
  <si>
    <t>BRKT KIT,MB1-DUR,MBK06</t>
  </si>
  <si>
    <t>MBK06</t>
  </si>
  <si>
    <t>BRKT KIT,MB1-VSLR,MBK05</t>
  </si>
  <si>
    <t>MBK05</t>
  </si>
  <si>
    <t>BRKT KIT,MB1-INTG/LGD/LPX/NVG</t>
  </si>
  <si>
    <t>MBK04</t>
  </si>
  <si>
    <t>BRKT KIT,MB1-VALR, HOOK</t>
  </si>
  <si>
    <t>MBK03H</t>
  </si>
  <si>
    <t>BRKT KIT,MB1-FPIU,MBK01</t>
  </si>
  <si>
    <t>MBK01</t>
  </si>
  <si>
    <t>MESSAGE BOARD, GREEN</t>
  </si>
  <si>
    <t>MB1-G</t>
  </si>
  <si>
    <t>MB1,MSG BRD,STD,STNDLN,NARROW</t>
  </si>
  <si>
    <t>MB1-BNRW</t>
  </si>
  <si>
    <t>FINAL ASSY,MSG BRD, AMBER</t>
  </si>
  <si>
    <t>MB1-A</t>
  </si>
  <si>
    <t>MB1,MSG BRD,STD,STNDLN</t>
  </si>
  <si>
    <t>MB1</t>
  </si>
  <si>
    <t>BLU/BLU LP800 BEACON</t>
  </si>
  <si>
    <t>LP800-B</t>
  </si>
  <si>
    <t>AMBER LP800 BEACON</t>
  </si>
  <si>
    <t>LP800-A</t>
  </si>
  <si>
    <t>LITTLITE,HAL,6"TOP NECK,ON/OFF</t>
  </si>
  <si>
    <t>LF6MOTO</t>
  </si>
  <si>
    <t>LITTLITE,LED,18"TOPNECK,ON/OFF</t>
  </si>
  <si>
    <t>LF18TS-LED</t>
  </si>
  <si>
    <t>LF18TSB-LED-BLUE</t>
  </si>
  <si>
    <t>LF18TSB-LED</t>
  </si>
  <si>
    <t>LITTLITE,LED,18"ENDNECK,ON/OFF</t>
  </si>
  <si>
    <t>LF18ES-LED</t>
  </si>
  <si>
    <t>LITTLITE,LED,18" END NECK,RHEO</t>
  </si>
  <si>
    <t>LF18ER-LED-UV</t>
  </si>
  <si>
    <t>LITTLITE,LED,12"TOPNECK,ON/OFF</t>
  </si>
  <si>
    <t>LF12TS-LED</t>
  </si>
  <si>
    <t>LF12TSB-LED</t>
  </si>
  <si>
    <t>LITTLITE,LED,12"ENDNECK,ON/OFF</t>
  </si>
  <si>
    <t>LF12ES-LED</t>
  </si>
  <si>
    <t>LF12ESB-LED</t>
  </si>
  <si>
    <t>LITTLITE,HAL,12" END NECK,RHEO</t>
  </si>
  <si>
    <t>LF12ERB</t>
  </si>
  <si>
    <t>9X7 QUAD,LED TCL,RED,RED LENS</t>
  </si>
  <si>
    <t>LEDTCL97R-R</t>
  </si>
  <si>
    <t>9X7 QUAD.,LED TCL,WHT,CLR LENS</t>
  </si>
  <si>
    <t>LEDTCL97C-W</t>
  </si>
  <si>
    <t>9X7 QUAD, LED TCL, RED LEDS</t>
  </si>
  <si>
    <t>LEDTCL97C-R</t>
  </si>
  <si>
    <t>9X7 QUAD.,LED TCL,GRN,CLR LENS</t>
  </si>
  <si>
    <t>LEDTCL97C-G</t>
  </si>
  <si>
    <t>9X7 QUAD.,LED TCL,BLU,CLR LENS</t>
  </si>
  <si>
    <t>LEDTCL97C-B</t>
  </si>
  <si>
    <t>9X7 QUAD, LED TCL, AMBER LEDS</t>
  </si>
  <si>
    <t>LEDTCL97C-A</t>
  </si>
  <si>
    <t>LED TCL, RED, RED,6X4</t>
  </si>
  <si>
    <t>LEDTCL64R-R</t>
  </si>
  <si>
    <t>LED TCL, WHITE, 6X4</t>
  </si>
  <si>
    <t>LEDTCL64C-W</t>
  </si>
  <si>
    <t>LED TCL, RED, 6X4(PASS) W/LED</t>
  </si>
  <si>
    <t>LEDTCL64C-RB</t>
  </si>
  <si>
    <t>LED TCL, RED, 6X4</t>
  </si>
  <si>
    <t>LEDTCL64C-R</t>
  </si>
  <si>
    <t>LED TCL, GREEN, 6X4</t>
  </si>
  <si>
    <t>LEDTCL64C-G</t>
  </si>
  <si>
    <t>LED TCL, BLUE, 6X4</t>
  </si>
  <si>
    <t>LEDTCL64C-B</t>
  </si>
  <si>
    <t>LED TCL, AMBER, 6X4</t>
  </si>
  <si>
    <t>LEDTCL64C-A</t>
  </si>
  <si>
    <t>LED TCL, AMBER, AMBER, 6X4</t>
  </si>
  <si>
    <t>LEDTCL64A-A</t>
  </si>
  <si>
    <t>KIT,BRKT,PUSH BUMP,45</t>
  </si>
  <si>
    <t>IPX-PB45V</t>
  </si>
  <si>
    <t>IPX-PB45H</t>
  </si>
  <si>
    <t>KIT,MNT,LP VERT EXT,IPX/V</t>
  </si>
  <si>
    <t>IPX-LPVX1</t>
  </si>
  <si>
    <t>KIT,MNT,LP VERT,ADJ,IPX/MPS</t>
  </si>
  <si>
    <t>IPX-LPV2</t>
  </si>
  <si>
    <t>KIT,MNT,LP VERT,IPX/VEX</t>
  </si>
  <si>
    <t>IPX-LPV1</t>
  </si>
  <si>
    <t>KIT,MNT,LP HORZ,IPX/VEX</t>
  </si>
  <si>
    <t>IPX-LPH1</t>
  </si>
  <si>
    <t>BRKT KIT,IPX-MPS,GRILLE,CHGR15</t>
  </si>
  <si>
    <t>IPX-GRL8</t>
  </si>
  <si>
    <t>BRKT KIT,GRILLE,4 MPS,20FPIU,</t>
  </si>
  <si>
    <t>IPX-GRL17</t>
  </si>
  <si>
    <t>BRKT KIT,GRILLE,MPS,20FPIU,ND</t>
  </si>
  <si>
    <t>IPX-GRL16</t>
  </si>
  <si>
    <t>IPX GRILL BRKT,19MUST</t>
  </si>
  <si>
    <t>IPX-GRL15</t>
  </si>
  <si>
    <t>BRKT KIT,GRILL,18F-150 PPV,ND</t>
  </si>
  <si>
    <t>IPX-GRL14</t>
  </si>
  <si>
    <t>INTG51J,STOCKED</t>
  </si>
  <si>
    <t>INTG51J-PF3L</t>
  </si>
  <si>
    <t>INTG51J-P2BL</t>
  </si>
  <si>
    <t>INTG51J-P1BL</t>
  </si>
  <si>
    <t>INTG51J-AMBR3</t>
  </si>
  <si>
    <t>INTG51J-AMBR2</t>
  </si>
  <si>
    <t>INTG44J,STOCKED`</t>
  </si>
  <si>
    <t>INTG44J-PF3L</t>
  </si>
  <si>
    <t>INTG44J,STOCKED</t>
  </si>
  <si>
    <t>INTG44J-P2BL</t>
  </si>
  <si>
    <t>INTG44J-P1BL</t>
  </si>
  <si>
    <t>SNOW PLOW HEADLIGHT, LED</t>
  </si>
  <si>
    <t>ICSSPL-P</t>
  </si>
  <si>
    <t>LIGHT BAR, 24" COMBO, WHITE</t>
  </si>
  <si>
    <t>ICSPL24</t>
  </si>
  <si>
    <t>Light Bar, 21.5" Flood/Spot</t>
  </si>
  <si>
    <t>Light Bar, 13" Flood/Spot</t>
  </si>
  <si>
    <t>WORKLIGHT, 4.3" SQUARE, 2700LM</t>
  </si>
  <si>
    <t>WORKLIGHT, 4.3" ROUND, 2200LM</t>
  </si>
  <si>
    <t>ICS43-RND</t>
  </si>
  <si>
    <t>WORKLIGHT, 3" SQUARE, 1100LM</t>
  </si>
  <si>
    <t>ICS3-SQ</t>
  </si>
  <si>
    <t>WORKLIGHT, 3" ROUND,1100 LM</t>
  </si>
  <si>
    <t>ICS3-RND-DEU</t>
  </si>
  <si>
    <t>WORKLIGHT, 3" ROUND, 1100LM</t>
  </si>
  <si>
    <t>ICS3-RND</t>
  </si>
  <si>
    <t>WORKLIGHT, 3.5" SQUARE, 1330LM</t>
  </si>
  <si>
    <t>ICS35-SQ</t>
  </si>
  <si>
    <t>WORKLIGHT, 3.5" ROUND,SPOT</t>
  </si>
  <si>
    <t>ICS35-RND-SPOT</t>
  </si>
  <si>
    <t>WORKLIGHT, 3.5" ROUND, 1440LM</t>
  </si>
  <si>
    <t>ICS35-RND</t>
  </si>
  <si>
    <t>HL ELITE,A/W,UNIV MT,SPLIT</t>
  </si>
  <si>
    <t>HL15UC-SAW</t>
  </si>
  <si>
    <t>HL ELITE,A/G,UNIV MT,SPLIT</t>
  </si>
  <si>
    <t>HL15UC-SAG</t>
  </si>
  <si>
    <t>HL ELITE,A/W,UNIV MT,CLR DOME</t>
  </si>
  <si>
    <t>HL15UC-AW</t>
  </si>
  <si>
    <t>HL ELITE,A/G,UNIV MT,CLR DOME</t>
  </si>
  <si>
    <t>HL15UC-AG</t>
  </si>
  <si>
    <t>HL ELITE,AMB,UNIV MT,CLR DOME</t>
  </si>
  <si>
    <t>HL15UC-A</t>
  </si>
  <si>
    <t>HL ELITE,AMB,UNIV MT,AMB DOME</t>
  </si>
  <si>
    <t>HL15U-A</t>
  </si>
  <si>
    <t>HL ELITE,WHT,SUC. CUP,CLR DOME</t>
  </si>
  <si>
    <t>HL15SC-W</t>
  </si>
  <si>
    <t>SCT MNT BRKT KIT,HL 15</t>
  </si>
  <si>
    <t>HL15-SCTMT</t>
  </si>
  <si>
    <t>HL ELITE,A/W,SUC CUP,SPLT</t>
  </si>
  <si>
    <t>HL15SC-SAW</t>
  </si>
  <si>
    <t>HL ELITE,A/G,SUC CUP,SPLT</t>
  </si>
  <si>
    <t>HL15SC-SAG</t>
  </si>
  <si>
    <t>HL ELITE,A/B,SUC CUP,SPLT</t>
  </si>
  <si>
    <t>HL15SC-SAB</t>
  </si>
  <si>
    <t>HL ELITE,R/W,SUC MNT,CLR DOME</t>
  </si>
  <si>
    <t>HL15SC-RW</t>
  </si>
  <si>
    <t>HL ELITE,R/B,SUC MNT,CLR DOME</t>
  </si>
  <si>
    <t>HL15SC-RB</t>
  </si>
  <si>
    <t>HL ELITE,RED,SUC. CUP,CLR DOME</t>
  </si>
  <si>
    <t>HL15SC-R</t>
  </si>
  <si>
    <t>HL ELITE,GRN,SUC. CUP,CLR DOME</t>
  </si>
  <si>
    <t>HL15SC-G</t>
  </si>
  <si>
    <t>HL ELITE,B/W,SUC MNT,CLR DOME</t>
  </si>
  <si>
    <t>HL15SC-BW</t>
  </si>
  <si>
    <t>HL ELITE,BLU,SUC. CUP,CLR DOME</t>
  </si>
  <si>
    <t>HL15SC-B</t>
  </si>
  <si>
    <t>HL ELITE,A/W,SUC. CUP,CLR DOME</t>
  </si>
  <si>
    <t>HL15SC-AW</t>
  </si>
  <si>
    <t>HL ELITE,A/R,SUC. CUP,CLR DOME</t>
  </si>
  <si>
    <t>HL15SC-AR</t>
  </si>
  <si>
    <t>HL ELITE,A/G,SUC. CUP,CLR DOME</t>
  </si>
  <si>
    <t>HL15SC-AG</t>
  </si>
  <si>
    <t>HL ELITE,A/B,SUC. CUP,CLR DOME</t>
  </si>
  <si>
    <t>HL15SC-AB</t>
  </si>
  <si>
    <t>HL ELITE,AMB,SUC. CUP,CLR DOME</t>
  </si>
  <si>
    <t>HL15SC-A</t>
  </si>
  <si>
    <t>HL ELITE,AMB,SUC. CUP,AMB DOME</t>
  </si>
  <si>
    <t>HL15S-A</t>
  </si>
  <si>
    <t>HL ELITE,WHT,PERM MNT,CLR DOME</t>
  </si>
  <si>
    <t>HL15PC-W</t>
  </si>
  <si>
    <t>HL ELITE,A/W,PERM MT,SPLT</t>
  </si>
  <si>
    <t>HL15PC-SAW</t>
  </si>
  <si>
    <t>HL ELITE,A/G,PERM MT,SPLT</t>
  </si>
  <si>
    <t>HL15PC-SAG</t>
  </si>
  <si>
    <t>HL ELITE,R/W,PERM MNT,CLR DOME</t>
  </si>
  <si>
    <t>HL15PC-RW</t>
  </si>
  <si>
    <t>HL ELITE,R/B,PERM MNT,CLR DOME</t>
  </si>
  <si>
    <t>HL15PC-RB</t>
  </si>
  <si>
    <t>HL ELITE,RED,PERM MNT,CLR DOME</t>
  </si>
  <si>
    <t>HL15PC-R</t>
  </si>
  <si>
    <t>HL ELITE,GRN,PERM MNT,CLR DOME</t>
  </si>
  <si>
    <t>HL15PC-G</t>
  </si>
  <si>
    <t>HL ELITE,B/W,PERM MNT,CLR DOME</t>
  </si>
  <si>
    <t>HL15PC-BW</t>
  </si>
  <si>
    <t>HL ELITE,BLU,PERM MNT,CLR DOME</t>
  </si>
  <si>
    <t>HL15PC-B</t>
  </si>
  <si>
    <t>HL ELITE,WALSH CONSTRUCTION</t>
  </si>
  <si>
    <t>HL15PC-A-WC</t>
  </si>
  <si>
    <t>HL ELITE,A/W,PERM MNT,CLR DOME</t>
  </si>
  <si>
    <t>HL15PC-AW</t>
  </si>
  <si>
    <t>HL ELITE,A/R,PERM MNT,CLR DOME</t>
  </si>
  <si>
    <t>HL15PC-AR</t>
  </si>
  <si>
    <t>HL ELITE,A/G,PERM MNT,CLR DOME</t>
  </si>
  <si>
    <t>HL15PC-AG</t>
  </si>
  <si>
    <t>HL ELITE,A/B,PERM MNT,CLR DOME</t>
  </si>
  <si>
    <t>HL15PC-AB</t>
  </si>
  <si>
    <t>HL ELITE,AMB,PERM MNT,CLR DOME</t>
  </si>
  <si>
    <t>HL15PC-A</t>
  </si>
  <si>
    <t>HL15P-A</t>
  </si>
  <si>
    <t>HL ELITE,WHT,MAG MNT,CLR DOME</t>
  </si>
  <si>
    <t>HL15MC-W</t>
  </si>
  <si>
    <t>HL ELITE,A/W,MAG MT,SPLT</t>
  </si>
  <si>
    <t>HL15MC-SAW</t>
  </si>
  <si>
    <t>HL ELITE,A/G,MAG MT,SPLT</t>
  </si>
  <si>
    <t>HL15MC-SAG</t>
  </si>
  <si>
    <t>HL ELITE,A/B,MAG MT,SPLT</t>
  </si>
  <si>
    <t>HL15MC-SAB</t>
  </si>
  <si>
    <t>HL ELITE,R/W,MAG MNT,CLR DOME</t>
  </si>
  <si>
    <t>HL15MC-RW</t>
  </si>
  <si>
    <t>HL ELITE,R/B,MAG MNT,CLR DOME</t>
  </si>
  <si>
    <t>HL15MC-RB</t>
  </si>
  <si>
    <t>HL ELITE,RED,MAG MNT,CLR DOME</t>
  </si>
  <si>
    <t>HL15MC-R</t>
  </si>
  <si>
    <t>HL ELITE,GRN,MAG MNT,CLR DOME</t>
  </si>
  <si>
    <t>HL15MC-G</t>
  </si>
  <si>
    <t>HL ELITE,B/W,MAG MNT,CLR DOME</t>
  </si>
  <si>
    <t>HL15MC-BW</t>
  </si>
  <si>
    <t>HL ELITE,BLU,MAG MNT,CLR DOME</t>
  </si>
  <si>
    <t>HL15MC-B</t>
  </si>
  <si>
    <t>HL ELITE,A/W,MAG MNT,CLR DOME</t>
  </si>
  <si>
    <t>HL15MC-AW</t>
  </si>
  <si>
    <t>HL ELITE,A/R,MAG MNT,CLR DOME</t>
  </si>
  <si>
    <t>HL15MC-AR</t>
  </si>
  <si>
    <t>HL ELITE,A/G,MAG MNT,CLR DOME</t>
  </si>
  <si>
    <t>HL15MC-AG</t>
  </si>
  <si>
    <t>HL ELITE,A/B,MAG MNT,CLR DOME</t>
  </si>
  <si>
    <t>HL15MC-AB</t>
  </si>
  <si>
    <t>HL ELITE,AMB,MAG MNT,CLR DOME</t>
  </si>
  <si>
    <t>HL15MC-A</t>
  </si>
  <si>
    <t>MAG MNT BRKT KIT, HL15</t>
  </si>
  <si>
    <t>HL15-MAGMT</t>
  </si>
  <si>
    <t>HL ELITE,AMB,MAG MNT,AMB DOME</t>
  </si>
  <si>
    <t>HL15M-A</t>
  </si>
  <si>
    <t>PERM MNT BRKT,HL15</t>
  </si>
  <si>
    <t>HL15-BKT</t>
  </si>
  <si>
    <t>HL MICRO, MAGNET/BRACKET MNT,</t>
  </si>
  <si>
    <t>HL10UC-AW</t>
  </si>
  <si>
    <t>HL10UC-AG</t>
  </si>
  <si>
    <t>HL10UC-A</t>
  </si>
  <si>
    <t>HL MICRO,MAGNET/BRACKET MNT, A</t>
  </si>
  <si>
    <t>HL10U-A</t>
  </si>
  <si>
    <t>HL MICRO,WHT,SUC. CUP,CLR DOME</t>
  </si>
  <si>
    <t>HL10SC-W</t>
  </si>
  <si>
    <t>KIT,HL10,SUCTION CUP MNT</t>
  </si>
  <si>
    <t>HL10-SCTMNT</t>
  </si>
  <si>
    <t>HL MICRO,R/B,SUC. CUP,CLR DOME</t>
  </si>
  <si>
    <t>HL10SC-RB</t>
  </si>
  <si>
    <t>HL MICRO,RED,SUC. CUP,CLR DOME</t>
  </si>
  <si>
    <t>HL10SC-R</t>
  </si>
  <si>
    <t>HL MICRO,GRN,SUC. CUP,CLR DOME</t>
  </si>
  <si>
    <t>HL10SC-G</t>
  </si>
  <si>
    <t>HL MICRO,BLU, SUC. CUP,CLR DOM</t>
  </si>
  <si>
    <t>HL10SC-B</t>
  </si>
  <si>
    <t>HL MICRO,A/W,SUC. CUP,CLR DOME</t>
  </si>
  <si>
    <t>HL10SC-AW</t>
  </si>
  <si>
    <t>HL MICRO,A/R,SUC. CUP,CLR DOME</t>
  </si>
  <si>
    <t>HL10SC-AR</t>
  </si>
  <si>
    <t>HL MICRO,A/G,SUC. CUP,CLR DOME</t>
  </si>
  <si>
    <t>HL10SC-AG</t>
  </si>
  <si>
    <t>HL MICRO,A/B,SUC. CUP,CLR DOME</t>
  </si>
  <si>
    <t>HL10SC-AB</t>
  </si>
  <si>
    <t>HL MICRO,AMB,SUC. CUP,CLR DOME</t>
  </si>
  <si>
    <t>HL10SC-A</t>
  </si>
  <si>
    <t>HL MICRO,A,SUC. CUP,AMB DOME</t>
  </si>
  <si>
    <t>HL10S-A</t>
  </si>
  <si>
    <t>HL MICRO,WHT,PERM MNT,CLR DOME</t>
  </si>
  <si>
    <t>HL10PC-W</t>
  </si>
  <si>
    <t>HL MICRO,R/BR,PERM MNT,CLR DOM</t>
  </si>
  <si>
    <t>HL10PC-RB</t>
  </si>
  <si>
    <t>HL MICRO,RED,PERM MNT,CLR DOME</t>
  </si>
  <si>
    <t>HL10PC-R</t>
  </si>
  <si>
    <t>HL MICRO,GRN,PERM MNT,CLR DOME</t>
  </si>
  <si>
    <t>HL10PC-G</t>
  </si>
  <si>
    <t>HL MICRO,BLU,PERM MNT,CLR DOME</t>
  </si>
  <si>
    <t>HL10PC-B</t>
  </si>
  <si>
    <t>HL MICRO, A/W, PERM MNT</t>
  </si>
  <si>
    <t>HL10PC-AW</t>
  </si>
  <si>
    <t>HL MICRO,A/R,PERM MNT,CLR DOME</t>
  </si>
  <si>
    <t>HL10PC-AR</t>
  </si>
  <si>
    <t>HL MICRO, A/G, PERM MNT</t>
  </si>
  <si>
    <t>HL10PC-AG</t>
  </si>
  <si>
    <t>HL MICRO, A/B, PERM MNT</t>
  </si>
  <si>
    <t>HL10PC-AB</t>
  </si>
  <si>
    <t>HL MICRO,AMB,PERM MNT,CLR DOME</t>
  </si>
  <si>
    <t>HL10PC-A</t>
  </si>
  <si>
    <t>HL10P-A</t>
  </si>
  <si>
    <t>HL MICRO,WHT,MAG MNT,CLR DOME</t>
  </si>
  <si>
    <t>HL10MC-W</t>
  </si>
  <si>
    <t>HL MICRO,R/B,MAG MNT,CLR DOME</t>
  </si>
  <si>
    <t>HL10MC-RB</t>
  </si>
  <si>
    <t>HL MICRO,RED,MAG MNT,CLR DOME</t>
  </si>
  <si>
    <t>HL10MC-R</t>
  </si>
  <si>
    <t>HL MICRO,GRN,MAG MNT,CLR DOME</t>
  </si>
  <si>
    <t>HL10MC-G</t>
  </si>
  <si>
    <t>HL MICRO,BLU,MAG MNT,CLR DOME</t>
  </si>
  <si>
    <t>HL10MC-B</t>
  </si>
  <si>
    <t>HL MICRO,A/W,MAG MNT,CLR DOME</t>
  </si>
  <si>
    <t>HL10MC-AW</t>
  </si>
  <si>
    <t>HL MICRO,A/R,MAG MNT,CLR DOME</t>
  </si>
  <si>
    <t>HL10MC-AR</t>
  </si>
  <si>
    <t>HL MICRO,A/G,MAG MNT,CLR DOME</t>
  </si>
  <si>
    <t>HL10MC-AG</t>
  </si>
  <si>
    <t>HL MICRO,A/B,MAG MNT,CLR DOME</t>
  </si>
  <si>
    <t>HL10MC-AB</t>
  </si>
  <si>
    <t>HL MICRO,AMB,MAG MNT,CLR DOME</t>
  </si>
  <si>
    <t>HL10MC-A</t>
  </si>
  <si>
    <t>KIT,HL10,MAGNET MNT</t>
  </si>
  <si>
    <t>HL10-MAGMNT</t>
  </si>
  <si>
    <t>HL MICRO,A,MAG MNT,AMB DOME</t>
  </si>
  <si>
    <t>HL10M-A</t>
  </si>
  <si>
    <t>BRACKET KIT FOR HL10</t>
  </si>
  <si>
    <t>HL10-BKT</t>
  </si>
  <si>
    <t>KIT,HOOK,UNIVERSAL 6</t>
  </si>
  <si>
    <t>HKB-UNH6</t>
  </si>
  <si>
    <t>KIT,HOOK,UNIVERSAL 5</t>
  </si>
  <si>
    <t>HKB-UNH5</t>
  </si>
  <si>
    <t>KIT,HOOK,UNIVERSAL 4</t>
  </si>
  <si>
    <t>HKB-UNH4</t>
  </si>
  <si>
    <t>KIT,HOOK,UNIVERSAL 3</t>
  </si>
  <si>
    <t>HKB-UNH3</t>
  </si>
  <si>
    <t>KIT,HOOK,UNIVERSAL 2</t>
  </si>
  <si>
    <t>HKB-UNH2</t>
  </si>
  <si>
    <t>KIT,HOOK,UNIVERSAL 1</t>
  </si>
  <si>
    <t>HKB-UNH1</t>
  </si>
  <si>
    <t>KIT,HOOK 23 NISSAN TITAN</t>
  </si>
  <si>
    <t>HKB-TTN23</t>
  </si>
  <si>
    <t>KIT, HOOK, TRAV22</t>
  </si>
  <si>
    <t>HKB-TRAV22</t>
  </si>
  <si>
    <t>LIGHTBAR HOOK KIT FOR HILUX</t>
  </si>
  <si>
    <t>HKB-THX23</t>
  </si>
  <si>
    <t>KIT,HOOK,PURSUIT,CHEVY TAHOE,</t>
  </si>
  <si>
    <t>HKB-TAH21-HP</t>
  </si>
  <si>
    <t>HKB-TAH21-44-HP</t>
  </si>
  <si>
    <t>KIT,HOOK 24 TOYOTA TACOMA</t>
  </si>
  <si>
    <t>HKB-TAC24</t>
  </si>
  <si>
    <t>HOOK KIT,17 CHEVY SILVERADO</t>
  </si>
  <si>
    <t>HKB-SIL17</t>
  </si>
  <si>
    <t>KIT HOOK,2000 GM SAVANNA</t>
  </si>
  <si>
    <t>HKB-SAV</t>
  </si>
  <si>
    <t>KIT,HOOK 23 NISSAN ROGUE</t>
  </si>
  <si>
    <t>HKB-ROG23</t>
  </si>
  <si>
    <t>KIT,HOOK 24 FORD RANGER</t>
  </si>
  <si>
    <t>HKB-RNGR24</t>
  </si>
  <si>
    <t>KIT,HOOK,FORD RANGER,2019</t>
  </si>
  <si>
    <t>HKB-RNG19</t>
  </si>
  <si>
    <t>KIT,HOOK 23 TOYOTA RAV4</t>
  </si>
  <si>
    <t>HKB-RAV23</t>
  </si>
  <si>
    <t>KIT,HOOK,19RAM 1500,GEN 5</t>
  </si>
  <si>
    <t>HKB-RAM19</t>
  </si>
  <si>
    <t>KIT, HOOK 22 NISSAN PATHFINDER</t>
  </si>
  <si>
    <t>HKB-PTH22</t>
  </si>
  <si>
    <t>KIT,HOOK,MUSTANG MACH-E,2021</t>
  </si>
  <si>
    <t>HKB-MME21</t>
  </si>
  <si>
    <t>KIT,HOOK,FORD MAVERICK,2022</t>
  </si>
  <si>
    <t>HKB-MAV22</t>
  </si>
  <si>
    <t>HOOK KIT,'07 MALIBU</t>
  </si>
  <si>
    <t>HKB-MAL7</t>
  </si>
  <si>
    <t>KIT HOOK,2007 MAGNUM</t>
  </si>
  <si>
    <t>HKB-MAG7</t>
  </si>
  <si>
    <t>KIT,HOOK,CHGR11,PURSUIT</t>
  </si>
  <si>
    <t>HKB-LPCHGR11-HP</t>
  </si>
  <si>
    <t>KIT, HOOK 25 NISSAN KICKS</t>
  </si>
  <si>
    <t>HKB-KCK25</t>
  </si>
  <si>
    <t>KIT,HOOK,JET &amp; VISION,GUT</t>
  </si>
  <si>
    <t>HKB-GUTR</t>
  </si>
  <si>
    <t>HOOK KIT,FORD F150,2009</t>
  </si>
  <si>
    <t>HKB-FRD9</t>
  </si>
  <si>
    <t>KIT,HOOK,F150,PURSUITT</t>
  </si>
  <si>
    <t>HKB-FRD15-HP</t>
  </si>
  <si>
    <t>KIT,HOOK,F150,PURSUIT,44" BAR</t>
  </si>
  <si>
    <t>HKB-FRD15-44-HP</t>
  </si>
  <si>
    <t>KIT,HOOK,FPIU20,LONG</t>
  </si>
  <si>
    <t>HKB-FPIU20-LONG</t>
  </si>
  <si>
    <t>KIT,HOOK,FPIU20,PURSUIT</t>
  </si>
  <si>
    <t>HKB-FPIU20-HP</t>
  </si>
  <si>
    <t>HOOK KIT FOR FPIU20</t>
  </si>
  <si>
    <t>HKB-FPIU20-44-HP</t>
  </si>
  <si>
    <t>KIT, HOOK,22 NISSAN FRONTIER</t>
  </si>
  <si>
    <t>HKB-FNTR</t>
  </si>
  <si>
    <t>KIT HOOK,07 FORD HVY DTY</t>
  </si>
  <si>
    <t>HKB-FHD7</t>
  </si>
  <si>
    <t>KIT, HOOK, EXPEDITION 22</t>
  </si>
  <si>
    <t>HKB-EXD22</t>
  </si>
  <si>
    <t>KIT,HOOK,FORD ESCAPE,2020</t>
  </si>
  <si>
    <t>HKB-ESC20</t>
  </si>
  <si>
    <t>KIT, HOOK 23 CHEVY EQUINOX</t>
  </si>
  <si>
    <t>HKB-EQX23</t>
  </si>
  <si>
    <t>KIT HOOK,05DURANGO W/ROOF</t>
  </si>
  <si>
    <t>HKB-DURR</t>
  </si>
  <si>
    <t>KIT,HOOK,DUR11,PURSUIT</t>
  </si>
  <si>
    <t>HKB-DUR11-HP</t>
  </si>
  <si>
    <t>KIT,HOOK,2019 DODGE DURANGO,</t>
  </si>
  <si>
    <t>HKB-DUR11</t>
  </si>
  <si>
    <t>KIT, HOOK 20 TOYOTA COROLLA</t>
  </si>
  <si>
    <t>HKB-COR20</t>
  </si>
  <si>
    <t>KIT,HOOK,15-16 CHEVY COLORADO</t>
  </si>
  <si>
    <t>HKB-COL15</t>
  </si>
  <si>
    <t>2024 BLAZER EV LIGHTBAR HOOK</t>
  </si>
  <si>
    <t>HKB-BLZR24</t>
  </si>
  <si>
    <t>KIT,HOOK,BRONCO SPORT,'21</t>
  </si>
  <si>
    <t>HKB-BCS21</t>
  </si>
  <si>
    <t>FSLINK PROGRAMMER KIT</t>
  </si>
  <si>
    <t>FSLINKPR-1</t>
  </si>
  <si>
    <t>FS FIRERAY 900 SERIES,RED LENS</t>
  </si>
  <si>
    <t>FR9R1-R</t>
  </si>
  <si>
    <t>FIRERAY, FR9 SCENE,CHROME TRIM</t>
  </si>
  <si>
    <t>FR9MCSCENE</t>
  </si>
  <si>
    <t>FR9 SERIES CHROME FLANGE &amp;</t>
  </si>
  <si>
    <t>FR9MC</t>
  </si>
  <si>
    <t>FIRERAY, FR9 SCENE,BLACK TRIM</t>
  </si>
  <si>
    <t>FR9MBSCENE</t>
  </si>
  <si>
    <t>FIRERAY FR9 SER. BLK TRIM RING</t>
  </si>
  <si>
    <t>FR9MB</t>
  </si>
  <si>
    <t>FIRERAY 900 SERIES, SCENE,</t>
  </si>
  <si>
    <t>FR9LEDSCENE</t>
  </si>
  <si>
    <t>FS FIRERAY 900 SERIES,CLR LENS</t>
  </si>
  <si>
    <t>FR9C2-RW</t>
  </si>
  <si>
    <t>FR9C2-RB</t>
  </si>
  <si>
    <t>FR9C2-BW</t>
  </si>
  <si>
    <t>FR9C2-AW</t>
  </si>
  <si>
    <t>FR9C1-W</t>
  </si>
  <si>
    <t>FR9C1-R</t>
  </si>
  <si>
    <t>FR9C1-B</t>
  </si>
  <si>
    <t>FR9C1-A</t>
  </si>
  <si>
    <t>FS FIRERAY 900 SERIES,BLU LENS</t>
  </si>
  <si>
    <t>FR9B1-B</t>
  </si>
  <si>
    <t>ADAPTER, 4 HOLE MNT, FR9</t>
  </si>
  <si>
    <t>FR9-A4HMC</t>
  </si>
  <si>
    <t>FS FIRERAY 900 SERIES,AMB LENS</t>
  </si>
  <si>
    <t>FR9A1-A</t>
  </si>
  <si>
    <t>FS FIRERAY 700 SERIES,RED LENS</t>
  </si>
  <si>
    <t>FR7R1-R</t>
  </si>
  <si>
    <t>FR7 SERIES CHROME FLANGE &amp;</t>
  </si>
  <si>
    <t>FR7MC</t>
  </si>
  <si>
    <t>FIRERAY FR7 SER. BLK TRIM RING</t>
  </si>
  <si>
    <t>FR7MB</t>
  </si>
  <si>
    <t>FIRERAY 700 SERIES, SCENE,</t>
  </si>
  <si>
    <t>FR7LEDSCENE</t>
  </si>
  <si>
    <t>FS FIRERAY 700 SERIES,CLR LENS</t>
  </si>
  <si>
    <t>FR7C2-RW</t>
  </si>
  <si>
    <t>FR7C2-RB</t>
  </si>
  <si>
    <t>FR7C2-BW</t>
  </si>
  <si>
    <t>FR7C2-BA</t>
  </si>
  <si>
    <t>FR7C2-AW</t>
  </si>
  <si>
    <t>FR7C1-W</t>
  </si>
  <si>
    <t>FR7C1-R</t>
  </si>
  <si>
    <t>FR7C1-B</t>
  </si>
  <si>
    <t>FR7C1-A</t>
  </si>
  <si>
    <t>ADAPTER, 4 HOLE MNT, FR7</t>
  </si>
  <si>
    <t>FR7-A4HMC</t>
  </si>
  <si>
    <t>FS FIRERAY 700 SERIES,AMB LENS</t>
  </si>
  <si>
    <t>FR7A1-A</t>
  </si>
  <si>
    <t>KIT, FR6, SPACER KIT</t>
  </si>
  <si>
    <t>FR6-SPACRKT</t>
  </si>
  <si>
    <t>FS FIRERAY 600 SERIES,RED LENS</t>
  </si>
  <si>
    <t>FR6R1-R</t>
  </si>
  <si>
    <t>FR6 HEADLIGHT MNT. KIT</t>
  </si>
  <si>
    <t>FR6MHL</t>
  </si>
  <si>
    <t>FIRERAY FR6-FLANGE,CHROME,4-UP</t>
  </si>
  <si>
    <t>FR6MC4V</t>
  </si>
  <si>
    <t>FIRERAY FR6-FLANGE,CHROME,3-UP</t>
  </si>
  <si>
    <t>FR6MC3V</t>
  </si>
  <si>
    <t>FR6 SERIES CHROME FLANGE</t>
  </si>
  <si>
    <t>FR6MC</t>
  </si>
  <si>
    <t>FIRERAY FR6-FLANGE,BLACK,4-UP</t>
  </si>
  <si>
    <t>FR6MB4V</t>
  </si>
  <si>
    <t>FIRERAY FR6 SER. BLK TRIM RING</t>
  </si>
  <si>
    <t>FR6MB</t>
  </si>
  <si>
    <t>FIRERAY 600 SERIES, SCENE,</t>
  </si>
  <si>
    <t>FR6LEDSCENE</t>
  </si>
  <si>
    <t>KIT, GRILLE, FR6, UNIV</t>
  </si>
  <si>
    <t>FR6-GRL</t>
  </si>
  <si>
    <t>FS FIRERAY 600 SERIES,CLR LENS</t>
  </si>
  <si>
    <t>FR6C2-RW</t>
  </si>
  <si>
    <t>FR6C2-RB</t>
  </si>
  <si>
    <t>FR6C2-RA</t>
  </si>
  <si>
    <t>FR6C2-BW</t>
  </si>
  <si>
    <t>FR6C2-BA</t>
  </si>
  <si>
    <t>FR6C2-AW</t>
  </si>
  <si>
    <t>FR6C2-AG</t>
  </si>
  <si>
    <t>FR6C1-W</t>
  </si>
  <si>
    <t>FR6C1-R</t>
  </si>
  <si>
    <t>FR6C1-B</t>
  </si>
  <si>
    <t>FR6C1-A</t>
  </si>
  <si>
    <t>FIRERAY 600 SERIES, BTT,</t>
  </si>
  <si>
    <t>FR6-BTT</t>
  </si>
  <si>
    <t>FIRERAY 600 SERIES, BACKUP,</t>
  </si>
  <si>
    <t>FR6-BACKUP</t>
  </si>
  <si>
    <t>FS FIRERAY 600 SERIES,BLU LENS</t>
  </si>
  <si>
    <t>FR6B1-B</t>
  </si>
  <si>
    <t>FIRERAY 600 SERIES, ARROW,</t>
  </si>
  <si>
    <t>FR6-ARROW</t>
  </si>
  <si>
    <t>ADAPTER, 4 HOLE MNT, FR6</t>
  </si>
  <si>
    <t>FR6-A4HMC</t>
  </si>
  <si>
    <t>FS FIRERAY 600 SERIES,AMB LENS</t>
  </si>
  <si>
    <t>FR6A1-A</t>
  </si>
  <si>
    <t>FR4 SERIES CHROME FLANGE</t>
  </si>
  <si>
    <t>FR4MC</t>
  </si>
  <si>
    <t>FIRERAY FR4 SER. BLK TRIM RING</t>
  </si>
  <si>
    <t>FR4MB</t>
  </si>
  <si>
    <t>FIRERAY 400 SERIES, BLU LED,</t>
  </si>
  <si>
    <t>FR4C-B</t>
  </si>
  <si>
    <t>FIRERAY 400 SERIES, SPLIT,</t>
  </si>
  <si>
    <t>FR4C-AW</t>
  </si>
  <si>
    <t>FIRERAY 400 SERIES, AMB LED,</t>
  </si>
  <si>
    <t>FR4C-A</t>
  </si>
  <si>
    <t>ADAPTER, 4 HOLE MNT, FR4</t>
  </si>
  <si>
    <t>FR4-A4HMC</t>
  </si>
  <si>
    <t>MOUNT, ROOF RAILS,</t>
  </si>
  <si>
    <t>FM-EXP18</t>
  </si>
  <si>
    <t>FLASHER,REAR,ALTERNATING</t>
  </si>
  <si>
    <t>FHL-TAIL</t>
  </si>
  <si>
    <t>HEADLIGHT FLASH W/SELECT-</t>
  </si>
  <si>
    <t>FHL-HL</t>
  </si>
  <si>
    <t>HEADLIGHT FLASH SELECT-A-</t>
  </si>
  <si>
    <t>FLASHER,HEADLIGHT,(2)10A,</t>
  </si>
  <si>
    <t>FHL2-SC</t>
  </si>
  <si>
    <t>FLASHER,ALTERNATE,(2)10A,</t>
  </si>
  <si>
    <t>FA3-SC</t>
  </si>
  <si>
    <t>EXPMOD,SPCL,CPD</t>
  </si>
  <si>
    <t>EXPMOD-CPD</t>
  </si>
  <si>
    <t>PATHFINDER 32-CHANNEL</t>
  </si>
  <si>
    <t>EXPMOD32</t>
  </si>
  <si>
    <t>PATHFINDER 24-CHANNEL EXPANSIO</t>
  </si>
  <si>
    <t>EXPMOD24</t>
  </si>
  <si>
    <t>EXPANSION MODULE 2</t>
  </si>
  <si>
    <t>EXPMOD-2</t>
  </si>
  <si>
    <t>20FPIU EXP. MOD. HARNESS</t>
  </si>
  <si>
    <t>EXPHARN06</t>
  </si>
  <si>
    <t>WIRE ASSY, EXP. MODULE,</t>
  </si>
  <si>
    <t>EXPHARN05</t>
  </si>
  <si>
    <t>EXPHARN04</t>
  </si>
  <si>
    <t>WIRE ASSY,EXP. MODULE,FPIU</t>
  </si>
  <si>
    <t>EXPHARN03</t>
  </si>
  <si>
    <t>WIRE ASSY,EXP. MODULE,</t>
  </si>
  <si>
    <t>EXPHARN02</t>
  </si>
  <si>
    <t>HARNESS,EXPANSION MODULE,DODGE</t>
  </si>
  <si>
    <t>EXPHARN01</t>
  </si>
  <si>
    <t>FLUSH MOUNTING KIT,ES100,</t>
  </si>
  <si>
    <t>ESFMT-LL</t>
  </si>
  <si>
    <t>FLUSH MNT,BLK GRILLE</t>
  </si>
  <si>
    <t>ESFMT-EFB</t>
  </si>
  <si>
    <t>FLUSH MOUNTING KIT,ES100</t>
  </si>
  <si>
    <t>ESFMT-EF</t>
  </si>
  <si>
    <t>ESFMT</t>
  </si>
  <si>
    <t>KIT,ES100 UNIVERSAL BAIL</t>
  </si>
  <si>
    <t>ESB-U</t>
  </si>
  <si>
    <t>KIT,SPKR,MTG,TAHOE 15,ES100C/E</t>
  </si>
  <si>
    <t>ESB-TAH15</t>
  </si>
  <si>
    <t>ES100 BRKT. ASSY, PASS. SIDE,</t>
  </si>
  <si>
    <t>ESB-SPRNTR19-P</t>
  </si>
  <si>
    <t>ES100 BRKT. ASSY, DRVR. SIDE,</t>
  </si>
  <si>
    <t>ESB-SPRNTR19-D</t>
  </si>
  <si>
    <t>BRKT KIT,SINGLE ES100C,20SILV</t>
  </si>
  <si>
    <t>ESB-SILHD20ND</t>
  </si>
  <si>
    <t>BRKT KIT,18EXPD,DUAL RUMBLER</t>
  </si>
  <si>
    <t>ESBR2-EXP18</t>
  </si>
  <si>
    <t>KIT,SPKR,ES100C,24 MUSTANG,ND</t>
  </si>
  <si>
    <t>ESB-MUST24ND</t>
  </si>
  <si>
    <t>ES100 DUAL SPKR BRKT, 2019</t>
  </si>
  <si>
    <t>ESB-MUST19</t>
  </si>
  <si>
    <t>BUMPER MOUNT KIT,ES100</t>
  </si>
  <si>
    <t>ESBMT-SB</t>
  </si>
  <si>
    <t>BRKT KIT,ES-LTS,17TAH,NO DRILL</t>
  </si>
  <si>
    <t>ESBL-TAH17ND</t>
  </si>
  <si>
    <t>BRKT KIT,ES-LTS,17SIL,NO DRILL</t>
  </si>
  <si>
    <t>ESBL-SIL17ND</t>
  </si>
  <si>
    <t>BRKT KIT,ES-LTS,GRILLE,16RAM</t>
  </si>
  <si>
    <t>ESBL-RAM16</t>
  </si>
  <si>
    <t>FPIU25 ES100C/DUAL MPS</t>
  </si>
  <si>
    <t>ESBL-FPIU25</t>
  </si>
  <si>
    <t>BRKT KIT,ES100,MPS,20FPIU</t>
  </si>
  <si>
    <t>ESBL-FPIU20</t>
  </si>
  <si>
    <t>BRKT KIT,DUAL,ES100C W LTS</t>
  </si>
  <si>
    <t>ESBL2-TAH21ND</t>
  </si>
  <si>
    <t>BRKT KIT,DUAL,ES100C W LTS,</t>
  </si>
  <si>
    <t>ESBL2-SIL22ND</t>
  </si>
  <si>
    <t>ESBL2-SIL19ND</t>
  </si>
  <si>
    <t>ESBL2-MUST24ND</t>
  </si>
  <si>
    <t>KIT,BRKT,DUAL ES100C,2021 DUR,</t>
  </si>
  <si>
    <t>ESBL2-DUR21ND</t>
  </si>
  <si>
    <t>BRKT KIT, ES100C, L</t>
  </si>
  <si>
    <t>ESB-L</t>
  </si>
  <si>
    <t>FORD TRANSIT HSNG, '15-'18,</t>
  </si>
  <si>
    <t>ESB-FTRANS-P</t>
  </si>
  <si>
    <t>ESB-FTRANS-D</t>
  </si>
  <si>
    <t>22+ F150 Lightning 1 ES100C</t>
  </si>
  <si>
    <t>ESB-FRDL22ND</t>
  </si>
  <si>
    <t>BRKT KIT,ES100C,FRD15,F150</t>
  </si>
  <si>
    <t>ESB-FRD15</t>
  </si>
  <si>
    <t>BRKT KIT,ES100C,FPIU NO DRILL</t>
  </si>
  <si>
    <t>ESB-FPIUND</t>
  </si>
  <si>
    <t>FPIU 2025 ES100C/AS124</t>
  </si>
  <si>
    <t>ESB-FPIU25NDB</t>
  </si>
  <si>
    <t>FPIU 2025 ES100C BRKT KIT</t>
  </si>
  <si>
    <t>ESB-FPIU25ND</t>
  </si>
  <si>
    <t>ES100-AS124 SNGL.SPKR BRKT</t>
  </si>
  <si>
    <t>ESB-FPIU20NDB</t>
  </si>
  <si>
    <t>KIT,SPKR,MTG,07-08 EXPED,</t>
  </si>
  <si>
    <t>ESB-EXP07</t>
  </si>
  <si>
    <t>BRKT KIT,AS124-ES100C,DUR15,</t>
  </si>
  <si>
    <t>ESB-DUR15</t>
  </si>
  <si>
    <t>KIT,SPKR,ES100C,CHGR,ND</t>
  </si>
  <si>
    <t>ESB-CHGR15ND</t>
  </si>
  <si>
    <t>BRKT KIT,ES100C,GRILLE,CHGR15</t>
  </si>
  <si>
    <t>ESB-CHGR15</t>
  </si>
  <si>
    <t>BRKT KIT,DUAL,ES100C,21TAH,ND</t>
  </si>
  <si>
    <t>ESB2-TAH21ND</t>
  </si>
  <si>
    <t>BRKT KIT,DUAL ES100C,20SILV HD</t>
  </si>
  <si>
    <t>ESB2-SILHD20ND</t>
  </si>
  <si>
    <t>22+ F150 Lightning 2 ES100C</t>
  </si>
  <si>
    <t>ESB2-FRDL22ND</t>
  </si>
  <si>
    <t>BRKT KIT,DUAL ES100C,F-150,NO</t>
  </si>
  <si>
    <t>ESB2-FRD21ND</t>
  </si>
  <si>
    <t>BRKT KIT,DUAL ES100,15F-150</t>
  </si>
  <si>
    <t>ESB2-FRD15ND</t>
  </si>
  <si>
    <t>FPIU 2025 2 ES100C/AS124</t>
  </si>
  <si>
    <t>ESB2-FPIU25NDB</t>
  </si>
  <si>
    <t>ESB2-FPIU25ND</t>
  </si>
  <si>
    <t>ES100-AS124 TWO SPKR BRKT</t>
  </si>
  <si>
    <t>ESB2-FPIU20NDB</t>
  </si>
  <si>
    <t>BRKT KIT,DUAL ES100,CHGR,NO</t>
  </si>
  <si>
    <t>ESB2-CHGR15</t>
  </si>
  <si>
    <t>MNT,ES100,12 FORD HD CNTR</t>
  </si>
  <si>
    <t>ESB-12FHDC</t>
  </si>
  <si>
    <t>KIT (2) ES100C AND (2) ESB-TER</t>
  </si>
  <si>
    <t>ES100-TERRA</t>
  </si>
  <si>
    <t>ES100 BRKT. ASSY. KIT, DS &amp; PS</t>
  </si>
  <si>
    <t>ES100-SPRNTR19</t>
  </si>
  <si>
    <t>FORD TRANSIT HSNG,'15-'18,(2)</t>
  </si>
  <si>
    <t>ES100-FTRANS</t>
  </si>
  <si>
    <t>KIT (2)ES100C &amp; (1)ESB-FTH-D &amp;</t>
  </si>
  <si>
    <t>ES100-FTH</t>
  </si>
  <si>
    <t>KIT (2) ES100C &amp; (2) ESFMT-LL</t>
  </si>
  <si>
    <t>ES100-ESFMT-LL</t>
  </si>
  <si>
    <t>KIT (2) ES100C &amp; (2) ESFMT-EFB</t>
  </si>
  <si>
    <t>ES100-ESFMT-EFB</t>
  </si>
  <si>
    <t>KIT (2) ES100C &amp; (2) ESFMT-EF</t>
  </si>
  <si>
    <t>ES100-ESFMT-EF</t>
  </si>
  <si>
    <t>SPKR, EMERG,100W,w/DEUTSCH</t>
  </si>
  <si>
    <t>ES100C-DEU</t>
  </si>
  <si>
    <t>SPKR,EMERG, 100W,CHP</t>
  </si>
  <si>
    <t>ES100C-CHP</t>
  </si>
  <si>
    <t>SPKR,EMERG, 100W,PLASTIC,</t>
  </si>
  <si>
    <t>LIGHTBAR,D-PILLAR,TAH21,RBW</t>
  </si>
  <si>
    <t>ELSD-TAH21RBW</t>
  </si>
  <si>
    <t>LIGHTBAR,D-PILLAR,TAH21,RBA</t>
  </si>
  <si>
    <t>ELSD-TAH21RBA</t>
  </si>
  <si>
    <t>LIGHTBAR,D-PILLAR,20FPIU,RBW</t>
  </si>
  <si>
    <t>ELSD-FPIU20RBW</t>
  </si>
  <si>
    <t>LIGHTBAR,D-PILLAR,20FPIU,RBA</t>
  </si>
  <si>
    <t>ELSD-FPIU20RBA</t>
  </si>
  <si>
    <t>D-PILLAR SHROUD RBW KIT</t>
  </si>
  <si>
    <t>ELSD-DUR21RBW</t>
  </si>
  <si>
    <t>D-PILLAR SHROUD RBA KIT</t>
  </si>
  <si>
    <t>ELSD-DUR21RBA</t>
  </si>
  <si>
    <t>BEZEL,DASH,SIREN MTG,PA30</t>
  </si>
  <si>
    <t>DSM</t>
  </si>
  <si>
    <t>COMSTL-TANK, COMSTL SERIES,</t>
  </si>
  <si>
    <t>COMSTL-TANK</t>
  </si>
  <si>
    <t>COMSTLS18C-W, COMSTL SERIES,</t>
  </si>
  <si>
    <t>COMSTLS18C-W</t>
  </si>
  <si>
    <t>COMSTLF-A, COMSTL SERIES,</t>
  </si>
  <si>
    <t>COMSTLF-A</t>
  </si>
  <si>
    <t>COMSTL DUAL BRACKET,45 DEG,</t>
  </si>
  <si>
    <t>COMSTL-DUALBKT45</t>
  </si>
  <si>
    <t>COMSTL-BKT45, COMSTL SERIES,</t>
  </si>
  <si>
    <t>COMSTL-BKT45</t>
  </si>
  <si>
    <t>COMSTL-BKT, COMSTL SERIES,</t>
  </si>
  <si>
    <t>COMSTL-BKT</t>
  </si>
  <si>
    <t>DOME LIGHT, 5" RECTANGLE, WHIT</t>
  </si>
  <si>
    <t>COMINT5-W</t>
  </si>
  <si>
    <t>FLEXIBLE LIGHT STRIP 9"</t>
  </si>
  <si>
    <t>COMFLEX-9</t>
  </si>
  <si>
    <t>FLEXIBLE LIGHT STRIP 63"</t>
  </si>
  <si>
    <t>COMFLEX-63</t>
  </si>
  <si>
    <t>FLEXIBLE LIGHT STRIP 54"</t>
  </si>
  <si>
    <t>COMFLEX-54</t>
  </si>
  <si>
    <t>FLEXIBLE LIGHT STRIP 45"</t>
  </si>
  <si>
    <t>COMFLEX-45</t>
  </si>
  <si>
    <t>FLEXIBLE LIGHT STRIP 36"</t>
  </si>
  <si>
    <t>COMFLEX-36</t>
  </si>
  <si>
    <t>FLEXIBLE LIGHT STRIP 27"</t>
  </si>
  <si>
    <t>COMFLEX-27</t>
  </si>
  <si>
    <t>FLEXIBLE LIGHT STRIP 18"</t>
  </si>
  <si>
    <t>COMFLEX-18</t>
  </si>
  <si>
    <t>COM9 SCENE LIGHT, WHITE</t>
  </si>
  <si>
    <t>COM9-W</t>
  </si>
  <si>
    <t>COM9 SCENE LIGHT, BLACK</t>
  </si>
  <si>
    <t>COM9-B</t>
  </si>
  <si>
    <t>8IN PATIENT LIGHT, CHROME</t>
  </si>
  <si>
    <t>COM8PTC</t>
  </si>
  <si>
    <t>COM7 SCENE LIGHT, WHITE</t>
  </si>
  <si>
    <t>COM7-W</t>
  </si>
  <si>
    <t>COM7 SCENE LIGHT, CHROME</t>
  </si>
  <si>
    <t>COM7-C</t>
  </si>
  <si>
    <t>COM7 SCENE LIGHT, BLACK</t>
  </si>
  <si>
    <t>COM7-B</t>
  </si>
  <si>
    <t>3" RND. SURF.MNT.LIGHT,</t>
  </si>
  <si>
    <t>COM3SWC</t>
  </si>
  <si>
    <t>3" RND. SURF.MNT.LIGHT,RED/WHT</t>
  </si>
  <si>
    <t>3" RND. SURF.MNT.LIGHT</t>
  </si>
  <si>
    <t>COM3GROMMET</t>
  </si>
  <si>
    <t>CHROME FLANGE,3" RND.SURF.MNT,</t>
  </si>
  <si>
    <t>COM3FLANGEC</t>
  </si>
  <si>
    <t>COM1 SER LED LIGHT,STDY/MRKR,</t>
  </si>
  <si>
    <t>COM1MC-R</t>
  </si>
  <si>
    <t>COM1MC-A</t>
  </si>
  <si>
    <t>COM1 SER. LED LIGHT,SGL FLSH,</t>
  </si>
  <si>
    <t>COM1FC-R</t>
  </si>
  <si>
    <t>COM1FC-A</t>
  </si>
  <si>
    <t>CNTRLR,CONV,LBAR,9BTN</t>
  </si>
  <si>
    <t>CNTRLR-9B</t>
  </si>
  <si>
    <t>CNTRLR,CONV,LBAR,6BTN</t>
  </si>
  <si>
    <t>CNTRLR-6B</t>
  </si>
  <si>
    <t>CNTRLR,CONV,LBAR,4BTN</t>
  </si>
  <si>
    <t>CNTRLR-4B</t>
  </si>
  <si>
    <t>KIT,UNIV MNT,CN SML</t>
  </si>
  <si>
    <t>CNSM-UM</t>
  </si>
  <si>
    <t>BRKT KIT,CNSM,4-HEAD,GRILLE</t>
  </si>
  <si>
    <t>CNSM-TAH21</t>
  </si>
  <si>
    <t>KIT,REAR MNT,13 INT UTE,</t>
  </si>
  <si>
    <t>CNSM-RBK1</t>
  </si>
  <si>
    <t>CNSMJ8R,STOCKED</t>
  </si>
  <si>
    <t>CNSMJ8R-P3C</t>
  </si>
  <si>
    <t>CNSMJ8R-P2C</t>
  </si>
  <si>
    <t>CNSMJ8R-P1C</t>
  </si>
  <si>
    <t>CNSMJ8R-F1C</t>
  </si>
  <si>
    <t>CNSMJ4F,STOCKED</t>
  </si>
  <si>
    <t>CNSMJ4F-P3C</t>
  </si>
  <si>
    <t>CNSMJ2X4,STOCKED</t>
  </si>
  <si>
    <t>CNSMJ2X4R-P3C</t>
  </si>
  <si>
    <t>KIT,50 AMP CIRCUIT BREAKER</t>
  </si>
  <si>
    <t>CB1</t>
  </si>
  <si>
    <t>CAM. SYSTEM,REARCAM/7-IN</t>
  </si>
  <si>
    <t>CAMSET70-AHD-NTSC4</t>
  </si>
  <si>
    <t>5.6"MONITR,REARCAM SYSTEM</t>
  </si>
  <si>
    <t>CAMSET56-AHD-NTSC2-SB</t>
  </si>
  <si>
    <t>MOUNTING BKT, MNTR</t>
  </si>
  <si>
    <t>CAMLCD-BRACKET</t>
  </si>
  <si>
    <t>MONITOR,7"LCD,AE-TM70Y AHD</t>
  </si>
  <si>
    <t>CAMLCD-AHD-70</t>
  </si>
  <si>
    <t>5.6"LCD MONITOR,W/2CAMERA</t>
  </si>
  <si>
    <t>CAMLCD-AHD-56-SB</t>
  </si>
  <si>
    <t>TRK/TRLR CBLSET,AE-TC102</t>
  </si>
  <si>
    <t>CAMCABLE-TRK2</t>
  </si>
  <si>
    <t>5M CAMERA CABLE,16.5FT</t>
  </si>
  <si>
    <t>CAMCABLE-5</t>
  </si>
  <si>
    <t>40M CAMERA CABLE,131FT</t>
  </si>
  <si>
    <t>CAMCABLE-40</t>
  </si>
  <si>
    <t>20M CAMERA CABLE,65.5FT</t>
  </si>
  <si>
    <t>CAMCABLE-20</t>
  </si>
  <si>
    <t>15M CAMERA CABLE,49FT</t>
  </si>
  <si>
    <t>CAMCABLE-15</t>
  </si>
  <si>
    <t>10M CAMERA CABLE,33FT</t>
  </si>
  <si>
    <t>CAMCABLE-10</t>
  </si>
  <si>
    <t>HEAVY-DUTY MONITOR MOUNT</t>
  </si>
  <si>
    <t>CAMBRK-HD</t>
  </si>
  <si>
    <t>SIDEVIEWCAM,AUDIO NIGHT</t>
  </si>
  <si>
    <t>CAMAHD-SIDENTSC</t>
  </si>
  <si>
    <t>RR VIEW CAM-AUDIONITEVISN</t>
  </si>
  <si>
    <t>CAMAHD-REARNTSC</t>
  </si>
  <si>
    <t>BALLCAM,AUDIO NIGHTVISION</t>
  </si>
  <si>
    <t>CAMAHD-BALLNTSC</t>
  </si>
  <si>
    <t>CAMERA ADAPTER,VIDEO/AUDI</t>
  </si>
  <si>
    <t>CAMADP-RCA-OUT</t>
  </si>
  <si>
    <t>CAMERA CABLE,EXTENSION</t>
  </si>
  <si>
    <t>CAMADP-EXT</t>
  </si>
  <si>
    <t>CAMLCD-AHD-70 HARNESS</t>
  </si>
  <si>
    <t>CAMADP-AHD-4</t>
  </si>
  <si>
    <t>CAMLCD-AHD-56 HARNESS</t>
  </si>
  <si>
    <t>CAMADP-AHD-2-SB</t>
  </si>
  <si>
    <t>KIT,MOUNTING, BUMPER</t>
  </si>
  <si>
    <t>BPMT</t>
  </si>
  <si>
    <t>SPKR BRKT-GRILLE ASSY.,BP100</t>
  </si>
  <si>
    <t>BPFMT-EF</t>
  </si>
  <si>
    <t>200W SPEAKER W/Q-SIREN</t>
  </si>
  <si>
    <t>BP200-Q</t>
  </si>
  <si>
    <t>200W SPEAKER W/EF GRILL</t>
  </si>
  <si>
    <t>BP200-EF</t>
  </si>
  <si>
    <t>SELF-LEVELING BRACKET</t>
  </si>
  <si>
    <t>BKT-SL</t>
  </si>
  <si>
    <t>ALGT94D, STOCKED BAR</t>
  </si>
  <si>
    <t>ALGT94D-AMBRFC</t>
  </si>
  <si>
    <t>ALGT80D, STOCKED BAR</t>
  </si>
  <si>
    <t>ALGT80D-TOWFC</t>
  </si>
  <si>
    <t>ALGT80DS, STOCKED BAR</t>
  </si>
  <si>
    <t>ALGT80DS-NRC</t>
  </si>
  <si>
    <t>ALGT80D-AMBRFC</t>
  </si>
  <si>
    <t>ALGT80D-AMBRBFC</t>
  </si>
  <si>
    <t>ALGT70,STOCKED BAR</t>
  </si>
  <si>
    <t>ALGT70D-TOW2FC</t>
  </si>
  <si>
    <t>ALGT61JZ,STOCKED BAR</t>
  </si>
  <si>
    <t>ALGT61JZ-TOW2F6C</t>
  </si>
  <si>
    <t>ALGT61J,STOCKED BAR,FSJOIN,</t>
  </si>
  <si>
    <t>ALGT61J-TXTOW3-60</t>
  </si>
  <si>
    <t>ALGT61J-TXTOW3</t>
  </si>
  <si>
    <t>ALGT61J,STOCKED BAR</t>
  </si>
  <si>
    <t>ALGT61J-TOW5F6C</t>
  </si>
  <si>
    <t>ALGT61,STOCKED BAR</t>
  </si>
  <si>
    <t>ALGT61D-TOWDP</t>
  </si>
  <si>
    <t>ALGT61D-TOW5FC</t>
  </si>
  <si>
    <t>ALGT61D-TOW2FC</t>
  </si>
  <si>
    <t>ALGT61DS-TOW5FCB</t>
  </si>
  <si>
    <t>ALGT61DS-TOW2FCWB</t>
  </si>
  <si>
    <t>ALGT61S,SPCL,STOCKED BAR</t>
  </si>
  <si>
    <t>ALGT61DS-TOW2FCW</t>
  </si>
  <si>
    <t>ALGT61DS-TOW2FCB</t>
  </si>
  <si>
    <t>ALGT53J,STOCKED</t>
  </si>
  <si>
    <t>ALGT53JZ-AMBR3H6C</t>
  </si>
  <si>
    <t>ALGT53JZ-AMBR3F6C</t>
  </si>
  <si>
    <t>ALGT53J-P2LC</t>
  </si>
  <si>
    <t>ALGT53J-P1LC</t>
  </si>
  <si>
    <t>ALGT53J-1698080459</t>
  </si>
  <si>
    <t>ALGT53,STOCKED BAR</t>
  </si>
  <si>
    <t>ALGT53D-AMBR1HC</t>
  </si>
  <si>
    <t>ALGT53D-AMBR1FC</t>
  </si>
  <si>
    <t>ALGT45J, STOCKED BAR</t>
  </si>
  <si>
    <t>ALGT45JZ-AMBRFMC</t>
  </si>
  <si>
    <t>ALGT45J,STOCKED</t>
  </si>
  <si>
    <t>ALGT45JZ-AMBR3H6C</t>
  </si>
  <si>
    <t>ALGT45J-P2LC</t>
  </si>
  <si>
    <t>ALGT45J-P2LB</t>
  </si>
  <si>
    <t>ALGT45J-P1LRB</t>
  </si>
  <si>
    <t>ALGT45J-P1LC</t>
  </si>
  <si>
    <t>ALGT45,STOCKED BAR</t>
  </si>
  <si>
    <t>ALGT45D-AMBR1HC</t>
  </si>
  <si>
    <t>ALGT21, STOCKED BAR</t>
  </si>
  <si>
    <t>ALGT21S-KPD</t>
  </si>
  <si>
    <t>ALGT21S-AB</t>
  </si>
  <si>
    <t>ALGT21J-AMBR3BP4</t>
  </si>
  <si>
    <t>ALGT21D-AMBRP</t>
  </si>
  <si>
    <t>ALGT21D-AMBRM</t>
  </si>
  <si>
    <t>ALGT21D-AMBRF</t>
  </si>
  <si>
    <t>ALGT21D-AMBR3BF</t>
  </si>
  <si>
    <t>SPEAKER,25 WATT,W/VOLUME</t>
  </si>
  <si>
    <t>ADSV-25-Z</t>
  </si>
  <si>
    <t>SPEAKER,25WATT,SWIVEL MNT</t>
  </si>
  <si>
    <t>ADSS-25-Z</t>
  </si>
  <si>
    <t>SPEAKER,25 WATT,FLUSH MNT</t>
  </si>
  <si>
    <t>ADSF-25-Z</t>
  </si>
  <si>
    <t>ADJUSTABLE BRKT KIT, LINEAR</t>
  </si>
  <si>
    <t>ADJUSTBKT-LB</t>
  </si>
  <si>
    <t>INTERCOM,12/24VDC,BASIC</t>
  </si>
  <si>
    <t>AD26-Z</t>
  </si>
  <si>
    <t>INTERCOM,12/24VDC,SLAVE</t>
  </si>
  <si>
    <t>AD26D-Z</t>
  </si>
  <si>
    <t>INTERCOM,12/24VDC,SLAVE,</t>
  </si>
  <si>
    <t>AD26D-1-Z</t>
  </si>
  <si>
    <t>INTERCOM,12/24VDC,MASTER</t>
  </si>
  <si>
    <t>AD26C-Z</t>
  </si>
  <si>
    <t>INTERCOM,12/24DC,MASTER</t>
  </si>
  <si>
    <t>AD26C-7-Z</t>
  </si>
  <si>
    <t>INTERCOM,12/24VDC,MSTR,</t>
  </si>
  <si>
    <t>AD26C-1-Z</t>
  </si>
  <si>
    <t>INTERCOM,12/24VDC,REMOTE</t>
  </si>
  <si>
    <t>AD26-8-M44-Z</t>
  </si>
  <si>
    <t>MTG KIT,ALGT21 BAR MOUNT</t>
  </si>
  <si>
    <t>A21219</t>
  </si>
  <si>
    <t>VOICE GUN,RED</t>
  </si>
  <si>
    <t>A12SA</t>
  </si>
  <si>
    <t>SC1000-PA,MICROPHONE</t>
  </si>
  <si>
    <t>8216113-UP</t>
  </si>
  <si>
    <t>SPACER, WIDE, 3" SERVICE PART,</t>
  </si>
  <si>
    <t>8200SMZ-SPCRW</t>
  </si>
  <si>
    <t>SPACER, NARROW, 2" SERVICE PAR</t>
  </si>
  <si>
    <t>8200SMZ-SPCRN</t>
  </si>
  <si>
    <t>AMBER SML SERVICE HEAD, 8200SM</t>
  </si>
  <si>
    <t>8200SMZ-A</t>
  </si>
  <si>
    <t>8200 ARROW, 16HD, AMBER</t>
  </si>
  <si>
    <t>8200SMA16-A</t>
  </si>
  <si>
    <t>8200 ARROW, SPLIT, AMBER</t>
  </si>
  <si>
    <t>8200SMA10-A-2</t>
  </si>
  <si>
    <t>8200 ARROW, 10HD, AMBER</t>
  </si>
  <si>
    <t>8200SMA10-A</t>
  </si>
  <si>
    <t>8200 SIGNALMASTER, 8HD, AMBER,</t>
  </si>
  <si>
    <t>8200SM8-A-51</t>
  </si>
  <si>
    <t>8200SM8-A-42</t>
  </si>
  <si>
    <t>8200 SIGNALMASTER, 6HD, AMBER,</t>
  </si>
  <si>
    <t>8200SM6-A</t>
  </si>
  <si>
    <t>EXT. OPTICOM ASSY,PS</t>
  </si>
  <si>
    <t>795H-EXTB-P</t>
  </si>
  <si>
    <t>EXT. OPTICOM ASSY,DS</t>
  </si>
  <si>
    <t>795H-EXTB-D</t>
  </si>
  <si>
    <t>OPTICOM, LED, MODEL 794AH</t>
  </si>
  <si>
    <t>KIT,HARNESS ADAPTER,PA300</t>
  </si>
  <si>
    <t>761300</t>
  </si>
  <si>
    <t>AS124 SPKR, VERT MOUNT</t>
  </si>
  <si>
    <t>750501V</t>
  </si>
  <si>
    <t>BRKT KIT,AS124, CHGR15</t>
  </si>
  <si>
    <t>750501-09</t>
  </si>
  <si>
    <t>750501-08</t>
  </si>
  <si>
    <t>KIT, BRKT, VERT MNT,  AS124</t>
  </si>
  <si>
    <t>750501-07</t>
  </si>
  <si>
    <t>AS124 SPEAKER</t>
  </si>
  <si>
    <t>750501</t>
  </si>
  <si>
    <t>PA300,100/200 WATT 12 VDC</t>
  </si>
  <si>
    <t>690010</t>
  </si>
  <si>
    <t>PA300,200W,24V</t>
  </si>
  <si>
    <t>690009</t>
  </si>
  <si>
    <t>PA300,100W,12V,PRIORITY</t>
  </si>
  <si>
    <t>690002</t>
  </si>
  <si>
    <t>PA300,100W,12V,LESS MIC</t>
  </si>
  <si>
    <t>690001</t>
  </si>
  <si>
    <t>THREE ROCKER SWITCH</t>
  </si>
  <si>
    <t>670132</t>
  </si>
  <si>
    <t>RS485 RELAY MODULE</t>
  </si>
  <si>
    <t>660100SSG</t>
  </si>
  <si>
    <t>INTELLI-FLASH, AF16</t>
  </si>
  <si>
    <t>650302</t>
  </si>
  <si>
    <t>INTELLI-FLASH,4HD,8-PROG</t>
  </si>
  <si>
    <t>650202</t>
  </si>
  <si>
    <t>SIREN,AS-422/6S,100W,12VDC</t>
  </si>
  <si>
    <t>650007</t>
  </si>
  <si>
    <t>SIREN,AS-422/6S,100W12VDC</t>
  </si>
  <si>
    <t>650003</t>
  </si>
  <si>
    <t>SIREN,AS-422/6S,100W,12V</t>
  </si>
  <si>
    <t>650001</t>
  </si>
  <si>
    <t>TRIM RING FOR 64LEDSCENE</t>
  </si>
  <si>
    <t>64MC</t>
  </si>
  <si>
    <t>6" OVAL,STT &amp; BU LIGHT KIT</t>
  </si>
  <si>
    <t>607130-45SB</t>
  </si>
  <si>
    <t>6" OVAL BACKUP LED KIT, WHITE,</t>
  </si>
  <si>
    <t>607125-05SB</t>
  </si>
  <si>
    <t>4" ROUND BACKUP LED KIT,WHITE,</t>
  </si>
  <si>
    <t>607124-05SB-DEU</t>
  </si>
  <si>
    <t>607124-05SB</t>
  </si>
  <si>
    <t>4" ROUND FLASHING LED KIT,</t>
  </si>
  <si>
    <t>607123-05SB</t>
  </si>
  <si>
    <t>607123-04SB</t>
  </si>
  <si>
    <t>607123-03SB</t>
  </si>
  <si>
    <t>607123-02SB</t>
  </si>
  <si>
    <t>2.5" ROUND MARKER LIGHT KIT,</t>
  </si>
  <si>
    <t>607120-04SB-AMP</t>
  </si>
  <si>
    <t>607120-04SB</t>
  </si>
  <si>
    <t>607120-02SB-AMP</t>
  </si>
  <si>
    <t>607120-02SB</t>
  </si>
  <si>
    <t>2" ROUND MARKER LIGHT KIT,</t>
  </si>
  <si>
    <t>607119-04SB</t>
  </si>
  <si>
    <t>607119-02SB</t>
  </si>
  <si>
    <t>4"ROUND FLSHNG,TRACTOR-A</t>
  </si>
  <si>
    <t>607112-02SB</t>
  </si>
  <si>
    <t>WIRE HARNESS, LED STT/TURN,</t>
  </si>
  <si>
    <t>607109SB</t>
  </si>
  <si>
    <t>6" OVAL TURN LED KIT, AMBER,</t>
  </si>
  <si>
    <t>607106-02SB</t>
  </si>
  <si>
    <t>6" OVAL STT LED KIT, RED,</t>
  </si>
  <si>
    <t>607105-04SB</t>
  </si>
  <si>
    <t>4" ROUND TURN LED KIT, AMBER,</t>
  </si>
  <si>
    <t>607102-02SB</t>
  </si>
  <si>
    <t>6" OVAL FLASHING LED KIT,</t>
  </si>
  <si>
    <t>607101-05SB</t>
  </si>
  <si>
    <t>607101-04SB</t>
  </si>
  <si>
    <t>607101-03SB</t>
  </si>
  <si>
    <t>607101-02SB</t>
  </si>
  <si>
    <t>4" ROUND STT LED KIT, RED,</t>
  </si>
  <si>
    <t>607100-04SB-DEU</t>
  </si>
  <si>
    <t>607100-04SB</t>
  </si>
  <si>
    <t>2.5" ROUND RUBBER GROMMET</t>
  </si>
  <si>
    <t>605530SB</t>
  </si>
  <si>
    <t>4" ROUND FLASHING LED, RED</t>
  </si>
  <si>
    <t>605523-04SB</t>
  </si>
  <si>
    <t>4" ROUND FLASHING LED, BLUE</t>
  </si>
  <si>
    <t>605523-03SB</t>
  </si>
  <si>
    <t>4" ROUND FLASHING LED, AMBER</t>
  </si>
  <si>
    <t>605523-02SB</t>
  </si>
  <si>
    <t>4" ROUND RUBBER GROMMET</t>
  </si>
  <si>
    <t>605520SB</t>
  </si>
  <si>
    <t>6" OVAL RUBBER GROMMET</t>
  </si>
  <si>
    <t>605510SB</t>
  </si>
  <si>
    <t>6" OVAL FLASHING LED, WHITE</t>
  </si>
  <si>
    <t>605501-05SB</t>
  </si>
  <si>
    <t>6" OVAL FLASHING LED, RED</t>
  </si>
  <si>
    <t>605501-04SB</t>
  </si>
  <si>
    <t>6" OVAL FLASHING LED, BLUE</t>
  </si>
  <si>
    <t>605501-03SB</t>
  </si>
  <si>
    <t>6" OVAL FLASHING LED, AMBER</t>
  </si>
  <si>
    <t>605501-02SB</t>
  </si>
  <si>
    <t>WIRE HARNESS, ADAPTER AMP TO</t>
  </si>
  <si>
    <t>605500SB-DEU</t>
  </si>
  <si>
    <t>WIRE HARNESS, FLASHING LED,</t>
  </si>
  <si>
    <t>605500SB</t>
  </si>
  <si>
    <t>4"RISER MOUNT KIT,LEGEND</t>
  </si>
  <si>
    <t>500435SSG</t>
  </si>
  <si>
    <t>RENEGADE,LED,MAG.MNT.,RED</t>
  </si>
  <si>
    <t>462260-04</t>
  </si>
  <si>
    <t>RENEGADE,LED,MAG.MNT.,AMBER</t>
  </si>
  <si>
    <t>462260-02</t>
  </si>
  <si>
    <t>RENEGADE,LED,PERM.MNT., RED</t>
  </si>
  <si>
    <t>462250-04</t>
  </si>
  <si>
    <t>RENEGADE,LED,PERM.MNT., AMBER</t>
  </si>
  <si>
    <t>462250-02</t>
  </si>
  <si>
    <t>ADAPTER,ROOF MOUNT BAR</t>
  </si>
  <si>
    <t>454219</t>
  </si>
  <si>
    <t>MOUNT,RISER,LED HILIGHTER</t>
  </si>
  <si>
    <t>454217</t>
  </si>
  <si>
    <t>LIGHT, PERIMETER, 4200S, AMBER</t>
  </si>
  <si>
    <t>4200S-A</t>
  </si>
  <si>
    <t>TRI,CORNER LED,RED/BLU/WHT,</t>
  </si>
  <si>
    <t>416918-RBW-SMK</t>
  </si>
  <si>
    <t>TRI,CORNER LED,RED/BLU/WHT</t>
  </si>
  <si>
    <t>416918-RBW</t>
  </si>
  <si>
    <t>TRI,CORNER LED,RED/BLU/AMB</t>
  </si>
  <si>
    <t>416918-RBA</t>
  </si>
  <si>
    <t>TRI,CORNER LED,RED/AMB/WHT</t>
  </si>
  <si>
    <t>416918-RAW</t>
  </si>
  <si>
    <t>TRI,CORNER LED,BLU/AMB/WHT</t>
  </si>
  <si>
    <t>416918-BAW</t>
  </si>
  <si>
    <t>TRI,CORNER LED,AMB/GRN/WHT</t>
  </si>
  <si>
    <t>416918-AGW</t>
  </si>
  <si>
    <t>SINGLE,CORNER LED,WHITE</t>
  </si>
  <si>
    <t>416912-W</t>
  </si>
  <si>
    <t>SINGLE,CORNER LED,RED</t>
  </si>
  <si>
    <t>416912-R</t>
  </si>
  <si>
    <t>SINGLE,CORNER LED,BLUE</t>
  </si>
  <si>
    <t>416912-B</t>
  </si>
  <si>
    <t>SINGLE,CORNER LED,AMBER</t>
  </si>
  <si>
    <t>416912-A</t>
  </si>
  <si>
    <t>CORNER LED,SINGLE,INLINE FLASH</t>
  </si>
  <si>
    <t>416910Z-W</t>
  </si>
  <si>
    <t>416910Z-R</t>
  </si>
  <si>
    <t>416910Z-B</t>
  </si>
  <si>
    <t>CORNER LED,DUAL,INLINE FLASHER</t>
  </si>
  <si>
    <t>416900Z-RW</t>
  </si>
  <si>
    <t>416900Z-RB</t>
  </si>
  <si>
    <t>416900Z-RA</t>
  </si>
  <si>
    <t>416900Z-BW</t>
  </si>
  <si>
    <t>416900Z-BA</t>
  </si>
  <si>
    <t>416900XZ-RW</t>
  </si>
  <si>
    <t>416900XZ-BW</t>
  </si>
  <si>
    <t>3M VHB MOUNT,4 PACK</t>
  </si>
  <si>
    <t>416900-VHB</t>
  </si>
  <si>
    <t>KIT, WHITE BEZEL</t>
  </si>
  <si>
    <t>416900-BZW</t>
  </si>
  <si>
    <t>KIT,WHITE BEZEL,BUILT-IN FLSHR</t>
  </si>
  <si>
    <t>416900BZ-W</t>
  </si>
  <si>
    <t>KIT,CHROME BEZEL</t>
  </si>
  <si>
    <t>416900-BZC</t>
  </si>
  <si>
    <t>KIT,CHROME BEZEL,BUILT-IN FLSH</t>
  </si>
  <si>
    <t>416900BZ-C</t>
  </si>
  <si>
    <t>KIT, BLACK BEZEL</t>
  </si>
  <si>
    <t>416900-BZB</t>
  </si>
  <si>
    <t>KIT,BLACK BEZEL,BUILT-IN FLSHR</t>
  </si>
  <si>
    <t>416900BZ-B</t>
  </si>
  <si>
    <t>FLSH MNT LIGHTHEAD,RED/BLU/WHT</t>
  </si>
  <si>
    <t>416309-RBW-SMK</t>
  </si>
  <si>
    <t>416309-RBW</t>
  </si>
  <si>
    <t>FLSH MNT LIGHTHEAD,RED/BLU/AMB</t>
  </si>
  <si>
    <t>416309-RBA</t>
  </si>
  <si>
    <t>FLSH MNT LIGHTHEAD,RED/AMB/WHT</t>
  </si>
  <si>
    <t>416309-RAW</t>
  </si>
  <si>
    <t>FLSH MNT LIGHTHEAD,BLU/AMB/WHT</t>
  </si>
  <si>
    <t>416309-BAW</t>
  </si>
  <si>
    <t>FLSH MNT LIGHTHEAD,AMB/GRN/WHT</t>
  </si>
  <si>
    <t>416309-AGW</t>
  </si>
  <si>
    <t>FLUSH MOUNT LIGHTHEAD, WHITE</t>
  </si>
  <si>
    <t>416303-W</t>
  </si>
  <si>
    <t>FLUSH MOUNT LIGHTHEAD, RED</t>
  </si>
  <si>
    <t>416303-R</t>
  </si>
  <si>
    <t>FLUSH MOUNT LIGHTHEAD, BLUE</t>
  </si>
  <si>
    <t>416303-B</t>
  </si>
  <si>
    <t>FLUSH MOUNT LIGHTHEAD, AMBER</t>
  </si>
  <si>
    <t>416303-A</t>
  </si>
  <si>
    <t>KIT,2021 TAHOE,GROMMETS,416300</t>
  </si>
  <si>
    <t>416302</t>
  </si>
  <si>
    <t>BRACKET KIT,416300 SERIES</t>
  </si>
  <si>
    <t>416301</t>
  </si>
  <si>
    <t>FLSH MNT LIGHT HEAD,X,RED/WHT</t>
  </si>
  <si>
    <t>416300X-RW</t>
  </si>
  <si>
    <t>FLSH MNT LIGHT HEAD,X,RED/BLU</t>
  </si>
  <si>
    <t>416300X-RB</t>
  </si>
  <si>
    <t>FLUSH MOUNT LIGHTHEAD, X, RED</t>
  </si>
  <si>
    <t>416300X-R</t>
  </si>
  <si>
    <t>FLSH MNT LIGHT HEAD,X,BLU/WHT</t>
  </si>
  <si>
    <t>416300X-BW</t>
  </si>
  <si>
    <t>FLUSH MOUNT LIGHTHEAD, X, BLUE</t>
  </si>
  <si>
    <t>416300X-B</t>
  </si>
  <si>
    <t>FLSH MNT LIGHT HEAD,X,AMB/WHT</t>
  </si>
  <si>
    <t>416300X-AW</t>
  </si>
  <si>
    <t>416300-W</t>
  </si>
  <si>
    <t>FLSH MNT LIGHT HEAD, RED/WHT</t>
  </si>
  <si>
    <t>416300-RW</t>
  </si>
  <si>
    <t>FLSH MNT LIGHT HEAD, RED/BLU</t>
  </si>
  <si>
    <t>416300-RB</t>
  </si>
  <si>
    <t>FLSH MNT LIGHT HEAD, RED/AMB</t>
  </si>
  <si>
    <t>416300-RA</t>
  </si>
  <si>
    <t>416300-R</t>
  </si>
  <si>
    <t>FLSH MNT LIGHT HEAD, BLU/WHT</t>
  </si>
  <si>
    <t>416300-BW</t>
  </si>
  <si>
    <t>FLSH MNT LIGHT HEAD, BLU/AMB</t>
  </si>
  <si>
    <t>416300-BA</t>
  </si>
  <si>
    <t>416300-B</t>
  </si>
  <si>
    <t>FLSH MNT LIGHT HEAD, AMB/WHT</t>
  </si>
  <si>
    <t>416300-AW</t>
  </si>
  <si>
    <t>416300-A</t>
  </si>
  <si>
    <t>OPTICOM,BLACK,MODEL M792H</t>
  </si>
  <si>
    <t>3M792H</t>
  </si>
  <si>
    <t>SMC5,CONTROL,SIGNALMASTER</t>
  </si>
  <si>
    <t>331105-SB</t>
  </si>
  <si>
    <t>OVAL ADAPTER MOUNTING KIT</t>
  </si>
  <si>
    <t>330510</t>
  </si>
  <si>
    <t>KIT, 6"OVAL MNT FOR MPS LIGHTS</t>
  </si>
  <si>
    <t>330508</t>
  </si>
  <si>
    <t>SMC1,CONTROL,SIGNALMASTER</t>
  </si>
  <si>
    <t>330104-SB</t>
  </si>
  <si>
    <t>BEACON, LED, TALL, AMBER/WHITE</t>
  </si>
  <si>
    <t>320TMP-AW-SB</t>
  </si>
  <si>
    <t>BEACON, LED, TALL, AMBER/GREEN</t>
  </si>
  <si>
    <t>320TMP-AG-SB</t>
  </si>
  <si>
    <t>BEACON, LED, TALL, AMBER/BLUE</t>
  </si>
  <si>
    <t>320TMP-AB-SB</t>
  </si>
  <si>
    <t>BEACON, LED, SHORT, AMB/WHT</t>
  </si>
  <si>
    <t>320SMP-AW-SB</t>
  </si>
  <si>
    <t>BEACON, LED, SHORT, AMB/GRN</t>
  </si>
  <si>
    <t>320SMP-AG-SB</t>
  </si>
  <si>
    <t>BEACON, LED, SHORT, AMB/BLU</t>
  </si>
  <si>
    <t>320SMP-AB-SB</t>
  </si>
  <si>
    <t>FOOT ADAPTOR BRKT,DIR LT</t>
  </si>
  <si>
    <t>320350</t>
  </si>
  <si>
    <t>UNIVERSAL MOUNT,DIR LT</t>
  </si>
  <si>
    <t>320340</t>
  </si>
  <si>
    <t>SYSTEM MNT BRKT,DIR LT</t>
  </si>
  <si>
    <t>320330</t>
  </si>
  <si>
    <t>L MNT BRKT,DIR LT</t>
  </si>
  <si>
    <t>320320</t>
  </si>
  <si>
    <t>FLUSH MNT BRKT,DIR LT</t>
  </si>
  <si>
    <t>320310</t>
  </si>
  <si>
    <t>KIT,4X3,STAINLESS HSG,1UP PAIR</t>
  </si>
  <si>
    <t>304301SB</t>
  </si>
  <si>
    <t>BEACON, LED, TALL, RED LED,</t>
  </si>
  <si>
    <t>300TMP-R-SB</t>
  </si>
  <si>
    <t>300TMPC-R-SB</t>
  </si>
  <si>
    <t>BEACON, LED, TALL, GREEN LED,</t>
  </si>
  <si>
    <t>300TMPC-G-SB</t>
  </si>
  <si>
    <t>BEACON, LED, TALL, BLUE LED,</t>
  </si>
  <si>
    <t>300TMPC-B-SB</t>
  </si>
  <si>
    <t>BEACON, LED, TALL, AMBER LED,</t>
  </si>
  <si>
    <t>300TMPC-A-SB</t>
  </si>
  <si>
    <t>300TMP-B-SB</t>
  </si>
  <si>
    <t>300TMP-A-SB</t>
  </si>
  <si>
    <t>BEACON, LED, SHORT, RED</t>
  </si>
  <si>
    <t>300SMP-R-SB</t>
  </si>
  <si>
    <t>300SMPC-R-SB</t>
  </si>
  <si>
    <t>BEACON, LED, SHORT, GREEN</t>
  </si>
  <si>
    <t>300SMPC-G-SB</t>
  </si>
  <si>
    <t>BEACON, LED, SHORT, BLUE</t>
  </si>
  <si>
    <t>300SMPC-B-SB</t>
  </si>
  <si>
    <t>BEACON, LED, SHORT, AMBER</t>
  </si>
  <si>
    <t>300SMPC-A-SB</t>
  </si>
  <si>
    <t>300SMP-B-SB</t>
  </si>
  <si>
    <t>BEACON, LED, SHORT, AMBER LED,</t>
  </si>
  <si>
    <t>300SMP-A-SB</t>
  </si>
  <si>
    <t>BRANCH GUARD, TALL</t>
  </si>
  <si>
    <t>300B-TALL</t>
  </si>
  <si>
    <t>BRANCH GUARD, SHORT</t>
  </si>
  <si>
    <t>300B-SHORT</t>
  </si>
  <si>
    <t>LED SOLARIS ROT. BEAC</t>
  </si>
  <si>
    <t>282650-65</t>
  </si>
  <si>
    <t>LED SOLARIS ROT. BEACON,</t>
  </si>
  <si>
    <t>262650-25</t>
  </si>
  <si>
    <t>262650-05</t>
  </si>
  <si>
    <t>262650-04</t>
  </si>
  <si>
    <t>262650-02</t>
  </si>
  <si>
    <t>FIREBOLT LED, MAG. MNT.</t>
  </si>
  <si>
    <t>220360-02</t>
  </si>
  <si>
    <t>FIREBOLT LED, PERM./PIPE MNT.</t>
  </si>
  <si>
    <t>220350-02</t>
  </si>
  <si>
    <t>220260-05</t>
  </si>
  <si>
    <t>220260-04</t>
  </si>
  <si>
    <t>220260-03</t>
  </si>
  <si>
    <t>220260-02</t>
  </si>
  <si>
    <t>220250-05</t>
  </si>
  <si>
    <t>220250-04</t>
  </si>
  <si>
    <t>220250-03</t>
  </si>
  <si>
    <t>MASTERPACK, 6PC, 220250-02</t>
  </si>
  <si>
    <t>220250-02-MP6</t>
  </si>
  <si>
    <t>220250-02</t>
  </si>
  <si>
    <t>GUARD ASSY,CHROME,FIREBLT</t>
  </si>
  <si>
    <t>211676</t>
  </si>
  <si>
    <t>KIT,MOUNTING PLATE,BEACON</t>
  </si>
  <si>
    <t>210961SSG</t>
  </si>
  <si>
    <t>KIT,MOUNTING BAR,54"</t>
  </si>
  <si>
    <t>210960-54</t>
  </si>
  <si>
    <t>210883SSG</t>
  </si>
  <si>
    <t>DOME GUARD,M651,M901,</t>
  </si>
  <si>
    <t>210781SSG</t>
  </si>
  <si>
    <t>EVAC W/GROMMET,107DB,</t>
  </si>
  <si>
    <t>210343SSG</t>
  </si>
  <si>
    <t>EVAC+,ALARM,112DB,12-48V</t>
  </si>
  <si>
    <t>210335SSG</t>
  </si>
  <si>
    <t>EVAC+,ALARM,107DB,12-48V</t>
  </si>
  <si>
    <t>210333SSG</t>
  </si>
  <si>
    <t>EVAC+,ALARM,97DB,12-48V,</t>
  </si>
  <si>
    <t>210331SSG-NB</t>
  </si>
  <si>
    <t>EVAC+,ALARM,97DB,12-48V</t>
  </si>
  <si>
    <t>210331SSG</t>
  </si>
  <si>
    <t>MASTERPACK, 8PC, 210330SSG</t>
  </si>
  <si>
    <t>210330SSG-MP8</t>
  </si>
  <si>
    <t>EVAC+,ALARM,87DB,12-48V</t>
  </si>
  <si>
    <t>210330SSG</t>
  </si>
  <si>
    <t>MASTERPACK, 8PC, 210240-W</t>
  </si>
  <si>
    <t>210240-W-MP8</t>
  </si>
  <si>
    <t>MASTERPACK, 12PC, 210240-W</t>
  </si>
  <si>
    <t>210240-W-MP12</t>
  </si>
  <si>
    <t>TRITON BACKUP ALARM,102DB</t>
  </si>
  <si>
    <t>210240-W</t>
  </si>
  <si>
    <t>210240-S</t>
  </si>
  <si>
    <t>TRITON BACKUP ALARM,97DB</t>
  </si>
  <si>
    <t>210239-W</t>
  </si>
  <si>
    <t>MASTERPACK, 12PC, 210239-S</t>
  </si>
  <si>
    <t>210239-S-MP12</t>
  </si>
  <si>
    <t>TRITON BACKUP ALARM,97D</t>
  </si>
  <si>
    <t>210239-S</t>
  </si>
  <si>
    <t>TRITON BACKUP ALARM,87DB</t>
  </si>
  <si>
    <t>210238-W</t>
  </si>
  <si>
    <t>MASTERPACK, 8PC, 210238-S</t>
  </si>
  <si>
    <t>210238-S-MP8</t>
  </si>
  <si>
    <t>MASTERPACK, 6PC, 210238-S</t>
  </si>
  <si>
    <t>210238-S-MP6</t>
  </si>
  <si>
    <t>SIREN,SCS1000-D,30W,6 OHM</t>
  </si>
  <si>
    <t xml:space="preserve"> American Aluminum E/Z Rider K9 Unit- Platform System (Kit Pricing)                                     </t>
  </si>
  <si>
    <t xml:space="preserve"> American Aluminum E/Z Rider K9 Unit- Platform with Shelving System (Kit Pricing)                                                                                  </t>
  </si>
  <si>
    <t xml:space="preserve"> American Aluminum E/Z Rider K9 Unit- Platform System "EXTENDED" (Kit Pricing).              </t>
  </si>
  <si>
    <t xml:space="preserve"> American Aluminum E/Z  Rider 1/3 Inmate-2/3 K9 System (Kit Pricing).                                  </t>
  </si>
  <si>
    <t xml:space="preserve"> American Aluminum Rescue Add On for E/Z-Cool Guard System PLUS M910</t>
  </si>
  <si>
    <t xml:space="preserve"> American Aluminum E/Z-Cool Guard System PLUS M910</t>
  </si>
  <si>
    <t xml:space="preserve"> American Aluminum Coolguard Pager Add On Option</t>
  </si>
  <si>
    <t xml:space="preserve"> American Aluminum Coolguard Fan Guard Kit - Only</t>
  </si>
  <si>
    <t xml:space="preserve"> American Aluminum UUV **Powder coat Included** Explorer, Interceptor and Durango Only</t>
  </si>
  <si>
    <t xml:space="preserve"> American Aluminum 2 Compartment UUV **Powder coat Included**   Tahoe, Expedition and Suburban Only</t>
  </si>
  <si>
    <t xml:space="preserve"> American Aluminum UUV Combo **Powder coat Included**</t>
  </si>
  <si>
    <t xml:space="preserve"> American Aluminum Drawer Side Only (UUV Combo)</t>
  </si>
  <si>
    <t>AVC22 Whelen Super LED dual Avenger 2 duo color model # AVC22</t>
  </si>
  <si>
    <t>LSVBKT** Whelen Under-the-Side View Mirror Mount for Two LINSV2, Series sold Separately. Pair (Not for use with Mirror Beam™) Model # LSVBKT**</t>
  </si>
  <si>
    <t>BSFW* / BS* DUO PKG</t>
  </si>
  <si>
    <t>BSFW**5 Whelen WCX DUO</t>
  </si>
  <si>
    <t>BSFW**X  Whelen WCX DUO</t>
  </si>
  <si>
    <t xml:space="preserve">OEWS** </t>
  </si>
  <si>
    <t>FLLED**</t>
  </si>
  <si>
    <t>BS#Z **</t>
  </si>
  <si>
    <t>BS#12**</t>
  </si>
  <si>
    <t>DP6 W**</t>
  </si>
  <si>
    <t>DP8 W**</t>
  </si>
  <si>
    <t>BS#</t>
  </si>
  <si>
    <t>AVC22**</t>
  </si>
  <si>
    <t>MBFX2**</t>
  </si>
  <si>
    <t xml:space="preserve">MXFX20** </t>
  </si>
  <si>
    <t>VMFX20**</t>
  </si>
  <si>
    <t>VXFX20**</t>
  </si>
  <si>
    <t>LSVBKT**</t>
  </si>
  <si>
    <t>LINSV2*</t>
  </si>
  <si>
    <t>HOWLER Whelen Howler System model # HOWLER, low frequency siren system w/hardware</t>
  </si>
  <si>
    <t>CHWL**** Whelen WeCanX Howler Siren Amplifier with one speaker, Incl Mounting Bracket  Spiecify Vehicle. Model # CHWL****</t>
  </si>
  <si>
    <t xml:space="preserve">CHWL**** </t>
  </si>
  <si>
    <t xml:space="preserve"> HOWLER</t>
  </si>
  <si>
    <t xml:space="preserve">C399 Whelen Cencom Core / WCX Control Center Model # C399 </t>
  </si>
  <si>
    <t>CCP9 Whelen Cencom Core-C / WCX Control Point/ Switch Combo Model # CCP9</t>
  </si>
  <si>
    <t xml:space="preserve">C399R Whelen Cencom Core-R WCX Remote Control Model #C399R  (Requires Vehicle Specific OBDII  C399RK* Sold Seperately) </t>
  </si>
  <si>
    <t>CEM4HC Whelen WCX 4 Output High Current Expansion Module Model # CEM4HC</t>
  </si>
  <si>
    <t>HHS3200 Whelen Hand Held Siren model # HHS3200 remote siren/controller programmable</t>
  </si>
  <si>
    <t>CEXAMP Whelen WeCanX External Amplifier CEXAMP</t>
  </si>
  <si>
    <t>CEM16 Whelen WeCanX Output Expansion Module  Model CEM16</t>
  </si>
  <si>
    <t>CV2V Whelen Vehicle to Vehicle Sync Module Model #CV2V</t>
  </si>
  <si>
    <t>C399</t>
  </si>
  <si>
    <t>CCP9</t>
  </si>
  <si>
    <t>C399R</t>
  </si>
  <si>
    <t>CEM4HC</t>
  </si>
  <si>
    <t>HHS3200</t>
  </si>
  <si>
    <t>CEXAMP</t>
  </si>
  <si>
    <t>CEM16</t>
  </si>
  <si>
    <t>CV2V</t>
  </si>
  <si>
    <t xml:space="preserve">ARGES1/ARG***   Whelen Arges 5 Degree Remote Spotlight w/ Mount Model ARGES1 w/ ARG***  </t>
  </si>
  <si>
    <t>ARGES1</t>
  </si>
  <si>
    <t>RSB03ZCR</t>
  </si>
  <si>
    <t>TLIB</t>
  </si>
  <si>
    <t>IONB</t>
  </si>
  <si>
    <t>LINZ6B</t>
  </si>
  <si>
    <t>M2*</t>
  </si>
  <si>
    <t>M4*</t>
  </si>
  <si>
    <t>M6*</t>
  </si>
  <si>
    <t>M7*</t>
  </si>
  <si>
    <t>M9*</t>
  </si>
  <si>
    <t>IONV3*</t>
  </si>
  <si>
    <t>IONV3*W</t>
  </si>
  <si>
    <t>MBFX20/MBX12* Whelen Mirror-Beam™ Mirror Mounted Series PL21 with Duo ION  # MBFX20</t>
  </si>
  <si>
    <t>MBFX20** Whelen Mirror-Beam™ Mirror Mounted Super-LED® Series  # MBFX20**</t>
  </si>
  <si>
    <t>MXFX20** Whelen Mirror-Beam™ Mirror Mounted Super-LED® Series - with Smoked Lens Model # MXFX20**</t>
  </si>
  <si>
    <t>VMFX20** Whelen Super LED Mirror Beam light system,  ION V Series Super LED series  2020 Model # VMFX20**</t>
  </si>
  <si>
    <t>VXFX20** Whelen Super LED Mirror Beam light system,  ION V Series Super LED series -  with Smoked Lens Model # VXFX20**</t>
  </si>
  <si>
    <t>P36SLCHG</t>
  </si>
  <si>
    <t>P45SLCHG</t>
  </si>
  <si>
    <t>NP3BB</t>
  </si>
  <si>
    <t>NP6BB</t>
  </si>
  <si>
    <t>MPBB</t>
  </si>
  <si>
    <t>UHF2150A</t>
  </si>
  <si>
    <t>SSFPOS</t>
  </si>
  <si>
    <t>ETHFSS-SP-IS0</t>
  </si>
  <si>
    <t>COM6RW</t>
  </si>
  <si>
    <t>3SRCCDCR</t>
  </si>
  <si>
    <t>Streamlight 20703  SL-20L - 120V/100V AC/12V DC Smart Charge - 2 Sl</t>
  </si>
  <si>
    <t>Streamlight 74754 Strion LED HL- 12V DC</t>
  </si>
  <si>
    <t>Streamlight 75812 DS LED Flashlight-12V DC Smart Charge</t>
  </si>
  <si>
    <t>Streamlight S90503 Survivor Rech. NiCd 4.8v w/charger/holder 120v AC/DC cords 175lumens</t>
  </si>
  <si>
    <t>Maglight MA ML150LR1019 LED SYSTEM I FLASHLIGHT w/120v Converter, 12v DC Charger system, and LiFEPO4 battery pack -Replaces RL 1019</t>
  </si>
  <si>
    <t>SL-20L</t>
  </si>
  <si>
    <t xml:space="preserve">795H-EXTB-D/P Federal Signal 795H-EXTB-D/P Infrared Opticom pre-emption emitter.  Intalls with Federal Signal light bars </t>
  </si>
  <si>
    <t xml:space="preserve">794-AH Federal Signal 794-AH infrared LED emitter, suitable for external use, </t>
  </si>
  <si>
    <t>795H Whelen GTT LED low profile emitter install in lightbar with brackets, model # 795H</t>
  </si>
  <si>
    <t>PE215/IJ500ST/WPKM2 Whelen remote strobe preemption emitter with a 500 series strobe module(installed in Liberty 2 Lightbar) and park kill module , model # PE215, IJ500ST and WPKM2</t>
  </si>
  <si>
    <t>Code 3 MDASHCPE Emitter With Both High And Low Priority</t>
  </si>
  <si>
    <t>795H</t>
  </si>
  <si>
    <t>PE215</t>
  </si>
  <si>
    <t>K9-F28-PT</t>
  </si>
  <si>
    <t>Havis Standard K9 Transport System For 2020-2025 Ford Interceptor Utility – White</t>
  </si>
  <si>
    <t>K9-F28-1</t>
  </si>
  <si>
    <t>Havis Standard K9 Transport System For 2021-2025 Chevrolet Tahoe – White</t>
  </si>
  <si>
    <t>K9-C26</t>
  </si>
  <si>
    <t>Havis Standard K9 Transport System For 2011-2025 Dodge Durango – White</t>
  </si>
  <si>
    <t>K9-D25</t>
  </si>
  <si>
    <t>Havis K9-A-102 K9 Transport Ceiling Fan Option</t>
  </si>
  <si>
    <t>Havis K9-A-103 K9 Transport Water Bowl Option</t>
  </si>
  <si>
    <t>Havis K9-A-104 Window Guard &amp; K9 Transport Fan Option</t>
  </si>
  <si>
    <t>Havis K9-A-201 K9 Transport Heat Alarm Unit Option</t>
  </si>
  <si>
    <t>Havis K9-A-203 K9 Transport Heat Alarm Unit Option</t>
  </si>
  <si>
    <t>Havis K9-A-306 K9 Transport Engine Stall Sensor Option</t>
  </si>
  <si>
    <t>Havis K9-A-307 K9 Transport Door Popper Option, Door Popper Long Gas Shock</t>
  </si>
  <si>
    <t>Havis K9-A-310 K9 Transport Heat Alarm Unit Option, Hot-N-Pop Unit, Heat Alarm Window Drop</t>
  </si>
  <si>
    <t>Havis K9-A-336 Optional Remote Pager Kit with 27Mhz Antenna System for use with K9 Heat Alarm Pro &amp; Hot-N-Pop Pro Series Units sold after 2014</t>
  </si>
  <si>
    <t>K9-A-102</t>
  </si>
  <si>
    <t>K9-A-103</t>
  </si>
  <si>
    <t>K9-A-104</t>
  </si>
  <si>
    <t>K9-A-201</t>
  </si>
  <si>
    <t>K9-A-203</t>
  </si>
  <si>
    <t>K9-A-301</t>
  </si>
  <si>
    <t>K9-A-306</t>
  </si>
  <si>
    <t>K9-A-307</t>
  </si>
  <si>
    <t>K9-A-310</t>
  </si>
  <si>
    <t>K9-A-336</t>
  </si>
  <si>
    <t>ML150LR1019</t>
  </si>
  <si>
    <t>Dual Suction Cup Mount</t>
  </si>
  <si>
    <t>WIN-104</t>
  </si>
  <si>
    <t>Window Guard Kit, Interior-Mount for 2020-2025 Ford Interceptor Utility Rear Cargo, 3 Windows</t>
  </si>
  <si>
    <t>WGI-F28-RC</t>
  </si>
  <si>
    <t>Window Guard Kit, Interior-Mount for 2020-2025 Ford Interceptor Utility , 2 Windows</t>
  </si>
  <si>
    <t>WGI-F28</t>
  </si>
  <si>
    <t>Window Guard Kit, Interior-Mount For 2015-2025 Ford Transit Van With Medium Roof, 130" Wheel Base &amp; Passenger Side Sliding Door</t>
  </si>
  <si>
    <t>WGI-F26</t>
  </si>
  <si>
    <t>Window Guard Kit, Interior-Mount For 2015-2025 Ford Transit  Van With Low Roof, 130" Wheel Base &amp; Passenger Side Sliding Door</t>
  </si>
  <si>
    <t>WGI-F25</t>
  </si>
  <si>
    <t>Window Guard Kit, Interior-Mount For 2015-2025 Ford Transit Van With Low Roof, 148" Wheel Base &amp; Passenger Side Sliding Door</t>
  </si>
  <si>
    <t>WGI-F24</t>
  </si>
  <si>
    <t>Window Guard Kit, Interior-Mount For 2015-2025 Ford Transit Van With Medium Roof, 148"Wheel Base &amp; Passenger Sliding Door</t>
  </si>
  <si>
    <t>WGI-F22</t>
  </si>
  <si>
    <t>Window Guard Kit, Interior-Mount for 2015-2025 Ford Transit Van With Low Roof, 130" Wheel Base, Dual Swing Out Side Doors, &amp; 7 Windows</t>
  </si>
  <si>
    <t>WGI-F21</t>
  </si>
  <si>
    <t>Window Guard Kit, Interior-Mount for 2015-2025 Ford Transit Van With Low Roof, 148" Wheel Base, Dual Swing Out Side Doors, &amp; 7 Windows</t>
  </si>
  <si>
    <t>WGI-F20</t>
  </si>
  <si>
    <t>Window Guard Kit, Interior-Mount for 2011-2023 Dodge Charger, 2 Windows</t>
  </si>
  <si>
    <t>WGI-D24</t>
  </si>
  <si>
    <t>Window Guard Kit, Interior-Mount for 1997-2025 Chevrolet G-Series Standard Length Van With Sliding Side Door,12 Passenger, 8 Windows</t>
  </si>
  <si>
    <t>WGI-C4</t>
  </si>
  <si>
    <t xml:space="preserve">Window Guard Kit, Interior-Mount for 1997-2025 Chevrolet G-Series Standard Length Van With Swing Out Side Doors </t>
  </si>
  <si>
    <t>WGI-C3</t>
  </si>
  <si>
    <t>Window Guard Kit, Interior-Mount for 2021-2024 Chevrolet Tahoe, 2 Windows</t>
  </si>
  <si>
    <t>WGI-C26</t>
  </si>
  <si>
    <t xml:space="preserve">Window Guard Kit, Interior-Mount for 1997-2025 Chevrolet G-Series Extended Length Van With Sliding Side Door </t>
  </si>
  <si>
    <t>WGI-C2</t>
  </si>
  <si>
    <t>Window Guard Kit, Interior-Mount for 1997-2025 Chevrolet G-Series Extended Length Van With Dual Swing Out Side Doors,15 Passenger, 8 Windows</t>
  </si>
  <si>
    <t>WGI-C1</t>
  </si>
  <si>
    <t>Window Guard &amp; K9 Transport Option</t>
  </si>
  <si>
    <t>WGI007335</t>
  </si>
  <si>
    <t>Window Bar Guard Kit, Interior-Mount for 2020-2025 Ford Interceptor Utility Rear Windows</t>
  </si>
  <si>
    <t>WBI-F28-RC</t>
  </si>
  <si>
    <t>OBSOLETE - Window Bar Guard Kit, Interior-Mount for 2020-2025 Ford Interceptor Utility</t>
  </si>
  <si>
    <t>WBI-F28</t>
  </si>
  <si>
    <t>Federal Signal Interior Warning Light Mounting Bracket Kit for 2020-2025 Ford Interceptor Utility Rear Cargo Interior Window Bars</t>
  </si>
  <si>
    <t>WBI-A-101</t>
  </si>
  <si>
    <t>Retrofit Kit for 2021-2024 Chevrolet Tahoe VSX Console</t>
  </si>
  <si>
    <t>VSX-TAH-RFK-1</t>
  </si>
  <si>
    <t>VSS Series Temperature Sensor</t>
  </si>
  <si>
    <t>VSS-VT</t>
  </si>
  <si>
    <t>VSS Series Dual Current Sensor – 80 &amp; 600 Amp</t>
  </si>
  <si>
    <t>VSS-C80-600</t>
  </si>
  <si>
    <t>VSS Series Current Sensor – 80 Amp</t>
  </si>
  <si>
    <t>VSS-C80</t>
  </si>
  <si>
    <t>VSS Series Current Sensor - 600 Amp</t>
  </si>
  <si>
    <t>VSS-C600</t>
  </si>
  <si>
    <t>VANN-Guard™ Battery Equalizer 24V to 12V DC Power, 30 Amp with 5 Pin Connector</t>
  </si>
  <si>
    <t>VC-30</t>
  </si>
  <si>
    <t>Universal Tablet Holder For Approximately 8" to 11" Wide Tablets</t>
  </si>
  <si>
    <t>UT-5001</t>
  </si>
  <si>
    <t>Universal Phone Cradle</t>
  </si>
  <si>
    <t>UT-4002</t>
  </si>
  <si>
    <t>Universal Tablet Mount</t>
  </si>
  <si>
    <t>UT-301</t>
  </si>
  <si>
    <t>Adaptor Lug Kit to Secure Apple iPad Pro 13" (M4) Tablet In Universal Rugged Cradle UT-2000 Series</t>
  </si>
  <si>
    <t>UT-2024-KIT</t>
  </si>
  <si>
    <t>Havis Rugged Tablet Cradle for Apple iPad Pro 13" (M4)</t>
  </si>
  <si>
    <t>UT-2024</t>
  </si>
  <si>
    <t>Adaptor Lug Kit to Secure Samsung Galaxy Tab S9, S9 FE, &amp; A9+ Tablet In Universal Rugged Cradle UT-2000 Series</t>
  </si>
  <si>
    <t>UT-2023-KIT</t>
  </si>
  <si>
    <t>Havis Rugged Tablet Cradle for Samsung Galaxy Tab S9, S9 FE, &amp; A9+</t>
  </si>
  <si>
    <t>UT-2023</t>
  </si>
  <si>
    <t>Adaptor Lug Kit to Secure Microsoft Surface Pro 9, 10, &amp; 11 In Universal Rugged Cradle UT-2000 Series</t>
  </si>
  <si>
    <t>UT-2022-KIT</t>
  </si>
  <si>
    <t>Havis Rugged Tablet Cradle for Microsoft Surface Pro 9, 10, &amp; 11</t>
  </si>
  <si>
    <t>UT-2022</t>
  </si>
  <si>
    <t>UT-2000 Series Adapter Lug Kit For Dell 7030 Rugged Extreme Tablet</t>
  </si>
  <si>
    <t>UT-2021-KIT</t>
  </si>
  <si>
    <t>Havis Rugged Cradle for Dell 7030 Rugged Extreme Tablet</t>
  </si>
  <si>
    <t>UT-2021</t>
  </si>
  <si>
    <t>UT-2000 Series Adapter Lug Kit For Zebra 10″ ET4X Tablet</t>
  </si>
  <si>
    <t>UT-2020-KIT</t>
  </si>
  <si>
    <t>Havis Rugged Cradle for Zebra 10″ ET4X Tablets With or Without Frame Boot</t>
  </si>
  <si>
    <t>UT-2020</t>
  </si>
  <si>
    <t>UT-2000 Series Adapter Lug Kit For Dell 7230 &amp; 7220 Rugged Extreme Tablet</t>
  </si>
  <si>
    <t>UT-2019-KIT</t>
  </si>
  <si>
    <t>Havis Rugged Cradle for Dell 7230 &amp; 7220 Rugged Extreme Tablet</t>
  </si>
  <si>
    <t>UT-2019</t>
  </si>
  <si>
    <t>UT-2000 Series Adapter Lug Kit For Zebra  XPad L10, &amp; XSlate L10 Rugged Tablets</t>
  </si>
  <si>
    <t>UT-2018-KIT</t>
  </si>
  <si>
    <t>Havis Rugged Cradle For Zebra XPad L10, &amp; XSlate L10 Rugged Tablets</t>
  </si>
  <si>
    <t>UT-2018</t>
  </si>
  <si>
    <t>UT-2000 Series Adapter Lug Kit For Apple Ipad (7th, 8th, 9th &amp; 10th Gen)</t>
  </si>
  <si>
    <t>UT-2013-KIT</t>
  </si>
  <si>
    <t>Custom Rugged Cradle For Apple Ipad (7th, 8th, 9th &amp; 10th Gen)</t>
  </si>
  <si>
    <t>UT-2013</t>
  </si>
  <si>
    <t>UT-2000 Series Adapter Lug Kit For Dell Latitude 5285 or HP Elite X2</t>
  </si>
  <si>
    <t>UT-2010-KIT</t>
  </si>
  <si>
    <t>Havis Rugged Cradle For Dell Latitude 5285 or HP Elite X2</t>
  </si>
  <si>
    <t>UT-2010</t>
  </si>
  <si>
    <t>UT-2000 Series Adapter Lug Kit For Apple Ipad Pro (12.9')</t>
  </si>
  <si>
    <t>UT-2007-KIT</t>
  </si>
  <si>
    <t>Havis Rugged Cradle For Apple Ipad Pro (12.9")</t>
  </si>
  <si>
    <t>UT-2007</t>
  </si>
  <si>
    <t>UT-2000 Series Adapter Lug Kit For Microsoft Surface Pro 3, 4 or 5</t>
  </si>
  <si>
    <t>UT-2006-KIT</t>
  </si>
  <si>
    <t>Havis Rugged Cradle For Microsoft Surface Pro 3, 4 or 5 (With or Without UAG Case)</t>
  </si>
  <si>
    <t>UT-2006</t>
  </si>
  <si>
    <t>UT-2000 Series Adapter Lug Kit For Panasonic CF20 or Lenovo Helix</t>
  </si>
  <si>
    <t>UT-2005-KIT</t>
  </si>
  <si>
    <t>Havis Rugged Cradle For Panasonic TOUGHBOOK CF-20, or Lenovo Helix Tablet</t>
  </si>
  <si>
    <t>UT-2005</t>
  </si>
  <si>
    <t>UT-2000 Series Adapter Lug Kit For Getac F110</t>
  </si>
  <si>
    <t>UT-2004-KIT</t>
  </si>
  <si>
    <t>Havis Rugged Cradle For Getac F110 Rugged Tablet</t>
  </si>
  <si>
    <t>UT-2004</t>
  </si>
  <si>
    <t>Expansion Lug Kit For Added Depth Of Universal Rugged Cradle (UT-2001)</t>
  </si>
  <si>
    <t>UT-2003-KIT</t>
  </si>
  <si>
    <t xml:space="preserve">Universal Rugged Cradle For Approximately 9"-11" Computing Devices, With Added Depth </t>
  </si>
  <si>
    <t>UT-2003</t>
  </si>
  <si>
    <t>Base Only, Universal Rugged Cradle, For Approximately 9"-11" Computing Devices</t>
  </si>
  <si>
    <t>UT-2002</t>
  </si>
  <si>
    <t>Replacement Kit For UT-2001 Components</t>
  </si>
  <si>
    <t>UT-2001-KIT</t>
  </si>
  <si>
    <t>Universal Rugged Cradle For Approximately 9"-11" Computing Devices</t>
  </si>
  <si>
    <t>UT-2001</t>
  </si>
  <si>
    <t>UT-1000 Series Adapter Lug Kit For Dell 5430 &amp; 7330 Rugged Notebooks</t>
  </si>
  <si>
    <t>UT-1007-KIT</t>
  </si>
  <si>
    <t>Havis Rugged Cradle For Dell 5430 &amp; 7330 Rugged Notebooks</t>
  </si>
  <si>
    <t>UT-1007</t>
  </si>
  <si>
    <t>UT-1000 Series Adapter Lug Kit For Zebra ET8x Tablet, Acer Enduro N3 &amp; Fujitsu LIFEBOOK T937 &amp; T938</t>
  </si>
  <si>
    <t>UT-1005-KIT</t>
  </si>
  <si>
    <t>Havis Rugged Cradle for Zebra ET8x Tablet, Acer Enduro N3 &amp; Fujitsu LIFEBOOK T937 &amp; T938</t>
  </si>
  <si>
    <t>UT-1005</t>
  </si>
  <si>
    <t>Expansion Lug Kit For Added Width Of Universal Rugged Cradle (UT-1001)</t>
  </si>
  <si>
    <t>UT-1004-KIT</t>
  </si>
  <si>
    <t>Universal Rugged Cradle For Approximately 11"-14" Computing Devices, With Added Width</t>
  </si>
  <si>
    <t>UT-1004</t>
  </si>
  <si>
    <t>Expansion Lug Kit For Added Depth Of Universal Rugged Cradle (UT-1001)</t>
  </si>
  <si>
    <t>UT-1003-KIT</t>
  </si>
  <si>
    <t>Universal Rugged Cradle For Approximately 11"-14" Computing Devices, With Added Depth</t>
  </si>
  <si>
    <t>UT-1003</t>
  </si>
  <si>
    <t>Base Only, Universal Rugged Cradle, For Approximately 11"-14" Computing Devices</t>
  </si>
  <si>
    <t>UT-1002</t>
  </si>
  <si>
    <t>Replacement Kit For UT-1001 Components</t>
  </si>
  <si>
    <t>UT-1001-KIT</t>
  </si>
  <si>
    <t>Universal Rugged Cradle For Approximately 11"-14" Computing Devices</t>
  </si>
  <si>
    <t>UT-1001</t>
  </si>
  <si>
    <t>Glue Pad System Replacement for FlexiPole Plus Stands, 1 Pad</t>
  </si>
  <si>
    <t>TW30131E</t>
  </si>
  <si>
    <t>12.5" Capacitive Touch Screen Display With Integrated Hub</t>
  </si>
  <si>
    <t>TSD-201</t>
  </si>
  <si>
    <t>TS Series Pure Sine Inverter With 24VDC Input &amp; 700W AC Output</t>
  </si>
  <si>
    <t>TS24-700</t>
  </si>
  <si>
    <t>TS Series Pure Sine Inverter With 24VDC Input &amp; 3000W AC Output</t>
  </si>
  <si>
    <t>TS24-3000</t>
  </si>
  <si>
    <t>TS Series Pure Sine Inverter With 24VDC Input &amp; 2000W AC Output</t>
  </si>
  <si>
    <t>TS24-2000</t>
  </si>
  <si>
    <t>TS Series Pure Sine Inverter With 24VDC Input &amp; 1500W AC Output</t>
  </si>
  <si>
    <t>TS24-1500</t>
  </si>
  <si>
    <t>TS Series Pure Sine Wave Power Inverter With 12VDC Input &amp; 700W AC Output</t>
  </si>
  <si>
    <t>TS12-700</t>
  </si>
  <si>
    <t>TS Series Pure Sine Wave Power Inverter With 12VDC Input &amp; 400W AC Output</t>
  </si>
  <si>
    <t>TS12-400</t>
  </si>
  <si>
    <t>TS Series Pure Sine Wave Power Inverter With 12VDC Input &amp; 3000W AC Output</t>
  </si>
  <si>
    <t>TS12-3000</t>
  </si>
  <si>
    <t>TS Series Pure Sine Wave Power Inverter With 12VDC Input &amp; 2000W AC Output</t>
  </si>
  <si>
    <t>TS12-2000</t>
  </si>
  <si>
    <t>TS Series Pure Sine Wave Power Inverter With 12VDC Input &amp; 1500W AC Output</t>
  </si>
  <si>
    <t>TS12-1500</t>
  </si>
  <si>
    <t>TS Series Pure Sine Wave Power Inverter With 12VDC Input &amp; 1000W AC Output</t>
  </si>
  <si>
    <t>TS12-1000</t>
  </si>
  <si>
    <t>Havis Rugged Tablet Case for Apple iPad Pro 11" (2nd - 4th Gen)</t>
  </si>
  <si>
    <t>TC-409</t>
  </si>
  <si>
    <t>Havis Rugged Tablet Case for Samsung Galaxy Tab S9+ &amp; S10+</t>
  </si>
  <si>
    <t>TC-408</t>
  </si>
  <si>
    <t>Havis Rugged Tablet Case for Apple iPad (10th Gen) &amp; iPad A16 with Touch ID Accommodation</t>
  </si>
  <si>
    <t>TC-412</t>
  </si>
  <si>
    <t>DISCONTINUED - Havis Rugged Tablet Case for Apple iPad (10th Gen) &amp; iPad A16</t>
  </si>
  <si>
    <t>TC-406</t>
  </si>
  <si>
    <t>Havis Rugged Tablet Case for Apple iPad Air 11” (4th-5th Gen, M2, M3) with Touch ID Accommodation</t>
  </si>
  <si>
    <t>TC-411</t>
  </si>
  <si>
    <t>DISCONTINUED - Havis Rugged Tablet Case for Apple iPad Air 11” (4th-5th Gen, M2, M3)</t>
  </si>
  <si>
    <t>TC-405</t>
  </si>
  <si>
    <t>Havis Rugged Tablet Case for Apple iPad Pro 12.9" (3rd - 6th Gen) and iPad Air 13" (M2, M3) with Touch ID Accommodation</t>
  </si>
  <si>
    <t>TC-410</t>
  </si>
  <si>
    <t>DISCONTINUED - Havis Rugged Tablet Case for Apple iPad Pro 12.9" (3rd - 6th Gen) and iPad Air 13" (M2, M3)</t>
  </si>
  <si>
    <t>TC-404</t>
  </si>
  <si>
    <t>Havis Rugged Tablet Case for Apple iPad Pro 11" (M4)</t>
  </si>
  <si>
    <t>TC-403</t>
  </si>
  <si>
    <t>Havis Rugged Tablet Case for Apple iPad Pro 13" (M4)</t>
  </si>
  <si>
    <t>TC-402</t>
  </si>
  <si>
    <t>FlexiPole Tab Quick Release Wall Mount for Tablets</t>
  </si>
  <si>
    <t>TABC0121</t>
  </si>
  <si>
    <t>FlexiPole Tab Locking Wall Mount for Tablets</t>
  </si>
  <si>
    <t>TABB0121</t>
  </si>
  <si>
    <t>FlexiPole Tab Quick Release Stand for Tablets</t>
  </si>
  <si>
    <t>TAB40121</t>
  </si>
  <si>
    <t>FlexiPole Tab Locking Stand for Tablets</t>
  </si>
  <si>
    <t>TAB20121</t>
  </si>
  <si>
    <t>Tablet Adapter for Dell's 10" Latitude 7030 Rugged Extreme Tablet for Use with DS-TAB-300 Series IP65 Docking Stations</t>
  </si>
  <si>
    <t>TA-102</t>
  </si>
  <si>
    <t>Tablet Adapter for Dell's 12" Latitude 7230 Rugged Extreme Tablet for Use with DS-TAB-300 Series IP65 Docking Stations</t>
  </si>
  <si>
    <t>TA-101</t>
  </si>
  <si>
    <t>Stationary Docking Station for Zebra ET60, ET65, ET60W, &amp;amp; ET65W Tablets with Advanced Port Replication</t>
  </si>
  <si>
    <t>SDS-ZEB-504</t>
  </si>
  <si>
    <t>Locking Latch &amp; Key for FlexiPole Payment Mounts</t>
  </si>
  <si>
    <t>SD0005</t>
  </si>
  <si>
    <t>Verifone C18 Landscape Countertop Self-Checkout</t>
  </si>
  <si>
    <t>SC-C102</t>
  </si>
  <si>
    <t>Verifone C18 Portrait Countertop Self-Checkout</t>
  </si>
  <si>
    <t>SC-C101</t>
  </si>
  <si>
    <t>Self-Checkout Riser</t>
  </si>
  <si>
    <t>SC-2000-R1-01</t>
  </si>
  <si>
    <t>Self-Checkout Printer Enclosure</t>
  </si>
  <si>
    <t>SC-2000-PE-02</t>
  </si>
  <si>
    <t>Self-Checkout Dual Display Mount With Pedestal Base</t>
  </si>
  <si>
    <t>SC-2000-PB2-01</t>
  </si>
  <si>
    <t>Self-Checkout Single Display Mount With Pedestal Base</t>
  </si>
  <si>
    <t>SC-2000-PB1-01</t>
  </si>
  <si>
    <t>Self-Checkout Payment Arm</t>
  </si>
  <si>
    <t>SC-2000-PA-01</t>
  </si>
  <si>
    <t>Self-Checkout Dual Display Mount With Countertop Base</t>
  </si>
  <si>
    <t>SC-2000-CF2-01</t>
  </si>
  <si>
    <t>Self-Checkout Single Display Mount With Countertop Base</t>
  </si>
  <si>
    <t>SC-2000-CF1-01</t>
  </si>
  <si>
    <t>Pedestal Self-Checkout with Free Standing Base</t>
  </si>
  <si>
    <t>SC-1000-PF</t>
  </si>
  <si>
    <t>Pedestal Self-Checkout Bolt Down Model</t>
  </si>
  <si>
    <t>SC-1000-PB</t>
  </si>
  <si>
    <t>Countertop Self-Checkout with Swivel Base</t>
  </si>
  <si>
    <t>SC-1000-CS</t>
  </si>
  <si>
    <t>Countertop Self-Checkout with Fixed Base</t>
  </si>
  <si>
    <t>SC-1000-CF</t>
  </si>
  <si>
    <t>Self-Checkout Accessory, Universal Scanner Mount</t>
  </si>
  <si>
    <t>SC-1000-ACC-14</t>
  </si>
  <si>
    <t>Self-Checkout Accessory, USB Hub Bracket</t>
  </si>
  <si>
    <t>SC-1000-ACC-13</t>
  </si>
  <si>
    <t>Self-Checkout Accessory,  Printer Hold-down Plate</t>
  </si>
  <si>
    <t>SC-1000-ACC-12</t>
  </si>
  <si>
    <t>Self-Checkout Accessory,  Weighted Base for Countertop Kiosk</t>
  </si>
  <si>
    <t>SC-1000-ACC-11</t>
  </si>
  <si>
    <t>Self-Checkout Accessory,  Lower Shelves</t>
  </si>
  <si>
    <t>SC-1000-ACC-10</t>
  </si>
  <si>
    <t>Self-Checkout Accessory,  Upper Shelf</t>
  </si>
  <si>
    <t>SC-1000-ACC-09</t>
  </si>
  <si>
    <t>Self-Checkout Accessory, Fixed Scanner Mount</t>
  </si>
  <si>
    <t>SC-1000-ACC-06</t>
  </si>
  <si>
    <t>Self-Checkout Accessory, ADA Device Mount</t>
  </si>
  <si>
    <t>SC-1000-ACC-05</t>
  </si>
  <si>
    <t>Self-Checkout Accessory, Payment Terminal Mounting Arm</t>
  </si>
  <si>
    <t>SC-1000-ACC-03</t>
  </si>
  <si>
    <t>Front Trunk Storage Box Mount for 2024-2025 Chevrolet Silverado – EV Truck</t>
  </si>
  <si>
    <t>SBX-FTM-101</t>
  </si>
  <si>
    <t>Filler Panel For Havis Storage Drawer Mount To Setina Partition</t>
  </si>
  <si>
    <t>SBX-F28-SETINA</t>
  </si>
  <si>
    <t>Filler Panel For Havis Storage Drawer Mount To Pro-Gard Partition</t>
  </si>
  <si>
    <t>SBX-F28-PROKIT</t>
  </si>
  <si>
    <t>Rear Hinged Lid Trunk Tray Storage with Low 7″ Risers for 2024-2025 Chevrolet Blazer EV-PPV</t>
  </si>
  <si>
    <t>SBX-5019</t>
  </si>
  <si>
    <t>K9 Filler Panel &amp; Rear Storage Box Mount for 2018-2024 Ford Expedition</t>
  </si>
  <si>
    <t>SBX-5016</t>
  </si>
  <si>
    <t xml:space="preserve">Havis Modular &amp; Universal Storage Box Mount for 2018-2024 Ford Expedition </t>
  </si>
  <si>
    <t>SBX-5015</t>
  </si>
  <si>
    <t>Havis Universal Storage Box Mount For 2021-2024 Ford Bronco Sport</t>
  </si>
  <si>
    <t>SBX-5014</t>
  </si>
  <si>
    <t>Havis Universal Storage Drawer Mount For 2011-2025 Dodge Durango</t>
  </si>
  <si>
    <t>SBX-5013</t>
  </si>
  <si>
    <t xml:space="preserve">Havis Modular Storage Drawer Mount With Tall Risers For 2021-2024 Chevrolet Tahoe With Havis K9-XL or PT </t>
  </si>
  <si>
    <t>SBX-5012</t>
  </si>
  <si>
    <t>Havis Modular Storage Drawer Mount With Tall Risers For 2021-2024 Chevrolet Tahoe</t>
  </si>
  <si>
    <t>SBX-5011</t>
  </si>
  <si>
    <t xml:space="preserve">Havis Storage Box Mount For 2021-2024 Chevrolet Tahoe With Havis K9-XL or PT </t>
  </si>
  <si>
    <t>SBX-5010</t>
  </si>
  <si>
    <t>Adapter Kit 2011-2025 Dodge Durango Modular Storage Drawer Mount</t>
  </si>
  <si>
    <t>SBX-5009-PROKIT</t>
  </si>
  <si>
    <t>2011-2025 Dodge Durango Modular Storage Drawer Mount</t>
  </si>
  <si>
    <t>SBX-5009</t>
  </si>
  <si>
    <t>2021-2024 Chevrolet Tahoe Modular Storage Drawer Mount</t>
  </si>
  <si>
    <t>SBX-5008</t>
  </si>
  <si>
    <t>Storage Drawer Mount For 2020-2025 Ford Interceptor Utility With Havis Standard K9</t>
  </si>
  <si>
    <t>SBX-5007</t>
  </si>
  <si>
    <t>2020-2025 Ford Interceptor Utility Raised Mount For Modular Storage Drawer</t>
  </si>
  <si>
    <t>SBX-5006</t>
  </si>
  <si>
    <t>2020-2025 Ford Interceptor Utility Modular Storage Drawer Mount</t>
  </si>
  <si>
    <t>SBX-5004</t>
  </si>
  <si>
    <t>OBSOLETE - 2015-2020 Chevrolet Tahoe Modular Storage Drawer Mount</t>
  </si>
  <si>
    <t>SBX-5002</t>
  </si>
  <si>
    <t>2020-2025 Ford Interceptor Utility Storage Drawer Mount With Havis K9</t>
  </si>
  <si>
    <t>SBX-5001</t>
  </si>
  <si>
    <t>Replacement Rubber Wide Storage Drawer Liners</t>
  </si>
  <si>
    <t>SBX-4020</t>
  </si>
  <si>
    <t>OBSOLETE - Wide Width Storage Drawer Drop In Writing Surface</t>
  </si>
  <si>
    <t>SBX-4019</t>
  </si>
  <si>
    <t>OBSOLETE - Standard Width Storage Drawer Drop In Writing Surface</t>
  </si>
  <si>
    <t>SBX-4017</t>
  </si>
  <si>
    <t>Foam Inserts For Wide Large Height Storage Drawers</t>
  </si>
  <si>
    <t>SBX-4016</t>
  </si>
  <si>
    <t>Electronics Mounting Bracket For Storage Drawer Mount In 2011-2025 Dodge Durango</t>
  </si>
  <si>
    <t>SBX-4015</t>
  </si>
  <si>
    <t>7" Riser Kit For Modular Storage Drawer In 2011-2025 Dodge Durango</t>
  </si>
  <si>
    <t>SBX-4014</t>
  </si>
  <si>
    <t>High 12.6" Riser Kit For 2021 Tahoe Modular Storage Mount</t>
  </si>
  <si>
    <t>SBX-4013</t>
  </si>
  <si>
    <t>Foam Inserts For Wide Medium Height Storage Drawers</t>
  </si>
  <si>
    <t>SBX-4012</t>
  </si>
  <si>
    <t>Riser Kit For Modular Storage Drawer In 2021-2024 Chevrolet Tahoe</t>
  </si>
  <si>
    <t>SBX-4011</t>
  </si>
  <si>
    <t>Drawer Connector Kit</t>
  </si>
  <si>
    <t>SBX-4010</t>
  </si>
  <si>
    <t>Medium-Duty Lock Conversion Kit</t>
  </si>
  <si>
    <t>SBX-4009</t>
  </si>
  <si>
    <t>Replacement Rubber Drawer Liners</t>
  </si>
  <si>
    <t>SBX-4008</t>
  </si>
  <si>
    <t>12V Drawer Fan</t>
  </si>
  <si>
    <t>SBX-4004</t>
  </si>
  <si>
    <t>12V LED Drawer Light</t>
  </si>
  <si>
    <t>SBX-4003</t>
  </si>
  <si>
    <t>Foam Inserts For Large Drawers</t>
  </si>
  <si>
    <t>SBX-4002</t>
  </si>
  <si>
    <t>Foam Inserts For Medium Drawers</t>
  </si>
  <si>
    <t>SBX-4001</t>
  </si>
  <si>
    <t>Wide Electronics Mounting Topper For Modular Drawers</t>
  </si>
  <si>
    <t>SBX-3008</t>
  </si>
  <si>
    <t>Electronics Mounting Topper For Modular Drawers</t>
  </si>
  <si>
    <t>SBX-3007</t>
  </si>
  <si>
    <t>Adapter For Wide To Standard Width Modular Drawers</t>
  </si>
  <si>
    <t>SBX-3005</t>
  </si>
  <si>
    <t>Wide Open Storage Topper</t>
  </si>
  <si>
    <t>SBX-3004</t>
  </si>
  <si>
    <t>Open Storage Drawer Topper</t>
  </si>
  <si>
    <t>SBX-3003</t>
  </si>
  <si>
    <t>Basic Drawer Topper</t>
  </si>
  <si>
    <t>SBX-3002</t>
  </si>
  <si>
    <t>Hinged Lid Drawer Topper With Medium-Duty Slam Latch</t>
  </si>
  <si>
    <t>SBX-3001</t>
  </si>
  <si>
    <t>Wide Large Height Storage Drawer With Push-Button Combination Lock</t>
  </si>
  <si>
    <t>SBX-1016</t>
  </si>
  <si>
    <t>Wide Large Height Storage Drawer With Heavy-Duty Lock</t>
  </si>
  <si>
    <t>SBX-1015</t>
  </si>
  <si>
    <t>Wide Large Height Storage Drawer With Medium-Duty Lock</t>
  </si>
  <si>
    <t>SBX-1014</t>
  </si>
  <si>
    <t>Wide Medium Height Storage Drawer With Heavy-Duty Lock</t>
  </si>
  <si>
    <t>SBX-1012</t>
  </si>
  <si>
    <t>Wide Medium Height Storage Drawer With Medium-Duty Lock</t>
  </si>
  <si>
    <t>SBX-1011</t>
  </si>
  <si>
    <t>Wide Medium Height Storage Drawer With Push-Button Combination Lock</t>
  </si>
  <si>
    <t>SBX-1010</t>
  </si>
  <si>
    <t>Large Modular Storage Drawer With Simplex Lock</t>
  </si>
  <si>
    <t>SBX-1008</t>
  </si>
  <si>
    <t>Medium Modular Storage Drawer With Simplex Lock</t>
  </si>
  <si>
    <t>SBX-1007</t>
  </si>
  <si>
    <t>Large Modular Storage Drawer With Heavy-Duty Lock</t>
  </si>
  <si>
    <t>SBX-1005</t>
  </si>
  <si>
    <t>Large Modular Storage Drawer With Medium-Duty Lock</t>
  </si>
  <si>
    <t>SBX-1004</t>
  </si>
  <si>
    <t>Medium Modular Storage Drawer With Heavy-Duty Lock</t>
  </si>
  <si>
    <t>SBX-1002</t>
  </si>
  <si>
    <t>Medium Modular Storage Drawer With Medium-Duty Lock</t>
  </si>
  <si>
    <t>SBX-1001</t>
  </si>
  <si>
    <t>Round Base Metal Locking Stand for Verifone M440 &amp; M450 Payment Terminals</t>
  </si>
  <si>
    <t>PTM-VFN-02</t>
  </si>
  <si>
    <t>Rear Locking Add-on Kit for Verifone M440 &amp; M450 Payment Terminals</t>
  </si>
  <si>
    <t>PTM-VFN-01</t>
  </si>
  <si>
    <t>Round Base Swivel Stand, Locking &amp; Anti-skimming capable for Ingenico RX7000</t>
  </si>
  <si>
    <t>PTM-ING-09</t>
  </si>
  <si>
    <t>Square Base Swivel Stand, Locking &amp; Anti-skimming Equipped for Ingenico RX7000</t>
  </si>
  <si>
    <t>PTM-ING-08</t>
  </si>
  <si>
    <t>Lower Anti-Skim Add-on Kit for Ingenico RX7000 Payment Terminal PTM-ING-05</t>
  </si>
  <si>
    <t>PTM-ING-05-3</t>
  </si>
  <si>
    <t>Rear Locking Add-On Kit for Ingenico RX7000 Payment Terminals PTM-ING-05</t>
  </si>
  <si>
    <t>PTM-ING-05-2</t>
  </si>
  <si>
    <t>Square Base Swivel Stand, Locking &amp; Anti-skimming capable for Ingenico RX7000</t>
  </si>
  <si>
    <t>PTM-ING-05</t>
  </si>
  <si>
    <t>Round Base Locking Swivel Stand with Anti-skimming Capable for Ingenico RX7000</t>
  </si>
  <si>
    <t>PTM-ING-03</t>
  </si>
  <si>
    <t>Square Base Swivel Stand, Locking &amp; Anti-skimming, for Ingenico Lane 3600</t>
  </si>
  <si>
    <t>PTM-ING-02</t>
  </si>
  <si>
    <t>Square Base Metal Stand for Ingenico Lane &amp; RX5000 Payment Terminals</t>
  </si>
  <si>
    <t>PTM-ING-01</t>
  </si>
  <si>
    <t>Square Base Metal Stand for 75mm VESA &amp; Equinox Luxe 8700x Payment Terminals</t>
  </si>
  <si>
    <t>PTM-EQU-01</t>
  </si>
  <si>
    <t>Prisoner Transport Insert 80"  1 Compartment(s)</t>
  </si>
  <si>
    <t>PT-F06-80-1</t>
  </si>
  <si>
    <t>Prisoner Transport Insert 120"  3 Compartment(s)</t>
  </si>
  <si>
    <t>PT-F06-120-3</t>
  </si>
  <si>
    <t>Prisoner Transport Insert 120"  2 Compartment(s)</t>
  </si>
  <si>
    <t>PT-F06-120-2B</t>
  </si>
  <si>
    <t>PT-F06-120-2</t>
  </si>
  <si>
    <t>DISCONTINUED - Prisoner Transport Insert 80"  1 Compartment(s)</t>
  </si>
  <si>
    <t>PT-F05-80-1</t>
  </si>
  <si>
    <t>PT-F05-120-3</t>
  </si>
  <si>
    <t>PT-F05-120-2B</t>
  </si>
  <si>
    <t>PT-F05-120-2</t>
  </si>
  <si>
    <t>Prisoner Transport Insert 100"  3 Compartment(s)</t>
  </si>
  <si>
    <t>PT-F04-100-3</t>
  </si>
  <si>
    <t>Prisoner Transport Insert 100"  2 Compartment(s)</t>
  </si>
  <si>
    <t>PT-F04-100-2</t>
  </si>
  <si>
    <t>PT-F03-80-1</t>
  </si>
  <si>
    <t>PT-F03-100-3</t>
  </si>
  <si>
    <t>PT-F03-100-2B</t>
  </si>
  <si>
    <t>PT-F03-100-2</t>
  </si>
  <si>
    <t>PT-D03-120-3</t>
  </si>
  <si>
    <t>PT-D02-100-2</t>
  </si>
  <si>
    <t>PT-C02-120-3</t>
  </si>
  <si>
    <t>PT-C02-120-2</t>
  </si>
  <si>
    <t>PT-C01-80-1</t>
  </si>
  <si>
    <t>PT-C01-100-3</t>
  </si>
  <si>
    <t>PT-C01-100-2A</t>
  </si>
  <si>
    <t>PT-C01-100-2</t>
  </si>
  <si>
    <t>Prisoner Transport Door Window Cover Option</t>
  </si>
  <si>
    <t>PT-A-922</t>
  </si>
  <si>
    <t>Prisoner Transport Power Vent Option</t>
  </si>
  <si>
    <t>PT-A-921</t>
  </si>
  <si>
    <t>Prisoner Transport Wire Harness Option</t>
  </si>
  <si>
    <t>PT-A-919</t>
  </si>
  <si>
    <t>Prisoner Transport Intercom Option</t>
  </si>
  <si>
    <t>PT-A-918</t>
  </si>
  <si>
    <t>Prisoner Transport Roof Load/Backup Light Option</t>
  </si>
  <si>
    <t>PT-A-916</t>
  </si>
  <si>
    <t>Prisoner Transport Optional Exterior Door Lock</t>
  </si>
  <si>
    <t>PT-A-914</t>
  </si>
  <si>
    <t>Prisoner Transport Optional Intercom System</t>
  </si>
  <si>
    <t>PT-A-913</t>
  </si>
  <si>
    <t>Prisoner Transport Optional LED Dome Light Used In K9 Kits</t>
  </si>
  <si>
    <t>PT-A-912</t>
  </si>
  <si>
    <t>Prisoner Transport Rear Door Warning Light</t>
  </si>
  <si>
    <t>PT-A-911</t>
  </si>
  <si>
    <t>Prisoner Transport Thermometer Option</t>
  </si>
  <si>
    <t>PT-A-910</t>
  </si>
  <si>
    <t>Prisoner Transport Intercom System Option</t>
  </si>
  <si>
    <t>PT-A-909</t>
  </si>
  <si>
    <t>Prisoner Transport Meal Pass Through Option</t>
  </si>
  <si>
    <t>PT-A-908</t>
  </si>
  <si>
    <t>Prisoner Transport Individual Seat Divider Option</t>
  </si>
  <si>
    <t>PT-A-907</t>
  </si>
  <si>
    <t>Prisoner &amp; K9 Transport Locking Access Panel Under-Bench Storage Option for 2017-2025 Ford F-Series - Black</t>
  </si>
  <si>
    <t>PT-A-906-B</t>
  </si>
  <si>
    <t>Prisoner &amp; K9 Transport Locking Access Panel Under-Bench Storage Option for 2017-2025 Ford F-Series - White</t>
  </si>
  <si>
    <t>PT-A-906</t>
  </si>
  <si>
    <t>Prisoner Transport Sound Deadening Insulation Option</t>
  </si>
  <si>
    <t>PT-A-904</t>
  </si>
  <si>
    <t>Prisoner Transport Flip Down Step Option</t>
  </si>
  <si>
    <t>PT-A-902</t>
  </si>
  <si>
    <t xml:space="preserve">Prisoner Transport Digital Video Recorder Kit To Be Used With PT -A-601, 602, 603 or 604 Camera Systems </t>
  </si>
  <si>
    <t>PT-A-610</t>
  </si>
  <si>
    <t>Prisoner Transport Clear Protective Camera Guard &amp; Mount Bracket Kit For Customer Supplied Camera System</t>
  </si>
  <si>
    <t>PT-A-607</t>
  </si>
  <si>
    <t>Prisoner Transport 4 Camera Video System Option</t>
  </si>
  <si>
    <t>PT-A-604</t>
  </si>
  <si>
    <t>Prisoner Transport 3 Camera Video System Option</t>
  </si>
  <si>
    <t>PT-A-603</t>
  </si>
  <si>
    <t>Prisoner Transport 2 Camera Video System Option</t>
  </si>
  <si>
    <t>PT-A-602</t>
  </si>
  <si>
    <t>Prisoner Transport 1 Camera Video System Option</t>
  </si>
  <si>
    <t>PT-A-601</t>
  </si>
  <si>
    <t>2015-2025 Ford Transit Prisoner Transport Rear Ac/Heat Vent Adapter Option</t>
  </si>
  <si>
    <t>PT-A-506</t>
  </si>
  <si>
    <t>PT-A-505</t>
  </si>
  <si>
    <t>PT-A-504</t>
  </si>
  <si>
    <t>PT-A-503</t>
  </si>
  <si>
    <t>2003-2025 Chevrolet G-Series Prisoner Transport Vent Option</t>
  </si>
  <si>
    <t>PT-A-501</t>
  </si>
  <si>
    <t>2007-2025 Chevrolet G-Series Prisoner Transport HVAC Option</t>
  </si>
  <si>
    <t>PT-A-409</t>
  </si>
  <si>
    <t>Dodge Ram Promaster Prisoner Transport HVAC Option</t>
  </si>
  <si>
    <t>PT-A-406</t>
  </si>
  <si>
    <t>2015-2025 Ford Transit Prisoner Transport HVAC Option</t>
  </si>
  <si>
    <t>PT-A-404</t>
  </si>
  <si>
    <t>Dodge Ram Promaster Side Step Assembly</t>
  </si>
  <si>
    <t>PT-A-204</t>
  </si>
  <si>
    <t>2015-2025 Ford Transit Side Step Assembly</t>
  </si>
  <si>
    <t>PT-A-203</t>
  </si>
  <si>
    <t>1997-2025 Chevrolet G-Series Side Step Assembly</t>
  </si>
  <si>
    <t>PT-A-201</t>
  </si>
  <si>
    <t>Dodge Ram Promaster Rear Permanent Step Assembly</t>
  </si>
  <si>
    <t>PT-A-104</t>
  </si>
  <si>
    <t>2015-2025 Ford Transit Rear Permanent Step Assembly</t>
  </si>
  <si>
    <t>PT-A-103</t>
  </si>
  <si>
    <t>1994-2014 Ford E-Series Rear Permanent Step Assembly</t>
  </si>
  <si>
    <t>PT-A-102</t>
  </si>
  <si>
    <t>PT-A-101</t>
  </si>
  <si>
    <t>Glue Pad System Replacement for FlexiPole Complete &amp; Compact Stands, 100 Pads</t>
  </si>
  <si>
    <t>PRT00201-100</t>
  </si>
  <si>
    <t>Glue Pad System Replacement for FlexiPole Complete &amp; Compact Stands, 10 Pads</t>
  </si>
  <si>
    <t>PRT00201-10</t>
  </si>
  <si>
    <t>Glue Pad System Replacement for FlexiPole Complete &amp; Compact Stands, 1 Pad</t>
  </si>
  <si>
    <t>PRT00201</t>
  </si>
  <si>
    <t xml:space="preserve">Adapter Kit For Havis TTP &amp; Pro-Gard Partition In 2020-2025 Interceptor Utility </t>
  </si>
  <si>
    <t>PROKIT-2</t>
  </si>
  <si>
    <t xml:space="preserve">Rear Partition for 2015-2025 Ford Transit Low Roof 130"  WB Window Van </t>
  </si>
  <si>
    <t>P-REAR-4</t>
  </si>
  <si>
    <t xml:space="preserve">Rear Partition for 2015-2025 Ford Transit Low Roof 130" &amp; 148" WB Window Van </t>
  </si>
  <si>
    <t>P-REAR-3</t>
  </si>
  <si>
    <t xml:space="preserve">Rear Partition for 1997-2025 Chevrolet G-Series Van </t>
  </si>
  <si>
    <t>P-REAR-1</t>
  </si>
  <si>
    <t>Middle Partition Filler Panel Mounting Kit For 2015 -2025 Ford Transit Window Van With Medium Roof &amp; Dual Side Door</t>
  </si>
  <si>
    <t>P-MID-3</t>
  </si>
  <si>
    <t>Middle Partition Filler Panel Mounting Kit For 2015 -2025 Ford Transit Window Van With  Dual Side Door</t>
  </si>
  <si>
    <t>P-MID-2</t>
  </si>
  <si>
    <t>Middle Partition Filler Panel Mounting Kit For 2015 -2025 Ford Transit Window Van With Low Roof &amp; Dual Side Door</t>
  </si>
  <si>
    <t>P-MID-1</t>
  </si>
  <si>
    <t>Rear Partition Filler Panel Kit for 1997-2025 Chevrolet G-Series</t>
  </si>
  <si>
    <t>P-MFK-9</t>
  </si>
  <si>
    <t>Front Partition Filler Panel Kit  for 2008-2025 Chevrolet G-Series With Sliding Doors</t>
  </si>
  <si>
    <t>P-MFK-8</t>
  </si>
  <si>
    <t xml:space="preserve">Middle Partition Filler Panel Kit for 2008-2025 Chevrolet G-Series </t>
  </si>
  <si>
    <t>P-MFK-7</t>
  </si>
  <si>
    <t>Front Partition Filler Panel Kit for 2008-2025 Chevrolet G-Series With Dual Side Doors</t>
  </si>
  <si>
    <t>P-MFK-4</t>
  </si>
  <si>
    <t>Rear Partition Filler Panel Mount Kit for 2015-2025 Ford Transit Window Van With Low Roof</t>
  </si>
  <si>
    <t>P-MFK-17</t>
  </si>
  <si>
    <t>P-MFK-16</t>
  </si>
  <si>
    <t>P-MFK-15</t>
  </si>
  <si>
    <t>Middle Partition Filler Panel Mounting Kit For 2015 -2025 Ford Transit Window Van With Medium Roof &amp; Side Sliding Door</t>
  </si>
  <si>
    <t>P-MFK-14</t>
  </si>
  <si>
    <t>Middle Partition Filler Panel Mounting Kit For 2015 -2025 Ford Transit Window Van With Medium Roof &amp; Side Swing out or Sliding Doors</t>
  </si>
  <si>
    <t>P-MFK-13</t>
  </si>
  <si>
    <t>Middle Partition Filler Panel Mounting Kit For 2015 -2025 Ford Transit Window Van With Low Roof &amp; Side Swing out or Sliding Doors</t>
  </si>
  <si>
    <t>P-MFK-12</t>
  </si>
  <si>
    <t xml:space="preserve">Middle Partition Filler Panel Mounting Kit For 2015 -2025 Ford Transit Window Van With Low Roof &amp; Side Swing out or Sliding Doors </t>
  </si>
  <si>
    <t>P-MFK-10</t>
  </si>
  <si>
    <t>Pole Clamp Mount Kit</t>
  </si>
  <si>
    <t>PMB-1001</t>
  </si>
  <si>
    <t>Phone Cradle With Telescoping Window Mount</t>
  </si>
  <si>
    <t>PKG-WIN-102</t>
  </si>
  <si>
    <t>Phone Cradle With Standard Window Mount</t>
  </si>
  <si>
    <t>PKG-WIN-101</t>
  </si>
  <si>
    <t>Package – Wide VSX Console with Front Printer Mount for Tablet Docking Stations for 2025 Chevrolet Tahoe PPV &amp; SSV</t>
  </si>
  <si>
    <t>PKG-VSX-1800-TAH-PM-6</t>
  </si>
  <si>
    <t>Package – Wide VSX Console with Front Printer Mount for Laptop Docking Stations for 2025 Chevrolet Tahoe PPV &amp; SSV</t>
  </si>
  <si>
    <t>PKG-VSX-1800-TAH-PM-5</t>
  </si>
  <si>
    <t>Package – Wide VSX Console with Front Printer Mount, Cup Holder and Fuse Block for 2025 Chevrolet Tahoe PPV &amp; SSV</t>
  </si>
  <si>
    <t>PKG-VSX-1800-TAH-PM-4</t>
  </si>
  <si>
    <t>Package - Wide VSX Console With Front Printer Mount For Tablet Docking Stations For 2021-2024 Chevrolet Tahoe PPV &amp; SSV</t>
  </si>
  <si>
    <t>PKG-VSX-1800-TAH-PM-3</t>
  </si>
  <si>
    <t>Package - Wide VSX Console With Front Printer Mount For Laptop Docking Stations For 2021-2024 Chevrolet Tahoe PPV &amp; SSV</t>
  </si>
  <si>
    <t>PKG-VSX-1800-TAH-PM-1</t>
  </si>
  <si>
    <t>Package - Wide VSX Console With Front Printer Mount, Cup Holder &amp; Fuse Block For 2021-2024 Chevrolet Tahoe PPV &amp; SSV</t>
  </si>
  <si>
    <t>PKG-VSX-1800-TAH-PM</t>
  </si>
  <si>
    <t>Package - 2025 Ford Interceptor Utility VSX Console With Front PocketJet 8 Printer Mount For Tablet Docking Stations</t>
  </si>
  <si>
    <t>PKG-VSX-1800-INUT-PM-8</t>
  </si>
  <si>
    <t>Package - 2025 Ford Interceptor Utility VSX Console With Front PocketJet 6 &amp; 7 Printer Mount For Tablet Docking Stations</t>
  </si>
  <si>
    <t>PKG-VSX-1800-INUT-PM-7</t>
  </si>
  <si>
    <t>Package - 2020-2024 Ford Interceptor Utility VSX Console With Front PocketJet 8 Printer Mount For Tablet Docking Stations</t>
  </si>
  <si>
    <t>PKG-VSX-1800-INUT-PM-6</t>
  </si>
  <si>
    <t>Package - 2020-2025 Ford Interceptor Utility VSX Console With Front PocketJet 8 Printer Mount For Laptop Docking Stations</t>
  </si>
  <si>
    <t>PKG-VSX-1800-INUT-PM-5</t>
  </si>
  <si>
    <t>Package - 2020-2025 Ford Interceptor Utility VSX Console With Front PocketJet 8 Printer Mount, Cup Holder &amp; Fuse Block</t>
  </si>
  <si>
    <t>PKG-VSX-1800-INUT-PM-4</t>
  </si>
  <si>
    <t>Package - 2020-2024 Ford Interceptor Utility VSX Console With Front PocketJet 6 &amp; 7 Printer Mount For Tablet Docking Stations</t>
  </si>
  <si>
    <t>PKG-VSX-1800-INUT-PM-3</t>
  </si>
  <si>
    <t>Package - 2020-2025 Ford Interceptor Utility VSX Console With Front PocketJet 6 &amp; 7 Printer Mount For Laptop Docking Stations</t>
  </si>
  <si>
    <t>PKG-VSX-1800-INUT-PM-1</t>
  </si>
  <si>
    <t>Package - 2020-2025 Ford Interceptor Utility VSX Console With Front PocketJet 6 &amp; 7 Printer Mount, Cup Holder &amp; Fuse Block</t>
  </si>
  <si>
    <t>PKG-VSX-1800-INUT-PM</t>
  </si>
  <si>
    <t>Package - 2025 Ford Interceptor Utility VSX Console For Tablet Docking Stations</t>
  </si>
  <si>
    <t>PKG-VSX-1800-INUT-4</t>
  </si>
  <si>
    <t>Package - 2020-2024 Ford Interceptor Utility VSX Console For Tablet Docking Stations</t>
  </si>
  <si>
    <t>PKG-VSX-1800-INUT-3</t>
  </si>
  <si>
    <t>Package - 2020-2025 Ford Interceptor Utility VSX Console For Laptop Docking Stations</t>
  </si>
  <si>
    <t>PKG-VSX-1800-INUT-1</t>
  </si>
  <si>
    <t>Package - 2020-2025 Ford Interceptor Utility VSX Console With Front Bin, Cup Holder &amp; Fuse Block</t>
  </si>
  <si>
    <t>PKG-VSX-1800-INUT</t>
  </si>
  <si>
    <t>Standard Package - 2024-2025 Chevrolet Blazer EV PPV VSX Console with Front Printer Mount Or Integrated Storage Bin for Tablet Docking Stations</t>
  </si>
  <si>
    <t>PKG-VSX-1800-BLZR-PM-EV-3</t>
  </si>
  <si>
    <t>Premium Package - 2024-2025 Chevrolet Blazer EV PPV VSX Console with Front Printer Mount Or Integrated Storage Bin for Tablet Docking Stations</t>
  </si>
  <si>
    <t>PKG-VSX-1800-BLZR-PM-EV-2</t>
  </si>
  <si>
    <t>Package - 2024-2025 Chevrolet Blazer EV PPV VSX Console with Front Printer Mount Or Integrated Storage Bin for Laptop Docking Stations</t>
  </si>
  <si>
    <t>PKG-VSX-1800-BLZR-PM-EV-1</t>
  </si>
  <si>
    <t>Package - VSX Console with Front Printer Mount Or Integrated Storage Bin, Cup Holder and Fuse Block for 2024-2025 Chevrolet Blazer EV PPV</t>
  </si>
  <si>
    <t>PKG-VSX-1800-BLZR-PM-EV</t>
  </si>
  <si>
    <t>Vehicle-Specific 23" Double Width Console Package for 2004-2025 International</t>
  </si>
  <si>
    <t>PKG-VSD-2300-IN1</t>
  </si>
  <si>
    <t>Vehicle-Specific 23" Double Width Console Package for 2004-2025 Freightliner</t>
  </si>
  <si>
    <t>PKG-VSD-2300-FL1</t>
  </si>
  <si>
    <t>Package - Havis Rugged Cradle for Dell 7030 Rugged Extreme Tablet with Keyboard Support Bracket</t>
  </si>
  <si>
    <t>PKG-UT-2021</t>
  </si>
  <si>
    <t>Package - Havis Rugged Cradle for Dell 7230 Rugged Extreme Tablet with Keyboard Support Bracket</t>
  </si>
  <si>
    <t>PKG-UT-2019</t>
  </si>
  <si>
    <t xml:space="preserve">Forward &amp; Rearward Trunk Tray Box Combo For 2021-2024 Chevrolet Tahoe With Havis K9-XL or PT </t>
  </si>
  <si>
    <t>PKG-TTP-TAH-102</t>
  </si>
  <si>
    <t>Forward &amp; Rearward Trunk Tray Box Combo For 2021-2024 Chevrolet Tahoe</t>
  </si>
  <si>
    <t>PKG-TTP-TAH-101</t>
  </si>
  <si>
    <t>Premium Package – Raised Fold-Up Equipment Tray &amp; Cargo Plate with 200 lbs Lift Struts for 2020-2025 Ford Interceptor Utility</t>
  </si>
  <si>
    <t>PKG-TTP-INUT-1201-4</t>
  </si>
  <si>
    <t>TS Series Total System TruSine™ Wave Power Inverter, 12VDC Input &amp; 700W AC Output with Wire Harness Medium</t>
  </si>
  <si>
    <t>PKG-TS12-700-HM</t>
  </si>
  <si>
    <t>TS Series Total System TruSine™ Wave Power Inverter, 12VDC Input &amp; 700W AC Output with Wire Harness Large</t>
  </si>
  <si>
    <t>PKG-TS12-700-HL</t>
  </si>
  <si>
    <t>TS Series Total System TruSine™ Wave Power Inverter, 12VDC Input &amp; 400W AC Output with Wire Harness Medium</t>
  </si>
  <si>
    <t>PKG-TS12-400-HM</t>
  </si>
  <si>
    <t>TS Series Total System TruSine™ Wave Power Inverter, 12VDC Input &amp; 400W AC Output with Wire Harness Large</t>
  </si>
  <si>
    <t>PKG-TS12-400-HL</t>
  </si>
  <si>
    <t xml:space="preserve">TS Series Total System TruSine™ Wave Power Inverter, 12VDC Input &amp; 1500W AC Output with Wire Harness Medium </t>
  </si>
  <si>
    <t>PKG-TS12-1500-HM</t>
  </si>
  <si>
    <t xml:space="preserve">TS Series Total System TruSine™ Wave Power Inverter, 12VDC Input &amp; 1500W AC Output with Wire Harness Large </t>
  </si>
  <si>
    <t>PKG-TS12-1500-HL</t>
  </si>
  <si>
    <t>TS Series Total System TruSine™ Wave Power Inverter, 12VDC Input &amp; 1000W AC Output with Wire Harness Medium</t>
  </si>
  <si>
    <t>PKG-TS12-1000-HM</t>
  </si>
  <si>
    <t xml:space="preserve">TS Series Total System TruSine™ Wave Power Inverter, 12VDC Input &amp; 1000W AC Output with Wire Harness Large </t>
  </si>
  <si>
    <t>PKG-TS12-1000-HL</t>
  </si>
  <si>
    <t>Package – DS-TAB-401 Docking Station, TC-408 Tablet Case, and LPS-184 DC Power Supply for Samsung Galaxy Tab S9+ &amp; S10+</t>
  </si>
  <si>
    <t>PKG-TAB4-SAM2</t>
  </si>
  <si>
    <t>Package – DS-TAB-401 Docking Station, TC-407 Tablet Case, and LPS-184 DC Power Supply for Samsung Active4 &amp; Active5 Pro</t>
  </si>
  <si>
    <t>PKG-TAB4-SAM1</t>
  </si>
  <si>
    <t xml:space="preserve">Package – DS-TAB-401 Docking Station, TC-411 Tablet Case with touch ID Accommodation, and LPS-184 DC Power Supply for Apple iPad Air 11” (4th-5th Gen, M2, M3) </t>
  </si>
  <si>
    <t>PKG-TAB4-APP8</t>
  </si>
  <si>
    <t>DISCONTINUED - Package - DS-TAB-401 Docking Station, TC-405 Tablet Case, and LPS-184 DC Power Supply for Apple iPad Air 11” (4th-5th Gen, M2,M3)</t>
  </si>
  <si>
    <t>PKG-TAB4-APP6</t>
  </si>
  <si>
    <t xml:space="preserve">Package – DS-TAB-401 Docking Station, TC-412 Tablet Case with Touch ID Accommodation, and LPS-184 DC Power Supply for Apple iPad (10th Gen) &amp; iPad, A16 </t>
  </si>
  <si>
    <t>PKG-TAB4-APP9</t>
  </si>
  <si>
    <t>DISCONTINUED - Package - DS-TAB-401 Docking Station, TC-406 Tablet Case, and LPS-184 DC Power Supply for Apple iPad (10th Gen) &amp; iPad A16</t>
  </si>
  <si>
    <t>PKG-TAB4-APP5</t>
  </si>
  <si>
    <t>Package - DS-TAB-401 Docking Station, TC-409 Tablet Case, and LPS-184 DC Power Supply for Apple iPad Pro 11" (2nd - 4th Gen)</t>
  </si>
  <si>
    <t>PKG-TAB4-APP4</t>
  </si>
  <si>
    <t xml:space="preserve">Package – DS-TAB-401 Docking Station, TC-410 Tablet Case with Touch ID Accommodation, and LPS-184 DC Power Supply for Apple iPad Pro 12.9″ (3rd – 6th Gen) and iPad Air 13″ (M2, M3) </t>
  </si>
  <si>
    <t>PKG-TAB4-APP7</t>
  </si>
  <si>
    <t>DISCONTINUED - Package - DS-TAB-401 Docking Station, TC-404 Tablet Case, and LPS-184 DC Power Supply for Apple iPad Pro 12.9" (3rd - 6th Gen) and iPad Air 13" (M2, M3)</t>
  </si>
  <si>
    <t>PKG-TAB4-APP3</t>
  </si>
  <si>
    <t>Package - DS-TAB-401 Docking Station, TC-403 Tablet Case, and LPS-184 DC Power Supply for Apple iPad Pro 11" (M4)</t>
  </si>
  <si>
    <t>PKG-TAB4-APP2</t>
  </si>
  <si>
    <t>Package - DS-TAB-401 Docking Station, TC-402 Tablet Case, and LPS-183 DC Power Supply for Apple iPad Pro 13" (M4)</t>
  </si>
  <si>
    <t>PKG-TAB4-APP1</t>
  </si>
  <si>
    <t>Premium 2-Drawer - Wide Top, Standard Bottom Package with Push-Button Combination Lock for 2020-2025 Ford Interceptor Utility</t>
  </si>
  <si>
    <t>PKG-SBX-INUT-107</t>
  </si>
  <si>
    <t>Premium 2-Drawer - Wide Top, Standard Bottom Package for 2020-2025 Ford Interceptor Utility</t>
  </si>
  <si>
    <t>PKG-SBX-INUT-106</t>
  </si>
  <si>
    <t>Premium Single Medium Drawer Package With Trunk Trays for 2020-2025 Ford Interceptor Utility</t>
  </si>
  <si>
    <t>PKG-SBX-INUT-105</t>
  </si>
  <si>
    <t>Basic Single Medium Drawer Package for 2020-2025 Ford Interceptor Utility with Havis K9-XL or K9-PT</t>
  </si>
  <si>
    <t>PKG-SBX-INUT-103</t>
  </si>
  <si>
    <t>Basic Single Medium Drawer Package for 2020-2025 Ford Interceptor Utility</t>
  </si>
  <si>
    <t>PKG-SBX-INUT-102</t>
  </si>
  <si>
    <t>Classic Electronics Mounting Package for 2020-2025 Ford Interceptor Utility</t>
  </si>
  <si>
    <t>PKG-SBX-INUT-101</t>
  </si>
  <si>
    <t>Trunk Mount Storage Package for 2024-2025 Chevrolet Blazer EV-PPV</t>
  </si>
  <si>
    <t>PKG-SBX-BLZR-101</t>
  </si>
  <si>
    <t xml:space="preserve">Premium Tablet Pedestal Mount Package For 2014-2023 Transit Connect </t>
  </si>
  <si>
    <t>PKG-PSM-389-T</t>
  </si>
  <si>
    <t xml:space="preserve">Premium Pedestal Mount Package For 2014-2023 Ford Transit Connect </t>
  </si>
  <si>
    <t>PKG-PSM-389</t>
  </si>
  <si>
    <t xml:space="preserve">Premium Pedestal Mount Package For 2015-2020 Chevrolet Colorado </t>
  </si>
  <si>
    <t>PKG-PSM-388</t>
  </si>
  <si>
    <t xml:space="preserve">Premium Pedestal Mount Package For 2012-2025 Freightliner M2 </t>
  </si>
  <si>
    <t>PKG-PSM-386</t>
  </si>
  <si>
    <t xml:space="preserve">Premium Tablet Pedestal Mount Package For 2017-2025 Ford F-Series, 2021-2024 Ford Expedition &amp; 2015-2025 Ford F-150 </t>
  </si>
  <si>
    <t>PKG-PSM-385-T</t>
  </si>
  <si>
    <t xml:space="preserve">Premium Pedestal Mount Package For 2017-2025 Ford F-Series, 2021-2024 Ford Expedition &amp; 2015-2025 Ford F-150 </t>
  </si>
  <si>
    <t>PKG-PSM-385</t>
  </si>
  <si>
    <t xml:space="preserve">Premium Tablet Pedestal Mount Package For 2011-2025 International 4300/7300 Bucket Seat </t>
  </si>
  <si>
    <t>PKG-PSM-384</t>
  </si>
  <si>
    <t xml:space="preserve">Premium Tablet Pedestal Mount Package For 2015-2025 Ford Transit </t>
  </si>
  <si>
    <t>PKG-PSM-383-T</t>
  </si>
  <si>
    <t xml:space="preserve">Premium Pedestal Mount Package For 2015-2025 Ford Transit </t>
  </si>
  <si>
    <t>PKG-PSM-383</t>
  </si>
  <si>
    <t xml:space="preserve">Premium Pedestal Mount Package For 2015-2020 Chevrolet Tahoe, Suburban &amp; 2015-2019 Silverado  </t>
  </si>
  <si>
    <t>PKG-PSM-376</t>
  </si>
  <si>
    <t xml:space="preserve">Premium Tablet Pedestal Mount Package For 2011-2023 Dodge Charger </t>
  </si>
  <si>
    <t>PKG-PSM-368-T</t>
  </si>
  <si>
    <t xml:space="preserve">Premium Pedestal Mount Package For 2011-2023 Dodge Charger, 2014-2023 Awd Charger &amp; Chrysler 300 </t>
  </si>
  <si>
    <t>PKG-PSM-368</t>
  </si>
  <si>
    <t xml:space="preserve">Premium Pedestal Mount Package For 2013-2019 Ford Interceptor Utility &amp; 2011-2015 Ford Explorer (Retail) </t>
  </si>
  <si>
    <t>PKG-PSM-353</t>
  </si>
  <si>
    <t xml:space="preserve">Premium Tablet Pedestal Mount Package For 2013-2024 Dodge Ram Chassis Cab Pickup </t>
  </si>
  <si>
    <t>PKG-PSM-352-T</t>
  </si>
  <si>
    <t xml:space="preserve">Premium Pedestal Mount Package For 2013-2024 Dodge Ram Chassis Cab Pickup 1500 - 5500 </t>
  </si>
  <si>
    <t>PKG-PSM-352</t>
  </si>
  <si>
    <t>Premium Pedestal Mount Package For 2011-2025 Dodge Durango &amp; 2011-2022 Jeep Grand Cherokee Model Code WK</t>
  </si>
  <si>
    <t>PKG-PSM-345</t>
  </si>
  <si>
    <t>Premium Tablet Pedestal Mount Package For 2011-2016 Ford F-Super Duty Series &amp; 2011-2025 Ford F-650, F-750 Chassis Cab</t>
  </si>
  <si>
    <t>PKG-PSM-342-T</t>
  </si>
  <si>
    <t>Premium Pedestal Mount Package For 2011-2016 Ford F-Super Duty Series &amp; 2011-2025 Ford F-650, F-750 Chassis Cab</t>
  </si>
  <si>
    <t>PKG-PSM-342</t>
  </si>
  <si>
    <t xml:space="preserve">Premium Pedestal  Mount Package For 1997-2025 Ford E-Series Van </t>
  </si>
  <si>
    <t>PKG-PSM-340-T</t>
  </si>
  <si>
    <t xml:space="preserve">Premium Pedestal Mount Package For 1997-2025 Ford E-Series Van </t>
  </si>
  <si>
    <t>PKG-PSM-340</t>
  </si>
  <si>
    <t xml:space="preserve">Premium Tablet Pedestal Mount Package For 1997-2025 Chevrolet G-Series </t>
  </si>
  <si>
    <t>PKG-PSM-339-T</t>
  </si>
  <si>
    <t xml:space="preserve">Premium Pedestal Mount Package For 1997-2024 Chevrolet G-Series </t>
  </si>
  <si>
    <t>PKG-PSM-339</t>
  </si>
  <si>
    <t xml:space="preserve">Premium Tablet Pedestal Mount Package For 1997-2025 Ford E-Series Van </t>
  </si>
  <si>
    <t>PKG-PSM-306-T</t>
  </si>
  <si>
    <t>PKG-PSM-306</t>
  </si>
  <si>
    <t>Premium Tablet Pedestal Mount Package For 2021-2024 Ford Mustang GT</t>
  </si>
  <si>
    <t>PKG-PSM-3031-T</t>
  </si>
  <si>
    <t>Premium Pedestal Mount Package For 2021-2024 Ford Mustang GT</t>
  </si>
  <si>
    <t>PKG-PSM-3031</t>
  </si>
  <si>
    <t>Premium Tablet Pedestal Mount Package For 2023-2025 Chevrolet Colorado</t>
  </si>
  <si>
    <t>PKG-PSM-3027-T</t>
  </si>
  <si>
    <t>Premium Pedestal Mount Package For 2023-2025 Chevrolet Colorado</t>
  </si>
  <si>
    <t>PKG-PSM-3027</t>
  </si>
  <si>
    <t>Premium Tablet Pedestal Mount Package For 2024-2025 Chevrolet Blazer EV</t>
  </si>
  <si>
    <t>PKG-PSM-3026-T</t>
  </si>
  <si>
    <t>Premium Pedestal Mount Package For 2024-2025 Chevrolet Blazer EV</t>
  </si>
  <si>
    <t>PKG-PSM-3026</t>
  </si>
  <si>
    <t>Premium Tablet Pedestal Mount Package For 2024-2025 Chevrolet Silverado EV</t>
  </si>
  <si>
    <t>PKG-PSM-3025-T</t>
  </si>
  <si>
    <t>Premium Pedestal Mount Package For 2024-2025 Chevrolet Silverado EV</t>
  </si>
  <si>
    <t>PKG-PSM-3025</t>
  </si>
  <si>
    <t xml:space="preserve">Premium Tablet Pedestal Mount Package For 2016-2023 Toyota Tacoma </t>
  </si>
  <si>
    <t>PKG-PSM-3021-T</t>
  </si>
  <si>
    <t>Premium Pedestal Mount Package For 2016-2023 Toyota Tacoma</t>
  </si>
  <si>
    <t>PKG-PSM-3021</t>
  </si>
  <si>
    <t xml:space="preserve">Premium Pedestal Mount Package For 2022-2024 Chevrolet Bolt EV, 2022-2024 Chevrolet Bolt EUV </t>
  </si>
  <si>
    <t>PKG-PSM-3020</t>
  </si>
  <si>
    <t xml:space="preserve">Premium Tablet Pedestal Mount Package For 2021-2024 Ford Mustang Mach-E </t>
  </si>
  <si>
    <t>PKG-PSM-3018-T</t>
  </si>
  <si>
    <t xml:space="preserve">Premium Pedestal Mount Package For 2021-2024 Ford Mustang Mach-E </t>
  </si>
  <si>
    <t>PKG-PSM-3018</t>
  </si>
  <si>
    <t>Premium Tablet Pedestal Mount Package For 2020-2025 Ford Escape, 2021-2024 Ford Bronco, &amp; 2022-2025 Ford Maverick</t>
  </si>
  <si>
    <t>PKG-PSM-3013-T</t>
  </si>
  <si>
    <t>Premium Pedestal Mount Package For 2020-2025 Ford Escape, 2021-2024 Ford Bronco, &amp; 2022-2025 Ford Maverick</t>
  </si>
  <si>
    <t>PKG-PSM-3013</t>
  </si>
  <si>
    <t xml:space="preserve">Premium Tablet Pedestal Mount Package For 2019-2025 Dodge Ram Pickup DT Body Style </t>
  </si>
  <si>
    <t>PKG-PSM-3009-T</t>
  </si>
  <si>
    <t>Premium Pedestal Mount Package For 2019-2025 Dodge Ram Pickup DT Body Style</t>
  </si>
  <si>
    <t>PKG-PSM-3009</t>
  </si>
  <si>
    <t xml:space="preserve">Premium Tablet Pedestal Mount Package For 2020-2025 Ford Interceptor Utility  </t>
  </si>
  <si>
    <t>PKG-PSM-3006-T</t>
  </si>
  <si>
    <t xml:space="preserve">Premium Pedestal Mount Package For 2020-2025 Ford Interceptor Utility </t>
  </si>
  <si>
    <t>PKG-PSM-3006</t>
  </si>
  <si>
    <t xml:space="preserve">Premium Tablet Pedestal Mount Package For 2019-2023 Ford Ranger </t>
  </si>
  <si>
    <t>PKG-PSM-3005-T</t>
  </si>
  <si>
    <t xml:space="preserve">Premium Pedestal Mount Package For 2019-2023 Ford Ranger </t>
  </si>
  <si>
    <t>PKG-PSM-3005</t>
  </si>
  <si>
    <t>Premium Tablet Pedestal Mount Package For 2018-2024 Chevrolet Equinox &amp; GMC Terrain</t>
  </si>
  <si>
    <t>PKG-PSM-3004-T</t>
  </si>
  <si>
    <t>Premium Pedestal Mount Package For 2018-2024 Chevrolet Equinox &amp; GMC Terrain</t>
  </si>
  <si>
    <t>PKG-PSM-3004</t>
  </si>
  <si>
    <t xml:space="preserve">Premium Tablet Pedestal Mount Package For 2019-2025 Chevrolet Silverado </t>
  </si>
  <si>
    <t>PKG-PSM-3003-T</t>
  </si>
  <si>
    <t xml:space="preserve">Premium Pedestal Mount Package For 2019-2025 Chevrolet Silverado </t>
  </si>
  <si>
    <t>PKG-PSM-3003</t>
  </si>
  <si>
    <t xml:space="preserve">Premium Tablet Pedestal Mount Package For 2018-2023 Chevrolet Traverse </t>
  </si>
  <si>
    <t>PKG-PSM-3002-T</t>
  </si>
  <si>
    <t xml:space="preserve">Premium Pedestal Mount Package For 2018-2023 Chevrolet Traverse </t>
  </si>
  <si>
    <t>PKG-PSM-3002</t>
  </si>
  <si>
    <t xml:space="preserve">Standard Tablet Pedestal Mount Package For 2014-2023 Transit Connect </t>
  </si>
  <si>
    <t>PKG-PSM-189-T</t>
  </si>
  <si>
    <t xml:space="preserve">Standard Pedestal Mount Package For 2014-2023 Transit Connect </t>
  </si>
  <si>
    <t>PKG-PSM-189</t>
  </si>
  <si>
    <t xml:space="preserve">Standard Pedestal Mount Package For 2015-2020 Chevrolet Colorado </t>
  </si>
  <si>
    <t>PKG-PSM-188</t>
  </si>
  <si>
    <t xml:space="preserve">Standard Pedestal Mount Package For 2012-2025 Freightliner M2 </t>
  </si>
  <si>
    <t>PKG-PSM-186</t>
  </si>
  <si>
    <t xml:space="preserve">Standard Tablet Pedestal Mount Package For 2017-2025 Ford F-Series, 2021-2024 Ford Expedition &amp; 2015-2025 Ford F-150 </t>
  </si>
  <si>
    <t>PKG-PSM-185-T</t>
  </si>
  <si>
    <t xml:space="preserve">Standard Pedestal Mount Package For 2017-2025 Ford F-Series, 2021-2024 Ford Expedition &amp; 2015-2025 Ford F-150 </t>
  </si>
  <si>
    <t>PKG-PSM-185</t>
  </si>
  <si>
    <t xml:space="preserve">Standard Passenger Side Mount Package for 2011-2025 International 4300/7300 Bucket Seat </t>
  </si>
  <si>
    <t>PKG-PSM-184</t>
  </si>
  <si>
    <t xml:space="preserve">Standard Tablet Pedestal Mount Package For 2015-2025 Ford Transit </t>
  </si>
  <si>
    <t>PKG-PSM-183-T</t>
  </si>
  <si>
    <t xml:space="preserve">Standard Pedestal Mount Package For 2015-2025 Ford Transit </t>
  </si>
  <si>
    <t>PKG-PSM-183</t>
  </si>
  <si>
    <t>Standard Pedestal Mount Package 2015-2020 Chevrolet Tahoe, Suburban &amp; 2015-2019 Silverado</t>
  </si>
  <si>
    <t>PKG-PSM-176</t>
  </si>
  <si>
    <t xml:space="preserve">Standard Tablet Pedestal Mount Package For 2011-2023 Dodge Charger </t>
  </si>
  <si>
    <t>PKG-PSM-168-T</t>
  </si>
  <si>
    <t xml:space="preserve">Standard Pedestal Mount Package For 2011-2023 Dodge Charger </t>
  </si>
  <si>
    <t>PKG-PSM-168</t>
  </si>
  <si>
    <t xml:space="preserve">Standard Pedestal Mount Package For 2013-2019 Ford Interceptor Utility &amp; 2011-2019 Ford Explorer </t>
  </si>
  <si>
    <t>PKG-PSM-153</t>
  </si>
  <si>
    <t xml:space="preserve">Standard Tablet Pedestal Mount Package For 2013-2024 Dodge Ram Chassis Cab Pickup </t>
  </si>
  <si>
    <t>PKG-PSM-152-T</t>
  </si>
  <si>
    <t xml:space="preserve">Standard Pedestal Mount Package For 2013-2024 Dodge Ram Chassis Cab Pickup </t>
  </si>
  <si>
    <t>PKG-PSM-152</t>
  </si>
  <si>
    <t>Standard Pedestal Mount Package For 2011-2025 Dodge Durango &amp; 2011-2022 Jeep Grand Cherokee Model Code WK</t>
  </si>
  <si>
    <t>PKG-PSM-145</t>
  </si>
  <si>
    <t>Standard Tablet Pedestal Mount Package For 2011-2016 Ford F-Super Duty Series &amp; 2011-2025 Ford F-650, F-750 Chassis Cab</t>
  </si>
  <si>
    <t>PKG-PSM-142-T</t>
  </si>
  <si>
    <t>Standard Pedestal Mount Package For 2011-2016 Ford F-Super Duty Series &amp; 2011-2025 Ford F-650, F-750 Chassis Cab</t>
  </si>
  <si>
    <t>PKG-PSM-142</t>
  </si>
  <si>
    <t xml:space="preserve">Standard Pedestal  Mount Package For 1997-2025 Ford E-Series Van </t>
  </si>
  <si>
    <t>PKG-PSM-140-T</t>
  </si>
  <si>
    <t>PKG-PSM-140</t>
  </si>
  <si>
    <t xml:space="preserve">Standard Tablet Pedestal Mount Package For 1997-2025 Chevrolet G-Series </t>
  </si>
  <si>
    <t>PKG-PSM-139-T</t>
  </si>
  <si>
    <t xml:space="preserve">Standard Pedestal Mount Package For 1997-2025 Chevrolet G-Series </t>
  </si>
  <si>
    <t>PKG-PSM-139</t>
  </si>
  <si>
    <t xml:space="preserve">Standard Tablet Pedestal Mount Package For 1997-2025 Ford E-Series Van </t>
  </si>
  <si>
    <t>PKG-PSM-106-T</t>
  </si>
  <si>
    <t xml:space="preserve">Standard Pedestal Mount Package For 1997-2025 Ford E-Series Van </t>
  </si>
  <si>
    <t>PKG-PSM-106</t>
  </si>
  <si>
    <t>Standard Tablet Pedestal Mount Package For 2021-2024 Ford Mustang GT</t>
  </si>
  <si>
    <t>PKG-PSM-1031-T</t>
  </si>
  <si>
    <t>Standard Pedestal Mount Package For 2021-2024 Ford Mustang GT</t>
  </si>
  <si>
    <t>PKG-PSM-1031</t>
  </si>
  <si>
    <t>Standard Tablet Pedestal Mount Package For 2023-2025 Chevrolet Colorado</t>
  </si>
  <si>
    <t>PKG-PSM-1027-T</t>
  </si>
  <si>
    <t>Standard Pedestal Mount Package For 2023-2025 Chevrolet Colorado</t>
  </si>
  <si>
    <t>PKG-PSM-1027</t>
  </si>
  <si>
    <t>Standard Tablet Pedestal Mount Package For 2024-2025 Chevrolet Blazer EV</t>
  </si>
  <si>
    <t>PKG-PSM-1026-T</t>
  </si>
  <si>
    <t>Standard Pedestal Mount Package For 2024-2025 Chevrolet Blazer EV</t>
  </si>
  <si>
    <t>PKG-PSM-1026</t>
  </si>
  <si>
    <t>Standard Tablet Pedestal Mount Package for 2024-2025 Chevrolet Silverado EV</t>
  </si>
  <si>
    <t>PKG-PSM-1025-T</t>
  </si>
  <si>
    <t>Standard Pedestal Mount Package for 2024-2025 Chevrolet Silverado EV</t>
  </si>
  <si>
    <t>PKG-PSM-1025</t>
  </si>
  <si>
    <t xml:space="preserve">Standard Tablet Pedestal Mount Package For 2016-2023 Toyota Tacoma </t>
  </si>
  <si>
    <t>PKG-PSM-1021-T</t>
  </si>
  <si>
    <t xml:space="preserve">Standard Pedestal Mount Package For 2016-2023 Toyota Tacoma </t>
  </si>
  <si>
    <t>PKG-PSM-1021</t>
  </si>
  <si>
    <t>Standard Pedestal Mount Package For 2022-2024 Chevrolet Bolt EV, 2022-2024 Chevrolet Bolt EUV</t>
  </si>
  <si>
    <t>PKG-PSM-1020</t>
  </si>
  <si>
    <t xml:space="preserve">Standard Tablet Pedestal Mount Package For 2021-2024 Ford Mustang Mach-E </t>
  </si>
  <si>
    <t>PKG-PSM-1018-T</t>
  </si>
  <si>
    <t xml:space="preserve">Standard Pedestal Mount Package For 2021-2024 Ford Mustang Mach-E </t>
  </si>
  <si>
    <t>PKG-PSM-1018</t>
  </si>
  <si>
    <t>Standard Tablet Pedestal Mount Package For 2020-2025 Ford Escape, 2021-2024 Ford Bronco, &amp; 2022-2025 Ford Maverick</t>
  </si>
  <si>
    <t>PKG-PSM-1013-T</t>
  </si>
  <si>
    <t>Standard Pedestal Mount Package For 2020-2025 Ford Escape, 2021-2024 Ford Bronco, &amp; 2022-2025 Ford Maverick</t>
  </si>
  <si>
    <t>PKG-PSM-1013</t>
  </si>
  <si>
    <t xml:space="preserve">Standard Tablet Pedestal Mount Package For 2019-2025 Dodge Ram Pickup DT Body Style </t>
  </si>
  <si>
    <t>PKG-PSM-1009-T</t>
  </si>
  <si>
    <t xml:space="preserve">Standard Pedestal Mount Package For 2019-2025 Dodge Ram Pickup DT Body Style </t>
  </si>
  <si>
    <t>PKG-PSM-1009</t>
  </si>
  <si>
    <t xml:space="preserve">Standard Tablet Pedestal Mount Package For 2020-2025 Ford Interceptor Utility  </t>
  </si>
  <si>
    <t>PKG-PSM-1006-T</t>
  </si>
  <si>
    <t xml:space="preserve">Standard Pedestal Mount Package For 2020-2025 Ford Interceptor Utility  </t>
  </si>
  <si>
    <t>PKG-PSM-1006</t>
  </si>
  <si>
    <t xml:space="preserve">Standard Tablet Pedestal Mount Package For 2019-2023 Ford Ranger </t>
  </si>
  <si>
    <t>PKG-PSM-1005-T</t>
  </si>
  <si>
    <t xml:space="preserve">Standard Pedestal Mount Package For 2019-2023 Ford Ranger </t>
  </si>
  <si>
    <t>PKG-PSM-1005</t>
  </si>
  <si>
    <t>Standard Tablet Pedestal Mount Package For 2018-2024 Chevrolet Equinox &amp; GMC Terrain</t>
  </si>
  <si>
    <t>PKG-PSM-1004-T</t>
  </si>
  <si>
    <t>Standard Pedestal Mount Package For 2018-2024 Chevrolet Equinox &amp; GMC Terrain</t>
  </si>
  <si>
    <t>PKG-PSM-1004</t>
  </si>
  <si>
    <t xml:space="preserve">Standard Tablet Pedestal Mount Package For 2019-2025 Chevrolet Silverado </t>
  </si>
  <si>
    <t>PKG-PSM-1003-T</t>
  </si>
  <si>
    <t xml:space="preserve">Standard Pedestal Mount Package For 2019-2025 Chevrolet Silverado </t>
  </si>
  <si>
    <t>PKG-PSM-1003</t>
  </si>
  <si>
    <t xml:space="preserve">Standard Tablet Pedestal Mount Package For 2018-2023 Chevrolet Traverse </t>
  </si>
  <si>
    <t>PKG-PSM-1002-T</t>
  </si>
  <si>
    <t xml:space="preserve">Standard Pedestal Mount Package For 2018-2023 Chevrolet Traverse </t>
  </si>
  <si>
    <t>PKG-PSM-1002</t>
  </si>
  <si>
    <t>Heavy-Duty Pole Mount Package</t>
  </si>
  <si>
    <t>PKG-PMB-409</t>
  </si>
  <si>
    <t>Pole Mount Package</t>
  </si>
  <si>
    <t>PKG-PMB-408</t>
  </si>
  <si>
    <t xml:space="preserve">Pole Mount for Universal Pistol Grip Barcode Scanner Bucket </t>
  </si>
  <si>
    <t>PKG-PMB-3009-2</t>
  </si>
  <si>
    <t xml:space="preserve">Pole Mount for Universal Barcode Scanner Bucket </t>
  </si>
  <si>
    <t>PKG-PMB-3008-2</t>
  </si>
  <si>
    <t>Pole Mount For Zebra ZQ520 &amp; ZQ521 Printer</t>
  </si>
  <si>
    <t>PKG-PMB-3006</t>
  </si>
  <si>
    <t>Pole Mount For Brother RuggedJet 4200 Series Printer</t>
  </si>
  <si>
    <t>PKG-PMB-3004</t>
  </si>
  <si>
    <t>OBSOLETE - Package - Havis Phone Dock With Adapter &amp; Juggernaut.Case™ Impct Smartphone Case - Samsung Galaxy S21</t>
  </si>
  <si>
    <t>PKG-PD-101-AGS21-CGS21</t>
  </si>
  <si>
    <t>OBSOLETE - Package - Havis Phone Dock With Adapter - Samsung Galaxy S21</t>
  </si>
  <si>
    <t>PKG-PD-101-AGS21</t>
  </si>
  <si>
    <t>Package – PD-1001 Havis Rugged Phone Dock &amp; PD-A-1000-CGX6PX7P Phone Case for Samsung Galaxy XCover6 &amp; 7 Pro</t>
  </si>
  <si>
    <t>PKG-PD-1001-CGX6PX7P</t>
  </si>
  <si>
    <t>Package – PD-1001 Havis Rugged Phone Dock &amp; PD-A-1000-CGS24S25 Phone Case for Samsung Galaxy S24 &amp; S25</t>
  </si>
  <si>
    <t>PKG-PD-1001-CGS24S25</t>
  </si>
  <si>
    <t>CALL FOR QUOTE</t>
  </si>
  <si>
    <t>Package – PD-1001 Havis Rugged Phone Dock &amp; PD-A-1000-CS24FE Phone Case for Samsung Galaxy S24FE</t>
  </si>
  <si>
    <t>PKG-PD-1001-CGS24FE</t>
  </si>
  <si>
    <t>DISCONTINUED - Universal Pistol Grip Barcode Scanner Bucket &amp; MD-408 Mount</t>
  </si>
  <si>
    <t>PKG-MH-3009-2</t>
  </si>
  <si>
    <t>Tablet Sidecar Mount For Barcode Scanner Bucket</t>
  </si>
  <si>
    <t>PKG-MH-3008-3</t>
  </si>
  <si>
    <t>DISCONTINUED - Universal Barcode Scanner Bucket &amp; MD-408 Mount</t>
  </si>
  <si>
    <t>PKG-MH-3008-2</t>
  </si>
  <si>
    <t>Universal Barcode Scanner Bucket &amp; Mount</t>
  </si>
  <si>
    <t>PKG-MH-3008</t>
  </si>
  <si>
    <t>DISCONTINUED - Forklift Printer Pillar Mount For Zebra ZQ520 &amp; ZQ521 Printer &amp; MD-408 Mount</t>
  </si>
  <si>
    <t>PKG-MH-3006</t>
  </si>
  <si>
    <t>DISCONTINUED - Forklift Printer Pillar Mount For Brother RuggedJet 4200 Series Printer &amp; MD-408 Mount</t>
  </si>
  <si>
    <t>PKG-MH-3004</t>
  </si>
  <si>
    <t>Package - Swivel Arm &amp; Side Pole Mounts  With 6" Base, 6" Extension</t>
  </si>
  <si>
    <t>PKG-MD-ARM-0606</t>
  </si>
  <si>
    <t>Package - Swivel Arm &amp; Side Pole Mounts  With 6" Base, 3" Extension</t>
  </si>
  <si>
    <t>PKG-MD-ARM-0603</t>
  </si>
  <si>
    <t>Package - Swivel Arm &amp; Side Pole Mounts  With 6" Base</t>
  </si>
  <si>
    <t>PKG-MD-ARM-0600</t>
  </si>
  <si>
    <t>Package - Swivel Arm &amp; Side Pole Mounts  With 3" Base, 6" Extension</t>
  </si>
  <si>
    <t>PKG-MD-ARM-0306</t>
  </si>
  <si>
    <t>DISCONTINUED - Heavy-Duty Pillar Mount Package</t>
  </si>
  <si>
    <t>PKG-MD-409</t>
  </si>
  <si>
    <t>DISCONTINUED - Pillar Mount Package</t>
  </si>
  <si>
    <t>PKG-MD-408</t>
  </si>
  <si>
    <t>Heavy-Duty Magnetic Mount With Barcode Scanner Cradle</t>
  </si>
  <si>
    <t>PKG-MAG-3008</t>
  </si>
  <si>
    <t>Phone Cradle &amp; Magnet Mount</t>
  </si>
  <si>
    <t>PKG-MAG-101</t>
  </si>
  <si>
    <t>DISCONTINUED - Premium Package - USB Keyboard With Mount (Emergency Key)</t>
  </si>
  <si>
    <t>PKG-KBM-108-1</t>
  </si>
  <si>
    <t>DISCONTINUED - Premium Package - USB Keyboard With Mount (No Emergency Key)</t>
  </si>
  <si>
    <t>PKG-KBM-106-1</t>
  </si>
  <si>
    <t xml:space="preserve">DISCONTINUED - Premium Package - Chiclet Style Keyboard With Mount </t>
  </si>
  <si>
    <t>PKG-KBM-105-1</t>
  </si>
  <si>
    <t>Premium Package - Dual Authentication Keyboard With Mount</t>
  </si>
  <si>
    <t>PKG-KBM-104-1</t>
  </si>
  <si>
    <t>Premium Package - Bluetooth Keyboard With Mount</t>
  </si>
  <si>
    <t>PKG-KBM-103-1</t>
  </si>
  <si>
    <t>Premium Package – Havis Rugged Apple Keyboard With Mount</t>
  </si>
  <si>
    <t>PKG-KBM-1004</t>
  </si>
  <si>
    <t>Premium Package – Rugged Chiclet Style Keyboard With Mount (Includes Emergency Key)</t>
  </si>
  <si>
    <t>PKG-KBM-1003</t>
  </si>
  <si>
    <t>Premium Package – Rugged Keyboard With Mount (No Emergency Key)</t>
  </si>
  <si>
    <t>PKG-KBM-1002</t>
  </si>
  <si>
    <t>Premium Package – Rugged Keyboard With Mount (Includes Emergency Key)</t>
  </si>
  <si>
    <t>PKG-KBM-1001</t>
  </si>
  <si>
    <t>DISCONTINUED - Package - USB Keyboard With Mount (Emergency Key)</t>
  </si>
  <si>
    <t>PKG-KB-208</t>
  </si>
  <si>
    <t>DISCONTINUED - Package - USB Keyboard With Mount (No Emergency Key)</t>
  </si>
  <si>
    <t>PKG-KB-206</t>
  </si>
  <si>
    <t>DISCONTINUED- Package - Chiclet Keyboard With Mount</t>
  </si>
  <si>
    <t>PKG-KB-205</t>
  </si>
  <si>
    <t>Package - Dual Authentication Keyboard With Mount</t>
  </si>
  <si>
    <t>PKG-KB-204</t>
  </si>
  <si>
    <t>Package - Bluetooth Keyboard With Mount</t>
  </si>
  <si>
    <t>PKG-KB-203</t>
  </si>
  <si>
    <t>Package – Havis Rugged Apple Keyboard With Mount</t>
  </si>
  <si>
    <t>PKG-KB-2004</t>
  </si>
  <si>
    <t>Package – Rugged Chiclet Style Keyboard With Mount (Includes Emergency Key)</t>
  </si>
  <si>
    <t>PKG-KB-2003</t>
  </si>
  <si>
    <t>Package – Rugged Keyboard With Mount (No Emergency Key)</t>
  </si>
  <si>
    <t>PKG-KB-2002</t>
  </si>
  <si>
    <t>Package – Rugged Keyboard With Mount (Includes Emergency Key)</t>
  </si>
  <si>
    <t>PKG-KB-2001</t>
  </si>
  <si>
    <t>Flex Arm Package Including Flex Arm &amp; Mount Universal Mount</t>
  </si>
  <si>
    <t>PKG-FAM-118</t>
  </si>
  <si>
    <t>Universal Flex Arm Package For Horizontal or Vertical Flat Surfaces</t>
  </si>
  <si>
    <t>PKG-FAM-101</t>
  </si>
  <si>
    <t>Rugged Docking Station for Zebra TC73/TC78 Mobile Computers with USB-C Accessory Plug</t>
  </si>
  <si>
    <t>PKG-DS-ZEB-701</t>
  </si>
  <si>
    <t xml:space="preserve">Rugged Charging Holder for Zebra TC22/TC27 without Rugged Boot with USB-C Accessory Plug </t>
  </si>
  <si>
    <t>PKG-DS-ZEB-602</t>
  </si>
  <si>
    <t xml:space="preserve">Rugged Charging Holder for Zebra TC22/TC27 with Rugged Boot with USB-C Accessory Plug </t>
  </si>
  <si>
    <t>PKG-DS-ZEB-601</t>
  </si>
  <si>
    <t>DISCONTINUED - Package - Cradle For Getac K120 Rugged Tablet With Triple Pass-Thru Antenna Connections, External Power Supply with Lighter Plug &amp; Power Supply Mounting Bracket</t>
  </si>
  <si>
    <t>PKG-DS-GTC-906-3</t>
  </si>
  <si>
    <t>DISCONTINUED - Package - Cradle For Getac K120 Rugged Tablet with External Power Supply with Lighter Plug &amp; Power Supply Mounting Bracket</t>
  </si>
  <si>
    <t>PKG-DS-GTC-906</t>
  </si>
  <si>
    <t>DISCONTINUED - Package - Cradle For Getac K120 Rugged Tablet With Triple Pass-Thru Antenna Connections &amp; Power Supply Mounting Bracket</t>
  </si>
  <si>
    <t>PKG-DS-GTC-903-3</t>
  </si>
  <si>
    <t>DISCONTINUED - Package - Cradle For Getac K120 Rugged Tablet With Power Supply Mounting Bracket</t>
  </si>
  <si>
    <t>PKG-DS-GTC-903</t>
  </si>
  <si>
    <t>Package - Docking Station For Getac K120 Rugged Tablet with External Power Supply with Bare Wire &amp; Power Supply Mounting Bracket</t>
  </si>
  <si>
    <t>PKG-DS-GTC-902-BW</t>
  </si>
  <si>
    <t>Package - Docking Station For Getac K120 Rugged Tablet With Triple Pass-Thru Antenna Connections, External Power Supply with Bare Wire &amp; Power Supply Mounting Bracket</t>
  </si>
  <si>
    <t>PKG-DS-GTC-902-3-BW</t>
  </si>
  <si>
    <t>DISCONTINUED - Package - Docking Station For Getac K120 Rugged Tablet With Triple Pass-Thru Antenna Connections, External Power Supply with Lighter Plug &amp; Power Supply Mounting Bracket</t>
  </si>
  <si>
    <t>PKG-DS-GTC-902-3</t>
  </si>
  <si>
    <t>DISCONTINUED - Package - Docking Station For Getac K120 Rugged Tablet with External Power Supply with Lighter Plug &amp; Power Supply Mounting Bracket</t>
  </si>
  <si>
    <t>PKG-DS-GTC-902</t>
  </si>
  <si>
    <t>Package - Docking Station For Getac K120 Rugged Tablet With Triple Pass-Thru Antenna Connections &amp; Power Supply Mounting Bracket</t>
  </si>
  <si>
    <t>PKG-DS-GTC-901-3</t>
  </si>
  <si>
    <t>Package - Docking Station For Getac K120 Rugged Tablet With Power Supply Mounting Bracket</t>
  </si>
  <si>
    <t>PKG-DS-GTC-901</t>
  </si>
  <si>
    <t>DISCONTINUED - Package - Cradle For Getac A140 Rugged Tablet With Triple Pass-Thru Antenna Connections, External Power Supply with Lighter Plug &amp; Power Supply Mounting Bracket</t>
  </si>
  <si>
    <t>PKG-DS-GTC-806-3</t>
  </si>
  <si>
    <t>DISCONTINUED - Package - Cradle For Getac A140 Rugged Tablet with External Power Supply with Lighter Plug &amp; Power Supply Mounting Bracket</t>
  </si>
  <si>
    <t>PKG-DS-GTC-806</t>
  </si>
  <si>
    <t>DISCONTINUED - Package - Cradle For Getac A140 Rugged Tablet With Triple Pass-Thru Antenna Connections &amp; Power Supply Mounting Bracket</t>
  </si>
  <si>
    <t>PKG-DS-GTC-803-3</t>
  </si>
  <si>
    <t>DISCONTINUED - Package - Cradle For Getac A140 Rugged Tablet With Power Supply Mounting Bracket</t>
  </si>
  <si>
    <t>PKG-DS-GTC-803</t>
  </si>
  <si>
    <t>Package - Docking Station For Getac A140 Rugged Tablet with External Power Supply with Bare Wire &amp; Power Supply Mounting Bracket</t>
  </si>
  <si>
    <t>PKG-DS-GTC-802-BW</t>
  </si>
  <si>
    <t>Package - Docking Station For Getac A140 Rugged Tablet With Triple Pass-Thru Antenna Connections, External Power Supply with Bare Wire &amp; Power Supply Mounting Bracket</t>
  </si>
  <si>
    <t>PKG-DS-GTC-802-3-BW</t>
  </si>
  <si>
    <t>DISCONTINUED - Package - Docking Station For Getac A140 Rugged Tablet With Triple Pass-Thru Antenna Connections, External Power Supply with Lighter Plug &amp; Power Supply Mounting Bracket</t>
  </si>
  <si>
    <t>PKG-DS-GTC-802-3</t>
  </si>
  <si>
    <t>DISCONTINUED - Package - Docking Station For Getac A140 Rugged Tablet with External Power Supply with Lighter Plug &amp; Power Supply Mounting Bracket</t>
  </si>
  <si>
    <t>PKG-DS-GTC-802</t>
  </si>
  <si>
    <t>Package - Docking Station For Getac A140 Rugged Tablet With Triple Pass-Thru Antenna Connections &amp; Power Supply Mounting Bracket</t>
  </si>
  <si>
    <t>PKG-DS-GTC-801-3</t>
  </si>
  <si>
    <t>Package - Docking Station For Getac A140 Rugged Tablet With Power Supply Mounting Bracket</t>
  </si>
  <si>
    <t>PKG-DS-GTC-801</t>
  </si>
  <si>
    <t>Package - Docking Station For Getac S410 Notebook With Triple Pass-Thru Antenna Connections, Power Supply Mounting Bracket &amp; Screen Support</t>
  </si>
  <si>
    <t>PKG-DS-GTC-619-3</t>
  </si>
  <si>
    <t>Package - Docking Station For Getac S410 Notebook With Power Supply Mounting Bracket &amp; Screen Support</t>
  </si>
  <si>
    <t>PKG-DS-GTC-619</t>
  </si>
  <si>
    <t>DISCONTINUED - Package - Cradle For Getac S410 Notebook With Triple Pass-Thru Antenna Connections, External Power Supply with Lighter Plug, Power Supply Mounting Bracket &amp; Screen Support</t>
  </si>
  <si>
    <t>PKG-DS-GTC-618-3</t>
  </si>
  <si>
    <t>DISCONTINUED - Package - Cradle For Getac S410 Notebook with External Power Supply with Lighter Plug, Power Supply Mounting Bracket &amp; Screen Support</t>
  </si>
  <si>
    <t>PKG-DS-GTC-618</t>
  </si>
  <si>
    <t>Package - Docking Station For Getac S410 Notebook with External Power Supply with Bare Wire, Power Supply Mounting Bracket &amp; Screen Support</t>
  </si>
  <si>
    <t>PKG-DS-GTC-617-BW</t>
  </si>
  <si>
    <t>Package - Docking Station For Getac S410 Notebook With Triple Pass-Thru Antenna Connections, External Power Supply with Bare Wire, Power Supply Mounting Bracket &amp; Screen Support</t>
  </si>
  <si>
    <t>PKG-DS-GTC-617-3-BW</t>
  </si>
  <si>
    <t>DISCONTINUED - Package - Docking Station For Getac S410 Notebook With Triple Pass-Thru Antenna Connections, External Power Supply with Lighter Plug, Power Supply Mounting Bracket &amp; Screen Support</t>
  </si>
  <si>
    <t>PKG-DS-GTC-617-3</t>
  </si>
  <si>
    <t>DISCONTINUED - Package - Docking Station For Getac S410 Notebook with External Power Supply with Lighter Plug, Power Supply Mounting Bracket &amp; Screen Support</t>
  </si>
  <si>
    <t>PKG-DS-GTC-617</t>
  </si>
  <si>
    <t>Package - Cradle For Getac S410 Notebook With Triple Pass-Thru Antenna Connections &amp; Screen Support</t>
  </si>
  <si>
    <t>PKG-DS-GTC-613-3</t>
  </si>
  <si>
    <t>Package - Cradle For Getac S410 Notebook With Screen Support</t>
  </si>
  <si>
    <t>PKG-DS-GTC-613</t>
  </si>
  <si>
    <t>DISCONTINUED - Package - Docking Station For Getac S410 Notebook With Triple Pass-Thru Antenna Connections &amp; Screen Support</t>
  </si>
  <si>
    <t>PKG-DS-GTC-611-3</t>
  </si>
  <si>
    <t>DISCONTINUED - Package - Docking Station For Getac S410 Notebook With Screen Support</t>
  </si>
  <si>
    <t>PKG-DS-GTC-611</t>
  </si>
  <si>
    <t>DISCONTINUED - Package - Cradle For Getac V110 Convertible Notebook With Triple Pass-Thru Antenna Connections, External Power Supply &amp; Screen Support</t>
  </si>
  <si>
    <t>PKG-DS-GTC-315-3</t>
  </si>
  <si>
    <t>DISCONTINUED - Package - Cradle For Getac V110 Convertible Notebook With Triple Pass-Thru Antenna Connections &amp; Screen Support</t>
  </si>
  <si>
    <t>PKG-DS-GTC-313-3</t>
  </si>
  <si>
    <t>DISCONTINUED - Package - Docking Station For Getac V110 Convertible Notebook With Triple Pass-Thru Antenna Connections, External Power Supply &amp; Screen Support</t>
  </si>
  <si>
    <t>PKG-DS-GTC-312-3</t>
  </si>
  <si>
    <t>DISCONTINUED - Package - Docking Station For Getac V110 Convertible Notebook With External Power Supply &amp; Screen Support</t>
  </si>
  <si>
    <t>PKG-DS-GTC-312</t>
  </si>
  <si>
    <t>Package - Docking Station For Getac V110 Convertible Notebook With Triple Pass-Thru Antenna Connections &amp; Screen Support</t>
  </si>
  <si>
    <t>PKG-DS-GTC-311-3</t>
  </si>
  <si>
    <t>Package - Docking Station For Getac V110 Convertible Notebook With Screen Support</t>
  </si>
  <si>
    <t>PKG-DS-GTC-311</t>
  </si>
  <si>
    <t>Package - Cradle For Getac V110 Convertible Notebook With Screen Support</t>
  </si>
  <si>
    <t>PKG-DS-GTC-303</t>
  </si>
  <si>
    <t>DISCONTINUED - Package - Cradle For Getac F110 Tablet With Triple Pass-Thru Antenna Connections &amp; Power Supply Mounting Brackets</t>
  </si>
  <si>
    <t>PKG-DS-GTC-228-3</t>
  </si>
  <si>
    <t>DISCONTINUED - Package - Cradle For Getac F110 Tablet With Power Supply Mounting Brackets</t>
  </si>
  <si>
    <t>PKG-DS-GTC-228</t>
  </si>
  <si>
    <t>DISCONTINUED - Package - Cradle For Getac F110 Tablet With Triple Pass-Thru Antenna Connections, External Power Supply with Lighter Plug &amp; Power Supply Mounting Bracket</t>
  </si>
  <si>
    <t>PKG-DS-GTC-226-3</t>
  </si>
  <si>
    <t>DISCONTINUED - Package - Cradle For Getac F110 Tablet with External Power Supply with Lighter Plug &amp; Power Supply Mounting Bracket</t>
  </si>
  <si>
    <t>PKG-DS-GTC-226</t>
  </si>
  <si>
    <t>DISCONTINUED - Package - Docking Station For Getac F110 Tablet With Triple Pass-Thru Antenna Connections &amp; Power Supply Mounting Brackets</t>
  </si>
  <si>
    <t>PKG-DS-GTC-224-3</t>
  </si>
  <si>
    <t>DISCONTINUED - Package - Docking Station For Getac F110 Tablet With Power Supply Mounting Brackets</t>
  </si>
  <si>
    <t>PKG-DS-GTC-224</t>
  </si>
  <si>
    <t>Package - Docking Station For Getac F110 Tablet with External Power Supply with Bare Wire &amp; Power Supply Mounting Bracket</t>
  </si>
  <si>
    <t>PKG-DS-GTC-222-BW</t>
  </si>
  <si>
    <t>Package - Docking Station For Getac F110 Tablet With Triple Pass-Thru Antenna Connections, External Power Supply with Bare Wire &amp; Power Supply Mounting Bracket</t>
  </si>
  <si>
    <t>PKG-DS-GTC-222-3-BW</t>
  </si>
  <si>
    <t>DISCONTINUED - Package - Docking Station For Getac F110 Tablet With Triple Pass-Thru Antenna Connections, External Power Supply with Lighter Plug &amp; Power Supply Mounting Bracket</t>
  </si>
  <si>
    <t>PKG-DS-GTC-222-3</t>
  </si>
  <si>
    <t>DISCONTINUED - Package - Docking Station For Getac F110 Tablet with External Power Supply with Lighter Plug &amp; Power Supply Mounting Bracket</t>
  </si>
  <si>
    <t>PKG-DS-GTC-222</t>
  </si>
  <si>
    <t>Package - Docking Station for Getac V120 with Advanced Port Replication, Getac Power Supply, Screen Support, &amp; Power Supply Mounting Bracket</t>
  </si>
  <si>
    <t>PKG-DS-GTC-1608-BW</t>
  </si>
  <si>
    <t>Package - Docking Station for Getac V120 with Advanced Port Replication, Quad Pass-Thru Antenna Connections, Getac Power Supply, Screen Support, &amp; Power Supply Mounting Bracket</t>
  </si>
  <si>
    <t>PKG-DS-GTC-1608-4-BW</t>
  </si>
  <si>
    <t>Package - Docking Station for Getac V120 with Standard Port Replication, Getac Power Supply, Screen Support, &amp; Power Supply Mounting Bracket</t>
  </si>
  <si>
    <t>PKG-DS-GTC-1607-BW</t>
  </si>
  <si>
    <t>Package - Docking Station for Getac V120 with Standard Port Replication, Quad Pass-Thru Antenna Connections, Getac Power Supply, Screen Support, &amp; Power Supply Mounting Bracket</t>
  </si>
  <si>
    <t>PKG-DS-GTC-1607-4-BW</t>
  </si>
  <si>
    <t>Package - Docking Station for Getac V120 with Advanced Port Replication, Getac Power Supply &amp; Screen Support</t>
  </si>
  <si>
    <t>PKG-DS-GTC-1605-BW</t>
  </si>
  <si>
    <t>Package - Docking Station for Getac V120 with Advanced Port Replication &amp; Quad Pass-Thru Antenna Connections, Getac Power Supply &amp; Screen Support</t>
  </si>
  <si>
    <t>PKG-DS-GTC-1605-4-BW</t>
  </si>
  <si>
    <t>Package - Docking Station for Getac V120 with Advanced Port Replication, Quad Pass-Thru Antenna Connections &amp; Screen Support</t>
  </si>
  <si>
    <t>PKG-DS-GTC-1604-4</t>
  </si>
  <si>
    <t>Package - Docking Station for Getac V120 with Advanced Port Replication &amp; Screen Support</t>
  </si>
  <si>
    <t>PKG-DS-GTC-1604</t>
  </si>
  <si>
    <t>Package - Cradle for Getac V120 with Quad Pass-Thru Antenna Connections &amp; Screen Support</t>
  </si>
  <si>
    <t>PKG-DS-GTC-1603-4</t>
  </si>
  <si>
    <t xml:space="preserve">Package - Cradle for Getac V120 &amp; Screen Support </t>
  </si>
  <si>
    <t>PKG-DS-GTC-1603</t>
  </si>
  <si>
    <t>Package - Docking Station for Getac V120 with Standard Port Replication, Getac Power Supply &amp; Screen Support</t>
  </si>
  <si>
    <t>PKG-DS-GTC-1602-BW</t>
  </si>
  <si>
    <t>Package - Docking Station for Getac V120 with Standard Port Replication &amp; Quad Pass-Thru Antenna Connections, Getac Power Supply &amp; Screen Support</t>
  </si>
  <si>
    <t>PKG-DS-GTC-1602-4-BW</t>
  </si>
  <si>
    <t>Package - Docking Station for Getac V120 with Standard Port Replication, Screen Support &amp; Quad Pass-Thru Antenna Connections</t>
  </si>
  <si>
    <t>PKG-DS-GTC-1601-4</t>
  </si>
  <si>
    <t>Package - Docking Station for Getac V120 with Standard Port Replication &amp; Screen Support</t>
  </si>
  <si>
    <t>PKG-DS-GTC-1601</t>
  </si>
  <si>
    <t>Package - Cradle for Getac S510 Laptop with Getac Power Supply with Bare Wire, &amp; Screen Support</t>
  </si>
  <si>
    <t>PKG-DS-GTC-1406-BW</t>
  </si>
  <si>
    <t>Package - Cradle for Getac S510 Laptop with Triple Pass-Through Antenna Connection, Screen Support, &amp; Power Supply with Bare Wire</t>
  </si>
  <si>
    <t>PKG-DS-GTC-1406-3-BW</t>
  </si>
  <si>
    <t>DISCONTINUED - Package - Cradle for Getac S510 Laptop with Triple Pass-Through Antenna Connection, Screen Support, &amp; Power Supply</t>
  </si>
  <si>
    <t>PKG-DS-GTC-1406-3</t>
  </si>
  <si>
    <t>DISCONTINUED - Package - Cradle for Getac S510 Laptop with Getac Power Supply with Lighter Plug, &amp; Screen Support</t>
  </si>
  <si>
    <t>PKG-DS-GTC-1406</t>
  </si>
  <si>
    <t>Package - Docking Station for Getac S510 Laptop with Triple Pass-Through Antenna Connection, Power Supply Mounting Brackets &amp; Screen Support</t>
  </si>
  <si>
    <t>PKG-DS-GTC-1404-3</t>
  </si>
  <si>
    <t>Package - Docking Station for Getac S510 Laptop with Power Supply Mounting Brackets &amp; Screen Support</t>
  </si>
  <si>
    <t>PKG-DS-GTC-1404</t>
  </si>
  <si>
    <t>Package - Cradle for Getac S510 Laptop with Triple Pass-Through Antenna Connection &amp; Screen Support</t>
  </si>
  <si>
    <t>PKG-DS-GTC-1403-3</t>
  </si>
  <si>
    <t>Package - Cradle for Getac S510 Laptop with Screen Support</t>
  </si>
  <si>
    <t>PKG-DS-GTC-1403</t>
  </si>
  <si>
    <t>Package - Docking Station for Getac S510 Laptop with Getac Power Supply with Bare Wire, Power Supply Mounting Bracket &amp; Screen Support</t>
  </si>
  <si>
    <t>PKG-DS-GTC-1402-BW</t>
  </si>
  <si>
    <t>Package - Docking Station for Getac S510 Laptop with Triple Pass-Through Antenna Connection, Geta Power Supply with Bare Wire, Power Supply Mounting Bracket &amp; Screen Support</t>
  </si>
  <si>
    <t>PKG-DS-GTC-1402-3-BW</t>
  </si>
  <si>
    <t>DISCONTINUED - Package - Docking Station for Getac S510 Laptop with Triple Pass-Through Antenna Connection, Geta Power Supply, Power Supply Mounting Bracket &amp; Screen Support</t>
  </si>
  <si>
    <t>PKG-DS-GTC-1402-3</t>
  </si>
  <si>
    <t>DISCONTINUED - Package - Docking Station for Getac S510 Laptop with Getac Power Supply with Lighter Plug, Power Supply Mounting Bracket &amp; Screen Support</t>
  </si>
  <si>
    <t>PKG-DS-GTC-1402</t>
  </si>
  <si>
    <t>Package - Docking Station for Getac S510 Laptop with Triple Pass-Through Antenna Connection &amp; Screen Support</t>
  </si>
  <si>
    <t>PKG-DS-GTC-1401-3</t>
  </si>
  <si>
    <t>Package - Docking Station for Getac S510 Laptop with Screen Support</t>
  </si>
  <si>
    <t>PKG-DS-GTC-1401</t>
  </si>
  <si>
    <t>DISCONTINUED - Package - Cradle for Getac ZX10 Tablet With Triple Pass-Thru Antenna Connections, External Power Supply with Lighter Plug &amp; Power Supply Mounting Bracket</t>
  </si>
  <si>
    <t>PKG-DS-GTC-1306-3</t>
  </si>
  <si>
    <t>DISCONTINUED - Package - Cradle for Getac ZX10 Tablet with External Power Supply with Lighter Plug &amp; Power Supply Mounting Bracket</t>
  </si>
  <si>
    <t>PKG-DS-GTC-1306</t>
  </si>
  <si>
    <t xml:space="preserve">Package - Docking Station for Getac ZX10 Tablet With Bare-Wire Power Supply </t>
  </si>
  <si>
    <t>PKG-DS-GTC-1304-BW</t>
  </si>
  <si>
    <t>Package - Docking Station for Getac ZX10 Tablet With Triple Pass-Thru Antenna Connections &amp; Bare-Wire Power Supply</t>
  </si>
  <si>
    <t>PKG-DS-GTC-1304-3-BW</t>
  </si>
  <si>
    <t>DISCONTINUED - Package - Cradle for Getac ZX10 Tablet With Triple Pass-Thru Antenna Connections &amp; Power Supply Mounting Brackets</t>
  </si>
  <si>
    <t>PKG-DS-GTC-1303-3</t>
  </si>
  <si>
    <t>DISCONTINUED - Package - Cradle for Getac ZX10 Tablet With Power Supply Mounting Brackets</t>
  </si>
  <si>
    <t>PKG-DS-GTC-1303</t>
  </si>
  <si>
    <t>DISCONTINUED - Package - Docking Station for Getac ZX10 Tablet With Triple Pass-Thru Antenna Connections, External Power Supply with Lighter Plug &amp; Power Supply Mounting Bracket</t>
  </si>
  <si>
    <t>PKG-DS-GTC-1302-3</t>
  </si>
  <si>
    <t>DISCONTINUED - Package - Docking Station for Getac ZX10 Tablet with External Power Supply with Lighter Plug &amp; Power Supply Mounting Bracket</t>
  </si>
  <si>
    <t>PKG-DS-GTC-1302</t>
  </si>
  <si>
    <t>DISCONTINUED - Package - Docking Station for Getac ZX10 Tablet With Triple Pass-Thru Antenna Connections &amp; Power Supply Mounting Brackets</t>
  </si>
  <si>
    <t>PKG-DS-GTC-1301-3</t>
  </si>
  <si>
    <t>DISCONTINUED - Package - Docking Station for Getac ZX10 Tablet With Power Supply Mounting Brackets</t>
  </si>
  <si>
    <t>PKG-DS-GTC-1301</t>
  </si>
  <si>
    <t>DISCONTINUED - Package - Cradle For Getac B360 &amp; B360 Pro Laptops With Pass-Thru Antenna Connections, Power Supply Mounting Brackets &amp; Screen Support</t>
  </si>
  <si>
    <t>PKG-DS-GTC-1208-3</t>
  </si>
  <si>
    <t>DISCONTINUED - Package - Cradle For Getac B360 &amp; B360 Pro Laptops With Power Supply Mounting Brackets &amp; Screen Support</t>
  </si>
  <si>
    <t>PKG-DS-GTC-1208</t>
  </si>
  <si>
    <t>DISCONTINUED - Package - Cradle For Getac B360 &amp; B360 Pro Laptops With Pass-Thru Antenna Connections, External Power Supply with Lighter Plug &amp; Screen Support</t>
  </si>
  <si>
    <t>PKG-DS-GTC-1207-3</t>
  </si>
  <si>
    <t>DISCONTINUED - Package - Cradle For Getac B360 &amp; B360 Pro Laptops with External Power Supply with Lighter Plug &amp; Screen Support</t>
  </si>
  <si>
    <t>PKG-DS-GTC-1207</t>
  </si>
  <si>
    <t>DISCONTINUED - Package - Cradle For Getac B360 &amp; B360 Pro Laptops With Pass-Thru Antenna Connections, External Power Supply with Lighter Plug, Power Supply Mounting Bracket &amp; Screen Support</t>
  </si>
  <si>
    <t>PKG-DS-GTC-1206-3</t>
  </si>
  <si>
    <t>DISCONTINUED - Package - Cradle For Getac B360 &amp; B360 Pro Laptops with External Power Supply with Lighter Plug, Power Supply Mounting Bracket &amp; Screen Support</t>
  </si>
  <si>
    <t>PKG-DS-GTC-1206</t>
  </si>
  <si>
    <t>Package - Docking Station For Getac B360 &amp; B360 Pro Laptops with External Power Supply with Bare Wire &amp; Screen Support</t>
  </si>
  <si>
    <t>PKG-DS-GTC-1205-BW</t>
  </si>
  <si>
    <t>Package - Docking Station For Getac B360 &amp; B360 Pro Laptops With Pass-Thru Antenna Connections, External Power Supply with Bare Wire &amp; Screen Support</t>
  </si>
  <si>
    <t>PKG-DS-GTC-1205-3-BW</t>
  </si>
  <si>
    <t>DISCONTINUED - Package - Docking Station For Getac B360 &amp; B360 Pro Laptops With Pass-Thru Antenna Connections, External Power Supply with Lighter Plug &amp; Screen Support</t>
  </si>
  <si>
    <t>PKG-DS-GTC-1205-3</t>
  </si>
  <si>
    <t>DISCONTINUED - Package - Docking Station For Getac B360 &amp; B360 Pro Laptops with External Power Supply with Lighter Plug &amp; Screen Support</t>
  </si>
  <si>
    <t>PKG-DS-GTC-1205</t>
  </si>
  <si>
    <t>Package - Docking Station For Getac B360 &amp; B360 Pro Laptops With Pass-Thru Antenna Connections, Power Supply Mounting Brackets &amp; Screen Support</t>
  </si>
  <si>
    <t>PKG-DS-GTC-1204-3</t>
  </si>
  <si>
    <t>Package - Docking Station For Getac B360 &amp; B360 Pro Laptops With Power Supply Mounting Brackets &amp; Screen Support</t>
  </si>
  <si>
    <t>PKG-DS-GTC-1204</t>
  </si>
  <si>
    <t>DISCONTINUED - Package - Cradle For Getac B360 &amp; B360 Pro Laptops With Pass-Thru Antenna Connections &amp; Screen Support</t>
  </si>
  <si>
    <t>PKG-DS-GTC-1203-3</t>
  </si>
  <si>
    <t>DISCONTINUED - Package - Cradle For Getac B360 &amp; B360 Pro Laptops With Screen Support</t>
  </si>
  <si>
    <t>PKG-DS-GTC-1203</t>
  </si>
  <si>
    <t>Package - Docking Station For Getac B360 &amp; B360 Pro Laptops with External Power Supply with Bare Wire, Power Supply Mounting Bracket &amp; Screen Support</t>
  </si>
  <si>
    <t>PKG-DS-GTC-1202-BW</t>
  </si>
  <si>
    <t>Package - Docking Station For Getac B360 &amp; B360 Pro Laptops With Pass-Thru Antenna Connections, External Power Supply with Bare Wire, Power Supply Mounting Bracket &amp; Screen Support</t>
  </si>
  <si>
    <t>PKG-DS-GTC-1202-3-BW</t>
  </si>
  <si>
    <t>DISCONTINUED - Package - Docking Station For Getac B360 &amp; B360 Pro Laptops With Pass-Thru Antenna Connections, External Power Supply with Lighter Plug, Power Supply Mounting Bracket &amp; Screen Support</t>
  </si>
  <si>
    <t>PKG-DS-GTC-1202-3</t>
  </si>
  <si>
    <t>DISCONTINUED - Package - Docking Station For Getac B360 &amp; B360 Pro Laptops with External Power Supply with Lighter Plug, Power Supply Mounting Bracket &amp; Screen Support</t>
  </si>
  <si>
    <t>PKG-DS-GTC-1202</t>
  </si>
  <si>
    <t>Package - Docking Station For Getac B360 &amp; B360 Pro Laptops With Pass-Thru Antenna Connections &amp; Screen Support</t>
  </si>
  <si>
    <t>PKG-DS-GTC-1201-3</t>
  </si>
  <si>
    <t>Package - Docking Station For Getac B360 &amp; B360 Pro Laptops With Screen Support</t>
  </si>
  <si>
    <t>PKG-DS-GTC-1201</t>
  </si>
  <si>
    <t>DISCONTINUED - Package - Cradle For Getac UX10 Tablet With Pass-Thru Antenna Connections, External Power Supply with Lighter Plug &amp; Power Supply Mounting Bracket</t>
  </si>
  <si>
    <t>PKG-DS-GTC-1106-3</t>
  </si>
  <si>
    <t>DISCONTINUED - Package - Cradle For Getac UX10 Tablet with External Power Supply with Lighter Plug &amp; Power Supply Mounting Bracket</t>
  </si>
  <si>
    <t>PKG-DS-GTC-1106</t>
  </si>
  <si>
    <t>DISCONTINUED - Package - Cradle For Getac UX10 Tablet With Pass-Thru Antenna Connections &amp; Power Supply Mounting Brackets</t>
  </si>
  <si>
    <t>PKG-DS-GTC-1103-3</t>
  </si>
  <si>
    <t>DISCONTINUED - Package - Cradle For Getac UX10 Tablet With Power Supply Mounting Brackets</t>
  </si>
  <si>
    <t>PKG-DS-GTC-1103</t>
  </si>
  <si>
    <t>Package - Docking Station For Getac UX10 Tablet with External Power Supply with Bare Wire &amp; Power Supply Mounting Bracket</t>
  </si>
  <si>
    <t>PKG-DS-GTC-1102-BW</t>
  </si>
  <si>
    <t>Package - Docking Station For Getac UX10 Tablet With Pass-Thru Antenna Connections, External Power Supply with Bare Wire &amp; Power Supply Mounting Bracket</t>
  </si>
  <si>
    <t>PKG-DS-GTC-1102-3-BW</t>
  </si>
  <si>
    <t>DISCONTINUED - Package - Docking Station For Getac UX10 Tablet With Pass-Thru Antenna Connections, External Power Supply with Lighter Plug &amp; Power Supply Mounting Bracket</t>
  </si>
  <si>
    <t>PKG-DS-GTC-1102-3</t>
  </si>
  <si>
    <t>DISCONTINUED - Package - Docking Station For Getac UX10 Tablet with External Power Supply with Lighter Plug &amp; Power Supply Mounting Bracket</t>
  </si>
  <si>
    <t>PKG-DS-GTC-1102</t>
  </si>
  <si>
    <t>Package - Docking Station For Getac UX10 Tablet With Pass-Thru Antenna Connections &amp; Power Supply Mounting Brackets</t>
  </si>
  <si>
    <t>PKG-DS-GTC-1101-3</t>
  </si>
  <si>
    <t>Package - Docking Station For Getac UX10 Tablet With Power Supply Mounting Brackets</t>
  </si>
  <si>
    <t>PKG-DS-GTC-1101</t>
  </si>
  <si>
    <t>DISCONTINUED - Package - Cradle For Getac K120 Convertible Laptop With Triple Pass-Thru Antenna Connections, External Power Supply with Lighter Plug &amp; Screen Support</t>
  </si>
  <si>
    <t>PKG-DS-GTC-1009-3</t>
  </si>
  <si>
    <t>DISCONTINUED - Package - Cradle For Getac K120 Convertible Laptop with External Power Supply with Lighter Plug &amp; Screen Support</t>
  </si>
  <si>
    <t>PKG-DS-GTC-1009</t>
  </si>
  <si>
    <t>DISCONTINUED - Package - Cradle For Getac K120 Convertible Laptop With Pass-Thru Antenna Connections, Power Supply Mounting Brackets &amp;  Screen Support</t>
  </si>
  <si>
    <t>PKG-DS-GTC-1008-3</t>
  </si>
  <si>
    <t>DISCONTINUED - Package - Cradle For Getac K120 Convertible Laptop With Power Supply Mounting Brackets &amp; Screen Support</t>
  </si>
  <si>
    <t>PKG-DS-GTC-1008</t>
  </si>
  <si>
    <t>DISCONTINUED - Package - Cradle For Getac K120 Convertible Laptop With Pass-Thru Antenna Connections, External Power Supply with Lighter Plug, Power Supply Mounting Bracket &amp;  Screen Support</t>
  </si>
  <si>
    <t>PKG-DS-GTC-1006-3</t>
  </si>
  <si>
    <t>DISCONTINUED - Package - Cradle For Getac K120 Convertible Laptop with External Power Supply with Lighter Plug, Power Supply Mounting Bracket &amp; Screen Support</t>
  </si>
  <si>
    <t>PKG-DS-GTC-1006</t>
  </si>
  <si>
    <t>DISCONTINUED - Package - Docking Station For Getac K120 Convertible Laptop With Triple Pass-Thru Antenna Connections, External Power Supply with Lighter Plug &amp; Screen Support</t>
  </si>
  <si>
    <t>PKG-DS-GTC-1005-3</t>
  </si>
  <si>
    <t>DISCONTINUED - Package - Docking Station For Getac K120 Convertible Laptop with External Power Supply with Lighter Plug &amp; Screen Support</t>
  </si>
  <si>
    <t>PKG-DS-GTC-1005</t>
  </si>
  <si>
    <t>DISCONTINUED - Package - Docking Station For Getac K120 Convertible Laptop With Pass-Thru Antenna Connections, Power Supply Mounting Brackets &amp;  Screen Support</t>
  </si>
  <si>
    <t>PKG-DS-GTC-1004-3</t>
  </si>
  <si>
    <t>DISCONTINUED - Package - Docking Station For Getac K120 Convertible Laptop With Power Supply Mounting Brackets &amp; Screen Support</t>
  </si>
  <si>
    <t>PKG-DS-GTC-1004</t>
  </si>
  <si>
    <t>DISCONTINUED - Package - Cradle For Getac K120 Convertible Laptop With Pass-Thru Antenna Connections &amp;  Screen Support</t>
  </si>
  <si>
    <t>PKG-DS-GTC-1003-3</t>
  </si>
  <si>
    <t>DISCONTINUED - Package - Cradle For Getac K120 Convertible Laptop With Screen Support</t>
  </si>
  <si>
    <t>PKG-DS-GTC-1003</t>
  </si>
  <si>
    <t>Package - Docking Station For Getac K120 Convertible Laptop with External Power Supply with Bare Wire, Power Supply Mounting Bracket &amp; Screen Support</t>
  </si>
  <si>
    <t>PKG-DS-GTC-1002-BW</t>
  </si>
  <si>
    <t>Package - Docking Station For Getac K120 Convertible Laptop With Triple Pass-Thru Antenna Connections, External Power Supply with Bare Wire, Power Supply Mounting Bracket &amp; Screen Support</t>
  </si>
  <si>
    <t>PKG-DS-GTC-1002-3-BW</t>
  </si>
  <si>
    <t>DISCONTINUED - Package - Docking Station For Getac K120 Convertible Laptop With Triple Pass-Thru Antenna Connections, External Power Supply with Lighter Plug, Power Supply Mounting Bracket &amp; Screen Support</t>
  </si>
  <si>
    <t>PKG-DS-GTC-1002-3</t>
  </si>
  <si>
    <t>DISCONTINUED - Package - Docking Station For Getac K120 Convertible Laptop with External Power Supply with Lighter Plug, Power Supply Mounting Bracket &amp; Screen Support</t>
  </si>
  <si>
    <t>PKG-DS-GTC-1002</t>
  </si>
  <si>
    <t>Package - Docking Station For Getac K120 Convertible Laptop With Pass-Thru Antenna Connections &amp;  Screen Support</t>
  </si>
  <si>
    <t>PKG-DS-GTC-1001-3</t>
  </si>
  <si>
    <t>Package - Docking Station For Getac K120 Convertible Laptop With Screen Support</t>
  </si>
  <si>
    <t>PKG-DS-GTC-1001</t>
  </si>
  <si>
    <t xml:space="preserve">PACKAGE - IP65 Docking Solution for Dell's 7030 Tablet with Internal, Non-isolated Power Supply (9-36VDC) </t>
  </si>
  <si>
    <t>PKG-DELL-1202</t>
  </si>
  <si>
    <t>PACKAGE - IP65 Docking Solution for Dell's 7030 Tablet with Isolated Power Supply (20-60VDC)</t>
  </si>
  <si>
    <t>PKG-DELL-1201-2060</t>
  </si>
  <si>
    <t>PACKAGE - IP65 Docking Solution for Dell's 7030 Tablet with Isolated Power Supply (12-32VDC)</t>
  </si>
  <si>
    <t>PKG-DELL-1201-1232</t>
  </si>
  <si>
    <t xml:space="preserve">PACKAGE - IP65 Docking Solution for Dell's 7230 Tablet with Internal, Non-isolated Power Supply (9-36VDC) </t>
  </si>
  <si>
    <t>PKG-DELL-1002</t>
  </si>
  <si>
    <t>PACKAGE - IP65 Docking Solution for Dell's 7230 Tablet with Isolated Power Supply (20-60VDC)</t>
  </si>
  <si>
    <t>PKG-DELL-1001-2060</t>
  </si>
  <si>
    <t>PACKAGE - IP65 Docking Solution for Dell's 7230 Tablet with Isolated Power Supply (12-32VDC)</t>
  </si>
  <si>
    <t>PKG-DELL-1001-1232</t>
  </si>
  <si>
    <t>Phone Cradle &amp; Cup Holder Mount</t>
  </si>
  <si>
    <t>PKG-CUP-101</t>
  </si>
  <si>
    <t>Bar Clamp Mount With Phone Holder</t>
  </si>
  <si>
    <t>PKG-BAR-101</t>
  </si>
  <si>
    <t>Work Truck Console Package for 2015-2025 Ford Transit Van</t>
  </si>
  <si>
    <t>PKG-ASW-0805-TRNST</t>
  </si>
  <si>
    <t>Work Truck Console Package for  2004-2025 International 4300/7300 Bucket Seat</t>
  </si>
  <si>
    <t>PKG-ASW-0805-IN1</t>
  </si>
  <si>
    <t>Work Truck Console Package for 2004-2025 Freightliner M2 106/112 with Bucket Seats</t>
  </si>
  <si>
    <t>PKG-ASW-0805-FL1</t>
  </si>
  <si>
    <t>Package - Swivel Arm &amp; Keyboard Mounts With Side Mount Bracket, 6" Base, 6" Extension</t>
  </si>
  <si>
    <t>PKG-ARM-0606-KBM-L</t>
  </si>
  <si>
    <t>Package - Swivel Arm &amp; Keyboard Mounts  With 6" Base, 6" Extension</t>
  </si>
  <si>
    <t>PKG-ARM-0606-KBM</t>
  </si>
  <si>
    <t>Package - Swivel Arm &amp; Keyboard Mounts With Side Mount Bracket, 6" Base, 3" Extension</t>
  </si>
  <si>
    <t>PKG-ARM-0603-KBM-L</t>
  </si>
  <si>
    <t>Package - Swivel Arm &amp; Keyboard Mounts  With 6" Base, 3" Extension</t>
  </si>
  <si>
    <t>PKG-ARM-0603-KBM</t>
  </si>
  <si>
    <t>Package - Swivel Arm &amp; Keyboard Mounts With Side Mount Bracket, 6" Base</t>
  </si>
  <si>
    <t>PKG-ARM-0600-KBM-L</t>
  </si>
  <si>
    <t>Package - Swivel Arm &amp; Keyboard Mounts  With 6" Base</t>
  </si>
  <si>
    <t>PKG-ARM-0600-KBM</t>
  </si>
  <si>
    <t>Package - Swivel Arm &amp; Keyboard Mounts With Side Mount Bracket, 3" Base, 6" Extension</t>
  </si>
  <si>
    <t>PKG-ARM-0306-KBM-L</t>
  </si>
  <si>
    <t>Package - Swivel Arm &amp; Keyboard Mounts  With 3" Base, 6" Extension</t>
  </si>
  <si>
    <t>PKG-ARM-0306-KBM</t>
  </si>
  <si>
    <t>Front Partition For 2015 -2025 Ford Transit Window Van With Medium Roof &amp; Side Sliding Door</t>
  </si>
  <si>
    <t>P-FRONT-4</t>
  </si>
  <si>
    <t>Front Partition For 2015 -2025 Ford Transit Window Van With Low Roof &amp; Side Swing-Out Doors or Sliding Door</t>
  </si>
  <si>
    <t>P-FRONT-3</t>
  </si>
  <si>
    <t>Front Partition With Emergency Exit Hatch For Chevrolet Vans With Slide-Out Door</t>
  </si>
  <si>
    <t>P-FRONT-2</t>
  </si>
  <si>
    <t>Front Partition With Emergency Exit Hatch</t>
  </si>
  <si>
    <t>P-FRONT-1</t>
  </si>
  <si>
    <t>Havis Rugged Phone Case for Samsung Galaxy XCover6 &amp; 7 Pro</t>
  </si>
  <si>
    <t>PD-A-1000-CGX6PX7P</t>
  </si>
  <si>
    <t>Havis Rugged Phone Case for Samsung Galaxy S24 &amp; S25</t>
  </si>
  <si>
    <t>PD-A-1000-CGS24S25</t>
  </si>
  <si>
    <t>Havis Rugged Phone Case for Samsung Galaxy S24FE</t>
  </si>
  <si>
    <t>PD-A-1000-CGS24FE</t>
  </si>
  <si>
    <t>Rugged Phone Dock for Havis PD-1000 Series Cases</t>
  </si>
  <si>
    <t>PD-1001</t>
  </si>
  <si>
    <t>24″ Tube Extension for SC-C100 Series Countertop Kiosk</t>
  </si>
  <si>
    <t>OTH-C127</t>
  </si>
  <si>
    <t>Mobile Protect &amp;amp; Go Case with Hand Strap for HP Engage Go 13 &amp;amp; Verifone E285 Payment Device</t>
  </si>
  <si>
    <t>MP-HP-PR-03</t>
  </si>
  <si>
    <t>Mobile Protect &amp;amp; Go Case for HP Engage Go 13 with hand Strap &amp;amp; Kick Stand</t>
  </si>
  <si>
    <t>MP-HP-PR-02</t>
  </si>
  <si>
    <t>Mobile Protect &amp;amp; Go Case with Hand Strap for HP Engage Go 13</t>
  </si>
  <si>
    <t>MP-HP-PR-01</t>
  </si>
  <si>
    <t>Cable Management Kit For Large Bundles</t>
  </si>
  <si>
    <t>MM-10-901</t>
  </si>
  <si>
    <t>Dual Monitor Mount &amp; 18″ Pole</t>
  </si>
  <si>
    <t>MM-10-851</t>
  </si>
  <si>
    <t>Single Monitor Mount &amp; 18″ Pole</t>
  </si>
  <si>
    <t>MM-10-850</t>
  </si>
  <si>
    <t>Scanner Mount To VESA Plate For Pistol Grip Handheld Scanners</t>
  </si>
  <si>
    <t>MM-10-601</t>
  </si>
  <si>
    <t>Printer Mount Includes 16″ Folding Extension Arm &amp; Large Tray</t>
  </si>
  <si>
    <t>MM-10-522</t>
  </si>
  <si>
    <t>Printer Mount Includes 16″ Folding Extension Arm &amp; Medium Tray</t>
  </si>
  <si>
    <t>MM-10-521</t>
  </si>
  <si>
    <t>Printer Mount Includes 16″ Folding Extension Arm &amp; Small Tray</t>
  </si>
  <si>
    <t>MM-10-520</t>
  </si>
  <si>
    <t>Medium Printer Tray</t>
  </si>
  <si>
    <t>MM-10-505</t>
  </si>
  <si>
    <t>Large Printer Tray</t>
  </si>
  <si>
    <t>MM-10-502</t>
  </si>
  <si>
    <t>Small Printer Tray</t>
  </si>
  <si>
    <t>MM-10-501</t>
  </si>
  <si>
    <t>Payment Terminal Mount On 16″ Long Folding Extension Arm</t>
  </si>
  <si>
    <t>MM-10-420</t>
  </si>
  <si>
    <t>Payment Terminal Mount For Metal Stand Conversion Kits</t>
  </si>
  <si>
    <t>MM-10-402</t>
  </si>
  <si>
    <t>Payment Terminal Mount Includes Flexipole Plinth</t>
  </si>
  <si>
    <t>MM-10-401</t>
  </si>
  <si>
    <t>Monitor Mount on 16″ Long Folding Extension Arm</t>
  </si>
  <si>
    <t>MM-10-320</t>
  </si>
  <si>
    <t>Double Pivot Monitor Mount</t>
  </si>
  <si>
    <t>MM-10-302</t>
  </si>
  <si>
    <t>Single Pivot Monitor Mount</t>
  </si>
  <si>
    <t>MM-10-301</t>
  </si>
  <si>
    <t>Channel Arm 8″ Long, For Extruded Pole</t>
  </si>
  <si>
    <t>MM-10-204</t>
  </si>
  <si>
    <t>Channel Mount For Extruded Pole</t>
  </si>
  <si>
    <t>MM-10-203</t>
  </si>
  <si>
    <t>Collar Arm, 8″ Long, For Steel Pole</t>
  </si>
  <si>
    <t>MM-10-202</t>
  </si>
  <si>
    <t>Collar Mount For Steel Pole</t>
  </si>
  <si>
    <t>MM-10-201</t>
  </si>
  <si>
    <t>Free Standing Base For Extruded &amp; Steel Poles with Round Base Plate</t>
  </si>
  <si>
    <t>MM-10-199</t>
  </si>
  <si>
    <t>18″ Steel Pole</t>
  </si>
  <si>
    <t>MM-10-150</t>
  </si>
  <si>
    <t>24″ Extruded Pole With Round Base Plate &amp; Cover</t>
  </si>
  <si>
    <t>MM-10-124</t>
  </si>
  <si>
    <t>16″ Extruded Pole With Round Base Plate &amp; Cover</t>
  </si>
  <si>
    <t>MM-10-116</t>
  </si>
  <si>
    <t>24″ Extruded Pole With Rectangular Base Plate</t>
  </si>
  <si>
    <t>MM-10-102</t>
  </si>
  <si>
    <t>16″ Extruded Pole With Rectangular Base Plate</t>
  </si>
  <si>
    <t>MM-10-101</t>
  </si>
  <si>
    <t>Forklift Pillar Mount &amp; Swivel Arm For Keyboards  With 6″ Base &amp; 6″ Extension</t>
  </si>
  <si>
    <t>MH-ARM-0606</t>
  </si>
  <si>
    <t>Forklift Pillar Mount &amp; Swivel Arm For Keyboards  With 6″ Base &amp; 3″ Extension</t>
  </si>
  <si>
    <t>MH-ARM-0603</t>
  </si>
  <si>
    <t>Forklift Pillar Mount &amp; Swivel Arm For Keyboards  With 6″ Base</t>
  </si>
  <si>
    <t>MH-ARM-0600</t>
  </si>
  <si>
    <t>Forklift Pillar Mount &amp; Swivel Arm For Keyboards  With 3″ Base &amp; 6″ Extension</t>
  </si>
  <si>
    <t>MH-ARM-0306</t>
  </si>
  <si>
    <t>Universal Pistol Grip Barcode Scanner Bucket</t>
  </si>
  <si>
    <t>MH-3009</t>
  </si>
  <si>
    <t>Universal Barcode Scanner Bucket</t>
  </si>
  <si>
    <t>MH-3008</t>
  </si>
  <si>
    <t>Forklift Printer Pillar Mount For Zebra ZQ520 &amp; ZQ521 Printer</t>
  </si>
  <si>
    <t>MH-3006</t>
  </si>
  <si>
    <t>Forklift Under Seat Printer Mount For Zebra ZQ520 &amp; ZQ521 Printer</t>
  </si>
  <si>
    <t>MH-3005</t>
  </si>
  <si>
    <t>OBSOLETE - Forklift Printer Pillar Mount For Brother RuggedJet 4200 Series Printer</t>
  </si>
  <si>
    <t>MH-3004</t>
  </si>
  <si>
    <t>OBSOLETE - Forklift Under Seat Printer Mount For Brother RuggedJet 4200 Series Printer</t>
  </si>
  <si>
    <t>MH-3003</t>
  </si>
  <si>
    <t>Universal Under Seat Forklift Keyboard Mount</t>
  </si>
  <si>
    <t>MH-3001</t>
  </si>
  <si>
    <t>7" Dual Articulating, Knob-Adjustable, Fixed Mount With 30 Lb. Carrying Capacity</t>
  </si>
  <si>
    <t>MH-1015</t>
  </si>
  <si>
    <t>OBSOLETE - Overhead Forklift Mount With Dual Ball Mount For Material Handling</t>
  </si>
  <si>
    <t>MH-1013</t>
  </si>
  <si>
    <t>Heavy-Duty Forklift Clamp Mount With 5" Extending Arm</t>
  </si>
  <si>
    <t>MH-1012</t>
  </si>
  <si>
    <t>7" Articulating Arm Clamp Mount With 15 Lb. Carrying Capacity</t>
  </si>
  <si>
    <t>MH-1011</t>
  </si>
  <si>
    <t>7" Dual Articulating Fixed Mount With 30 Lb. Carrying Capacity</t>
  </si>
  <si>
    <t>MH-1010</t>
  </si>
  <si>
    <t>Heavy-Duty Forklift Clamp Mount</t>
  </si>
  <si>
    <t>MH-1008</t>
  </si>
  <si>
    <t>Swivel Arm Mount With Side Mount Bracket, 6" Base, 6" Extension</t>
  </si>
  <si>
    <t>MD-ARM-0606-L</t>
  </si>
  <si>
    <t>Swivel Arm Mount With 6" Base, 6" Extension</t>
  </si>
  <si>
    <t>MD-ARM-0606</t>
  </si>
  <si>
    <t>Swivel Arm Mount With Side Mount Bracket, 6" Base, 3" Extension</t>
  </si>
  <si>
    <t>MD-ARM-0603-L</t>
  </si>
  <si>
    <t>Swivel Arm Mount With 6" Base, 3" Extension</t>
  </si>
  <si>
    <t>MD-ARM-0603</t>
  </si>
  <si>
    <t>Swivel Arm Mount With Side Mount Bracket, 6" Base</t>
  </si>
  <si>
    <t>MD-ARM-0600-L</t>
  </si>
  <si>
    <t>Swivel Arm Mount With 6" Base</t>
  </si>
  <si>
    <t>MD-ARM-0600</t>
  </si>
  <si>
    <t>Swivel Arm Mount With Side Mount Bracket, 3" Base, 6" Extension</t>
  </si>
  <si>
    <t>MD-ARM-0306-L</t>
  </si>
  <si>
    <t>Swivel Arm Mount With 3" Base, 6" Extension</t>
  </si>
  <si>
    <t>MD-ARM-0306</t>
  </si>
  <si>
    <t>MD-500 Series Knob Add-Ons</t>
  </si>
  <si>
    <t>MD-A-1001</t>
  </si>
  <si>
    <t>Rugged Warehouse Logistics Wall Mount</t>
  </si>
  <si>
    <t>MD-503</t>
  </si>
  <si>
    <t>DISCONTINUED - Back to Back Rugged Warehouse Logistics Mount</t>
  </si>
  <si>
    <t>MD-502</t>
  </si>
  <si>
    <t>DISCONTINUED - Rugged Warehouse Logistics Mount with Knobs</t>
  </si>
  <si>
    <t>MD-501-K</t>
  </si>
  <si>
    <t>DISCONTINUED- Rugged Warehouse Logistics Mount</t>
  </si>
  <si>
    <t>MD-501</t>
  </si>
  <si>
    <t>Heavy-Duty Dual Ball Mount</t>
  </si>
  <si>
    <t>MD-409</t>
  </si>
  <si>
    <t>Dual Ball Mount With Side Mount Bracket</t>
  </si>
  <si>
    <t>MD-408-L</t>
  </si>
  <si>
    <t>Dual Ball Mount</t>
  </si>
  <si>
    <t>MD-408</t>
  </si>
  <si>
    <t>Remote Display for LSC Series Inverter Charger</t>
  </si>
  <si>
    <t>LSC-REMOTE</t>
  </si>
  <si>
    <t>LSC Series LifeSine Wave Ambulance Power Inverter With 12Vdc Input &amp; 2000W AC Output</t>
  </si>
  <si>
    <t>LSC12-2000</t>
  </si>
  <si>
    <t>Vanner LSC Series LifeSine Wave Ambulance Power Inverter With 12Vdc Input &amp; 1100W AC Output</t>
  </si>
  <si>
    <t>LSC12-1100</t>
  </si>
  <si>
    <t>OBSOLETE - Accessory Bracket For Panel Mounting A Lps-164 Power Supply</t>
  </si>
  <si>
    <t>LPS-213</t>
  </si>
  <si>
    <t>Multipurpose Bracket Secures Power Supplies On Havis Docking Stations or Cradles</t>
  </si>
  <si>
    <t>LPS-211</t>
  </si>
  <si>
    <t>Accessory Bracket For Panel Mounting A Lps-140 Power Supply</t>
  </si>
  <si>
    <t>LPS-208</t>
  </si>
  <si>
    <t>65W Non-Isolated Getac DC Power Supply with a straight 2.5x5.5mm Connector for DS-GTC-1300 Series Docking Stations</t>
  </si>
  <si>
    <t>LPS-199-BW</t>
  </si>
  <si>
    <t>LPS-199</t>
  </si>
  <si>
    <t>120 Watt AC Power Supply used with DS-DELL-430 Series Docking Stations</t>
  </si>
  <si>
    <t>LPS-198</t>
  </si>
  <si>
    <t>LPS-197</t>
  </si>
  <si>
    <t>120W Non-Isolated LIND Power Supply with Switchcraft Connector For DS-DELL-430 Series Docking Stations</t>
  </si>
  <si>
    <t>LPS-196</t>
  </si>
  <si>
    <t>96W Isolated LIND DC Power Supply (20-60VIN) with a Straight 2.5x5.5mm Connector for DS-TAB-400 Series Docking Stations</t>
  </si>
  <si>
    <t>LPS-195</t>
  </si>
  <si>
    <t>96W Isolated LIND DC Power Supply (12-32VIN) with a Straight 2.5x5.5mm Connector for DS-TAB-400 Series Docking Stations</t>
  </si>
  <si>
    <t>LPS-194</t>
  </si>
  <si>
    <t>120W US AC Power Supply For DS-ZEB-400 and DS-ZEB-500 Docking Stations</t>
  </si>
  <si>
    <t>LPS-192</t>
  </si>
  <si>
    <t>96 Watt Isolated Lind Power Supply for DS-ZEB-400 &amp; DS-ZEB-500 Series Docking Stations with 20-60VDC Input Range</t>
  </si>
  <si>
    <t>LPS-191</t>
  </si>
  <si>
    <t>96 Watt Isolated Lind Power Supply for DS-ZEB-400 &amp; DS-ZEB-500 Series Docking Stations with 12-32VDC Input Range</t>
  </si>
  <si>
    <t>LPS-190</t>
  </si>
  <si>
    <t>96 Watt Non-isolated Lind Power Supply for DS-ZEB-400 Series Docking Stations</t>
  </si>
  <si>
    <t>LPS-189</t>
  </si>
  <si>
    <t>Isolated 100 Watt Power Supply used for 70-110 VDC Input Vehicle with DS-DELL-900/1100 &amp; PKG-DELL-1000/1200 Series Docking Stations</t>
  </si>
  <si>
    <t>LPS-188</t>
  </si>
  <si>
    <t>Isolated 90 Watt Power Supply used for 20-60 VDC Input Vehicle with DS-DELL-900/1100 &amp; PKG-DELL-1000/1200 Series Docking Stations</t>
  </si>
  <si>
    <t>LPS-187</t>
  </si>
  <si>
    <t>Isolated 100 Watt Power Supply used for 12-32 VDC Input Vehicle with DS-DELL-900/1100 &amp; PKG-DELL-1000/1200 Series Docking Stations</t>
  </si>
  <si>
    <t>LPS-186</t>
  </si>
  <si>
    <t>Power SupplDS-DELL-904/904-4, DS-DELL-907/907-4, DS-DELL-1104/1107 &amp; DS-TAB-301</t>
  </si>
  <si>
    <t>LPS-185</t>
  </si>
  <si>
    <t>96W Non-Isolated LIND DC Power Supply with a straight 2.5x5.5mm Connector for DS-TAB-400 Series Docking Stations</t>
  </si>
  <si>
    <t>LPS-184</t>
  </si>
  <si>
    <t>120W AC Power Supply with a straight 2.5x5.5mm Connector for DS-TAB-400 Series Docking Stations</t>
  </si>
  <si>
    <t>LPS-183</t>
  </si>
  <si>
    <t>100W Non-isolated USB-C power supply for Dell Cradles DS-DELL-903, 903-4</t>
  </si>
  <si>
    <t>LPS-182</t>
  </si>
  <si>
    <t>90W AC power supply for Dell Docking Stations DS-DELL-900 Series with straight threaded connector &amp; US AC plug</t>
  </si>
  <si>
    <t>LPS-181</t>
  </si>
  <si>
    <t>60W DC-DC Vehicle Adapter with USB-C Output for Getac K120 &amp; ZX80 Devices</t>
  </si>
  <si>
    <t>LPS-175</t>
  </si>
  <si>
    <t>60W Isolated power supply for Zebra Docking Stations DS-ZEB-100, 200, 300 Series with straight threaded connector &amp; 9-32VDC input range</t>
  </si>
  <si>
    <t>LPS-174</t>
  </si>
  <si>
    <t>90W AC power supply for Dell Docking Stations DS-DELL-600, 610 Series with mini-Bondi connector &amp; EU AC plug</t>
  </si>
  <si>
    <t>LPS-172</t>
  </si>
  <si>
    <t>60W Isolated power supply for Havis Docking Stations DS-TAB-100 Series with straight barrel connector &amp; 20-60VDC input range</t>
  </si>
  <si>
    <t>LPS-171</t>
  </si>
  <si>
    <t>60W Isolated power supply for Havis Docking Stations DS-TAB-100 Series with straight barrel connector &amp; 12-32VDC input range</t>
  </si>
  <si>
    <t>LPS-170</t>
  </si>
  <si>
    <t>90W AC power supply for Dell Docking Stations DS-DELL-600, 610 Series with mini-Bondi connector &amp; US AC plug</t>
  </si>
  <si>
    <t>LPS-169</t>
  </si>
  <si>
    <t>24W Non-isolated power supply for Havis TSD-101 Touch Screen Display with straight threaded connector</t>
  </si>
  <si>
    <t>LPS-168</t>
  </si>
  <si>
    <t>60W AC adapter for Havis TSD-201 &amp; TSD-101 Touch Screen Displays &amp; Zebra Docking Stations DS-ZEB-101 &amp; 104, DS-ZEB-201 &amp; 204, DS-ZEB-301 &amp; 304 with straight threaded connector &amp; US AC plug</t>
  </si>
  <si>
    <t>LPS-167</t>
  </si>
  <si>
    <t>40W Non-isolated power supply for Getac Docking Stations DS-GTC-700, 710 Series with right angle barrel connector</t>
  </si>
  <si>
    <t>LPS-164</t>
  </si>
  <si>
    <t>24W Non-isolated power supply for Havis TSD-101 Display or USB-C Hub with straight threaded connector</t>
  </si>
  <si>
    <t>LPS-163</t>
  </si>
  <si>
    <t>10W Non-isolated power supply for Panasonic Docking Stations DS-PAN-1300 Series with S1/L1-specific right angle barrel connector &amp; wide input range</t>
  </si>
  <si>
    <t>LPS-160</t>
  </si>
  <si>
    <t>24W AC power supply for Havis Docking Stations DS-APP-100, 110 Series &amp; DS-TAB-100 Series with straight barrel connector &amp; US AC plug</t>
  </si>
  <si>
    <t>LPS-159</t>
  </si>
  <si>
    <t>90W AC power supply for Dell Docking Stations DS-DELL-700 Series with 72" output cable &amp; DS-DELL-700 dock-specific connector &amp; US AC plug</t>
  </si>
  <si>
    <t>LPS-158</t>
  </si>
  <si>
    <t>90W AC power supply for Dell Docking Stations DS-DELL-700 Series with 240" output cable &amp; DS-DELL-700 dock-specific connector &amp; US AC plug</t>
  </si>
  <si>
    <t>LPS-156</t>
  </si>
  <si>
    <t>120W Isolated LIND DC Power Supply (20-60VIN) with a straight 2.5×5.5mm Connector for DS-PAN Series Docking Stations</t>
  </si>
  <si>
    <t>LPS-149</t>
  </si>
  <si>
    <t>120W Isolated LIND DC Power Supply (12-32VIN) with a straight 2.5×5.5mm Connector for DS-PAN Series Docking Stations</t>
  </si>
  <si>
    <t>LPS-148</t>
  </si>
  <si>
    <t>90W Non-isolated power supply for Dell Docking Stations DS-DELL-410, 420 Series with straight Bondi connector &amp; wide input range</t>
  </si>
  <si>
    <t>LPS-145</t>
  </si>
  <si>
    <t>90W Non-isolated power supply for Dell Docking Stations DS-DELL-600, 610 Series with straight mini-Bondi connector &amp; wide input range</t>
  </si>
  <si>
    <t>LPS-144</t>
  </si>
  <si>
    <t>85W Isolated power supply for Dell Docking Stations DS-DELL-700 Series with DS-DELL-700 dock-specific connector &amp; 12-32VDC input range</t>
  </si>
  <si>
    <t>LPS-142</t>
  </si>
  <si>
    <t>85W Isolated power supply for Dell Docking Stations DS-DELL-700 Series with DS-DELL-700 dock-specific connector &amp; 20-60VDC input range</t>
  </si>
  <si>
    <t>LPS-141</t>
  </si>
  <si>
    <t>Power Supply with Bare-Wire used with DS-GTC-220-BW, DS-GTC-610-BW, DS-GTC-800-BW, DS-GTC-900-BW, DS-GTC-1200-BW, DS-GTC-1300-BW &amp; DS-GTC-1400-BW Series Docking Stations</t>
  </si>
  <si>
    <t>LPS-140-BW</t>
  </si>
  <si>
    <t>120W Non-isolated power supply for Getac Docking Stations DS-GTC-220, 610, 800, 900, 1000, 1100, 1200, 1300 Series with right angle barrel connector &amp; LPS-208 mounting bracket</t>
  </si>
  <si>
    <t>LPS-140</t>
  </si>
  <si>
    <t>90W Non-isolated power supply for Dell Docking Stations DS-DELL-600, 610 Series, with straight mini-Bondi connector</t>
  </si>
  <si>
    <t>LPS-138</t>
  </si>
  <si>
    <t>90W Non-isolated power supply for Dell Docking Stations DS-DELL-410, 420 Series, with straight Bondi connector</t>
  </si>
  <si>
    <t>LPS-137</t>
  </si>
  <si>
    <t>90W Non-isolated power supply for Dell Docking Stations DS-DELL-600, 610 Series, with straight mini-Bondi connector &amp; wide input range</t>
  </si>
  <si>
    <t>LPS-135</t>
  </si>
  <si>
    <t>90W Isolated power supply for Dell Docking Stations DS-DELL-600, 610 Series, with straight mini-Bondi connector &amp; 12-32VDC input range</t>
  </si>
  <si>
    <t>LPS-133</t>
  </si>
  <si>
    <t>90W Isolated power supply for Dell Docking Stations DS-DELL-600, 610 Series, with straight mini-Bondi connector &amp; 20-60VDC input range</t>
  </si>
  <si>
    <t>LPS-132</t>
  </si>
  <si>
    <t>90W Isolated power supply for Dell Docking Stations DS-DELL-410, 420 Series, with straight Bondi connector &amp; 12-32VDC input range</t>
  </si>
  <si>
    <t>LPS-127</t>
  </si>
  <si>
    <t>90W Isolated power supply for Dell Docking Stations DS-DELL-410, 420 Series, with straight Bondi connector &amp; 20-60VDC input range</t>
  </si>
  <si>
    <t>LPS-126</t>
  </si>
  <si>
    <t>95W Isolated power supply for Getac Docking Stations DS-GTC-210, 310, 410, 510 Series, with straight barrel connector &amp; 12-32VDC input range</t>
  </si>
  <si>
    <t>LPS-125</t>
  </si>
  <si>
    <t>95W Isolated power supply for Getac Docking Stations DS-GTC-210, 310, 410, 510 Series, with straight barrel connector &amp; 20-60VDC input range</t>
  </si>
  <si>
    <t>LPS-124</t>
  </si>
  <si>
    <t>85W Isolated power supply for Panasonic Docking Stations DS-PAN-720 Series, with straight barrel connector &amp;12-32VDC input range</t>
  </si>
  <si>
    <t>LPS-123</t>
  </si>
  <si>
    <t>85W Isolated power supply for Panasonic Docking Stations DS-PAN-720 Series, with straight barrel connector &amp; 20-60VDC input range</t>
  </si>
  <si>
    <t>LPS-122</t>
  </si>
  <si>
    <t>95W Non-isolated Power Supply for Getac Docking Stations DS-GTC-210, 310, 410, 510 Series, with straight barrel connector</t>
  </si>
  <si>
    <t>LPS-116</t>
  </si>
  <si>
    <t>90W Non-isolated Power Supply for Panasonic Docking Stations DS-PAN-720 Series, with right angle barrel connector</t>
  </si>
  <si>
    <t>LPS-114</t>
  </si>
  <si>
    <t>120W Non-isolated Power Supply for Panasonic Docking Stations DS-PAN-430 Series, with straight barrel connector</t>
  </si>
  <si>
    <t>LPS-112</t>
  </si>
  <si>
    <t>120W Non-isolated Power Supply for Panasonic Docking Stations DS-PAN-110 Series, with threaded dock connector</t>
  </si>
  <si>
    <t>LPS-104</t>
  </si>
  <si>
    <t>120W Non-isolated Power Supply for Panasonic Docking Stations DS-PAN-1110, 1200, 1500 Series, with right angle barrel connector</t>
  </si>
  <si>
    <t>LPS-103</t>
  </si>
  <si>
    <t>90W Non-isolated Power Supply for Panasonic Docking Stations DS-PAN-1010, 1400 Series, with right angle barrel connector</t>
  </si>
  <si>
    <t>LPS-102</t>
  </si>
  <si>
    <t>100W USBC DC Power Supply  with 90° Right Angle Locking USB-C Connector</t>
  </si>
  <si>
    <t>LPS-1003</t>
  </si>
  <si>
    <t>100W USBC DC Power Supply  with 90° Right Angle USB-C Connector</t>
  </si>
  <si>
    <t>LPS-1002</t>
  </si>
  <si>
    <t>100W USBC DC Power Supply with Straight USB-C Connector</t>
  </si>
  <si>
    <t>LPS-1001</t>
  </si>
  <si>
    <t>Lock Key for Payment Terminal Stands with "A" Stamped on Face of Lock</t>
  </si>
  <si>
    <t>KEY-A</t>
  </si>
  <si>
    <t>Locking Security Tether For Flexipole Payment Mounts</t>
  </si>
  <si>
    <t>KEN00148</t>
  </si>
  <si>
    <t>Backlit Mobile USB Keyboard With Force Sensing Resistor</t>
  </si>
  <si>
    <t>KB-117</t>
  </si>
  <si>
    <t>Backlit Mobile USB Keyboard</t>
  </si>
  <si>
    <t>KB-116</t>
  </si>
  <si>
    <t>Compact USB Keyboard With Epoxy Keycaps</t>
  </si>
  <si>
    <t>KB-115</t>
  </si>
  <si>
    <t>Compact USB Keyboard With Oversized Keys</t>
  </si>
  <si>
    <t>KB-114</t>
  </si>
  <si>
    <t>Havis Compact USB Dual Authentication Keyboard With Integrated Mouse</t>
  </si>
  <si>
    <t>KB-104</t>
  </si>
  <si>
    <t xml:space="preserve">Havis Rugged USB Backlit Bluetooth Keyboard </t>
  </si>
  <si>
    <t>KB-103</t>
  </si>
  <si>
    <t>Havis Rugged Apple Keyboard</t>
  </si>
  <si>
    <t>KB-1004</t>
  </si>
  <si>
    <t>Havis Rugged Chiclet Style Keyboard with Emergency Key</t>
  </si>
  <si>
    <t>KB-1003</t>
  </si>
  <si>
    <t>Havis Rugged Keyboard without Emergency Key</t>
  </si>
  <si>
    <t>KB-1002</t>
  </si>
  <si>
    <t>Havis Rugged Keyboard with Emergency Key</t>
  </si>
  <si>
    <t>KB-1001</t>
  </si>
  <si>
    <t>Extended K9 Transport System For 2025 Ford Expedition - Black</t>
  </si>
  <si>
    <t>K9-F31-XL-B</t>
  </si>
  <si>
    <t>Extended K9 Transport System For 2025 Ford Expedition - White</t>
  </si>
  <si>
    <t>K9-F31-XL</t>
  </si>
  <si>
    <t>Standard K9 Transport System For 2025 Ford Expedition - Black</t>
  </si>
  <si>
    <t>K9-F31-B</t>
  </si>
  <si>
    <t>Standard K9 Transport System For 2025 Ford Expedition - White</t>
  </si>
  <si>
    <t>K9-F31</t>
  </si>
  <si>
    <t>Extended K9 Transport System For 2022-2024 Ford Expedition Max - Black</t>
  </si>
  <si>
    <t>K9-F30-XL-B</t>
  </si>
  <si>
    <t>Extended K9 Transport System For 2022-2024 Ford Expedition Max- White</t>
  </si>
  <si>
    <t>K9-F30-XL</t>
  </si>
  <si>
    <t>Extended K9 Transport System For 2020-2023 Ford Retail Explorer - Black</t>
  </si>
  <si>
    <t>K9-F29-XL-B</t>
  </si>
  <si>
    <t>Extended K9 Transport System For 2020-2023 Ford Retail Explorer - White</t>
  </si>
  <si>
    <t>K9-F29-XL</t>
  </si>
  <si>
    <t>Extended K9 Transport System For 2020-2025 Ford Interceptor Utility - Black</t>
  </si>
  <si>
    <t>K9-F28-XL-B</t>
  </si>
  <si>
    <t>Extended K9 Transport System For 2020-2025 Ford Interceptor Utility - White</t>
  </si>
  <si>
    <t>K9-F28-XL</t>
  </si>
  <si>
    <t>K9 Prisoner Transport System For 2020-2025 Ford Interceptor Utility - Black</t>
  </si>
  <si>
    <t>K9-F28-PT-B</t>
  </si>
  <si>
    <t>K9 Prisoner Transport System For 2020-2025 Ford Interceptor Utility - White</t>
  </si>
  <si>
    <t>Standard K9 Transport System For 2020-2025 Ford Interceptor Utility - Black</t>
  </si>
  <si>
    <t>K9-F28-1-B</t>
  </si>
  <si>
    <t>Standard K9 Transport System For 2020-2025 Ford Interceptor Utility - White</t>
  </si>
  <si>
    <t>Extended K9 Transport System For 2018-2024 Ford Expedition - Black</t>
  </si>
  <si>
    <t>K9-F27-XL-B</t>
  </si>
  <si>
    <t>Extended K9 Transport System For 2018-2024 Ford Expedition - White</t>
  </si>
  <si>
    <t>K9-F27-XL</t>
  </si>
  <si>
    <t>Standard K9 Transport System For 2018-2024 Ford Expedition - Black</t>
  </si>
  <si>
    <t>K9-F27-1-B</t>
  </si>
  <si>
    <t>Standard K9 Transport System For 2018-2024 Ford Expedition - White</t>
  </si>
  <si>
    <t>K9-F27-1</t>
  </si>
  <si>
    <t>Standard K9 Transport System With Side Door Storage For 2017-2025 Ford F-Series - Black</t>
  </si>
  <si>
    <t>K9-F23-SDS-3-B</t>
  </si>
  <si>
    <t>Standard K9 Transport System With Side Door Storage For 2017-2025 Ford F-Series - White</t>
  </si>
  <si>
    <t>K9-F23-SDS-3</t>
  </si>
  <si>
    <t>K9 Prisoner Transport System For 2017-2025 Ford F-Series - Black</t>
  </si>
  <si>
    <t>K9-F23-PT-B</t>
  </si>
  <si>
    <t>K9 Prisoner Transport System For 2017-2025 Ford F-Series - White</t>
  </si>
  <si>
    <t>K9-F23-PT</t>
  </si>
  <si>
    <t>Standard K9 Transport System For 2017-2025 Ford F-Series  - Black</t>
  </si>
  <si>
    <t>K9-F23-1-B</t>
  </si>
  <si>
    <t>Standard K9 Transport System For 2017-2025 Ford F-Series - White</t>
  </si>
  <si>
    <t>K9-F23-1</t>
  </si>
  <si>
    <t>Standard K9 Transport System For 2011-2025 Dodge Durango - Black</t>
  </si>
  <si>
    <t>K9-D25-B</t>
  </si>
  <si>
    <t>Standard K9 Transport System For 2011-2025 Dodge Durango - White</t>
  </si>
  <si>
    <t>Standard K9 Transport System For 2011-2023 Dodge Charger - Black</t>
  </si>
  <si>
    <t>K9-D24-B</t>
  </si>
  <si>
    <t>Standard K9 Transport System For 2011-2023 Dodge Charger - White</t>
  </si>
  <si>
    <t>K9-D24</t>
  </si>
  <si>
    <t>Standard K9 Transport System With Side Door Storage For 2021-2025 Chevrolet Silverado - Black</t>
  </si>
  <si>
    <t>K9-C29-SDS-3-B</t>
  </si>
  <si>
    <t>Standard K9 Transport System With Side Door Storage For 2021-2025 Chevrolet Silverado - White</t>
  </si>
  <si>
    <t>K9-C29-SDS-3</t>
  </si>
  <si>
    <t>Standard K9 Transport System For 2021-2025 Chevrolet Silverado - Black</t>
  </si>
  <si>
    <t>K9-C29-B</t>
  </si>
  <si>
    <t>Standard K9 Transport System For 2021-2025 Chevrolet Silverado - White</t>
  </si>
  <si>
    <t>K9-C29</t>
  </si>
  <si>
    <t>Standard K9 Transport System For 2024-2025 Chevrolet Blazer EV - Black</t>
  </si>
  <si>
    <t>K9-C28-B</t>
  </si>
  <si>
    <t>Standard K9 Transport System For 2024-2025 Chevrolet Blazer EV - White</t>
  </si>
  <si>
    <t>K9-C28</t>
  </si>
  <si>
    <t>Extended K9 Transport System For 2021-2024 Chevrolet Suburban - Black</t>
  </si>
  <si>
    <t>K9-C27-XL-B</t>
  </si>
  <si>
    <t>Extended K9 Transport System For 2021-2024 Chevrolet Suburban  - White</t>
  </si>
  <si>
    <t>K9-C27-XL</t>
  </si>
  <si>
    <t>K9 Prisoner Transport System For 2021-2024 Chevrolet Suburban - Black</t>
  </si>
  <si>
    <t>K9-C27-PT-B</t>
  </si>
  <si>
    <t>K9 Prisoner Transport System For 2021-2024 Chevrolet Suburban - White</t>
  </si>
  <si>
    <t>K9-C27-PT</t>
  </si>
  <si>
    <t>Extended K9 Transport System For 2021-2024 Chevrolet Tahoe - Black</t>
  </si>
  <si>
    <t>K9-C26-XL-B</t>
  </si>
  <si>
    <t>Extended K9 Transport System For 2021-2024 Chevrolet Tahoe  - White</t>
  </si>
  <si>
    <t>K9-C26-XL</t>
  </si>
  <si>
    <t>K9 Prisoner Transport System For 2021-2024 Chevrolet Tahoe - Black</t>
  </si>
  <si>
    <t>K9-C26-PT-B</t>
  </si>
  <si>
    <t>K9 Prisoner Transport System For 2021-2024 Chevrolet Tahoe - White</t>
  </si>
  <si>
    <t>K9-C26-PT</t>
  </si>
  <si>
    <t>Standard K9 Transport System For 2021-2024 Chevrolet Tahoe - Black</t>
  </si>
  <si>
    <t>K9-C26-B</t>
  </si>
  <si>
    <t>Standard K9 Transport System For 2021-2024 Chevrolet Tahoe - White</t>
  </si>
  <si>
    <t>Optional Remote Pager Kit with 27Mhz Antenna System For K9 Heat Alarm® Pro &amp; Hot-N-Pop® Pro Series Units sold after 2014</t>
  </si>
  <si>
    <t>K9 Transport Heat Alarm Unit Option, Hot-N-Pop Unit, Heat Alarm Window Drop</t>
  </si>
  <si>
    <t>K9 Transport Engine Stall Sensor Option</t>
  </si>
  <si>
    <t>K9 Transport "No K9 Left Behind" Option</t>
  </si>
  <si>
    <t>K9-A-304</t>
  </si>
  <si>
    <t>K9 Transport Heat Alarm Unit Option Dodge Charger 10" Fan</t>
  </si>
  <si>
    <t>K9 Transport Heat Alarm Unit Option</t>
  </si>
  <si>
    <t>Side Door Storage System Insert for 2017-2025 Ford F-Series Standard K9 - Black</t>
  </si>
  <si>
    <t>K9-A-116-B</t>
  </si>
  <si>
    <t>Side Door Storage System Insert for 2017-2025 Ford F-Series Standard K9 - White</t>
  </si>
  <si>
    <t>K9-A-116</t>
  </si>
  <si>
    <t>Dual K9 Divider With Door For 2021-2024 Chevrolet Tahoe Extended K9 - Black</t>
  </si>
  <si>
    <t>K9-A-115-B</t>
  </si>
  <si>
    <t>Dual K9 Divider With Door For 2021-2024 Chevrolet Tahoe Extended K9 - White</t>
  </si>
  <si>
    <t>K9-A-115</t>
  </si>
  <si>
    <t>Dual K9 Divider With Door For 2018-2020 Ford Expedition - Black</t>
  </si>
  <si>
    <t>K9-A-112-B</t>
  </si>
  <si>
    <t>Dual K9 Divider With Door For 2018-2020 Ford Expedition - White</t>
  </si>
  <si>
    <t>K9-A-112</t>
  </si>
  <si>
    <t>Headliner Protection Inserts For Havis 2020-2025 Ford Interceptor Utility Black K9 Transport</t>
  </si>
  <si>
    <t>K9-A-110-B</t>
  </si>
  <si>
    <t>Headliner Protection Inserts For Havis 2020-2025 Ford Interceptor Utility K9 Transport</t>
  </si>
  <si>
    <t>K9-A-110</t>
  </si>
  <si>
    <t>Dual K9 Divider For 2020-2025 Ford Interceptor Utility K9 - Black</t>
  </si>
  <si>
    <t>K9-A-108-B</t>
  </si>
  <si>
    <t>Dual K9 Divider For 2020-2025 Ford Interceptor Utility K9 - White</t>
  </si>
  <si>
    <t>K9-A-108</t>
  </si>
  <si>
    <t>Window Guard &amp; K9 Transport Fan Option</t>
  </si>
  <si>
    <t>K9 Transport Water Bowl Option</t>
  </si>
  <si>
    <t>K9 Transport Ceiling Fan Option</t>
  </si>
  <si>
    <t>ITC Series TruSine™ Power Inverter / Charger System with 12VDC Input &amp; 3200W AC Output</t>
  </si>
  <si>
    <t>ITC12-3200</t>
  </si>
  <si>
    <t>ITC Series TruSine™ Power Inverter / Charger System with 12VDC Input &amp; 2100W AC Output</t>
  </si>
  <si>
    <t>ITC12-2100</t>
  </si>
  <si>
    <t>IT Series TruSine™ Wave Power Inverter With 24VDC Input &amp; 3500W AC Output</t>
  </si>
  <si>
    <t>IT24-3500-01</t>
  </si>
  <si>
    <t>IT Series TruSine™ Wave Power Inverter With 12VDC Input &amp; 3600W AC Output</t>
  </si>
  <si>
    <t>IT12-3600PL-01</t>
  </si>
  <si>
    <t>IT Series Pure Sine Wave Power Inverter With 12VDC Input &amp; 3200W AC Output</t>
  </si>
  <si>
    <t>IT12-3200-01</t>
  </si>
  <si>
    <t>IT Series Pure Sine Wave Power Inverter With 12VDC Input &amp; 3000W AC Output</t>
  </si>
  <si>
    <t>IT12-3000-01</t>
  </si>
  <si>
    <t>IT Series TruSine™ Wave Power Inverter With 12VDC Input &amp; 2600W AC Output</t>
  </si>
  <si>
    <t>IT12-2600-01</t>
  </si>
  <si>
    <t>IT Series Pure Sine Inverter With 12VDC Input &amp; 2400W AC Output</t>
  </si>
  <si>
    <t>IT12-2400-01</t>
  </si>
  <si>
    <t>IT Series TruSine™ Wave Power Inverter With 12VDC Input &amp; 2200W AC Output</t>
  </si>
  <si>
    <t>IT12-2200S-01</t>
  </si>
  <si>
    <t>IT Series Pure Sine Wave Power Inverter With 12VDC Input &amp; 2000W AC Output</t>
  </si>
  <si>
    <t>IT12-2000-01</t>
  </si>
  <si>
    <t>IT Series Pure Sine Wave Power Inverter With 12VDC Input &amp; 1800W AC Output</t>
  </si>
  <si>
    <t>IT12-1800-01</t>
  </si>
  <si>
    <t>IT Series Pure Sine Wave Power Inverter With 12VDC Input &amp; 1600W AC Output</t>
  </si>
  <si>
    <t>IT12-1600-01</t>
  </si>
  <si>
    <t>Interface Module</t>
  </si>
  <si>
    <t>IFM1</t>
  </si>
  <si>
    <t>Internal Camera Mounting Two-Piece Bracket for Axon Fleet 3 Interior Camera</t>
  </si>
  <si>
    <t>ICM-AX3-2</t>
  </si>
  <si>
    <t>Internal Camera Mounting One-Piece Bracket for Axon Fleet 3 Interior Camera</t>
  </si>
  <si>
    <t>ICM-AX3-1</t>
  </si>
  <si>
    <t>Overhead Axon Fleet 3 Camera Mounting Bracket for 2025 Ford Interceptor Utility</t>
  </si>
  <si>
    <t>ICM-ADH-AX3-1</t>
  </si>
  <si>
    <t>Right-Angle USB 2.0 Cable for Brother PocketJet 6 &amp;amp; 7 Printer</t>
  </si>
  <si>
    <t>GSM70141</t>
  </si>
  <si>
    <t>Replacement LED Dome Light Used In "All White" Prisoner Transport Inserts</t>
  </si>
  <si>
    <t>GSM01213</t>
  </si>
  <si>
    <t>5-Year Enhanced Protection Plan For DS-ZEB-504-3</t>
  </si>
  <si>
    <t>EP5-ZEB-504-3</t>
  </si>
  <si>
    <t>5-Year Enhanced Protection Plan For DS-ZEB-504</t>
  </si>
  <si>
    <t>EP5-ZEB-504</t>
  </si>
  <si>
    <t>5-Year Enhanced Protection Plan For DS-ZEB-503</t>
  </si>
  <si>
    <t>EP5-ZEB-503</t>
  </si>
  <si>
    <t>5-Year Enhanced Protection Plan For DS-ZEB-501-3</t>
  </si>
  <si>
    <t>EP5-ZEB-501-3</t>
  </si>
  <si>
    <t>5-Year Enhanced Protection Plan For DS-ZEB-501</t>
  </si>
  <si>
    <t>EP5-ZEB-501</t>
  </si>
  <si>
    <t>5-Year Enhanced Protection Plan For DS-ZEB-403</t>
  </si>
  <si>
    <t>EP5-ZEB-403</t>
  </si>
  <si>
    <t>5-Year Enhanced Protection Plan For DS-ZEB-402-3</t>
  </si>
  <si>
    <t>EP5-ZEB-402-3</t>
  </si>
  <si>
    <t>5-Year Enhanced Protection Plan For DS-ZEB-402</t>
  </si>
  <si>
    <t>EP5-ZEB-402</t>
  </si>
  <si>
    <t>5-Year Enhanced Protection Plan For DS-ZEB-401-3</t>
  </si>
  <si>
    <t>EP5-ZEB-401-3</t>
  </si>
  <si>
    <t>5-Year Enhanced Protection Plan For DS-ZEB-401</t>
  </si>
  <si>
    <t>EP5-ZEB-401</t>
  </si>
  <si>
    <t>5-Year Enhanced Protection Plan For DS-ZEB-304-AC</t>
  </si>
  <si>
    <t>EP5-ZEB-304-AC</t>
  </si>
  <si>
    <t>5-Year Enhanced Protection Plan For DS-ZEB-304</t>
  </si>
  <si>
    <t>EP5-ZEB-304</t>
  </si>
  <si>
    <t>5-Year Enhanced Protection Plan For DS-ZEB-303</t>
  </si>
  <si>
    <t>EP5-ZEB-303</t>
  </si>
  <si>
    <t>5-Year Enhanced Protection Plan For DS-ZEB-302-ISO</t>
  </si>
  <si>
    <t>EP5-ZEB-302-ISO</t>
  </si>
  <si>
    <t>OBSOLETE - 5-Year Enhanced Protection Plan For DS-ZEB-301-AC</t>
  </si>
  <si>
    <t>EP5-ZEB-301-AC</t>
  </si>
  <si>
    <t>OBSOLETE - 5-Year Enhanced Protection Plan For DS-ZEB-301</t>
  </si>
  <si>
    <t>EP5-ZEB-301</t>
  </si>
  <si>
    <t>OBSOLETE - 5-Year Enhanced Protection Plan For DS-ZEB-205-ISO Docking Station</t>
  </si>
  <si>
    <t>EP5-ZEB-205-ISO</t>
  </si>
  <si>
    <t>OBSOLETE - 5-Year Enhanced Protection Plan For DS-ZEB-204 Docking Station</t>
  </si>
  <si>
    <t>EP5-ZEB-204</t>
  </si>
  <si>
    <t>OBSOLETE - 5-Year Enhanced Protection Plan For DS-ZEB-203 Cradle</t>
  </si>
  <si>
    <t>EP5-ZEB-203</t>
  </si>
  <si>
    <t>OBSOLETE - 5-Year Enhanced Protection Plan For DS-ZEB-202-ISO Docking Station</t>
  </si>
  <si>
    <t>EP5-ZEB-202-ISO</t>
  </si>
  <si>
    <t>OBSOLETE - 5-Year Enhanced Protection Plan For DS-ZEB-201 Docking Station</t>
  </si>
  <si>
    <t>EP5-ZEB-201</t>
  </si>
  <si>
    <t xml:space="preserve">OBSOLETE - 5-Year Enhanced Protection Plan For DS-ZEB-105-ISO </t>
  </si>
  <si>
    <t>EP5-ZEB-105-ISO</t>
  </si>
  <si>
    <t xml:space="preserve">OBSOLETE - 5-Year Enhanced Protection Plan For DS-ZEB-104 </t>
  </si>
  <si>
    <t>EP5-ZEB-104</t>
  </si>
  <si>
    <t xml:space="preserve">OBSOLETE - 5-Year Enhanced Protection Plan For DS-ZEB-103 </t>
  </si>
  <si>
    <t>EP5-ZEB-103</t>
  </si>
  <si>
    <t xml:space="preserve">OBSOLETE - 5-Year Enhanced Protection Plan For DS-ZEB-102-ISO </t>
  </si>
  <si>
    <t>EP5-ZEB-102-ISO</t>
  </si>
  <si>
    <t xml:space="preserve">OBSOLETE - 5-Year Enhanced Protection Plan For DS-ZEB-101 </t>
  </si>
  <si>
    <t>EP5-ZEB-101</t>
  </si>
  <si>
    <t>5-Year Enhanced Protection Plan For PKG-TAB4-SAM2</t>
  </si>
  <si>
    <t>EP5-TAB4-SAM2</t>
  </si>
  <si>
    <t>5-Year Enhanced Protection Plan For PKG-TAB4-APP8</t>
  </si>
  <si>
    <t>EP5-TAB4-APP8</t>
  </si>
  <si>
    <t>OBSOLETE - 5-Year Enhanced Protection Plan For PKG-TAB4-APP6</t>
  </si>
  <si>
    <t>EP5-TAB4-APP6</t>
  </si>
  <si>
    <t>5-Year Enhanced Protection Plan For PKG-TAB4-APP9</t>
  </si>
  <si>
    <t>EP5-TAB4-APP9</t>
  </si>
  <si>
    <t>OBSOLETE - 5-Year Enhanced Protection Plan For PKG-TAB4-APP5</t>
  </si>
  <si>
    <t>EP5-TAB4-APP5</t>
  </si>
  <si>
    <t>5-Year Enhanced Protection Plan For PKG-TAB4-APP4</t>
  </si>
  <si>
    <t>EP5-TAB4-APP4</t>
  </si>
  <si>
    <t>5-Year Enhanced Protection Plan For PKG-TAB4-APP7</t>
  </si>
  <si>
    <t>EP5-TAB4-APP7</t>
  </si>
  <si>
    <t>OBSOLETE - 5-Year Enhanced Protection Plan For PKG-TAB4-APP3</t>
  </si>
  <si>
    <t>EP5-TAB4-APP3</t>
  </si>
  <si>
    <t>5-Year Enhanced Protection Plan For PKG-TAB4-APP2</t>
  </si>
  <si>
    <t>EP5-TAB4-APP2</t>
  </si>
  <si>
    <t>5-Year Enhanced Protection Plan For PKG-TAB4-APP1</t>
  </si>
  <si>
    <t>EP5-TAB4-APP1</t>
  </si>
  <si>
    <t>5-Year Enhanced Protection Plan for DS-TAB-401</t>
  </si>
  <si>
    <t>EP5-TAB-401</t>
  </si>
  <si>
    <t>5-Year Enhanced Protection Plan for DS-TAB-302</t>
  </si>
  <si>
    <t>EP5-TAB-302</t>
  </si>
  <si>
    <t>5-Year Enhanced Protection Plan for DS-TAB-301</t>
  </si>
  <si>
    <t>EP5-TAB-301</t>
  </si>
  <si>
    <t>5-Year Enhanced Protection Plan for TA-102</t>
  </si>
  <si>
    <t>EP5-TA-102</t>
  </si>
  <si>
    <t>5-Year Enhanced Protection Plan for TA-101</t>
  </si>
  <si>
    <t>EP5-TA-101</t>
  </si>
  <si>
    <t xml:space="preserve">OBSOLETE - 5-Year Enhanced Protection Plan For PKG-GTC-906-3 </t>
  </si>
  <si>
    <t>EP5-PKG-GTC-906-3</t>
  </si>
  <si>
    <t xml:space="preserve">OBSOLETE - 5-Year Enhanced Protection Plan For PKG-GTC-906 </t>
  </si>
  <si>
    <t>EP5-PKG-GTC-906</t>
  </si>
  <si>
    <t xml:space="preserve">OBSOLETE - 5-Year Enhanced Protection Plan For PKG-GTC-903-3 </t>
  </si>
  <si>
    <t>EP5-PKG-GTC-903-3</t>
  </si>
  <si>
    <t xml:space="preserve">OBSOLETE - 5-Year Enhanced Protection Plan For PKG-GTC-903 </t>
  </si>
  <si>
    <t>EP5-PKG-GTC-903</t>
  </si>
  <si>
    <t>5-Year Enhanced Protection Plan For PKG-DS-GTC-902-BW</t>
  </si>
  <si>
    <t>EP5-PKG-GTC-902-BW</t>
  </si>
  <si>
    <t>5-Year Enhanced Protection Plan For PKG-DS-GTC-902-3-BW</t>
  </si>
  <si>
    <t>EP5-PKG-GTC-902-3-BW</t>
  </si>
  <si>
    <t xml:space="preserve">5-Year Enhanced Protection Plan For PKG-GTC-902-3 </t>
  </si>
  <si>
    <t>EP5-PKG-GTC-902-3</t>
  </si>
  <si>
    <t xml:space="preserve">5-Year Enhanced Protection Plan For PKG-GTC-902  </t>
  </si>
  <si>
    <t>EP5-PKG-GTC-902</t>
  </si>
  <si>
    <t xml:space="preserve">5-Year Enhanced Protection Plan For PKG-GTC-901-3  </t>
  </si>
  <si>
    <t>EP5-PKG-GTC-901-3</t>
  </si>
  <si>
    <t xml:space="preserve">5-Year Enhanced Protection Plan For PKG-GTC-901 </t>
  </si>
  <si>
    <t>EP5-PKG-GTC-901</t>
  </si>
  <si>
    <t>5-Year Enhanced Protection Plan For PKG-DS-GTC-802-BW</t>
  </si>
  <si>
    <t>EP5-PKG-GTC-802-BW</t>
  </si>
  <si>
    <t>5-Year Enhanced Protection Plan For PKG-DS-GTC-802-3-BW</t>
  </si>
  <si>
    <t>EP5-PKG-GTC-802-3-BW</t>
  </si>
  <si>
    <t>5-Year Enhanced Protection Plan For PKG-DS-GTC-801-3</t>
  </si>
  <si>
    <t>EP5-PKG-GTC-801-3</t>
  </si>
  <si>
    <t>5-Year Enhanced Protection Plan For PKG-DS-GTC-801</t>
  </si>
  <si>
    <t>EP5-PKG-GTC-801</t>
  </si>
  <si>
    <t>5-Year Enhanced Protection Plan For PKG-DS-GTC-619-3</t>
  </si>
  <si>
    <t>EP5-PKG-GTC-619-3</t>
  </si>
  <si>
    <t>5-Year Enhanced Protection Plan For PKG-DS-GTC-619</t>
  </si>
  <si>
    <t>EP5-PKG-GTC-619</t>
  </si>
  <si>
    <t>5-Year Enhanced Protection Plan For PKG-DS-GTC-617-BW</t>
  </si>
  <si>
    <t>EP5-PKG-GTC-617-BW</t>
  </si>
  <si>
    <t>5-Year Enhanced Protection Plan For PKG-DS-GTC-617-3-BW</t>
  </si>
  <si>
    <t>EP5-PKG-GTC-617-3-BW</t>
  </si>
  <si>
    <t>5-Year Enhanced Protection Plan For PKG-DS-GTC-613-3</t>
  </si>
  <si>
    <t>EP5-PKG-GTC-613-3</t>
  </si>
  <si>
    <t>5-Year Enhanced Protection Plan For PKG-DS-GTC-311-3</t>
  </si>
  <si>
    <t>EP5-PKG-GTC-311-3</t>
  </si>
  <si>
    <t>5-Year Enhanced Protection Plan For PKG-DS-GTC-311</t>
  </si>
  <si>
    <t>EP5-PKG-GTC-311</t>
  </si>
  <si>
    <t>5-Year Enhanced Protection Plan For PKG-DS-GTC-303</t>
  </si>
  <si>
    <t>EP5-PKG-GTC-303</t>
  </si>
  <si>
    <t xml:space="preserve">OBSOLETE - 5-Year Enhanced Protection Plan For PKG-DS-GTC-228-3 </t>
  </si>
  <si>
    <t>EP5-PKG-GTC-228-3</t>
  </si>
  <si>
    <t xml:space="preserve">OBSOLETE - 5-Year Enhanced Protection Plan For PKG-DS-GTC-228 </t>
  </si>
  <si>
    <t>EP5-PKG-GTC-228</t>
  </si>
  <si>
    <t xml:space="preserve">OBSOLETE - 5-Year Enhanced Protection Plan For PKG-DS-GTC-226-3 </t>
  </si>
  <si>
    <t>EP5-PKG-GTC-226-3</t>
  </si>
  <si>
    <t xml:space="preserve">OBSOLETE - 5-Year Enhanced Protection Plan For PKG-DS-GTC-226 </t>
  </si>
  <si>
    <t>EP5-PKG-GTC-226</t>
  </si>
  <si>
    <t xml:space="preserve">OBSOLETE - 5-Year Enhanced Protection Plan For PKG-DS-GTC-224-3 </t>
  </si>
  <si>
    <t>EP5-PKG-GTC-224-3</t>
  </si>
  <si>
    <t xml:space="preserve">OBSOLETE - 5-Year Enhanced Protection Plan For PKG-DS-GTC-224 </t>
  </si>
  <si>
    <t>EP5-PKG-GTC-224</t>
  </si>
  <si>
    <t>5-Year Enhanced Protection Plan For PKG-DS-GTC-222-BW</t>
  </si>
  <si>
    <t>EP5-PKG-GTC-222-BW</t>
  </si>
  <si>
    <t>5-Year Enhanced Protection Plan For PKG-DS-GTC-222-3-BW</t>
  </si>
  <si>
    <t>EP5-PKG-GTC-222-3-BW</t>
  </si>
  <si>
    <t xml:space="preserve">5-Year Enhanced Protection Plan For PKG-DS-GTC-222-3 </t>
  </si>
  <si>
    <t>EP5-PKG-GTC-222-3</t>
  </si>
  <si>
    <t xml:space="preserve">5-Year Enhanced Protection Plan For PKG-DS-GTC-222 </t>
  </si>
  <si>
    <t>EP5-PKG-GTC-222</t>
  </si>
  <si>
    <t>5-year Enhanced Protection Plan for PKG-DS-GTC-1608-BW</t>
  </si>
  <si>
    <t>EP5-PKG-GTC-1608-BW</t>
  </si>
  <si>
    <t>5-year Enhanced Protection Plan for PKG-DS-GTC-1608-4-BW</t>
  </si>
  <si>
    <t>EP5-PKG-GTC-1608-4-BW</t>
  </si>
  <si>
    <t>5-year Enhanced Protection Plan for PKG-DS-GTC-1607-BW</t>
  </si>
  <si>
    <t>EP5-PKG-GTC-1607-BW</t>
  </si>
  <si>
    <t>5-year Enhanced Protection Plan for PKG-DS-GTC-1607-4-BW</t>
  </si>
  <si>
    <t>EP5-PKG-GTC-1607-4-BW</t>
  </si>
  <si>
    <t>5-year Enhanced Protection Plan for PKG-DS-GTC-1605-BW</t>
  </si>
  <si>
    <t>EP5-PKG-GTC-1605-BW</t>
  </si>
  <si>
    <t>5-year Enhanced Protection Plan for PKG-DS-GTC-1605-4-BW</t>
  </si>
  <si>
    <t>EP5-PKG-GTC-1605-4-BW</t>
  </si>
  <si>
    <t>5-year Enhanced Protection Plan for PKG-DS-GTC-1604-4</t>
  </si>
  <si>
    <t>EP5-PKG-GTC-1604-4</t>
  </si>
  <si>
    <t>5-year Enhanced Protection Plan for PKG-DS-GTC-1604</t>
  </si>
  <si>
    <t>EP5-PKG-GTC-1604</t>
  </si>
  <si>
    <t>5-year Enhanced Protection Plan for PKG-DS-GTC-1603-4</t>
  </si>
  <si>
    <t>EP5-PKG-GTC-1603-4</t>
  </si>
  <si>
    <t>5-year Enhanced Protection Plan for PKG-DS-GTC-1603</t>
  </si>
  <si>
    <t>EP5-PKG-GTC-1603</t>
  </si>
  <si>
    <t>5-year Enhanced Protection Plan for PKG-DS-GTC-1602-BW</t>
  </si>
  <si>
    <t>EP5-PKG-GTC-1602-BW</t>
  </si>
  <si>
    <t>5-year Enhanced Protection Plan for PKG-DS-GTC-1602-4-BW</t>
  </si>
  <si>
    <t>EP5-PKG-GTC-1602-4-BW</t>
  </si>
  <si>
    <t>5-year Enhanced Protection Plan for PKG-DS-GTC-1601-4</t>
  </si>
  <si>
    <t>EP5-PKG-GTC-1601-4</t>
  </si>
  <si>
    <t>5-year Enhanced Protection Plan for PKG-DS-GTC-1601</t>
  </si>
  <si>
    <t>EP5-PKG-GTC-1601</t>
  </si>
  <si>
    <t>5-Year Enhanced Protection Plan For PKG-DS-GTC-1406-BW</t>
  </si>
  <si>
    <t>EP5-PKG-GTC-1406-BW</t>
  </si>
  <si>
    <t>5-Year Enhanced Protection Plan For PKG-DS-GTC-1406-3-BW</t>
  </si>
  <si>
    <t>EP5-PKG-GTC-1406-3-BW</t>
  </si>
  <si>
    <t>5-Year Enhanced Protection Plan for PKG-DS-GTC-1406-3</t>
  </si>
  <si>
    <t>EP5-PKG-GTC-1406-3</t>
  </si>
  <si>
    <t>5-Year Enhanced Protection Plan for PKG-DS-GTC-1406</t>
  </si>
  <si>
    <t>EP5-PKG-GTC-1406</t>
  </si>
  <si>
    <t>5-Year Enhanced Protection Plan for PKG-DS-GTC-1404-3</t>
  </si>
  <si>
    <t>EP5-PKG-GTC-1404-3</t>
  </si>
  <si>
    <t>5-Year Enhanced Protection Plan for PKG-DS-GTC-1404</t>
  </si>
  <si>
    <t>EP5-PKG-GTC-1404</t>
  </si>
  <si>
    <t>5-Year Enhanced Protection Plan for PKG-DS-GTC-1403-3</t>
  </si>
  <si>
    <t>EP5-PKG-GTC-1403-3</t>
  </si>
  <si>
    <t>5-Year Enhanced Protection Plan for PKG-DS-GTC-1403</t>
  </si>
  <si>
    <t>EP5-PKG-GTC-1403</t>
  </si>
  <si>
    <t>5-Year Enhanced Protection Plan For PKG-DS-GTC-1402-BW</t>
  </si>
  <si>
    <t>EP5-PKG-GTC-1402-BW</t>
  </si>
  <si>
    <t>5-Year Enhanced Protection Plan For PKG-DS-GTC-1402-3-BW</t>
  </si>
  <si>
    <t>EP5-PKG-GTC-1402-3-BW</t>
  </si>
  <si>
    <t>5-Year Enhanced Protection Plan for PKG-DS-GTC-1402-3</t>
  </si>
  <si>
    <t>EP5-PKG-GTC-1402-3</t>
  </si>
  <si>
    <t>5-Year Enhanced Protection Plan for PKG-DS-GTC-1402</t>
  </si>
  <si>
    <t>EP5-PKG-GTC-1402</t>
  </si>
  <si>
    <t>5-Year Enhanced Protection Plan for PKG-DS-GTC-1401-3</t>
  </si>
  <si>
    <t>EP5-PKG-GTC-1401-3</t>
  </si>
  <si>
    <t>5-Year Enhanced Protection Plan for PKG-DS-GTC-1401</t>
  </si>
  <si>
    <t>EP5-PKG-GTC-1401</t>
  </si>
  <si>
    <t xml:space="preserve">OBSOLETE - 5-Year Enhanced Protection Plan For PKG-DS-GTC-1306-3 </t>
  </si>
  <si>
    <t>EP5-PKG-GTC-1306-3</t>
  </si>
  <si>
    <t xml:space="preserve">OBSOLETE - 5-Year Enhanced Protection Plan For PKG-DS-GTC-1306 </t>
  </si>
  <si>
    <t>EP5-PKG-GTC-1306</t>
  </si>
  <si>
    <t>5-Year Enhanced Protection Plan For PKG-DS-GTC-1304-BW</t>
  </si>
  <si>
    <t>EP5-PKG-GTC-1304-BW</t>
  </si>
  <si>
    <t>5-Year Enhanced Protection Plan For PKG-DS-GTC-1304-3-BW</t>
  </si>
  <si>
    <t>EP5-PKG-GTC-1304-3-BW</t>
  </si>
  <si>
    <t xml:space="preserve">OBSOLETE - 5-Year Enhanced Protection Plan For PKG-DS-GTC-1303-3 </t>
  </si>
  <si>
    <t>EP5-PKG-GTC-1303-3</t>
  </si>
  <si>
    <t xml:space="preserve">OBSOLETE - 5-Year Enhanced Protection Plan For PKG-DS-GTC-1303 </t>
  </si>
  <si>
    <t>EP5-PKG-GTC-1303</t>
  </si>
  <si>
    <t xml:space="preserve">OBSOLETE - 5-Year Enhanced Protection Plan For PKG-DS-GTC-1302-3 </t>
  </si>
  <si>
    <t>EP5-PKG-GTC-1302-3</t>
  </si>
  <si>
    <t xml:space="preserve">OBSOLETE - 5-Year Enhanced Protection Plan For PKG-DS-GTC-1302 </t>
  </si>
  <si>
    <t>EP5-PKG-GTC-1302</t>
  </si>
  <si>
    <t xml:space="preserve">OBSOLETE - 5-Year Enhanced Protection Plan For PKG-DS-GTC-1301-3 </t>
  </si>
  <si>
    <t>EP5-PKG-GTC-1301-3</t>
  </si>
  <si>
    <t xml:space="preserve">OBSOLETE - 5-Year Enhanced Protection Plan For PKG-DS-GTC-1301 </t>
  </si>
  <si>
    <t>EP5-PKG-GTC-1301</t>
  </si>
  <si>
    <t xml:space="preserve">OBSOLETE - 5-Year Enhanced Protection Plan For PKG-GTC-1208-3 </t>
  </si>
  <si>
    <t>EP5-PKG-GTC-1208-3</t>
  </si>
  <si>
    <t xml:space="preserve">OBSOLETE - 5-Year Enhanced Protection Plan For PKG-GTC-1208 </t>
  </si>
  <si>
    <t>EP5-PKG-GTC-1208</t>
  </si>
  <si>
    <t xml:space="preserve">OBSOLETE - 5-Year Enhanced Protection Plan For PKG-GTC-1207-3 </t>
  </si>
  <si>
    <t>EP5-PKG-GTC-1207-3</t>
  </si>
  <si>
    <t xml:space="preserve">OBSOLETE - 5-Year Enhanced Protection Plan For PKG-GTC-1207 </t>
  </si>
  <si>
    <t>EP5-PKG-GTC-1207</t>
  </si>
  <si>
    <t xml:space="preserve">OBSOLETE - 5-Year Enhanced Protection Plan For PKG-GTC-1206-3  </t>
  </si>
  <si>
    <t>EP5-PKG-GTC-1206-3</t>
  </si>
  <si>
    <t xml:space="preserve">OBSOLETE - 5-Year Enhanced Protection Plan For PKG-GTC-1206  </t>
  </si>
  <si>
    <t>EP5-PKG-GTC-1206</t>
  </si>
  <si>
    <t>5-Year Enhanced Protection Plan For PKG-DS-GTC-1205-BW</t>
  </si>
  <si>
    <t>EP5-PKG-GTC-1205-BW</t>
  </si>
  <si>
    <t>5-Year Enhanced Protection Plan For PKG-DS-GTC-1205-3-BW</t>
  </si>
  <si>
    <t>EP5-PKG-GTC-1205-3-BW</t>
  </si>
  <si>
    <t xml:space="preserve">5-Year Enhanced Protection Plan For PKG-GTC-1205-3  </t>
  </si>
  <si>
    <t>EP5-PKG-GTC-1205-3</t>
  </si>
  <si>
    <t xml:space="preserve">5-Year Enhanced Protection Plan For PKG-GTC-1205  </t>
  </si>
  <si>
    <t>EP5-PKG-GTC-1205</t>
  </si>
  <si>
    <t xml:space="preserve">5-Year Enhanced Protection Plan For PKG-GTC-1204-3  </t>
  </si>
  <si>
    <t>EP5-PKG-GTC-1204-3</t>
  </si>
  <si>
    <t xml:space="preserve">5-Year Enhanced Protection Plan For PKG-GTC-1204  </t>
  </si>
  <si>
    <t>EP5-PKG-GTC-1204</t>
  </si>
  <si>
    <t xml:space="preserve">OBSOLETE - 5-Year Enhanced Protection Plan For PKG-GTC-1203-3  </t>
  </si>
  <si>
    <t>EP5-PKG-GTC-1203-3</t>
  </si>
  <si>
    <t xml:space="preserve">OBSOLETE - 5-Year Enhanced Protection Plan For PKG-GTC-1203  </t>
  </si>
  <si>
    <t>EP5-PKG-GTC-1203</t>
  </si>
  <si>
    <t>5-Year Enhanced Protection Plan For PKG-DS-GTC-1202-BW</t>
  </si>
  <si>
    <t>EP5-PKG-GTC-1202-BW</t>
  </si>
  <si>
    <t>5-Year Enhanced Protection Plan For PKG-DS-GTC-1202-3-BW</t>
  </si>
  <si>
    <t>EP5-PKG-GTC-1202-3-BW</t>
  </si>
  <si>
    <t xml:space="preserve">5-Year Enhanced Protection Plan For PKG-GTC-1202-3  </t>
  </si>
  <si>
    <t>EP5-PKG-GTC-1202-3</t>
  </si>
  <si>
    <t xml:space="preserve">5-Year Enhanced Protection Plan For PKG-GTC-1202  </t>
  </si>
  <si>
    <t>EP5-PKG-GTC-1202</t>
  </si>
  <si>
    <t xml:space="preserve">5-Year Enhanced Protection Plan For PKG-GTC-1201-3  </t>
  </si>
  <si>
    <t>EP5-PKG-GTC-1201-3</t>
  </si>
  <si>
    <t xml:space="preserve">5-Year Enhanced Protection Plan For PKG-GTC-1201  </t>
  </si>
  <si>
    <t>EP5-PKG-GTC-1201</t>
  </si>
  <si>
    <t>5-Year Enhanced Protection Plan For PKG-DS-GTC-1102-BW</t>
  </si>
  <si>
    <t>EP5-PKG-GTC-1102-BW</t>
  </si>
  <si>
    <t>5-Year Enhanced Protection Plan For PKG-DS-GTC-1102-3-BW</t>
  </si>
  <si>
    <t>EP5-PKG-GTC-1102-3-BW</t>
  </si>
  <si>
    <t>5-Year Enhanced Protection Plan For PKG-DS-GTC-1101-3</t>
  </si>
  <si>
    <t>EP5-PKG-GTC-1101-3</t>
  </si>
  <si>
    <t>5-Year Enhanced Protection Plan For PKG-DS-GTC-1101</t>
  </si>
  <si>
    <t>EP5-PKG-GTC-1101</t>
  </si>
  <si>
    <t xml:space="preserve">OBSOLETE - 5-Year Enhanced Protection Plan For PKG-DS-GTC-1009-3 </t>
  </si>
  <si>
    <t>EP5-PKG-GTC-1009-3</t>
  </si>
  <si>
    <t xml:space="preserve">OBSOLETE - 5-Year Enhanced Protection Plan For PKG-DS-GTC-1009 </t>
  </si>
  <si>
    <t>EP5-PKG-GTC-1009</t>
  </si>
  <si>
    <t xml:space="preserve">OBSOLETE - 5-Year Enhanced Protection Plan For PKG-DS-GTC-1008-3 </t>
  </si>
  <si>
    <t>EP5-PKG-GTC-1008-3</t>
  </si>
  <si>
    <t xml:space="preserve">OBSOLETE - 5-Year Enhanced Protection Plan For PKG-DS-GTC-1008 </t>
  </si>
  <si>
    <t>EP5-PKG-GTC-1008</t>
  </si>
  <si>
    <t xml:space="preserve">OBSOLETE - 5-Year Enhanced Protection Plan For PKG-DS-GTC-1006-3 </t>
  </si>
  <si>
    <t>EP5-PKG-GTC-1006-3</t>
  </si>
  <si>
    <t xml:space="preserve">OBSOLETE - 5-Year Enhanced Protection Plan For PKG-DS-GTC-1006 </t>
  </si>
  <si>
    <t>EP5-PKG-GTC-1006</t>
  </si>
  <si>
    <t xml:space="preserve">OBSOLETE - 5-Year Enhanced Protection Plan For PKG-DS-GTC-1005-3 </t>
  </si>
  <si>
    <t>EP5-PKG-GTC-1005-3</t>
  </si>
  <si>
    <t xml:space="preserve">OBSOLETE - 5-Year Enhanced Protection Plan For PKG-DS-GTC-1005 </t>
  </si>
  <si>
    <t>EP5-PKG-GTC-1005</t>
  </si>
  <si>
    <t xml:space="preserve">OBSOLETE - 5-Year Enhanced Protection Plan For PKG-GTC-1004-3  </t>
  </si>
  <si>
    <t>EP5-PKG-GTC-1004-3</t>
  </si>
  <si>
    <t xml:space="preserve">OBSOLETE - 5-Year Enhanced Protection Plan For PKG-GTC-1004  </t>
  </si>
  <si>
    <t>EP5-PKG-GTC-1004</t>
  </si>
  <si>
    <t xml:space="preserve">OBSOLETE - 5-Year Enhanced Protection Plan For PKG-GTC-1003-3  </t>
  </si>
  <si>
    <t>EP5-PKG-GTC-1003-3</t>
  </si>
  <si>
    <t xml:space="preserve">OBSOLETE - 5-Year Enhanced Protection Plan For PKG-GTC-1003  </t>
  </si>
  <si>
    <t>EP5-PKG-GTC-1003</t>
  </si>
  <si>
    <t>5-Year Enhanced Protection Plan For PKG-DS-GTC-1002-BW</t>
  </si>
  <si>
    <t>EP5-PKG-GTC-1002-BW</t>
  </si>
  <si>
    <t>5-Year Enhanced Protection Plan For PKG-DS-GTC-1002-3-BW</t>
  </si>
  <si>
    <t>EP5-PKG-GTC-1002-3-BW</t>
  </si>
  <si>
    <t xml:space="preserve">OBSOLETE - 5-Year Enhanced Protection Plan For PKG-GTC-1002-3  </t>
  </si>
  <si>
    <t>EP5-PKG-GTC-1002-3</t>
  </si>
  <si>
    <t xml:space="preserve">OBSOLETE - 5-Year Enhanced Protection Plan For PKG-GTC-1002  </t>
  </si>
  <si>
    <t>EP5-PKG-GTC-1002</t>
  </si>
  <si>
    <t xml:space="preserve">5-Year Enhanced Protection Plan For PKG-GTC-1001-3  </t>
  </si>
  <si>
    <t>EP5-PKG-GTC-1001-3</t>
  </si>
  <si>
    <t xml:space="preserve">5-Year Enhanced Protection Plan For PKG-GTC-1001  </t>
  </si>
  <si>
    <t>EP5-PKG-GTC-1001</t>
  </si>
  <si>
    <t>5-Year Enhanced Protection Plan for PKG-DELL-1202</t>
  </si>
  <si>
    <t>EP5-PKG-DELL-1202</t>
  </si>
  <si>
    <t>5-Year Enhanced Protection Plan for PKG-DELL-1201-2060</t>
  </si>
  <si>
    <t>EP5-PKG-DELL-1201-2060</t>
  </si>
  <si>
    <t>5-Year Enhanced Protection Plan for PKG-DELL-1201-1232</t>
  </si>
  <si>
    <t>EP5-PKG-DELL-1201-1232</t>
  </si>
  <si>
    <t>5-Year Enhanced Protection Plan for PKG-DELL-1002</t>
  </si>
  <si>
    <t>EP5-PKG-DELL-1002</t>
  </si>
  <si>
    <t>5-Year Enhanced Protection Plan for PKG-DELL-1001-2060</t>
  </si>
  <si>
    <t>EP5-PKG-DELL-1001-2060</t>
  </si>
  <si>
    <t>5-Year Enhanced Protection Plan for PKG-DELL-1001-1232</t>
  </si>
  <si>
    <t>EP5-PKG-DELL-1001-1232</t>
  </si>
  <si>
    <t xml:space="preserve">5-Year Enhanced Protection Plan For DS-PAN-725N-2 </t>
  </si>
  <si>
    <t>EP5-PAN-725N-2</t>
  </si>
  <si>
    <t xml:space="preserve">5-Year Enhanced Protection Plan For DS-PAN-725N </t>
  </si>
  <si>
    <t>EP5-PAN-725N</t>
  </si>
  <si>
    <t xml:space="preserve">DISCONTINUED - 5-Year Enhanced Protection Plan For DS-PAN-725-2 </t>
  </si>
  <si>
    <t>EP5-PAN-725-2</t>
  </si>
  <si>
    <t xml:space="preserve">DISCONTINUED - 5-Year Enhanced Protection Plan For DS-PAN-725 </t>
  </si>
  <si>
    <t>EP5-PAN-725</t>
  </si>
  <si>
    <t xml:space="preserve">5-Year Enhanced Protection Plan For DS-PAN-724-2 </t>
  </si>
  <si>
    <t>EP5-PAN-724-2</t>
  </si>
  <si>
    <t xml:space="preserve">5-Year Enhanced Protection Plan For DS-PAN-724 </t>
  </si>
  <si>
    <t>EP5-PAN-724</t>
  </si>
  <si>
    <t xml:space="preserve">5-Year Enhanced Protection Plan For DS-PAN-723   </t>
  </si>
  <si>
    <t>EP5-PAN-723</t>
  </si>
  <si>
    <t xml:space="preserve">5-Year Enhanced Protection Plan For DS-PAN-722N-2  </t>
  </si>
  <si>
    <t>EP5-PAN-722N-2</t>
  </si>
  <si>
    <t>5-Year Enhanced Protection Plan For DS-PAN-722N</t>
  </si>
  <si>
    <t>EP5-PAN-722N</t>
  </si>
  <si>
    <t xml:space="preserve">DISCONTINUED - 5-Year Enhanced Protection Plan For DS-PAN-722-2  </t>
  </si>
  <si>
    <t>EP5-PAN-722-2</t>
  </si>
  <si>
    <t xml:space="preserve">DISCONTINUED - 5-Year Enhanced Protection Plan For DS-PAN-722  </t>
  </si>
  <si>
    <t>EP5-PAN-722</t>
  </si>
  <si>
    <t xml:space="preserve">5-Year Enhanced Protection Plan For DS-PAN-721-2  </t>
  </si>
  <si>
    <t>EP5-PAN-721-2</t>
  </si>
  <si>
    <t xml:space="preserve">5-Year Enhanced Protection Plan For DS-PAN-721  </t>
  </si>
  <si>
    <t>EP5-PAN-721</t>
  </si>
  <si>
    <t>5-Year Enhanced Protection Plan For DS-PAN-436N</t>
  </si>
  <si>
    <t>EP5-PAN-436N</t>
  </si>
  <si>
    <t xml:space="preserve">DISCONTINUED - 5-Year Enhanced Protection Plan For DS-PAN-436 </t>
  </si>
  <si>
    <t>EP5-PAN-436</t>
  </si>
  <si>
    <t xml:space="preserve">5-Year Enhanced Protection Plan For DS-PAN-435N-2 </t>
  </si>
  <si>
    <t>EP5-PAN-435N-2</t>
  </si>
  <si>
    <t xml:space="preserve">5-Year Enhanced Protection Plan For DS-PAN-435N </t>
  </si>
  <si>
    <t>EP5-PAN-435N</t>
  </si>
  <si>
    <t xml:space="preserve">DISCONTINUED - 5-Year Enhanced Protection Plan For DS-PAN-435-2 </t>
  </si>
  <si>
    <t>EP5-PAN-435-2</t>
  </si>
  <si>
    <t xml:space="preserve">DISCONTINUED - 5-Year Enhanced Protection Plan For DS-PAN-435 </t>
  </si>
  <si>
    <t>EP5-PAN-435</t>
  </si>
  <si>
    <t xml:space="preserve">5-Year Enhanced Protection Plan For DS-PAN-434-2 </t>
  </si>
  <si>
    <t>EP5-PAN-434-2</t>
  </si>
  <si>
    <t xml:space="preserve">5-Year Enhanced Protection Plan For DS-PAN-434 </t>
  </si>
  <si>
    <t>EP5-PAN-434</t>
  </si>
  <si>
    <t xml:space="preserve">5-Year Enhanced Protection Plan For DS-PAN-433 </t>
  </si>
  <si>
    <t>EP5-PAN-433</t>
  </si>
  <si>
    <t xml:space="preserve">5-Year Enhanced Protection Plan For DS-PAN-432N-2 </t>
  </si>
  <si>
    <t>EP5-PAN-432N-2</t>
  </si>
  <si>
    <t xml:space="preserve">5-Year Enhanced Protection Plan For DS-PAN-432N </t>
  </si>
  <si>
    <t>EP5-PAN-432N</t>
  </si>
  <si>
    <t xml:space="preserve">DISCONTINUED - 5-Year Enhanced Protection Plan For DS-PAN-432-2 </t>
  </si>
  <si>
    <t>EP5-PAN-432-2</t>
  </si>
  <si>
    <t xml:space="preserve">DISCONTINUED - 5-Year Enhanced Protection Plan For DS-PAN-432 </t>
  </si>
  <si>
    <t>EP5-PAN-432</t>
  </si>
  <si>
    <t xml:space="preserve">5-Year Enhanced Protection Plan For DS-PAN-431-2 </t>
  </si>
  <si>
    <t>EP5-PAN-431-2</t>
  </si>
  <si>
    <t xml:space="preserve">5-Year Enhanced Protection Plan For DS-PAN-431 </t>
  </si>
  <si>
    <t>EP5-PAN-431</t>
  </si>
  <si>
    <t xml:space="preserve">5-Year Enhanced Protection Plan For DS-PAN-1505N-4 </t>
  </si>
  <si>
    <t>EP5-PAN-1505N-4</t>
  </si>
  <si>
    <t>5-Year Enhanced Protection Plan For DS-PAN-1505N</t>
  </si>
  <si>
    <t>EP5-PAN-1505N</t>
  </si>
  <si>
    <t xml:space="preserve">DISCONTINUED - 5-Year Enhanced Protection Plan For DS-PAN-1505-4 </t>
  </si>
  <si>
    <t>EP5-PAN-1505-4</t>
  </si>
  <si>
    <t xml:space="preserve">DISCONTINUED - 5-Year Enhanced Protection Plan For DS-PAN-1505 </t>
  </si>
  <si>
    <t>EP5-PAN-1505</t>
  </si>
  <si>
    <t xml:space="preserve">5-Year Enhanced Protection Plan For DS-PAN-1504-4 </t>
  </si>
  <si>
    <t>EP5-PAN-1504-4</t>
  </si>
  <si>
    <t xml:space="preserve">5-Year Enhanced Protection Plan For DS-PAN-1504 </t>
  </si>
  <si>
    <t>EP5-PAN-1504</t>
  </si>
  <si>
    <t xml:space="preserve">5-Year Enhanced Protection Plan For DS-PAN-1503 </t>
  </si>
  <si>
    <t>EP5-PAN-1503</t>
  </si>
  <si>
    <t xml:space="preserve">5-Year Enhanced Protection Plan For DS-PAN-1502N-4 </t>
  </si>
  <si>
    <t>EP5-PAN-1502N-4</t>
  </si>
  <si>
    <t xml:space="preserve">5-Year Enhanced Protection Plan For DS-PAN-1502N </t>
  </si>
  <si>
    <t>EP5-PAN-1502N</t>
  </si>
  <si>
    <t xml:space="preserve">DISCONTINUED - 5-Year Enhanced Protection Plan For DS-PAN-1502-4 </t>
  </si>
  <si>
    <t>EP5-PAN-1502-4</t>
  </si>
  <si>
    <t xml:space="preserve">DISCONTINUED - 5-Year Enhanced Protection Plan For DS-PAN-1502 </t>
  </si>
  <si>
    <t>EP5-PAN-1502</t>
  </si>
  <si>
    <t xml:space="preserve">5-Year Enhanced Protection Plan For DS-PAN-1501-4 </t>
  </si>
  <si>
    <t>EP5-PAN-1501-4</t>
  </si>
  <si>
    <t xml:space="preserve">5-Year Enhanced Protection Plan For DS-PAN-1501 </t>
  </si>
  <si>
    <t>EP5-PAN-1501</t>
  </si>
  <si>
    <t xml:space="preserve">OBSOLETE - 5-Year Enhanced Protection Plan For DS-PAN-1403  </t>
  </si>
  <si>
    <t>EP5-PAN-1403</t>
  </si>
  <si>
    <t xml:space="preserve">OBSOLETE - 5-Year Enhanced Protection Plan For DS-PAN-1401-2  </t>
  </si>
  <si>
    <t>EP5-PAN-1401-2</t>
  </si>
  <si>
    <t xml:space="preserve">OBSOLETE - 5-Year Enhanced Protection Plan For DS-PAN-1401  </t>
  </si>
  <si>
    <t>EP5-PAN-1401</t>
  </si>
  <si>
    <t xml:space="preserve">OBSOLETE - 5-Year Enhanced Protection Plan For DS-PAN-1301-2  </t>
  </si>
  <si>
    <t>EP5-PAN-1301-2</t>
  </si>
  <si>
    <t xml:space="preserve">OBSOLETE - 5-Year Enhanced Protection Plan For DS-PAN-1301  </t>
  </si>
  <si>
    <t>EP5-PAN-1301</t>
  </si>
  <si>
    <t>5-Year Enhanced Protection Plan for DS-PAN-1215N-2</t>
  </si>
  <si>
    <t>EP5-PAN-1215N-2</t>
  </si>
  <si>
    <t>5-Year Enhanced Protection Plan for DS-PAN-1215N</t>
  </si>
  <si>
    <t>EP5-PAN-1215N</t>
  </si>
  <si>
    <t>5-Year Enhanced Protection Plan for DS-PAN-1214-2</t>
  </si>
  <si>
    <t>EP5-PAN-1214-2</t>
  </si>
  <si>
    <t>5-Year Enhanced Protection Plan for DS-PAN-1214</t>
  </si>
  <si>
    <t>EP5-PAN-1214</t>
  </si>
  <si>
    <t>5-Year Enhanced Protection Plan for DS-PAN-1213</t>
  </si>
  <si>
    <t>EP5-PAN-1213</t>
  </si>
  <si>
    <t>5-Year Enhanced Protection Plan for DS-PAN-1212N-2</t>
  </si>
  <si>
    <t>EP5-PAN-1212N-2</t>
  </si>
  <si>
    <t>5-Year Enhanced Protection Plan for DS-PAN-1212N</t>
  </si>
  <si>
    <t>EP5-PAN-1212N</t>
  </si>
  <si>
    <t>5-Year Enhanced Protection Plan for DS-PAN-1211-2</t>
  </si>
  <si>
    <t>EP5-PAN-1211-2</t>
  </si>
  <si>
    <t>5-Year Enhanced Protection Plan for DS-PAN-1211</t>
  </si>
  <si>
    <t>EP5-PAN-1211</t>
  </si>
  <si>
    <t xml:space="preserve">OBSOLETE - 5-Year Enhanced Protection Plan For DS-PAN-1205-2  </t>
  </si>
  <si>
    <t>EP5-PAN-1205-2</t>
  </si>
  <si>
    <t xml:space="preserve">OBSOLETE - 5-Year Enhanced Protection Plan For DS-PAN-1205  </t>
  </si>
  <si>
    <t>EP5-PAN-1205</t>
  </si>
  <si>
    <t xml:space="preserve">OBSOLETE - 5-Year Enhanced Protection Plan For DS-PAN-1204-2  </t>
  </si>
  <si>
    <t>EP5-PAN-1204-2</t>
  </si>
  <si>
    <t xml:space="preserve">OBSOLETE - 5-Year Enhanced Protection Plan For DS-PAN-1204  </t>
  </si>
  <si>
    <t>EP5-PAN-1204</t>
  </si>
  <si>
    <t xml:space="preserve">OBSOLETE - 5-Year Enhanced Protection Plan For DS-PAN-1203  </t>
  </si>
  <si>
    <t>EP5-PAN-1203</t>
  </si>
  <si>
    <t xml:space="preserve">OBSOLETE - 5-Year Enhanced Protection Plan For DS-PAN-1202-2  </t>
  </si>
  <si>
    <t>EP5-PAN-1202-2</t>
  </si>
  <si>
    <t xml:space="preserve">OBSOLETE - 5-Year Enhanced Protection Plan For DS-PAN-1202  </t>
  </si>
  <si>
    <t>EP5-PAN-1202</t>
  </si>
  <si>
    <t xml:space="preserve">OBSOLETE - 5-Year Enhanced Protection Plan For DS-PAN-1201-2  </t>
  </si>
  <si>
    <t>EP5-PAN-1201-2</t>
  </si>
  <si>
    <t xml:space="preserve">OBSOLETE - 5-Year Enhanced Protection Plan For DS-PAN-1201  </t>
  </si>
  <si>
    <t>EP5-PAN-1201</t>
  </si>
  <si>
    <t xml:space="preserve">5-Year Enhanced Protection Plan For DS-PAN-1115N-2  </t>
  </si>
  <si>
    <t>EP5-PAN-1115N-2</t>
  </si>
  <si>
    <t xml:space="preserve">5-Year Enhanced Protection Plan For DS-PAN-1115N  </t>
  </si>
  <si>
    <t>EP5-PAN-1115N</t>
  </si>
  <si>
    <t xml:space="preserve">DISCONTINUED - 5-Year Enhanced Protection Plan For DS-PAN-1115-2  </t>
  </si>
  <si>
    <t>EP5-PAN-1115-2</t>
  </si>
  <si>
    <t xml:space="preserve">DISCONTINUED - 5-Year Enhanced Protection Plan For DS-PAN-1115  </t>
  </si>
  <si>
    <t>EP5-PAN-1115</t>
  </si>
  <si>
    <t xml:space="preserve">5-Year Enhanced Protection Plan For DS-PAN-1114-2  </t>
  </si>
  <si>
    <t>EP5-PAN-1114-2</t>
  </si>
  <si>
    <t xml:space="preserve">5-Year Enhanced Protection Plan For DS-PAN-1114  </t>
  </si>
  <si>
    <t>EP5-PAN-1114</t>
  </si>
  <si>
    <t xml:space="preserve">5-Year Enhanced Protection Plan For DS-PAN-1113  </t>
  </si>
  <si>
    <t>EP5-PAN-1113</t>
  </si>
  <si>
    <t>5-Year Enhanced Protection Plan For DS-PAN-1112 N-2</t>
  </si>
  <si>
    <t>EP5-PAN-1112N-2</t>
  </si>
  <si>
    <t>5-Year Enhanced Protection Plan For DS-PAN-1112N</t>
  </si>
  <si>
    <t>EP5-PAN-1112N</t>
  </si>
  <si>
    <t xml:space="preserve">DISCONTINUED - 5-Year Enhanced Protection Plan For DS-PAN-1112  </t>
  </si>
  <si>
    <t>EP5-PAN-1112-2</t>
  </si>
  <si>
    <t>DISCONTINUED - 5-Year Enhanced Protection Plan For Panasonic TOUGHBOOK 33</t>
  </si>
  <si>
    <t>EP5-PAN-1112</t>
  </si>
  <si>
    <t xml:space="preserve">5-Year Enhanced Protection Plan For DS-PAN-1111-2 </t>
  </si>
  <si>
    <t>EP5-PAN-1111-2</t>
  </si>
  <si>
    <t xml:space="preserve">5-Year Enhanced Protection Plan For DS-PAN-1111 </t>
  </si>
  <si>
    <t>EP5-PAN-1111</t>
  </si>
  <si>
    <t xml:space="preserve">5-Year Enhanced Protection Plan For DS-PAN-1015N-2 </t>
  </si>
  <si>
    <t>EP5-PAN-1015N-2</t>
  </si>
  <si>
    <t xml:space="preserve">5-Year Enhanced Protection Plan For DS-PAN-1015N </t>
  </si>
  <si>
    <t>EP5-PAN-1015N</t>
  </si>
  <si>
    <t xml:space="preserve">DISCONTINUED - 5-Year Enhanced Protection Plan For DS-PAN-1015-2 </t>
  </si>
  <si>
    <t>EP5-PAN-1015-2</t>
  </si>
  <si>
    <t xml:space="preserve">DISCONTINUED - 5-Year Enhanced Protection Plan For DS-PAN-1015 </t>
  </si>
  <si>
    <t>EP5-PAN-1015</t>
  </si>
  <si>
    <t xml:space="preserve">5-Year Enhanced Protection Plan For DS-PAN-1014-2 </t>
  </si>
  <si>
    <t>EP5-PAN-1014-2</t>
  </si>
  <si>
    <t xml:space="preserve">5-Year Enhanced Protection Plan For DS-PAN-1014 </t>
  </si>
  <si>
    <t>EP5-PAN-1014</t>
  </si>
  <si>
    <t xml:space="preserve">5-Year Enhanced Protection Plan For DS-PAN-1013 </t>
  </si>
  <si>
    <t>EP5-PAN-1013</t>
  </si>
  <si>
    <t xml:space="preserve">5-Year Enhanced Protection Plan For DS-PAN-1012N-2 </t>
  </si>
  <si>
    <t>EP5-PAN-1012N-2</t>
  </si>
  <si>
    <t>5-Year Enhanced Protection Plan For DS-PAN-1012N</t>
  </si>
  <si>
    <t>EP5-PAN-1012N</t>
  </si>
  <si>
    <t xml:space="preserve">DISCONTINUED - 5-Year Enhanced Protection Plan For DS-PAN-1012-2 </t>
  </si>
  <si>
    <t>EP5-PAN-1012-2</t>
  </si>
  <si>
    <t xml:space="preserve">DISCONTINUED - 5-Year Enhanced Protection Plan For DS-PAN-1012 </t>
  </si>
  <si>
    <t>EP5-PAN-1012</t>
  </si>
  <si>
    <t xml:space="preserve">5-Year Enhanced Protection Plan For DS-PAN-1011-2 </t>
  </si>
  <si>
    <t>EP5-PAN-1011-2</t>
  </si>
  <si>
    <t xml:space="preserve">5-Year Enhanced Protection Plan For DS-PAN-1011 </t>
  </si>
  <si>
    <t>EP5-PAN-1011</t>
  </si>
  <si>
    <t xml:space="preserve">OBSOLETE - 5-Year Enhanced Protection Plan For DS-GTC-906-3 </t>
  </si>
  <si>
    <t>EP5-GTC-906-3</t>
  </si>
  <si>
    <t xml:space="preserve">OBSOLETE - 5-Year Enhanced Protection Plan For DS-GTC-906 </t>
  </si>
  <si>
    <t>EP5-GTC-906</t>
  </si>
  <si>
    <t xml:space="preserve">5-Year Enhanced Protection Plan For DS-GTC-903-3 </t>
  </si>
  <si>
    <t>EP5-GTC-903-3</t>
  </si>
  <si>
    <t xml:space="preserve">5-Year Enhanced Protection Plan For DS-GTC-903 </t>
  </si>
  <si>
    <t>EP5-GTC-903</t>
  </si>
  <si>
    <t xml:space="preserve">OBSOLETE - 5-Year Enhanced Protection Plan For DS-GTC-902-3 </t>
  </si>
  <si>
    <t>EP5-GTC-902-3</t>
  </si>
  <si>
    <t xml:space="preserve">OBSOLETE - 5-Year Enhanced Protection Plan For DS-GTC-902 </t>
  </si>
  <si>
    <t>EP5-GTC-902</t>
  </si>
  <si>
    <t xml:space="preserve">5-Year Enhanced Protection Plan For DS-GTC-901-3 </t>
  </si>
  <si>
    <t>EP5-GTC-901-3</t>
  </si>
  <si>
    <t xml:space="preserve">5-Year Enhanced Protection Plan For DS-GTC-901 </t>
  </si>
  <si>
    <t>EP5-GTC-901</t>
  </si>
  <si>
    <t xml:space="preserve">OBSOLETE - 5-Year Enhanced Protection Plan For DS-GTC-806-3 </t>
  </si>
  <si>
    <t>EP5-GTC-806-3</t>
  </si>
  <si>
    <t xml:space="preserve">OBSOLETE - 5-Year Enhanced Protection Plan For DS-GTC-806 </t>
  </si>
  <si>
    <t>EP5-GTC-806</t>
  </si>
  <si>
    <t xml:space="preserve">5-Year Enhanced Protection Plan For DS-GTC-803-3 </t>
  </si>
  <si>
    <t>EP5-GTC-803-3</t>
  </si>
  <si>
    <t xml:space="preserve">5-Year Enhanced Protection Plan For DS-GTC-803 </t>
  </si>
  <si>
    <t>EP5-GTC-803</t>
  </si>
  <si>
    <t xml:space="preserve">OBSOLETE - 5-Year Enhanced Protection Plan For DS-GTC-802-3 </t>
  </si>
  <si>
    <t>EP5-GTC-802-3</t>
  </si>
  <si>
    <t xml:space="preserve">OBSOLETE - 5-Year Enhanced Protection Plan For DS-GTC-802 </t>
  </si>
  <si>
    <t>EP5-GTC-802</t>
  </si>
  <si>
    <t xml:space="preserve">5-Year Enhanced Protection Plan For DS-GTC-801-3 </t>
  </si>
  <si>
    <t>EP5-GTC-801-3</t>
  </si>
  <si>
    <t xml:space="preserve">5-Year Enhanced Protection Plan For DS-GTC-801 </t>
  </si>
  <si>
    <t>EP5-GTC-801</t>
  </si>
  <si>
    <t xml:space="preserve">OBSOLETE - 5-Year Enhanced Protection Plan For DS-GTC-718-2 </t>
  </si>
  <si>
    <t>EP5-GTC-718-2</t>
  </si>
  <si>
    <t xml:space="preserve">OBSOLETE - 5-Year Enhanced Protection Plan For  DS-GTC-718 </t>
  </si>
  <si>
    <t>EP5-GTC-718</t>
  </si>
  <si>
    <t xml:space="preserve">OBSOLETE - 5-Year Enhanced Protection Plan For DS-GTC-717-2 </t>
  </si>
  <si>
    <t>EP5-GTC-717-2</t>
  </si>
  <si>
    <t xml:space="preserve">OBSOLETE - 5-Year Enhanced Protection Plan For DS-GTC-717 </t>
  </si>
  <si>
    <t>EP5-GTC-717</t>
  </si>
  <si>
    <t xml:space="preserve">5-Year Enhanced Protection Plan For DS-GTC-715-2 </t>
  </si>
  <si>
    <t>EP5-GTC-715-2</t>
  </si>
  <si>
    <t xml:space="preserve">5-Year Enhanced Protection Plan For DS-GTC-715 </t>
  </si>
  <si>
    <t>EP5-GTC-715</t>
  </si>
  <si>
    <t xml:space="preserve">5-Year Enhanced Protection Plan For DS-GTC-714-2 </t>
  </si>
  <si>
    <t>EP5-GTC-714-2</t>
  </si>
  <si>
    <t xml:space="preserve">5-Year Enhanced Protection Plan For DS-GTC-714 </t>
  </si>
  <si>
    <t>EP5-GTC-714</t>
  </si>
  <si>
    <t xml:space="preserve">OBSOLETE - 5-Year Enhanced Protection Plan For DS-GTC-712-2  </t>
  </si>
  <si>
    <t>EP5-GTC-712-2</t>
  </si>
  <si>
    <t xml:space="preserve">OBSOLETE - 5-Year Enhanced Protection Plan For  DS-GTC-712 </t>
  </si>
  <si>
    <t>EP5-GTC-712</t>
  </si>
  <si>
    <t xml:space="preserve">5-Year Enhanced Protection Plan For DS-GTC-711-2 </t>
  </si>
  <si>
    <t>EP5-GTC-711-2</t>
  </si>
  <si>
    <t xml:space="preserve">5-Year Enhanced Protection Plan For DS-GTC-711 </t>
  </si>
  <si>
    <t>EP5-GTC-711</t>
  </si>
  <si>
    <t>5-Year Enhanced Protection Plan For DS-GTC-617-BW</t>
  </si>
  <si>
    <t>EP5-GTC-617-BW</t>
  </si>
  <si>
    <t>5-Year Enhanced Protection Plan For DS-GTC-617-3-BW</t>
  </si>
  <si>
    <t>EP5-GTC-617-3-BW</t>
  </si>
  <si>
    <t xml:space="preserve">5-Year Enhanced Protection Plan For DS-GTC-617-3 </t>
  </si>
  <si>
    <t>EP5-GTC-617-3</t>
  </si>
  <si>
    <t xml:space="preserve">5-Year Enhanced Protection Plan For DS-GTC-617 </t>
  </si>
  <si>
    <t>EP5-GTC-617</t>
  </si>
  <si>
    <t xml:space="preserve">5-Year Enhanced Protection Plan For   For DS-GTC-613-3  </t>
  </si>
  <si>
    <t>EP5-GTC-613-3</t>
  </si>
  <si>
    <t xml:space="preserve">5-Year Enhanced Protection Plan For   For DS-GTC-613  </t>
  </si>
  <si>
    <t>EP5-GTC-613</t>
  </si>
  <si>
    <t xml:space="preserve">5-Year Enhanced Protection Plan For DS-GTC-611-3 </t>
  </si>
  <si>
    <t>EP5-GTC-611-3</t>
  </si>
  <si>
    <t xml:space="preserve">5-Year Enhanced Protection Plan For DS-GTC-611 </t>
  </si>
  <si>
    <t>EP5-GTC-611</t>
  </si>
  <si>
    <t xml:space="preserve">5-Year Enhanced Protection Plan For DS-GTC-415-3 </t>
  </si>
  <si>
    <t>EP5-GTC-415-3</t>
  </si>
  <si>
    <t xml:space="preserve">5-Year Enhanced Protection Plan For DS-GTC-415 </t>
  </si>
  <si>
    <t>EP5-GTC-415</t>
  </si>
  <si>
    <t xml:space="preserve">5-Year Enhanced Protection Plan For DS-GTC-413-3 </t>
  </si>
  <si>
    <t>EP5-GTC-413-3</t>
  </si>
  <si>
    <t xml:space="preserve">5-Year Enhanced Protection Plan For DS-GTC-413 </t>
  </si>
  <si>
    <t>EP5-GTC-413</t>
  </si>
  <si>
    <t xml:space="preserve">OBSOLETE - 5-Year Enhanced Protection Plan For DS-GTC-412-3 </t>
  </si>
  <si>
    <t>EP5-GTC-412-3</t>
  </si>
  <si>
    <t xml:space="preserve">OBSOLETE - 5-Year Enhanced Protection Plan For DS-GTC-412 </t>
  </si>
  <si>
    <t>EP5-GTC-412</t>
  </si>
  <si>
    <t xml:space="preserve">5-Year Enhanced Protection Plan For DS-GTC-411-3 </t>
  </si>
  <si>
    <t>EP5-GTC-411-3</t>
  </si>
  <si>
    <t xml:space="preserve">5-Year Enhanced Protection Plan For DS-GTC-411 </t>
  </si>
  <si>
    <t>EP5-GTC-411</t>
  </si>
  <si>
    <t xml:space="preserve">5-Year Enhanced Protection Plan For DS-GTC-313-3 </t>
  </si>
  <si>
    <t>EP5-GTC-313-3</t>
  </si>
  <si>
    <t xml:space="preserve">OBSOLETE - 5-Year Enhanced Protection Plan For DS-GTC-312-3 </t>
  </si>
  <si>
    <t>EP5-GTC-312-3</t>
  </si>
  <si>
    <t xml:space="preserve">OBSOLETE - 5-Year Enhanced Protection Plan For DS-GTC-312 </t>
  </si>
  <si>
    <t>EP5-GTC-312</t>
  </si>
  <si>
    <t xml:space="preserve">5-Year Enhanced Protection Plan For DS-GTC-311-3 </t>
  </si>
  <si>
    <t>EP5-GTC-311-3</t>
  </si>
  <si>
    <t xml:space="preserve">5-Year Enhanced Protection Plan For DS-GTC-311 </t>
  </si>
  <si>
    <t>EP5-GTC-311</t>
  </si>
  <si>
    <t xml:space="preserve">5-Year Enhanced Protection Plan For DS-GTC-303 </t>
  </si>
  <si>
    <t>EP5-GTC-303</t>
  </si>
  <si>
    <t xml:space="preserve">OBSOLETE - 5-Year Enhanced Protection Plan For DS-GTC-226-3 </t>
  </si>
  <si>
    <t>EP5-GTC-226-3</t>
  </si>
  <si>
    <t xml:space="preserve">OBSOLETE - 5-Year Enhanced Protection Plan For DS-GTC-226 </t>
  </si>
  <si>
    <t>EP5-GTC-226</t>
  </si>
  <si>
    <t xml:space="preserve">5-Year Enhanced Protection Plan For DS-GTC-223-3 </t>
  </si>
  <si>
    <t>EP5-GTC-223-3</t>
  </si>
  <si>
    <t xml:space="preserve">5-Year Enhanced Protection Plan For DS-GTC-223 </t>
  </si>
  <si>
    <t>EP5-GTC-223</t>
  </si>
  <si>
    <t>5-Year Enhanced Protection Plan For DS-GTC-222-BW</t>
  </si>
  <si>
    <t>EP5-GTC-222-BW</t>
  </si>
  <si>
    <t>5-Year Enhanced Protection Plan For DS-GTC-222-3-BW</t>
  </si>
  <si>
    <t>EP5-GTC-222-3-BW</t>
  </si>
  <si>
    <t xml:space="preserve">OBSOLETE - 5-Year Enhanced Protection Plan For DS-GTC-222-3 </t>
  </si>
  <si>
    <t>EP5-GTC-222-3</t>
  </si>
  <si>
    <t xml:space="preserve">OBSOLETE - 5-Year Enhanced Protection Plan For DS-GTC-222 </t>
  </si>
  <si>
    <t>EP5-GTC-222</t>
  </si>
  <si>
    <t xml:space="preserve">5-Year Enhanced Protection Plan For DS-GTC-221-3 </t>
  </si>
  <si>
    <t>EP5-GTC-221-3</t>
  </si>
  <si>
    <t xml:space="preserve">5-Year Enhanced Protection Plan For DS-GTC-221 </t>
  </si>
  <si>
    <t>EP5-GTC-221</t>
  </si>
  <si>
    <t>5-year Enhanced Protection Plan for DS-GTC-1705-BW</t>
  </si>
  <si>
    <t>EP5-GTC-1705-BW</t>
  </si>
  <si>
    <t>5-year Enhanced Protection Plan for DS-GTC-1705-4-BW</t>
  </si>
  <si>
    <t>EP5-GTC-1705-4-BW</t>
  </si>
  <si>
    <t>5-year Enhanced Protection Plan for DS-GTC-1704-4</t>
  </si>
  <si>
    <t>EP5-GTC-1704-4</t>
  </si>
  <si>
    <t>5-year Enhanced Protection Plan for DS-GTC-1704</t>
  </si>
  <si>
    <t>EP5-GTC-1704</t>
  </si>
  <si>
    <t>5-year Enhanced Protection Plan for DS-GTC-1703-4</t>
  </si>
  <si>
    <t>EP5-GTC-1703-4</t>
  </si>
  <si>
    <t>5-year Enhanced Protection Plan for DS-GTC-1703</t>
  </si>
  <si>
    <t>EP5-GTC-1703</t>
  </si>
  <si>
    <t>5-year Enhanced Protection Plan for DS-GTC-1702-BW</t>
  </si>
  <si>
    <t>EP5-GTC-1702-BW</t>
  </si>
  <si>
    <t>5-year Enhanced Protection Plan for DS-GTC-1702-4-BW</t>
  </si>
  <si>
    <t>EP5-GTC-1702-4-BW</t>
  </si>
  <si>
    <t>5-year Enhanced Protection Plan for DS-GTC-1701-4</t>
  </si>
  <si>
    <t>EP5-GTC-1701-4</t>
  </si>
  <si>
    <t>5-year Enhanced Protection Plan for DS-GTC-1701</t>
  </si>
  <si>
    <t>EP5-GTC-1701</t>
  </si>
  <si>
    <t>5-year Enhanced Protection Plan for DS-GTC-1605-BW</t>
  </si>
  <si>
    <t>EP5-GTC-1605-BW</t>
  </si>
  <si>
    <t>5-year Enhanced Protection Plan for DS-GTC-1605-4-BW</t>
  </si>
  <si>
    <t>EP5-GTC-1605-4-BW</t>
  </si>
  <si>
    <t>5-year Enhanced Protection Plan for DS-GTC-1604-4</t>
  </si>
  <si>
    <t>EP5-GTC-1604-4</t>
  </si>
  <si>
    <t>5-year Enhanced Protection Plan for DS-GTC-1604</t>
  </si>
  <si>
    <t>EP5-GTC-1604</t>
  </si>
  <si>
    <t xml:space="preserve">5-year Enhanced Protection Plan for DS-GTC-1603-4 </t>
  </si>
  <si>
    <t xml:space="preserve">EP5-GTC-1603-4 </t>
  </si>
  <si>
    <t>5-year Enhanced Protection Plan for DS-GTC-1603</t>
  </si>
  <si>
    <t>EP5-GTC-1603</t>
  </si>
  <si>
    <t>5-year Enhanced Protection Plan for DS-GTC-1602-BW</t>
  </si>
  <si>
    <t>EP5-GTC-1602-BW</t>
  </si>
  <si>
    <t>5-year Enhanced Protection Plan for DS-GTC-1602-4-BW</t>
  </si>
  <si>
    <t>EP5-GTC-1602-4-BW</t>
  </si>
  <si>
    <t>5-year Enhanced Protection Plan for DS-GTC-1601-4</t>
  </si>
  <si>
    <t>EP5-GTC-1601-4</t>
  </si>
  <si>
    <t>5-year Enhanced Protection Plan for DS-GTC-1601</t>
  </si>
  <si>
    <t>EP5-GTC-1601</t>
  </si>
  <si>
    <t>5-Year Enhanced Protection Plan for DS-GTC-1506-3</t>
  </si>
  <si>
    <t>EP5-GTC-1506-3</t>
  </si>
  <si>
    <t>5-Year Enhanced Protection Plan for DS-GTC-1506</t>
  </si>
  <si>
    <t>EP5-GTC-1506</t>
  </si>
  <si>
    <t>5-Year Enhanced Protection Plan for DS-GTC-1503-3</t>
  </si>
  <si>
    <t>EP5-GTC-1503-3</t>
  </si>
  <si>
    <t>5-Year Enhanced Protection Plan for DS-GTC-1503</t>
  </si>
  <si>
    <t>EP5-GTC-1503</t>
  </si>
  <si>
    <t>5-Year Enhanced Protection Plan for DS-GTC-1502-3</t>
  </si>
  <si>
    <t>EP5-GTC-1502-3</t>
  </si>
  <si>
    <t>5-Year Enhanced Protection Plan for DS-GTC-1502</t>
  </si>
  <si>
    <t>EP5-GTC-1502</t>
  </si>
  <si>
    <t>5-Year Enhanced Protection Plan for DS-GTC-1501-3</t>
  </si>
  <si>
    <t>EP5-GTC-1501-3</t>
  </si>
  <si>
    <t>5-Year Enhanced Protection Plan for DS-GTC-1501</t>
  </si>
  <si>
    <t>EP5-GTC-1501</t>
  </si>
  <si>
    <t>5-Year Enhanced Protection Plan For DS-GTC-1406-BW</t>
  </si>
  <si>
    <t>EP5-GTC-1406-BW</t>
  </si>
  <si>
    <t>5-Year Enhanced Protection Plan For DS-GTC-1406-3-BW</t>
  </si>
  <si>
    <t>EP5-GTC-1406-3-BW</t>
  </si>
  <si>
    <t>5-Year Enhanced Protection Plan for DS-GTC-1406-3</t>
  </si>
  <si>
    <t>EP5-GTC-1406-3</t>
  </si>
  <si>
    <t>5-Year Enhanced Protection Plan for DS-GTC-1406</t>
  </si>
  <si>
    <t>EP5-GTC-1406</t>
  </si>
  <si>
    <t>5-Year Enhanced Protection Plan for DS-GTC-1403-3</t>
  </si>
  <si>
    <t>EP5-GTC-1403-3</t>
  </si>
  <si>
    <t>5-Year Enhanced Protection Plan for DS-GTC-1403</t>
  </si>
  <si>
    <t>EP5-GTC-1403</t>
  </si>
  <si>
    <t>5-Year Enhanced Protection Plan For DS-GTC-1402-BW</t>
  </si>
  <si>
    <t>EP5-GTC-1402-BW</t>
  </si>
  <si>
    <t>5-Year Enhanced Protection Plan For DS-GTC-1402-3-BW</t>
  </si>
  <si>
    <t>EP5-GTC-1402-3-BW</t>
  </si>
  <si>
    <t>5-Year Enhanced Protection Plan for DS-GTC-1402-3</t>
  </si>
  <si>
    <t>EP5-GTC-1402-3</t>
  </si>
  <si>
    <t>5-Year Enhanced Protection Plan for DS-GTC-1402</t>
  </si>
  <si>
    <t>EP5-GTC-1402</t>
  </si>
  <si>
    <t>5-Year Enhanced Protection Plan for DS-GTC-1401-3</t>
  </si>
  <si>
    <t>EP5-GTC-1401-3</t>
  </si>
  <si>
    <t>5-Year Enhanced Protection Plan for DS-GTC-1401</t>
  </si>
  <si>
    <t>EP5-GTC-1401</t>
  </si>
  <si>
    <t>OBSOLETE - 5-Year Enhanced Protection Plan For Havis DS-GTC-1306-3</t>
  </si>
  <si>
    <t>EP5-GTC-1306-3</t>
  </si>
  <si>
    <t>OBSOLETE - 5-Year Enhanced Protection Plan For Havis DS-GTC-1306</t>
  </si>
  <si>
    <t>EP5-GTC-1306</t>
  </si>
  <si>
    <t xml:space="preserve">5-Year Enhanced Protection Plan For Havis DS-GTC-1303-3 </t>
  </si>
  <si>
    <t>EP5-GTC-1303-3</t>
  </si>
  <si>
    <t xml:space="preserve">5-Year Enhanced Protection Plan For Havis DS-GTC-1303 </t>
  </si>
  <si>
    <t>EP5-GTC-1303</t>
  </si>
  <si>
    <t>OBSOLETE - 5-Year Enhanced Protection Plan For Havis DS-GTC-1302-3</t>
  </si>
  <si>
    <t>EP5-GTC-1302-3</t>
  </si>
  <si>
    <t>OBSOLETE - 5-Year Enhanced Protection Plan For Havis DS-GTC-1302</t>
  </si>
  <si>
    <t>EP5-GTC-1302</t>
  </si>
  <si>
    <t xml:space="preserve">5-Year Enhanced Protection Plan For Havis DS-GTC-1301-3 </t>
  </si>
  <si>
    <t>EP5-GTC-1301-3</t>
  </si>
  <si>
    <t xml:space="preserve">5-Year Enhanced Protection Plan For Havis DS-GTC-1301 </t>
  </si>
  <si>
    <t>EP5-GTC-1301</t>
  </si>
  <si>
    <t xml:space="preserve">OBSOLETE - 5-Year Enhanced Protection Plan For DS-GTC-1206-3 </t>
  </si>
  <si>
    <t>EP5-GTC-1206-3</t>
  </si>
  <si>
    <t xml:space="preserve">OBSOLETE - 5-Year Enhanced Protection Plan For DS-GTC-1206 </t>
  </si>
  <si>
    <t>EP5-GTC-1206</t>
  </si>
  <si>
    <t xml:space="preserve">5-Year Enhanced Protection Plan For DS-GTC-1203-3 </t>
  </si>
  <si>
    <t>EP5-GTC-1203-3</t>
  </si>
  <si>
    <t xml:space="preserve">5-Year Enhanced Protection Plan For DS-GTC-1203 </t>
  </si>
  <si>
    <t>EP5-GTC-1203</t>
  </si>
  <si>
    <t>5-Year Enhanced Protection Plan For DS-GTC-1202-BW</t>
  </si>
  <si>
    <t>EP5-GTC-1202-BW</t>
  </si>
  <si>
    <t>5-Year Enhanced Protection Plan For DS-GTC-1202-3-BW</t>
  </si>
  <si>
    <t>EP5-GTC-1202-3-BW</t>
  </si>
  <si>
    <t xml:space="preserve">5-Year Enhanced Protection Plan For DS-GTC-1202-3 </t>
  </si>
  <si>
    <t>EP5-GTC-1202-3</t>
  </si>
  <si>
    <t xml:space="preserve">5-Year Enhanced Protection Plan For DS-GTC-1202 </t>
  </si>
  <si>
    <t>EP5-GTC-1202</t>
  </si>
  <si>
    <t xml:space="preserve">5-Year Enhanced Protection Plan For DS-GTC-1201-3 </t>
  </si>
  <si>
    <t>EP5-GTC-1201-3</t>
  </si>
  <si>
    <t xml:space="preserve">5-Year Enhanced Protection Plan For DS-GTC-1201 </t>
  </si>
  <si>
    <t>EP5-GTC-1201</t>
  </si>
  <si>
    <t xml:space="preserve">OBSOLETE - 5-Year Enhanced Protection Plan For DS-GTC-1106-3 </t>
  </si>
  <si>
    <t>EP5-GTC-1106-3</t>
  </si>
  <si>
    <t xml:space="preserve">OBSOLETE - 5-Year Enhanced Protection Plan For DS-GTC-1106 </t>
  </si>
  <si>
    <t>EP5-GTC-1106</t>
  </si>
  <si>
    <t xml:space="preserve">5-Year Enhanced Protection Plan For DS-GTC-1103-3 </t>
  </si>
  <si>
    <t>EP5-GTC-1103-3</t>
  </si>
  <si>
    <t xml:space="preserve">5-Year Enhanced Protection Plan For DS-GTC-1103 </t>
  </si>
  <si>
    <t>EP5-GTC-1103</t>
  </si>
  <si>
    <t xml:space="preserve">OBSOLETE - 5-Year Enhanced Protection Plan For DS-GTC-1102-3 </t>
  </si>
  <si>
    <t>EP5-GTC-1102-3</t>
  </si>
  <si>
    <t xml:space="preserve">OBSOLETE - 5-Year Enhanced Protection Plan For DS-GTC-1102 </t>
  </si>
  <si>
    <t>EP5-GTC-1102</t>
  </si>
  <si>
    <t xml:space="preserve">5-Year Enhanced Protection Plan For DS-GTC-1101-3 </t>
  </si>
  <si>
    <t>EP5-GTC-1101-3</t>
  </si>
  <si>
    <t xml:space="preserve">5-Year Enhanced Protection Plan For DS-GTC-1101 </t>
  </si>
  <si>
    <t>EP5-GTC-1101</t>
  </si>
  <si>
    <t xml:space="preserve">OBSOLETE - 5-Year Enhanced Protection Plan For DS-GTC-1006-3 </t>
  </si>
  <si>
    <t>EP5-GTC-1006-3</t>
  </si>
  <si>
    <t xml:space="preserve">OBSOLETE - 5-Year Enhanced Protection Plan For DS-GTC-1006 </t>
  </si>
  <si>
    <t>EP5-GTC-1006</t>
  </si>
  <si>
    <t xml:space="preserve">5-Year Enhanced Protection Plan For DS-GTC-1003-3 </t>
  </si>
  <si>
    <t>EP5-GTC-1003-3</t>
  </si>
  <si>
    <t xml:space="preserve">5-Year Enhanced Protection Plan For DS-GTC-1003 </t>
  </si>
  <si>
    <t>EP5-GTC-1003</t>
  </si>
  <si>
    <t xml:space="preserve">OBSOLETE - 5-Year Enhanced Protection Plan For DS-GTC-1002-3 </t>
  </si>
  <si>
    <t>EP5-GTC-1002-3</t>
  </si>
  <si>
    <t xml:space="preserve">OBSOLETE - 5-Year Enhanced Protection Plan For DS-GTC-1002 </t>
  </si>
  <si>
    <t>EP5-GTC-1002</t>
  </si>
  <si>
    <t xml:space="preserve">5-Year Enhanced Protection Plan For DS-GTC-1001-3 </t>
  </si>
  <si>
    <t>EP5-GTC-1001-3</t>
  </si>
  <si>
    <t xml:space="preserve">5-Year Enhanced Protection Plan For DS-GTC-1001 </t>
  </si>
  <si>
    <t>EP5-GTC-1001</t>
  </si>
  <si>
    <t>5-Year Enhanced Protection Plan for DS-DELL-908N-4</t>
  </si>
  <si>
    <t>EP5-DELL-908N-4</t>
  </si>
  <si>
    <t>5-Year Enhanced Protection Plan for DS-DELL-908N</t>
  </si>
  <si>
    <t>EP5-DELL-908N</t>
  </si>
  <si>
    <t>DISCONTINUED - 5-Year Enhanced Protection Plan for DS-DELL-908-4</t>
  </si>
  <si>
    <t>EP5-DELL-908-4</t>
  </si>
  <si>
    <t>DISCONTINUED - 5-Year Enhanced Protection Plan for DS-DELL-908</t>
  </si>
  <si>
    <t>EP5-DELL-908</t>
  </si>
  <si>
    <t xml:space="preserve">5-Year Enhanced Protection Plan for DS-DELL-907-4 </t>
  </si>
  <si>
    <t>EP5-DELL-907-4</t>
  </si>
  <si>
    <t>5-Year Enhanced Protection Plan for DS-DELL-907</t>
  </si>
  <si>
    <t>EP5-DELL-907</t>
  </si>
  <si>
    <t>5-Year Enhanced Protection Plan for DS-DELL-905N-4</t>
  </si>
  <si>
    <t>EP5-DELL-905N-4</t>
  </si>
  <si>
    <t>EP5-DELL-905N</t>
  </si>
  <si>
    <t>DISCONTINUED - 5-Year Enhanced Protection Plan for DS-DELL-905-4</t>
  </si>
  <si>
    <t>EP5-DELL-905-4</t>
  </si>
  <si>
    <t>DISCONTINUED - 5-Year Enhanced Protection Plan for DS-DELL-905</t>
  </si>
  <si>
    <t>EP5-DELL-905</t>
  </si>
  <si>
    <t xml:space="preserve">5-Year Enhanced Protection Plan for DS-DELL-904-4 </t>
  </si>
  <si>
    <t>EP5-DELL-904-4</t>
  </si>
  <si>
    <t>5-Year Enhanced Protection Plan for DS-DELL-904</t>
  </si>
  <si>
    <t>EP5-DELL-904</t>
  </si>
  <si>
    <t xml:space="preserve">5-Year Enhanced Protection Plan for DS-DELL-903-4 </t>
  </si>
  <si>
    <t>EP5-DELL-903-4</t>
  </si>
  <si>
    <t xml:space="preserve">5-Year Enhanced Protection Plan for DS-DELL-903 </t>
  </si>
  <si>
    <t>EP5-DELL-903</t>
  </si>
  <si>
    <t xml:space="preserve">5-Year Enhanced Protection Plan for DS-DELL-902-4 </t>
  </si>
  <si>
    <t>EP5-DELL-902-4</t>
  </si>
  <si>
    <t xml:space="preserve">5-Year Enhanced Protection Plan for DS-DELL-902 </t>
  </si>
  <si>
    <t>EP5-DELL-902</t>
  </si>
  <si>
    <t xml:space="preserve">5-Year Enhanced Protection Plan for DS-DELL-901-4 </t>
  </si>
  <si>
    <t>EP5-DELL-901-4</t>
  </si>
  <si>
    <t xml:space="preserve">5-Year Enhanced Protection Plan for DS-DELL-901 </t>
  </si>
  <si>
    <t>EP5-DELL-901</t>
  </si>
  <si>
    <t xml:space="preserve">OBSOLETE - 5-Year Enhanced Protection Plan for DS-DELL-607 </t>
  </si>
  <si>
    <t>EP5-DELL-607</t>
  </si>
  <si>
    <t xml:space="preserve">5-Year Enhanced Protection Plan for DS-DELL-603-2 </t>
  </si>
  <si>
    <t>EP5-DELL-603-2</t>
  </si>
  <si>
    <t xml:space="preserve">5-Year Enhanced Protection Plan for DS-DELL-603 </t>
  </si>
  <si>
    <t>EP5-DELL-603</t>
  </si>
  <si>
    <t xml:space="preserve">OBSOLETE - 5-Year Enhanced Protection Plan for DS-DELL-601-2 </t>
  </si>
  <si>
    <t>EP5-DELL-601-2</t>
  </si>
  <si>
    <t xml:space="preserve">OBSOLETE - 5-Year Enhanced Protection Plan for DS-DELL-601 </t>
  </si>
  <si>
    <t>EP5-DELL-601</t>
  </si>
  <si>
    <t>5-Year Enhanced Protection Plan For DS-DELL-436N-3</t>
  </si>
  <si>
    <t>EP5-DELL-436N-3</t>
  </si>
  <si>
    <t>5-Year Enhanced Protection Plan For DS-DELL-436N</t>
  </si>
  <si>
    <t>EP5-DELL-436N</t>
  </si>
  <si>
    <t>DISCONTINUED - 5-Year Enhanced Protection Plan For DS-DELL-436-3</t>
  </si>
  <si>
    <t>EP5-DELL-436-3</t>
  </si>
  <si>
    <t>DISCONTINUED - 5-Year Enhanced Protection Plan For DS-DELL-436</t>
  </si>
  <si>
    <t>EP5-DELL-436</t>
  </si>
  <si>
    <t>5-Year Enhanced Protection Plan For DS-DELL-435-3</t>
  </si>
  <si>
    <t>EP5-DELL-435-3</t>
  </si>
  <si>
    <t>5-Year Enhanced Protection Plan For DS-DELL-435</t>
  </si>
  <si>
    <t>EP5-DELL-435</t>
  </si>
  <si>
    <t>5-Year Enhanced Protection Plan For DS-DELL-433</t>
  </si>
  <si>
    <t>EP5-DELL-433</t>
  </si>
  <si>
    <t>5-Year Enhanced Protection Plan For DS-DELL-432N-3</t>
  </si>
  <si>
    <t>EP5-DELL-432N-3</t>
  </si>
  <si>
    <t>5-Year Enhanced Protection Plan For DS-DELL-432N</t>
  </si>
  <si>
    <t>EP5-DELL-432N</t>
  </si>
  <si>
    <t>DISCONTINUED - 5-Year Enhanced Protection Plan For DS-DELL-432-3</t>
  </si>
  <si>
    <t>EP5-DELL-432-3</t>
  </si>
  <si>
    <t>DISCONTINUED - 5-Year Enhanced Protection Plan For DS-DELL-432</t>
  </si>
  <si>
    <t>EP5-DELL-432</t>
  </si>
  <si>
    <t>5-Year Enhanced Protection Plan For DS-DELL-431-3</t>
  </si>
  <si>
    <t>EP5-DELL-431-3</t>
  </si>
  <si>
    <t>5-Year Enhanced Protection Plan For DS-DELL-431</t>
  </si>
  <si>
    <t>EP5-DELL-431</t>
  </si>
  <si>
    <t xml:space="preserve">OBSOLETE - 5-Year Enhanced Protection Plan For DS-DELL-426-3 </t>
  </si>
  <si>
    <t>EP5-DELL-426-3</t>
  </si>
  <si>
    <t xml:space="preserve">OBSOLETE - 5-Year Enhanced Protection Plan For DS-DELL-426 </t>
  </si>
  <si>
    <t>EP5-DELL-426</t>
  </si>
  <si>
    <t xml:space="preserve">OBSOLETE - 5-Year Enhanced Protection Plan For DS-DELL-425-3 </t>
  </si>
  <si>
    <t>EP5-DELL-425-3</t>
  </si>
  <si>
    <t xml:space="preserve">OBSOLETE - 5-Year Enhanced Protection Plan For DS-DELL-425 </t>
  </si>
  <si>
    <t>EP5-DELL-425</t>
  </si>
  <si>
    <t xml:space="preserve">OBSOLETE - 5-Year Enhanced Protection Plan For DS-DELL-423-3 </t>
  </si>
  <si>
    <t>EP5-DELL-423-3</t>
  </si>
  <si>
    <t xml:space="preserve">OBSOLETE - 5-Year Enhanced Protection Plan For DS-DELL-423 </t>
  </si>
  <si>
    <t>EP5-DELL-423</t>
  </si>
  <si>
    <t xml:space="preserve">OBSOLETE - 5-Year Enhanced Protection Plan For DS-DELL-422-3 </t>
  </si>
  <si>
    <t>EP5-DELL-422-3</t>
  </si>
  <si>
    <t xml:space="preserve">OBSOLETE - 5-Year Enhanced Protection Plan For DS-DELL-422 </t>
  </si>
  <si>
    <t>EP5-DELL-422</t>
  </si>
  <si>
    <t xml:space="preserve">OBSOLETE - 5-Year Enhanced Protection Plan For DS-DELL-421-3 </t>
  </si>
  <si>
    <t>EP5-DELL-421-3</t>
  </si>
  <si>
    <t xml:space="preserve">OBSOLETE - 5-Year Enhanced Protection Plan For DS-DELL-421 </t>
  </si>
  <si>
    <t>EP5-DELL-421</t>
  </si>
  <si>
    <t>5-Year Enhanced Protection Plan For DS-GTC-1108N</t>
  </si>
  <si>
    <t>EP5-DELL-1108N</t>
  </si>
  <si>
    <t>DISCONTINUED - 5-Year Enhanced Protection Plan For DS-GTC-1108</t>
  </si>
  <si>
    <t>EP5-DELL-1108</t>
  </si>
  <si>
    <t>5-Year Enhanced Protection Plan for DS-DELL-1107</t>
  </si>
  <si>
    <t>EP5-DELL-1107</t>
  </si>
  <si>
    <t>5-Year Enhanced Protection Plan For DS-GTC-1105N</t>
  </si>
  <si>
    <t>EP5-DELL-1105N</t>
  </si>
  <si>
    <t>DISCONTINUED - 5-Year Enhanced Protection Plan For DS-GTC-1105</t>
  </si>
  <si>
    <t>EP5-DELL-1105</t>
  </si>
  <si>
    <t>5-Year Enhanced Protection Plan for DS-DELL-1104</t>
  </si>
  <si>
    <t>EP5-DELL-1104</t>
  </si>
  <si>
    <t>5-Year Enhanced Protection Plan for DS-DELL-1103</t>
  </si>
  <si>
    <t>EP5-DELL-1103</t>
  </si>
  <si>
    <t>OBSOLETE - 5-Year Enhanced Protection Plan for DS-DELL-1102</t>
  </si>
  <si>
    <t>EP5-DELL-1102</t>
  </si>
  <si>
    <t>OBSOLETE - 5-Year Enhanced Protection Plan for DS-DELL-1101</t>
  </si>
  <si>
    <t>EP5-DELL-1101</t>
  </si>
  <si>
    <t>3-Year Enhanced Protection Plan For TSD-201</t>
  </si>
  <si>
    <t>EP3-TSD-201</t>
  </si>
  <si>
    <t>Rugged Docking Station for Zebra TC73/TC78 Mobile Computers</t>
  </si>
  <si>
    <t>DS-ZEB-701</t>
  </si>
  <si>
    <t>Rugged Charging Holder for Zebra TC22/TC27 without Rugged Boot</t>
  </si>
  <si>
    <t>DS-ZEB-602</t>
  </si>
  <si>
    <t>Rugged Charging Holder for Zebra TC22/TC27 with Rugged Boot</t>
  </si>
  <si>
    <t>DS-ZEB-601</t>
  </si>
  <si>
    <t>Docking Station for Zebra ET60 &amp; ET65 Tablets with Advanced Port Replication and Triple Antenna Pass-Thru Connection</t>
  </si>
  <si>
    <t>DS-ZEB-504-3</t>
  </si>
  <si>
    <t>Docking Station for Zebra ET60 &amp; ET65 Tablets with Advanced Port Replication</t>
  </si>
  <si>
    <t>DS-ZEB-504</t>
  </si>
  <si>
    <t>Cradle for Zebra ET60 &amp; ET65 Series Tablets</t>
  </si>
  <si>
    <t>DS-ZEB-503</t>
  </si>
  <si>
    <t>Docking Station for Zebra ET60 &amp; ET65 Tablets with Standard Port Replication and Triple Antenna Pass-Thru Connection</t>
  </si>
  <si>
    <t>DS-ZEB-501-3</t>
  </si>
  <si>
    <t>Docking Station for Zebra ET60 &amp; ET65 Tablets with Standard Port Replication</t>
  </si>
  <si>
    <t>DS-ZEB-501</t>
  </si>
  <si>
    <t>Docking Station for Zebra ET80 &amp; ET85 Tablets with Advanced Port Replication and Triple Antenna Pass-Thru Connection</t>
  </si>
  <si>
    <t>DS-ZEB-403</t>
  </si>
  <si>
    <t>Docking Station for Zebra ET80 &amp; ET85 Tablets with Advanced Port Replication</t>
  </si>
  <si>
    <t>DS-ZEB-402-3</t>
  </si>
  <si>
    <t>Cradle for Zebra ET80 &amp; ET85 Series Tablets</t>
  </si>
  <si>
    <t>DS-ZEB-402</t>
  </si>
  <si>
    <t>Docking Station for Zebra ET80 &amp; ET85 Tablets with Standard Port Replication and Triple Antenna Pass-Thru Connection</t>
  </si>
  <si>
    <t>DS-ZEB-401-3</t>
  </si>
  <si>
    <t>Docking Station for Zebra ET80 &amp; ET85 Tablets with Standard Port Replication</t>
  </si>
  <si>
    <t>DS-ZEB-401</t>
  </si>
  <si>
    <t>Docking Station for Zebra 8" &amp; 10" ET4X Tablets with Advanced Port Replication for External Power Supply</t>
  </si>
  <si>
    <t>DS-ZEB-304-AC</t>
  </si>
  <si>
    <t>Docking Station for Zebra 8" &amp; 10" ET4X Series Tablets with Advanced Port Replication &amp; Internal Non-isolated Power Supply</t>
  </si>
  <si>
    <t>DS-ZEB-304</t>
  </si>
  <si>
    <t>Cradle for Zebra 8" &amp; 10" ET4X Series Tablets</t>
  </si>
  <si>
    <t>DS-ZEB-303</t>
  </si>
  <si>
    <t>Docking Station for Zebra 8" &amp; 10" ET4X Tablets with Standard Port Replication &amp; Internal Isolated Power Supply</t>
  </si>
  <si>
    <t>DS-ZEB-302-ISO</t>
  </si>
  <si>
    <t>OBSOLETE - Docking Station for Zebra 8" &amp; 10" ET4X Tablets with Standard Port Replication for External Power Supply</t>
  </si>
  <si>
    <t>DS-ZEB-301-AC</t>
  </si>
  <si>
    <t>OBSOLETE - Docking Station for Zebra 8" &amp; 10" ET4X Tablets with Standard Port Replication &amp; Internal Non-isolated Power Supply</t>
  </si>
  <si>
    <t>DS-ZEB-301</t>
  </si>
  <si>
    <t>OBSOLETE - Docking Station For Zebra ET51 &amp; ET56 10" Tablet With Advanced Port Replication &amp; Internal Isolated Power Supply (18-75V)</t>
  </si>
  <si>
    <t>DS-ZEB-205-ISO</t>
  </si>
  <si>
    <t>OBSOLETE - Docking Station For Zebra ET51 &amp; ET56 10" Tablet With Advanced Port Replication &amp; Internal Non-Isolated Power Supply</t>
  </si>
  <si>
    <t>DS-ZEB-204</t>
  </si>
  <si>
    <t>OBSOLETE - Cradle For Zebra ET51 &amp; ET56 10" Tablet</t>
  </si>
  <si>
    <t>DS-ZEB-203</t>
  </si>
  <si>
    <t>OBSOLETE - Docking Station For Zebra ET51 &amp; ET56 10" Tablet With Standard Port Replication &amp; Internal Isolated Power Supply (18-75V)</t>
  </si>
  <si>
    <t>DS-ZEB-202-ISO</t>
  </si>
  <si>
    <t>OBSOLETE - Docking Station For Zebra ET51 &amp; ET56 10" Tablet With Standard Port Replication &amp; Internal Non-Isolated Power Supply</t>
  </si>
  <si>
    <t>DS-ZEB-201</t>
  </si>
  <si>
    <t>OBSOLETE - Docking Station For Zebra ET51 &amp; ET56 8" Tablet With Advanced Port Replication &amp; Internal Isolated Power Supply (18-75V)</t>
  </si>
  <si>
    <t>DS-ZEB-105-ISO</t>
  </si>
  <si>
    <t>OBSOLETE - Docking Station For Zebra ET51 &amp; ET56 8" Tablet With Advanced Port Replication &amp; Internal Non-Isolated Power Supply</t>
  </si>
  <si>
    <t>DS-ZEB-104</t>
  </si>
  <si>
    <t>OBSOLETE - Cradle For Zebra ET51 &amp; ET56 8" Tablet</t>
  </si>
  <si>
    <t>DS-ZEB-103</t>
  </si>
  <si>
    <t>OBSOLETE - Docking Station For Zebra ET51 &amp; ET56 8" Tablet With Standard Port Replication &amp; Internal Isolated Power Supply (18-75V)</t>
  </si>
  <si>
    <t>DS-ZEB-102-ISO</t>
  </si>
  <si>
    <t>OBSOLETE - Docking Station For Zebra ET51 &amp; ET56 8" Tablet With Standard Port Replication &amp; Internal Non-Isolated Power Supply</t>
  </si>
  <si>
    <t>DS-ZEB-101</t>
  </si>
  <si>
    <t xml:space="preserve">Docking Station for Havis TC-400 Series Tablet Cases </t>
  </si>
  <si>
    <t>DS-TAB-401</t>
  </si>
  <si>
    <t xml:space="preserve">IP65 Tablet Docking Station for Non-isolated, Internal Power Supply Applications </t>
  </si>
  <si>
    <t>DS-TAB-302</t>
  </si>
  <si>
    <t xml:space="preserve">IP65 Tablet Docking Station for Non-isolated, External Power Supply Applications </t>
  </si>
  <si>
    <t>DS-TAB-301</t>
  </si>
  <si>
    <t>OBSOLETE - Havis Phone Dock</t>
  </si>
  <si>
    <t>DS-PD-101</t>
  </si>
  <si>
    <t>Docking Station for Panasonic TOUGHBOOK G2 Tablet with Standard Port Replication &amp; Dual Pass-Through Antenna Connections &amp; Havis Power Supply</t>
  </si>
  <si>
    <t>DS-PAN-725N-2</t>
  </si>
  <si>
    <t>Docking Station for Panasonic TOUGHBOOK G2 Tablet with Standard Port Replication &amp; Havis Power Supply</t>
  </si>
  <si>
    <t>DS-PAN-725N</t>
  </si>
  <si>
    <t>DISCONTINUED - Docking Station For Panasonic TOUGHBOOK G2 Tablet With Standard Port Replication &amp; Dual Pass-Through Antenna Connections &amp; LIND Power Supply</t>
  </si>
  <si>
    <t>DS-PAN-725-2</t>
  </si>
  <si>
    <t>DISCONTINUED - Docking Station For Panasonic TOUGHBOOK G2 Tablet With Standard Port Replication &amp; LIND Power Supply</t>
  </si>
  <si>
    <t>DS-PAN-725</t>
  </si>
  <si>
    <t>Docking Station For Panasonic TOUGHBOOK G2 Tablet With Standard Port Replication &amp; Dual Pass-Through Antenna Connections</t>
  </si>
  <si>
    <t>DS-PAN-724-2</t>
  </si>
  <si>
    <t>Docking Station For Panasonic TOUGHBOOK G2 Tablet With Standard Port Replication</t>
  </si>
  <si>
    <t>DS-PAN-724</t>
  </si>
  <si>
    <t>Cradle For Panasonic TOUGHBOOK G2 Tablet</t>
  </si>
  <si>
    <t>DS-PAN-723</t>
  </si>
  <si>
    <t>Docking Station for Panasonic TOUGHBOOK G2 Tablet with Advanced Port Replication &amp; Dual Pass-Thru Antenna Connections &amp; Havis Power Supply</t>
  </si>
  <si>
    <t>DS-PAN-722N-2</t>
  </si>
  <si>
    <t>Docking Station for Panasonic TOUGHBOOK G2 Tablet with Advanced Port Replication &amp; Havis Power Supply</t>
  </si>
  <si>
    <t>DS-PAN-722N</t>
  </si>
  <si>
    <t>DISCONTINUED - Docking Station For Panasonic TOUGHBOOK G2 Tablet With Advanced Port Replication &amp; Dual Pass-Thru Antenna Connections &amp; LIND Power Supply</t>
  </si>
  <si>
    <t>DS-PAN-722-2</t>
  </si>
  <si>
    <t>DISCONTINUED - Docking Station For Panasonic TOUGHBOOK G2 Tablet With Advanced Port Replication &amp; LIND Power Supply</t>
  </si>
  <si>
    <t>DS-PAN-722</t>
  </si>
  <si>
    <t>Docking Station For Panasonic TOUGHBOOK G2 Tablet With Advanced Port Replication &amp; Dual Pass-Thru Antenna Connections</t>
  </si>
  <si>
    <t>DS-PAN-721-2</t>
  </si>
  <si>
    <t>Docking Station For Panasonic TOUGHBOOK G2 Tablet With Advanced Port Replication</t>
  </si>
  <si>
    <t>DS-PAN-721</t>
  </si>
  <si>
    <t>Cradle For Panasonic TOUGHBOOK 55 Laptop With Havis Power Supply</t>
  </si>
  <si>
    <t>DS-PAN-436N</t>
  </si>
  <si>
    <t>DISCONTINUED - Cradle For Panasonic TOUGHBOOK 55 Laptop With LIND Power Supply</t>
  </si>
  <si>
    <t>DS-PAN-436</t>
  </si>
  <si>
    <t>Docking Station for Panasonic TOUGHBOOK 55 Laptop with Standard Port Replication &amp; Dual Pass-Through Antenna Connections with Havis Power Supply</t>
  </si>
  <si>
    <t>DS-PAN-435N-2</t>
  </si>
  <si>
    <t>Docking Station for Panasonic TOUGHBOOK 55 Laptop with Standard Port Replication &amp; Havis Power Supply</t>
  </si>
  <si>
    <t>DS-PAN-435N</t>
  </si>
  <si>
    <t xml:space="preserve">DISCONTINUED - Docking Station For Panasonic TOUGHBOOK 55 Laptop With Standard Port Replication &amp; Dual Pass-Through Antenna Connections With LIND Power Supply
</t>
  </si>
  <si>
    <t>DS-PAN-435-2</t>
  </si>
  <si>
    <t>DISCONTINUED - Docking Station For Panasonic TOUGHBOOK 55 Laptop With Standard Port Replication &amp; LIND Power Supply</t>
  </si>
  <si>
    <t>DS-PAN-435</t>
  </si>
  <si>
    <t xml:space="preserve">Docking Station For Panasonic TOUGHBOOK 55 Laptop With Standard Port Replication &amp; Dual Pass-Through Antenna Connections
</t>
  </si>
  <si>
    <t>DS-PAN-434-2</t>
  </si>
  <si>
    <t>Docking Station For Panasonic TOUGHBOOK 55 Laptop With Standard Port Replication</t>
  </si>
  <si>
    <t>DS-PAN-434</t>
  </si>
  <si>
    <t>Cradle For Panasonic TOUGHBOOK 55 Laptop</t>
  </si>
  <si>
    <t>DS-PAN-433</t>
  </si>
  <si>
    <t>Docking Station For Panasonic TOUGHBOOK 55 Laptop With Advanced Port Replication &amp; Dual Pass-Thru Antenna Connections with Havis Power Supply</t>
  </si>
  <si>
    <t>DS-PAN-432N-2</t>
  </si>
  <si>
    <t>Docking Station For Panasonic TOUGHBOOK 55 Laptop With Advanced Port Replication &amp; Havis Power Supply</t>
  </si>
  <si>
    <t>DS-PAN-432N</t>
  </si>
  <si>
    <t>DISCONTINUED - Docking Station For Panasonic TOUGHBOOK 55 Laptop With Advanced Port Replication &amp; Dual Pass-Thru Antenna Connections With LIND Power Supply</t>
  </si>
  <si>
    <t>DS-PAN-432-2</t>
  </si>
  <si>
    <t>DISCONTINUED - Docking Station For Panasonic TOUGHBOOK 55 Laptop With Advanced Port Replication &amp; LIND Power Supply</t>
  </si>
  <si>
    <t>DS-PAN-432</t>
  </si>
  <si>
    <t>Docking Station For Panasonic TOUGHBOOK 55 Laptop With Advanced Port Replication &amp; Dual Pass-Thru Antenna Connections</t>
  </si>
  <si>
    <t>DS-PAN-431-2</t>
  </si>
  <si>
    <t>Docking Station For Panasonic TOUGHBOOK 55 Laptop With Advanced Port Replication</t>
  </si>
  <si>
    <t>DS-PAN-431</t>
  </si>
  <si>
    <t>Docking Station for Panasonic TOUGHBOOK 40 Laptop with Advanced Port Replication &amp; Quad Pass-Thru Antenna Connections &amp; Havis Power Supply</t>
  </si>
  <si>
    <t>DS-PAN-1505N-4</t>
  </si>
  <si>
    <t>Docking Station For Panasonic TOUGHBOOK 40 Laptop with Advanced Port Replication &amp; Havis Power Supply</t>
  </si>
  <si>
    <t>DS-PAN-1505N</t>
  </si>
  <si>
    <t>DISCONTINUED - Docking Station For Panasonic TOUGHBOOK 40 Laptop with Advanced Port Replication &amp; Quad Pass-Thru Antenna Connections &amp; LIND Power Supply</t>
  </si>
  <si>
    <t>DS-PAN-1505-4</t>
  </si>
  <si>
    <t>DISCONTINUED - Docking Station For Panasonic TOUGHBOOK 40 Laptop with Advanced Port Replication &amp; LIND Power Supply</t>
  </si>
  <si>
    <t>DS-PAN-1505</t>
  </si>
  <si>
    <t>Docking Station For Panasonic TOUGHBOOK 40 Laptop with Advanced Port Replication &amp; Quad Pass-Thru Antenna Connections</t>
  </si>
  <si>
    <t>DS-PAN-1504-4</t>
  </si>
  <si>
    <t>Docking Station For Panasonic TOUGHBOOK 40 Laptop with Advanced Port Replication</t>
  </si>
  <si>
    <t>DS-PAN-1504</t>
  </si>
  <si>
    <t>Cradle for Panasonic TOUGHBOOK 40 Laptop</t>
  </si>
  <si>
    <t>DS-PAN-1503</t>
  </si>
  <si>
    <t>Docking Station For Panasonic TOUGHBOOK 40 Laptop with Standard Port Replication &amp; Quad Pass-Thru Antenna Connections &amp; Havis Power Supply</t>
  </si>
  <si>
    <t>DS-PAN-1502N-4</t>
  </si>
  <si>
    <t>Docking Station For Panasonic TOUGHBOOK 40 Laptop with Standard Port Replication &amp; Havis Power Supply</t>
  </si>
  <si>
    <t>DS-PAN-1502N</t>
  </si>
  <si>
    <t>DISCONTINUED - Docking Station For Panasonic TOUGHBOOK 40 Laptop with Standard Port Replication &amp; Quad Pass-Thru Antenna Connections &amp; LIND Power Supply</t>
  </si>
  <si>
    <t>DS-PAN-1502-4</t>
  </si>
  <si>
    <t>DISCONTINUED - Docking Station For Panasonic TOUGHBOOK 40 Laptop with Standard Port Replication &amp; LIND Power Supply</t>
  </si>
  <si>
    <t>DS-PAN-1502</t>
  </si>
  <si>
    <t>Docking Station For Panasonic TOUGHBOOK 40 Laptop with Standard Port Replication &amp; Quad Pass-Thru Antenna Connections</t>
  </si>
  <si>
    <t>DS-PAN-1501-4</t>
  </si>
  <si>
    <t>Docking Station For Panasonic TOUGHBOOK 40 Laptop with Standard Port Replication</t>
  </si>
  <si>
    <t>DS-PAN-1501</t>
  </si>
  <si>
    <t>OBSOLETE - Cradle For Panasonic TOUGHBOOK A3 Tablet</t>
  </si>
  <si>
    <t>DS-PAN-1403</t>
  </si>
  <si>
    <t>OBSOLETE - Docking Station For Panasonic TOUGHBOOK A3 Tablet With Dual Pass-Thru Antenna Connections</t>
  </si>
  <si>
    <t>DS-PAN-1401-2</t>
  </si>
  <si>
    <t>OBSOLETE - Docking Station For Panasonic TOUGHBOOK A3 Tablet</t>
  </si>
  <si>
    <t>DS-PAN-1401</t>
  </si>
  <si>
    <t>OBSOLETE - Cradle For Panasonic TOUGHBOOK S1 Tablet</t>
  </si>
  <si>
    <t>DS-PAN-1303</t>
  </si>
  <si>
    <t>OBSOLETE - Docking Station For Panasonic TOUGHBOOK S1 Tablet With Dual Pass-Thru Antenna Connections</t>
  </si>
  <si>
    <t>DS-PAN-1301-2</t>
  </si>
  <si>
    <t>OBSOLETE - Docking Station For Panasonic TOUGHBOOK S1 Tablet</t>
  </si>
  <si>
    <t>DS-PAN-1301</t>
  </si>
  <si>
    <t>Docking Station for Panasonic TOUGHBOOK 33 &amp; TOUGHBOOK 33 with 5G with Advanced Port Replication &amp; Dual Pass-Thru Antenna Connections &amp; Havis Power Supply</t>
  </si>
  <si>
    <t>DS-PAN-1215N-2</t>
  </si>
  <si>
    <t>Docking Station for Panasonic TOUGHBOOK 33 &amp; TOUGHBOOK 33 with 5G with Advanced Port Replication &amp; Havis Power Supply</t>
  </si>
  <si>
    <t>DS-PAN-1215N</t>
  </si>
  <si>
    <t>Docking Station for Panasonic TOUGHBOOK 33 &amp; TOUGHBOOK 33 with 5G with Advanced Port Replication &amp; Dual Pass-Thru Antenna Connections</t>
  </si>
  <si>
    <t>DS-PAN-1214-2</t>
  </si>
  <si>
    <t>Docking Station for Panasonic TOUGHBOOK 33 &amp; TOUGHBOOK 33 with 5G with Advanced Port Replication</t>
  </si>
  <si>
    <t>DS-PAN-1214</t>
  </si>
  <si>
    <t>Cradle for Panasonic TOUGHBOOK 33 &amp; TOUGHBOOK 33 with 5G</t>
  </si>
  <si>
    <t>DS-PAN-1213</t>
  </si>
  <si>
    <t>Docking Station for Panasonic TOUGHBOOK 33 &amp; TOUGHBOOK 33 with 5G with Standard Port Replication &amp; Dual Pass-Thru Antenna Connections &amp; Havis Power Supply</t>
  </si>
  <si>
    <t>DS-PAN-1212N-2</t>
  </si>
  <si>
    <t>Docking Station for Panasonic TOUGHBOOK 33 &amp; TOUGHBOOK 33 with 5G with Standard Port Replication &amp; Havis Power Supply</t>
  </si>
  <si>
    <t>DS-PAN-1212N</t>
  </si>
  <si>
    <t>Docking Station for Panasonic TOUGHBOOK 33 &amp; TOUGHBOOK 33 with 5G with Standard Port Replication &amp; Dual Pass-Thru Antenna Connections</t>
  </si>
  <si>
    <t>DS-PAN-1211-2</t>
  </si>
  <si>
    <t>Docking Station for Panasonic TOUGHBOOK 33 &amp; TOUGHBOOK 33 with 5G with Standard Port Replication</t>
  </si>
  <si>
    <t>DS-PAN-1211</t>
  </si>
  <si>
    <t>DISCONTINUED - Docking Station For Panasonic TOUGHBOOK 33 Tablet with Advanced Port Replication &amp; Dual Pass-Thru Antenna Connections &amp; LIND Power Supply</t>
  </si>
  <si>
    <t>DS-PAN-1205-2</t>
  </si>
  <si>
    <t>DISCONTINUED - Docking Station For Panasonic TOUGHBOOK 33 Tablet with Advanced Port Replication &amp; LIND Power Supply</t>
  </si>
  <si>
    <t>DS-PAN-1205</t>
  </si>
  <si>
    <t>DISCONTINUED - Docking Station For Panasonic TOUGHBOOK 33 Tablet with Advanced Port Replication &amp; Dual Pass-Thru Antenna Connections</t>
  </si>
  <si>
    <t>DS-PAN-1204-2</t>
  </si>
  <si>
    <t>DISCONTINUED - Docking Station For Panasonic TOUGHBOOK 33 Tablet with Advanced Port Replication</t>
  </si>
  <si>
    <t>DS-PAN-1204</t>
  </si>
  <si>
    <t>DISCONTINUED - Cradle  For Panasonic TOUGHBOOK 33 Tablet</t>
  </si>
  <si>
    <t>DS-PAN-1203</t>
  </si>
  <si>
    <t>DISCONTINUED - Docking Station For Panasonic TOUGHBOOK 33 Tablet with Standard Port Replication &amp; Dual Pass-Thru Antenna Connections &amp; LIND Power Supply</t>
  </si>
  <si>
    <t>DS-PAN-1202-2</t>
  </si>
  <si>
    <t>DISCONTINUED - Docking Station For Panasonic TOUGHBOOK 33 Tablet with Standard Port Replication &amp; LIND Power Supply</t>
  </si>
  <si>
    <t>DS-PAN-1202</t>
  </si>
  <si>
    <t>DISCONTINUED - Docking Station For Panasonic TOUGHBOOK 33 Tablet with Standard Port Replication &amp; Dual Pass-Thru Antenna Connections</t>
  </si>
  <si>
    <t>DS-PAN-1201-2</t>
  </si>
  <si>
    <t>DISCONTINUED - Docking Station For Panasonic TOUGHBOOK 33 Tablet with Standard Port Replication</t>
  </si>
  <si>
    <t>DS-PAN-1201</t>
  </si>
  <si>
    <t>Docking Station For Panasonic TOUGHBOOK 33 2-In-1 With Standard Port Replication &amp; Dual Pass-Through Antenna Connections With Havis Power Supply</t>
  </si>
  <si>
    <t>DS-PAN-1115N-2</t>
  </si>
  <si>
    <t>Docking Station For Panasonic TOUGHBOOK 33 2-In-1 With Standard Port Replication &amp; Havis Power Supply</t>
  </si>
  <si>
    <t>DS-PAN-1115N</t>
  </si>
  <si>
    <t>DISCONTINUED - Docking Station For Panasonic TOUGHBOOK 33 2-In-1 With Standard Port Replication &amp; Dual Pass-Through Antenna Connections With LIND Power Supply</t>
  </si>
  <si>
    <t>DS-PAN-1115-2</t>
  </si>
  <si>
    <t>DISCONTINUED - Docking Station For Panasonic TOUGHBOOK 33 2-In-1 With Standard Port Replication &amp; LIND Power Supply</t>
  </si>
  <si>
    <t>DS-PAN-1115</t>
  </si>
  <si>
    <t>Docking Station For Panasonic TOUGHBOOK 33 2-In-1 With Standard Port Replication &amp; Dual Pass-Through Antenna Connections</t>
  </si>
  <si>
    <t>DS-PAN-1114-2</t>
  </si>
  <si>
    <t>Docking Station For Panasonic TOUGHBOOK 33 2-In-1 With Standard Port Replication</t>
  </si>
  <si>
    <t>DS-PAN-1114</t>
  </si>
  <si>
    <t>Cradle  For Panasonic TOUGHBOOK 33 2-In-1 Laptop</t>
  </si>
  <si>
    <t>DS-PAN-1113</t>
  </si>
  <si>
    <t>Docking Station For Panasonic TOUGHBOOK 33 2-In-1 Laptop With Advanced Port Replication &amp; Dual Pass-Thru Antenna Connections With Havis Power Supply</t>
  </si>
  <si>
    <t>DS-PAN-1112N-2</t>
  </si>
  <si>
    <t>Docking Station For Panasonic TOUGHBOOK 33 2-In-1 Laptop With Advanced Port Replication &amp; Havis Power Supply</t>
  </si>
  <si>
    <t>DS-PAN-1112N</t>
  </si>
  <si>
    <t>DISCONTINUED - Docking Station For Panasonic TOUGHBOOK 33 2-In-1 Laptop With Advanced Port Replication &amp; Dual Pass-Thru Antenna Connections With LIND Power Supply</t>
  </si>
  <si>
    <t>DS-PAN-1112-2</t>
  </si>
  <si>
    <t>DISCONTINUED - Docking Station For Panasonic TOUGHBOOK 33 2-In-1 Laptop With Advanced Port Replication &amp; LIND Power Supply</t>
  </si>
  <si>
    <t>DS-PAN-1112</t>
  </si>
  <si>
    <t>Docking Station For Panasonic TOUGHBOOK 33 2-In-1 Laptop With Advanced Port Replication &amp; Dual Pass-Thru Antenna Connections</t>
  </si>
  <si>
    <t>DS-PAN-1111-2</t>
  </si>
  <si>
    <t>Docking Station For Panasonic TOUGHBOOK 33 2-In-1 Laptop With Advanced Port Replication</t>
  </si>
  <si>
    <t>DS-PAN-1111</t>
  </si>
  <si>
    <t>Docking Station For Panasonic TOUGHBOOK G2 2-In-1 With Standard Port Replication, Dual Pass-Through Antenna Connections &amp; Havis External Power Supply</t>
  </si>
  <si>
    <t>DS-PAN-1015N-2</t>
  </si>
  <si>
    <t>Docking Station For Panasonic TOUGHBOOK G2 2-In-1 With Standard Port Replication &amp; Havis External Power Supply</t>
  </si>
  <si>
    <t>DS-PAN-1015N</t>
  </si>
  <si>
    <t>DISCONTINUED - Docking Station For Panasonic TOUGHBOOK G2 2-In-1 With Standard Port Replication, Dual Pass-Through Antenna Connections &amp; External Power Supply</t>
  </si>
  <si>
    <t>DS-PAN-1015-2</t>
  </si>
  <si>
    <t>DISCONTINUED - Docking Station For Panasonic TOUGHBOOK G2 2-In-1 With Standard Port Replication &amp; External Power Supply</t>
  </si>
  <si>
    <t>DS-PAN-1015</t>
  </si>
  <si>
    <t>Docking Station For Panasonic TOUGHBOOK G2 2-In-1 With Standard Port Replication &amp; Dual Pass-Through Antenna Connections</t>
  </si>
  <si>
    <t>DS-PAN-1014-2</t>
  </si>
  <si>
    <t>Docking Station For Panasonic TOUGHBOOK G2 2-In-1 With Standard Port Replication</t>
  </si>
  <si>
    <t>DS-PAN-1014</t>
  </si>
  <si>
    <t>Cradle For Panasonic TOUGHBOOK G2 2-In-1 Laptop</t>
  </si>
  <si>
    <t>DS-PAN-1013</t>
  </si>
  <si>
    <t>Docking Station For Panasonic TOUGHBOOK G2 2-In-1 With Advanced Port Replication, Dual Pass-Through Antenna Connections &amp; Havis External Power Supply</t>
  </si>
  <si>
    <t>DS-PAN-1012N-2</t>
  </si>
  <si>
    <t>Docking Station For Panasonic TOUGHBOOK G2 2-In-1 With Advanced Port Replication &amp; Havis External Power Supply</t>
  </si>
  <si>
    <t>DS-PAN-1012N</t>
  </si>
  <si>
    <t>DISCONTINUED - Docking Station For Panasonic TOUGHBOOK G2 2-In-1 With Advanced Port Replication, Dual Pass-Through Antenna Connections &amp; External Power Supply</t>
  </si>
  <si>
    <t>DS-PAN-1012-2</t>
  </si>
  <si>
    <t>DISCONTINUED - Docking Station For Panasonic TOUGHBOOK G2 2-In-1 With Advanced Port Replication &amp; External Power Supply</t>
  </si>
  <si>
    <t>DS-PAN-1012</t>
  </si>
  <si>
    <t>Docking Station For Panasonic TOUGHBOOK G2 2-In-1 With Advanced Port Replication &amp; Dual Pass-Through Antenna Connections</t>
  </si>
  <si>
    <t>DS-PAN-1011-2</t>
  </si>
  <si>
    <t>Docking Station For Panasonic TOUGHBOOK G2 2-In-1 With Advanced Port Replication</t>
  </si>
  <si>
    <t>DS-PAN-1011</t>
  </si>
  <si>
    <t>Cradle For Getac K120 Rugged Tablet With Triple Pass-Thru Antenna Connections, &amp; DC-DC Power Supply with USB-C Output</t>
  </si>
  <si>
    <t>DS-GTC-909-3</t>
  </si>
  <si>
    <t>Cradle For Getac K120 Rugged Tablet &amp; DC-DC Power Supply with USB-C Output</t>
  </si>
  <si>
    <t>DS-GTC-909</t>
  </si>
  <si>
    <t>DISCONTINUED - Cradle  For Getac K120 Tablet With Triple Pass-Thru Antenna Connections &amp; External Power Supply with Lighter Plug</t>
  </si>
  <si>
    <t>DS-GTC-906-3</t>
  </si>
  <si>
    <t>DISCONTINUED - Cradle  For Getac K120 Tablet with External Power Supply with Lighter Plug</t>
  </si>
  <si>
    <t>DS-GTC-906</t>
  </si>
  <si>
    <t>Cradle  For Getac K120 Tablet With Triple Pass-Thru Antenna Connections</t>
  </si>
  <si>
    <t>DS-GTC-903-3</t>
  </si>
  <si>
    <t>Cradle  For Getac K120 Tablet</t>
  </si>
  <si>
    <t>DS-GTC-903</t>
  </si>
  <si>
    <t>DISCONTINUED - Docking Station For Getac K120 Tablet With Triple Pass-Thru Antenna Connections &amp; External Power Supply with Lighter Plug</t>
  </si>
  <si>
    <t>DS-GTC-902-3</t>
  </si>
  <si>
    <t>DISCONTINUED - Docking Station For Getac K120 Tablet with External Power Supply with Lighter Plug</t>
  </si>
  <si>
    <t>DS-GTC-902</t>
  </si>
  <si>
    <t>Docking Station For Getac K120 Tablet With Triple Pass-Thru Antenna Connections</t>
  </si>
  <si>
    <t>DS-GTC-901-3</t>
  </si>
  <si>
    <t>Docking Station For Getac K120 Tablet</t>
  </si>
  <si>
    <t>DS-GTC-901</t>
  </si>
  <si>
    <t>DISCONTINUED - Cradle  For Getac A140 Tablet With Triple Pass-Thru Antenna Connections &amp; External Power Supply with Lighter Plug</t>
  </si>
  <si>
    <t>DS-GTC-806-3</t>
  </si>
  <si>
    <t>DISCONTINUED - Cradle  For Getac A140 Tablet with External Power Supply with Lighter Plug</t>
  </si>
  <si>
    <t>DS-GTC-806</t>
  </si>
  <si>
    <t>Cradle  For Getac A140 Tablet With Triple Pass-Thru Antenna Connections</t>
  </si>
  <si>
    <t>DS-GTC-803-3</t>
  </si>
  <si>
    <t>Cradle  For Getac A140 Tablet</t>
  </si>
  <si>
    <t>DS-GTC-803</t>
  </si>
  <si>
    <t>DISCONTINUED - Docking Station For Getac A140 Tablet With Triple Pass-Thru Antenna Connections &amp; External Getac Power Supply with Lighter Plug</t>
  </si>
  <si>
    <t>DS-GTC-802-3</t>
  </si>
  <si>
    <t>DISCONTINUED - Docking Station For Getac A140 Tablet With External Getac Power Supply with Lighter Plug</t>
  </si>
  <si>
    <t>DS-GTC-802</t>
  </si>
  <si>
    <t>Docking Station For Getac A140 Tablet With Triple Pass-Thru Antenna Connections</t>
  </si>
  <si>
    <t>DS-GTC-801-3</t>
  </si>
  <si>
    <t>Docking Station For Getac A140 Tablet</t>
  </si>
  <si>
    <t>DS-GTC-801</t>
  </si>
  <si>
    <t>DISCONTINUED - Docking Station For Getac ZX70 Tablet With Power-Only POGO Connector, Dual Pass-Thru Antenna Connections &amp; External Power Supply</t>
  </si>
  <si>
    <t>DS-GTC-718-2</t>
  </si>
  <si>
    <t>DISCONTINUED - Docking Station For Getac ZX70 Tablet With Power-Only POGO Connector &amp; External Power Supply</t>
  </si>
  <si>
    <t>DS-GTC-718</t>
  </si>
  <si>
    <t>DISCONTINUED - Docking Station For Getac ZX70 Tablet With POGO Connector, Dual Pass-Thru Antenna Connections &amp; External Power Supply</t>
  </si>
  <si>
    <t>DS-GTC-717-2</t>
  </si>
  <si>
    <t>DISCONTINUED - Docking Station For Getac ZX70 Tablet With POGO Connector &amp; External Power Supply</t>
  </si>
  <si>
    <t>DS-GTC-717</t>
  </si>
  <si>
    <t>Docking Station For Getac ZX70 Tablet With Power-Only POGO Connector &amp; Dual Pass-Thru Antenna Connections</t>
  </si>
  <si>
    <t>DS-GTC-715-2</t>
  </si>
  <si>
    <t>Docking Station For Getac ZX70 Tablet With Power-Only POGO Connector</t>
  </si>
  <si>
    <t>DS-GTC-715</t>
  </si>
  <si>
    <t>Docking Station For Getac ZX70 Tablet With POGO Connector &amp; Dual Pass-Thru Antenna Connections</t>
  </si>
  <si>
    <t>DS-GTC-714-2</t>
  </si>
  <si>
    <t>Docking Station For Getac ZX70 Tablet With POGO Connector</t>
  </si>
  <si>
    <t>DS-GTC-714</t>
  </si>
  <si>
    <t>DISCONTINUED - Docking Station For Getac ZX70 Tablet With JAE Connector, Dual Pass-Thru Antenna Connections &amp; External Power Supply</t>
  </si>
  <si>
    <t>DS-GTC-712-2</t>
  </si>
  <si>
    <t>DISCONTINUED - Docking Station For Getac ZX70 Tablet With JAE Connector &amp; External Power Supply</t>
  </si>
  <si>
    <t>DS-GTC-712</t>
  </si>
  <si>
    <t>Docking Station For Getac ZX70 Tablet With JAE Connector &amp; Dual Pass-Thru Antenna Connections</t>
  </si>
  <si>
    <t>DS-GTC-711-2</t>
  </si>
  <si>
    <t>Docking Station For Getac ZX70 Tablet With JAE Connector</t>
  </si>
  <si>
    <t>DS-GTC-711</t>
  </si>
  <si>
    <t>DISCONTINUED - Cradle For Getac S410 Notebook  With Triple Pass-Thru Antenna Connections &amp; External Power Supply with Lighter Plug</t>
  </si>
  <si>
    <t>DS-GTC-618-3</t>
  </si>
  <si>
    <t>DISCONTINUED - Cradle For Getac S410 Notebook with External Power Supply with Lighter Plug</t>
  </si>
  <si>
    <t>DS-GTC-618</t>
  </si>
  <si>
    <t>Docking Station For Getac S410 Notebook with External Power Supply with Bare Wire</t>
  </si>
  <si>
    <t>DS-GTC-617-BW</t>
  </si>
  <si>
    <t>Docking Station For Getac S410 Notebook  With Triple Pass-Thru Antenna Connections &amp; External Power Supply with Bare Wire</t>
  </si>
  <si>
    <t>DS-GTC-617-3-BW</t>
  </si>
  <si>
    <t>DISCONTINUED - Docking Station For Getac S410 Notebook  With Triple Pass-Thru Antenna Connections &amp; External Power Supply with Lighter Plug</t>
  </si>
  <si>
    <t>DS-GTC-617-3</t>
  </si>
  <si>
    <t>DISCONTINUED - Docking Station For Getac S410 Notebook with External Power Supply with Lighter Plug</t>
  </si>
  <si>
    <t>DS-GTC-617</t>
  </si>
  <si>
    <t>Cradle For Getac S410 Notebook With Triple Pass-Thru Antenna Connections</t>
  </si>
  <si>
    <t>DS-GTC-613-3</t>
  </si>
  <si>
    <t xml:space="preserve">Cradle For Getac S410 Notebook </t>
  </si>
  <si>
    <t>DS-GTC-613</t>
  </si>
  <si>
    <t>Docking Station For Getac S410 Notebook With Triple Pass-Thru Antenna Connections</t>
  </si>
  <si>
    <t>DS-GTC-611-3</t>
  </si>
  <si>
    <t>Docking Station For Getac S410 Notebook</t>
  </si>
  <si>
    <t>DS-GTC-611</t>
  </si>
  <si>
    <t>Docking Station For Getac T800 Tablet With Power-Only Port Replication &amp; Triple Pass-Thru Antenna Connections</t>
  </si>
  <si>
    <t>DS-GTC-415-3</t>
  </si>
  <si>
    <t>Docking Station For Getac T800 Tablet With Power-Only Port Replication</t>
  </si>
  <si>
    <t>DS-GTC-415</t>
  </si>
  <si>
    <t>Cradle For Getac T800 Tablet With Triple Pass-Thru Antenna Connections</t>
  </si>
  <si>
    <t>DS-GTC-413-3</t>
  </si>
  <si>
    <t xml:space="preserve">Cradle For Getac T800 Tablet </t>
  </si>
  <si>
    <t>DS-GTC-413</t>
  </si>
  <si>
    <t>DISCONTINUED - Docking Station For Getac T800 Tablet With Triple Pass-Thru Antenna Connections &amp; LIND Power Supply</t>
  </si>
  <si>
    <t>DS-GTC-412-3</t>
  </si>
  <si>
    <t>DISCONTINUED - Docking Station For Getac T800 Tablet With LIND Power Supply</t>
  </si>
  <si>
    <t>DS-GTC-412</t>
  </si>
  <si>
    <t>Docking Station For Getac T800 Tablet With Triple Pass-Thru Antenna Connections</t>
  </si>
  <si>
    <t>DS-GTC-411-3</t>
  </si>
  <si>
    <t>Docking Station For Getac T800 Tablet</t>
  </si>
  <si>
    <t>DS-GTC-411</t>
  </si>
  <si>
    <t>DISCONTINUED - Cradle for Getac V110 Convertible Notebook with Triple Pass-Thru Antenna Connections &amp; LIND Power Supply</t>
  </si>
  <si>
    <t>DS-GTC-315-3</t>
  </si>
  <si>
    <t>Cradle for Getac V110 Convertible Notebook with Triple Pass-Thru Antenna Connections</t>
  </si>
  <si>
    <t>DS-GTC-313-3</t>
  </si>
  <si>
    <t>DISCONTINUED - Docking Station For Getac V110 Convertible Notebook With Triple Pass-Thru Antenna Connections &amp; LIND Power Supply</t>
  </si>
  <si>
    <t>DS-GTC-312-3</t>
  </si>
  <si>
    <t>DISCONTINUED - Docking Station For Getac V110 Convertible Notebook With LIND Power Supply</t>
  </si>
  <si>
    <t>DS-GTC-312</t>
  </si>
  <si>
    <t>Docking Station For Getac V110 Convertible Notebook With Triple Pass-Thru Antenna Connections</t>
  </si>
  <si>
    <t>DS-GTC-311-3</t>
  </si>
  <si>
    <t>Docking Station For Getac V110 Convertible Notebook</t>
  </si>
  <si>
    <t>DS-GTC-311</t>
  </si>
  <si>
    <t>DISCONTINUED - Cradle For Getac V110 Convertible Notebook With External Power Supply</t>
  </si>
  <si>
    <t>DS-GTC-305</t>
  </si>
  <si>
    <t xml:space="preserve">Cradle For Getac V110 Convertible Notebook </t>
  </si>
  <si>
    <t>DS-GTC-303</t>
  </si>
  <si>
    <t>DISCONTINUED - Cradle For Getac F110 Tablet With Triple Pass-Thru Antenna Connections &amp; External Power Supply with Lighter Plug</t>
  </si>
  <si>
    <t>DS-GTC-226-3</t>
  </si>
  <si>
    <t>DISCONTINUED - Cradle For Getac F110 Tablet with External Power Supply with Lighter Plug</t>
  </si>
  <si>
    <t>DS-GTC-226</t>
  </si>
  <si>
    <t>Cradle For Getac F110 Tablet With Triple Pass-Thru Antenna Connections</t>
  </si>
  <si>
    <t>DS-GTC-223-3</t>
  </si>
  <si>
    <t>Cradle For Getac F110 Tablet</t>
  </si>
  <si>
    <t>DS-GTC-223</t>
  </si>
  <si>
    <t>Docking Station For Getac F110 Tablet with External Power Supply with Bare Wire</t>
  </si>
  <si>
    <t>DS-GTC-222-BW</t>
  </si>
  <si>
    <t>Docking Station For Getac F110 Tablet With Triple Pass-Thru Antenna Connections &amp; External Power Supply with Bare Wire</t>
  </si>
  <si>
    <t>DS-GTC-222-3-BW</t>
  </si>
  <si>
    <t>DISCONTINUED - Docking Station For Getac F110 Tablet With Triple Pass-Thru Antenna Connections &amp; External Power Supply with Lighter Plug</t>
  </si>
  <si>
    <t>DS-GTC-222-3</t>
  </si>
  <si>
    <t>DISCONTINUED - Docking Station For Getac F110 Tablet with External Power Supply with Lighter Plug</t>
  </si>
  <si>
    <t>DS-GTC-222</t>
  </si>
  <si>
    <t>Docking Station For Getac F110 Tablet With Triple Pass-Thru Antenna Connections</t>
  </si>
  <si>
    <t>DS-GTC-221-3</t>
  </si>
  <si>
    <t>Docking Station For Getac F110 Tablet</t>
  </si>
  <si>
    <t>DS-GTC-221</t>
  </si>
  <si>
    <t>Docking Station for Getac F120 with Advanced Port Replication &amp; LPS-140-BW Power Supply</t>
  </si>
  <si>
    <t>DS-GTC-1705-BW</t>
  </si>
  <si>
    <t>Docking Station for Getac F120 with Advanced Port Replication &amp; Quad Pass-Thru Antenna Connections &amp; LPS-140-BW Power Supply</t>
  </si>
  <si>
    <t>DS-GTC-1705-4-BW</t>
  </si>
  <si>
    <t>Docking Station for Getac F120 with Advanced Port Replication &amp; Quad Pass-Thru Antenna Connections</t>
  </si>
  <si>
    <t>DS-GTC-1704-4</t>
  </si>
  <si>
    <t>Docking Station for Getac F120 with Advanced Port Replication</t>
  </si>
  <si>
    <t>DS-GTC-1704</t>
  </si>
  <si>
    <t>Cradle for Getac F120 with Quad Pass-Thru Antenna Connections</t>
  </si>
  <si>
    <t>DS-GTC-1703-4</t>
  </si>
  <si>
    <t>Cradle for Getac F120</t>
  </si>
  <si>
    <t>DS-GTC-1703</t>
  </si>
  <si>
    <t>Docking Station for Getac F120 with Standard Port Replication &amp; LPS-140-BW Power Supply</t>
  </si>
  <si>
    <t>DS-GTC-1702-BW</t>
  </si>
  <si>
    <t>Docking Station for Getac F120 with Standard Port Replication &amp; Quad Pass-Thru Antenna Connections &amp; LPS-140-BW Power Supply</t>
  </si>
  <si>
    <t>DS-GTC-1702-4-BW</t>
  </si>
  <si>
    <t xml:space="preserve">Docking Station for Getac F120 with Standard Port Replication and Quad Pass-Thru Antenna Connections </t>
  </si>
  <si>
    <t>DS-GTC-1701-4</t>
  </si>
  <si>
    <t>Docking Station for Getac F120 with Standard Port Replication</t>
  </si>
  <si>
    <t>DS-GTC-1701</t>
  </si>
  <si>
    <t>Docking Station for Getac V120  with Advanced Port Replication &amp; Getac Power Supply</t>
  </si>
  <si>
    <t>DS-GTC-1605-BW</t>
  </si>
  <si>
    <t>Docking Station for Getac V120  with Advanced Port Replication &amp; Quad Pass-Thru Antenna Connections &amp; Getac Power Supply</t>
  </si>
  <si>
    <t>DS-GTC-1605-4-BW</t>
  </si>
  <si>
    <t>Docking Station for Getac V120  with Advanced Port Replication &amp; Quad Pass-Thru Antenna Connections</t>
  </si>
  <si>
    <t>DS-GTC-1604-4</t>
  </si>
  <si>
    <t>Docking Station for Getac V120  with Advanced Port Replication</t>
  </si>
  <si>
    <t>DS-GTC-1604</t>
  </si>
  <si>
    <t>Cradle for Getac V120 with Quad Pass-Thru Antenna Connections</t>
  </si>
  <si>
    <t xml:space="preserve">DS-GTC-1603-4 </t>
  </si>
  <si>
    <t xml:space="preserve">Cradle for Getac V120 </t>
  </si>
  <si>
    <t>DS-GTC-1603</t>
  </si>
  <si>
    <t>Docking Station for Getac V120  with Standard Port Replication &amp; Getac Power Supply</t>
  </si>
  <si>
    <t>DS-GTC-1602-BW</t>
  </si>
  <si>
    <t>Docking Station for Getac V120  with Standard Port Replication &amp; Quad Pass-Thru Antenna Connections &amp; Getac Power Supply</t>
  </si>
  <si>
    <t>DS-GTC-1602-4-BW</t>
  </si>
  <si>
    <t xml:space="preserve">Docking Station for Getac V120  with Standard Port Replication &amp; Quad Pass-Thru Antenna Connections </t>
  </si>
  <si>
    <t>DS-GTC-1601-4</t>
  </si>
  <si>
    <t>Docking Station for Getac V120  with Standard Port Replication</t>
  </si>
  <si>
    <t>DS-GTC-1601</t>
  </si>
  <si>
    <t>Cradle for Getac ZX80 and Triple Pass-Thru Antenna Connections &amp; DC-DC Power Suply With USB-C Output</t>
  </si>
  <si>
    <t>DS-GTC-1506-3</t>
  </si>
  <si>
    <t>Cradle for Getac ZX80 &amp; DC-DC Power Suply With USB-C Output</t>
  </si>
  <si>
    <t>DS-GTC-1506</t>
  </si>
  <si>
    <t>Cradle for Getac ZX80 and Triple Pass-Thru Antenna Connections</t>
  </si>
  <si>
    <t>DS-GTC-1503-3</t>
  </si>
  <si>
    <t>Cradle for Getac ZX80</t>
  </si>
  <si>
    <t>DS-GTC-1503</t>
  </si>
  <si>
    <t>Docking Station for Getac ZX80 with Advanced Port Replication &amp; Triple Pass-Thru Antenna Connections &amp; Power Cable</t>
  </si>
  <si>
    <t>DS-GTC-1502-3</t>
  </si>
  <si>
    <t>Docking Station for Getac ZX80 with Advanced Port Replication &amp; Power Cable</t>
  </si>
  <si>
    <t>DS-GTC-1502</t>
  </si>
  <si>
    <t>Docking Station for Getac ZX80 with Standard Port Replication &amp; Triple Pass-Thru Antenna Connections &amp; Power Cable</t>
  </si>
  <si>
    <t>DS-GTC-1501-3</t>
  </si>
  <si>
    <t>Docking Station for Getac ZX80 with Standard Port Replication &amp; Power Cable</t>
  </si>
  <si>
    <t>DS-GTC-1501</t>
  </si>
  <si>
    <t>Bundle -  Cradle for Getac S510 Laptop &amp; Getac Power Supply with Bare Wire</t>
  </si>
  <si>
    <t>DS-GTC-1406-BW</t>
  </si>
  <si>
    <t>Bundle - Cradle for Getac S510 Laptop with Triple Pass-Through Antenna Connection &amp; Getac Power Supply with Bare Wire</t>
  </si>
  <si>
    <t>DS-GTC-1406-3-BW</t>
  </si>
  <si>
    <t>DISCONTINUED - Bundle - Cradle for Getac S510 Laptop with Triple Pass-Through Antenna Connection &amp; Getac Power Supply with Lighter Plug</t>
  </si>
  <si>
    <t>DS-GTC-1406-3</t>
  </si>
  <si>
    <t>DISCONTINUED - Bundle -  Cradle for Getac S510 Laptop &amp; Getac Power Supply with Lighter Plug</t>
  </si>
  <si>
    <t>DS-GTC-1406</t>
  </si>
  <si>
    <t>Cradle for Getac S510 Laptop with Triple Pass-Through Antenna Connection</t>
  </si>
  <si>
    <t>DS-GTC-1403-3</t>
  </si>
  <si>
    <t>Cradle for Getac S510 Laptop</t>
  </si>
  <si>
    <t>DS-GTC-1403</t>
  </si>
  <si>
    <t>Bundle -  Docking Station for Getac S510 Laptop &amp; Getac Power Supply with Bare Wire</t>
  </si>
  <si>
    <t>DS-GTC-1402-BW</t>
  </si>
  <si>
    <t>Bundle - Docking Station for Getac S510 Laptop with Triple Pass-Through Antenna Connection &amp; Getac Power Supply with Bare Wire</t>
  </si>
  <si>
    <t>DS-GTC-1402-3-BW</t>
  </si>
  <si>
    <t>DISCONTINUED - Bundle - Docking Station for Getac S510 Laptop with Triple Pass-Through Antenna Connection &amp; Getac Power Supply with Lighter Plug</t>
  </si>
  <si>
    <t>DS-GTC-1402-3</t>
  </si>
  <si>
    <t>DISCONTINUED - Bundle -  Docking Station for Getac S510 Laptop &amp; Getac Power Supply with Lighter Plug</t>
  </si>
  <si>
    <t>DS-GTC-1402</t>
  </si>
  <si>
    <t>Docking Station for Getac S510 Laptop with Triple Pass-Through Antenna Connection</t>
  </si>
  <si>
    <t>DS-GTC-1401-3</t>
  </si>
  <si>
    <t>Docking Station for Getac S510 Laptop</t>
  </si>
  <si>
    <t>DS-GTC-1401</t>
  </si>
  <si>
    <t>DISCONTINUED - Cradle For Getac ZX10 Tablet With Triple Pass-Thru Antenna Connections &amp; External Power Supply with Lighter Plug</t>
  </si>
  <si>
    <t>DS-GTC-1306-3</t>
  </si>
  <si>
    <t>DISCONTINUED - Cradle For Getac ZX10 Tablet with External Power Supply with Lighter Plug</t>
  </si>
  <si>
    <t>DS-GTC-1306</t>
  </si>
  <si>
    <t>Cradle For Getac ZX10 Tablet With Triple Pass-Thru Antenna Connections</t>
  </si>
  <si>
    <t>DS-GTC-1303-3</t>
  </si>
  <si>
    <t>Cradle For Getac ZX10 Tablet</t>
  </si>
  <si>
    <t>DS-GTC-1303</t>
  </si>
  <si>
    <t>DISCONTINUED - Docking Station For Getac ZX10 Tablet With Triple Pass-Thru Antenna Connections &amp; External Power Supply with Lighter Plug</t>
  </si>
  <si>
    <t>DS-GTC-1302-3</t>
  </si>
  <si>
    <t>DISCONTINUED - Docking Station For Getac ZX10 Tablet with External Power Supply with Lighter Plug</t>
  </si>
  <si>
    <t>DS-GTC-1302</t>
  </si>
  <si>
    <t>Docking Station For Getac ZX10 Tablet With Triple Pass-Thru Antenna Connections</t>
  </si>
  <si>
    <t>DS-GTC-1301-3</t>
  </si>
  <si>
    <t>Docking Station For Getac ZX10 Tablet</t>
  </si>
  <si>
    <t>DS-GTC-1301</t>
  </si>
  <si>
    <t>DISCONTINUED - Cradle For Getac B360 &amp; B360 Pro Laptops With Triple Pass-Thru Antenna Connections &amp; External Power Supply with Lighter Plug</t>
  </si>
  <si>
    <t>DS-GTC-1206-3</t>
  </si>
  <si>
    <t>DISCONTINUED - Cradle For Getac B360 &amp; B360 Pro Laptops with External Power Supply with Lighter Plug</t>
  </si>
  <si>
    <t>DS-GTC-1206</t>
  </si>
  <si>
    <t>Cradle For Getac B360 &amp; B360 Pro Laptops With Triple Pass-Thru Antenna Connections</t>
  </si>
  <si>
    <t>DS-GTC-1203-3</t>
  </si>
  <si>
    <t>Cradle For Getac B360 &amp; B360 Pro Laptops</t>
  </si>
  <si>
    <t>DS-GTC-1203</t>
  </si>
  <si>
    <t>Docking Station For Getac B360 &amp; B360 Pro Laptops with External Power Supply with Bare Wire</t>
  </si>
  <si>
    <t>DS-GTC-1202-BW</t>
  </si>
  <si>
    <t>Docking Station For Getac B360 &amp; B360 Pro Laptops With Triple Pass-Thru Antenna Connections &amp; External Power Supply with Bare Wire</t>
  </si>
  <si>
    <t>DS-GTC-1202-3-BW</t>
  </si>
  <si>
    <t>DISCONTINUED - Docking Station For Getac B360 &amp; B360 Pro Laptops With Triple Pass-Thru Antenna Connections &amp; External Power Supply with Lighter Plug</t>
  </si>
  <si>
    <t>DS-GTC-1202-3</t>
  </si>
  <si>
    <t>DISCONTINUED - Docking Station For Getac B360 &amp; B360 Pro Laptops with External Power Supply with Lighter Plug</t>
  </si>
  <si>
    <t>DS-GTC-1202</t>
  </si>
  <si>
    <t>Docking Station For Getac B360 &amp; B360 Pro Laptops With Triple Pass-Thru Antenna Connections</t>
  </si>
  <si>
    <t>DS-GTC-1201-3</t>
  </si>
  <si>
    <t>Docking Station For Getac B360 &amp; B360 Pro Laptops</t>
  </si>
  <si>
    <t>DS-GTC-1201</t>
  </si>
  <si>
    <t>DISCONTINUED - Cradle For Getac UX10 Tablet With Triple Pass-Thru Antenna Connections &amp; External Power Supply with Lighter Plug</t>
  </si>
  <si>
    <t>DS-GTC-1106-3</t>
  </si>
  <si>
    <t>DISCONTINUED - Cradle For Getac UX10 Tablet with External Power Supply with Lighter Plug</t>
  </si>
  <si>
    <t>DS-GTC-1106</t>
  </si>
  <si>
    <t>Cradle For Getac UX10 Tablet With Triple Pass-Thru Antenna Connections</t>
  </si>
  <si>
    <t>DS-GTC-1103-3</t>
  </si>
  <si>
    <t>Cradle For Getac UX10 Tablet</t>
  </si>
  <si>
    <t>DS-GTC-1103</t>
  </si>
  <si>
    <t>DISCONTINUED - Docking Station For Getac UX10 Tablet With Triple Pass-Thru Antenna Connections &amp; External Power Supply with Lighter Plug</t>
  </si>
  <si>
    <t>DS-GTC-1102-3</t>
  </si>
  <si>
    <t>DISCONTINUED - Docking Station For Getac UX10 Tablet with External Power Supply with Lighter Plug</t>
  </si>
  <si>
    <t>DS-GTC-1102</t>
  </si>
  <si>
    <t>Docking Station For Getac UX10 Tablet With Triple Pass-Thru Antenna Connections</t>
  </si>
  <si>
    <t>DS-GTC-1101-3</t>
  </si>
  <si>
    <t>Docking Station For Getac UX10 Tablet</t>
  </si>
  <si>
    <t>DS-GTC-1101</t>
  </si>
  <si>
    <t>DISCONTINUED - Cradle For Getac K120 Convertible Laptop with Triple Pass-Thru Antenna Connections &amp; External Power Supply with Lighter Plug</t>
  </si>
  <si>
    <t>DS-GTC-1006-3</t>
  </si>
  <si>
    <t>DISCONTINUED - Cradle For Getac K120 Convertible Laptop with External Power Supply with Lighter Plug</t>
  </si>
  <si>
    <t>DS-GTC-1006</t>
  </si>
  <si>
    <t>Cradle For Getac K120 Convertible Laptop With Triple Pass-Thru Antenna Connections</t>
  </si>
  <si>
    <t>DS-GTC-1003-3</t>
  </si>
  <si>
    <t>Cradle For Getac K120 Convertible Laptop</t>
  </si>
  <si>
    <t>DS-GTC-1003</t>
  </si>
  <si>
    <t>DISCONTINUED - Docking Station For Getac K120 Convertible Laptop with Triple Pass-Thru Antenna Connections &amp; External Power Supply with Lighter Plug</t>
  </si>
  <si>
    <t>DS-GTC-1002-3</t>
  </si>
  <si>
    <t>DISCONTINUED - Docking Station For Getac K120 Convertible Laptop with External Power Supply with Lighter Plug</t>
  </si>
  <si>
    <t>DS-GTC-1002</t>
  </si>
  <si>
    <t>Docking Station For Getac K120 Convertible Laptop With Triple Pass-Thru Antenna Connections</t>
  </si>
  <si>
    <t>DS-GTC-1001-3</t>
  </si>
  <si>
    <t>Docking Station For Getac K120 Convertible Laptop</t>
  </si>
  <si>
    <t>DS-GTC-1001</t>
  </si>
  <si>
    <t>Docking Station for Dell's 7230 Tablet with Advanced Port Replication, Quad Pass-Thru Antenna Connection, &amp; 120W DC Power Supply</t>
  </si>
  <si>
    <t>DS-DELL-908N-4</t>
  </si>
  <si>
    <t>Docking Station for Dell's 7230 Tablet with Advanced Port Replication &amp; 120W DC Power Supply</t>
  </si>
  <si>
    <t>DS-DELL-908N</t>
  </si>
  <si>
    <t>DISCONTINUED - Docking Station for Dell's 7230 Tablet with Advanced Port Replication, Quad Pass-Thru Antenna Connection, &amp; 120W DC Power Supply</t>
  </si>
  <si>
    <t>DS-DELL-908-4</t>
  </si>
  <si>
    <t>DISCONTINUED - Docking Station for Dell's 7230 Tablet with Advanced Port Replication &amp; 120W DC Power Supply</t>
  </si>
  <si>
    <t>DS-DELL-908</t>
  </si>
  <si>
    <t>Docking Station for Dell's 7230 Tablet with Advanced Port Replication &amp;  Quad Pass-Thru Antenna Connection</t>
  </si>
  <si>
    <t>DS-DELL-907-4</t>
  </si>
  <si>
    <t>Docking Station for Dell's 7230 Tablet with Advanced Port Replication</t>
  </si>
  <si>
    <t>DS-DELL-907</t>
  </si>
  <si>
    <t>Docking Station for Dell's 7230 Tablet with Standard Port Replication, Quad Pass-Thru Antenna Connection, &amp; 120W DC Power Supply</t>
  </si>
  <si>
    <t>DS-DELL-905N-4</t>
  </si>
  <si>
    <t>Docking Station for Dell's 7230 Tablet with Standard Port Replication &amp; 120W DC Power Supply</t>
  </si>
  <si>
    <t>DS-DELL-905N</t>
  </si>
  <si>
    <t>DISCONTINUED - Docking Station for Dell's 7230 Tablet with Standard Port Replication, Quad Pass-Thru Antenna Connection, &amp; 120W DC Power Supply</t>
  </si>
  <si>
    <t>DS-DELL-905-4</t>
  </si>
  <si>
    <t>DISCONTINUED - Docking Station for Dell's 7230 Tablet with Standard Port Replication &amp; 120W DC Power Supply</t>
  </si>
  <si>
    <t>DS-DELL-905</t>
  </si>
  <si>
    <t>Docking Station for Dell's 7230 Tablet with Standard Port Replication, Quad Pass-Thru Antenna Connection</t>
  </si>
  <si>
    <t>DS-DELL-904-4</t>
  </si>
  <si>
    <t>Docking Station for Dell's 7230 Tablet with Standard Port Replication</t>
  </si>
  <si>
    <t>DS-DELL-904</t>
  </si>
  <si>
    <t>Cradle for Dell's 7230 Tablet with Quad Pass-Thru Antenna Connection</t>
  </si>
  <si>
    <t>DS-DELL-903-4</t>
  </si>
  <si>
    <t>Cradle for Dell's 7230 Tablet</t>
  </si>
  <si>
    <t>DS-DELL-903</t>
  </si>
  <si>
    <t>Docking Station for Dell's 7230 Tablet with AdvancedPort Replication, Quad Pass-Thru Antenna Connection, &amp; Internal, Non-isolated Power Supply</t>
  </si>
  <si>
    <t>DS-DELL-902-4</t>
  </si>
  <si>
    <t>Docking Station for Dell's 7230 Tablet with Advanced Port Replication &amp; Internal, Non-isolated Power Supply</t>
  </si>
  <si>
    <t>DS-DELL-902</t>
  </si>
  <si>
    <t>Docking Station for Dell's 7230 Tablet with Standard Port Replication, Quad Pass-Thru Antenna Connection, &amp; Internal, Non-isolated Power Supply</t>
  </si>
  <si>
    <t>DS-DELL-901-4</t>
  </si>
  <si>
    <t>Docking Station for Dell's 7230 Tablet with Standard Port Replication &amp; Internal, Non-isolated Power Supply</t>
  </si>
  <si>
    <t>DS-DELL-901</t>
  </si>
  <si>
    <t>OBSOLETE - Docking Station for Dell 7220 &amp; 7212 Tablets With Standard Port Replication &amp; Dual Pass-Thru Antenna Connections</t>
  </si>
  <si>
    <t>DS-DELL-607-2</t>
  </si>
  <si>
    <t>OBSOLETE - Docking Station for Dell 7220 &amp; 7212 Tablets With Standard Port Replication</t>
  </si>
  <si>
    <t>DS-DELL-607</t>
  </si>
  <si>
    <t>Cradle for Dell 7220 &amp; 7212 Tablets With Dual Pass-Thru Antenna Connections</t>
  </si>
  <si>
    <t>DS-DELL-603-2</t>
  </si>
  <si>
    <t>Cradle for Dell 7220 &amp; 7212 Tablets</t>
  </si>
  <si>
    <t>DS-DELL-603</t>
  </si>
  <si>
    <t>OBSOLETE - Docking Station for Dell 7220 &amp; 7212 Tablets With Advanced Port Replication &amp; Dual Pass-Thru Antenna Connections</t>
  </si>
  <si>
    <t>DS-DELL-601-2</t>
  </si>
  <si>
    <t>OBSOLETE - Docking Station for Dell 7220 &amp; 7212 Tablets With Advanced Port Replication</t>
  </si>
  <si>
    <t>DS-DELL-601</t>
  </si>
  <si>
    <t>Docking Station for Dell Pro Rugged 14" &amp; 13", 5430, 7330, 5420, 5424, &amp; 7424 Notebooks With Standard Port Replication, Triple Pass-Thru Antenna Connections, &amp; 120W DC Power Supply</t>
  </si>
  <si>
    <t>DS-DELL-436N-3</t>
  </si>
  <si>
    <t>Docking Station for Dell Pro Rugged 14" &amp; 13", 5430, 7330, 5420, 5424, &amp; 7424 Notebooks With Standard Port Replication &amp; 120W DC Power Supply</t>
  </si>
  <si>
    <t>DS-DELL-436N</t>
  </si>
  <si>
    <t>DISCONTINUED -Docking Station for Dell Pro Rugged 14" &amp; 13", 5430, 7330, 5420, 5424, &amp; 7424 Notebooks With Standard Port Replication, Triple Pass-Thru Antenna Connections, &amp; 120W DC Power Supply</t>
  </si>
  <si>
    <t>DS-DELL-436-3</t>
  </si>
  <si>
    <t>DISCONTINUED - Docking Station for Dell Pro Rugged 14" &amp; 13", 5430, 7330, 5420, 5424, &amp; 7424 Notebooks With Standard Port Replication &amp; 120W DC Power Supply</t>
  </si>
  <si>
    <t>DS-DELL-436</t>
  </si>
  <si>
    <t>Docking Station for Dell Pro Rugged 14" &amp; 13", 5430, 7330, 5420, 5424, &amp; 7424 Notebooks With Standard Port Replication &amp; Triple Pass-Thru Antenna Connections</t>
  </si>
  <si>
    <t>DS-DELL-435-3</t>
  </si>
  <si>
    <t>Docking Station for Dell Pro Rugged 14" &amp; 13", 5430, 7330, 5420, 5424, &amp; 7424 Notebooks With Standard Port Replication</t>
  </si>
  <si>
    <t>DS-DELL-435</t>
  </si>
  <si>
    <t>Cradle for Dell Pro Rugged 14" &amp; 13", 5430, 7330, 5420, 5424, &amp; 7424 Notebooks</t>
  </si>
  <si>
    <t>DS-DELL-433</t>
  </si>
  <si>
    <t>Docking Station for Dell Pro Rugged 14" &amp; 13", 5430, 7330, 5420, 5424, &amp; 7424 Notebooks with Advanced Port Replication, Triple Pass-Thru Antenna Connections &amp; 120W DC Power Supply</t>
  </si>
  <si>
    <t>DS-DELL-432N-3</t>
  </si>
  <si>
    <t>Docking Station for Dell Pro Rugged 14" &amp; 13", 5430, 7330, 5420, 5424, &amp; 7424 Notebooks with Advanced Port Replication &amp; 120W DC Power Supply</t>
  </si>
  <si>
    <t>DS-DELL-432N</t>
  </si>
  <si>
    <t>DISCONTINUED - Docking Station for Dell Pro Rugged 14" &amp; 13", 5430, 7330, 5420, 5424, &amp; 7424 Notebooks with Advanced Port Replication, Triple Pass-Thru Antenna Connections &amp; 120W DC Power Supply</t>
  </si>
  <si>
    <t>DS-DELL-432-3</t>
  </si>
  <si>
    <t>DISCONTINUED - Docking Station for Dell Pro Rugged 14" &amp; 13", 5430, 7330, 5420, 5424, &amp; 7424 Notebooks with Advanced Port Replication &amp; 120W DC Power Supply</t>
  </si>
  <si>
    <t>DS-DELL-432</t>
  </si>
  <si>
    <t>Docking Station for Dell Pro Rugged 14" &amp; 13", 5430, 7330, 5420, 5424, &amp; 7424 Notebooks with Advanced Port Replication &amp; Triple Pass-Thru Antenna Connections</t>
  </si>
  <si>
    <t>DS-DELL-431-3</t>
  </si>
  <si>
    <t>Docking Station for Dell Pro Rugged 14" &amp; 13", 5430, 7330, 5420, 5424, &amp; 7424 Notebooks with Advanced Port Replication</t>
  </si>
  <si>
    <t>DS-DELL-431</t>
  </si>
  <si>
    <t>DISCONTINUED - Docking Station For Dell 5430, 7330, 5420, 5424 &amp; 7424 Notebooks With Standard Port Replication, Triple Pass-Thru Antenna Connections &amp; LIND Power Supply</t>
  </si>
  <si>
    <t>DS-DELL-426-3</t>
  </si>
  <si>
    <t>DISCONTINUED - Docking Station For Dell 5430, 7330, 5420, 5424 &amp; 7424 Notebooks With Standard Port Replication &amp; LIND Power Supply</t>
  </si>
  <si>
    <t>DS-DELL-426</t>
  </si>
  <si>
    <t>DISCONTINUED - Docking Station For Dell 5430, 7330, 5420, 5424 &amp; 7424 Notebooks With Standard Port Replication &amp; Triple Pass-Thru Antenna Connections</t>
  </si>
  <si>
    <t>DS-DELL-425-3</t>
  </si>
  <si>
    <t>DISCONTINUED - Docking Station For Dell 5430, 7330, 5420, 5424 &amp; 7424 Notebooks With Standard Port Replication</t>
  </si>
  <si>
    <t>DS-DELL-425</t>
  </si>
  <si>
    <t>OBSOLETE - Cradle For Dell 5430, 7330, 5420, 5424 &amp; 7424 Notebooks With Triple Pass-Thru Antenna Connections</t>
  </si>
  <si>
    <t>DS-DELL-423-3</t>
  </si>
  <si>
    <t>DISCONTINUED - Cradle For Dell 5430, 7330, 5420, 5424 &amp; 7424 Notebooks</t>
  </si>
  <si>
    <t>DS-DELL-423</t>
  </si>
  <si>
    <t>DISCONTINUED - Docking Station For Dell 5430, 7330, 5420, 5424 &amp; 7424 Notebooks With Advanced Port Replication, Triple Pass-Thru Antenna Connections &amp; LIND Power Supply</t>
  </si>
  <si>
    <t>DS-DELL-422-3</t>
  </si>
  <si>
    <t>DS-DELL-422</t>
  </si>
  <si>
    <t>DISCONTINUED - Docking Station For Dell 5430, 7330, 5420, 5424 &amp; 7424 Notebooks With Advanced Port Replication &amp; Triple Pass-Thru Antenna Connections</t>
  </si>
  <si>
    <t>DS-DELL-421-3</t>
  </si>
  <si>
    <t>DISCONTINUED - Docking Station For Dell 5430, 7330, 5420, 5424 &amp; 7424 Notebooks With Advanced Port Replication</t>
  </si>
  <si>
    <t>DS-DELL-421</t>
  </si>
  <si>
    <t>Docking Station for Dell's 7030 Tablet with Advanced Port Replication &amp; 120W DC Power Supply</t>
  </si>
  <si>
    <t>DS-DELL-1108N</t>
  </si>
  <si>
    <t>DISCONTINUED - Docking Station for Dell's 7030 Tablet with Advanced Port Replication &amp; 120W DC Power Supply</t>
  </si>
  <si>
    <t>DS-DELL-1108</t>
  </si>
  <si>
    <t xml:space="preserve">Docking Station for Dell's 7030 Tablet with Advanced Port Replication </t>
  </si>
  <si>
    <t>DS-DELL-1107</t>
  </si>
  <si>
    <t>Docking Station for Dell's 7030 Tablet with Standard Port Replication  &amp; 120W DC Power Supply</t>
  </si>
  <si>
    <t>DS-DELL-1105N</t>
  </si>
  <si>
    <t>DISCONTINUED - Docking Station for Dell's 7030 Tablet with Standard Port Replication  &amp; 120W DC Power Supply</t>
  </si>
  <si>
    <t>DS-DELL-1105</t>
  </si>
  <si>
    <t xml:space="preserve">Docking Station for Dell's 7030 Tablet with Standard Port Replication </t>
  </si>
  <si>
    <t>DS-DELL-1104</t>
  </si>
  <si>
    <t>Cradle for Dell's 7030 Tablet</t>
  </si>
  <si>
    <t>DS-DELL-1103</t>
  </si>
  <si>
    <t>DISCONTINUED - Docking Station for Dell's 7030 Tablet with Advanced Port Replication and Internal, Non-isolated Power Supply</t>
  </si>
  <si>
    <t>DS-DELL-1102</t>
  </si>
  <si>
    <t>DISCONTINUED - Docking Station for Dell's 7030 Tablet with Standard Port Replication and Internal, Non-isolated Power Supply</t>
  </si>
  <si>
    <t>DS-DELL-1101</t>
  </si>
  <si>
    <t>OBSOLETE - Juggernaut.Case™ Impct Smartphone Case - Samsung Note9</t>
  </si>
  <si>
    <t>DS-DA-CN9</t>
  </si>
  <si>
    <t>OBSOLETE - Juggernaut.Case™ Impct Smartphone Case - Samsung Galaxy S21</t>
  </si>
  <si>
    <t>DS-DA-CGS21</t>
  </si>
  <si>
    <t>OBSOLETE - Juggernaut.Case™ Impct Smartphone Case - Samsung Galaxy S20</t>
  </si>
  <si>
    <t>DS-DA-CGS20</t>
  </si>
  <si>
    <t>OBSOLETE - Juggernaut.Case™ Impct Smartphone Case - Samsung Galaxy S10E</t>
  </si>
  <si>
    <t>DS-DA-CGS10E</t>
  </si>
  <si>
    <t>OBSOLETE - Juggernaut.Case™ Impct Smartphone Case - Samsung Galaxy S10</t>
  </si>
  <si>
    <t>DS-DA-CGS10</t>
  </si>
  <si>
    <t>OBSOLETE - Adapter For Havis DS-PD-101 Phone Dock - Samsung Note9</t>
  </si>
  <si>
    <t>DS-DA-AN9</t>
  </si>
  <si>
    <t>OBSOLETE - Adapter For Havis DS-PD-101 Phone Dock - Samsung Galaxy S21</t>
  </si>
  <si>
    <t>DS-DA-AGS21</t>
  </si>
  <si>
    <t>OBSOLETE - Adapter For Havis DS-PD-101 Phone Dock - Samsung Galaxy S20</t>
  </si>
  <si>
    <t>DS-DA-AGS20</t>
  </si>
  <si>
    <t>OBSOLETE - Adapter For Havis DS-PD-101 Phone Dock - Samsung Galaxy S10E</t>
  </si>
  <si>
    <t>DS-DA-AGS10E</t>
  </si>
  <si>
    <t>OBSOLETE - Adapter For Havis DS-PD-101 Phone Dock - Samsung Galaxy S10</t>
  </si>
  <si>
    <t>DS-DA-AGS10</t>
  </si>
  <si>
    <t xml:space="preserve">OBSOLETE - Havis Screen Blanking Solutions Powered By Blank-It </t>
  </si>
  <si>
    <t>DS-DA-801</t>
  </si>
  <si>
    <t>Rugged USB-C Port Replication Hub with USB-C to USB Cable</t>
  </si>
  <si>
    <t>DS-DA-604-A</t>
  </si>
  <si>
    <t>Fourth Generation Rugged Communications Hub</t>
  </si>
  <si>
    <t>DS-DA-604</t>
  </si>
  <si>
    <t>Havis USB-C Hub</t>
  </si>
  <si>
    <t>DS-DA-603</t>
  </si>
  <si>
    <t>Rugged Communications Hub</t>
  </si>
  <si>
    <t>DS-DA-602</t>
  </si>
  <si>
    <t>Replacement Keys, Device Mount, Universal Laptop Mount</t>
  </si>
  <si>
    <t>DS-DA-503</t>
  </si>
  <si>
    <t>Replacement Keys, Dell Docking Station</t>
  </si>
  <si>
    <t>DS-DA-502</t>
  </si>
  <si>
    <t>Replacement Keys, Panasonic Docking Station</t>
  </si>
  <si>
    <t>DS-DA-501</t>
  </si>
  <si>
    <t>Screen Support for DS-PAN-1500 Series Docking Stations</t>
  </si>
  <si>
    <t>DS-DA-423</t>
  </si>
  <si>
    <t>Screen Support For DS-GTC-1000 Series Docking Stations</t>
  </si>
  <si>
    <t>DS-DA-422</t>
  </si>
  <si>
    <t>Screen Support For UT-1000 Series Universal Rugged Cradles</t>
  </si>
  <si>
    <t>DS-DA-421</t>
  </si>
  <si>
    <t>Screen Support For DS-PAN-11X0 Series Docking Stations</t>
  </si>
  <si>
    <t>DS-DA-420</t>
  </si>
  <si>
    <t>Screen Support For DS-PAN-10X0 Series Docking Stations</t>
  </si>
  <si>
    <t>DS-DA-419</t>
  </si>
  <si>
    <t>Screen Support For DS-GTC-6X0 Series Docking Stations</t>
  </si>
  <si>
    <t>DS-DA-418</t>
  </si>
  <si>
    <t>Screen Support For DS-PAN-4X0 Series Docking Stations</t>
  </si>
  <si>
    <t>DS-DA-417</t>
  </si>
  <si>
    <t>Screen Support For DS-GTC-3X0 Series Docking Stations</t>
  </si>
  <si>
    <t>DS-DA-413</t>
  </si>
  <si>
    <t>Screen Support For DS-DELL-4X0 Series Docking Stations</t>
  </si>
  <si>
    <t>DS-DA-412</t>
  </si>
  <si>
    <t>OBSOLETE - Screen Support For DS-PAN-101/102 &amp; DS-PAN-110 Series Docking Stations</t>
  </si>
  <si>
    <t>DS-DA-409</t>
  </si>
  <si>
    <t>Replacement Coiled USB-C To USB-A Cable for Havis Rugged Keyboard KB-1000 Series</t>
  </si>
  <si>
    <t>DS-DA-354</t>
  </si>
  <si>
    <t>USB-C to USB-A Cable Adapter for Havis Rugged Apple Keyboard KB-1004</t>
  </si>
  <si>
    <t>DS-DA-353</t>
  </si>
  <si>
    <t>Replacement Straight Cable for Havis Rugged Apple Keyboard KB-1004</t>
  </si>
  <si>
    <t>DS-DA-352</t>
  </si>
  <si>
    <t>Replacement Power Cable for Rugged USB-C Port Replication Hub with Threaded Power Connector &amp; Cigarette Lighter Plug</t>
  </si>
  <si>
    <t>DS-DA-345</t>
  </si>
  <si>
    <t>Replacement Upstream USB-C Cable for Rugged USB-C Port Replication Hub with Thumbscrew Retention Feature</t>
  </si>
  <si>
    <t>DS-DA-344</t>
  </si>
  <si>
    <t>Replacement Cable for Havis Rugged Charging Holder DS-ZEB-600 Series for Zebra TC22/TC27</t>
  </si>
  <si>
    <t>DS-DA-343</t>
  </si>
  <si>
    <t>Replacement Output Power Cable for DS-DELL-900 Series</t>
  </si>
  <si>
    <t>DS-DA-342</t>
  </si>
  <si>
    <t>Right-angle USB-C cable for Brother PocketJet 8 Printer</t>
  </si>
  <si>
    <t>DS-DA-340</t>
  </si>
  <si>
    <t>Replacement Power Cord for DS-DELL-900 Series Docking Stations With Internal Power Supplies</t>
  </si>
  <si>
    <t>DS-DA-339</t>
  </si>
  <si>
    <t>Front USB Extension Kit</t>
  </si>
  <si>
    <t>DS-DA-337</t>
  </si>
  <si>
    <t>Replacement Power Cord For DS-ZEB-100/200/300 Series Docking Stations With Internal Isolated Power Supplies</t>
  </si>
  <si>
    <t>DS-DA-336</t>
  </si>
  <si>
    <t>USB-C Male To Male Cable</t>
  </si>
  <si>
    <t>DS-DA-331</t>
  </si>
  <si>
    <t>Replacement Cable For DS-APP-100 Series &amp; DS-TAB-100 Series Docking Stations</t>
  </si>
  <si>
    <t>DS-DA-325</t>
  </si>
  <si>
    <t>Replacement Power Cable For DS-DELL-700 Series Docking Stations</t>
  </si>
  <si>
    <t>DS-DA-319</t>
  </si>
  <si>
    <t>Power Cable For Havis Rugged Communications Hub</t>
  </si>
  <si>
    <t>DS-DA-317</t>
  </si>
  <si>
    <t>Power Cord For DS-DELL-400 &amp; 600 Series Docking Stations</t>
  </si>
  <si>
    <t>DS-DA-316</t>
  </si>
  <si>
    <t>OBSOLETE - Override Cable For Havis Screen Blanking Solutions Powered By Blank-It (DS-DA-800 Series)</t>
  </si>
  <si>
    <t>DS-DA-315</t>
  </si>
  <si>
    <t>Docking Station Remote USB Cable Option</t>
  </si>
  <si>
    <t>DS-DA-311</t>
  </si>
  <si>
    <t>Docking Station Cable Option</t>
  </si>
  <si>
    <t>DS-DA-306</t>
  </si>
  <si>
    <t>Keyboard Support Bracket For Dell 7030 Rugged Extreme Tablet</t>
  </si>
  <si>
    <t>DS-DA-252</t>
  </si>
  <si>
    <t>Keyboard Support Bracket For Dell 7230 Rugged Extreme Tablet</t>
  </si>
  <si>
    <t>DS-DA-251</t>
  </si>
  <si>
    <t>Keyboard Sidecar For Phone Dock</t>
  </si>
  <si>
    <t>DS-DA-246</t>
  </si>
  <si>
    <t>OBSOLETE - Barcode Blocker For DS-PAN-1300 Series Docking Stations</t>
  </si>
  <si>
    <t>DS-DA-243</t>
  </si>
  <si>
    <t>Magtek Card Reader Bracket For Havis Docking Stations (DS-GTC-600 Series)</t>
  </si>
  <si>
    <t>DS-DA-231</t>
  </si>
  <si>
    <t>E-Seek Card Reader Bracket For Havis Docking Stations (Panasonic)</t>
  </si>
  <si>
    <t>DS-DA-226</t>
  </si>
  <si>
    <t>E-Seek Card Reader Bracket For Havis Docking Stations (Dell)</t>
  </si>
  <si>
    <t>DS-DA-225</t>
  </si>
  <si>
    <t>Magtek Card Reader Bracket</t>
  </si>
  <si>
    <t>DS-DA-224</t>
  </si>
  <si>
    <t>Desktop Stand For Tablet Docking Stations</t>
  </si>
  <si>
    <t>DS-DA-218</t>
  </si>
  <si>
    <t>E-Seek Card Reader Bracket</t>
  </si>
  <si>
    <t>DS-DA-207</t>
  </si>
  <si>
    <t>Shoulder Strap For TC-400 Series Tablet Cases</t>
  </si>
  <si>
    <t>DS-DA-117</t>
  </si>
  <si>
    <t>Charger Adaptor Kit for Zebra ShareCradle</t>
  </si>
  <si>
    <t>DS-DA-116</t>
  </si>
  <si>
    <t xml:space="preserve">Getac Adapter Clip for 6th Generation F110 Tablets in DS-GTC-210 Series Docking Stations
</t>
  </si>
  <si>
    <t>DS-DA-114</t>
  </si>
  <si>
    <t>Retrofit Kit For Havis DS-DELL-4X0 Series Docking Stations</t>
  </si>
  <si>
    <t>DS-DA-113</t>
  </si>
  <si>
    <t>Havis Hand Strap For Getac UX10 Tablet</t>
  </si>
  <si>
    <t>DS-DA-110</t>
  </si>
  <si>
    <t>OBSOLETE - Shoulder Strap For TC-100 Series Tablet Cases</t>
  </si>
  <si>
    <t>DS-DA-107</t>
  </si>
  <si>
    <t>OBSOLETE - Ingress Protection Kit For DS-DELL-700 Series Docking Stations</t>
  </si>
  <si>
    <t>DS-DA-104</t>
  </si>
  <si>
    <t>OBSOLETE - Docking Station LED Map Light</t>
  </si>
  <si>
    <t>DS-DA-102</t>
  </si>
  <si>
    <t>Heavy Duty Dual Display Mount for the HP Engage One Pro with VESA Hub includes Free Standing Base</t>
  </si>
  <si>
    <t>DM-10-214</t>
  </si>
  <si>
    <t>Heavy Duty Dual Display Mount for the HP Engage One Pro with VESA Hub</t>
  </si>
  <si>
    <t>DM-10-213</t>
  </si>
  <si>
    <t>Heavy Duty Display Mount for 2 displays back to back with Free Standing Base</t>
  </si>
  <si>
    <t>DM-10-212</t>
  </si>
  <si>
    <t>Heavy Duty Display Mount for 2 Displays Back to Back</t>
  </si>
  <si>
    <t>DM-10-211</t>
  </si>
  <si>
    <t>Standard Duty Display Mount for 2 displays back to back with Free Standing Base</t>
  </si>
  <si>
    <t>DM-10-202</t>
  </si>
  <si>
    <t>Standard Duty Display Mount for 2 displays back to back</t>
  </si>
  <si>
    <t>DM-10-201</t>
  </si>
  <si>
    <t>Heavy Duty Single Display Mount for the HP Engage One Pro with VESA Hub includes Free Standing Base</t>
  </si>
  <si>
    <t>DM-10-114</t>
  </si>
  <si>
    <t>Heavy Duty Single Display Mount for the HP Engage One Pro with VESA Hub</t>
  </si>
  <si>
    <t>DM-10-113</t>
  </si>
  <si>
    <t>Heavy Duty Display Mount for a Single Display with Free Standing Base</t>
  </si>
  <si>
    <t>DM-10-112</t>
  </si>
  <si>
    <t>Heavy Duty Display Mount for a Single Display</t>
  </si>
  <si>
    <t>DM-10-111</t>
  </si>
  <si>
    <t>Standard Duty Display Mount for a Single Display with Free Standing Base</t>
  </si>
  <si>
    <t>DM-10-102</t>
  </si>
  <si>
    <t>Standard Duty Display Mount for a Single Display</t>
  </si>
  <si>
    <t>DM-10-101</t>
  </si>
  <si>
    <t>Dual Ball Mount with 1.50" Knob-Style Standard Housing &amp; Two Long  VESA 75 Plates</t>
  </si>
  <si>
    <t>DBM-1150-KS-0404</t>
  </si>
  <si>
    <t>Dual Ball Mount with 1.50" Knob-Style Standard Housing, One Standard  VESA 75 Plate &amp; One Long VESA 75 Plate</t>
  </si>
  <si>
    <t>DBM-1150-KS-0304</t>
  </si>
  <si>
    <t>Dual Ball Mount with 1.50" Knob-Style Standard Housing &amp; Two Standard  VESA 75 Plates</t>
  </si>
  <si>
    <t>DBM-1150-KS-0303</t>
  </si>
  <si>
    <t>Dual Ball Mount with 1.50" Knob-Style Standard Housing, One Long  AMPS Plate &amp; One Long VESA 75 Plate</t>
  </si>
  <si>
    <t>DBM-1150-KS-0204</t>
  </si>
  <si>
    <t>Dual Ball Mount with 1.50" Knob-Style Standard Housing, One Long  AMPS Plate &amp; One Standard VESA 75 Plate</t>
  </si>
  <si>
    <t>DBM-1150-KS-0203</t>
  </si>
  <si>
    <t>Dual Ball Mount with 1.50" Knob-Style Standard Housing &amp; Two Long  AMPS Plates</t>
  </si>
  <si>
    <t>DBM-1150-KS-0202</t>
  </si>
  <si>
    <t>Dual Ball Mount with 1.50" Knob-Style Standard Housing, One Standard  AMPS Plate &amp; One Long VESA 75 Plate</t>
  </si>
  <si>
    <t>DBM-1150-KS-0104</t>
  </si>
  <si>
    <t>Dual Ball Mount with 1.50" Knob-Style Standard Housing, One Standard  AMPS Plate &amp; One Standard VESA 75 Plate</t>
  </si>
  <si>
    <t>DBM-1150-KS-0103</t>
  </si>
  <si>
    <t>Dual Ball Mount with 1.50" Knob-Style Standard Housing, One Standard  AMPS Plate &amp; One Long AMPS Plate</t>
  </si>
  <si>
    <t>DBM-1150-KS-0102</t>
  </si>
  <si>
    <t>Dual Ball Mount with 1.50" Knob-Style Standard Housing &amp; Two Standard AMPS plates</t>
  </si>
  <si>
    <t>DBM-1150-KS-0101</t>
  </si>
  <si>
    <t>Dual Ball Mount with 1.50" Knob-Style Standard Housing</t>
  </si>
  <si>
    <t>DBM-1150-KS</t>
  </si>
  <si>
    <t>Dual Ball Mount with 1.50" Knob-Style Long Housing &amp; Two Long  VESA 75 Plates</t>
  </si>
  <si>
    <t>DBM-1150-KL-0404</t>
  </si>
  <si>
    <t>Dual Ball Mount with 1.50" Knob-Style Long Housing, One Standard  VESA 75 Plate &amp; One Long VESA 75 Plate</t>
  </si>
  <si>
    <t>DBM-1150-KL-0304</t>
  </si>
  <si>
    <t>Dual Ball Mount with 1.50" Knob-Style Long Housing &amp; Two Standard  VESA 75 Plates</t>
  </si>
  <si>
    <t>DBM-1150-KL-0303</t>
  </si>
  <si>
    <t>Dual Ball Mount with 1.50" Knob-Style Long Housing, One Long  AMPS Plate &amp; One Long VESA 75 Plate</t>
  </si>
  <si>
    <t>DBM-1150-KL-0204</t>
  </si>
  <si>
    <t>Dual Ball Mount with 1.50" Knob-Style Long Housing, One Long  AMPS Plate &amp; One Standard VESA 75 Plate</t>
  </si>
  <si>
    <t>DBM-1150-KL-0203</t>
  </si>
  <si>
    <t>Dual Ball Mount with 1.50" Knob-Style Long Housing &amp; Two Long  AMPS Plates</t>
  </si>
  <si>
    <t>DBM-1150-KL-0202</t>
  </si>
  <si>
    <t>Dual Ball Mount with 1.50" Knob-Style Long Housing Mountwith One Standard  AMPS Plate &amp; One Long VESA 75 Plate</t>
  </si>
  <si>
    <t>DBM-1150-KL-0104</t>
  </si>
  <si>
    <t>Dual Ball Mount with 1.50" Knob-Style Long Housing, One Standard  AMPS Plate &amp; One Standard VESA 75 Plate</t>
  </si>
  <si>
    <t>DBM-1150-KL-0103</t>
  </si>
  <si>
    <t>Dual Ball Mount with 1.50" Knob-Style Long Housing, One Standard  AMPS Plate &amp; One Long AMPS Plate</t>
  </si>
  <si>
    <t>DBM-1150-KL-0102</t>
  </si>
  <si>
    <t>Dual Ball Mount with 1.50" Knob-Style Long Housing &amp; Two Standard AMPS plates</t>
  </si>
  <si>
    <t>DBM-1150-KL-0101</t>
  </si>
  <si>
    <t>Dual Ball Mount with 1.50" Knob-Style Long Housing</t>
  </si>
  <si>
    <t>DBM-1150-KL</t>
  </si>
  <si>
    <t>Dual Ball Mount with 1.50" Clamp-Style Long Housing, One Long  AMPS Plate &amp; One Standard VESA 75 Plate</t>
  </si>
  <si>
    <t>DBM-1150-CL-0404</t>
  </si>
  <si>
    <t>Dual Ball Mount with 1.50" Clamp-Style Long Housing &amp; Two Long  AMPS Plates</t>
  </si>
  <si>
    <t>DBM-1150-CL-0304</t>
  </si>
  <si>
    <t>Dual Ball Mount with 1.50" Clamp-Style Long Housing Mountwith One Standard  AMPS Plate &amp; One Long VESA 75 Plate</t>
  </si>
  <si>
    <t>DBM-1150-CL-0303</t>
  </si>
  <si>
    <t>Dual Ball Mount with 1.50" Clamp-Style Long Housing &amp; Two Long  VESA 75 Plates</t>
  </si>
  <si>
    <t>DBM-1150-CL-0204</t>
  </si>
  <si>
    <t>Dual Ball Mount with 1.50" Clamp-Style Long Housing, One Standard  VESA 75 Plate &amp; One Long VESA 75 Plate</t>
  </si>
  <si>
    <t>DBM-1150-CL-0203</t>
  </si>
  <si>
    <t>Dual Ball Mount with 1.50" Clamp-Style Long Housing, One Standard  AMPS Plate &amp; One Standard VESA 75 Plate</t>
  </si>
  <si>
    <t>DBM-1150-CL-0202</t>
  </si>
  <si>
    <t>Dual Ball Mount with 1.50" Clamp-Style Long Housing &amp; Two Standard  VESA 75 Plates</t>
  </si>
  <si>
    <t>DBM-1150-CL-0104</t>
  </si>
  <si>
    <t>Dual Ball Mount with 1.50" Clamp-Style Long Housing, One Long  AMPS Plate &amp; One Long VESA 75 Plate</t>
  </si>
  <si>
    <t>DBM-1150-CL-0103</t>
  </si>
  <si>
    <t>Dual Ball Mount with 1.50" Clamp-Style Long Housing, One Standard  AMPS Plate &amp; One Long AMPS Plate</t>
  </si>
  <si>
    <t>DBM-1150-CL-0102</t>
  </si>
  <si>
    <t>Dual Ball Mount with 1.50" Clamp-Style Long Housing &amp; Two Standard AMPS plates</t>
  </si>
  <si>
    <t>DBM-1150-CL-0101</t>
  </si>
  <si>
    <t>Dual Ball Mount with 1.50" Clamp-Style Long Housing</t>
  </si>
  <si>
    <t>DBM-1150-CL</t>
  </si>
  <si>
    <t>Dual Ball Mount with 1.00" Knob-Style Standard Housing &amp; Two Long  VESA 75 Plates</t>
  </si>
  <si>
    <t>DBM-1100-KS-0404</t>
  </si>
  <si>
    <t>Dual Ball Mount with 1.00" Knob-Style Standard Housing, One Standard  VESA 75 Plate &amp; One Long VESA 75 Plate</t>
  </si>
  <si>
    <t>DBM-1100-KS-0304</t>
  </si>
  <si>
    <t>Dual Ball Mount with 1.00" Knob-Style Standard Housing &amp; Two Standard  VESA 75 Plates</t>
  </si>
  <si>
    <t>DBM-1100-KS-0303</t>
  </si>
  <si>
    <t>Dual Ball Mount with 1.00" Knob-Style Standard Housing, One Long  AMPS Plate &amp; One Long VESA 75 Plate</t>
  </si>
  <si>
    <t>DBM-1100-KS-0204</t>
  </si>
  <si>
    <t>Dual Ball Mount with 1.00" Knob-Style Standard Housing, One Long  AMPS Plate &amp; One Standard VESA 75 Plate</t>
  </si>
  <si>
    <t>DBM-1100-KS-0203</t>
  </si>
  <si>
    <t>Dual Ball Mount with 1.00" Knob-Style Standard Housing &amp; Two Long  AMPS Plates</t>
  </si>
  <si>
    <t>DBM-1100-KS-0202</t>
  </si>
  <si>
    <t>Dual Ball Mount with 1.00" Knob-Style Standard Housing, One Standard  AMPS Plate &amp; One Long VESA 75 Plate</t>
  </si>
  <si>
    <t>DBM-1100-KS-0104</t>
  </si>
  <si>
    <t>Dual Ball Mount with 1.00" Knob-Style Standard Housing, One Standard  AMPS Plate &amp; One Standard VESA 75 Plate</t>
  </si>
  <si>
    <t>DBM-1100-KS-0103</t>
  </si>
  <si>
    <t>Dual Ball Mount with 1.00" Knob-Style Standard Housing, One Standard  AMPS Plate &amp; One Long AMPS Plate</t>
  </si>
  <si>
    <t>DBM-1100-KS-0102</t>
  </si>
  <si>
    <t>Dual Ball Mount with 1.00" Knob-Style Standard Housing &amp; Two Standard AMPS plates</t>
  </si>
  <si>
    <t>DBM-1100-KS-0101</t>
  </si>
  <si>
    <t>Dual Ball Mount with 1.00" Knob-Style Standard Housing</t>
  </si>
  <si>
    <t>DBM-1100-KS</t>
  </si>
  <si>
    <t>Dual Ball Mount with 1.00" Knob-Style Long Housing &amp; Two Long  VESA 75 Plates</t>
  </si>
  <si>
    <t>DBM-1100-KL-0404</t>
  </si>
  <si>
    <t>Dual Ball Mount with 1.00" Knob-Style Long Housing, One Standard  VESA 75 Plate &amp; One Long VESA 75 Plate</t>
  </si>
  <si>
    <t>DBM-1100-KL-0304</t>
  </si>
  <si>
    <t>Dual Ball Mount with 1.00" Knob-Style Long Housing &amp; Two Standard  VESA 75 Plates</t>
  </si>
  <si>
    <t>DBM-1100-KL-0303</t>
  </si>
  <si>
    <t>Dual Ball Mount with 1.00" Knob-Style Long Housing, One Long  AMPS Plate &amp; One Long VESA 75 Plate</t>
  </si>
  <si>
    <t>DBM-1100-KL-0204</t>
  </si>
  <si>
    <t>Dual Ball Mount with 1.00" Knob-Style Long Housing, One Long  AMPS Plate &amp; One Standard VESA 75 Plate</t>
  </si>
  <si>
    <t>DBM-1100-KL-0203</t>
  </si>
  <si>
    <t>Dual Ball Mount with 1.00" Knob-Style Long Housing &amp; Two Long  AMPS Plates</t>
  </si>
  <si>
    <t>DBM-1100-KL-0202</t>
  </si>
  <si>
    <t>Dual Ball Mount with 1.00" Knob-Style Long Housing, One Standard  AMPS Plate &amp; One Long VESA 75 Plate</t>
  </si>
  <si>
    <t>DBM-1100-KL-0104</t>
  </si>
  <si>
    <t>Dual Ball Mount with 1.00" Knob-Style Long Housing, One Standard  AMPS Plate &amp; One Standard VESA 75 Plate</t>
  </si>
  <si>
    <t>DBM-1100-KL-0103</t>
  </si>
  <si>
    <t>Dual Ball Mount with 1.00" Knob-Style Long Housing, One Standard  AMPS Plate &amp; One Long AMPS Plate</t>
  </si>
  <si>
    <t>DBM-1100-KL-0102</t>
  </si>
  <si>
    <t>Dual Ball Mount with 1.00" Knob-Style Long Housing &amp; Two Standard AMPS plates</t>
  </si>
  <si>
    <t>DBM-1100-KL-0101</t>
  </si>
  <si>
    <t>Dual Ball Mount with 1.00" Knob-Style Long Housing</t>
  </si>
  <si>
    <t>DBM-1100-KL</t>
  </si>
  <si>
    <t>Dual Ball Mount Long VESA 75  Base Plate</t>
  </si>
  <si>
    <t>DBM-1000-04</t>
  </si>
  <si>
    <t>Dual Ball Mount Standard VESA 75 Base Plate</t>
  </si>
  <si>
    <t>DBM-1000-03</t>
  </si>
  <si>
    <t>Dual Ball Mount Long AMPS Base Plate</t>
  </si>
  <si>
    <t>DBM-1000-02</t>
  </si>
  <si>
    <t>Dual Ball Mount Standard AMPS Base Plate</t>
  </si>
  <si>
    <t>DBM-1000-01</t>
  </si>
  <si>
    <t>IT Series Inverter Remote Toggle Switch &amp; 25 Ft Long Cable</t>
  </si>
  <si>
    <t>D08506</t>
  </si>
  <si>
    <t>Console Accessory Bracket Kit with 2 USB-C &amp; USB Type A Dual Port Charger2 for 3.3" Section of VSW Consoles</t>
  </si>
  <si>
    <t>C-W-USB2-1</t>
  </si>
  <si>
    <t>Console Accessory Bracket Kit with 1 USB-C &amp; USB Type A Dual Port Charger for 3.3" Section of VSW Consoles</t>
  </si>
  <si>
    <t>C-W-USB-1</t>
  </si>
  <si>
    <t>Mic Clip Bracket W/ Mic Clip For Wide VSW Consoles</t>
  </si>
  <si>
    <t>C-W-MC1</t>
  </si>
  <si>
    <t>Dual Lighter Plug Socket Bracket W/ 2 Lighter Plugs For Wide VSW Consoles</t>
  </si>
  <si>
    <t>C-W-LP2</t>
  </si>
  <si>
    <t>Console Accessory Bracket Kit with 1 Lighter Plug Outlet &amp; 1 USB-C &amp; USB Type A Dual Port Charger Bracket for 3.3" Section of VSW Consoles</t>
  </si>
  <si>
    <t>C-W-LP1-USB-1</t>
  </si>
  <si>
    <t>Console Accessory Bracket Kit with 1 Blanks for Rectangular Accessories for 3.3" Section of VSW Consoles</t>
  </si>
  <si>
    <t>C-W-BL1</t>
  </si>
  <si>
    <t>OBSOLETE - Universal Wide Console With Printer Mount For Vehicles</t>
  </si>
  <si>
    <t>C-W-3012-PM</t>
  </si>
  <si>
    <t xml:space="preserve">Universal Wide Console Solution For Vehicles </t>
  </si>
  <si>
    <t>C-W-3012-1</t>
  </si>
  <si>
    <t xml:space="preserve">Universal Wide Console With Clip Board For Vehicles </t>
  </si>
  <si>
    <t>C-W-3012</t>
  </si>
  <si>
    <t>Vehicle-Specific 18" VSX Wide Console With Front Printer Mount For 2025 Chevrolet Tahoe PPV &amp; SSV</t>
  </si>
  <si>
    <t>C-VSX-1800-TAH-PM-1</t>
  </si>
  <si>
    <t>Vehicle-Specific 18" VSX Wide Console With Front Printer Mount For 2021-2024 Chevrolet Tahoe PPV &amp; SSV</t>
  </si>
  <si>
    <t>C-VSX-1800-TAH-PM</t>
  </si>
  <si>
    <t xml:space="preserve">Vehicle-Specific 18" VSX Console With Front PocketJet 8 Printer Mount for 2020-2025 Ford Interceptor Utility </t>
  </si>
  <si>
    <t>C-VSX-1800-INUT-PM-2</t>
  </si>
  <si>
    <t xml:space="preserve">Vehicle-Specific 18" VSX Console With Front PocketJet 6 &amp; 7 Printer Mount for 2020-2025 Ford Interceptor Utility </t>
  </si>
  <si>
    <t>C-VSX-1800-INUT-PM</t>
  </si>
  <si>
    <t xml:space="preserve">Vehicle-Specific 18" VSX Console With Front Bin for 2020-2025 Ford Interceptor Utility </t>
  </si>
  <si>
    <t>C-VSX-1800-INUT</t>
  </si>
  <si>
    <t>VSX Console with Front Printer Mount or Integrated Storage Bin for 2024-2025 Chevrolet Blazer EV PPV</t>
  </si>
  <si>
    <t>C-VSX-1800-BLZR-PM-EV</t>
  </si>
  <si>
    <t xml:space="preserve">Vehicle-Specific 30" Wide Flat Console for 2021-2025 Ford F-150 Police Responder, Special Service vehicle (SSV) 2023-2025 Ford F-250, 350, 450 XL &amp; XLT Super Duty pickup, F-450 &amp; 550 cab chassis &amp; F-600 Chassis Cab
</t>
  </si>
  <si>
    <t>C-VSW-3000-F150-3</t>
  </si>
  <si>
    <t>Vehicle-Specific 30" Wide Flat Console for 2017-2022 Ford F-250, 350, 450 XL &amp; XLT Super Duty pickup, F-450 &amp; 550 cab chassis, 2015-2020 F-150 SSV, 2018-2020 F-150 Responder, 2015-2020 Ford F-150 XL &amp; XLT pickup</t>
  </si>
  <si>
    <t>C-VSW-3000-F150-1</t>
  </si>
  <si>
    <t xml:space="preserve">Vehicle-Specific 30" Wide Flat Console for 2022-2024 Ford Expedition </t>
  </si>
  <si>
    <t>C-VSW-3000-EXPD-2</t>
  </si>
  <si>
    <t>Vehicle-Specific 26" Wide Flat Console For 2019-2025 Chevrolet Silverado &amp; GMC Sierra</t>
  </si>
  <si>
    <t>C-VSW-2600-SILV</t>
  </si>
  <si>
    <t>Vehicle-Specific 26" Wide Flat Console for 2025 Ford Expedition SSV</t>
  </si>
  <si>
    <t>C-VSW-2600-EXPD</t>
  </si>
  <si>
    <t>Vehicle-Specific 24" Wide Flat Console For 2021-2025 Ford F-150 Police Responder</t>
  </si>
  <si>
    <t>C-VSW-2400-F150-1</t>
  </si>
  <si>
    <t>Vehicle-Specific 24" Wide Flat Console for 2022-2024 Ford Expedition SSV</t>
  </si>
  <si>
    <t>C-VSW-2400-EXPD-1</t>
  </si>
  <si>
    <t>Vehicle-Specific 20" Wide Angled Console For 2022-2025 Ford F-150 Lightning Vehicle</t>
  </si>
  <si>
    <t>C-VSW-2000-LTNG</t>
  </si>
  <si>
    <t xml:space="preserve">Vehicle-Specific 19" Wide Flat Console With PocketJet 8 Printer Mount For 2019-2025 Chevrolet Silverado &amp; GMC Sierra </t>
  </si>
  <si>
    <t>C-VSW-1900-SILV-PM-2</t>
  </si>
  <si>
    <t xml:space="preserve">Vehicle-Specific 19" Wide Flat Console With PocketJet 6 &amp; 7 Printer Mount For 2019-2025 Chevrolet Silverado &amp; GMC Sierra </t>
  </si>
  <si>
    <t>C-VSW-1900-SILV-PM</t>
  </si>
  <si>
    <t>Vehicle-Specific 19" Wide Flat Console With PocketJet 8 Printer Mount for 2025 Ford Expedition SSV</t>
  </si>
  <si>
    <t>C-VSW-1900-EXPD-PM</t>
  </si>
  <si>
    <t>Vehicle Specific 24" Wide Flat Console With PocketJet 8 Printer Module for 2021-2025 Ford F-150 Police Responder, Special Service Vehicle (SSV)</t>
  </si>
  <si>
    <t>C-VSW-1700-F150-PM-4</t>
  </si>
  <si>
    <t>Vehicle Specific 24" Wide Flat Console With PocketJet 6 &amp; 7 Printer Module for 2021-2025 Ford F-150 Police Responder, Special Service Vehicle (SSV)</t>
  </si>
  <si>
    <t>C-VSW-1700-F150-PM-3</t>
  </si>
  <si>
    <t>Vehicle-Specific 24″ Wide Angled Console for 2022-2025 Ram DT 1500 without Manual Transfer Case Shifter &amp; OEM Console</t>
  </si>
  <si>
    <t>C-VSW-1014-RAM-2</t>
  </si>
  <si>
    <t>Vehicle-Specific 24" Wide Angled Console for 2022-2024 Dodge Ram DJ 2500  without Manual Transfer case shifter &amp; OEM console</t>
  </si>
  <si>
    <t>C-VSW-1014-RAM-1</t>
  </si>
  <si>
    <t>Vehicle-Specific 24" Wide Angled Console for 2022-2024 Dodge Ram DJ 2500-3500  without Manual Transfer case shifter &amp; OEM console</t>
  </si>
  <si>
    <t>C-VSW-1014-RAM</t>
  </si>
  <si>
    <t>Vehicle-Specific 22" Wide Angled Console for 2025 Chevrolet Tahoe Police Pursuit Vehicle</t>
  </si>
  <si>
    <t>C-VSW-1012-TAH-1</t>
  </si>
  <si>
    <t>Vehicle-Specific 22" Wide Angled Console For 2021-2024 Chevrolet Tahoe Police Pursuit Vehicle</t>
  </si>
  <si>
    <t>C-VSW-1012-TAH</t>
  </si>
  <si>
    <t>Vehicle-Specific 15" Wide Angled Console With PocketJet 8 Printer Module For 2025 Chevrolet Tahoe Police Pursuit Vehicle</t>
  </si>
  <si>
    <t>C-VSW-1005-TAH-PM-3</t>
  </si>
  <si>
    <t>Vehicle-Specific 15" Wide Angled Console With PocketJet 8 Printer Module For 2021-2024 Chevrolet Tahoe Police Pursuit Vehicle</t>
  </si>
  <si>
    <t>C-VSW-1005-TAH-PM-2</t>
  </si>
  <si>
    <t>Vehicle-Specific 15" Wide Angled Console With PocketJet 6 &amp; 7 Printer Module For 2021-2024 Chevrolet Tahoe Police Pursuit Vehicle</t>
  </si>
  <si>
    <t>C-VSW-1005-TAH-PM</t>
  </si>
  <si>
    <t>Vehicle-Specific 32" Wide Angled Console for 2024-2025 Chevrolet Silverado - EV</t>
  </si>
  <si>
    <t>C-VSW-0824-SILV-EV</t>
  </si>
  <si>
    <t>Vehicle-Specific 23" Double Width Console for 2004-2025 International with 46" of Enclosed Space</t>
  </si>
  <si>
    <t>C-VSD-2300-IN1</t>
  </si>
  <si>
    <t>Vehicle-Specific 23" Double Width Console for 2004-2025 Freightliner with 46" of Enclosed Space</t>
  </si>
  <si>
    <t>C-VSD-2300-FL1</t>
  </si>
  <si>
    <t>Vehicle-Specific 26" Flat Console for 2025 Ford Mustang Mach-E</t>
  </si>
  <si>
    <t>C-VS-2600-MSTG-1</t>
  </si>
  <si>
    <t>Vehicle-Specific 26" Flat Console for 2021-2024 Ford Mustang Mach-E</t>
  </si>
  <si>
    <t>C-VS-2600-MSTG</t>
  </si>
  <si>
    <t xml:space="preserve">Vehicle-Specific 25" Flat Console 2021-2023 Dodge Charger </t>
  </si>
  <si>
    <t>C-VS-2500-CHGR-2</t>
  </si>
  <si>
    <t>Vehicle-Specific 23" Flat Console For 2022-2025 Dodge Durango</t>
  </si>
  <si>
    <t>C-VS-2300-DUR</t>
  </si>
  <si>
    <t>Vehicle-Specific 23" Flat Console For 2021-2023 Dodge Charger</t>
  </si>
  <si>
    <t>C-VS-2300-CHGR</t>
  </si>
  <si>
    <t xml:space="preserve">Vehicle-Specific 22" Flat Console for 2020-2023 Ford Explorer </t>
  </si>
  <si>
    <t>C-VS-2200-EXPL</t>
  </si>
  <si>
    <t>Vehicle-Specific 20″ Flat Console for 2025 Ford Retail Explorer</t>
  </si>
  <si>
    <t>C-VS-2000-EXPL</t>
  </si>
  <si>
    <t>Vehicle-Specific 20" Flat Consolefor  2018-2020 Durango</t>
  </si>
  <si>
    <t>C-VS-2000-DUR-1</t>
  </si>
  <si>
    <t>Vehicle-Specific 19" Flat Console With Internal PocketJet 8 Printer Mount For 2021-2025 Dodge Durango Police</t>
  </si>
  <si>
    <t>C-VS-1900-DUR-PM-2</t>
  </si>
  <si>
    <t>Vehicle-Specific 19" Flat Console With Internal PocketJet 6 &amp; 7 Printer Mount For 2021-2025 Dodge Durango Police</t>
  </si>
  <si>
    <t>C-VS-1900-DUR-PM</t>
  </si>
  <si>
    <t xml:space="preserve">Vehicle-Specific 18" Under Dash Console for  2002-2025 Chevrolet G-Series or GMC Savana Van </t>
  </si>
  <si>
    <t>C-VS-1800-SAV</t>
  </si>
  <si>
    <t>Vehicle-Specific 18" Flat Console With Integral Brother Pocketjet 8 Printer Mount For 2021-2023 Dodge Charger Police Package</t>
  </si>
  <si>
    <t>C-VS-1800-CHGR-PM-2</t>
  </si>
  <si>
    <t>Vehicle-Specific 18" Flat Console With Integral Brother Pocketjet 6 &amp; 7 Printer Mount For 2021-2023 Dodge Charger Police Package</t>
  </si>
  <si>
    <t>C-VS-1800-CHGR-PM-1</t>
  </si>
  <si>
    <t>Vehicle-Specific 18" Flat Console For2021-2023 Dodge Charger Pursuit With 12.1" Screen</t>
  </si>
  <si>
    <t>C-VS-1800-CHGR-3</t>
  </si>
  <si>
    <t xml:space="preserve">Vehicle-Specific 21" Angled Console for 2020-2025 Ford Interceptor Utility Police </t>
  </si>
  <si>
    <t>C-VS-1508-INUT</t>
  </si>
  <si>
    <t>Vehicle-Specific 15" Flat Console For 2021-2025 Dodge Durango (Civilian/Retail/SSV Model)</t>
  </si>
  <si>
    <t>C-VS-1500-DUR-2</t>
  </si>
  <si>
    <t xml:space="preserve">Vehicle-Specific 14" Flat Console for 2020-2025 Ford Interceptor Utility Police </t>
  </si>
  <si>
    <t>C-VS-1400-INUT-1</t>
  </si>
  <si>
    <t>Vehicle-Specific 13" Flat Console For 2021-2024 Ford Mustang Mach-E</t>
  </si>
  <si>
    <t>C-VS-1300-MSTG</t>
  </si>
  <si>
    <t xml:space="preserve">Vehicle-Specific 22" Angled Console for 2020-2025 Ford Interceptor Utility Police </t>
  </si>
  <si>
    <t>C-VS-1210-INUT</t>
  </si>
  <si>
    <t>Vehicle-Specific 21" Console for 2016-2024 Tesla Model S &amp; 2016-2024 Tesla Model X</t>
  </si>
  <si>
    <t>C-VS-1209-TSLA</t>
  </si>
  <si>
    <t>Vehicle-Specific 21" Angled Console for 2021-2025 Dodge Durango Pursuit</t>
  </si>
  <si>
    <t>C-VS-1110-DUR</t>
  </si>
  <si>
    <t xml:space="preserve">Vehicle-Specific 11" Drop-In Console for 2021-2023 Retail Tahoe </t>
  </si>
  <si>
    <t>C-VS-1100-GMC-2</t>
  </si>
  <si>
    <t>Vehicle-Specific 11" Under Dash Console for 2021-2025 Ford F-150 Police Responder, SSV, &amp; XL</t>
  </si>
  <si>
    <t>C-VS-1100-F150-3</t>
  </si>
  <si>
    <t xml:space="preserve">Vehicle-Specific 11" Under Dash Console for 2017-2022 Ford F-250, 350, 450 XL &amp; XLT Pickup, F-450 &amp; 550 Cab Chassis, 2015-2020 Ford F-150 XL &amp; XLT Pickup, 2015-2020 F-150 SSV, 2018-2020 F-150 Responder, &amp; 2018-2022 </t>
  </si>
  <si>
    <t>C-VS-1100-F150-2</t>
  </si>
  <si>
    <t>Vehicle-Specific 11″ Drop-In Console for 2023-2024 Retail Ford Expedition</t>
  </si>
  <si>
    <t>C-VS-1100-EXPD</t>
  </si>
  <si>
    <t>Vehicle-Specific 22" Angled Console for 2025 Chevrolet Tahoe Police Pursuit Vehicle</t>
  </si>
  <si>
    <t>C-VS-1012-TAH-2</t>
  </si>
  <si>
    <t>Vehicle-Specific 22" Angled Console For 2021-2024 Chevrolet Tahoe Police Pursuit Vehicle</t>
  </si>
  <si>
    <t>C-VS-1012-TAH-1</t>
  </si>
  <si>
    <t xml:space="preserve">Vehicle-Specific 22" Angled Console for 2020-2025 Ford Interceptor Utility </t>
  </si>
  <si>
    <t>C-VS-1012-INUT-2</t>
  </si>
  <si>
    <t>Vehicle-Specific 18" Angled Console With Integral Brother Pocketjet 8 Printer Mount For 2021-2023 Dodge Charger Police Package</t>
  </si>
  <si>
    <t>C-VS-0909-CHGR-PM-2</t>
  </si>
  <si>
    <t>Vehicle-Specific 18" Angled Console With Integral Brother Pocketjet 6 &amp; 7 Printer Mount For 2021-2023 Dodge Charger Police Package</t>
  </si>
  <si>
    <t>C-VS-0909-CHGR-PM-1</t>
  </si>
  <si>
    <t>Vehicle-Specific 28" Angled Console for 2024 Chevrolet Blazer</t>
  </si>
  <si>
    <t>C-VS-0820-BLZR-EV</t>
  </si>
  <si>
    <t>Vehicle-Specific 27" Angled Console For 2017-2024 Tesla Model 3</t>
  </si>
  <si>
    <t>C-VS-0819-TSLA</t>
  </si>
  <si>
    <t xml:space="preserve">Vehicle-Specific 22" Angled Console for 2013-2024 Dodge Ram Retail Pickup Truck </t>
  </si>
  <si>
    <t>C-VS-0814-RAM-2</t>
  </si>
  <si>
    <t xml:space="preserve">Vehicle-Specific 17" Angled Console for 2021-2023 Dodge Charger </t>
  </si>
  <si>
    <t>C-VS-0809-CHGR-2</t>
  </si>
  <si>
    <t xml:space="preserve">Vehicle-Specific 24" Flat Console for 2020-2025 Ford Interceptor Utility </t>
  </si>
  <si>
    <t>C-VS-0618-INUT</t>
  </si>
  <si>
    <t>Vehicle-Specific 23" Angled Console For 2020-2025 Ford Escape</t>
  </si>
  <si>
    <t>C-VS-0419-ESC</t>
  </si>
  <si>
    <t>Vehicle-Specific 23" Angled Console For 2021-2024 Ford Bronco Sport</t>
  </si>
  <si>
    <t>C-VS-0419-BROS</t>
  </si>
  <si>
    <t>Vehicle-Specific 14" Angled Console with PocketJet 8 Internal Printer Mount for 2021-2025 Dodge Durango Pursuit</t>
  </si>
  <si>
    <t>C-VS-0410-DUR-PM</t>
  </si>
  <si>
    <t>USB-C Power Delivery Charger</t>
  </si>
  <si>
    <t>C-USB-4</t>
  </si>
  <si>
    <t>USB-C &amp; USB Type A Dual Port Charger</t>
  </si>
  <si>
    <t>C-USB-3</t>
  </si>
  <si>
    <t>Angled External Dual Self-Adjusting Cup Holder</t>
  </si>
  <si>
    <t>CUP2-1006</t>
  </si>
  <si>
    <t>Angled Wedge Kit For Havis Cup Holders &amp; 1-Piece 4" Equipment Brackets</t>
  </si>
  <si>
    <t>CUP2-1005</t>
  </si>
  <si>
    <t>Self-Adjusting Double Cup Holder (Fixed Mount)</t>
  </si>
  <si>
    <t>CUP2-1004</t>
  </si>
  <si>
    <t>External Mount Self-Adjusting Cup Holder</t>
  </si>
  <si>
    <t>CUP2-1002</t>
  </si>
  <si>
    <t xml:space="preserve">Internal Cup Holders </t>
  </si>
  <si>
    <t>CUP2-1001</t>
  </si>
  <si>
    <t>Universal Cup Holder Mount</t>
  </si>
  <si>
    <t>CUP-100</t>
  </si>
  <si>
    <t>Universal Monitor Mount Assembly</t>
  </si>
  <si>
    <t>C-UMM-103</t>
  </si>
  <si>
    <t>Full Width Trunk Tray Rubber Mat Option For 2021-2024 Chevrolet Tahoe</t>
  </si>
  <si>
    <t>C-TTP-TAH-MAT</t>
  </si>
  <si>
    <t>High 12.6" Riser Kit For 2021 Tahoe Forward Trunk Tray Box</t>
  </si>
  <si>
    <t>C-TTP-TAH-108</t>
  </si>
  <si>
    <t>Low 7" Riser Kit For 2021-2024 Chevrolet Tahoe Forward Trunk Tray Box</t>
  </si>
  <si>
    <t>C-TTP-TAH-107</t>
  </si>
  <si>
    <t>Forward Electronics Mounting Trunk Tray Storage Box With Low 7" Risers For 2021-2024 Chevrolet Tahoe With Havis K9-XL or PT</t>
  </si>
  <si>
    <t>C-TTP-TAH-106</t>
  </si>
  <si>
    <t>Forward Electronics Mounting Trunk Tray Storage Box With Low 7" Risers For 2021-2024 Chevrolet Tahoe</t>
  </si>
  <si>
    <t>C-TTP-TAH-105</t>
  </si>
  <si>
    <t>Forward Electronics Mounting Trunk Tray Storage Box For 2021-2024 Chevrolet Tahoe With Havis K9-XL or PT</t>
  </si>
  <si>
    <t>C-TTP-TAH-104</t>
  </si>
  <si>
    <t>Forward Electronics Mounting Trunk Tray Storage Box For Use With Havis Universal Storage Box In 2021-2024 Chevrolet Tahoe</t>
  </si>
  <si>
    <t>C-TTP-TAH-103</t>
  </si>
  <si>
    <t>Forward Electronics Mounting Trunk Tray Storage Box For 2021-2024 Chevrolet Tahoe</t>
  </si>
  <si>
    <t>C-TTP-TAH-102</t>
  </si>
  <si>
    <t>Rear Hinged Lid Trunk Tray Storage Box For 2021-2024 Chevrolet Tahoe</t>
  </si>
  <si>
    <t>C-TTP-TAH-101</t>
  </si>
  <si>
    <t xml:space="preserve">Cargo Plate Filler Panel For Setina Partition 2020-2025 Interceptor Utility </t>
  </si>
  <si>
    <t>C-TTP-INUT-SETINA</t>
  </si>
  <si>
    <t>Full Width Trunk Tray Rubber Mat Option For C-TTP-INUT Series</t>
  </si>
  <si>
    <t>C-TTP-INUT-MAT</t>
  </si>
  <si>
    <t>Rear Hinged Lid Trunk Tray Storage Box for 2024-2025 Chevrolet Blazer EV-PPV</t>
  </si>
  <si>
    <t>C-TTP-BLZR-101</t>
  </si>
  <si>
    <t>2011-2023 Dodge Charger Full Width Trunk Tray Bearing</t>
  </si>
  <si>
    <t>C-TTB-CHGR-4</t>
  </si>
  <si>
    <t>2011-2023 Dodge Charger Trunk Side Mount, Passenger Side</t>
  </si>
  <si>
    <t>C-TSM-CHGR-P-1</t>
  </si>
  <si>
    <t>2011-2023 Dodge Charger Trunk Side Mount, Driver Side</t>
  </si>
  <si>
    <t>C-TSM-CHGR-D-1</t>
  </si>
  <si>
    <t xml:space="preserve">Tunnel Mount Assembly For 2015-2025 Ford Transit </t>
  </si>
  <si>
    <t>C-TMW-TRNST-01</t>
  </si>
  <si>
    <t xml:space="preserve">Tunnel Mount Assembly For 2002-2025 Chevrolet G-Series </t>
  </si>
  <si>
    <t>C-TMW-SAV-01</t>
  </si>
  <si>
    <t xml:space="preserve">Tunnel Mount Assembly For 2003-2024 Dodge Ram </t>
  </si>
  <si>
    <t>C-TMW-RAM-01</t>
  </si>
  <si>
    <t xml:space="preserve">Tunnel Mount Assembly For 2015-2025 Dodge Promaster </t>
  </si>
  <si>
    <t>C-TMW-PRO-01</t>
  </si>
  <si>
    <t xml:space="preserve">Tunnel Mount Assembly For 2020-2025 Ford Interceptor Utility </t>
  </si>
  <si>
    <t>C-TMW-INUT-02</t>
  </si>
  <si>
    <t>Tunnel Mount Assembly For 2004-2025 International</t>
  </si>
  <si>
    <t>C-TMW-IN1-01</t>
  </si>
  <si>
    <t xml:space="preserve">Tunnel Mount Assembly For 2021-2025 Chevrolet Tahoe </t>
  </si>
  <si>
    <t>C-TMW-GMC-04</t>
  </si>
  <si>
    <t>Tunnel Mount Assembly For 2015-2020 Chevrolet Tahoe  &amp; Chevrolet Silverado 2015-2025</t>
  </si>
  <si>
    <t>C-TMW-GMC-03</t>
  </si>
  <si>
    <t xml:space="preserve">Tunnel Mount Assembly For 2012-2025 M2 Freightliner </t>
  </si>
  <si>
    <t>C-TMW-FL1-01</t>
  </si>
  <si>
    <t xml:space="preserve">Tunnel Mount Assembly For 2017-2025 Ford F-250, 350, 450 Pickup &amp; F-450 &amp; 550 Cab Chassis, 2021-2025 Ford Expedition &amp; 2015-2025 Ford F-150 </t>
  </si>
  <si>
    <t>C-TMW-F150-03</t>
  </si>
  <si>
    <t>Tunnel Mount Assembly For For 2022-2025 Dodge Durango Police Pursuit</t>
  </si>
  <si>
    <t>C-TMW-DUR-02</t>
  </si>
  <si>
    <t xml:space="preserve">Tunnel Mount Assembly For 2006-2023 Dodge Charger </t>
  </si>
  <si>
    <t>C-TMW-CHGR-01</t>
  </si>
  <si>
    <t>Tunnel Mount Assembly for 2024-2025 Chevrolet Blazer EV</t>
  </si>
  <si>
    <t>C-TMW-BLZR-EV-01</t>
  </si>
  <si>
    <t>Mounting Brackets For Whelen TIR3, ION &amp; LIN6 Series LED, 5.5" High</t>
  </si>
  <si>
    <t>C-TIR3-4</t>
  </si>
  <si>
    <t>2011-2023 Dodge Charger Full Width Trunk Fold Down Tray</t>
  </si>
  <si>
    <t>C-TFD-CHGR-2</t>
  </si>
  <si>
    <t>Switch Blank</t>
  </si>
  <si>
    <t>C-SW-B</t>
  </si>
  <si>
    <t>Black Paddle Type Rocker Switch, LED Pilot Light, 20 Amps, 12 Volt, On/On 5 Prong</t>
  </si>
  <si>
    <t>C-SW-8</t>
  </si>
  <si>
    <t>Black Paddle Type Rocker Switch, 20 Amps, 12 Volt, On/Off 4 Prong, LED Pilot Light</t>
  </si>
  <si>
    <t>C-SW-2</t>
  </si>
  <si>
    <t>Black Paddle Type Rocker Switch, 20 Amps, 12 Volt, On/Off 3 Prong, LED Pilot Light</t>
  </si>
  <si>
    <t>C-SW-1</t>
  </si>
  <si>
    <t>FlexiGrip Generic Backplate</t>
  </si>
  <si>
    <t>CST99901</t>
  </si>
  <si>
    <t>FlexiPole Backplate for Verifone UX700 ML Payment Terminals</t>
  </si>
  <si>
    <t>CST00220</t>
  </si>
  <si>
    <t>FlexiPole Backplate for Ingenico Lane 3600 &amp; RX5000 Payment Terminals</t>
  </si>
  <si>
    <t>CST00215</t>
  </si>
  <si>
    <t>FlexiPole Mobile Protect Adapter Accessory</t>
  </si>
  <si>
    <t>CST00207</t>
  </si>
  <si>
    <t>FlexiPole VESA 75 &amp; 100 Backplate with Adhesive Pad for Tablets</t>
  </si>
  <si>
    <t>CST00205</t>
  </si>
  <si>
    <t>FlexiPole Backplate for Pax A920 &amp; A920 Pro Payment Terminals</t>
  </si>
  <si>
    <t>CST00203</t>
  </si>
  <si>
    <t>FlexiPole Backplate for Ingenico Move 5000 Payment Terminals</t>
  </si>
  <si>
    <t>CST00200</t>
  </si>
  <si>
    <t>FlexiPole Backplate for Pax S300 Payment Terminals</t>
  </si>
  <si>
    <t>CST00198</t>
  </si>
  <si>
    <t>FlexiPole Backplate for Pax A35 Payment Terminals</t>
  </si>
  <si>
    <t>CST00195</t>
  </si>
  <si>
    <t>FlexiPole Backplate for Verifone P630 Payment Terminals</t>
  </si>
  <si>
    <t>CST00189</t>
  </si>
  <si>
    <t>FlexiPole Backplate for Pax A80 Payment Terminals</t>
  </si>
  <si>
    <t>CST00177</t>
  </si>
  <si>
    <t>FlexiPole Backplate for Ingenico Desk 3500, &amp; 5000 Payment Terminals</t>
  </si>
  <si>
    <t>CST00171</t>
  </si>
  <si>
    <t>FlexiPole Backplate for Ingenico Lane 5000 V2 Payment Terminals</t>
  </si>
  <si>
    <t>CST00166A</t>
  </si>
  <si>
    <t>FlexiPole Backplate for Ingenico Lane 3000, 7000, 8000, &amp; Desk 1500 Payment Terminals</t>
  </si>
  <si>
    <t>CST00166</t>
  </si>
  <si>
    <t>FlexiPole Backplate for Castles VEGA 3000 PIN Pad</t>
  </si>
  <si>
    <t>CST00165</t>
  </si>
  <si>
    <t>FlexiPole VESA 75 &amp; 100 Backplate</t>
  </si>
  <si>
    <t>CST00162</t>
  </si>
  <si>
    <t>FlexiPole Backplate for Verifone V200c, 205c &amp; 400c Payment Terminals</t>
  </si>
  <si>
    <t>CST00161</t>
  </si>
  <si>
    <t>FlexiPole Drive Thru Handle Wall Mount &amp; Plinth Bracket for Payment Terminals</t>
  </si>
  <si>
    <t>CST00159</t>
  </si>
  <si>
    <t>FlexiPole Backplate for Verifone P200 &amp; P400 Payment Terminals</t>
  </si>
  <si>
    <t>CST00158</t>
  </si>
  <si>
    <t>FlexiPole Backplate for Verifone VX520 49mm Payment Terminals</t>
  </si>
  <si>
    <t>CST00145</t>
  </si>
  <si>
    <t>FlexiPole Backplate for Verifone VX520 40mm Payment Terminals</t>
  </si>
  <si>
    <t>CST00144</t>
  </si>
  <si>
    <t>FlexiPole Backplate for Verifone MX915, MX925, M400, M440, M424, M425, M450, PAX Aries 6 &amp; Aries 8 Payment Terminals</t>
  </si>
  <si>
    <t>CST00139A</t>
  </si>
  <si>
    <t>FlexiPole Backplate for Pax S80 Payment Terminals</t>
  </si>
  <si>
    <t>CST00130</t>
  </si>
  <si>
    <t>FlexiPole Backplate for Verifone VX805 &amp; VX820 Payment Terminals</t>
  </si>
  <si>
    <t>CST00121</t>
  </si>
  <si>
    <t>FlexiPole Backplate for Ingenico iPP 320 &amp; 350 Payment Terminals</t>
  </si>
  <si>
    <t>CST00119A</t>
  </si>
  <si>
    <t>Universal Mounting Brackets For  Angled Console</t>
  </si>
  <si>
    <t>C-SM-SA-W</t>
  </si>
  <si>
    <t>Mounting Bracket Complete with Swing Arm Adapter For Angled Console</t>
  </si>
  <si>
    <t>C-SM-SA-1</t>
  </si>
  <si>
    <t>C-SM-SA</t>
  </si>
  <si>
    <t>8" Enclosed Low Profile Console, With Vehicle Mount, 3.125" Deep</t>
  </si>
  <si>
    <t>C-SM-800</t>
  </si>
  <si>
    <t>12" Enclosed 25° Angled Series Console</t>
  </si>
  <si>
    <t>C-SM-1225</t>
  </si>
  <si>
    <t>Lockable Under-Seat Storage Box for 2025 Chevrolet Silverado EV</t>
  </si>
  <si>
    <t>C-SBX-107</t>
  </si>
  <si>
    <t>Lockable Under-Seat Storage Box for 2020‐2024 Dodge Ram 2500 &amp; 3500 Crew Cab Pickup Truck – Passenger Side</t>
  </si>
  <si>
    <t>C-SBX-106-P</t>
  </si>
  <si>
    <t>Lockable Under-Seat Storage Box for 2020‐2024 Dodge Ram 2500 &amp; 3500 Crew Cab Pickup Truck – Driver Side</t>
  </si>
  <si>
    <t>C-SBX-106-D</t>
  </si>
  <si>
    <t>Lockable Under-Seat 2-Piece Storage Box for 2020‐2024 Dodge Ram 2500 &amp; 3500 Crew Cab Pickup Truck</t>
  </si>
  <si>
    <t>C-SBX-106</t>
  </si>
  <si>
    <t>Lockable Under-Seat Storage Box for 2019-2025 Chevrolet Silverado SSV &amp; 1500/GMC Sierra</t>
  </si>
  <si>
    <t>C-SBX-105</t>
  </si>
  <si>
    <t>Lockable Under-Seat Storage Box For Ford F-Series Trucks</t>
  </si>
  <si>
    <t>C-SBX-104</t>
  </si>
  <si>
    <t>2020-2025 Ford Interceptor Utility Mount For Havis Universal Storage Box</t>
  </si>
  <si>
    <t>C-SBX-101-KIT-5</t>
  </si>
  <si>
    <t>Universal Equipment Storage Box For Utility Vehicles</t>
  </si>
  <si>
    <t>C-SBX-101</t>
  </si>
  <si>
    <t>3" Switch Bracket For 7 Switches &amp; 7 Labels</t>
  </si>
  <si>
    <t>C-PS-7-L</t>
  </si>
  <si>
    <t>3" High Plate With (4) Switch &amp; Legend Cutouts</t>
  </si>
  <si>
    <t>C-PS-4-L</t>
  </si>
  <si>
    <t>Printer Paper Slot Cover for VSX Consoles with Printer Mount</t>
  </si>
  <si>
    <t>C-PMX-A-SP</t>
  </si>
  <si>
    <t>Brother PocketJet 8 Printer Mount for VSX Consoles for 2020-2025 Ford Interceptor Utility</t>
  </si>
  <si>
    <t>C-PMX-102</t>
  </si>
  <si>
    <t>Brother PocketJet Printer Mount for VSX Consoles for 2020-2025 Ford Interceptor Utility</t>
  </si>
  <si>
    <t>C-PMX-101</t>
  </si>
  <si>
    <t>Brother PocketJet 8 Printer Mount for 2020-2025 Ford Interceptor Utility</t>
  </si>
  <si>
    <t>C-PM-134-PC</t>
  </si>
  <si>
    <t>Brother PocketJet 8 Printer Mount</t>
  </si>
  <si>
    <t>C-PM-133-PC</t>
  </si>
  <si>
    <t>Printer Mount For Brother RuggedJet 4200 Series Printer</t>
  </si>
  <si>
    <t>C-PM-128</t>
  </si>
  <si>
    <t>Brother RuggedJet Printer Mount For Ford Interceptor Utility</t>
  </si>
  <si>
    <t>C-PM-125</t>
  </si>
  <si>
    <t>Retrofit Kit For Brother PocketJet 8 Printer Mount For Ford Interceptor Utility</t>
  </si>
  <si>
    <t>C-PM-124-RFK</t>
  </si>
  <si>
    <t>Brother Pocketjet Printer Mount For Ford Interceptor Utility</t>
  </si>
  <si>
    <t>C-PM-124-PC</t>
  </si>
  <si>
    <t>Retrofit Kit For Brother PocketJet 8 Printer Mount</t>
  </si>
  <si>
    <t>C-PM-122-RFK</t>
  </si>
  <si>
    <t>Brother Pocketjet 6 &amp; 7 Printer Mount</t>
  </si>
  <si>
    <t>C-PM-122-PC</t>
  </si>
  <si>
    <t>Zebra ZQ520 &amp; ZQ521 Printer Mount</t>
  </si>
  <si>
    <t>C-PM-118</t>
  </si>
  <si>
    <t>Printer Mount With Top Paper Feed for Brother PocketJet 6, 7 &amp;amp; 8 Printers</t>
  </si>
  <si>
    <t>C-PM-1001</t>
  </si>
  <si>
    <t>Overhead Console For 2020-2025 Ford Interceptor Utility &amp; Explorer</t>
  </si>
  <si>
    <t>C-OHC-INUT-1</t>
  </si>
  <si>
    <t>Overhead Equipment Mounting Bracket for 2025 Ford Interceptor Utility</t>
  </si>
  <si>
    <t>C-OHB-108</t>
  </si>
  <si>
    <t>Overhead Equipment Mounting Bracket For 2015-2025 Ford F-Series Pickup</t>
  </si>
  <si>
    <t>C-OHB-107</t>
  </si>
  <si>
    <t>Overhead Equipment Bracket For Panasonic Arbitrator Camera For 2020-2024 Ford Interceptor Utility</t>
  </si>
  <si>
    <t>C-OHB-106</t>
  </si>
  <si>
    <t>VSX Console - 8-Position Fuse Block With Mounting Hardware</t>
  </si>
  <si>
    <t>CMX15600-08-1</t>
  </si>
  <si>
    <t>Fuse Block Kit for VSX Consoles for 2020-2025 Ford Interceptor Utility</t>
  </si>
  <si>
    <t>CMX15600-08</t>
  </si>
  <si>
    <t>Magnetic Mic Clip with Side Mount Bracket</t>
  </si>
  <si>
    <t>C-MMSU-L</t>
  </si>
  <si>
    <t>Monitor Base Adapter Hat Bracket Assembly For Universal Monitor Base &amp; C-MKM</t>
  </si>
  <si>
    <t>C-MM-301</t>
  </si>
  <si>
    <t>Monitor Adapter Plate Assembly For Patrol PC Rhinodock RD-S3</t>
  </si>
  <si>
    <t>C-MM-221</t>
  </si>
  <si>
    <t>Monitor Adapter Plate Assembly, Patrol PC Rhinodock</t>
  </si>
  <si>
    <t>C-MM-220</t>
  </si>
  <si>
    <t xml:space="preserve">Monitor Adapter Plate Assembly, Panasonic, </t>
  </si>
  <si>
    <t>C-MM-218</t>
  </si>
  <si>
    <t>Pallet Jack Pole Mount Universal For Convertible Laptop or Tablet</t>
  </si>
  <si>
    <t>C-MH-2001</t>
  </si>
  <si>
    <t>Forklift Height Adjustable Overhead Mounting Package For Convertible Laptop or Tablet With Keyboard Tray</t>
  </si>
  <si>
    <t>C-MH-1009</t>
  </si>
  <si>
    <t>11" Articulating Arm Clamp Mount With 12 Lb. Carrying Capacity</t>
  </si>
  <si>
    <t>C-MH-1007</t>
  </si>
  <si>
    <t>Universal Heavy-Duty Overhead Fork Lift Mount System For Large or Special Tablet Applications</t>
  </si>
  <si>
    <t>C-MH-1005</t>
  </si>
  <si>
    <t>Universal Overhead Fork Lift Mount System</t>
  </si>
  <si>
    <t>C-MH-1001</t>
  </si>
  <si>
    <t>Bar Clamp Mount</t>
  </si>
  <si>
    <t>C-MD-405</t>
  </si>
  <si>
    <t xml:space="preserve">Universal Rugged Articulating Dual Ball Bar Clamp Mount </t>
  </si>
  <si>
    <t>C-MD-403</t>
  </si>
  <si>
    <t>Pedestal Ball Mount, 10" Tall</t>
  </si>
  <si>
    <t>C-MD-402</t>
  </si>
  <si>
    <t>Pedestal Ball Mount, 7" Tall</t>
  </si>
  <si>
    <t>C-MD-401</t>
  </si>
  <si>
    <t>Heavy-Duty Display &amp; Motion Device</t>
  </si>
  <si>
    <t>C-MD-317</t>
  </si>
  <si>
    <t>Heavy-Duty Slide Rail System</t>
  </si>
  <si>
    <t>C-MD-301</t>
  </si>
  <si>
    <t>Tilt Swivel Motion Device For Compact Tablet Applications</t>
  </si>
  <si>
    <t>C-MD-207</t>
  </si>
  <si>
    <t>Low Profile Tilt Swivel Motion Device</t>
  </si>
  <si>
    <t>C-MD-204</t>
  </si>
  <si>
    <t>Tilt Swivel Motion Device</t>
  </si>
  <si>
    <t>C-MD-202</t>
  </si>
  <si>
    <t>Swing Arm Without Motion Adapter</t>
  </si>
  <si>
    <t>C-MD-133</t>
  </si>
  <si>
    <t>Swing Arm With Motion Adapter</t>
  </si>
  <si>
    <t>C-MD-119</t>
  </si>
  <si>
    <t>Swing Arm</t>
  </si>
  <si>
    <t>C-MD-116</t>
  </si>
  <si>
    <t>Motion Adapter Slide</t>
  </si>
  <si>
    <t>C-MD-114</t>
  </si>
  <si>
    <t>Tilt/Swivel Slide Motion Adapter</t>
  </si>
  <si>
    <t>C-MD-112</t>
  </si>
  <si>
    <t>Mic Clip With Side Mount Bracket</t>
  </si>
  <si>
    <t>C-MC-L</t>
  </si>
  <si>
    <t>Mic Clip Bracket</t>
  </si>
  <si>
    <t>C-MCB</t>
  </si>
  <si>
    <t>Mic Clip</t>
  </si>
  <si>
    <t>C-MC</t>
  </si>
  <si>
    <t>Gooseneck LED Map Light</t>
  </si>
  <si>
    <t>C-MAP-T-LED</t>
  </si>
  <si>
    <t>Map Light, Side Mount, 18" Long</t>
  </si>
  <si>
    <t>C-MAP-SL</t>
  </si>
  <si>
    <t>Heavy-Duty Magnetic Mount with AMPS Mounting Hole Pattern</t>
  </si>
  <si>
    <t>C-MAG-104</t>
  </si>
  <si>
    <t>Magnetic Mount with AMPS Mounting Hole Pattern</t>
  </si>
  <si>
    <t>C-MAG-103</t>
  </si>
  <si>
    <t>Heavy-Duty Magnet Mount</t>
  </si>
  <si>
    <t>C-MAG-102</t>
  </si>
  <si>
    <t>Magnet Mount</t>
  </si>
  <si>
    <t>C-MAG-100</t>
  </si>
  <si>
    <t>Arm Rest Replacement, Large</t>
  </si>
  <si>
    <t>CM93051</t>
  </si>
  <si>
    <t>Arm Rest Replacement, Small</t>
  </si>
  <si>
    <t>CM93042-1</t>
  </si>
  <si>
    <t>Universal Mounting Bracket Kit Includes (2) C-B2</t>
  </si>
  <si>
    <t>C-M-6</t>
  </si>
  <si>
    <t>Universal Mounting Bracket Kit Includes (2) C-B1</t>
  </si>
  <si>
    <t>C-M-5</t>
  </si>
  <si>
    <t xml:space="preserve"> C-W-3012, C-W-3012-1 &amp; C-W-3012-PM Console Mounting Bracket Kit For International</t>
  </si>
  <si>
    <t>C-M-41</t>
  </si>
  <si>
    <t xml:space="preserve"> C-W-3012, C-W-3012-1 &amp; C-W-3012-PM Console Mounting Bracket Kit  For GMC</t>
  </si>
  <si>
    <t>C-M-40</t>
  </si>
  <si>
    <t xml:space="preserve"> C-W-3012, C-W-3012-1 &amp; C-W-3012-PM Console Mounting Bracket Kit  For Freightliner</t>
  </si>
  <si>
    <t>C-M-39</t>
  </si>
  <si>
    <t xml:space="preserve"> C-W-3012, C-W-3012-1 &amp; C-W-3012-PM Console Mounting Bracket Kit For Dodge Ram</t>
  </si>
  <si>
    <t>C-M-38</t>
  </si>
  <si>
    <t xml:space="preserve"> C-W-3012, C-W-3012-1 &amp; C-W-3012-PM Console Mounting Bracket Kit For Ford F150 or Expedition</t>
  </si>
  <si>
    <t>C-M-37</t>
  </si>
  <si>
    <t>Universal Mounting Bracket Kit Includes (2) C-B6</t>
  </si>
  <si>
    <t>C-M-26</t>
  </si>
  <si>
    <t>Fuse Panel</t>
  </si>
  <si>
    <t>CM15600-08</t>
  </si>
  <si>
    <t xml:space="preserve">Close-out Bracket Kit for C-VS-1012-INUT-2 Console </t>
  </si>
  <si>
    <t>CM014248-1</t>
  </si>
  <si>
    <t>2WD Module Adapter Bracket for C-VS-2200-EXPL</t>
  </si>
  <si>
    <t>CM011192</t>
  </si>
  <si>
    <t>HVAC Relocation Bracket Kit</t>
  </si>
  <si>
    <t>CM009785-1</t>
  </si>
  <si>
    <t>Forklift Overhead Universal Computer Keyboard Mount Base</t>
  </si>
  <si>
    <t>CM009690</t>
  </si>
  <si>
    <t>OBSOLETE - Dual Cup Holder Insert Molded Plastic With Gaskets</t>
  </si>
  <si>
    <t>CM006896</t>
  </si>
  <si>
    <t>Pair Of Heavy-Duty Gas Springs Used With WBI-F28-RC or WGI-F28-RC</t>
  </si>
  <si>
    <t>CM006385</t>
  </si>
  <si>
    <t>Dual Cup Holder Insert Molded Plastic</t>
  </si>
  <si>
    <t>CM001407</t>
  </si>
  <si>
    <t>Lighter Plug Socket &amp; Cap</t>
  </si>
  <si>
    <t>C-LPO</t>
  </si>
  <si>
    <t>4 Lighter Plug Outlets</t>
  </si>
  <si>
    <t>C-LP-4</t>
  </si>
  <si>
    <t>Console Accessory Bracket Kit with 3 Lighter Plug Outlets W/ 1 USB-C &amp; USB Type A Dual Port Charger &amp; 1 Blank for Rectangular Accessories</t>
  </si>
  <si>
    <t>C-LP3-USB-BL1</t>
  </si>
  <si>
    <t>Console Accessory Bracket Kit with 3 Lighter Plug Outlets &amp; 2 Blanks for Rectangular Accessories</t>
  </si>
  <si>
    <t>C-LP3-BL2</t>
  </si>
  <si>
    <t>3 Lighter Plug Outlets</t>
  </si>
  <si>
    <t>C-LP-3</t>
  </si>
  <si>
    <t>Console Accessory Bracket Kit with 2 Lighter Plug Outlets W/ 1 USB-C &amp; USB Type A Dual Port Charger &amp; 2 Blanks for Rectangular Accessories</t>
  </si>
  <si>
    <t>C-LP2-USB-BL2</t>
  </si>
  <si>
    <t>Console Accessory Bracket Kit with 2 Lighter Plug Outlets &amp; 3 Blanks for Rectangular Accessories</t>
  </si>
  <si>
    <t>C-LP2-BL3</t>
  </si>
  <si>
    <t>Console Accessory Bracket Kit with 2 Lighter Plug Outlets &amp; 1 Blank for Rectangular Accessories for 2021-2025 Ford Interceptor Utility VSX Consoles</t>
  </si>
  <si>
    <t>C-LP2-BL1-VSX-INUT</t>
  </si>
  <si>
    <t>2 Lighter Plug Outlets</t>
  </si>
  <si>
    <t>C-LP-2</t>
  </si>
  <si>
    <t>Console Accessory Bracket Kit with 1 Lighter Plug Outlet, &amp;  2 USB-C &amp;amp; USB Type A Dual Port Chargers</t>
  </si>
  <si>
    <t>C-LP1-USB2</t>
  </si>
  <si>
    <t>Lighter Plug Outlet W/ 1 USB Cutouts</t>
  </si>
  <si>
    <t>C-LP1-USB</t>
  </si>
  <si>
    <t>Side Pole Mount For Swivel Arm</t>
  </si>
  <si>
    <t>C-LDM-0012</t>
  </si>
  <si>
    <t>Side Mount Bracket</t>
  </si>
  <si>
    <t>C-LDM-0003</t>
  </si>
  <si>
    <t>Havis Rugged Keyboard Mount &amp; Adapter Combination</t>
  </si>
  <si>
    <t>C-KBM-202</t>
  </si>
  <si>
    <t xml:space="preserve">Havis Rugged Keyboard Mount </t>
  </si>
  <si>
    <t>C-KBM-201</t>
  </si>
  <si>
    <t>Hardware Kit Complete With Lighter Socket, Lighter Cap, Wire &amp; Fuse</t>
  </si>
  <si>
    <t>C-HK-LP</t>
  </si>
  <si>
    <t>Dash Monitor Mount Conversion Kit</t>
  </si>
  <si>
    <t>C-HK-DMM-3</t>
  </si>
  <si>
    <t>Dash Monitor Mount Conversion Kit for C-DMM-3100 Series</t>
  </si>
  <si>
    <t>C-HK-DMM-2</t>
  </si>
  <si>
    <t>Dash Monitor Mount Retro Fit Kit</t>
  </si>
  <si>
    <t>C-HK-DMM</t>
  </si>
  <si>
    <t>Hardware Kit For C-HDM-200 Series Pole, Handle &amp; Collar</t>
  </si>
  <si>
    <t>C-HK-337</t>
  </si>
  <si>
    <t>Handle Assembly Kit</t>
  </si>
  <si>
    <t>C-HK-195</t>
  </si>
  <si>
    <t>Lighter Plug Assembly Kit</t>
  </si>
  <si>
    <t>C-HK-181</t>
  </si>
  <si>
    <t>Hardware Kit With Torx Screws</t>
  </si>
  <si>
    <t>C-HK-1</t>
  </si>
  <si>
    <t>Internal Pole Mount For 2022-2025 Dodge Durango Console</t>
  </si>
  <si>
    <t>C-HDM-426</t>
  </si>
  <si>
    <t>Heavy-Duty Base Adapter With Pole For MD-Arm Series</t>
  </si>
  <si>
    <t>C-HDM-425</t>
  </si>
  <si>
    <t>Heavy-Duty Flip Up Printer Base</t>
  </si>
  <si>
    <t>C-HDM-422</t>
  </si>
  <si>
    <t>Heavy-Duty Offset Angle Bracket, 5" Offset, 55 Degrees</t>
  </si>
  <si>
    <t>C-HDM-411</t>
  </si>
  <si>
    <t>Heavy-Duty Offset Angle Bracket, 3.5" Offset, 45 Degrees</t>
  </si>
  <si>
    <t>C-HDM-410</t>
  </si>
  <si>
    <t>Tube Offset Adapter Plate</t>
  </si>
  <si>
    <t>C-HDM-409</t>
  </si>
  <si>
    <t>Heavy-Duty Stability Side Support Arm</t>
  </si>
  <si>
    <t>C-HDM-404</t>
  </si>
  <si>
    <t>Heavy-Duty Removable Shelf For C-HDM-200 Series</t>
  </si>
  <si>
    <t>C-HDM-403</t>
  </si>
  <si>
    <t>Heavy-Duty Stability Side Support Arm, Mounts To OEM Frame Under Passenger Glove Box Door</t>
  </si>
  <si>
    <t>C-HDM-401</t>
  </si>
  <si>
    <t>Heavy-Duty Adapter Plate For Swivel Arm Mounts</t>
  </si>
  <si>
    <t>C-HDM-307</t>
  </si>
  <si>
    <t>Heavy-Duty Sliding Top Offset Platform, 9" Offset</t>
  </si>
  <si>
    <t>C-HDM-304</t>
  </si>
  <si>
    <t>Heavy-Duty Fixed Top Offset Platform, 6" Offset</t>
  </si>
  <si>
    <t>C-HDM-303</t>
  </si>
  <si>
    <t>Heavy-Duty Fixed Top Offset Platform, 0" Offset</t>
  </si>
  <si>
    <t>C-HDM-301</t>
  </si>
  <si>
    <t>8.5″ Heavy-Duty Telescoping Pole Kit For Wide VSX Console With Front Printer Mount For 2021-2025 Chevrolet Tahoe PPV &amp; SSV</t>
  </si>
  <si>
    <t>C-HDM-224</t>
  </si>
  <si>
    <t>Internal Pole Mount For 2020-2025 Ford Interceptor Utility Flat Console</t>
  </si>
  <si>
    <t>C-HDM-222</t>
  </si>
  <si>
    <t>8.5" Heavy-Duty Telescoping Pole Kit for VSX Console with Front Printer Mount for 2024-2025 Chevrolet Blazer EV PPV</t>
  </si>
  <si>
    <t>C-HDM-218</t>
  </si>
  <si>
    <t>16" Heavy-Duty Telescoping Pole, Gusseted Base, Short Handle</t>
  </si>
  <si>
    <t>C-HDM-217</t>
  </si>
  <si>
    <t>10" Heavy-Duty Telescoping Pole, Side Mount</t>
  </si>
  <si>
    <t>C-HDM-215</t>
  </si>
  <si>
    <t>8.5" Heavy-Duty Telescoping Pole, Side Mount</t>
  </si>
  <si>
    <t>C-HDM-214</t>
  </si>
  <si>
    <t>16" Heavy-Duty Telescoping Pole</t>
  </si>
  <si>
    <t>C-HDM-211</t>
  </si>
  <si>
    <t>12" Heavy-Duty Telescoping Pole</t>
  </si>
  <si>
    <t>C-HDM-210</t>
  </si>
  <si>
    <t>8.5" Heavy-Duty Telescoping Pole</t>
  </si>
  <si>
    <t>C-HDM-209</t>
  </si>
  <si>
    <t>5.5" Heavy-Duty Telescoping Pole</t>
  </si>
  <si>
    <t>C-HDM-208</t>
  </si>
  <si>
    <t>3.5" Heavy-Duty Telescoping Pole</t>
  </si>
  <si>
    <t>C-HDM-207</t>
  </si>
  <si>
    <t>16" Heavy-Duty Telescoping Pole, Short Handle</t>
  </si>
  <si>
    <t>C-HDM-206</t>
  </si>
  <si>
    <t>10" Heavy-Duty Telescoping Pole, Side Mount, Short Handle</t>
  </si>
  <si>
    <t>C-HDM-205</t>
  </si>
  <si>
    <t>8.5" Heavy-Duty Telescoping Pole, Side Mount, Short Handle</t>
  </si>
  <si>
    <t>C-HDM-204</t>
  </si>
  <si>
    <t>12" Heavy-Duty Telescoping Pole, Short Handle</t>
  </si>
  <si>
    <t>C-HDM-203</t>
  </si>
  <si>
    <t>8.5" Heavy-Duty Telescoping Pole, Short Handle</t>
  </si>
  <si>
    <t>C-HDM-202</t>
  </si>
  <si>
    <t>5.5" Heavy-Duty Telescoping Pole, Short Handle</t>
  </si>
  <si>
    <t>C-HDM-201</t>
  </si>
  <si>
    <t>Heavy-Duty Mount For 2014-2024 Ford Transit Connect</t>
  </si>
  <si>
    <t>C-HDM-189</t>
  </si>
  <si>
    <t>Heavy-Duty Mount For 2015-2020 Chevrolet Colorado</t>
  </si>
  <si>
    <t>C-HDM-188</t>
  </si>
  <si>
    <t>Heavy-Duty Mount For 2015-2025 Freightliner M2</t>
  </si>
  <si>
    <t>C-HDM-186</t>
  </si>
  <si>
    <t>Heavy-Duty Mount For 2017-2025 Ford F-250, 350, 450 Pickup &amp; F-450 &amp; 550 Cab Chassis, 2018-2024 Ford Expedition &amp; 2015-2025 Ford F-150</t>
  </si>
  <si>
    <t>C-HDM-185</t>
  </si>
  <si>
    <t>Heavy-Duty Mount For International 2011-2025 4300 and 7300</t>
  </si>
  <si>
    <t>C-HDM-184</t>
  </si>
  <si>
    <t>Heavy-Duty Mount For 2015-2025 Ford Transit</t>
  </si>
  <si>
    <t>C-HDM-183</t>
  </si>
  <si>
    <t>Heavy-Duty Mount For 2015-2020 Chevrolet Tahoe/Suburban &amp; 2015-2019 Silverado 2500 HD, 2020-2025 3500 HD Pickup &amp; C3500 HD Chassis Cab &amp; 2014-2018 Silverado 1500</t>
  </si>
  <si>
    <t>C-HDM-176</t>
  </si>
  <si>
    <t>Heavy-Duty Mount For 2011-2023 Dodge Charger 300</t>
  </si>
  <si>
    <t>C-HDM-168</t>
  </si>
  <si>
    <t>Heavy-Duty Mount For 2013-2019 Interceptor SUV &amp; 2011-2019 Ford Explorer (Retail)</t>
  </si>
  <si>
    <t>C-HDM-153</t>
  </si>
  <si>
    <t>Heavy-Duty Mount For 2013-2024 Dodge Ram Chassis Cab Truck</t>
  </si>
  <si>
    <t>C-HDM-152</t>
  </si>
  <si>
    <t>Heavy-Duty Mount For 2011-2025 Dodge Durango &amp; 2011-2022 Jeep Grand Cherokee Model Code WK</t>
  </si>
  <si>
    <t>C-HDM-145</t>
  </si>
  <si>
    <t>Heavy-Duty Mount For 1999-2016 Ford F250-F550, &amp; 2011-2025 F-650, F-750 Chassis Cab Pickup</t>
  </si>
  <si>
    <t>C-HDM-142</t>
  </si>
  <si>
    <t>Heavy-Duty Mount For 1997-2025 Ford E-Series Van</t>
  </si>
  <si>
    <t>C-HDM-140</t>
  </si>
  <si>
    <t>Heavy-Duty Mount For 1997-2025 Chevrolet G-Series</t>
  </si>
  <si>
    <t>C-HDM-139</t>
  </si>
  <si>
    <t>Universal Heavy-Duty Mount</t>
  </si>
  <si>
    <t>C-HDM-136</t>
  </si>
  <si>
    <t>Universal Heavy-Duty Tall Adapter Plate</t>
  </si>
  <si>
    <t>C-HDM-135</t>
  </si>
  <si>
    <t>Universal Heavy-Duty Short Adapter Plate</t>
  </si>
  <si>
    <t>C-HDM-134</t>
  </si>
  <si>
    <t>OBSOLETE - Heavy-Duty Fixed Angle Mount - Short</t>
  </si>
  <si>
    <t>C-HDM-124</t>
  </si>
  <si>
    <t>Universal Heavy-Duty Vehicle Mount</t>
  </si>
  <si>
    <t>C-HDM-114</t>
  </si>
  <si>
    <t>C-HDM-106</t>
  </si>
  <si>
    <t>Heavy-Duty Center Mount For 2021-2024 Ford Mustang GT</t>
  </si>
  <si>
    <t>C-HDM-1031</t>
  </si>
  <si>
    <t>Heavy-Duty Mount For 2023-2025 Chevrolet Colorado</t>
  </si>
  <si>
    <t>C-HDM-1027</t>
  </si>
  <si>
    <t>Heavy-Duty Mount For 2024-2025 Chevrolet Blazer EV</t>
  </si>
  <si>
    <t>C-HDM-1026</t>
  </si>
  <si>
    <t>Heavy-Duty Mount For 2024-2025 Chevrolet Silverado EV</t>
  </si>
  <si>
    <t>C-HDM-1025</t>
  </si>
  <si>
    <t>Heavy-Duty Mount For 2016-2023 Toyota Tacoma</t>
  </si>
  <si>
    <t>C-HDM-1021</t>
  </si>
  <si>
    <t>Heavy-Duty Mount For 2022-2024 Chevrolet Bolt EV &amp;  2022-2024 Chevrolet Bolt EUV</t>
  </si>
  <si>
    <t>C-HDM-1020</t>
  </si>
  <si>
    <t>C-HDM-1019</t>
  </si>
  <si>
    <t>Heavy-Duty Center Mount For 2021-2024 Ford Mustang Mach-E</t>
  </si>
  <si>
    <t>C-HDM-1018</t>
  </si>
  <si>
    <t>Heavy-Duty Center Mount For 2015-2025 Ford Transit</t>
  </si>
  <si>
    <t>C-HDM-1016</t>
  </si>
  <si>
    <t>Heavy-Duty Mount For 2020-2025 Ford Escape, 2021-2024 Ford Bronco, &amp; 2022-2025 Ford Maverick</t>
  </si>
  <si>
    <t>C-HDM-1013</t>
  </si>
  <si>
    <t>Heavy-Duty Mount For 2019-2025 Dodge Ram Pickup DT Body Style</t>
  </si>
  <si>
    <t>C-HDM-1009</t>
  </si>
  <si>
    <t>Heavy-Duty Mount For 2020-2025 Ford Interceptor Utility</t>
  </si>
  <si>
    <t>C-HDM-1006</t>
  </si>
  <si>
    <t>Heavy-Duty Mount For 2019-2023 Ford Ranger</t>
  </si>
  <si>
    <t>C-HDM-1005</t>
  </si>
  <si>
    <t>Heavy-Duty Mount For 2018-2024 Chevrolet Equinox &amp; GMC Terrain</t>
  </si>
  <si>
    <t>C-HDM-1004</t>
  </si>
  <si>
    <t>Heavy-Duty Mount For 2019-2025 Chevrolet Silverado &amp; 2021-2024 Chevrolet Tahoe</t>
  </si>
  <si>
    <t>C-HDM-1003</t>
  </si>
  <si>
    <t>Heavy-Duty Mount For 2018-2023 Traverse</t>
  </si>
  <si>
    <t>C-HDM-1002</t>
  </si>
  <si>
    <t>Heavy-Duty Mount For Universal Large Trucks</t>
  </si>
  <si>
    <t>C-HDM-1001</t>
  </si>
  <si>
    <t>ChargeGuard-Select Bulk Package Of 100</t>
  </si>
  <si>
    <t>CG-X-100</t>
  </si>
  <si>
    <t>ChargeGuard-Select</t>
  </si>
  <si>
    <t>CG-X</t>
  </si>
  <si>
    <t>7" Filler Plate For Wide VSW Consoles</t>
  </si>
  <si>
    <t>C-FPW-7</t>
  </si>
  <si>
    <t>6" Filler Plate For Wide VSW Consoles</t>
  </si>
  <si>
    <t>C-FPW-6</t>
  </si>
  <si>
    <t>5" Filler Plate For Wide VSW Consoles</t>
  </si>
  <si>
    <t>C-FPW-5</t>
  </si>
  <si>
    <t>4" Filler Plate For Wide VSW Consoles</t>
  </si>
  <si>
    <t>C-FPW-4</t>
  </si>
  <si>
    <t>3-1/2" Filler Plate For Wide VSW Consoles</t>
  </si>
  <si>
    <t>C-FPW-35</t>
  </si>
  <si>
    <t>3" Filler Plate For Wide VSW Consoles</t>
  </si>
  <si>
    <t>C-FPW-3</t>
  </si>
  <si>
    <t>2-1/2" Filler Plate For Wide VSW Consoles</t>
  </si>
  <si>
    <t>C-FPW-25</t>
  </si>
  <si>
    <t>2" Filler Plate For Wide VSW Consoles</t>
  </si>
  <si>
    <t>C-FPW-2</t>
  </si>
  <si>
    <t>1-1/2" Filler Plate For Wide VSW Consoles</t>
  </si>
  <si>
    <t>C-FPW-15</t>
  </si>
  <si>
    <t>13" Filler Plate For Wide VSW Consoles</t>
  </si>
  <si>
    <t>C-FPW-130</t>
  </si>
  <si>
    <t>12" Filler Plate For Wide VSW Consoles</t>
  </si>
  <si>
    <t>C-FPW-120</t>
  </si>
  <si>
    <t>1" Filler Plate For Wide VSW Consoles</t>
  </si>
  <si>
    <t>C-FPW-1</t>
  </si>
  <si>
    <t>1/2" Filler Plate For Wide VSW Consoles</t>
  </si>
  <si>
    <t>C-FPW-05</t>
  </si>
  <si>
    <t>8" Filler Plate</t>
  </si>
  <si>
    <t>C-FP-8</t>
  </si>
  <si>
    <t>6" Filler Plate</t>
  </si>
  <si>
    <t>C-FP-6</t>
  </si>
  <si>
    <t>5" Filler Plate</t>
  </si>
  <si>
    <t>C-FP-5</t>
  </si>
  <si>
    <t>4" Filler Plate</t>
  </si>
  <si>
    <t>C-FP-4</t>
  </si>
  <si>
    <t>3-1/2" Filler Plate</t>
  </si>
  <si>
    <t>C-FP-35</t>
  </si>
  <si>
    <t>3" Filler Plate</t>
  </si>
  <si>
    <t>C-FP-3</t>
  </si>
  <si>
    <t>2-1/2"Filler Plate</t>
  </si>
  <si>
    <t>C-FP-25</t>
  </si>
  <si>
    <t>2" Filler Plate</t>
  </si>
  <si>
    <t>C-FP-2</t>
  </si>
  <si>
    <t>1-1/2" Filler Plate</t>
  </si>
  <si>
    <t>C-FP-15</t>
  </si>
  <si>
    <t>10" Filler Plate</t>
  </si>
  <si>
    <t>C-FP-10</t>
  </si>
  <si>
    <t>1" Filler Plate</t>
  </si>
  <si>
    <t>C-FP-1</t>
  </si>
  <si>
    <t>1/2" Filler Plate</t>
  </si>
  <si>
    <t>C-FP-05</t>
  </si>
  <si>
    <t>Flashlight Charger Pocket For Wide Console 3.3" Mounting Space</t>
  </si>
  <si>
    <t>C-FLW-4055-STR</t>
  </si>
  <si>
    <t>Flashlight Charger Internal Mount with Cup Holder</t>
  </si>
  <si>
    <t>C-FL-CUP</t>
  </si>
  <si>
    <t>Flashlight Charger Internal Mount Pocket With Extra Battery</t>
  </si>
  <si>
    <t>C-FL-4555-STR-XB</t>
  </si>
  <si>
    <t>Flashlight Charger Internal Mount Pocket</t>
  </si>
  <si>
    <t>C-FL-4055-STR</t>
  </si>
  <si>
    <t>Flex Arm Mount 14" Long</t>
  </si>
  <si>
    <t>C-FAM-201</t>
  </si>
  <si>
    <t>Flex Arm Mount Universal</t>
  </si>
  <si>
    <t>C-FAM-118</t>
  </si>
  <si>
    <t>Universal Base Mount For Horizontal or Vertical Flat Surfaces</t>
  </si>
  <si>
    <t>C-FAM-101</t>
  </si>
  <si>
    <t>VSX Console - Equipment Bracket Kit For Front Tray Siren Light Control - Whelen</t>
  </si>
  <si>
    <t>C-EBX-WHE-1</t>
  </si>
  <si>
    <t>VSX Console - Equipment Bracket Kit For Front Tray Siren Light Control - SoundOff</t>
  </si>
  <si>
    <t>C-EBX-SO-1</t>
  </si>
  <si>
    <t>VSX Console - Equipment Bracket Kit for Front Tray Fits Motorola Remote Radio XTL-1500, XTL-2500, XTL-5000-05, APX-6500, APX-7500, &amp; APX-8500</t>
  </si>
  <si>
    <t>C-EBX-MOT-1</t>
  </si>
  <si>
    <t>VSX Console - Equipment Bracket Kit For Front Tray Siren Light Control - Federal Signal</t>
  </si>
  <si>
    <t>C-EBX-FS-1</t>
  </si>
  <si>
    <t>Equipment Bracket Kit for VSX Consoles Front Tray Siren Light Control - Code 3 XCEL™ 3492R Siren</t>
  </si>
  <si>
    <t>C-EBX-C3-3</t>
  </si>
  <si>
    <t>VSX Console - Equipment Bracket Kit For Front Tray Siren Light Control - Code 3</t>
  </si>
  <si>
    <t>C-EBX-C3-2</t>
  </si>
  <si>
    <t>C-EBX-C3-1</t>
  </si>
  <si>
    <t>Equipment Bracket For Wide VSW Consoles, Fits Motorola XTL2500, XTL5000-05, APX-7500</t>
  </si>
  <si>
    <t>C-EBW85-XTL-1P</t>
  </si>
  <si>
    <t>Equipment Bracket For Wide VSW Consoles, Fits Motorola WatchGuard 4RE DVR</t>
  </si>
  <si>
    <t>C-EBW85-WGD-1P</t>
  </si>
  <si>
    <t>Equipment Bracket For Wide VSW Consoles, Fits Uniden BCT15</t>
  </si>
  <si>
    <t>C-EBW85-U15-1P</t>
  </si>
  <si>
    <t>Equipment Bracket For Wide VSW Consoles, Fits Kenwood TK-5710, TK-5810, TK-690, TK-790, TK-890</t>
  </si>
  <si>
    <t>C-EBW85-TK7-1P</t>
  </si>
  <si>
    <t>Equipment Bracket For Wide VSW Consoles, Fits Kenwood TK-7180, TK-8180, TK-7160, TK-8160</t>
  </si>
  <si>
    <t>C-EBW85-T81-1P</t>
  </si>
  <si>
    <t>Equipment Bracket for Wide VSW Consoles, Fits SoundOff bluePRINT® 500 Series Control System</t>
  </si>
  <si>
    <t>C-EBW85-SO5-1P</t>
  </si>
  <si>
    <t>Equipment Bracket For Wide VSW Consoles, Fits Motorola XPR 4550</t>
  </si>
  <si>
    <t>C-EBW85-MXP-1P</t>
  </si>
  <si>
    <t>Equipment Bracket For Wide VSW Consoles, Fits Motorola Max Trac 3000</t>
  </si>
  <si>
    <t>C-EBW85-MMT-1P</t>
  </si>
  <si>
    <t>Equipment Bracket For Wide VSW Consoles, Fits Map Light &amp; Lighter Plug</t>
  </si>
  <si>
    <t>C-EBW50-LP1-ML-1P</t>
  </si>
  <si>
    <t>Equipment Bracket For Wide VSW Consoles, Fits Mic Clip</t>
  </si>
  <si>
    <t>C-EBW25-MC1-1P</t>
  </si>
  <si>
    <t>Equipment Bracket For Wide VSW Consoles, Fits Dual USB or Switch Panel</t>
  </si>
  <si>
    <t>C-EBW20-USB2-1P</t>
  </si>
  <si>
    <t>Equipment Bracket For Wide VSW Consoles, Fits Dual Lighter Plug Socket</t>
  </si>
  <si>
    <t>C-EBW20-LP2-1P</t>
  </si>
  <si>
    <t>Equipment Bracket For Wide VSW Consoles, Fits Single Lighter Plug &amp; Single USB/Switch</t>
  </si>
  <si>
    <t>C-EBW20-LP1-USB-1P</t>
  </si>
  <si>
    <t>Equipment Bracket For Wide VSW Consoles, Fits Single USB or Switch Panel Bracket</t>
  </si>
  <si>
    <t>C-EBW15-USB-1P</t>
  </si>
  <si>
    <t>1-Piece Equipment Mounting Bracket, 8" Mounting Space, Fits Motorola APX-09 Remote Radio</t>
  </si>
  <si>
    <t>C-EB80-APX-1P</t>
  </si>
  <si>
    <t>1-Piece Equipment Mounting Bracket, 5" Mounting Space, Fits Dual Whelen Arges Controllers</t>
  </si>
  <si>
    <t>C-EB50-WSB-1P</t>
  </si>
  <si>
    <t>1-Piece Equipment Mounting Bracket, 5" Mounting Space, Fits SoundOff Signal Golight EWL911</t>
  </si>
  <si>
    <t>C-EB50-SOG-1P</t>
  </si>
  <si>
    <t>1-Piece Equipment Mounting Bracket, 5" Mounting Space, Fits Misc. Unistar LCS800-F, LCS850-F</t>
  </si>
  <si>
    <t>C-EB50-LCS-1P</t>
  </si>
  <si>
    <t xml:space="preserve">4.5" Equipment Mounting Bracket Fits Acek9 Hot-N-Pop Control Head  </t>
  </si>
  <si>
    <t>C-EB45-RHS-1P</t>
  </si>
  <si>
    <t>1-Piece Equipment Mounting Bracket, 4.5" Mounting Space, Fits L3Harris/L3 Mobile-Vision Flashback 3 Display</t>
  </si>
  <si>
    <t>C-EB45-L3F-1P</t>
  </si>
  <si>
    <t>1-Piece Equipment Mounting Bracket, 4" Mounting Space, Fits 2023005 For Brooking Technologies HIVE MCS</t>
  </si>
  <si>
    <t>C-EB45-HIV-1P</t>
  </si>
  <si>
    <t>1-Piece Equipment Mounting Bracket, 4" Mounting Space, Fits Motorola APX 6000/7000 Charger</t>
  </si>
  <si>
    <t>C-EB45-APX-1P</t>
  </si>
  <si>
    <t>1-Piece Equipment Mounting Bracket, 4" Mounting Space Fits Motorola APX 6000/7000 Charger</t>
  </si>
  <si>
    <t>C-EB45-AP2-1P</t>
  </si>
  <si>
    <t>1-Piece Equipment Mounting Bracket, 4.0" Mounting Space, Fits Harris Unity XG-100M Radio</t>
  </si>
  <si>
    <t>C-EB40-XG1-1P</t>
  </si>
  <si>
    <t>1-Piece Equipment Mounting Bracket, 4" Mounting Space, Fits Whelen Arges Remote Spotlight Control Head</t>
  </si>
  <si>
    <t>C-EB40-WSB-1P</t>
  </si>
  <si>
    <t>1-Piece Equipment Mounting Bracket, 4" Mounting Space, Fits Whelen 295HFS Series</t>
  </si>
  <si>
    <t>C-EB40-WS2-1P</t>
  </si>
  <si>
    <t>1-Piece Equipment Mounting Bracket, 4" Mounting Space, Fits Whelen Core-S Control System</t>
  </si>
  <si>
    <t>C-EB40-WCS-1P</t>
  </si>
  <si>
    <t>1-Piece Equipment Mounting Bracket, 4" Mounting Space, Fits Misc. Tomar 940, 948L &amp; 948L-DCP</t>
  </si>
  <si>
    <t>C-EB40-TOM-1P</t>
  </si>
  <si>
    <t>1-Piece Equipment Mounting Bracket, 4" Mounting Space, Fits Federal Signal Smart Siren SSP3000</t>
  </si>
  <si>
    <t>C-EB40-SSP-1P</t>
  </si>
  <si>
    <t>1-Piece Equipment Mounting Bracket, 4" Mounting Space, Fits SoundOff Signal 500 Series</t>
  </si>
  <si>
    <t>C-EB40-SO5-1P</t>
  </si>
  <si>
    <t>1-Piece Equipment Mounting Bracket, 4" Mounting Space, Fits SoundOff Signal Remote Sirens</t>
  </si>
  <si>
    <t>C-EB40-SO3-1P</t>
  </si>
  <si>
    <t>1-Piece Equipment Mounting Bracket, 4" Mounting Space, Fits Uniden SDS200 Scanner</t>
  </si>
  <si>
    <t>C-EB40-SDS-1P</t>
  </si>
  <si>
    <t>1-Piece Equipment Mounting Bracket, 4" Mounting Space, Fits Misc. Panasonic AG-Cpd20</t>
  </si>
  <si>
    <t>C-EB40-PAN-1P</t>
  </si>
  <si>
    <t>1-Piece Equipment Mounting Bracket, 4" Mounting Space, Fits Motorola XTVA Base Station Vehicle Adapter</t>
  </si>
  <si>
    <t>C-EB40-MXT-1P</t>
  </si>
  <si>
    <t>1-Piece Equipment Mounting Bracket, 4" Mounting Space, Fits Motorola Portable Radio NNTN8527 with Charger</t>
  </si>
  <si>
    <t>C-EB40-MNN-1P</t>
  </si>
  <si>
    <t>1-Piece Equipment Bracket, 4" Mounting Space, Fits One Kenwood KVC-23 Charger</t>
  </si>
  <si>
    <t>C-EB40-KVC-1P</t>
  </si>
  <si>
    <t>1-Piece Equipment Mounting Bracket, 4" Mounting Space, Fits Feniex C-4200</t>
  </si>
  <si>
    <t>C-EB40-FOP-1P</t>
  </si>
  <si>
    <t>1-Piece Equipment Mounting Bracket, 4" Mounting Space, Fits Feniex One Controller</t>
  </si>
  <si>
    <t>C-EB40-FEX-1P</t>
  </si>
  <si>
    <t>4" Equipment Bracket For E-Seek M260 Card Reader</t>
  </si>
  <si>
    <t>C-EB40-ES6-1P</t>
  </si>
  <si>
    <t>1-Piece Equipment Mounting Bracket, 4" Mounting Space, Fits Whelen CCTL8 &amp; CCTL9</t>
  </si>
  <si>
    <t>C-EB40-CCT-1P</t>
  </si>
  <si>
    <t>1-Piece Equipment Mounting Bracket, 4" Mounting Space, Fits Whelen Cencom CCSRN, CCSRNTA, MPC03</t>
  </si>
  <si>
    <t>C-EB40-CCS-1P</t>
  </si>
  <si>
    <t>2-Piece Equipment Mounting Bracket, 4" Mounting Space, 2.5" Bend</t>
  </si>
  <si>
    <t>C-EB40-250</t>
  </si>
  <si>
    <t>1-Piece Equipment Mounting Bracket, 3.5" Mounting Space, Fits Code 3 Public Safety Equipment Z3 Siren</t>
  </si>
  <si>
    <t>C-EB35-Z3S-1P</t>
  </si>
  <si>
    <t>1-Piece Equipment Mounting Bracket, 3.5" Mounting Space, Fits Harris/L3Harris  XG-25M Model DM-M78B</t>
  </si>
  <si>
    <t>C-EB35-XG2-1P</t>
  </si>
  <si>
    <t>1-Piece Equipment Mounting Bracket, 3.5" Mounting Space, Fits Code 3 Public Safety Equipment XCEL</t>
  </si>
  <si>
    <t>C-EB35-XCL-1P</t>
  </si>
  <si>
    <t>1-Piece Equipment Mounting Bracket, 3.5" Mounting Space, Fits 10-8 Video Arsenal Model MDVR-4AN</t>
  </si>
  <si>
    <t>C-EB35-VHD-1P</t>
  </si>
  <si>
    <t>1-Piece Equipment Mounting Bracket, 3.5" Mounting Space, Fits Code 3 Public Safety Equipment 3600 Series V-Con</t>
  </si>
  <si>
    <t>C-EB35-VC1-1P</t>
  </si>
  <si>
    <t>1-Piece Equipment Mounting Bracket, 3.5" Mounting Space, Fits Tait TM9155</t>
  </si>
  <si>
    <t>C-EB35-T91S-1P</t>
  </si>
  <si>
    <t>1-Piece Equipment Mounting Bracket, 3.5" Mounting Space, Fits Tait TM9155 &amp; TM9455</t>
  </si>
  <si>
    <t>C-EB35-T91-1P</t>
  </si>
  <si>
    <t>1-Piece Equipment Mounting Bracket, 3.5" Mounting Space, Fits SoundOff Signal Equipment</t>
  </si>
  <si>
    <t>C-EB35-SN4-1P</t>
  </si>
  <si>
    <t>1-Piece Equipment Mounting Bracket, 3.5" Mounting Space, Fits Carson SC-409</t>
  </si>
  <si>
    <t>C-EB35-SC4-1P</t>
  </si>
  <si>
    <t>1-Piece Equipment Mounting Bracket, 3.5" Mounting Space, Fits SoundOff Signal</t>
  </si>
  <si>
    <t>C-EB35-S38-1P</t>
  </si>
  <si>
    <t>1-Piece Equipment Mounting Bracket, 3.5" Mounting Space, - Fits Acek9 Hot-N-Pop Control Head Used In Havis Model K9-A-201 Series Kits</t>
  </si>
  <si>
    <t>C-EB35-RHP-1P</t>
  </si>
  <si>
    <t>1-Piece Equipment Mounting Bracket, 3.5" Mounting Space, Fits Federal Signal PA-300</t>
  </si>
  <si>
    <t>C-EB35-PA3-1P</t>
  </si>
  <si>
    <t>Angled 1-Piece Equipment Mounting Bracket, 3.5" Mounting Space, Fits Kenwood KCH-20R remote radio</t>
  </si>
  <si>
    <t>C-EB35-KCH-1P-A</t>
  </si>
  <si>
    <t>1-Piece Equipment Bracket, 3.5" Mounting Space, Fits Kussmaul Auto Charger</t>
  </si>
  <si>
    <t>C-EB35-KAC-1P</t>
  </si>
  <si>
    <t>1-Piece Equipment Mounting Bracket, 3.5" Mounting Space, Fits Getac Video DVR Model VR-X20</t>
  </si>
  <si>
    <t>C-EB35-GDV-1P</t>
  </si>
  <si>
    <t>1-Piece Equipment Mounting Bracket, 3.5" Mounting Space, Fits E-Seek M210 Card Reader</t>
  </si>
  <si>
    <t>C-EB35-ES1-1P</t>
  </si>
  <si>
    <t>1-Piece Equipment Mounting Bracket, 3.5" Mounting Space, Fits Block Communications Emergency Lighting Control</t>
  </si>
  <si>
    <t>C-EB35-ELC-1P</t>
  </si>
  <si>
    <t>1-Piece Equipment Mounting Bracket, 3.5" Mounting Space, Fits Code 3 Z3 Siren</t>
  </si>
  <si>
    <t>C-EB35-CXC-1P</t>
  </si>
  <si>
    <t>1-Piece Equipment Mounting Bracket, 3.5" Mounting Space, Fits Harris/L3Harris  CH25 Remote Control Head</t>
  </si>
  <si>
    <t>C-EB35-CH2-1P</t>
  </si>
  <si>
    <t>1-Piece Equipment Mounting Bracket, 3.5" Mounting Space, Fits Code 3 Publice Safety Equipment 3892, 3892L6, 3892L6M  Mastercom B</t>
  </si>
  <si>
    <t>C-EB35-CD3-1P</t>
  </si>
  <si>
    <t>1-Piece Equipment Angled Mounting Bracket, 3.5" Mounting Space, Fits Motorola APX-4500 Radios</t>
  </si>
  <si>
    <t>C-EB35-APRS-1P-A</t>
  </si>
  <si>
    <t>1-Piece Angled Equipment Mounting Bracket, 3" Mounting Space, Fits Motorola Remote Radio Heads</t>
  </si>
  <si>
    <t>C-EB30-XTL-1P-A</t>
  </si>
  <si>
    <t>1-Piece Equipment Mounting Bracket, 3" Mounting Space, Fits Harris/L3Harris XLCU-CHXL-CH2 control head</t>
  </si>
  <si>
    <t>C-EB30-XLC-1P</t>
  </si>
  <si>
    <t>1-Piece Equipment Mounting Bracket, 3" Mounting Space, Fits Harris/L3Harris  XG-25M Model DM-M78B</t>
  </si>
  <si>
    <t>C-EB30-XG2-1P</t>
  </si>
  <si>
    <t>1-Piece Equipment Mounting Bracket, 3" Mounting Space, Fits Whelen Power Control Center</t>
  </si>
  <si>
    <t>C-EB30-WPC-1P</t>
  </si>
  <si>
    <t>1-Piece Equipment Mounting Bracket, 3" Mounting Space, Fits Whelen WCC9 Switch Box</t>
  </si>
  <si>
    <t>C-EB30-WCC-1P</t>
  </si>
  <si>
    <t>1-Piece Equipment Mounting Bracket, 3" Mounting Space, Fits Whelen 295HFSC9</t>
  </si>
  <si>
    <t>C-EB30-W29-1P</t>
  </si>
  <si>
    <t>1-Piece Equipment Mounting Bracket, 3" Mounting Space, Fits Kenwood/E.F. Johnson VM600 &amp; VM900 Self-Contained Radio</t>
  </si>
  <si>
    <t>C-EB30-VM6-1P</t>
  </si>
  <si>
    <t>1-Piece Equipment Mounting Bracket, 3" Mounting Space, Fits 10-8 Video Model HD4 DVR</t>
  </si>
  <si>
    <t>C-EB30-VHD-1P</t>
  </si>
  <si>
    <t>1-Piece Equipment Mounting Bracket, 3" Mounting Space, Fits Miscellaneous Vascar Plus IIIc</t>
  </si>
  <si>
    <t>C-EB30-VCP-1P</t>
  </si>
  <si>
    <t>1-Piece Equipment Mounting Bracket, 3" Mounting Space, Fits Uniden BCT15</t>
  </si>
  <si>
    <t>C-EB30-U15-1P</t>
  </si>
  <si>
    <t>1-Piece Equipment Mounting Bracket, 3" Mounting Space, Fits Whelen CenCom Core CCTL9 &amp; CCTL9LM</t>
  </si>
  <si>
    <t>C-EB30-TL9-1P</t>
  </si>
  <si>
    <t>1-Piece Equipment Mounting Bracket, 3" Mounting Space, Fits Kenwood TK-5710, TK-5810, TK-690, TK-790, TK-890</t>
  </si>
  <si>
    <t>C-EB30-TK7-1P</t>
  </si>
  <si>
    <t>1-Piece Equipment Mounting Bracket, 3" Mounting Space, Fits Tait TCH3 Control Head</t>
  </si>
  <si>
    <t>C-EB30-TCH-1P</t>
  </si>
  <si>
    <t>1-Piece Equipment Mounting Bracket, 3" Mounting Space, Fits Tait Radio TM9155</t>
  </si>
  <si>
    <t>C-EB30-T91S-1P</t>
  </si>
  <si>
    <t>1-Piece Equipment Mounting Bracket, 3" Mounting Space, Fits Motorola PM1500</t>
  </si>
  <si>
    <t>C-EB30-MPM-1P</t>
  </si>
  <si>
    <t>Angled 1-Piece Equipment Mounting Angled Bracket, 3" Mounting Space, Fits Motorola Self-Contained Equipment</t>
  </si>
  <si>
    <t>C-EB30-MMT-1P-A</t>
  </si>
  <si>
    <t>1-Piece Equipment Mounting Bracket, 3" Mounting Space, Fits Whelen 295HF100, 295SL100, 295SL101, 295HFSA1, Alpha12S, MGC01, PCCHD, WS2100, 295SLSA1</t>
  </si>
  <si>
    <t>C-EB30-MGC-1P</t>
  </si>
  <si>
    <t>1-Piece Equipment Mounting Bracket, 3" Mounting Space, Fits L3Harris/L3 Mobile-Vision Flashback Digital Recorder FB04-H</t>
  </si>
  <si>
    <t>C-EB30-L3F-1P</t>
  </si>
  <si>
    <t>1-Piece Equipment Mounting Bracket, 3" Mounting Space, Fits L3Harris/L3 Mobile-Vision Flashback 3 DVR</t>
  </si>
  <si>
    <t>C-EB30-L33-1P</t>
  </si>
  <si>
    <t>1-Piece Equipment Mounting Bracket, 3" Mounting Space,  Fits Relm KNG Series</t>
  </si>
  <si>
    <t>C-EB30-KNG-1P</t>
  </si>
  <si>
    <t>1-Piece Equipment Mounting Bracket, 3" Mounting Space, Fits Kenwood KCH-20R Remote Radio</t>
  </si>
  <si>
    <t>C-EB30-KCH-1P</t>
  </si>
  <si>
    <t>1-Piece Equipment Mounting Bracket, 3" Mounting Space, Fits Icom America F7510, LC-5400 &amp; LC-6400 Series Radios</t>
  </si>
  <si>
    <t>C-EB30-IC1-1P</t>
  </si>
  <si>
    <t>1-Piece Equipment Mounting Bracket, 3" Mounting Space, Fits Harris/L3Harris  XL Control Head</t>
  </si>
  <si>
    <t>C-EB30-HXL-1P</t>
  </si>
  <si>
    <t>1-Piece Equipment Mounting Bracket, 3" Mounting Space, Fits Hytera MD782G Remote Head Radio</t>
  </si>
  <si>
    <t>C-EB30-HMD-1P</t>
  </si>
  <si>
    <t>1-Piece Equipment Mounting Bracket, 3" Mounting Space, Fits Federal Signal Pathfinder PF200R Switch Panel Remote</t>
  </si>
  <si>
    <t>C-EB30-FSR-1P</t>
  </si>
  <si>
    <t>1-Piece Equipment Mounting Bracket, 3" Mounting Space, Fits Federal Signal Pathfinder PF200 Switch Panel</t>
  </si>
  <si>
    <t>C-EB30-FSP-1P</t>
  </si>
  <si>
    <t>1-Piece Equipment Mounting Bracket, 3" Mounting Space, Fits Carson Siren SA-441/Whelen 295HFRS</t>
  </si>
  <si>
    <t>C-EB30-FRS-1P</t>
  </si>
  <si>
    <t>1-Piece Equipment Mounting Bracket, 3" Mounting Space, Fits Feniex Typhoon C4017</t>
  </si>
  <si>
    <t>C-EB30-FC4-1P</t>
  </si>
  <si>
    <t>1-Piece Equipment Mounting Bracket, 3" Mounting Space, Fits M/A-Com M-7100, M/A-Com / Com-Net/ Ericsson/ Ge Orion 2 Pc.</t>
  </si>
  <si>
    <t>C-EB30-EOR-1P</t>
  </si>
  <si>
    <t>1-Piece Equipment Mounting Bracket, 3" Mounting Space, Fits Bendix King DMH Self Contained Radio</t>
  </si>
  <si>
    <t>C-EB30-DMX-1P</t>
  </si>
  <si>
    <t>1-Piece Equipment Mounting Bracket, 3" Mounting Space, Fits Bendix King DMH Remote Mount Radio</t>
  </si>
  <si>
    <t>C-EB30-DMR-1P</t>
  </si>
  <si>
    <t>1-Piece Equipment Mounting Bracket, 3" Mounting Space, Fits M/A-Com CH-721</t>
  </si>
  <si>
    <t>C-EB30-CH7-1P</t>
  </si>
  <si>
    <t>1-Piece Equipment Mounting Bracket, 3" Mounting Space, Fits Motorola CDM 750, 120, 1550 Self-Contained, Flush-Mounting</t>
  </si>
  <si>
    <t>C-EB30-CDS-1P</t>
  </si>
  <si>
    <t>1-Piece Equipment Mounting Bracket, 3" Mounting Space, Fits Motorola CDM 750, 120, 1550 Remote Radio Flush-Mounting</t>
  </si>
  <si>
    <t>C-EB30-CDR-1P</t>
  </si>
  <si>
    <t>1-Piece Equipment Mounting Bracket, 3" Mounting Space, Fits Motorola APX-4500 Self-Contained Radio</t>
  </si>
  <si>
    <t>C-EB30-APS-1P</t>
  </si>
  <si>
    <t>1-Piece Equipment Mounting Bracket, 3" Mounting Space, Fits Motorola APX-4500 Remote Radio</t>
  </si>
  <si>
    <t>C-EB30-APR-1P</t>
  </si>
  <si>
    <t>2-Piece Equipment Mounting Bracket, 3" Mounting Space, 0.81" Bend</t>
  </si>
  <si>
    <t>C-EB30-081</t>
  </si>
  <si>
    <t>1-Piece Equipment Mounting Bracket, 2.5" Mounting Space, Fits Motorola XTL2500, XTL5000-05, APX-7500,</t>
  </si>
  <si>
    <t>C-EB25-XTL-1P</t>
  </si>
  <si>
    <t>1-Piece Equipment Mounting Bracket, 2.5" Mounting Space, Fits Motorola XPR4350, XPR4380, XPR4550, XPR4580 &amp; XPR5550 remote radios</t>
  </si>
  <si>
    <t>C-EB25-XPR-1P</t>
  </si>
  <si>
    <t>1-Piece Equipment Mounting Bracket, 2.5" Mounting Space, Fits Whelen TACTL5 &amp; TACTL6</t>
  </si>
  <si>
    <t>C-EB25-WTA-1P</t>
  </si>
  <si>
    <t>1-Piece Equipment Mounting Bracket, 2.5" Mounting Space, Fits Whelen PCCS9RW Switch Box</t>
  </si>
  <si>
    <t>C-EB25-WPC-1P</t>
  </si>
  <si>
    <t>1-Piece Equipment Mounting Bracket, 2.5" Mounting Space, Fits Motorola Vertex VX-2100, VX-2200, VX-4200, &amp; VX-4600 self-contained radios</t>
  </si>
  <si>
    <t>C-EB25-VX2-1P</t>
  </si>
  <si>
    <t>1-Piece Equipment Mounting Bracket, 2.5" Mounting Space, Fits Tait TCH4 &amp; TCH6 Control Head</t>
  </si>
  <si>
    <t>C-EB25-TCH-1P</t>
  </si>
  <si>
    <t>1-Piece Equipment Mounting Bracket, 2.5" Mounting Space, Fits Kenwood TK-8180, TK-7180, TK-7160, TK-8160</t>
  </si>
  <si>
    <t>C-EB25-T81-1P</t>
  </si>
  <si>
    <t>1-Piece Equipment Mounting Bracket, 2.5" Mounting Space, Fits SoundOff Signal Siren ETSWDAS01</t>
  </si>
  <si>
    <t>C-EB25-SO4-1P</t>
  </si>
  <si>
    <t>1-Piece Equipment Mounting Bracket, 2.5" Mounting Space, Fits Kenwood NX Series Radio</t>
  </si>
  <si>
    <t>C-EB25-NX3-1P</t>
  </si>
  <si>
    <t>1-Piece Equipment Mounting Bracket, 2.5" Mounting Space, Fits Motorola XPR 4550</t>
  </si>
  <si>
    <t>C-EB25-MXP-1P</t>
  </si>
  <si>
    <t>1-Piece Equipment Mounting Bracket, 2.5" Mounting Space, Fits Motorola WatchGuard M500</t>
  </si>
  <si>
    <t>C-EB25-MWG-1P</t>
  </si>
  <si>
    <r>
      <t>1-Piece Equipment Mounting Bracket, 2.5" Mounting Space, Fits Motorola Radius &amp; MOTOTRBO</t>
    </r>
    <r>
      <rPr>
        <sz val="11"/>
        <rFont val="Calibri"/>
        <family val="2"/>
      </rPr>
      <t>™</t>
    </r>
    <r>
      <rPr>
        <sz val="11"/>
        <rFont val="Calibri"/>
        <family val="2"/>
        <scheme val="minor"/>
      </rPr>
      <t xml:space="preserve"> Radios
  </t>
    </r>
  </si>
  <si>
    <t>C-EB25-MRD-1P</t>
  </si>
  <si>
    <t>1-Piece Equipment Mounting Bracket, 2.5" Mounting Space, Fits Motorola PM 400</t>
  </si>
  <si>
    <t>C-EB25-MPM-1P</t>
  </si>
  <si>
    <t>1-Piece Equipment Mounting Bracket, 2.5" Mounting Space Motorola Max Trac 3000</t>
  </si>
  <si>
    <t>C-EB25-MMT-1P</t>
  </si>
  <si>
    <t>1-Piece Equipment Mounting Bracket, 2.5" Mounting Space, Fits Motorola Spectra A5, A7, Astro Digital Spectra W5, XTL5000 W4, XTL5000 W5</t>
  </si>
  <si>
    <t>C-EB25-MA5-1P</t>
  </si>
  <si>
    <t>1-Piece Equipment Mounting Bracket, 2.5" Mounting Space, Fits Kenwood VM6730, 6830, &amp; 6930 Self-Contained, VM600 &amp; VM900 Remote</t>
  </si>
  <si>
    <t>C-EB25-KVK-1P</t>
  </si>
  <si>
    <t>1-Piece Equipment Mounting Bracket, 2.5" Mounting Space, Fits Misc. Kustom G3 Digital Eyewitness DVR</t>
  </si>
  <si>
    <t>C-EB25-KSG-1P</t>
  </si>
  <si>
    <t>1-Piece Equipment Mounting Bracket, 2.5" Mounting Space, Fits Kenwood Radio</t>
  </si>
  <si>
    <t>C-EB25-KNX-1P</t>
  </si>
  <si>
    <t>1-Piece Equipment Mounting Bracket, 2.5" Mounting Space, Fits Relm KNG Radio</t>
  </si>
  <si>
    <t>C-EB25-KNG-1P</t>
  </si>
  <si>
    <t>1-Piece Equipment Mounting Bracket, 2.5" Mounting Space, Fits Icom America IC-F5130D/IC-F6130D Control Head</t>
  </si>
  <si>
    <t>C-EB25-ICF-1P</t>
  </si>
  <si>
    <t>1-Piece Equipment Mounting Bracket, 2.5" Mounting Space, Fits Icom America Self-Contained Radios</t>
  </si>
  <si>
    <t>C-EB25-IC6-1P</t>
  </si>
  <si>
    <t>1-Piece Equipment Mounting Bracket, 2.5" Mounting Space, Fits Motorola CDM 750, 1250, 1550</t>
  </si>
  <si>
    <t>C-EB25-CDS-1P</t>
  </si>
  <si>
    <t>C-EB25-CDR-1P</t>
  </si>
  <si>
    <t>1-Piece Equipment Mounting Bracket, 2.5" Mounting Space, Fits Axon AX1033</t>
  </si>
  <si>
    <t>C-EB25-AX1-1P</t>
  </si>
  <si>
    <t>1-Piece Equipment Mounting Bracket, 2.5" Mounting Space, Fits Icom America IC-A120 Radio</t>
  </si>
  <si>
    <t>C-EB25-A12-1P</t>
  </si>
  <si>
    <t>2-Piece Equipment Mounting Bracket, 2.5" Mounting Space, 1.31" Bend</t>
  </si>
  <si>
    <t>C-EB25-131</t>
  </si>
  <si>
    <t>2-Piece Equipment Mounting Bracket, 2.5" Mounting Space, 1.25" Bend</t>
  </si>
  <si>
    <t>C-EB25-125</t>
  </si>
  <si>
    <t>2-Piece Equipment Mounting Bracket, 2.5" Mounting Space, 1.18" Bend</t>
  </si>
  <si>
    <t>C-EB25-118</t>
  </si>
  <si>
    <t>2-Piece Equipment Mounting Bracket, 2.5" Mounting Space, 1.00" Bend</t>
  </si>
  <si>
    <t>C-EB25-100</t>
  </si>
  <si>
    <t>2-Piece Equipment Mounting Bracket, 2.5" Mounting Space, 0.87" Bend</t>
  </si>
  <si>
    <t>C-EB25-087</t>
  </si>
  <si>
    <t>2-Piece Equipment Mounting Bracket, 2.5" Mounting Space, 0.81" Bend</t>
  </si>
  <si>
    <t>C-EB25-081</t>
  </si>
  <si>
    <t>2-Piece Equipment Mounting Bracket, 2.5" Mounting Space, 0.68" Bend</t>
  </si>
  <si>
    <t>C-EB25-068</t>
  </si>
  <si>
    <t>1-Piece Equipment Mounting Bracket, 2" Mounting Space, Fits Motorola WatchGuard 4ERe DVR</t>
  </si>
  <si>
    <t>C-EB20-WGD-1P</t>
  </si>
  <si>
    <t>1-Piece Equipment Mounting Bracket, 2" Mounting Space, For 2021-2023 Interceptor Utility 12 Volt Socket &amp; OEM USB Module</t>
  </si>
  <si>
    <t>C-EB20-USB-1P</t>
  </si>
  <si>
    <t>1-Piece Equipment Mounting Bracket, 2" Mounting Space, Fits Kenwood TK-860</t>
  </si>
  <si>
    <t>C-EB20-TK8-1P</t>
  </si>
  <si>
    <t>1-Piece Equipment Mounting Bracket, 2" Mounting Space, Fits Factory USB/AUX Module For The 2013-2017 Dodge Ram</t>
  </si>
  <si>
    <t>C-EB20-RAU-1P</t>
  </si>
  <si>
    <t>1-Piece Equipment Mounting Bracket, 2" Mounting Space, Fits Icom America F-Series Control Head</t>
  </si>
  <si>
    <t>C-EB20-ICF-1P</t>
  </si>
  <si>
    <t>1-Piece Equipment Mounting Bracket, 2" Mounting Space, Fits Code 3 Public Safety Equipment Narrowstick</t>
  </si>
  <si>
    <t>C-EB20-FRG-1P</t>
  </si>
  <si>
    <t>1-Piece Equipment Mounting Bracket, 2" Mounting Space, Fits Freelight RANGR-G (FDL-978-GTX/E)</t>
  </si>
  <si>
    <t>C-EB20-CNS-1P</t>
  </si>
  <si>
    <t>2-Piece Equipment Mounting Bracket, 2" Mounting Space, 1.87" Bend</t>
  </si>
  <si>
    <t>C-EB20-187</t>
  </si>
  <si>
    <t>2-Piece Equipment Mounting Bracket, 2" Mounting Space, 1.81" Bend</t>
  </si>
  <si>
    <t>C-EB20-181</t>
  </si>
  <si>
    <t>2-Piece Equipment Mounting Bracket, 2" Mounting Space, 1.68" Bend</t>
  </si>
  <si>
    <t>C-EB20-168</t>
  </si>
  <si>
    <t>2-Piece Equipment Mounting Bracket, 2" Mounting Space, 1.56" Bend</t>
  </si>
  <si>
    <t>C-EB20-156</t>
  </si>
  <si>
    <t>2-Piece Equipment Mounting Bracket, 2" Mounting Space, 1.5" Bend</t>
  </si>
  <si>
    <t>C-EB20-150</t>
  </si>
  <si>
    <t>2-Piece Equipment Mounting Bracket, 2" Mounting Space, 1.43" Bend</t>
  </si>
  <si>
    <t>C-EB20-143</t>
  </si>
  <si>
    <t>2-Piece Equipment Mounting Bracket, 2" Mounting Space, 1.31" Bend</t>
  </si>
  <si>
    <t>C-EB20-131</t>
  </si>
  <si>
    <t>2-Piece Equipment Mounting Bracket, 2" Mounting Space, 1.12" Bend</t>
  </si>
  <si>
    <t>C-EB20-112</t>
  </si>
  <si>
    <t>2-Piece Equipment Mounting Bracket, 2" Mounting Space, 1.06" Bend</t>
  </si>
  <si>
    <t>C-EB20-106</t>
  </si>
  <si>
    <t>2-Piece Equipment Mounting Bracket, 2" Mounting Space, 0.75" Bend</t>
  </si>
  <si>
    <t>C-EB20-075</t>
  </si>
  <si>
    <t>1-Piece Equipment Mounting Bracket, 1.5" Mounting Space, Fits Magtek 21040082 Card Reader</t>
  </si>
  <si>
    <t>C-EB15-MAG-1P</t>
  </si>
  <si>
    <t>1-Piece Equipment Mounting Bracket, 1.5" Mounting Space, Fits Motorola Dek Mini, HLM Series Siren W269, HLN Series Switching W591, Tek Mini</t>
  </si>
  <si>
    <t>C-EB15-HLN-1P</t>
  </si>
  <si>
    <t>1-Piece Equipment Mounting Bracket, 1.5" Mounting Space, Fits OEM AUX Input Module For 2014-2023 Dodge Charger</t>
  </si>
  <si>
    <t>C-EB15-DAP-1P</t>
  </si>
  <si>
    <t>2-Piece Equipment Mounting Bracket, 1.5" Mounting Space, 2" Bend</t>
  </si>
  <si>
    <t>C-EB15-200</t>
  </si>
  <si>
    <t>2-Piece Equipment Mounting Bracket, 1.5" Mounting Space, 1.56" Bend</t>
  </si>
  <si>
    <t>C-EB15-156</t>
  </si>
  <si>
    <t>2-Piece Equipment Mounting Bracket, 1.5" Mounting Space, 1.18" Bend</t>
  </si>
  <si>
    <t>C-EB15-118</t>
  </si>
  <si>
    <t>2-Piece Equipment Mounting Bracket, 1.5" Mounting Space, 1.12" Bend</t>
  </si>
  <si>
    <t>C-EB15-112</t>
  </si>
  <si>
    <t>1-Piece Equipment Mounting Bracket, 1" Mounting Space</t>
  </si>
  <si>
    <t>C-EB10-USB-1P</t>
  </si>
  <si>
    <t>Dash Mount Tray For 2021-2024 Chevrolet Tahoe</t>
  </si>
  <si>
    <t>C-DMT-TAH</t>
  </si>
  <si>
    <t>Heavy-Duty Dash Mount For 2025 Ford Interceptor Utility Vehicle</t>
  </si>
  <si>
    <t>C-DMM-3028</t>
  </si>
  <si>
    <t>Heavy-Duty Dash Mount for 2023-2025 Ford F-250, 350, 450 &amp; 550 Super Duty Pickup</t>
  </si>
  <si>
    <t>C-DMM-3026</t>
  </si>
  <si>
    <t>Heavy-Duty Dash Mount for 2019-2025 Dodge Ram 1500, 2500, 3500, 4500 &amp; 5500 Pickup (5th Generation)</t>
  </si>
  <si>
    <t>C-DMM-3025</t>
  </si>
  <si>
    <t>Heavy-Duty Dash Mount For 2021-2025 Dodge Durango</t>
  </si>
  <si>
    <t>C-DMM-3024</t>
  </si>
  <si>
    <t>Heavy-Duty Dash Mount For 2021-2025 Ford F-150</t>
  </si>
  <si>
    <t>C-DMM-3023</t>
  </si>
  <si>
    <t>Heavy-Duty Dash Mount For 2021-2025 Ford E-Series Cutaway</t>
  </si>
  <si>
    <t>C-DMM-3022</t>
  </si>
  <si>
    <t>Heavy-Duty Dash Mount For 2021-2024 Chevrolet Tahoe</t>
  </si>
  <si>
    <t>C-DMM-3019</t>
  </si>
  <si>
    <t>OBSOLETE - Heavy-Duty  Dash Mount For 2018-2023 Chevrolet Traverse</t>
  </si>
  <si>
    <t>C-DMM-3017</t>
  </si>
  <si>
    <t>Heavy-Duty Dash Mount For 2011-2025 Chevrolet G-Series Van</t>
  </si>
  <si>
    <t>C-DMM-3016</t>
  </si>
  <si>
    <t>Heavy-Duty Dash Mount For 2020-2024 Ford Interceptor Utility Vehicle</t>
  </si>
  <si>
    <t>C-DMM-3015</t>
  </si>
  <si>
    <t xml:space="preserve">Heavy-Duty Dash Mount For 2013-2024 Dodge Ram 1500, 2500, 3500 Retail, 1500 Special Services Police, &amp; 1500 Tradesman Pickup Trucks With "Classic" DS Body Style
</t>
  </si>
  <si>
    <t>C-DMM-3011</t>
  </si>
  <si>
    <t>Heavy-Duty Dash Mount For 2009-2020 Ford E-350 &amp; E-450 Cutaway, 2009-2014 Ford Econoline &amp; 2008-2016 Ford F-250, 350, 450 Super Duty Trucks &amp; 550 Cab Chassis</t>
  </si>
  <si>
    <t>C-DMM-3009</t>
  </si>
  <si>
    <t>Heavy-Duty Dash Mount For 2019-2025 Chevrolet Silverado / GMC Sierra 1500</t>
  </si>
  <si>
    <t>C-DMM-3007</t>
  </si>
  <si>
    <t>Heavy-Duty Dash Mount for 2015-2020 Ford F-150 Retail, Responder &amp; SSV, 2017-2021 Ford F-250, 350, 450 Pickup, F-450 &amp; 550 Cab Chassis, 2018-2021 Expedition Retail &amp; SSV</t>
  </si>
  <si>
    <t>C-DMM-3006</t>
  </si>
  <si>
    <t>Heavy-Duty Dash Mount For 2015-2023 Dodge Charger Police Pursuit &amp; Charger SXT</t>
  </si>
  <si>
    <t>C-DMM-3005</t>
  </si>
  <si>
    <t>Card Swipe Reader Bracket</t>
  </si>
  <si>
    <t>C-CSR-2</t>
  </si>
  <si>
    <t>Console Accessory Kit - 10" Filler Plate with Paper Clip</t>
  </si>
  <si>
    <t>C-CBA-10</t>
  </si>
  <si>
    <t>OBSOLETE - Vertical Cargo Barrier For Use With Havis Universal Storage Box In 2021-2024 Chevrolet Tahoe</t>
  </si>
  <si>
    <t>CBR-TAH-1</t>
  </si>
  <si>
    <t>Vertical Cargo Barrier for 2021-2024 Ford Mustang Mach-E</t>
  </si>
  <si>
    <t>CBR-MSTG-1</t>
  </si>
  <si>
    <t>OBSOLETE - 2020-2025 Ford Interceptor Utility Cargo Barrier Used With Pro-Gard Partition</t>
  </si>
  <si>
    <t>CBR-INUT-1</t>
  </si>
  <si>
    <t>OBSOLETE - Vertical Cargo Barrier for 2020-2025 Ford Escape</t>
  </si>
  <si>
    <t>CBR-ESC-1</t>
  </si>
  <si>
    <t>Console Accessory Bracket Kit with 4 Blanks for Rectangular Accessories</t>
  </si>
  <si>
    <t>C-BL-4</t>
  </si>
  <si>
    <t>3-Piece Hump Mounting Bracket For 2019-2025 Chevrolet Silverado/Sierra 1500 &amp; 2020-2025 Silverado Sierra 2500/3500</t>
  </si>
  <si>
    <t>C-B72</t>
  </si>
  <si>
    <t>2013-2024 Dodge Ram Pickup 3-Piece Mounting Bracket Kit</t>
  </si>
  <si>
    <t>C-B71</t>
  </si>
  <si>
    <t xml:space="preserve">1-Piece Mounting Bracket Kit For 2017-2025 Ford F-250, 350, 450 Pickup &amp; F-450 &amp; 550 Cab Chassis &amp; 2015-2025 Ford F-150 </t>
  </si>
  <si>
    <t>C-B70</t>
  </si>
  <si>
    <t>2014-2019 Chevrolet Silverado &amp; 2015-2020 Chevrolet Tahoe 1-Piece Mounting Bracket Kit</t>
  </si>
  <si>
    <t>C-B69</t>
  </si>
  <si>
    <t>2015-2025 Ford Transit 4-Piece Mounting Bracket Kit</t>
  </si>
  <si>
    <t>C-B68</t>
  </si>
  <si>
    <t>4-Piece Mounting Bracket Kit for 2013-2022 Dodge Ram Pickup Truck</t>
  </si>
  <si>
    <t>C-B66</t>
  </si>
  <si>
    <t>1-Piece U Shaped Universal Individual Vehicle Mounting Bracket, 6H X 9.13" Wide</t>
  </si>
  <si>
    <t>C-B6</t>
  </si>
  <si>
    <t>3-Piece Rear Hump Mounting Bracket for 2008-2016 Ford F-250 &amp; 2011-2025 Ford F-650, F-750 Chassis Cab</t>
  </si>
  <si>
    <t>C-B51</t>
  </si>
  <si>
    <t>OBSOLETE - 2006-2023 Dodge Charger 2-Piece Hump Mounting Bracket</t>
  </si>
  <si>
    <t>C-B44</t>
  </si>
  <si>
    <t>1-Piece L Shaped Universal Individual Vehicle Mounting Bracket, 4" High, 5" Wide</t>
  </si>
  <si>
    <t>C-B3</t>
  </si>
  <si>
    <t>1-Piece U Shaped Universal Individual Vehicle Mounting Bracket, 1" High X 9.13" Wide</t>
  </si>
  <si>
    <t>C-B2</t>
  </si>
  <si>
    <t>Universal 12.5″ Wide Angled Series Work Truck Console</t>
  </si>
  <si>
    <t>C-ASW-0805</t>
  </si>
  <si>
    <t>8" Angled Series Console</t>
  </si>
  <si>
    <t>C-AS-840-8</t>
  </si>
  <si>
    <t>8" Angled Series Console For Light Trucks &amp; SUV'S</t>
  </si>
  <si>
    <t>C-AS-840-11</t>
  </si>
  <si>
    <t>20" Angled Series Universal Console</t>
  </si>
  <si>
    <t>C-AS-1010</t>
  </si>
  <si>
    <t>Zebra ZQ520 &amp; ZQ521 Printer Mount &amp; Armrest</t>
  </si>
  <si>
    <t>C-ARPB-148</t>
  </si>
  <si>
    <t>Zebra ZQ520 &amp; ZQ521 Printer Mount With Accessory Pocket &amp; Tall Armrest</t>
  </si>
  <si>
    <t>C-ARPB-147</t>
  </si>
  <si>
    <t>Brother Pocketjet 4200 Series Printer Mount With Accessory Pocket &amp; Tall Armrest</t>
  </si>
  <si>
    <t>C-ARPB-146</t>
  </si>
  <si>
    <t>Zebra ZQ520 &amp; ZQ521 Printer Mount With Accessory Pocket &amp; Short Armrest</t>
  </si>
  <si>
    <t>C-ARPB-145</t>
  </si>
  <si>
    <t>OBSOLETE - Brother Pocketjet 4200 Series Printer Mount With Accessory Pocket &amp; Short Armrest</t>
  </si>
  <si>
    <t>C-ARPB-144</t>
  </si>
  <si>
    <t>OBSOLETE - Zebra ZQ520 &amp; ZQ521 Printer Mount &amp; Tall Armrest</t>
  </si>
  <si>
    <t>C-ARPB-143</t>
  </si>
  <si>
    <t>OBSOLETE - Brother Pocketjet 4200 Series Printer Mount &amp; Tall Armrest</t>
  </si>
  <si>
    <t>C-ARPB-142</t>
  </si>
  <si>
    <t>OBSOLETE - Zebra ZQ520 &amp; ZQ521 Printer Mount &amp; Short Armrest</t>
  </si>
  <si>
    <t>C-ARPB-141</t>
  </si>
  <si>
    <t>Brother Pocketjet 4200 Series Printer Mount &amp; Short Armrest</t>
  </si>
  <si>
    <t>C-ARPB-140</t>
  </si>
  <si>
    <t>Brother Armrest Printer Bracket: Top Mount</t>
  </si>
  <si>
    <t>C-ARPB-139</t>
  </si>
  <si>
    <t>Brother/Pentax Pocketjet Printer Mount With Side Mounted Flip Up Armrest</t>
  </si>
  <si>
    <t>C-ARPB-1038</t>
  </si>
  <si>
    <t>Brother Printer Mount With Armrest</t>
  </si>
  <si>
    <t>C-ARPB-1017</t>
  </si>
  <si>
    <t>Brother Arm Rest Printer Bracket: Side Mounted Pedestal</t>
  </si>
  <si>
    <t>C-ARPB-1016</t>
  </si>
  <si>
    <t>Brother Armrest Printer Bracket: Pedestal</t>
  </si>
  <si>
    <t>C-ARPB-1015</t>
  </si>
  <si>
    <t>Brother Arm Rest Printer Bracket: Top Mount</t>
  </si>
  <si>
    <t>C-ARPB-1014</t>
  </si>
  <si>
    <t>Top Mount Armrest with Large Pad for VSW Consoles</t>
  </si>
  <si>
    <t>C-ARM-W-103</t>
  </si>
  <si>
    <t>Top Mount Armrest for VSW Consoles</t>
  </si>
  <si>
    <t>C-ARM-W-101</t>
  </si>
  <si>
    <t>Internal Mount Armrest with Accessory Pocket</t>
  </si>
  <si>
    <t>C-ARM-113</t>
  </si>
  <si>
    <t>Passenger Side Arm Rest For Wide Console 3.3" Mounting Space</t>
  </si>
  <si>
    <t>C-ARM-110</t>
  </si>
  <si>
    <t>Armrest For Top Mount, Console, Large Pad</t>
  </si>
  <si>
    <t>C-ARM-109</t>
  </si>
  <si>
    <t>Side Mounted Flip Up Armrest</t>
  </si>
  <si>
    <t>C-ARM-108</t>
  </si>
  <si>
    <t>Molded Armrest To Mount To Tunnel-Mount Base</t>
  </si>
  <si>
    <t>C-ARM-104</t>
  </si>
  <si>
    <t>C-ARM-103</t>
  </si>
  <si>
    <t>Side Mount Armrest</t>
  </si>
  <si>
    <t>C-ARM-102</t>
  </si>
  <si>
    <t>Top Mount Armrest</t>
  </si>
  <si>
    <t>C-ARM-101</t>
  </si>
  <si>
    <t>Internal Mount Armrest With Lockable Accessory Pocket</t>
  </si>
  <si>
    <t>C-ARM-1001</t>
  </si>
  <si>
    <t>VSX Console - Front Bin Option</t>
  </si>
  <si>
    <t>C-APX-101</t>
  </si>
  <si>
    <t>3.5" Accessory Pocket, 4.8" Deep For 3.3"W Section Of Wide Consoles</t>
  </si>
  <si>
    <t>C-APW-3548</t>
  </si>
  <si>
    <t>13" Accessory Pocket, 9." Deep For 3.3"W Section Of Wide Consoles</t>
  </si>
  <si>
    <t>C-APW-1390</t>
  </si>
  <si>
    <t>12" Accessory Pocket, 5.8" Deep For 3.3"W Section Of Wide Consoles</t>
  </si>
  <si>
    <t>C-APW-1258</t>
  </si>
  <si>
    <t>7" Accessory Pocket, 4.4" Deep For 3.3"W Section Of Wide Consoles</t>
  </si>
  <si>
    <t>C-APW-0744-1</t>
  </si>
  <si>
    <t>2.5" Accessory Pocket, 4.25" Deep</t>
  </si>
  <si>
    <t>C-AP-2504-P</t>
  </si>
  <si>
    <t>13" Accessory Pocket W/Hinged Lid &amp; Lock, 9.5" Deep</t>
  </si>
  <si>
    <t>C-AP-1395-L</t>
  </si>
  <si>
    <t>12" Accessory Pocket W/Hinged Lid &amp; Lock, 4.5" Deep</t>
  </si>
  <si>
    <t>C-AP-1245-L</t>
  </si>
  <si>
    <t>9" Accessory Pocket W/Hinged Lid &amp; Lock, 4.5" Deep</t>
  </si>
  <si>
    <t>C-AP-0945-L</t>
  </si>
  <si>
    <t>9" Accessory Pocket, 4.5" Deep</t>
  </si>
  <si>
    <t>C-AP-0945</t>
  </si>
  <si>
    <t>6" Accessory Pocket W/Hinged Lid &amp; Lock, 9.5" Deep</t>
  </si>
  <si>
    <t>C-AP-0695-L</t>
  </si>
  <si>
    <t>6" Accessory Pocket W/Hinged Lid &amp; Lock, 4.5" Deep</t>
  </si>
  <si>
    <t>C-AP-0645-L</t>
  </si>
  <si>
    <t>6" Accessory Pocket, 4.5" Deep</t>
  </si>
  <si>
    <t>C-AP-0645-1</t>
  </si>
  <si>
    <t>6" Accessory Pocket W/Hinged Lid &amp; Lock, 2.5" Deep</t>
  </si>
  <si>
    <t>C-AP-0625-L</t>
  </si>
  <si>
    <t>6" Accessory Pocket, 2.5" Deep</t>
  </si>
  <si>
    <t>C-AP-0625-1</t>
  </si>
  <si>
    <t>3" Accessory Pocket W/Hinged Lid &amp; Lock, 2.5" Deep</t>
  </si>
  <si>
    <t>C-AP-0325-L</t>
  </si>
  <si>
    <t>3" Accessory Pocket, 2.5" Deep</t>
  </si>
  <si>
    <t>C-AP-0325-1</t>
  </si>
  <si>
    <t>2″ High Plate With AMPS Pattern Cutout</t>
  </si>
  <si>
    <t>C-AMPS-FP</t>
  </si>
  <si>
    <t>8" Accessory Holder for 3.3"W Section of Wide Consoles</t>
  </si>
  <si>
    <t>C-AHW-80</t>
  </si>
  <si>
    <t>4.5" Accessory Holder for 3.3"W Section of Wide Consoles</t>
  </si>
  <si>
    <t>C-AHW-45</t>
  </si>
  <si>
    <t>Console Accessory Bracket Kit With Accessory Holder &amp; Cutout For Relocating AWD Control Switch In C-VS-1500-DUR-2 Dodge Durango Console</t>
  </si>
  <si>
    <t>C-AH-AWD-DUR</t>
  </si>
  <si>
    <t>1.5" Accessory Holder with Switch/USB Cutout</t>
  </si>
  <si>
    <t>C-AH-15-PS1</t>
  </si>
  <si>
    <t>1.5" Accessory Holder</t>
  </si>
  <si>
    <t>C-AH-15</t>
  </si>
  <si>
    <t>Adapter Arm</t>
  </si>
  <si>
    <t>C-ADP-123</t>
  </si>
  <si>
    <t>MD-408 Backing Plate</t>
  </si>
  <si>
    <t>C-ADP-122</t>
  </si>
  <si>
    <t>Adapter Bracket For C-UMM-103 &amp; MD-ARM-XXXX</t>
  </si>
  <si>
    <t>C-ADP-121</t>
  </si>
  <si>
    <t>Keyboard Adapter For Havis Keyboard Mount (C-KBM-201)</t>
  </si>
  <si>
    <t>C-ADP-116</t>
  </si>
  <si>
    <t>Adapter Plate For Mounting A C-UMM Monitor Mount To A C-HDM-304</t>
  </si>
  <si>
    <t>C-ADP-114</t>
  </si>
  <si>
    <t>Adapter Plate For Mounting  VESA 75 To VESA 100 Device</t>
  </si>
  <si>
    <t>C-ADP-113</t>
  </si>
  <si>
    <t>Adapter Plate For Mounting Amps Device To VESA Device</t>
  </si>
  <si>
    <t>C-ADP-112</t>
  </si>
  <si>
    <t>Adapter Plate For Mounting Havis Docks or C-MD-200 Series To A C-UMM Series</t>
  </si>
  <si>
    <t>C-ADP-110</t>
  </si>
  <si>
    <t>Universal Adapter Plate</t>
  </si>
  <si>
    <t>C-ADP-101</t>
  </si>
  <si>
    <t>Universal Accessory Box 12.5″ Wide for Angled Series Work Truck Console, External Mount with Flip-Up Locking Lid</t>
  </si>
  <si>
    <t>C-AB-1210</t>
  </si>
  <si>
    <t>Keyboard Mounting Plate For Multi Devices</t>
  </si>
  <si>
    <t>C-3329-UNV</t>
  </si>
  <si>
    <t>30" Enclosed 10" High Console</t>
  </si>
  <si>
    <t>C-3010</t>
  </si>
  <si>
    <t xml:space="preserve">24" Enclosed 10" High Console </t>
  </si>
  <si>
    <t>C-2410</t>
  </si>
  <si>
    <t xml:space="preserve">18" Enclosed 10" High Console  </t>
  </si>
  <si>
    <t>C-1810</t>
  </si>
  <si>
    <t>18" Enclosed Console</t>
  </si>
  <si>
    <t>C-1800</t>
  </si>
  <si>
    <t>FlexiPole Drive Thru Handle for Payment Terminals</t>
  </si>
  <si>
    <t>ASSD0121A</t>
  </si>
  <si>
    <t>FlexiPole Contour Wall Mount Quick Release Stand for Payment Terminals with Device Specific Backplate</t>
  </si>
  <si>
    <t>ASSC0121</t>
  </si>
  <si>
    <t>FlexiPole Contour Wall Mount Locking Stand for Payment Terminals with Device Specific Backplate</t>
  </si>
  <si>
    <t>ASSB0121</t>
  </si>
  <si>
    <t>FlexiPole Compact Quick Release Stand for Ingenico Lane &amp; RX Series Payment Terminals</t>
  </si>
  <si>
    <t>ASS9U121A</t>
  </si>
  <si>
    <t>FlexiPole Stand for Equinox 6200m Payment Terminals</t>
  </si>
  <si>
    <t>ASS9E121</t>
  </si>
  <si>
    <t>FlexiPole Compact Counter Mount Quick Release Stand for Payment Terminals</t>
  </si>
  <si>
    <t>ASS90121A</t>
  </si>
  <si>
    <t>FlexiPole Compact Counter Mount Locking Stand for Payment Terminals</t>
  </si>
  <si>
    <t>ASS60121A</t>
  </si>
  <si>
    <t>FlexiPole Plus Stand for Ingenico Lane &amp; RX Series Payment Terminals</t>
  </si>
  <si>
    <t>ASS4U121</t>
  </si>
  <si>
    <t>FlexiPole Plus Counter Mount Quick Release Stand for Payment Terminals</t>
  </si>
  <si>
    <t>ASS40121</t>
  </si>
  <si>
    <t>FlexiPole Complete Counter Mount Quick Release Stand for Payment Terminals</t>
  </si>
  <si>
    <t>ASS30121</t>
  </si>
  <si>
    <t>FlexiPole Plus Counter Mount Locking Stand for Payment Terminals</t>
  </si>
  <si>
    <t>ASS20121</t>
  </si>
  <si>
    <t>FlexiPole Complete Counter Mount Locking Stand for Payment Terminals</t>
  </si>
  <si>
    <t>ASS10121</t>
  </si>
  <si>
    <t>Universal Driver &amp; Passenger Side Air Bag Control Switch</t>
  </si>
  <si>
    <t>AOI0024</t>
  </si>
  <si>
    <t>Heavy-Duty Electronic Quad-Pattern Alternating Flasher</t>
  </si>
  <si>
    <t>9860GCPE</t>
  </si>
  <si>
    <t>DC to DC Converter, 12V to 24V, 45 Amps</t>
  </si>
  <si>
    <t>91-45</t>
  </si>
  <si>
    <t>Vann-Guard™ Battery Equalizer with 24V to 12V DC Power, 80 Amp, High Temp, IP-67, Severe Service / Military</t>
  </si>
  <si>
    <t>71-80</t>
  </si>
  <si>
    <t>Vann-Guard™ Battery Equalizer with 24V to 12V DC Power, 60 Amp, High Temp, IP-67, Severe Service / Military</t>
  </si>
  <si>
    <t>71-60</t>
  </si>
  <si>
    <t>Vann-Guard™ Battery Equalizer with 24V to 12V DC Power, 100 Amp, High Temp, IP-67, Severe Service / Military</t>
  </si>
  <si>
    <t>71-100</t>
  </si>
  <si>
    <t>VANN-Guard™ Battery Equalizer 24V to 12V DC Power, 80 Amp with Monitor</t>
  </si>
  <si>
    <t>70-80M</t>
  </si>
  <si>
    <t>Vann-BUS Battery Equalizer 24V to 12V DC Power, 80 Amp w/ CanBUS and Monitor</t>
  </si>
  <si>
    <t>70-80CAN</t>
  </si>
  <si>
    <t>VANN-Guard 70 Series Battery Equalizer With 18 to 32 VDC Input &amp; 80 Amp Output</t>
  </si>
  <si>
    <t>70-80</t>
  </si>
  <si>
    <t>VANN-Guard™ Battery Equalizer 24V to 12V DC Power, 60 Amp with Monitor</t>
  </si>
  <si>
    <t>70-60M</t>
  </si>
  <si>
    <t>Vann-BUS Battery Equalizer 24V to 12V DC Power, 60 Amp w/ CanBUS and Monitor</t>
  </si>
  <si>
    <t>70-60CAN</t>
  </si>
  <si>
    <t>VANN-Guard 70 Series Battery Equalizer With 18 to 32 VDC Input &amp; 60 Amp Output</t>
  </si>
  <si>
    <t>70-60</t>
  </si>
  <si>
    <t>VANN-Guard™ Battery Equalizer 24V to 12V DC Power, 100 Amp with Monitor</t>
  </si>
  <si>
    <t>70-100M</t>
  </si>
  <si>
    <t>Vann-BUS Battery Equalizer 24V to 12V DC Power, 100 Amp w/ CanBUS and Monitor</t>
  </si>
  <si>
    <t>70-100CAN</t>
  </si>
  <si>
    <t>VANN-Guard 70 Series Battery Equalizer With 18 to 32 VDC Input &amp; 100 Amp Output</t>
  </si>
  <si>
    <t>70-100</t>
  </si>
  <si>
    <t>VoltMaster 66 Series Battery Equalizer With 20 to 32 VDC Input &amp; 80 Amp Output</t>
  </si>
  <si>
    <t>66-80</t>
  </si>
  <si>
    <t>VoltMaster 66 Series Battery Equalizer With 20 to 32 VDC Input &amp; 60 Amp Output</t>
  </si>
  <si>
    <t>66-60</t>
  </si>
  <si>
    <t>VoltMaster 66 Series Battery Equalizer With 20 to 32 VDC Input &amp; 100 Amp Output</t>
  </si>
  <si>
    <t>66-100</t>
  </si>
  <si>
    <t>75 Amp Schottky Dual Battery Isolator</t>
  </si>
  <si>
    <t>52-75</t>
  </si>
  <si>
    <t>140 Amp Schottky Dual Battery Isolator</t>
  </si>
  <si>
    <t>51-140</t>
  </si>
  <si>
    <t>140 Amp Silicon Dual Battery Isolator</t>
  </si>
  <si>
    <t>50-140</t>
  </si>
  <si>
    <t>Heavy-Duty Electronic Duo-Mode Alternating Flasher (Flash Rate: 75-80 Per Min)</t>
  </si>
  <si>
    <t>3860GCPE</t>
  </si>
  <si>
    <t>Heavy-Duty Electronic Duo-Mode Alternating Flasher (Flash Rate: 60 Per Min)</t>
  </si>
  <si>
    <t>3840GCPE</t>
  </si>
  <si>
    <t>367-6291</t>
  </si>
  <si>
    <t>Mobile Protect &amp; Go Case with Hand Strap for Castles S1E2L Mobile Payment Device</t>
  </si>
  <si>
    <t>367-6205</t>
  </si>
  <si>
    <t>Single-Bay Charger for Ingenico DX8000 Mobile Payment Device</t>
  </si>
  <si>
    <t>367-6199-1</t>
  </si>
  <si>
    <t>Lower Anti-Skimming Bracket for Ingenico Lane 7000 Payment Terminals</t>
  </si>
  <si>
    <t>367-6196</t>
  </si>
  <si>
    <t>Lower Anti-Skimming Bracket for Verifone M400 Payment Terminals</t>
  </si>
  <si>
    <t>367-6098</t>
  </si>
  <si>
    <t>Rear Locking Add-On Kit for Verifone M424 Payment Terminals</t>
  </si>
  <si>
    <t>367-6077</t>
  </si>
  <si>
    <t>Round Base Metal Locking Stand with EMV Card Clearance for Verifone M424 Payment Terminals</t>
  </si>
  <si>
    <t>367-6076</t>
  </si>
  <si>
    <t>Mobile Protect &amp; Go Case for Castles S1F2 Mobile Payment Device</t>
  </si>
  <si>
    <t>367-5922</t>
  </si>
  <si>
    <t>Round Base Metal Locking Stand for Ingenico Lane 8000 Payment Terminals</t>
  </si>
  <si>
    <t>367-5905</t>
  </si>
  <si>
    <t>Heavy Duty Display Stand with Hub Mounting Plate for HP Engage One Pro Fanless Hub</t>
  </si>
  <si>
    <t>367-5892</t>
  </si>
  <si>
    <t>Mobile Protect &amp; Go Case with Belt Clip for Ingenico EX8000 Mobile Payment Device</t>
  </si>
  <si>
    <t>367-5882</t>
  </si>
  <si>
    <t>Mobile Protect &amp; Go Case for Ingenico DX8000 Mobile Payment Device</t>
  </si>
  <si>
    <t>367-5876</t>
  </si>
  <si>
    <t>Hub Mounting Plate for DM-1000 Display Stand to HP Engage One Pro Fanless Hub</t>
  </si>
  <si>
    <t>367-5873-2</t>
  </si>
  <si>
    <t>Mobile Protect &amp; Go Case with Belt Clip for Ingenico Link 2500 Mobile Payment Device</t>
  </si>
  <si>
    <t>367-5820</t>
  </si>
  <si>
    <t>Lower Anti-Skimming Bracket for Verifone M440 &amp; M450 Payment Terminals</t>
  </si>
  <si>
    <t>367-5814</t>
  </si>
  <si>
    <t>Hardware Kit for ELO Monitor Attachment</t>
  </si>
  <si>
    <t>367-5813</t>
  </si>
  <si>
    <t>Mobile Protect &amp; Go Case for Pax A920 Pro Mobile Payment Device</t>
  </si>
  <si>
    <t>367-5777</t>
  </si>
  <si>
    <t>Free Standing Base for FlexiPole Plus Stand</t>
  </si>
  <si>
    <t>367-5766-RP</t>
  </si>
  <si>
    <t>Mobile Protect &amp; Go Case for Pax A920 Mobile Payment Device</t>
  </si>
  <si>
    <t>367-5763</t>
  </si>
  <si>
    <t>Mobile Protect &amp; Go Case with Belt Clip for Pax A77 Mobile Payment Device</t>
  </si>
  <si>
    <t>367-5702</t>
  </si>
  <si>
    <t>Scanner Mount for FlexiPole Complete and Plus Stands</t>
  </si>
  <si>
    <t>367-5686</t>
  </si>
  <si>
    <t>Round Base Metal Stand for Verifone M400 Payment Terminals</t>
  </si>
  <si>
    <t>367-5676</t>
  </si>
  <si>
    <t>Charging Adapter for the Mobile Protect &amp; Pair Sled for ZebraTC51/Ingenico Link 2500i Mobile Payment Devices</t>
  </si>
  <si>
    <t>367-5648</t>
  </si>
  <si>
    <t>Mobile Protect &amp; Go Case with Belt Clip for Verifone E285 Mobile Payment Device</t>
  </si>
  <si>
    <t>367-5611</t>
  </si>
  <si>
    <t>Round Base Metal Locking Stand for Ingenico Lane 7000 Payment Terminals</t>
  </si>
  <si>
    <t>367-5474</t>
  </si>
  <si>
    <t>Lower Anti-Skimming Bracket for Ingenico Lane 8000 Payment Terminals</t>
  </si>
  <si>
    <t>367-5438</t>
  </si>
  <si>
    <t>Mobile Protect &amp; Pair for Ingenico Link 2500i/Zebra TC5X Mobile Payment Devices</t>
  </si>
  <si>
    <t>367-5429</t>
  </si>
  <si>
    <t>Charging Adapter for the Mobile Protect &amp; Pair Sled for ZebraTC5X/Verifone e280 Mobile Payment Devices</t>
  </si>
  <si>
    <t>367-5315</t>
  </si>
  <si>
    <t>Mobile Protect &amp; Pair Case for ZebraTC5X/Verifone e280 Mobile Payment Devices</t>
  </si>
  <si>
    <t>367-5297</t>
  </si>
  <si>
    <t>Round Base Metal Locking Stand with EMV Card Clearance for Verifone M400 Payment Terminals</t>
  </si>
  <si>
    <t>367-5249</t>
  </si>
  <si>
    <t>Lower Anti-Skimming Bracket for Verifone MX915 Payment Terminals</t>
  </si>
  <si>
    <t>367-5220-BMS</t>
  </si>
  <si>
    <t>Rear Locking Add-on Kit for Verifone M440 Payment Terminals</t>
  </si>
  <si>
    <t>367-5123</t>
  </si>
  <si>
    <t>Lower Anti-Skimming Bracket for Verifone MX925 Payment Terminals</t>
  </si>
  <si>
    <t>367-5111</t>
  </si>
  <si>
    <t>Round Base Metal Stand with EMV Card Clearance for Ingenico Lane 5000 V2 Payment Terminals</t>
  </si>
  <si>
    <t>367-4984</t>
  </si>
  <si>
    <t>Round Base Metal Stand with EMV Card Clearance for Ingenico Lane 8000 Payment Terminals</t>
  </si>
  <si>
    <t>367-4977-8K</t>
  </si>
  <si>
    <t>Round Base Metal Stand with EMV Card Clearance for Ingenico Lane 3000, Lane 3600, &amp; 7000 Payment Terminals</t>
  </si>
  <si>
    <t>367-4977</t>
  </si>
  <si>
    <t>Wall Holder for Verifone P200 &amp; P400 Payment Terminals</t>
  </si>
  <si>
    <t>367-4874</t>
  </si>
  <si>
    <t>Single Wedge Base Stand for Verifone e285 Mobile Payment Devices</t>
  </si>
  <si>
    <t>367-4873-PLBL</t>
  </si>
  <si>
    <t>Charging Adapter for the Mobile Protect &amp; Pair Sled for ZebraTC5X/Verifone e285</t>
  </si>
  <si>
    <t>367-4862</t>
  </si>
  <si>
    <t>Mobile Protect &amp; Pair Sled for Zebra TC5X/Verifone e285</t>
  </si>
  <si>
    <t>367-4848</t>
  </si>
  <si>
    <t>7″ Metal Base Attachment with Rubber Pad for FlexiPole Stand</t>
  </si>
  <si>
    <t>367-4834-RP</t>
  </si>
  <si>
    <t>Monitor Wall Mount, Single Pivot, Quick release</t>
  </si>
  <si>
    <t>367-4783</t>
  </si>
  <si>
    <t>Under counter Mount for HP Engage One Connectivity Hub</t>
  </si>
  <si>
    <t>367-4715</t>
  </si>
  <si>
    <t>Telescoping Stand for Verifone M400 Payment Terminals</t>
  </si>
  <si>
    <t>367-4633</t>
  </si>
  <si>
    <t>Square Base Metal Stand for Verifone P200, P400, P630,VX805 &amp; VX820 Payment Terminals</t>
  </si>
  <si>
    <t>367-4620</t>
  </si>
  <si>
    <t>Rear Locking Add-on Kit for Verifone M400 Payment Terminals</t>
  </si>
  <si>
    <t>367-4617</t>
  </si>
  <si>
    <t>Round Base Metal Stand with EMV Card Clearance for Verifone M400 Payment Terminals</t>
  </si>
  <si>
    <t>367-4615</t>
  </si>
  <si>
    <t>Square Base Metal Stand with EMV Card Clearance for Ingenico Lane 3000, Lane 3600, &amp; 7000 Payment Terminals</t>
  </si>
  <si>
    <t>367-4567</t>
  </si>
  <si>
    <t>Hub Mounting Plate, for Display Stand to HP Engage Hub</t>
  </si>
  <si>
    <t>367-4557-2</t>
  </si>
  <si>
    <t>Telescoping Stand for Ingenico Lane 7000 Payment Terminals</t>
  </si>
  <si>
    <t>367-4532</t>
  </si>
  <si>
    <t>Charging Adapter for the Mobile Protect &amp; Pair for Zebra TC51/Verifone e355 Mobile Payment Devices</t>
  </si>
  <si>
    <t>367-4288</t>
  </si>
  <si>
    <t>Mobile Protect &amp; Pair for Zebra TC51/Verifone e355 Mobile Payment Devices</t>
  </si>
  <si>
    <t>367-4190</t>
  </si>
  <si>
    <t>Low Contour Stand for Equinox LUXE 8500i Payment Terminals</t>
  </si>
  <si>
    <t>367-4183</t>
  </si>
  <si>
    <t>TechTower Pre-Configuration, Grommet Base with 16″ Pole, Double Pivot Monitor Mount on Rotating Clamp</t>
  </si>
  <si>
    <t>367-4012-04</t>
  </si>
  <si>
    <t>TechTower Pre-Configuration, Grommet Base with 16″ Pole, Double Pivot Monitor Mount on Fixed Clamp</t>
  </si>
  <si>
    <t>367-4012-03</t>
  </si>
  <si>
    <t>Techtower, Monitor Mount, Double Pivot with Fixed Pole Clamp</t>
  </si>
  <si>
    <t>367-4008-21</t>
  </si>
  <si>
    <t>TechTower, Monitor Mount, Single Pivot with Rotating Pole Clamp</t>
  </si>
  <si>
    <t>367-4008-15</t>
  </si>
  <si>
    <t>TechTower, Monitor Mount, Single Pivot with Fixed Pole Clamp</t>
  </si>
  <si>
    <t>367-4008-11</t>
  </si>
  <si>
    <t>Techtower, Freestanding Base, 16″ Pole</t>
  </si>
  <si>
    <t>367-4005-30</t>
  </si>
  <si>
    <t>Techtower, Grommet Mount Base, 24″ Pole</t>
  </si>
  <si>
    <t>367-4005-11</t>
  </si>
  <si>
    <t>Techtower, Grommet Mount Base, 16″ Pole</t>
  </si>
  <si>
    <t>367-4005-10</t>
  </si>
  <si>
    <t>Round Base Metal Stand for Pax Px5 &amp; Px7 Payment Terminals</t>
  </si>
  <si>
    <t>367-3884</t>
  </si>
  <si>
    <t>Round Base Metal Stand for Pax S300 Payment Terminals</t>
  </si>
  <si>
    <t>367-3574</t>
  </si>
  <si>
    <t>Techtower, Printer Tray Arm with Fixed Pole Clamp, 5.63″ Wide X 6.50″ Deep</t>
  </si>
  <si>
    <t>367-3465</t>
  </si>
  <si>
    <t>Round Base Metal Stand with EMV Card Clearance for Verifone MX915/MX925/M424/M425/ M440/M450 Payment Terminals</t>
  </si>
  <si>
    <t>367-3213</t>
  </si>
  <si>
    <t>Techtower, Printer Tray Arm with Fixed Pole Clamp, 7.70″ Wide X 9.95″ Deep</t>
  </si>
  <si>
    <t>367-3161</t>
  </si>
  <si>
    <t>Rear Locking Add-On Kit for Verifone MX925 Payment Terminals</t>
  </si>
  <si>
    <t>367-3049</t>
  </si>
  <si>
    <t>Rear Locking Add-On Kit for Verifone MX915 Payment Terminals</t>
  </si>
  <si>
    <t>367-3048</t>
  </si>
  <si>
    <t>Round Base Metal Locking Stand for Verifone MX925 Payment Terminals</t>
  </si>
  <si>
    <t>367-3047</t>
  </si>
  <si>
    <t>Round Base Metal Locking Stand for Verifone MX915 Payment Terminals</t>
  </si>
  <si>
    <t>367-3046</t>
  </si>
  <si>
    <t>Square Base Metal Stand for Verifone MX915/MX925/M424/M425/ M440/M450 Payment Terminals</t>
  </si>
  <si>
    <t>367-2863</t>
  </si>
  <si>
    <t>Glue Pad System for Square Base Payment Terminal Stands</t>
  </si>
  <si>
    <t>367-2569</t>
  </si>
  <si>
    <t>Round Base Metal Stand for Verifone MX915/MX925/M424/M425/M440/ M450 and Pax Aries 6/8 Payment Terminals</t>
  </si>
  <si>
    <t>367-2481</t>
  </si>
  <si>
    <t>Wedge Stand for Verifone MX915/MX925/M424/M425/ M440/M450 Payment Terminals</t>
  </si>
  <si>
    <t>367-2439</t>
  </si>
  <si>
    <t>Telescoping Stand for Verifone MX915/MX925/M424/M425/ M440/M450 Payment Terminals</t>
  </si>
  <si>
    <t>367-2408</t>
  </si>
  <si>
    <t>Round Base Quick Release Metal Stand for Verifone MX915/MX925/M424/M425/ M440/M450 Payment Terminals</t>
  </si>
  <si>
    <t>367-2406</t>
  </si>
  <si>
    <t>Techtower, Payment Terminal Arm with Rotating Pole Clamp, for Havis Conversion Stands</t>
  </si>
  <si>
    <t>367-2009-40</t>
  </si>
  <si>
    <t>TechTower, Monitor Arm, 4″ Height Adjustable with Rotating Pole Clamp</t>
  </si>
  <si>
    <t>367-2008-45</t>
  </si>
  <si>
    <t>TechTower, Monitor Arm, 4″ Height Adjustable with Fixed Pole Clamp</t>
  </si>
  <si>
    <t>367-2008-40</t>
  </si>
  <si>
    <t>5/32″ Tamper Resistant Hex Key for Drill</t>
  </si>
  <si>
    <t>367-1102</t>
  </si>
  <si>
    <t>5/32″ Tamper Resistant Hex Key Tool</t>
  </si>
  <si>
    <t>367-1046</t>
  </si>
  <si>
    <t>7″ Base with Rubber Pad for Round Payment Terminal Stands</t>
  </si>
  <si>
    <t>367-0731-R</t>
  </si>
  <si>
    <t>7″ Metal Base with Glue Pad for Round Payment Terminal Stands</t>
  </si>
  <si>
    <t>367-0731-G</t>
  </si>
  <si>
    <t>Glue Pad System for Center Hole Round Base Payment Terminal Stands</t>
  </si>
  <si>
    <t>367-0683-R</t>
  </si>
  <si>
    <t>100 Amp High Power Electronic Alternating Flasher with Two Output Terminals</t>
  </si>
  <si>
    <t>3250GCPE</t>
  </si>
  <si>
    <t>120W DC Power Supply with a straight Panasonic connector</t>
  </si>
  <si>
    <t>120N-B01-S03-1</t>
  </si>
  <si>
    <t>120W DC Power Supply with a 90° Right Angle Panasonic connector</t>
  </si>
  <si>
    <t>120N-B01-R03-1</t>
  </si>
  <si>
    <t>120W DC Power Supply for Use with Dell Compatible Havis Docking Station, with Straight Threaded Connector</t>
  </si>
  <si>
    <t>120N-A01-T01-1</t>
  </si>
  <si>
    <t>MSRP Effective 09/08/2025</t>
  </si>
  <si>
    <t>Product Title</t>
  </si>
  <si>
    <t>Catalog No.</t>
  </si>
  <si>
    <t>EBB8SP3*/EB2SP</t>
  </si>
  <si>
    <t xml:space="preserve">R2LPPA </t>
  </si>
  <si>
    <t>IT9BBBBP</t>
  </si>
  <si>
    <t>BT9BBBBP</t>
  </si>
  <si>
    <t>ET9BBBBP</t>
  </si>
  <si>
    <t xml:space="preserve">GTT9****P </t>
  </si>
  <si>
    <t xml:space="preserve">BBB8/2BBBB </t>
  </si>
  <si>
    <t>EB8/2EEEE</t>
  </si>
  <si>
    <t>STRIP-LITE+ FLASHER WHITE</t>
  </si>
  <si>
    <t>TWIST-LOCK/SNAP-IN BRAKE BULB</t>
  </si>
  <si>
    <t>BRAKTL12</t>
  </si>
  <si>
    <t>TWIST-LOCK HALO. BULB 50W/12V</t>
  </si>
  <si>
    <t>H50TL12</t>
  </si>
  <si>
    <t>TWIST-LOCK HALO. BULB 35W/12V</t>
  </si>
  <si>
    <t>H35TL12</t>
  </si>
  <si>
    <t>TWIST-LOCK HALO. BULB 27W/12V</t>
  </si>
  <si>
    <t>H27TL12</t>
  </si>
  <si>
    <t>T/A REPLACEMENT HALO. BULB 20W</t>
  </si>
  <si>
    <t>TA20TL12</t>
  </si>
  <si>
    <t>TWIST LOCK STROBE TUBE</t>
  </si>
  <si>
    <t>S30TL</t>
  </si>
  <si>
    <t>HALOGEN BULB 50W/12V</t>
  </si>
  <si>
    <t>H50W12V</t>
  </si>
  <si>
    <t>HALOGEN BULB 35W/12V</t>
  </si>
  <si>
    <t>H35W12V</t>
  </si>
  <si>
    <t>HALOGEN BULB 27W/12V</t>
  </si>
  <si>
    <t>H27W12V</t>
  </si>
  <si>
    <t>HALOGEN BULB 20W/12V</t>
  </si>
  <si>
    <t>H20W12V</t>
  </si>
  <si>
    <t>REPLACEMENT SNAP-IN BRAKE/TAIL</t>
  </si>
  <si>
    <t>STOPSN12</t>
  </si>
  <si>
    <t>SNAP-IN HALO.BULB 60W/12V AXL.</t>
  </si>
  <si>
    <t>H60SN12</t>
  </si>
  <si>
    <t>SNAP-IN HALO.BULB 50W/12V AXL.</t>
  </si>
  <si>
    <t>H50ASN12</t>
  </si>
  <si>
    <t>SNAP-IN HALO.BULB 50W/12V HORZ</t>
  </si>
  <si>
    <t>H50SN12</t>
  </si>
  <si>
    <t>SNAP-IN HALO.BULB 35W/12V HORZ</t>
  </si>
  <si>
    <t>H35HSN12</t>
  </si>
  <si>
    <t>SNAP-IN HALO.BULB 35W/12V AXL.</t>
  </si>
  <si>
    <t>H35SN12</t>
  </si>
  <si>
    <t>SNAP-IN HALO. BULB 27W/12V</t>
  </si>
  <si>
    <t>H27SN12</t>
  </si>
  <si>
    <t>SNAP-IN HALO. BULB 20W/12V</t>
  </si>
  <si>
    <t>H20SN12</t>
  </si>
  <si>
    <t>T/L HALO. BULB 35W/12V WTRPRF</t>
  </si>
  <si>
    <t>H35TL12W</t>
  </si>
  <si>
    <t>REP.ULTRA CORNER STROBE MODULE</t>
  </si>
  <si>
    <t>9UTUBE</t>
  </si>
  <si>
    <t>REP. 7E/700 LINEAR STROBE ASSY</t>
  </si>
  <si>
    <t>7ELTUBE</t>
  </si>
  <si>
    <t>REPLACEMENT 6E LINEAR STROBE</t>
  </si>
  <si>
    <t>6ELTUBE</t>
  </si>
  <si>
    <t>508E STROBE/REFLECTOR, 4 SCREW</t>
  </si>
  <si>
    <t>58L4TUBE</t>
  </si>
  <si>
    <t>REPLACEMENT 500 LINEAR STROBE</t>
  </si>
  <si>
    <t>500LTUBE</t>
  </si>
  <si>
    <t>T/L HALO. BULB 35W/14W/12V</t>
  </si>
  <si>
    <t>H35DTL12</t>
  </si>
  <si>
    <t>H1 HALO. BULB 55W/12V</t>
  </si>
  <si>
    <t>H55H112</t>
  </si>
  <si>
    <t>SNAP-IN HALO.BULB 35W/24V AXL.</t>
  </si>
  <si>
    <t>H35SN24</t>
  </si>
  <si>
    <t>SNAP-IN HALO. BULB 35W/14W/12V</t>
  </si>
  <si>
    <t>H35DSN12</t>
  </si>
  <si>
    <t>54" LIBERTY LENS RETROFIT LR11</t>
  </si>
  <si>
    <t>SLENLR54</t>
  </si>
  <si>
    <t>48" LIBERTY LENS RETROFIT LR11</t>
  </si>
  <si>
    <t>SLENLR48</t>
  </si>
  <si>
    <t>54" LIBERTY LENS RETROFIT KIT</t>
  </si>
  <si>
    <t>SLENKT54</t>
  </si>
  <si>
    <t>48" LIBERTY LENS RETROFIT KIT</t>
  </si>
  <si>
    <t>SLENKT48</t>
  </si>
  <si>
    <t>MINI CENTURY 16" GREEN MAG MT</t>
  </si>
  <si>
    <t>MC16MCG</t>
  </si>
  <si>
    <t>RESPONDER LP LIN6/6 A/G PERM</t>
  </si>
  <si>
    <t>RDLPPAG</t>
  </si>
  <si>
    <t>RESPONDER LP 500 LIN6 GRN PERM</t>
  </si>
  <si>
    <t>R2LPHPG</t>
  </si>
  <si>
    <t>VXE TRIO DIRECTIONAL RGW/SMK</t>
  </si>
  <si>
    <t>VX3RGCX</t>
  </si>
  <si>
    <t>VXE TRIO DIRECTIONAL RBG/SMK</t>
  </si>
  <si>
    <t>VX3RBGX</t>
  </si>
  <si>
    <t>VXE TRIO DIRECTIONAL RBW/SMK</t>
  </si>
  <si>
    <t>VX3RBCX</t>
  </si>
  <si>
    <t>VXE TRIO DIRECTIONAL RBA/SMK</t>
  </si>
  <si>
    <t>VX3RBAX</t>
  </si>
  <si>
    <t>VXE TRIO DIRECTIONAL RAG/SMK</t>
  </si>
  <si>
    <t>VX3RAGX</t>
  </si>
  <si>
    <t>VXE TRIO DIRECTIONAL RAW/SMK</t>
  </si>
  <si>
    <t>VX3RACX</t>
  </si>
  <si>
    <t>VXE TRIO DIRECTIONAL GAW/SMK</t>
  </si>
  <si>
    <t>VX3GACX</t>
  </si>
  <si>
    <t>VXE TRIO DIRECTIONAL BGW/SMK</t>
  </si>
  <si>
    <t>VX3BGCX</t>
  </si>
  <si>
    <t>VXE TRIO DIRECTIONAL BAG/SMK</t>
  </si>
  <si>
    <t>VX3BAGX</t>
  </si>
  <si>
    <t>VXE TRIO DIRECTIONAL BAW/SMK</t>
  </si>
  <si>
    <t>VX3BACX</t>
  </si>
  <si>
    <t>VXE DUO DIRECTIONAL LT B-A/SMK</t>
  </si>
  <si>
    <t>VX2MX</t>
  </si>
  <si>
    <t>VXE DUO DIRECTIONAL LT R-G/SMK</t>
  </si>
  <si>
    <t>VX2LX</t>
  </si>
  <si>
    <t>VXE DUO DIRECTIONAL LT R-A/SMK</t>
  </si>
  <si>
    <t>VX2KX</t>
  </si>
  <si>
    <t>VXE DUO DIRECTIONAL LT R-B/WMK</t>
  </si>
  <si>
    <t>VX2JX</t>
  </si>
  <si>
    <t>VXE DUO DIRECTIONAL LT G-W/SMK</t>
  </si>
  <si>
    <t>VX2HX</t>
  </si>
  <si>
    <t>VXE DUO DIRECTIONAL LT A-W/SMK</t>
  </si>
  <si>
    <t>VX2FX</t>
  </si>
  <si>
    <t>VXE DUO DIRECTIONAL LT B-W/SMK</t>
  </si>
  <si>
    <t>VX2EX</t>
  </si>
  <si>
    <t>VXE DUO DIRECTIONAL LT R-W/SMK</t>
  </si>
  <si>
    <t>VX2DX</t>
  </si>
  <si>
    <t>VXE TRIO DIRECTIONAL LT R/G/W</t>
  </si>
  <si>
    <t>VX3RGC</t>
  </si>
  <si>
    <t>VXE TRIO DIRECTIONAL LT R/B/G</t>
  </si>
  <si>
    <t>VX3RBG</t>
  </si>
  <si>
    <t>VXE TRIO DIRECTIONAL LT R/B/W</t>
  </si>
  <si>
    <t>VX3RBC</t>
  </si>
  <si>
    <t>VXE TRIO DIRECTIONAL LT R/B/A</t>
  </si>
  <si>
    <t>VX3RBA</t>
  </si>
  <si>
    <t>VXE TRIO DIRECTIONAL LT R/A/G</t>
  </si>
  <si>
    <t>VX3RAG</t>
  </si>
  <si>
    <t>VXE TRIO DIRECTIONAL LT R/A/W</t>
  </si>
  <si>
    <t>VX3RAC</t>
  </si>
  <si>
    <t>VXE TRIO DIRECTIONAL LT G/A/W</t>
  </si>
  <si>
    <t>VX3GAC</t>
  </si>
  <si>
    <t>VXE TRIO DIRECTIONAL LT B/G/W</t>
  </si>
  <si>
    <t>VX3BGC</t>
  </si>
  <si>
    <t>VXE TRIO DIRECTIONAL LT B/A/G</t>
  </si>
  <si>
    <t>VX3BAG</t>
  </si>
  <si>
    <t>VXE TRIO DIRECTIONAL LT B/A/W</t>
  </si>
  <si>
    <t>VX3BAC</t>
  </si>
  <si>
    <t>VXE DUO DIRECTIONAL LT BLU/AMB</t>
  </si>
  <si>
    <t>VX2M</t>
  </si>
  <si>
    <t>VXE DUO DIRECTIONAL LT RED/GRN</t>
  </si>
  <si>
    <t>VX2L</t>
  </si>
  <si>
    <t>VXE DUO DIRECTIONAL LT RED/AMB</t>
  </si>
  <si>
    <t>VX2K</t>
  </si>
  <si>
    <t>VXE DUO DIRECTIONAL LT RED/BLU</t>
  </si>
  <si>
    <t>VX2J</t>
  </si>
  <si>
    <t>VXE DUO DIRECTIONAL LT GRN/WHT</t>
  </si>
  <si>
    <t>VX2H</t>
  </si>
  <si>
    <t>VXE DUO DIRECTIONAL LT AMB/WHT</t>
  </si>
  <si>
    <t>VX2F</t>
  </si>
  <si>
    <t>VXE DUO DIRECTIONAL LT BLU/WHT</t>
  </si>
  <si>
    <t>VX2E</t>
  </si>
  <si>
    <t>VXE DUO DIRECTIONAL LT RED/WHT</t>
  </si>
  <si>
    <t>VX2D</t>
  </si>
  <si>
    <t>DIRECTIONAL VERTEX LIGHT GREEN</t>
  </si>
  <si>
    <t>VTXD609G</t>
  </si>
  <si>
    <t>VERTEX SUPER-LED LIGHT GREEN</t>
  </si>
  <si>
    <t>VTX609G</t>
  </si>
  <si>
    <t>TIR3 HORIZ. SYNC. GRN.</t>
  </si>
  <si>
    <t>RSG03ZCR</t>
  </si>
  <si>
    <t>LINEAR3 LED HORIZ. SYNC. GREEN</t>
  </si>
  <si>
    <t>RSG02ZCR</t>
  </si>
  <si>
    <t>STUD MOUNT MICRON AMB/GRN</t>
  </si>
  <si>
    <t>MCRNTP</t>
  </si>
  <si>
    <t>STUD MOUNT MICRON GREEN</t>
  </si>
  <si>
    <t>MCRNTG</t>
  </si>
  <si>
    <t>SURFACE MT MICRON A/G BLACK</t>
  </si>
  <si>
    <t>MCRNSP</t>
  </si>
  <si>
    <t>SURFACE MT MICRON GREEN BLACK</t>
  </si>
  <si>
    <t>MCRNSG</t>
  </si>
  <si>
    <t>M9 LED FLASHER GREEN</t>
  </si>
  <si>
    <t>M9G</t>
  </si>
  <si>
    <t>M7 LED FLASHER GREEN</t>
  </si>
  <si>
    <t>M7G</t>
  </si>
  <si>
    <t>M6 LED FLASHER GREEN/RED</t>
  </si>
  <si>
    <t>M6L</t>
  </si>
  <si>
    <t>M6 LED FLASHER GRN W/CLR LENS</t>
  </si>
  <si>
    <t>M6GC</t>
  </si>
  <si>
    <t>M6 LED FLASHER GREEN</t>
  </si>
  <si>
    <t>M6G</t>
  </si>
  <si>
    <t>M4 LED FLASHER GREEN/RED</t>
  </si>
  <si>
    <t>M4L</t>
  </si>
  <si>
    <t>M4 LED FLASHER GREEN</t>
  </si>
  <si>
    <t>M4G</t>
  </si>
  <si>
    <t>LINZ6 LED HORIZ SYNC GREEN</t>
  </si>
  <si>
    <t>LINZ6G</t>
  </si>
  <si>
    <t>SURFACE MT LINZ V-SERIES GREEN</t>
  </si>
  <si>
    <t>LINSV2G</t>
  </si>
  <si>
    <t>LINZ V-SERIES LIGHT GREEN</t>
  </si>
  <si>
    <t>LINV2G</t>
  </si>
  <si>
    <t>ION T-SERIES LINEAR DUO A/G</t>
  </si>
  <si>
    <t>TLI2P</t>
  </si>
  <si>
    <t>SURFACE MT ION LT GREEN</t>
  </si>
  <si>
    <t>IONSMG</t>
  </si>
  <si>
    <t>ION LIGHT GREEN</t>
  </si>
  <si>
    <t>IONG</t>
  </si>
  <si>
    <t>DUO LINEAR ION AMBER/GREEN BLK</t>
  </si>
  <si>
    <t>I2P</t>
  </si>
  <si>
    <t>DUO LINEAR ION RED/GREEN BLK</t>
  </si>
  <si>
    <t>I2L</t>
  </si>
  <si>
    <t>700 LIN.SUPER-LED FLASH GREEN</t>
  </si>
  <si>
    <t>70G02FGR</t>
  </si>
  <si>
    <t>600 LIN.SUPER-LED FLASH GREEN</t>
  </si>
  <si>
    <t>60G02FGR</t>
  </si>
  <si>
    <t>600 LIN.SUPER-LED FLASH GRN/CL</t>
  </si>
  <si>
    <t>60G02FCR</t>
  </si>
  <si>
    <t>500 V-SERIES WARNING LT GREEN</t>
  </si>
  <si>
    <t>5V1G</t>
  </si>
  <si>
    <t>500 LIN LED FLASH A/G CLR LENS</t>
  </si>
  <si>
    <t>50AG2ZCR</t>
  </si>
  <si>
    <t>500 LINEAR LED FLASHER GREEN</t>
  </si>
  <si>
    <t>50G02ZGR</t>
  </si>
  <si>
    <t>500 LIN.LED FLASH.GRN.CLR LENS</t>
  </si>
  <si>
    <t>50G02ZCR</t>
  </si>
  <si>
    <t>400 LINEAR TIR LED SYNC. GRN.</t>
  </si>
  <si>
    <t>40G02ZGR</t>
  </si>
  <si>
    <t>400 LINEAR TIR LED SYNC. G/C</t>
  </si>
  <si>
    <t>40G02ZCR</t>
  </si>
  <si>
    <t>4" EXTD. SYNC SUPER-LED AG/C</t>
  </si>
  <si>
    <t>2EP00ZCR</t>
  </si>
  <si>
    <t>4" EXTD. SYNC SUPER-LED GRN</t>
  </si>
  <si>
    <t>2EG00ZGR</t>
  </si>
  <si>
    <t>LED MARKER/CLEARNCE GRN CHROME</t>
  </si>
  <si>
    <t>0SG00MCR</t>
  </si>
  <si>
    <t>L21 12V GRN/CLR LOW POLY PERM</t>
  </si>
  <si>
    <t>L21L4P</t>
  </si>
  <si>
    <t>L32 SUPER-LED, VAC MT. GREEN</t>
  </si>
  <si>
    <t>L32LGV</t>
  </si>
  <si>
    <t>L32 SUPER-LED, MAG. MT. GREEN</t>
  </si>
  <si>
    <t>L32LGM</t>
  </si>
  <si>
    <t>L32 SUPER-LED, FLAT MT. GREEN</t>
  </si>
  <si>
    <t>L32LGF</t>
  </si>
  <si>
    <t>L32 SUPER-LED, FLAT MT GRN/CLR</t>
  </si>
  <si>
    <t>L32L4F</t>
  </si>
  <si>
    <t>L31 SUPER-LED FLAT MT. AMB/GRN</t>
  </si>
  <si>
    <t>L31HPF</t>
  </si>
  <si>
    <t>L31 SUPER-LED FLAT MT. GREEN</t>
  </si>
  <si>
    <t>L31HGF</t>
  </si>
  <si>
    <t>LIBERTYII +2 3LED ALLEY LT 24V</t>
  </si>
  <si>
    <t>IA34</t>
  </si>
  <si>
    <t>LIBERTY2 +1 SHORT 6LED RED 24V</t>
  </si>
  <si>
    <t>IWDSR4</t>
  </si>
  <si>
    <t>LIBERTY2 +1 SHORT 6LED BLU 24V</t>
  </si>
  <si>
    <t>IWDSB4</t>
  </si>
  <si>
    <t>LIBERTY2 +1 SHORT 6LED AMB 24V</t>
  </si>
  <si>
    <t>IWDSA4</t>
  </si>
  <si>
    <t>LIBERTYII +1 LONG 6LED RED 24V</t>
  </si>
  <si>
    <t>IWDLR4</t>
  </si>
  <si>
    <t>LIBERTYII +1 LONG 6LED WHT 24V</t>
  </si>
  <si>
    <t>IWDLC4</t>
  </si>
  <si>
    <t>LIBERTYII +1 LONG 6LED BLU 24V</t>
  </si>
  <si>
    <t>IWDLB4</t>
  </si>
  <si>
    <t>LIBERTYII +1 LONG 6LED AMB 24V</t>
  </si>
  <si>
    <t>IWDLA4</t>
  </si>
  <si>
    <t>LIBERTY II LC 54" R/R/R/R 24V</t>
  </si>
  <si>
    <t>IX2RRRR4</t>
  </si>
  <si>
    <t>LIBERTY II LC 54" B/R/B/R 24V</t>
  </si>
  <si>
    <t>IX2BRBR4</t>
  </si>
  <si>
    <t>LIBERTY II LC 54" A/A/A/A 24V</t>
  </si>
  <si>
    <t>IX2AAAA4</t>
  </si>
  <si>
    <t>LIBERTY II LC 48" R/R/R/R 24V</t>
  </si>
  <si>
    <t>IX8RRRR4</t>
  </si>
  <si>
    <t>LIBERTY II LC 48" B/R/B/R 24V</t>
  </si>
  <si>
    <t>IX8BRBR4</t>
  </si>
  <si>
    <t>FREEDOM4 +1 LONG 12LED RED 24V</t>
  </si>
  <si>
    <t>F4DLR4</t>
  </si>
  <si>
    <t>FREEDOM4 +1 LONG 12LED AMB 24V</t>
  </si>
  <si>
    <t>F4DLA4</t>
  </si>
  <si>
    <t>MINI FREEDOM IV 24V RRRR PERM</t>
  </si>
  <si>
    <t>F4M5555P</t>
  </si>
  <si>
    <t>MINI FREEDOM IV 24V AAAA PERM</t>
  </si>
  <si>
    <t>F4M1111P</t>
  </si>
  <si>
    <t>RESPONDER LP LIN6 RED PERM 24V</t>
  </si>
  <si>
    <t>R2LPPR4</t>
  </si>
  <si>
    <t>RESPONDER LP LIN6 BLU PERM 24V</t>
  </si>
  <si>
    <t>R2LPPB4</t>
  </si>
  <si>
    <t>RESPONDER LP LIN6 AMB PERM 24V</t>
  </si>
  <si>
    <t>R2LPPA4</t>
  </si>
  <si>
    <t>SIREN AMP W/HAND-HELD CTRL 24V</t>
  </si>
  <si>
    <t>HHS3400</t>
  </si>
  <si>
    <t>LOW FREQ. TONE SIREN SYS 24V</t>
  </si>
  <si>
    <t>HOWL24</t>
  </si>
  <si>
    <t>CENCOM CORE REMOTE SIREN 24V</t>
  </si>
  <si>
    <t>C399S24</t>
  </si>
  <si>
    <t>295SL102 SIREN AMPLIFIER 24V</t>
  </si>
  <si>
    <t>295SL102</t>
  </si>
  <si>
    <t>BETA124R 200 WATT 24VDC</t>
  </si>
  <si>
    <t>BETA124R</t>
  </si>
  <si>
    <t>ALPHA SL 24V REMOVE SIREN</t>
  </si>
  <si>
    <t>ALPHASL4</t>
  </si>
  <si>
    <t>ALPHA SELF-CONTAINED SIREN 24V</t>
  </si>
  <si>
    <t>ALPHA24S</t>
  </si>
  <si>
    <t>STRIP-LITE+ COMPARTMENT HI 24V</t>
  </si>
  <si>
    <t>PSCOMPH4</t>
  </si>
  <si>
    <t>VERTEX SUPER-LED LT RED 24V</t>
  </si>
  <si>
    <t>VTX609R4</t>
  </si>
  <si>
    <t>VERTEX SUPER-LED LT WHITE 24V</t>
  </si>
  <si>
    <t>VTX609C4</t>
  </si>
  <si>
    <t>VERTEX SUPER-LED LT BLUE 24V</t>
  </si>
  <si>
    <t>VTX609B4</t>
  </si>
  <si>
    <t>VERTEX SUPER-LED LT AMBER 24V</t>
  </si>
  <si>
    <t>VTX609A4</t>
  </si>
  <si>
    <t>12LED FLOOD PEDESTAL CHROM 24V</t>
  </si>
  <si>
    <t>PFBP12C4</t>
  </si>
  <si>
    <t>PCH24 POLE/PED MT WHT W/SWITCH</t>
  </si>
  <si>
    <t>PCH24P1</t>
  </si>
  <si>
    <t>PCH2 POLE/PED MT WHT W/O SW</t>
  </si>
  <si>
    <t>PCH24P</t>
  </si>
  <si>
    <t>PIONEER+ DUAL COMBO 24V WHT</t>
  </si>
  <si>
    <t>PCH24</t>
  </si>
  <si>
    <t>PCH14 POLE/PED MT WHT W/SWITCH</t>
  </si>
  <si>
    <t>PCH14P1</t>
  </si>
  <si>
    <t>PCH14 POLE/PED MT WHT W/O SW</t>
  </si>
  <si>
    <t>PCH14P</t>
  </si>
  <si>
    <t>PFH14 POLE/PED MT WHT W/O SW</t>
  </si>
  <si>
    <t>PFH1P04</t>
  </si>
  <si>
    <t>PIONEER+ SINGLE COMBO 24V WHT</t>
  </si>
  <si>
    <t>PCH14</t>
  </si>
  <si>
    <t>PIONEER+ DUAL FLOOD 24V WHT</t>
  </si>
  <si>
    <t>PFH24</t>
  </si>
  <si>
    <t>PIONEER+ SINGLE FLOOD 24V WHT</t>
  </si>
  <si>
    <t>PFH14</t>
  </si>
  <si>
    <t>PERIMETER ENHANCEMENT LT YEL</t>
  </si>
  <si>
    <t>PEL2Y</t>
  </si>
  <si>
    <t>PERIMETER ENHANCEMENT LT RED</t>
  </si>
  <si>
    <t>PEL2R</t>
  </si>
  <si>
    <t>PERIMETER ENHANCEMENT LT WHT</t>
  </si>
  <si>
    <t>PEL2W</t>
  </si>
  <si>
    <t>ASS'Y, PERIMETER LIGHT BLACK</t>
  </si>
  <si>
    <t>PEL2B</t>
  </si>
  <si>
    <t>PERIMETER ENHANCEMENT LT CHRM</t>
  </si>
  <si>
    <t>PEL2C</t>
  </si>
  <si>
    <t>MICRO PIONEER RECESS 24V WHT</t>
  </si>
  <si>
    <t>MPR4W</t>
  </si>
  <si>
    <t>MICRO PIONEER LP PED MT 24V WH</t>
  </si>
  <si>
    <t>MPP4W</t>
  </si>
  <si>
    <t>MICRO PIONEER BAIL MT 24V WHT</t>
  </si>
  <si>
    <t>MPB4W</t>
  </si>
  <si>
    <t>MICRO PIONEER BAIL MT 24V BLK</t>
  </si>
  <si>
    <t>MPB4B</t>
  </si>
  <si>
    <t>NANO-6 PIONEER BAIL MT 24V BLK</t>
  </si>
  <si>
    <t>NP6B4B</t>
  </si>
  <si>
    <t>NANO-6 PIONEER BAIL MT 24V WHT</t>
  </si>
  <si>
    <t>NP6B4W</t>
  </si>
  <si>
    <t>SURFACE MT MICRON WHT BLK 24V</t>
  </si>
  <si>
    <t>MCRNSC4</t>
  </si>
  <si>
    <t>SURFACE MT MICRON AMB BLK 24V</t>
  </si>
  <si>
    <t>MCRNSA4</t>
  </si>
  <si>
    <t>M9 LED BACK-UP LIGHT</t>
  </si>
  <si>
    <t>M92BU</t>
  </si>
  <si>
    <t>M9 LED TURN AMBER</t>
  </si>
  <si>
    <t>M92T</t>
  </si>
  <si>
    <t>M9 LED BRAKE/TIAL/TURN RED</t>
  </si>
  <si>
    <t>M92BTT</t>
  </si>
  <si>
    <t>M9 EZ SCENELIGHT 24V CHROME</t>
  </si>
  <si>
    <t>M92SLC4</t>
  </si>
  <si>
    <t>M9 V-SERIES LIGHT RED 24V</t>
  </si>
  <si>
    <t>M9V2R4B</t>
  </si>
  <si>
    <t>M9 V-SERIES LIGHT BLUE 24V</t>
  </si>
  <si>
    <t>M9V2B4B</t>
  </si>
  <si>
    <t>M9V2R4C</t>
  </si>
  <si>
    <t>M9V2B4C</t>
  </si>
  <si>
    <t>M9 LED FLASHER RED 24V</t>
  </si>
  <si>
    <t>M9R24</t>
  </si>
  <si>
    <t>M9 LED FLASHER WHITE 24V</t>
  </si>
  <si>
    <t>M9C24</t>
  </si>
  <si>
    <t>M9 LED FLASHER BLUE 24V</t>
  </si>
  <si>
    <t>M9B24</t>
  </si>
  <si>
    <t>M9 LED FLASHER AMBER 24V</t>
  </si>
  <si>
    <t>M9A24</t>
  </si>
  <si>
    <t>M7 LED SCENE LIGHT 24V</t>
  </si>
  <si>
    <t>M7ZC24</t>
  </si>
  <si>
    <t>M7 LED FLASHER RED 24V</t>
  </si>
  <si>
    <t>M7R24</t>
  </si>
  <si>
    <t>M7 LED FLASHER WHITE 24V</t>
  </si>
  <si>
    <t>M7C24</t>
  </si>
  <si>
    <t>M7 LED FLASHER BLUE 24V</t>
  </si>
  <si>
    <t>M7B24</t>
  </si>
  <si>
    <t>M7 LED FLASHER AMBER 24V</t>
  </si>
  <si>
    <t>M7A24</t>
  </si>
  <si>
    <t>M6 LED BACK-UP LIGHT</t>
  </si>
  <si>
    <t>M62BU</t>
  </si>
  <si>
    <t>M6 LED TURN AMBER</t>
  </si>
  <si>
    <t>M62T</t>
  </si>
  <si>
    <t>M6 LED BRAKE/TAIL/TURN RED</t>
  </si>
  <si>
    <t>M62BTT</t>
  </si>
  <si>
    <t>M6 V-SERIES LIGHT RED 24V</t>
  </si>
  <si>
    <t>M6V2R4</t>
  </si>
  <si>
    <t>M6 V-SERIES LIGHT BLUE 24V</t>
  </si>
  <si>
    <t>M6V2B4</t>
  </si>
  <si>
    <t>M6 V-SERIES LIGHT AMBER 24V</t>
  </si>
  <si>
    <t>M6V2A4</t>
  </si>
  <si>
    <t>M6 LED FLASHER RED/CLR 24V</t>
  </si>
  <si>
    <t>M6RC24</t>
  </si>
  <si>
    <t>M6 LED FLASHER GRN/CLR 24V</t>
  </si>
  <si>
    <t>M6GC24</t>
  </si>
  <si>
    <t>M6 LED FLASHER BLU/CLR 24V</t>
  </si>
  <si>
    <t>M6BC24</t>
  </si>
  <si>
    <t>M6 LED FLASHER AMB/CLR 24V</t>
  </si>
  <si>
    <t>M6AC24</t>
  </si>
  <si>
    <t>M6 LED FLASHER RED 24V</t>
  </si>
  <si>
    <t>M6R24</t>
  </si>
  <si>
    <t>M6 LED FLASHER WHITE 24V</t>
  </si>
  <si>
    <t>M6C24</t>
  </si>
  <si>
    <t>M6 LED FLASHER BLUE 24V</t>
  </si>
  <si>
    <t>M6B24</t>
  </si>
  <si>
    <t>M6 LED FLASHER AMBER 24V</t>
  </si>
  <si>
    <t>M6A24</t>
  </si>
  <si>
    <t>M4 LED FLASHER RED 24V</t>
  </si>
  <si>
    <t>M4R24</t>
  </si>
  <si>
    <t>M4 LED FLASHER WHITE 24V</t>
  </si>
  <si>
    <t>M4C24</t>
  </si>
  <si>
    <t>M4 LED FLASHER BLUE 24V</t>
  </si>
  <si>
    <t>M4B24</t>
  </si>
  <si>
    <t>M4 LED FLASHER AMBER 24V</t>
  </si>
  <si>
    <t>M4A24</t>
  </si>
  <si>
    <t>NFPA M2 LED FLASHER RED 24V</t>
  </si>
  <si>
    <t>M2WRC24</t>
  </si>
  <si>
    <t>NFPA M2 LED FLASHER BLU 24V</t>
  </si>
  <si>
    <t>M2WBC24</t>
  </si>
  <si>
    <t>M2WR24</t>
  </si>
  <si>
    <t>NFPA M2 LED FLASHER WHITE 24V</t>
  </si>
  <si>
    <t>M2WC24</t>
  </si>
  <si>
    <t>NFPA M2 LED FLASHER BLUE 24V</t>
  </si>
  <si>
    <t>M2WB24</t>
  </si>
  <si>
    <t>NFPA M2 LED FLASHER AMBER 24V</t>
  </si>
  <si>
    <t>M2WA24</t>
  </si>
  <si>
    <t>M2 LED FLASHER RED 24V</t>
  </si>
  <si>
    <t>M2R24</t>
  </si>
  <si>
    <t>M2 LED FLASHER GREEN 24V</t>
  </si>
  <si>
    <t>M2G24</t>
  </si>
  <si>
    <t>M2 LED FLASHER WHITE 24V</t>
  </si>
  <si>
    <t>M2C24</t>
  </si>
  <si>
    <t>M2 LED FLASHER BLUE 24V</t>
  </si>
  <si>
    <t>M2B24</t>
  </si>
  <si>
    <t>M2 LED FLASHER AMBER 24V</t>
  </si>
  <si>
    <t>M2A24</t>
  </si>
  <si>
    <t>LINZ6 LED HORIZ SYNC RED 24V</t>
  </si>
  <si>
    <t>LINZ6R24</t>
  </si>
  <si>
    <t>LINZ6 LED HORIZ SYNC GRN 24V</t>
  </si>
  <si>
    <t>LINZ6G24</t>
  </si>
  <si>
    <t>LINZ6 LED HORIZ SYNC WHT 24V</t>
  </si>
  <si>
    <t>LINZ6C24</t>
  </si>
  <si>
    <t>LINZ6 LED HORIZ SYNC BLU 24V</t>
  </si>
  <si>
    <t>LINZ6B24</t>
  </si>
  <si>
    <t>LINZ6 LED HORIZ SYNC AMB 24V</t>
  </si>
  <si>
    <t>LINZ6A24</t>
  </si>
  <si>
    <t>NFPA SURFACE MT ION LT RED 24V</t>
  </si>
  <si>
    <t>WIONSMR4</t>
  </si>
  <si>
    <t>NFPA SURFACE MT ION LT WHT 24V</t>
  </si>
  <si>
    <t>WIONSMC4</t>
  </si>
  <si>
    <t>NFPA SURFACE MT ION LT BLU 24V</t>
  </si>
  <si>
    <t>WIONSMB4</t>
  </si>
  <si>
    <t>NFPA SURFACE MT ION LT AMB 24V</t>
  </si>
  <si>
    <t>WIONSMA4</t>
  </si>
  <si>
    <t>24V SURFACE MT ION LT RED</t>
  </si>
  <si>
    <t>IONSMR4</t>
  </si>
  <si>
    <t>24V SURFACE MT ION LT WHITE</t>
  </si>
  <si>
    <t>IONSMC4</t>
  </si>
  <si>
    <t>24V SURFACE MT ION LT BLUE</t>
  </si>
  <si>
    <t>IONSMB4</t>
  </si>
  <si>
    <t>24V SURFACE MT ION LT AMBER</t>
  </si>
  <si>
    <t>IONSMA4</t>
  </si>
  <si>
    <t>900 FLUSH MT LED SCENE LT 24V</t>
  </si>
  <si>
    <t>9SU0ENZR</t>
  </si>
  <si>
    <t>900 EZ SCENELIGHT 24V CHROME</t>
  </si>
  <si>
    <t>904SLC4</t>
  </si>
  <si>
    <t>700 SERIES LED SCENE LIGHT 24V</t>
  </si>
  <si>
    <t>7SU0ENZR</t>
  </si>
  <si>
    <t>6" RND LED INTERIOR LIGHT 24V</t>
  </si>
  <si>
    <t>60U0EHCR</t>
  </si>
  <si>
    <t>500 TIR6 LED SYNC RED/RED 24V</t>
  </si>
  <si>
    <t>50W03ZRR</t>
  </si>
  <si>
    <t>500 TIR6 LED SYNC BLU/BLU 24V</t>
  </si>
  <si>
    <t>50T03ZBR</t>
  </si>
  <si>
    <t>500 TIR6 LED SYNC AMB/AMB 24V</t>
  </si>
  <si>
    <t>50S03ZAR</t>
  </si>
  <si>
    <t>24V 3" ROUND FLASHER RED</t>
  </si>
  <si>
    <t>3SW00FRR</t>
  </si>
  <si>
    <t>24V 3" ROUND FLASHER AMBER</t>
  </si>
  <si>
    <t>3SS00FAR</t>
  </si>
  <si>
    <t>24V 3" ROUND FLASHER WHITE</t>
  </si>
  <si>
    <t>3SU00FCR</t>
  </si>
  <si>
    <t>OVAL ILLUMINATION WHT CHRM 24V</t>
  </si>
  <si>
    <t>0SU0EDCR</t>
  </si>
  <si>
    <t>L10 24V AMB/AMB LOW POLY PERM</t>
  </si>
  <si>
    <t>L10LAP4</t>
  </si>
  <si>
    <t>L10 24V AMB/AMB HIGH POLY PERM</t>
  </si>
  <si>
    <t>L10HAP4</t>
  </si>
  <si>
    <t>L22 24V LED BEACON RED/COMBO</t>
  </si>
  <si>
    <t>L22LRP4</t>
  </si>
  <si>
    <t>L22 24V LED BEACON BLUE/COMBO</t>
  </si>
  <si>
    <t>L22LBP4</t>
  </si>
  <si>
    <t>L22 24V LED BEACON AMBER/COMBO</t>
  </si>
  <si>
    <t>L22LAP4</t>
  </si>
  <si>
    <t>L22HRP4</t>
  </si>
  <si>
    <t>L22 24V LED BEACON WHITE/COMBO</t>
  </si>
  <si>
    <t>L22HCP4</t>
  </si>
  <si>
    <t>L22HBP4</t>
  </si>
  <si>
    <t>L22HAP4</t>
  </si>
  <si>
    <t>L21 24V AMB/AMB LOW POLY PERM</t>
  </si>
  <si>
    <t>L21LAP4</t>
  </si>
  <si>
    <t>L21 24V AMB/AMB HIGH POLY PERM</t>
  </si>
  <si>
    <t>L21HAP4</t>
  </si>
  <si>
    <t>L32 SUPER-LED FLAT MT. RED 24V</t>
  </si>
  <si>
    <t>L32LRF4</t>
  </si>
  <si>
    <t>L32 SUPER-LED FLAT MT. BLU.24V</t>
  </si>
  <si>
    <t>L32LBF4</t>
  </si>
  <si>
    <t>L32 SUPER-LED FLAT MT. AMB.24V</t>
  </si>
  <si>
    <t>L32LAF4</t>
  </si>
  <si>
    <t>L31 SUPER-LED FLAT MT. RED 24V</t>
  </si>
  <si>
    <t>L31HRF4</t>
  </si>
  <si>
    <t>L31 SUPER-LED FLAT MT. GRN 24V</t>
  </si>
  <si>
    <t>L31HGF4</t>
  </si>
  <si>
    <t>L31 SUPER-LED FLAT MT. WHT.24V</t>
  </si>
  <si>
    <t>L31HCF4</t>
  </si>
  <si>
    <t>L31 SUPER-LED FLAT MT. BLU.24V</t>
  </si>
  <si>
    <t>L31HBF4</t>
  </si>
  <si>
    <t>L31 SUPER-LED FLAT MT. AMB.24V</t>
  </si>
  <si>
    <t>L31HAF4</t>
  </si>
  <si>
    <t>LO-PRO LIGHTBAR MOUNT KIT #29</t>
  </si>
  <si>
    <t>MKLP29</t>
  </si>
  <si>
    <t>LO-PRO LIGHTBAR MOUNT KIT #7</t>
  </si>
  <si>
    <t>MKLP7</t>
  </si>
  <si>
    <t>LO-PRO LIGHTBAR MOUNT KIT #104</t>
  </si>
  <si>
    <t>MKLP104</t>
  </si>
  <si>
    <t>LO-PRO LIGHTBAR MT KIT 108 BLK</t>
  </si>
  <si>
    <t>MBLP108</t>
  </si>
  <si>
    <t>LO-PRO LIGHTBAR MOUNT KIT #108</t>
  </si>
  <si>
    <t>MKLP108</t>
  </si>
  <si>
    <t>LO-PRO LIGHTBAR MOUNT KIT #88</t>
  </si>
  <si>
    <t>MKLP88</t>
  </si>
  <si>
    <t>LO-PRO LIGHTBAR MOUNT KIT #38</t>
  </si>
  <si>
    <t>MKLP38</t>
  </si>
  <si>
    <t>LO-PRO LIGHTBAR MOUNT KIT #86</t>
  </si>
  <si>
    <t>MKLP86</t>
  </si>
  <si>
    <t>LO-PRO LIGHTBAR MOUNT KIT #102</t>
  </si>
  <si>
    <t>MKLP102</t>
  </si>
  <si>
    <t>LOPRO LIGHTBAR MT KIT 82 BLACK</t>
  </si>
  <si>
    <t>MBLP82</t>
  </si>
  <si>
    <t>LO-PRO LIGHTBAR MOUNT KIT #82</t>
  </si>
  <si>
    <t>MKLP82</t>
  </si>
  <si>
    <t>LO-PRO LIGHTBAR MOUNT KIT #93</t>
  </si>
  <si>
    <t>MKLP93</t>
  </si>
  <si>
    <t>LO-PRO LIGHTBAR MOUNT KIT #91</t>
  </si>
  <si>
    <t>MKLP91</t>
  </si>
  <si>
    <t>LO-PRO LIGHTBAR MOUNT KIT #110</t>
  </si>
  <si>
    <t>MKLP110</t>
  </si>
  <si>
    <t>LO-PRO LIGHTBAR MOUNT KIT #95</t>
  </si>
  <si>
    <t>MKLP95</t>
  </si>
  <si>
    <t>LO-PRO LIGHTBAR MT KIT 111 BLK</t>
  </si>
  <si>
    <t>MBLP111</t>
  </si>
  <si>
    <t>LO-PRO LIGHTBAR MOUNT KIT #111</t>
  </si>
  <si>
    <t>MKLP111</t>
  </si>
  <si>
    <t>REPLACEMENT MOUNT KIT 8H, PAIR</t>
  </si>
  <si>
    <t>RMK8H</t>
  </si>
  <si>
    <t>REPLACEMENT MOUNT KIT 20SP (3)</t>
  </si>
  <si>
    <t>RMK20SP</t>
  </si>
  <si>
    <t>REPLACEMENT MOUNT KIT 9SP PAIR</t>
  </si>
  <si>
    <t>RMK9SP</t>
  </si>
  <si>
    <t>REPLACEMENT MOUNT KIT 20S (3)</t>
  </si>
  <si>
    <t>RMK20S</t>
  </si>
  <si>
    <t>REPLACEMENT MOUNT KIT 9S, PAIR</t>
  </si>
  <si>
    <t>RMK9S</t>
  </si>
  <si>
    <t>REPLACEMENT E-Z MOUNT KIT #7</t>
  </si>
  <si>
    <t>RMKEZ7</t>
  </si>
  <si>
    <t>REPLACEMENT E-L MOUNT KIT #29</t>
  </si>
  <si>
    <t>RMKEL29</t>
  </si>
  <si>
    <t>REPLACEMENT EXT ADJ MT KIT #29</t>
  </si>
  <si>
    <t>RMKEA29</t>
  </si>
  <si>
    <t>REPLACEMENT E-Z MOUNT KIT #29</t>
  </si>
  <si>
    <t>RMKEZ29</t>
  </si>
  <si>
    <t>HEAVY DUTY SS ADJ MTG FOOT HI</t>
  </si>
  <si>
    <t>MK7SS4</t>
  </si>
  <si>
    <t>HEAVY DUTY SS ADJ MTG FOOT LOW</t>
  </si>
  <si>
    <t>MK7SS2</t>
  </si>
  <si>
    <t>EXT LENGTH LIGHTBAR MT KIT #29</t>
  </si>
  <si>
    <t>MKEL29</t>
  </si>
  <si>
    <t>EXTENDED ADJ MOUNT KIT #29</t>
  </si>
  <si>
    <t>MKEA29</t>
  </si>
  <si>
    <t>E-Z LIGHTBAR MOUNT KIT #29</t>
  </si>
  <si>
    <t>MKEZ29</t>
  </si>
  <si>
    <t>MNT KIT 20 SLIDE BOLT PLASTIC</t>
  </si>
  <si>
    <t>MK20SP</t>
  </si>
  <si>
    <t>MOUNT KIT 9 SLIDE BOLT PLASTIC</t>
  </si>
  <si>
    <t>MK9SP</t>
  </si>
  <si>
    <t>MOUNT KIT 20 SLIDE BOLT (3)</t>
  </si>
  <si>
    <t>MK20S</t>
  </si>
  <si>
    <t>MOUNT KIT 9; SLIDE BOLT</t>
  </si>
  <si>
    <t>MK9S</t>
  </si>
  <si>
    <t>MOUNT KIT #8 , 5" HIGH  (PAIR)</t>
  </si>
  <si>
    <t>MK8H</t>
  </si>
  <si>
    <t>ADJ LIGHTBAR MOUNT KIT #7</t>
  </si>
  <si>
    <t>MKAJ7</t>
  </si>
  <si>
    <t>E-Z LIGHTBAR MOUNT KIT #7</t>
  </si>
  <si>
    <t>MKEZ7</t>
  </si>
  <si>
    <t>ADJ LIGHTBAR MOUNT KIT #104</t>
  </si>
  <si>
    <t>MKAJ104</t>
  </si>
  <si>
    <t>E-Z LIGHTBAR MOUNT KIT #104</t>
  </si>
  <si>
    <t>MKEZ104</t>
  </si>
  <si>
    <t>E-Z LIGHTBAR MOUNT KIT #83</t>
  </si>
  <si>
    <t>MKEZ83</t>
  </si>
  <si>
    <t>EXT LGTH LTBAR MT KIT #105 BK</t>
  </si>
  <si>
    <t>MBEL105</t>
  </si>
  <si>
    <t>EXT LENGTH LTBAR MT KIT #105</t>
  </si>
  <si>
    <t>MKEL105</t>
  </si>
  <si>
    <t>ADJ LIGHTBAR MT KIT #105 BLACK</t>
  </si>
  <si>
    <t>MBAJ105</t>
  </si>
  <si>
    <t>ADJ LIGHTBAR MOUNT KIT #105</t>
  </si>
  <si>
    <t>MKAJ105</t>
  </si>
  <si>
    <t>E-Z LIGHTBAR MT KIT #105 BLACK</t>
  </si>
  <si>
    <t>MBEZ105</t>
  </si>
  <si>
    <t>E-Z LIGHTBAR MOUNT KIT #105</t>
  </si>
  <si>
    <t>MKEZ105</t>
  </si>
  <si>
    <t>ADJ LIGHTBAR MOUNT KIT #109</t>
  </si>
  <si>
    <t>MKAJ109</t>
  </si>
  <si>
    <t>E-Z LIGHTBAR MOUNT KIT #109</t>
  </si>
  <si>
    <t>MKEZ109</t>
  </si>
  <si>
    <t>E-Z LIGHTBAR MT KIT #108 BLACK</t>
  </si>
  <si>
    <t>MBEZ108</t>
  </si>
  <si>
    <t>E-Z LIGHTBAR MOUNT KIT #108</t>
  </si>
  <si>
    <t>MKEZ108</t>
  </si>
  <si>
    <t>E-Z LIGHTBAR MOUNT KIT #88</t>
  </si>
  <si>
    <t>MKEZ88</t>
  </si>
  <si>
    <t>E-Z LIGHTBAR MOUNT KIT 38 LONG</t>
  </si>
  <si>
    <t>MKEZ38L</t>
  </si>
  <si>
    <t>E-Z LIGHTBAR MOUNT KIT #38</t>
  </si>
  <si>
    <t>MKEZ38</t>
  </si>
  <si>
    <t>EXT LENGTH LTBAR MT KIT #94 BK</t>
  </si>
  <si>
    <t>MBEL94</t>
  </si>
  <si>
    <t>EXT LENGTH LIGHTBAR MT KIT #94</t>
  </si>
  <si>
    <t>MKEL94</t>
  </si>
  <si>
    <t>ADJ LIGHTBAR MOUNT KIT #94 BLK</t>
  </si>
  <si>
    <t>MBAJ94</t>
  </si>
  <si>
    <t>ADJ LIGHTBAR MOUNT KIT #94</t>
  </si>
  <si>
    <t>MKAJ94</t>
  </si>
  <si>
    <t>E-Z LIGHTBAR MOUNT KIT #94 BLK</t>
  </si>
  <si>
    <t>MBEZ94</t>
  </si>
  <si>
    <t>E-Z LIGHTBAR MOUNT KIT #94</t>
  </si>
  <si>
    <t>MKEZ94</t>
  </si>
  <si>
    <t>EXTENDED ADJ MOUNT KIT #94</t>
  </si>
  <si>
    <t>MKEA94</t>
  </si>
  <si>
    <t>ADJ LIGHTBAR MOUNT KIT #98</t>
  </si>
  <si>
    <t>MKAJ98</t>
  </si>
  <si>
    <t>E-Z LIGHTBAR MOUNT KIT #98</t>
  </si>
  <si>
    <t>MKEZ98</t>
  </si>
  <si>
    <t>E-Z LIGHTBAR MOUNT KIT #89</t>
  </si>
  <si>
    <t>MKEZ89</t>
  </si>
  <si>
    <t>E-Z LIGHTBAR MOUNT KIT #107</t>
  </si>
  <si>
    <t>MKEZ107</t>
  </si>
  <si>
    <t>E-Z LIGHTBAR MOUNT KIT #102</t>
  </si>
  <si>
    <t>MKEZ102</t>
  </si>
  <si>
    <t>E-Z LIGHTBAR MOUNT KIT #86</t>
  </si>
  <si>
    <t>MKEZ86</t>
  </si>
  <si>
    <t>ADJ LIGHTBAR MOUNT KIT #62</t>
  </si>
  <si>
    <t>MKAJ62</t>
  </si>
  <si>
    <t>E-Z LIGHTBAR MOUNT KIT #62</t>
  </si>
  <si>
    <t>MKEZ62</t>
  </si>
  <si>
    <t>ADJ LIGHTBAR MT KIT #85 BLACK</t>
  </si>
  <si>
    <t>MBAJ85</t>
  </si>
  <si>
    <t>ADJ LIGHTBAR MOUNT KIT #85</t>
  </si>
  <si>
    <t>MKAJ85</t>
  </si>
  <si>
    <t>E-Z LIGHTBAR MT KIT #85 BLACK</t>
  </si>
  <si>
    <t>MBEZ85</t>
  </si>
  <si>
    <t>E-Z LIGHTBAR MOUNT KIT #85</t>
  </si>
  <si>
    <t>MKEZ85</t>
  </si>
  <si>
    <t>E-Z LIGHTBAR MT KIT #82 BLACK</t>
  </si>
  <si>
    <t>MBEZ82</t>
  </si>
  <si>
    <t>E-Z LIGHTBAR MOUNT KIT #82</t>
  </si>
  <si>
    <t>MKEZ82</t>
  </si>
  <si>
    <t>E-Z LIGHTBAR MOUNT KIT #69</t>
  </si>
  <si>
    <t>MKEZ69</t>
  </si>
  <si>
    <t>ADJ LIGHTBAR MT KIT #101 BLACK</t>
  </si>
  <si>
    <t>MBAJ101</t>
  </si>
  <si>
    <t>ADJ LIGHTBAR MOUNT KIT #101</t>
  </si>
  <si>
    <t>MKAJ101</t>
  </si>
  <si>
    <t>E-Z LIGHTBAR MT KIT #101 BLACK</t>
  </si>
  <si>
    <t>MBEZ101</t>
  </si>
  <si>
    <t>E-Z LIGHTBAR MOUNT KIT #101</t>
  </si>
  <si>
    <t>MKEZ101</t>
  </si>
  <si>
    <t>E-Z LIGHTBAR MOUNT KIT #93</t>
  </si>
  <si>
    <t>MKEZ93</t>
  </si>
  <si>
    <t>E-Z LIGHTBAR MOUNT KIT #91</t>
  </si>
  <si>
    <t>MKEZ91</t>
  </si>
  <si>
    <t>E-Z LIGHTBAR MOUNT KIT #45</t>
  </si>
  <si>
    <t>MKEZ45</t>
  </si>
  <si>
    <t>ADJ LIGHTBAR MOUNT KIT #110</t>
  </si>
  <si>
    <t>MKAJ110</t>
  </si>
  <si>
    <t>E-Z LIGHTBAR MOUNT KIT #110</t>
  </si>
  <si>
    <t>MKEZ110</t>
  </si>
  <si>
    <t>E-Z LIGHTBAR MOUNT KIT #96</t>
  </si>
  <si>
    <t>MKEZ96</t>
  </si>
  <si>
    <t>E-Z LIGHTBAR MOUNT KIT #95</t>
  </si>
  <si>
    <t>MKEZ95</t>
  </si>
  <si>
    <t>ADJ LIGHTBAR MT KIT #111 BLACK</t>
  </si>
  <si>
    <t>MBAJ111</t>
  </si>
  <si>
    <t>ADJ LIGHTBAR MOUNT KIT #111</t>
  </si>
  <si>
    <t>MKAJ111</t>
  </si>
  <si>
    <t>E-Z LIGHTBAR MT KIT #111 BLACK</t>
  </si>
  <si>
    <t>MBEZ111</t>
  </si>
  <si>
    <t>E-Z LIGHTBAR MOUNT KIT #111</t>
  </si>
  <si>
    <t>MKEZ111</t>
  </si>
  <si>
    <t>12-LT SOLO IE FST 2021 TRANSIT</t>
  </si>
  <si>
    <t>IX55STK</t>
  </si>
  <si>
    <t>12-LT SOLO IE FST 2020 TRANSIT</t>
  </si>
  <si>
    <t>IX52STK</t>
  </si>
  <si>
    <t>TRANSIT REAR HSGS D&amp;P PAIR</t>
  </si>
  <si>
    <t>TPTI5W</t>
  </si>
  <si>
    <t>TRANSIT SIDE HSGS REAR D&amp;P PR</t>
  </si>
  <si>
    <t>TPTI4RW</t>
  </si>
  <si>
    <t>TRANSIT SIDE HSGS FRONT D&amp;P PR</t>
  </si>
  <si>
    <t>TPTI4FW</t>
  </si>
  <si>
    <t>TRANSIT FENDER MT BRACKET PAIR</t>
  </si>
  <si>
    <t>TPTI3W</t>
  </si>
  <si>
    <t>TRANSIT GRILLE MT BRACKET 2 PR</t>
  </si>
  <si>
    <t>TPTI1B4</t>
  </si>
  <si>
    <t>TRANSIT GRILLE MT BRACKET PAIR</t>
  </si>
  <si>
    <t>TPTI1B2</t>
  </si>
  <si>
    <t>CUSTOM TRANSIT PACKAGE 0</t>
  </si>
  <si>
    <t>TP00WC</t>
  </si>
  <si>
    <t>TRANSIT PACKAGE 4 WHITE HSGS</t>
  </si>
  <si>
    <t>TP04W</t>
  </si>
  <si>
    <t>TRANSIT PACKAGE 2 WHITE HSGS</t>
  </si>
  <si>
    <t>TP02W</t>
  </si>
  <si>
    <t>TRANSIT PACKAGE 0 WHITE HSGS</t>
  </si>
  <si>
    <t>TP00W</t>
  </si>
  <si>
    <t>12-LT SOLO LC IE FST SPRINTER</t>
  </si>
  <si>
    <t>IX58STK</t>
  </si>
  <si>
    <t>SPRINTER SIDE HSGS REAR D&amp;P PR</t>
  </si>
  <si>
    <t>MSTI4RW</t>
  </si>
  <si>
    <t>SPRINTER SIDE HSG FRONT D&amp;P PR</t>
  </si>
  <si>
    <t>MSTI4FW</t>
  </si>
  <si>
    <t>SPRINTER FENDER/GRILLE MT PAIR</t>
  </si>
  <si>
    <t>MSTI2B2</t>
  </si>
  <si>
    <t>CUSTOM SPRINTER PACKAGE 1</t>
  </si>
  <si>
    <t>MS01WC</t>
  </si>
  <si>
    <t>SPRINTER PACKAGE 3 WHITE HSGS</t>
  </si>
  <si>
    <t>MS03W</t>
  </si>
  <si>
    <t>SPRINTER PACKAGE 1 WHITE HSGS</t>
  </si>
  <si>
    <t>MS01W</t>
  </si>
  <si>
    <t>SUB 55' CABLES FOR STD 15'</t>
  </si>
  <si>
    <t>SWX4C55G</t>
  </si>
  <si>
    <t>SUB 45' CABLES FOR STD 15'</t>
  </si>
  <si>
    <t>SWX4C45G</t>
  </si>
  <si>
    <t>SUB 35' CABLES FOR STD 15'</t>
  </si>
  <si>
    <t>SWX4C35G</t>
  </si>
  <si>
    <t>SUB 25' CABLES FOR STD 15'</t>
  </si>
  <si>
    <t>SWX4C25G</t>
  </si>
  <si>
    <t>SWX2C55G</t>
  </si>
  <si>
    <t>SWX2C45G</t>
  </si>
  <si>
    <t>SWX2C35G</t>
  </si>
  <si>
    <t>SWX2C25G</t>
  </si>
  <si>
    <t>SWX4C55</t>
  </si>
  <si>
    <t>SWX4C45</t>
  </si>
  <si>
    <t>SWX4C35</t>
  </si>
  <si>
    <t>SWX4C25</t>
  </si>
  <si>
    <t>SWX2C55</t>
  </si>
  <si>
    <t>SWX2C45</t>
  </si>
  <si>
    <t>SUB. 35' CABLES FOR STD 15'</t>
  </si>
  <si>
    <t>SWX2C35</t>
  </si>
  <si>
    <t>SUB. 25' CABLES FOR STD 15'</t>
  </si>
  <si>
    <t>SWX2C25</t>
  </si>
  <si>
    <t>CORE CONTROL POINT</t>
  </si>
  <si>
    <t>CCP</t>
  </si>
  <si>
    <t>OPT + 1 LEFT ANGLE ENDCAP 60"+</t>
  </si>
  <si>
    <t>22LECA2</t>
  </si>
  <si>
    <t>OPT ADD 1 RT ANGLE ENDCAP 60"+</t>
  </si>
  <si>
    <t>22RECA2</t>
  </si>
  <si>
    <t>OPT ADD 1 LEFT ANGLED ENDCAP</t>
  </si>
  <si>
    <t>22LECA</t>
  </si>
  <si>
    <t>OPT ADD 1 RIGHT ANGLED ENDCAP</t>
  </si>
  <si>
    <t>22RECA</t>
  </si>
  <si>
    <t>16-LIGHT 82" FLAT WCX 2250</t>
  </si>
  <si>
    <t>WX2280F</t>
  </si>
  <si>
    <t>16-LIGHT 80" ANGLED WCX 2250</t>
  </si>
  <si>
    <t>WX2280</t>
  </si>
  <si>
    <t>15-LIGHT FLAT/ANGLED WCX 2250</t>
  </si>
  <si>
    <t>WX2275FA</t>
  </si>
  <si>
    <t>15-LIGHT ANGLED/FLAT WCX 2250</t>
  </si>
  <si>
    <t>WX2275AF</t>
  </si>
  <si>
    <t>14-LIGHT 72" FLAT WCX 2250</t>
  </si>
  <si>
    <t>WX2270F</t>
  </si>
  <si>
    <t>14-LIGHT 70" ANGLED WCX 2250</t>
  </si>
  <si>
    <t>WX2270</t>
  </si>
  <si>
    <t>13-LIGHT FLAT/ANGLED WCX 2250</t>
  </si>
  <si>
    <t>WX2265FA</t>
  </si>
  <si>
    <t>13-LIGHT ANGLED/FLAT WCX 2250</t>
  </si>
  <si>
    <t>WX2265AF</t>
  </si>
  <si>
    <t>12-LIGHT 62" FLAT WCS 2250</t>
  </si>
  <si>
    <t>WX2260F</t>
  </si>
  <si>
    <t>12-LIGHT 60" ANGLED WCX 2250</t>
  </si>
  <si>
    <t>WX2260</t>
  </si>
  <si>
    <t>11-LIGHT FLAT/ANGLED WCX 2250</t>
  </si>
  <si>
    <t>WX2255FA</t>
  </si>
  <si>
    <t>11-LIGHT ANGLED/FLAT WCX 2250</t>
  </si>
  <si>
    <t>WX2255AF</t>
  </si>
  <si>
    <t>10-LIGHT 52" FLAT WCX 2250</t>
  </si>
  <si>
    <t>WX2250F</t>
  </si>
  <si>
    <t>10-LIGHT 50" ANGLED WCX 2250</t>
  </si>
  <si>
    <t>WX2250</t>
  </si>
  <si>
    <t>9-LIGHT FLAT/ANGLED WCX 2250</t>
  </si>
  <si>
    <t>WX2245FA</t>
  </si>
  <si>
    <t>9-LIGHT ANGLED/FLAT WCX 2250</t>
  </si>
  <si>
    <t>WX2245AF</t>
  </si>
  <si>
    <t>8-LIGHT 42" FLAT WCX 2250</t>
  </si>
  <si>
    <t>WX2240F</t>
  </si>
  <si>
    <t>8-LIGHT 40" ANGLED WCX-2250</t>
  </si>
  <si>
    <t>WX2240</t>
  </si>
  <si>
    <t>7-LIGHT FLAT/ANGLED WCX 2250</t>
  </si>
  <si>
    <t>WX2235FA</t>
  </si>
  <si>
    <t>7-LIGHT ANGLED/FLAT WCX 2250</t>
  </si>
  <si>
    <t>WX2235AF</t>
  </si>
  <si>
    <t>6-LIGHT 32" FLAT WCX 2250</t>
  </si>
  <si>
    <t>WX2230F</t>
  </si>
  <si>
    <t>6-LIGHT 30" ANGLED WCX 2250</t>
  </si>
  <si>
    <t>WX2230</t>
  </si>
  <si>
    <t>5-LIGHT FLAT/ANGLED WCX 2250</t>
  </si>
  <si>
    <t>WX2225FA</t>
  </si>
  <si>
    <t>5-LIGHT ANGLED/FLAT WCX 2250</t>
  </si>
  <si>
    <t>WX2225AF</t>
  </si>
  <si>
    <t>4-LIGHT 22" FLAT WCX 2250</t>
  </si>
  <si>
    <t>WX2220F</t>
  </si>
  <si>
    <t>GTT 795H LED EMITTER</t>
  </si>
  <si>
    <t>4500 OPT. ADD 1 ANGLED STROBE</t>
  </si>
  <si>
    <t>45ADDAST</t>
  </si>
  <si>
    <t>4500 OPT. ADD ONE-700 STROBE</t>
  </si>
  <si>
    <t>45ADDSTR</t>
  </si>
  <si>
    <t>4500 OPT. ADD ONE-700 HALOGEN</t>
  </si>
  <si>
    <t>45ADDHAL</t>
  </si>
  <si>
    <t>4500 OPT. ADD LR11 LOAD LIGHTS</t>
  </si>
  <si>
    <t>45LRLOAD</t>
  </si>
  <si>
    <t>INTERIOR KKK REAR HALO. PKG.</t>
  </si>
  <si>
    <t>45KRH</t>
  </si>
  <si>
    <t>INTERIOR KKK FRONT HALO. PKG.</t>
  </si>
  <si>
    <t>45KFH</t>
  </si>
  <si>
    <t>OPT.4500 ADD INBOARD FLASHER</t>
  </si>
  <si>
    <t>45LFLASH</t>
  </si>
  <si>
    <t>4500 OPT ADD 1-700 STEADY RED</t>
  </si>
  <si>
    <t>45ADLS8R</t>
  </si>
  <si>
    <t>4500 OPT ADD 1-700 STEADY WHT</t>
  </si>
  <si>
    <t>45ADLS8C</t>
  </si>
  <si>
    <t>4500 OPT ADD 1-700 STEADY BLU</t>
  </si>
  <si>
    <t>45ADLS8B</t>
  </si>
  <si>
    <t>4500 OPT ADD 1-700 STEADY AMB</t>
  </si>
  <si>
    <t>45ADLS8A</t>
  </si>
  <si>
    <t>4500 OPT ADD 1-700 LIN.LED RED</t>
  </si>
  <si>
    <t>45ADL8R</t>
  </si>
  <si>
    <t>4500 OPT ADD 1-700 LIN.LED GRN</t>
  </si>
  <si>
    <t>45ADL8G</t>
  </si>
  <si>
    <t>4500 OPT ADD 1-700 LIN.LED WHT</t>
  </si>
  <si>
    <t>45ADL8C</t>
  </si>
  <si>
    <t>4500 OPT ADD 1-700 LIN.LED BLU</t>
  </si>
  <si>
    <t>45ADL8B</t>
  </si>
  <si>
    <t>4500 OPT ADD 1-700 LIN.LED AMB</t>
  </si>
  <si>
    <t>45ADL8A</t>
  </si>
  <si>
    <t>OPT.4500 ADD 1-400 LINEAR RED</t>
  </si>
  <si>
    <t>45FLR</t>
  </si>
  <si>
    <t>OPT.4500 ADD 1-400 LINEAR GRN.</t>
  </si>
  <si>
    <t>45FLG</t>
  </si>
  <si>
    <t>OPT.4500 ADD 1-400 LINEAR WHT.</t>
  </si>
  <si>
    <t>45FLC</t>
  </si>
  <si>
    <t>OPT.4500 ADD 1-400 LINEAR BLU.</t>
  </si>
  <si>
    <t>45FLB</t>
  </si>
  <si>
    <t>OPT.4500 ADD 1-400 LINEAR AMB.</t>
  </si>
  <si>
    <t>45FLA</t>
  </si>
  <si>
    <t>4500 OPT. ADD RED LED ROTATOR</t>
  </si>
  <si>
    <t>45ADRBR</t>
  </si>
  <si>
    <t>4500 OPT. ADD WHT LED ROTATOR</t>
  </si>
  <si>
    <t>45ADRBC</t>
  </si>
  <si>
    <t>4500 OPT. ADD BLU LED ROTATOR</t>
  </si>
  <si>
    <t>45ADRBB</t>
  </si>
  <si>
    <t>4500 OPT. ADD AMB LED ROTATOR</t>
  </si>
  <si>
    <t>45ADRBA</t>
  </si>
  <si>
    <t>4500 OPT ADD 1 CORNER LED RED</t>
  </si>
  <si>
    <t>45CLR</t>
  </si>
  <si>
    <t>4500 OPT ADD 1 CORNER LED GRN</t>
  </si>
  <si>
    <t>45CLG</t>
  </si>
  <si>
    <t>4500 OPT ADD 1 CORNER LED WHT.</t>
  </si>
  <si>
    <t>45CLC</t>
  </si>
  <si>
    <t>4500 OPT ADD 1 CORNER LED BLU.</t>
  </si>
  <si>
    <t>45CLB</t>
  </si>
  <si>
    <t>4500 OPT ADD 1 CORNER LED AMB.</t>
  </si>
  <si>
    <t>45CLA</t>
  </si>
  <si>
    <t>INTERIOR KKK REAR LED PKG.</t>
  </si>
  <si>
    <t>45KRL</t>
  </si>
  <si>
    <t>INTERIOR KKK FRONT LED PKG.</t>
  </si>
  <si>
    <t>45KFL</t>
  </si>
  <si>
    <t>4500 BUILD-A-BAR 52" W/RED ICC</t>
  </si>
  <si>
    <t>45B52R</t>
  </si>
  <si>
    <t>4500 BUILD-A-BAR 52" W/AMB.ICC</t>
  </si>
  <si>
    <t>45B52A</t>
  </si>
  <si>
    <t>4500 BUILD-A-BAR 52"</t>
  </si>
  <si>
    <t>45B52</t>
  </si>
  <si>
    <t>NFPA JUSTICE CS 62" 6LED</t>
  </si>
  <si>
    <t>JE0NFPA</t>
  </si>
  <si>
    <t>NFPA JUSTICE CS 56" 6LED</t>
  </si>
  <si>
    <t>JE2NFPA</t>
  </si>
  <si>
    <t>FREEDOM 4 MINI NFPA LTBAR PAIR</t>
  </si>
  <si>
    <t>F4NMINI</t>
  </si>
  <si>
    <t>FREEDOM IV LC 72" NFPA SQ-END</t>
  </si>
  <si>
    <t>F4N7QLED</t>
  </si>
  <si>
    <t>FREEDOM IV LC 60" NFPA SQ-END</t>
  </si>
  <si>
    <t>F4N0QLED</t>
  </si>
  <si>
    <t>FREEDOM IV LC 55" NFPA SQ-END</t>
  </si>
  <si>
    <t>F4N2QLED</t>
  </si>
  <si>
    <t>FREEDOM IV LC 72" NFPA V-END</t>
  </si>
  <si>
    <t>F4N7VLED</t>
  </si>
  <si>
    <t>FREEDOM IV LC 60" NFPA V-END</t>
  </si>
  <si>
    <t>F4N0VLED</t>
  </si>
  <si>
    <t>FREEDOM IV LC 55" NFPA V-END</t>
  </si>
  <si>
    <t>F4N2VLED</t>
  </si>
  <si>
    <t>WCX NFPA FREEDOMIV CONTROL PT</t>
  </si>
  <si>
    <t>CCPMNFPA</t>
  </si>
  <si>
    <t>WCX NFPA FREEDOM IV CONTROL PT</t>
  </si>
  <si>
    <t>CCPNFPA1</t>
  </si>
  <si>
    <t>FREEDOM IV WCX MINI NFPA PAIR</t>
  </si>
  <si>
    <t>K42MINI</t>
  </si>
  <si>
    <t>FREEDOM IV WCX 72" NFPA SQ-END</t>
  </si>
  <si>
    <t>K427QLJ</t>
  </si>
  <si>
    <t>K427QLB</t>
  </si>
  <si>
    <t>K427QLR</t>
  </si>
  <si>
    <t>FREEDOM IV WCX 60" NFPA SQ-END</t>
  </si>
  <si>
    <t>K420QLJ</t>
  </si>
  <si>
    <t>K420QLB</t>
  </si>
  <si>
    <t>K420QLR</t>
  </si>
  <si>
    <t>FREEDOM IV WCX 55" NFPA SQ-END</t>
  </si>
  <si>
    <t>K422QLJ</t>
  </si>
  <si>
    <t>K422QLB</t>
  </si>
  <si>
    <t>K422QLR</t>
  </si>
  <si>
    <t>FREEDOM IV WCX 72" NFPA V-END</t>
  </si>
  <si>
    <t>K427VLJ</t>
  </si>
  <si>
    <t>K427VLB</t>
  </si>
  <si>
    <t>K427VLR</t>
  </si>
  <si>
    <t>FREEOMD IV WCX 60" NFPA V-END</t>
  </si>
  <si>
    <t>K420VLJ</t>
  </si>
  <si>
    <t>FREEDOM IV WCX 60" NFPA V-END</t>
  </si>
  <si>
    <t>K420VLB</t>
  </si>
  <si>
    <t>K420VLR</t>
  </si>
  <si>
    <t>FREEDOM IV WCX 55" NFPA V-END</t>
  </si>
  <si>
    <t>K422VLJ</t>
  </si>
  <si>
    <t xml:space="preserve">FREEDOM IV WCX 55" NFPA V-END </t>
  </si>
  <si>
    <t>K422VLB</t>
  </si>
  <si>
    <t>K422VLR</t>
  </si>
  <si>
    <t>OPTION, CENTURY LIN12 AMBER</t>
  </si>
  <si>
    <t>CEDLXA</t>
  </si>
  <si>
    <t>OPT CENTURY ADD TIR6 AMBER</t>
  </si>
  <si>
    <t>CDT6A</t>
  </si>
  <si>
    <t>CENTURY WRECKER BAR 60"</t>
  </si>
  <si>
    <t>CW0BAAAA</t>
  </si>
  <si>
    <t>OPT JUSTICE ADD CON3 LED RED</t>
  </si>
  <si>
    <t>JDCR</t>
  </si>
  <si>
    <t>OPT JUSTICE ADD CON3 LED GREEN</t>
  </si>
  <si>
    <t>JDCG</t>
  </si>
  <si>
    <t>OPT JUSTICE ADD CON3 LED WHITE</t>
  </si>
  <si>
    <t>JDCC</t>
  </si>
  <si>
    <t>OPT JUSTICE ADD CON3 LED BLUE</t>
  </si>
  <si>
    <t>JDCB</t>
  </si>
  <si>
    <t>OPT JUSTICE ADD CON3 LED AMBER</t>
  </si>
  <si>
    <t>JDCA</t>
  </si>
  <si>
    <t>JUSTICE CS TOW 72" CON3</t>
  </si>
  <si>
    <t>JF7FAAAA</t>
  </si>
  <si>
    <t>JUSTICE CS WRECKER 62" W/ICC</t>
  </si>
  <si>
    <t>JF02AAAA</t>
  </si>
  <si>
    <t>JUSTICE CS WRECKER 62" AMBER</t>
  </si>
  <si>
    <t>JF01AAAA</t>
  </si>
  <si>
    <t>JUSTICE CS TOW BTT FULL CON3A</t>
  </si>
  <si>
    <t>JF0FAAAA</t>
  </si>
  <si>
    <t>JUSTICE CS WRECKER AMB CON3 TA</t>
  </si>
  <si>
    <t>JF0DAAAA</t>
  </si>
  <si>
    <t>JUSTICE CS WRECKER 56" AMBER</t>
  </si>
  <si>
    <t>JF2BAAAA</t>
  </si>
  <si>
    <t>JUSTICE CS WRECKER +CON3 AMB</t>
  </si>
  <si>
    <t>JF0BAAAA</t>
  </si>
  <si>
    <t>JUSTICE CS WRECKER BASIC AMB</t>
  </si>
  <si>
    <t>JF0TAAAA</t>
  </si>
  <si>
    <t>JUSTICE WCX ADD LIN12 DUO B/A</t>
  </si>
  <si>
    <t>RDLM</t>
  </si>
  <si>
    <t>JUSTICE WCX ADD LIN12 DUO R/A</t>
  </si>
  <si>
    <t>RDLK</t>
  </si>
  <si>
    <t>JUSTICE WCX ADD LIN12 DUO R/B</t>
  </si>
  <si>
    <t>RDLJ</t>
  </si>
  <si>
    <t>JUSTICE WCX ADD LIN12 DUO A/W</t>
  </si>
  <si>
    <t>RDLF</t>
  </si>
  <si>
    <t>JUSTICE WCX ADD LIN12 DUO B/W</t>
  </si>
  <si>
    <t>RDLE</t>
  </si>
  <si>
    <t>JUSTICE WCX ADD LIN12 DUO R/W</t>
  </si>
  <si>
    <t>RDLD</t>
  </si>
  <si>
    <t>LIBERTY II + 1 SHORT 3LED RED</t>
  </si>
  <si>
    <t>IWDSR</t>
  </si>
  <si>
    <t>LIBERTY II + 1 SHORT 3LED GRN</t>
  </si>
  <si>
    <t>IWDSG</t>
  </si>
  <si>
    <t>LIBERTY II + 1 SHORT 3LED WHT</t>
  </si>
  <si>
    <t>IWDSC</t>
  </si>
  <si>
    <t>LIBERTY II + 1 SHORT 3LED BLU</t>
  </si>
  <si>
    <t>IWDSB</t>
  </si>
  <si>
    <t>LIBERTY II + 1 SHORT 3LED AMB</t>
  </si>
  <si>
    <t>IWDSA</t>
  </si>
  <si>
    <t>LIBERTY II ADD 1 LONG 6LED RED</t>
  </si>
  <si>
    <t>IWDLR</t>
  </si>
  <si>
    <t>LIBERTY II ADD 1 LONG 6LED GRN</t>
  </si>
  <si>
    <t>IWDLG</t>
  </si>
  <si>
    <t>LIBERTY II ADD 1 LONG 6LED WHT</t>
  </si>
  <si>
    <t>IWDLC</t>
  </si>
  <si>
    <t>LIBERTY II ADD 1 LONG 6LED BLU</t>
  </si>
  <si>
    <t>IWDLB</t>
  </si>
  <si>
    <t>LIBERTY II ADD 1 LONG 6LED AMB</t>
  </si>
  <si>
    <t>IWDLA</t>
  </si>
  <si>
    <t>LIBERTY II WCX 59" TOWMAN AMB</t>
  </si>
  <si>
    <t>BW0BAAAA</t>
  </si>
  <si>
    <t>FREEDOM IV + 1 LONG ECON AMBER</t>
  </si>
  <si>
    <t>F4EDLA</t>
  </si>
  <si>
    <t>FREEDOM IV LC 60" TOWMAN AMBER</t>
  </si>
  <si>
    <t>F40BAAAA</t>
  </si>
  <si>
    <t>CHP LIBERTY II 48" WCX DEDE</t>
  </si>
  <si>
    <t>1FBLBA</t>
  </si>
  <si>
    <t>JUSTICE CS 6LED 56" AMB 16CON3</t>
  </si>
  <si>
    <t>JEF2AMB</t>
  </si>
  <si>
    <t>JUSTICE CS 6LED 50" AMB 14CON3</t>
  </si>
  <si>
    <t>JEF8AMB</t>
  </si>
  <si>
    <t>DELETE CENTURY ELITE MOUNT KIT</t>
  </si>
  <si>
    <t>DELCEMK</t>
  </si>
  <si>
    <t>OPT, CENTURY ALLEY LT PAIR</t>
  </si>
  <si>
    <t>CALF1</t>
  </si>
  <si>
    <t>OPT, CENTURY TAKE-DOWN LT PAIR</t>
  </si>
  <si>
    <t>CTLS1</t>
  </si>
  <si>
    <t>OPT, 50" CENTURY 5-LIN T/A AMB</t>
  </si>
  <si>
    <t>CETAL5</t>
  </si>
  <si>
    <t>OPT, 44" CENTURY 8-TIR T/A AMB</t>
  </si>
  <si>
    <t>CETAT8</t>
  </si>
  <si>
    <t>OPTION , CENTURY LIN12 RED</t>
  </si>
  <si>
    <t>CEDLXR</t>
  </si>
  <si>
    <t>OPTION, CENTURY LIN12 GREEN</t>
  </si>
  <si>
    <t>CEDLXG</t>
  </si>
  <si>
    <t>OPTION, CENTURY LIN12 WHITE</t>
  </si>
  <si>
    <t>CEDLXC</t>
  </si>
  <si>
    <t>OPTION, CENTURY LIN12 BLUE</t>
  </si>
  <si>
    <t>CEDLXB</t>
  </si>
  <si>
    <t>CENTURY ELITE 50" R/R/R/R</t>
  </si>
  <si>
    <t>CE8RRRR</t>
  </si>
  <si>
    <t>CENTURY ELITE 50" W/W/R/R</t>
  </si>
  <si>
    <t>CE8CCRR</t>
  </si>
  <si>
    <t>CENTURY ELITE 50" W/W/W/W</t>
  </si>
  <si>
    <t>CE8CCCC</t>
  </si>
  <si>
    <t>CENTURY ELITE 50" B/B/R/R</t>
  </si>
  <si>
    <t>CE8BBRR</t>
  </si>
  <si>
    <t>CENTURY ELITE 50" B/B/B/B</t>
  </si>
  <si>
    <t>CE8BBBB</t>
  </si>
  <si>
    <t>CENTURY ELITE 50" A/A/R/R</t>
  </si>
  <si>
    <t>CE8AARR</t>
  </si>
  <si>
    <t>CENTURY ELITE 50" A/A/W/W</t>
  </si>
  <si>
    <t>CE8AACC</t>
  </si>
  <si>
    <t>CENTURY ELITE 50" A/A/B/B</t>
  </si>
  <si>
    <t>CE8AABB</t>
  </si>
  <si>
    <t>CENTURY ELITE 50" A/A/A/A</t>
  </si>
  <si>
    <t>CE8AAAA</t>
  </si>
  <si>
    <t>CENTURY ELITE 44" R/R/R/R</t>
  </si>
  <si>
    <t>CE4RRRR</t>
  </si>
  <si>
    <t>CENTURY ELITE 44" W/W/R/R</t>
  </si>
  <si>
    <t>CE4CCRR</t>
  </si>
  <si>
    <t>CENTURY ELITE 44" W/W/W/W</t>
  </si>
  <si>
    <t>CE4CCCC</t>
  </si>
  <si>
    <t>CENTURY ELITE 44" B/B/R/R</t>
  </si>
  <si>
    <t>CE4BBRR</t>
  </si>
  <si>
    <t>CENTURY ELITE 44" B/B/B/B</t>
  </si>
  <si>
    <t>CE4BBBB</t>
  </si>
  <si>
    <t>CENTURY ELITE 44" A/A/R/R</t>
  </si>
  <si>
    <t>CE4AARR</t>
  </si>
  <si>
    <t>CENTURY ELITE 44" A/A/W/W</t>
  </si>
  <si>
    <t>CE4AACC</t>
  </si>
  <si>
    <t>CENTURY ELITE 44" A/A/B/B</t>
  </si>
  <si>
    <t>CE4AABB</t>
  </si>
  <si>
    <t>CENTURY ELITE 44" A/A/A/A</t>
  </si>
  <si>
    <t>CE4AAAA</t>
  </si>
  <si>
    <t>OPT EDGE 9X DUAL CTR TOP RED</t>
  </si>
  <si>
    <t>9XDCNTR</t>
  </si>
  <si>
    <t>OPT EDGE 9X DUAL CTR TOP BLUE</t>
  </si>
  <si>
    <t>9XDCNTB</t>
  </si>
  <si>
    <t>OPT EDGE 9X DUAL CTR TOP AMBER</t>
  </si>
  <si>
    <t>9XDCNTA</t>
  </si>
  <si>
    <t>OPT EDGE 9X SINGLE CTR TOP RED</t>
  </si>
  <si>
    <t>9XSCNTR</t>
  </si>
  <si>
    <t>OPT EDGE 9X SINGLE CTR TOP BLU</t>
  </si>
  <si>
    <t>9XSCNTB</t>
  </si>
  <si>
    <t>OPT EDGE 9X SINGLE CTR TOP AMB</t>
  </si>
  <si>
    <t>9XSCNTA</t>
  </si>
  <si>
    <t>OPT EDGE 9X END TOP RED</t>
  </si>
  <si>
    <t>9XENDR</t>
  </si>
  <si>
    <t>OPT EDGE 9X END TOP BLUE</t>
  </si>
  <si>
    <t>9XENDB</t>
  </si>
  <si>
    <t>OPT EDGE 9X END TOP AMBER</t>
  </si>
  <si>
    <t>9XENDA</t>
  </si>
  <si>
    <t>EDGE 9SX DRIVER SIDE CABLE OPT</t>
  </si>
  <si>
    <t>9SXDSCBL</t>
  </si>
  <si>
    <t>EDGE 9XT ADD B/T/T CLEAR PAIR</t>
  </si>
  <si>
    <t>9TXBTTC</t>
  </si>
  <si>
    <t>EDGE 9XT ADD B/T/T RED PAIR</t>
  </si>
  <si>
    <t>9TXBTTR</t>
  </si>
  <si>
    <t>EDGE 9TX ADD 1 DUO TD/ALY B/A</t>
  </si>
  <si>
    <t>9TXDSM</t>
  </si>
  <si>
    <t>EDGE 9TX ADD 1 DUO TD/ALY R/A</t>
  </si>
  <si>
    <t>9TXDSK</t>
  </si>
  <si>
    <t>EDGE 9TX ADD 1 DUO TD/ALY R/B</t>
  </si>
  <si>
    <t>9TXDSJ</t>
  </si>
  <si>
    <t>EDGE 9TX ADD T-D OR ALLEY PAIR</t>
  </si>
  <si>
    <t>9TXT</t>
  </si>
  <si>
    <t>EDGE 9TX ADD 1 DUO TD/ALY W/R</t>
  </si>
  <si>
    <t>9TXTWR</t>
  </si>
  <si>
    <t>EDGE 9TX ADD 1 DUO TD/ALY W/B</t>
  </si>
  <si>
    <t>9TXTWB</t>
  </si>
  <si>
    <t>EDGE 9TX ADD 1 DUO TD/ALY W/A</t>
  </si>
  <si>
    <t>9TXTWA</t>
  </si>
  <si>
    <t>EDGE 9TX ADD 1 DUO/SPLIT R/R/G</t>
  </si>
  <si>
    <t>9TXDLRRG</t>
  </si>
  <si>
    <t>EDGE 9TX ADD 1 DUO/SPLIT R/R/W</t>
  </si>
  <si>
    <t>9TXDLRRC</t>
  </si>
  <si>
    <t>EDGE 9TX ADD 1 DUO/SPLIT R/R/B</t>
  </si>
  <si>
    <t>9TXDLRRB</t>
  </si>
  <si>
    <t>EDGE 9TX ADD 1 DUO/SPLIT R/R/A</t>
  </si>
  <si>
    <t>9TXDLRRA</t>
  </si>
  <si>
    <t>EDGE 9TX ADD 1 DUO/SPLIT R/B/W</t>
  </si>
  <si>
    <t>9TXDLRBC</t>
  </si>
  <si>
    <t>EDGE 9TX ADD 1 DUO/SPLIT R/B/A</t>
  </si>
  <si>
    <t>9TXDLRBA</t>
  </si>
  <si>
    <t>EDGE 9TX ADD 1 DUO/SPLIT G/G/A</t>
  </si>
  <si>
    <t>9TXDLGGA</t>
  </si>
  <si>
    <t>EDGE 9TX ADD 1 DUO/SPLIT B/R/W</t>
  </si>
  <si>
    <t>9TXDLBRC</t>
  </si>
  <si>
    <t>EDGE 9TX ADD 1 DUO/SPLIT B/R/A</t>
  </si>
  <si>
    <t>9TXDLBRA</t>
  </si>
  <si>
    <t>EDGE 9TX ADD 1 DUO/SPLIT B/B/W</t>
  </si>
  <si>
    <t>9TXDLBBC</t>
  </si>
  <si>
    <t>EDGE 9TX ADD 1 DUO/SPLIT B/B/A</t>
  </si>
  <si>
    <t>9TXDLBBA</t>
  </si>
  <si>
    <t>EDGE 9TX ADD 1 DUO/SPLIT A/R/W</t>
  </si>
  <si>
    <t>9TXDLARC</t>
  </si>
  <si>
    <t>EDGE 9TX ADD 1 DUO/SPLIT A/A/W</t>
  </si>
  <si>
    <t>9TXDLAAC</t>
  </si>
  <si>
    <t>EDGE 9TX ADD 1 DUO BLU/AMB</t>
  </si>
  <si>
    <t>9TXDLM</t>
  </si>
  <si>
    <t>EDGE 9TX ADD 1 DUO RED/GN</t>
  </si>
  <si>
    <t>9TXDLL</t>
  </si>
  <si>
    <t>EDGE 9TX ADD 1 DUO RED/AMB</t>
  </si>
  <si>
    <t>9TXDLK</t>
  </si>
  <si>
    <t>EDGE 9TX ADD 1 DUO RED/BLU</t>
  </si>
  <si>
    <t>9TXDLJ</t>
  </si>
  <si>
    <t>EDGE 9TX ADD 1 DUO GRN/WHT</t>
  </si>
  <si>
    <t>9TXDLH</t>
  </si>
  <si>
    <t>EDGE 9TX ADD 1 DUO AMB/WHT</t>
  </si>
  <si>
    <t>9TXDLF</t>
  </si>
  <si>
    <t>EDGE 9TX ADD 1 DUO BLU/WHT</t>
  </si>
  <si>
    <t>9TXDLE</t>
  </si>
  <si>
    <t>EDGE 9TX ADD 1 DUO RED/WHT</t>
  </si>
  <si>
    <t>9TXDLD</t>
  </si>
  <si>
    <t>EDGE 9XT DUO WCX 54" M/M/M/M</t>
  </si>
  <si>
    <t>9XT2MMMM</t>
  </si>
  <si>
    <t>EDGE 9XT DUO WCX 54" L/L/L/L</t>
  </si>
  <si>
    <t>9XT2LLLL</t>
  </si>
  <si>
    <t>EDGE 9XT DUO WCX 54" K/K/M/M</t>
  </si>
  <si>
    <t>9XT2KKMM</t>
  </si>
  <si>
    <t>EDGE 9XT DUO WCX 54" F/F/F/F</t>
  </si>
  <si>
    <t>9XT2FFFF</t>
  </si>
  <si>
    <t>EDGE 9XT DUO WCX 54" E/E/M/M</t>
  </si>
  <si>
    <t>9XT2EEMM</t>
  </si>
  <si>
    <t>EDGE 9XT DUO WCX 54" E/E/E/E</t>
  </si>
  <si>
    <t>9XT2EEEE</t>
  </si>
  <si>
    <t>EDGE 9XT DUO WCX 54" D/D/E/E</t>
  </si>
  <si>
    <t>9XT2DDEE</t>
  </si>
  <si>
    <t>EDGE 9XT DUO WCX 54" D/D/D/D</t>
  </si>
  <si>
    <t>9XT2DDDD</t>
  </si>
  <si>
    <t>EDGE 9XT DUO WCX 48" M/M/M/M</t>
  </si>
  <si>
    <t>9XT8MMMM</t>
  </si>
  <si>
    <t>EDGE 9XT DUO WCX 48" J/J/J/J</t>
  </si>
  <si>
    <t>9XT8JJJJ</t>
  </si>
  <si>
    <t>EDGE 9XT DUO WCX 48" F/F/F/F</t>
  </si>
  <si>
    <t>9XT8FFFF</t>
  </si>
  <si>
    <t>EDGE 9XT DUO WCX 48" E/E/F/F</t>
  </si>
  <si>
    <t>9XT8EEFF</t>
  </si>
  <si>
    <t>EDGE 9XT DUO WCX 48" E/E/E/E</t>
  </si>
  <si>
    <t>9XT8EEEE</t>
  </si>
  <si>
    <t>EDGE 9XT DUO WCX 48" D/E/K/M</t>
  </si>
  <si>
    <t>9XT8DEKM</t>
  </si>
  <si>
    <t>EDGE 9XT DUO WCX 48" D/E/F/F</t>
  </si>
  <si>
    <t>9XT8DEFF</t>
  </si>
  <si>
    <t>EDGE 9XT DUO WCX 48" D/D/E/E</t>
  </si>
  <si>
    <t>9XT8DDEE</t>
  </si>
  <si>
    <t>EDGE 9XT DUO WCX 48" D/D/D/E</t>
  </si>
  <si>
    <t>9XT8DDDE</t>
  </si>
  <si>
    <t>EDGE 9XT DUO WCX 48" D/D/D/D</t>
  </si>
  <si>
    <t>9XT8DDDD</t>
  </si>
  <si>
    <t>EDGE 9XT DUO WCX 43" D/D/E/E</t>
  </si>
  <si>
    <t>9XT4DDEE</t>
  </si>
  <si>
    <t>EDGE 9XS ADD B/T/T CLEAR PAIR</t>
  </si>
  <si>
    <t>9SXBTTC</t>
  </si>
  <si>
    <t>EDGE 9XS ADD B/T/T RED PAIR</t>
  </si>
  <si>
    <t>9SXBTTR</t>
  </si>
  <si>
    <t>EDGE 9SX ADD 1 DUO TD/ALY B/A</t>
  </si>
  <si>
    <t>9SXDSM</t>
  </si>
  <si>
    <t>EDGE 9SX ADD 1 DUO TD/ALY R/A</t>
  </si>
  <si>
    <t>9SXDSK</t>
  </si>
  <si>
    <t>EDGE 9SX ADD 1 DUO TD/ALY R/B</t>
  </si>
  <si>
    <t>9SXDSJ</t>
  </si>
  <si>
    <t>EDGE 9SX ADD T-D OR ALLEY PAIR</t>
  </si>
  <si>
    <t>9SXT</t>
  </si>
  <si>
    <t>EDGE 9SX ADD 1 DUO TD/ALY W/R</t>
  </si>
  <si>
    <t>9SXTWR</t>
  </si>
  <si>
    <t>EDGE 9SX ADD 1 DUO TD/ALY W/G</t>
  </si>
  <si>
    <t>9SXTWG</t>
  </si>
  <si>
    <t>EDGE 9SX ADD 1 DUO TD/ALY W/B</t>
  </si>
  <si>
    <t>9SXTWB</t>
  </si>
  <si>
    <t>EDGE 9SX ADD 1 DUO TD/ALY W/A</t>
  </si>
  <si>
    <t>9SXTWA</t>
  </si>
  <si>
    <t>EDGE 9SX ADD 1 DUO/SPLIT R/R/W</t>
  </si>
  <si>
    <t>9SXDLRRC</t>
  </si>
  <si>
    <t>EDGE 9SX ADD 1 DUO/SPLIT R/R/B</t>
  </si>
  <si>
    <t>9SXDLRRB</t>
  </si>
  <si>
    <t>EDGE 9SX ADD 1 DUO/SPLIT R/R/A</t>
  </si>
  <si>
    <t>9SXDLRRA</t>
  </si>
  <si>
    <t>EDGE 9SX ADD 1 DUO/SPLIT R/B/W</t>
  </si>
  <si>
    <t>9SXDLRBC</t>
  </si>
  <si>
    <t>EDGE 9SX ADD 1 DUO/SPLIT R/B/A</t>
  </si>
  <si>
    <t>9SXDLRBA</t>
  </si>
  <si>
    <t>EDGE 9SX ADD 1 DUO/SPLIT R/A/W</t>
  </si>
  <si>
    <t>9SXDLRAC</t>
  </si>
  <si>
    <t>EDGE 9SX ADD 1 DUO/SPLIT G/G/W</t>
  </si>
  <si>
    <t>9SXDLGGC</t>
  </si>
  <si>
    <t>EDGE 9SX ADD 1 DUO/SPLIT G/G/A</t>
  </si>
  <si>
    <t>9SXDLGGA</t>
  </si>
  <si>
    <t>EDGE 9SX ADD 1 DUO/SPLIT B/R/W</t>
  </si>
  <si>
    <t>9SXDLBRC</t>
  </si>
  <si>
    <t>EDGE 9SX ADD 1 DUO/SPLIT B/R/A</t>
  </si>
  <si>
    <t>9SXDLBRA</t>
  </si>
  <si>
    <t>EDGE 9SX ADD 1 DUO/SPLIT B/B/W</t>
  </si>
  <si>
    <t>9SXDLBBC</t>
  </si>
  <si>
    <t>EDGE 9SX ADD 1 DUO/SPLIT B/B/A</t>
  </si>
  <si>
    <t>9SXDLBBA</t>
  </si>
  <si>
    <t>EDGE 9SX ADD 1 DUO/SPLIT A/R/W</t>
  </si>
  <si>
    <t>9SXDLARC</t>
  </si>
  <si>
    <t>EDGE 9SX ADD 1 DUO/SPLIT A/A/W</t>
  </si>
  <si>
    <t>9SXDLAAC</t>
  </si>
  <si>
    <t>EDGE 9SX ADD 1 DUO BLU/AMB</t>
  </si>
  <si>
    <t>9SXDLM</t>
  </si>
  <si>
    <t>EDGE 9SX ADD 1 DUO RED/GRN</t>
  </si>
  <si>
    <t>9SXDLL</t>
  </si>
  <si>
    <t>EDGE 9SX ADD 1 DUO RED/AMB</t>
  </si>
  <si>
    <t>9SXDLK</t>
  </si>
  <si>
    <t>EDGE 9SX ADD 1 DUO RED/BLU</t>
  </si>
  <si>
    <t>9SXDLJ</t>
  </si>
  <si>
    <t>EDGE 9SX ADD 1 DUO GRN/WHT</t>
  </si>
  <si>
    <t>9SXDLH</t>
  </si>
  <si>
    <t>EDGE 9SX ADD 1 DUO AMB/WHT</t>
  </si>
  <si>
    <t>9SXDLF</t>
  </si>
  <si>
    <t>EDGE 9SX ADD 1 DUO BLU/WHT</t>
  </si>
  <si>
    <t>9SXDLE</t>
  </si>
  <si>
    <t>EDGE 9SX ADD 1 DUO RED/WHT</t>
  </si>
  <si>
    <t>9SXDLD</t>
  </si>
  <si>
    <t>EDGE 9XS DUO WCX 54" M/M/M/M</t>
  </si>
  <si>
    <t>9XS2MMMM</t>
  </si>
  <si>
    <t>EDGE 9XS DUO WCX 54" K/M/M/M</t>
  </si>
  <si>
    <t>9XS2KMMM</t>
  </si>
  <si>
    <t>EDGE 9XS DUO WCX 54" K/K/K/K</t>
  </si>
  <si>
    <t>9XS2KKKK</t>
  </si>
  <si>
    <t>EDGE 9XS DUO WCX 54" F/F/K/K</t>
  </si>
  <si>
    <t>9XS2FFKK</t>
  </si>
  <si>
    <t>EDGE 9XS DUO WCX 54" F/F/F/F</t>
  </si>
  <si>
    <t>9XS2FFFF</t>
  </si>
  <si>
    <t>EDGE 9XS DUO WCX 54" E/E/E/E</t>
  </si>
  <si>
    <t>9XS2EEEE</t>
  </si>
  <si>
    <t>EDGE 9XS DUO WCX 54" D/D/E/E</t>
  </si>
  <si>
    <t>9XS2DDEE</t>
  </si>
  <si>
    <t>EDGE 9XS DUO WCX 54" D/D/D/E</t>
  </si>
  <si>
    <t>9XS2DDDE</t>
  </si>
  <si>
    <t>EDGE 9XS DUO WCX 54" D/D/D/D</t>
  </si>
  <si>
    <t>9XS2DDDD</t>
  </si>
  <si>
    <t>EDGE 9XS DUO WCX 48" M/M/M/M</t>
  </si>
  <si>
    <t>9XS8MMMM</t>
  </si>
  <si>
    <t>EDGE 9XS DUO WCX 48" K/K/K/K</t>
  </si>
  <si>
    <t>9XS8KKKK</t>
  </si>
  <si>
    <t>EDGE 9XS DUO WCX 48" H/H/H/H</t>
  </si>
  <si>
    <t>9XS8HHHH</t>
  </si>
  <si>
    <t>EDGE 9XS DUO WCX 48" F/F/K/K</t>
  </si>
  <si>
    <t>9XS8FFKK</t>
  </si>
  <si>
    <t>EDGE 9XS DUO WCX 48" F/F/F/F</t>
  </si>
  <si>
    <t>9XS8FFFF</t>
  </si>
  <si>
    <t>EDGE 9XS DUO WCX 48" E/E/E/E</t>
  </si>
  <si>
    <t>9XS8EEEE</t>
  </si>
  <si>
    <t>EDGE 9XS DUO WCX 48" D/D/K/K</t>
  </si>
  <si>
    <t>9XS8DDKK</t>
  </si>
  <si>
    <t>EDGE 9XS DUO WCX 48" D/D/E/E</t>
  </si>
  <si>
    <t>9XS8DDEE</t>
  </si>
  <si>
    <t>EDGE 9XS DUO WCX 48" D/D/D/D</t>
  </si>
  <si>
    <t>9XS8DDDD</t>
  </si>
  <si>
    <t>EDGE 9XS DUO WCX 43" F/F/F/F</t>
  </si>
  <si>
    <t>9XS4FFFF</t>
  </si>
  <si>
    <t>EDGE 9XS DUO WCX 43" D/D/E/E</t>
  </si>
  <si>
    <t>9XS4DDEE</t>
  </si>
  <si>
    <t>EDGE 9XS DUO WCX 43" D/D/D/D</t>
  </si>
  <si>
    <t>9XS4DDDD</t>
  </si>
  <si>
    <t>BULK PACK 18 JUSTICE LIGHTBARS</t>
  </si>
  <si>
    <t>JBULK18</t>
  </si>
  <si>
    <t>JUSTICE DRIVER SIDE CABLE EXIT</t>
  </si>
  <si>
    <t>JDSCBL</t>
  </si>
  <si>
    <t>OPT JUSTICE T/A HARN &amp; CABLE</t>
  </si>
  <si>
    <t>JTACBL</t>
  </si>
  <si>
    <t>OPT JUSTICE T/A TACTL5 &amp; HARN</t>
  </si>
  <si>
    <t>JTACNTL</t>
  </si>
  <si>
    <t>OPT JUSTICE CS LED B/T/T PAIR</t>
  </si>
  <si>
    <t>JHBTTLED</t>
  </si>
  <si>
    <t>MODULE TO STEADY BURN LEDS</t>
  </si>
  <si>
    <t>JHMOD1</t>
  </si>
  <si>
    <t>OPT JUSTICE TD/WORK LT FLASHER</t>
  </si>
  <si>
    <t>JHFLASH</t>
  </si>
  <si>
    <t>OPT JUSTICE CS LR11 TD &amp; ALLEY</t>
  </si>
  <si>
    <t>JHCTAL1D</t>
  </si>
  <si>
    <t>JHCTAL1</t>
  </si>
  <si>
    <t>JHTDALL1</t>
  </si>
  <si>
    <t>OPT JUSTICE CS LR11 TD CTR MT</t>
  </si>
  <si>
    <t>JHCTLS1D</t>
  </si>
  <si>
    <t>OPT JUSTICE CS LR11 T-D IN PR</t>
  </si>
  <si>
    <t>JHCTLS1</t>
  </si>
  <si>
    <t>OPT JUSTICE CS LR11 T-D OUT PR</t>
  </si>
  <si>
    <t>JHTLS2</t>
  </si>
  <si>
    <t>OPT JUSTICE HC LED T-D LT PAIR</t>
  </si>
  <si>
    <t>JHTDLED2</t>
  </si>
  <si>
    <t>OPT JUSTICE HC CTR LED T-D LT</t>
  </si>
  <si>
    <t>JHTDLED1</t>
  </si>
  <si>
    <t>OPT JUSTICE CS CTR TD &amp; ALLEY</t>
  </si>
  <si>
    <t>JHCTAL1C</t>
  </si>
  <si>
    <t>OPT JUSTICE CS ADD LR11 ALLEY</t>
  </si>
  <si>
    <t>JHALF1</t>
  </si>
  <si>
    <t>OPT JUSTICE ADD LIN6 LED RED</t>
  </si>
  <si>
    <t>JDLR</t>
  </si>
  <si>
    <t>OPT JUSTICE ADD LIN6 LED GREEN</t>
  </si>
  <si>
    <t>JDLG</t>
  </si>
  <si>
    <t>OPT JUSTICE ADD LIN6 LED WHITE</t>
  </si>
  <si>
    <t>JDLC</t>
  </si>
  <si>
    <t>OPT JUSTICE ADD LIN6 LED BLUE</t>
  </si>
  <si>
    <t>JDLB</t>
  </si>
  <si>
    <t>OPT JUSTICE ADD LIN6 LED AMBER</t>
  </si>
  <si>
    <t>JDLA</t>
  </si>
  <si>
    <t>OPT JUSTICE ADD LTR3 LED RED</t>
  </si>
  <si>
    <t>JDHR</t>
  </si>
  <si>
    <t>OPT JUSTICE ADD LTR3 LED GREEN</t>
  </si>
  <si>
    <t>JDHG</t>
  </si>
  <si>
    <t>OPT JUSTICE ADD LTR3 LED WHITE</t>
  </si>
  <si>
    <t>JDHC</t>
  </si>
  <si>
    <t>OPT JUSTICE ADD LTR3 LED BLUE</t>
  </si>
  <si>
    <t>JDHB</t>
  </si>
  <si>
    <t>OPT JUSTICE ADD LTR3 LED AMBER</t>
  </si>
  <si>
    <t>JDHA</t>
  </si>
  <si>
    <t>JUSTICE CS 6LED 62" R/R/R/R</t>
  </si>
  <si>
    <t>JE0RRRR</t>
  </si>
  <si>
    <t>JUSTICE CS 6LED 62" G/G/G/G</t>
  </si>
  <si>
    <t>JE0GGGG</t>
  </si>
  <si>
    <t>JUSTICE CS 6LED 62" W/W/R/R</t>
  </si>
  <si>
    <t>JE0CCRR</t>
  </si>
  <si>
    <t>JUSTICE CS 6LED 62" W/W/W/W</t>
  </si>
  <si>
    <t>JE0CCCC</t>
  </si>
  <si>
    <t>JUSTICE CS 6LED 62" B/B/R/R</t>
  </si>
  <si>
    <t>JE0BBRR</t>
  </si>
  <si>
    <t>JUSTICE CS 6LED 62" B/B/B/B</t>
  </si>
  <si>
    <t>JE0BBBB</t>
  </si>
  <si>
    <t>JUSTICE CS 6LED 62" A/A/R/R</t>
  </si>
  <si>
    <t>JE0AARR</t>
  </si>
  <si>
    <t>JUSTICE CS 6LED 62" A/A/W/W</t>
  </si>
  <si>
    <t>JE0AACC</t>
  </si>
  <si>
    <t>JUSTICE CS 6LED 62" A/A/B/R</t>
  </si>
  <si>
    <t>JE0AABR</t>
  </si>
  <si>
    <t>JUSTICE CS 6LED 62" A/A/B/B</t>
  </si>
  <si>
    <t>JE0AABB</t>
  </si>
  <si>
    <t>JUSTICE CS 6LED 62" A/A/A/A</t>
  </si>
  <si>
    <t>JE0AAAA</t>
  </si>
  <si>
    <t>JUSTICE CS 6LED 56" R/R/R/R</t>
  </si>
  <si>
    <t>JE2RRRR</t>
  </si>
  <si>
    <t>JUSTICE CS 6LED 56" G/G/R/R</t>
  </si>
  <si>
    <t>JE2GGRR</t>
  </si>
  <si>
    <t>JUSTICE CS 6LED 56" G/G/G/G</t>
  </si>
  <si>
    <t>JE2GGGG</t>
  </si>
  <si>
    <t>JUSTICE CS 6LED 56" W/W/R/R</t>
  </si>
  <si>
    <t>JE2CCRR</t>
  </si>
  <si>
    <t>JUSTICE CS 6LED 56" W/W/W/W</t>
  </si>
  <si>
    <t>JE2CCCC</t>
  </si>
  <si>
    <t>JUSTICE CS 6LED 56" B/R/R/R</t>
  </si>
  <si>
    <t>JE2BRRR</t>
  </si>
  <si>
    <t>JUSTICE CS 6LED 56" B/B/R/R</t>
  </si>
  <si>
    <t>JE2BBRR</t>
  </si>
  <si>
    <t>JUSTICE CS 6LED 56" B/B/G/G</t>
  </si>
  <si>
    <t>JE2BBGG</t>
  </si>
  <si>
    <t>JUSTICE CS 6LED 56" B/B/W/W</t>
  </si>
  <si>
    <t>JE2BBCC</t>
  </si>
  <si>
    <t>JUSTICE CS 6LED 56" B/B/B/B</t>
  </si>
  <si>
    <t>JE2BBBB</t>
  </si>
  <si>
    <t>JUSTICE CS 6LED 56" A/B/B/B</t>
  </si>
  <si>
    <t>JE2ABBB</t>
  </si>
  <si>
    <t>JUSTICE CS 6LED A/A/R/R</t>
  </si>
  <si>
    <t>JE2AARR</t>
  </si>
  <si>
    <t>JUSTICE CS 6LED 56" A/A/G/G</t>
  </si>
  <si>
    <t>JE2AAGG</t>
  </si>
  <si>
    <t>JUSTICE CS 6LED 56" A/A/W/W</t>
  </si>
  <si>
    <t>JE2AACC</t>
  </si>
  <si>
    <t>JUSTICE CS 6LED A/A/B/R</t>
  </si>
  <si>
    <t>JE2AABR</t>
  </si>
  <si>
    <t>JUSTICE CS 6LED 56" A/A/B/B</t>
  </si>
  <si>
    <t>JE2AABB</t>
  </si>
  <si>
    <t>JUSTICE CS 6LED A/A/A/R</t>
  </si>
  <si>
    <t>JE2AAAR</t>
  </si>
  <si>
    <t>JUSTICE CS 6LED 56" A/A/A/A</t>
  </si>
  <si>
    <t>JE2AAAA</t>
  </si>
  <si>
    <t>JUSTICE CS 6LED 50" R/R/R/R</t>
  </si>
  <si>
    <t>JE8RRRR</t>
  </si>
  <si>
    <t>JUSTICE CS 6LED 50" G/G/R/R</t>
  </si>
  <si>
    <t>JE8GGRR</t>
  </si>
  <si>
    <t>JUSTICE CS 6LED 50" G/G/G/G</t>
  </si>
  <si>
    <t>JE8GGGG</t>
  </si>
  <si>
    <t>JUSTICE CS 6LED 50" W/W/R/R</t>
  </si>
  <si>
    <t>JE8CCRR</t>
  </si>
  <si>
    <t>JUSTICE CS 6LED 50" W/W/W/W</t>
  </si>
  <si>
    <t>JE8CCCC</t>
  </si>
  <si>
    <t>JUSTICE CS 6LED 50" B/R/R/R</t>
  </si>
  <si>
    <t>JE8BRRR</t>
  </si>
  <si>
    <t>JUSTICE CS 6LED 50" B/W/W/R</t>
  </si>
  <si>
    <t>JE8BCCR</t>
  </si>
  <si>
    <t>JUSTICE CS 6LED 50" B/B/R/R</t>
  </si>
  <si>
    <t>JE8BBRR</t>
  </si>
  <si>
    <t>JUSTICE CS 6LED 50" B/B/G/G</t>
  </si>
  <si>
    <t>JE8BBGG</t>
  </si>
  <si>
    <t>JUSTICE CS 6LED 50" B/B/W/W</t>
  </si>
  <si>
    <t>JE8BBCC</t>
  </si>
  <si>
    <t>JUSTICE CS 6LED 50" B/B/B/B</t>
  </si>
  <si>
    <t>JE8BBBB</t>
  </si>
  <si>
    <t>JUSTICE CS 6LED 50" A/W/W/R</t>
  </si>
  <si>
    <t>JE8ACCR</t>
  </si>
  <si>
    <t>JUSTICE CS 6LED 50" A/B/W/R</t>
  </si>
  <si>
    <t>JE8ABCR</t>
  </si>
  <si>
    <t>JUSTICE CS 6LED 50" A/A/R/R</t>
  </si>
  <si>
    <t>JE8AARR</t>
  </si>
  <si>
    <t>JUSTICE CS 6LED 50" A/A/G/G</t>
  </si>
  <si>
    <t>JE8AAGG</t>
  </si>
  <si>
    <t>JUSTICE CS 6LED 50" A/A/W/W</t>
  </si>
  <si>
    <t>JE8AACC</t>
  </si>
  <si>
    <t>JUSTICE CS 6LED 50" A/A/B/B</t>
  </si>
  <si>
    <t>JE8AABB</t>
  </si>
  <si>
    <t>JUSTICE CS 6LED 50" A/A/A/A</t>
  </si>
  <si>
    <t>JE8AAAA</t>
  </si>
  <si>
    <t>JUSTICE CS 6LED 44" R/R/R/R</t>
  </si>
  <si>
    <t>JE4RRRR</t>
  </si>
  <si>
    <t>JUSTICE CS 6LED 44" G/G/R/R</t>
  </si>
  <si>
    <t>JE4GGRR</t>
  </si>
  <si>
    <t>JUSTICE CS 6LED 44" G/G/G/G</t>
  </si>
  <si>
    <t>JE4GGGG</t>
  </si>
  <si>
    <t>JUSTICE CS 6LED 44" W/W/R/R</t>
  </si>
  <si>
    <t>JE4CCRR</t>
  </si>
  <si>
    <t>JUSTICE CS 6LED 44" W/W/G/G</t>
  </si>
  <si>
    <t>JE4CCGG</t>
  </si>
  <si>
    <t>JUSTICE CS 6LED 44" W/W/W/W</t>
  </si>
  <si>
    <t>JE4CCCC</t>
  </si>
  <si>
    <t>JUSTICE CS 6LED 44" B/B/R/R</t>
  </si>
  <si>
    <t>JE4BBRR</t>
  </si>
  <si>
    <t>JUSTICE CS 6LED 44" B/B/B/B</t>
  </si>
  <si>
    <t>JE4BBBB</t>
  </si>
  <si>
    <t>JUSTICE CS 6LED 44" A/B/B/R</t>
  </si>
  <si>
    <t>JE4ABBR</t>
  </si>
  <si>
    <t>JUSTICE CS 6LED 44" A/A/R/R</t>
  </si>
  <si>
    <t>JE4AARR</t>
  </si>
  <si>
    <t>JUSTICE CS 6LED 44" A/A/G/G</t>
  </si>
  <si>
    <t>JE4AAGG</t>
  </si>
  <si>
    <t>JUSTICE CS 6LED 44" A/A/W/W</t>
  </si>
  <si>
    <t>JE4AACC</t>
  </si>
  <si>
    <t>JUSTICE CS 6LED 44" A/A/B/B</t>
  </si>
  <si>
    <t>JE4AABB</t>
  </si>
  <si>
    <t>JUSTICE CS 6LED 44" A/A/A/A</t>
  </si>
  <si>
    <t>JE4AAAA</t>
  </si>
  <si>
    <t>JUSTICE CS 9LED 62" R/R/R/R</t>
  </si>
  <si>
    <t>JC0RRRR</t>
  </si>
  <si>
    <t>JUSTICE CS 9LED 62" B/B/R/R</t>
  </si>
  <si>
    <t>JC0BBRR</t>
  </si>
  <si>
    <t>JUSTICE CS 9LED 62" A/A/A/A</t>
  </si>
  <si>
    <t>JC0AAAA</t>
  </si>
  <si>
    <t>JUSTICE CS 9LED 56" R/R/R/R</t>
  </si>
  <si>
    <t>JC2RRRR</t>
  </si>
  <si>
    <t>JUSTICE CS 9LED 56" W/W/R/R</t>
  </si>
  <si>
    <t>JC2CCRR</t>
  </si>
  <si>
    <t>JUSTICE CS 9LED 56" B/B/R/R</t>
  </si>
  <si>
    <t>JC2BBRR</t>
  </si>
  <si>
    <t>JUSTICE CS 9LED 56" B/B/B/B</t>
  </si>
  <si>
    <t>JC2BBBB</t>
  </si>
  <si>
    <t>JUSTICE CS 9LED 56" A/A/R/R</t>
  </si>
  <si>
    <t>JC2AARR</t>
  </si>
  <si>
    <t>JUSTICE CS 9LED 56" A/A/B/B</t>
  </si>
  <si>
    <t>JC2AABB</t>
  </si>
  <si>
    <t>JUSTICE CS 9LED 56" A/A/A/A</t>
  </si>
  <si>
    <t>JC2AAAA</t>
  </si>
  <si>
    <t>JUSTICE CS 9LED 50" R/R/R/R</t>
  </si>
  <si>
    <t>JC8RRRR</t>
  </si>
  <si>
    <t>JUSTICE CS 9LED 50" W/R/R/R</t>
  </si>
  <si>
    <t>JC8CRRR</t>
  </si>
  <si>
    <t>JUSTICE CS 9LED 50" W/W/W/W</t>
  </si>
  <si>
    <t>JC8CCCC</t>
  </si>
  <si>
    <t>JUSTICE CS 9LED 50" B/B/R/R</t>
  </si>
  <si>
    <t>JC8BBRR</t>
  </si>
  <si>
    <t>JUSTICE CS 9LED 50" B/B/B/B</t>
  </si>
  <si>
    <t>JC8BBBB</t>
  </si>
  <si>
    <t>JUSTICE CS 9LED 50" A/A/R/R</t>
  </si>
  <si>
    <t>JC8AARR</t>
  </si>
  <si>
    <t>JUSTICE CS 9LED 50" A/A/W/W</t>
  </si>
  <si>
    <t>JC8AACC</t>
  </si>
  <si>
    <t>JUSTICE CS 9LED 50" A/A/A/A</t>
  </si>
  <si>
    <t>JC8AAAA</t>
  </si>
  <si>
    <t>JUSTICE CS 9LED 44" R/R/R/R</t>
  </si>
  <si>
    <t>JC4RRRR</t>
  </si>
  <si>
    <t>JUSTICE CS 9LED 44" W/W/R/R</t>
  </si>
  <si>
    <t>JC4CCRR</t>
  </si>
  <si>
    <t>JUSTICE CS 9LED 44" W/W/W/W</t>
  </si>
  <si>
    <t>JC4CCCC</t>
  </si>
  <si>
    <t>JUSTICE CS 9LED 44" B/B/R/R</t>
  </si>
  <si>
    <t>JC4BBRR</t>
  </si>
  <si>
    <t>JUSTICE CS 9LED 44" B/B/B/B</t>
  </si>
  <si>
    <t>JC4BBBB</t>
  </si>
  <si>
    <t>JUSTICE CS 9LED 44" A/A/R/R</t>
  </si>
  <si>
    <t>JC4AARR</t>
  </si>
  <si>
    <t>JUSTICE CS 9LED 44" A/A/W/W</t>
  </si>
  <si>
    <t>JC4AACC</t>
  </si>
  <si>
    <t>JUSTICE CS 9LED 44" A/A/B/B</t>
  </si>
  <si>
    <t>JC4AABB</t>
  </si>
  <si>
    <t>JUSTICE CS 9LED 44" A/A/A/A</t>
  </si>
  <si>
    <t>JC4AAAA</t>
  </si>
  <si>
    <t>OPT JUSTICE WCX LR11 ALLEY LT</t>
  </si>
  <si>
    <t>RA</t>
  </si>
  <si>
    <t>OPT JUSTICE WCX LED T-D LTS</t>
  </si>
  <si>
    <t>RTD</t>
  </si>
  <si>
    <t>JUSTICE WCX DUO 56" M/M/M/M</t>
  </si>
  <si>
    <t>RX2MMMM</t>
  </si>
  <si>
    <t>JUSTICE WCX DUO 56" K/K/M/M</t>
  </si>
  <si>
    <t>RX2KKMM</t>
  </si>
  <si>
    <t>JUSTICE WCX DUO 56" K/K/K/K</t>
  </si>
  <si>
    <t>RX2KKKK</t>
  </si>
  <si>
    <t>JUSTICE WCX DUO 56" J/J/J/J</t>
  </si>
  <si>
    <t>RX2JJJJ</t>
  </si>
  <si>
    <t>JUSTICE WCX DUO 56" F/K/M/M</t>
  </si>
  <si>
    <t>RX2FKMM</t>
  </si>
  <si>
    <t>JUSTICE WCX DUO 56" F/F/M/M</t>
  </si>
  <si>
    <t>RX2FFMM</t>
  </si>
  <si>
    <t>JUSTICE WCX DUO 56" F/F/K/K</t>
  </si>
  <si>
    <t>RX2FFKK</t>
  </si>
  <si>
    <t>JUSTICE WCX DUO 56" F/F/F/M</t>
  </si>
  <si>
    <t>RX2FFFM</t>
  </si>
  <si>
    <t>JUSTICE WCX DUO 56" F/F/F/F</t>
  </si>
  <si>
    <t>RX2FFFF</t>
  </si>
  <si>
    <t>JUSTICE WCX DUO 56" E/E/F/F</t>
  </si>
  <si>
    <t>RX2EEFF</t>
  </si>
  <si>
    <t>JUSTICE WCX DUO 56" E/E/E/E</t>
  </si>
  <si>
    <t>RX2EEEE</t>
  </si>
  <si>
    <t>JUSTICE WCX DUO 56" D/D/F/F</t>
  </si>
  <si>
    <t>RX2DDFF</t>
  </si>
  <si>
    <t>JUSTICE WCX DUO 56" D/D/E/E</t>
  </si>
  <si>
    <t>RX2DDEE</t>
  </si>
  <si>
    <t>JUSTICE WCX DUO 56" D/D/D/E</t>
  </si>
  <si>
    <t>RX2DDDE</t>
  </si>
  <si>
    <t>JUSTICE WCX DUO 56" D/D/D/D</t>
  </si>
  <si>
    <t>RX2DDDD</t>
  </si>
  <si>
    <t>JUSTICE WCX DUO 50" M/M/M/M</t>
  </si>
  <si>
    <t>RX8MMMM</t>
  </si>
  <si>
    <t>JUSTICE WCX DUO 50" K/K/K/K</t>
  </si>
  <si>
    <t>RX8KKKK</t>
  </si>
  <si>
    <t>JUSTICE WCX DUO 50" J/J/M/M</t>
  </si>
  <si>
    <t>RX8JJMM</t>
  </si>
  <si>
    <t>JUSTICE WCX DUO 50" J/J/J/J</t>
  </si>
  <si>
    <t>RX8JJJJ</t>
  </si>
  <si>
    <t>JUSTICE WCX DUO 50" F/F/F/F</t>
  </si>
  <si>
    <t>RX8FFFF</t>
  </si>
  <si>
    <t>JUSTICE WCX DUO 50" E/E/F/F</t>
  </si>
  <si>
    <t>RX8EEFF</t>
  </si>
  <si>
    <t>JUSTICE WCX DUO 50" E/E/E/E</t>
  </si>
  <si>
    <t>RX8EEEE</t>
  </si>
  <si>
    <t>JUSTICE WCX DUO 50" D/D/E/E</t>
  </si>
  <si>
    <t>RX8DDEE</t>
  </si>
  <si>
    <t>JUSTICE WCX DUO 50" D/D/D/E</t>
  </si>
  <si>
    <t>RX8DDDE</t>
  </si>
  <si>
    <t>JUSTICE WCX DUO 50" D/D/D/D</t>
  </si>
  <si>
    <t>RX8DDDD</t>
  </si>
  <si>
    <t>JUSTICE WCX DUO 44" M/M/M/M</t>
  </si>
  <si>
    <t>RX4MMMM</t>
  </si>
  <si>
    <t>JUSTICE WCX DUO 44" F/F/F/F</t>
  </si>
  <si>
    <t>RX4FFFF</t>
  </si>
  <si>
    <t>JUSTCE WCX DUO 44" E/E/E/E</t>
  </si>
  <si>
    <t>RX4EEEE</t>
  </si>
  <si>
    <t>JUSTICE WCX DUO 44" D/D/F/F</t>
  </si>
  <si>
    <t>RX4DDFF</t>
  </si>
  <si>
    <t>JUSTICE WCX DUO 44" D/D/E/E</t>
  </si>
  <si>
    <t>RX4DDEE</t>
  </si>
  <si>
    <t>JUSTICE WCX DUO 44" D/D/D/D</t>
  </si>
  <si>
    <t>RX4DDDD</t>
  </si>
  <si>
    <t>54"C LIBERTYII MIDNIGHT ED KIT</t>
  </si>
  <si>
    <t>BJ2MEK</t>
  </si>
  <si>
    <t>54" LIBERTY II MIDNIGHT ED KIT</t>
  </si>
  <si>
    <t>BW2MEK</t>
  </si>
  <si>
    <t>48"C LIBERTYII MIDNIGHT ED KIT</t>
  </si>
  <si>
    <t>BJ8MEK</t>
  </si>
  <si>
    <t>48" LIBERTY II MIDNIGHT ED KIT</t>
  </si>
  <si>
    <t>BW8MEK</t>
  </si>
  <si>
    <t>RED ALUMINUM CENTER TOP</t>
  </si>
  <si>
    <t>LT2CNTR</t>
  </si>
  <si>
    <t>BLUE ALUMINUM CENTER TOP</t>
  </si>
  <si>
    <t>LT2CNTB</t>
  </si>
  <si>
    <t>LT8CNTR</t>
  </si>
  <si>
    <t>LT8CNTB</t>
  </si>
  <si>
    <t>RED ALUMINUM END TOP</t>
  </si>
  <si>
    <t>LT8SENDR</t>
  </si>
  <si>
    <t>BLUE ALUMINUM END TOP</t>
  </si>
  <si>
    <t>LT8SENDB</t>
  </si>
  <si>
    <t>LT2ENDR</t>
  </si>
  <si>
    <t>LT2ENDB</t>
  </si>
  <si>
    <t>LT8ENDR</t>
  </si>
  <si>
    <t>LT8ENDB</t>
  </si>
  <si>
    <t>LIBERTY II SMOKE LENS DIVIDER</t>
  </si>
  <si>
    <t>IBDIVIDX</t>
  </si>
  <si>
    <t>LIBERTY II 54" SMOKE CTR DOME</t>
  </si>
  <si>
    <t>IBCNTX</t>
  </si>
  <si>
    <t>LIBERTY2 48/54" SMOKE END DOME</t>
  </si>
  <si>
    <t>IB8ENDX</t>
  </si>
  <si>
    <t>LIBERTY 2 + CTR MT STROBE W/TD</t>
  </si>
  <si>
    <t>IJ500ST</t>
  </si>
  <si>
    <t>LIBERTY II ADD 1 CTR MT STROBE</t>
  </si>
  <si>
    <t>IJ500S</t>
  </si>
  <si>
    <t>LIBERTY 2 EMITTER PREWIRE W/TD</t>
  </si>
  <si>
    <t>IJ795HT</t>
  </si>
  <si>
    <t>LTBAR-MOUNTED V2V SYNC MODULE</t>
  </si>
  <si>
    <t>CLBV2V</t>
  </si>
  <si>
    <t>LIBERTY II ADD 2 3LED ALLEY LT</t>
  </si>
  <si>
    <t>IA3</t>
  </si>
  <si>
    <t>LIBERTY II + 2 LONG 12LED T-DS</t>
  </si>
  <si>
    <t>ITL12</t>
  </si>
  <si>
    <t>LIBERTY II + 2 SHORT 3LED T-DS</t>
  </si>
  <si>
    <t>ITS3</t>
  </si>
  <si>
    <t>LIBERTY II + 2 LONG 3LED T-DS</t>
  </si>
  <si>
    <t>ITL3</t>
  </si>
  <si>
    <t>LIBERTY2 48/54" SMOKE CTR DOME</t>
  </si>
  <si>
    <t>IJCNTX</t>
  </si>
  <si>
    <t>LIBERTY II 44/54" SMK END DOME</t>
  </si>
  <si>
    <t>IJ2ENDX</t>
  </si>
  <si>
    <t>LIBERTY II 48" SMOKE END DOME</t>
  </si>
  <si>
    <t>IJ8ENDX</t>
  </si>
  <si>
    <t>LIBERTY II RED CENTER DOME</t>
  </si>
  <si>
    <t>IJCNTR</t>
  </si>
  <si>
    <t>LIBERTY II BLU CENTER DOME</t>
  </si>
  <si>
    <t>IJCNTB</t>
  </si>
  <si>
    <t>LIBERTY II 44/54" B/C END DOME</t>
  </si>
  <si>
    <t>IJ2ENDE</t>
  </si>
  <si>
    <t>LIBERTY II 44/54" R/C END DOME</t>
  </si>
  <si>
    <t>IJ2ENDD</t>
  </si>
  <si>
    <t>LIBERTYII 48" BLU/CLR END DOME</t>
  </si>
  <si>
    <t>IJ8ENDE</t>
  </si>
  <si>
    <t>LIBERTYII 48" RED/CLR END DOME</t>
  </si>
  <si>
    <t>IJ8ENDD</t>
  </si>
  <si>
    <t>LIBERTY 2 DRVR SIDE CABLE EXIT</t>
  </si>
  <si>
    <t>IBDSCBL</t>
  </si>
  <si>
    <t>LIBERTY II WCX WARN/BTT BA/RA</t>
  </si>
  <si>
    <t>BBBTTMM2</t>
  </si>
  <si>
    <t>LIBERTY II WCX WARN/BTT BA/BA</t>
  </si>
  <si>
    <t>BBBTTMM</t>
  </si>
  <si>
    <t>BBBTTMK2</t>
  </si>
  <si>
    <t>BBBTTMK</t>
  </si>
  <si>
    <t>LIBERTY II WC LED BTT LT PAIR</t>
  </si>
  <si>
    <t>IWBTTLED</t>
  </si>
  <si>
    <t>LIBERTY II +1 SHORT FILTER RED</t>
  </si>
  <si>
    <t>ISFR</t>
  </si>
  <si>
    <t>LIBERTY II +1 SHORT FILTER BLU</t>
  </si>
  <si>
    <t>ISFB</t>
  </si>
  <si>
    <t>LIBERTY II +1 SHORT FILTER AMB</t>
  </si>
  <si>
    <t>ISFA</t>
  </si>
  <si>
    <t>LIBERTY II + 1 LONG FILTER RED</t>
  </si>
  <si>
    <t>ILFR</t>
  </si>
  <si>
    <t>LIBERTY II + 1 LONG FILTER GRN</t>
  </si>
  <si>
    <t>ILFG</t>
  </si>
  <si>
    <t>LIBERTY II + 1 LONG FILTER BLU</t>
  </si>
  <si>
    <t>ILFB</t>
  </si>
  <si>
    <t>LIBERTY II + 1 LONG FILTER AMB</t>
  </si>
  <si>
    <t>ILFA</t>
  </si>
  <si>
    <t>LIBERTYII +1 CORNER FILTER RED</t>
  </si>
  <si>
    <t>ICFR</t>
  </si>
  <si>
    <t>LIBERTYII +1 CORNER FILTER BLU</t>
  </si>
  <si>
    <t>ICFB</t>
  </si>
  <si>
    <t>LIBERTYII +1 CORNER FILTER AMB</t>
  </si>
  <si>
    <t>ICFA</t>
  </si>
  <si>
    <t>OPT. +1 SHORT 3LED TD&amp;R/A WARN</t>
  </si>
  <si>
    <t>IBTS3K</t>
  </si>
  <si>
    <t>OPT.+1 SHORT 3 LED TD&amp;A/W WARN</t>
  </si>
  <si>
    <t>IBTS3F</t>
  </si>
  <si>
    <t>OPT, +1 SHORT 3LED TD&amp;B/W WARN</t>
  </si>
  <si>
    <t>IBTS3E</t>
  </si>
  <si>
    <t>OPT, +1 SHORT 3LED TD&amp;R/W WARN</t>
  </si>
  <si>
    <t>IBTS3D</t>
  </si>
  <si>
    <t>OPT, +1 SHORT 3LED TD&amp;WHT WARN</t>
  </si>
  <si>
    <t>IBTS3C</t>
  </si>
  <si>
    <t>LIBERTY II + 1 DUAL LINEAR B/A</t>
  </si>
  <si>
    <t>IJDCM</t>
  </si>
  <si>
    <t>LIBERTY II + 1 DUAL LINEAR R/A</t>
  </si>
  <si>
    <t>IJDCK</t>
  </si>
  <si>
    <t>LIBERTY II + 1 DUAL LINEAR R/B</t>
  </si>
  <si>
    <t>IJDCJ</t>
  </si>
  <si>
    <t>LIBERTY II + 1 DUAL LINEAR W/A</t>
  </si>
  <si>
    <t>IJDCF</t>
  </si>
  <si>
    <t>LIBERTY II + 1 DUAL LINEAR B/W</t>
  </si>
  <si>
    <t>IJDCE</t>
  </si>
  <si>
    <t>LIBERTY II + 1 DUAL LINEAR R/W</t>
  </si>
  <si>
    <t>IJDCD</t>
  </si>
  <si>
    <t>LIBERTY II + 1 DUAL LINEAR RED</t>
  </si>
  <si>
    <t>IJDCR</t>
  </si>
  <si>
    <t>LIBERTY II + 1 DUAL LINEAR WHT</t>
  </si>
  <si>
    <t>IJDCC</t>
  </si>
  <si>
    <t>LIBERTY II + 1 DUAL LINEAR BLU</t>
  </si>
  <si>
    <t>IJDCB</t>
  </si>
  <si>
    <t>LIBERTY II + 1 DUAL LINEAR AMB</t>
  </si>
  <si>
    <t>IJDCA</t>
  </si>
  <si>
    <t>LIBERTY II ADD PROFOCUS T-D PR</t>
  </si>
  <si>
    <t>ITLPF2</t>
  </si>
  <si>
    <t>LIBERTY II + 2 A-P TAKE-DOWNS</t>
  </si>
  <si>
    <t>ITSSF2</t>
  </si>
  <si>
    <t>LIBERTY II + 1 SHORT 6LED B/A</t>
  </si>
  <si>
    <t>IBDSM</t>
  </si>
  <si>
    <t>LIBERTY II + 1 SHORT 6LED R/G</t>
  </si>
  <si>
    <t>IBDSL</t>
  </si>
  <si>
    <t>LIBERTY II + 1 SHORT 6LED R/A</t>
  </si>
  <si>
    <t>IBDSK</t>
  </si>
  <si>
    <t>LIBERTY II + 1 SHORT 6LED R/B</t>
  </si>
  <si>
    <t>IBDSJ</t>
  </si>
  <si>
    <t>LIBERTY II + 1 SHORT 6LED G/W</t>
  </si>
  <si>
    <t>IBDSH</t>
  </si>
  <si>
    <t>LIBERTY II + 1 SHORT 6LED W/A</t>
  </si>
  <si>
    <t>IBDSF</t>
  </si>
  <si>
    <t>LIBERTY II + 1 SHORT 6LED B/W</t>
  </si>
  <si>
    <t>IBDSE</t>
  </si>
  <si>
    <t>LIBERTY II + 1 SHORT 6LED R/W</t>
  </si>
  <si>
    <t>IBDSD</t>
  </si>
  <si>
    <t>LIBERTY II + 1 SHORT 6LED RED</t>
  </si>
  <si>
    <t>IBDSR</t>
  </si>
  <si>
    <t>LIBERTY II + 1 SHORT 6LED GRN</t>
  </si>
  <si>
    <t>IBDSG</t>
  </si>
  <si>
    <t>LIBERTY II + 1 SHORT 6LED WHT</t>
  </si>
  <si>
    <t>IBDSC</t>
  </si>
  <si>
    <t>LIBERTY II + 1 SHORT 6LED BLU</t>
  </si>
  <si>
    <t>IBDSB</t>
  </si>
  <si>
    <t>LIBERTY II + 1 SHORT 6LED AMB</t>
  </si>
  <si>
    <t>IBDSA</t>
  </si>
  <si>
    <t>LIBERTY II + 1 LONG 12LED B/A</t>
  </si>
  <si>
    <t>IBDLM</t>
  </si>
  <si>
    <t>LIBERTY II + 1 LONG 12LED R/G</t>
  </si>
  <si>
    <t>IBDLL</t>
  </si>
  <si>
    <t>LIBERTY II + 1 LONG 12LED R/A</t>
  </si>
  <si>
    <t>IBDLK</t>
  </si>
  <si>
    <t>LIBERTY II + 1 LONG 12LED R/B</t>
  </si>
  <si>
    <t>IBDLJ</t>
  </si>
  <si>
    <t>LIBERTY II + 1 LONG 12LED G/W</t>
  </si>
  <si>
    <t>IBDLH</t>
  </si>
  <si>
    <t>LIBERTY II + 1 LONG 12LED W/A</t>
  </si>
  <si>
    <t>IBDLF</t>
  </si>
  <si>
    <t>LIBERTY II + 1 LONG 12LED B/W</t>
  </si>
  <si>
    <t>IBDLE</t>
  </si>
  <si>
    <t>LIBERTY II + 1 LONG 12LED R/W</t>
  </si>
  <si>
    <t>IBDLD</t>
  </si>
  <si>
    <t>LIBERTY II + 1 LONG 12LED RED</t>
  </si>
  <si>
    <t>IBDLR</t>
  </si>
  <si>
    <t>LIBERTY II + 1 LONG 12LED GRN</t>
  </si>
  <si>
    <t>IBDLG</t>
  </si>
  <si>
    <t>LIBERTY II + 1 LONG 12LED WHT</t>
  </si>
  <si>
    <t>IBDLC</t>
  </si>
  <si>
    <t>LIBERTY II + 1 LONG 12LED BLU</t>
  </si>
  <si>
    <t>IBDLB</t>
  </si>
  <si>
    <t>LIBERTY II + 1 LONG 12LED AMB</t>
  </si>
  <si>
    <t>IBDLA</t>
  </si>
  <si>
    <t>LIBERTY II DUO WC 48" M/M/M/M</t>
  </si>
  <si>
    <t>IB8MMMM</t>
  </si>
  <si>
    <t>LIBERTY II DUO WC 48" L/L/L/L</t>
  </si>
  <si>
    <t>IB8LLLL</t>
  </si>
  <si>
    <t>LIBERTY II DUO WC 48" K/M/K/M</t>
  </si>
  <si>
    <t>IB8KMKM</t>
  </si>
  <si>
    <t>LIBERTY II DUO WC 48" K/K/K/K</t>
  </si>
  <si>
    <t>IB8KKKK</t>
  </si>
  <si>
    <t>LIBERTY II DUO WC 48" J/J/J/J</t>
  </si>
  <si>
    <t>IB8JJJJ</t>
  </si>
  <si>
    <t>LIBERTY II DUO WC 48" F/M/F/K</t>
  </si>
  <si>
    <t>IB8FMFK</t>
  </si>
  <si>
    <t>LIBERTY II DUO WC 48" F/K/F/K</t>
  </si>
  <si>
    <t>IB8FKFK</t>
  </si>
  <si>
    <t>LIBERTY II DUO WC 48" F/F/F/F</t>
  </si>
  <si>
    <t>IB8FFFF</t>
  </si>
  <si>
    <t>LIBERTY II DUO WC 48" E/M/E/M</t>
  </si>
  <si>
    <t>IB8EMEM</t>
  </si>
  <si>
    <t>LIBERTY II DUO WC 48" E/J/D/J</t>
  </si>
  <si>
    <t>IB8EJDJ</t>
  </si>
  <si>
    <t>LIBERTY II DUO WC 48" E/F/D/F</t>
  </si>
  <si>
    <t>IB8EFDF</t>
  </si>
  <si>
    <t>LIBERTY II DUO WC 48" E/E/E/E</t>
  </si>
  <si>
    <t>IB8EEEE</t>
  </si>
  <si>
    <t>LIBERTY II DUO WC 48" E/E/D/E</t>
  </si>
  <si>
    <t>IB8EEDE</t>
  </si>
  <si>
    <t>LIBERTY II DUO WC 48" E/E/D/D</t>
  </si>
  <si>
    <t>IB8EEDD</t>
  </si>
  <si>
    <t>LIBERTY II DUO WC D/M/E/K</t>
  </si>
  <si>
    <t>IB8DMEK</t>
  </si>
  <si>
    <t>LIBERTY II DUO WC 48" D/K/D/K</t>
  </si>
  <si>
    <t>IB8DKDK</t>
  </si>
  <si>
    <t>LIBERTY II DUO WC 48" D/J/E/J</t>
  </si>
  <si>
    <t>IB8DJEJ</t>
  </si>
  <si>
    <t>LIBERTY II DUO WC 48" D/F/D/F</t>
  </si>
  <si>
    <t>IB8DFDF</t>
  </si>
  <si>
    <t>LIBERTY II DUO WC 48" D/E/E/E</t>
  </si>
  <si>
    <t>IB8DEEE</t>
  </si>
  <si>
    <t>LIBERTY II DUO WC 48" D/E/D/E</t>
  </si>
  <si>
    <t>IB8DEDE</t>
  </si>
  <si>
    <t>LIBERTY II DUO WC 48" D/E/D/D</t>
  </si>
  <si>
    <t>IB8DEDD</t>
  </si>
  <si>
    <t>LIBERTY II DUO WC 48" D/D/E/E</t>
  </si>
  <si>
    <t>IB8DDEE</t>
  </si>
  <si>
    <t>LIBERTY II DUO WC D/D/D/E</t>
  </si>
  <si>
    <t>IB8DDDE</t>
  </si>
  <si>
    <t>LIBERTY II DUO WC 48" D/D/D/D</t>
  </si>
  <si>
    <t>IB8DDDD</t>
  </si>
  <si>
    <t>LIBERTY II DUO WC 44" M/M/M/M</t>
  </si>
  <si>
    <t>IB4MMMM</t>
  </si>
  <si>
    <t>LIBERTY II DUO WC 44" L/L/L/L</t>
  </si>
  <si>
    <t>IB4LLLL</t>
  </si>
  <si>
    <t>LIBERTY II DUO WC 44" J/J/J/J</t>
  </si>
  <si>
    <t>IB4JJJJ</t>
  </si>
  <si>
    <t>LIBERTY II DUO WC 44" F/F/F/F</t>
  </si>
  <si>
    <t>IB4FFFF</t>
  </si>
  <si>
    <t>LIBERTY II DUO WC 44" E/E/E/E</t>
  </si>
  <si>
    <t>IB4EEEE</t>
  </si>
  <si>
    <t>LIBERTY II DUO WC 44" D/E/D/E</t>
  </si>
  <si>
    <t>IB4DEDE</t>
  </si>
  <si>
    <t>LIBERTY II DUO WC 44" D/D/D/D</t>
  </si>
  <si>
    <t>IB4DDDD</t>
  </si>
  <si>
    <t>LIBERTY II DUO WC 54" CTR MMMM</t>
  </si>
  <si>
    <t>IJ2MMMM</t>
  </si>
  <si>
    <t>LIBERTY II DUO WC 54" CTR LLLL</t>
  </si>
  <si>
    <t>IJ2LLLL</t>
  </si>
  <si>
    <t>LIBERTY II DUO WC 54" CTR KMKM</t>
  </si>
  <si>
    <t>IJ2KMKM</t>
  </si>
  <si>
    <t>LIBERTY II DUO WC 54" CTR KKMM</t>
  </si>
  <si>
    <t>IJ2KKMM</t>
  </si>
  <si>
    <t>LIBERTY II DUO WC 54" CTR KKKK</t>
  </si>
  <si>
    <t>IJ2KKKK</t>
  </si>
  <si>
    <t>LIBEERTY II DUO 54" CTR JJJJ</t>
  </si>
  <si>
    <t>IJ2JJJJ</t>
  </si>
  <si>
    <t>LIBERTY II DUO WC 54" CTR HHHH</t>
  </si>
  <si>
    <t>IJ2HHHH</t>
  </si>
  <si>
    <t>LIBERTY II DUO WC 54" CTR FFFF</t>
  </si>
  <si>
    <t>IJ2FFFF</t>
  </si>
  <si>
    <t>LIBERTY II DUO WC 54" CTR EMEM</t>
  </si>
  <si>
    <t>IJ2EMEM</t>
  </si>
  <si>
    <t>LIBERTY II DUO WC 54" CTR EEEE</t>
  </si>
  <si>
    <t>IJ2EEEE</t>
  </si>
  <si>
    <t>LIBERTY II DUO WC 54" CTR EEDE</t>
  </si>
  <si>
    <t>IJ2EEDE</t>
  </si>
  <si>
    <t>LIBERTY II DUO WC 54" CTR DMEK</t>
  </si>
  <si>
    <t>IJ2DMEK</t>
  </si>
  <si>
    <t>LIBERTY II DUO WC 54" CTR DMDK</t>
  </si>
  <si>
    <t>IJ2DMDK</t>
  </si>
  <si>
    <t>LIBERTY II DUO WC 54" CTR DMDE</t>
  </si>
  <si>
    <t>IJ2DMDE</t>
  </si>
  <si>
    <t>LIBERTY II DUO WC 54" CTR DLDL</t>
  </si>
  <si>
    <t>IJ2DLDL</t>
  </si>
  <si>
    <t>LIBERTY II DUO WC 54" DKEM</t>
  </si>
  <si>
    <t>IJ2DKEM</t>
  </si>
  <si>
    <t>LIBERTY II DUO WC 54" CTR DKDK</t>
  </si>
  <si>
    <t>IJ2DKDK</t>
  </si>
  <si>
    <t>LIBERTY II DUO WC 54" CTR DJEJ</t>
  </si>
  <si>
    <t>IJ2DJEJ</t>
  </si>
  <si>
    <t>LIBERTY II DUO WC 54" CTR DJDJ</t>
  </si>
  <si>
    <t>IJ2DJDJ</t>
  </si>
  <si>
    <t>LIBERTY II DUO WC 54" CTR DEDE</t>
  </si>
  <si>
    <t>IJ2DEDE</t>
  </si>
  <si>
    <t>LIBERTY II DUO WC 54" DDEE</t>
  </si>
  <si>
    <t>IJ2DDEE</t>
  </si>
  <si>
    <t>LIBERTY II DUO WC 54" DDDE</t>
  </si>
  <si>
    <t>IJ2DDDE</t>
  </si>
  <si>
    <t>LIBERTY II DUO WC 54" CTR DDDD</t>
  </si>
  <si>
    <t>IJ2DDDD</t>
  </si>
  <si>
    <t>LIBERTY II DUO WC 54" CTR RRRR</t>
  </si>
  <si>
    <t>IJ2RRRR</t>
  </si>
  <si>
    <t>LIBERTY II DUO WC 54" CTR BRBR</t>
  </si>
  <si>
    <t>IJ2BRBR</t>
  </si>
  <si>
    <t>LIBERTY II DUO WC 54" CTR BBBB</t>
  </si>
  <si>
    <t>IJ2BBBB</t>
  </si>
  <si>
    <t>LIBERTY II DUO WC 54" CTR AAAA</t>
  </si>
  <si>
    <t>IJ2AAAA</t>
  </si>
  <si>
    <t>LIBERTY II DUO WC 54" M/M/M/M</t>
  </si>
  <si>
    <t>IB2MMMM</t>
  </si>
  <si>
    <t>LIBERTY II DUO WC 54" L/L/L/L</t>
  </si>
  <si>
    <t>IB2LLLL</t>
  </si>
  <si>
    <t>LIBERTY II DUO WC 54" K/M/K/M</t>
  </si>
  <si>
    <t>IB2KMKM</t>
  </si>
  <si>
    <t>LIBERTY II DUO WC 54" K/K/K/M</t>
  </si>
  <si>
    <t>IB2KKKM</t>
  </si>
  <si>
    <t>LIBERTY II DUO WC 54" K/K/K/K</t>
  </si>
  <si>
    <t>IB2KKKK</t>
  </si>
  <si>
    <t>LIBERTY II DUO WC 54" J/M/J/M</t>
  </si>
  <si>
    <t>IB2JMJM</t>
  </si>
  <si>
    <t>LIBERTY II DUO WC 54" J/K/J/K</t>
  </si>
  <si>
    <t>IB2JKJK</t>
  </si>
  <si>
    <t>LIBERTY II DUO WC 54" J/J/J/J</t>
  </si>
  <si>
    <t>IB2JJJJ</t>
  </si>
  <si>
    <t>LIBERTY II DUO WC 54" H/H/H/H</t>
  </si>
  <si>
    <t>IB2HHHH</t>
  </si>
  <si>
    <t>LIBERTY II DUO WC 54" F/M/F/M</t>
  </si>
  <si>
    <t>IB2FMFM</t>
  </si>
  <si>
    <t>LIBERTY II DUO WC 54" F/M/D/F</t>
  </si>
  <si>
    <t>IB2FMDF</t>
  </si>
  <si>
    <t>LIBERTY II DUO WC 54" F/K/F/K</t>
  </si>
  <si>
    <t>IB2FKFK</t>
  </si>
  <si>
    <t>LIBERTY II DUO WC 54" F/J/F/J</t>
  </si>
  <si>
    <t>IB2FJFJ</t>
  </si>
  <si>
    <t>LIBERTY II DUO WC 54" F/H/F/H</t>
  </si>
  <si>
    <t>IB2FHFH</t>
  </si>
  <si>
    <t>LIBERTY II DUO WC 54" F/F/F/F</t>
  </si>
  <si>
    <t>IB2FFFF</t>
  </si>
  <si>
    <t>LIBERTY II DUO WC 54" F/F/D/F</t>
  </si>
  <si>
    <t>IB2FFDF</t>
  </si>
  <si>
    <t>LIBERTY II DUO WC 54" E/M/E/M</t>
  </si>
  <si>
    <t>IB2EMEM</t>
  </si>
  <si>
    <t>LIBERTY II DUO WC 54" E/M/D/K</t>
  </si>
  <si>
    <t>IB2EMDK</t>
  </si>
  <si>
    <t>LIBERTY II DUO WC 54" E/J/E/J</t>
  </si>
  <si>
    <t>IB2EJEJ</t>
  </si>
  <si>
    <t>LIBERTY II DUO WC 54" E/F/E/F</t>
  </si>
  <si>
    <t>IB2EFEF</t>
  </si>
  <si>
    <t>LIBERTY II DUO WC 54" E/F/D/F</t>
  </si>
  <si>
    <t>IB2EFDF</t>
  </si>
  <si>
    <t>LIBERTY II DUO WC 54" E/E/K/K</t>
  </si>
  <si>
    <t>IB2EEKK</t>
  </si>
  <si>
    <t>LIBERTY II DUO WC 54" E/E/E/E</t>
  </si>
  <si>
    <t>IB2EEEE</t>
  </si>
  <si>
    <t>LIBERTY II DUO WC 54" E/E/D/E</t>
  </si>
  <si>
    <t>IB2EEDE</t>
  </si>
  <si>
    <t>LIBERTY II DUO WC 54" E/E/D/D</t>
  </si>
  <si>
    <t>IB2EEDD</t>
  </si>
  <si>
    <t>LIBERTY II DUO WC 54" D/M/E/K</t>
  </si>
  <si>
    <t>IB2DMEK</t>
  </si>
  <si>
    <t>LIBERTY II DUO WC 54" D/M/D/K</t>
  </si>
  <si>
    <t>IB2DMDK</t>
  </si>
  <si>
    <t>LIBERTY II DUO WC 54" D/L/D/L</t>
  </si>
  <si>
    <t>IB2DLDL</t>
  </si>
  <si>
    <t>LIBERTY II DUO WC 54" D/K/D/K</t>
  </si>
  <si>
    <t>IB2DKDK</t>
  </si>
  <si>
    <t>LIBERTY II DUO WC 54" D/J/E/J</t>
  </si>
  <si>
    <t>IB2DJEJ</t>
  </si>
  <si>
    <t>LIBERTY II DUO WC 54" D/J/D/J</t>
  </si>
  <si>
    <t>IB2DJDJ</t>
  </si>
  <si>
    <t>LIBERTY II DUO WC 54" D/J/D/D</t>
  </si>
  <si>
    <t>IB2DJDD</t>
  </si>
  <si>
    <t>LIBERTY II DUO WC 54" D/F/D/F</t>
  </si>
  <si>
    <t>IB2DFDF</t>
  </si>
  <si>
    <t>LIBERTY II DUO WC D/E/E/E</t>
  </si>
  <si>
    <t>IB2DEEE</t>
  </si>
  <si>
    <t>LIBERTY II DUO WC 54" D/E/D/E</t>
  </si>
  <si>
    <t>IB2DEDE</t>
  </si>
  <si>
    <t>LIBERTY II DUO WC 54" D/E/D/D</t>
  </si>
  <si>
    <t>IB2DEDD</t>
  </si>
  <si>
    <t>LIBERTY II DUO WC D/D/E/E</t>
  </si>
  <si>
    <t>IB2DDEE</t>
  </si>
  <si>
    <t>LIBERTY II DUO WC 54" D/D/D/E</t>
  </si>
  <si>
    <t>IB2DDDE</t>
  </si>
  <si>
    <t>LIBERTY II DUO WC 54" D/D/D/D</t>
  </si>
  <si>
    <t>IB2DDDD</t>
  </si>
  <si>
    <t>LIBERTY II DUO WC 48" CTR LLLL</t>
  </si>
  <si>
    <t>IJ8LLLL</t>
  </si>
  <si>
    <t>LIBERTY II DUO WC CTR KMKM</t>
  </si>
  <si>
    <t>IJ8KMKM</t>
  </si>
  <si>
    <t>LIBERTY II DUO WC 48" CTR KKKK</t>
  </si>
  <si>
    <t>IJ8KKKK</t>
  </si>
  <si>
    <t>LIBERTY II DUO WC 48" CTR JJJJ</t>
  </si>
  <si>
    <t>IJ8JJJJ</t>
  </si>
  <si>
    <t>LIBERTY II DUO WC 48" CTR HHHH</t>
  </si>
  <si>
    <t>IJ8HHHH</t>
  </si>
  <si>
    <t>LIBERTY II DUO WC 48" CTR FKFK</t>
  </si>
  <si>
    <t>IJ8FKFK</t>
  </si>
  <si>
    <t>LIBERTY II DUO WC 48" CTR FFFF</t>
  </si>
  <si>
    <t>IJ8FFFF</t>
  </si>
  <si>
    <t>LIBERTY II DUO WC 48" EEEE</t>
  </si>
  <si>
    <t>IJ8EEEE</t>
  </si>
  <si>
    <t>LIBERTY II DUO WC CTR DMEK</t>
  </si>
  <si>
    <t>IJ8DMEK</t>
  </si>
  <si>
    <t>LIBERTY II DUO WC CTR DMDE</t>
  </si>
  <si>
    <t>IJ8DMDE</t>
  </si>
  <si>
    <t>LIBERTY II DUO WC 48" CTR DKDK</t>
  </si>
  <si>
    <t>IJ8DKDK</t>
  </si>
  <si>
    <t>LIBERTY II DUO WC 48" CTR DJEJ</t>
  </si>
  <si>
    <t>IJ8DJEJ</t>
  </si>
  <si>
    <t>LIBERTY II DUO WC 48" CTR DJDJ</t>
  </si>
  <si>
    <t>IJ8DJDJ</t>
  </si>
  <si>
    <t>LIBERTY II DUO WC 48" CTR DHDH</t>
  </si>
  <si>
    <t>IJ8DHDH</t>
  </si>
  <si>
    <t>LIBERTY II DUO WC CTR DFEF</t>
  </si>
  <si>
    <t>IJ8DFEF</t>
  </si>
  <si>
    <t>LIBERTY II DUO WC CTR DFDF</t>
  </si>
  <si>
    <t>IJ8DFDF</t>
  </si>
  <si>
    <t>LIBERTY II DUO WC 48" CTR DEEE</t>
  </si>
  <si>
    <t>IJ8DEEE</t>
  </si>
  <si>
    <t>LIBERTY II DUO WC 48" CTR DEDE</t>
  </si>
  <si>
    <t>IJ8DEDE</t>
  </si>
  <si>
    <t>LIBERTY II DUO WC 48" CTR DDEE</t>
  </si>
  <si>
    <t>IJ8DDEE</t>
  </si>
  <si>
    <t>LIBERTY II DUO WC 48" CTR DDDD</t>
  </si>
  <si>
    <t>IJ8DDDD</t>
  </si>
  <si>
    <t>LIBERTY II DUO WC 48" CTR BRBR</t>
  </si>
  <si>
    <t>IJ8BRBR</t>
  </si>
  <si>
    <t>LIBERTY II DUO WC 48" AAAA</t>
  </si>
  <si>
    <t>IJ8AAAA</t>
  </si>
  <si>
    <t>LIBERTY II DUO WC 54" R/R/R/R</t>
  </si>
  <si>
    <t>IB2RRRR</t>
  </si>
  <si>
    <t>LIBERTY II DUO WC 54" B/R/B/R</t>
  </si>
  <si>
    <t>IB2BRBR</t>
  </si>
  <si>
    <t>LIBERTY II DUO WC 54" B/B/R/R</t>
  </si>
  <si>
    <t>IB2BBRR</t>
  </si>
  <si>
    <t>LIBERTY II DUO WC 54" B/B/B/B</t>
  </si>
  <si>
    <t>IB2BBBB</t>
  </si>
  <si>
    <t>LIBERTY II DUO WC 54" A/A/A/A</t>
  </si>
  <si>
    <t>IB2AAAA</t>
  </si>
  <si>
    <t>LIBERTY II DUO WC 48" R/R/R/R</t>
  </si>
  <si>
    <t>IB8RRRR</t>
  </si>
  <si>
    <t>LIBERTY II DUO WC 48" W/W/W/W</t>
  </si>
  <si>
    <t>IB8CCCC</t>
  </si>
  <si>
    <t>LIBERTY II DUO WC 48" B/R/B/R</t>
  </si>
  <si>
    <t>IB8BRBR</t>
  </si>
  <si>
    <t>LIBERTY II DUO WC 48" B/B/R/R</t>
  </si>
  <si>
    <t>IB8BBRR</t>
  </si>
  <si>
    <t>LIBERTY II DUO WC 48" B/B/B/B</t>
  </si>
  <si>
    <t>IB8BBBB</t>
  </si>
  <si>
    <t>LIBERTY II DUO WC 48" A/B/A/B</t>
  </si>
  <si>
    <t>IB8ABAB</t>
  </si>
  <si>
    <t>LIBERTY II DUO WC 48" A/A/A/A</t>
  </si>
  <si>
    <t>IB8AAAA</t>
  </si>
  <si>
    <t>LIBERTY II DUO WCX 54" M/M/M/M</t>
  </si>
  <si>
    <t>BB2MMMM</t>
  </si>
  <si>
    <t>LIBERTY II DUO WCX 54" M/M/J/M</t>
  </si>
  <si>
    <t>BB2MMJM</t>
  </si>
  <si>
    <t>LIBERTY II DUO WCX 54" L/L/L/L</t>
  </si>
  <si>
    <t>BB2LLLL</t>
  </si>
  <si>
    <t>LIBERTY II DUO WCX 54" K/M/K/M</t>
  </si>
  <si>
    <t>BB2KMKM</t>
  </si>
  <si>
    <t>LIBERTY II DUO WCX 54" K/K/K/K</t>
  </si>
  <si>
    <t>BB2KKKK</t>
  </si>
  <si>
    <t>LIBERTY II DUO WCX 54" J/M/J/M</t>
  </si>
  <si>
    <t>BB2JMJM</t>
  </si>
  <si>
    <t>LIBERTY II DUO WCX 54" J/J/J/J</t>
  </si>
  <si>
    <t>BB2JJJJ</t>
  </si>
  <si>
    <t>LIBERTY II DUO WCX 54" H/H/H/H</t>
  </si>
  <si>
    <t>BB2HHHH</t>
  </si>
  <si>
    <t>LIBERTY II DUO WCX 54" F/J/F/K</t>
  </si>
  <si>
    <t>BB2FJFK</t>
  </si>
  <si>
    <t>LIBERTY II DUO WCX 54" F/J/F/J</t>
  </si>
  <si>
    <t>BB2FJFJ</t>
  </si>
  <si>
    <t>LIBERTY II DUO WCX 54" F/F/F/F</t>
  </si>
  <si>
    <t>BB2FFFF</t>
  </si>
  <si>
    <t>LIBERTY II DUO WCX 54" E/J/E/J</t>
  </si>
  <si>
    <t>BB2EJEJ</t>
  </si>
  <si>
    <t>LIBERTY II DUO WCX 54" E/F/E/F</t>
  </si>
  <si>
    <t>BB2EFEF</t>
  </si>
  <si>
    <t>LIBERTY II DUO WCX 54" E/F/D/F</t>
  </si>
  <si>
    <t>BB2EFDF</t>
  </si>
  <si>
    <t>LIBERTY II DUO WCX 54" E/E/E/E</t>
  </si>
  <si>
    <t>BB2EEEE</t>
  </si>
  <si>
    <t>LIBERTY II DUO WCX 54" E/E/D/D</t>
  </si>
  <si>
    <t>BB2EEDD</t>
  </si>
  <si>
    <t>LIBERTY II DUO WCX 54" D/M/D/K</t>
  </si>
  <si>
    <t>BB2DMDK</t>
  </si>
  <si>
    <t>LIBERTY II DUO WCX 54" D/L/D/L</t>
  </si>
  <si>
    <t>BB2DLDL</t>
  </si>
  <si>
    <t>LIBERTY II DUO WCX 54" D/K/F/K</t>
  </si>
  <si>
    <t>BB2DKFK</t>
  </si>
  <si>
    <t>LIBERTY II DUO WCX 54" D/K/D/K</t>
  </si>
  <si>
    <t>BB2DKDK</t>
  </si>
  <si>
    <t>LIBERTY II DUO WCX 54" D/J/J/J</t>
  </si>
  <si>
    <t>BB2DJJJ</t>
  </si>
  <si>
    <t>LIBERTY II DUO WCX 54" D/J/E/J</t>
  </si>
  <si>
    <t>BB2DJEJ</t>
  </si>
  <si>
    <t>LIBERTY II DUO WCX 54" D/J/D/J</t>
  </si>
  <si>
    <t>BB2DJDJ</t>
  </si>
  <si>
    <t>LIBERTY II DUO WCX 54" D/F/D/F</t>
  </si>
  <si>
    <t>BB2DFDF</t>
  </si>
  <si>
    <t>LIBERTY II DUO WCX 54" D/E/D/E</t>
  </si>
  <si>
    <t>BB2DEDE</t>
  </si>
  <si>
    <t>LIBERTY II DUO WCX 54" D/E/D/D</t>
  </si>
  <si>
    <t>BB2DEDD</t>
  </si>
  <si>
    <t>LIBERTY II DUO WCX 54" D/D/E/E</t>
  </si>
  <si>
    <t>BB2DDEE</t>
  </si>
  <si>
    <t>LIBERTY II DUO WCX 54" D/D/D/H</t>
  </si>
  <si>
    <t>BB2DDDH</t>
  </si>
  <si>
    <t>LIBERTY II DUO WCX 54" D/D/D/E</t>
  </si>
  <si>
    <t>BB2DDDE</t>
  </si>
  <si>
    <t>LIBERTY II DUO WCX 54" D/D/D/D</t>
  </si>
  <si>
    <t>BB2DDDD</t>
  </si>
  <si>
    <t>LIBERTY II DUO WCX 48" M/M/M/M</t>
  </si>
  <si>
    <t>BB8MMMM</t>
  </si>
  <si>
    <t>LIBERTY II DUO WCX 48" L/L/L/L</t>
  </si>
  <si>
    <t>BB8LLLL</t>
  </si>
  <si>
    <t>LIBERTY II DUO WCX 48" K/M/K/M</t>
  </si>
  <si>
    <t>BB8KMKM</t>
  </si>
  <si>
    <t>LIBERTY II DUO WCX 48" K/K/K/K</t>
  </si>
  <si>
    <t>BB8KKKK</t>
  </si>
  <si>
    <t>LIBERTY II DUO WCX 48" J/J/J/J</t>
  </si>
  <si>
    <t>BB8JJJJ</t>
  </si>
  <si>
    <t>LIBERTY II DUO WCX 48" F/F/F/F</t>
  </si>
  <si>
    <t>BB8FFFF</t>
  </si>
  <si>
    <t>LIBERTY II DUO WCX 48" E/F/D/F</t>
  </si>
  <si>
    <t>BB8EFDF</t>
  </si>
  <si>
    <t>LIBERTY II DUO WCX 48" E/E/E/E</t>
  </si>
  <si>
    <t>BB8EEEE</t>
  </si>
  <si>
    <t>LIBERTY II DUO WCX E/E/D/D</t>
  </si>
  <si>
    <t>BB8EEDD</t>
  </si>
  <si>
    <t>LIBERTY II DUO WCX 48" D/M/E/K</t>
  </si>
  <si>
    <t>BB8DMEK</t>
  </si>
  <si>
    <t>LIBERTY II DUO WCX 48" D/J/D/J</t>
  </si>
  <si>
    <t>BB8DJDJ</t>
  </si>
  <si>
    <t>LIBERTY II DUO WCX 48" D/F/D/F</t>
  </si>
  <si>
    <t>BB8DFDF</t>
  </si>
  <si>
    <t>LIBERTY II DUO WCX 48" D/E/D/E</t>
  </si>
  <si>
    <t>BB8DEDE</t>
  </si>
  <si>
    <t>LIBERTY II DUO WCX 48" D/E/D/D</t>
  </si>
  <si>
    <t>BB8DEDD</t>
  </si>
  <si>
    <t>LIBERTY II DUO WCX 48" D/D/E/E</t>
  </si>
  <si>
    <t>BB8DDEE</t>
  </si>
  <si>
    <t>LIBERTY II DUO WCX 48" D/D/D/E</t>
  </si>
  <si>
    <t>BB8DDDE</t>
  </si>
  <si>
    <t>LIBERTY II DUO WCX 48" D/D/D/D</t>
  </si>
  <si>
    <t>BB8DDDD</t>
  </si>
  <si>
    <t>LIBERTY II DUO WCX 44" L/L/L/L</t>
  </si>
  <si>
    <t>BB4LLLL</t>
  </si>
  <si>
    <t>LIBERTY II DUO WCX 44" F/F/F/F</t>
  </si>
  <si>
    <t>BB4FFFF</t>
  </si>
  <si>
    <t>LIBERTY II DUO WCX 44" E/E/E/E</t>
  </si>
  <si>
    <t>BB4EEEE</t>
  </si>
  <si>
    <t>LIBERTY II DUO WCX 44" D/E/D/E</t>
  </si>
  <si>
    <t>BB4DEDE</t>
  </si>
  <si>
    <t>LIBERTY II DUO WCX 44" D/D/D/D</t>
  </si>
  <si>
    <t>BB4DDDD</t>
  </si>
  <si>
    <t>LIBERTYII DUO WCX 54" CTR MMMM</t>
  </si>
  <si>
    <t>BJ2MMMM</t>
  </si>
  <si>
    <t>LIBERTYII DUO WCX 54" CTR LLLL</t>
  </si>
  <si>
    <t>BJ2LLLL</t>
  </si>
  <si>
    <t>LIBERTYII DUO WCX 54" KMKM</t>
  </si>
  <si>
    <t>BJ2KMKM</t>
  </si>
  <si>
    <t>LIBERTYII DUO WCX 54" CTR KKLL</t>
  </si>
  <si>
    <t>BJ2KKLL</t>
  </si>
  <si>
    <t>LIBERTYII DUO WCX 54" KKKK</t>
  </si>
  <si>
    <t>BJ2KKKK</t>
  </si>
  <si>
    <t>LIBERTYII DUO WCX 54" CTR JJJJ</t>
  </si>
  <si>
    <t>BJ2JJJJ</t>
  </si>
  <si>
    <t>LIBERTYII DUO WCX 54" CTR HHHH</t>
  </si>
  <si>
    <t>BJ2HHHH</t>
  </si>
  <si>
    <t>LIBERTYII DUO WCX 54" CTR FFFF</t>
  </si>
  <si>
    <t>BJ2FFFF</t>
  </si>
  <si>
    <t>LIBERTYII DUO WCX 54" EMEM</t>
  </si>
  <si>
    <t>BJ2EMEM</t>
  </si>
  <si>
    <t>LIBERTYII DUO WCX 54" CTR EEEE</t>
  </si>
  <si>
    <t>BJ2EEEE</t>
  </si>
  <si>
    <t>LIBERTYII DUO WCX 54" CTR EEDE</t>
  </si>
  <si>
    <t>BJ2EEDE</t>
  </si>
  <si>
    <t>LIBERTYII DUO WCX 54" CTR DLDL</t>
  </si>
  <si>
    <t>BJ2DLDL</t>
  </si>
  <si>
    <t>LIBERTY II DUO WCX 54" DKEM</t>
  </si>
  <si>
    <t>BJ2DKEM</t>
  </si>
  <si>
    <t>LIBERTY II DUO WCX 54" DKDK</t>
  </si>
  <si>
    <t>BJ2DKDK</t>
  </si>
  <si>
    <t>LIBERTY II DUO WCX 54" DJEJ</t>
  </si>
  <si>
    <t>BJ2DJEJ</t>
  </si>
  <si>
    <t>LIBERTY II DUO WCX 54" DJDJ</t>
  </si>
  <si>
    <t>BJ2DJDJ</t>
  </si>
  <si>
    <t>LIBERTYII DUO WCX 54" CTR DHDH</t>
  </si>
  <si>
    <t>BJ2DHDH</t>
  </si>
  <si>
    <t>LIBERTYII DUO WCX 54" CTR DEDE</t>
  </si>
  <si>
    <t>BJ2DEDE</t>
  </si>
  <si>
    <t>LIBERTYII DUO WCX 54" CTR DEDD</t>
  </si>
  <si>
    <t>BJ2DEDD</t>
  </si>
  <si>
    <t>LIBERTYII DUO WCX 54" CTR DDEE</t>
  </si>
  <si>
    <t>BJ2DDEE</t>
  </si>
  <si>
    <t>LIBERTYII DUO WCX 54" CTR DDDD</t>
  </si>
  <si>
    <t>BJ2DDDD</t>
  </si>
  <si>
    <t>LIBERTYII DUO WCX 54" CTR RRRR</t>
  </si>
  <si>
    <t>BJ2RRRR</t>
  </si>
  <si>
    <t>LIBERTYII DUO WCX 54" CTR BRBR</t>
  </si>
  <si>
    <t>BJ2BRBR</t>
  </si>
  <si>
    <t>LIBERTYII DUO WCX 54" CTR BBBB</t>
  </si>
  <si>
    <t>BJ2BBBB</t>
  </si>
  <si>
    <t>LIBERTY II DUO WCX CTR LLLL</t>
  </si>
  <si>
    <t>BJ8LLLL</t>
  </si>
  <si>
    <t>LIBERTY II DUO WCX CTR KKKK</t>
  </si>
  <si>
    <t>BJ8KKKK</t>
  </si>
  <si>
    <t>LIBERTY II DUO WCX CTR JJJJ</t>
  </si>
  <si>
    <t>BJ8JJJJ</t>
  </si>
  <si>
    <t>LIBERTY II DUO WCX CTR FFFF</t>
  </si>
  <si>
    <t>BJ8FFFF</t>
  </si>
  <si>
    <t>LIBERTY II DUO WCX CTR EEEE</t>
  </si>
  <si>
    <t>BJ8EEEE</t>
  </si>
  <si>
    <t>LIBERTYII DUO WCX 48" CTR DFDF</t>
  </si>
  <si>
    <t>BJ8DFDF</t>
  </si>
  <si>
    <t>LIBERTYII DUO WCX 48" CTR DEDE</t>
  </si>
  <si>
    <t>BJ8DEDE</t>
  </si>
  <si>
    <t>LIBERTY II DUO WCX CTR DDDD</t>
  </si>
  <si>
    <t>BJ8DDDD</t>
  </si>
  <si>
    <t>LIBERTY II DUO WCX CTR BRBR</t>
  </si>
  <si>
    <t>BJ8BRBR</t>
  </si>
  <si>
    <t>LIBERTY II DUO WCX 54" R/R/R/R</t>
  </si>
  <si>
    <t>BB2RRRR</t>
  </si>
  <si>
    <t>LIBERTY II DUO WCX 54" B/R/B/R</t>
  </si>
  <si>
    <t>BB2BRBR</t>
  </si>
  <si>
    <t>LIBERTY II DUO WCX 54" A/A/A/A</t>
  </si>
  <si>
    <t>BB2AAAA</t>
  </si>
  <si>
    <t>LIBERTY II DUO WCX 48" B/R/B/R</t>
  </si>
  <si>
    <t>BB8BRBR</t>
  </si>
  <si>
    <t>LIBERTY II DUO WCX 48" B/B/B/B</t>
  </si>
  <si>
    <t>BB8BBBB</t>
  </si>
  <si>
    <t>LIBERTY II DUO WCX 48" A/A/A/A</t>
  </si>
  <si>
    <t>BB8AAAA</t>
  </si>
  <si>
    <t>LIBERTY II DUO WCX 44" B/R/B/R</t>
  </si>
  <si>
    <t>BB4BRBR</t>
  </si>
  <si>
    <t>LIBERTY II DUO WCX 44" A/A/A/A</t>
  </si>
  <si>
    <t>BB4AAAA</t>
  </si>
  <si>
    <t>54"C LIBERTYII MIDNIGHT ED PKG</t>
  </si>
  <si>
    <t>BJ2ME</t>
  </si>
  <si>
    <t>54" LIBERTYII MIDNIGHT EDITION</t>
  </si>
  <si>
    <t>BW2ME</t>
  </si>
  <si>
    <t>48"C LIBERTYII MIDNIGHT ED PKG</t>
  </si>
  <si>
    <t>BJ8ME</t>
  </si>
  <si>
    <t>48" LIBERTYII MIDNIGHT EDITION</t>
  </si>
  <si>
    <t>BW8ME</t>
  </si>
  <si>
    <t>OPT LIBERTY II TA HARN &amp; CABLE</t>
  </si>
  <si>
    <t>IWTACBL</t>
  </si>
  <si>
    <t>LIBERTY II WARN/BTT PAIR A/A</t>
  </si>
  <si>
    <t>IWBTTAA</t>
  </si>
  <si>
    <t>LIBERTY II WARN/BTT PAIR B/B</t>
  </si>
  <si>
    <t>IWBTTBB</t>
  </si>
  <si>
    <t>LIBERTY II WARN/BTT PAIR B/R</t>
  </si>
  <si>
    <t>IWBTTBR</t>
  </si>
  <si>
    <t>LIBERTY II LC LED BTT LT PAIR</t>
  </si>
  <si>
    <t>IXBTTLED</t>
  </si>
  <si>
    <t>OPT LIBERTY II TA TACTLD1&amp;HARN</t>
  </si>
  <si>
    <t>IWTACNTL</t>
  </si>
  <si>
    <t>OPT, +1 SHORT 3LED TD&amp;RED WARN</t>
  </si>
  <si>
    <t>IWTS3R</t>
  </si>
  <si>
    <t>IWTS3C</t>
  </si>
  <si>
    <t>OPT, +1 SHORT 3LED TD&amp;BLU WARN</t>
  </si>
  <si>
    <t>IWTS3B</t>
  </si>
  <si>
    <t>OPT, +1 SHORT 3LED TD&amp;AMB WARN</t>
  </si>
  <si>
    <t>IWTS3A</t>
  </si>
  <si>
    <t>IHDCR</t>
  </si>
  <si>
    <t>LIBERTY II + 1 DUAL LINEAR GRN</t>
  </si>
  <si>
    <t>IHDCG</t>
  </si>
  <si>
    <t>IHDCC</t>
  </si>
  <si>
    <t>IHDCB</t>
  </si>
  <si>
    <t>IHDCA</t>
  </si>
  <si>
    <t>LIBERTY II LC 54" CTR SEC RRRR</t>
  </si>
  <si>
    <t>IG2RRRR</t>
  </si>
  <si>
    <t>LIBERTY II LC 54" CTR SEC WRWR</t>
  </si>
  <si>
    <t>IG2CRCR</t>
  </si>
  <si>
    <t>LIBERTY II LC 54" CTR SEC WWWW</t>
  </si>
  <si>
    <t>IG2CCCC</t>
  </si>
  <si>
    <t>LIBERTY II LC 54" CTR SEC BRBR</t>
  </si>
  <si>
    <t>IG2BRBR</t>
  </si>
  <si>
    <t>LIBERTY II LC 54" CTR SEC BBBB</t>
  </si>
  <si>
    <t>IG2BBBB</t>
  </si>
  <si>
    <t>LIBERTY II LC 54" CTR SEC BBAA</t>
  </si>
  <si>
    <t>IG2BBAA</t>
  </si>
  <si>
    <t>LIBERTY II LC 54" CTR SEC AAAA</t>
  </si>
  <si>
    <t>IG2AAAA</t>
  </si>
  <si>
    <t>LIBERTY II LC 48" CTR SEC RRRR</t>
  </si>
  <si>
    <t>IG8RRRR</t>
  </si>
  <si>
    <t>LIBERTY II LC 48" CTR SEC RRBB</t>
  </si>
  <si>
    <t>IG8RRBB</t>
  </si>
  <si>
    <t>LIBERTY II LC 48" CTR SEC BRBR</t>
  </si>
  <si>
    <t>IG8BRBR</t>
  </si>
  <si>
    <t>LIBERTY II LC 48" CTR SEC BBBR</t>
  </si>
  <si>
    <t>IG8BBBR</t>
  </si>
  <si>
    <t>LIBERTY II LC 48" CTR SEC BBBB</t>
  </si>
  <si>
    <t>IG8BBBB</t>
  </si>
  <si>
    <t>LIBERTY II LC 48" CTR SEC AAAA</t>
  </si>
  <si>
    <t>IG8AAAA</t>
  </si>
  <si>
    <t>LIBERTY II LC 54" R/R/R/R</t>
  </si>
  <si>
    <t>IX2RRRR</t>
  </si>
  <si>
    <t>LIBERTY II 54" R/R/B/R</t>
  </si>
  <si>
    <t>IX2RRBR</t>
  </si>
  <si>
    <t>LIBERTY II 54" R/R/B/W</t>
  </si>
  <si>
    <t>IX2RRBC</t>
  </si>
  <si>
    <t>LIBERTY II 54" R/R/B/B</t>
  </si>
  <si>
    <t>IX2RRBB</t>
  </si>
  <si>
    <t>LIBERTY II LC 54" G/G/G/G</t>
  </si>
  <si>
    <t>IX2GGGG</t>
  </si>
  <si>
    <t>LIBERTY II LC 54" G/G/W/W</t>
  </si>
  <si>
    <t>IX2GGCC</t>
  </si>
  <si>
    <t>LIBERTY II LC 54" W/R/W/R</t>
  </si>
  <si>
    <t>IX2CRCR</t>
  </si>
  <si>
    <t>LIBERTY II LC 54" W/W/R/R</t>
  </si>
  <si>
    <t>IX2CCRR</t>
  </si>
  <si>
    <t>LIBERTY II LC 54" W/W/W/W</t>
  </si>
  <si>
    <t>IX2CCCC</t>
  </si>
  <si>
    <t>LIBERTY II LC 54" W/W/A/A</t>
  </si>
  <si>
    <t>IX2CCAA</t>
  </si>
  <si>
    <t>LIBERTY II LC 54" B/R/R/R</t>
  </si>
  <si>
    <t>IX2BRRR</t>
  </si>
  <si>
    <t>LIBERTY II LC 54" B/R/B/R</t>
  </si>
  <si>
    <t>IX2BRBR</t>
  </si>
  <si>
    <t>LIBERTY II LC 54" B/R/B/W</t>
  </si>
  <si>
    <t>IX2BRBC</t>
  </si>
  <si>
    <t>LIBERTY II LC 54" B/R/B/B</t>
  </si>
  <si>
    <t>IX2BRBB</t>
  </si>
  <si>
    <t>LIBERTY II LC 54" B/G/B/G</t>
  </si>
  <si>
    <t>IX2BGBG</t>
  </si>
  <si>
    <t>LIBERTY II LC 54" B/B/R/R</t>
  </si>
  <si>
    <t>IX2BBRR</t>
  </si>
  <si>
    <t>LIBERTY II LC 54" B/B/B/R</t>
  </si>
  <si>
    <t>IX2BBBR</t>
  </si>
  <si>
    <t>LIBERTY II LC 54" B/B/B/B</t>
  </si>
  <si>
    <t>IX2BBBB</t>
  </si>
  <si>
    <t>LIBERTY II LC 54" B/B/A/A</t>
  </si>
  <si>
    <t>IX2BBAA</t>
  </si>
  <si>
    <t>LIBERTY II LC 54" A/R/W/R</t>
  </si>
  <si>
    <t>IX2ARCR</t>
  </si>
  <si>
    <t>LIBERTY II LC 54" A/R/B/W</t>
  </si>
  <si>
    <t>IX2ARBC</t>
  </si>
  <si>
    <t>LIBERTY II LC 54" A/R/A/R</t>
  </si>
  <si>
    <t>IX2ARAR</t>
  </si>
  <si>
    <t>LIBERTY II LC 54" A/R/A/W</t>
  </si>
  <si>
    <t>IX2ARAC</t>
  </si>
  <si>
    <t>LIBERY II LC 54" A/W/A/W</t>
  </si>
  <si>
    <t>IX2ACAC</t>
  </si>
  <si>
    <t>LIBERTY II LC 54" A/B/B/R</t>
  </si>
  <si>
    <t>IX2ABBR</t>
  </si>
  <si>
    <t>LIBERTY II LC 54" A/B/A/R</t>
  </si>
  <si>
    <t>IX2ABAR</t>
  </si>
  <si>
    <t>LIBERTY II LC 54" A/B/A/B</t>
  </si>
  <si>
    <t>IX2ABAB</t>
  </si>
  <si>
    <t>LIBERTY II LC 54" A/A/R/R</t>
  </si>
  <si>
    <t>IX2AARR</t>
  </si>
  <si>
    <t>LIBERTY II LC 54" A/A/W/W</t>
  </si>
  <si>
    <t>IX2AACC</t>
  </si>
  <si>
    <t>LIBERTY II LC 54" A/A/B/B</t>
  </si>
  <si>
    <t>IX2AABB</t>
  </si>
  <si>
    <t>LIBERTY II LC 54" A/A/A/A</t>
  </si>
  <si>
    <t>IX2AAAA</t>
  </si>
  <si>
    <t>LIBERTY II LC 48" R/R/R/R</t>
  </si>
  <si>
    <t>IX8RRRR</t>
  </si>
  <si>
    <t>LIBERTY II LC 48" R/R/W/W</t>
  </si>
  <si>
    <t>IX8RRCC</t>
  </si>
  <si>
    <t>LIBERTY II LC 48" R/R/B/R</t>
  </si>
  <si>
    <t>IX8RRBR</t>
  </si>
  <si>
    <t>LIBERTY II LC 48" R/R/B/B</t>
  </si>
  <si>
    <t>IX8RRBB</t>
  </si>
  <si>
    <t>LIBERTY II LC 48" G/R/G/R</t>
  </si>
  <si>
    <t>IX8GRGR</t>
  </si>
  <si>
    <t>LIBERTY II LC 48" G/G/G/G</t>
  </si>
  <si>
    <t>IX8GGGG</t>
  </si>
  <si>
    <t>LIBERTY II LC 48" W/R/W/R</t>
  </si>
  <si>
    <t>IX8CRCR</t>
  </si>
  <si>
    <t>LIBERTY II LC 48" W/W/R/R</t>
  </si>
  <si>
    <t>IX8CCRR</t>
  </si>
  <si>
    <t>LIBERTY II LC 48" W/W/W/W</t>
  </si>
  <si>
    <t>IX8CCCC</t>
  </si>
  <si>
    <t>LIBERTY II LC 48" B/R/R/R</t>
  </si>
  <si>
    <t>IX8BRRR</t>
  </si>
  <si>
    <t>LIBERTY II LC 48" B/R/B/R</t>
  </si>
  <si>
    <t>IX8BRBR</t>
  </si>
  <si>
    <t>LIBERTY II LC 48" B/R/A/A</t>
  </si>
  <si>
    <t>IX8BRAA</t>
  </si>
  <si>
    <t>LIBERTY II LC 48" B/G/B/G</t>
  </si>
  <si>
    <t>IX8BGBG</t>
  </si>
  <si>
    <t>LIBERTY II LC 48" B/W/B/W</t>
  </si>
  <si>
    <t>IX8BCBC</t>
  </si>
  <si>
    <t>LIBERTY II LC 48" B/B/B/B</t>
  </si>
  <si>
    <t>IX8BBBB</t>
  </si>
  <si>
    <t>LIBERTY II LC 48" A/R/B/W</t>
  </si>
  <si>
    <t>IX8ARBC</t>
  </si>
  <si>
    <t>LIBERTY II LC 48" A/R/A/R</t>
  </si>
  <si>
    <t>IX8ARAR</t>
  </si>
  <si>
    <t>LIBERTY II LC 48" A/R/A/W</t>
  </si>
  <si>
    <t>IX8ARAC</t>
  </si>
  <si>
    <t>LIBERTY II LC 48" A/G/A/G</t>
  </si>
  <si>
    <t>IX8AGAG</t>
  </si>
  <si>
    <t>LIBERTY II LC 48" A/W/A/W</t>
  </si>
  <si>
    <t>IX8ACAC</t>
  </si>
  <si>
    <t>LIBERTY II LC 48" A/B/B/R</t>
  </si>
  <si>
    <t>IX8ABBR</t>
  </si>
  <si>
    <t>LIBERTY II LC 48" A/B/A/B</t>
  </si>
  <si>
    <t>IX8ABAB</t>
  </si>
  <si>
    <t>LIBERTY II LC 48" A/A/W/W</t>
  </si>
  <si>
    <t>IX8AACC</t>
  </si>
  <si>
    <t>LIBERTY II LC 48" A/A/A/A</t>
  </si>
  <si>
    <t>IX8AAAA</t>
  </si>
  <si>
    <t>LIBERTY II LC 44" R/R/R/R</t>
  </si>
  <si>
    <t>IX4RRRR</t>
  </si>
  <si>
    <t>LIBERTY II LC 44" R/R/B/B</t>
  </si>
  <si>
    <t>IX4RRBB</t>
  </si>
  <si>
    <t>LIBERTY II LC 44" R/R/A/R</t>
  </si>
  <si>
    <t>IX4RRAR</t>
  </si>
  <si>
    <t>LIBERTY II LC 44" B/R/B/R</t>
  </si>
  <si>
    <t>IX4BRBR</t>
  </si>
  <si>
    <t>LIBERTY II LC 44" B/B/R/R</t>
  </si>
  <si>
    <t>IX4BBRR</t>
  </si>
  <si>
    <t>LIBERTY II LC 44" B/B/B/B</t>
  </si>
  <si>
    <t>IX4BBBB</t>
  </si>
  <si>
    <t>LIBERTY II LC 44" A/R/A/R</t>
  </si>
  <si>
    <t>IX4ARAR</t>
  </si>
  <si>
    <t>LIBERTY II LC 44" A/W/A/W</t>
  </si>
  <si>
    <t>IX4ACAC</t>
  </si>
  <si>
    <t>LIBERTY II LC 44" A/B/A/B</t>
  </si>
  <si>
    <t>IX4ABAB</t>
  </si>
  <si>
    <t>LIBERTY II LC 44" A/A/A/A</t>
  </si>
  <si>
    <t>IX4AAAA</t>
  </si>
  <si>
    <t>LIBERTY II WCX 54" CENTER RRRR</t>
  </si>
  <si>
    <t>BH2RRRR</t>
  </si>
  <si>
    <t>LIBERTY II WCX 54" CENTER BRBR</t>
  </si>
  <si>
    <t>BH2BRBR</t>
  </si>
  <si>
    <t>LIBERTY II WCX 54" CENTER BBBB</t>
  </si>
  <si>
    <t>BH2BBBB</t>
  </si>
  <si>
    <t>LIBERTY II WCX 54" CENTER AAAA</t>
  </si>
  <si>
    <t>BH2AAAA</t>
  </si>
  <si>
    <t>LIBERTY II WCX 48" CENTER RRRR</t>
  </si>
  <si>
    <t>BH8RRRR</t>
  </si>
  <si>
    <t>LIBERTY II WCX 48" CENTER BRBR</t>
  </si>
  <si>
    <t>BH8BRBR</t>
  </si>
  <si>
    <t>LIBERTY II WCX 48" CENTER BBBB</t>
  </si>
  <si>
    <t>BH8BBBB</t>
  </si>
  <si>
    <t>LIBERTY II WCX 48" CENTER AAAA</t>
  </si>
  <si>
    <t>BH8AAAA</t>
  </si>
  <si>
    <t>LIBERTY II WCX 54" R/R/R/R</t>
  </si>
  <si>
    <t>BW2RRRR</t>
  </si>
  <si>
    <t>LIBERTY II WCX 54" G/G/G/G</t>
  </si>
  <si>
    <t>BW2GGGG</t>
  </si>
  <si>
    <t>LIBERTY II WCX 54" B/R/B/R</t>
  </si>
  <si>
    <t>BW2BRBR</t>
  </si>
  <si>
    <t>LIBERTY II WCX 54" B/B/R/R</t>
  </si>
  <si>
    <t>BW2BBRR</t>
  </si>
  <si>
    <t>LIBERTY II WCX 54" B/B/B/B</t>
  </si>
  <si>
    <t>BW2BBBB</t>
  </si>
  <si>
    <t>LIBERTY II WCX 54" A/R/A/R</t>
  </si>
  <si>
    <t>BW2ARAR</t>
  </si>
  <si>
    <t>LIBERTY II WCX 54" A/B/A/B</t>
  </si>
  <si>
    <t>BW2ABAB</t>
  </si>
  <si>
    <t>LIBERTY II WCX 54" A/A/A/A</t>
  </si>
  <si>
    <t>BW2AAAA</t>
  </si>
  <si>
    <t>LIBERTY II WCX 48" R/R/R/R</t>
  </si>
  <si>
    <t>BW8RRRR</t>
  </si>
  <si>
    <t>LIBERTY II WCX 48" G/G/G/G</t>
  </si>
  <si>
    <t>BW8GGGG</t>
  </si>
  <si>
    <t>LIBERTY II WCX 48" B/R/B/R</t>
  </si>
  <si>
    <t>BW8BRBR</t>
  </si>
  <si>
    <t>LIBERTY II WCX 48" B/B/B/B</t>
  </si>
  <si>
    <t>BW8BBBB</t>
  </si>
  <si>
    <t>LIBERTY II WCX 48" A/B/A/B</t>
  </si>
  <si>
    <t>BW8ABAB</t>
  </si>
  <si>
    <t>LIBERTY II WCX 48" A/A/A/A</t>
  </si>
  <si>
    <t>BW8AAAA</t>
  </si>
  <si>
    <t>LIBERTY II WCX 44" R/R/R/R</t>
  </si>
  <si>
    <t>BW4RRRR</t>
  </si>
  <si>
    <t>LIBERTY II WCX 44" B/R/B/R</t>
  </si>
  <si>
    <t>BW4BRBR</t>
  </si>
  <si>
    <t>LIBERTY II WCX 44" B/B/B/B</t>
  </si>
  <si>
    <t>BW4BBBB</t>
  </si>
  <si>
    <t>LIBERTY II WCX 44" A/A/A/A</t>
  </si>
  <si>
    <t>BW4AAAA</t>
  </si>
  <si>
    <t>54" LEGACY MIDNIGHT ED. KIT</t>
  </si>
  <si>
    <t>ES2MEK</t>
  </si>
  <si>
    <t>48" LEGACY MIDNIGHT ED. KIT</t>
  </si>
  <si>
    <t>ES8MEK</t>
  </si>
  <si>
    <t>LEGACY SMOKE LENS DIVIDER</t>
  </si>
  <si>
    <t>GBDIVIDX</t>
  </si>
  <si>
    <t>LEGACY 54" SMOKE CENTER DOME</t>
  </si>
  <si>
    <t>GBCNTX</t>
  </si>
  <si>
    <t>LEGACY 44"/54" SMOKE END DOME</t>
  </si>
  <si>
    <t>GB2ENDX</t>
  </si>
  <si>
    <t>LEGACY 48" SMOKE END DOME</t>
  </si>
  <si>
    <t>GB8ENDX</t>
  </si>
  <si>
    <t>LEGACY DRIVER SIDE CABLE EXIT</t>
  </si>
  <si>
    <t>GBDSCBL</t>
  </si>
  <si>
    <t>LEGACY OPT. ADD 2 ALLEY LTS</t>
  </si>
  <si>
    <t>GBA</t>
  </si>
  <si>
    <t>LEGACY OPT. ADD 2 SHORT TD LTS</t>
  </si>
  <si>
    <t>GBTS</t>
  </si>
  <si>
    <t>LEGACY OPT. ADD 2 LONG T-D LTS</t>
  </si>
  <si>
    <t>GBTL</t>
  </si>
  <si>
    <t>LEGACY ADD 1 SHORT FILTER RED</t>
  </si>
  <si>
    <t>GBSFR</t>
  </si>
  <si>
    <t>LEGACY ADD 1 SHORT FILTER BLU</t>
  </si>
  <si>
    <t>GBSFB</t>
  </si>
  <si>
    <t>LEGACY ADD 1 SHORT FILTER AMB</t>
  </si>
  <si>
    <t>GBSFA</t>
  </si>
  <si>
    <t>LEGACY ADD 1 LONG FILTER RED</t>
  </si>
  <si>
    <t>GBLFR</t>
  </si>
  <si>
    <t>LEGACY ADD 1 LONG FILTER BLUE</t>
  </si>
  <si>
    <t>GBLFB</t>
  </si>
  <si>
    <t>LEGACY ADD 1 LONG FILTER AMBER</t>
  </si>
  <si>
    <t>GBLFA</t>
  </si>
  <si>
    <t>LEGACY ADD 1 CORNER FILTER RED</t>
  </si>
  <si>
    <t>GBCFR</t>
  </si>
  <si>
    <t>LEGACY ADD 1 CORNER FILTER BLU</t>
  </si>
  <si>
    <t>GBCFB</t>
  </si>
  <si>
    <t>LEGACY ADD 1 CORNER FILTER AMB</t>
  </si>
  <si>
    <t>GBCFA</t>
  </si>
  <si>
    <t>LEGACY WCX WARN/BTT PAIR BA/BA</t>
  </si>
  <si>
    <t>EBBTTMM2</t>
  </si>
  <si>
    <t>EBBTTMM</t>
  </si>
  <si>
    <t>LEGACY WCX WARN/BTT PAIR BA/RA</t>
  </si>
  <si>
    <t>EBBTTMK2</t>
  </si>
  <si>
    <t>EBBTTMK</t>
  </si>
  <si>
    <t>LEGACY OPT ADD 1 WARN/ALY B/A</t>
  </si>
  <si>
    <t>GBAWM</t>
  </si>
  <si>
    <t>LEGACY OPT ADD 1 WARN/ALY R/G</t>
  </si>
  <si>
    <t>GBAWL</t>
  </si>
  <si>
    <t>LEGACY OPT ADD 1 WARN/ALY R/A</t>
  </si>
  <si>
    <t>GBAWK</t>
  </si>
  <si>
    <t>LEGACY OPT ADD 1 WARN/ALY R/B</t>
  </si>
  <si>
    <t>GBAWJ</t>
  </si>
  <si>
    <t>LEGACY OPT ADD 1 WARN/ALY G/W</t>
  </si>
  <si>
    <t>GBAWH</t>
  </si>
  <si>
    <t>LEGACY OPT ADD 1 WARN/ALY W/A</t>
  </si>
  <si>
    <t>GBAWF</t>
  </si>
  <si>
    <t>LEGACY OPT ADD 1 WARN/ALY B/W</t>
  </si>
  <si>
    <t>GBAWE</t>
  </si>
  <si>
    <t>LEGACY OPT ADD 1 WARN/ALY R/W</t>
  </si>
  <si>
    <t>GBAWD</t>
  </si>
  <si>
    <t>LEGACY OPT ADD 1 WARN/ALY RED</t>
  </si>
  <si>
    <t>GBAWR</t>
  </si>
  <si>
    <t>LEGACY OPT ADD 1 WARN/ALY GRN</t>
  </si>
  <si>
    <t>GBAWG</t>
  </si>
  <si>
    <t>LEGACY OPT ADD 1 WARN/ALY WHT</t>
  </si>
  <si>
    <t>GBAWC</t>
  </si>
  <si>
    <t>LEGACY OPT ADD 1 WARN/ALY BLU</t>
  </si>
  <si>
    <t>GBAWB</t>
  </si>
  <si>
    <t>LEGACY OPT ADD 1 WARN/ALY AMB</t>
  </si>
  <si>
    <t>GBAWA</t>
  </si>
  <si>
    <t>LEGACY OPT ADD 1 SHORT BLU/AMB</t>
  </si>
  <si>
    <t>GBDSM</t>
  </si>
  <si>
    <t>LEGACY OPT ADD 1 SHORT RED/GRN</t>
  </si>
  <si>
    <t>GBDSL</t>
  </si>
  <si>
    <t>LEGACY OPT ADD 1 SHORT RED/AMB</t>
  </si>
  <si>
    <t>GBDSK</t>
  </si>
  <si>
    <t>LEGACY OPT ADD 1 SHORT RED/BLU</t>
  </si>
  <si>
    <t>GBDSJ</t>
  </si>
  <si>
    <t>LEGACY OPT ADD 1 SHORT WHT/GRN</t>
  </si>
  <si>
    <t>GBDSH</t>
  </si>
  <si>
    <t>LEGACY OPT ADD 1 SHORT WHT/AMB</t>
  </si>
  <si>
    <t>GBDSF</t>
  </si>
  <si>
    <t>LEGACY OPT ADD 1 SHORT BLU/WHT</t>
  </si>
  <si>
    <t>GBDSE</t>
  </si>
  <si>
    <t>LEGACY OPT ADD 1 SHORT RED/WHT</t>
  </si>
  <si>
    <t>GBDSD</t>
  </si>
  <si>
    <t>LEGACY OPT. ADD 1 SHORT RED</t>
  </si>
  <si>
    <t>GBDSR</t>
  </si>
  <si>
    <t>LEGACY OPT. ADD 1 SHORT GREEN</t>
  </si>
  <si>
    <t>GBDSG</t>
  </si>
  <si>
    <t>LEGACY OPT. ADD 1 SHORT WHITE</t>
  </si>
  <si>
    <t>GBDSC</t>
  </si>
  <si>
    <t>LEGACY OPT. ADD 1 SHORT BLUE</t>
  </si>
  <si>
    <t>GBDSB</t>
  </si>
  <si>
    <t>LEGACY OPT. ADD 1 SHORT AMBER</t>
  </si>
  <si>
    <t>GBDSA</t>
  </si>
  <si>
    <t>LEGACY OPT. ADD 1 LONG BLU/AMB</t>
  </si>
  <si>
    <t>GBDLM</t>
  </si>
  <si>
    <t>LEGACY OPT. ADD 1 LONG RED/GRN</t>
  </si>
  <si>
    <t>GBDLL</t>
  </si>
  <si>
    <t>LEGACY OPT. ADD 1 LONG RED/AMB</t>
  </si>
  <si>
    <t>GBDLK</t>
  </si>
  <si>
    <t>LEGACY OPT. ADD 1 LONG RED/BLU</t>
  </si>
  <si>
    <t>GBDLJ</t>
  </si>
  <si>
    <t>LEGACY OPT. ADD 1 LONG WHT/GRN</t>
  </si>
  <si>
    <t>GBDLH</t>
  </si>
  <si>
    <t>LEGACY OPT. ADD 1 LONG WHT/AMB</t>
  </si>
  <si>
    <t>GBDLF</t>
  </si>
  <si>
    <t>LEGACY OPT. ADD 1 LONG BLU/WHT</t>
  </si>
  <si>
    <t>GBDLE</t>
  </si>
  <si>
    <t>LEGACY OPT. ADD 1 LONG RED/WHT</t>
  </si>
  <si>
    <t>GBDLD</t>
  </si>
  <si>
    <t>LEGACY OPT. ADD 1 LONG RED</t>
  </si>
  <si>
    <t>GBDLR</t>
  </si>
  <si>
    <t>LEGACY OPT ADD 1 LONG GREEN</t>
  </si>
  <si>
    <t>GBDLG</t>
  </si>
  <si>
    <t>LEGACY OPT. ADD 1 LONG WHITE</t>
  </si>
  <si>
    <t>GBDLC</t>
  </si>
  <si>
    <t>LEGACY OPT. ADD 1 LONG BLUE</t>
  </si>
  <si>
    <t>GBDLB</t>
  </si>
  <si>
    <t>LEGACY OPT ADD 1 LONG AMBER</t>
  </si>
  <si>
    <t>GBDLA</t>
  </si>
  <si>
    <t>LEGACY WCX 54" BA/BA/BA/BA</t>
  </si>
  <si>
    <t>EB2MMMM</t>
  </si>
  <si>
    <t>LEGACY WCX 54" RG/RG/RG/RG</t>
  </si>
  <si>
    <t>EB2LLLL</t>
  </si>
  <si>
    <t>LEGACY DUO WCX 54" K/M/K/M</t>
  </si>
  <si>
    <t>EB2KMKM</t>
  </si>
  <si>
    <t>LEGACY WCX 54" RA/RA/RA/RA</t>
  </si>
  <si>
    <t>EB2KKKK</t>
  </si>
  <si>
    <t>LEGACY WCX 54" RB/RB/RB/RB</t>
  </si>
  <si>
    <t>EB2JJJJ</t>
  </si>
  <si>
    <t>LEGACY WCX 54" WG/WG/WG/WG</t>
  </si>
  <si>
    <t>EB2HHHH</t>
  </si>
  <si>
    <t>LEGACY WCX 54" WA/RA/WA/RA</t>
  </si>
  <si>
    <t>EB2FKFK</t>
  </si>
  <si>
    <t>LEGACY WCX 54" WA/WA/WA/WA</t>
  </si>
  <si>
    <t>EB2FFFF</t>
  </si>
  <si>
    <t>LEGACY WCX 54" BW/BA/BW/BA</t>
  </si>
  <si>
    <t>EB2EMEM</t>
  </si>
  <si>
    <t>LEGACY WCX 54" BW/RB/BW/RB</t>
  </si>
  <si>
    <t>EB2EJEJ</t>
  </si>
  <si>
    <t>LEGACY WCX 54" BW/WA/BW/WA</t>
  </si>
  <si>
    <t>EB2EFEF</t>
  </si>
  <si>
    <t>LEGACY WCX 54" BW/WA/RW/WA</t>
  </si>
  <si>
    <t>EB2EFDF</t>
  </si>
  <si>
    <t>LEGACY WCX 54" BW/BW/BW/BW</t>
  </si>
  <si>
    <t>EB2EEEE</t>
  </si>
  <si>
    <t>LEGACY WCX 54" BW/BW/RW/BW</t>
  </si>
  <si>
    <t>EB2EEDE</t>
  </si>
  <si>
    <t>LEGACY WCX 54" BW/BW/RW/RW</t>
  </si>
  <si>
    <t>EB2EEDD</t>
  </si>
  <si>
    <t>LEGACY WCX 54" RW/BA/BW/RA</t>
  </si>
  <si>
    <t>EB2DMEK</t>
  </si>
  <si>
    <t>LEGACY WCX 54" RW/RG/RW/RG</t>
  </si>
  <si>
    <t>EB2DLDL</t>
  </si>
  <si>
    <t>LEGACY WCX 54" RW/RA/RW/RA</t>
  </si>
  <si>
    <t>EB2DKDK</t>
  </si>
  <si>
    <t>LEGACY WCX 54" RW/RB/BW/RB</t>
  </si>
  <si>
    <t>EB2DJEJ</t>
  </si>
  <si>
    <t>LEGACY WCX 54" RW/RB/RW/RB</t>
  </si>
  <si>
    <t>EB2DJDJ</t>
  </si>
  <si>
    <t>LEGACY WCX 54" RW/RB/RW/RW</t>
  </si>
  <si>
    <t>EB2DJDD</t>
  </si>
  <si>
    <t>LEGACY WCX 54" RW/WA/RW/WA</t>
  </si>
  <si>
    <t>EB2DFDF</t>
  </si>
  <si>
    <t>LEGACY WCX 54" RW/BW/BW/BW</t>
  </si>
  <si>
    <t>EB2DEEE</t>
  </si>
  <si>
    <t>LEGACY WCX 54" RW/BW/RW/BW</t>
  </si>
  <si>
    <t>EB2DEDE</t>
  </si>
  <si>
    <t>LEGACY WCX 54" RW/BW/RW/RW</t>
  </si>
  <si>
    <t>EB2DEDD</t>
  </si>
  <si>
    <t>LEGACY WCX 54" RW/RW/WA/WA</t>
  </si>
  <si>
    <t>EB2DDFF</t>
  </si>
  <si>
    <t>LEGACY WCX 54" RW/RW/BW/BW</t>
  </si>
  <si>
    <t>EB2DDEE</t>
  </si>
  <si>
    <t>LEGACY WCX 54" RW/RW/RW/BW</t>
  </si>
  <si>
    <t>EB2DDDE</t>
  </si>
  <si>
    <t>LEGACY WCX 54" RW/RW/RW/RW</t>
  </si>
  <si>
    <t>EB2DDDD</t>
  </si>
  <si>
    <t>LEGACY WCX 54" R/R/R/R</t>
  </si>
  <si>
    <t>EB2RRRR</t>
  </si>
  <si>
    <t>LEGACY DUO WCX 54" B/R/B/R</t>
  </si>
  <si>
    <t>EB2BRBR</t>
  </si>
  <si>
    <t>LEGACY WCX 54" B/B/B/B</t>
  </si>
  <si>
    <t>EB2BBBB</t>
  </si>
  <si>
    <t>LEGACY WCX 54" A/A/A/A</t>
  </si>
  <si>
    <t>EB2AAAA</t>
  </si>
  <si>
    <t>LEGACY WCX 48" BA/BA/BA/BA</t>
  </si>
  <si>
    <t>EB8MMMM</t>
  </si>
  <si>
    <t>LEGACY WCX 48" RG/RG/RG/RG</t>
  </si>
  <si>
    <t>EB8LLLL</t>
  </si>
  <si>
    <t>LEGACY WCX 48" RA/BA/RA/RA</t>
  </si>
  <si>
    <t>EB8KMKK</t>
  </si>
  <si>
    <t>LEGACY WCX 48" RA/RA/RA/RA</t>
  </si>
  <si>
    <t>EB8KKKK</t>
  </si>
  <si>
    <t>LEGACY WCX 48" RB/RB/RB/RB</t>
  </si>
  <si>
    <t>EB8JJJJ</t>
  </si>
  <si>
    <t>LEGACY WCX 48" WG/WG/WG/WG</t>
  </si>
  <si>
    <t>EB8HHHH</t>
  </si>
  <si>
    <t>LEGACY WCX 48" WA/RA/WA/RA</t>
  </si>
  <si>
    <t>EB8FKFK</t>
  </si>
  <si>
    <t>LEGACY WCX 48" WA/WG/WA/WG</t>
  </si>
  <si>
    <t>EB8FHFH</t>
  </si>
  <si>
    <t>LEGACY WCX 48" WA/WA/WA/WA</t>
  </si>
  <si>
    <t>EB8FFFF</t>
  </si>
  <si>
    <t>LEGACY WCX 48" BW/BA/BW/BA</t>
  </si>
  <si>
    <t>EB8EMEM</t>
  </si>
  <si>
    <t>LEGACY WCX 48" BW/WA/BW/WA</t>
  </si>
  <si>
    <t>EB8EFEF</t>
  </si>
  <si>
    <t>LEGACY WCX 48" BW/BW/BW/BW</t>
  </si>
  <si>
    <t>EB8EEEE</t>
  </si>
  <si>
    <t>LEGACY WCX 48" BW/BW/RW/BW</t>
  </si>
  <si>
    <t>EB8EEDE</t>
  </si>
  <si>
    <t>LEGACY WCX 48" BW/BW/RW/RW</t>
  </si>
  <si>
    <t>EB8EEDD</t>
  </si>
  <si>
    <t>LEGACY WCX 48" RW/BA/BW/RA</t>
  </si>
  <si>
    <t>EB8DMEK</t>
  </si>
  <si>
    <t>LEGACY WCX 48" RW/RB/BW/RB</t>
  </si>
  <si>
    <t>EB8DJEJ</t>
  </si>
  <si>
    <t>LEGACY WCX 48" RW/RB/RW/RG</t>
  </si>
  <si>
    <t>EB8DJDL</t>
  </si>
  <si>
    <t>LEGACY WCX 48" RW/RB/RW/RB</t>
  </si>
  <si>
    <t>EB8DJDJ</t>
  </si>
  <si>
    <t>LEGACY WCX 48" RW/BW/RW/BW</t>
  </si>
  <si>
    <t>EB8DEDE</t>
  </si>
  <si>
    <t>LEGACY WCX 48" RW/BW/RW/RW</t>
  </si>
  <si>
    <t>EB8DEDD</t>
  </si>
  <si>
    <t>LEGACY WCX 48" RW/RW/BW/BW</t>
  </si>
  <si>
    <t>EB8DDEE</t>
  </si>
  <si>
    <t>LEGACY WCX 48" RW/RW/RW/BW</t>
  </si>
  <si>
    <t>EB8DDDE</t>
  </si>
  <si>
    <t>LEGACY WCX 48" RW/RW/RW/RW</t>
  </si>
  <si>
    <t>EB8DDDD</t>
  </si>
  <si>
    <t>LEGACY WCX 48" G/G/G/G</t>
  </si>
  <si>
    <t>EB8GGGG</t>
  </si>
  <si>
    <t>LEGACY DUO WCX 48" B/R/R/R</t>
  </si>
  <si>
    <t>EB8BRRR</t>
  </si>
  <si>
    <t>LEGACY DUO WCX 48" B/R/B/R</t>
  </si>
  <si>
    <t>EB8BRBR</t>
  </si>
  <si>
    <t>LEGACY DUO WCX 48" B/B/B/B</t>
  </si>
  <si>
    <t>EB8BBBB</t>
  </si>
  <si>
    <t>LEGACY DUO WCX 48" A/A/A/A</t>
  </si>
  <si>
    <t>EB8AAAA</t>
  </si>
  <si>
    <t>LEGACY WCX 44" BA/BA/BA/BA</t>
  </si>
  <si>
    <t>EB4MMMM</t>
  </si>
  <si>
    <t>LEGACY WCX 44" WA/WA/WA/WA</t>
  </si>
  <si>
    <t>EB4FFFF</t>
  </si>
  <si>
    <t>LEGACY WCX 44" BW/BW/BW/BW</t>
  </si>
  <si>
    <t>EB4EEEE</t>
  </si>
  <si>
    <t>LEGACY WCX 44" RW/BW/RW/BW</t>
  </si>
  <si>
    <t>EB4DEDE</t>
  </si>
  <si>
    <t>LEGACY WCX 44" RW/RW/BW/BW</t>
  </si>
  <si>
    <t>EB4DDEE</t>
  </si>
  <si>
    <t>LEGACY WCX 44" RW/RW/RW/RW</t>
  </si>
  <si>
    <t>EB4DDDD</t>
  </si>
  <si>
    <t>LEGACY DUO WCX 44" B/R/B/R</t>
  </si>
  <si>
    <t>EB4BRBR</t>
  </si>
  <si>
    <t>LEGACY DUO WCX 44" A/A/A/A</t>
  </si>
  <si>
    <t>EB4AAAA</t>
  </si>
  <si>
    <t>54" LEGACY MIDNIGHT EDITION</t>
  </si>
  <si>
    <t>ES2ME</t>
  </si>
  <si>
    <t>48" LEGACY MIDNIGHT EDITION</t>
  </si>
  <si>
    <t>ES8ME</t>
  </si>
  <si>
    <t>LEGACY WARNING/BTT PAIR A/A</t>
  </si>
  <si>
    <t>GSBTTAA</t>
  </si>
  <si>
    <t>LEGACY WARNING/BTT PAIR B/B</t>
  </si>
  <si>
    <t>GSBTTBB</t>
  </si>
  <si>
    <t>LEGACY WARNING/BTT PAIR B/R</t>
  </si>
  <si>
    <t>GSBTTBR</t>
  </si>
  <si>
    <t>LEGACY SOLO 1 SHORT DUO TA RED</t>
  </si>
  <si>
    <t>GSTSR</t>
  </si>
  <si>
    <t>LEGACY SOLO 1 SHORT DUO TA WHT</t>
  </si>
  <si>
    <t>GSTSC</t>
  </si>
  <si>
    <t>LEGACY SOLO 1 SHORT DUO TA BLU</t>
  </si>
  <si>
    <t>GSTSB</t>
  </si>
  <si>
    <t>LEGACY SOLO 1 LONG DUO T/A RED</t>
  </si>
  <si>
    <t>GSTLR</t>
  </si>
  <si>
    <t>LEGACY SOLO 1 LONG DUO T/A BLU</t>
  </si>
  <si>
    <t>GSTLB</t>
  </si>
  <si>
    <t>LEGACY SOLO ADD 1 WARN/ALY RED</t>
  </si>
  <si>
    <t>GSAWR</t>
  </si>
  <si>
    <t>LEGACY SOLO ADD 1 WARN/ALY GRN</t>
  </si>
  <si>
    <t>GSAWG</t>
  </si>
  <si>
    <t>LEGACY SOLO ADD 1 WARN/ALY WHT</t>
  </si>
  <si>
    <t>GSAWC</t>
  </si>
  <si>
    <t>LEGACY SOLO ADD 1 WARN/ALY BLU</t>
  </si>
  <si>
    <t>GSAWB</t>
  </si>
  <si>
    <t>LEGACY SOLO ADD 1 WARN/ALY AMB</t>
  </si>
  <si>
    <t>GSAWA</t>
  </si>
  <si>
    <t>LEGACY SOLO ADD 1 SHORT RED</t>
  </si>
  <si>
    <t>GSDSR</t>
  </si>
  <si>
    <t>LEGACY SOLO ADD 1 SHORT GREEN</t>
  </si>
  <si>
    <t>GSDSG</t>
  </si>
  <si>
    <t>LEGACY SOLO ADD 1 SHORT WHITE</t>
  </si>
  <si>
    <t>GSDSC</t>
  </si>
  <si>
    <t>LEGACY SOLO ADD 1 SHORT BLUE</t>
  </si>
  <si>
    <t>GSDSB</t>
  </si>
  <si>
    <t>LEGACY SOLO ADD 1 SHORT AMBER</t>
  </si>
  <si>
    <t>GSDSA</t>
  </si>
  <si>
    <t>LEGACY SOLO ADD 1 LONG RED</t>
  </si>
  <si>
    <t>GSDLR</t>
  </si>
  <si>
    <t>LEGACY SOLO ADD 1 LONG GREEN</t>
  </si>
  <si>
    <t>GSDLG</t>
  </si>
  <si>
    <t>LEGACY SOLO ADD 1 LONG WHITE</t>
  </si>
  <si>
    <t>GSDLC</t>
  </si>
  <si>
    <t>LEGACY SOLO ADD 1 LONG BLUE</t>
  </si>
  <si>
    <t>GSDLB</t>
  </si>
  <si>
    <t>LEGACY SOLO ADD 1 LONG AMBER</t>
  </si>
  <si>
    <t>GSDLA</t>
  </si>
  <si>
    <t>LEGACY SOLO WCX 54" R/R/R/R</t>
  </si>
  <si>
    <t>ES2RRRR</t>
  </si>
  <si>
    <t>LEGACY SOLO WCX 54" G/G/G/G</t>
  </si>
  <si>
    <t>ES2GGGG</t>
  </si>
  <si>
    <t>LEGACY SOLO WCX 54" W/R/W/R</t>
  </si>
  <si>
    <t>ES2CRCR</t>
  </si>
  <si>
    <t>LEGACY SOLO WCX 54" B/R/R/R</t>
  </si>
  <si>
    <t>ES2BRRR</t>
  </si>
  <si>
    <t>LEGACY SOLO WCX 54" B/R/B/R</t>
  </si>
  <si>
    <t>ES2BRBR</t>
  </si>
  <si>
    <t>LEGACY SOLO WCX 54" B/W/A/W</t>
  </si>
  <si>
    <t>ES2BCAC</t>
  </si>
  <si>
    <t>LEGACY SOLO WCX 54" B/B/B/B</t>
  </si>
  <si>
    <t>ES2BBBB</t>
  </si>
  <si>
    <t>LEGACY SOLO WCX 54" A/B/A/B</t>
  </si>
  <si>
    <t>ES2ABAB</t>
  </si>
  <si>
    <t>LEGACY SOLO WCX 54" A/A/A/A</t>
  </si>
  <si>
    <t>ES2AAAA</t>
  </si>
  <si>
    <t>LEGACY SOLO WCX 48" R/R/R/R</t>
  </si>
  <si>
    <t>ES8RRRR</t>
  </si>
  <si>
    <t>LEGACY SOLO WCX 48" G/G/G/G</t>
  </si>
  <si>
    <t>ES8GGGG</t>
  </si>
  <si>
    <t>LEGACY SOLO WCX 48" B/R/R/R</t>
  </si>
  <si>
    <t>ES8BRRR</t>
  </si>
  <si>
    <t>LEGACY SOLO WCX 48" B/R/B/R</t>
  </si>
  <si>
    <t>ES8BRBR</t>
  </si>
  <si>
    <t>LEGACY SOLO WCX 48" B/B/B/B</t>
  </si>
  <si>
    <t>ES8BBBB</t>
  </si>
  <si>
    <t>LEGACY SOLO WCX 48" A/A/A/A</t>
  </si>
  <si>
    <t>ES8AAAA</t>
  </si>
  <si>
    <t>LEGACY SOLO WCX 44" B/R/B/R</t>
  </si>
  <si>
    <t>ES4BRBR</t>
  </si>
  <si>
    <t>LEGACY SOLO WCX 44" B/B/B/B</t>
  </si>
  <si>
    <t>ES4BBBB</t>
  </si>
  <si>
    <t>LEGACY SOLO WCX 44" A/A/A/A</t>
  </si>
  <si>
    <t>ES4AAAA</t>
  </si>
  <si>
    <t>F4 ROTA-BEAM DRIVER SIDE CABLE</t>
  </si>
  <si>
    <t>F4RDSC72</t>
  </si>
  <si>
    <t>FREEDOM ROTA DRIVER SIDE CABLE</t>
  </si>
  <si>
    <t>FRDSCBL</t>
  </si>
  <si>
    <t>F4 ROTA-BEAM ADD 1 CTR STROBE</t>
  </si>
  <si>
    <t>F4R500S</t>
  </si>
  <si>
    <t>F4 ROTA-BEAM LED B/T/T LT PAIR</t>
  </si>
  <si>
    <t>F4RBTT</t>
  </si>
  <si>
    <t>F4 ROTA-BEAM ADD 4-LT FLASHER</t>
  </si>
  <si>
    <t>F4RFLASH</t>
  </si>
  <si>
    <t>F4 ROTA-BEAM +2 SHORT 6LED T-D</t>
  </si>
  <si>
    <t>F4R6TS</t>
  </si>
  <si>
    <t>F4 ROTA-BEAM +2 SHORT 3LED T-D</t>
  </si>
  <si>
    <t>F4R3TS</t>
  </si>
  <si>
    <t>F4 ROTA-BEAM +2 LONG 6LED T-DS</t>
  </si>
  <si>
    <t>F4R6TL</t>
  </si>
  <si>
    <t>F4 ROTA-BEAM +2 6LED ALLEY LTS</t>
  </si>
  <si>
    <t>F4RA6</t>
  </si>
  <si>
    <t>F4 ROTA-BEAM +2 3LED ALLEY LTS</t>
  </si>
  <si>
    <t>F4RA3</t>
  </si>
  <si>
    <t>F4 ROTA-BEAM +1 SHORT 6LED RED</t>
  </si>
  <si>
    <t>F4RDSR</t>
  </si>
  <si>
    <t>F4 ROTA-BEAM +1 SHORT 6LED GRN</t>
  </si>
  <si>
    <t>F4RDSG</t>
  </si>
  <si>
    <t>F4 ROTA-BEAM +1 SHORT 6LED WHT</t>
  </si>
  <si>
    <t>F4RDSC</t>
  </si>
  <si>
    <t>F4 ROTA-BEAM +1 SHORT 6LED BLU</t>
  </si>
  <si>
    <t>F4RDSB</t>
  </si>
  <si>
    <t>F4 ROTA-BEAM +1 SHORT 6LED AMB</t>
  </si>
  <si>
    <t>F4RDSA</t>
  </si>
  <si>
    <t>F4 ROTA-BEAM +1 LONG 12LED RED</t>
  </si>
  <si>
    <t>F4RDLR</t>
  </si>
  <si>
    <t>F4 ROTA-BEAM +1 LONG 12;ED GRN</t>
  </si>
  <si>
    <t>F4RDLG</t>
  </si>
  <si>
    <t>F4 ROTA-BEAM +1 LONG 12LED WHT</t>
  </si>
  <si>
    <t>F4RDLC</t>
  </si>
  <si>
    <t>F4 ROTA-BEAM +1 LONG 12LED BLU</t>
  </si>
  <si>
    <t>F4RDLB</t>
  </si>
  <si>
    <t>F4 ROTA-BEAM +1 LONG 12LED AMB</t>
  </si>
  <si>
    <t>F4RDLA</t>
  </si>
  <si>
    <t>OPT + FREEDOM IV ROTA-BEAM RED</t>
  </si>
  <si>
    <t>F4RBR</t>
  </si>
  <si>
    <t>OPT + FREEDOM IV ROTA-BEAM GRN</t>
  </si>
  <si>
    <t>F4RBG</t>
  </si>
  <si>
    <t>OPT + FREEDOM IV ROTA-BEAM WHT</t>
  </si>
  <si>
    <t>F4RBC</t>
  </si>
  <si>
    <t>OPT + FREEDOM IV ROTA-BEAM BLU</t>
  </si>
  <si>
    <t>F4RBB</t>
  </si>
  <si>
    <t>OPT + FREEDOM IV ROTA-BEAM AMB</t>
  </si>
  <si>
    <t>F4RBA</t>
  </si>
  <si>
    <t>FREEDOM IV ROTA-BEAM 72" RRRR</t>
  </si>
  <si>
    <t>F4R7RRRR</t>
  </si>
  <si>
    <t>FREEDOM IV ROTA-BEAM 72" RRBR</t>
  </si>
  <si>
    <t>F4R7RRBR</t>
  </si>
  <si>
    <t>FREEDOM IV ROTA-BEAM 72" RRBB</t>
  </si>
  <si>
    <t>F4R7RRBB</t>
  </si>
  <si>
    <t>FREEDOM IV ROTA-BEAM 72" WRWR</t>
  </si>
  <si>
    <t>F4R7CRCR</t>
  </si>
  <si>
    <t>FREEDOM IV ROTA-BEAM 72" BRBR</t>
  </si>
  <si>
    <t>F4R7BRBR</t>
  </si>
  <si>
    <t>FREEDOM IV ROTA-BEAM 72" BBRR</t>
  </si>
  <si>
    <t>F4R7BBRR</t>
  </si>
  <si>
    <t>FREEDOM IV ROTA-BEAM 72" BBBB</t>
  </si>
  <si>
    <t>F4R7BBBB</t>
  </si>
  <si>
    <t>FREEDOM IV ROTA-BEAM 72" ARAR</t>
  </si>
  <si>
    <t>F4R7ARAR</t>
  </si>
  <si>
    <t>FREEDOM IV ROTA-BEAM 72" AAAA</t>
  </si>
  <si>
    <t>F4R7AAAA</t>
  </si>
  <si>
    <t>FREEDOM IV ROTA-BEAM 60" RRRR</t>
  </si>
  <si>
    <t>F4R0RRRR</t>
  </si>
  <si>
    <t>FREEDOM IV ROTA-BEAM 60" RRBB</t>
  </si>
  <si>
    <t>F4R0RRBB</t>
  </si>
  <si>
    <t>FREEDOM IV ROTA-BEAM 60" BRBR</t>
  </si>
  <si>
    <t>F4R0BRBR</t>
  </si>
  <si>
    <t>FREEDOM IV ROTA-BEAM 60" BBBB</t>
  </si>
  <si>
    <t>F4R0BBBB</t>
  </si>
  <si>
    <t>FREEDOM IV ROTA-BEAM 60" AAAA</t>
  </si>
  <si>
    <t>F4R0AAAA</t>
  </si>
  <si>
    <t>FREEDOM IV ROTA-BEAM 55" RRRR</t>
  </si>
  <si>
    <t>F4R2RRRR</t>
  </si>
  <si>
    <t>FREEDOM IV ROTA-BEAM 55" RRBB</t>
  </si>
  <si>
    <t>F4R2RRBB</t>
  </si>
  <si>
    <t>FREEDOM IV ROTA-BEAM 55" WRGR</t>
  </si>
  <si>
    <t>F4R2CRGR</t>
  </si>
  <si>
    <t>FREEDOM IV ROTA-BEAM 55" WRWR</t>
  </si>
  <si>
    <t>F4R2CRCR</t>
  </si>
  <si>
    <t>FREEDOM IV ROTA-BEAM 55" BRRR</t>
  </si>
  <si>
    <t>F4R2BRRR</t>
  </si>
  <si>
    <t>FREEDOM IV ROTA-BEAM 55" BRBR</t>
  </si>
  <si>
    <t>F4R2BRBR</t>
  </si>
  <si>
    <t>FREEDOM IV ROTA-BEAM 55" BBBB</t>
  </si>
  <si>
    <t>F4R2BBBB</t>
  </si>
  <si>
    <t>FREEDOM IV ROTA-BEAM 55" ARAR</t>
  </si>
  <si>
    <t>F4R2ARAR</t>
  </si>
  <si>
    <t>FREEDOM IV ROTA-BEAM 55" AAAA</t>
  </si>
  <si>
    <t>F4R2AAAA</t>
  </si>
  <si>
    <t>FREEDOM IV SMOKE LENS DIVIDER</t>
  </si>
  <si>
    <t>F4DIVIDX</t>
  </si>
  <si>
    <t>FREEDOM IV 2-LT CTR DOME SMOKE</t>
  </si>
  <si>
    <t>F42CNTX</t>
  </si>
  <si>
    <t>FREEDOM IV 1-LT CTR DOME SMOKE</t>
  </si>
  <si>
    <t>F41CNTX</t>
  </si>
  <si>
    <t>FREEDOM IV FULL SMOKE END DOME</t>
  </si>
  <si>
    <t>F48ENDX</t>
  </si>
  <si>
    <t>FREEDOM IV CUT SMOKE END DOME</t>
  </si>
  <si>
    <t>F42ENDX</t>
  </si>
  <si>
    <t>FREEDOM IV 2-LT CTR DOME RED</t>
  </si>
  <si>
    <t>F42CNTR</t>
  </si>
  <si>
    <t>FREEDOM IV 2-LT CTR DOME GREEN</t>
  </si>
  <si>
    <t>F42CNTG</t>
  </si>
  <si>
    <t>FREEDOM IV 2-LT CTR DOME BLUE</t>
  </si>
  <si>
    <t>F42CNTB</t>
  </si>
  <si>
    <t>FREEDOM IV 2-LT CTR DOME AMBER</t>
  </si>
  <si>
    <t>F42CNTA</t>
  </si>
  <si>
    <t>FREEDOM IV 1-LT CTR DOME RED</t>
  </si>
  <si>
    <t>F41CNTR</t>
  </si>
  <si>
    <t>FREEDOM IV 1-LT CTR DOME BLUE</t>
  </si>
  <si>
    <t>F41CNTB</t>
  </si>
  <si>
    <t>FREEDOM IV 1-LT CTR DOME AMBER</t>
  </si>
  <si>
    <t>F41CNTA</t>
  </si>
  <si>
    <t>FREEDOM IV FULL A/C END DOME</t>
  </si>
  <si>
    <t>F48ENDF</t>
  </si>
  <si>
    <t>FREEDOM IV FULL R/C END DOME</t>
  </si>
  <si>
    <t>F48ENDD</t>
  </si>
  <si>
    <t>FREEDOM IV FULL RED END DOME</t>
  </si>
  <si>
    <t>F48ENDR</t>
  </si>
  <si>
    <t>FREEDOM IV FULL BLUE END DOME</t>
  </si>
  <si>
    <t>F48ENDB</t>
  </si>
  <si>
    <t>FREEDOM IV FULL AMBER END DOME</t>
  </si>
  <si>
    <t>F48ENDA</t>
  </si>
  <si>
    <t>FREEDOM IV CUT A/C END DOME</t>
  </si>
  <si>
    <t>F42ENDF</t>
  </si>
  <si>
    <t>FREEDOM IV CUT B/C END DOME</t>
  </si>
  <si>
    <t>F42ENDE</t>
  </si>
  <si>
    <t>FREEDOM IV CUT R/C END DOME</t>
  </si>
  <si>
    <t>F42ENDD</t>
  </si>
  <si>
    <t>FREEDOM IV CUT RED END DOME</t>
  </si>
  <si>
    <t>F42ENDR</t>
  </si>
  <si>
    <t>FREEDOM IV CUT BLUE END DOME</t>
  </si>
  <si>
    <t>F42ENDB</t>
  </si>
  <si>
    <t>FREEDOM IV CUT AMBER END DOME</t>
  </si>
  <si>
    <t>F42ENDA</t>
  </si>
  <si>
    <t>FREEDOM IV +1 SHORT FILTER RED</t>
  </si>
  <si>
    <t>F4SFR</t>
  </si>
  <si>
    <t>FREEDOM IV +1 SHORT FILTER GRN</t>
  </si>
  <si>
    <t>F4SFG</t>
  </si>
  <si>
    <t>FREEDOM IV +1 SHORT FILTER BLU</t>
  </si>
  <si>
    <t>F4SFB</t>
  </si>
  <si>
    <t>FREEDOM IV +1 SHORT FILTER AMB</t>
  </si>
  <si>
    <t>F4SFA</t>
  </si>
  <si>
    <t>FREEDOM IV + 1 LONG FILTER RED</t>
  </si>
  <si>
    <t>F4LFR</t>
  </si>
  <si>
    <t>FREEDOM IV + 1 LONG FILTER GRN</t>
  </si>
  <si>
    <t>F4LFG</t>
  </si>
  <si>
    <t>FREEDOM IV + 1 LONG FILTER BLU</t>
  </si>
  <si>
    <t>F4LFB</t>
  </si>
  <si>
    <t>FREEDOM IV + 1 LONG FILTER AMB</t>
  </si>
  <si>
    <t>F4LFA</t>
  </si>
  <si>
    <t>FREEDOM 4 +1 CORNER FILTER RED</t>
  </si>
  <si>
    <t>F4CFR</t>
  </si>
  <si>
    <t>FREEDOM 4 +1 CORNER FILTER GRN</t>
  </si>
  <si>
    <t>F4CFG</t>
  </si>
  <si>
    <t>FREEDOM 4 +1 CORNER FILTER BLU</t>
  </si>
  <si>
    <t>F4CFB</t>
  </si>
  <si>
    <t>FREEDOM 4 +1 CORNER FILTER AMB</t>
  </si>
  <si>
    <t>F4CFA</t>
  </si>
  <si>
    <t>FREEDOM 4 + CTR MT STROBE W/TD</t>
  </si>
  <si>
    <t>F4500ST</t>
  </si>
  <si>
    <t>FREEDOM IV ADD 1 CTR MT STROBE</t>
  </si>
  <si>
    <t>F4500S</t>
  </si>
  <si>
    <t>FREEDOM 4 EMITTER PREWIRE W/TD</t>
  </si>
  <si>
    <t>F4795HT</t>
  </si>
  <si>
    <t>BULK PACK 18 FREEDOM/9M/ULTRA</t>
  </si>
  <si>
    <t>FLBULK18</t>
  </si>
  <si>
    <t>WCX EXPANSION CABLE DRVR EXIT</t>
  </si>
  <si>
    <t>WCXDSEXC</t>
  </si>
  <si>
    <t>FREEDOM 4 DRVR SIDE CABLE EXIT</t>
  </si>
  <si>
    <t>F4DSCBL</t>
  </si>
  <si>
    <t>OPT FREEDOM IV TA TACTLD1&amp;HARN</t>
  </si>
  <si>
    <t>F4XTACTL</t>
  </si>
  <si>
    <t>OPT FREEDOM IV TA HARN &amp; CABLE</t>
  </si>
  <si>
    <t>F4XTACBL</t>
  </si>
  <si>
    <t>FREEDOM IV LC LED BTT LT PAIR</t>
  </si>
  <si>
    <t>F4XBTT</t>
  </si>
  <si>
    <t>FREEDOM IV WC LED BTT LT PAIR</t>
  </si>
  <si>
    <t>F4WBTT</t>
  </si>
  <si>
    <t>FREEDOM IV + 2 SHORT 6LED T-DS</t>
  </si>
  <si>
    <t>F4TS6</t>
  </si>
  <si>
    <t>FREEDOM IV + 2 LONG 6LED T-DS</t>
  </si>
  <si>
    <t>F4TL6</t>
  </si>
  <si>
    <t>FREEDOM 4 +1 6LED ALY/WARN RED</t>
  </si>
  <si>
    <t>F4WAR</t>
  </si>
  <si>
    <t>FREEDOM 4 +1 6LED ALY/WARN GRN</t>
  </si>
  <si>
    <t>F4WAG</t>
  </si>
  <si>
    <t>FREEDOM 4 +1 6LED ALY/WARN WHT</t>
  </si>
  <si>
    <t>F4WAC</t>
  </si>
  <si>
    <t>FREEDOM 4 +1 6LED ALY/WARN BLU</t>
  </si>
  <si>
    <t>F4WAB</t>
  </si>
  <si>
    <t>FREEDOM 4 +1 6LED ALY/WARN AMB</t>
  </si>
  <si>
    <t>F4WAA</t>
  </si>
  <si>
    <t>FREEDOM IV + 2 6LED ALLEY LTS</t>
  </si>
  <si>
    <t>F4A6</t>
  </si>
  <si>
    <t>FREEDOM IV + 2 3LED ALLEY LTS</t>
  </si>
  <si>
    <t>F4A3</t>
  </si>
  <si>
    <t>FREEDOM IV + 1 SHORT 6LED B/A</t>
  </si>
  <si>
    <t>F4DSM</t>
  </si>
  <si>
    <t>FREEDOM IV + 1 SHORT 6LED R/G</t>
  </si>
  <si>
    <t>F4DSL</t>
  </si>
  <si>
    <t>FREEDOM IV + 1 SHORT 6LED R/A</t>
  </si>
  <si>
    <t>F4DSK</t>
  </si>
  <si>
    <t>FREEDOM IV + 1 SHORT 6LED R/B</t>
  </si>
  <si>
    <t>F4DSJ</t>
  </si>
  <si>
    <t>FREEDOM IV + 1 SHORT 6LED W/G</t>
  </si>
  <si>
    <t>F4DSH</t>
  </si>
  <si>
    <t>FREEDOM IV + 1 SHORT 6LED W/A</t>
  </si>
  <si>
    <t>F4DSF</t>
  </si>
  <si>
    <t>FREEDOM IV + 1 SHORT 6LED B/W</t>
  </si>
  <si>
    <t>F4DSE</t>
  </si>
  <si>
    <t>FREEDOM IV + 1 SHORT 6LED R/W</t>
  </si>
  <si>
    <t>F4DSD</t>
  </si>
  <si>
    <t>FREEDOM IV + 1 LONG 12LED B/A</t>
  </si>
  <si>
    <t>F4DLM</t>
  </si>
  <si>
    <t>FREEDOM IV + 1 LONG 12LED R/G</t>
  </si>
  <si>
    <t>F4DLL</t>
  </si>
  <si>
    <t>FREEDOM IV + 1 LONG 12LED R/A</t>
  </si>
  <si>
    <t>F4DLK</t>
  </si>
  <si>
    <t>FREEDOM IV + 1 LONG 12LED R/B</t>
  </si>
  <si>
    <t>F4DLJ</t>
  </si>
  <si>
    <t>FREEDOM IV + 1 LONG 12LED W/G</t>
  </si>
  <si>
    <t>F4DLH</t>
  </si>
  <si>
    <t>FREEDOM IV + 1 LONG 12LED W/A</t>
  </si>
  <si>
    <t>F4DLF</t>
  </si>
  <si>
    <t>FREEDOM IV + 1 LONG 12LED B/W</t>
  </si>
  <si>
    <t>F4DLE</t>
  </si>
  <si>
    <t>FREEDOM IV + 1 LONG 12LED R/W</t>
  </si>
  <si>
    <t>F4DLD</t>
  </si>
  <si>
    <t>FREEDOM IV + 1 SHORT 6LED RED</t>
  </si>
  <si>
    <t>F4DSR</t>
  </si>
  <si>
    <t>FREEDOM IV + 1 SHORT 6LED GRN</t>
  </si>
  <si>
    <t>F4DSG</t>
  </si>
  <si>
    <t>FREEDOM IV + 1 SHORT 6LED WHT</t>
  </si>
  <si>
    <t>F4DSC</t>
  </si>
  <si>
    <t>FREEDOM IV + 1 SHORT 6LED BLU</t>
  </si>
  <si>
    <t>F4DSB</t>
  </si>
  <si>
    <t>FREEDOM IV + 1 SHORT 6LED AMB</t>
  </si>
  <si>
    <t>F4DSA</t>
  </si>
  <si>
    <t>FREEDOM IV + 1 LONG 12LED RED</t>
  </si>
  <si>
    <t>F4DLR</t>
  </si>
  <si>
    <t>FREEDOM IV + 1 LONG 12LED GRN</t>
  </si>
  <si>
    <t>F4DLG</t>
  </si>
  <si>
    <t>FREEDOM IV + 1 LONG 12LED WHT</t>
  </si>
  <si>
    <t>F4DLC</t>
  </si>
  <si>
    <t>FREEDOMIV + 1 LONG 12LED BLU</t>
  </si>
  <si>
    <t>F4DLB</t>
  </si>
  <si>
    <t>FREEDOM IV + 1 LONG 12LED AMB</t>
  </si>
  <si>
    <t>F4DLA</t>
  </si>
  <si>
    <t>FREEDOM 4 +1 12LED ALY/WARN RA</t>
  </si>
  <si>
    <t>F42WAK</t>
  </si>
  <si>
    <t>FREEDOM 4 +1 12LED ALY/WARN WA</t>
  </si>
  <si>
    <t>F42WAF</t>
  </si>
  <si>
    <t>FREEDOM 4 +1 12LED ALY/WARN BW</t>
  </si>
  <si>
    <t>F42WAE</t>
  </si>
  <si>
    <t>FREEDOM 4 +1 12LED ALY/WARN RW</t>
  </si>
  <si>
    <t>F42WAD</t>
  </si>
  <si>
    <t>FREEDOM IV + 1 SHORT 12LED B/A</t>
  </si>
  <si>
    <t>F42DSM</t>
  </si>
  <si>
    <t>FREEDOM IV + 1 SHORT 12LED R/A</t>
  </si>
  <si>
    <t>F42DSK</t>
  </si>
  <si>
    <t>FREEDOM IV + 1 SHORT 12LED W/A</t>
  </si>
  <si>
    <t>F42DSF</t>
  </si>
  <si>
    <t>FREEDOM IV + 1 SHORT 12LED B/W</t>
  </si>
  <si>
    <t>F42DSE</t>
  </si>
  <si>
    <t>FREEDOM IV + 1 SHORT 12LED R/W</t>
  </si>
  <si>
    <t>F42DSD</t>
  </si>
  <si>
    <t>FREEDOM IV + 1 LONG 24LED B/A</t>
  </si>
  <si>
    <t>F42DLM</t>
  </si>
  <si>
    <t>FREEDOM IV + 1 LONG 24LED R/A</t>
  </si>
  <si>
    <t>F42DLK</t>
  </si>
  <si>
    <t>FREEDOM IV + 1 LONG 24LED R/B</t>
  </si>
  <si>
    <t>F42DLJ</t>
  </si>
  <si>
    <t>FREEDOM IV + 1 LONG 24LED W/A</t>
  </si>
  <si>
    <t>F42DLF</t>
  </si>
  <si>
    <t>FREEDOM IV + 1 LONG 24LED B/W</t>
  </si>
  <si>
    <t>F42DLE</t>
  </si>
  <si>
    <t>FREEDOM IV + 1 LONG 24LED R/W</t>
  </si>
  <si>
    <t>F42DLD</t>
  </si>
  <si>
    <t>FREEDOM IV DUO WCX 72" M/M/M/M</t>
  </si>
  <si>
    <t>K427MMMM</t>
  </si>
  <si>
    <t>FREEDOM IV DUO WCX 72" M/M/K/K</t>
  </si>
  <si>
    <t>K427MMKK</t>
  </si>
  <si>
    <t>FREEDOM IV DUO WCX 72" K/K/K/K</t>
  </si>
  <si>
    <t>K427KKKK</t>
  </si>
  <si>
    <t>FREEDOM IV DUO WCX 72" F/F/F/F</t>
  </si>
  <si>
    <t>K427FFFF</t>
  </si>
  <si>
    <t>FREEDOM IV DUO WCX 72" E/E/E/E</t>
  </si>
  <si>
    <t>K427EEEE</t>
  </si>
  <si>
    <t>FREEDOM IV DUO WCX 72" D/E/D/E</t>
  </si>
  <si>
    <t>K427DEDE</t>
  </si>
  <si>
    <t>FREEDOM IV DUO WCX 72" D/D/E/E</t>
  </si>
  <si>
    <t>K427DDEE</t>
  </si>
  <si>
    <t>FREEDOM IV DUO WCX 72" D/D/D/D</t>
  </si>
  <si>
    <t>K427DDDD</t>
  </si>
  <si>
    <t>FREEDOM IV DUO WCX 60" M/M/M/M</t>
  </si>
  <si>
    <t>K420MMMM</t>
  </si>
  <si>
    <t>FREEDOM IV DUO WCX 60" K/M/K/M</t>
  </si>
  <si>
    <t>K420KMKM</t>
  </si>
  <si>
    <t>FREEDOM IV DUO WCX 60" F/F/F/F</t>
  </si>
  <si>
    <t>K420FFFF</t>
  </si>
  <si>
    <t>FREEDOM IV DUO WCX 60" D/E/D/E</t>
  </si>
  <si>
    <t>K420DEDE</t>
  </si>
  <si>
    <t>FREEDOM IV DUO WCX 60" D/D/D/D</t>
  </si>
  <si>
    <t>K420DDDD</t>
  </si>
  <si>
    <t>FREEDOM IV DUO WCX 55" F/F/F/F</t>
  </si>
  <si>
    <t>K422FFFF</t>
  </si>
  <si>
    <t>FREEDOM IV DUO WCX 55" E/E/D/D</t>
  </si>
  <si>
    <t>K422EEDD</t>
  </si>
  <si>
    <t>FREEDOM IV DUO WCX 55" D/E/D/E</t>
  </si>
  <si>
    <t>K422DEDE</t>
  </si>
  <si>
    <t>FREEDOM IV DUO WCX 55" D/E/D/D</t>
  </si>
  <si>
    <t>K422DEDD</t>
  </si>
  <si>
    <t>FREEDOM IV DUO WCX 55" D/D/D/D</t>
  </si>
  <si>
    <t>K422DDDD</t>
  </si>
  <si>
    <t>FREEDOM IV DUO WCX 49" F/F/F/F</t>
  </si>
  <si>
    <t>K428FFFF</t>
  </si>
  <si>
    <t>FREEDOM IV DUO WCX 49" E/E/E/E</t>
  </si>
  <si>
    <t>K428EEEE</t>
  </si>
  <si>
    <t>FREEDOM IV DUO WCX 49" D/E/D/E</t>
  </si>
  <si>
    <t>K428DEDE</t>
  </si>
  <si>
    <t>FREEDOM IV DUO WCX 49" D/D/D/D</t>
  </si>
  <si>
    <t>K428DDDD</t>
  </si>
  <si>
    <t>FREEDOM IV DUO WCX 44" D/E/D/E</t>
  </si>
  <si>
    <t>K424DEDE</t>
  </si>
  <si>
    <t>FREEDOM IV DUO WCX 44" D/D/D/D</t>
  </si>
  <si>
    <t>K424DDDD</t>
  </si>
  <si>
    <t>FREEDOM IV LC 72" R/R/R/R</t>
  </si>
  <si>
    <t>F4X7RRRR</t>
  </si>
  <si>
    <t>FREEDOM IV LC 72" R/R/B/R</t>
  </si>
  <si>
    <t>F4X7RRBR</t>
  </si>
  <si>
    <t>FREEDOM IV LC 72" R/R/B/B</t>
  </si>
  <si>
    <t>F4X7RRBB</t>
  </si>
  <si>
    <t>FREEDOM IV LC 72" G/R/G/R</t>
  </si>
  <si>
    <t>F4X7GRGR</t>
  </si>
  <si>
    <t>FREEDOM IV LC 72" G/G/G/G</t>
  </si>
  <si>
    <t>F4X7GGGG</t>
  </si>
  <si>
    <t>FREEDOM IV LC 72" W/R/W/R</t>
  </si>
  <si>
    <t>F4X7CRCR</t>
  </si>
  <si>
    <t>FREEDOM IV LC 72" W/R/B/W</t>
  </si>
  <si>
    <t>F4X7CRBC</t>
  </si>
  <si>
    <t>FREEDOM IV LC 72" W/W/W/W</t>
  </si>
  <si>
    <t>F4X7CCCC</t>
  </si>
  <si>
    <t>FREEDOM IV LC 72" B/R/R/R</t>
  </si>
  <si>
    <t>F4X7BRRR</t>
  </si>
  <si>
    <t>FREEDOM IV LC 72" B/R/B/R</t>
  </si>
  <si>
    <t>F4X7BRBR</t>
  </si>
  <si>
    <t>FREEDOM IV LC 72" B/W/B/W</t>
  </si>
  <si>
    <t>F4X7BCBC</t>
  </si>
  <si>
    <t>FREEDOM IV LC 72" B/B/R/R</t>
  </si>
  <si>
    <t>F4X7BBRR</t>
  </si>
  <si>
    <t>FREEDOM IV LC 72" B/B/B/B</t>
  </si>
  <si>
    <t>F4X7BBBB</t>
  </si>
  <si>
    <t>FREEDOM IV LC 72" A/R/A/R</t>
  </si>
  <si>
    <t>F4X7ARAR</t>
  </si>
  <si>
    <t>FREEDOM IV LC 72" A/R/A/B</t>
  </si>
  <si>
    <t>F4X7ARAB</t>
  </si>
  <si>
    <t>FREEDOM IV LC 72" A/W/A/W</t>
  </si>
  <si>
    <t>F4X7ACAC</t>
  </si>
  <si>
    <t>FREEDOM IV LC 72" A/A/W/W</t>
  </si>
  <si>
    <t>F4X7AACC</t>
  </si>
  <si>
    <t>FREEDOM IV LC 72" A/A/A/A</t>
  </si>
  <si>
    <t>F4X7AAAA</t>
  </si>
  <si>
    <t>FREEDOM IV LC 60" R/R/R/R</t>
  </si>
  <si>
    <t>F4X0RRRR</t>
  </si>
  <si>
    <t>FREEDOM IV LC 60" R/R/W/W</t>
  </si>
  <si>
    <t>F4X0RRCC</t>
  </si>
  <si>
    <t>FREEDOM IV LC 60" R/R/B/R</t>
  </si>
  <si>
    <t>F4X0RRBR</t>
  </si>
  <si>
    <t>FREEDOM IV LC 60" R/R/B/B</t>
  </si>
  <si>
    <t>F4X0RRBB</t>
  </si>
  <si>
    <t>FREEDOM IV LC 60" W/R/W/R</t>
  </si>
  <si>
    <t>F4X0CRCR</t>
  </si>
  <si>
    <t>FREEDOM IV LC 60" W/W/W/W</t>
  </si>
  <si>
    <t>F4X0CCCC</t>
  </si>
  <si>
    <t>FREEDOM IV LC 60" B/R/R/R</t>
  </si>
  <si>
    <t>F4X0BRRR</t>
  </si>
  <si>
    <t>FREEDOM IV LC 60" B/R/B/R</t>
  </si>
  <si>
    <t>F4X0BRBR</t>
  </si>
  <si>
    <t>FREEDOM IV LC 60" B/B/R/R</t>
  </si>
  <si>
    <t>F4X0BBRR</t>
  </si>
  <si>
    <t>FREEDOM IV LC 60" B/B/B/B</t>
  </si>
  <si>
    <t>F4X0BBBB</t>
  </si>
  <si>
    <t>FREEDOM IV LC 60" A/R/A/R</t>
  </si>
  <si>
    <t>F4X0ARAR</t>
  </si>
  <si>
    <t>FREEDOM IV LC 60" A/A/A/A</t>
  </si>
  <si>
    <t>F4X0AAAA</t>
  </si>
  <si>
    <t>FREEDOM IV LC 55" R/R/R/R</t>
  </si>
  <si>
    <t>F4X2RRRR</t>
  </si>
  <si>
    <t>FREEDOM IV LC 55" R/R/B/R</t>
  </si>
  <si>
    <t>F4X2RRBR</t>
  </si>
  <si>
    <t>FREEDOM IV LC 55" R/R/B/B</t>
  </si>
  <si>
    <t>F4X2RRBB</t>
  </si>
  <si>
    <t>FREEDOM IV LC 55" G/R/G/R</t>
  </si>
  <si>
    <t>F4X2GRGR</t>
  </si>
  <si>
    <t>FREEDOM IV LC 55" G/G/G/G</t>
  </si>
  <si>
    <t>F4X2GGGG</t>
  </si>
  <si>
    <t>FREEDOM IV LC 55" W/R/W/R</t>
  </si>
  <si>
    <t>F4X2CRCR</t>
  </si>
  <si>
    <t>FREEDOM IV LC 55" W/W/R/R</t>
  </si>
  <si>
    <t>F4X2CCRR</t>
  </si>
  <si>
    <t>FREEDOM IV LC 55" W/W/W/W</t>
  </si>
  <si>
    <t>F4X2CCCC</t>
  </si>
  <si>
    <t>FREEDOM IV LC 55" B/R/R/R</t>
  </si>
  <si>
    <t>F4X2BRRR</t>
  </si>
  <si>
    <t>FREEDOM IV LC 55" B/R/B/R</t>
  </si>
  <si>
    <t>F4X2BRBR</t>
  </si>
  <si>
    <t>FREEDOM IV LC 55" B/B/R/R</t>
  </si>
  <si>
    <t>F4X2BBRR</t>
  </si>
  <si>
    <t>FREEDOM IV LC 55" B/B/B/B</t>
  </si>
  <si>
    <t>F4X2BBBB</t>
  </si>
  <si>
    <t>FREEDOM IV LC 55" A/R/A/R</t>
  </si>
  <si>
    <t>F4X2ARAR</t>
  </si>
  <si>
    <t>FREEDOM IV LC 55" A/W/A/W</t>
  </si>
  <si>
    <t>F4X2ACAC</t>
  </si>
  <si>
    <t>FREEDOM IV LC 55" A/B/A/B</t>
  </si>
  <si>
    <t>F4X2ABAB</t>
  </si>
  <si>
    <t>FREEDOM IV LC 55" A/A/W/W</t>
  </si>
  <si>
    <t>F4X2AACC</t>
  </si>
  <si>
    <t>FREEDOM IV LC 55" A/A/A/A</t>
  </si>
  <si>
    <t>F4X2AAAA</t>
  </si>
  <si>
    <t>FREEDOM IV LC 49" R/R/R/R</t>
  </si>
  <si>
    <t>F4X8RRRR</t>
  </si>
  <si>
    <t>FREEDOM IV LC 49" R/R/B/B</t>
  </si>
  <si>
    <t>F4X8RRBB</t>
  </si>
  <si>
    <t>FREEDOM IV LC 49" W/R/W/R</t>
  </si>
  <si>
    <t>F4X8CRCR</t>
  </si>
  <si>
    <t>FREEDOM IV LC 49" B/R/B/R</t>
  </si>
  <si>
    <t>F4X8BRBR</t>
  </si>
  <si>
    <t>FREEDOM IV LC 49" B/B/B/B</t>
  </si>
  <si>
    <t>F4X8BBBB</t>
  </si>
  <si>
    <t>FREEDOM IV LC 49" A/R/A/R</t>
  </si>
  <si>
    <t>F4X8ARAR</t>
  </si>
  <si>
    <t>FREEDOM IV LC 49" A/B/A/B</t>
  </si>
  <si>
    <t>F4X8ABAB</t>
  </si>
  <si>
    <t>FREEDOM IV LC 49" A/A/R/R</t>
  </si>
  <si>
    <t>F4X8AARR</t>
  </si>
  <si>
    <t>FREEDOM IV LC 49" A/A/A/A</t>
  </si>
  <si>
    <t>F4X8AAAA</t>
  </si>
  <si>
    <t>FREEDOM IV LC 44" R/R/R/R</t>
  </si>
  <si>
    <t>F4X4RRRR</t>
  </si>
  <si>
    <t>FREEDOM IV LC 44" R/R/A/A</t>
  </si>
  <si>
    <t>F4X4RRAA</t>
  </si>
  <si>
    <t>FREEDOM IV LC 44" G/G/G/G</t>
  </si>
  <si>
    <t>F4X4GGGG</t>
  </si>
  <si>
    <t>FREEDOM IV LC 44" W/R/W/R</t>
  </si>
  <si>
    <t>F4X4CRCR</t>
  </si>
  <si>
    <t>FREEDOM IV LC 44" B/R/B/R</t>
  </si>
  <si>
    <t>F4X4BRBR</t>
  </si>
  <si>
    <t>FREEDOM IV LC 44" B/B/B/B</t>
  </si>
  <si>
    <t>F4X4BBBB</t>
  </si>
  <si>
    <t>FREEDOM IV LC 44" A/R/A/R</t>
  </si>
  <si>
    <t>F4X4ARAR</t>
  </si>
  <si>
    <t>FREEDOM IV LC 44" A/W/A/W</t>
  </si>
  <si>
    <t>F4X4ACAC</t>
  </si>
  <si>
    <t>FREEDOM IV LC 44" A/A/R/R</t>
  </si>
  <si>
    <t>F4X4AARR</t>
  </si>
  <si>
    <t>FREEDOM IV LC 44" A/A/A/A</t>
  </si>
  <si>
    <t>F4X4AAAA</t>
  </si>
  <si>
    <t>FREEDOM IV WCX 72" R/R/R/R</t>
  </si>
  <si>
    <t>K4W7RRRR</t>
  </si>
  <si>
    <t>FREEDOM IV WCX 72" R/R/B/B</t>
  </si>
  <si>
    <t>K4W7RRBB</t>
  </si>
  <si>
    <t>FREEDOM IV WCX 72" W/R/W/R</t>
  </si>
  <si>
    <t>K4W7CRCR</t>
  </si>
  <si>
    <t>FREEDOM IV WCX 72" W/W/R/R</t>
  </si>
  <si>
    <t>K4W7CCRR</t>
  </si>
  <si>
    <t>FREEDOM IV WCX 72" B/R/B/R</t>
  </si>
  <si>
    <t>K4W7BRBR</t>
  </si>
  <si>
    <t>FREEDOM IV WCX 72" B/W/W/R</t>
  </si>
  <si>
    <t>K4W7BCCR</t>
  </si>
  <si>
    <t>FREEDOM IV WCX 72" B/B/B/B</t>
  </si>
  <si>
    <t>K4W7BBBB</t>
  </si>
  <si>
    <t>FREEDOM IV WCX 72" A/R/A/R</t>
  </si>
  <si>
    <t>K4W7ARAR</t>
  </si>
  <si>
    <t>FREEDOM IV WCX 72" A/A/A/A</t>
  </si>
  <si>
    <t>K4W7AAAA</t>
  </si>
  <si>
    <t>FREEDOM IV WCX 60" R/R/R/R</t>
  </si>
  <si>
    <t>K4W0RRRR</t>
  </si>
  <si>
    <t>FREEDOM IV WCX 60" B/R/B/R</t>
  </si>
  <si>
    <t>K4W0BRBR</t>
  </si>
  <si>
    <t>FREEDOM IV WCX 60" A/A/A/A</t>
  </si>
  <si>
    <t>K4W0AAAA</t>
  </si>
  <si>
    <t>FREEDOM IV WCX 55" R/R/R/R</t>
  </si>
  <si>
    <t>K4W2RRRR</t>
  </si>
  <si>
    <t>FREEDOM IV WCX 55" W/W/R/R</t>
  </si>
  <si>
    <t>K4W2CCRR</t>
  </si>
  <si>
    <t>FREEDOM IV WCX 55" W/W/W/W</t>
  </si>
  <si>
    <t>K4W2CCCC</t>
  </si>
  <si>
    <t>FREEDOM IV WCX 55" B/R/R/R</t>
  </si>
  <si>
    <t>K4W2BRRR</t>
  </si>
  <si>
    <t>FREEDOM IV WCX 55" B/R/B/R</t>
  </si>
  <si>
    <t>K4W2BRBR</t>
  </si>
  <si>
    <t>FREEDOM IV WCX 55" B/B/R/R</t>
  </si>
  <si>
    <t>K4W2BBRR</t>
  </si>
  <si>
    <t>FREEDOM IV WCX 55" B/B/B/B</t>
  </si>
  <si>
    <t>K4W2BBBB</t>
  </si>
  <si>
    <t>FREEDOM IV WCX 55" A/B/A/B</t>
  </si>
  <si>
    <t>K4W2ABAB</t>
  </si>
  <si>
    <t>FREEDOM IV WCX 55" A/A/A/A</t>
  </si>
  <si>
    <t>K4W2AAAA</t>
  </si>
  <si>
    <t>FREEDOM IV WCX 49" R/R/R/R</t>
  </si>
  <si>
    <t>K4W8RRRR</t>
  </si>
  <si>
    <t>FREEDOM IV WCX 49" B/R/B/R</t>
  </si>
  <si>
    <t>K4W8BRBR</t>
  </si>
  <si>
    <t>FREEDOM IV WCX 49" B/B/B/B</t>
  </si>
  <si>
    <t>K4W8BBBB</t>
  </si>
  <si>
    <t>FREEDOM IV WCX 49" A/R/A/R</t>
  </si>
  <si>
    <t>K4W8ARAR</t>
  </si>
  <si>
    <t>FREEDOM IV WCX 49" A/A/A/A</t>
  </si>
  <si>
    <t>K4W8AAAA</t>
  </si>
  <si>
    <t>FREEDOM IV WCX 44" R/R/R/R</t>
  </si>
  <si>
    <t>K4W4RRRR</t>
  </si>
  <si>
    <t>FREEDOM IV WCX 44" B/R/B/R</t>
  </si>
  <si>
    <t>K4W4BRBR</t>
  </si>
  <si>
    <t>FREEDOM IV WCX 44" B/B/B/B</t>
  </si>
  <si>
    <t>K4W4BBBB</t>
  </si>
  <si>
    <t>ADD 1 RED/SMK ION OUTER EDGE</t>
  </si>
  <si>
    <t>OEIONRX</t>
  </si>
  <si>
    <t>ADD 1 GRN/SMK ION OUTER EDGE</t>
  </si>
  <si>
    <t>OEIONGX</t>
  </si>
  <si>
    <t>ADD 1 WHT/SMK ION OUTER EDGE</t>
  </si>
  <si>
    <t>OEIONCX</t>
  </si>
  <si>
    <t>ADD 1 BLU/SMK ION OUTER EDGE</t>
  </si>
  <si>
    <t>OEIONBX</t>
  </si>
  <si>
    <t>ADD 1 AMB/SMK ION OUTER EDGE</t>
  </si>
  <si>
    <t>OEIONAX</t>
  </si>
  <si>
    <t>ADD 1 GREEN ION OUTER EDGE</t>
  </si>
  <si>
    <t>OEIONG</t>
  </si>
  <si>
    <t>ION REARPILLAR LC SOLO UTILITY</t>
  </si>
  <si>
    <t>RPLS50</t>
  </si>
  <si>
    <t>ION REARPILLAR LC SOLO DURANGO</t>
  </si>
  <si>
    <t>RPLS44</t>
  </si>
  <si>
    <t>ION REAR PILLAR LC SOLO TAHOE</t>
  </si>
  <si>
    <t>RPLS54</t>
  </si>
  <si>
    <t>ADD 1 RBW/SMK ION OUTER EDGE</t>
  </si>
  <si>
    <t>OEI3RBCX</t>
  </si>
  <si>
    <t>ADD 1 BWA/SMK ION OUTER EDGE</t>
  </si>
  <si>
    <t>OEI3BCAX</t>
  </si>
  <si>
    <t>ADD 1 RWA/SMK ION OUTER EDGE</t>
  </si>
  <si>
    <t>OEI3RCAX</t>
  </si>
  <si>
    <t>ADD 1 RBA/SMK ION OUTER EDGE</t>
  </si>
  <si>
    <t>OEI3RBAX</t>
  </si>
  <si>
    <t>ION REARPILLAR WC TRIO UTILITY</t>
  </si>
  <si>
    <t>RPWT50</t>
  </si>
  <si>
    <t>ION REARPILLAR WC TRIO DURANGO</t>
  </si>
  <si>
    <t>RPWT44</t>
  </si>
  <si>
    <t>ION REAR PILLAR WC TRIO TAHOE</t>
  </si>
  <si>
    <t>RPWT54</t>
  </si>
  <si>
    <t>ADD 1 B-A/SMK ION OUTER EDGE</t>
  </si>
  <si>
    <t>OEI2MX</t>
  </si>
  <si>
    <t>ADD 1 R-G/SMK ION OUTER EDGE</t>
  </si>
  <si>
    <t>OEI2LX</t>
  </si>
  <si>
    <t>ADD 1 R-A/SMK ION OUTER EDGE</t>
  </si>
  <si>
    <t>OEI2KX</t>
  </si>
  <si>
    <t>ADD 1 R-B/SMK ION OUTER EDGE</t>
  </si>
  <si>
    <t>OEI2JX</t>
  </si>
  <si>
    <t>ADD 1 G-W/SMK ION OUTER EDGE</t>
  </si>
  <si>
    <t>OEI2HX</t>
  </si>
  <si>
    <t>ADD 1 A-W/SMK ION OUTER EDGE</t>
  </si>
  <si>
    <t>OEI2FX</t>
  </si>
  <si>
    <t>ADD 1 B-W/SMK ION OUTER EDGE</t>
  </si>
  <si>
    <t>OEI2EX</t>
  </si>
  <si>
    <t>ADD 1 R-W/SMK ION OUTER EDGE</t>
  </si>
  <si>
    <t>OEI2DX</t>
  </si>
  <si>
    <t>ADD 1 RED/GRN ION OUTER EDGE</t>
  </si>
  <si>
    <t>OEI2L</t>
  </si>
  <si>
    <t>ION REAR PILLAR WC DUO UTILITY</t>
  </si>
  <si>
    <t>RPWD50</t>
  </si>
  <si>
    <t>ION REAR PILLAR WC DUO DURANGO</t>
  </si>
  <si>
    <t>RPWD44</t>
  </si>
  <si>
    <t>ION REAR PILLAR WC DUO TAHOE</t>
  </si>
  <si>
    <t>RPWD54</t>
  </si>
  <si>
    <t>ION REARPILLAR WC SOLO UTILITY</t>
  </si>
  <si>
    <t>RPWS50</t>
  </si>
  <si>
    <t>ION REARPILLAR WC SOLO DURANGO</t>
  </si>
  <si>
    <t>RPWS44</t>
  </si>
  <si>
    <t>ION REAR PILLAR WC SOLO TAHOE</t>
  </si>
  <si>
    <t>RPWS54</t>
  </si>
  <si>
    <t>ION O.E. LC SOLO INTERCEPTOR</t>
  </si>
  <si>
    <t>OELS50</t>
  </si>
  <si>
    <t>ION OUTEREDGE LC SOLO 21 TAHOE</t>
  </si>
  <si>
    <t>OELS54</t>
  </si>
  <si>
    <t>ION O.E. WC TRIO INTERCEPTOR</t>
  </si>
  <si>
    <t>OEWT50</t>
  </si>
  <si>
    <t>ION OUTEREDGE WC TRIO 21 TAHOE</t>
  </si>
  <si>
    <t>OEWT54</t>
  </si>
  <si>
    <t>ION O.E. WC DUO INTERCEPTOR</t>
  </si>
  <si>
    <t>OEWD50</t>
  </si>
  <si>
    <t>ION OUTER EDGE WC DUO 21 TAHOE</t>
  </si>
  <si>
    <t>OEWD54</t>
  </si>
  <si>
    <t>ION O.E. WC SOLO INTERCEPTOR</t>
  </si>
  <si>
    <t>OEWS50</t>
  </si>
  <si>
    <t>ION OUTEREDGE WC SOLO 21 TAHOE</t>
  </si>
  <si>
    <t>OEWS54</t>
  </si>
  <si>
    <t>INNER EDGE FST/RST TRIO R/B/W</t>
  </si>
  <si>
    <t>ISTRBC</t>
  </si>
  <si>
    <t>INNER EDGE FST/RST TRIO B/W/A</t>
  </si>
  <si>
    <t>ISTBCA</t>
  </si>
  <si>
    <t>INNER EDGE FST/RST TRIO R/W/A</t>
  </si>
  <si>
    <t>ISTRCA</t>
  </si>
  <si>
    <t>INNER EDGE FST/RST TRIO R/B/A</t>
  </si>
  <si>
    <t>ISTRBA</t>
  </si>
  <si>
    <t>INNER EDGE FST/RST DUO BLU/AMB</t>
  </si>
  <si>
    <t>ISDM</t>
  </si>
  <si>
    <t>INNER EDGE FST/RST DUO RED/GRN</t>
  </si>
  <si>
    <t>ISDL</t>
  </si>
  <si>
    <t>INNER EDGE FST/RST DUO RED/AMB</t>
  </si>
  <si>
    <t>ISDK</t>
  </si>
  <si>
    <t>INNER EDGE FST/RST DUO RED/BLU</t>
  </si>
  <si>
    <t>ISDJ</t>
  </si>
  <si>
    <t>INNER EDGE FST/RST DUO GRN/WHT</t>
  </si>
  <si>
    <t>ISDH</t>
  </si>
  <si>
    <t>INNER EDGE FST/RST DUO AMB/WHT</t>
  </si>
  <si>
    <t>ISDF</t>
  </si>
  <si>
    <t>INNER EDGE FST/RST DUO BLU/WHT</t>
  </si>
  <si>
    <t>ISDE</t>
  </si>
  <si>
    <t>INNER EDGE FST/RST DUO RED/WHT</t>
  </si>
  <si>
    <t>ISDD</t>
  </si>
  <si>
    <t>INNER EDGE FST/RST SOLO GREEN</t>
  </si>
  <si>
    <t>ISSG</t>
  </si>
  <si>
    <t>INNER EDGE RST 12-LT SOLO TRAY</t>
  </si>
  <si>
    <t>ISRL12</t>
  </si>
  <si>
    <t>INNER EDGE RST 10-LT SOLO TRAY</t>
  </si>
  <si>
    <t>ISRL10</t>
  </si>
  <si>
    <t>INNER EDGE RST 8-LT SOLO TRAY</t>
  </si>
  <si>
    <t>ISRL8</t>
  </si>
  <si>
    <t>INNER EDGE RST WCX 12 LT TRAY</t>
  </si>
  <si>
    <t>BSRW12T</t>
  </si>
  <si>
    <t>INNER EDGE RST WCX 12-LT TRAY</t>
  </si>
  <si>
    <t>BSRW12</t>
  </si>
  <si>
    <t>INNER EDGE RST WCX 10-LT TRAY</t>
  </si>
  <si>
    <t>BSRW10T</t>
  </si>
  <si>
    <t>BSRW10</t>
  </si>
  <si>
    <t>INNER EDGE RST WCX 8-LT TRAY</t>
  </si>
  <si>
    <t>BSRW8T</t>
  </si>
  <si>
    <t>BSRW8</t>
  </si>
  <si>
    <t>INNER EDGE RST LC 12-LT TRAY</t>
  </si>
  <si>
    <t>ITRAYL12</t>
  </si>
  <si>
    <t>INNER EDGE RST LC 10-LT TRAY</t>
  </si>
  <si>
    <t>ITRAYL10</t>
  </si>
  <si>
    <t>INNER EDGE RST LC 8-LT TRAY</t>
  </si>
  <si>
    <t>ITRAYL8</t>
  </si>
  <si>
    <t>IE RST WCX 8LT TRIO 22 TESLA Y</t>
  </si>
  <si>
    <t>BS568T</t>
  </si>
  <si>
    <t>IE RST WCX 8-LT S/D 22 TESLA Y</t>
  </si>
  <si>
    <t>BS568</t>
  </si>
  <si>
    <t>I-E RST WCX 10-LT TRIO MUSTANG</t>
  </si>
  <si>
    <t>BS60ZT</t>
  </si>
  <si>
    <t>I-E RST WCX 10-LT S/D MUSTANG</t>
  </si>
  <si>
    <t>BS60Z</t>
  </si>
  <si>
    <t>I-E RST WCX 8-LT TRIO MUSTANG</t>
  </si>
  <si>
    <t>BS608T</t>
  </si>
  <si>
    <t>I-E RST WCX 8-LT S/D MUSTANG</t>
  </si>
  <si>
    <t>BS608</t>
  </si>
  <si>
    <t>I-E RST WCX 8-LT TRIO MACH-E</t>
  </si>
  <si>
    <t>BS578T</t>
  </si>
  <si>
    <t>I-E RST WCX 8-LT S/D 22 MACH-E</t>
  </si>
  <si>
    <t>BS578</t>
  </si>
  <si>
    <t>I-E RST WCX 10-LT TRIO UTILITY</t>
  </si>
  <si>
    <t>BS50ZT</t>
  </si>
  <si>
    <t>I-E RST WCX 10-LT S/D UTILITY</t>
  </si>
  <si>
    <t>BS50Z</t>
  </si>
  <si>
    <t>I-E RST WCX 8-LT TRIO UTILITY</t>
  </si>
  <si>
    <t>BS508T</t>
  </si>
  <si>
    <t>I-E RST WCX 8-LT S/D UTILITY</t>
  </si>
  <si>
    <t>BS508</t>
  </si>
  <si>
    <t>IE RST WCX 10LT TRI EXPEDITION</t>
  </si>
  <si>
    <t>BS48ZT</t>
  </si>
  <si>
    <t>IE RST WCX 10LT S/D EXPEDITION</t>
  </si>
  <si>
    <t>BS48Z</t>
  </si>
  <si>
    <t>IE RST WCX 8LT TRIO EXPEDITION</t>
  </si>
  <si>
    <t>BS488T</t>
  </si>
  <si>
    <t>IE RST WCX 8-LT S/D EXPEDITION</t>
  </si>
  <si>
    <t>BS488</t>
  </si>
  <si>
    <t>I-E RST WCX 12-LT TRIO CHARGER</t>
  </si>
  <si>
    <t>BS35XT</t>
  </si>
  <si>
    <t>I-E RST WCX 12-LT S/D CHARGER</t>
  </si>
  <si>
    <t>BS35X</t>
  </si>
  <si>
    <t>I-E RST WCX 10-LT TRIO CHARGER</t>
  </si>
  <si>
    <t>BS35ZT</t>
  </si>
  <si>
    <t>I-E RST WCX 10-LT S/D CHARGER</t>
  </si>
  <si>
    <t>BS35Z</t>
  </si>
  <si>
    <t>I-E RST WCX 8-LT TRIP CHARGER</t>
  </si>
  <si>
    <t>BS358T</t>
  </si>
  <si>
    <t>I-E RST WCX 8-LT S/D CHARGER</t>
  </si>
  <si>
    <t>BS358</t>
  </si>
  <si>
    <t>I-E RST WCX 10-LT TRIO DURANGO</t>
  </si>
  <si>
    <t>BS44ZT</t>
  </si>
  <si>
    <t>I-E RST WCX 10-LT S/D DURANGO</t>
  </si>
  <si>
    <t>BS44Z</t>
  </si>
  <si>
    <t>I-E RST WCX 8-LT TRIO DURANGO</t>
  </si>
  <si>
    <t>BS448T</t>
  </si>
  <si>
    <t>I-E RST WCX 8-LT S/D DURANGO</t>
  </si>
  <si>
    <t>BS448</t>
  </si>
  <si>
    <t>I-E RST WCX 10-LT TRIO TAHOE</t>
  </si>
  <si>
    <t>BS54ZT</t>
  </si>
  <si>
    <t>I-E RST WCX 10-LT S/D 21 TAHOE</t>
  </si>
  <si>
    <t>BS54Z</t>
  </si>
  <si>
    <t>I-E RST WCX 8-LT TRIO 21 TAHOE</t>
  </si>
  <si>
    <t>BS548T</t>
  </si>
  <si>
    <t>I-E RST WCX 8-LT S/D '21 TAHOE</t>
  </si>
  <si>
    <t>BS548</t>
  </si>
  <si>
    <t>IE RST WCX 10LT TRIO BLAZER EV</t>
  </si>
  <si>
    <t>BS59ZT</t>
  </si>
  <si>
    <t>IE RST WCX 10-LT S/D BLAZER EV</t>
  </si>
  <si>
    <t>BS59Z</t>
  </si>
  <si>
    <t>IE RST WCX 8-LT TRIO BLAZER EV</t>
  </si>
  <si>
    <t>BS598T</t>
  </si>
  <si>
    <t>I-E RST WCX 8-LT S/D BLAZER EV</t>
  </si>
  <si>
    <t>BS598</t>
  </si>
  <si>
    <t>I-E XLP 12-LT 2022 MACH-E</t>
  </si>
  <si>
    <t>IX57UFX</t>
  </si>
  <si>
    <t>I-E XLP 10-LT 2022 MACH-E</t>
  </si>
  <si>
    <t>IX57UFZ</t>
  </si>
  <si>
    <t>INNER EDGE XLP 5-LT 22 MACH-E</t>
  </si>
  <si>
    <t>IX57UF5P</t>
  </si>
  <si>
    <t>IE XLP 12-LT 2018 EXPEDITION</t>
  </si>
  <si>
    <t>IX48UFX</t>
  </si>
  <si>
    <t>IE XLP 10-LT 2018 EXPEDITION</t>
  </si>
  <si>
    <t>IX48UFZ</t>
  </si>
  <si>
    <t>IE XLP 6-LT 2018 EXPEDITION</t>
  </si>
  <si>
    <t>IX48UF6P</t>
  </si>
  <si>
    <t>IE XLP 5-LT 2018 EXPEDITION</t>
  </si>
  <si>
    <t>IX48UF5P</t>
  </si>
  <si>
    <t>INNER EDGE XLP 12-LT 2015 F150</t>
  </si>
  <si>
    <t>IX47UFX</t>
  </si>
  <si>
    <t>INNER EDGE XLP 10-LT 2015 F150</t>
  </si>
  <si>
    <t>IX47UFZ</t>
  </si>
  <si>
    <t>INNER EDGE XLP 6-LT 2015 F-150</t>
  </si>
  <si>
    <t>IX47UF6P</t>
  </si>
  <si>
    <t>INNER EDGE XLP 5-LT 2015 F-150</t>
  </si>
  <si>
    <t>IX47UF5P</t>
  </si>
  <si>
    <t>IE XLP 12-LT 2020 FORD UTILITY</t>
  </si>
  <si>
    <t>IX50UFX</t>
  </si>
  <si>
    <t>IE XLP 10-LT 2020 FORD UTILITY</t>
  </si>
  <si>
    <t>IX50UFZ</t>
  </si>
  <si>
    <t>IE XLP 6-LT 2020 FORD UTILITY</t>
  </si>
  <si>
    <t>IX50UF6P</t>
  </si>
  <si>
    <t>IE XLP 5-LT 2020 FORD UTILITY</t>
  </si>
  <si>
    <t>IX50UF5P</t>
  </si>
  <si>
    <t>INNER EDGE XLP 12-LT RAM 1500</t>
  </si>
  <si>
    <t>IX42UFX</t>
  </si>
  <si>
    <t>INNER EDGE XLP 10-LT RAM 1500</t>
  </si>
  <si>
    <t>IX42UFZ</t>
  </si>
  <si>
    <t>INNER EDGE XLP 6-LT RAM 1500</t>
  </si>
  <si>
    <t>IX42UF6P</t>
  </si>
  <si>
    <t>INNER EDGE XLP 5-LT RAM 1500</t>
  </si>
  <si>
    <t>IX42UF5P</t>
  </si>
  <si>
    <t>INNER EDGE XLP 12-LT 2019 RAM</t>
  </si>
  <si>
    <t>IX51UFX</t>
  </si>
  <si>
    <t>INNER EDGE XLP 10-LT 2019 RAM</t>
  </si>
  <si>
    <t>IX51UFZ</t>
  </si>
  <si>
    <t>INNER EDGE XLP 6-LT 2019 RAM</t>
  </si>
  <si>
    <t>IX51UF6P</t>
  </si>
  <si>
    <t>INNER EDGE XLP 5-LT 2019 RAM</t>
  </si>
  <si>
    <t>IX51UF5P</t>
  </si>
  <si>
    <t>INNER EDGE XLP 12LT 13 DURANGO</t>
  </si>
  <si>
    <t>IX44UFX</t>
  </si>
  <si>
    <t>INNER EDGE XLP 10LT 13 DURANGO</t>
  </si>
  <si>
    <t>IX44UFZ</t>
  </si>
  <si>
    <t>INNER EDGE XLP 6LT '13 DURANGO</t>
  </si>
  <si>
    <t>IX44UF6P</t>
  </si>
  <si>
    <t>INNER EDGE XLP 5LT '13 DURANGO</t>
  </si>
  <si>
    <t>IX44UF5P</t>
  </si>
  <si>
    <t>INNER EDGE XLP 12-LT CHARGER</t>
  </si>
  <si>
    <t>IX35UFX</t>
  </si>
  <si>
    <t>INNER EDGE XLP 10-LT CHARGER</t>
  </si>
  <si>
    <t>IX35UFZ</t>
  </si>
  <si>
    <t>INNER EDGE XLP 6-LT CHARGER</t>
  </si>
  <si>
    <t>IX35UF6P</t>
  </si>
  <si>
    <t>INNER EDGE XLP 5-LT CHARGER</t>
  </si>
  <si>
    <t>IX35UF5P</t>
  </si>
  <si>
    <t>I-E XLP 12-LT 2021 TAHOE</t>
  </si>
  <si>
    <t>IX54UFX</t>
  </si>
  <si>
    <t>I-E XLP 10-LT 2021 TAHOE</t>
  </si>
  <si>
    <t>IX54UFZ</t>
  </si>
  <si>
    <t>INNER EDGE XLP 6-LT 2021 TAHOE</t>
  </si>
  <si>
    <t>IX54UF6P</t>
  </si>
  <si>
    <t>INNER EDGE XLP 5-LT 2021 TAHOE</t>
  </si>
  <si>
    <t>IX54UF5P</t>
  </si>
  <si>
    <t>IE XLP 12-LT 2019 SILVERADO</t>
  </si>
  <si>
    <t>IX49UFX</t>
  </si>
  <si>
    <t>IE XLP 10-LT 2019 SILVERADO</t>
  </si>
  <si>
    <t>IX49UFZ</t>
  </si>
  <si>
    <t>IE XLP 6-LT 2019 SILVERADO</t>
  </si>
  <si>
    <t>IX49UF6P</t>
  </si>
  <si>
    <t>IE XLP 5-LT 2019 SILVERADO</t>
  </si>
  <si>
    <t>IX49UF5P</t>
  </si>
  <si>
    <t>INNER EDGE XLP 12-LT BLAZER EV</t>
  </si>
  <si>
    <t>IX59UFX</t>
  </si>
  <si>
    <t>INNER EDGE XLP 10-LT BLAZER EV</t>
  </si>
  <si>
    <t>IX59UFZ</t>
  </si>
  <si>
    <t>INNER EDGE XLP 6-LT BLAZER EV</t>
  </si>
  <si>
    <t>IX59UF6P</t>
  </si>
  <si>
    <t>INNER EDGE XLP 5-LT BLAZER EV</t>
  </si>
  <si>
    <t>IX59UF5P</t>
  </si>
  <si>
    <t>WCX DUO IE 12-LT 2022 TESLA Y</t>
  </si>
  <si>
    <t>BW56UFX</t>
  </si>
  <si>
    <t>WCX DUO IE 6-LT 2022 TESLA Y</t>
  </si>
  <si>
    <t>BW56UF6P</t>
  </si>
  <si>
    <t>WCX DUO IE 12-LT 2024 MUSTANG</t>
  </si>
  <si>
    <t>BW60UFX</t>
  </si>
  <si>
    <t>WCX DUO IE 6-LT 2024 MUSTANG</t>
  </si>
  <si>
    <t>BW60UF6P</t>
  </si>
  <si>
    <t>WCX DUO IE 12-LT 2022 MACH-E</t>
  </si>
  <si>
    <t>BW57UFX</t>
  </si>
  <si>
    <t>WCX DUO IE 6-LT 2022 MACH-E</t>
  </si>
  <si>
    <t>BW57UF6P</t>
  </si>
  <si>
    <t>WCX DUO IE XLP 12LT EXPEDITION</t>
  </si>
  <si>
    <t>BW48UFX</t>
  </si>
  <si>
    <t>WCX DUO IE XLP 6-LT EXPEDITION</t>
  </si>
  <si>
    <t>BW48UF6P</t>
  </si>
  <si>
    <t>WCX DUO I-E XLP 12-LT F-150</t>
  </si>
  <si>
    <t>BW47UFX</t>
  </si>
  <si>
    <t>WCX DUO I-E XLP 6-LT F-150</t>
  </si>
  <si>
    <t>BW47UF6P</t>
  </si>
  <si>
    <t>WCX DUO IE XLP 12LT 20 UTILITY</t>
  </si>
  <si>
    <t>BW50UFX</t>
  </si>
  <si>
    <t>WCX DUO IE XLP 6-LT 20 UTILITY</t>
  </si>
  <si>
    <t>BW50UF6P</t>
  </si>
  <si>
    <t>WCX DUO IE XLP 12LT RAMCLASSIC</t>
  </si>
  <si>
    <t>BW42UFX</t>
  </si>
  <si>
    <t>WCX DUO IE XLP 6LT RAM CLASSIC</t>
  </si>
  <si>
    <t>BW42UF6P</t>
  </si>
  <si>
    <t>WCX DUO XLP 12-LT DODGE RAM</t>
  </si>
  <si>
    <t>BW51UFX</t>
  </si>
  <si>
    <t>WCX DUO I-E XLP 6-LT DODGE RAM</t>
  </si>
  <si>
    <t>BW51UF6P</t>
  </si>
  <si>
    <t>WCX DUO I-E XLP 12-LT DURANGO</t>
  </si>
  <si>
    <t>BW44UFX</t>
  </si>
  <si>
    <t>WCX DUO I-E XLP 6-LT DURANGO</t>
  </si>
  <si>
    <t>BW44UF6P</t>
  </si>
  <si>
    <t>WCX DUO I-E XLP 12-LT CHARGER</t>
  </si>
  <si>
    <t>BW35UFX</t>
  </si>
  <si>
    <t>WCX DUO I-E XLP 6-LT CHARGER</t>
  </si>
  <si>
    <t>BW35UF6P</t>
  </si>
  <si>
    <t>WCX DUO IE 12-LT 2021 TAHOE</t>
  </si>
  <si>
    <t>BW54UFX</t>
  </si>
  <si>
    <t>WCX DUO IE XLP 6-LT 2021 TAHOE</t>
  </si>
  <si>
    <t>BW54UF6P</t>
  </si>
  <si>
    <t>WCX DUO IE XLP 12-LT SILVERADO</t>
  </si>
  <si>
    <t>BW49UFX</t>
  </si>
  <si>
    <t>WCX DUO IE XLP 6-LT SILVERADO</t>
  </si>
  <si>
    <t>BW49UF6P</t>
  </si>
  <si>
    <t>WCX DUO IE 12LT 2024 BLAZER EV</t>
  </si>
  <si>
    <t>BW59UFX</t>
  </si>
  <si>
    <t>WCX DUO IE 6-LT 2024 BLAZER EV</t>
  </si>
  <si>
    <t>BW59UF6P</t>
  </si>
  <si>
    <t>INNEREDGE FST LC 12LT SPRINTER</t>
  </si>
  <si>
    <t>ISFL58X</t>
  </si>
  <si>
    <t>INNEREDGE FST LC 10LT SPRINTER</t>
  </si>
  <si>
    <t>ISFL58Z</t>
  </si>
  <si>
    <t>INNER EDGE FST LC 6LT SPRINTER</t>
  </si>
  <si>
    <t>ISFL586</t>
  </si>
  <si>
    <t>INNER EDGE FST LC 5LT SPRINTER</t>
  </si>
  <si>
    <t>ISFL585</t>
  </si>
  <si>
    <t>INNER EDGE FST LC 12LT TRANSIT</t>
  </si>
  <si>
    <t>ISFL55X</t>
  </si>
  <si>
    <t>INNER EDGE FST LC 10LT TRANSIT</t>
  </si>
  <si>
    <t>ISFL55Z</t>
  </si>
  <si>
    <t>INNER EDGE FST LC 6-LT TRANSIT</t>
  </si>
  <si>
    <t>ISFL556</t>
  </si>
  <si>
    <t>INNER EDGE FST LC 5-LT TRANSIT</t>
  </si>
  <si>
    <t>ISFL555</t>
  </si>
  <si>
    <t>ISFL52X</t>
  </si>
  <si>
    <t>ISFL52Z</t>
  </si>
  <si>
    <t>ISFL526</t>
  </si>
  <si>
    <t>ISFL525</t>
  </si>
  <si>
    <t>INNER EDGE FST LC 10-LT MACH-E</t>
  </si>
  <si>
    <t>ISFL57Z</t>
  </si>
  <si>
    <t>INNER EDGE FST LC 8-LT MACH-E</t>
  </si>
  <si>
    <t>ISFL578</t>
  </si>
  <si>
    <t>INNER EDGE FST LC 5-LT MACH-E</t>
  </si>
  <si>
    <t>ISFL575</t>
  </si>
  <si>
    <t>INNER EDGE FST LC 4-LT MACH-E</t>
  </si>
  <si>
    <t>ISFL574</t>
  </si>
  <si>
    <t>INNEREDGE FST LC 12LT 18 EXPED</t>
  </si>
  <si>
    <t>ISFL48X</t>
  </si>
  <si>
    <t>INNEREDGE FST LC 10LT 18 EXPED</t>
  </si>
  <si>
    <t>ISFL48Z</t>
  </si>
  <si>
    <t>INNER EDGE FST LC 6LT 18 EXPED</t>
  </si>
  <si>
    <t>ISFL486</t>
  </si>
  <si>
    <t>INNER EDGE FST LC 5LT 18 EXPED</t>
  </si>
  <si>
    <t>ISFL485</t>
  </si>
  <si>
    <t>INNER EDGE FST LC 10LT FSERIES</t>
  </si>
  <si>
    <t>ISFL47Z</t>
  </si>
  <si>
    <t>INNER EDGE FST LC 8-LT FSERIES</t>
  </si>
  <si>
    <t>ISFL478</t>
  </si>
  <si>
    <t>INNER EDGE FST LC 5-LT FSERIES</t>
  </si>
  <si>
    <t>ISFL475</t>
  </si>
  <si>
    <t>INNER EDGE FST LC 4-LT FSERIES</t>
  </si>
  <si>
    <t>ISFL474</t>
  </si>
  <si>
    <t>IE FST LC 10LT FORD UTILITY</t>
  </si>
  <si>
    <t>ISFL50Z</t>
  </si>
  <si>
    <t>IE FST LC 8LT FORD UTILITY</t>
  </si>
  <si>
    <t>ISFL508</t>
  </si>
  <si>
    <t>IE FST LC 5LT FORD UTILITY</t>
  </si>
  <si>
    <t>ISFL505</t>
  </si>
  <si>
    <t>IE FST LC 4LT FORD UTILITY</t>
  </si>
  <si>
    <t>ISFL504</t>
  </si>
  <si>
    <t>INNER EDGE FST LC 12-LT RAM</t>
  </si>
  <si>
    <t>ISFL42X</t>
  </si>
  <si>
    <t>INNER EDGE FST LC 10-LT RAM</t>
  </si>
  <si>
    <t>ISFL42Z</t>
  </si>
  <si>
    <t>INNER EDGE FST LC 6-LT RAM</t>
  </si>
  <si>
    <t>ISFL426</t>
  </si>
  <si>
    <t>INNER EDGE FST LC 5-LT RAM</t>
  </si>
  <si>
    <t>ISFL425</t>
  </si>
  <si>
    <t>INNER EDGE FST LC 10-LT 19 RAM</t>
  </si>
  <si>
    <t>ISFL51Z</t>
  </si>
  <si>
    <t>INNER EDGE FST LC 8-LT 19 RAM</t>
  </si>
  <si>
    <t>ISFL518</t>
  </si>
  <si>
    <t>INNER EDGE FST LC 5-LT 19 RAM</t>
  </si>
  <si>
    <t>ISFL515</t>
  </si>
  <si>
    <t>INNER EDGE FST LC 4-LT 19 RAM</t>
  </si>
  <si>
    <t>ISFL514</t>
  </si>
  <si>
    <t>INNER EDGE FST LC 10LT DURANGO</t>
  </si>
  <si>
    <t>ISFL44Z</t>
  </si>
  <si>
    <t>INNER EDGE FST LC 8-LT DURANGO</t>
  </si>
  <si>
    <t>ISFL448</t>
  </si>
  <si>
    <t>INNER EDGE FST LC 5-LT DURANGO</t>
  </si>
  <si>
    <t>ISFL445</t>
  </si>
  <si>
    <t>INNER EDGE FST LC 4-LT DURANGO</t>
  </si>
  <si>
    <t>ISFL444</t>
  </si>
  <si>
    <t>INNER EDGE FST LC 10LT CHARGER</t>
  </si>
  <si>
    <t>ISFL35ZA</t>
  </si>
  <si>
    <t>INNER EDGE FST LC 8-LT CHARGER</t>
  </si>
  <si>
    <t>ISFL358</t>
  </si>
  <si>
    <t>INNER EDGE FST LC 5-LT CHARGER</t>
  </si>
  <si>
    <t>ISFL355A</t>
  </si>
  <si>
    <t>INNER EDGE FST LC 4-LT CHARGER</t>
  </si>
  <si>
    <t>ISFL354</t>
  </si>
  <si>
    <t>INNER EDGE FST LC 12-LT TAHOE</t>
  </si>
  <si>
    <t>ISFL54X</t>
  </si>
  <si>
    <t>INNER EDGE FST LC 10-LT TAHOE</t>
  </si>
  <si>
    <t>ISFL54Z</t>
  </si>
  <si>
    <t>INNER EDGE FST LC 6-LT TAHOE</t>
  </si>
  <si>
    <t>ISFL546</t>
  </si>
  <si>
    <t>INNER EDGE FST LC 5-LT TAHOE</t>
  </si>
  <si>
    <t>ISFL545</t>
  </si>
  <si>
    <t>INNER EDGE FST LC 12 SILVERADO</t>
  </si>
  <si>
    <t>ISFL49X</t>
  </si>
  <si>
    <t>INNER EDGE FST LC 10 SILVERADO</t>
  </si>
  <si>
    <t>ISFL49Z</t>
  </si>
  <si>
    <t>INNEREDGE FST LC 6LT SILVERADO</t>
  </si>
  <si>
    <t>ISFL496</t>
  </si>
  <si>
    <t>INNEREDGE FST LC 5LT SILVERAD0</t>
  </si>
  <si>
    <t>ISFL495</t>
  </si>
  <si>
    <t>I-E FST LC 10-LT BLAZER EV</t>
  </si>
  <si>
    <t>ISFL59Z</t>
  </si>
  <si>
    <t>I-E FST LC 8-LT BLAZER EV</t>
  </si>
  <si>
    <t>ISFL598</t>
  </si>
  <si>
    <t>I-E FST LC 5-LT BLAZER EV</t>
  </si>
  <si>
    <t>ISFL595</t>
  </si>
  <si>
    <t>I-E FST LC 4-LT BLAZER EV</t>
  </si>
  <si>
    <t>ISFL594</t>
  </si>
  <si>
    <t>I-E FST WCX TRIO 12-LT TESLA Y</t>
  </si>
  <si>
    <t>BSFW56XT</t>
  </si>
  <si>
    <t>I-E FST WCX S/D 12-LT TESLA Y</t>
  </si>
  <si>
    <t>BSFW56X</t>
  </si>
  <si>
    <t>I-E FST WCX TRIO 10-LT TESLA Y</t>
  </si>
  <si>
    <t>BSFW56ZT</t>
  </si>
  <si>
    <t>I-E FST WCX S/D 10-LT TESLA Y</t>
  </si>
  <si>
    <t>BSFW56Z</t>
  </si>
  <si>
    <t>I-E FST WCX TRIO 6-LT TESLA Y</t>
  </si>
  <si>
    <t>BSFW566T</t>
  </si>
  <si>
    <t>I-E FST WCX S/D 6-LT TESLA Y</t>
  </si>
  <si>
    <t>BSFW566</t>
  </si>
  <si>
    <t>I-E FST WCX TRIO 5-LT TESLA Y</t>
  </si>
  <si>
    <t>BSFW565T</t>
  </si>
  <si>
    <t>I-E FST WCX S/D 5-LT TESLA Y</t>
  </si>
  <si>
    <t>BSFW565</t>
  </si>
  <si>
    <t>I-E FST WCX TRIO 12LT SPRINTER</t>
  </si>
  <si>
    <t>BSFW58XT</t>
  </si>
  <si>
    <t>I-E FST WCX S/D 12-LT SPRINTER</t>
  </si>
  <si>
    <t>BSFW58X</t>
  </si>
  <si>
    <t>I-E FST WCX TRIO 10LT SPRINTER</t>
  </si>
  <si>
    <t>BSFW58ZT</t>
  </si>
  <si>
    <t>I-E FST WCX S/D 10-LT SPRINTER</t>
  </si>
  <si>
    <t>BSFW58Z</t>
  </si>
  <si>
    <t>I-E FST WCX TRIO 6-LT SPRINTER</t>
  </si>
  <si>
    <t>BSFW586T</t>
  </si>
  <si>
    <t>I-E FST WCX S/D 6-LT SPRINTER</t>
  </si>
  <si>
    <t>BSFW586</t>
  </si>
  <si>
    <t>I-E FST WCX TRIO 5-LT SPRINTER</t>
  </si>
  <si>
    <t>BSFW585T</t>
  </si>
  <si>
    <t>I-E FST WCX S/D 5-LT SPRINTER</t>
  </si>
  <si>
    <t>BSFW585</t>
  </si>
  <si>
    <t>I-E FST WCX TRIO 12-LT TRANSIT</t>
  </si>
  <si>
    <t>BSFW55XT</t>
  </si>
  <si>
    <t>I-E FST WCX S/D 12-LT TRANSIT</t>
  </si>
  <si>
    <t>BSFW55X</t>
  </si>
  <si>
    <t>I-E FST WCX TRIO 10-LT TRANSIT</t>
  </si>
  <si>
    <t>BSFW55ZT</t>
  </si>
  <si>
    <t>I-E FST WCX S/D 10-LT TRANSIT</t>
  </si>
  <si>
    <t>BSFW55Z</t>
  </si>
  <si>
    <t>I-E FST WCX TRIO 6-LT TRANSIT</t>
  </si>
  <si>
    <t>BSFW556T</t>
  </si>
  <si>
    <t>I-E FST WCX S/D 6-LT TRANSIT</t>
  </si>
  <si>
    <t>BSFW556</t>
  </si>
  <si>
    <t>I-E FST WCX TRIO 5-LT TRANSIT</t>
  </si>
  <si>
    <t>BSFW555T</t>
  </si>
  <si>
    <t>I-E FST WCX S/D 5-LT TRANSIT</t>
  </si>
  <si>
    <t>BSFW555</t>
  </si>
  <si>
    <t>BSFW52XT</t>
  </si>
  <si>
    <t>BSFW52X</t>
  </si>
  <si>
    <t>BSFW52ZT</t>
  </si>
  <si>
    <t>BSFW52Z</t>
  </si>
  <si>
    <t>BSFW526T</t>
  </si>
  <si>
    <t>BSFW526</t>
  </si>
  <si>
    <t>BSFW525T</t>
  </si>
  <si>
    <t>BSFW525</t>
  </si>
  <si>
    <t>I-E FST WCX TRIO 10-LT MACH-E</t>
  </si>
  <si>
    <t>BSFW57ZT</t>
  </si>
  <si>
    <t>I-E FST WCX S/D 10-LT MACH-E</t>
  </si>
  <si>
    <t>BSFW57Z</t>
  </si>
  <si>
    <t>I-E FST WCX TRIO 8-LT MACH-E</t>
  </si>
  <si>
    <t>BSFW578T</t>
  </si>
  <si>
    <t>I-E FST WCX S/D 8-LT MACH-E</t>
  </si>
  <si>
    <t>BSFW578</t>
  </si>
  <si>
    <t>I-E FST WCX TRIO 5-LT MACH-E</t>
  </si>
  <si>
    <t>BSFW575T</t>
  </si>
  <si>
    <t>I-E FST WCX S/D 5-LT MACH-E</t>
  </si>
  <si>
    <t>BSFW575</t>
  </si>
  <si>
    <t>I-E FST WCX TRIO 4-LT MACH-E</t>
  </si>
  <si>
    <t>BSFW574T</t>
  </si>
  <si>
    <t>I-E FST WCX S/D 4-LT MACH-E</t>
  </si>
  <si>
    <t>BSFW574</t>
  </si>
  <si>
    <t>IE FSTWCX TRI 12LT EXPEDITION</t>
  </si>
  <si>
    <t>BSFW48XT</t>
  </si>
  <si>
    <t>I-E FST WCX SD 12LT EXPEDITION</t>
  </si>
  <si>
    <t>BSFW48X</t>
  </si>
  <si>
    <t>IE FST WCX TRI 10LT EXPEDITION</t>
  </si>
  <si>
    <t>BSFW48ZT</t>
  </si>
  <si>
    <t>I-E FST WCX SD 10LT EXPDITION</t>
  </si>
  <si>
    <t>BSFW48Z</t>
  </si>
  <si>
    <t>IE FST WCX TRIO 6LT EXPEDITION</t>
  </si>
  <si>
    <t>BSFW486T</t>
  </si>
  <si>
    <t>I-E FST WCX S/D 6LT EXPEDITION</t>
  </si>
  <si>
    <t>BSFW486</t>
  </si>
  <si>
    <t>IE FST WCX TRIO 5LT EXPEDITION</t>
  </si>
  <si>
    <t>BSFW485T</t>
  </si>
  <si>
    <t>I-E FST WCX S/D 5LT EXPEDITION</t>
  </si>
  <si>
    <t>BSFW485</t>
  </si>
  <si>
    <t>I-E FST WCX TRIO 10-LT FSERIES</t>
  </si>
  <si>
    <t>BSFW47ZT</t>
  </si>
  <si>
    <t>I-E FST WCX S/D 10-LT F-SERIES</t>
  </si>
  <si>
    <t>BSFW47Z</t>
  </si>
  <si>
    <t>I-E FST WCX TRIO 8-LT F-SERIES</t>
  </si>
  <si>
    <t>BSFW478T</t>
  </si>
  <si>
    <t>I-E FST WCX S/D 8-LT F-SERIES</t>
  </si>
  <si>
    <t>BSFW478</t>
  </si>
  <si>
    <t>I-E FST WCX TRIO 5-LT F-SERIES</t>
  </si>
  <si>
    <t>BSFW475T</t>
  </si>
  <si>
    <t>I-E FST WCX S/D 5-LT F-SERIES</t>
  </si>
  <si>
    <t>BSFW475</t>
  </si>
  <si>
    <t>I-E FST WCX TRIO 4-LT F-SERIES</t>
  </si>
  <si>
    <t>BSFW474T</t>
  </si>
  <si>
    <t>I-E FST WCX S/D 4-LT F-SERIES</t>
  </si>
  <si>
    <t>BSFW474</t>
  </si>
  <si>
    <t>I-E FST WCX TRIO 10-LT UTILITY</t>
  </si>
  <si>
    <t>BSFW50ZT</t>
  </si>
  <si>
    <t>I-E FST WCX S/D 10-LT UTILITY</t>
  </si>
  <si>
    <t>BSFW50Z</t>
  </si>
  <si>
    <t>I-E FST WCX TRIO 8-LT UTILITY</t>
  </si>
  <si>
    <t>BSFW508T</t>
  </si>
  <si>
    <t>I-E FST WCX S/D 8-LT UTILITY</t>
  </si>
  <si>
    <t>BSFW508</t>
  </si>
  <si>
    <t>I-E FST WCX TRIO 5-LT UTILITY</t>
  </si>
  <si>
    <t>BSFW505T</t>
  </si>
  <si>
    <t>I-E FST WCX S/D 5-LT UTILITY</t>
  </si>
  <si>
    <t>BSFW505</t>
  </si>
  <si>
    <t>I-E FST WCX TRIO 4-LT UTILITY</t>
  </si>
  <si>
    <t>BSFW504T</t>
  </si>
  <si>
    <t>I-E FST WCX S/D 4-LT UTILITY</t>
  </si>
  <si>
    <t>BSFW504</t>
  </si>
  <si>
    <t>I-E FST WCX TRIO 12-LT RAM</t>
  </si>
  <si>
    <t>BSFW42XT</t>
  </si>
  <si>
    <t>I-E FST WCX S/D 12-LT RAM</t>
  </si>
  <si>
    <t>BSFW42X</t>
  </si>
  <si>
    <t>I-E FST WCX TRIO 10-LT RAM</t>
  </si>
  <si>
    <t>BSFW42ZT</t>
  </si>
  <si>
    <t>I-E FST WCX S/D 10-LT RAM</t>
  </si>
  <si>
    <t>BSFW42Z</t>
  </si>
  <si>
    <t>I-E FST WCX TRIO 6-LT RAM</t>
  </si>
  <si>
    <t>BSFW426T</t>
  </si>
  <si>
    <t>I-E FST WCX S/D 6-LT RAM</t>
  </si>
  <si>
    <t>BSFW426</t>
  </si>
  <si>
    <t>I-E FST WCX TRIO 5/-LT RAM</t>
  </si>
  <si>
    <t>BSFW425T</t>
  </si>
  <si>
    <t>I-E FST WCX S/D 5-LT RAM</t>
  </si>
  <si>
    <t>BSFW425</t>
  </si>
  <si>
    <t>I-E FST WCX TRIO 10-LT '19 RAM</t>
  </si>
  <si>
    <t>BSFW51ZT</t>
  </si>
  <si>
    <t>I-E FST WCX S/D 10-LT 2019 RAM</t>
  </si>
  <si>
    <t>BSFW51Z</t>
  </si>
  <si>
    <t>I-E FST WCX TRIO 8-LT 2019 RAM</t>
  </si>
  <si>
    <t>BSFW518T</t>
  </si>
  <si>
    <t>I-E FST WCX S/D 8-LT 2019 RAM</t>
  </si>
  <si>
    <t>BSFW518</t>
  </si>
  <si>
    <t>I-E FST WCX TRIO 5-LT 2019 RAM</t>
  </si>
  <si>
    <t>BSFW515T</t>
  </si>
  <si>
    <t>I-E FST WCX S/D 5-LT 2019 RAM</t>
  </si>
  <si>
    <t>BSFW515</t>
  </si>
  <si>
    <t>I-E FST WCX TRIO 4-LT 2019 RAM</t>
  </si>
  <si>
    <t>BSFW514T</t>
  </si>
  <si>
    <t>I-E FST WCX S/D 4-LT 2019 RAM</t>
  </si>
  <si>
    <t>BSFW514</t>
  </si>
  <si>
    <t>I-E FST WCX TRIO 10-LT DURANGO</t>
  </si>
  <si>
    <t>BSFW44ZT</t>
  </si>
  <si>
    <t>I-E FST WCX S/D 10-LT DURANGO</t>
  </si>
  <si>
    <t>BSFW44Z</t>
  </si>
  <si>
    <t>I-E FST WCX TRIO 8-LT DURANGO</t>
  </si>
  <si>
    <t>BSFW448T</t>
  </si>
  <si>
    <t>I-E FST WCX S/D 8-LT DURANGO</t>
  </si>
  <si>
    <t>BSFW448</t>
  </si>
  <si>
    <t>I-E FST WCX TRIO 5-LT DURANGO</t>
  </si>
  <si>
    <t>BSFW445T</t>
  </si>
  <si>
    <t>I-E FST WCX S/D 5-LT DURANGO</t>
  </si>
  <si>
    <t>BSFW445</t>
  </si>
  <si>
    <t>I-E FST WCX TRIO 4-LT DURANGO</t>
  </si>
  <si>
    <t>BSFW444T</t>
  </si>
  <si>
    <t>I-E FST WCX S/D 4-LT DURANGO</t>
  </si>
  <si>
    <t>BSFW444</t>
  </si>
  <si>
    <t>I-E FST WCX TRIO 10-LT CHARGER</t>
  </si>
  <si>
    <t>BSFW35ZT</t>
  </si>
  <si>
    <t>I-E FST WCX S/D 10-LT CHARGER</t>
  </si>
  <si>
    <t>BSFW35Z</t>
  </si>
  <si>
    <t>I-E FST WCX TRIO 8-LT CHARGER</t>
  </si>
  <si>
    <t>BSFW358T</t>
  </si>
  <si>
    <t>I-E FST WCX S/D 8-LT CHARGER</t>
  </si>
  <si>
    <t>BSFW358</t>
  </si>
  <si>
    <t>I-E FST WCX TRIO 5-LT CHARGER</t>
  </si>
  <si>
    <t>BSFW355T</t>
  </si>
  <si>
    <t>I-E FST WCX S/D 5-LT CHARGER</t>
  </si>
  <si>
    <t>BSFW355</t>
  </si>
  <si>
    <t>I-E FST WCX TRIO 4-LT CHARGER</t>
  </si>
  <si>
    <t>BSFW354T</t>
  </si>
  <si>
    <t>I-E FST WCX S/D 4-LT CHARGER</t>
  </si>
  <si>
    <t>BSFW354</t>
  </si>
  <si>
    <t>I-E FST WCX TRIO 12-LT TAHOE</t>
  </si>
  <si>
    <t>BSFW54XT</t>
  </si>
  <si>
    <t>I-E FST WCX S/D 12-LT TAHOE</t>
  </si>
  <si>
    <t>BSFW54X</t>
  </si>
  <si>
    <t>I-E FST WCX TRIO 10-LT TAHOE</t>
  </si>
  <si>
    <t>BSFW54ZT</t>
  </si>
  <si>
    <t>I-E FST WCX S/D 10-LT TAHOE</t>
  </si>
  <si>
    <t>BSFW54Z</t>
  </si>
  <si>
    <t>I-E FST WCX TRIO 6-LT TAHOE</t>
  </si>
  <si>
    <t>BSFW546T</t>
  </si>
  <si>
    <t>I-E FST WCX S/D 6-LT TAHOE</t>
  </si>
  <si>
    <t>BSFW546</t>
  </si>
  <si>
    <t>I-E FST WCX TRIO 5-LT TAHOE</t>
  </si>
  <si>
    <t>BSFW545T</t>
  </si>
  <si>
    <t>I-E FST WCX S/D 5-LT TAHOE</t>
  </si>
  <si>
    <t>BSFW545</t>
  </si>
  <si>
    <t>IE FST WCX TRIO 12LT SILVERADO</t>
  </si>
  <si>
    <t>BSFW49XT</t>
  </si>
  <si>
    <t>I-E FST WCX S/D 12LT SILVERADO</t>
  </si>
  <si>
    <t>BSFW49X</t>
  </si>
  <si>
    <t>IE FST WCX TRIO 10LT SILVERADO</t>
  </si>
  <si>
    <t>BSFW49ZT</t>
  </si>
  <si>
    <t>I-E FST WCX S/D 10LT SILVERADO</t>
  </si>
  <si>
    <t>BSFW49Z</t>
  </si>
  <si>
    <t>I-E FST WCX TRIO 6LT SILVERADO</t>
  </si>
  <si>
    <t>BSFW496T</t>
  </si>
  <si>
    <t>I-E FST WCX S/D 6-LT SILVERADO</t>
  </si>
  <si>
    <t>BSFW496</t>
  </si>
  <si>
    <t>I-E FST WCX TRIO 5LT SILVERADO</t>
  </si>
  <si>
    <t>BSFW495T</t>
  </si>
  <si>
    <t>I-E FST WCX S/D 5-LT SILVERADO</t>
  </si>
  <si>
    <t>BSFW495</t>
  </si>
  <si>
    <t>IE FST WCX TRIO 10LT BLAZER EV</t>
  </si>
  <si>
    <t>BSFW59ZT</t>
  </si>
  <si>
    <t>I-E FST WCX S/D 10LT BLAZER EV</t>
  </si>
  <si>
    <t>BSFW59Z</t>
  </si>
  <si>
    <t>I-E FST WCX TRIO 8LT BLAZER EV</t>
  </si>
  <si>
    <t>BSFW598T</t>
  </si>
  <si>
    <t>I-E FST WCX S/D 8-LT BLAZER EV</t>
  </si>
  <si>
    <t>BSFW598</t>
  </si>
  <si>
    <t>I-E FST WCX TRIO 5LT BLAZER EV</t>
  </si>
  <si>
    <t>BSFW595T</t>
  </si>
  <si>
    <t>I-E FST WCX S/D 5-LT BLAZER EV</t>
  </si>
  <si>
    <t>BSFW595</t>
  </si>
  <si>
    <t>I-E FST WCX TRIO 4LT BLAZER EV</t>
  </si>
  <si>
    <t>BSFW594T</t>
  </si>
  <si>
    <t>I-E FST WCX S/D 4-LT BLAZER EV</t>
  </si>
  <si>
    <t>BSFW594</t>
  </si>
  <si>
    <t>QUICKFIT ROOF MT CLASSIC RAM</t>
  </si>
  <si>
    <t>QFRAM2SW</t>
  </si>
  <si>
    <t>QFRAM2S</t>
  </si>
  <si>
    <t>QFRAM2W</t>
  </si>
  <si>
    <t>QFRAM2</t>
  </si>
  <si>
    <t>QUICKFIT ROOF MT PLATFORM FORD</t>
  </si>
  <si>
    <t>QFFRD1SW</t>
  </si>
  <si>
    <t>QFFORD1S</t>
  </si>
  <si>
    <t>QFFORD1W</t>
  </si>
  <si>
    <t>QFFORD1</t>
  </si>
  <si>
    <t>QUICKFIT ROOF MT PLATFORM GM</t>
  </si>
  <si>
    <t>QFGM2SW</t>
  </si>
  <si>
    <t>QFGM2S</t>
  </si>
  <si>
    <t>QFGM2W</t>
  </si>
  <si>
    <t>QFGM2</t>
  </si>
  <si>
    <t>OPT MINI JUSTICE LR11 TD &amp; ALY</t>
  </si>
  <si>
    <t>MJTDALL1</t>
  </si>
  <si>
    <t>MINI JUSTICE R/R/R/R VAC MT</t>
  </si>
  <si>
    <t>MJYRRRRV</t>
  </si>
  <si>
    <t>MINI JUSTICE W/W/R/R VAC MT</t>
  </si>
  <si>
    <t>MJYCCRRV</t>
  </si>
  <si>
    <t>MINI JUSTICE W/W/W/W VAC MT</t>
  </si>
  <si>
    <t>MJYCCCCV</t>
  </si>
  <si>
    <t>MINI JUSTICE B/R/R/R VAC MT</t>
  </si>
  <si>
    <t>MJYBRRRV</t>
  </si>
  <si>
    <t>MINI JUSTICE B/B/R/R VAC MT</t>
  </si>
  <si>
    <t>MJYBBRRV</t>
  </si>
  <si>
    <t>MINI JUSTICE B/B/B/B VAC MT</t>
  </si>
  <si>
    <t>MJYBBBBV</t>
  </si>
  <si>
    <t>MINI JUSTICE A/A/R/R VAC MT</t>
  </si>
  <si>
    <t>MJYAARRV</t>
  </si>
  <si>
    <t>MINI JUSTICE A/A/C/C VAC MT</t>
  </si>
  <si>
    <t>MJYAACCV</t>
  </si>
  <si>
    <t>MINI JUSTICE A/A/B/B VAC MT</t>
  </si>
  <si>
    <t>MJYAABBV</t>
  </si>
  <si>
    <t>MINI JUSTICE A/A/A/A VAC MT</t>
  </si>
  <si>
    <t>MJYAAAAV</t>
  </si>
  <si>
    <t>MINI JUSTICE R/R/R/R MAG MT</t>
  </si>
  <si>
    <t>MJYRRRRM</t>
  </si>
  <si>
    <t>MINI JUSTICE G/G/G/G/MAG MT</t>
  </si>
  <si>
    <t>MJYGGGGM</t>
  </si>
  <si>
    <t>MINI JUSTICE W/R/R/R MAG MT</t>
  </si>
  <si>
    <t>MJYCRRRM</t>
  </si>
  <si>
    <t>MINI JUSTICE W/W/R/R MAG MT</t>
  </si>
  <si>
    <t>MJYCCRRM</t>
  </si>
  <si>
    <t>MINI JUSTICE W/W/W/W MAG MT</t>
  </si>
  <si>
    <t>MJYCCCCM</t>
  </si>
  <si>
    <t>MINI JUSTICE B/R/R/R MAG MT</t>
  </si>
  <si>
    <t>MJYBRRRM</t>
  </si>
  <si>
    <t>MINI JUSTICE B/R/B/R MAG MT</t>
  </si>
  <si>
    <t>MJYBRBRM</t>
  </si>
  <si>
    <t>MINI JUSTICE B/B/R/R MAG MT</t>
  </si>
  <si>
    <t>MJYBBRRM</t>
  </si>
  <si>
    <t>MINI JUSTICE B/B/W/W MAG MT</t>
  </si>
  <si>
    <t>MJYBBCCM</t>
  </si>
  <si>
    <t>MINI JUSTICE B/B/B/R MAG MT</t>
  </si>
  <si>
    <t>MJYBBBRM</t>
  </si>
  <si>
    <t>MINI JUSTICE B/B/B/B MAG MT</t>
  </si>
  <si>
    <t>MJYBBBBM</t>
  </si>
  <si>
    <t>MINI JUSTICE A/B/W/R MAG MT</t>
  </si>
  <si>
    <t>MJYABCRM</t>
  </si>
  <si>
    <t>MINI JUSTICE A/B/W/W MAG MT</t>
  </si>
  <si>
    <t>MJYABCCM</t>
  </si>
  <si>
    <t>MINI JUSTICE A/A/R/R/ MAG MT</t>
  </si>
  <si>
    <t>MJYAARRM</t>
  </si>
  <si>
    <t>MINI JUSTICE A/A/G/G MAG MT</t>
  </si>
  <si>
    <t>MJYAAGGM</t>
  </si>
  <si>
    <t>MINI JUSTICE A/A/W/W MAG MT</t>
  </si>
  <si>
    <t>MJYAACCM</t>
  </si>
  <si>
    <t>MINI JUSTICE A/A/B/R MAG MT</t>
  </si>
  <si>
    <t>MJYAABRM</t>
  </si>
  <si>
    <t>MINI JUSTICE A/A/B/B MAG MT</t>
  </si>
  <si>
    <t>MJYAABBM</t>
  </si>
  <si>
    <t>MINI JUSTICE A/A/A/A MAG MT</t>
  </si>
  <si>
    <t>MJYAAAAM</t>
  </si>
  <si>
    <t>MINI JUSTICE R/R/R/R PERM MT</t>
  </si>
  <si>
    <t>MJYRRRRP</t>
  </si>
  <si>
    <t>MINI JUSTICE G/G/G/G PERM MT</t>
  </si>
  <si>
    <t>MJYGGGGP</t>
  </si>
  <si>
    <t>MINI JUSTICE W/W/R/R PERM MT</t>
  </si>
  <si>
    <t>MJYCCRRP</t>
  </si>
  <si>
    <t>MINI JUSTICE W/W/W/W PERM MT</t>
  </si>
  <si>
    <t>MJYCCCCP</t>
  </si>
  <si>
    <t>MINI JUSTICE B/R/R/R PERM MT</t>
  </si>
  <si>
    <t>MJYBRRRP</t>
  </si>
  <si>
    <t>MINI JUSTICE B/R/B/R PERM MT</t>
  </si>
  <si>
    <t>MJYBRBRP</t>
  </si>
  <si>
    <t>MINI JUSTICE B/B/R/R PERM MT</t>
  </si>
  <si>
    <t>MJYBBRRP</t>
  </si>
  <si>
    <t>MINI JUSTICE B/B/W/W PERM MT</t>
  </si>
  <si>
    <t>MJYBBCCP</t>
  </si>
  <si>
    <t>MINI JUSTICE B/B/B/B PERM MT</t>
  </si>
  <si>
    <t>MJYBBBBP</t>
  </si>
  <si>
    <t>MINI JUSTICE A/R/R/R PERM MT</t>
  </si>
  <si>
    <t>MJYARRRP</t>
  </si>
  <si>
    <t>MINI JUSTICE A/W/W/R PERM MT</t>
  </si>
  <si>
    <t>MJYACCRP</t>
  </si>
  <si>
    <t>MINI JUSTICE A/A/R/R PERM MT</t>
  </si>
  <si>
    <t>MJYAARRP</t>
  </si>
  <si>
    <t>MINI JUSTICE A/A/G/G PERM MT</t>
  </si>
  <si>
    <t>MJYAAGGP</t>
  </si>
  <si>
    <t>MINI JUSTICE A/A/W/W/ PERM MT</t>
  </si>
  <si>
    <t>MJYAACCP</t>
  </si>
  <si>
    <t>MINI JUSTICE A/A/B/R PERM MT</t>
  </si>
  <si>
    <t>MJYAABRP</t>
  </si>
  <si>
    <t>MINI JUSTICE A/A/B/B PERM MT</t>
  </si>
  <si>
    <t>MJYAABBP</t>
  </si>
  <si>
    <t>MINI JUSTICE A/A/A/B PERM MT</t>
  </si>
  <si>
    <t>MJYAAABP</t>
  </si>
  <si>
    <t>MINI JUSTICE A/A/A/A PERM MT</t>
  </si>
  <si>
    <t>MJYAAAAP</t>
  </si>
  <si>
    <t>F4 MINI ROTA-BEAM SMK END DOME</t>
  </si>
  <si>
    <t>R4BENDX</t>
  </si>
  <si>
    <t>F4 MINI ROTA-BEAM A/C END DOME</t>
  </si>
  <si>
    <t>R4BENDF</t>
  </si>
  <si>
    <t>F4 MINI ROTA-BEAM R/C END DOME</t>
  </si>
  <si>
    <t>R4BENDD</t>
  </si>
  <si>
    <t>F4 MINI ROTA-BEAM RED END DOME</t>
  </si>
  <si>
    <t>R4BENDR</t>
  </si>
  <si>
    <t>F4 MINI ROTA-BEAM GRN END DOME</t>
  </si>
  <si>
    <t>R4BENDG</t>
  </si>
  <si>
    <t>F4 MINI ROTA-BEAM BLU END DOME</t>
  </si>
  <si>
    <t>R4BENDB</t>
  </si>
  <si>
    <t>F4 MINI ROTA-BEAM AMB END DOME</t>
  </si>
  <si>
    <t>R4BENDA</t>
  </si>
  <si>
    <t>MINI F4 ROTA-BEAM +2 6LED T-DS</t>
  </si>
  <si>
    <t>R4BTL6</t>
  </si>
  <si>
    <t>F4 ROTA-BEAM END WARNING RED</t>
  </si>
  <si>
    <t>F4RWAR</t>
  </si>
  <si>
    <t>F4 ROTA-BEAM END WARNING GREEN</t>
  </si>
  <si>
    <t>F4RWAG</t>
  </si>
  <si>
    <t>F4 ROTA-BEAM END WARNING WHITE</t>
  </si>
  <si>
    <t>F4RWAC</t>
  </si>
  <si>
    <t>F4 ROTA-BEAM END WARNING BLUE</t>
  </si>
  <si>
    <t>F4RWAB</t>
  </si>
  <si>
    <t>F4 ROTA-BEAM END WARNING AMBER</t>
  </si>
  <si>
    <t>F4RWAA</t>
  </si>
  <si>
    <t>MINI F4 ROTA-BEAM +2 6LED ALYS</t>
  </si>
  <si>
    <t>R4BA6</t>
  </si>
  <si>
    <t>MINI F4 ROTA-BEAM +2 3LED ALYS</t>
  </si>
  <si>
    <t>R4BA3</t>
  </si>
  <si>
    <t>F4 MINI ROTA-BEAM 2-LT FLASHER</t>
  </si>
  <si>
    <t>R4BFLASH</t>
  </si>
  <si>
    <t>MINI FREEDOM IV ROTA-BEAM R/R</t>
  </si>
  <si>
    <t>R4BR0R0P</t>
  </si>
  <si>
    <t>MINI FREEDOM IV ROTA-BEAM R/G</t>
  </si>
  <si>
    <t>R4BR0G0P</t>
  </si>
  <si>
    <t>MINI FREEDOM IV ROTA-BEAM R/W</t>
  </si>
  <si>
    <t>R4BR0C0P</t>
  </si>
  <si>
    <t>MINI FREEDOM IV ROTA-BEAM R/B</t>
  </si>
  <si>
    <t>R4BR0B0P</t>
  </si>
  <si>
    <t>MINI FREEDOM IV ROTA-BEAM R/A</t>
  </si>
  <si>
    <t>R4BR0A0P</t>
  </si>
  <si>
    <t>MINI FREEDOM IV ROTA-BEAM W/R</t>
  </si>
  <si>
    <t>R4BC0R0P</t>
  </si>
  <si>
    <t>MINI FREEDOM IV ROTA-BEAM W/W</t>
  </si>
  <si>
    <t>R4BC0C0P</t>
  </si>
  <si>
    <t>MINI FREEDOM IV ROTA-BEAM W/B</t>
  </si>
  <si>
    <t>R4BC0B0P</t>
  </si>
  <si>
    <t>MINI FREEDOM IV ROTA-BEAM B/R</t>
  </si>
  <si>
    <t>R4BB0R0P</t>
  </si>
  <si>
    <t>MINI FREEDOM IV ROTA-BEAM B/W</t>
  </si>
  <si>
    <t>R4BB0C0P</t>
  </si>
  <si>
    <t>MINI FREEDOM IV ROTA-BEAM B/B</t>
  </si>
  <si>
    <t>R4BB0B0P</t>
  </si>
  <si>
    <t>MINI FREEDOM IV ROTA-BEAM A/R</t>
  </si>
  <si>
    <t>R4BA0R0P</t>
  </si>
  <si>
    <t>MINI FREEDOM IV ROTA-BEAM RRRR</t>
  </si>
  <si>
    <t>R4BRRRRP</t>
  </si>
  <si>
    <t>MINI FREEDOM IV ROTA-BEAM RRBR</t>
  </si>
  <si>
    <t>R4BRRBRP</t>
  </si>
  <si>
    <t>MINI FREEDOM IV ROTA-BEAM RRBB</t>
  </si>
  <si>
    <t>R4BRRBBP</t>
  </si>
  <si>
    <t>MINI FREEDOM IV ROTA-BEAM RWWR</t>
  </si>
  <si>
    <t>R4BRCCRP</t>
  </si>
  <si>
    <t>MINI FREEDOM IV ROTA-BEAM GGGG</t>
  </si>
  <si>
    <t>R4BGGGGP</t>
  </si>
  <si>
    <t>MINI FREEDOM IV ROTA-BEAM WRWR</t>
  </si>
  <si>
    <t>R4BCRCRP</t>
  </si>
  <si>
    <t>MINI FREEDOM IV ROTA-BEAM BRRR</t>
  </si>
  <si>
    <t>R4BBRRRP</t>
  </si>
  <si>
    <t>MINI FREEDOM IV ROTA-BEAM BRBR</t>
  </si>
  <si>
    <t>R4BBRBRP</t>
  </si>
  <si>
    <t>MINI FREEDOM IV ROTA-BEAM BBRR</t>
  </si>
  <si>
    <t>R4BBBRRP</t>
  </si>
  <si>
    <t>MINI FREEDOM IV ROTA-BEAM BBBB</t>
  </si>
  <si>
    <t>R4BBBBBP</t>
  </si>
  <si>
    <t>MINI FREEDOM IV ROTA-BEAM ARAR</t>
  </si>
  <si>
    <t>R4BARARP</t>
  </si>
  <si>
    <t>MINI FREEDOM IV ROTA-BEAM AAWW</t>
  </si>
  <si>
    <t>R4BAACCP</t>
  </si>
  <si>
    <t>MINI FREEDOM IV ROTA-BEAM AAAA</t>
  </si>
  <si>
    <t>R4BAAAAP</t>
  </si>
  <si>
    <t>MINI FREEDOM IV SMOKE END DOME</t>
  </si>
  <si>
    <t>F4MENDX</t>
  </si>
  <si>
    <t>MINI FREEDOM IV A/C END DOME</t>
  </si>
  <si>
    <t>F4MENDF</t>
  </si>
  <si>
    <t>MINI FREEDOM IV RED END DOME</t>
  </si>
  <si>
    <t>F4MENDR</t>
  </si>
  <si>
    <t>MINI FREEDOM IV GREEN END DOME</t>
  </si>
  <si>
    <t>F4MENDG</t>
  </si>
  <si>
    <t>MINI FREEDOM IV BLUE END DOME</t>
  </si>
  <si>
    <t>F4MENDB</t>
  </si>
  <si>
    <t>MINI FREEDOM IV AMBER END DOME</t>
  </si>
  <si>
    <t>F4MENDA</t>
  </si>
  <si>
    <t>MINI FREEDOM 4 +2 TD&amp;6LED ALY</t>
  </si>
  <si>
    <t>F4MTATL6</t>
  </si>
  <si>
    <t>MINI FREEDOM 4 +2 TD&amp;3LED ALY</t>
  </si>
  <si>
    <t>F4MTATL3</t>
  </si>
  <si>
    <t>MINI FREEDOM IV +2 6LED T-DS</t>
  </si>
  <si>
    <t>F4MTL6</t>
  </si>
  <si>
    <t>MINI FREEDOM IV +2 6LED ALLEYS</t>
  </si>
  <si>
    <t>F4MA6</t>
  </si>
  <si>
    <t>MINI FREEDOM IV +2 3LED ALLEYS</t>
  </si>
  <si>
    <t>F4MA3</t>
  </si>
  <si>
    <t>MINI FREEDOM IV R/R FRONT PERM</t>
  </si>
  <si>
    <t>F4MR0R0F</t>
  </si>
  <si>
    <t>MINI FREEDOM IV R/G FRONT PERM</t>
  </si>
  <si>
    <t>F4MR0G0F</t>
  </si>
  <si>
    <t>MINI FREEDOM IV R/W FRONT PERM</t>
  </si>
  <si>
    <t>F4MR0C0F</t>
  </si>
  <si>
    <t>MINI FREEDOM IV R/B FRONT PERM</t>
  </si>
  <si>
    <t>F4MR0B0F</t>
  </si>
  <si>
    <t>MINI FREEDOM IV R/A FRONT PERM</t>
  </si>
  <si>
    <t>F4MR0A0F</t>
  </si>
  <si>
    <t>MINI FREEDOM IV G/R FRONT PERM</t>
  </si>
  <si>
    <t>F4MG0R0F</t>
  </si>
  <si>
    <t>MINI FREEDOM IV W/R FRONT PERM</t>
  </si>
  <si>
    <t>F4MC0R0F</t>
  </si>
  <si>
    <t>MINI FREEDOM IV W/W FRONT PERM</t>
  </si>
  <si>
    <t>F4MC0C0F</t>
  </si>
  <si>
    <t>MINI FREEDOM IV W/B FRONT PERM</t>
  </si>
  <si>
    <t>F4MC0B0F</t>
  </si>
  <si>
    <t>MINI FREEDOM IV W/A FRONT PERM</t>
  </si>
  <si>
    <t>F4MC0A0F</t>
  </si>
  <si>
    <t>MINI FREEDOM IV B/R FRONT PERM</t>
  </si>
  <si>
    <t>F4MB0R0F</t>
  </si>
  <si>
    <t>MINI FREEDOM IV B/W FRONT PERM</t>
  </si>
  <si>
    <t>F4MB0C0F</t>
  </si>
  <si>
    <t>MINI FREEDOM IV B/B FRONT PERM</t>
  </si>
  <si>
    <t>F4MB0B0F</t>
  </si>
  <si>
    <t>MINI FREEDOM IV A/R FRONT PERM</t>
  </si>
  <si>
    <t>F4MA0R0F</t>
  </si>
  <si>
    <t>MINI FREEDOM IV A/W FRONT PERM</t>
  </si>
  <si>
    <t>F4MA0C0F</t>
  </si>
  <si>
    <t>MINI FREEDOM IV A/A FRONT PERM</t>
  </si>
  <si>
    <t>F4MA0A0F</t>
  </si>
  <si>
    <t>MINI FREEDOM IV RRRR CTR PERM</t>
  </si>
  <si>
    <t>F4BRRRRP</t>
  </si>
  <si>
    <t>MINI FREEDOM IV RRBB CTR PERM</t>
  </si>
  <si>
    <t>F4BRRBBP</t>
  </si>
  <si>
    <t>MINI FREEDOM IV GGGG CTR PERM</t>
  </si>
  <si>
    <t>F4BGGGGP</t>
  </si>
  <si>
    <t>MINI FREEDOM IV WRWR CTR PERM</t>
  </si>
  <si>
    <t>F4BCRCRP</t>
  </si>
  <si>
    <t>MINI FREEDOM IV BRBR CTR PERM</t>
  </si>
  <si>
    <t>F4BBRBRP</t>
  </si>
  <si>
    <t>MINI FREEDOM IV BGBG CTR PERM</t>
  </si>
  <si>
    <t>F4BBGBGP</t>
  </si>
  <si>
    <t>MINI FREEDOM IV BBRR CTR PERM</t>
  </si>
  <si>
    <t>F4BBBRRP</t>
  </si>
  <si>
    <t>MINI FREEDOM IV BBBB CTR PERM</t>
  </si>
  <si>
    <t>F4BBBBBP</t>
  </si>
  <si>
    <t>MINI FREEDOM IV ARBR CTR PERM</t>
  </si>
  <si>
    <t>F4BARBRP</t>
  </si>
  <si>
    <t>MINI FREEDOM IV ABAB CTR PERM</t>
  </si>
  <si>
    <t>F4BABABP</t>
  </si>
  <si>
    <t>MINI FREEDOM IV AAWW CTR PERM</t>
  </si>
  <si>
    <t>F4BAACCP</t>
  </si>
  <si>
    <t>MINI FREEDOM IV AAAA CTR PERM</t>
  </si>
  <si>
    <t>F4BAAAAP</t>
  </si>
  <si>
    <t>MINI FREEDOM IV R/R/R/R MAG MT</t>
  </si>
  <si>
    <t>F4MRRRRM</t>
  </si>
  <si>
    <t>MINI FREEDOM IV W/W/R/R MAG MT</t>
  </si>
  <si>
    <t>F4MCCRRM</t>
  </si>
  <si>
    <t>MINI FREEDOM IV B/R/B/R MAG MT</t>
  </si>
  <si>
    <t>F4MBRBRM</t>
  </si>
  <si>
    <t>MINI FREEDOM IV A/G/A/G MAG MT</t>
  </si>
  <si>
    <t>F4MAGAGM</t>
  </si>
  <si>
    <t>MINI FREEDOM IV A/W/A/W MAG MT</t>
  </si>
  <si>
    <t>F4MACACM</t>
  </si>
  <si>
    <t>MINI FREEDOM IV A/A/W/W MAG MT</t>
  </si>
  <si>
    <t>F4MAACCM</t>
  </si>
  <si>
    <t>MINI FREEDOM IV A/A/A/A MAG MT</t>
  </si>
  <si>
    <t>F4MAAAAM</t>
  </si>
  <si>
    <t>MINI FREEDOM IV R/R/R/R PERM</t>
  </si>
  <si>
    <t>F4MRRRRP</t>
  </si>
  <si>
    <t>MINI FREEDOM IV R/R/W/R PERM</t>
  </si>
  <si>
    <t>F4MRRCRP</t>
  </si>
  <si>
    <t>MINI FREEDOM IV R/R/W/W PERM</t>
  </si>
  <si>
    <t>F4MRRCCP</t>
  </si>
  <si>
    <t>MINI FREEDOM IV R/R/B/R PERM</t>
  </si>
  <si>
    <t>F4MRRBRP</t>
  </si>
  <si>
    <t>MINI FREEDOM IV R/R/B/B PERM</t>
  </si>
  <si>
    <t>F4MRRBBP</t>
  </si>
  <si>
    <t>MINI FREEDOM IV R/R/A/R PERM</t>
  </si>
  <si>
    <t>F4MRRARP</t>
  </si>
  <si>
    <t>MINI FREEDOM IV R/R/A/A PERM</t>
  </si>
  <si>
    <t>F4MRRAAP</t>
  </si>
  <si>
    <t>MINI FREEDOM IV R/W/W/R PERM</t>
  </si>
  <si>
    <t>F4MRCCRP</t>
  </si>
  <si>
    <t>MINI FREEDOM IV G/G/G/G PERM</t>
  </si>
  <si>
    <t>F4MGGGGP</t>
  </si>
  <si>
    <t>MINI FREEDOM IV W/R/R/R PERM</t>
  </si>
  <si>
    <t>F4MCRRRP</t>
  </si>
  <si>
    <t>MINI FREEDOM IV W/R/W/R PERM</t>
  </si>
  <si>
    <t>F4MCRCRP</t>
  </si>
  <si>
    <t>MINI FREEDOM IV W/G/W/G PERM</t>
  </si>
  <si>
    <t>F4MCGCGP</t>
  </si>
  <si>
    <t>MINI FREEDOM IV W/G/W/W PERM</t>
  </si>
  <si>
    <t>F4MCGCCP</t>
  </si>
  <si>
    <t>MINI FREEDOM IV W/W/W/W PERM</t>
  </si>
  <si>
    <t>F4MCCCCP</t>
  </si>
  <si>
    <t>MINI FREEDOM IV B/R/R/R PERM</t>
  </si>
  <si>
    <t>F4MBRRRP</t>
  </si>
  <si>
    <t>MINI FREEDOM IV B/R/W/R PERM</t>
  </si>
  <si>
    <t>F4MBRCRP</t>
  </si>
  <si>
    <t>MINI FREEDOM IV B/R/B/R PERM</t>
  </si>
  <si>
    <t>F4MBRBRP</t>
  </si>
  <si>
    <t>MINI FREEDOM IV B/G/B/G PERM</t>
  </si>
  <si>
    <t>F4MBGBGP</t>
  </si>
  <si>
    <t>MINI FREEDOM IV B/W/B/R PERM</t>
  </si>
  <si>
    <t>F4MBCBRP</t>
  </si>
  <si>
    <t>MINI FREEDOM IV B/W/B/W PERM</t>
  </si>
  <si>
    <t>F4MBCBCP</t>
  </si>
  <si>
    <t>MINI FREEDOM IV B/B/R/R PERM</t>
  </si>
  <si>
    <t>F4MBBRRP</t>
  </si>
  <si>
    <t>MINI FREEDOM IV B/B/W/W PERM</t>
  </si>
  <si>
    <t>F4MBBCCP</t>
  </si>
  <si>
    <t>MINI FREEDOM IV B/B/B/B PERM</t>
  </si>
  <si>
    <t>F4MBBBBP</t>
  </si>
  <si>
    <t>MINI FREEDOM IV A/R/R/R PERM</t>
  </si>
  <si>
    <t>F4MARRRP</t>
  </si>
  <si>
    <t>MINI FREEDOM IV A/R/W/R PERM</t>
  </si>
  <si>
    <t>F4MARCRP</t>
  </si>
  <si>
    <t>MINI FREEDOM IV A/R/A/R PERM</t>
  </si>
  <si>
    <t>F4MARARP</t>
  </si>
  <si>
    <t>MINI FREEDOM IV A/G/A/G PERM</t>
  </si>
  <si>
    <t>F4MAGAGP</t>
  </si>
  <si>
    <t>MINI FREEDOM IV A/W/A/W PERM</t>
  </si>
  <si>
    <t>F4MACACP</t>
  </si>
  <si>
    <t>MINI FREEDOM IV A/A/G/G PERM</t>
  </si>
  <si>
    <t>F4MAAGGP</t>
  </si>
  <si>
    <t>MINI FREEDOM IV A/A/W/W PERM</t>
  </si>
  <si>
    <t>F4MAACCP</t>
  </si>
  <si>
    <t>MINI FREEDOM IV A/A/B/B PERM</t>
  </si>
  <si>
    <t>F4MAABBP</t>
  </si>
  <si>
    <t>MINI FREEDOM IV A/A/A/A PERM</t>
  </si>
  <si>
    <t>F4MAAAAP</t>
  </si>
  <si>
    <t>FREEDOM 4 +1 6LED ALY/WARN B/A</t>
  </si>
  <si>
    <t>F4WAM</t>
  </si>
  <si>
    <t>FREEDOM 4 +1 6LED ALY/WARN R/A</t>
  </si>
  <si>
    <t>F4WAK</t>
  </si>
  <si>
    <t>FREEDOM 4 +1 6LED ALY/WARN R/B</t>
  </si>
  <si>
    <t>F4WAJ</t>
  </si>
  <si>
    <t>FREEDOM 4 +1 6LED ALY/WARN W/A</t>
  </si>
  <si>
    <t>F4WAF</t>
  </si>
  <si>
    <t>FREEDOM 4 +1 6LED ALY/WARN B/W</t>
  </si>
  <si>
    <t>F4WAE</t>
  </si>
  <si>
    <t>FREEDOM 4 +1 6LED ALY/WARN R/W</t>
  </si>
  <si>
    <t>F4WAD</t>
  </si>
  <si>
    <t>MINI FREEDOM4 WCX DUO EEEE CTR</t>
  </si>
  <si>
    <t>K42BEEEE</t>
  </si>
  <si>
    <t>MINI FREEDOM4 WCX DUO DDDD CTR</t>
  </si>
  <si>
    <t>K42BDDDD</t>
  </si>
  <si>
    <t>MINI FREEDOM IV DUO WCX LLLL</t>
  </si>
  <si>
    <t>K42MLLLL</t>
  </si>
  <si>
    <t>MINI FREEDOM IV DUO WCX FFFF</t>
  </si>
  <si>
    <t>K42MFFFF</t>
  </si>
  <si>
    <t>MINI FREEDOM IV DUO WCX EEDD</t>
  </si>
  <si>
    <t>K42MEEDD</t>
  </si>
  <si>
    <t>MINI FREEDOM IV DUO WCX DEDE</t>
  </si>
  <si>
    <t>K42MDEDE</t>
  </si>
  <si>
    <t>MINI FREEDOM IV DUO WCX DDEE</t>
  </si>
  <si>
    <t>K42MDDEE</t>
  </si>
  <si>
    <t>MINI FREEDOM IV DUO WCX DDDD</t>
  </si>
  <si>
    <t>K42MDDDD</t>
  </si>
  <si>
    <t>MINI FREEDOM IV WCX RRRR CTR</t>
  </si>
  <si>
    <t>K4BRRRRP</t>
  </si>
  <si>
    <t>MINI FREEDOM IV WCX BBBB CTR</t>
  </si>
  <si>
    <t>K4BBBBBP</t>
  </si>
  <si>
    <t>MINI FREEDOM IV WCX RRRR PERM</t>
  </si>
  <si>
    <t>K4MRRRRP</t>
  </si>
  <si>
    <t>MINI FREEDOM IV WCX RRBB PERM</t>
  </si>
  <si>
    <t>K4MRRBBP</t>
  </si>
  <si>
    <t>MINI FREEDOM IV WCX WRWR PERM</t>
  </si>
  <si>
    <t>K4MCRCRP</t>
  </si>
  <si>
    <t>MINI FREEDOM IV WCX BRBR PERM</t>
  </si>
  <si>
    <t>K4MBRBRP</t>
  </si>
  <si>
    <t>MINI FREEDOM IV WCX BBBB PERM</t>
  </si>
  <si>
    <t>K4MBBBBP</t>
  </si>
  <si>
    <t>MINI FREEDOM IV WCX AAAA PERM</t>
  </si>
  <si>
    <t>K4MAAAAP</t>
  </si>
  <si>
    <t>CHARGE TO INSTALL IN RDX</t>
  </si>
  <si>
    <t>INSTLRDX</t>
  </si>
  <si>
    <t>90# MAGNETIC MOUNT KIT, RDX</t>
  </si>
  <si>
    <t>RDXMM90</t>
  </si>
  <si>
    <t>RESPOND HD 400 LINEAR RED VAC</t>
  </si>
  <si>
    <t>R10HDVR</t>
  </si>
  <si>
    <t>RESPOND HD 400 LINEAR WHT VAC</t>
  </si>
  <si>
    <t>R10HDVC</t>
  </si>
  <si>
    <t>RESPOND HD 400 LINEAR AMB VAC</t>
  </si>
  <si>
    <t>R10HDVA</t>
  </si>
  <si>
    <t>RESPOND HD 400 LINEAR RED MAG</t>
  </si>
  <si>
    <t>R10HDMR</t>
  </si>
  <si>
    <t>RESPOND HD 400 LINEAR BLU MAG</t>
  </si>
  <si>
    <t>R10HDMB</t>
  </si>
  <si>
    <t>RESPOND HD 400 LINEAR AMB MAG</t>
  </si>
  <si>
    <t>R10HDMA</t>
  </si>
  <si>
    <t>RESPOND HD 400 LINEAR RED PERM</t>
  </si>
  <si>
    <t>R10HDPR</t>
  </si>
  <si>
    <t>RESPOND HD 400 LINEAR BLU PERM</t>
  </si>
  <si>
    <t>R10HDPB</t>
  </si>
  <si>
    <t>RESPOND HD 400 LINEAR AMB PERM</t>
  </si>
  <si>
    <t>R10HDPA</t>
  </si>
  <si>
    <t>RESPONDER LP LT PK CON 4A/2W</t>
  </si>
  <si>
    <t>R100420</t>
  </si>
  <si>
    <t>RESPONDER LP LIN6/6 A/B PERM</t>
  </si>
  <si>
    <t>RDLPPAB</t>
  </si>
  <si>
    <t>RESPONDER LP 500 LIN6 RED VAC</t>
  </si>
  <si>
    <t>R2LPHVR</t>
  </si>
  <si>
    <t>RESPONDER LP 500 LIN6 BLU VAC</t>
  </si>
  <si>
    <t>R2LPHVB</t>
  </si>
  <si>
    <t>RESPONDER LP 500 LIN6 AMB VAC</t>
  </si>
  <si>
    <t>R2LPHVA</t>
  </si>
  <si>
    <t>RESPONDER LP 500 LIN6 RED MAG</t>
  </si>
  <si>
    <t>R2LPHMR</t>
  </si>
  <si>
    <t>RESPONDER LP 500 LIN6 WHT MAG</t>
  </si>
  <si>
    <t>R2LPHMC</t>
  </si>
  <si>
    <t>RESPONDER LP 500 LIN6 BLU MAG</t>
  </si>
  <si>
    <t>R2LPHMB</t>
  </si>
  <si>
    <t>RESPONDER LP 500 LIN6 AMB MAG</t>
  </si>
  <si>
    <t>R2LPHMA</t>
  </si>
  <si>
    <t>RESPONDER LP 500 LIN6 RED PERM</t>
  </si>
  <si>
    <t>R2LPHPR</t>
  </si>
  <si>
    <t>RESPONDER LP 500 LIN6 WHT PERM</t>
  </si>
  <si>
    <t>R2LPHPC</t>
  </si>
  <si>
    <t>RESPONDER LP 500 LIN6 BLU PERM</t>
  </si>
  <si>
    <t>R2LPHPB</t>
  </si>
  <si>
    <t>RESPONDER LP 500 LIN6 AMB PERM</t>
  </si>
  <si>
    <t>R2LPHPA</t>
  </si>
  <si>
    <t>R2LPVR</t>
  </si>
  <si>
    <t>R2LPVB</t>
  </si>
  <si>
    <t>R2LPVA</t>
  </si>
  <si>
    <t>R2LPMR</t>
  </si>
  <si>
    <t>R2LPMB</t>
  </si>
  <si>
    <t>R2LPMA</t>
  </si>
  <si>
    <t>RESPONDER LP 500 LIN6 AMB DOT</t>
  </si>
  <si>
    <t>R2LPPAD</t>
  </si>
  <si>
    <t>R2LPPACA</t>
  </si>
  <si>
    <t>R2LPPR</t>
  </si>
  <si>
    <t>R2LPPG</t>
  </si>
  <si>
    <t>R2LPPC</t>
  </si>
  <si>
    <t>R2LPPB</t>
  </si>
  <si>
    <t>R2LPPA</t>
  </si>
  <si>
    <t>RESPONDER LP 500 CON3 A/W VAC</t>
  </si>
  <si>
    <t>R1LPVF</t>
  </si>
  <si>
    <t>RESPONDER LP 500 CON3 RED VAC</t>
  </si>
  <si>
    <t>R1LPVR</t>
  </si>
  <si>
    <t>RESPONDER LP 500 CON3 GRN VAC</t>
  </si>
  <si>
    <t>R1LPVG</t>
  </si>
  <si>
    <t>RESPONDER LP 500 CON3 WHT VAC</t>
  </si>
  <si>
    <t>R1LPVC</t>
  </si>
  <si>
    <t>RESPONDER LP 500 CON3 BLU VAC</t>
  </si>
  <si>
    <t>R1LPVB</t>
  </si>
  <si>
    <t>RESPONDER LP 500 CON3 AMB VAC</t>
  </si>
  <si>
    <t>R1LPVA</t>
  </si>
  <si>
    <t>RESPONDER LP 500 CON3 A/W MAG</t>
  </si>
  <si>
    <t>R1LPMF</t>
  </si>
  <si>
    <t>RESPONDER LP 500 CON3 RED MAG</t>
  </si>
  <si>
    <t>R1LPMR</t>
  </si>
  <si>
    <t>RESPONDER LP 500 CON3 GRN MAG</t>
  </si>
  <si>
    <t>R1LPMG</t>
  </si>
  <si>
    <t>RESPONDER LP 500 CON3 WHT MAG</t>
  </si>
  <si>
    <t>R1LPMC</t>
  </si>
  <si>
    <t>RESPONDER LP 500 CON3 BLU MAG</t>
  </si>
  <si>
    <t>R1LPMB</t>
  </si>
  <si>
    <t>RESPONDER LP 500 CON3 AMB MAG</t>
  </si>
  <si>
    <t>R1LPMA</t>
  </si>
  <si>
    <t>RESPONDER LP 500 CON3 A/W PERM</t>
  </si>
  <si>
    <t>R1LPPF</t>
  </si>
  <si>
    <t>RESPONDER LP 500 CON3 AMB PERM</t>
  </si>
  <si>
    <t>R1LPPACA</t>
  </si>
  <si>
    <t>RESPONDER LP 500 CON3 RED PERM</t>
  </si>
  <si>
    <t>R1LPPR</t>
  </si>
  <si>
    <t>RESPONDER LP 500 CON3 GRN PERM</t>
  </si>
  <si>
    <t>R1LPPG</t>
  </si>
  <si>
    <t>RESPONDER LP 500 CON3 WHT PERM</t>
  </si>
  <si>
    <t>R1LPPC</t>
  </si>
  <si>
    <t>RESPONDER LP 500 CON3 BLU PERM</t>
  </si>
  <si>
    <t>R1LPPB</t>
  </si>
  <si>
    <t>R1LPPA</t>
  </si>
  <si>
    <t>OPT, MINI LIBERTY II +ALY &amp; TD</t>
  </si>
  <si>
    <t>ITTSA</t>
  </si>
  <si>
    <t>OPT, MINI LIBERTY II +2 ALLEYS</t>
  </si>
  <si>
    <t>ITA</t>
  </si>
  <si>
    <t>OPT, MINI LIBERTY II + 2 T-DS</t>
  </si>
  <si>
    <t>ITTS</t>
  </si>
  <si>
    <t>MINI LIBERTY II R/R/R/R VAC MT</t>
  </si>
  <si>
    <t>IT9RRRRV</t>
  </si>
  <si>
    <t>MINI LIBERTY II R/W/W/R VAC MT</t>
  </si>
  <si>
    <t>IT9RCCRV</t>
  </si>
  <si>
    <t>MINI LIBERTY II VAC MT W/W/W/W</t>
  </si>
  <si>
    <t>IT9CCCCV</t>
  </si>
  <si>
    <t>MINI LIBERTY II VAC MT B/B/B/B</t>
  </si>
  <si>
    <t>IT9BBBBV</t>
  </si>
  <si>
    <t>MINI LIBERTY II VAC MT A/G/A/G</t>
  </si>
  <si>
    <t>IT9AGAGV</t>
  </si>
  <si>
    <t>MINI LIBERTY II VAC MT A/W/A/W</t>
  </si>
  <si>
    <t>IT9ACACV</t>
  </si>
  <si>
    <t>MINI LIBERTY II VAC MT A/A/G/G</t>
  </si>
  <si>
    <t>IT9AAGGV</t>
  </si>
  <si>
    <t>MINI LIBERTY II VAC MT A/A/A/A</t>
  </si>
  <si>
    <t>IT9AAAAV</t>
  </si>
  <si>
    <t>MINI LIBERTY II MAG MT R/R/R/R</t>
  </si>
  <si>
    <t>IT9RRRRM</t>
  </si>
  <si>
    <t>MINI LIBERTY MAG MT R/R/B/B</t>
  </si>
  <si>
    <t>IT9RRBBM</t>
  </si>
  <si>
    <t>MINI LIBERTY II MAG MT W/W/W/W</t>
  </si>
  <si>
    <t>IT9CCCCM</t>
  </si>
  <si>
    <t>MINI LIBERTY II MAG MT B/R/B/R</t>
  </si>
  <si>
    <t>IT9BRBRM</t>
  </si>
  <si>
    <t>MINI LIBERTY II MAG MT B/B/B/B</t>
  </si>
  <si>
    <t>IT9BBBBM</t>
  </si>
  <si>
    <t>MINI LIBERTY II MAN MT A/R/A/R</t>
  </si>
  <si>
    <t>IT9ARARM</t>
  </si>
  <si>
    <t>MINI LIBERTY II MAG MT A/W/A/W</t>
  </si>
  <si>
    <t>IT9ACACM</t>
  </si>
  <si>
    <t>MINI LIBERTY II MAG MT A/A/A/A</t>
  </si>
  <si>
    <t>IT9AAAAM</t>
  </si>
  <si>
    <t>MINI LIBERTY II PERM MT RRRR</t>
  </si>
  <si>
    <t>IT9RRRRP</t>
  </si>
  <si>
    <t>MINI LIBERTY II PERM MT RRWR</t>
  </si>
  <si>
    <t>IT9RRCRP</t>
  </si>
  <si>
    <t>MINI LIBERTY II PERM MT RRWW</t>
  </si>
  <si>
    <t>IT9RRCCP</t>
  </si>
  <si>
    <t>MINI LIBERTY II PERM MT RRBR</t>
  </si>
  <si>
    <t>IT9RRBRP</t>
  </si>
  <si>
    <t>MINI LIBERTY II PERM MT RRBB</t>
  </si>
  <si>
    <t>IT9RRBBP</t>
  </si>
  <si>
    <t>MINI LIBERTY II PERM MT RRAR</t>
  </si>
  <si>
    <t>IT9RRARP</t>
  </si>
  <si>
    <t>MINI LIBERTY II PERM MT RRAW</t>
  </si>
  <si>
    <t>IT9RRACP</t>
  </si>
  <si>
    <t>MINI LIBERTY II PERM MT RRAA</t>
  </si>
  <si>
    <t>IT9RRAAP</t>
  </si>
  <si>
    <t>MINI LIBERTY II PERM MT RWRW</t>
  </si>
  <si>
    <t>IT9RCRCP</t>
  </si>
  <si>
    <t>MINI LIBERTY II PERM MT GGGG</t>
  </si>
  <si>
    <t>IT9GGGGP</t>
  </si>
  <si>
    <t>MINI LIBERTY II PERM MT GGAA</t>
  </si>
  <si>
    <t>IT9GGAAP</t>
  </si>
  <si>
    <t>MINI LIBERTY II PERM MT WRAA</t>
  </si>
  <si>
    <t>IT9CRAAP</t>
  </si>
  <si>
    <t>MINI LIBERTY II PERM MT WWRR</t>
  </si>
  <si>
    <t>IT9CCRRP</t>
  </si>
  <si>
    <t>MINI LIBERTY II PERM MT WWWW</t>
  </si>
  <si>
    <t>IT9CCCCP</t>
  </si>
  <si>
    <t>MINI LIBERTY II PERM MT WWAA</t>
  </si>
  <si>
    <t>IT9CCAAP</t>
  </si>
  <si>
    <t>MINI LIBERTY II PERM MT BRBR</t>
  </si>
  <si>
    <t>IT9BRBRP</t>
  </si>
  <si>
    <t>MINI LIBERTY II PERM MT BWBW</t>
  </si>
  <si>
    <t>IT9BCBCP</t>
  </si>
  <si>
    <t>MINI LIBERTY II PERM MT BBBB</t>
  </si>
  <si>
    <t>MINI LIBERTY II PERM MT ARRR</t>
  </si>
  <si>
    <t>IT9ARRRP</t>
  </si>
  <si>
    <t>MINI LIBERTY II PERM MT ARAR</t>
  </si>
  <si>
    <t>IT9ARARP</t>
  </si>
  <si>
    <t>MINI LIBERTY II PERM MT ARAB</t>
  </si>
  <si>
    <t>IT9ARABP</t>
  </si>
  <si>
    <t>MINI LIBERTY II PERM MT AGAG</t>
  </si>
  <si>
    <t>IT9AGAGP</t>
  </si>
  <si>
    <t>MINI LIBERTY II PERM MT AWAW</t>
  </si>
  <si>
    <t>IT9ACACP</t>
  </si>
  <si>
    <t>MINI LIBERTY II PERM MT AWAA</t>
  </si>
  <si>
    <t>IT9ACAAP</t>
  </si>
  <si>
    <t>MINI LIBERTY II PERM MT ABAB</t>
  </si>
  <si>
    <t>IT9ABABP</t>
  </si>
  <si>
    <t>MINI LIBERTY II PERM MT AARR</t>
  </si>
  <si>
    <t>IT9AARRP</t>
  </si>
  <si>
    <t>MINI LIBERTY II PERM MT AAGG</t>
  </si>
  <si>
    <t>IT9AAGGP</t>
  </si>
  <si>
    <t>MINI LIBERTY II PERM MT AAWW</t>
  </si>
  <si>
    <t>IT9AACCP</t>
  </si>
  <si>
    <t>MINI LIBERTY II PERM MT AABB</t>
  </si>
  <si>
    <t>IT9AABBP</t>
  </si>
  <si>
    <t>MINI LIBERTY II PERM MT AAAB</t>
  </si>
  <si>
    <t>IT9AAABP</t>
  </si>
  <si>
    <t>MINI LIBERTY II PERM MT AAAA</t>
  </si>
  <si>
    <t>IT9AAAAP</t>
  </si>
  <si>
    <t>MINI LIBERTY II WCX PERM MMMM</t>
  </si>
  <si>
    <t>BT9MMMMP</t>
  </si>
  <si>
    <t>MINI LIBERTY II WCX PERM LLLL</t>
  </si>
  <si>
    <t>BT9LLLLP</t>
  </si>
  <si>
    <t>MINI LIBERTY II WCX PERM KMKM</t>
  </si>
  <si>
    <t>BT9KMKMP</t>
  </si>
  <si>
    <t>MINI LIBERTY II WCX PERM KKKK</t>
  </si>
  <si>
    <t>BT9KKKKP</t>
  </si>
  <si>
    <t>MINI LIBERTY II WCX PERM JJJJ</t>
  </si>
  <si>
    <t>BT9JJJJP</t>
  </si>
  <si>
    <t>MINI LIBERTY II WCX PERM FMFM</t>
  </si>
  <si>
    <t>BT9FMFMP</t>
  </si>
  <si>
    <t>MINI LIBERTY II WCX PERM FFFF</t>
  </si>
  <si>
    <t>BT9FFFFP</t>
  </si>
  <si>
    <t>MINI LIBERTY II WCX PERM EEEE</t>
  </si>
  <si>
    <t>BT9EEEEP</t>
  </si>
  <si>
    <t>MINI LIBERTY II WCX PERM DKDK</t>
  </si>
  <si>
    <t>BT9DKDKP</t>
  </si>
  <si>
    <t>MINI LIBERTY II WCX PERM DEDE</t>
  </si>
  <si>
    <t>BT9DEDEP</t>
  </si>
  <si>
    <t>MINI LIBERTY II WCX PERM DDDE</t>
  </si>
  <si>
    <t>BT9DDDEP</t>
  </si>
  <si>
    <t>MINI LIBERTY II WCX PERM DDDD</t>
  </si>
  <si>
    <t>BT9DDDDP</t>
  </si>
  <si>
    <t>MINI LIBERTY II WCX PERM RRRR</t>
  </si>
  <si>
    <t>BT9RRRRP</t>
  </si>
  <si>
    <t>MINI LIBERTY WCX PERM WRRR</t>
  </si>
  <si>
    <t>BT9CRRRP</t>
  </si>
  <si>
    <t>MINI LIBERTY II WCX PERM BRBR</t>
  </si>
  <si>
    <t>BT9BRBRP</t>
  </si>
  <si>
    <t>MINI LIBERTY II WCX PERM BBBB</t>
  </si>
  <si>
    <t>MINI LIBERTY II WCX PERM AAAA</t>
  </si>
  <si>
    <t>BT9AAAAP</t>
  </si>
  <si>
    <t>OPT, MINI LEGACY + ALY &amp; TDS</t>
  </si>
  <si>
    <t>GTTSA</t>
  </si>
  <si>
    <t>OPT, MINI LEGACY + 2 ALLEY LTS</t>
  </si>
  <si>
    <t>GTA</t>
  </si>
  <si>
    <t>OPT, MINI LEGACY +2 SHORT T-DS</t>
  </si>
  <si>
    <t>GTTS</t>
  </si>
  <si>
    <t>MINI LEGACY VAC MT R/R/R/R</t>
  </si>
  <si>
    <t>GT9RRRRV</t>
  </si>
  <si>
    <t>MINI LEGACY VAC MT W/W/R/R</t>
  </si>
  <si>
    <t>GT9CCRRV</t>
  </si>
  <si>
    <t>MINI LEGACY VAC MT W/W/W/W</t>
  </si>
  <si>
    <t>GT9CCCCV</t>
  </si>
  <si>
    <t>MINI LEGACY VAC MT B/R/B/R</t>
  </si>
  <si>
    <t>GT9BRBRV</t>
  </si>
  <si>
    <t>MINI LEGACY VAC MT B/B/B/B</t>
  </si>
  <si>
    <t>GT9BBBBV</t>
  </si>
  <si>
    <t>MINI LEGACY VAC MT A/G/A/G</t>
  </si>
  <si>
    <t>GT9AGAGV</t>
  </si>
  <si>
    <t>MINI LEGACY VAC MT A/W/A/W</t>
  </si>
  <si>
    <t>GT9ACACV</t>
  </si>
  <si>
    <t>MINI LEGACY VAC MT A/B/A/B</t>
  </si>
  <si>
    <t>GT9ABABV</t>
  </si>
  <si>
    <t>MINI LEGACY VAC MT A/A/W/W</t>
  </si>
  <si>
    <t>GT9AACCV</t>
  </si>
  <si>
    <t>MINI LEGACY VAC MT A/A/A/A</t>
  </si>
  <si>
    <t>GT9AAAAV</t>
  </si>
  <si>
    <t>MINI LEGACY MAG MT R/R/R/R</t>
  </si>
  <si>
    <t>GT9RRRRM</t>
  </si>
  <si>
    <t>MINI LEGACY MAG MT R/R/W/W</t>
  </si>
  <si>
    <t>GT9RRCCM</t>
  </si>
  <si>
    <t>MINI LEGACY MAG MT R/W/R/W</t>
  </si>
  <si>
    <t>GT9RCRCM</t>
  </si>
  <si>
    <t>GT9CRCRM</t>
  </si>
  <si>
    <t>MINI LEGACY MAG MT W/W/W/W</t>
  </si>
  <si>
    <t>GT9CCCCM</t>
  </si>
  <si>
    <t>MINI LEGACY MAG MT W/W/A/A</t>
  </si>
  <si>
    <t>GT9CCAAM</t>
  </si>
  <si>
    <t>MINI LEGACY MAG MT B/R/B/R</t>
  </si>
  <si>
    <t>GT9BRBRM</t>
  </si>
  <si>
    <t>MINI LEGACY MAG MT B/B/B/B</t>
  </si>
  <si>
    <t>GT9BBBBM</t>
  </si>
  <si>
    <t>MINI LEGACY MAG MT A/G/A/G</t>
  </si>
  <si>
    <t>GT9AGAGM</t>
  </si>
  <si>
    <t>MINI LEGACY MAG MT A/W/A/W</t>
  </si>
  <si>
    <t>GT9ACACM</t>
  </si>
  <si>
    <t>MINI LEGACY MAG MT A/B/A/B</t>
  </si>
  <si>
    <t>GT9ABABM</t>
  </si>
  <si>
    <t>MINI LEGACY MAG MT A/A/W/W</t>
  </si>
  <si>
    <t>GT9AACCM</t>
  </si>
  <si>
    <t>MINI LEGACY MAG MT A/A/A/A</t>
  </si>
  <si>
    <t>GT9AAAAM</t>
  </si>
  <si>
    <t>MINI LEGACY PERM MT R/R/R/R</t>
  </si>
  <si>
    <t>GT9RRRRP</t>
  </si>
  <si>
    <t>MINI LEGACY PERM MT R/R/B/B</t>
  </si>
  <si>
    <t>GT9RRBBP</t>
  </si>
  <si>
    <t>MINI LEGACY PERM MT R/R/A/A</t>
  </si>
  <si>
    <t>GT9RRAAP</t>
  </si>
  <si>
    <t>MINI LEGACY PERM MT R/W/R/W</t>
  </si>
  <si>
    <t>GT9RCRCP</t>
  </si>
  <si>
    <t>MINI LEGACY PERM MT G/G/G/G</t>
  </si>
  <si>
    <t>GT9GGGGP</t>
  </si>
  <si>
    <t>MINI LEGACY PERM MT G/G/A/A</t>
  </si>
  <si>
    <t>GT9GGAAP</t>
  </si>
  <si>
    <t>MINI LEGACY PERM MT W/R/W/R</t>
  </si>
  <si>
    <t>GT9CRCRP</t>
  </si>
  <si>
    <t>MINI LEGACY PERM MT W/W/G/G</t>
  </si>
  <si>
    <t>GT9CCGGP</t>
  </si>
  <si>
    <t>MINI LEGACY PERM MT W/W/W/W</t>
  </si>
  <si>
    <t>GT9CCCCP</t>
  </si>
  <si>
    <t>MINI LEGACY PERM MT B/R/R/R</t>
  </si>
  <si>
    <t>GT9BRRRP</t>
  </si>
  <si>
    <t>MINI LEGACY PERM MT B/R/B/R</t>
  </si>
  <si>
    <t>GT9BRBRP</t>
  </si>
  <si>
    <t>MINI LEGACY PERM MT B/W/B/W</t>
  </si>
  <si>
    <t>GT9BCBCP</t>
  </si>
  <si>
    <t>MINI LEGACY PERM MT B/B/B/B</t>
  </si>
  <si>
    <t>GT9BBBBP</t>
  </si>
  <si>
    <t>MINI LEGACY PERM MT A/R/B/R</t>
  </si>
  <si>
    <t>GT9ARBRP</t>
  </si>
  <si>
    <t>MINI LEGACY PERM MT A/R/A/R</t>
  </si>
  <si>
    <t>GT9ARARP</t>
  </si>
  <si>
    <t>MINI LEGACY PERM MT A/G/A/G</t>
  </si>
  <si>
    <t>GT9AGAGP</t>
  </si>
  <si>
    <t>MINI LEGACY PERM MT A/W/A/W</t>
  </si>
  <si>
    <t>GT9ACACP</t>
  </si>
  <si>
    <t>MINI LEGACY PERM MT A/B/A/B</t>
  </si>
  <si>
    <t>GT9ABABP</t>
  </si>
  <si>
    <t>MINI LEGACY PERM MT A/A/G/G</t>
  </si>
  <si>
    <t>GT9AAGGP</t>
  </si>
  <si>
    <t>MINI LEGACY PERM MT A/A/W/W</t>
  </si>
  <si>
    <t>GT9AACCP</t>
  </si>
  <si>
    <t>MINI LEGACY PERM MT A/A/B/B</t>
  </si>
  <si>
    <t>GT9AABBP</t>
  </si>
  <si>
    <t>MINI LEGACY PERM MT A/A/A/A</t>
  </si>
  <si>
    <t>GT9AAAAP</t>
  </si>
  <si>
    <t>MINI LEGACY WCX PERM MT MMMM</t>
  </si>
  <si>
    <t>ET9MMMMP</t>
  </si>
  <si>
    <t>MINI LEGACY WCX PERM MT KMMM</t>
  </si>
  <si>
    <t>ET9KMMMP</t>
  </si>
  <si>
    <t>MINI LEGACY WCX PERM MT KMKM</t>
  </si>
  <si>
    <t>ET9KMKMP</t>
  </si>
  <si>
    <t>MINI LEGACY WCX PERM MT KKKK</t>
  </si>
  <si>
    <t>ET9KKKKP</t>
  </si>
  <si>
    <t>MINI LEGACY WCX PERM MT JJJJ</t>
  </si>
  <si>
    <t>ET9JJJJP</t>
  </si>
  <si>
    <t>MINI LEGACY WCX PERM MT HHHH</t>
  </si>
  <si>
    <t>ET9HHHHP</t>
  </si>
  <si>
    <t>MINI LEGACY WCX PERM MT FMEM</t>
  </si>
  <si>
    <t>ET9FMEMP</t>
  </si>
  <si>
    <t>MINI LEGACY WCX PERM MT FKFK</t>
  </si>
  <si>
    <t>ET9FKFKP</t>
  </si>
  <si>
    <t>MINI LEGACY WCX PERM MT FFFF</t>
  </si>
  <si>
    <t>ET9FFFFP</t>
  </si>
  <si>
    <t>MINI LEGACY WCX PERM MT EEEE</t>
  </si>
  <si>
    <t>ET9EEEEP</t>
  </si>
  <si>
    <t>MINI LEGACY WCX PERM MT DMEK</t>
  </si>
  <si>
    <t>ET9DMEKP</t>
  </si>
  <si>
    <t>MINI LEGACY WCX PERM MT DJDJ</t>
  </si>
  <si>
    <t>ET9DJDJP</t>
  </si>
  <si>
    <t>MINI LEGACY WCX PERM MT DEDE</t>
  </si>
  <si>
    <t>ET9DEDEP</t>
  </si>
  <si>
    <t>MINI LEGACY WCX PERM MT RRRR</t>
  </si>
  <si>
    <t>ET9RRRRP</t>
  </si>
  <si>
    <t>MINI LEGACY WCX PERM MT RRBB</t>
  </si>
  <si>
    <t>ET9RRBBP</t>
  </si>
  <si>
    <t>MINI LEGACY WCX PERM MT BBBB</t>
  </si>
  <si>
    <t>MINI LEGACY WCX PERM MT AAAA</t>
  </si>
  <si>
    <t>ET9AAAAP</t>
  </si>
  <si>
    <t>MINI CENTURY 23" RED STUD MT</t>
  </si>
  <si>
    <t>MC23SR</t>
  </si>
  <si>
    <t>MINI CENTURY 23" BLUE STUD MT</t>
  </si>
  <si>
    <t>MC23SB</t>
  </si>
  <si>
    <t>MINI CENTURY 23" AMBER STUD MT</t>
  </si>
  <si>
    <t>MC23SA</t>
  </si>
  <si>
    <t>MINI CENTURY 23" RED VAC MT</t>
  </si>
  <si>
    <t>MC23VR</t>
  </si>
  <si>
    <t>MINI CENTURY 23" GREEN VAC MT</t>
  </si>
  <si>
    <t>MC23VG</t>
  </si>
  <si>
    <t>MINI CENTURY 23" BLUE VAC MT</t>
  </si>
  <si>
    <t>MC23VB</t>
  </si>
  <si>
    <t>MINI CENTURY 23" AMBER VAC MT</t>
  </si>
  <si>
    <t>MC23VA</t>
  </si>
  <si>
    <t>MINI CENTURY 23" RED MAG MT</t>
  </si>
  <si>
    <t>MC23MR</t>
  </si>
  <si>
    <t>MINI CENTURY 23" WHITE MAG MT</t>
  </si>
  <si>
    <t>MC23MC</t>
  </si>
  <si>
    <t>MINI CENTURY 23" BLUE MAG MT</t>
  </si>
  <si>
    <t>MC23MB</t>
  </si>
  <si>
    <t>MINI CENTURY 23" AMBER MAG MT</t>
  </si>
  <si>
    <t>MC23MA</t>
  </si>
  <si>
    <t>MINI CENTURY 23" RED PERM MT</t>
  </si>
  <si>
    <t>MC23PR</t>
  </si>
  <si>
    <t>MINI CENTURY 23" GRN PERM MT</t>
  </si>
  <si>
    <t>MC23PG</t>
  </si>
  <si>
    <t>MINI CENTURY 23" WHITE PERM MT</t>
  </si>
  <si>
    <t>MC23PC</t>
  </si>
  <si>
    <t>MINI CENTURY 23" BLUE PERM MT</t>
  </si>
  <si>
    <t>MC23PB</t>
  </si>
  <si>
    <t>MINI CENTURY 23" AMBER PERM MT</t>
  </si>
  <si>
    <t>MC23PA</t>
  </si>
  <si>
    <t>MINI CENTURY 16" AMB/WHT STUD</t>
  </si>
  <si>
    <t>MC16SF</t>
  </si>
  <si>
    <t>MINI CENTURY 16" AMB/WHT VAC</t>
  </si>
  <si>
    <t>MC16VF</t>
  </si>
  <si>
    <t>MINI CENTURY 16" AMB/WHT MAG</t>
  </si>
  <si>
    <t>MC16MF</t>
  </si>
  <si>
    <t>MINI CENTURY 16" AMB/WHT PERM</t>
  </si>
  <si>
    <t>MC16PF</t>
  </si>
  <si>
    <t>MINI CENTURY 16" RED/BLU STUD</t>
  </si>
  <si>
    <t>MC16SJ</t>
  </si>
  <si>
    <t>MINI CENTURY 16" RED/BLU VAC</t>
  </si>
  <si>
    <t>MC16VJ</t>
  </si>
  <si>
    <t>MINI CENTURY 16" RED/BLU MAG</t>
  </si>
  <si>
    <t>MC16MJ</t>
  </si>
  <si>
    <t>MINI CENTURY 16" RED/BLU PERM</t>
  </si>
  <si>
    <t>MC16PJ</t>
  </si>
  <si>
    <t>MINI CENTURY 16" RED STUD MT</t>
  </si>
  <si>
    <t>MC16SR</t>
  </si>
  <si>
    <t>MINI CENTURY 16" BLUE STUD MT</t>
  </si>
  <si>
    <t>MC16SB</t>
  </si>
  <si>
    <t>MINI CENTURY 16" AMBER STUD MT</t>
  </si>
  <si>
    <t>MC16SA</t>
  </si>
  <si>
    <t>MINI CENTURY 16" RED VAC MT</t>
  </si>
  <si>
    <t>MC16VR</t>
  </si>
  <si>
    <t>MINI CENTURY 16" WHT VAC MT</t>
  </si>
  <si>
    <t>MC16VC</t>
  </si>
  <si>
    <t>MINI CENTURY 16" BLUE VAC MT</t>
  </si>
  <si>
    <t>MC16VB</t>
  </si>
  <si>
    <t>MINI CENTURY 16" AMBER VAC MT</t>
  </si>
  <si>
    <t>MC16VA</t>
  </si>
  <si>
    <t>MINI CENTURY 16" RED MAG MT</t>
  </si>
  <si>
    <t>MC16MR</t>
  </si>
  <si>
    <t>MINI CENTURY 16" WHITE MAG MT</t>
  </si>
  <si>
    <t>MC16MC</t>
  </si>
  <si>
    <t>MINI CENTURY 16" BLUE MAG MT</t>
  </si>
  <si>
    <t>MC16MB</t>
  </si>
  <si>
    <t>MINI CENTURY 16" AMBER MAG MT</t>
  </si>
  <si>
    <t>MC16MA</t>
  </si>
  <si>
    <t>MINI CENTURY 16" RED PERM MT</t>
  </si>
  <si>
    <t>MC16PR</t>
  </si>
  <si>
    <t>MINI CENTURY 16" GREEN PERM MT</t>
  </si>
  <si>
    <t>MC16PG</t>
  </si>
  <si>
    <t>MINI CENTURY 16" WHITE PERM MT</t>
  </si>
  <si>
    <t>MC16PC</t>
  </si>
  <si>
    <t>MINI CENTURY 16" BLUE PERM MT</t>
  </si>
  <si>
    <t>MC16PB</t>
  </si>
  <si>
    <t>MINI CENTURY 16" AMBER PERM MT</t>
  </si>
  <si>
    <t>MC16PA</t>
  </si>
  <si>
    <t>MINI CENTURY 11" RED STUD MT</t>
  </si>
  <si>
    <t>MC11SR</t>
  </si>
  <si>
    <t>MINI CENTURY 11" WHITE STUD MT</t>
  </si>
  <si>
    <t>MC11SC</t>
  </si>
  <si>
    <t>MINI CENTURY 11" BLUE STUD MT</t>
  </si>
  <si>
    <t>MC11SB</t>
  </si>
  <si>
    <t>MINI CENTURY 11" AMBER STUD MT</t>
  </si>
  <si>
    <t>MC11SA</t>
  </si>
  <si>
    <t>MINI CENTURY 11" RED MAG MT</t>
  </si>
  <si>
    <t>MC11MR</t>
  </si>
  <si>
    <t>MINI CENTURY 11" WHITE MAG MT</t>
  </si>
  <si>
    <t>MC11MC</t>
  </si>
  <si>
    <t>MINI CENTURY 11" BLUE MAG MT</t>
  </si>
  <si>
    <t>MC11MB</t>
  </si>
  <si>
    <t>MINI CENTURY 11" AMBER MAG MT</t>
  </si>
  <si>
    <t>MC11MA</t>
  </si>
  <si>
    <t>MINI CENTURY 11" RED PERM MT</t>
  </si>
  <si>
    <t>MC11PR</t>
  </si>
  <si>
    <t>MINI CENTURY 11" WHITE PERM MT</t>
  </si>
  <si>
    <t>MC11PC</t>
  </si>
  <si>
    <t>MINI CENTURY 11" BLUE PERM MT</t>
  </si>
  <si>
    <t>MC11PB</t>
  </si>
  <si>
    <t>MINI CENTURY 11" AMBER PERM MT</t>
  </si>
  <si>
    <t>MC11PA</t>
  </si>
  <si>
    <t>TRACER LTBAR MT BKT FR &amp; RR</t>
  </si>
  <si>
    <t>TCRLBKT2</t>
  </si>
  <si>
    <t>TRACER LTBAR MT BKT FR OR RR</t>
  </si>
  <si>
    <t>TCRLBKT1</t>
  </si>
  <si>
    <t>TRACER "L" BRACKET MTG KIT</t>
  </si>
  <si>
    <t>TCRLBKT</t>
  </si>
  <si>
    <t>TRACER MTG KIT 2022 TESLA Y</t>
  </si>
  <si>
    <t>TCRB56</t>
  </si>
  <si>
    <t>TRACER MT KIT 2022 MACH-E</t>
  </si>
  <si>
    <t>TCRB57</t>
  </si>
  <si>
    <t>TRACER MTG KIT INTERCEPTOR SUV</t>
  </si>
  <si>
    <t>TCRB50</t>
  </si>
  <si>
    <t>TRACER MT KIT EXPLORER/UTILITY</t>
  </si>
  <si>
    <t>TCRB34</t>
  </si>
  <si>
    <t>TRACER MTG KIT FORD F-150</t>
  </si>
  <si>
    <t>TCRB47</t>
  </si>
  <si>
    <t>TRACER MTG KIT 2021 TAHOE OVER</t>
  </si>
  <si>
    <t>TCRB54A</t>
  </si>
  <si>
    <t>TRACER MTG KIT CHEVY TAHOE</t>
  </si>
  <si>
    <t>TCRB45</t>
  </si>
  <si>
    <t>TRACER MTG KIT 2021 SUBURBAN</t>
  </si>
  <si>
    <t>TCRB54S</t>
  </si>
  <si>
    <t>TRACER MT KIT 2019 SILVERADO</t>
  </si>
  <si>
    <t>TCRB49</t>
  </si>
  <si>
    <t>TRACER MTG KIT DODGE RAM 1500</t>
  </si>
  <si>
    <t>TCRB42</t>
  </si>
  <si>
    <t>TRACER MTG KIT DODGE DURANGO</t>
  </si>
  <si>
    <t>TCRB44</t>
  </si>
  <si>
    <t>TRACER MTG KIT DODGE CHARGER</t>
  </si>
  <si>
    <t>TCRB35</t>
  </si>
  <si>
    <t>WCX TRACER 2NDARY TRIO RAW/SMK</t>
  </si>
  <si>
    <t>TCRXXSKC</t>
  </si>
  <si>
    <t>WCX TRACER SECONDARY TRIO RAW</t>
  </si>
  <si>
    <t>TCRWXSKC</t>
  </si>
  <si>
    <t>WCX TRACER PRIMARY TRIO RAW/SM</t>
  </si>
  <si>
    <t>TCRXXPKC</t>
  </si>
  <si>
    <t>WCX TRACER PRIMARY TRIO R/A/W</t>
  </si>
  <si>
    <t>TCRWXPKC</t>
  </si>
  <si>
    <t>WCX TRACER 2NDARY TRIO BAW/SMK</t>
  </si>
  <si>
    <t>TCRXXSMC</t>
  </si>
  <si>
    <t>WCX TRACER SECONDARY TRIO BAW</t>
  </si>
  <si>
    <t>TCRWXSMC</t>
  </si>
  <si>
    <t>WCX TRACER PRIMARY TRIO BAW/SM</t>
  </si>
  <si>
    <t>TCRXXPMC</t>
  </si>
  <si>
    <t>WCX TRACER PRIMARY TRIO B/A/W</t>
  </si>
  <si>
    <t>TCRWXPMC</t>
  </si>
  <si>
    <t>WCX TRACER 2NDARY TRIO RBA/SMK</t>
  </si>
  <si>
    <t>TCRXXSJA</t>
  </si>
  <si>
    <t>WCX TRACER SECONDARY TRIO RBA</t>
  </si>
  <si>
    <t>TCRWXSJA</t>
  </si>
  <si>
    <t>WCX TRACER PRIMARY TRIO RBA/SM</t>
  </si>
  <si>
    <t>TCRXXPJA</t>
  </si>
  <si>
    <t>WCX TRACER PRIMARY TRIO R/B/A</t>
  </si>
  <si>
    <t>TCRWXPJA</t>
  </si>
  <si>
    <t>WCX TRACER 2NDARY TRIO RBW/SMK</t>
  </si>
  <si>
    <t>TCRXXSJC</t>
  </si>
  <si>
    <t>WCX TRACER SECONDARY TRIO RBW</t>
  </si>
  <si>
    <t>TCRWXSJC</t>
  </si>
  <si>
    <t>WCX TRACER PRIMARY TRIO RBW/SM</t>
  </si>
  <si>
    <t>TCRXXPJC</t>
  </si>
  <si>
    <t>WCX TRACER PRIMARY TRIO R/B/W</t>
  </si>
  <si>
    <t>TCRWXPJC</t>
  </si>
  <si>
    <t>WCX TRACER 2NDARY DUO B-A/SMK</t>
  </si>
  <si>
    <t>TCRXXSM</t>
  </si>
  <si>
    <t>WCX TRACER 2NDARY DUO R-G/SMK</t>
  </si>
  <si>
    <t>TCRXXSL</t>
  </si>
  <si>
    <t>WCX TRACER 2NDARY DUO R-A/SMK</t>
  </si>
  <si>
    <t>TCRXXSK</t>
  </si>
  <si>
    <t>WCX TRACER 2NDARY DUO R-B/SMK</t>
  </si>
  <si>
    <t>TCRXXSJ</t>
  </si>
  <si>
    <t>WCX TRACER 2NDARY DUO A-W/SMK</t>
  </si>
  <si>
    <t>TCRXXSF</t>
  </si>
  <si>
    <t>WCX TRACER 2NDARY DUO B-W/SMK</t>
  </si>
  <si>
    <t>TCRXXSE</t>
  </si>
  <si>
    <t>WCX TRACER 2NDARY DUO R-W/SMK</t>
  </si>
  <si>
    <t>TCRXXSD</t>
  </si>
  <si>
    <t>WCX TRACER SECONDARY DUO B/A</t>
  </si>
  <si>
    <t>TCRWXSM</t>
  </si>
  <si>
    <t>WCX TRACER SECONDARY DUO R/G</t>
  </si>
  <si>
    <t>TCRWXSL</t>
  </si>
  <si>
    <t>WCX TRACER SECONDARY DUO R/A</t>
  </si>
  <si>
    <t>TCRWXSK</t>
  </si>
  <si>
    <t>WCX TRACER SECONDARY DUO R/B</t>
  </si>
  <si>
    <t>TCRWXSJ</t>
  </si>
  <si>
    <t>WCX TRACER SECONDARY DUO A/W</t>
  </si>
  <si>
    <t>TCRWXSF</t>
  </si>
  <si>
    <t>WCX TRACER SECONDARY DUO B/W</t>
  </si>
  <si>
    <t>TCRWXSE</t>
  </si>
  <si>
    <t>WCX TRACER SECONDARY DUO R/W</t>
  </si>
  <si>
    <t>TCRWXSD</t>
  </si>
  <si>
    <t>WCX TRACER PRIMARY DUO B-A/SMK</t>
  </si>
  <si>
    <t>TCRXXPM</t>
  </si>
  <si>
    <t>WCX TRACER PRIMARY DUO R-G/SMK</t>
  </si>
  <si>
    <t>TCRXXPL</t>
  </si>
  <si>
    <t>WCX TRACER PRIMARY DUO R-A/SMK</t>
  </si>
  <si>
    <t>TCRXXPK</t>
  </si>
  <si>
    <t>WCX TRACER PRIMARY DUO R-B/SMK</t>
  </si>
  <si>
    <t>TCRXXPJ</t>
  </si>
  <si>
    <t>WCX TRACER PRIMARY DUO A-W/SMK</t>
  </si>
  <si>
    <t>TCRXXPF</t>
  </si>
  <si>
    <t>WCX TRACER PRIMARY DUO B-W/SMK</t>
  </si>
  <si>
    <t>TCRXXPE</t>
  </si>
  <si>
    <t>WCX TRACER PRIMARY DUO R-W/SMK</t>
  </si>
  <si>
    <t>TCRXXPD</t>
  </si>
  <si>
    <t>WCX TRACER PRIMARY DUO LT B/A</t>
  </si>
  <si>
    <t>TCRWXPM</t>
  </si>
  <si>
    <t>WCX TRACER PRIMARY DUO LT R/G</t>
  </si>
  <si>
    <t>TCRWXPL</t>
  </si>
  <si>
    <t>WCX TRACER PRIMARY DUO LT R/A</t>
  </si>
  <si>
    <t>TCRWXPK</t>
  </si>
  <si>
    <t>WCX TRACER PRIMARY DUO LT R/B</t>
  </si>
  <si>
    <t>TCRWXPJ</t>
  </si>
  <si>
    <t>WCX TRACER PRIMARY DUO LT A/W</t>
  </si>
  <si>
    <t>TCRWXPF</t>
  </si>
  <si>
    <t>WCX TRACER PRIMARY DUO LT B/W</t>
  </si>
  <si>
    <t>TCRWXPE</t>
  </si>
  <si>
    <t>WCX TRACER PRIMARY DUO LT R/W</t>
  </si>
  <si>
    <t>TCRWXPD</t>
  </si>
  <si>
    <t>WCX TRACER 2NDARY SOLO RED/SMK</t>
  </si>
  <si>
    <t>TCRXXSR</t>
  </si>
  <si>
    <t>WCX TRACER 2NDARY SOLO GRN/SMK</t>
  </si>
  <si>
    <t>TCRXXSG</t>
  </si>
  <si>
    <t>WCX TRACER 2NDARY SOLO WHT/SMK</t>
  </si>
  <si>
    <t>TCRXXSC</t>
  </si>
  <si>
    <t>WCX TRACER 2NDARY SOLO BLU/SMK</t>
  </si>
  <si>
    <t>TCRXXSB</t>
  </si>
  <si>
    <t>WCX TRACER 2NDARY SOLO AMB/SMK</t>
  </si>
  <si>
    <t>TCRXXSA</t>
  </si>
  <si>
    <t>WCX TRACER PRIMARY SOLO RED/SM</t>
  </si>
  <si>
    <t>TCRXXPR</t>
  </si>
  <si>
    <t>WCX TRACER PRIMARY SOLO GRN/SM</t>
  </si>
  <si>
    <t>TCRXXPG</t>
  </si>
  <si>
    <t>WCX TRACER PRIMARY SOLO WHT/SM</t>
  </si>
  <si>
    <t>TCRXXPC</t>
  </si>
  <si>
    <t>WCX TRACER PRIMARY SOLO BLU/SM</t>
  </si>
  <si>
    <t>TCRXXPB</t>
  </si>
  <si>
    <t>WCX TRACER PRIMARY SOLO AMB/SM</t>
  </si>
  <si>
    <t>TCRXXPA</t>
  </si>
  <si>
    <t>WeCanX TRACER 6-LAMP HOUSING</t>
  </si>
  <si>
    <t>TCRWX6</t>
  </si>
  <si>
    <t>WeCanX TRACER 5-LAMP HOUSING</t>
  </si>
  <si>
    <t>TCRWX5</t>
  </si>
  <si>
    <t>WeCanX TRACER 4-LAMP HOUSING</t>
  </si>
  <si>
    <t>TCRWX4</t>
  </si>
  <si>
    <t>WeCanX TRACER 3-LAMP HOUSING</t>
  </si>
  <si>
    <t>TCRWX3</t>
  </si>
  <si>
    <t>WeCanX TRACER 2-LAMP HOUSING</t>
  </si>
  <si>
    <t>TCRWX2</t>
  </si>
  <si>
    <t>WeCanX TRACER 1-LAMP HOUSING</t>
  </si>
  <si>
    <t>TCRWX1</t>
  </si>
  <si>
    <t>SUB. 55' CABLE FOR STD 15'</t>
  </si>
  <si>
    <t>STA955</t>
  </si>
  <si>
    <t>SUB. 45' CABLE FOR STD 15'</t>
  </si>
  <si>
    <t>STA945</t>
  </si>
  <si>
    <t>SUB. 35' CABLE FOR STD 15'</t>
  </si>
  <si>
    <t>STA935</t>
  </si>
  <si>
    <t>STA855</t>
  </si>
  <si>
    <t>STA845</t>
  </si>
  <si>
    <t>STA835</t>
  </si>
  <si>
    <t>SUB. 55' CABLES FOR STD 15'</t>
  </si>
  <si>
    <t>STA755</t>
  </si>
  <si>
    <t>SUB. 45' CABLES FOR STD 15'</t>
  </si>
  <si>
    <t>STA745</t>
  </si>
  <si>
    <t>STA735</t>
  </si>
  <si>
    <t>STA635</t>
  </si>
  <si>
    <t>STA555</t>
  </si>
  <si>
    <t>STA545</t>
  </si>
  <si>
    <t>STA535</t>
  </si>
  <si>
    <t>SUB. 55' CABLE FOR STD 35'</t>
  </si>
  <si>
    <t>STA455</t>
  </si>
  <si>
    <t>SUB. 45' CABLE FOR STD 35'</t>
  </si>
  <si>
    <t>STA445</t>
  </si>
  <si>
    <t>STA355</t>
  </si>
  <si>
    <t>STA345</t>
  </si>
  <si>
    <t>STA335</t>
  </si>
  <si>
    <t>STA255</t>
  </si>
  <si>
    <t>STA245</t>
  </si>
  <si>
    <t>STA235</t>
  </si>
  <si>
    <t>SUB. 55' CABLE FOR STD 51'</t>
  </si>
  <si>
    <t>STA155</t>
  </si>
  <si>
    <t>SUB. 55' CABLE FOR STD 20'</t>
  </si>
  <si>
    <t>STA2255</t>
  </si>
  <si>
    <t>SUB. 45' CABLE FOR STD 20'</t>
  </si>
  <si>
    <t>STA2245</t>
  </si>
  <si>
    <t>SUB. 35' CABLE FOR STD 20'</t>
  </si>
  <si>
    <t>STA2235</t>
  </si>
  <si>
    <t>SUB. 25' CABLE FOR STD 20'</t>
  </si>
  <si>
    <t>STA2225</t>
  </si>
  <si>
    <t>DELETE TACTL6 CONTROL HEAD</t>
  </si>
  <si>
    <t>DELTAC6</t>
  </si>
  <si>
    <t>DELETE TACTL5 CONTROL HEAD</t>
  </si>
  <si>
    <t>DELTAC5</t>
  </si>
  <si>
    <t>TADSW2 SWITCH, ON/OFF/ON</t>
  </si>
  <si>
    <t>TADSW2</t>
  </si>
  <si>
    <t>TADSW1 SWITCH, ON/OFF</t>
  </si>
  <si>
    <t>TADSW1</t>
  </si>
  <si>
    <t>CONTROL HEAD FOR DOMINATOR T/A</t>
  </si>
  <si>
    <t>TADCTL1</t>
  </si>
  <si>
    <t>TACTL6 CONTROL HEAD</t>
  </si>
  <si>
    <t>TACTL6</t>
  </si>
  <si>
    <t>TACTL5 CONTROL HEAD</t>
  </si>
  <si>
    <t>TACTL5</t>
  </si>
  <si>
    <t>12-LT 500 LIN LED T/A ARROW</t>
  </si>
  <si>
    <t>TA125NF2</t>
  </si>
  <si>
    <t>TA125NF1</t>
  </si>
  <si>
    <t>16-LT 500 LIN LED T/A ARROW</t>
  </si>
  <si>
    <t>TA165NF2</t>
  </si>
  <si>
    <t>TA165NF1</t>
  </si>
  <si>
    <t>TA1660 LED TRAFFIC ADVISOR, 5'</t>
  </si>
  <si>
    <t>TA166AL5</t>
  </si>
  <si>
    <t>2-PC X 4-LT 500 LED T/A 50'</t>
  </si>
  <si>
    <t>TA4437M2</t>
  </si>
  <si>
    <t>2-PC X  4-LT 500 LED T/A 30'</t>
  </si>
  <si>
    <t>TA4437M1</t>
  </si>
  <si>
    <t>2-PC X 4-LT 500 LED T/A 15'</t>
  </si>
  <si>
    <t>TA4437M</t>
  </si>
  <si>
    <t>8-LT 700 LED STRAIGHT T/A 72'</t>
  </si>
  <si>
    <t>TA45B72</t>
  </si>
  <si>
    <t>8-LT TRAFFIC ADVISOR 50' CABLE</t>
  </si>
  <si>
    <t>TAC850</t>
  </si>
  <si>
    <t>8-LT TRAFFIC ADVISOR 30' CABLE</t>
  </si>
  <si>
    <t>TAC830</t>
  </si>
  <si>
    <t>8-LT TRAFFIC ADVISOR 15' CABLE</t>
  </si>
  <si>
    <t>TAC815</t>
  </si>
  <si>
    <t>TAM85 W/RED/RED END FLASHERS</t>
  </si>
  <si>
    <t>TAM85RR</t>
  </si>
  <si>
    <t>TAM85 W/RED/BLU END FLASHERS</t>
  </si>
  <si>
    <t>TAM85RB</t>
  </si>
  <si>
    <t>TAM85 W/WHT/WHT END FLASHERS</t>
  </si>
  <si>
    <t>TAM85CC</t>
  </si>
  <si>
    <t>TAM85 W/BLU/BLU END FLASHERS</t>
  </si>
  <si>
    <t>TAM85BB</t>
  </si>
  <si>
    <t>TAM85 W/AMB/AMB END FLASHERS</t>
  </si>
  <si>
    <t>TAM85AA</t>
  </si>
  <si>
    <t>TAM85 8 SUPER-LED TRAFFIC ADV.</t>
  </si>
  <si>
    <t>TAM85</t>
  </si>
  <si>
    <t>TAM65 6 SUPER-LED TRAFFIC ADV.</t>
  </si>
  <si>
    <t>TAM65</t>
  </si>
  <si>
    <t>8-LT 500 SERIES DUO COLOR T/A</t>
  </si>
  <si>
    <t>TADF8</t>
  </si>
  <si>
    <t>6-LT 500 SERIES DUO-COLOR T/A</t>
  </si>
  <si>
    <t>TADF6</t>
  </si>
  <si>
    <t>ROBUST MTG BRKT FOR 500 T/A</t>
  </si>
  <si>
    <t>TANBKT1</t>
  </si>
  <si>
    <t>TACF85 W/ RED/RED END FLASHERS</t>
  </si>
  <si>
    <t>TACF85RR</t>
  </si>
  <si>
    <t>TACF85 W/ RED/BLU END FLASHERS</t>
  </si>
  <si>
    <t>TACF85RB</t>
  </si>
  <si>
    <t>TACF85 W/ WHT/WHT END FLASHERS</t>
  </si>
  <si>
    <t>TACF85CC</t>
  </si>
  <si>
    <t>TACF85 W/ BLU/BLU END FLASHERS</t>
  </si>
  <si>
    <t>TACF85BB</t>
  </si>
  <si>
    <t>TACF85 W/ AMB/AMB END FLASHERS</t>
  </si>
  <si>
    <t>TACF85AA</t>
  </si>
  <si>
    <t>8-LT FRONT LOAD CON3 LED T/A</t>
  </si>
  <si>
    <t>TACF85</t>
  </si>
  <si>
    <t>TANF85 W/ RED/RED END FLASHERS</t>
  </si>
  <si>
    <t>TANF85RR</t>
  </si>
  <si>
    <t>TANF85 W/ RED/BLU END FLASHERS</t>
  </si>
  <si>
    <t>TANF85RB</t>
  </si>
  <si>
    <t>TANF85 W/ BLU/BLU END FLASHERS</t>
  </si>
  <si>
    <t>TANF85BB</t>
  </si>
  <si>
    <t>TANF85 W/ AMB/RED END FLASHERS</t>
  </si>
  <si>
    <t>TANF85AR</t>
  </si>
  <si>
    <t>TANF85 W/ AMB/BLU END FLASHERS</t>
  </si>
  <si>
    <t>TANF85AB</t>
  </si>
  <si>
    <t>TANF85 W/ AMB/AMB END FLASHERS</t>
  </si>
  <si>
    <t>TANF85AA</t>
  </si>
  <si>
    <t>8-LT FRONT LOAD LINEAR LED T/A</t>
  </si>
  <si>
    <t>TANF85</t>
  </si>
  <si>
    <t>6-LT FRONT LOAD LINEAR LED T/A</t>
  </si>
  <si>
    <t>TANF65</t>
  </si>
  <si>
    <t>8X 500 5MM LED L/P TRAFFIC ADV</t>
  </si>
  <si>
    <t>TAL85</t>
  </si>
  <si>
    <t>6X 500 5MM LED L/P TRAFFIC ADV</t>
  </si>
  <si>
    <t>TAL65</t>
  </si>
  <si>
    <t>TAZ86 W/RED/RED END FLASHERS</t>
  </si>
  <si>
    <t>TAZ86RR</t>
  </si>
  <si>
    <t>TAZ86 W/RED/BLU END FLASHERS</t>
  </si>
  <si>
    <t>TAZ86RB</t>
  </si>
  <si>
    <t>TAZ86 W/WHT/WHT END FLASHERS</t>
  </si>
  <si>
    <t>TAZ86CC</t>
  </si>
  <si>
    <t>TAZ86 W/ BLU/BLU END FLASHERS</t>
  </si>
  <si>
    <t>TAZ86BB</t>
  </si>
  <si>
    <t>TAZ86 W/AMB/RED END FLASHERS</t>
  </si>
  <si>
    <t>TAZ86AR</t>
  </si>
  <si>
    <t>TAZ86 W/AMB/BLU END FLASHERS</t>
  </si>
  <si>
    <t>TAZ86AB</t>
  </si>
  <si>
    <t>TAZ86 W/AMB/AMB END FLASHERS</t>
  </si>
  <si>
    <t>TAZ86AA</t>
  </si>
  <si>
    <t>TAZ86 8X LINZ6 TRAFFIC ADVISOR</t>
  </si>
  <si>
    <t>TAZ86</t>
  </si>
  <si>
    <t>TAZ66 6X LINZ6 TRAFFIC ADVISOR</t>
  </si>
  <si>
    <t>TAZ66</t>
  </si>
  <si>
    <t>TAM83 W/RED/RED END FLASHERS</t>
  </si>
  <si>
    <t>TAM83RR</t>
  </si>
  <si>
    <t>TAM83 W/RED/WHT END FLASHERS</t>
  </si>
  <si>
    <t>TAM83RC</t>
  </si>
  <si>
    <t>TAM83 W/RED/BLU END FLASHERS</t>
  </si>
  <si>
    <t>TAM83RB</t>
  </si>
  <si>
    <t>TAM83 W/BLU/GRN END FLASHERS</t>
  </si>
  <si>
    <t>TAM83BG</t>
  </si>
  <si>
    <t>TAM83 W/BLU/WHT END FLASHERS</t>
  </si>
  <si>
    <t>TAM83BC</t>
  </si>
  <si>
    <t>TAM83 W/BLU/BLU END FLASHERS</t>
  </si>
  <si>
    <t>TAM83BB</t>
  </si>
  <si>
    <t>TAM83 W/AMB/RED END FLASHERS</t>
  </si>
  <si>
    <t>TAM83AR</t>
  </si>
  <si>
    <t>TAM83 W/AMB/WHT END FLASHERS</t>
  </si>
  <si>
    <t>TAM83AC</t>
  </si>
  <si>
    <t>TAM83 W/AMB/BLU END FLASHERS</t>
  </si>
  <si>
    <t>TAM83AB</t>
  </si>
  <si>
    <t>TAM83 W/AMB/AMB END FLASHERS</t>
  </si>
  <si>
    <t>TAM83AA</t>
  </si>
  <si>
    <t>TAM83 8 X TIR3 TRAFFIC ADVISOR</t>
  </si>
  <si>
    <t>TAM83</t>
  </si>
  <si>
    <t>TAM63 6 X TIR3 TRAFFIC ADVISOR</t>
  </si>
  <si>
    <t>TAM63</t>
  </si>
  <si>
    <t>OPT,ADD 1 GRN LINZ6 DOMINATOR+</t>
  </si>
  <si>
    <t>DPG</t>
  </si>
  <si>
    <t>8-LT DOMINATOR+ T/A W/END WARN</t>
  </si>
  <si>
    <t>DPTAW8</t>
  </si>
  <si>
    <t>8-LIGHT DOMINATOR PLUS T/A</t>
  </si>
  <si>
    <t>DPTA8</t>
  </si>
  <si>
    <t>8-LT DOMINATOR PLUS T/A AMBER</t>
  </si>
  <si>
    <t>DPTA8A</t>
  </si>
  <si>
    <t>6-LIGHT DOMINATOR PLUS T/A</t>
  </si>
  <si>
    <t>DPTA6</t>
  </si>
  <si>
    <t>6-LT DOMINATOR PLUS T/A AMBER</t>
  </si>
  <si>
    <t>DPTA6A</t>
  </si>
  <si>
    <t>OPT, ADD 1 GRN TIR3 DOMINATOR</t>
  </si>
  <si>
    <t>DG</t>
  </si>
  <si>
    <t>8-LT DOMINATOR T/A W/END WARN</t>
  </si>
  <si>
    <t>DTAW8</t>
  </si>
  <si>
    <t>8-LIGHT DOMINATOR TIR3 T/A</t>
  </si>
  <si>
    <t>DTA8</t>
  </si>
  <si>
    <t>8-LT DOMINATOR TIR3 T/A AMBER</t>
  </si>
  <si>
    <t>DTA8A</t>
  </si>
  <si>
    <t>6-LIGHT DOMINATOR TIR3 T/A</t>
  </si>
  <si>
    <t>DTA6</t>
  </si>
  <si>
    <t>6-LT DOMINATOR TIR3 T/A AMBER</t>
  </si>
  <si>
    <t>DTA6A</t>
  </si>
  <si>
    <t>8-LIGHT 40" 2250 T/A FLAT</t>
  </si>
  <si>
    <t>TA2240F</t>
  </si>
  <si>
    <t>6-LIGHT 30" 2250 T/A FLAT</t>
  </si>
  <si>
    <t>TA2230F</t>
  </si>
  <si>
    <t>87-112dB HD BACK-UP ALARM LEAD</t>
  </si>
  <si>
    <t>BU87112L</t>
  </si>
  <si>
    <t>112dB HD BACK-UP ALARM LEADS</t>
  </si>
  <si>
    <t>BU112HL</t>
  </si>
  <si>
    <t>107dB HD BACK-UP ALARM LEADS</t>
  </si>
  <si>
    <t>BU107HL</t>
  </si>
  <si>
    <t>107dB MD BACK-UP ALARM LEADS</t>
  </si>
  <si>
    <t>BU107ML</t>
  </si>
  <si>
    <t>102dB LD BACK-UP ALARM LEADS</t>
  </si>
  <si>
    <t>BU102LL</t>
  </si>
  <si>
    <t>97dB SURFACE BACKUP ALARM LEAD</t>
  </si>
  <si>
    <t>BU97BLL</t>
  </si>
  <si>
    <t>97dB LD BACK-UP ALARM LEADS</t>
  </si>
  <si>
    <t>BU97LL</t>
  </si>
  <si>
    <t>87dB LD BACK-UP ALARM LEADS</t>
  </si>
  <si>
    <t>BU87LL</t>
  </si>
  <si>
    <t>82-107dB MD BACK-UP ALARM LEAD</t>
  </si>
  <si>
    <t>BU82107L</t>
  </si>
  <si>
    <t>ALARM ACTIVATION SWITCH</t>
  </si>
  <si>
    <t>BUSW1</t>
  </si>
  <si>
    <t>87-112dB HD BACKUP ALARM STUD</t>
  </si>
  <si>
    <t>BU87112</t>
  </si>
  <si>
    <t>112dB HD BACK-UP ALARM STUD</t>
  </si>
  <si>
    <t>BU112HD</t>
  </si>
  <si>
    <t>107dB HD BACK-UP ALARM STUD</t>
  </si>
  <si>
    <t>BU107HD</t>
  </si>
  <si>
    <t>107dB MD BACK-UP ALARM STUD</t>
  </si>
  <si>
    <t>BU107MD</t>
  </si>
  <si>
    <t>102dB LD BACK-UP ALARM STUD</t>
  </si>
  <si>
    <t>BU102LD</t>
  </si>
  <si>
    <t>97dB SURFACE BACKUP ALARM STUD</t>
  </si>
  <si>
    <t>BU97BLD</t>
  </si>
  <si>
    <t>97dB LD BACK-UP ALARM STUD</t>
  </si>
  <si>
    <t>BU97LD</t>
  </si>
  <si>
    <t>87dB LD BACK-UP ALARM STUD</t>
  </si>
  <si>
    <t>BU87LD</t>
  </si>
  <si>
    <t>82-107dB MD BACK-UP ALARM STUD</t>
  </si>
  <si>
    <t>BU82107</t>
  </si>
  <si>
    <t>77-97dB LD BACK-UP ALARM STUD</t>
  </si>
  <si>
    <t>BU7797</t>
  </si>
  <si>
    <t>W20SS RED LED SAFETY-SITE LT.</t>
  </si>
  <si>
    <t>W20SS</t>
  </si>
  <si>
    <t>100 WATT DRIVER, SD-210R</t>
  </si>
  <si>
    <t>SD210R</t>
  </si>
  <si>
    <t>100 WATT DRIVER WITH ADAPTER</t>
  </si>
  <si>
    <t>SD370</t>
  </si>
  <si>
    <t>100 WATT DRIVER, SD-210RX</t>
  </si>
  <si>
    <t>SD210RX</t>
  </si>
  <si>
    <t>SA350M MOUNTING KIT</t>
  </si>
  <si>
    <t>SA350MB1</t>
  </si>
  <si>
    <t>SA-350-M SPEAKER</t>
  </si>
  <si>
    <t>SA350M</t>
  </si>
  <si>
    <t>SA-340-STS SPEAKER</t>
  </si>
  <si>
    <t>SA340STS</t>
  </si>
  <si>
    <t>SA-340-TS SPEAKER</t>
  </si>
  <si>
    <t>SA340TS</t>
  </si>
  <si>
    <t>SPEAKER MOUNT NFPA ION LT RED</t>
  </si>
  <si>
    <t>SPTWIR</t>
  </si>
  <si>
    <t>SPEAKER MOUNT NFPA ION LT WHT</t>
  </si>
  <si>
    <t>SPTWIC</t>
  </si>
  <si>
    <t>SPEAKER MOUNT NFPA ION LT BLU</t>
  </si>
  <si>
    <t>SPTWIB</t>
  </si>
  <si>
    <t>SPEAKER TEMPLATES 2015 TRANSIT</t>
  </si>
  <si>
    <t>SPT5TEMP</t>
  </si>
  <si>
    <t>BUMPER MT SPEAKER PASS TRANSIT</t>
  </si>
  <si>
    <t>SPT5P</t>
  </si>
  <si>
    <t>BUMPER MT SPEAKER DRVR TRANSIT</t>
  </si>
  <si>
    <t>SPT5D</t>
  </si>
  <si>
    <t>UNDERPRO SPEAKER, DRIVER SIDE</t>
  </si>
  <si>
    <t>SA31I01D</t>
  </si>
  <si>
    <t>UNDERPRO SPEAKER, PASS. SIDE</t>
  </si>
  <si>
    <t>SA31I01P</t>
  </si>
  <si>
    <t>SA-315 MT KIT 2022 TESLA Y</t>
  </si>
  <si>
    <t>SAK71</t>
  </si>
  <si>
    <t>SA-315 MT KIT FORD MACH-E PASS</t>
  </si>
  <si>
    <t>SAK72P</t>
  </si>
  <si>
    <t>SA-315 MT KIT FORD MACH-E DRVR</t>
  </si>
  <si>
    <t>SAK72D</t>
  </si>
  <si>
    <t>SA-315 MT KIT EXPEDITION PASS</t>
  </si>
  <si>
    <t>SAK64P</t>
  </si>
  <si>
    <t>SA-315 MT KIT EXPEDITION  DRVR</t>
  </si>
  <si>
    <t>SAK64D</t>
  </si>
  <si>
    <t>SA-315 MT KIT SUPER DUTY PASS</t>
  </si>
  <si>
    <t>SAK61AP</t>
  </si>
  <si>
    <t>SA-315 MT KIT SUPER DUTY DRVR</t>
  </si>
  <si>
    <t>SAK61AD</t>
  </si>
  <si>
    <t>SA-315 MT KIT 2017 F-250 PASS</t>
  </si>
  <si>
    <t>SAK61P</t>
  </si>
  <si>
    <t>SA-315 MT KIT 2017 F-250 DRVR</t>
  </si>
  <si>
    <t>SAK61D</t>
  </si>
  <si>
    <t>ADAPTER PLATE FOR SAK73 F-150</t>
  </si>
  <si>
    <t>SAK73ADP</t>
  </si>
  <si>
    <t>DUAL SA-315 MT KIT FORD F-150</t>
  </si>
  <si>
    <t>SAK73</t>
  </si>
  <si>
    <t>SA315 MT KIT FORD UTILITY DRVR</t>
  </si>
  <si>
    <t>SAK67D</t>
  </si>
  <si>
    <t>SA-315 MT KIT PASS 25 FORD PIU</t>
  </si>
  <si>
    <t>SAK75P</t>
  </si>
  <si>
    <t>SA-315 MT KIT DRVR 25 FORD PIU</t>
  </si>
  <si>
    <t>SAK75D</t>
  </si>
  <si>
    <t>SA315 MT KIT '20 EXPLORER PASS</t>
  </si>
  <si>
    <t>SAK66P</t>
  </si>
  <si>
    <t>SA315 MT KIT '20 EXPLORER DRVR</t>
  </si>
  <si>
    <t>SAK66D</t>
  </si>
  <si>
    <t>SA315P UNIV. MT 08 E-350/450</t>
  </si>
  <si>
    <t>SAK32</t>
  </si>
  <si>
    <t>SA-315 MT KIT RAM 1500 PASS</t>
  </si>
  <si>
    <t>SAK69P</t>
  </si>
  <si>
    <t>SA-315 MT KIT RAM 1500 DRVR</t>
  </si>
  <si>
    <t>SAK69D</t>
  </si>
  <si>
    <t>SAK47</t>
  </si>
  <si>
    <t>SA-315 MT KIT RAM 1500 DRIVER</t>
  </si>
  <si>
    <t>SAK48</t>
  </si>
  <si>
    <t>DUAL SA-315 MT KIT 13+ DURANGO</t>
  </si>
  <si>
    <t>SAK54CM</t>
  </si>
  <si>
    <t>SA-315 SIREN MOUNT KIT CHARGER</t>
  </si>
  <si>
    <t>SAK37</t>
  </si>
  <si>
    <t>SA-315 MT KIT 2021 CHEVY TAHOE</t>
  </si>
  <si>
    <t>SAK70</t>
  </si>
  <si>
    <t>SA-315 MT KIT 2017 TAHOE PASS</t>
  </si>
  <si>
    <t>SAK63P</t>
  </si>
  <si>
    <t>SA-315 MT KIT 2017 TAHOE DRVR</t>
  </si>
  <si>
    <t>SAK63D</t>
  </si>
  <si>
    <t>SA-315 MOUNT KIT EXPRESS VAN</t>
  </si>
  <si>
    <t>SAK25</t>
  </si>
  <si>
    <t>SA315 SIREN MT KIT UNIV SWIVEL</t>
  </si>
  <si>
    <t>SAK9</t>
  </si>
  <si>
    <t>SA-315 MOUNT KIT UNIVERSAL</t>
  </si>
  <si>
    <t>SAK1</t>
  </si>
  <si>
    <t>SA315U SPEAKER, BLACK PLASTIC</t>
  </si>
  <si>
    <t>SA315U</t>
  </si>
  <si>
    <t>SA315P SPEAKER, BLACK PLASTIC</t>
  </si>
  <si>
    <t>SA315P</t>
  </si>
  <si>
    <t>MOUNTING KIT SA314 UNIV.SWIVEL</t>
  </si>
  <si>
    <t>SABKT9</t>
  </si>
  <si>
    <t>MOUNTING KIT SA314 UNIVERSAL</t>
  </si>
  <si>
    <t>SABKT1</t>
  </si>
  <si>
    <t>SA314 SPEAKER, BLACK</t>
  </si>
  <si>
    <t>SA314B</t>
  </si>
  <si>
    <t>SA314A SPEAKER, ALUMINUM</t>
  </si>
  <si>
    <t>SA314A</t>
  </si>
  <si>
    <t>BUMPER MT PROJECTOR SPEAKER</t>
  </si>
  <si>
    <t>SP123BMC</t>
  </si>
  <si>
    <t>3 POS MOTORCYCLE SWITCHBOX</t>
  </si>
  <si>
    <t>WSSMSW3</t>
  </si>
  <si>
    <t>HARNESS KIT DUAL WSSC30 SIREN</t>
  </si>
  <si>
    <t>WSSC30HK</t>
  </si>
  <si>
    <t>30W SIREN/SPEAKER COMBO W/PA</t>
  </si>
  <si>
    <t>WSSPA30</t>
  </si>
  <si>
    <t>30W SIREN/SPEAKER COMBINATION</t>
  </si>
  <si>
    <t>WSSC30</t>
  </si>
  <si>
    <t>MICROPHONE EXTENSION CABLE 15'</t>
  </si>
  <si>
    <t>PAPEXT15</t>
  </si>
  <si>
    <t>POWER AIRHORN PLUS AMPLIFIER</t>
  </si>
  <si>
    <t>PAP112</t>
  </si>
  <si>
    <t>POWER AIRHORN AMPLIFIER</t>
  </si>
  <si>
    <t>PAH112</t>
  </si>
  <si>
    <t>WATERPROOF CTRL HD BAIL MOUNT</t>
  </si>
  <si>
    <t>WPA3BM</t>
  </si>
  <si>
    <t>MODEL WPA2 CONTROL HEAD</t>
  </si>
  <si>
    <t>WPA2</t>
  </si>
  <si>
    <t>BAR MOUNT BRACKET FOR BETA2</t>
  </si>
  <si>
    <t>BETA2MK1</t>
  </si>
  <si>
    <t>MOUNTING BRACKET, BETA2/WPA1</t>
  </si>
  <si>
    <t>BETA2BKT</t>
  </si>
  <si>
    <t>MODEL WPA1 CONTROL HEAD</t>
  </si>
  <si>
    <t>WPA1</t>
  </si>
  <si>
    <t>WATERPROOF SIREN AMP 100W12VDC</t>
  </si>
  <si>
    <t>WPA112</t>
  </si>
  <si>
    <t>GAMMA2 SIREN</t>
  </si>
  <si>
    <t>GAMMA2</t>
  </si>
  <si>
    <t>SIREN AMP W/ 21 BUTTON &amp; SLIDE</t>
  </si>
  <si>
    <t>HHS3207</t>
  </si>
  <si>
    <t>SIREN AMP W/ KNOB &amp; SLIDE CTRL</t>
  </si>
  <si>
    <t>HHS3206</t>
  </si>
  <si>
    <t>SIREN AMP W/ HAND-HELD CONTROL</t>
  </si>
  <si>
    <t>REMOTE MICROPHONE FOR BETA112</t>
  </si>
  <si>
    <t>BETAMIC</t>
  </si>
  <si>
    <t>CONTROL HD.FOR BETA112 WTHRRES</t>
  </si>
  <si>
    <t>BETA2</t>
  </si>
  <si>
    <t>CONTROL HEAD FOR BETA112</t>
  </si>
  <si>
    <t>BETA1</t>
  </si>
  <si>
    <t>BETA112R 200 WATT 12VDC</t>
  </si>
  <si>
    <t>BETA112R</t>
  </si>
  <si>
    <t>ALPHA 5 SWITCH</t>
  </si>
  <si>
    <t>ALPHA5</t>
  </si>
  <si>
    <t>SWITCH FOR ALPHA12R/12M/22M</t>
  </si>
  <si>
    <t>ALPHA4</t>
  </si>
  <si>
    <t>ALPHA3</t>
  </si>
  <si>
    <t>ALPHA2</t>
  </si>
  <si>
    <t>ALPHA1</t>
  </si>
  <si>
    <t>ALPHA SL REMOTE SIREN</t>
  </si>
  <si>
    <t>ALPHASL</t>
  </si>
  <si>
    <t>ALPHA SELF-CONTAINED 12V SIREN</t>
  </si>
  <si>
    <t>ALPHA12S</t>
  </si>
  <si>
    <t>PARK-KILL MODULE</t>
  </si>
  <si>
    <t>WPKM1</t>
  </si>
  <si>
    <t>295SL101 SIREN AMP REMOVE MIC</t>
  </si>
  <si>
    <t>295SL101</t>
  </si>
  <si>
    <t>MODEL 295SL100 SIREN AMPLIFIER</t>
  </si>
  <si>
    <t>295SL100</t>
  </si>
  <si>
    <t>DUAL AMPLIFIER KIT</t>
  </si>
  <si>
    <t>295HFSDA</t>
  </si>
  <si>
    <t>295HFSC9 SELF-CONT. DUAL SIREN</t>
  </si>
  <si>
    <t>295HFSC9</t>
  </si>
  <si>
    <t>295HFSA7 DUAL SIREN, FLUSH MT.</t>
  </si>
  <si>
    <t>295HFSA7</t>
  </si>
  <si>
    <t>295SLSA6 SIREN/CONTROL CENTER</t>
  </si>
  <si>
    <t>295SLSA6</t>
  </si>
  <si>
    <t>295HFS2 SIREN AMP CA. TITLE 13</t>
  </si>
  <si>
    <t>295HFS2X</t>
  </si>
  <si>
    <t>WS295HFS2 REMOTE SIREN, RECESS</t>
  </si>
  <si>
    <t>295HFS2</t>
  </si>
  <si>
    <t>295SLSA1 SIREN AMPLIFIER</t>
  </si>
  <si>
    <t>295SLSA1</t>
  </si>
  <si>
    <t>295SDA1 DUAL TONE SIREN</t>
  </si>
  <si>
    <t>295SDA1</t>
  </si>
  <si>
    <t>295SSA1 SINGLE AMP SIREN</t>
  </si>
  <si>
    <t>295SSA1</t>
  </si>
  <si>
    <t>WCX LOW FREQUENCY SIREN SYSTEM</t>
  </si>
  <si>
    <t>CHOWLER</t>
  </si>
  <si>
    <t>WCX LO FREQ SIREN AMP DURANGO</t>
  </si>
  <si>
    <t>CHWLDD36</t>
  </si>
  <si>
    <t>WCX LO FREQ SIREN AMP EXPLORER</t>
  </si>
  <si>
    <t>CHWLFE29</t>
  </si>
  <si>
    <t>WCX LOW FREQ SIREN AMP CHARGER</t>
  </si>
  <si>
    <t>CHWLDC15</t>
  </si>
  <si>
    <t>WCX LOW FREQ SIREN AMP UNIV MT</t>
  </si>
  <si>
    <t>CHWLUNI</t>
  </si>
  <si>
    <t>CORE CABIN SPEAKER</t>
  </si>
  <si>
    <t>CCS</t>
  </si>
  <si>
    <t>VEHICLE-TO-VEHICLE SYNC MODULE</t>
  </si>
  <si>
    <t>WeCanX EXTERNAL AMPLIFIER</t>
  </si>
  <si>
    <t>WeCanX TRAFFIC ADVISOR MODULE</t>
  </si>
  <si>
    <t>CTA</t>
  </si>
  <si>
    <t>WCX 4 OUTPUT HC EXPANSION MOD</t>
  </si>
  <si>
    <t>10-30V WCX 16 OUTPUT EXPANSION</t>
  </si>
  <si>
    <t>CEM16D</t>
  </si>
  <si>
    <t>WeCanX 16 OUTPUT EXPANSION MOD</t>
  </si>
  <si>
    <t>WeCanX 8 OUTPUT EXPANSION MOD</t>
  </si>
  <si>
    <t>CEM8</t>
  </si>
  <si>
    <t>WeCanX JUNCTION BOX</t>
  </si>
  <si>
    <t>WCXJB12</t>
  </si>
  <si>
    <t>WeCanX COMM CABLE 100' BULK</t>
  </si>
  <si>
    <t>WCCBL100</t>
  </si>
  <si>
    <t>OBD II CANPORT KIT 2022 GM</t>
  </si>
  <si>
    <t>C399RK9</t>
  </si>
  <si>
    <t>OBDII CANPORT KIT 2022 TESLA Y</t>
  </si>
  <si>
    <t>C399RK8</t>
  </si>
  <si>
    <t>OBDII CANPORT KIT 2021 F-150</t>
  </si>
  <si>
    <t>C399RK7</t>
  </si>
  <si>
    <t>OBDII CANPORT KIT TAHOE/SUB</t>
  </si>
  <si>
    <t>C399RK6</t>
  </si>
  <si>
    <t>OBDII CANPORT CABLE KIT FORD</t>
  </si>
  <si>
    <t>C399RK5</t>
  </si>
  <si>
    <t>C399RK4</t>
  </si>
  <si>
    <t>OBDII CANPORT KIT DODGE</t>
  </si>
  <si>
    <t>C399RK3</t>
  </si>
  <si>
    <t>OBDII CANPORT CABLE KIT CHEVY</t>
  </si>
  <si>
    <t>C399RK2</t>
  </si>
  <si>
    <t>OBDII CANPORT KIT FORD/DODGE</t>
  </si>
  <si>
    <t>C399RK1</t>
  </si>
  <si>
    <t>C399K9</t>
  </si>
  <si>
    <t>C399K8</t>
  </si>
  <si>
    <t>OBD II CANPORT KIT 2021 F-150</t>
  </si>
  <si>
    <t>C399K7</t>
  </si>
  <si>
    <t>OBD II CANPORT KIT TAHOE/SUB</t>
  </si>
  <si>
    <t>C399K6</t>
  </si>
  <si>
    <t>C399K5</t>
  </si>
  <si>
    <t>C399K4</t>
  </si>
  <si>
    <t>C399K3</t>
  </si>
  <si>
    <t>C399K2</t>
  </si>
  <si>
    <t>C399K1</t>
  </si>
  <si>
    <t>SCANport KIT FOR C399R &amp; C399S</t>
  </si>
  <si>
    <t>C399RSP</t>
  </si>
  <si>
    <t>SCANport KIT FOR C399</t>
  </si>
  <si>
    <t>C399SP</t>
  </si>
  <si>
    <t>CENCOM SEMI-FLUSH TRIM RING</t>
  </si>
  <si>
    <t>CCTRIM</t>
  </si>
  <si>
    <t>WCX CONTROL HEAD EXP. HARNESS</t>
  </si>
  <si>
    <t>CCTLHARN</t>
  </si>
  <si>
    <t>WeCanX 13-BUTTON CONTROL HEAD</t>
  </si>
  <si>
    <t>CCTL11</t>
  </si>
  <si>
    <t>WCX SINGLE BUTTON CONTROL HEAD</t>
  </si>
  <si>
    <t>CCTL10</t>
  </si>
  <si>
    <t>WeCanX 6 BUTTON/KNOB CTRL HEAD</t>
  </si>
  <si>
    <t>CCTL9LM</t>
  </si>
  <si>
    <t>CCTL9</t>
  </si>
  <si>
    <t>WeCanX 6&amp;SLIDE CTRL HD W/O MIC</t>
  </si>
  <si>
    <t>CCTL8LM</t>
  </si>
  <si>
    <t>WeCanX 6 &amp; SLIDE CONTROL HEAD</t>
  </si>
  <si>
    <t>CCTL8</t>
  </si>
  <si>
    <t>WeCanX 21 BUTTON/SLIDE CTRL HD</t>
  </si>
  <si>
    <t>CCTL7</t>
  </si>
  <si>
    <t>WeCanX KNOB/SLIDE CONTROL HEAD</t>
  </si>
  <si>
    <t>CCTL6</t>
  </si>
  <si>
    <t>WeCanX HAND-HELD CONTROL HEAD</t>
  </si>
  <si>
    <t>CCTL5</t>
  </si>
  <si>
    <t>CCPKT</t>
  </si>
  <si>
    <t>CORE-C CONTROL PT/SWITCH COMBO</t>
  </si>
  <si>
    <t>HOWLER SPEAKER &amp; MNT DURANGO</t>
  </si>
  <si>
    <t>HSB36</t>
  </si>
  <si>
    <t>HOWLER SPEAKER &amp; MOUNT F-150</t>
  </si>
  <si>
    <t>HSB35</t>
  </si>
  <si>
    <t>HOWLER SPEAKER &amp; MNT FORD PIU</t>
  </si>
  <si>
    <t>HSB29</t>
  </si>
  <si>
    <t>HOWLER SPEAKER &amp; MOUNT MACH-E</t>
  </si>
  <si>
    <t>HSB34</t>
  </si>
  <si>
    <t>HOWLER SPEAKER &amp; MOUNT TESLA Y</t>
  </si>
  <si>
    <t>HSB33</t>
  </si>
  <si>
    <t>HOWLER SPEAKER &amp; MOUNT TAHOE</t>
  </si>
  <si>
    <t>HSB32</t>
  </si>
  <si>
    <t>HOWLER SPEAKER &amp; MT RAM 4/5500</t>
  </si>
  <si>
    <t>HSB30</t>
  </si>
  <si>
    <t>HOWLER SPEAKER &amp; MNT UNIVERSAL</t>
  </si>
  <si>
    <t>HSB23</t>
  </si>
  <si>
    <t>HOWLER SPEAKER &amp; MNT SILVERADO</t>
  </si>
  <si>
    <t>HSB28</t>
  </si>
  <si>
    <t>HOWLER SPEAKER &amp;MOUNT RAM 1500</t>
  </si>
  <si>
    <t>HSB31</t>
  </si>
  <si>
    <t>HOWLER SPEAKER &amp;MOUNT E-SERIES</t>
  </si>
  <si>
    <t>HSB4</t>
  </si>
  <si>
    <t>HOWLER SPEAKER &amp; MOUNT CHARGER</t>
  </si>
  <si>
    <t>HSB15</t>
  </si>
  <si>
    <t>CENCOM CORE HOWLER 21 BUTTON</t>
  </si>
  <si>
    <t>C399S7H</t>
  </si>
  <si>
    <t>CENCOM CORE SIREN 21 BUTTON</t>
  </si>
  <si>
    <t>C399S7</t>
  </si>
  <si>
    <t>CENCOM CORE HOWLER KNOB &amp;SLIDE</t>
  </si>
  <si>
    <t>C399S6H</t>
  </si>
  <si>
    <t>CENCOM CORE SIREN KNOB &amp; SLIDE</t>
  </si>
  <si>
    <t>C399S6</t>
  </si>
  <si>
    <t>CENCOM CORE REMOTE HOWLER</t>
  </si>
  <si>
    <t>C399SH</t>
  </si>
  <si>
    <t>CENCOM CORE REMOTE SIREN</t>
  </si>
  <si>
    <t>C399S</t>
  </si>
  <si>
    <t>CENCOM CORE WCX REMOTE CTRL CT</t>
  </si>
  <si>
    <t>CENCOM CORE WCX CONTROL CENTER</t>
  </si>
  <si>
    <t>LOW FREQUENCY TONE SIREN SYS.</t>
  </si>
  <si>
    <t>HOWLER</t>
  </si>
  <si>
    <t>LOW FREQ SIREN AMP 21 DURANGO</t>
  </si>
  <si>
    <t>HWLDD36</t>
  </si>
  <si>
    <t>LOW FREQ SIREN AMP 20 EXPLORER</t>
  </si>
  <si>
    <t>HWLFE29</t>
  </si>
  <si>
    <t>LOW FREQ SIREN AMP '15 CHARGER</t>
  </si>
  <si>
    <t>HWLDC15</t>
  </si>
  <si>
    <t>LOW FREQ SIREN AMP UNIV. MNT</t>
  </si>
  <si>
    <t>HWLUNI</t>
  </si>
  <si>
    <t>PC-3 SWITCH</t>
  </si>
  <si>
    <t>PC3</t>
  </si>
  <si>
    <t>PC-2 SWITCH</t>
  </si>
  <si>
    <t>PC2</t>
  </si>
  <si>
    <t>PC-1 SWITCH</t>
  </si>
  <si>
    <t>PC1</t>
  </si>
  <si>
    <t>4-SWITCH BRACKET LESS SWITCHES</t>
  </si>
  <si>
    <t>4SWITCH</t>
  </si>
  <si>
    <t>3-SWITCH BRACKET LESS SWITCHES</t>
  </si>
  <si>
    <t>3SWITCH</t>
  </si>
  <si>
    <t>2-SWITCH BRACKET-LESS SWITCHES</t>
  </si>
  <si>
    <t>2SWITCH</t>
  </si>
  <si>
    <t>1-SWITCH BRACKET LESS SWITCH</t>
  </si>
  <si>
    <t>1SWITCH</t>
  </si>
  <si>
    <t>PCC10W1 SWITCH CONTROL CENTER</t>
  </si>
  <si>
    <t>PCC10W1</t>
  </si>
  <si>
    <t>PCC10W SWITCH CONTROL CENTER</t>
  </si>
  <si>
    <t>PCC10W</t>
  </si>
  <si>
    <t>PCC6W1 SWITCH CONTROL CENTER</t>
  </si>
  <si>
    <t>PCC6W1</t>
  </si>
  <si>
    <t>PCC6W SWITCH CONTROL CENTER</t>
  </si>
  <si>
    <t>PCC6W</t>
  </si>
  <si>
    <t>PCC4W SWITCH CONTROL CENTER</t>
  </si>
  <si>
    <t>PCC4W</t>
  </si>
  <si>
    <t>PCCS9LW SWITCH CONTROL</t>
  </si>
  <si>
    <t>PCCS9LW</t>
  </si>
  <si>
    <t>PCCS9RW SWITCH CONTROL</t>
  </si>
  <si>
    <t>PCCS9RW</t>
  </si>
  <si>
    <t>8 POS KEYPAD&amp;REMOTE RELAY MOD</t>
  </si>
  <si>
    <t>PCC8R</t>
  </si>
  <si>
    <t>ADAPTABLE TRAVEL LTS&amp;SIREN KIT</t>
  </si>
  <si>
    <t>ATLAS1</t>
  </si>
  <si>
    <t>ADD 1 GRN ION-T M/C WINDSHIELD</t>
  </si>
  <si>
    <t>MTLIG</t>
  </si>
  <si>
    <t>DUO ION-T ARRAY ELECTRA GLIDE</t>
  </si>
  <si>
    <t>M08DT</t>
  </si>
  <si>
    <t>ION-T WINDSHIELD ELECTRA GLIDE</t>
  </si>
  <si>
    <t>M08T</t>
  </si>
  <si>
    <t>DUO ION-T WINDSHIELD ROAD KING</t>
  </si>
  <si>
    <t>M07DT</t>
  </si>
  <si>
    <t>ION-T WINDSHIELD LT ROAD KING</t>
  </si>
  <si>
    <t>M07T</t>
  </si>
  <si>
    <t>SA-350MH SIREN SPEAKER</t>
  </si>
  <si>
    <t>SA350MH</t>
  </si>
  <si>
    <t>MOTORCYCLE BOX GROUND PLANE</t>
  </si>
  <si>
    <t>M1GROUND</t>
  </si>
  <si>
    <t>M4B6 BATTERY CHARGER RIGHT</t>
  </si>
  <si>
    <t>M4B6CHRG</t>
  </si>
  <si>
    <t>MOTORCYCLE NO-SPILL BATTERY</t>
  </si>
  <si>
    <t>M1BATT</t>
  </si>
  <si>
    <t>M4B OPTIONAL SEPARATION PLATE</t>
  </si>
  <si>
    <t>M4BSEP</t>
  </si>
  <si>
    <t>PAR32 EXTENDED DRIVE/WARN R/B</t>
  </si>
  <si>
    <t>PAR32DJ</t>
  </si>
  <si>
    <t>PAR32 DRIVE/WARN FAIRING LT RB</t>
  </si>
  <si>
    <t>P32F2RB</t>
  </si>
  <si>
    <t>PAR32 DRIVE/WARN FAIRING LT RR</t>
  </si>
  <si>
    <t>P32F2RR</t>
  </si>
  <si>
    <t>PAR32 DRIVE/WARN FAIRING LT BB</t>
  </si>
  <si>
    <t>P32F2BB</t>
  </si>
  <si>
    <t>4" EXTD. SYNC SUPER-LED RB/C</t>
  </si>
  <si>
    <t>2EJ00ZCR</t>
  </si>
  <si>
    <t>4" EXTD. SYNC SUPER-LED RED</t>
  </si>
  <si>
    <t>2ER00ZRR</t>
  </si>
  <si>
    <t>4" EXTD. SYNC SUPER-LED R/C</t>
  </si>
  <si>
    <t>2ER00ZCR</t>
  </si>
  <si>
    <t>2EG00ZCR</t>
  </si>
  <si>
    <t>4" EXTD. SYNC SUPER-LED WHT.</t>
  </si>
  <si>
    <t>2EC00ZCR</t>
  </si>
  <si>
    <t>4" EXTD. SYNC SUPER-LED B/C</t>
  </si>
  <si>
    <t>2EB00ZCR</t>
  </si>
  <si>
    <t>4" EXTD. SYNC SUPER-LED BLU.</t>
  </si>
  <si>
    <t>2EB00ZBR</t>
  </si>
  <si>
    <t>4" EXTD. SYNC SUPER-LED A/C</t>
  </si>
  <si>
    <t>2EA00ZCR</t>
  </si>
  <si>
    <t>4" EXTD. SYNC SUPER-LED AMB.</t>
  </si>
  <si>
    <t>2EA00ZAR</t>
  </si>
  <si>
    <t>MB4/6 ADAPTER PLATE 14 HARLEY</t>
  </si>
  <si>
    <t>MBADPT14</t>
  </si>
  <si>
    <t>M4 DUO LED FLASHER BLUE/AMBER</t>
  </si>
  <si>
    <t>M4DM</t>
  </si>
  <si>
    <t>M5 DUO LED FLASHER RED/GREEN</t>
  </si>
  <si>
    <t>M4DL</t>
  </si>
  <si>
    <t>M4 DUO LED FLASHER RED/AMBER</t>
  </si>
  <si>
    <t>M4DK</t>
  </si>
  <si>
    <t>M4 DUO LED FLASHER RED/BLUE</t>
  </si>
  <si>
    <t>M4DJ</t>
  </si>
  <si>
    <t>M4 DUO LED FLASHER GREEN/WHITE</t>
  </si>
  <si>
    <t>M4DH</t>
  </si>
  <si>
    <t>M4 DUO LED FLASHER AMBER/WHITE</t>
  </si>
  <si>
    <t>M4DF</t>
  </si>
  <si>
    <t>M4 DUO LED FLASHER BLUE/WHITE</t>
  </si>
  <si>
    <t>M4DE</t>
  </si>
  <si>
    <t>M4 DUO LED FLASHER RED/WHITE</t>
  </si>
  <si>
    <t>M4DD</t>
  </si>
  <si>
    <t>M4 LED FLASHER RED</t>
  </si>
  <si>
    <t>M4R</t>
  </si>
  <si>
    <t>M4 LED FLASHER WHITE</t>
  </si>
  <si>
    <t>M4C</t>
  </si>
  <si>
    <t>M4 LED FLASHER BLUE</t>
  </si>
  <si>
    <t>M4B</t>
  </si>
  <si>
    <t>M4 LED FLASHER AMBER</t>
  </si>
  <si>
    <t>M4A</t>
  </si>
  <si>
    <t xml:space="preserve">M/C BOX REAR-OPEN LESS FLASH </t>
  </si>
  <si>
    <t>M4B6LB</t>
  </si>
  <si>
    <t>M/C BOX LEFT-OPEN LESS FLASH</t>
  </si>
  <si>
    <t>M4B6LL</t>
  </si>
  <si>
    <t>M/C BOX RIGHT-OPEN LESS FLASH</t>
  </si>
  <si>
    <t>M4B6LR</t>
  </si>
  <si>
    <t>MOTORCYCLE BOX 6-M4 REAR OPEN</t>
  </si>
  <si>
    <t>M4B6B</t>
  </si>
  <si>
    <t>MOTORCYCLE BOX 6-M4 LEFT OPEN</t>
  </si>
  <si>
    <t>M4B6L</t>
  </si>
  <si>
    <t>MOTORCYCLE BOX 6-M4 RIGHT OPEN</t>
  </si>
  <si>
    <t>M4B6R</t>
  </si>
  <si>
    <t>L32 BEACON M/C POLE MOUNT BLU</t>
  </si>
  <si>
    <t>MPL32B</t>
  </si>
  <si>
    <t>L32 BEACON M/C POLE MT RED</t>
  </si>
  <si>
    <t>MPL32R</t>
  </si>
  <si>
    <t>L10 BEACON M/C POLE MOUNT R/B</t>
  </si>
  <si>
    <t>MPL10J</t>
  </si>
  <si>
    <t>L10 BEACON M/C POLE MOUNT BLU</t>
  </si>
  <si>
    <t>MPL10B</t>
  </si>
  <si>
    <t>L10 BEACON M/C POLE MOUNT RED</t>
  </si>
  <si>
    <t>MPL10R</t>
  </si>
  <si>
    <t>HARLEY SIREN AMP MTG BRACKET</t>
  </si>
  <si>
    <t>WPA112B</t>
  </si>
  <si>
    <t>ANTI-ROTATION RING PAR32/36</t>
  </si>
  <si>
    <t>P32HD1</t>
  </si>
  <si>
    <t>4" FLAT SYNCH SUPER-LED RED</t>
  </si>
  <si>
    <t>2FR00ZRR</t>
  </si>
  <si>
    <t>4" FLAT SYNCH SUPER-LED R/C</t>
  </si>
  <si>
    <t>2FR00ZCR</t>
  </si>
  <si>
    <t>4" FLAT SYNC SUPER-LED GRN</t>
  </si>
  <si>
    <t>2FG00ZCR</t>
  </si>
  <si>
    <t>4" FLAT SYNCH SUPER-LED WHT.</t>
  </si>
  <si>
    <t>2FC00ZCR</t>
  </si>
  <si>
    <t>4" FLAT SYNCH SUPER-LED B/C</t>
  </si>
  <si>
    <t>2FB00ZCR</t>
  </si>
  <si>
    <t>4" FLAT SYNCH SUPER-LED BLU.</t>
  </si>
  <si>
    <t>2FB00ZBR</t>
  </si>
  <si>
    <t>4" FLAT SYNCH SUPER-LED A/C</t>
  </si>
  <si>
    <t>2FA00ZCR</t>
  </si>
  <si>
    <t>4" FLAT SYNCH SUPER-LED AMB.</t>
  </si>
  <si>
    <t>2FA00ZAR</t>
  </si>
  <si>
    <t>M2 LICENSE PLATE MT BRACKET</t>
  </si>
  <si>
    <t>M2KTHD1</t>
  </si>
  <si>
    <t>TRACER MOUNT KIT H-D SADDLEBAG</t>
  </si>
  <si>
    <t>TCRBHD1</t>
  </si>
  <si>
    <t>H-D UNDER HEADLT MT KIT ION-V</t>
  </si>
  <si>
    <t>IONVHDHM</t>
  </si>
  <si>
    <t>H-D UNDER HEADLT MT KIT T-ION</t>
  </si>
  <si>
    <t>TIONHDHM</t>
  </si>
  <si>
    <t>ION REAR SADDLE BAG MOUNT KIT</t>
  </si>
  <si>
    <t>IONHDRS</t>
  </si>
  <si>
    <t>T-ION SIDE SADDLE BAG MNT KIT</t>
  </si>
  <si>
    <t>TIONHDSS</t>
  </si>
  <si>
    <t>FORK MT ION-V HD ELECTRA GLIDE</t>
  </si>
  <si>
    <t>IONHD3FM</t>
  </si>
  <si>
    <t>FORK MT ION-V KIT HD ROAD KING</t>
  </si>
  <si>
    <t>IONHD2FM</t>
  </si>
  <si>
    <t>T-ION REAR SADDLE BAG MNT KIT</t>
  </si>
  <si>
    <t>TIONHDRS</t>
  </si>
  <si>
    <t>ION SIDE SADDLE BAG MOUNT KIT</t>
  </si>
  <si>
    <t>IONHDSS</t>
  </si>
  <si>
    <t>ION UNDER RADIO BOX MT LEFT</t>
  </si>
  <si>
    <t>IONHD1L</t>
  </si>
  <si>
    <t>ION UNDER RADIO BOX MT RIGHT</t>
  </si>
  <si>
    <t>IONHD1R</t>
  </si>
  <si>
    <t>H-D REAR CRASH BAR MT FOR LINZ</t>
  </si>
  <si>
    <t>RBKTHD9</t>
  </si>
  <si>
    <t>LINZ 90 &amp; 45 DEG FORK MOUNT</t>
  </si>
  <si>
    <t>RBKTHD8</t>
  </si>
  <si>
    <t>LINZ6 90 DEG UNDER SIGNAL MT</t>
  </si>
  <si>
    <t>RBKTHD7</t>
  </si>
  <si>
    <t>H-D FOG LIGHT MOUNT KIT, TIR3</t>
  </si>
  <si>
    <t>RBKTHD6</t>
  </si>
  <si>
    <t>H-D UNDER HEADLIGHT MT TIR3</t>
  </si>
  <si>
    <t>RBKTHD5</t>
  </si>
  <si>
    <t>H-D UNDER RADIO BOX MNT RIGHT</t>
  </si>
  <si>
    <t>RBKTHD4R</t>
  </si>
  <si>
    <t>H-D UNDER RADIO BOX MOUNT LEFT</t>
  </si>
  <si>
    <t>RBKTHD4L</t>
  </si>
  <si>
    <t>H-D SIDE CRASH BAR MT.FOR TIR3</t>
  </si>
  <si>
    <t>RBKTHD2</t>
  </si>
  <si>
    <t>H-D WINDSHIELD MT KIT FOR TIR3</t>
  </si>
  <si>
    <t>RBKTHD1</t>
  </si>
  <si>
    <t>DUAL TIR3 SERIES CHROME FLANGE</t>
  </si>
  <si>
    <t>RFLANG2C</t>
  </si>
  <si>
    <t>DUAL TIR3 SERIES BLACK FLANGE</t>
  </si>
  <si>
    <t>RFLANG2B</t>
  </si>
  <si>
    <t>CHROME PLATED DEEP FLANGE</t>
  </si>
  <si>
    <t>RFLANGCD</t>
  </si>
  <si>
    <t>LINEAR3 LED HORIZ. SYNC. RED</t>
  </si>
  <si>
    <t>RSR02ZCR</t>
  </si>
  <si>
    <t>LINEAR3 LED HORIZ. SYNC. WHITE</t>
  </si>
  <si>
    <t>RSC02ZCR</t>
  </si>
  <si>
    <t>LINEAR3 LED HORIZ. SYNC. BLUE</t>
  </si>
  <si>
    <t>RSB02ZCR</t>
  </si>
  <si>
    <t>LINEAR3 LED HORIZ. SYNC. AMBER</t>
  </si>
  <si>
    <t>RSA02ZCR</t>
  </si>
  <si>
    <t>TIR3 VERTICAL MT. SYNC. RED</t>
  </si>
  <si>
    <t>RVR03ZCR</t>
  </si>
  <si>
    <t>TIR3 VERTICAL MT. SYNC. GRN.</t>
  </si>
  <si>
    <t>RVG03ZCR</t>
  </si>
  <si>
    <t>TIR3 VERTICAL MT. SYNC. WHT.</t>
  </si>
  <si>
    <t>RVC03ZCR</t>
  </si>
  <si>
    <t>TIR3 VERTICAL MT. SYNC. BLU.</t>
  </si>
  <si>
    <t>RVB03ZCR</t>
  </si>
  <si>
    <t>TIR3 VERTICAL MT. SYNC. AMB.</t>
  </si>
  <si>
    <t>RVA03ZCR</t>
  </si>
  <si>
    <t>TIR3 HORIZ. SYNC. RED</t>
  </si>
  <si>
    <t>RSR03ZCR</t>
  </si>
  <si>
    <t>TIR3 HORIZ. SYNC. WHT.</t>
  </si>
  <si>
    <t>RSC03ZCR</t>
  </si>
  <si>
    <t>TIR3 HORIZ. SYNC. BLU.</t>
  </si>
  <si>
    <t>TIR3 HORIZ. SYNC. AMB.</t>
  </si>
  <si>
    <t>RSA03ZCR</t>
  </si>
  <si>
    <t>SUBSTITUTE 45' 2/C REAR CABLES</t>
  </si>
  <si>
    <t>SUBR2C45</t>
  </si>
  <si>
    <t>SUBSTITUTE 30' 2/C FRONT CABLE</t>
  </si>
  <si>
    <t>SUBF2C30</t>
  </si>
  <si>
    <t>SUBSTITUTE 45' 2/C FRONT CABLE</t>
  </si>
  <si>
    <t>SUBF2C45</t>
  </si>
  <si>
    <t>SUBSTITUTE 30' 4/C FRONT CABLE</t>
  </si>
  <si>
    <t>SUBF4C30</t>
  </si>
  <si>
    <t>SUBSTITUTE 45' 4/C FRONT CABLE</t>
  </si>
  <si>
    <t>SUBF4C45</t>
  </si>
  <si>
    <t>SUBSTITUTE (2) AMBER 400VV</t>
  </si>
  <si>
    <t>SUB4V400</t>
  </si>
  <si>
    <t>SNOWAWAY SYSTEM V-SERIES</t>
  </si>
  <si>
    <t>H400VD</t>
  </si>
  <si>
    <t>SNOWAWAY KIT</t>
  </si>
  <si>
    <t>H400SDKT</t>
  </si>
  <si>
    <t>SNOWAWAY SYSTEM</t>
  </si>
  <si>
    <t>H400SD</t>
  </si>
  <si>
    <t>ADD SIDE TIR3 AMB 700 BOX PAIR</t>
  </si>
  <si>
    <t>ADD7TIR3</t>
  </si>
  <si>
    <t>ADD SIDE TIR3 AMB 400 BOX PAIR</t>
  </si>
  <si>
    <t>ADD4TIR3</t>
  </si>
  <si>
    <t>CENCOM CORE WCX REMOTE DOT BOX</t>
  </si>
  <si>
    <t>C399RD2</t>
  </si>
  <si>
    <t>C399RD1</t>
  </si>
  <si>
    <t>SYSTEM 410-D</t>
  </si>
  <si>
    <t>SYS410D</t>
  </si>
  <si>
    <t>SYSTEM 410-B</t>
  </si>
  <si>
    <t>SYS410B</t>
  </si>
  <si>
    <t>SYSTEM 410-A</t>
  </si>
  <si>
    <t>SYS410A</t>
  </si>
  <si>
    <t>SYSTEM 109</t>
  </si>
  <si>
    <t>SYS109</t>
  </si>
  <si>
    <t>SYSTEM 108</t>
  </si>
  <si>
    <t>SYS108</t>
  </si>
  <si>
    <t>SYSTEM 107</t>
  </si>
  <si>
    <t>SYS107</t>
  </si>
  <si>
    <t>SYSTEM 406-D</t>
  </si>
  <si>
    <t>SYS406D</t>
  </si>
  <si>
    <t>SYSTEM 406-B</t>
  </si>
  <si>
    <t>SYS406B</t>
  </si>
  <si>
    <t>SYSTEM 406-A</t>
  </si>
  <si>
    <t>SYS406A</t>
  </si>
  <si>
    <t>SYSTEM 405-D</t>
  </si>
  <si>
    <t>SYS405D</t>
  </si>
  <si>
    <t>SYSTEM 405-B</t>
  </si>
  <si>
    <t>SYS405B</t>
  </si>
  <si>
    <t>SYSTEM 405-A</t>
  </si>
  <si>
    <t>SYS405A</t>
  </si>
  <si>
    <t>SYSTEM 404-D</t>
  </si>
  <si>
    <t>SYS404D</t>
  </si>
  <si>
    <t>SYSTEM 404-B</t>
  </si>
  <si>
    <t>SYS404B</t>
  </si>
  <si>
    <t>SYSTEM 404-A</t>
  </si>
  <si>
    <t>SYS404A</t>
  </si>
  <si>
    <t>SYSTEM 103</t>
  </si>
  <si>
    <t>SYS103</t>
  </si>
  <si>
    <t>SYSTEM 402-D</t>
  </si>
  <si>
    <t>SYS402D</t>
  </si>
  <si>
    <t>SYSTEM 402-B</t>
  </si>
  <si>
    <t>SYS402B</t>
  </si>
  <si>
    <t>SYSTEM 402-A</t>
  </si>
  <si>
    <t>SYS402A</t>
  </si>
  <si>
    <t>SYSTEM 401-D</t>
  </si>
  <si>
    <t>SYS401D</t>
  </si>
  <si>
    <t>SYSTEM 401-B</t>
  </si>
  <si>
    <t>SYS401B</t>
  </si>
  <si>
    <t>SYSTEM 401-A</t>
  </si>
  <si>
    <t>SYS401A</t>
  </si>
  <si>
    <t>LINZ6 WING PLOW SYSTEM, AMBER</t>
  </si>
  <si>
    <t>WPLOWZ3A</t>
  </si>
  <si>
    <t>WING PLOW STOWED AMB LINZ6</t>
  </si>
  <si>
    <t>WPLOWZ2A</t>
  </si>
  <si>
    <t>WING PLOW OPERATING AMB LINZ6</t>
  </si>
  <si>
    <t>WPLOWZ1A</t>
  </si>
  <si>
    <t>TIR3 WING PLOW SYSTEM, AMBER</t>
  </si>
  <si>
    <t>WPLOW3AA</t>
  </si>
  <si>
    <t>WING PLOW STOWED LIGHT, AMBER</t>
  </si>
  <si>
    <t>WPLOW2A</t>
  </si>
  <si>
    <t>WING PLOW OPERATING LT. AMBER</t>
  </si>
  <si>
    <t>WPLOW1A</t>
  </si>
  <si>
    <t>VERTEX TWIST-IN ADAPTER KIT</t>
  </si>
  <si>
    <t>VTXADAPT</t>
  </si>
  <si>
    <t>VERTEX SURFACE MT FLANGE CHROM</t>
  </si>
  <si>
    <t>VTXFC</t>
  </si>
  <si>
    <t>VERTEX SURFACE MT FLANGE BLACK</t>
  </si>
  <si>
    <t>VTXFB</t>
  </si>
  <si>
    <t>360 SIDE EMITTER VERTEX RED</t>
  </si>
  <si>
    <t>VTX3609R</t>
  </si>
  <si>
    <t>360 SIDE EMITTER VERTEX GREEN</t>
  </si>
  <si>
    <t>VTX3609G</t>
  </si>
  <si>
    <t>360 SIDE EMITTER VERTEX WHITE</t>
  </si>
  <si>
    <t>VTX3609C</t>
  </si>
  <si>
    <t>360 SIDE EMITTER VERTEX BLUE</t>
  </si>
  <si>
    <t>VTX3609B</t>
  </si>
  <si>
    <t>360 SIDE EMITTER VERTEX AMBER</t>
  </si>
  <si>
    <t>VTX3609A</t>
  </si>
  <si>
    <t>DIRECTIONAL VERTEX LT RED</t>
  </si>
  <si>
    <t>VTXD609R</t>
  </si>
  <si>
    <t>DIRECTIONAL VERTEX LT WHITE</t>
  </si>
  <si>
    <t>VTXD609C</t>
  </si>
  <si>
    <t>DIRECTIONAL VERTEX LT BLUE</t>
  </si>
  <si>
    <t>VTXD609B</t>
  </si>
  <si>
    <t>DIRECTIONAL VERTEX LT AMBER</t>
  </si>
  <si>
    <t>VTXD609A</t>
  </si>
  <si>
    <t>VERTEX SUPER-LED DUO AMB/BLU</t>
  </si>
  <si>
    <t>VTX9M</t>
  </si>
  <si>
    <t>VERTEX SUPER-LED DUO AMB/RED</t>
  </si>
  <si>
    <t>VTX9K</t>
  </si>
  <si>
    <t>VERTEX SUPER-LED DUO BLU/RED</t>
  </si>
  <si>
    <t>VTX9J</t>
  </si>
  <si>
    <t>VERTEX SUPER-LED DUO WHT/GRN</t>
  </si>
  <si>
    <t>VTX9H</t>
  </si>
  <si>
    <t>VERTEX SUPER-LED DUO WHT/AMB</t>
  </si>
  <si>
    <t>VTX9F</t>
  </si>
  <si>
    <t>VERTEX SUPER-LED DUO BLU/WHT</t>
  </si>
  <si>
    <t>VTX9E</t>
  </si>
  <si>
    <t>VERTEX SUPER-LED DUO RED/WHT</t>
  </si>
  <si>
    <t>VTX9D</t>
  </si>
  <si>
    <t>VERTEX SUPER-LED LIGHT RED</t>
  </si>
  <si>
    <t>VTX609R</t>
  </si>
  <si>
    <t>VERTEX SUPER-LED LIGHT WHITE</t>
  </si>
  <si>
    <t>VTX609C</t>
  </si>
  <si>
    <t>VERTEX SUPER-LED LIGHT BLUE</t>
  </si>
  <si>
    <t>VTX609B</t>
  </si>
  <si>
    <t>VERTEX SUPER-LED LIGHT AMBER</t>
  </si>
  <si>
    <t>VTX609A</t>
  </si>
  <si>
    <t>V-SERIES PEDESTAL MT KIT CHROM</t>
  </si>
  <si>
    <t>V23PEDC</t>
  </si>
  <si>
    <t>V-SERIES PEDESTAL MT KIT BLACK</t>
  </si>
  <si>
    <t>V23PEDB</t>
  </si>
  <si>
    <t>V-SERIES SURFACE MT HSG CHROME</t>
  </si>
  <si>
    <t>V23P20C</t>
  </si>
  <si>
    <t>V-SERIES SURFACE MT HSG BLACK</t>
  </si>
  <si>
    <t>V23P20B</t>
  </si>
  <si>
    <t>V2 SERIES LIGHT RED/SMK BLACK</t>
  </si>
  <si>
    <t>V23RTPBX</t>
  </si>
  <si>
    <t>V2 SERIES LIGHT WHT/SMK BLACK</t>
  </si>
  <si>
    <t>V23CTPBX</t>
  </si>
  <si>
    <t>V2 SERIES LIGHT BLU/SMK BLACK</t>
  </si>
  <si>
    <t>V23BTPBX</t>
  </si>
  <si>
    <t>V2 SERIES LIGHT AMB/SMK BLACK</t>
  </si>
  <si>
    <t>V23ATPBX</t>
  </si>
  <si>
    <t>V2 SERIES LIGHT RED/CHROME</t>
  </si>
  <si>
    <t>V23RTPC</t>
  </si>
  <si>
    <t>V2 SERIES LIGHT WHITE/CHROME</t>
  </si>
  <si>
    <t>V23CTPC</t>
  </si>
  <si>
    <t>V2 SERIES LIGHT BLUE/CHROME</t>
  </si>
  <si>
    <t>V23BTPC</t>
  </si>
  <si>
    <t>V2 SERIES LIGHT AMBER/CHROME</t>
  </si>
  <si>
    <t>V23ATPC</t>
  </si>
  <si>
    <t>V2 SERIES LIGHT RED/BLACK</t>
  </si>
  <si>
    <t>V23RTPB</t>
  </si>
  <si>
    <t>V2 SERIES LIGHT WHITE/BLACK</t>
  </si>
  <si>
    <t>V23CTPB</t>
  </si>
  <si>
    <t>V2 SERIES LIGHT BLUE/BLACK</t>
  </si>
  <si>
    <t>V23BTPB</t>
  </si>
  <si>
    <t>V2 SERIES LIGHT AMBER/BLACK</t>
  </si>
  <si>
    <t>V23ATPB</t>
  </si>
  <si>
    <t>BELOW TAIL LT MT KIT '23 F-150</t>
  </si>
  <si>
    <t>RBKT21</t>
  </si>
  <si>
    <t>LINV GRILLE MT ADAPTER KIT PR</t>
  </si>
  <si>
    <t>RBKT20</t>
  </si>
  <si>
    <t>REAR BED RAIL MT BKT DODGE RAM</t>
  </si>
  <si>
    <t>RBKT17</t>
  </si>
  <si>
    <t>TIR3 TRUNK MOUNT BRKTS CHARGER</t>
  </si>
  <si>
    <t>RBKT10</t>
  </si>
  <si>
    <t>VERT MT LICENSE PLATE BRKT</t>
  </si>
  <si>
    <t>RBKT7</t>
  </si>
  <si>
    <t>HORIZ MT LICENSE PLATE BRKT</t>
  </si>
  <si>
    <t>RBKT6</t>
  </si>
  <si>
    <t>SWIVEL MOUNT KIT FOR TIR3/LIN3</t>
  </si>
  <si>
    <t>RBKT4</t>
  </si>
  <si>
    <t>ANGLE BRACKET FOR TWO TIR3</t>
  </si>
  <si>
    <t>RBKT2</t>
  </si>
  <si>
    <t>ANGLE BRACKET FOR SINGLE TIR3</t>
  </si>
  <si>
    <t>RBKT1</t>
  </si>
  <si>
    <t>LINSV MIRROR MT KIT 20 UTILITY</t>
  </si>
  <si>
    <t>LSVBKT50</t>
  </si>
  <si>
    <t>LINSV MIRROR MT KIT F-150</t>
  </si>
  <si>
    <t>LSVBKT47</t>
  </si>
  <si>
    <t>LINSV MIRROR-MT KIT F-150</t>
  </si>
  <si>
    <t>LSVBK47C</t>
  </si>
  <si>
    <t>LINSV MIRROR MT KIT RAM 1500</t>
  </si>
  <si>
    <t>LSVBKT42</t>
  </si>
  <si>
    <t>LINSV MIRROR MT KIT DURANGO</t>
  </si>
  <si>
    <t>LSVBKT44</t>
  </si>
  <si>
    <t>LINSV MIRROR MT KIT CHARGER</t>
  </si>
  <si>
    <t>LSVBKT35</t>
  </si>
  <si>
    <t>LINSV MIRROR MT KIT SILVERADO</t>
  </si>
  <si>
    <t>LSVBKT13</t>
  </si>
  <si>
    <t>LINSV MIRROR MT KIT 2021 TAHOE</t>
  </si>
  <si>
    <t>LSVBKT54</t>
  </si>
  <si>
    <t>LINSV MIRROR MT KIT BLAZER EV</t>
  </si>
  <si>
    <t>LSVBKT59</t>
  </si>
  <si>
    <t>LINZ6 PUSH BUMPER MT BRACKET</t>
  </si>
  <si>
    <t>L6BKT3</t>
  </si>
  <si>
    <t>LINZ6 TRUNK MT BRKT CHARGER PR</t>
  </si>
  <si>
    <t>L6BKT2</t>
  </si>
  <si>
    <t>LINZ6/TIR3/LIN3 GROMMET MT KIT</t>
  </si>
  <si>
    <t>RGROMMET</t>
  </si>
  <si>
    <t>CHROME PLATED FLANGE FOR LINZ6</t>
  </si>
  <si>
    <t>LINZ6FC</t>
  </si>
  <si>
    <t>CAST ALUMINUM FLANGE FOR TIR3</t>
  </si>
  <si>
    <t>RFLANGEA</t>
  </si>
  <si>
    <t>CHROME PLATED FLANGE FOR TIR3</t>
  </si>
  <si>
    <t>RFLANGEC</t>
  </si>
  <si>
    <t>LINZ6 LED HORIZ SYNC AMB/BLU</t>
  </si>
  <si>
    <t>LINZ6M</t>
  </si>
  <si>
    <t>LINZ6 LED HORIZ SYNC RED/AMB</t>
  </si>
  <si>
    <t>LINZ6K</t>
  </si>
  <si>
    <t>LINZ6 LED HORIZ SYNC RED/BLU</t>
  </si>
  <si>
    <t>LINZ6J</t>
  </si>
  <si>
    <t>LINZ6 LED HORIZ AMB/WHT</t>
  </si>
  <si>
    <t>LINZ6F</t>
  </si>
  <si>
    <t>LINZ6 LED HORIZ SYNC BLU/WHT</t>
  </si>
  <si>
    <t>LINZ6E</t>
  </si>
  <si>
    <t>LINZ6 LED HORIZ SYNC RED/WHT</t>
  </si>
  <si>
    <t>LINZ6D</t>
  </si>
  <si>
    <t>LINZ6 LED HORIZ SYNC RED</t>
  </si>
  <si>
    <t>LINZ6R</t>
  </si>
  <si>
    <t>LINZ6 LED HORIZ SYNC WHITE</t>
  </si>
  <si>
    <t>LINZ6C</t>
  </si>
  <si>
    <t>LINZ6 LED HORIZ SYNC BLUE</t>
  </si>
  <si>
    <t>LINZ6 LED HORIZ SYNC AMBER</t>
  </si>
  <si>
    <t>LINZ6A</t>
  </si>
  <si>
    <t>SURFACE MT LINZ-V RED/SMOKE</t>
  </si>
  <si>
    <t>LINSV2RX</t>
  </si>
  <si>
    <t>SURFACE MT LINZ-V WHITE/SMOKE</t>
  </si>
  <si>
    <t>LINSV2CX</t>
  </si>
  <si>
    <t>SURFACE MT LINZ-V BLUE/SMOKE</t>
  </si>
  <si>
    <t>LINSV2BX</t>
  </si>
  <si>
    <t>SURFACE MT LINZ-V AMBER/SMOKE</t>
  </si>
  <si>
    <t>LINSV2AX</t>
  </si>
  <si>
    <t>LINZ V-SERIES LT RED/SMOKE</t>
  </si>
  <si>
    <t>LINV2RX</t>
  </si>
  <si>
    <t>LINZ V-SERIES LT WHITE/SMOKE</t>
  </si>
  <si>
    <t>LINV2CX</t>
  </si>
  <si>
    <t>LINZ V-SERIES LT BLUE/SMOKE</t>
  </si>
  <si>
    <t>LINV2BX</t>
  </si>
  <si>
    <t>LINZ V-SERIES LT AMBER/SMOKE</t>
  </si>
  <si>
    <t>LINV2AX</t>
  </si>
  <si>
    <t>SURFACE MT LINZ V-SERIES RED</t>
  </si>
  <si>
    <t>LINSV2R</t>
  </si>
  <si>
    <t>SURFACE MT LINZ V-SERIES WHITE</t>
  </si>
  <si>
    <t>LINSV2C</t>
  </si>
  <si>
    <t>SURFACE MT LINZ V-SERIES BLUE</t>
  </si>
  <si>
    <t>LINSV2B</t>
  </si>
  <si>
    <t>SURFACE MT LINZ V-SERIES AMBER</t>
  </si>
  <si>
    <t>LINSV2A</t>
  </si>
  <si>
    <t>LINZ V-SERIES LIGHT RED</t>
  </si>
  <si>
    <t>LINV2R</t>
  </si>
  <si>
    <t>LINZ V-SERIES LIGHT WHITE</t>
  </si>
  <si>
    <t>LINV2C</t>
  </si>
  <si>
    <t>LINZ V-SERIES LIGHT BLUE</t>
  </si>
  <si>
    <t>LINV2B</t>
  </si>
  <si>
    <t>LINZ V-SERIES LIGHT AMBER</t>
  </si>
  <si>
    <t>LINV2A</t>
  </si>
  <si>
    <t>STRIP-LITE+ 90 DEG MT KIT</t>
  </si>
  <si>
    <t>PSBKT90</t>
  </si>
  <si>
    <t>STRIP-LITE+ MTG BRACKET/GUARD</t>
  </si>
  <si>
    <t>PSBKT2</t>
  </si>
  <si>
    <t>STRIP-LITE+ 45 DEG MTG KIT</t>
  </si>
  <si>
    <t>PSBKT45</t>
  </si>
  <si>
    <t>STRIP-LITE PLUS CHROME FLANGE</t>
  </si>
  <si>
    <t>PSFC</t>
  </si>
  <si>
    <t>MEGA T-SERIES TRIO FLASHER BGW</t>
  </si>
  <si>
    <t>PSNC3FCR</t>
  </si>
  <si>
    <t>MEGA T-SERIES TRIO FLASHER RGW</t>
  </si>
  <si>
    <t>PSLC3FCR</t>
  </si>
  <si>
    <t>MEGA T-SERIES TRIO FLASHER GAW</t>
  </si>
  <si>
    <t>PSPC3FCR</t>
  </si>
  <si>
    <t>MEGA T-SERIES TRIO FLASHER BAG</t>
  </si>
  <si>
    <t>PSMG3FCR</t>
  </si>
  <si>
    <t>MEGA T-SERIES TRIO FLASHER RAG</t>
  </si>
  <si>
    <t>PSKG3FCR</t>
  </si>
  <si>
    <t>MEGA T-SERIES TRIO FLASHER RBW</t>
  </si>
  <si>
    <t>PSJC3FCR</t>
  </si>
  <si>
    <t>MEGA T-SERIES TRIO FLASHER BAW</t>
  </si>
  <si>
    <t>PSMC3FCR</t>
  </si>
  <si>
    <t>MEGA T-SERIES TRIO FLASHER RAW</t>
  </si>
  <si>
    <t>PSKC3FCR</t>
  </si>
  <si>
    <t>MEGA T-SERIES TRIO FLASHER RBA</t>
  </si>
  <si>
    <t>PSJA3FCR</t>
  </si>
  <si>
    <t>STRIP-LITE+ DUO FLASHR BLU/AMB</t>
  </si>
  <si>
    <t>PSM02FCR</t>
  </si>
  <si>
    <t>STRIP-LITE+ DUO FLASHR RED/AMB</t>
  </si>
  <si>
    <t>PSK02FCR</t>
  </si>
  <si>
    <t>STRIP-LITE+ DUO FLASHR RED/BLU</t>
  </si>
  <si>
    <t>PSJ02FCR</t>
  </si>
  <si>
    <t>STRIP-LITE+ DUO FLASHR AMB/WHT</t>
  </si>
  <si>
    <t>PSF02FCR</t>
  </si>
  <si>
    <t>STRIP-LITE+ DUO FLASHR BLU/WHT</t>
  </si>
  <si>
    <t>PSE02FCR</t>
  </si>
  <si>
    <t>STRIP-LITE+ DUO FLASHR RED/WHT</t>
  </si>
  <si>
    <t>PSD02FCR</t>
  </si>
  <si>
    <t>STRIP-LITE+ FLASHER RED/CLR</t>
  </si>
  <si>
    <t>PSR01FCR</t>
  </si>
  <si>
    <t>STRIP-LITE+ FLASHER GRN/CLR</t>
  </si>
  <si>
    <t>PSG01FCR</t>
  </si>
  <si>
    <t>PSC01FCR</t>
  </si>
  <si>
    <t>STRIP-LITE+ FLASHER BLU/CLR</t>
  </si>
  <si>
    <t>PSB01FCR</t>
  </si>
  <si>
    <t>STRIP-LITE+ FLASHER AMB/CLR</t>
  </si>
  <si>
    <t>PSA01FCR</t>
  </si>
  <si>
    <t>MOUNTING WEDGES ION-T-SERIES</t>
  </si>
  <si>
    <t>TIONWEDG</t>
  </si>
  <si>
    <t>ION T-SER RUNNING BD KIT TAHOE</t>
  </si>
  <si>
    <t>TIONBKT7</t>
  </si>
  <si>
    <t>ION T-SERIES UNIVERSAL HIGH MT</t>
  </si>
  <si>
    <t>TIONBKT6</t>
  </si>
  <si>
    <t>ION T-SERIES GRILLE MT BRACKET</t>
  </si>
  <si>
    <t>TIONBKT5</t>
  </si>
  <si>
    <t>ION T-SERIES OVER/UNDER MOUNT</t>
  </si>
  <si>
    <t>TIONBKT4</t>
  </si>
  <si>
    <t>ION T-SERIES DUAL UNIVERSAL MT</t>
  </si>
  <si>
    <t>TIONBKT3</t>
  </si>
  <si>
    <t>ION T-SERIES LICENSE PLATE BKT</t>
  </si>
  <si>
    <t>TIONBKT2</t>
  </si>
  <si>
    <t>ION T-SERIES UNIVERSAL MOUNT</t>
  </si>
  <si>
    <t>TIONBKT1</t>
  </si>
  <si>
    <t>MINI ION-T OVER/UNDER MT KIT</t>
  </si>
  <si>
    <t>TIONMBK4</t>
  </si>
  <si>
    <t>MINI ION-T LICENSE PLATE MOUNT</t>
  </si>
  <si>
    <t>TIONMBK2</t>
  </si>
  <si>
    <t>MINI ION-T VERT LICENSE PLATE</t>
  </si>
  <si>
    <t>TIONMBK1</t>
  </si>
  <si>
    <t>MINI ION-T GROMMET MOUNT KIT</t>
  </si>
  <si>
    <t>TIONMGRM</t>
  </si>
  <si>
    <t>MINI ION-T STUD MT LO PWR BA/S</t>
  </si>
  <si>
    <t>TMTPMX</t>
  </si>
  <si>
    <t>MINI ION-T STUD MT LO PWR RA/S</t>
  </si>
  <si>
    <t>TMTPKX</t>
  </si>
  <si>
    <t>MINI ION-T STUD MT LO PWR RB/S</t>
  </si>
  <si>
    <t>TMTPJX</t>
  </si>
  <si>
    <t>MINI ION-T STUD MT LO PWR AW/S</t>
  </si>
  <si>
    <t>TMTPFX</t>
  </si>
  <si>
    <t>MINI ION-T STUD MT LO PWR BW/S</t>
  </si>
  <si>
    <t>TMTPEX</t>
  </si>
  <si>
    <t>MINI ION-T STUD MT LO PWR RW/S</t>
  </si>
  <si>
    <t>TMTPDX</t>
  </si>
  <si>
    <t>MINI ION-T STUD MT LOPWR GRN/S</t>
  </si>
  <si>
    <t>TMTPGX</t>
  </si>
  <si>
    <t>MINI ION-T STUD MT LOPWR WHT/S</t>
  </si>
  <si>
    <t>TMTPCX</t>
  </si>
  <si>
    <t>MINI ION-T STUD MT LOPWR BLU/S</t>
  </si>
  <si>
    <t>TMTPBX</t>
  </si>
  <si>
    <t>MINI ION-T STUD MT LOPWR AMB/S</t>
  </si>
  <si>
    <t>TMTPAX</t>
  </si>
  <si>
    <t>MINI ION-T SURFACE LOPWR B-A/S</t>
  </si>
  <si>
    <t>TMSPMX</t>
  </si>
  <si>
    <t>MINI ION-T SURFACE LOPWR R-A/S</t>
  </si>
  <si>
    <t>TMSPKX</t>
  </si>
  <si>
    <t>MINI ION-T SURFACE LOPWR R-B/S</t>
  </si>
  <si>
    <t>TMSPJX</t>
  </si>
  <si>
    <t>MINI ION-T SURFACE LOPWR A-W/S</t>
  </si>
  <si>
    <t>TMSPFX</t>
  </si>
  <si>
    <t>MINI ION-T SURFACE LOPWR B-W/S</t>
  </si>
  <si>
    <t>TMSPEX</t>
  </si>
  <si>
    <t>TMSPDX</t>
  </si>
  <si>
    <t>MINI ION-T SURFACE LOPWR RED/S</t>
  </si>
  <si>
    <t>TMSPRX</t>
  </si>
  <si>
    <t>MINI ION-T SURFACE LOPWR GRN/S</t>
  </si>
  <si>
    <t>TMSPGX</t>
  </si>
  <si>
    <t>MINI ION-T SURFACE LOPWR WHT/S</t>
  </si>
  <si>
    <t>TMSPCX</t>
  </si>
  <si>
    <t>MINI ION-T SURFACE LOPWR BLU/S</t>
  </si>
  <si>
    <t>TMSPBX</t>
  </si>
  <si>
    <t>MINI ION-T SURFACE LOPWR AMB/S</t>
  </si>
  <si>
    <t>TMSPAX</t>
  </si>
  <si>
    <t>MINI ION-T STUD MT B-A-W/SMK</t>
  </si>
  <si>
    <t>TMT0MCX</t>
  </si>
  <si>
    <t>MINI ION-T STUD MT R-B-A/SMK</t>
  </si>
  <si>
    <t>TMT0JAX</t>
  </si>
  <si>
    <t>MINI ION-T STUD MT B-A/SMK</t>
  </si>
  <si>
    <t>TMT0MX</t>
  </si>
  <si>
    <t>MINI ION-T STUD MT R-A/SMK</t>
  </si>
  <si>
    <t>TMT0KX</t>
  </si>
  <si>
    <t>MINI ION-T STUD MT R-B/SMK</t>
  </si>
  <si>
    <t>TMT0JX</t>
  </si>
  <si>
    <t>MINI ION-T STUD MT W-A/SMK</t>
  </si>
  <si>
    <t>TMT0FX</t>
  </si>
  <si>
    <t>MINI ION-T STUD MT B-W/SMK</t>
  </si>
  <si>
    <t>TMT0EX</t>
  </si>
  <si>
    <t>MINI ION-T STUD MT RED-WHT/SMK</t>
  </si>
  <si>
    <t>TMT0DX</t>
  </si>
  <si>
    <t>MINI ION-T STUD MT RED/SMOKE</t>
  </si>
  <si>
    <t>TMT0RX</t>
  </si>
  <si>
    <t>MINI ION-T STUD MT GREEN/SMOKE</t>
  </si>
  <si>
    <t>TMT0GX</t>
  </si>
  <si>
    <t>MINI ION-T STUD MT WHITE/SMOKE</t>
  </si>
  <si>
    <t>TMT0CX</t>
  </si>
  <si>
    <t>MINI ION-T STUD MT BLUE/SMOKE</t>
  </si>
  <si>
    <t>TMT0BX</t>
  </si>
  <si>
    <t>MINI ION-T STUD MT AMBER/SMOKE</t>
  </si>
  <si>
    <t>TMT0AX</t>
  </si>
  <si>
    <t>MINI ION-T SURFACE MT RBW/SMK</t>
  </si>
  <si>
    <t>TMS0JCX</t>
  </si>
  <si>
    <t>MINI ION-T SURFACE MT BAW/SMK</t>
  </si>
  <si>
    <t>TMS0MCX</t>
  </si>
  <si>
    <t>MINI ION-T SURFACE MT RAW/SMK</t>
  </si>
  <si>
    <t>TMS0KCX</t>
  </si>
  <si>
    <t>MINI ION-T SURFACE MT B-A/SMK</t>
  </si>
  <si>
    <t>TMS0MX</t>
  </si>
  <si>
    <t>MINI ION-T SURFACE MT R-A/SMK</t>
  </si>
  <si>
    <t>TMS0KX</t>
  </si>
  <si>
    <t>MINI ION-T SURFACE MT R-B/SMK</t>
  </si>
  <si>
    <t>TMS0JX</t>
  </si>
  <si>
    <t>MINI ION-T SURFACE MT W-A/SMK</t>
  </si>
  <si>
    <t>TMS0FX</t>
  </si>
  <si>
    <t>MINI ION-T SURFACE MT B-W/SMK</t>
  </si>
  <si>
    <t>TMS0EX</t>
  </si>
  <si>
    <t>MINI ION-T SURFACE MT R-W/SMK</t>
  </si>
  <si>
    <t>TMS0DX</t>
  </si>
  <si>
    <t>MINI ION-T SURFACE MT RED/SMK</t>
  </si>
  <si>
    <t>TMS0RX</t>
  </si>
  <si>
    <t>MINI ION-T SURFACE MT GRN/SMK</t>
  </si>
  <si>
    <t>TMS0GX</t>
  </si>
  <si>
    <t>MINI ION-T SURFACE MT WHT/SMK</t>
  </si>
  <si>
    <t>TMS0CX</t>
  </si>
  <si>
    <t>MINI ION-T SURFACE MT BLU/SMK</t>
  </si>
  <si>
    <t>TMS0BX</t>
  </si>
  <si>
    <t>MINI ION-T SURFACE MT AMB/SMK</t>
  </si>
  <si>
    <t>TMS0AX</t>
  </si>
  <si>
    <t>MINI ION-T STUD MT LO PWR B/A</t>
  </si>
  <si>
    <t>TMTPM</t>
  </si>
  <si>
    <t>MINI ION-T STUD MT LO PWR R/A</t>
  </si>
  <si>
    <t>TMTPK</t>
  </si>
  <si>
    <t>MINI ION-T STUD MT LO PWR R/B</t>
  </si>
  <si>
    <t>TMTPJ</t>
  </si>
  <si>
    <t>MINI ION-T STUD MT LO PWR A/W</t>
  </si>
  <si>
    <t>TMTPF</t>
  </si>
  <si>
    <t>MINI ION-T STUD MT LO PWR B/W</t>
  </si>
  <si>
    <t>TMTPE</t>
  </si>
  <si>
    <t>MINI ION-T STUD MT LO PWR R/W</t>
  </si>
  <si>
    <t>TMTPD</t>
  </si>
  <si>
    <t>MINI ION-T STUD MT LO PWR RED</t>
  </si>
  <si>
    <t>TMTPR</t>
  </si>
  <si>
    <t>MINI ION-T STUD MT LO PWR GRN</t>
  </si>
  <si>
    <t>TMTPG</t>
  </si>
  <si>
    <t>MINI ION-T STUD MT LO PWR BLU</t>
  </si>
  <si>
    <t>TMTPB</t>
  </si>
  <si>
    <t>MINI ION-T STUD MT LO PWR AMB</t>
  </si>
  <si>
    <t>TMTPA</t>
  </si>
  <si>
    <t>MINI ION-T SURFACE LO PWR B/A</t>
  </si>
  <si>
    <t>TMSPM</t>
  </si>
  <si>
    <t>MINI ION-T SURFACE LO PWR R/A</t>
  </si>
  <si>
    <t>TMSPK</t>
  </si>
  <si>
    <t>MINI ION-T SURFACE LO PWR R/B</t>
  </si>
  <si>
    <t>TMSPJ</t>
  </si>
  <si>
    <t>MINI ION-T SURFACE LO PWR A/W</t>
  </si>
  <si>
    <t>TMSPF</t>
  </si>
  <si>
    <t>MINI ION-T SURFACE LO PWR B/W</t>
  </si>
  <si>
    <t>TMSPE</t>
  </si>
  <si>
    <t>MINI ION-T SURFACE LO PWR R/W</t>
  </si>
  <si>
    <t>TMSPD</t>
  </si>
  <si>
    <t>MINI ION-T SURFACE LO PWR RED</t>
  </si>
  <si>
    <t>TMSPR</t>
  </si>
  <si>
    <t>MINI ION-T SURFACE LO PWR GRN</t>
  </si>
  <si>
    <t>TMSPG</t>
  </si>
  <si>
    <t>MINI ION-T SURFACE LO PWR WHT</t>
  </si>
  <si>
    <t>TMSPC</t>
  </si>
  <si>
    <t>MINI ION-T SURFACE LO PWR BLU</t>
  </si>
  <si>
    <t>TMSPB</t>
  </si>
  <si>
    <t>MINI ION-T SURFACE LO PWR AMB</t>
  </si>
  <si>
    <t>TMSPA</t>
  </si>
  <si>
    <t>MINI ION-T STUD MT TRIO R/B/W</t>
  </si>
  <si>
    <t>TMT0JC</t>
  </si>
  <si>
    <t>MINI ION-T STUD MT TRIO B/A/W</t>
  </si>
  <si>
    <t>TMT0MC</t>
  </si>
  <si>
    <t>MINI ION-T STUD MT TRIO R/A/W</t>
  </si>
  <si>
    <t>TMT0KC</t>
  </si>
  <si>
    <t>MINI ION-T STUD MT TRIO R/B/A</t>
  </si>
  <si>
    <t>TMT0JA</t>
  </si>
  <si>
    <t>MINI ION-T STUD MT BLU/AMB</t>
  </si>
  <si>
    <t>TMT0M</t>
  </si>
  <si>
    <t>MINI ION-T STUD MT RED/AMB</t>
  </si>
  <si>
    <t>TMT0K</t>
  </si>
  <si>
    <t>MINI ION-T STUD MT RED/BLU</t>
  </si>
  <si>
    <t>TMT0J</t>
  </si>
  <si>
    <t>MINI ION-T STUD MT WHT/AMB</t>
  </si>
  <si>
    <t>TMT0F</t>
  </si>
  <si>
    <t>MINI ION-T STUD MT BLU/WHT</t>
  </si>
  <si>
    <t>TMT0E</t>
  </si>
  <si>
    <t>MINI ION-T STUD MT RED/WHT</t>
  </si>
  <si>
    <t>TMT0D</t>
  </si>
  <si>
    <t>MINI ION-T STUD MT RED</t>
  </si>
  <si>
    <t>TMT0R</t>
  </si>
  <si>
    <t>MINI ION-T STUD MT GREEN</t>
  </si>
  <si>
    <t>TMT0G</t>
  </si>
  <si>
    <t>MINI ION-T STUD MT WHITE</t>
  </si>
  <si>
    <t>TMT0C</t>
  </si>
  <si>
    <t>MINI ION-T STUD MT BLUE</t>
  </si>
  <si>
    <t>TMT0B</t>
  </si>
  <si>
    <t>MINI ION-T STUD MT AMBER</t>
  </si>
  <si>
    <t>TMT0A</t>
  </si>
  <si>
    <t>MINI ION-T SURFACE MT R/B/W</t>
  </si>
  <si>
    <t>TMS0JC</t>
  </si>
  <si>
    <t>MINI ION-T SURFACE MT B/A/W</t>
  </si>
  <si>
    <t>TMS0MC</t>
  </si>
  <si>
    <t>MINI ION-T SURFACE MT R/A/W</t>
  </si>
  <si>
    <t>TMS0KC</t>
  </si>
  <si>
    <t>MINI ION-T SURFACE MT BLU/AMB</t>
  </si>
  <si>
    <t>TMS0M</t>
  </si>
  <si>
    <t>MINI ION-T SURFACE MT RED/AMB</t>
  </si>
  <si>
    <t>TMS0K</t>
  </si>
  <si>
    <t>MINI ION-T SURFACE MT RED/BLU</t>
  </si>
  <si>
    <t>TMS0J</t>
  </si>
  <si>
    <t>MINI ION-T SURFACE MT WHT/AMB</t>
  </si>
  <si>
    <t>TMS0F</t>
  </si>
  <si>
    <t>MINI ION-T SURFACE MT BLU/WHT</t>
  </si>
  <si>
    <t>TMS0E</t>
  </si>
  <si>
    <t>MINI ION-T SURFACE MT RED/WHT</t>
  </si>
  <si>
    <t>TMS0D</t>
  </si>
  <si>
    <t>MINI ION-T SURFACE MT RED</t>
  </si>
  <si>
    <t>TMS0R</t>
  </si>
  <si>
    <t>MINI ION-T SURFACE MT GREEN</t>
  </si>
  <si>
    <t>TMS0G</t>
  </si>
  <si>
    <t>MINI ION-T SURFACE MT WHITE</t>
  </si>
  <si>
    <t>TMS0C</t>
  </si>
  <si>
    <t>MINI ION-T SURFACE MT BLUE</t>
  </si>
  <si>
    <t>TMS0B</t>
  </si>
  <si>
    <t>MINI ION-T SURFACE MT AMBER</t>
  </si>
  <si>
    <t>TMS0A</t>
  </si>
  <si>
    <t>STRIP-LITE+ XL MTG BRKT/GUARD</t>
  </si>
  <si>
    <t>PSXLBKT2</t>
  </si>
  <si>
    <t>STRIP-LITE + XL CHROME FLANGE</t>
  </si>
  <si>
    <t>PSXLFC</t>
  </si>
  <si>
    <t>STRIP-LITE+ XL TANK STATUS LT</t>
  </si>
  <si>
    <t>PSTANK2</t>
  </si>
  <si>
    <t>STRIP-LITE+ COMPARTMENT LT HI</t>
  </si>
  <si>
    <t>PSCOMPH</t>
  </si>
  <si>
    <t>STRIP-LITE+ COMPARTMENT LT LO</t>
  </si>
  <si>
    <t>PSCOMPL</t>
  </si>
  <si>
    <t>STRIP-LITE+ SEQUENCING LT AMB</t>
  </si>
  <si>
    <t>PSSEQACR</t>
  </si>
  <si>
    <t>WorkSide LIGHT BLACK</t>
  </si>
  <si>
    <t>WSLB</t>
  </si>
  <si>
    <t>WorkSide LIGHT CHROME</t>
  </si>
  <si>
    <t>WSLC</t>
  </si>
  <si>
    <t>SUMMIT 15' CABLE</t>
  </si>
  <si>
    <t>SUCBL15</t>
  </si>
  <si>
    <t>9" SUMMIT SPOT W/MKR BLACK</t>
  </si>
  <si>
    <t>S092MB</t>
  </si>
  <si>
    <t>9" SUMMIT WIDE FLOOD W/MKR BLK</t>
  </si>
  <si>
    <t>S091MB</t>
  </si>
  <si>
    <t>16" SUMMIT SPOT W/MARKER BLACK</t>
  </si>
  <si>
    <t>S162MB</t>
  </si>
  <si>
    <t>16"SUMMIT WIDE FLOOD W/MKR BLK</t>
  </si>
  <si>
    <t>S161MB</t>
  </si>
  <si>
    <t>30" SUMMIT W/RED WARN &amp;MKR BLK</t>
  </si>
  <si>
    <t>S30MRB</t>
  </si>
  <si>
    <t>30" SUMMIT W/B&amp;R WARN &amp;MKR BLK</t>
  </si>
  <si>
    <t>S30MJB</t>
  </si>
  <si>
    <t>30" SUMMIT W/BLU WARN &amp;MKR BLK</t>
  </si>
  <si>
    <t>S30MBB</t>
  </si>
  <si>
    <t>30" SUMMIT W/AMB WARN &amp;MKR BLK</t>
  </si>
  <si>
    <t>S30MAB</t>
  </si>
  <si>
    <t>30" SUMMIT W/ MARKER BLK</t>
  </si>
  <si>
    <t>S30MB</t>
  </si>
  <si>
    <t>44" SUMMIT W/RED WARN &amp;MKR BLK</t>
  </si>
  <si>
    <t>S44MRB</t>
  </si>
  <si>
    <t>44" SUMMIT W/B&amp;R WARN &amp;MKR BLK</t>
  </si>
  <si>
    <t>S44MJB</t>
  </si>
  <si>
    <t>44" SUMMIT W/BLU WARN &amp;MKR BLK</t>
  </si>
  <si>
    <t>S44MBB</t>
  </si>
  <si>
    <t>44" SUMMIT W/AMB WARN &amp;MKR BLK</t>
  </si>
  <si>
    <t>S44MAB</t>
  </si>
  <si>
    <t>44" SUMMIT W/ MARKER BLK</t>
  </si>
  <si>
    <t>S44MB</t>
  </si>
  <si>
    <t>58" SUMMIT W/RED WARN &amp;MKR BLK</t>
  </si>
  <si>
    <t>S58MRB</t>
  </si>
  <si>
    <t>58" SUMMIT W/B&amp;R WARN &amp;MKR BLK</t>
  </si>
  <si>
    <t>S58MJB</t>
  </si>
  <si>
    <t>58" SUMMIT W/BLU WARN &amp;MKR BLK</t>
  </si>
  <si>
    <t>S58MBB</t>
  </si>
  <si>
    <t>58" SUMMIT W/AMB WARN &amp;MKR BLK</t>
  </si>
  <si>
    <t>S58MAB</t>
  </si>
  <si>
    <t>58" SUMMIT W/ MARKER BLK</t>
  </si>
  <si>
    <t>S58MB</t>
  </si>
  <si>
    <t>72" SUMMIT W/RED WARN &amp;MKR BLK</t>
  </si>
  <si>
    <t>S72MRB</t>
  </si>
  <si>
    <t>72" SUMMIT W/B&amp;R WARN &amp;MKR BLK</t>
  </si>
  <si>
    <t>S72MJB</t>
  </si>
  <si>
    <t>72" SUMMIT W/BU WARN &amp;MKR BLK</t>
  </si>
  <si>
    <t>S72MBB</t>
  </si>
  <si>
    <t>72" SUMMIT W/AMB WARN &amp;MKR BLK</t>
  </si>
  <si>
    <t>S72MAB</t>
  </si>
  <si>
    <t>72" SUMMIT W/ MARKER BLK</t>
  </si>
  <si>
    <t>S72MB</t>
  </si>
  <si>
    <t>86" SUMMIT W/RED WARN &amp;MKR BLK</t>
  </si>
  <si>
    <t>S86MRB</t>
  </si>
  <si>
    <t>86" SUMMIT W/B&amp;R WARN &amp;MKR BLK</t>
  </si>
  <si>
    <t>S86MJB</t>
  </si>
  <si>
    <t>86" SUMMIT W/BLU WARN &amp;MKR BLK</t>
  </si>
  <si>
    <t>S86MBB</t>
  </si>
  <si>
    <t>86" SUMMIT W/AMB WARN &amp;MKR BLK</t>
  </si>
  <si>
    <t>S86MAB</t>
  </si>
  <si>
    <t>86" SUMMIT W/MARKER BLK</t>
  </si>
  <si>
    <t>S86MB</t>
  </si>
  <si>
    <t>DUAL SL PIONEER 12V BLACK</t>
  </si>
  <si>
    <t>PSL2BLK</t>
  </si>
  <si>
    <t>DUAL SL PIONEER 12V WHITE</t>
  </si>
  <si>
    <t>PSL2</t>
  </si>
  <si>
    <t>DUAL SL 15D RECESS 12V BLK</t>
  </si>
  <si>
    <t>PSL2R5B</t>
  </si>
  <si>
    <t>DUAL SL PIONEER 15D RECESS 12V</t>
  </si>
  <si>
    <t>PSL2R5</t>
  </si>
  <si>
    <t>DUAL SL PIONEER RECESS 12V BLK</t>
  </si>
  <si>
    <t>PSL2RB</t>
  </si>
  <si>
    <t>DUAL SL PIONEER RECESS 12V WHT</t>
  </si>
  <si>
    <t>PSL2R</t>
  </si>
  <si>
    <t>DUAL SL PIONEER SWIVEL 12V BLK</t>
  </si>
  <si>
    <t>PSL2PB</t>
  </si>
  <si>
    <t>DUAL SL PIONEER SWIVEL 12V WHT</t>
  </si>
  <si>
    <t>PSL2P</t>
  </si>
  <si>
    <t>DUAL SL PIONEER BAIL MT 12V BK</t>
  </si>
  <si>
    <t>PSL2BB</t>
  </si>
  <si>
    <t>DUAL SL PIONEER BAIL MT 12V</t>
  </si>
  <si>
    <t>PSL2B</t>
  </si>
  <si>
    <t>SINGLE SL RECESS 15D 12V BLK</t>
  </si>
  <si>
    <t>PSL1R5B</t>
  </si>
  <si>
    <t>SINGLE SL RECESS 15D 12V WHT</t>
  </si>
  <si>
    <t>PSL1R5</t>
  </si>
  <si>
    <t>SINGLE SL PIONEER RECESS 12V</t>
  </si>
  <si>
    <t>PSL1RB</t>
  </si>
  <si>
    <t>PSL1R</t>
  </si>
  <si>
    <t>SINGLE SL PIONEER SWIVEL 12V</t>
  </si>
  <si>
    <t>PSL1PB</t>
  </si>
  <si>
    <t>PSL1P</t>
  </si>
  <si>
    <t>SINGLE SL PIONEER BAIL MT 12V</t>
  </si>
  <si>
    <t>PSL1BB</t>
  </si>
  <si>
    <t>PSL1B</t>
  </si>
  <si>
    <t>PIONEER+ DUAL SURF MT AC BLK</t>
  </si>
  <si>
    <t>PCPSM2AB</t>
  </si>
  <si>
    <t>PIONEER+ DUAL SURF MT AC CHRM</t>
  </si>
  <si>
    <t>PCPSM2AC</t>
  </si>
  <si>
    <t>PIONEER+ DUAL SURF MT 12V BLK</t>
  </si>
  <si>
    <t>PCPSM2B</t>
  </si>
  <si>
    <t>PIONEER+ DUAL SURF MT 12V CHRM</t>
  </si>
  <si>
    <t>PCPSM2C</t>
  </si>
  <si>
    <t>PIONEER+ SINGLE SURF MT 115VAC</t>
  </si>
  <si>
    <t>PCPSM1AB</t>
  </si>
  <si>
    <t>PCPSM1AC</t>
  </si>
  <si>
    <t>PIONEER+ SING SURF MT 12V BLK</t>
  </si>
  <si>
    <t>PCPSM1B</t>
  </si>
  <si>
    <t>PIONEER+ SING SURF MT 12V CHRM</t>
  </si>
  <si>
    <t>PCPSM1C</t>
  </si>
  <si>
    <t>2-BAR MT SINGLE PIONEER+ WH F4</t>
  </si>
  <si>
    <t>PCH1F42</t>
  </si>
  <si>
    <t>1-BAR MT SINGLE PIONEER+ WH F4</t>
  </si>
  <si>
    <t>PCH1F41</t>
  </si>
  <si>
    <t>2-BAR MT DUAL PIONEER+ WHT F4</t>
  </si>
  <si>
    <t>PCH2F42</t>
  </si>
  <si>
    <t>PFH2F42</t>
  </si>
  <si>
    <t>1-BAR MT DUAL PIONEER+ WHT F4</t>
  </si>
  <si>
    <t>PCH2F41</t>
  </si>
  <si>
    <t>1-BAR MT DUAL PIONEER+ WH F4</t>
  </si>
  <si>
    <t>PFH2F41</t>
  </si>
  <si>
    <t>PFH1F42</t>
  </si>
  <si>
    <t>PFH1F41</t>
  </si>
  <si>
    <t>PFP4AW POLE/PED MT WHT W/ SW</t>
  </si>
  <si>
    <t>PFP4AWP1</t>
  </si>
  <si>
    <t>PFP4AW POLE/PED MT WHT W/O SW</t>
  </si>
  <si>
    <t>PFP4AWP</t>
  </si>
  <si>
    <t>PFP4AW UNIV. SIDE BAIL MT WHT</t>
  </si>
  <si>
    <t>PFP4AWB</t>
  </si>
  <si>
    <t>PCP3A POLE/PED MT WHT W/SWITCH</t>
  </si>
  <si>
    <t>PCP3AP1</t>
  </si>
  <si>
    <t>PCP3A POLE/PED MT WHT W/O SW</t>
  </si>
  <si>
    <t>PCP3AP</t>
  </si>
  <si>
    <t>PCP3 POLE/PED MT WHT W/SWITCH</t>
  </si>
  <si>
    <t>PCP3P1</t>
  </si>
  <si>
    <t>PCP3 POLE/PED MT WHT W/O SW</t>
  </si>
  <si>
    <t>PCP3P</t>
  </si>
  <si>
    <t>PCP2ASF POLE/PED MT WHT W/SW</t>
  </si>
  <si>
    <t>PCP2AP1</t>
  </si>
  <si>
    <t>PCP2ASF POLE/PED MT WHT W/O SW</t>
  </si>
  <si>
    <t>PCP2AP</t>
  </si>
  <si>
    <t>LOCKING PEDESTAL MOUNT KIT AC</t>
  </si>
  <si>
    <t>PBAPEDAL</t>
  </si>
  <si>
    <t>AC PIONEER PEDESTAL MT KIT</t>
  </si>
  <si>
    <t>PBAPEDA</t>
  </si>
  <si>
    <t>LOCKING PEDESTAL MOUNT KIT DC</t>
  </si>
  <si>
    <t>PBAPEDDL</t>
  </si>
  <si>
    <t>DC PIONEER PEDESTAL MT KIT</t>
  </si>
  <si>
    <t>PBAPEDD</t>
  </si>
  <si>
    <t>PFP2AC POLE/PED MT WHT W/ SW</t>
  </si>
  <si>
    <t>PFP2AP1</t>
  </si>
  <si>
    <t>PFP2AC POLE/PED MT WHT W/O SW</t>
  </si>
  <si>
    <t>PFP2AP</t>
  </si>
  <si>
    <t>PFP1AC POLE/PED MT WHT W/SW</t>
  </si>
  <si>
    <t>PFP1AP1</t>
  </si>
  <si>
    <t>PFP1AC POLE/PED MT WHT W/O SW</t>
  </si>
  <si>
    <t>PFP1AP</t>
  </si>
  <si>
    <t>PCH2 POLE/PED MT WHT W/SWITCH</t>
  </si>
  <si>
    <t>PCH2P1</t>
  </si>
  <si>
    <t>PCH2P</t>
  </si>
  <si>
    <t>PCH1 POLE/PED MT WHT W/SWITCH</t>
  </si>
  <si>
    <t>PCH1P1</t>
  </si>
  <si>
    <t>PCH1 POLE/PED MT WHT W/O SW</t>
  </si>
  <si>
    <t>PCH1P</t>
  </si>
  <si>
    <t>PSP1AC POLE/PED MT WHT W/SW</t>
  </si>
  <si>
    <t>PSP1AP1</t>
  </si>
  <si>
    <t>PSP1AC POLE/PED MT WHT W/O SW</t>
  </si>
  <si>
    <t>PSP1AP</t>
  </si>
  <si>
    <t>PFH2 POLE/PED MT WHT W/SWITCH</t>
  </si>
  <si>
    <t>PFH2P1</t>
  </si>
  <si>
    <t>PFH2 POLE/PED MT WHT W/O SW</t>
  </si>
  <si>
    <t>PFH2P</t>
  </si>
  <si>
    <t>PFH1 POLE LED MT WHT W/ SWITCH</t>
  </si>
  <si>
    <t>PFH1P1</t>
  </si>
  <si>
    <t>PFH1 POLE/PED MT WHT W/O SW</t>
  </si>
  <si>
    <t>PFH1P</t>
  </si>
  <si>
    <t>PIONEER LED FLASHER 4 OUTLET</t>
  </si>
  <si>
    <t>PFLASH</t>
  </si>
  <si>
    <t>CTR PIONEER BROW INTERNATIONAL</t>
  </si>
  <si>
    <t>PBHINTC</t>
  </si>
  <si>
    <t>PIONEER+ DUAL RECESS MT WHT</t>
  </si>
  <si>
    <t>PBH203</t>
  </si>
  <si>
    <t>PIONEER+ SINGLE RECESS MT WHT</t>
  </si>
  <si>
    <t>PBH103</t>
  </si>
  <si>
    <t>PIONEER RECESSED MT SINGLE WHT</t>
  </si>
  <si>
    <t>PBA103</t>
  </si>
  <si>
    <t>LOW PROFILE PEDESTAL MOUNT WHT</t>
  </si>
  <si>
    <t>PH1LPED</t>
  </si>
  <si>
    <t>PIONEER+ DUAL UNIV BAIL MT WHT</t>
  </si>
  <si>
    <t>PBH206U</t>
  </si>
  <si>
    <t>PIONEER DUAL SIDE MT BAIL WHT</t>
  </si>
  <si>
    <t>PBA206U</t>
  </si>
  <si>
    <t>PIONEER+ SINGLE UNIV BAIL MT W</t>
  </si>
  <si>
    <t>PBH106U</t>
  </si>
  <si>
    <t>PIONEER SINGLE SIDE MT BAIL WH</t>
  </si>
  <si>
    <t>PBA106U</t>
  </si>
  <si>
    <t>PIONEER MAX FLOOD/SPOT 115VAC</t>
  </si>
  <si>
    <t>PCP3A</t>
  </si>
  <si>
    <t>PIONEER MAX FLOOD/SPOT 12V WHT</t>
  </si>
  <si>
    <t>PCP3</t>
  </si>
  <si>
    <t>PIONEER DUAL SPOT/FLOOD 115VAC</t>
  </si>
  <si>
    <t>PCP2ASF</t>
  </si>
  <si>
    <t>PIONEER DUAL FLOOD/SPOT 115VAC</t>
  </si>
  <si>
    <t>PCP2AFS</t>
  </si>
  <si>
    <t>PIONEER+ DUAL FLOOD 115VAC WHT</t>
  </si>
  <si>
    <t>PFP2AC</t>
  </si>
  <si>
    <t>SINGLE PIONEER SPOT LP PED MT</t>
  </si>
  <si>
    <t>PSP1ALP</t>
  </si>
  <si>
    <t>PIONEER+ SINGLE 8D SPOT 115VAC</t>
  </si>
  <si>
    <t>PSP1AC</t>
  </si>
  <si>
    <t>PIONEER+ SINGLE FLOOD 115VAC</t>
  </si>
  <si>
    <t>PFP1AC</t>
  </si>
  <si>
    <t>PIONEER+ DUAL COMBO 12V WHT</t>
  </si>
  <si>
    <t>PCH2</t>
  </si>
  <si>
    <t>PIONEER+ DUAL FLOOD 12V WHT</t>
  </si>
  <si>
    <t>PFH2</t>
  </si>
  <si>
    <t>PIONEER+ SINGLE COMBO 12V WHT</t>
  </si>
  <si>
    <t>PCH1</t>
  </si>
  <si>
    <t>PIONEER+ SINGLE FLOOD 12V WHT</t>
  </si>
  <si>
    <t>PFH1</t>
  </si>
  <si>
    <t>NANO6 UNDER BAR MOUNT KIT PAIR</t>
  </si>
  <si>
    <t>NPBKT4</t>
  </si>
  <si>
    <t>NANO3 UNDER BAR MOUNT KIT PAIR</t>
  </si>
  <si>
    <t>NPBKT3</t>
  </si>
  <si>
    <t>NANO-6 PIONEER BAIL MT 12V BLK</t>
  </si>
  <si>
    <t>NANO-6 PIONEER BAIL MT 12V WHT</t>
  </si>
  <si>
    <t>NP6BW</t>
  </si>
  <si>
    <t>NANO-3 PIONEER BAIL MT 12V BLK</t>
  </si>
  <si>
    <t>NANO-3 PIONEER BAIL MT 12V WHT</t>
  </si>
  <si>
    <t>NP3BW</t>
  </si>
  <si>
    <t>MICRO PIONEER 15D RECESS 12V</t>
  </si>
  <si>
    <t>MPR15B</t>
  </si>
  <si>
    <t>MPR15W</t>
  </si>
  <si>
    <t>MICRO PIONEER RECESS 12V BLK</t>
  </si>
  <si>
    <t>MPRB</t>
  </si>
  <si>
    <t>MICRO PIONEER RECESS 12V WHT</t>
  </si>
  <si>
    <t>MPRW</t>
  </si>
  <si>
    <t>MICRO PIONEER LP PED MT 12V BK</t>
  </si>
  <si>
    <t>MPPBCS</t>
  </si>
  <si>
    <t>MPPBBS</t>
  </si>
  <si>
    <t>MPPB</t>
  </si>
  <si>
    <t>MICRO PIONEER LP PED MT 12V WH</t>
  </si>
  <si>
    <t>MPPWCS</t>
  </si>
  <si>
    <t>MPPW</t>
  </si>
  <si>
    <t>MICRO PIONEER BAIL MT 12V BLK</t>
  </si>
  <si>
    <t>MICRO PIONEER BAIL MT 12V WHT</t>
  </si>
  <si>
    <t>MPBW</t>
  </si>
  <si>
    <t>PERIMETER LIGHT RED/WHT YELLOW</t>
  </si>
  <si>
    <t>PEL2YD</t>
  </si>
  <si>
    <t>PERIMETER LIGHT RED/WHT RED</t>
  </si>
  <si>
    <t>PEL2RD</t>
  </si>
  <si>
    <t>PERIMETER LIGHT AMB/WHT WHITE</t>
  </si>
  <si>
    <t>PEL2WF</t>
  </si>
  <si>
    <t>PERIMETER LIGHT BLU/EHT WHITE</t>
  </si>
  <si>
    <t>PEL2WE</t>
  </si>
  <si>
    <t>PERIMETER LIGHT RED/WHT WHITE</t>
  </si>
  <si>
    <t>PEL2WD</t>
  </si>
  <si>
    <t>PERIMETER LIGHT AMB/WHT BLACK</t>
  </si>
  <si>
    <t>PEL2BF</t>
  </si>
  <si>
    <t>PERIMETER LIGHT BLU/WHT BLACK</t>
  </si>
  <si>
    <t>PEL2BE</t>
  </si>
  <si>
    <t>PERIMETER LIGHT RED/WHT BLACK</t>
  </si>
  <si>
    <t>PEL2BD</t>
  </si>
  <si>
    <t>PERIMETER LIGHT AMB/WHT CHROME</t>
  </si>
  <si>
    <t>PEL2CF</t>
  </si>
  <si>
    <t>PERIMETER LIGHT BLU/WHT CHROME</t>
  </si>
  <si>
    <t>PEL2CE</t>
  </si>
  <si>
    <t>PERIMETER LIGHT RED/WHT CHROME</t>
  </si>
  <si>
    <t>PEL2CD</t>
  </si>
  <si>
    <t>PERIMETER LIGHT RED WHITE</t>
  </si>
  <si>
    <t>PEL2WR</t>
  </si>
  <si>
    <t>PERIMETER LIGHT BLUE WHITE</t>
  </si>
  <si>
    <t>PEL2WB</t>
  </si>
  <si>
    <t>PERIMETER LIGHT AMBER BLACK</t>
  </si>
  <si>
    <t>PEL2WA</t>
  </si>
  <si>
    <t>PERIMETER LIGHT RED BLACK</t>
  </si>
  <si>
    <t>PEL2BR</t>
  </si>
  <si>
    <t>PERIMETER LIGHT BLUE BLACK</t>
  </si>
  <si>
    <t>PEL2BB</t>
  </si>
  <si>
    <t>PEL2BA</t>
  </si>
  <si>
    <t>PERIMETER LIGHT RED CHROME</t>
  </si>
  <si>
    <t>PEL2CR</t>
  </si>
  <si>
    <t>PERIMETER LIGHT BLUE CHROME</t>
  </si>
  <si>
    <t>PEL2CB</t>
  </si>
  <si>
    <t>PERIMETER LIGHT AMBER CHROME</t>
  </si>
  <si>
    <t>PEL2CA</t>
  </si>
  <si>
    <t>PAR46 WARN/SPOT R/W RUBBER HSG</t>
  </si>
  <si>
    <t>P46S3RH</t>
  </si>
  <si>
    <t>PAR46 WARN/SPOT B/W RUBBER HSG</t>
  </si>
  <si>
    <t>P46S3BH</t>
  </si>
  <si>
    <t>PAR-46 WARN/SPOT R/W 3-STATE</t>
  </si>
  <si>
    <t>P46S2R3</t>
  </si>
  <si>
    <t>PAR-46 WARN/SPOT B/W 3-STATE</t>
  </si>
  <si>
    <t>P46S2B3</t>
  </si>
  <si>
    <t>PAR-46 SPOT/WARN WHT/RED CAL</t>
  </si>
  <si>
    <t>P46S2X2</t>
  </si>
  <si>
    <t>PAR-46 WARN/SPOT RED/WHT CAL</t>
  </si>
  <si>
    <t>P46S2X</t>
  </si>
  <si>
    <t>PAR-46 WARN/SPOT RED/WHT 12V</t>
  </si>
  <si>
    <t>P46S2R</t>
  </si>
  <si>
    <t>PAR-46 WARN/SPOT BLU/WHT 12V</t>
  </si>
  <si>
    <t>P46S2B</t>
  </si>
  <si>
    <t>PAR46 LED HANDHELD SPOT 12V</t>
  </si>
  <si>
    <t>P46HHS</t>
  </si>
  <si>
    <t>PAR-46 LED SPOT 12V RUBBER HSG</t>
  </si>
  <si>
    <t>P46SLCHG</t>
  </si>
  <si>
    <t>PAR-46 20X60 LED FLOOD 12V SMK</t>
  </si>
  <si>
    <t>P46WLCX</t>
  </si>
  <si>
    <t>PAR-46 20X60 LED FLOOD LT RED</t>
  </si>
  <si>
    <t>P46WLR</t>
  </si>
  <si>
    <t>PAR-46 20X60 LED FLOOD LT 12V</t>
  </si>
  <si>
    <t>P46WLC</t>
  </si>
  <si>
    <t>PAR-46 20X60 LED FLOOD LT BLUE</t>
  </si>
  <si>
    <t>P46WLB</t>
  </si>
  <si>
    <t>PAR-46 20X60 LED FLOOD LT AMB</t>
  </si>
  <si>
    <t>P46WLA</t>
  </si>
  <si>
    <t>PAR-46 8D LED SPOT LT 12V SMK</t>
  </si>
  <si>
    <t>P46FLCX</t>
  </si>
  <si>
    <t>PAR-46 8 DEG LED SPOT RED 12V</t>
  </si>
  <si>
    <t>P46FLR</t>
  </si>
  <si>
    <t>PAR-46 8 DEG LED SPOT GRN 12V</t>
  </si>
  <si>
    <t>P46FLG</t>
  </si>
  <si>
    <t>PAR-46 8 DEG LED SPOT LT 12V</t>
  </si>
  <si>
    <t>P46FLC</t>
  </si>
  <si>
    <t>PAR-46 8 DEG LED SPOT BLU 12V</t>
  </si>
  <si>
    <t>P46FLB</t>
  </si>
  <si>
    <t>PAR-46 8 DEG LED SPOT AMB 12V</t>
  </si>
  <si>
    <t>P46FLA</t>
  </si>
  <si>
    <t>PAR-46 LED SPOT LT 12V SMOKE</t>
  </si>
  <si>
    <t>P46SCX</t>
  </si>
  <si>
    <t>PAR-46 SUPER-LED SPOT LT 12V</t>
  </si>
  <si>
    <t>P46SC</t>
  </si>
  <si>
    <t>12 LED SWIVEL MT SPOT LT W/ SW</t>
  </si>
  <si>
    <t>PSBS12S</t>
  </si>
  <si>
    <t>6 LED SWIVEL MT SPOT LT W/ SW</t>
  </si>
  <si>
    <t>PSBS6S</t>
  </si>
  <si>
    <t>12 LED SWIVEL MT FLOOD LT W/SW</t>
  </si>
  <si>
    <t>PFBS12S</t>
  </si>
  <si>
    <t>6 LED SWIVEL MT FLOOD LT W/SW</t>
  </si>
  <si>
    <t>PFBS6S</t>
  </si>
  <si>
    <t>6 LED SPOT LT STUD MT CHROME</t>
  </si>
  <si>
    <t>PSBS6C</t>
  </si>
  <si>
    <t>6 LED SPOT LT STUD MT BLACK</t>
  </si>
  <si>
    <t>PSBS6</t>
  </si>
  <si>
    <t>12 LED SPOT LT STUD MT CHROME</t>
  </si>
  <si>
    <t>PSBS12C</t>
  </si>
  <si>
    <t>12 LED SPOT LT STUD MT BLACK</t>
  </si>
  <si>
    <t>PSBS12</t>
  </si>
  <si>
    <t>6 LED FLOOD LT STUD MT CHROME</t>
  </si>
  <si>
    <t>PFBS6C</t>
  </si>
  <si>
    <t>6 LED FLOOD LT STUD MT BLACK</t>
  </si>
  <si>
    <t>PFBS6</t>
  </si>
  <si>
    <t>12 LED FLOOD LT STUD MT CHROME</t>
  </si>
  <si>
    <t>PFBS12C</t>
  </si>
  <si>
    <t>12 LED FLOOD LT STUD MT BLACK</t>
  </si>
  <si>
    <t>PFBS12</t>
  </si>
  <si>
    <t>6 LED SPOT PEDESTAL MT CHROME</t>
  </si>
  <si>
    <t>PSBP6C</t>
  </si>
  <si>
    <t>6 LED SPOT PEDESTAL MT BLACK</t>
  </si>
  <si>
    <t>PSBP6</t>
  </si>
  <si>
    <t>12 LED SPOT PEDESTAL MT CHROME</t>
  </si>
  <si>
    <t>PSBP12C</t>
  </si>
  <si>
    <t>12 LED SPOT PEDESTAL MT BLACK</t>
  </si>
  <si>
    <t>PSBP12</t>
  </si>
  <si>
    <t>6 LED FLOOD PEDESTAL MT CHROME</t>
  </si>
  <si>
    <t>PFBP6C</t>
  </si>
  <si>
    <t>6 LED FLOOD PEDESTAL MT BLACK</t>
  </si>
  <si>
    <t>PFBP6</t>
  </si>
  <si>
    <t>12 LED FLOOD PEDESTAL MT CHROM</t>
  </si>
  <si>
    <t>PFBP12C</t>
  </si>
  <si>
    <t>12 LED FLOOD PEDESTAL MT BLACK</t>
  </si>
  <si>
    <t>PFBP12</t>
  </si>
  <si>
    <t>PAR36 SUPER-LED WORK LT LEVEL</t>
  </si>
  <si>
    <t>3PC0C0CD</t>
  </si>
  <si>
    <t>PAR36 LED HANDHELD SPOT 12/24V</t>
  </si>
  <si>
    <t>P36HHS</t>
  </si>
  <si>
    <t>PAR-36 LED SPOT 12/24V W/ HSG</t>
  </si>
  <si>
    <t>PAR-36 LED CLEAR 12/24V</t>
  </si>
  <si>
    <t>P36SLC</t>
  </si>
  <si>
    <t>MIRROR-BEAM MT ION-V RED/SMK</t>
  </si>
  <si>
    <t>MBXONVR</t>
  </si>
  <si>
    <t>MIRROR-BEAM MT ION-V BLU/SMK</t>
  </si>
  <si>
    <t>MBXONVB</t>
  </si>
  <si>
    <t>MIRROR-BEAM MT ION-V LT RED</t>
  </si>
  <si>
    <t>MBIONVR</t>
  </si>
  <si>
    <t>MIRROR-BEAM MT ION-V LT WHTE</t>
  </si>
  <si>
    <t>MBIONVC</t>
  </si>
  <si>
    <t>MIRROR-BEAM MT ION-V LT BLUE</t>
  </si>
  <si>
    <t>MBIONVB</t>
  </si>
  <si>
    <t>MIRROR-BEAM MT ION-V LT AMBER</t>
  </si>
  <si>
    <t>MBIONVA</t>
  </si>
  <si>
    <t>MIRROR-BEAM MT ION DUO R-B/SMK</t>
  </si>
  <si>
    <t>MBXI2J</t>
  </si>
  <si>
    <t>MIRROR-BEAM MT ION DUO B-W/SMK</t>
  </si>
  <si>
    <t>MBXI2E</t>
  </si>
  <si>
    <t>MIRROR-BEAM MT ION DUO R-W/SMK</t>
  </si>
  <si>
    <t>MBXI2D</t>
  </si>
  <si>
    <t>MIRROR-BEAM MT ION DUO B/A</t>
  </si>
  <si>
    <t>MBI2M</t>
  </si>
  <si>
    <t>MIRROR-BEAM MT ION DUO R/A</t>
  </si>
  <si>
    <t>MBI2K</t>
  </si>
  <si>
    <t>MIRROR-BEAM MT ION DUO R/B</t>
  </si>
  <si>
    <t>MBI2J</t>
  </si>
  <si>
    <t>MIRROR-BEAM MT ION DUO A/W</t>
  </si>
  <si>
    <t>MBI2F</t>
  </si>
  <si>
    <t>MIRROR-BEAM MT ION DUO B/W</t>
  </si>
  <si>
    <t>MBI2E</t>
  </si>
  <si>
    <t>MIRROR-BEAM MT ION DUO R/W</t>
  </si>
  <si>
    <t>MBI2D</t>
  </si>
  <si>
    <t>MIRROR-BEAM MT ION RED/SMK</t>
  </si>
  <si>
    <t>MBXONR</t>
  </si>
  <si>
    <t>MIRROR-BEAM MT ION BLU/SMK</t>
  </si>
  <si>
    <t>MBXONB</t>
  </si>
  <si>
    <t>ION MIRROR-BEAM HSGS UTILITY</t>
  </si>
  <si>
    <t>MBFX20</t>
  </si>
  <si>
    <t>ION MIRROR-BEAM HSGS DURANGO</t>
  </si>
  <si>
    <t>MBDD19</t>
  </si>
  <si>
    <t>ION MIRROR-BEAM HSGS CHARGER</t>
  </si>
  <si>
    <t>MBDC11</t>
  </si>
  <si>
    <t>ION MIRROR-BEAM HSGS '21 TAHOE</t>
  </si>
  <si>
    <t>MBCT21</t>
  </si>
  <si>
    <t>MICRON REAR DECK MTG CHARGER</t>
  </si>
  <si>
    <t>MCRNB3</t>
  </si>
  <si>
    <t>MICRON LICENSE PLATE BKT HORIZ</t>
  </si>
  <si>
    <t>MCRNB2</t>
  </si>
  <si>
    <t>MICRON "L" ANGLE MOUNTING KIT</t>
  </si>
  <si>
    <t>MCRNB1</t>
  </si>
  <si>
    <t>STUD MNT MICRON AMB/BLU SMOKE</t>
  </si>
  <si>
    <t>MCRNTMX</t>
  </si>
  <si>
    <t>STUD MNT MICRON RED/AMB SMOKE</t>
  </si>
  <si>
    <t>MCRNTKX</t>
  </si>
  <si>
    <t>STUD MNT MICRON RED/BLU SMOKE</t>
  </si>
  <si>
    <t>MCRNTJX</t>
  </si>
  <si>
    <t>STUD MNT MICRON AMB/WHT SMOKE</t>
  </si>
  <si>
    <t>MCRNTFX</t>
  </si>
  <si>
    <t>STUD MNT MICRON BLU/WHT SMOKE</t>
  </si>
  <si>
    <t>MCRNTEX</t>
  </si>
  <si>
    <t>STUD MNT MICRON RED/WHT SMOKE</t>
  </si>
  <si>
    <t>MCRNTDX</t>
  </si>
  <si>
    <t>STUD MOUNT MICRON RED SMOKE</t>
  </si>
  <si>
    <t>MCRNTRX</t>
  </si>
  <si>
    <t>STUD MOUNT MICRON GREEN SMOKE</t>
  </si>
  <si>
    <t>MCRNTGX</t>
  </si>
  <si>
    <t>STUD MOUNT MICRON WHITE SMOKE</t>
  </si>
  <si>
    <t>MCRNTCX</t>
  </si>
  <si>
    <t>STUD MOUNT MICRON BLUE SMOKE</t>
  </si>
  <si>
    <t>MCRNTBX</t>
  </si>
  <si>
    <t>STUD MOUNT MICRON AMBER SMOKE</t>
  </si>
  <si>
    <t>MCRNTAX</t>
  </si>
  <si>
    <t>STUD MOUNT MICRON BLU/AMB</t>
  </si>
  <si>
    <t>MCRNTM</t>
  </si>
  <si>
    <t>STUD MOUNT MICRON RED/AMB</t>
  </si>
  <si>
    <t>MCRNTK</t>
  </si>
  <si>
    <t>STUD MOUNT MICRON RED/BLU</t>
  </si>
  <si>
    <t>MCRNTJ</t>
  </si>
  <si>
    <t>STUD MOUNT MICRON AMB/WHT</t>
  </si>
  <si>
    <t>MCRNTF</t>
  </si>
  <si>
    <t>STUD MOUNT MICRON BLU/WHT</t>
  </si>
  <si>
    <t>MCRNTE</t>
  </si>
  <si>
    <t>STUD MOUNT MICRON RED/WHT</t>
  </si>
  <si>
    <t>MCRNTD</t>
  </si>
  <si>
    <t>STUD MOUNT MICRON RED</t>
  </si>
  <si>
    <t>MCRNTR</t>
  </si>
  <si>
    <t>STUD MOUNT MICRON WHITE</t>
  </si>
  <si>
    <t>MCRNTC</t>
  </si>
  <si>
    <t>STUD MOUNT MICRON BLUE</t>
  </si>
  <si>
    <t>MCRNTB</t>
  </si>
  <si>
    <t>STUD MOUNT MICRON AMBER</t>
  </si>
  <si>
    <t>MCRNTA</t>
  </si>
  <si>
    <t>SURFACE MT MICRON B/A CHROME</t>
  </si>
  <si>
    <t>MCRNSCM</t>
  </si>
  <si>
    <t>SURFACE MT MICRON R/A CHROME</t>
  </si>
  <si>
    <t>MCRNSCK</t>
  </si>
  <si>
    <t>SURFACE MT MICRON R/B CHROME</t>
  </si>
  <si>
    <t>MCRNSCJ</t>
  </si>
  <si>
    <t>SURFACE MT MICRON A/W CHROME</t>
  </si>
  <si>
    <t>MCRNSCF</t>
  </si>
  <si>
    <t>SURFACE MT MICRON B/W CHROME</t>
  </si>
  <si>
    <t>MCRNSCE</t>
  </si>
  <si>
    <t>SURFACE MT MICRON R/W CHROME</t>
  </si>
  <si>
    <t>MCRNSCD</t>
  </si>
  <si>
    <t>SURFACE MT MICRON RED CHROME</t>
  </si>
  <si>
    <t>MCRNSCR</t>
  </si>
  <si>
    <t>SURFACE MT MICRON GREEN CHROME</t>
  </si>
  <si>
    <t>MCRNSCG</t>
  </si>
  <si>
    <t>SURFACE MT MICRON WHITE CHROME</t>
  </si>
  <si>
    <t>MCRNSCC</t>
  </si>
  <si>
    <t>SURFACE MT MICRON BLUE CHROME</t>
  </si>
  <si>
    <t>MCRNSCB</t>
  </si>
  <si>
    <t>SURFACE MT MICRON AMBER CHROME</t>
  </si>
  <si>
    <t>MCRNSCA</t>
  </si>
  <si>
    <t>SURFACE MT MICRON A/B BLK SMK</t>
  </si>
  <si>
    <t>MCRNSMX</t>
  </si>
  <si>
    <t>SURFACE MT MICRON R/A BLK SMK</t>
  </si>
  <si>
    <t>MCRNSKX</t>
  </si>
  <si>
    <t>SURFACE MT MICRON R/B BLK SMK</t>
  </si>
  <si>
    <t>MCRNSJX</t>
  </si>
  <si>
    <t>SURFACE MT MICRON A/W BLK SMK</t>
  </si>
  <si>
    <t>MCRNSFX</t>
  </si>
  <si>
    <t>SURFACE MT MICRON B/W BLK SMK</t>
  </si>
  <si>
    <t>MCRNSEX</t>
  </si>
  <si>
    <t>SURFACE MT MICRON R/W BLK SMK</t>
  </si>
  <si>
    <t>MCRNSDX</t>
  </si>
  <si>
    <t>SURFACE MT MICRON RED SMK BLK</t>
  </si>
  <si>
    <t>MCRNSRX</t>
  </si>
  <si>
    <t>SURFACE MT MICRON GRN SMK BLK</t>
  </si>
  <si>
    <t>MCRNSGX</t>
  </si>
  <si>
    <t>SURFACE MT MICRON WHT SMK BLK</t>
  </si>
  <si>
    <t>MCRNSCX</t>
  </si>
  <si>
    <t>SURFACE MT MICRON BLU SMK BLK</t>
  </si>
  <si>
    <t>MCRNSBX</t>
  </si>
  <si>
    <t>SURFACE MT MICRON AMB SMK BLK</t>
  </si>
  <si>
    <t>MCRNSAX</t>
  </si>
  <si>
    <t>SURFACE MT MICRON A/B BLACK</t>
  </si>
  <si>
    <t>MCRNSM</t>
  </si>
  <si>
    <t>SURFACE MT MICRON R/A BLACK</t>
  </si>
  <si>
    <t>MCRNSK</t>
  </si>
  <si>
    <t>SURFACE MT MICRON R/B BLACK</t>
  </si>
  <si>
    <t>MCRNSJ</t>
  </si>
  <si>
    <t>SURFACE MT MICRON A/W BLACK</t>
  </si>
  <si>
    <t>MCRNSF</t>
  </si>
  <si>
    <t>SURFACE MT MICRON B/W BLACK</t>
  </si>
  <si>
    <t>MCRNSE</t>
  </si>
  <si>
    <t>SURFACE MT MICRON R/W BLACK</t>
  </si>
  <si>
    <t>MCRNSD</t>
  </si>
  <si>
    <t>SURFACE MT MICRON RED BLACK</t>
  </si>
  <si>
    <t>MCRNSR</t>
  </si>
  <si>
    <t>SURFACE MT MICRON WHITE BLACK</t>
  </si>
  <si>
    <t>MCRNSC</t>
  </si>
  <si>
    <t>SURFACE MT MICRON BLUE BLACK</t>
  </si>
  <si>
    <t>MCRNSB</t>
  </si>
  <si>
    <t>SURFACE MT MICRON AMBER BLACK</t>
  </si>
  <si>
    <t>MCRNSA</t>
  </si>
  <si>
    <t>MICRO FREEDOM LTHEAD, RED/AMB</t>
  </si>
  <si>
    <t>MCFLEDRA</t>
  </si>
  <si>
    <t>MICRO FREEDOM LTHEAD, AMB/RED</t>
  </si>
  <si>
    <t>MCFLEDAR</t>
  </si>
  <si>
    <t>MICRO FREEDOM LTHEAD, BLU/RED</t>
  </si>
  <si>
    <t>MCFLEDBR</t>
  </si>
  <si>
    <t>MICRO FREEDOM LTHEAD, RED/BLU</t>
  </si>
  <si>
    <t>MCFLEDRB</t>
  </si>
  <si>
    <t>MICRO FREEDOM LTHEAD, WHT/AMB</t>
  </si>
  <si>
    <t>MCFLEDCA</t>
  </si>
  <si>
    <t>MICRO FREEDOM LTHEAD, AMB/WHT</t>
  </si>
  <si>
    <t>MCFLEDAC</t>
  </si>
  <si>
    <t>MICRO FREEDOM LTHEAD, WHT/BLU</t>
  </si>
  <si>
    <t>MCFLEDCB</t>
  </si>
  <si>
    <t>MICRO FREEDOM LTHEAD, BLU/WHT</t>
  </si>
  <si>
    <t>MCFLEDBC</t>
  </si>
  <si>
    <t>MICRO FREEDOM LIGHTHEAD, RED</t>
  </si>
  <si>
    <t>MCFLED2R</t>
  </si>
  <si>
    <t>MICRO FREEDOM LTHEAD, WHITE</t>
  </si>
  <si>
    <t>MCFLED2C</t>
  </si>
  <si>
    <t>MICRO FREEDOM LTHEAD. BLUE</t>
  </si>
  <si>
    <t>MCFLED2B</t>
  </si>
  <si>
    <t>MICRO FREEDOM LTHEAD. AMBER</t>
  </si>
  <si>
    <t>MCFLED2A</t>
  </si>
  <si>
    <t>M9 FLANGE REAR D&amp;P HI ROOF</t>
  </si>
  <si>
    <t>M9HTH5RC</t>
  </si>
  <si>
    <t>M9 FLANGE FRONT D&amp;P HI ROOF</t>
  </si>
  <si>
    <t>M9HTH5FC</t>
  </si>
  <si>
    <t>M9 FLANGE REAR D&amp;P MID ROOF</t>
  </si>
  <si>
    <t>M9HTM5RC</t>
  </si>
  <si>
    <t>M9 FLANGE FRONT D&amp;P MID ROOF</t>
  </si>
  <si>
    <t>M9HTM5FC</t>
  </si>
  <si>
    <t>M9 SMOKE LENS/REFLECTOR OPTION</t>
  </si>
  <si>
    <t>M9WLENX</t>
  </si>
  <si>
    <t>M9V/900 CONVERT FLANGE CHROME</t>
  </si>
  <si>
    <t>M9VFC900</t>
  </si>
  <si>
    <t>M9 SCENE TO 900 FLANGE CHROME</t>
  </si>
  <si>
    <t>M9FCZ900</t>
  </si>
  <si>
    <t>M9 2 900 CONVERT FLANGE CHROME</t>
  </si>
  <si>
    <t>M9FC900</t>
  </si>
  <si>
    <t>M9 2 900 CONVERT FLANGE BLACK</t>
  </si>
  <si>
    <t>M9FB900</t>
  </si>
  <si>
    <t>M9 SERIES FLANGE BLACK</t>
  </si>
  <si>
    <t>M9FB</t>
  </si>
  <si>
    <t>M9 SERIES FLANGE CHROME</t>
  </si>
  <si>
    <t>M9FC</t>
  </si>
  <si>
    <t>M9 SURFACE MT LED SCENE LT</t>
  </si>
  <si>
    <t>M9LZC</t>
  </si>
  <si>
    <t>M9 EZ SCENELIGHT 12V BLACK</t>
  </si>
  <si>
    <t>M92SLB</t>
  </si>
  <si>
    <t>M9 EZ SCENELIGHT 12V CHROME</t>
  </si>
  <si>
    <t>M92SLC</t>
  </si>
  <si>
    <t>M9 COMBINATION R/B WARN/SCENE</t>
  </si>
  <si>
    <t>M9JCZ</t>
  </si>
  <si>
    <t>M9 COMBINATION RED WARN/SCENE</t>
  </si>
  <si>
    <t>M9RCZ</t>
  </si>
  <si>
    <t>M9 COMBINATION WHT WARN/SCENE</t>
  </si>
  <si>
    <t>M9CCZ</t>
  </si>
  <si>
    <t>M9 COMBINATION BLU WARN/SCENE</t>
  </si>
  <si>
    <t>M9BCZ</t>
  </si>
  <si>
    <t>M9 COMBINATION AMB WARN/SCENE</t>
  </si>
  <si>
    <t>M9ACZ</t>
  </si>
  <si>
    <t>M9 LED STEADY RED W/CLR LENS</t>
  </si>
  <si>
    <t>M9RCS</t>
  </si>
  <si>
    <t>M9 LED STEADY BLU W/CLR LENS</t>
  </si>
  <si>
    <t>M9BCS</t>
  </si>
  <si>
    <t>M9 LED STEADY AMB W/CLR LENS</t>
  </si>
  <si>
    <t>M9ACS</t>
  </si>
  <si>
    <t>M9 LED STEADY RED</t>
  </si>
  <si>
    <t>M9RS</t>
  </si>
  <si>
    <t>M9 LED STEADY WHITE</t>
  </si>
  <si>
    <t>M9CS</t>
  </si>
  <si>
    <t>M9 LED STEADY BLUE</t>
  </si>
  <si>
    <t>M9BS</t>
  </si>
  <si>
    <t>M9 LED STEADY AMBER</t>
  </si>
  <si>
    <t>M9AS</t>
  </si>
  <si>
    <t>M9 LED FLASHER AMBER/BLUE</t>
  </si>
  <si>
    <t>M9M</t>
  </si>
  <si>
    <t>M9 LED FLASHER AMBER/RED</t>
  </si>
  <si>
    <t>M9K</t>
  </si>
  <si>
    <t>M9 LED FLASHER BLUE/RED</t>
  </si>
  <si>
    <t>M9J</t>
  </si>
  <si>
    <t>M9 LED FLASHER GREEN/WHITE</t>
  </si>
  <si>
    <t>M9H</t>
  </si>
  <si>
    <t>M9 LED FLASHER AMBER/WHITE</t>
  </si>
  <si>
    <t>M9F</t>
  </si>
  <si>
    <t>M9 LED FLASHER BLUE/WHITE</t>
  </si>
  <si>
    <t>M9E</t>
  </si>
  <si>
    <t>M9 LED FLASHER WHITE/RED</t>
  </si>
  <si>
    <t>M9D</t>
  </si>
  <si>
    <t>M9 DUO LED FLASHER BLUE/AMBER</t>
  </si>
  <si>
    <t>M9DM</t>
  </si>
  <si>
    <t>M9 DUO LED FLASHER RED/AMBER</t>
  </si>
  <si>
    <t>M9DK</t>
  </si>
  <si>
    <t>M9 DUO LED FLASHER RED/BLUE</t>
  </si>
  <si>
    <t>M9DJ</t>
  </si>
  <si>
    <t>M9 DUO LED FLASHER AMBER/WHITE</t>
  </si>
  <si>
    <t>M9DF</t>
  </si>
  <si>
    <t>M9 DUO LED FLASHER BLUE/WHITE</t>
  </si>
  <si>
    <t>M9DE</t>
  </si>
  <si>
    <t>M9 DUO LED FLASHER RED/WHITE</t>
  </si>
  <si>
    <t>M9DD</t>
  </si>
  <si>
    <t>M9 LED FLASHER RED W/CLR LENS</t>
  </si>
  <si>
    <t>M9RC</t>
  </si>
  <si>
    <t>M9 LED FLASHER GRN W/CLR LENS</t>
  </si>
  <si>
    <t>M9GC</t>
  </si>
  <si>
    <t>M9 LED FLASHER BLU W/CLR LENS</t>
  </si>
  <si>
    <t>M9BC</t>
  </si>
  <si>
    <t>M9 LED FLASHER AMB W/CLR LENS</t>
  </si>
  <si>
    <t>M9AC</t>
  </si>
  <si>
    <t>M9 LED FLASHER RED</t>
  </si>
  <si>
    <t>M9R</t>
  </si>
  <si>
    <t>M9 LED FLASHER WHITE</t>
  </si>
  <si>
    <t>M9C</t>
  </si>
  <si>
    <t>M9 LED FLASHER BLUE</t>
  </si>
  <si>
    <t>M9B</t>
  </si>
  <si>
    <t>M9 LED FLASHER AMBER</t>
  </si>
  <si>
    <t>M9A</t>
  </si>
  <si>
    <t>M9 V-SERIES LIGHT RED/CLEAR</t>
  </si>
  <si>
    <t>M9V2RC</t>
  </si>
  <si>
    <t>M9 V-SERIES LIGHT BLUE/CLEAR</t>
  </si>
  <si>
    <t>M9V2BC</t>
  </si>
  <si>
    <t>M9 V-SERIES LIGHT AMBER/CLEAR</t>
  </si>
  <si>
    <t>M9V2AC</t>
  </si>
  <si>
    <t>M9 V-SERIES LIGHT RED</t>
  </si>
  <si>
    <t>M9V2R</t>
  </si>
  <si>
    <t>M9 V-SERIES LIGHT WHITE</t>
  </si>
  <si>
    <t>M9V2C</t>
  </si>
  <si>
    <t>M9 V-SERIES LIGHT BLUE</t>
  </si>
  <si>
    <t>M9V2B</t>
  </si>
  <si>
    <t>M9 V-SERIES LIGHT AMBER</t>
  </si>
  <si>
    <t>M9V2A</t>
  </si>
  <si>
    <t>M7 SMOKE LENS/REFLECTOR OPTION</t>
  </si>
  <si>
    <t>M7WLENX</t>
  </si>
  <si>
    <t>M7 UNIVERSAL MOUTING BRACKET</t>
  </si>
  <si>
    <t>M7BKT1</t>
  </si>
  <si>
    <t>M7 SERIES BRUSH GUARD</t>
  </si>
  <si>
    <t>M7BRUSH</t>
  </si>
  <si>
    <t>M7 2 700 CONVERT FLANGE CHROME</t>
  </si>
  <si>
    <t>M7FC700</t>
  </si>
  <si>
    <t>M7 2 700 CONVERT FLANGE BLACK</t>
  </si>
  <si>
    <t>M7FB700</t>
  </si>
  <si>
    <t>DUAL M7 SERIES FLANGE BLACK</t>
  </si>
  <si>
    <t>M7F2B</t>
  </si>
  <si>
    <t>DUAL M7 SERIES FLANGE CHROME</t>
  </si>
  <si>
    <t>M7F2C</t>
  </si>
  <si>
    <t>M7 SERIES FLANGE BLACK</t>
  </si>
  <si>
    <t>M7FB</t>
  </si>
  <si>
    <t>M7 SERIES FLANGE CHROME</t>
  </si>
  <si>
    <t>M7FC</t>
  </si>
  <si>
    <t>M7 LED SCENE LIGHT 12V</t>
  </si>
  <si>
    <t>M7ZC</t>
  </si>
  <si>
    <t>M7 LED STEADY RED W/CLR LENS</t>
  </si>
  <si>
    <t>M7RCS</t>
  </si>
  <si>
    <t>M7 LED STEADY BLU W/CLR LENS</t>
  </si>
  <si>
    <t>M7BCS</t>
  </si>
  <si>
    <t>M7 LED STEADY AMB W/CLR LENS</t>
  </si>
  <si>
    <t>M7ACS</t>
  </si>
  <si>
    <t>M7 LED STEADY RED</t>
  </si>
  <si>
    <t>M7RS</t>
  </si>
  <si>
    <t>M7 LED STEADY WHITE</t>
  </si>
  <si>
    <t>M7CS</t>
  </si>
  <si>
    <t>M7 LED STEADY BLUE</t>
  </si>
  <si>
    <t>M7BS</t>
  </si>
  <si>
    <t>M7 LED STEADY AMBER</t>
  </si>
  <si>
    <t>M7AS</t>
  </si>
  <si>
    <t>M7 LED FLASHER AMBER/BLUE</t>
  </si>
  <si>
    <t>M7M</t>
  </si>
  <si>
    <t>M7 LED FLASHER AMBER/RED</t>
  </si>
  <si>
    <t>M7K</t>
  </si>
  <si>
    <t>M7 LED FLASHER BLUE/RED</t>
  </si>
  <si>
    <t>M7J</t>
  </si>
  <si>
    <t>M7 LED FLASHER AMBER/WHITE</t>
  </si>
  <si>
    <t>M7F</t>
  </si>
  <si>
    <t>M7 LED FLASHER BLUE/WHITE</t>
  </si>
  <si>
    <t>M7E</t>
  </si>
  <si>
    <t>M7 LED FLASHER WHITE/RED</t>
  </si>
  <si>
    <t>M7D</t>
  </si>
  <si>
    <t>M7 DUO LED FLASHER BLUE/AMBER</t>
  </si>
  <si>
    <t>M7DM</t>
  </si>
  <si>
    <t>M7 DUO LED FLASHER RED/GREEN</t>
  </si>
  <si>
    <t>M7DL</t>
  </si>
  <si>
    <t>M7 DUO LED FLASHER RED/AMBER</t>
  </si>
  <si>
    <t>M7DK</t>
  </si>
  <si>
    <t>M7 DUO LED FLASHER RED/BLUE</t>
  </si>
  <si>
    <t>M7DJ</t>
  </si>
  <si>
    <t>M7 DUO LED FLASHER AMBER/WHITE</t>
  </si>
  <si>
    <t>M7DF</t>
  </si>
  <si>
    <t>M7 DUO LED FLASHER BLUE/WHITE</t>
  </si>
  <si>
    <t>M7DE</t>
  </si>
  <si>
    <t>M7 DUO LED FLASHER RED/WHITE</t>
  </si>
  <si>
    <t>M7DD</t>
  </si>
  <si>
    <t>M7 LED FLASHER RED W/CLR LENS</t>
  </si>
  <si>
    <t>M7RC</t>
  </si>
  <si>
    <t>M7 LED FLASHER GRN W/CLR LENS</t>
  </si>
  <si>
    <t>M7GC</t>
  </si>
  <si>
    <t>M7 LED FLASHER BLU W/CLR LENS</t>
  </si>
  <si>
    <t>M7BC</t>
  </si>
  <si>
    <t>M7 LED FLASHER AMB W/CLR LENS</t>
  </si>
  <si>
    <t>M7AC</t>
  </si>
  <si>
    <t>M7 LED FLASHER RED</t>
  </si>
  <si>
    <t>M7R</t>
  </si>
  <si>
    <t>M7 LED FLASHER WHITE</t>
  </si>
  <si>
    <t>M7C</t>
  </si>
  <si>
    <t>M7 LED FLASHER BLUE</t>
  </si>
  <si>
    <t>M7B</t>
  </si>
  <si>
    <t>M7 LED FLASHER AMBER</t>
  </si>
  <si>
    <t>M7A</t>
  </si>
  <si>
    <t>M6 SMOKE LENS/REFLECTOR OPTION</t>
  </si>
  <si>
    <t>M6WLENX</t>
  </si>
  <si>
    <t>FRONT LT POD HIGH ROOF TRANSIT</t>
  </si>
  <si>
    <t>M6PTH5F</t>
  </si>
  <si>
    <t>FRONT LT POD MID ROOF TRANSIT</t>
  </si>
  <si>
    <t>M6PTM5F</t>
  </si>
  <si>
    <t>4-LT M6 VERTICAL FLANGE CHROME</t>
  </si>
  <si>
    <t>M6FCV4</t>
  </si>
  <si>
    <t>3-LT M6 VERTICAL FLANGE CHROME</t>
  </si>
  <si>
    <t>M6FCV3</t>
  </si>
  <si>
    <t>2-LT M6 VERTICAL FLANGE CHROME</t>
  </si>
  <si>
    <t>M6FCV2</t>
  </si>
  <si>
    <t>M6 SERIES HEADLIGHT MOUNT KIT</t>
  </si>
  <si>
    <t>M6HDLMTK</t>
  </si>
  <si>
    <t>M6 SERIES HEADLIGHT MT KIT BLK</t>
  </si>
  <si>
    <t>M6HDLMKB</t>
  </si>
  <si>
    <t>PUSH BUMPER MT ANGLED BKT KIT</t>
  </si>
  <si>
    <t>6BKT2</t>
  </si>
  <si>
    <t>PUSH BUMPER MT "L" BKT KIT</t>
  </si>
  <si>
    <t>6BKT1</t>
  </si>
  <si>
    <t>M6 SERIES BRUSH GUARD</t>
  </si>
  <si>
    <t>M6BRUSH</t>
  </si>
  <si>
    <t>M6 2 600 CONVERT FLANGE CHROME</t>
  </si>
  <si>
    <t>M6FC600</t>
  </si>
  <si>
    <t>M6 2 600 CONVERT FLANGE BLACK</t>
  </si>
  <si>
    <t>M6FB600</t>
  </si>
  <si>
    <t>15 DEG M6 SCENE FLANGE BLACK</t>
  </si>
  <si>
    <t>M6P15B</t>
  </si>
  <si>
    <t>15 DEG M6 SCENE FLANGE CHROME</t>
  </si>
  <si>
    <t>M6P15C</t>
  </si>
  <si>
    <t>M6 SERIES FLANGE BLACK</t>
  </si>
  <si>
    <t>M6FB</t>
  </si>
  <si>
    <t>M6 SERIES FLANGE CHROME</t>
  </si>
  <si>
    <t>M6FC</t>
  </si>
  <si>
    <t>M6 LED SCENE LT 12V</t>
  </si>
  <si>
    <t>M6ZC</t>
  </si>
  <si>
    <t>M6 EZ SCENE LT 10-30V BLACK</t>
  </si>
  <si>
    <t>M62SLB</t>
  </si>
  <si>
    <t>M6 EZ SCENE LT 10-30V CHROME</t>
  </si>
  <si>
    <t>M62SLC</t>
  </si>
  <si>
    <t>M6 LED STEADY RED W/CLR LENS</t>
  </si>
  <si>
    <t>M6RCS</t>
  </si>
  <si>
    <t>M6 LED STEADY GRN W/CLR LENS</t>
  </si>
  <si>
    <t>M6GCS</t>
  </si>
  <si>
    <t>M6 LED STEADY BLU W/CLR LENS</t>
  </si>
  <si>
    <t>M6BCS</t>
  </si>
  <si>
    <t>M6 LED STEADY AMB W/CLR LENS</t>
  </si>
  <si>
    <t>M6ACS</t>
  </si>
  <si>
    <t>M6 LED STEADY RED</t>
  </si>
  <si>
    <t>M6RS</t>
  </si>
  <si>
    <t>M6 LED STEADY WHITE</t>
  </si>
  <si>
    <t>M6CS</t>
  </si>
  <si>
    <t>M6 LED STEADY BLUE</t>
  </si>
  <si>
    <t>M6BS</t>
  </si>
  <si>
    <t>M6 LED STEADY AMBER</t>
  </si>
  <si>
    <t>M6AS</t>
  </si>
  <si>
    <t>M6 LED FLASHER AMBER/BLUE</t>
  </si>
  <si>
    <t>M6M</t>
  </si>
  <si>
    <t>M6 LED FLASHER AMBER/RED</t>
  </si>
  <si>
    <t>M6K</t>
  </si>
  <si>
    <t>M6 LED FLASHER BLUE/RED</t>
  </si>
  <si>
    <t>M6J</t>
  </si>
  <si>
    <t>M6 LED FLASHER GREEN/WHITE</t>
  </si>
  <si>
    <t>M6H</t>
  </si>
  <si>
    <t>M6 LED FLASHER AMBER/WHITE</t>
  </si>
  <si>
    <t>M6F</t>
  </si>
  <si>
    <t>M6 LED FLASHER BLUE/WHITE</t>
  </si>
  <si>
    <t>M6E</t>
  </si>
  <si>
    <t>M6 LED FLASHER WHITE/RED</t>
  </si>
  <si>
    <t>M6D</t>
  </si>
  <si>
    <t>M6 DUO LED FLASHER BLUE/AMBER</t>
  </si>
  <si>
    <t>M6DM</t>
  </si>
  <si>
    <t>M6 DUO LED FLASHER RED/GREEN</t>
  </si>
  <si>
    <t>M6DL</t>
  </si>
  <si>
    <t>M6 DUO LED FLASHER RED/AMBER</t>
  </si>
  <si>
    <t>M6DK</t>
  </si>
  <si>
    <t>M6 DUO LED FLASHER RED/BLUE</t>
  </si>
  <si>
    <t>M6DJ</t>
  </si>
  <si>
    <t>M6 DUO LED FLASHER GREEN/WHITE</t>
  </si>
  <si>
    <t>M6DH</t>
  </si>
  <si>
    <t>M6 DUO LED FLASHER AMBER/WHITE</t>
  </si>
  <si>
    <t>M6DF</t>
  </si>
  <si>
    <t>M6 DUO LED FLASHER BLUE/WHITE</t>
  </si>
  <si>
    <t>M6DE</t>
  </si>
  <si>
    <t>M6 DUO LED FLASHER RED/WHITE</t>
  </si>
  <si>
    <t>M6DD</t>
  </si>
  <si>
    <t>M6 LED FLASHER RED W/CLR LENS</t>
  </si>
  <si>
    <t>M6RC</t>
  </si>
  <si>
    <t>M6 LED FLASHER BLU W/CLR LENS</t>
  </si>
  <si>
    <t>M6BC</t>
  </si>
  <si>
    <t>M6 LED FLASHER AMB W/CLR LENS</t>
  </si>
  <si>
    <t>M6AC</t>
  </si>
  <si>
    <t>M6 LED FLASHER RED</t>
  </si>
  <si>
    <t>M6R</t>
  </si>
  <si>
    <t>M6 LED FLASHER WHITE</t>
  </si>
  <si>
    <t>M6C</t>
  </si>
  <si>
    <t>M6 LED FLASHER BLUE</t>
  </si>
  <si>
    <t>M6B</t>
  </si>
  <si>
    <t>M6 LED FLASHER AMBER</t>
  </si>
  <si>
    <t>M6A</t>
  </si>
  <si>
    <t>M6 V-SERIES LIGHT RED/CLEAR</t>
  </si>
  <si>
    <t>M6V2RC</t>
  </si>
  <si>
    <t>M6 V-SERIES LIGHT BLUE/CLEAR</t>
  </si>
  <si>
    <t>M6V2BC</t>
  </si>
  <si>
    <t>M6 V-SERIES LIGHT AMBER/CLEAR</t>
  </si>
  <si>
    <t>M6V2AC</t>
  </si>
  <si>
    <t>M6 V-SERIES LIGHT RED</t>
  </si>
  <si>
    <t>M6V2R</t>
  </si>
  <si>
    <t>M6 V-SERIES LIGHT WHITE</t>
  </si>
  <si>
    <t>M6V2C</t>
  </si>
  <si>
    <t>M6 V-SERIES LIGHT BLUE</t>
  </si>
  <si>
    <t>M6V2B</t>
  </si>
  <si>
    <t>M6 V-SERIES LIGHT AMBER</t>
  </si>
  <si>
    <t>M6V2A</t>
  </si>
  <si>
    <t>UNIVERSAL L-MOUNT 400/M4 SER.</t>
  </si>
  <si>
    <t>4BKT1</t>
  </si>
  <si>
    <t>M4 SERIES BRUSH GUARD</t>
  </si>
  <si>
    <t>M4BRUSH</t>
  </si>
  <si>
    <t>M4 TO 400 CONVERT FLANGE CHROM</t>
  </si>
  <si>
    <t>M4FC400</t>
  </si>
  <si>
    <t>M4 SERIES FLANGE BLACK</t>
  </si>
  <si>
    <t>M4FB</t>
  </si>
  <si>
    <t>M4 SERIES FLANGE CHROME</t>
  </si>
  <si>
    <t>M4FC</t>
  </si>
  <si>
    <t>M4 DRIVING/WARNING LT RED/BLU</t>
  </si>
  <si>
    <t>M4DWJ</t>
  </si>
  <si>
    <t>M4 DRIVING/WARNING LT RED</t>
  </si>
  <si>
    <t>M4DWR</t>
  </si>
  <si>
    <t>M4 DRIVING/WARNING LT BLUE</t>
  </si>
  <si>
    <t>M4DWB</t>
  </si>
  <si>
    <t>M4 DRIVING/WARNING LT AMBER</t>
  </si>
  <si>
    <t>M4DWA</t>
  </si>
  <si>
    <t>M4 V-SERIES LIGHT RED</t>
  </si>
  <si>
    <t>M4V2R</t>
  </si>
  <si>
    <t>M4 V-SERIES LIGHT WHITE</t>
  </si>
  <si>
    <t>M4V2C</t>
  </si>
  <si>
    <t>M4 V-SERIES LIGHT BLUE</t>
  </si>
  <si>
    <t>M4V2B</t>
  </si>
  <si>
    <t>M4 V-SERIES LIGHT AMBER</t>
  </si>
  <si>
    <t>M4V2A</t>
  </si>
  <si>
    <t>M4 LED STEADY RED W/CLR LENS</t>
  </si>
  <si>
    <t>M4RCS</t>
  </si>
  <si>
    <t>M4 LED STEADY BLUE W/CLR LENS</t>
  </si>
  <si>
    <t>M4BCS</t>
  </si>
  <si>
    <t>M4 LED STEADY AMB W/CLR LENS</t>
  </si>
  <si>
    <t>M4ACS</t>
  </si>
  <si>
    <t>M4 LED STEADY RED</t>
  </si>
  <si>
    <t>M4RS</t>
  </si>
  <si>
    <t>M4 LED STEADY WHITE</t>
  </si>
  <si>
    <t>M4CS</t>
  </si>
  <si>
    <t>M4 LED STEADY BLUE</t>
  </si>
  <si>
    <t>M4BS</t>
  </si>
  <si>
    <t>M4 LED STEADY AMBER</t>
  </si>
  <si>
    <t>M4AS</t>
  </si>
  <si>
    <t>M4 LED FLASHER AMBER/BLUE</t>
  </si>
  <si>
    <t>M4M</t>
  </si>
  <si>
    <t>M4 LED FLASHER AMBER/RED</t>
  </si>
  <si>
    <t>M4K</t>
  </si>
  <si>
    <t>M4 LED FLASHER BLUE/RED</t>
  </si>
  <si>
    <t>M4J</t>
  </si>
  <si>
    <t>M4 LED FLASHER AMBER/WHITE</t>
  </si>
  <si>
    <t>M4F</t>
  </si>
  <si>
    <t>M4 LED FLASHER WHITE/BLUE</t>
  </si>
  <si>
    <t>M4E</t>
  </si>
  <si>
    <t>M4 LED FLASHER WHITE/RED</t>
  </si>
  <si>
    <t>M4D</t>
  </si>
  <si>
    <t>M4 LED FLASHER RED W/CLR LENS</t>
  </si>
  <si>
    <t>M4RC</t>
  </si>
  <si>
    <t>M4 LED FLASHER GREEN/CLEAR</t>
  </si>
  <si>
    <t>M4GC</t>
  </si>
  <si>
    <t>M4 LED FLASHER BLU W/CLR LENS</t>
  </si>
  <si>
    <t>M4BC</t>
  </si>
  <si>
    <t>M4 LED FLASHER AMB W/CLR LENS</t>
  </si>
  <si>
    <t>M4AC</t>
  </si>
  <si>
    <t>M2 PEDESTAL MOUNT KIT CHROME</t>
  </si>
  <si>
    <t>M2PEDC</t>
  </si>
  <si>
    <t>M2 PEDESTAL MOUNT KIT BLACK</t>
  </si>
  <si>
    <t>M2PEDB</t>
  </si>
  <si>
    <t>M2 SERIES GROMMET MOUNT</t>
  </si>
  <si>
    <t>M2GROM</t>
  </si>
  <si>
    <t>M2 SERIES FLANGE BLACK</t>
  </si>
  <si>
    <t>M2FB</t>
  </si>
  <si>
    <t>M2 SERIES FLANGE CHROME</t>
  </si>
  <si>
    <t>M2FC</t>
  </si>
  <si>
    <t>NFPA M2 LED FLASHER BLUE/AMBER</t>
  </si>
  <si>
    <t>M2WM</t>
  </si>
  <si>
    <t>NFPA M2 LED FLASHER RED/AMBER</t>
  </si>
  <si>
    <t>M2WK</t>
  </si>
  <si>
    <t>NFPA M2 LED FLASHER RED/BLUE</t>
  </si>
  <si>
    <t>M2WJ</t>
  </si>
  <si>
    <t>NFPA M2 LED FLASHER AMB/WHT</t>
  </si>
  <si>
    <t>M2WF</t>
  </si>
  <si>
    <t>NFPA M2 LED FLASHER BLU/WHITE</t>
  </si>
  <si>
    <t>M2WE</t>
  </si>
  <si>
    <t>NFPA M2 LED FLASHER RED/WHITE</t>
  </si>
  <si>
    <t>M2WD</t>
  </si>
  <si>
    <t>NFPA M2 LED FLASHER RED/CLR</t>
  </si>
  <si>
    <t>M2WRC</t>
  </si>
  <si>
    <t>NFPA M2 LED FLASHER GRN/CLR</t>
  </si>
  <si>
    <t>M2WGC</t>
  </si>
  <si>
    <t>NFPA M2 LED FLASHER BLU/CLR</t>
  </si>
  <si>
    <t>M2WBC</t>
  </si>
  <si>
    <t>NFPA M2 LED FLASHER AMB/CLR</t>
  </si>
  <si>
    <t>M2WAC</t>
  </si>
  <si>
    <t>NFPA M2 LED FLASHER RED</t>
  </si>
  <si>
    <t>M2WR</t>
  </si>
  <si>
    <t>NFPA M2 LED FLASHER GREEN</t>
  </si>
  <si>
    <t>M2WG</t>
  </si>
  <si>
    <t>NFPA M2 LED FLASHER WHITE</t>
  </si>
  <si>
    <t>M2WC</t>
  </si>
  <si>
    <t>NFPA M2 LED FLASHER BLUE</t>
  </si>
  <si>
    <t>M2WB</t>
  </si>
  <si>
    <t>NFPA M2 LED FLASHER AMBER</t>
  </si>
  <si>
    <t>M2WA</t>
  </si>
  <si>
    <t>M2 LED FLASHER AMBER/BLUE</t>
  </si>
  <si>
    <t>M2M</t>
  </si>
  <si>
    <t>M2 LED FLASHER AMBER/RED</t>
  </si>
  <si>
    <t>M2K</t>
  </si>
  <si>
    <t>M2 LED FLASHER BLUE/RED</t>
  </si>
  <si>
    <t>M2J</t>
  </si>
  <si>
    <t>M2 LED FLASHER GREEN/WHITE</t>
  </si>
  <si>
    <t>M2H</t>
  </si>
  <si>
    <t>M2 LED FLASHER AMBER/WHITE</t>
  </si>
  <si>
    <t>M2F</t>
  </si>
  <si>
    <t>M2 LED FLASHER WHITE/BLUE</t>
  </si>
  <si>
    <t>M2E</t>
  </si>
  <si>
    <t>M2 LED FLASHER WHITE/RED</t>
  </si>
  <si>
    <t>M2D</t>
  </si>
  <si>
    <t>M2 LED FLASHER RED W/ CLR LENS</t>
  </si>
  <si>
    <t>M2RC</t>
  </si>
  <si>
    <t>M2 LED FLASHER GRN W/CLR LENS</t>
  </si>
  <si>
    <t>M2GC</t>
  </si>
  <si>
    <t>M2 LED FLASHER BLU W/CLR LENS</t>
  </si>
  <si>
    <t>M2BC</t>
  </si>
  <si>
    <t>M2 LED FLASHER AMB W/CLR LENS</t>
  </si>
  <si>
    <t>M2AC</t>
  </si>
  <si>
    <t>M2 LED FLASHER RED</t>
  </si>
  <si>
    <t>M2R</t>
  </si>
  <si>
    <t>M2 LED FLASHER GREEN</t>
  </si>
  <si>
    <t>M2G</t>
  </si>
  <si>
    <t>M2 LED FLASHER WHITE</t>
  </si>
  <si>
    <t>M2C</t>
  </si>
  <si>
    <t>M2 LED FLASHER BLUE</t>
  </si>
  <si>
    <t>M2B</t>
  </si>
  <si>
    <t>M2 LED FLASHER AMBER</t>
  </si>
  <si>
    <t>M2A</t>
  </si>
  <si>
    <t>M2 LED FLASHER DUO BLU-AMB/SMK</t>
  </si>
  <si>
    <t>ML2DMX</t>
  </si>
  <si>
    <t>M2 LED FLASHER DUO RED-AMB/SMK</t>
  </si>
  <si>
    <t>ML2DKX</t>
  </si>
  <si>
    <t>M2 LED FLASHER DUO RED-BLU/SMK</t>
  </si>
  <si>
    <t>ML2DJX</t>
  </si>
  <si>
    <t>M2 LED FLASHER DUO AMB-WHT/SMK</t>
  </si>
  <si>
    <t>ML2DFX</t>
  </si>
  <si>
    <t>M2 LED FLASHER DUO BLU-WHT/SMK</t>
  </si>
  <si>
    <t>ML2DEX</t>
  </si>
  <si>
    <t>M2 LED FLASHER DUO RED-WHT/SMK</t>
  </si>
  <si>
    <t>ML2DDX</t>
  </si>
  <si>
    <t>M2 LED FLASHER DUO BLU/AMBER</t>
  </si>
  <si>
    <t>ML2DM</t>
  </si>
  <si>
    <t>M2 LED FLASHER DUO RED/GREEN</t>
  </si>
  <si>
    <t>ML2DL</t>
  </si>
  <si>
    <t>M2 LED FLASHER DUO RED/AMBER</t>
  </si>
  <si>
    <t>ML2DK</t>
  </si>
  <si>
    <t>M2 LED FLASHER DUO RED/BLUE</t>
  </si>
  <si>
    <t>ML2DJ</t>
  </si>
  <si>
    <t>M2 LED FLSHER DUO AMBER/WHITE</t>
  </si>
  <si>
    <t>ML2DF</t>
  </si>
  <si>
    <t>M2 LED FLASHER DUO BLUE/WHITE</t>
  </si>
  <si>
    <t>ML2DE</t>
  </si>
  <si>
    <t>M2 LED FLASHER DUO RED/WHITE</t>
  </si>
  <si>
    <t>ML2DD</t>
  </si>
  <si>
    <t>M2 LED FLASHER RED/WMOKE</t>
  </si>
  <si>
    <t>ML2RX</t>
  </si>
  <si>
    <t>M2 LED FLASHER WHITE/SMOKE</t>
  </si>
  <si>
    <t>ML2CX</t>
  </si>
  <si>
    <t>M2 LED FLASHER BLUE/SMOKE</t>
  </si>
  <si>
    <t>ML2BX</t>
  </si>
  <si>
    <t>M2 LED FLASHER AMBER/SMOKE</t>
  </si>
  <si>
    <t>ML2AX</t>
  </si>
  <si>
    <t>ML2R</t>
  </si>
  <si>
    <t>ML2G</t>
  </si>
  <si>
    <t>ML2C</t>
  </si>
  <si>
    <t>ML2B</t>
  </si>
  <si>
    <t>ML2A</t>
  </si>
  <si>
    <t>MINI ION-T ADAPTER FLANGE CHRM</t>
  </si>
  <si>
    <t>TIONMLC</t>
  </si>
  <si>
    <t>MINI ION-T ADAPTER FLANGE BLK</t>
  </si>
  <si>
    <t>TIONMLB</t>
  </si>
  <si>
    <t>CHROME FLANGE FOR MINI ION-T</t>
  </si>
  <si>
    <t>TIONMFC</t>
  </si>
  <si>
    <t>MINI ION T-SERIES TRIO R/B/W</t>
  </si>
  <si>
    <t>TLMI3JC</t>
  </si>
  <si>
    <t>MINI ION T-SERIES TRIO B/A/W</t>
  </si>
  <si>
    <t>TLMI3MC</t>
  </si>
  <si>
    <t>MINI ION T-SERIES TRIO R/A/W</t>
  </si>
  <si>
    <t>TLMI3KC</t>
  </si>
  <si>
    <t>MINI ION T-SERIES TRIO R/B/A</t>
  </si>
  <si>
    <t>TLMI3JA</t>
  </si>
  <si>
    <t>MINI ION T-SERIES LT AMB/BLU</t>
  </si>
  <si>
    <t>TLMI2M</t>
  </si>
  <si>
    <t>MINI ION T-SERIES LT RED/AMB</t>
  </si>
  <si>
    <t>TLMI2K</t>
  </si>
  <si>
    <t>MINI ION T-SERIES LT RED/BLU</t>
  </si>
  <si>
    <t>TLMI2J</t>
  </si>
  <si>
    <t>MINI ION T-SERIES LT WHT/AMB</t>
  </si>
  <si>
    <t>TLMI2F</t>
  </si>
  <si>
    <t>MINI ION T-SERIES LT BLU/WHT</t>
  </si>
  <si>
    <t>TLMI2E</t>
  </si>
  <si>
    <t>MINI ION T-SERIES LT RED/WHT</t>
  </si>
  <si>
    <t>TLMI2D</t>
  </si>
  <si>
    <t>MINI ION T-SERIES LIGHT RED</t>
  </si>
  <si>
    <t>TLMIR</t>
  </si>
  <si>
    <t>MINI ION T-SERIES LIGHT GREEN</t>
  </si>
  <si>
    <t>TLMIG</t>
  </si>
  <si>
    <t>MINI ION T-SERIES LIGHT WHITE</t>
  </si>
  <si>
    <t>TLMIC</t>
  </si>
  <si>
    <t>MINI ION T-SERIES LIGHT BLUE</t>
  </si>
  <si>
    <t>TLMIB</t>
  </si>
  <si>
    <t>MINI ION T-SERIES LIGHT AMBER</t>
  </si>
  <si>
    <t>TLMIA</t>
  </si>
  <si>
    <t>DUAL FLANGE ION-T SERIES CHROM</t>
  </si>
  <si>
    <t>TIONF2C</t>
  </si>
  <si>
    <t>DUAL FLANGE ION-T SERIES BLACK</t>
  </si>
  <si>
    <t>TIONF2B</t>
  </si>
  <si>
    <t>CHROME FLANGE FOR ION T-SERIES</t>
  </si>
  <si>
    <t>TIONFC</t>
  </si>
  <si>
    <t>ION-T LINEAR TRIO R/B/W SMOKE</t>
  </si>
  <si>
    <t>XTLI3JC</t>
  </si>
  <si>
    <t>ION-T LINEAR TRIO B/A/W SMOKE</t>
  </si>
  <si>
    <t>XTLI3MC</t>
  </si>
  <si>
    <t>ION-T LINEAR TRIO R/A/W SMOKE</t>
  </si>
  <si>
    <t>XTLI3KC</t>
  </si>
  <si>
    <t>ION-T LINEAR TRIO R/B/A SMOKE</t>
  </si>
  <si>
    <t>XTLI3JA</t>
  </si>
  <si>
    <t>ION T-SERIES LINEAR DUO BA SMK</t>
  </si>
  <si>
    <t>TLI2MX</t>
  </si>
  <si>
    <t>ION T-SERIES LINEAR DUO RA SMK</t>
  </si>
  <si>
    <t>TLI2KX</t>
  </si>
  <si>
    <t>ION T-SERIES LINEAR DUO RB SMK</t>
  </si>
  <si>
    <t>TLI2JX</t>
  </si>
  <si>
    <t>ION T-SERIES LINEAR DUO WA SMK</t>
  </si>
  <si>
    <t>TLI2FX</t>
  </si>
  <si>
    <t>ION T-SERIES LINEAR DUO BW SMK</t>
  </si>
  <si>
    <t>TLI2EX</t>
  </si>
  <si>
    <t>ION T-SERIES LINEAR DUO RW SMK</t>
  </si>
  <si>
    <t>TLI2DX</t>
  </si>
  <si>
    <t>ION T-SER. LINEAR SPLIT BA SMK</t>
  </si>
  <si>
    <t>TLIMX</t>
  </si>
  <si>
    <t>ION T-SER. LINEAR SPLIT RA SMK</t>
  </si>
  <si>
    <t>TLIKX</t>
  </si>
  <si>
    <t>ION T-SER. LINEAR SPLIT RB SMK</t>
  </si>
  <si>
    <t>TLIJX</t>
  </si>
  <si>
    <t>ION T-SER. LINEAR SPLIT WA SMK</t>
  </si>
  <si>
    <t>TLIFX</t>
  </si>
  <si>
    <t>ION T-SER. LINEAR SPLIT BW SMK</t>
  </si>
  <si>
    <t>TLIEX</t>
  </si>
  <si>
    <t>ION T-SER. LINEAR SPLIT RW SMK</t>
  </si>
  <si>
    <t>TLIDX</t>
  </si>
  <si>
    <t>ION-T LINEAR LT LO PWR RED/SMK</t>
  </si>
  <si>
    <t>TLPIRX</t>
  </si>
  <si>
    <t>ION-T LINEAR LT LO PWR WHT/SMK</t>
  </si>
  <si>
    <t>TLPICX</t>
  </si>
  <si>
    <t>ION-T LINEAR LT LO PWR BLU/SMK</t>
  </si>
  <si>
    <t>TLPIBX</t>
  </si>
  <si>
    <t>ION-T LINEAR LT LO PWR AMB/SMK</t>
  </si>
  <si>
    <t>TLPIAX</t>
  </si>
  <si>
    <t>ION T-SERIES LINEAR LT RED/SMK</t>
  </si>
  <si>
    <t>TLIRX</t>
  </si>
  <si>
    <t>ION T-SERIES LINEAR LT GRN/SMK</t>
  </si>
  <si>
    <t>TLIGX</t>
  </si>
  <si>
    <t>ION T-SERIES LINEAR LT WHT/SMK</t>
  </si>
  <si>
    <t>TLICX</t>
  </si>
  <si>
    <t>ION T-SERIES LINEAR LT BLU/SMK</t>
  </si>
  <si>
    <t>TLIBX</t>
  </si>
  <si>
    <t>ION T-SERIES LINEAR LT AMB/SMK</t>
  </si>
  <si>
    <t>TLIAX</t>
  </si>
  <si>
    <t>ION T-SERIES LINEAR TRIO R/B/W</t>
  </si>
  <si>
    <t>TLI3JC</t>
  </si>
  <si>
    <t>ION T-SERIES LINEAR TRIO B/A/W</t>
  </si>
  <si>
    <t>TLI3MC</t>
  </si>
  <si>
    <t>ION T-SERIES LINEAR TRIO R/A/W</t>
  </si>
  <si>
    <t>TLI3KC</t>
  </si>
  <si>
    <t>ION T-SERIES LINEAR TRIO R/B/A</t>
  </si>
  <si>
    <t>TLI3JA</t>
  </si>
  <si>
    <t>ION T-SERIES LINEAR DUO B/A</t>
  </si>
  <si>
    <t>TLI2M</t>
  </si>
  <si>
    <t>ION T-SERIES LINEAR DUO R/G</t>
  </si>
  <si>
    <t>TLI2L</t>
  </si>
  <si>
    <t>ION T-SERIES LINEAR DUO R/A</t>
  </si>
  <si>
    <t>TLI2K</t>
  </si>
  <si>
    <t>ION T-SERIES LINEAR DUO R/B</t>
  </si>
  <si>
    <t>TLI2J</t>
  </si>
  <si>
    <t>ION T-SERIES LINEAR DUO G/W</t>
  </si>
  <si>
    <t>TLI2H</t>
  </si>
  <si>
    <t>ION T-SERIES LINEAR DUO A/W</t>
  </si>
  <si>
    <t>TLI2F</t>
  </si>
  <si>
    <t>ION T-SERIES LINEAR DUO B/W</t>
  </si>
  <si>
    <t>TLI2E</t>
  </si>
  <si>
    <t>ION T-SERIES LINEAR DUO R/W</t>
  </si>
  <si>
    <t>TLI2D</t>
  </si>
  <si>
    <t>ION T-SERIES LINEAR SPLIT B/A</t>
  </si>
  <si>
    <t>TLIM</t>
  </si>
  <si>
    <t>ION T-SERIES LINEAR SPLIT R/A</t>
  </si>
  <si>
    <t>TLIK</t>
  </si>
  <si>
    <t>ION T-SERIES LINEAR SPLIT R/B</t>
  </si>
  <si>
    <t>TLIJ</t>
  </si>
  <si>
    <t>ION T-SERIES LINEAR SPLIT W/A</t>
  </si>
  <si>
    <t>TLIF</t>
  </si>
  <si>
    <t>ION T-SERIES LINEAR SPLIT B/W</t>
  </si>
  <si>
    <t>TLIE</t>
  </si>
  <si>
    <t>ION T-SERIES LINEAR SPLIT R/W</t>
  </si>
  <si>
    <t>TLID</t>
  </si>
  <si>
    <t>ION-T LINEAR LT LOW PWR RED</t>
  </si>
  <si>
    <t>TLPIR</t>
  </si>
  <si>
    <t>ION-T LINEAR LT LOW PWR WHITE</t>
  </si>
  <si>
    <t>TLPIC</t>
  </si>
  <si>
    <t>ION-T LINEAR LT LOW PWR BLUE</t>
  </si>
  <si>
    <t>TLPIB</t>
  </si>
  <si>
    <t>ION-T LINEAR LT LOW PWR AMBER</t>
  </si>
  <si>
    <t>TLPIA</t>
  </si>
  <si>
    <t>ION T-SERIES LINEAR LT RED</t>
  </si>
  <si>
    <t>TLIR</t>
  </si>
  <si>
    <t>ION T-SERIES LINEAR GREEN</t>
  </si>
  <si>
    <t>TLIG</t>
  </si>
  <si>
    <t>ION T-SERIES LINEAR LT WHITE</t>
  </si>
  <si>
    <t>TLIC</t>
  </si>
  <si>
    <t>ION T-SERIES LINEAR LT BLUE</t>
  </si>
  <si>
    <t>ION T-SERIES LINEAR LT AMBER</t>
  </si>
  <si>
    <t>TLIA</t>
  </si>
  <si>
    <t>ION GRILLE MT 2021 TAHOE PAIR</t>
  </si>
  <si>
    <t>IONBKT9</t>
  </si>
  <si>
    <t>ION REAR SPOILER MTG BKT (PR)</t>
  </si>
  <si>
    <t>IONBKT8</t>
  </si>
  <si>
    <t>ION REVERSED UNIVERSAL MT</t>
  </si>
  <si>
    <t>IONBKT5</t>
  </si>
  <si>
    <t>ION LICENSE PLATE BKT HORIZ.</t>
  </si>
  <si>
    <t>IONBKT1</t>
  </si>
  <si>
    <t>SPITFIRE KIT LESS ION &amp; CIGAR</t>
  </si>
  <si>
    <t>IONSFB</t>
  </si>
  <si>
    <t>ION PEDESTAL MOUNT KIT BLACK</t>
  </si>
  <si>
    <t>IONPEDB</t>
  </si>
  <si>
    <t>ION SERIES BODY MOUNT GROMMET</t>
  </si>
  <si>
    <t>IONGROM</t>
  </si>
  <si>
    <t>SWIVEL MOUNT KIT FOR ION BLK</t>
  </si>
  <si>
    <t>IONK1B</t>
  </si>
  <si>
    <t>ION-V WARNING SURF MT RED/SMK</t>
  </si>
  <si>
    <t>XONSV1R</t>
  </si>
  <si>
    <t>ION-V WARNING SURF MT BLU/SMK</t>
  </si>
  <si>
    <t>XONSV1B</t>
  </si>
  <si>
    <t>ION-V WARNING SURF MT AMB/SMK</t>
  </si>
  <si>
    <t>XONSV1A</t>
  </si>
  <si>
    <t>ION VSERIES SURFACE MT RED/SMK</t>
  </si>
  <si>
    <t>XONSV3R</t>
  </si>
  <si>
    <t>ION VSERIES SURFACE MT WHT/SMK</t>
  </si>
  <si>
    <t>XONSV3C</t>
  </si>
  <si>
    <t>ION VSERIES SURFACE MT BLU/SMK</t>
  </si>
  <si>
    <t>XONSV3B</t>
  </si>
  <si>
    <t>ION VSERIES SURFACE MT AMB/SMK</t>
  </si>
  <si>
    <t>XONSV3A</t>
  </si>
  <si>
    <t>ION-V WARNING SURFACE MT RED</t>
  </si>
  <si>
    <t>IONSV1RC</t>
  </si>
  <si>
    <t>ION-V WARNING SURFACE MT WHITE</t>
  </si>
  <si>
    <t>IONSV1CC</t>
  </si>
  <si>
    <t>ION-V WARNING SURFACE MT BLUE</t>
  </si>
  <si>
    <t>IONSV1BC</t>
  </si>
  <si>
    <t>ION-V WARNING SURFACE MT AMBER</t>
  </si>
  <si>
    <t>IONSV1AC</t>
  </si>
  <si>
    <t>IONSV1RW</t>
  </si>
  <si>
    <t>IONSV1CW</t>
  </si>
  <si>
    <t>IONSV1BW</t>
  </si>
  <si>
    <t>IONSV1AW</t>
  </si>
  <si>
    <t>IONSV1R</t>
  </si>
  <si>
    <t>IONSV1C</t>
  </si>
  <si>
    <t>IONSV1B</t>
  </si>
  <si>
    <t>IONSV1A</t>
  </si>
  <si>
    <t>ION V-SERIES SURFACE MT RED</t>
  </si>
  <si>
    <t>IONSV3RC</t>
  </si>
  <si>
    <t>ION V-SERIES SURFACE MT WHT</t>
  </si>
  <si>
    <t>IONSV3CC</t>
  </si>
  <si>
    <t>ION V-SERIES SURFACE MT BLU</t>
  </si>
  <si>
    <t>IONSV3BC</t>
  </si>
  <si>
    <t>ION V-SERIES SURFACE MT AMB</t>
  </si>
  <si>
    <t>IONSV3AC</t>
  </si>
  <si>
    <t>IONSV3RW</t>
  </si>
  <si>
    <t>IONSV3CW</t>
  </si>
  <si>
    <t>IONSV3BW</t>
  </si>
  <si>
    <t>IONSV3AW</t>
  </si>
  <si>
    <t>IONSV3R</t>
  </si>
  <si>
    <t>ION V-SERIES SURFACE MT GRN</t>
  </si>
  <si>
    <t>IONSV3G</t>
  </si>
  <si>
    <t>IONSV3C</t>
  </si>
  <si>
    <t>IONSV3B</t>
  </si>
  <si>
    <t>IONSV3A</t>
  </si>
  <si>
    <t>ION V-SER WARNING RED/SMK BLK</t>
  </si>
  <si>
    <t>XONV1R</t>
  </si>
  <si>
    <t>ION V-SER WARNING WHT/SMK BLK</t>
  </si>
  <si>
    <t>XONV1C</t>
  </si>
  <si>
    <t>ION V-SER WARNING BLU/SMK BLK</t>
  </si>
  <si>
    <t>XONV1B</t>
  </si>
  <si>
    <t>ION V-SER WARNING AMB/SMK BLK</t>
  </si>
  <si>
    <t>XONV1A</t>
  </si>
  <si>
    <t>ION VSERIES LT RED/SMK BLK HSG</t>
  </si>
  <si>
    <t>XONV3R</t>
  </si>
  <si>
    <t>ION VSERIES LT BLU/SMK BLK HSG</t>
  </si>
  <si>
    <t>XONV3B</t>
  </si>
  <si>
    <t>ION VSERIES LT AMB/SMK BLK HSG</t>
  </si>
  <si>
    <t>XONV3A</t>
  </si>
  <si>
    <t>ION V-SERIES WARNING RED WHT</t>
  </si>
  <si>
    <t>IONV1RW</t>
  </si>
  <si>
    <t>ION V-SERIES WARNING WHITE WHT</t>
  </si>
  <si>
    <t>IONV1CW</t>
  </si>
  <si>
    <t>ION V-SERIES WARNING BLUE WHT</t>
  </si>
  <si>
    <t>IONV1BW</t>
  </si>
  <si>
    <t>ION V-SERIES WARNING AMBER WHT</t>
  </si>
  <si>
    <t>IONV1AW</t>
  </si>
  <si>
    <t>ION V-SERIES WARNING RED BLK</t>
  </si>
  <si>
    <t>IONV1R</t>
  </si>
  <si>
    <t>ION V-SERIES WARNING WHITE BLK</t>
  </si>
  <si>
    <t>IONV1C</t>
  </si>
  <si>
    <t>ION V-SERIES WARNING BLUE BLK</t>
  </si>
  <si>
    <t>IONV1B</t>
  </si>
  <si>
    <t>ION V-SERIES WARNING AMBER BLK</t>
  </si>
  <si>
    <t>IONV1A</t>
  </si>
  <si>
    <t>ION V-SERIES LIGHT RED/WHT HSG</t>
  </si>
  <si>
    <t>IONV3RW</t>
  </si>
  <si>
    <t>ION V-SERIES LIGHT WHT/WHT HSG</t>
  </si>
  <si>
    <t>IONV3CW</t>
  </si>
  <si>
    <t>ION V-SERIES LIGHT BLU/WHT HSG</t>
  </si>
  <si>
    <t>IONV3BW</t>
  </si>
  <si>
    <t>ION V-SERIES LIGHT AMB/WHT HSG</t>
  </si>
  <si>
    <t>IONV3AW</t>
  </si>
  <si>
    <t>ION V-SERIES LIGHT RED/BLK HSG</t>
  </si>
  <si>
    <t>IONV3R</t>
  </si>
  <si>
    <t>ION V-SERIES LIGHT GRN/BLK HSG</t>
  </si>
  <si>
    <t>IONV3G</t>
  </si>
  <si>
    <t>ION V-SERIES LIGHT WHT/BLK HSG</t>
  </si>
  <si>
    <t>IONV3C</t>
  </si>
  <si>
    <t>ION V-SERIES LIGHT BLU/BLK HSG</t>
  </si>
  <si>
    <t>IONV3B</t>
  </si>
  <si>
    <t>ION V-SERIES LIGHT AMB/BLK HSG</t>
  </si>
  <si>
    <t>IONV3A</t>
  </si>
  <si>
    <t>NFPA SURFACE MT ION LT B-A/SMK</t>
  </si>
  <si>
    <t>WXONSMM</t>
  </si>
  <si>
    <t>NFPA SURFACE MT ION LT R-B/SMK</t>
  </si>
  <si>
    <t>WXONSMJ</t>
  </si>
  <si>
    <t>NFPA SURFACE MT ION LT R-W/SMK</t>
  </si>
  <si>
    <t>WXONSMD</t>
  </si>
  <si>
    <t>NFPA SURFACE MT ION LT RED/SMK</t>
  </si>
  <si>
    <t>WXONSMR</t>
  </si>
  <si>
    <t>NFPA SURFACE MT ION LT WHT/SMK</t>
  </si>
  <si>
    <t>WXONSMC</t>
  </si>
  <si>
    <t>NFPA SURFACE MT ION LT BLU/SMK</t>
  </si>
  <si>
    <t>WXONSMB</t>
  </si>
  <si>
    <t>NFPA SURFACE MT ION LT AMB/SMK</t>
  </si>
  <si>
    <t>WXONSMA</t>
  </si>
  <si>
    <t>NFPA SURFACE MT ION LT BLU/AMB</t>
  </si>
  <si>
    <t>WIONSMM</t>
  </si>
  <si>
    <t>NFPA SURFACE MT ION LT RED/GRN</t>
  </si>
  <si>
    <t>WIONSML</t>
  </si>
  <si>
    <t>NFPA SURFACE MT ION LT RED/AMB</t>
  </si>
  <si>
    <t>WIONSMK</t>
  </si>
  <si>
    <t>NFPA SURFACE MT ION LT RED/BLU</t>
  </si>
  <si>
    <t>WIONSMJ</t>
  </si>
  <si>
    <t>NFPA SURFACE MT ION LT AMB/WHT</t>
  </si>
  <si>
    <t>WIONSMF</t>
  </si>
  <si>
    <t>NFPA SURFACE MT ION LT BLU/WHT</t>
  </si>
  <si>
    <t>WIONSME</t>
  </si>
  <si>
    <t>NFPA SURFACE MT ION LT RED/WHT</t>
  </si>
  <si>
    <t>WIONSMD</t>
  </si>
  <si>
    <t>NFPA SURFACE MT ION LT RED</t>
  </si>
  <si>
    <t>WIONSMR</t>
  </si>
  <si>
    <t>NFPA SURFACE MT ION LR GREEN</t>
  </si>
  <si>
    <t>WIONSMG</t>
  </si>
  <si>
    <t>NFPA SURFACE MT ION LT WHITE</t>
  </si>
  <si>
    <t>WIONSMC</t>
  </si>
  <si>
    <t>NFPA SURFACE MT ION LT BLUE</t>
  </si>
  <si>
    <t>WIONSMB</t>
  </si>
  <si>
    <t>NFPA SURFACE MT ION LT AMBER</t>
  </si>
  <si>
    <t>WIONSMA</t>
  </si>
  <si>
    <t>NFPA ION LIGHT RED-AMB/SMOKE</t>
  </si>
  <si>
    <t>WXONK</t>
  </si>
  <si>
    <t>NFPA ION LIGHT RED-BLU/SMOKE</t>
  </si>
  <si>
    <t>WXONJ</t>
  </si>
  <si>
    <t>NFPA ION LIGHT AMB-WHT/SMOKE</t>
  </si>
  <si>
    <t>WXONF</t>
  </si>
  <si>
    <t>NFPA ION LIGHT BLU-WHT/SMOKE</t>
  </si>
  <si>
    <t>WXONE</t>
  </si>
  <si>
    <t>NFPA ION LIGHT RED-WHT/SMOKE</t>
  </si>
  <si>
    <t>WXOND</t>
  </si>
  <si>
    <t>NFPA ION LIGHT RED/SMOKE</t>
  </si>
  <si>
    <t>WXONR</t>
  </si>
  <si>
    <t>NFPA ION LIGHT WHITE/SMOKE</t>
  </si>
  <si>
    <t>WXONC</t>
  </si>
  <si>
    <t>NFPA ION LIGHT BLUE/SMOKE</t>
  </si>
  <si>
    <t>WXONB</t>
  </si>
  <si>
    <t>NFPA ION LIGHT AMBER/SMOKE</t>
  </si>
  <si>
    <t>WXONA</t>
  </si>
  <si>
    <t>NFPA ION LIGHT BLU/AMB</t>
  </si>
  <si>
    <t>WIONM</t>
  </si>
  <si>
    <t>NFPA ION LIGHT RED/GREEN</t>
  </si>
  <si>
    <t>WIONL</t>
  </si>
  <si>
    <t>NFPA ION LIGHT RED/AMB</t>
  </si>
  <si>
    <t>WIONK</t>
  </si>
  <si>
    <t>NFPA ION LIGHT RED/BLU</t>
  </si>
  <si>
    <t>WIONJ</t>
  </si>
  <si>
    <t>NFPA ION LIGHT AMB/WHT</t>
  </si>
  <si>
    <t>WIONF</t>
  </si>
  <si>
    <t>NFPA ION LIGHT BLU/WHT</t>
  </si>
  <si>
    <t>WIONE</t>
  </si>
  <si>
    <t>NFPA ION LIGHT RED/WHT</t>
  </si>
  <si>
    <t>WIOND</t>
  </si>
  <si>
    <t>NFPA ION LIGHT RED</t>
  </si>
  <si>
    <t>WIONR</t>
  </si>
  <si>
    <t>NFPA ION LIGHT GREEN</t>
  </si>
  <si>
    <t>WIONG</t>
  </si>
  <si>
    <t>NFPA ION LIGHT WHITE</t>
  </si>
  <si>
    <t>WIONC</t>
  </si>
  <si>
    <t>NFPA ION LIGHT BLUE</t>
  </si>
  <si>
    <t>WIONB</t>
  </si>
  <si>
    <t>NFPA ION LIGHT AMBER</t>
  </si>
  <si>
    <t>WIONA</t>
  </si>
  <si>
    <t>SURFACE MT TRIO ION B/A W/WHT</t>
  </si>
  <si>
    <t>XI3SMMC</t>
  </si>
  <si>
    <t>SURFACE MT TRIO ION R/A W/WHT</t>
  </si>
  <si>
    <t>XI3SMKC</t>
  </si>
  <si>
    <t>SURFACE MT TRIO ION R/B W/AMB</t>
  </si>
  <si>
    <t>XI3SMJA</t>
  </si>
  <si>
    <t>SURFACE MT TRIO ION R/B W/WHT</t>
  </si>
  <si>
    <t>XI3SMJC</t>
  </si>
  <si>
    <t>I3SMMC</t>
  </si>
  <si>
    <t>I3SMKC</t>
  </si>
  <si>
    <t>I3SMJA</t>
  </si>
  <si>
    <t>I3SMJC</t>
  </si>
  <si>
    <t>TRIO ION B/A WHT OVERRIDE SMK</t>
  </si>
  <si>
    <t>XI3MC</t>
  </si>
  <si>
    <t>TRIO ION R/A WHT OVERRIDE SMK</t>
  </si>
  <si>
    <t>XI3KC</t>
  </si>
  <si>
    <t>TRIO ION R/B AMB OVERRIDE SMK</t>
  </si>
  <si>
    <t>XI3JA</t>
  </si>
  <si>
    <t>TRIO ION R/B WHT OVERRIDE SMK</t>
  </si>
  <si>
    <t>XI3JC</t>
  </si>
  <si>
    <t>TRIO ION B/A W/ WHT OVERRIDE</t>
  </si>
  <si>
    <t>I3MC</t>
  </si>
  <si>
    <t>TRIO ION R/A W/ WHT OVERRIDE</t>
  </si>
  <si>
    <t>I3KC</t>
  </si>
  <si>
    <t>TRIO ION R/B W/ AMB OVERRIDE</t>
  </si>
  <si>
    <t>I3JA</t>
  </si>
  <si>
    <t>TRIO ION R/B W/ WHT OVERRIDE</t>
  </si>
  <si>
    <t>I3JC</t>
  </si>
  <si>
    <t>SURFACE MT DUO ION BLU/AMB SMK</t>
  </si>
  <si>
    <t>XI2SMM</t>
  </si>
  <si>
    <t>SURFACE MT DUO ION RED/AMB SMK</t>
  </si>
  <si>
    <t>XI2SMK</t>
  </si>
  <si>
    <t>SURFACE MT DUO ION RED/BLU SMK</t>
  </si>
  <si>
    <t>XI2SMJ</t>
  </si>
  <si>
    <t>SURFACE MT DUO ION AMB/WHT SMK</t>
  </si>
  <si>
    <t>XI2SMF</t>
  </si>
  <si>
    <t>SURFACE MT DUO ION BLU/WHT SMK</t>
  </si>
  <si>
    <t>XI2SME</t>
  </si>
  <si>
    <t>SURFACE MT DUO ION RED/WHT SMK</t>
  </si>
  <si>
    <t>XI2SMD</t>
  </si>
  <si>
    <t>SURFACE MT DUO ION BLUE/AMBER</t>
  </si>
  <si>
    <t>I2SMM</t>
  </si>
  <si>
    <t>SURFACE MT DUO ION RED/AMBER</t>
  </si>
  <si>
    <t>I2SMK</t>
  </si>
  <si>
    <t>SURFACE MT DUO ION RED/BLUE</t>
  </si>
  <si>
    <t>I2SMJ</t>
  </si>
  <si>
    <t>SURFACE MT DUO ION GREEN/WHITE</t>
  </si>
  <si>
    <t>I2SMH</t>
  </si>
  <si>
    <t>SURFACE MT DUO ION AMBER/WHITE</t>
  </si>
  <si>
    <t>I2SMF</t>
  </si>
  <si>
    <t>SURFACE MT DUO ION BLUE/WHITE</t>
  </si>
  <si>
    <t>I2SME</t>
  </si>
  <si>
    <t>SURFACE MT DUO ION RED/WHITE</t>
  </si>
  <si>
    <t>I2SMD</t>
  </si>
  <si>
    <t>DUO LINEAR ION BLU/AMB SMK BLK</t>
  </si>
  <si>
    <t>XI2M</t>
  </si>
  <si>
    <t>DUO LINEAR ION RED/AMB SMK BLK</t>
  </si>
  <si>
    <t>XI2K</t>
  </si>
  <si>
    <t>DUO LINEAR ION RED/BLU SMK BLK</t>
  </si>
  <si>
    <t>XI2J</t>
  </si>
  <si>
    <t>DUO LINEAR ION AMB/WHT SMK BLK</t>
  </si>
  <si>
    <t>XI2F</t>
  </si>
  <si>
    <t>DUO LINEAR ION BLU/WHT SMK BLK</t>
  </si>
  <si>
    <t>XI2E</t>
  </si>
  <si>
    <t>DUO LINEAR ION RED/WHT SMK BLK</t>
  </si>
  <si>
    <t>XI2D</t>
  </si>
  <si>
    <t>DUO LINEAR ION BLUE/AMBER BLK</t>
  </si>
  <si>
    <t>I2M</t>
  </si>
  <si>
    <t>DUO LINEAR ION RED/AMBER BLK</t>
  </si>
  <si>
    <t>I2K</t>
  </si>
  <si>
    <t>DUO LINEAR ION RED/BLUE BLK</t>
  </si>
  <si>
    <t>I2J</t>
  </si>
  <si>
    <t>DUO LINEAR ION GREEN/WHITE BLK</t>
  </si>
  <si>
    <t>I2H</t>
  </si>
  <si>
    <t>DUO LINEAR ION AMBER/WHITE BLK</t>
  </si>
  <si>
    <t>I2F</t>
  </si>
  <si>
    <t>DUO LINEAR ION BLUE/WHITE BLK</t>
  </si>
  <si>
    <t>I2E</t>
  </si>
  <si>
    <t>DUO LINEAR ION RED/WHITE BLK</t>
  </si>
  <si>
    <t>I2D</t>
  </si>
  <si>
    <t>SURFACE MT ION LT BLU-AMB/SMK</t>
  </si>
  <si>
    <t>XONSMM</t>
  </si>
  <si>
    <t>SURFACE MT ION LT RED-AMB/SMK</t>
  </si>
  <si>
    <t>XONSMK</t>
  </si>
  <si>
    <t>SURFACE MT ION LT RED-BLU/SMK</t>
  </si>
  <si>
    <t>XONSMJ</t>
  </si>
  <si>
    <t>SURFACE MT ION LT AMB-WHT/SMK</t>
  </si>
  <si>
    <t>XONSMF</t>
  </si>
  <si>
    <t>SURFACE MT ION LT BLU-WHT/SMK</t>
  </si>
  <si>
    <t>XONSME</t>
  </si>
  <si>
    <t>SURFACE MT ION LT RED-WHT/SMK</t>
  </si>
  <si>
    <t>XONSMD</t>
  </si>
  <si>
    <t>SURFACE MT ION LT RED/SMOKE</t>
  </si>
  <si>
    <t>XONSMR</t>
  </si>
  <si>
    <t>SURFACE MT ION LT GREEN/SMOKE</t>
  </si>
  <si>
    <t>XONSMG</t>
  </si>
  <si>
    <t>SURFACE MT ION LT WHITE/SMOKE</t>
  </si>
  <si>
    <t>XONSMC</t>
  </si>
  <si>
    <t>SURFACE MT ION LT BLUE/SMOKE</t>
  </si>
  <si>
    <t>XONSMB</t>
  </si>
  <si>
    <t>SURFACE MT ION LT AMBER/SMOKE</t>
  </si>
  <si>
    <t>XONSMA</t>
  </si>
  <si>
    <t>SURFACE MT ION LT AMB/BLU</t>
  </si>
  <si>
    <t>IONSMM</t>
  </si>
  <si>
    <t>SURFACE MT ION LT RED/AMB</t>
  </si>
  <si>
    <t>IONSMK</t>
  </si>
  <si>
    <t>SURFACE MT ION LT RED/BLU</t>
  </si>
  <si>
    <t>IONSMJ</t>
  </si>
  <si>
    <t>SURFACE MT ION LT WHT/GRN</t>
  </si>
  <si>
    <t>IONSMH</t>
  </si>
  <si>
    <t>SURFACE MT ION LT AMB/WHT</t>
  </si>
  <si>
    <t>IONSMF</t>
  </si>
  <si>
    <t>SURFACE MT ION LT BLU/WHT</t>
  </si>
  <si>
    <t>IONSME</t>
  </si>
  <si>
    <t>SURFACE MT ION LT RED/WHT</t>
  </si>
  <si>
    <t>IONSMD</t>
  </si>
  <si>
    <t>SURFACE MT ION LT RED</t>
  </si>
  <si>
    <t>IONSMR</t>
  </si>
  <si>
    <t>SURFACE MT ION LT WHITE</t>
  </si>
  <si>
    <t>IONSMC</t>
  </si>
  <si>
    <t>SURFACE MT ION LT BLUE</t>
  </si>
  <si>
    <t>IONSMB</t>
  </si>
  <si>
    <t>SURFACE MT ION LT AMBER</t>
  </si>
  <si>
    <t>IONSMA</t>
  </si>
  <si>
    <t>ION LIGHT AMB/BLU W/SMOKE LENS</t>
  </si>
  <si>
    <t>XONM</t>
  </si>
  <si>
    <t>ION LIGHT RED/AMB W/SMOKE LENS</t>
  </si>
  <si>
    <t>XONK</t>
  </si>
  <si>
    <t>ION LIGHT RED/BLU W/SMOKE LENS</t>
  </si>
  <si>
    <t>XONJ</t>
  </si>
  <si>
    <t>ION LIGHT AMB/WHT W/SMOKE LENS</t>
  </si>
  <si>
    <t>XONF</t>
  </si>
  <si>
    <t>ION LIGHT BLU/WHT W/SMOKE LENS</t>
  </si>
  <si>
    <t>XONE</t>
  </si>
  <si>
    <t>ION LIGHT RED/WHT W/SMOKE LENS</t>
  </si>
  <si>
    <t>XOND</t>
  </si>
  <si>
    <t>ION LIGHT RED W/SMOKE LENS</t>
  </si>
  <si>
    <t>XONR</t>
  </si>
  <si>
    <t>ION LIGHT GREEN W/ SMOKE LENS</t>
  </si>
  <si>
    <t>XONG</t>
  </si>
  <si>
    <t>ION LIGHT WHITE W/ SMOKE LENS</t>
  </si>
  <si>
    <t>XONC</t>
  </si>
  <si>
    <t>ION LIGHT BLUE W/ SMOKE LENS</t>
  </si>
  <si>
    <t>XONB</t>
  </si>
  <si>
    <t>ION LIGHT AMBER W/ SMOKE LENS</t>
  </si>
  <si>
    <t>XONA</t>
  </si>
  <si>
    <t>ION LIGHT BLUE/AMBER</t>
  </si>
  <si>
    <t>IONM</t>
  </si>
  <si>
    <t>ION LIGHT RED/AMBER</t>
  </si>
  <si>
    <t>IONK</t>
  </si>
  <si>
    <t>ION LIGHT RED/BLUE</t>
  </si>
  <si>
    <t>IONJ</t>
  </si>
  <si>
    <t>ION LIGHT AMBER/WHITE</t>
  </si>
  <si>
    <t>IONF</t>
  </si>
  <si>
    <t>ION LIGHT BLUE/WHITE</t>
  </si>
  <si>
    <t>IONE</t>
  </si>
  <si>
    <t>ION LIGHT RED/WHITE</t>
  </si>
  <si>
    <t>IOND</t>
  </si>
  <si>
    <t>ION LIGHT RED</t>
  </si>
  <si>
    <t>IONR</t>
  </si>
  <si>
    <t>ION LIGHT WHITE</t>
  </si>
  <si>
    <t>IONC</t>
  </si>
  <si>
    <t>ION LIGHT BLUE</t>
  </si>
  <si>
    <t>ION LIGHT AMBER</t>
  </si>
  <si>
    <t>IONA</t>
  </si>
  <si>
    <t>RECT. LED INTERIOR LT CHROME</t>
  </si>
  <si>
    <t>86CE1</t>
  </si>
  <si>
    <t>700 SERIES RED/WHT DOME LIGHT</t>
  </si>
  <si>
    <t>70CREGCS</t>
  </si>
  <si>
    <t>LED INTERIOR LT RED/WHT CHROME</t>
  </si>
  <si>
    <t>80CREHCR</t>
  </si>
  <si>
    <t>LED INTERIOR LT BLU/WHT CHROME</t>
  </si>
  <si>
    <t>80CBEHCR</t>
  </si>
  <si>
    <t>SNAP-IN LED INTERIOR LT WHITE</t>
  </si>
  <si>
    <t>8WC00EZR</t>
  </si>
  <si>
    <t>SNAP-IN LED INTERIOR LT CHROME</t>
  </si>
  <si>
    <t>80C00EZR</t>
  </si>
  <si>
    <t>LED INTERIOR LT WHITE CHROME</t>
  </si>
  <si>
    <t>80C0EHCR</t>
  </si>
  <si>
    <t>12V WHT/BLU 6" COMPARTMENT LT</t>
  </si>
  <si>
    <t>60CBEGCS</t>
  </si>
  <si>
    <t>12V WHT/RED 6" COMPARTMENT LT</t>
  </si>
  <si>
    <t>60CREGCS</t>
  </si>
  <si>
    <t>6" COMPARTMENT LT WHT W/SW 12V</t>
  </si>
  <si>
    <t>60C0EJCS</t>
  </si>
  <si>
    <t>6" RND LED INTERIOR LIGHT 12V</t>
  </si>
  <si>
    <t>60C0EHCR</t>
  </si>
  <si>
    <t>63" FLUORENT+ CLR COMPARTMENT</t>
  </si>
  <si>
    <t>F63PC</t>
  </si>
  <si>
    <t>54" FLUORENT+ CLR COMPARTMENT</t>
  </si>
  <si>
    <t>F54PC</t>
  </si>
  <si>
    <t>45" FLUORENT+ CLR COMPARTMENT</t>
  </si>
  <si>
    <t>F45PC</t>
  </si>
  <si>
    <t>36" FLUORENT+ CLR COMPARTMENT</t>
  </si>
  <si>
    <t>F36PC</t>
  </si>
  <si>
    <t>27" FLUORENT+ CLR COMPARTMENT</t>
  </si>
  <si>
    <t>F27PC</t>
  </si>
  <si>
    <t>18" FLUORENT+ CLR COMPARTMENT</t>
  </si>
  <si>
    <t>F18PC</t>
  </si>
  <si>
    <t>9" FLUORENT+ CLR COMPARTMENT</t>
  </si>
  <si>
    <t>F09PC</t>
  </si>
  <si>
    <t>5' INTERCONNECT CABLE</t>
  </si>
  <si>
    <t>FSBCC5</t>
  </si>
  <si>
    <t>3' INTERCONNECT CABLE</t>
  </si>
  <si>
    <t>FSBCC3</t>
  </si>
  <si>
    <t>1' INTERCONNECT CABLE</t>
  </si>
  <si>
    <t>FSBCC1</t>
  </si>
  <si>
    <t>75' POWER SUPPLY INPUT HARNESS</t>
  </si>
  <si>
    <t>FSBPC75</t>
  </si>
  <si>
    <t>50' POWER SUPPLY INPUT HARNESS</t>
  </si>
  <si>
    <t>FSBPC50</t>
  </si>
  <si>
    <t>25' POWER SUPPLY INPUT HARNESS</t>
  </si>
  <si>
    <t>FSBPC25</t>
  </si>
  <si>
    <t>POWER SUPPLY FIELD SERIES BROW</t>
  </si>
  <si>
    <t>FSBPS</t>
  </si>
  <si>
    <t>LEFT REAR CABLE EXIT OPTION</t>
  </si>
  <si>
    <t>FSBCELR</t>
  </si>
  <si>
    <t>69" FIELD SERIES BROW 11LT BLK</t>
  </si>
  <si>
    <t>FSB11MB</t>
  </si>
  <si>
    <t>63" FIELD SERIES BROW 10LT BLK</t>
  </si>
  <si>
    <t>FSB10MB</t>
  </si>
  <si>
    <t>57" FIELD SERIES BROW 9-LT BLK</t>
  </si>
  <si>
    <t>FSB09MB</t>
  </si>
  <si>
    <t>51" FIELD SERIES BROW 8-LT BLK</t>
  </si>
  <si>
    <t>FSB08MB</t>
  </si>
  <si>
    <t>45" FIELD SERIES BROW 7-LT BLK</t>
  </si>
  <si>
    <t>FSB07MB</t>
  </si>
  <si>
    <t>38" FIELD SERIES BROW 6-LT BLK</t>
  </si>
  <si>
    <t>FSB06MB</t>
  </si>
  <si>
    <t>32" FIELD SERIES BROW 5-LT BLK</t>
  </si>
  <si>
    <t>FSB05MB</t>
  </si>
  <si>
    <t>26" FIELD SERIES BROW 4-LT BLK</t>
  </si>
  <si>
    <t>FSB04MB</t>
  </si>
  <si>
    <t>20" FIELD SERIES BROW 3-LT BLK</t>
  </si>
  <si>
    <t>FSB03MB</t>
  </si>
  <si>
    <t>14" FIELD SERIES BROW 2-LT BLK</t>
  </si>
  <si>
    <t>FSB02MB</t>
  </si>
  <si>
    <t>81" FIELD SERIES BROW 13LT BLK</t>
  </si>
  <si>
    <t>FSB13B</t>
  </si>
  <si>
    <t>75" FIELD SERIES BROW 12LT BLK</t>
  </si>
  <si>
    <t>FSB12B</t>
  </si>
  <si>
    <t>FSB11B</t>
  </si>
  <si>
    <t>FSB10B</t>
  </si>
  <si>
    <t>FSB09B</t>
  </si>
  <si>
    <t>FSB08B</t>
  </si>
  <si>
    <t>FSB07B</t>
  </si>
  <si>
    <t>FSB06B</t>
  </si>
  <si>
    <t>FSB05B</t>
  </si>
  <si>
    <t>FSB04B</t>
  </si>
  <si>
    <t>FSB03B</t>
  </si>
  <si>
    <t>FSB02B</t>
  </si>
  <si>
    <t>LIGHTBAR MOUNT ARGES SPOTLIGHT</t>
  </si>
  <si>
    <t>ARGLB1</t>
  </si>
  <si>
    <t>ARGES CONTROLLER MTG BRACKET</t>
  </si>
  <si>
    <t>ARGMK1</t>
  </si>
  <si>
    <t>DRVR FENDER MT 2022 TESLA Y</t>
  </si>
  <si>
    <t>ARG56D</t>
  </si>
  <si>
    <t>PASS FENDER MT 2022 MACH-E</t>
  </si>
  <si>
    <t>ARG57P</t>
  </si>
  <si>
    <t>DRVR FENDER MT 2022 MACH-E</t>
  </si>
  <si>
    <t>ARG57D</t>
  </si>
  <si>
    <t>DRVR FENDER MT 2019 EXPEDITION</t>
  </si>
  <si>
    <t>ARG48D</t>
  </si>
  <si>
    <t>PASS FENDER MT F-150 LIGHTNING</t>
  </si>
  <si>
    <t>ARG47EP</t>
  </si>
  <si>
    <t>DRVR FENDER MT F-150 LIGHTNING</t>
  </si>
  <si>
    <t>ARG47ED</t>
  </si>
  <si>
    <t>PASS FENDER MT FORD SUPER-DUTY</t>
  </si>
  <si>
    <t>ARG47DP</t>
  </si>
  <si>
    <t>DRVR FENDER MT FORD SUPER-DUTY</t>
  </si>
  <si>
    <t>ARG47DD</t>
  </si>
  <si>
    <t>PASS FENDER MT 2019 F-250/350</t>
  </si>
  <si>
    <t>ARG47BP</t>
  </si>
  <si>
    <t>DRVR FENDER MT 2019 F-250/350</t>
  </si>
  <si>
    <t>ARG47BD</t>
  </si>
  <si>
    <t>PASS FENDER MT 2021 FORD F-150</t>
  </si>
  <si>
    <t>ARG47CP</t>
  </si>
  <si>
    <t>DRVR FENDER MT 2021 FORD F-150</t>
  </si>
  <si>
    <t>ARG47CD</t>
  </si>
  <si>
    <t>PASS FENDER MT INTERCEPTOR SUV</t>
  </si>
  <si>
    <t>ARG50P</t>
  </si>
  <si>
    <t>DRVR FENDER MT INTERCEPTOR SUV</t>
  </si>
  <si>
    <t>ARG50D</t>
  </si>
  <si>
    <t>DRVR FENDER MT '20 FORD ESCAPE</t>
  </si>
  <si>
    <t>ARG53D</t>
  </si>
  <si>
    <t>DRVR FENDER MT 19 RAM 1500 CL</t>
  </si>
  <si>
    <t>ARG42D</t>
  </si>
  <si>
    <t>PASS FENDER MT DODGE DURANGO</t>
  </si>
  <si>
    <t>ARG44AP</t>
  </si>
  <si>
    <t>DRVR FENDER MT DODGE DURANGO</t>
  </si>
  <si>
    <t>ARG44AD</t>
  </si>
  <si>
    <t>DRVR FENDER MT DODGE CHARGER</t>
  </si>
  <si>
    <t>ARG35D</t>
  </si>
  <si>
    <t>PASS FENDER MT 2021 TAHOE</t>
  </si>
  <si>
    <t>ARG54P</t>
  </si>
  <si>
    <t>DRVR FENDER MT 2021 TAHOE</t>
  </si>
  <si>
    <t>ARG54D</t>
  </si>
  <si>
    <t>DRVR FENDER MT 20 SILVERADO HD</t>
  </si>
  <si>
    <t>ARG49BD</t>
  </si>
  <si>
    <t>PASS FENDER MT SILVERADO 1500</t>
  </si>
  <si>
    <t>ARG49P</t>
  </si>
  <si>
    <t>DRVR FENDER MT SILVERADO 1500</t>
  </si>
  <si>
    <t>ARG49D</t>
  </si>
  <si>
    <t>PASS FENDER MT 2024 BLAZER EV</t>
  </si>
  <si>
    <t>ARG59P</t>
  </si>
  <si>
    <t>DRVR FENDER MT 2024 BLAZER EV</t>
  </si>
  <si>
    <t>ARG59D</t>
  </si>
  <si>
    <t>FLAT MOUNT ARGES SPOTLIGHT</t>
  </si>
  <si>
    <t>ARGFM</t>
  </si>
  <si>
    <t>ARGES SWIVEL MT CONTROL HEAD</t>
  </si>
  <si>
    <t>ARGCH2</t>
  </si>
  <si>
    <t>ARGES BAIL MT CONTROL HEAD</t>
  </si>
  <si>
    <t>ARGCH1</t>
  </si>
  <si>
    <t>ARGES1 W/ ARGCH1 &amp; ARGFM</t>
  </si>
  <si>
    <t>ARGFMKT</t>
  </si>
  <si>
    <t>ARGES PROFOCUS REMOTE SPOTLT</t>
  </si>
  <si>
    <t>ARGES2</t>
  </si>
  <si>
    <t>ARGES 5 DEG REMOTE SPOTLIGHT</t>
  </si>
  <si>
    <t>97 TO 900 MOUNT CONVERSION KIT</t>
  </si>
  <si>
    <t>97FKIT</t>
  </si>
  <si>
    <t>9E/900 CHROME PLATE FLANGE KIT</t>
  </si>
  <si>
    <t>9EFLANGE</t>
  </si>
  <si>
    <t>900 SERIES BLACK FLANGE KIT</t>
  </si>
  <si>
    <t>9FLANGEB</t>
  </si>
  <si>
    <t>900 OPTI-SCENELIGHT</t>
  </si>
  <si>
    <t>90E000ZR</t>
  </si>
  <si>
    <t>900 LED TURN AMBER</t>
  </si>
  <si>
    <t>904T</t>
  </si>
  <si>
    <t>900 LED BRAKE/TAIL/TURN RED</t>
  </si>
  <si>
    <t>904BTT</t>
  </si>
  <si>
    <t>900 SUPER-LED CHROME FLANG.KIT</t>
  </si>
  <si>
    <t>90FLANGC</t>
  </si>
  <si>
    <t>900 SUPER-LED BLACK FLANGE KIT</t>
  </si>
  <si>
    <t>90FLANGB</t>
  </si>
  <si>
    <t>900 FLUSH MT LED SCENE LT 12V</t>
  </si>
  <si>
    <t>9SC0ENZR</t>
  </si>
  <si>
    <t>9SB0ENZR</t>
  </si>
  <si>
    <t>900 EZ SCENELIGHT 12V BLACK</t>
  </si>
  <si>
    <t>904SLB</t>
  </si>
  <si>
    <t>900 EZ SCENELIGHT 12V CHROME</t>
  </si>
  <si>
    <t>904SLC</t>
  </si>
  <si>
    <t>900 LIN.SUPER-LED FLASH, R/W/C</t>
  </si>
  <si>
    <t>90RC5FCR</t>
  </si>
  <si>
    <t>900 LIN.SUPER-LED FLASH, R/B/C</t>
  </si>
  <si>
    <t>90RB5FCR</t>
  </si>
  <si>
    <t>900 LIN.SUPER-LED FLASH, R/A/C</t>
  </si>
  <si>
    <t>90RA5FCR</t>
  </si>
  <si>
    <t>900 LIN.SUPER-LED FLASH, R/R/R</t>
  </si>
  <si>
    <t>90RR5FRR</t>
  </si>
  <si>
    <t>900 LIN.SUPER-LED FLASH, R/R/C</t>
  </si>
  <si>
    <t>90RR5FCR</t>
  </si>
  <si>
    <t>900 LIN.SUPER-LED FLASH, G/G/G</t>
  </si>
  <si>
    <t>90GG5FGR</t>
  </si>
  <si>
    <t>900 LIN.SUPER-LED FLASH, G/G/C</t>
  </si>
  <si>
    <t>90GG5FCR</t>
  </si>
  <si>
    <t>900 LIN.SUPER-LED FLASH, W/W/C</t>
  </si>
  <si>
    <t>90CC5FCR</t>
  </si>
  <si>
    <t>900 LIN.SUPER-LED FLASH, B/W/C</t>
  </si>
  <si>
    <t>90BC5FCR</t>
  </si>
  <si>
    <t>900 LIN.SUPER-LED FLASH, B/B/C</t>
  </si>
  <si>
    <t>90BB5FCR</t>
  </si>
  <si>
    <t>900 LIN.SUPER-LED FLASH, B/B/B</t>
  </si>
  <si>
    <t>90BB5FBR</t>
  </si>
  <si>
    <t>900 LIN.SUPER-LED FLASH. A/G/C</t>
  </si>
  <si>
    <t>90AG5FCR</t>
  </si>
  <si>
    <t>900 LIN.SUPER-LED FLASH. A/C/C</t>
  </si>
  <si>
    <t>90AC5FCR</t>
  </si>
  <si>
    <t>900 LIN.SUPER-LED FLASH, A/B/C</t>
  </si>
  <si>
    <t>90AB5FCR</t>
  </si>
  <si>
    <t>900 LIN.SUPER-LED FLASH, A/A/C</t>
  </si>
  <si>
    <t>90AA5FCR</t>
  </si>
  <si>
    <t>900 LIN.SUPER-LED FLASH, A/A/A</t>
  </si>
  <si>
    <t>90AA5FAR</t>
  </si>
  <si>
    <t>900 LIN.SUPER-LED STEADY RED</t>
  </si>
  <si>
    <t>90RR5SRR</t>
  </si>
  <si>
    <t>900 LIN.SUPER-LED STDY. R/R/C</t>
  </si>
  <si>
    <t>90RR5SCR</t>
  </si>
  <si>
    <t>900 LIN.SUPER-LED STEADY R/W/C</t>
  </si>
  <si>
    <t>90RC5SCR</t>
  </si>
  <si>
    <t>900 LIN.SUPER-LED STEADY R/A/C</t>
  </si>
  <si>
    <t>90RA5SCR</t>
  </si>
  <si>
    <t>900 LIN.SUPER-LED STEADY GREEN</t>
  </si>
  <si>
    <t>90GG5SGR</t>
  </si>
  <si>
    <t>900 LIN.SUPER-LED STEADY G/G/C</t>
  </si>
  <si>
    <t>90GG5SCR</t>
  </si>
  <si>
    <t>900 LIN.SUPER-LED STEADY WHITE</t>
  </si>
  <si>
    <t>90CC5SCR</t>
  </si>
  <si>
    <t>900 LIN.SUPER-LED STEADY B/R/C</t>
  </si>
  <si>
    <t>90BR5SCR</t>
  </si>
  <si>
    <t>900 LIN.SUPER-LED STEADY B/B/C</t>
  </si>
  <si>
    <t>90BB5SCR</t>
  </si>
  <si>
    <t>900 LIN.SUPER-LED STEADY BLUE</t>
  </si>
  <si>
    <t>90BB5SBR</t>
  </si>
  <si>
    <t>900 LIN.SUPER-LED STEADY A/A/C</t>
  </si>
  <si>
    <t>90AA5SCR</t>
  </si>
  <si>
    <t>900 LIN.SUPER-LED STEADY AMBER</t>
  </si>
  <si>
    <t>90AA5SAR</t>
  </si>
  <si>
    <t>810 SERIES CHROME TRIM RING</t>
  </si>
  <si>
    <t>810TRIM</t>
  </si>
  <si>
    <t>810 SCENELIGHT, 8-32 DEGREES</t>
  </si>
  <si>
    <t>810CA0ZR</t>
  </si>
  <si>
    <t>700 FRONT LT POD HIGH TRANSIT</t>
  </si>
  <si>
    <t>7PTH5F</t>
  </si>
  <si>
    <t>700 FRONT LT POD MID TRANSIT</t>
  </si>
  <si>
    <t>7PTM5F</t>
  </si>
  <si>
    <t>REAR LT POD 2018 FORD TRANSIT</t>
  </si>
  <si>
    <t>7PT8R</t>
  </si>
  <si>
    <t>700 GRILLE MT CHEVY VAN CHROME</t>
  </si>
  <si>
    <t>7GCV6LRC</t>
  </si>
  <si>
    <t>73 TO 700 MOUNT CONVERSION KIT</t>
  </si>
  <si>
    <t>73FKIT</t>
  </si>
  <si>
    <t>700 SERIES TRIPLE CASTING, POL</t>
  </si>
  <si>
    <t>7CAST3</t>
  </si>
  <si>
    <t>700 SERIES CHROME FLANGE KIT</t>
  </si>
  <si>
    <t>7EFLANGE</t>
  </si>
  <si>
    <t>700 SERIES BLACK FLANGE KIT</t>
  </si>
  <si>
    <t>7FLANGEB</t>
  </si>
  <si>
    <t>700 OPTI-SCENELIGHT</t>
  </si>
  <si>
    <t>70K000ZR</t>
  </si>
  <si>
    <t>700 LED BACK-UP LIGHT</t>
  </si>
  <si>
    <t>704BU</t>
  </si>
  <si>
    <t>700 LED TURN AMBER</t>
  </si>
  <si>
    <t>704T</t>
  </si>
  <si>
    <t>700 LED BRAKE/TAIL/TURN RED</t>
  </si>
  <si>
    <t>704BTT</t>
  </si>
  <si>
    <t>700 SERIES LED SCENE LIGHT 12V</t>
  </si>
  <si>
    <t>7SC0ENZR</t>
  </si>
  <si>
    <t>70C0ELZR</t>
  </si>
  <si>
    <t>700 LIN.SUPER-LED FLASHER, R/C</t>
  </si>
  <si>
    <t>70RC6FCR</t>
  </si>
  <si>
    <t>700 LIN.SUPER-LED FLASHER, B/R</t>
  </si>
  <si>
    <t>70BR6FCR</t>
  </si>
  <si>
    <t>700 LIN.SUPER-LED FLASHER, R/A</t>
  </si>
  <si>
    <t>70RA6FCR</t>
  </si>
  <si>
    <t>700 LIN.SUPER-LED FLASH RED</t>
  </si>
  <si>
    <t>70R02FRR</t>
  </si>
  <si>
    <t>700 LIN.SUPER-LED FLASH RED/CL</t>
  </si>
  <si>
    <t>70R02FCR</t>
  </si>
  <si>
    <t>700 LIN.SUPER-LED FLASH GRN/CL</t>
  </si>
  <si>
    <t>70G02FCR</t>
  </si>
  <si>
    <t>700 LIN.SUPER-LED FLASH WHITE</t>
  </si>
  <si>
    <t>70C02FCR</t>
  </si>
  <si>
    <t>700 LIN.SUPER-LED FLASH BLU/CL</t>
  </si>
  <si>
    <t>70B02FCR</t>
  </si>
  <si>
    <t>700 LIN.SUPER-LED FLASH BLUE</t>
  </si>
  <si>
    <t>70B02FBR</t>
  </si>
  <si>
    <t>700 LIN.SUPER-LED FLASH AMB/CL</t>
  </si>
  <si>
    <t>70A02FCR</t>
  </si>
  <si>
    <t>700 LIN.SUPER-LED FLASH AMBER</t>
  </si>
  <si>
    <t>70A02FAR</t>
  </si>
  <si>
    <t>700 LIN.SUPER-LED STEADY RED</t>
  </si>
  <si>
    <t>70R02SRR</t>
  </si>
  <si>
    <t>700 LIN.SUPER-LED STDY.RED/CLR</t>
  </si>
  <si>
    <t>70R02SCR</t>
  </si>
  <si>
    <t>700 LIN.SUPER-LED STEADY GREEN</t>
  </si>
  <si>
    <t>70G02SGR</t>
  </si>
  <si>
    <t>70G02SCR</t>
  </si>
  <si>
    <t>700 LIN.SUPER-LED STEADY WHITE</t>
  </si>
  <si>
    <t>70C02SCR</t>
  </si>
  <si>
    <t>700 LIN.SUPER-LED STDY BLU/CLR</t>
  </si>
  <si>
    <t>70B02SCR</t>
  </si>
  <si>
    <t>700 LIN.SUPER-LED STEADY BLUE</t>
  </si>
  <si>
    <t>70B02SBR</t>
  </si>
  <si>
    <t>700 LIN.SUPER-LED STDY.AMB/CLR</t>
  </si>
  <si>
    <t>70A02SCR</t>
  </si>
  <si>
    <t>700 LIN.SUPER-LED STEADY AMBER</t>
  </si>
  <si>
    <t>70A02SAR</t>
  </si>
  <si>
    <t>QUAD 600 VERT. CASTING KIT</t>
  </si>
  <si>
    <t>CAST4V</t>
  </si>
  <si>
    <t>TRIPLE 600 HORIZ. CASTING KIT</t>
  </si>
  <si>
    <t>CAST3H</t>
  </si>
  <si>
    <t>TRIPLE 600 VERT. CASTING KIT</t>
  </si>
  <si>
    <t>CAST3</t>
  </si>
  <si>
    <t>4 X 600 VERT.COMPOSITE HOUSING</t>
  </si>
  <si>
    <t>PLAST4VL</t>
  </si>
  <si>
    <t>PLAST4V</t>
  </si>
  <si>
    <t>3 X 600 VERT.COMPOSITE HOUSING</t>
  </si>
  <si>
    <t>PLAST3V</t>
  </si>
  <si>
    <t>KIT, 6E SERIES HEADLIGHT MOUNT</t>
  </si>
  <si>
    <t>6EHDLTMK</t>
  </si>
  <si>
    <t>OPT. FLANGE, 64/6E/600 SERIES</t>
  </si>
  <si>
    <t>6EFLANGE</t>
  </si>
  <si>
    <t>600 SERIES BLACK FLANGE KIT</t>
  </si>
  <si>
    <t>6FLANGEB</t>
  </si>
  <si>
    <t>64 TO 600 MOUNT CONVERSION KIT</t>
  </si>
  <si>
    <t>64FKIT</t>
  </si>
  <si>
    <t>600 SCENELIGHT 13 DEGREE</t>
  </si>
  <si>
    <t>60K000YR</t>
  </si>
  <si>
    <t>600 SCENELIGHT 26 DEGREE</t>
  </si>
  <si>
    <t>60K000XR</t>
  </si>
  <si>
    <t>600 LED BACK-UP LIGHT</t>
  </si>
  <si>
    <t>604BU</t>
  </si>
  <si>
    <t>600 LED BRAKE/TAIL/TURN RED</t>
  </si>
  <si>
    <t>604BTT</t>
  </si>
  <si>
    <t>600 LED TURN AMBER</t>
  </si>
  <si>
    <t>604T</t>
  </si>
  <si>
    <t>600 LED SCENE LT 12V FLUSH MNT</t>
  </si>
  <si>
    <t>6SC0ENZR</t>
  </si>
  <si>
    <t>600 SERIES LED SCENE LIGHT 12V</t>
  </si>
  <si>
    <t>60C0ELZR</t>
  </si>
  <si>
    <t>600 EZ SCENE LT 10-30V BLACK</t>
  </si>
  <si>
    <t>604SLB</t>
  </si>
  <si>
    <t>600 EZ SCENE LT 10-30V CHROME</t>
  </si>
  <si>
    <t>604SLC</t>
  </si>
  <si>
    <t>600 LIN.SUPER-LED FLASHER, R/C</t>
  </si>
  <si>
    <t>60RC6FCR</t>
  </si>
  <si>
    <t>600 LIN.SUPER-LED FLASHER, B/R</t>
  </si>
  <si>
    <t>60BR6FCR</t>
  </si>
  <si>
    <t>600 LIN.SUPER-LED FLASHER, R/A</t>
  </si>
  <si>
    <t>60RA6FCR</t>
  </si>
  <si>
    <t>600 LIN.SUPER-LED FLASH RED</t>
  </si>
  <si>
    <t>60R02FRR</t>
  </si>
  <si>
    <t>600 LIN.SUPER-LED FLASH RED/CL</t>
  </si>
  <si>
    <t>60R02FCR</t>
  </si>
  <si>
    <t>600 LIN.SUPER-LED FLASH WHITE</t>
  </si>
  <si>
    <t>60C02FCR</t>
  </si>
  <si>
    <t>600 LIN.SUPER-LED FLASH BLU/CL</t>
  </si>
  <si>
    <t>60B02FCR</t>
  </si>
  <si>
    <t>600 LIN.SUPER-LED FLASH BLUE</t>
  </si>
  <si>
    <t>60B02FBR</t>
  </si>
  <si>
    <t>600 LIN.SUPER-LED FLASH AMB/CL</t>
  </si>
  <si>
    <t>60A02FCR</t>
  </si>
  <si>
    <t>600 LIN.SUPER-LED FLASH AMBER</t>
  </si>
  <si>
    <t>60A02FAR</t>
  </si>
  <si>
    <t>600 LIN.SUPER-LED STEADY RED</t>
  </si>
  <si>
    <t>60R02SRR</t>
  </si>
  <si>
    <t>600 LIN.SUPER-LED STDY.RED/CLR</t>
  </si>
  <si>
    <t>60R02SCR</t>
  </si>
  <si>
    <t>600 LIN.SUPER-LED STEADY GREEN</t>
  </si>
  <si>
    <t>60G02SGR</t>
  </si>
  <si>
    <t>600 LIN.SUPER-LED STDY.GRN/CLR</t>
  </si>
  <si>
    <t>60G02SCR</t>
  </si>
  <si>
    <t>600 LIN.SUPER-LED STEADY WHITE</t>
  </si>
  <si>
    <t>60C02SCR</t>
  </si>
  <si>
    <t>600 LIN.SUPER-LED STDY.BLU/CLR</t>
  </si>
  <si>
    <t>60B02SCR</t>
  </si>
  <si>
    <t>600 LIN.SUPER-LED STEADY BLUE</t>
  </si>
  <si>
    <t>60B02SBR</t>
  </si>
  <si>
    <t>600 LIN.SUPER-LED STDY.AMB/CLR</t>
  </si>
  <si>
    <t>60A02SCR</t>
  </si>
  <si>
    <t>600 LIN.SUPER-LED STEADY AMBER</t>
  </si>
  <si>
    <t>60A02SAR</t>
  </si>
  <si>
    <t>600 SURFACE MT ROTA-BEAM RED</t>
  </si>
  <si>
    <t>6RBRC</t>
  </si>
  <si>
    <t>600 SURFACE MT ROTA-BEAM GREEN</t>
  </si>
  <si>
    <t>6RBGC</t>
  </si>
  <si>
    <t>600 SURFACE MT ROTA-BEAM BLUE</t>
  </si>
  <si>
    <t>6RBBC</t>
  </si>
  <si>
    <t>600 SURFACE MT ROTA-BEAM AMBER</t>
  </si>
  <si>
    <t>6RBAC</t>
  </si>
  <si>
    <t>6RBR</t>
  </si>
  <si>
    <t>6RBG</t>
  </si>
  <si>
    <t>600 SURFACE MT ROTA-BEAM WHITE</t>
  </si>
  <si>
    <t>6RBC</t>
  </si>
  <si>
    <t>6RBB</t>
  </si>
  <si>
    <t>6RBA</t>
  </si>
  <si>
    <t>L-BRACKET MOUNT 5G SERIES</t>
  </si>
  <si>
    <t>5GBKT1</t>
  </si>
  <si>
    <t>5G SER. LED FLANGE KIT BLACK</t>
  </si>
  <si>
    <t>5GFLANGB</t>
  </si>
  <si>
    <t>5G SER. LED FLANGE KIT CHROME</t>
  </si>
  <si>
    <t>5GFLANGC</t>
  </si>
  <si>
    <t>5G LED VERTICAL MOUNT BACK-UP</t>
  </si>
  <si>
    <t>5GBUV</t>
  </si>
  <si>
    <t>5G LED HORIZONTAL MT BACK-UP</t>
  </si>
  <si>
    <t>5GBU</t>
  </si>
  <si>
    <t>5G LED TURN AMBER/CLEAR</t>
  </si>
  <si>
    <t>5GTC</t>
  </si>
  <si>
    <t>5G LED TURN AMBER/AMBER</t>
  </si>
  <si>
    <t>5GT</t>
  </si>
  <si>
    <t>5G BRAKE/TAIL/TURN RED/CLEAR</t>
  </si>
  <si>
    <t>5GBTTC</t>
  </si>
  <si>
    <t>5G BRAKE/TAIL/TURN RED/RED</t>
  </si>
  <si>
    <t>5GBTT</t>
  </si>
  <si>
    <t>5G LED FLASHER SPLIT BLU/AMB</t>
  </si>
  <si>
    <t>5GM</t>
  </si>
  <si>
    <t>5G LED FLASHER SPLIT RED/GRN</t>
  </si>
  <si>
    <t>5GL</t>
  </si>
  <si>
    <t>5G LED FLASHER SPLIT RED/AMB</t>
  </si>
  <si>
    <t>5GK</t>
  </si>
  <si>
    <t>5G LED FLASHER SPLIT RED/BLU</t>
  </si>
  <si>
    <t>5GJ</t>
  </si>
  <si>
    <t>5G LED FLASHER SPLIT GRN/WHT</t>
  </si>
  <si>
    <t>5GH</t>
  </si>
  <si>
    <t>5G LED FLASHER SPLIT AMB/WHT</t>
  </si>
  <si>
    <t>5GF</t>
  </si>
  <si>
    <t>5G LED FLASHER SPLIT BLU/WHT</t>
  </si>
  <si>
    <t>5GE</t>
  </si>
  <si>
    <t>5G LED FLASHER SPLIT RED/WHT</t>
  </si>
  <si>
    <t>5GD</t>
  </si>
  <si>
    <t>5G LED FLASHER RED/CLEAR</t>
  </si>
  <si>
    <t>5GRC</t>
  </si>
  <si>
    <t>56 LED FLASHER GREEN/CLEAR</t>
  </si>
  <si>
    <t>5GGC</t>
  </si>
  <si>
    <t>5G LED FLASHER BLUE/CLEAR</t>
  </si>
  <si>
    <t>5GBC</t>
  </si>
  <si>
    <t>5G LED FLASHER AMBER/CLEAR</t>
  </si>
  <si>
    <t>5GAC</t>
  </si>
  <si>
    <t>5G LED FLASHER RED/RED</t>
  </si>
  <si>
    <t>5GR</t>
  </si>
  <si>
    <t>5G LED FLASHER GREEN/GREEN</t>
  </si>
  <si>
    <t>5GG</t>
  </si>
  <si>
    <t>5G LED FLASHER WHITE/CLEAR</t>
  </si>
  <si>
    <t>5GC</t>
  </si>
  <si>
    <t>5G LED FLASHER BLUE/BLUE</t>
  </si>
  <si>
    <t>5GB</t>
  </si>
  <si>
    <t>5G LED FLASHER AMBER/AMBER</t>
  </si>
  <si>
    <t>5GA</t>
  </si>
  <si>
    <t>5G LED BACK-UP LIGHT 12V</t>
  </si>
  <si>
    <t>5GC00WCR</t>
  </si>
  <si>
    <t>5G 12LED COMPARTMENT WHITE/CLR</t>
  </si>
  <si>
    <t>5GC0CCCR</t>
  </si>
  <si>
    <t>5G LED FLASHER RED</t>
  </si>
  <si>
    <t>5GR00FRR</t>
  </si>
  <si>
    <t>5G LED FLASHER RED, CLR.LENS</t>
  </si>
  <si>
    <t>5GR00FCR</t>
  </si>
  <si>
    <t>5G LED FLASHER AMBER, CLR.LENS</t>
  </si>
  <si>
    <t>5GA00FCR</t>
  </si>
  <si>
    <t>5G LED FLASHER AMBER</t>
  </si>
  <si>
    <t>5GA00FAR</t>
  </si>
  <si>
    <t>500 FENDER FLANGES M2 CHROME</t>
  </si>
  <si>
    <t>5IM2LRC</t>
  </si>
  <si>
    <t>ANGLE BRACKET, 500 SUPER-LED</t>
  </si>
  <si>
    <t>5BKT1</t>
  </si>
  <si>
    <t>500 SERIES TIR BRUSH GUARD</t>
  </si>
  <si>
    <t>5BRUSH</t>
  </si>
  <si>
    <t>500 SUPER-LED SURF.MT.KIT CHRM</t>
  </si>
  <si>
    <t>5LSMAC</t>
  </si>
  <si>
    <t>500 SUPER-LED SURF.MT.KIT BLK.</t>
  </si>
  <si>
    <t>5LSMAB</t>
  </si>
  <si>
    <t>500 TIR SURFACE MT. KIT CHROME</t>
  </si>
  <si>
    <t>5TSMAC</t>
  </si>
  <si>
    <t>500 TIR SURFACE MT. KIT BLACK</t>
  </si>
  <si>
    <t>5TSMAB</t>
  </si>
  <si>
    <t>500 SERIES GROMMET MOUNT KIT</t>
  </si>
  <si>
    <t>5GROMMET</t>
  </si>
  <si>
    <t>500 SERIES FLANGE KIT, POLISH</t>
  </si>
  <si>
    <t>5FLANGEP</t>
  </si>
  <si>
    <t>500 SERIES FLANGE KIT, CHROME</t>
  </si>
  <si>
    <t>5FLANGEC</t>
  </si>
  <si>
    <t>500 SERIES FLANGE KIT, BLACK</t>
  </si>
  <si>
    <t>5FLANGEB</t>
  </si>
  <si>
    <t>500 TIR6 SYNC RED/RED/CLR AMP</t>
  </si>
  <si>
    <t>50RR3ZCR</t>
  </si>
  <si>
    <t>500 TIR6 SYNC RED/BLU/CLR AMP</t>
  </si>
  <si>
    <t>50RB3ZCR</t>
  </si>
  <si>
    <t>500 TIR6 SYNC RED/AMB/CLR AMP</t>
  </si>
  <si>
    <t>50RA3ZCR</t>
  </si>
  <si>
    <t>500 TIR6 SYNC RED/WHT/CLR AMP</t>
  </si>
  <si>
    <t>50CR3ZCR</t>
  </si>
  <si>
    <t>500 TIR6 SYNC WHT/WHT/CLR AMP</t>
  </si>
  <si>
    <t>50CC3ZCR</t>
  </si>
  <si>
    <t>500 TIR6 SYNC BLU/WHT/CLR AMP</t>
  </si>
  <si>
    <t>50BC3ZCR</t>
  </si>
  <si>
    <t>500 TIR6 SYNC BLU/BLU/CLR AMP</t>
  </si>
  <si>
    <t>50BB3ZCR</t>
  </si>
  <si>
    <t>500 TIR6 SYNC AMB/WHT/CLR AMP</t>
  </si>
  <si>
    <t>50AC3ZCR</t>
  </si>
  <si>
    <t>500 TIR6 SYNC AMB/BLU/CLR AMP</t>
  </si>
  <si>
    <t>50AB3ZCR</t>
  </si>
  <si>
    <t>500 TIR6 SYNC AMB/AMB/CLR AMP</t>
  </si>
  <si>
    <t>50AA3ZCR</t>
  </si>
  <si>
    <t>500 TIR/6 LED SYNC RED/RED</t>
  </si>
  <si>
    <t>50R03ZRR</t>
  </si>
  <si>
    <t>500 TIR/6 LED SYNC RED/CLR</t>
  </si>
  <si>
    <t>50R03ZCR</t>
  </si>
  <si>
    <t>500 TIR6 LED SYNC GRN/GRN</t>
  </si>
  <si>
    <t>50G03ZGR</t>
  </si>
  <si>
    <t>500 TIR/6 LED SYNC GRN/CLR</t>
  </si>
  <si>
    <t>50G03ZCR</t>
  </si>
  <si>
    <t>500 TIR/6 LED SYNC. WHT/CLR</t>
  </si>
  <si>
    <t>50C03ZCR</t>
  </si>
  <si>
    <t>500 TIR/6 LED SYNC. BLU/CLR</t>
  </si>
  <si>
    <t>50B03ZCR</t>
  </si>
  <si>
    <t>500 TIR/6 LED SYNC. BLU/BLU</t>
  </si>
  <si>
    <t>50B03ZBR</t>
  </si>
  <si>
    <t>500 TIR/6 LED SYNC. AMB/CLR</t>
  </si>
  <si>
    <t>50A03ZCR</t>
  </si>
  <si>
    <t>500 TIR/6 LED SYNC. AMB/AMB</t>
  </si>
  <si>
    <t>50A03ZAR</t>
  </si>
  <si>
    <t>500 LINEAR LED AMB/AMB SYNC</t>
  </si>
  <si>
    <t>50A02SA1</t>
  </si>
  <si>
    <t>500 LED AMB/AMB VERT FLANGE</t>
  </si>
  <si>
    <t>50AA2SA2</t>
  </si>
  <si>
    <t>500 VERT.LIN.LED FLASHER RED</t>
  </si>
  <si>
    <t>5VR02ZRR</t>
  </si>
  <si>
    <t>500 VERT.LIN.LED FLASH.RED/CLR</t>
  </si>
  <si>
    <t>5VR02ZCR</t>
  </si>
  <si>
    <t>500 VERT.LIN.LED FLASHER GREEN</t>
  </si>
  <si>
    <t>5VG02ZGR</t>
  </si>
  <si>
    <t>5VG02ZCR</t>
  </si>
  <si>
    <t>500 VERT.LIN.LED FLASHER WHITE</t>
  </si>
  <si>
    <t>5VC02ZCR</t>
  </si>
  <si>
    <t>500 VERT.LIN.LED FLASH.BLU/CLR</t>
  </si>
  <si>
    <t>5VB02ZCR</t>
  </si>
  <si>
    <t>500 VERT.LIN.LED FLASHER BLUE</t>
  </si>
  <si>
    <t>5VB02ZBR</t>
  </si>
  <si>
    <t>500 VERT.LIN.LED FLASH.AMB/CLR</t>
  </si>
  <si>
    <t>5VA02ZCR</t>
  </si>
  <si>
    <t>500 VERT.LIN.LED FLASHER AMBER</t>
  </si>
  <si>
    <t>5VA02ZAR</t>
  </si>
  <si>
    <t>500 LIN LED FLASH W/W CLR LENS</t>
  </si>
  <si>
    <t>50CC2ZCR</t>
  </si>
  <si>
    <t>500 LIN LED FLASH W/R CLR LENS</t>
  </si>
  <si>
    <t>50CR2ZCR</t>
  </si>
  <si>
    <t>500 LIN LED FLASH B/W CLR LENS</t>
  </si>
  <si>
    <t>50BC2ZCR</t>
  </si>
  <si>
    <t>500 LIN LED FLASH A/W CLR LENS</t>
  </si>
  <si>
    <t>50AC2ZCR</t>
  </si>
  <si>
    <t>500 LIN LED FLASH R/R CLR LENS</t>
  </si>
  <si>
    <t>50RR2ZCR</t>
  </si>
  <si>
    <t>500 LIN LED FLASH R/B CLR LENS</t>
  </si>
  <si>
    <t>50RB2ZCR</t>
  </si>
  <si>
    <t>500 LIN LED FLASH B/B CLR LENS</t>
  </si>
  <si>
    <t>50BB2ZCR</t>
  </si>
  <si>
    <t>500 LIN LED FLASH A/R CLR LENS</t>
  </si>
  <si>
    <t>50AR2ZCR</t>
  </si>
  <si>
    <t>500 LIN LED FLASH A/B CLR LENS</t>
  </si>
  <si>
    <t>50AB2ZCR</t>
  </si>
  <si>
    <t>500 LIN LED FLASH A/A CLR LENS</t>
  </si>
  <si>
    <t>50AA2ZCR</t>
  </si>
  <si>
    <t>500 LINEAR LED FLASH.RED</t>
  </si>
  <si>
    <t>50R02ZRR</t>
  </si>
  <si>
    <t>500 LIN.LED FLASH.RED CLR.LENS</t>
  </si>
  <si>
    <t>50R02ZCR</t>
  </si>
  <si>
    <t>500 LINEAR LED FLASH.WHITE</t>
  </si>
  <si>
    <t>50C02ZCR</t>
  </si>
  <si>
    <t>500 LIN.LED FLASH.BLU.CLR LENS</t>
  </si>
  <si>
    <t>50B02ZCR</t>
  </si>
  <si>
    <t>500 LINEAR LED FLASH.BLUE</t>
  </si>
  <si>
    <t>50B02ZBR</t>
  </si>
  <si>
    <t>500 LIN.LED FLASH.AMB.CLR.LENS</t>
  </si>
  <si>
    <t>50A02ZCR</t>
  </si>
  <si>
    <t>500 LINEAR LED FLASH.AMBER</t>
  </si>
  <si>
    <t>50A02ZAR</t>
  </si>
  <si>
    <t>500 V-SERIES WARNING LT RED</t>
  </si>
  <si>
    <t>5V1R</t>
  </si>
  <si>
    <t>500 V-SERIES WARNING LT WHITE</t>
  </si>
  <si>
    <t>5V1C</t>
  </si>
  <si>
    <t>500 V-SERIES WARNING LT BLUE</t>
  </si>
  <si>
    <t>5V1B</t>
  </si>
  <si>
    <t>500 V-SERIES WARNING LT AMBER</t>
  </si>
  <si>
    <t>5V1A</t>
  </si>
  <si>
    <t>500 V-SERIES LIGHT RED</t>
  </si>
  <si>
    <t>5V3R</t>
  </si>
  <si>
    <t>500 V-SERIES LIGHT WHITE</t>
  </si>
  <si>
    <t>5V3C</t>
  </si>
  <si>
    <t>500 V-SERIES LIGHT BLUE</t>
  </si>
  <si>
    <t>5V3B</t>
  </si>
  <si>
    <t>500 V-SERIES LIGHT AMBER</t>
  </si>
  <si>
    <t>5V3A</t>
  </si>
  <si>
    <t>400 BLACK HOUSING W/SWIVEL</t>
  </si>
  <si>
    <t>4EGRILB</t>
  </si>
  <si>
    <t>400 CHROME HOUSING W/SWIVEL</t>
  </si>
  <si>
    <t>4EGRILP</t>
  </si>
  <si>
    <t>400 LIN.LED SURF.MT.KIT CHROME</t>
  </si>
  <si>
    <t>4TSMAC</t>
  </si>
  <si>
    <t>400 LIN.LED SURF.MT.KIT, BLACK</t>
  </si>
  <si>
    <t>4TSMAB</t>
  </si>
  <si>
    <t>400 SERIES BLACK FLANGE KIT</t>
  </si>
  <si>
    <t>4FLANGEB</t>
  </si>
  <si>
    <t>400 SERIES CHROME FLANGE KIT</t>
  </si>
  <si>
    <t>4EFLANGE</t>
  </si>
  <si>
    <t>400 LED TURN/CLEARANCE AMBER</t>
  </si>
  <si>
    <t>404T</t>
  </si>
  <si>
    <t>400 LED BRAKE/TAIL/TURN RED</t>
  </si>
  <si>
    <t>404BTT</t>
  </si>
  <si>
    <t>400 LINEAR TIR LED SYNC. RED</t>
  </si>
  <si>
    <t>40R02ZRR</t>
  </si>
  <si>
    <t>400 LINEAR TIR LED SYNC. R/C</t>
  </si>
  <si>
    <t>40R02ZCR</t>
  </si>
  <si>
    <t>400 LINEAR TIR LED SYNC. WHITE</t>
  </si>
  <si>
    <t>40C02ZCR</t>
  </si>
  <si>
    <t>400 LINEAR TIR LED SYNC. B/C</t>
  </si>
  <si>
    <t>40B02ZCR</t>
  </si>
  <si>
    <t>400 LINEAR TIR LED SYNC. BLUE</t>
  </si>
  <si>
    <t>40B02ZBR</t>
  </si>
  <si>
    <t>400 LINEAR TIR LED SYNC. A/C</t>
  </si>
  <si>
    <t>40A02ZCR</t>
  </si>
  <si>
    <t>400 LINEAR TIR LED SYNC. AMBER</t>
  </si>
  <si>
    <t>40A02ZAR</t>
  </si>
  <si>
    <t>400 LED BACK-UP LT HORIZONTAL</t>
  </si>
  <si>
    <t>404BUH</t>
  </si>
  <si>
    <t>400 LED BACK-UP LT VERTICAL</t>
  </si>
  <si>
    <t>404BUV</t>
  </si>
  <si>
    <t>400 RED-RED LED/CLR LENS</t>
  </si>
  <si>
    <t>40RR5SCR</t>
  </si>
  <si>
    <t>400 GRN-RED LED/CLR LENS</t>
  </si>
  <si>
    <t>40GR5SCR</t>
  </si>
  <si>
    <t>400 GRN-GRN LED/CLR LENS</t>
  </si>
  <si>
    <t>40GG5SCR</t>
  </si>
  <si>
    <t>400 AMB-GRN LED/CLR LENS</t>
  </si>
  <si>
    <t>40GA5SCR</t>
  </si>
  <si>
    <t>400 WHT-RED LED/CLR LENS</t>
  </si>
  <si>
    <t>40CR5SCR</t>
  </si>
  <si>
    <t>400 WHT/GRN LED/CLR LENS</t>
  </si>
  <si>
    <t>40CG5SCR</t>
  </si>
  <si>
    <t>400 WHT-WHT LED/CLR LENS</t>
  </si>
  <si>
    <t>40CC5SCR</t>
  </si>
  <si>
    <t>400 BLU-RED LED/CLR LENS</t>
  </si>
  <si>
    <t>40BR5SCR</t>
  </si>
  <si>
    <t>400 BLU-WHT LED/CLR LENS</t>
  </si>
  <si>
    <t>40BC5SCR</t>
  </si>
  <si>
    <t>400 BLU-BLU LED/CLR LENS</t>
  </si>
  <si>
    <t>40BB5SCR</t>
  </si>
  <si>
    <t>400 AMB-RED LED/CLR LENS</t>
  </si>
  <si>
    <t>40AR5SCR</t>
  </si>
  <si>
    <t>400 AMB-WHT LED/CLR LENS</t>
  </si>
  <si>
    <t>40AC5SCR</t>
  </si>
  <si>
    <t>400 AMB-BLU LED/CLR LENS</t>
  </si>
  <si>
    <t>40AB5SCR</t>
  </si>
  <si>
    <t>400 AMB-AMB LED/CLR LENS</t>
  </si>
  <si>
    <t>40AA5SCR</t>
  </si>
  <si>
    <t>400 PLUS DUO SYNC AMB-BLU/CLR</t>
  </si>
  <si>
    <t>404M0ZCR</t>
  </si>
  <si>
    <t>400 PLUS DUO SYNC AMB-RED/CLR</t>
  </si>
  <si>
    <t>404K0ZCR</t>
  </si>
  <si>
    <t>400 PLUS DUO SYNC RED-BLU/CLR</t>
  </si>
  <si>
    <t>404J0ZCR</t>
  </si>
  <si>
    <t>400 PLUS DUO SYNC GRN-WHT/CLR</t>
  </si>
  <si>
    <t>404H0ZCR</t>
  </si>
  <si>
    <t>400 PLUS DUO SYNC AMB-WHT/CLR</t>
  </si>
  <si>
    <t>404F0ZCR</t>
  </si>
  <si>
    <t>400 PLUS DUO SYNC BLU-WHT/CLR</t>
  </si>
  <si>
    <t>404E0ZCR</t>
  </si>
  <si>
    <t>400 PLUS DUO SYNC RED-WHT/CLR</t>
  </si>
  <si>
    <t>404D0ZCR</t>
  </si>
  <si>
    <t>400 PLUS SOLO SYNC RED/RED</t>
  </si>
  <si>
    <t>404R0ZRR</t>
  </si>
  <si>
    <t>400 PLUS SOLO SYNC RED/CLEAR</t>
  </si>
  <si>
    <t>404R0ZCR</t>
  </si>
  <si>
    <t>400 PLUS SOLO SYNC GREEN/GREEN</t>
  </si>
  <si>
    <t>404G0ZGR</t>
  </si>
  <si>
    <t>400 PLUS SOLO SYNC GREEN/CLEAR</t>
  </si>
  <si>
    <t>404G0ZCR</t>
  </si>
  <si>
    <t>400 PLUS SOLO SYNC WHITE/CLEAR</t>
  </si>
  <si>
    <t>404C0ZCR</t>
  </si>
  <si>
    <t>400 PLUS SOLO SYNC BLUE/CLEAR</t>
  </si>
  <si>
    <t>404B0ZCR</t>
  </si>
  <si>
    <t>400 PLUS SOLO SYNC BLUE/BLUE</t>
  </si>
  <si>
    <t>404B0ZBR</t>
  </si>
  <si>
    <t>400 PLUS SOLO SYNC AMBER/CLEAR</t>
  </si>
  <si>
    <t>404A0ZCR</t>
  </si>
  <si>
    <t>400 PLUS SOLO SYNC AMBER/AMBER</t>
  </si>
  <si>
    <t>404A0ZAR</t>
  </si>
  <si>
    <t>400 PLUS DUO STEADY AMB/BLU</t>
  </si>
  <si>
    <t>404M0SCR</t>
  </si>
  <si>
    <t>400 PLUS DUO STEADY AMB/RED</t>
  </si>
  <si>
    <t>404K0SCR</t>
  </si>
  <si>
    <t>400 PLUS DUO STEADY RED/BLU</t>
  </si>
  <si>
    <t>404J0SCR</t>
  </si>
  <si>
    <t>400 PLUS DUO STEADY AMB/WHT</t>
  </si>
  <si>
    <t>404F0SCR</t>
  </si>
  <si>
    <t>400 PLUS DUO STEADY BLU/WHT</t>
  </si>
  <si>
    <t>404E0SCR</t>
  </si>
  <si>
    <t>400 PLUS DUO STEADY RED/WHT</t>
  </si>
  <si>
    <t>404D0SCR</t>
  </si>
  <si>
    <t>400 PLUS SOLO STEADY RED/RED</t>
  </si>
  <si>
    <t>404R0SRR</t>
  </si>
  <si>
    <t>400 PLUS SOLO STEADY RED/CLR</t>
  </si>
  <si>
    <t>404R0SCR</t>
  </si>
  <si>
    <t>400 PLUS SOLO STEADY GRN/GRN</t>
  </si>
  <si>
    <t>404G0SGR</t>
  </si>
  <si>
    <t>400 PLUS SOLO STEADY GRN/CLR</t>
  </si>
  <si>
    <t>404G0SCR</t>
  </si>
  <si>
    <t>400 PLUS SOLO STEADY WHT/CLR</t>
  </si>
  <si>
    <t>404C0SCR</t>
  </si>
  <si>
    <t>400 PLUS SOLO STEADY BLU/CLR</t>
  </si>
  <si>
    <t>404B0SCR</t>
  </si>
  <si>
    <t>400 PLUS SOLO STEADY BLU/BLU</t>
  </si>
  <si>
    <t>404B0SBR</t>
  </si>
  <si>
    <t>400 PLUS SOLO STEADY AMB/CLR</t>
  </si>
  <si>
    <t>404A0SCR</t>
  </si>
  <si>
    <t>400 PLUS SOLO STEADY AMB/AMB</t>
  </si>
  <si>
    <t>404A0SAR</t>
  </si>
  <si>
    <t>400 V-SERIES LIGHT RED</t>
  </si>
  <si>
    <t>4V3R</t>
  </si>
  <si>
    <t>400 V-SERIES LIGHT WHITE</t>
  </si>
  <si>
    <t>4V3C</t>
  </si>
  <si>
    <t>400 V-SERIES LIGHT BLUE</t>
  </si>
  <si>
    <t>4V3B</t>
  </si>
  <si>
    <t>400 V-SERIES LIGHT AMBER</t>
  </si>
  <si>
    <t>4V3A</t>
  </si>
  <si>
    <t>L-BRACKET MOUNT 2G SERIES</t>
  </si>
  <si>
    <t>2GBKT1</t>
  </si>
  <si>
    <t>2G SER. LED FLANGE KIT BLACK</t>
  </si>
  <si>
    <t>2GFLANGB</t>
  </si>
  <si>
    <t>2G SER. LED FLANGE KIT CHROME</t>
  </si>
  <si>
    <t>2GFLANGC</t>
  </si>
  <si>
    <t>4" ROUND GROMMET MOUNT</t>
  </si>
  <si>
    <t>2GROMMET</t>
  </si>
  <si>
    <t>4" ROUND 12LED COMPARTMENT DEU</t>
  </si>
  <si>
    <t>20C0CDCD</t>
  </si>
  <si>
    <t>4" ROUND 12 LED COMPARTMENT LT</t>
  </si>
  <si>
    <t>20C0CDCR</t>
  </si>
  <si>
    <t>2G 5MM LED FLASHER RED</t>
  </si>
  <si>
    <t>2GR00FRR</t>
  </si>
  <si>
    <t>2G 5MM LED FLASHER RED/CLR</t>
  </si>
  <si>
    <t>2GR00FCR</t>
  </si>
  <si>
    <t>2G 5MM LED FLASHER AMB/CLR</t>
  </si>
  <si>
    <t>2GA00FCR</t>
  </si>
  <si>
    <t>2G 5MM LED FLASHER AMB.</t>
  </si>
  <si>
    <t>2GA00FAR</t>
  </si>
  <si>
    <t>200 SER. LED FLANGE KIT CHROME</t>
  </si>
  <si>
    <t>2FLANGEC</t>
  </si>
  <si>
    <t>200 SER. LED FLANGE KIT, BLACK</t>
  </si>
  <si>
    <t>2FLANGEB</t>
  </si>
  <si>
    <t>4" EXTD. SYNC SUPER-LED BW/C</t>
  </si>
  <si>
    <t>2EE00ZCR</t>
  </si>
  <si>
    <t>4" EXTD. SYNC SUPER-LED RW/C</t>
  </si>
  <si>
    <t>2ED00ZCR</t>
  </si>
  <si>
    <t>3-1/2" EXTEND DRIVE/WARN R/B</t>
  </si>
  <si>
    <t>PAR28DJ</t>
  </si>
  <si>
    <t>3-1/2" EXTEND DRIVE/WARN RED</t>
  </si>
  <si>
    <t>PAR28DR</t>
  </si>
  <si>
    <t>3-1/2" EXTEND DRIVE/WARN BLU</t>
  </si>
  <si>
    <t>PAR28DB</t>
  </si>
  <si>
    <t>3-1/2" EXTEND DRIVE/WARN AMB</t>
  </si>
  <si>
    <t>PAR28DA</t>
  </si>
  <si>
    <t>3-1/2" EXTEND LED FOG LT B/W</t>
  </si>
  <si>
    <t>PAR28E</t>
  </si>
  <si>
    <t>3-1/2" EXTEND LED FOG LT R/W</t>
  </si>
  <si>
    <t>PAR28D</t>
  </si>
  <si>
    <t>3-1/2" EXTEND LED FOG LT R/B</t>
  </si>
  <si>
    <t>PAR28J</t>
  </si>
  <si>
    <t>3-1/2" EXTEND LED FOG LT RED</t>
  </si>
  <si>
    <t>PAR28R</t>
  </si>
  <si>
    <t>3-1/2" EXTEND LED FOG LT WHT</t>
  </si>
  <si>
    <t>PAR28C</t>
  </si>
  <si>
    <t>3-1/2" EXTEND LED FOG LT BLU</t>
  </si>
  <si>
    <t>PAR28B</t>
  </si>
  <si>
    <t>3-1/2" EXTEND LED FOG LT AMB</t>
  </si>
  <si>
    <t>PAR28A</t>
  </si>
  <si>
    <t>3" ROUND BODY MOUNT GROMMET</t>
  </si>
  <si>
    <t>3GROMMET</t>
  </si>
  <si>
    <t>3" ROUND FLANGE KIT CHROME</t>
  </si>
  <si>
    <t>3FLANGEC</t>
  </si>
  <si>
    <t>3" ROUND COMPARTMENT LT RED</t>
  </si>
  <si>
    <t>3SR0CDRR</t>
  </si>
  <si>
    <t>3" ROUND SPLIT RED/WHT COMPART</t>
  </si>
  <si>
    <t>3" ROUND SPLIT BLU/WHT COMPART</t>
  </si>
  <si>
    <t>3SBCCDCR</t>
  </si>
  <si>
    <t>3" ROUND FLASHER RED</t>
  </si>
  <si>
    <t>3SR00FRR</t>
  </si>
  <si>
    <t>3SR00FCR</t>
  </si>
  <si>
    <t>3" ROUND FLASHER BLUE</t>
  </si>
  <si>
    <t>3SB00FCR</t>
  </si>
  <si>
    <t>3SB00FBR</t>
  </si>
  <si>
    <t>3" ROUND FLASHER AMBER</t>
  </si>
  <si>
    <t>3SA00FCR</t>
  </si>
  <si>
    <t>3SA00FAR</t>
  </si>
  <si>
    <t>3" ROUND COMPARTMENT LT WHITE</t>
  </si>
  <si>
    <t>3SC0CDCR</t>
  </si>
  <si>
    <t>2" RUBBER GROMMET</t>
  </si>
  <si>
    <t>TGROM2</t>
  </si>
  <si>
    <t>2" ROUND FLANGE KIT, CHROME</t>
  </si>
  <si>
    <t>TFLANGEC</t>
  </si>
  <si>
    <t>2" ROUND FLANGE KIT, BLACK</t>
  </si>
  <si>
    <t>TFLANGEB</t>
  </si>
  <si>
    <t>2" LED COMPARTMENT LT. LEVEL 3</t>
  </si>
  <si>
    <t>T0CACCCR</t>
  </si>
  <si>
    <t>2" LED MARKER LT. RED</t>
  </si>
  <si>
    <t>T0R00MRR</t>
  </si>
  <si>
    <t>2" LED MARKER LT. RED/CLR LENS</t>
  </si>
  <si>
    <t>T0R00MCR</t>
  </si>
  <si>
    <t>2" LED MARKER LT. AMB/CLR LENS</t>
  </si>
  <si>
    <t>T0A00MCR</t>
  </si>
  <si>
    <t>2" LED MARKER LT. AMBER</t>
  </si>
  <si>
    <t>T0A00MAR</t>
  </si>
  <si>
    <t>ANGLED ILLUMINATION WHT CHROME</t>
  </si>
  <si>
    <t>0AC0EDCR</t>
  </si>
  <si>
    <t>OVAL ILLUMINATION WHT CHROME</t>
  </si>
  <si>
    <t>0SC0EDCR</t>
  </si>
  <si>
    <t>OVAL STEADY LED LT BLU CHROME</t>
  </si>
  <si>
    <t>0SB00SCR</t>
  </si>
  <si>
    <t>OVAL STEADY LED LT RED CHROME</t>
  </si>
  <si>
    <t>0SR00SCR</t>
  </si>
  <si>
    <t>OVAL STEADY LED LT GRN CHROME</t>
  </si>
  <si>
    <t>0SG00SCR</t>
  </si>
  <si>
    <t>OVAL STEADY LED LT AMB CHROME</t>
  </si>
  <si>
    <t>0SA00SCR</t>
  </si>
  <si>
    <t>OVAL FLASH. LED LT RED CHROME</t>
  </si>
  <si>
    <t>0SR00FCR</t>
  </si>
  <si>
    <t>OVAL FLASH. LED LT WHT CHROME</t>
  </si>
  <si>
    <t>0SC00FCR</t>
  </si>
  <si>
    <t>OVAL FLASH. LED LT BLU CHROME</t>
  </si>
  <si>
    <t>0SB00FCR</t>
  </si>
  <si>
    <t>OVAL FLASH. LED LT AMB CHROME</t>
  </si>
  <si>
    <t>0SA00FCR</t>
  </si>
  <si>
    <t>LED MARKER/CLEARNCE RED CHROME</t>
  </si>
  <si>
    <t>0SR00MCR</t>
  </si>
  <si>
    <t>LED MARKER/CLEARNCE BLU CHROME</t>
  </si>
  <si>
    <t>0SB00MCR</t>
  </si>
  <si>
    <t>LED MARKER/CLEARNCE AMB CHROME</t>
  </si>
  <si>
    <t>0SA00MCR</t>
  </si>
  <si>
    <t>SCAN-LOCK + PROGRAMMER</t>
  </si>
  <si>
    <t>PROGRAM2</t>
  </si>
  <si>
    <t>LED TURN SIGNAL LOAD MODULE</t>
  </si>
  <si>
    <t>LEDLOAD</t>
  </si>
  <si>
    <t>UHF2150A HEADLIGHT FLASHER</t>
  </si>
  <si>
    <t>SOLID STATE HEADLIGHT FLASHER</t>
  </si>
  <si>
    <t>AFM1660 16 OUTPUT AMB. FLASHER</t>
  </si>
  <si>
    <t>AFM1660</t>
  </si>
  <si>
    <t>AFM560 5 OUTPUT AMB. FLASHER</t>
  </si>
  <si>
    <t>AFM560</t>
  </si>
  <si>
    <t>AFL530 5 TERM. LED AMB.FLASHER</t>
  </si>
  <si>
    <t>AFL530</t>
  </si>
  <si>
    <t>LOGIC LEVEL PHOTOCELL OPTION</t>
  </si>
  <si>
    <t>LCPHOTO</t>
  </si>
  <si>
    <t>SMART-LOGIC FLASHER</t>
  </si>
  <si>
    <t>SLFLASH</t>
  </si>
  <si>
    <t>UNIVERSAL LED FLASHER 4 OUTLET</t>
  </si>
  <si>
    <t>ULF44</t>
  </si>
  <si>
    <t>R316/416 12V PHOTOCELL HI/LO</t>
  </si>
  <si>
    <t>RPHOTO</t>
  </si>
  <si>
    <t>R416 LED ROT. BEACON R/B VAC</t>
  </si>
  <si>
    <t>R416RBV</t>
  </si>
  <si>
    <t>R416 LED ROT. BEACON R/B MAG</t>
  </si>
  <si>
    <t>R416RBM</t>
  </si>
  <si>
    <t>R416 LED ROT. BEACON A/W MAG</t>
  </si>
  <si>
    <t>R416ACM</t>
  </si>
  <si>
    <t>R416 LED ROT. BEACON R/W FLAT</t>
  </si>
  <si>
    <t>R416RCF</t>
  </si>
  <si>
    <t>R416 LED ROT. BEACON R/B FLAT</t>
  </si>
  <si>
    <t>R416RBF</t>
  </si>
  <si>
    <t>R416 LED ROT. BEACON R/A FLAT</t>
  </si>
  <si>
    <t>R416RAF</t>
  </si>
  <si>
    <t>R416 LED ROT. BEACON B/W FLAT</t>
  </si>
  <si>
    <t>R416BCF</t>
  </si>
  <si>
    <t>R416 LED ROT. BEACON A/W FLAT</t>
  </si>
  <si>
    <t>R416ACF</t>
  </si>
  <si>
    <t>R416 LED ROT. BEACON A/B FLAT</t>
  </si>
  <si>
    <t>R416ABF</t>
  </si>
  <si>
    <t>R416 LED ROT. BEACON R/R VAC</t>
  </si>
  <si>
    <t>R416RV</t>
  </si>
  <si>
    <t>R416 LED ROT. BEACON G/G VAC</t>
  </si>
  <si>
    <t>R416GV</t>
  </si>
  <si>
    <t>R416 LED ROT. BEACON B/B VAC</t>
  </si>
  <si>
    <t>R416BV</t>
  </si>
  <si>
    <t>R416 LED ROT. BEACON A/A VAC</t>
  </si>
  <si>
    <t>R416AV</t>
  </si>
  <si>
    <t>R416 LED ROT. BEACON R/R MAG</t>
  </si>
  <si>
    <t>R416RM</t>
  </si>
  <si>
    <t>R416 LED ROT. BEACON W/C MAG</t>
  </si>
  <si>
    <t>R416CM</t>
  </si>
  <si>
    <t>R416 LED ROT. BEACON B/B MAG</t>
  </si>
  <si>
    <t>R416BM</t>
  </si>
  <si>
    <t>R416 LED ROT. BEACON A/A MAG</t>
  </si>
  <si>
    <t>R416AM</t>
  </si>
  <si>
    <t>R416 LED ROT. BEACON R/R FLAT</t>
  </si>
  <si>
    <t>R416RF</t>
  </si>
  <si>
    <t>R416 LED ROT. BEACON G/G FLAT</t>
  </si>
  <si>
    <t>R416GF</t>
  </si>
  <si>
    <t>R416 LED ROT. BEACON W/C FLAT</t>
  </si>
  <si>
    <t>R416CF</t>
  </si>
  <si>
    <t>R416 LED ROT. BEACON B/B FLAT</t>
  </si>
  <si>
    <t>R416BF</t>
  </si>
  <si>
    <t>R416 LED ROT. BEACON A/A FLAT</t>
  </si>
  <si>
    <t>R416AF</t>
  </si>
  <si>
    <t>R316 LED ROT. BEACON R/B VAC</t>
  </si>
  <si>
    <t>R316RBV</t>
  </si>
  <si>
    <t>R316 LED ROT. BEACON A/R VAC</t>
  </si>
  <si>
    <t>R316ARV</t>
  </si>
  <si>
    <t>R316 LED ROT. BEACON A/W VAC</t>
  </si>
  <si>
    <t>R316ACV</t>
  </si>
  <si>
    <t>R316 LED ROT. BEACON R/W MAG</t>
  </si>
  <si>
    <t>R316RCM</t>
  </si>
  <si>
    <t>R316 LED ROT. BEACON R/B MAG</t>
  </si>
  <si>
    <t>R316RBM</t>
  </si>
  <si>
    <t>R316 LED ROT. BEACON W/A MAG</t>
  </si>
  <si>
    <t>R316CAM</t>
  </si>
  <si>
    <t>R316 LED ROT. BEACON A/W MAG</t>
  </si>
  <si>
    <t>R316ACM</t>
  </si>
  <si>
    <t>R316 LED ROT. BEACON A/B MAG</t>
  </si>
  <si>
    <t>R316ABM</t>
  </si>
  <si>
    <t>R316 LED ROT. BEACON R/W FLAT</t>
  </si>
  <si>
    <t>R316RCF</t>
  </si>
  <si>
    <t>R316 LED ROT. BEACON R/B FLAT</t>
  </si>
  <si>
    <t>R316RBF</t>
  </si>
  <si>
    <t>R316 LED ROT. BEACON R/A FLAT</t>
  </si>
  <si>
    <t>R316RAF</t>
  </si>
  <si>
    <t>R316 LED ROT. BEACON B/W FLAT</t>
  </si>
  <si>
    <t>R316BCF</t>
  </si>
  <si>
    <t>R316 LED ROT. BEACON B/A FLAT</t>
  </si>
  <si>
    <t>R316BAF</t>
  </si>
  <si>
    <t>R316 LED ROT. BEACON A/R FLAT</t>
  </si>
  <si>
    <t>R316ARF</t>
  </si>
  <si>
    <t>R316 LED ROT. BEACON A/W FLAT</t>
  </si>
  <si>
    <t>R316ACF</t>
  </si>
  <si>
    <t>R316 LED ROT. BEACON A/B FLAT</t>
  </si>
  <si>
    <t>R316ABF</t>
  </si>
  <si>
    <t>R316 LED ROT. BEACON R/R VAC</t>
  </si>
  <si>
    <t>R316RV</t>
  </si>
  <si>
    <t>R316 LED ROT. BEACON G/G VAC</t>
  </si>
  <si>
    <t>R316GV</t>
  </si>
  <si>
    <t>R316 LED ROT. BEACON B/B VAC</t>
  </si>
  <si>
    <t>R316BV</t>
  </si>
  <si>
    <t>R316 LED ROT. BEACON A/A VAC</t>
  </si>
  <si>
    <t>R316AV</t>
  </si>
  <si>
    <t>R316 LED ROT. BEACON R/R MAG</t>
  </si>
  <si>
    <t>R316RM</t>
  </si>
  <si>
    <t>R316 LED ROT. BEACON B/B MAG</t>
  </si>
  <si>
    <t>R316BM</t>
  </si>
  <si>
    <t>R316 LED ROT. BEACON A/A MAG</t>
  </si>
  <si>
    <t>R316AM</t>
  </si>
  <si>
    <t>R316 LED ROT. BEACON R/R FLAT</t>
  </si>
  <si>
    <t>R316RF</t>
  </si>
  <si>
    <t>R316 LED ROT. BEACON G/G FLAT</t>
  </si>
  <si>
    <t>R316GF</t>
  </si>
  <si>
    <t>R316 LED ROT. BEACON W/C FLAT</t>
  </si>
  <si>
    <t>R316CF</t>
  </si>
  <si>
    <t>R316 LED ROT. BEACON B/B FLAT</t>
  </si>
  <si>
    <t>R316BF</t>
  </si>
  <si>
    <t>R316 LED ROT. BEACON A/A FLAT</t>
  </si>
  <si>
    <t>R316AF</t>
  </si>
  <si>
    <t>L40 SERIES BRANCH GUARD</t>
  </si>
  <si>
    <t>L40BG</t>
  </si>
  <si>
    <t>L41 BEACON RED LOW VAC</t>
  </si>
  <si>
    <t>L41RV</t>
  </si>
  <si>
    <t>L41 BEACON WHITE LOW VAC</t>
  </si>
  <si>
    <t>L41CV</t>
  </si>
  <si>
    <t>L41 BEACON BLUE LOW VAC</t>
  </si>
  <si>
    <t>L41BV</t>
  </si>
  <si>
    <t>L41 BEACON AMBER LOW VAC</t>
  </si>
  <si>
    <t>L41AV</t>
  </si>
  <si>
    <t>L41 BEACON RED LOW MAG</t>
  </si>
  <si>
    <t>L41RM</t>
  </si>
  <si>
    <t>L41 BEACON BLUE LOW MAG</t>
  </si>
  <si>
    <t>L41BM</t>
  </si>
  <si>
    <t>L41 BEACON AMBER LOW MAG</t>
  </si>
  <si>
    <t>L41AM</t>
  </si>
  <si>
    <t>L41 BEACON RED LOW PERM</t>
  </si>
  <si>
    <t>L41RP</t>
  </si>
  <si>
    <t>L41 BEACON GREEN LOW PERM</t>
  </si>
  <si>
    <t>L41GP</t>
  </si>
  <si>
    <t>L41 BEACON WHITE LOW PERM</t>
  </si>
  <si>
    <t>L41CP</t>
  </si>
  <si>
    <t>L41 BEACON BLUE LOW PERM</t>
  </si>
  <si>
    <t>L41BP</t>
  </si>
  <si>
    <t>L41 BEACON AMBER LOW PERM</t>
  </si>
  <si>
    <t>L41AP</t>
  </si>
  <si>
    <t>MIRROR MT KIT 1500/L53</t>
  </si>
  <si>
    <t>MIRROR15</t>
  </si>
  <si>
    <t>L53 LED BEACON, AMBER, MAGNET</t>
  </si>
  <si>
    <t>L53AM</t>
  </si>
  <si>
    <t>L53 LED BEACON, AMBER, PERM.</t>
  </si>
  <si>
    <t>L53AP</t>
  </si>
  <si>
    <t>L51 LED BEACON WHT MAG MT 12V</t>
  </si>
  <si>
    <t>L51CM</t>
  </si>
  <si>
    <t>L51 LED BEACON BLUE MAG 12V</t>
  </si>
  <si>
    <t>L51BM</t>
  </si>
  <si>
    <t>L51 LED BEACON AMBER MAG 12V</t>
  </si>
  <si>
    <t>L51AM</t>
  </si>
  <si>
    <t>L51 LED BEACON WHITE PERM 12V</t>
  </si>
  <si>
    <t>L51CP</t>
  </si>
  <si>
    <t>L51 LED BEACON BLUE PERM 12V</t>
  </si>
  <si>
    <t>L51BP</t>
  </si>
  <si>
    <t>L51 LED BEACON AMBER PERM 12V</t>
  </si>
  <si>
    <t>L51AP</t>
  </si>
  <si>
    <t>4 1/2" LOW DOME, RED</t>
  </si>
  <si>
    <t>DL2000R</t>
  </si>
  <si>
    <t>4 1/2" LOW DOME, GREEN</t>
  </si>
  <si>
    <t>DL2000G</t>
  </si>
  <si>
    <t>4 1/2" LOW DOME, CLEAR</t>
  </si>
  <si>
    <t>DL2000C</t>
  </si>
  <si>
    <t>4 1/2" LOW DOME, BLUE</t>
  </si>
  <si>
    <t>DL2000B</t>
  </si>
  <si>
    <t>4 1/2" LOW DOME, AMBER</t>
  </si>
  <si>
    <t>DL2000A</t>
  </si>
  <si>
    <t>6" HIGH DOME, RED</t>
  </si>
  <si>
    <t>DH2000R</t>
  </si>
  <si>
    <t>6" HIGH DOME, GREEN</t>
  </si>
  <si>
    <t>DH2000G</t>
  </si>
  <si>
    <t>6" HIGH DOME, CLEAR</t>
  </si>
  <si>
    <t>DH2000C</t>
  </si>
  <si>
    <t>6" HIGH DOME, BLUE</t>
  </si>
  <si>
    <t>DH2000B</t>
  </si>
  <si>
    <t>6" HIGH DOME, AMBER</t>
  </si>
  <si>
    <t>DH2000A</t>
  </si>
  <si>
    <t>LIGHTED ON/OFF SWITCH KIT SPST</t>
  </si>
  <si>
    <t>LSK</t>
  </si>
  <si>
    <t>MAGNET MOUNT &amp; CIGAR PLUG KIT</t>
  </si>
  <si>
    <t>MMK</t>
  </si>
  <si>
    <t>BRANCH GUARD, HIGH DOME</t>
  </si>
  <si>
    <t>BGH</t>
  </si>
  <si>
    <t>BRANCH GUARD, LOW DOME</t>
  </si>
  <si>
    <t>BGL</t>
  </si>
  <si>
    <t>L BRACKET L20/2500/2000 SER.</t>
  </si>
  <si>
    <t>BBKT20</t>
  </si>
  <si>
    <t>MIRROR MT KIT 2000/2500/L21/22</t>
  </si>
  <si>
    <t>MIRROR20</t>
  </si>
  <si>
    <t>L10 12V AMB/BLU LOW POLY PERM</t>
  </si>
  <si>
    <t>L10LMP</t>
  </si>
  <si>
    <t>L10 12V RED/BLU LOW POLY PERM</t>
  </si>
  <si>
    <t>L10LJP</t>
  </si>
  <si>
    <t>L10 12V AMB/WHT LOW POLY PERM</t>
  </si>
  <si>
    <t>L10LFP</t>
  </si>
  <si>
    <t>L10 12V AMB/BLU HIGH POLY PERM</t>
  </si>
  <si>
    <t>L10HMP</t>
  </si>
  <si>
    <t>L10 12V AMB/WHT HIGH POLY PERM</t>
  </si>
  <si>
    <t>L10HFP</t>
  </si>
  <si>
    <t>L10 12V AMB/AMB LOW POLY VAC</t>
  </si>
  <si>
    <t>L10LAV</t>
  </si>
  <si>
    <t>L10 12V AMB/AMB LOW POLY MAG</t>
  </si>
  <si>
    <t>L10LAM</t>
  </si>
  <si>
    <t>L10 12V WHT/CLR LOW POLY PERM</t>
  </si>
  <si>
    <t>L10LCP</t>
  </si>
  <si>
    <t>L10 12V AMB/AMB LOW POLY PERM</t>
  </si>
  <si>
    <t>L10LAP</t>
  </si>
  <si>
    <t>L10 12V AMB/AMB HIGH POLY VAC</t>
  </si>
  <si>
    <t>L10HAV</t>
  </si>
  <si>
    <t>L10 12V AMB/AMB HIGH POLY MAG</t>
  </si>
  <si>
    <t>L10HAM</t>
  </si>
  <si>
    <t>L10 12V WHT/CLR HIGH POLY PERM</t>
  </si>
  <si>
    <t>L10HCP</t>
  </si>
  <si>
    <t>L10 12V AMB/AMB HIGH POLY PERM</t>
  </si>
  <si>
    <t>L10HAP</t>
  </si>
  <si>
    <t>L22 12V LED BEACON BLUE/VAC</t>
  </si>
  <si>
    <t>L22LBV</t>
  </si>
  <si>
    <t>L22 12V LED BEACON AMBER/VAC</t>
  </si>
  <si>
    <t>L22LAV</t>
  </si>
  <si>
    <t>L22 12V LED BEACON RED/MAG</t>
  </si>
  <si>
    <t>L22LRM</t>
  </si>
  <si>
    <t>L22 12V LED BEACON GRN/MAG</t>
  </si>
  <si>
    <t>L22LGM</t>
  </si>
  <si>
    <t>L22 12V LED BEACON BLUE/MAG</t>
  </si>
  <si>
    <t>L22LBM</t>
  </si>
  <si>
    <t>L22 12V LED BEACON AMBER/MAG</t>
  </si>
  <si>
    <t>L22LAM</t>
  </si>
  <si>
    <t>L22 12V LED BEACON RED COMBO</t>
  </si>
  <si>
    <t>L22LRP</t>
  </si>
  <si>
    <t>L22 12V LED BEACON GREEN/COMBO</t>
  </si>
  <si>
    <t>L22LGP</t>
  </si>
  <si>
    <t>L22 12V LED BEACON WHITE/COMBO</t>
  </si>
  <si>
    <t>L22LCP</t>
  </si>
  <si>
    <t>L22 12V LED BEACON BLUE COMBO</t>
  </si>
  <si>
    <t>L22LBP</t>
  </si>
  <si>
    <t>L22 12V LED BEACON AMBER.COMBO</t>
  </si>
  <si>
    <t>L22LAP</t>
  </si>
  <si>
    <t>L22 12V LED BEACON WHITE/VAC.</t>
  </si>
  <si>
    <t>L22HCV</t>
  </si>
  <si>
    <t>L22HBV</t>
  </si>
  <si>
    <t>L22 12V LED BEACON AMBER/VAC.</t>
  </si>
  <si>
    <t>L22HAV</t>
  </si>
  <si>
    <t>L22 12V LED BEACON RED/MAG.</t>
  </si>
  <si>
    <t>L22HRM</t>
  </si>
  <si>
    <t>L22 12V LED BEACON GREEN/MAG.</t>
  </si>
  <si>
    <t>L22HGM</t>
  </si>
  <si>
    <t>L22 12V LED BEACON WHITE/MAG.</t>
  </si>
  <si>
    <t>L22HCM</t>
  </si>
  <si>
    <t>L22 12V LED BEACON BLUE/MAG.</t>
  </si>
  <si>
    <t>L22HBM</t>
  </si>
  <si>
    <t>L22 12V LED BEACON AMBER/MAG.</t>
  </si>
  <si>
    <t>L22HAM</t>
  </si>
  <si>
    <t>L22 12V LED BEACON RED/COMBO</t>
  </si>
  <si>
    <t>L22HRP</t>
  </si>
  <si>
    <t>L22HGP</t>
  </si>
  <si>
    <t>L22HCP</t>
  </si>
  <si>
    <t>L22 12V LED BEACON BLUE/COMBO</t>
  </si>
  <si>
    <t>L22HBP</t>
  </si>
  <si>
    <t>L22 12V LED BEACON AMBER/COMBO</t>
  </si>
  <si>
    <t>L22HAP</t>
  </si>
  <si>
    <t>L21 12V AMB/AMB LOW POLY VAC</t>
  </si>
  <si>
    <t>L21LAV</t>
  </si>
  <si>
    <t>L21 12V AMB/AMB LOW POLY MAG</t>
  </si>
  <si>
    <t>L21LAM</t>
  </si>
  <si>
    <t>L21 12V AMB/AMB LOW POLY PERM</t>
  </si>
  <si>
    <t>L21LAP</t>
  </si>
  <si>
    <t>L21 12V AMB/AMB HIGH POLY VAC</t>
  </si>
  <si>
    <t>L21HAV</t>
  </si>
  <si>
    <t>L21 12V AMB/AMB HIGH POLY MAG</t>
  </si>
  <si>
    <t>L21HAM</t>
  </si>
  <si>
    <t>L21 12V GRN/GRN HIGH POLY PERM</t>
  </si>
  <si>
    <t>L21HGP</t>
  </si>
  <si>
    <t>L21 12V AMB/AMB HIGH POLY PERM</t>
  </si>
  <si>
    <t>L21HAP</t>
  </si>
  <si>
    <t>PIPE MOUNT KIT FOR L31/L32</t>
  </si>
  <si>
    <t>L360PMKT</t>
  </si>
  <si>
    <t>L BRACKET L30 SERIES</t>
  </si>
  <si>
    <t>BBKT30</t>
  </si>
  <si>
    <t>L32 SUPER-LED, VAC MT. RED</t>
  </si>
  <si>
    <t>L32LRV</t>
  </si>
  <si>
    <t>L32 SUPER-LED, VAC. MT. WHITE</t>
  </si>
  <si>
    <t>L32LCV</t>
  </si>
  <si>
    <t>L32 SUPER-LED, VAC. MT. BLUE</t>
  </si>
  <si>
    <t>L32LBV</t>
  </si>
  <si>
    <t>L32 SUPER-LED, VAC. MT. AMBER</t>
  </si>
  <si>
    <t>L32LAV</t>
  </si>
  <si>
    <t>L32 SUPER-LED, MAG. MT. RED</t>
  </si>
  <si>
    <t>L32LRM</t>
  </si>
  <si>
    <t>L32 SUPER-LED, MAG. MT. WHITE</t>
  </si>
  <si>
    <t>L32LCM</t>
  </si>
  <si>
    <t>L32 SUPER-LED, MAG. MT. BLUE</t>
  </si>
  <si>
    <t>L32LBM</t>
  </si>
  <si>
    <t>L32 SUPER-LED, MAG. MT. AMBER</t>
  </si>
  <si>
    <t>L32LAM</t>
  </si>
  <si>
    <t>L32 SUPER-LED, FLAT MT. RED</t>
  </si>
  <si>
    <t>L32LRF</t>
  </si>
  <si>
    <t>L32 SUPER-LED, FLAT MT. WHITE</t>
  </si>
  <si>
    <t>L32LCF</t>
  </si>
  <si>
    <t>L32 SUPER-LED, FLAT MT. BLUE</t>
  </si>
  <si>
    <t>L32LBF</t>
  </si>
  <si>
    <t>L32 SUPER-LED, FLAT MT. AMBER</t>
  </si>
  <si>
    <t>L32LAF</t>
  </si>
  <si>
    <t>BRANCH GUARD KIT, L31 SERIES</t>
  </si>
  <si>
    <t>L360BGB</t>
  </si>
  <si>
    <t>L31 SUPER-LED FLAT MT.RED NFPA</t>
  </si>
  <si>
    <t>L31HRFN</t>
  </si>
  <si>
    <t>L31 SUPER-LED VACUUM MT. RED</t>
  </si>
  <si>
    <t>L31HRV</t>
  </si>
  <si>
    <t>L31 SUPER-LED VACUUM MT. GREEN</t>
  </si>
  <si>
    <t>L31HGV</t>
  </si>
  <si>
    <t>L31 SUPER-LED VACUUM MT WHITE</t>
  </si>
  <si>
    <t>L31HCV</t>
  </si>
  <si>
    <t>L31 SUPER-LED VACUUM MT. BLUE</t>
  </si>
  <si>
    <t>L31HBV</t>
  </si>
  <si>
    <t>L31 SUPER-LED VACUUM MT. AMBER</t>
  </si>
  <si>
    <t>L31HAV</t>
  </si>
  <si>
    <t>L31 TITLE XIII MAG MT AMBER</t>
  </si>
  <si>
    <t>L31HAMCA</t>
  </si>
  <si>
    <t>L31 SUPER-LED MAG. MT. RED</t>
  </si>
  <si>
    <t>L31HRM</t>
  </si>
  <si>
    <t>L31 SUPER-LED MAG.MT. GREEN</t>
  </si>
  <si>
    <t>L31HGM</t>
  </si>
  <si>
    <t>L31 SUPER-LED MAG.MT. WHITE</t>
  </si>
  <si>
    <t>L31HCM</t>
  </si>
  <si>
    <t>L31 SUPER-LED MAG. MT. BLUE</t>
  </si>
  <si>
    <t>L31HBM</t>
  </si>
  <si>
    <t>L31 SUPER-LED MAG. MT. AMBER</t>
  </si>
  <si>
    <t>L31HAM</t>
  </si>
  <si>
    <t>L31 TITLE XIII FLAT MT AMBER</t>
  </si>
  <si>
    <t>L31HAFCA</t>
  </si>
  <si>
    <t>L31 SUPER-LED FLAT MT. RED</t>
  </si>
  <si>
    <t>L31HRF</t>
  </si>
  <si>
    <t>L31 SUPER-LED FLAT MT. WHITE</t>
  </si>
  <si>
    <t>L31HCF</t>
  </si>
  <si>
    <t>L31 SUPER-LED FLAT MT. BLUE</t>
  </si>
  <si>
    <t>L31HBF</t>
  </si>
  <si>
    <t>L31 SUPER-LED FLAT MT. AMBER</t>
  </si>
  <si>
    <t>L31HAF</t>
  </si>
  <si>
    <t>MODEL B6M7, RED/RED, RED/RED</t>
  </si>
  <si>
    <t>B6M7RRP</t>
  </si>
  <si>
    <t>MODEL B6M7, RED/RED, BLU/BLU</t>
  </si>
  <si>
    <t>B6M7RBP</t>
  </si>
  <si>
    <t>MODEL B6M7, RED/RED, AMB/AMB</t>
  </si>
  <si>
    <t>B6M7RAP</t>
  </si>
  <si>
    <t>MODEL B6M7, BLU/BLU, AMB/AMB</t>
  </si>
  <si>
    <t>B6M7BAP</t>
  </si>
  <si>
    <t>MODEL B6M7, AMB/AMB, AMB/AMB</t>
  </si>
  <si>
    <t>B6M7AAP</t>
  </si>
  <si>
    <t>MODEL B6370 RED/RED, RED/RED</t>
  </si>
  <si>
    <t>B6370RR</t>
  </si>
  <si>
    <t>MODEL B6370 RED/RED, WHT/CLR</t>
  </si>
  <si>
    <t>B6370RC</t>
  </si>
  <si>
    <t>MODEL B6370 RED/RED, BLU/BLU</t>
  </si>
  <si>
    <t>B6370RB</t>
  </si>
  <si>
    <t>MODEL B6370 RED/RED, AMB/AMB</t>
  </si>
  <si>
    <t>B6370RA</t>
  </si>
  <si>
    <t>MODEL B6370 BLU/BLU, RED/RED</t>
  </si>
  <si>
    <t>B6370BR</t>
  </si>
  <si>
    <t>MODEL M6370 BLU/BLU, BLU/BLU</t>
  </si>
  <si>
    <t>B6370BB</t>
  </si>
  <si>
    <t>MODEL B6370 BLU/BLU, AMB/AMB</t>
  </si>
  <si>
    <t>B6370BA</t>
  </si>
  <si>
    <t>MODEL B6370 AMB/AMB, RED/RED</t>
  </si>
  <si>
    <t>B6370AR</t>
  </si>
  <si>
    <t>MODEL B6370 AMB/AMB, BLU/BLU</t>
  </si>
  <si>
    <t>B6370AB</t>
  </si>
  <si>
    <t>MODEL B6370 AMB/AMB, AMB/AMB</t>
  </si>
  <si>
    <t>B6370AA</t>
  </si>
  <si>
    <t>MODEL B63M7 RED/RED, RED/RED</t>
  </si>
  <si>
    <t>B63M7RR</t>
  </si>
  <si>
    <t>MODEL B63M7 RED/RED, GRN/GRN</t>
  </si>
  <si>
    <t>B63M7RG</t>
  </si>
  <si>
    <t>MODEL B63M7 RED/RED, WHT/CLR</t>
  </si>
  <si>
    <t>B63M7RC</t>
  </si>
  <si>
    <t>MODEL B63M7 RED/RED, BLU/BLU</t>
  </si>
  <si>
    <t>B63M7RB</t>
  </si>
  <si>
    <t>MODEL B63M7 RED/RED, AMB/AMB</t>
  </si>
  <si>
    <t>B63M7RA</t>
  </si>
  <si>
    <t>MODEL B63M7 BLU/BLU, RED/RED</t>
  </si>
  <si>
    <t>B63M7BR</t>
  </si>
  <si>
    <t>MODEL B63M7 BLU/BLU, WHT/CLR</t>
  </si>
  <si>
    <t>B63M7BC</t>
  </si>
  <si>
    <t>MODEL B63M7 BLU/BLU, BLU/BLU</t>
  </si>
  <si>
    <t>B63M7BB</t>
  </si>
  <si>
    <t>MODEL B63M7 BLU/BLU, AMB/AMB</t>
  </si>
  <si>
    <t>B63M7BA</t>
  </si>
  <si>
    <t>MODEL B63M7 AMB/AMB, RED/RED</t>
  </si>
  <si>
    <t>B63M7AR</t>
  </si>
  <si>
    <t>MODEL B63M7 AMB/AMB, BLU/BLU</t>
  </si>
  <si>
    <t>B63M7AB</t>
  </si>
  <si>
    <t>MODEL B63M7 AMB/AMB, AMB/AMB</t>
  </si>
  <si>
    <t>B63M7AA</t>
  </si>
  <si>
    <t>MODEL B6MM, RED/RED</t>
  </si>
  <si>
    <t>B6MMRRP</t>
  </si>
  <si>
    <t>MODEL B6MM, RED/RED WHT/CLR</t>
  </si>
  <si>
    <t>B6MMRCP</t>
  </si>
  <si>
    <t>MODEL B6MM, RED/BLUE</t>
  </si>
  <si>
    <t>B6MMRBP</t>
  </si>
  <si>
    <t>MODEL B6MM, RED/AMBER</t>
  </si>
  <si>
    <t>B6MMRAP</t>
  </si>
  <si>
    <t>MODEL B6MM, GREEN/RED</t>
  </si>
  <si>
    <t>B6MMGRP</t>
  </si>
  <si>
    <t>MODEL B6MM, GREEN/AMBER</t>
  </si>
  <si>
    <t>B6MMGAP</t>
  </si>
  <si>
    <t>MODEL B6MM, WHT/CLR RED/RED</t>
  </si>
  <si>
    <t>B6MMCRP</t>
  </si>
  <si>
    <t>MODEL B6MM, BLUE/RED</t>
  </si>
  <si>
    <t>B6MMBRP</t>
  </si>
  <si>
    <t>MODEL B6MM, BLUE/WHITE</t>
  </si>
  <si>
    <t>B6MMBCP</t>
  </si>
  <si>
    <t>MODEL B6MM, BLUE/BLUE</t>
  </si>
  <si>
    <t>B6MMBBP</t>
  </si>
  <si>
    <t>MODEL B6MM, BLUE/AMBER</t>
  </si>
  <si>
    <t>B6MMBAP</t>
  </si>
  <si>
    <t>MODEL B6MM, AMBER/RED</t>
  </si>
  <si>
    <t>B6MMARP</t>
  </si>
  <si>
    <t>MODEL B6MM, AMB/AMB WHT/CLR</t>
  </si>
  <si>
    <t>B6MMACP</t>
  </si>
  <si>
    <t>MODEL B6MM, AMBER/BLUE</t>
  </si>
  <si>
    <t>B6MMABP</t>
  </si>
  <si>
    <t>MODEL B6MM, AMBER/AMBER</t>
  </si>
  <si>
    <t>B6MMAAP</t>
  </si>
  <si>
    <t>SPITFIRE ION DASH LT BLU/WHT</t>
  </si>
  <si>
    <t>SFIONE</t>
  </si>
  <si>
    <t>SPITFIRE ION DASH LT RED/BLU</t>
  </si>
  <si>
    <t>SFIONJ</t>
  </si>
  <si>
    <t>SPITFIRE ION DASH LT RED/WHT</t>
  </si>
  <si>
    <t>SFIOND</t>
  </si>
  <si>
    <t>SPITFIRE ION DASH LT RED</t>
  </si>
  <si>
    <t>SFIONR</t>
  </si>
  <si>
    <t>SPITFIRE ION DASH LT GREEN</t>
  </si>
  <si>
    <t>SFIONG</t>
  </si>
  <si>
    <t>SPITFIRE ION DASH LT WHITE</t>
  </si>
  <si>
    <t>SFIONC</t>
  </si>
  <si>
    <t>SPITFIRE ION DASH MT BLUE</t>
  </si>
  <si>
    <t>SFIONB</t>
  </si>
  <si>
    <t>SPITFIRE ION DASH LT AMBER</t>
  </si>
  <si>
    <t>SFIONA</t>
  </si>
  <si>
    <t>BAIL BRACKET KIT, SLIMLIGHTER</t>
  </si>
  <si>
    <t>SLPBKT1</t>
  </si>
  <si>
    <t>SLIMLIGHTER SUPER-LED RED/RED</t>
  </si>
  <si>
    <t>SLPMMRR</t>
  </si>
  <si>
    <t>SLIMLIGHTER SUPER-LED RED/WHT</t>
  </si>
  <si>
    <t>SLPMMRC</t>
  </si>
  <si>
    <t>SLIMLIGHTER SUPER-LED RED/BLU</t>
  </si>
  <si>
    <t>SLPMMRB</t>
  </si>
  <si>
    <t>SLIMLIGHTER SUPER-LED RED/AMB</t>
  </si>
  <si>
    <t>SLPMMRA</t>
  </si>
  <si>
    <t>SLIMLIGHTER SUPER-LED GRN/RED</t>
  </si>
  <si>
    <t>SLPMMGR</t>
  </si>
  <si>
    <t>SLIMLIGHTER SUPER-LED GRN/GRN</t>
  </si>
  <si>
    <t>SLPMMGG</t>
  </si>
  <si>
    <t>SLIMLIGHTER SUPER-LED GRN/WHT</t>
  </si>
  <si>
    <t>SLPMMGC</t>
  </si>
  <si>
    <t>SLIMLIGHTER SUPER-LED GRN/AMB</t>
  </si>
  <si>
    <t>SLPMMGA</t>
  </si>
  <si>
    <t>SLIMLIGHTER SUPER-LED WHT/WHT</t>
  </si>
  <si>
    <t>SLPMMCC</t>
  </si>
  <si>
    <t>SLIMLIGHTER SUPER-LED BLU/RED</t>
  </si>
  <si>
    <t>SLPMMBR</t>
  </si>
  <si>
    <t>SLIMLIGHTER SUPER-LED BLU/GRN</t>
  </si>
  <si>
    <t>SLPMMBG</t>
  </si>
  <si>
    <t>SLIMLIGHTER SUPER-LED BLU/WHT</t>
  </si>
  <si>
    <t>SLPMMBC</t>
  </si>
  <si>
    <t>SLIMLIGHTER SUPER-LED BLU/BLU</t>
  </si>
  <si>
    <t>SLPMMBB</t>
  </si>
  <si>
    <t>SLIMLIGHTER SUPER-LED BLU/AMB</t>
  </si>
  <si>
    <t>SLPMMBA</t>
  </si>
  <si>
    <t>SLIMLIGHTER SUPER-LED AMB/RED</t>
  </si>
  <si>
    <t>SLPMMAR</t>
  </si>
  <si>
    <t>SLIMLIGHTER SUPER-LED AMB/GRN</t>
  </si>
  <si>
    <t>SLPMMAG</t>
  </si>
  <si>
    <t>SLIMLIGHTER SUPER-LED AMB/WHT</t>
  </si>
  <si>
    <t>SLPMMAC</t>
  </si>
  <si>
    <t>SLIMLIGHTER SUPER-LED AMB/BLU</t>
  </si>
  <si>
    <t>SLPMMAB</t>
  </si>
  <si>
    <t>SLIMLIGHTER SUPER-LED AMB/AMB</t>
  </si>
  <si>
    <t>SLPMMAA</t>
  </si>
  <si>
    <t>SLIM-MISER LED DASH LT WHT/RED</t>
  </si>
  <si>
    <t>SMLLCR</t>
  </si>
  <si>
    <t>SLIM-MISER LED DASH LT BLU/WHT</t>
  </si>
  <si>
    <t>SMLLBC</t>
  </si>
  <si>
    <t>SLIM-MISER LED DASH LT BLU/BLU</t>
  </si>
  <si>
    <t>SMLLBB</t>
  </si>
  <si>
    <t>SLIM-MISER LED DASH LT BLU/RED</t>
  </si>
  <si>
    <t>SMLLBR</t>
  </si>
  <si>
    <t>SLIM-MISER LED DASH LT RED/RED</t>
  </si>
  <si>
    <t>SMLLRR</t>
  </si>
  <si>
    <t>SLIM-MISER LED DASH LT AMB/AMB</t>
  </si>
  <si>
    <t>SMLLAA</t>
  </si>
  <si>
    <t>FLATLIGHTER 5MM LED RED/RED</t>
  </si>
  <si>
    <t>FLLEDRR</t>
  </si>
  <si>
    <t>FLATLIGHTER 5MM LED RED/WHT</t>
  </si>
  <si>
    <t>FLLEDRC</t>
  </si>
  <si>
    <t>FLATLIGHTER 5MM LED RED/BLU</t>
  </si>
  <si>
    <t>FLLEDRB</t>
  </si>
  <si>
    <t>FLATLIGHTER 5MM LED RED/AMB</t>
  </si>
  <si>
    <t>FLLEDRA</t>
  </si>
  <si>
    <t>FLATLIGHTER 5MM LED GRN/GRN</t>
  </si>
  <si>
    <t>FLLEDGG</t>
  </si>
  <si>
    <t>FLATLIGHTER 5MM LED WHT/WHT</t>
  </si>
  <si>
    <t>FLLEDCC</t>
  </si>
  <si>
    <t>FLATLIGHTER 5MM LED BLU/WHT</t>
  </si>
  <si>
    <t>FLLEDBC</t>
  </si>
  <si>
    <t>FLATLIGHTER 5MM LED BLU/BLU</t>
  </si>
  <si>
    <t>FLLEDBB</t>
  </si>
  <si>
    <t>FLATLIGHTER 5MM LED AMB/WHT</t>
  </si>
  <si>
    <t>FLLEDAC</t>
  </si>
  <si>
    <t>FLATLIGHTER 5MM LED AMB/BLU</t>
  </si>
  <si>
    <t>FLLEDAB</t>
  </si>
  <si>
    <t>FLATLIGHTER 5MM LED AMB/AMB</t>
  </si>
  <si>
    <t>FLLEDAA</t>
  </si>
  <si>
    <t>DOMINATOR UPPER REAR WINDOW MT</t>
  </si>
  <si>
    <t>DBKT5</t>
  </si>
  <si>
    <t>DOMINATOR ANGLE MOUNT BRACKET</t>
  </si>
  <si>
    <t>DBKT4</t>
  </si>
  <si>
    <t>DOMINATOR D2/D4 SWIVEL MOUNT</t>
  </si>
  <si>
    <t>DBKT3</t>
  </si>
  <si>
    <t>8-LIGHT DOMINATOR TIR3 SERIES</t>
  </si>
  <si>
    <t>D8</t>
  </si>
  <si>
    <t>6-LIGHT DOMINATOR TIR3 SERIES</t>
  </si>
  <si>
    <t>D6</t>
  </si>
  <si>
    <t>4-LIGHT DOMINATOR TIR3 SERIES</t>
  </si>
  <si>
    <t>D4</t>
  </si>
  <si>
    <t>2-LIGHT DOMINATOR TIR3 SERIES</t>
  </si>
  <si>
    <t>D2</t>
  </si>
  <si>
    <t>8-LIGHT DOMINATOR PLUS LINZ6</t>
  </si>
  <si>
    <t>DP8</t>
  </si>
  <si>
    <t>6-LIGHT DOMINATOR PLUS LINZ6</t>
  </si>
  <si>
    <t>DP6</t>
  </si>
  <si>
    <t>4-LIGHT DOMINATOR PLUS LINZ6</t>
  </si>
  <si>
    <t>DP4</t>
  </si>
  <si>
    <t>2-LIGHT DOMINATOR PLUS LINZ6</t>
  </si>
  <si>
    <t>DP2</t>
  </si>
  <si>
    <t>DUAL HEADLINER MOUNT KIT</t>
  </si>
  <si>
    <t>AVBKT5D</t>
  </si>
  <si>
    <t>SINGLE HEADLINER MOUNT KIT</t>
  </si>
  <si>
    <t>AVBKT5S</t>
  </si>
  <si>
    <t>AVENGER II UNIVERSAL SWIVEL MT</t>
  </si>
  <si>
    <t>AVBKT4</t>
  </si>
  <si>
    <t>DUAL VISOR MOUNT BRKT KIT</t>
  </si>
  <si>
    <t>AVBKT3D</t>
  </si>
  <si>
    <t>SINGLE VISOR MOUNT BRKT KIT</t>
  </si>
  <si>
    <t>AVBKT3S</t>
  </si>
  <si>
    <t>DUAL LO-PRO HEADLINER MT KIT</t>
  </si>
  <si>
    <t>AVBKT2</t>
  </si>
  <si>
    <t>SINGLE LO-PRO HEADLINER MT KIT</t>
  </si>
  <si>
    <t>AVBKT1</t>
  </si>
  <si>
    <t>DUAL AVENGER II TRIO B/A/W</t>
  </si>
  <si>
    <t>AVW23BAC</t>
  </si>
  <si>
    <t>DUAL AVENGER II TRIO R/A/W</t>
  </si>
  <si>
    <t>AVW23RAC</t>
  </si>
  <si>
    <t>DUAL AVENGER II TRIO R/B/A</t>
  </si>
  <si>
    <t>AVW23RBA</t>
  </si>
  <si>
    <t>DUAL AVENGER II TRIO R/B/W</t>
  </si>
  <si>
    <t>AVW23RBC</t>
  </si>
  <si>
    <t>SINGLE AVENGER II TRIO B/A/W</t>
  </si>
  <si>
    <t>AVW13BAC</t>
  </si>
  <si>
    <t>SINGLE AVENGER II TRIO R/A/W</t>
  </si>
  <si>
    <t>AVW13RAC</t>
  </si>
  <si>
    <t>SINGLE AVENGER II TRIO R/B/A</t>
  </si>
  <si>
    <t>AVW13RBA</t>
  </si>
  <si>
    <t>SINGLE AVENGER II TRIO R/B/W</t>
  </si>
  <si>
    <t>AVW13RBC</t>
  </si>
  <si>
    <t>AVC23BAC</t>
  </si>
  <si>
    <t>AVC23RAC</t>
  </si>
  <si>
    <t>AVC23RBA</t>
  </si>
  <si>
    <t>AVC23RBC</t>
  </si>
  <si>
    <t>AVC13BAC</t>
  </si>
  <si>
    <t>AVC13RAC</t>
  </si>
  <si>
    <t>AVC13RBA</t>
  </si>
  <si>
    <t>AVC13RBC</t>
  </si>
  <si>
    <t>DUAL AVENGER II DUO BA/BA WIRE</t>
  </si>
  <si>
    <t>AVW22MM</t>
  </si>
  <si>
    <t>DUAL AVENGER II DUO RB/RB WIRE</t>
  </si>
  <si>
    <t>AVW22JJ</t>
  </si>
  <si>
    <t>DUAL AVENGER II DUO AW/AW WIRE</t>
  </si>
  <si>
    <t>AVW22FF</t>
  </si>
  <si>
    <t>DUAL AVENGER II DUO BW/BW WIRE</t>
  </si>
  <si>
    <t>AVW22EE</t>
  </si>
  <si>
    <t>DUAL AVENGER II DUO BW/RW WIRE</t>
  </si>
  <si>
    <t>AVW22DE</t>
  </si>
  <si>
    <t>DUAL AVENGER II DUO RW/RW WIRE</t>
  </si>
  <si>
    <t>AVW22DD</t>
  </si>
  <si>
    <t>SINGLE AVENGER II DUO BLU/AMB</t>
  </si>
  <si>
    <t>AVW12M</t>
  </si>
  <si>
    <t>SINGLE AVENGER II DUO RED/AMB</t>
  </si>
  <si>
    <t>AVW12K</t>
  </si>
  <si>
    <t>SINGLE AVENGER II DUO RED/BLU</t>
  </si>
  <si>
    <t>AVW12J</t>
  </si>
  <si>
    <t>SINGLE AVENGER II DUO AMB/WHT</t>
  </si>
  <si>
    <t>AVW12F</t>
  </si>
  <si>
    <t>SINGLE AVENGER II DUO BLU/WHT</t>
  </si>
  <si>
    <t>AVW12E</t>
  </si>
  <si>
    <t>SINGLE AVENGER II DUO RED/WHT</t>
  </si>
  <si>
    <t>AVW12D</t>
  </si>
  <si>
    <t>DUAL AVENGER II DUO BA/BA CORD</t>
  </si>
  <si>
    <t>AVC22MM</t>
  </si>
  <si>
    <t>DUAL AVENGER II DUO RB/RB CORD</t>
  </si>
  <si>
    <t>AVC22JJ</t>
  </si>
  <si>
    <t>DUAL AVENGER II DUO AW/AW CORD</t>
  </si>
  <si>
    <t>AVC22FF</t>
  </si>
  <si>
    <t>DUAL AVENGER II DUO BW/BW CORD</t>
  </si>
  <si>
    <t>AVC22EE</t>
  </si>
  <si>
    <t>DUAL AVENGER II DUO BW/RW CORD</t>
  </si>
  <si>
    <t>AVC22DE</t>
  </si>
  <si>
    <t>DUAL AVENGER II DUO RW/RW CORD</t>
  </si>
  <si>
    <t>AVC22DD</t>
  </si>
  <si>
    <t>AVC12M</t>
  </si>
  <si>
    <t>AVC12K</t>
  </si>
  <si>
    <t>AVC12J</t>
  </si>
  <si>
    <t>AVC12F</t>
  </si>
  <si>
    <t>AVC12E</t>
  </si>
  <si>
    <t>AVC12D</t>
  </si>
  <si>
    <t>DUAL AVENGER II SOLO RED/RED</t>
  </si>
  <si>
    <t>AVW21RR</t>
  </si>
  <si>
    <t>DUAL AVENGER II SOLO RED/WHT</t>
  </si>
  <si>
    <t>AVW21RC</t>
  </si>
  <si>
    <t>DUAL AVENGER II SOLO RED/BLU</t>
  </si>
  <si>
    <t>AVW21RB</t>
  </si>
  <si>
    <t>DUAL AVENGER II SOLO RED/AMB</t>
  </si>
  <si>
    <t>AVW21RA</t>
  </si>
  <si>
    <t>DUAL AVENGER II SOLO WHT/WHT</t>
  </si>
  <si>
    <t>AVW21CC</t>
  </si>
  <si>
    <t>DUAL AVENGER II SOLO BLU/WHT</t>
  </si>
  <si>
    <t>AVW21BC</t>
  </si>
  <si>
    <t>DUAL AVENGER II SOLO BLU/BLU</t>
  </si>
  <si>
    <t>AVW21BB</t>
  </si>
  <si>
    <t>DUAL AVENGER II SOLO BLU/AMB</t>
  </si>
  <si>
    <t>AVW21BA</t>
  </si>
  <si>
    <t>DUAL AVENGER II SOLO AMB/WHT</t>
  </si>
  <si>
    <t>AVW21AC</t>
  </si>
  <si>
    <t>DUAL AVENGER II SOLO AMB/AMB</t>
  </si>
  <si>
    <t>AVW21AA</t>
  </si>
  <si>
    <t>SINGLE AVENGER II SOLO RED</t>
  </si>
  <si>
    <t>AVW11R</t>
  </si>
  <si>
    <t>SINGLE AVENGER II SOLO GREEN</t>
  </si>
  <si>
    <t>AVW11G</t>
  </si>
  <si>
    <t>SINGLE AVENGER II SOLO WHITE</t>
  </si>
  <si>
    <t>AVW11C</t>
  </si>
  <si>
    <t>SINGLE AVENGER II SOLO BLUE</t>
  </si>
  <si>
    <t>AVW11B</t>
  </si>
  <si>
    <t>SINGLE AVENGER II SOLO AMBER</t>
  </si>
  <si>
    <t>AVW11A</t>
  </si>
  <si>
    <t>AVC21RR</t>
  </si>
  <si>
    <t>AVC21RC</t>
  </si>
  <si>
    <t>AVC21RB</t>
  </si>
  <si>
    <t>AVC21RA</t>
  </si>
  <si>
    <t>DUAL AVENGER II SOLO GRN/GRN</t>
  </si>
  <si>
    <t>AVC21GG</t>
  </si>
  <si>
    <t>AVC21CC</t>
  </si>
  <si>
    <t>DUAL AVENGER II SOLO BLU/RED</t>
  </si>
  <si>
    <t>AVC21BR</t>
  </si>
  <si>
    <t>AVC21BC</t>
  </si>
  <si>
    <t>AVC21BB</t>
  </si>
  <si>
    <t>AVC21BA</t>
  </si>
  <si>
    <t>DUAL AVENGER II SOLO AMB/GRN</t>
  </si>
  <si>
    <t>AVC21AG</t>
  </si>
  <si>
    <t>AVC21AC</t>
  </si>
  <si>
    <t>AVC21AA</t>
  </si>
  <si>
    <t>AVC11R</t>
  </si>
  <si>
    <t>AVC11G</t>
  </si>
  <si>
    <t>AVC11C</t>
  </si>
  <si>
    <t>AVC11B</t>
  </si>
  <si>
    <t>AVC11A</t>
  </si>
  <si>
    <t>MODEL</t>
  </si>
  <si>
    <t>I2*</t>
  </si>
  <si>
    <t>TLI2*</t>
  </si>
  <si>
    <t>VTX609*</t>
  </si>
  <si>
    <t>NP3**</t>
  </si>
  <si>
    <t>NP6**</t>
  </si>
  <si>
    <t>MP**</t>
  </si>
  <si>
    <t>VX2*</t>
  </si>
  <si>
    <t>RIOT SHIELD CAPTURE, 24 X 48 0.150 CORRECTIONS</t>
  </si>
  <si>
    <t>RS2203</t>
  </si>
  <si>
    <t>RIOT SHIELD CAPTURE, 24 X 48 0.150 SHERIFF</t>
  </si>
  <si>
    <t>RS2202</t>
  </si>
  <si>
    <t>RIOT SHIELD CAPTURE, 24 X 48 0.150 POLICE</t>
  </si>
  <si>
    <t>RS2201</t>
  </si>
  <si>
    <t>RIOT SHIELD CAPTURE, 24 X 48 0.150 NO DECAL</t>
  </si>
  <si>
    <t>RS2200</t>
  </si>
  <si>
    <t>RIOT SHIELD CAPTURE, 20 X 36 X 0.150 CORRECTIONS</t>
  </si>
  <si>
    <t>RS1203</t>
  </si>
  <si>
    <t>RIOT SHIELD CAPTURE, 20 X 36 X 0.150 SHERIFF</t>
  </si>
  <si>
    <t>RS1202</t>
  </si>
  <si>
    <t>RIOT SHIELD CAPTURE, 20 X 36 X 0.150 POLICE</t>
  </si>
  <si>
    <t>RS1201</t>
  </si>
  <si>
    <t>RIOT SHIELD CAPTURE, 20 X 36 X 0.150 NO DECAL</t>
  </si>
  <si>
    <t>RS1200</t>
  </si>
  <si>
    <t>RIOT SHIELD - CAPTURE</t>
  </si>
  <si>
    <t>RIOT SHIELD, BODY, 24 X 48 X 0.150 CORRECTIONS</t>
  </si>
  <si>
    <t>RS2103</t>
  </si>
  <si>
    <t>RIOT SHIELD, BODY, 24 X 48 X 0.150 SHERIFF</t>
  </si>
  <si>
    <t>RS2102</t>
  </si>
  <si>
    <t>RIOT SHIELD, BODY, 24 X 48 X 0.150 POLICE</t>
  </si>
  <si>
    <t>RS2101</t>
  </si>
  <si>
    <t>RIOT SHIELD, BODY, 24 X 48 X 0.150 NO DECAL</t>
  </si>
  <si>
    <t>RS2100</t>
  </si>
  <si>
    <t>RIOT SHIELD, BODY, 20 X 36 X 0.150 CORRECTIONS</t>
  </si>
  <si>
    <t>RS1103</t>
  </si>
  <si>
    <t>RIOT SHIELD, BODY, 20 X 36 X 0.150 SHERIFF</t>
  </si>
  <si>
    <t>RS1102</t>
  </si>
  <si>
    <t>RIOT SHIELD, BODY, 20 X 36 X 0.150 POLICE</t>
  </si>
  <si>
    <t>RS1101</t>
  </si>
  <si>
    <t>RIOT SHIELD, BODY, 20 X 36 X 0.150 NO DECAL</t>
  </si>
  <si>
    <t>RS1100</t>
  </si>
  <si>
    <t>RIOT SHIELD - BODY</t>
  </si>
  <si>
    <t>RIOT SHIELDS</t>
  </si>
  <si>
    <r>
      <t xml:space="preserve">Single Compact AR or 870 Shotgun Mount </t>
    </r>
    <r>
      <rPr>
        <i/>
        <sz val="8"/>
        <color indexed="8"/>
        <rFont val="Calibri"/>
        <family val="2"/>
        <scheme val="minor"/>
      </rPr>
      <t>(Please Specify Trunk Lid or Speaker Deck Application)</t>
    </r>
  </si>
  <si>
    <t>GTM</t>
  </si>
  <si>
    <t>GTM SERIES - SEDAN TRUNK MOUNT</t>
  </si>
  <si>
    <r>
      <t xml:space="preserve">Single Compact AR Mount </t>
    </r>
    <r>
      <rPr>
        <i/>
        <sz val="8"/>
        <color indexed="8"/>
        <rFont val="Calibri"/>
        <family val="2"/>
        <scheme val="minor"/>
      </rPr>
      <t>(in Harley Davidson High and Low Side Saddle Bags) (2010-Current Available)</t>
    </r>
  </si>
  <si>
    <t>GMM</t>
  </si>
  <si>
    <t>GMM SERIES - MOTORCYCLE MOUNT</t>
  </si>
  <si>
    <r>
      <rPr>
        <b/>
        <sz val="8"/>
        <color indexed="8"/>
        <rFont val="Calibri"/>
        <family val="2"/>
        <scheme val="minor"/>
      </rPr>
      <t>***</t>
    </r>
    <r>
      <rPr>
        <sz val="8"/>
        <color indexed="8"/>
        <rFont val="Calibri"/>
        <family val="2"/>
        <scheme val="minor"/>
      </rPr>
      <t>Tri-Lock Vertical Partition Mounts Available on Vehicle Specific Pages</t>
    </r>
    <r>
      <rPr>
        <b/>
        <sz val="8"/>
        <color indexed="8"/>
        <rFont val="Calibri"/>
        <family val="2"/>
        <scheme val="minor"/>
      </rPr>
      <t>***</t>
    </r>
  </si>
  <si>
    <r>
      <t xml:space="preserve">Dual Weapon, Partition Mount </t>
    </r>
    <r>
      <rPr>
        <i/>
        <sz val="8"/>
        <rFont val="Calibri"/>
        <family val="2"/>
        <scheme val="minor"/>
      </rPr>
      <t>(in partition's recessed panel)</t>
    </r>
  </si>
  <si>
    <t>GVPM-D</t>
  </si>
  <si>
    <r>
      <t xml:space="preserve">Single Weapon, Partition Mount </t>
    </r>
    <r>
      <rPr>
        <i/>
        <sz val="8"/>
        <rFont val="Calibri"/>
        <family val="2"/>
        <scheme val="minor"/>
      </rPr>
      <t>(in partition's recessed panel)</t>
    </r>
  </si>
  <si>
    <t>GVPM-S</t>
  </si>
  <si>
    <t>GVPM SERIES - VERTICAL PARTITION MOUNT</t>
  </si>
  <si>
    <r>
      <rPr>
        <b/>
        <sz val="8"/>
        <color indexed="8"/>
        <rFont val="Calibri"/>
        <family val="2"/>
        <scheme val="minor"/>
      </rPr>
      <t>***</t>
    </r>
    <r>
      <rPr>
        <sz val="8"/>
        <color indexed="8"/>
        <rFont val="Calibri"/>
        <family val="2"/>
        <scheme val="minor"/>
      </rPr>
      <t>Tri-Lock Self-Supporting Mounts Available on Vehicle Specific Pages</t>
    </r>
    <r>
      <rPr>
        <b/>
        <sz val="8"/>
        <color indexed="8"/>
        <rFont val="Calibri"/>
        <family val="2"/>
        <scheme val="minor"/>
      </rPr>
      <t>***</t>
    </r>
  </si>
  <si>
    <r>
      <t xml:space="preserve">Dual Weapon, Self-Supporting Vertical Mount on Floor Board </t>
    </r>
    <r>
      <rPr>
        <i/>
        <sz val="8"/>
        <rFont val="Calibri"/>
        <family val="2"/>
        <scheme val="minor"/>
      </rPr>
      <t>(between bucket seats)</t>
    </r>
  </si>
  <si>
    <t>GVM-D</t>
  </si>
  <si>
    <r>
      <t xml:space="preserve">Single Weapon, Self-Supporting Vertical Mount on Floor Board </t>
    </r>
    <r>
      <rPr>
        <i/>
        <sz val="8"/>
        <rFont val="Calibri"/>
        <family val="2"/>
        <scheme val="minor"/>
      </rPr>
      <t>(between bucket seats)</t>
    </r>
  </si>
  <si>
    <t>GVM-S</t>
  </si>
  <si>
    <t>GVM SERIES - VERTICAL SELF-SUPPORTING MOUNT</t>
  </si>
  <si>
    <r>
      <rPr>
        <b/>
        <sz val="8"/>
        <color indexed="8"/>
        <rFont val="Calibri"/>
        <family val="2"/>
        <scheme val="minor"/>
      </rPr>
      <t>***</t>
    </r>
    <r>
      <rPr>
        <sz val="8"/>
        <color indexed="8"/>
        <rFont val="Calibri"/>
        <family val="2"/>
        <scheme val="minor"/>
      </rPr>
      <t>Tri-Lock Pro-Cell Mounts Available on Vehicle Specific Pages</t>
    </r>
    <r>
      <rPr>
        <b/>
        <sz val="8"/>
        <color indexed="8"/>
        <rFont val="Calibri"/>
        <family val="2"/>
        <scheme val="minor"/>
      </rPr>
      <t>***</t>
    </r>
  </si>
  <si>
    <r>
      <t xml:space="preserve">Dual Weapon, Vertical Mount on Pro-Cell Half Partition </t>
    </r>
    <r>
      <rPr>
        <i/>
        <sz val="8"/>
        <rFont val="Calibri"/>
        <family val="2"/>
        <scheme val="minor"/>
      </rPr>
      <t>(P1000 &amp; P1500 only)</t>
    </r>
  </si>
  <si>
    <t>GPC-D</t>
  </si>
  <si>
    <r>
      <t>Single Weapon, Vertical Mount on Pro-Cell Half Partition (</t>
    </r>
    <r>
      <rPr>
        <i/>
        <sz val="8"/>
        <rFont val="Calibri"/>
        <family val="2"/>
        <scheme val="minor"/>
      </rPr>
      <t>P1000 &amp; P1500 only)</t>
    </r>
  </si>
  <si>
    <t>GPC-S</t>
  </si>
  <si>
    <t>GPC SERIES - PRO-CELL VERTICAL MOUNT</t>
  </si>
  <si>
    <t>Single Weapon, Flat Surface Mount</t>
  </si>
  <si>
    <t>G5000</t>
  </si>
  <si>
    <t>G5000 SERIES - FLAT SURFACE MOUNT</t>
  </si>
  <si>
    <r>
      <t xml:space="preserve">Single Weapon, Vertical Mount on Partition </t>
    </r>
    <r>
      <rPr>
        <i/>
        <sz val="8"/>
        <rFont val="Calibri"/>
        <family val="2"/>
        <scheme val="minor"/>
      </rPr>
      <t>(between bucket seats on standard flat panel partition)</t>
    </r>
  </si>
  <si>
    <t>G4906</t>
  </si>
  <si>
    <t>G4906 SERIES - SINGLE VERTICAL RETRO-FIT</t>
  </si>
  <si>
    <t>(Gunrack Part Numbers on Order Acknowledgments Will Not Reflect Part Numbers Shown Below)</t>
  </si>
  <si>
    <t>($100.00 List Price Upcharge per each Universal Lock Addition - Please Note Universal Lock on Gunrack Order Form)</t>
  </si>
  <si>
    <r>
      <t xml:space="preserve">GUN RACKS - </t>
    </r>
    <r>
      <rPr>
        <i/>
        <sz val="20"/>
        <rFont val="Calibri"/>
        <family val="2"/>
        <scheme val="minor"/>
      </rPr>
      <t>Gun Rack Order Form Required</t>
    </r>
  </si>
  <si>
    <t>Tri-Lock Gun Safe</t>
  </si>
  <si>
    <t>4GLB02-01</t>
  </si>
  <si>
    <t xml:space="preserve">Butt Plate w/ Foam Padding </t>
  </si>
  <si>
    <t>G4963</t>
  </si>
  <si>
    <t>Momentary Switch</t>
  </si>
  <si>
    <t>3G5101</t>
  </si>
  <si>
    <t>3G701</t>
  </si>
  <si>
    <t>8 Second Delay Timer</t>
  </si>
  <si>
    <t>G1002</t>
  </si>
  <si>
    <t>"U" Lock Only, Universal Handcuff Style Lock</t>
  </si>
  <si>
    <t>G4904U</t>
  </si>
  <si>
    <r>
      <t xml:space="preserve">"A" Lock Only </t>
    </r>
    <r>
      <rPr>
        <i/>
        <sz val="8"/>
        <color rgb="FF000000"/>
        <rFont val="Calibri"/>
        <family val="2"/>
        <scheme val="minor"/>
      </rPr>
      <t>(fits AR15/M4 w/ Oversized Forearm</t>
    </r>
    <r>
      <rPr>
        <sz val="8"/>
        <color indexed="8"/>
        <rFont val="Calibri"/>
        <family val="2"/>
        <scheme val="minor"/>
      </rPr>
      <t>)</t>
    </r>
  </si>
  <si>
    <t>G4914A</t>
  </si>
  <si>
    <r>
      <t xml:space="preserve">"R" Lock Only </t>
    </r>
    <r>
      <rPr>
        <i/>
        <sz val="8"/>
        <color indexed="8"/>
        <rFont val="Calibri"/>
        <family val="2"/>
        <scheme val="minor"/>
      </rPr>
      <t>(fits most AR15/M4)</t>
    </r>
  </si>
  <si>
    <t>G4904R-NPG</t>
  </si>
  <si>
    <r>
      <t xml:space="preserve">"H" Lock Only </t>
    </r>
    <r>
      <rPr>
        <i/>
        <sz val="8"/>
        <color indexed="8"/>
        <rFont val="Calibri"/>
        <family val="2"/>
        <scheme val="minor"/>
      </rPr>
      <t>(fits most pump shotguns)</t>
    </r>
  </si>
  <si>
    <t>G4904H</t>
  </si>
  <si>
    <t>(Gun Rack Listed Below Include Standard Handcuff Key Override)</t>
  </si>
  <si>
    <t>GUN RACK ACCESSORIES</t>
  </si>
  <si>
    <t>Handgun Locker</t>
  </si>
  <si>
    <t>HGL001</t>
  </si>
  <si>
    <t>HANDGUN LOCKER</t>
  </si>
  <si>
    <t>Black ABS, Trunk/Cargo Organizer 45" x 30" x 11" High w/ Poly Lid and Dividers</t>
  </si>
  <si>
    <t>D3825L</t>
  </si>
  <si>
    <t>Black ABS, Universal Trunk Organizer 18" x 28" x 10½" High with ABS Lid</t>
  </si>
  <si>
    <t>D3805</t>
  </si>
  <si>
    <t>TRUNK ORGANZIERS</t>
  </si>
  <si>
    <t>Black ABS, Open Slotted, Portable, Seat Mounted, Duty Gear Organizer</t>
  </si>
  <si>
    <t>D3000</t>
  </si>
  <si>
    <t>Black ABS, Printer Deck, Portable, Seat mounted, Duty Gear Organizer</t>
  </si>
  <si>
    <t>D2951</t>
  </si>
  <si>
    <t>Black ABS, Multi-Slotted, Portable, Seat Mounted, Duty Gear Organizer</t>
  </si>
  <si>
    <t>D2950</t>
  </si>
  <si>
    <t>SEAT ORGANZIERS</t>
  </si>
  <si>
    <t>Vertical Pro-cell Mount Dual Weapon Tri-Lock Gun Rack w/Vending Key</t>
  </si>
  <si>
    <t>GPC5916D-V</t>
  </si>
  <si>
    <t>Vertical Pro-cell Mount Dual Weapon Tri-Lock Gun Rack w/Straight Key</t>
  </si>
  <si>
    <t>GPC5916D-K</t>
  </si>
  <si>
    <t>Vertical Pro-cell Mount Dual Weapon Tri-Lock Gun Rack w/Handcuff Key</t>
  </si>
  <si>
    <t>GPC5916D-H</t>
  </si>
  <si>
    <t>Vertical Pro-cell Mount Single Weapon Tri-Lock Gun Rack w/Vending Key</t>
  </si>
  <si>
    <t>GPC5916S-V</t>
  </si>
  <si>
    <t>Vertical Pro-cell Mount Single Weapon Tri-Lock Gun Rack w/Straight Key</t>
  </si>
  <si>
    <t>GPC5916S-K</t>
  </si>
  <si>
    <t>Vertical Pro-cell Mount Single Weapon Tri-Lock Gun Rack w/Handcuff Key</t>
  </si>
  <si>
    <t>GPC5916S-H</t>
  </si>
  <si>
    <t>GUN RACK - Tri-Lock™ - PRO-CELL MOUNT</t>
  </si>
  <si>
    <t>Self-Supporting Dual Weapon Tri-Lock Gun Rack w/Vending Key</t>
  </si>
  <si>
    <t>GVM5916D-V</t>
  </si>
  <si>
    <t>Self-Supporting Dual Weapon Tri-Lock Gun Rack w/Straight Key</t>
  </si>
  <si>
    <t>GVM5916D-K</t>
  </si>
  <si>
    <t>Self-Supporting Dual Weapon Tri-Lock Gun Rack w/Handcuff Key</t>
  </si>
  <si>
    <t>GVM5916D-H</t>
  </si>
  <si>
    <t>Self-Supporting Single Weapon Tri-Lock Gun Rack w/Vending Key</t>
  </si>
  <si>
    <t>GVM5916S-V</t>
  </si>
  <si>
    <t>Self-Supporting Single Weapon Tri-Lock Gun Rack w/Straight Key</t>
  </si>
  <si>
    <t>GVM5916S-K</t>
  </si>
  <si>
    <t>Self-Supporting Single Weapon Tri-Lock Gun Rack w/Handcuff Key</t>
  </si>
  <si>
    <t>GVM5916S-H</t>
  </si>
  <si>
    <t>GUN RACK - Tri-Lock™ - SELF-SUPPORTING MOUNT</t>
  </si>
  <si>
    <t>Vertical Partition Mount Dual Weapon Tri-Lock Gun Rack w/Vending Key</t>
  </si>
  <si>
    <t>GVPMD-V</t>
  </si>
  <si>
    <t>Vertical Partition Mount Dual Weapon Tri-Lock Gun Rack w/Straight Key</t>
  </si>
  <si>
    <t>GVPMD-K</t>
  </si>
  <si>
    <t>Vertical Partition Mount Dual Weapon Tri-Lock Gun Rack w/Handcuff Key</t>
  </si>
  <si>
    <t>GVPMD-H</t>
  </si>
  <si>
    <t>Vertical Partition Mount Single Weapon Tri-Lock Gun Rack w/Vending Key</t>
  </si>
  <si>
    <t>GVPMS-V</t>
  </si>
  <si>
    <t>Vertical Partition Mount Single Weapon Tri-Lock Gun Rack w/Straight Key</t>
  </si>
  <si>
    <t>GVPMS-K</t>
  </si>
  <si>
    <t>Vertical Partition Mount Single Weapon Tri-Lock Gun Rack w/Handcuff Key</t>
  </si>
  <si>
    <t xml:space="preserve">GVPMS-H </t>
  </si>
  <si>
    <t>GUN RACK - Tri-Lock™ - VERTICAL PARTITION MOUNT</t>
  </si>
  <si>
    <r>
      <t xml:space="preserve">Push Bumper Tow Hook Bracket </t>
    </r>
    <r>
      <rPr>
        <i/>
        <sz val="8"/>
        <color rgb="FF000000"/>
        <rFont val="Calibri"/>
        <family val="2"/>
        <scheme val="minor"/>
      </rPr>
      <t>(sold individually, two brackets needed per push bumper)</t>
    </r>
  </si>
  <si>
    <t>3PBK5916-03</t>
  </si>
  <si>
    <t xml:space="preserve">HD Push Bumper w/ Four Whelen® Ion™ Duo™ Smoked Lens Two Red/White &amp; Two Blue/White Lights </t>
  </si>
  <si>
    <t>PB5913HDL006</t>
  </si>
  <si>
    <t xml:space="preserve">HD Push Bumper w/ Four Whelen® Ion™ Duo™ Smoked Lens Blue/White Lights </t>
  </si>
  <si>
    <t>PB5913HDL005</t>
  </si>
  <si>
    <t xml:space="preserve">HD Push Bumper w/ Four Whelen® Ion™ Duo™ Smoked Lens Red/White Lights </t>
  </si>
  <si>
    <t>PB5913HDL004</t>
  </si>
  <si>
    <t xml:space="preserve">HD Push Bumper w/ Two Whelen® Ion™ Duo™ Smoked Lens One Red/White &amp; One Blue/White Light </t>
  </si>
  <si>
    <t>PB5913HDL003</t>
  </si>
  <si>
    <t xml:space="preserve">HD Push Bumper w/ Two Whelen® Ion™ Duo™ Smoked Lens Blue/White Lights </t>
  </si>
  <si>
    <t>PB5913HDL002</t>
  </si>
  <si>
    <t>HD Push Bumper w/ Two Whelen® Ion™ Duo™ Smoked Lens Red/White Lights</t>
  </si>
  <si>
    <t>PB5913HDL001</t>
  </si>
  <si>
    <t xml:space="preserve">HD Push Bumper </t>
  </si>
  <si>
    <t>PB59RT13HD</t>
  </si>
  <si>
    <r>
      <t xml:space="preserve">HD PUSH BUMPERS - </t>
    </r>
    <r>
      <rPr>
        <i/>
        <sz val="8"/>
        <rFont val="Calibri"/>
        <family val="2"/>
        <scheme val="minor"/>
      </rPr>
      <t>Includes wire covers</t>
    </r>
  </si>
  <si>
    <r>
      <t>Poly Rear Window Armor</t>
    </r>
    <r>
      <rPr>
        <i/>
        <sz val="8"/>
        <color rgb="FF000000"/>
        <rFont val="Calibri"/>
        <family val="2"/>
        <scheme val="minor"/>
      </rPr>
      <t xml:space="preserve"> (Covers back glass window only)</t>
    </r>
  </si>
  <si>
    <t>RWG59RT18</t>
  </si>
  <si>
    <r>
      <t>Pair, Steel Window Bars (</t>
    </r>
    <r>
      <rPr>
        <i/>
        <sz val="8"/>
        <rFont val="Calibri"/>
        <family val="2"/>
        <scheme val="minor"/>
      </rPr>
      <t>for use with OEM door panels only)</t>
    </r>
  </si>
  <si>
    <t>WB59NPRT16</t>
  </si>
  <si>
    <t>REAR WINDOW BARS</t>
  </si>
  <si>
    <t>Two 3" Round Red/White LED's - Includes Switch and 15ft of cable</t>
  </si>
  <si>
    <t>PTL4213</t>
  </si>
  <si>
    <t>PRISONER TRANSPORT LIGHTING</t>
  </si>
  <si>
    <t>½ Slider Poly Window with Expanded Metal Insert</t>
  </si>
  <si>
    <t>PRPSP5917RT13A</t>
  </si>
  <si>
    <t>Stationary Poly Window and Center Expanded Metal Insert</t>
  </si>
  <si>
    <t>PRPSP5916RT13A</t>
  </si>
  <si>
    <t>Poly Center Slider Window with Expanded Metal Insert</t>
  </si>
  <si>
    <t>PRPSP5914RT13A</t>
  </si>
  <si>
    <t>Vented Poly, Solid Window</t>
  </si>
  <si>
    <t>PRPSP5913RT13A</t>
  </si>
  <si>
    <t>½ Poly, ½ Expanded Metal Window</t>
  </si>
  <si>
    <t>PRPSP5912RT13A</t>
  </si>
  <si>
    <t>Full, 7 Gauge Steel Wire Screen Window</t>
  </si>
  <si>
    <t>PRPSP5905RT13A</t>
  </si>
  <si>
    <t>Center Sliding Poly Window</t>
  </si>
  <si>
    <t>PRPSP5904RT13A</t>
  </si>
  <si>
    <t>Stationary Poly Window</t>
  </si>
  <si>
    <t>PRPSP5902RT13A</t>
  </si>
  <si>
    <t>Passenger ½ Sliding Poly Window</t>
  </si>
  <si>
    <t>PRPSP5900RT13A</t>
  </si>
  <si>
    <r>
      <t>PARTITION - SPACE SAVER -</t>
    </r>
    <r>
      <rPr>
        <i/>
        <sz val="8"/>
        <rFont val="Calibri"/>
        <family val="2"/>
        <scheme val="minor"/>
      </rPr>
      <t xml:space="preserve"> Includes: Recessed Panel and Lower Extension Panels</t>
    </r>
  </si>
  <si>
    <r>
      <t xml:space="preserve">Single Compartment, Pro-cell, ½ Partition </t>
    </r>
    <r>
      <rPr>
        <i/>
        <sz val="8"/>
        <rFont val="Calibri"/>
        <family val="2"/>
        <scheme val="minor"/>
      </rPr>
      <t>(OEM Rear Seat Only, Does not include ABS Door Panel)</t>
    </r>
  </si>
  <si>
    <t>P1000RT16A</t>
  </si>
  <si>
    <t>Includes: ½ Partition, Pair Steel Window Bars, Rear Window Guards, Lower Extension Panel, &amp; Poly Center Divider</t>
  </si>
  <si>
    <t>PRO-CELL PRISONER TRANSPORT SYSTEM</t>
  </si>
  <si>
    <t>DODGE RAM 1500 SSV 2013 - 2024 (Classic)</t>
  </si>
  <si>
    <t>Vertical Pro-cell Mount Dual Weapon Tri-Lock Gunrack w/Vending Key</t>
  </si>
  <si>
    <t>GPC6718D-V</t>
  </si>
  <si>
    <t>Vertical Pro-cell Mount Dual Weapon Tri-Lock Gunrack w/Straight Key</t>
  </si>
  <si>
    <t>GPC6718D-K</t>
  </si>
  <si>
    <t>Vertical Pro-cell Mount Dual Weapon Tri-Lock Gunrack w/Handcuff Key</t>
  </si>
  <si>
    <t>GPC6718D-H</t>
  </si>
  <si>
    <t>Vertical Pro-cell Mount Single Weapon Tri-Lock Gunrack w/Vending Key</t>
  </si>
  <si>
    <t>GPC6718S-V</t>
  </si>
  <si>
    <t>Vertical Pro-cell Mount Single Weapon Tri-Lock Gunrack w/Straight Key</t>
  </si>
  <si>
    <t>GPC6718S-K</t>
  </si>
  <si>
    <t>Vertical Pro-cell Mount Single Weapon Tri-Lock Gunrack w/Handcuff Key</t>
  </si>
  <si>
    <t>GPC6718S-H</t>
  </si>
  <si>
    <t>GUN RACK - Tri-Lock™ - PRO-CELL (P1000) MOUNT</t>
  </si>
  <si>
    <t>GVM6718D-V</t>
  </si>
  <si>
    <t>GVM6718D-K</t>
  </si>
  <si>
    <t>GVM6718D-H</t>
  </si>
  <si>
    <t>GVM6718S-V</t>
  </si>
  <si>
    <t>GVM6718S-K</t>
  </si>
  <si>
    <t>GVM6718S-H</t>
  </si>
  <si>
    <t>Cargo Electronics Tray</t>
  </si>
  <si>
    <t>CSDET23</t>
  </si>
  <si>
    <t>Cargo Storage Drawer - Accessory Top</t>
  </si>
  <si>
    <t>CSDAT23</t>
  </si>
  <si>
    <t>Magpul - DAKA Grid Organizer</t>
  </si>
  <si>
    <t>CSDGO23</t>
  </si>
  <si>
    <t>Cargo Storage Drawer - Mounting Kit - Free Standing Mount (No Cargo Barrier)*</t>
  </si>
  <si>
    <t>4CSD67D18FS</t>
  </si>
  <si>
    <t>Cargo Storage Drawer - Mounting Kit - (w/Pro-gard Cargo Barrier)*</t>
  </si>
  <si>
    <t>4CSD67D18</t>
  </si>
  <si>
    <t>Cargo Storage Drawer - Small - Electronic Lock</t>
  </si>
  <si>
    <t>CSDSM003</t>
  </si>
  <si>
    <t>Cargo Storage Drawer - Small - Manual Key T-Handle Lock</t>
  </si>
  <si>
    <t>CSDSM002</t>
  </si>
  <si>
    <t>Cargo Storage Drawer - Small - No lock</t>
  </si>
  <si>
    <t>CSDSM001</t>
  </si>
  <si>
    <t>CARGO STORAGE DRAWER -  *Must order Cargo Storage Floor and Mounting Kit with Drawer selection  (All drawers come with rubber mat)</t>
  </si>
  <si>
    <t>Cargo Storage Lid (Cargo Storage Floor Required)</t>
  </si>
  <si>
    <t>CSL67D18</t>
  </si>
  <si>
    <t>Cargo Barrier CSF Kit</t>
  </si>
  <si>
    <t>4CSF67D18</t>
  </si>
  <si>
    <t>Cargo Storage Floor</t>
  </si>
  <si>
    <t>CSF67D18</t>
  </si>
  <si>
    <t>CARGO STORAGE FLOOR -  *Must order Mounting Kit if installing Cargo Barrier</t>
  </si>
  <si>
    <r>
      <t xml:space="preserve">Steel Cargo Security Cover </t>
    </r>
    <r>
      <rPr>
        <i/>
        <sz val="8"/>
        <color rgb="FF000000"/>
        <rFont val="Calibri"/>
        <family val="2"/>
        <scheme val="minor"/>
      </rPr>
      <t>(for use w/ OEM seat, includes panel enclosures)</t>
    </r>
  </si>
  <si>
    <t>CSC67D18S</t>
  </si>
  <si>
    <r>
      <t xml:space="preserve">Steel Cargo Security Cover </t>
    </r>
    <r>
      <rPr>
        <i/>
        <sz val="8"/>
        <color indexed="8"/>
        <rFont val="Calibri"/>
        <family val="2"/>
        <scheme val="minor"/>
      </rPr>
      <t>(for use w/ Pro-gard cargo barrier)</t>
    </r>
  </si>
  <si>
    <t>CSC67D18</t>
  </si>
  <si>
    <t>CARGO SECURITY COVER</t>
  </si>
  <si>
    <t>7 Gauge Steel Wire, Cargo Barrier with Filler Panels (PPV/SSV only)</t>
  </si>
  <si>
    <t>B6705D18</t>
  </si>
  <si>
    <t>¼" Poly, Cargo Barrier with Filler Panels (PPV/SSV only)</t>
  </si>
  <si>
    <t>B6702D18</t>
  </si>
  <si>
    <t>CARGO BARRIERS</t>
  </si>
  <si>
    <t>Black Powder Coated Steel Skid Plate, Engine</t>
  </si>
  <si>
    <t>SK67DUR18</t>
  </si>
  <si>
    <t>PB6721HDL006</t>
  </si>
  <si>
    <t>PB6721HDL005</t>
  </si>
  <si>
    <t>HD Push Bumper w/ Four Whelen® Ion™ Duo™ Smoked Lens Red/White Lights</t>
  </si>
  <si>
    <t>PB6721HDL004</t>
  </si>
  <si>
    <t>PB6721HDL003</t>
  </si>
  <si>
    <t>HD Push Bumper w/ Two Whelen® Ion™ Duo™ Smoked Lens Blue/White Lights</t>
  </si>
  <si>
    <t>PB6721HDL002</t>
  </si>
  <si>
    <t>PB6721HDL001</t>
  </si>
  <si>
    <t>PB67D21HD</t>
  </si>
  <si>
    <r>
      <t xml:space="preserve">HD PUSH BUMPERS 2021 - </t>
    </r>
    <r>
      <rPr>
        <i/>
        <sz val="8"/>
        <rFont val="Calibri"/>
        <family val="2"/>
        <scheme val="minor"/>
      </rPr>
      <t>Includes wire covers</t>
    </r>
  </si>
  <si>
    <t>DODGE DURANGO PPV/SSV 2018 - CURRENT</t>
  </si>
  <si>
    <t>Kevlar®, NIJ Level IIIA Ballistic Door Panel, Passenger Side</t>
  </si>
  <si>
    <t>BDP67D18P</t>
  </si>
  <si>
    <t>Kevlar®, NIJ Level IIIA Ballistic Door Panel, Driver Side</t>
  </si>
  <si>
    <t>BDP67D18D</t>
  </si>
  <si>
    <t>BALLISTIC DOOR PANELS</t>
  </si>
  <si>
    <t>Set of Three (rear cargo and rear sides) Window Guards, 11 Gauge Steel, Grid Pattern, Black</t>
  </si>
  <si>
    <t>RWG67DUR18A</t>
  </si>
  <si>
    <t>REAR WINDOW GUARDS</t>
  </si>
  <si>
    <r>
      <t>Pair, Steel Window Bars (</t>
    </r>
    <r>
      <rPr>
        <i/>
        <sz val="8"/>
        <rFont val="Calibri"/>
        <family val="2"/>
        <scheme val="minor"/>
      </rPr>
      <t>for use with OEM Door Panels only</t>
    </r>
    <r>
      <rPr>
        <sz val="8"/>
        <color indexed="8"/>
        <rFont val="Calibri"/>
        <family val="2"/>
        <scheme val="minor"/>
      </rPr>
      <t>)</t>
    </r>
  </si>
  <si>
    <t>WB67NPD18</t>
  </si>
  <si>
    <r>
      <t>Pair, Poly Window Bars (</t>
    </r>
    <r>
      <rPr>
        <i/>
        <sz val="8"/>
        <rFont val="Calibri"/>
        <family val="2"/>
        <scheme val="minor"/>
      </rPr>
      <t>for use with OEM Door Panels only)</t>
    </r>
  </si>
  <si>
    <t>WBP67NPD18</t>
  </si>
  <si>
    <t>Charcoal Grey ABS, Floor Pan</t>
  </si>
  <si>
    <t>FP67D18</t>
  </si>
  <si>
    <t>Outboard Seat Belt Retro-fit Kit</t>
  </si>
  <si>
    <t>4OSBK6718</t>
  </si>
  <si>
    <t>Standard Transport Seat w/ 7 Ga. Steel Screen Window Cargo Barrier and Outboard Seat Belts</t>
  </si>
  <si>
    <t>S6705D18OSB</t>
  </si>
  <si>
    <t>Standard Transport Seat w/ 1/4" Poly Window Cargo Barrier and Outboard Seat Belts</t>
  </si>
  <si>
    <t>S6702D18OSB</t>
  </si>
  <si>
    <t>REAR TRANSPORT SEATS AND FLOOR PANS</t>
  </si>
  <si>
    <t>PSSP6717D18A</t>
  </si>
  <si>
    <t>PSSP6716D18A</t>
  </si>
  <si>
    <t>PSSP6714D18A</t>
  </si>
  <si>
    <t>PSSP6713D18A</t>
  </si>
  <si>
    <t>PSSP6712D18A</t>
  </si>
  <si>
    <t>PSSP6705D18A</t>
  </si>
  <si>
    <t>PSSP6704D18A</t>
  </si>
  <si>
    <t>PSSP6702D18A</t>
  </si>
  <si>
    <t>PSSP6700D18A</t>
  </si>
  <si>
    <r>
      <t xml:space="preserve">PARTITION - SPACE SAVER PLUS - </t>
    </r>
    <r>
      <rPr>
        <i/>
        <sz val="8"/>
        <rFont val="Calibri"/>
        <family val="2"/>
        <scheme val="minor"/>
      </rPr>
      <t>Includes Recessed Panel and Lower Extension Panels</t>
    </r>
  </si>
  <si>
    <t>PVSSP6717D18A</t>
  </si>
  <si>
    <t>PVSSP6716D18A</t>
  </si>
  <si>
    <t>PVSSP6714D18A</t>
  </si>
  <si>
    <t>PVSSP6713D18A</t>
  </si>
  <si>
    <t>PVSSP6712D18A</t>
  </si>
  <si>
    <t>PVSSP6705D18A</t>
  </si>
  <si>
    <t>PVSSP6704D18A</t>
  </si>
  <si>
    <t>PVSSP6702D18A</t>
  </si>
  <si>
    <t>PVSSP6700D18A</t>
  </si>
  <si>
    <r>
      <t>PARTITION - SPACE SAVER PLUS W/ VIPER SHIELD -</t>
    </r>
    <r>
      <rPr>
        <i/>
        <sz val="8"/>
        <color theme="1"/>
        <rFont val="Calibri"/>
        <family val="2"/>
        <scheme val="minor"/>
      </rPr>
      <t xml:space="preserve"> Includes Recessed Panel and Lower Extension Panels</t>
    </r>
  </si>
  <si>
    <r>
      <t xml:space="preserve">Dual Compartments, Pro-Cell, Full Partition, </t>
    </r>
    <r>
      <rPr>
        <i/>
        <sz val="8"/>
        <rFont val="Calibri"/>
        <family val="2"/>
        <scheme val="minor"/>
      </rPr>
      <t>Includes Recessed Panel,</t>
    </r>
    <r>
      <rPr>
        <sz val="8"/>
        <rFont val="Calibri"/>
        <family val="2"/>
        <scheme val="minor"/>
      </rPr>
      <t xml:space="preserve"> </t>
    </r>
    <r>
      <rPr>
        <i/>
        <sz val="8"/>
        <rFont val="Calibri"/>
        <family val="2"/>
        <scheme val="minor"/>
      </rPr>
      <t>Does not include ABS Door Panels</t>
    </r>
  </si>
  <si>
    <t>P1826DUR18AOSB</t>
  </si>
  <si>
    <r>
      <t xml:space="preserve">Single Compartment, Pro-Cell, 1/2 Partition, </t>
    </r>
    <r>
      <rPr>
        <i/>
        <sz val="8"/>
        <rFont val="Calibri"/>
        <family val="2"/>
        <scheme val="minor"/>
      </rPr>
      <t>Does not include ABS Door Panels</t>
    </r>
  </si>
  <si>
    <t>P1000DUR18AOSB</t>
  </si>
  <si>
    <t>Poly Window Cargo Barrier, &amp; Outboard Seat Belts</t>
  </si>
  <si>
    <t xml:space="preserve">Includes: 1/2 or Full Partition, Transport Seat, Floor Pan, Pair Window Bars, Lower Extension Panel(s), Poly Center Divider, </t>
  </si>
  <si>
    <t>Dual Compartments, Pro-Cell, Full Partition w/ Outboard Seat Belts</t>
  </si>
  <si>
    <t>PVS1826D18AOSB</t>
  </si>
  <si>
    <t>Poly Center Divider, Poly Window Cargo Barrier, VIPER™ Shield, and Outboard Seat Belts</t>
  </si>
  <si>
    <t xml:space="preserve">Includes: Full Partition, Transport Seat, Floor Pan, Pair Window Bars, Recessed Panel, Lower Extension Panels, </t>
  </si>
  <si>
    <t>PRO-CELL PRISONER TRANSPORT SYSTEM W/ VIPER SHIELD</t>
  </si>
  <si>
    <t>GVM5611D-V</t>
  </si>
  <si>
    <t>GVM5611D-K</t>
  </si>
  <si>
    <t>GVM5611D-H</t>
  </si>
  <si>
    <t>GVM5611S-V</t>
  </si>
  <si>
    <t>GVM5611S-K</t>
  </si>
  <si>
    <t>GVM5611S-H</t>
  </si>
  <si>
    <t>GUN RACK - Tri-Lock™ - SELF-SUPPORTING MOUNT (Maximum Weapon Length for Charger Tri-Locks is 37 Inches)</t>
  </si>
  <si>
    <t>GUN RACK - Tri-Lock™ - VERTIACAL PARTITION MOUNT (Maximum Weapon Length for Charger Tri-Locks is 37 Inches)</t>
  </si>
  <si>
    <t>Slide-out Trunk Tray</t>
  </si>
  <si>
    <t>TT56FC11</t>
  </si>
  <si>
    <t>TRUNK TRAY</t>
  </si>
  <si>
    <r>
      <t xml:space="preserve">Black Powder Coated Steel Skid Plate </t>
    </r>
    <r>
      <rPr>
        <i/>
        <sz val="8"/>
        <color indexed="8"/>
        <rFont val="Calibri"/>
        <family val="2"/>
        <scheme val="minor"/>
      </rPr>
      <t>(V8 AWD Only)</t>
    </r>
  </si>
  <si>
    <t>SK56C16</t>
  </si>
  <si>
    <r>
      <t xml:space="preserve">Black Powder Coated Steel Skid Plate </t>
    </r>
    <r>
      <rPr>
        <i/>
        <sz val="8"/>
        <color indexed="8"/>
        <rFont val="Calibri"/>
        <family val="2"/>
        <scheme val="minor"/>
      </rPr>
      <t>(for use on 5.7 V8 Hemi engine only)</t>
    </r>
  </si>
  <si>
    <t>SK56C06H</t>
  </si>
  <si>
    <r>
      <t xml:space="preserve">Black Powder Coated Steel Skid Plate </t>
    </r>
    <r>
      <rPr>
        <i/>
        <sz val="8"/>
        <color indexed="8"/>
        <rFont val="Calibri"/>
        <family val="2"/>
        <scheme val="minor"/>
      </rPr>
      <t>(for use on 3.6 V6 engine only)</t>
    </r>
  </si>
  <si>
    <t>SK5611</t>
  </si>
  <si>
    <t>SKID PLATES</t>
  </si>
  <si>
    <t>HD Push Bumper w/ Two Whelen® Ion™ Duo™ Smoked Lens One Red/White &amp; One Blue/White Light</t>
  </si>
  <si>
    <t>PB5615HDL003</t>
  </si>
  <si>
    <t>PB5615HDL002</t>
  </si>
  <si>
    <t xml:space="preserve">HD Push Bumper w/ Two Whelen® Ion™ Duo™ Smoked Lens Red/White Lights </t>
  </si>
  <si>
    <t>PB5615HDL001</t>
  </si>
  <si>
    <t>HD Push Bumper</t>
  </si>
  <si>
    <t>PB56C15HD</t>
  </si>
  <si>
    <r>
      <t xml:space="preserve">Pair, Black ABS, Rear Door Panels </t>
    </r>
    <r>
      <rPr>
        <i/>
        <sz val="8"/>
        <rFont val="Calibri"/>
        <family val="2"/>
        <scheme val="minor"/>
      </rPr>
      <t>(for use with WB56C11 &amp; WBP56C11 only</t>
    </r>
    <r>
      <rPr>
        <sz val="8"/>
        <rFont val="Calibri"/>
        <family val="2"/>
        <scheme val="minor"/>
      </rPr>
      <t>)</t>
    </r>
  </si>
  <si>
    <t>DP56C11</t>
  </si>
  <si>
    <r>
      <t>Pair, ¼" Poly Window Bars</t>
    </r>
    <r>
      <rPr>
        <i/>
        <sz val="8"/>
        <rFont val="Calibri"/>
        <family val="2"/>
        <scheme val="minor"/>
      </rPr>
      <t xml:space="preserve"> (for use with OEM door panels only)</t>
    </r>
  </si>
  <si>
    <t>WBP56NPC11</t>
  </si>
  <si>
    <r>
      <t xml:space="preserve">Pair, ¼" Poly Window Bars </t>
    </r>
    <r>
      <rPr>
        <i/>
        <sz val="8"/>
        <rFont val="Calibri"/>
        <family val="2"/>
        <scheme val="minor"/>
      </rPr>
      <t>(for use with DP56C11 ABS Rear Door Panels only)</t>
    </r>
  </si>
  <si>
    <t>WBP56C11</t>
  </si>
  <si>
    <r>
      <t>Pair, Steel Window Bars</t>
    </r>
    <r>
      <rPr>
        <i/>
        <sz val="8"/>
        <rFont val="Calibri"/>
        <family val="2"/>
        <scheme val="minor"/>
      </rPr>
      <t xml:space="preserve"> (for use with OEM door panel only)</t>
    </r>
  </si>
  <si>
    <t>WB56NPC11</t>
  </si>
  <si>
    <r>
      <t>Pair, Steel Window Bars</t>
    </r>
    <r>
      <rPr>
        <i/>
        <sz val="8"/>
        <rFont val="Calibri"/>
        <family val="2"/>
        <scheme val="minor"/>
      </rPr>
      <t xml:space="preserve"> (for use with DP56C11 ABS Rear Door Panel only)</t>
    </r>
  </si>
  <si>
    <t>WB56C11</t>
  </si>
  <si>
    <t>REAR WINDOW BARS AND DOOR PANELS</t>
  </si>
  <si>
    <t>FP56C06</t>
  </si>
  <si>
    <r>
      <t xml:space="preserve">Charcoal Grey ABS, Contoured Seat </t>
    </r>
    <r>
      <rPr>
        <i/>
        <sz val="8"/>
        <rFont val="Calibri"/>
        <family val="2"/>
        <scheme val="minor"/>
      </rPr>
      <t>(features contoured, padded back)</t>
    </r>
  </si>
  <si>
    <t>SCS56C06</t>
  </si>
  <si>
    <r>
      <t xml:space="preserve">Charcoal Grey ABS, Standard Seat </t>
    </r>
    <r>
      <rPr>
        <i/>
        <sz val="8"/>
        <rFont val="Calibri"/>
        <family val="2"/>
        <scheme val="minor"/>
      </rPr>
      <t>(features straight back)</t>
    </r>
  </si>
  <si>
    <t>S56C06</t>
  </si>
  <si>
    <t>REAR TRANSPORT SEATS AND FLOOR PANS 2006-2024</t>
  </si>
  <si>
    <t xml:space="preserve">Charcoal Grey ABS, Floor Pan </t>
  </si>
  <si>
    <t>4OSBK5611</t>
  </si>
  <si>
    <r>
      <t xml:space="preserve">Charcoal Grey ABS, Contoured Seat </t>
    </r>
    <r>
      <rPr>
        <i/>
        <sz val="8"/>
        <rFont val="Calibri"/>
        <family val="2"/>
        <scheme val="minor"/>
      </rPr>
      <t xml:space="preserve">(features contoured, padded back) </t>
    </r>
    <r>
      <rPr>
        <sz val="8"/>
        <rFont val="Calibri"/>
        <family val="2"/>
        <scheme val="minor"/>
      </rPr>
      <t>and Outboard Seat Belts</t>
    </r>
  </si>
  <si>
    <t>SCS56C11OSB</t>
  </si>
  <si>
    <r>
      <t xml:space="preserve">Charcoal Grey ABS, Standard Seat </t>
    </r>
    <r>
      <rPr>
        <i/>
        <sz val="8"/>
        <rFont val="Calibri"/>
        <family val="2"/>
        <scheme val="minor"/>
      </rPr>
      <t xml:space="preserve">(features straight back) </t>
    </r>
    <r>
      <rPr>
        <sz val="8"/>
        <rFont val="Calibri"/>
        <family val="2"/>
        <scheme val="minor"/>
      </rPr>
      <t>and Outboard Seat Belts</t>
    </r>
  </si>
  <si>
    <t>S56C11OSB</t>
  </si>
  <si>
    <t>REAR TRANSPORT SEATS AND FLOOR PANS 2011 - 2024</t>
  </si>
  <si>
    <t>PRISONER TRANSPORT LIGHTS</t>
  </si>
  <si>
    <r>
      <t xml:space="preserve">Transfer Kit, Includes Hardware and Rigid Filler Panels </t>
    </r>
    <r>
      <rPr>
        <i/>
        <sz val="8"/>
        <color indexed="8"/>
        <rFont val="Calibri"/>
        <family val="2"/>
        <scheme val="minor"/>
      </rPr>
      <t>(Requires purchase of Side Curtain AOI Airbag On/Off Switch)</t>
    </r>
  </si>
  <si>
    <t>TK56C11</t>
  </si>
  <si>
    <t>Transfer Kit, Includes Hardware and Air Bag Compatible Filler Panels</t>
  </si>
  <si>
    <t>TK56C11A</t>
  </si>
  <si>
    <t>TRANSFER KIT</t>
  </si>
  <si>
    <t>PFW5617C11A</t>
  </si>
  <si>
    <t>PFW5616C11A</t>
  </si>
  <si>
    <t>PFW5614C11A</t>
  </si>
  <si>
    <t>PFW5613C11A</t>
  </si>
  <si>
    <t>PFW5612C11A</t>
  </si>
  <si>
    <t>PFW5605C11A</t>
  </si>
  <si>
    <t>PFW5604C11A</t>
  </si>
  <si>
    <t>PFW5602C11A</t>
  </si>
  <si>
    <t>PFW5600C11A</t>
  </si>
  <si>
    <r>
      <t>PARITITON -</t>
    </r>
    <r>
      <rPr>
        <i/>
        <sz val="8"/>
        <color rgb="FF000000"/>
        <rFont val="Calibri"/>
        <family val="2"/>
        <scheme val="minor"/>
      </rPr>
      <t xml:space="preserve"> Includes Full Width Lower Extension Panel</t>
    </r>
  </si>
  <si>
    <t>DODGE CHARGER 2011 - 2023</t>
  </si>
  <si>
    <t>PRPSP5617C11A</t>
  </si>
  <si>
    <t>PRPSP5616C11A</t>
  </si>
  <si>
    <t>PRPSP5614C11A</t>
  </si>
  <si>
    <t>PRPSP5613C11A</t>
  </si>
  <si>
    <t>PRPSP5612C11A</t>
  </si>
  <si>
    <t>PRPSP5605C11A</t>
  </si>
  <si>
    <t>PRPSP5604C11A</t>
  </si>
  <si>
    <t>PRPSP5602C11A</t>
  </si>
  <si>
    <t>PRPSP5600C11A</t>
  </si>
  <si>
    <r>
      <t>PARTITION - SPACE SAVER -</t>
    </r>
    <r>
      <rPr>
        <i/>
        <sz val="8"/>
        <color rgb="FF000000"/>
        <rFont val="Calibri"/>
        <family val="2"/>
        <scheme val="minor"/>
      </rPr>
      <t xml:space="preserve"> Includes Recessed Panel and Lower Extension Panels</t>
    </r>
  </si>
  <si>
    <t xml:space="preserve">½ Slider Poly Window with Expanded Metal Insert </t>
  </si>
  <si>
    <t>PSSP5617C11A</t>
  </si>
  <si>
    <t>PSSP5616C11A</t>
  </si>
  <si>
    <t>PSSP5614C11A</t>
  </si>
  <si>
    <t>PSSP5613C11A</t>
  </si>
  <si>
    <t>PSSP5612C11A</t>
  </si>
  <si>
    <t>PSSP5605C11A</t>
  </si>
  <si>
    <t>PSSP5604C11A</t>
  </si>
  <si>
    <t xml:space="preserve">Stationary Poly Window </t>
  </si>
  <si>
    <t>PSSP5602C11A</t>
  </si>
  <si>
    <t xml:space="preserve">Passenger ½ Sliding Poly Window </t>
  </si>
  <si>
    <t>PSSP5600C11A</t>
  </si>
  <si>
    <r>
      <t>PARTITION - SPACE SAVER PLUS -</t>
    </r>
    <r>
      <rPr>
        <i/>
        <sz val="8"/>
        <color rgb="FF000000"/>
        <rFont val="Calibri"/>
        <family val="2"/>
        <scheme val="minor"/>
      </rPr>
      <t xml:space="preserve"> Includes Recessed Panel and Lower Extension Panels</t>
    </r>
  </si>
  <si>
    <t>PVSSP5617C11A</t>
  </si>
  <si>
    <t>PVSSP5616C11A</t>
  </si>
  <si>
    <t xml:space="preserve">Poly Center Slider Window with Expanded Metal Insert </t>
  </si>
  <si>
    <t>PVSSP5614C11A</t>
  </si>
  <si>
    <t>PVSSP5613C11A</t>
  </si>
  <si>
    <t>PVSSP5612C11A</t>
  </si>
  <si>
    <t>PVSSP5605C11A</t>
  </si>
  <si>
    <t>PVSSP5604C11A</t>
  </si>
  <si>
    <t>PVSSP5602C11A</t>
  </si>
  <si>
    <t>PVSSP5600C11A</t>
  </si>
  <si>
    <r>
      <t>PARTITION - SPACE SAVER PLUS W/ VIPER SHIED -</t>
    </r>
    <r>
      <rPr>
        <i/>
        <sz val="8"/>
        <rFont val="Calibri"/>
        <family val="2"/>
        <scheme val="minor"/>
      </rPr>
      <t xml:space="preserve"> Includes Recessed Panel and Lower Extension Panels</t>
    </r>
  </si>
  <si>
    <r>
      <t xml:space="preserve">Dual Compartments, Pro-Cell, Full Partition </t>
    </r>
    <r>
      <rPr>
        <i/>
        <sz val="8"/>
        <rFont val="Calibri"/>
        <family val="2"/>
        <scheme val="minor"/>
      </rPr>
      <t>(Includes Recessed Panel)</t>
    </r>
  </si>
  <si>
    <t>P1826C11A</t>
  </si>
  <si>
    <t>Single Compartment, Pro-Cell, ½ Partition with full roll bar</t>
  </si>
  <si>
    <t>P1500C11A</t>
  </si>
  <si>
    <t>Single Compartment, Pro-Cell, ½ Partition</t>
  </si>
  <si>
    <t>P1000C11A</t>
  </si>
  <si>
    <r>
      <t xml:space="preserve">Dual Compartments, Pro-Cell, Full Partition </t>
    </r>
    <r>
      <rPr>
        <i/>
        <sz val="8"/>
        <color indexed="8"/>
        <rFont val="Calibri"/>
        <family val="2"/>
        <scheme val="minor"/>
      </rPr>
      <t xml:space="preserve">(Includes Recessed Panel) </t>
    </r>
    <r>
      <rPr>
        <sz val="8"/>
        <color indexed="8"/>
        <rFont val="Calibri"/>
        <family val="2"/>
        <scheme val="minor"/>
      </rPr>
      <t>and Outboard Seat Belts</t>
    </r>
  </si>
  <si>
    <t>P1826C11AOSB</t>
  </si>
  <si>
    <t>Single Compartment, Pro-Cell, ½ Partition with full roll bar and Passenger Side Only Outboard Seat Belts</t>
  </si>
  <si>
    <t>P1500C11AOSB</t>
  </si>
  <si>
    <t>Single Compartment, Pro-Cell, ½ Partition and Passenger Side Only Outboard Seat Belts</t>
  </si>
  <si>
    <t>P1000C11AOSB</t>
  </si>
  <si>
    <t>Poly Center Divider, &amp; Optional Outboard Seat Belts</t>
  </si>
  <si>
    <t>Includes: ½ or Full Partition, Transport Seat, Floor Pan, Pair Door Panels, Pair Window Bars, Lower Extension Panel(s),</t>
  </si>
  <si>
    <t>PRO-CELL PRISONER TRANSPORT SYSTEM - 2011-2014</t>
  </si>
  <si>
    <t>P1826C15A</t>
  </si>
  <si>
    <t>P1500C15A</t>
  </si>
  <si>
    <t>P1000C15A</t>
  </si>
  <si>
    <r>
      <t xml:space="preserve">Dual Compartments, Pro-Cell, Full Partition </t>
    </r>
    <r>
      <rPr>
        <i/>
        <sz val="8"/>
        <rFont val="Calibri"/>
        <family val="2"/>
        <scheme val="minor"/>
      </rPr>
      <t xml:space="preserve">(Includes Recessed Panel) </t>
    </r>
    <r>
      <rPr>
        <sz val="8"/>
        <rFont val="Calibri"/>
        <family val="2"/>
        <scheme val="minor"/>
      </rPr>
      <t>and Outboard Seat Belts</t>
    </r>
  </si>
  <si>
    <t>P1826C15AOSB</t>
  </si>
  <si>
    <t>P1500C15AOSB</t>
  </si>
  <si>
    <t>P1000C15AOSB</t>
  </si>
  <si>
    <t>PRO-CELL PRISIONER TRANSPORT SYSTEM - 2015-2022</t>
  </si>
  <si>
    <t>PVS1826C15AOSB</t>
  </si>
  <si>
    <t>Poly Center Divider, VIPER™ Shield, Door Panels, and Outboard Seat Belts</t>
  </si>
  <si>
    <t>PRO-CELL PRISONER TRANSPORT SYSTEM W/ VIPER SHIELD - 2015-2022</t>
  </si>
  <si>
    <t>Vertical Pro-cell Mount Dual Weapon Tri-Lock Gun Rack w/ Vending Key</t>
  </si>
  <si>
    <t>GPC5124D-V</t>
  </si>
  <si>
    <t>Vertical Pro-cell Mount Dual Weapon Tri-Lock Gun Rack w/ Straight Key</t>
  </si>
  <si>
    <t>GPC5124D-K</t>
  </si>
  <si>
    <t>Vertical Pro-cell Mount Dual Weapon Tri-Lock Gun Rack w/ Handcuff Key</t>
  </si>
  <si>
    <t>GPC5124D-H</t>
  </si>
  <si>
    <t>Vertical Pro-cell Mount Single Weapon Tri-Lock Gun Rack w/ Vending Key</t>
  </si>
  <si>
    <t>GPC5124S-V</t>
  </si>
  <si>
    <t>Vertical Pro-cell Mount Single Weapon Tri-Lock Gun Rack w/ Straight Key</t>
  </si>
  <si>
    <t>GPC5124S-K</t>
  </si>
  <si>
    <t>Vertical Pro-cell Mount Single Weapon Tri-Lock Gun Rack w/ Handcuff Key</t>
  </si>
  <si>
    <t>GPC5124S-H</t>
  </si>
  <si>
    <t xml:space="preserve">GUN RACK - Tri-Lock™ PRO-CELL (P1000) MOUNT </t>
  </si>
  <si>
    <t>Vertical Partition Mount Dual Weapon Tri-Lock Gun Rack w/ Vending Key</t>
  </si>
  <si>
    <t>Vertical Partition Mount Dual Weapon Tri-Lock Gun Rack w/ Straight Key</t>
  </si>
  <si>
    <t>Vertical Partition Mount Dual Weapon Tri-Lock Gun Rack w/ Handcuff Key</t>
  </si>
  <si>
    <t>Vertical Partition Mount Single Weapon Tri-Lock Gun Rack w/ Vending Key</t>
  </si>
  <si>
    <t>Vertical Partition Mount Single Weapon Tri-Lock Gun Rack w/ Straight Key</t>
  </si>
  <si>
    <t>Vertical Partition Mount Single Weapon Tri-Lock Gun Rack w/ Handcuff Key</t>
  </si>
  <si>
    <r>
      <t>GUN RACK - Tri-Lock™ VERTICAL PARTITION MOUNT</t>
    </r>
    <r>
      <rPr>
        <b/>
        <i/>
        <sz val="8"/>
        <rFont val="Calibri"/>
        <family val="2"/>
      </rPr>
      <t xml:space="preserve"> </t>
    </r>
  </si>
  <si>
    <t>Barrier EVB 24 Poly Window</t>
  </si>
  <si>
    <t>B5102EVB24</t>
  </si>
  <si>
    <t>HD Push Bumper w/ Four Whelen® Ion™ Duo™ Smoked Lens Two Red/White &amp; Two Blue/White Lights</t>
  </si>
  <si>
    <t>PB5124HDL006</t>
  </si>
  <si>
    <t>HD Push Bumper w/ Four Whelen® Ion™ Duo™ Smoked Lens Blue/White Lights</t>
  </si>
  <si>
    <t>PB5124HDL005</t>
  </si>
  <si>
    <t>PB5124HDL004</t>
  </si>
  <si>
    <t>PB5124HDL003</t>
  </si>
  <si>
    <t>PB5124HDL002</t>
  </si>
  <si>
    <t>PB5124HDL001</t>
  </si>
  <si>
    <t>HD Push Bumper EVB 24</t>
  </si>
  <si>
    <t>PB51EVB24</t>
  </si>
  <si>
    <r>
      <t xml:space="preserve">HD PUSH BUMPERS - </t>
    </r>
    <r>
      <rPr>
        <i/>
        <sz val="8"/>
        <rFont val="Calibri"/>
        <family val="2"/>
      </rPr>
      <t>Includes wire covers</t>
    </r>
  </si>
  <si>
    <t>Door Panel EVB 24</t>
  </si>
  <si>
    <t>DP51EVB24</t>
  </si>
  <si>
    <t>Window Bar Poly ABS EVB 24</t>
  </si>
  <si>
    <t>WBP51EVB24</t>
  </si>
  <si>
    <t>PRPSP5117EVB24A</t>
  </si>
  <si>
    <t>PRPSP5116EVB24A</t>
  </si>
  <si>
    <t>PRPSP5114EVB24A</t>
  </si>
  <si>
    <t>PRPSP5113EVB24A</t>
  </si>
  <si>
    <t>PRPSP5112EVB24A</t>
  </si>
  <si>
    <t>PRPSP5105EVB24A</t>
  </si>
  <si>
    <t>PRPSP5104EVB24A</t>
  </si>
  <si>
    <t>PRPSP5102EVB24A</t>
  </si>
  <si>
    <t>PRPSP5100EVB24A</t>
  </si>
  <si>
    <r>
      <t>PARTITION - SPACE SAVER -</t>
    </r>
    <r>
      <rPr>
        <i/>
        <sz val="8"/>
        <rFont val="Calibri"/>
        <family val="2"/>
      </rPr>
      <t xml:space="preserve"> Includes Recessed Panel and Lower Extension Panels</t>
    </r>
  </si>
  <si>
    <t>P1000EVB24A</t>
  </si>
  <si>
    <t>Includes: 1/2 Partition, Lower Extension Panel, Poly Center Divider, Pair Poly Window Bars, Door Panels, &amp; Poly Window Cargo Barrier</t>
  </si>
  <si>
    <t>PRO-CELL PRISONER TRANSPORT SYSTEMS</t>
  </si>
  <si>
    <t>CHEVY BLAZER EV PPV 2024 - CURRENT</t>
  </si>
  <si>
    <r>
      <t xml:space="preserve">7 Gauge Steel Wire, Cargo Barrier with Filler Panels </t>
    </r>
    <r>
      <rPr>
        <i/>
        <sz val="8"/>
        <rFont val="Calibri"/>
        <family val="2"/>
        <scheme val="minor"/>
      </rPr>
      <t>(for use w/ side curtain airbags in Police Package only)</t>
    </r>
  </si>
  <si>
    <t>B5705S15</t>
  </si>
  <si>
    <r>
      <t xml:space="preserve">¼" Poly, Cargo Barrier with Filler Panels </t>
    </r>
    <r>
      <rPr>
        <i/>
        <sz val="8"/>
        <color rgb="FF000000"/>
        <rFont val="Calibri"/>
        <family val="2"/>
        <scheme val="minor"/>
      </rPr>
      <t>(for use w/ side curtain airbags in Police Package only)</t>
    </r>
  </si>
  <si>
    <t>B5702S15</t>
  </si>
  <si>
    <t>BDP57T15P</t>
  </si>
  <si>
    <t>BDP57T15D</t>
  </si>
  <si>
    <t>RWG57S15A</t>
  </si>
  <si>
    <t>PSSP5717T15A</t>
  </si>
  <si>
    <t>PSSP5716T15A</t>
  </si>
  <si>
    <t>PSSP5714T15A</t>
  </si>
  <si>
    <t>PSSP5713T15A</t>
  </si>
  <si>
    <t>PSSP5712T15A</t>
  </si>
  <si>
    <t>PSSP5705T15A</t>
  </si>
  <si>
    <t>PSSP5704T15A</t>
  </si>
  <si>
    <t>PSSP5702T15A</t>
  </si>
  <si>
    <t>PSSP5700T15A</t>
  </si>
  <si>
    <t>PVSSP5717T15A</t>
  </si>
  <si>
    <t>PVSSP5716T15A</t>
  </si>
  <si>
    <t>PVSSP5714T15A</t>
  </si>
  <si>
    <t>PVSSP5713T15A</t>
  </si>
  <si>
    <t>PVSSP5712T15A</t>
  </si>
  <si>
    <t>PVSSP5705T15A</t>
  </si>
  <si>
    <t>PVSSP5704T15A</t>
  </si>
  <si>
    <t>PVSSP5702T15A</t>
  </si>
  <si>
    <t>PVSSP5700T15A</t>
  </si>
  <si>
    <r>
      <t>PARTITION - SPACE SAVER PLUS W/ VIPER SHIELD -</t>
    </r>
    <r>
      <rPr>
        <i/>
        <sz val="8"/>
        <rFont val="Calibri"/>
        <family val="2"/>
        <scheme val="minor"/>
      </rPr>
      <t xml:space="preserve"> Includes Recessed Panel and Lower Extension Panels</t>
    </r>
  </si>
  <si>
    <t>CHEVY SUBURBAN 2015 - 2020</t>
  </si>
  <si>
    <t>GPC5419D-V</t>
  </si>
  <si>
    <t>GPC5419D-K</t>
  </si>
  <si>
    <t>GPC5419D-H</t>
  </si>
  <si>
    <t>GPC5419S-V</t>
  </si>
  <si>
    <t>GPC5419S-K</t>
  </si>
  <si>
    <t>GPC5419S-H</t>
  </si>
  <si>
    <t>GUN RACK - Tri-Lock™ PRO-CELL (P1000) MOUNT</t>
  </si>
  <si>
    <t>GVM5419D-V</t>
  </si>
  <si>
    <t>GVM5419D-K</t>
  </si>
  <si>
    <t>GVM5419D-H</t>
  </si>
  <si>
    <t>GVM5419S-V</t>
  </si>
  <si>
    <t>GVM5419S-K</t>
  </si>
  <si>
    <t>GVM5419S-H</t>
  </si>
  <si>
    <t>GUN RACK - Tri-Lock™ SELF-SUPPORTING MOUNT</t>
  </si>
  <si>
    <t>GUN RACK - Tri-Lock™ VERTIACL PARTITION MOUNT</t>
  </si>
  <si>
    <t>PB5419HDL006</t>
  </si>
  <si>
    <t>PB5419HDL005</t>
  </si>
  <si>
    <t>PB5419HDL004</t>
  </si>
  <si>
    <t>PB5419HDL003</t>
  </si>
  <si>
    <t>PB5419HDL002</t>
  </si>
  <si>
    <t>PB5419HDL001</t>
  </si>
  <si>
    <t>PB54SIL19HD</t>
  </si>
  <si>
    <t>Single Back Window Guard, Steel Frame with Poly Window</t>
  </si>
  <si>
    <t>RWG54SIL19</t>
  </si>
  <si>
    <t>WB54NPSIL19</t>
  </si>
  <si>
    <t>PRPSP5417SIL19A</t>
  </si>
  <si>
    <t>PRPSP5416SIL19A</t>
  </si>
  <si>
    <t>PRPSP5414SIL19A</t>
  </si>
  <si>
    <t>PRPSP5413SIL19A</t>
  </si>
  <si>
    <t>PRPSP5412SIL19A</t>
  </si>
  <si>
    <t>PRPSP5405SIL19A</t>
  </si>
  <si>
    <t>PRPSP5404SIL19A</t>
  </si>
  <si>
    <t>PRPSP5402SIL19A</t>
  </si>
  <si>
    <t>PRPSP5400SIL19A</t>
  </si>
  <si>
    <r>
      <t xml:space="preserve">PARTITION - SPACE SAVER - </t>
    </r>
    <r>
      <rPr>
        <i/>
        <sz val="8"/>
        <rFont val="Calibri"/>
        <family val="2"/>
        <scheme val="minor"/>
      </rPr>
      <t>Includes: Recessed Panel and Lower Extension Panels</t>
    </r>
  </si>
  <si>
    <r>
      <t xml:space="preserve">Single Compartment, Pro-Cell, ½ Partition </t>
    </r>
    <r>
      <rPr>
        <i/>
        <sz val="8"/>
        <rFont val="Calibri"/>
        <family val="2"/>
        <scheme val="minor"/>
      </rPr>
      <t>(OEM Second Row Seat)</t>
    </r>
  </si>
  <si>
    <t>P1000SIL19A</t>
  </si>
  <si>
    <t>Includes: ½ Partition, Pair Steel Window Bars, Lower Extension Panel, Poly Center Divider, &amp; Poly Rear Window Guard</t>
  </si>
  <si>
    <t>CHEVY SILVERADO SSV 2019 - CURRENT</t>
  </si>
  <si>
    <t>GPC5715D-V</t>
  </si>
  <si>
    <t>GPC5715D-K</t>
  </si>
  <si>
    <t>GPC5715D-H</t>
  </si>
  <si>
    <t>GPC5715S-V</t>
  </si>
  <si>
    <t>GPC5715S-K</t>
  </si>
  <si>
    <t>GPC5715S-H</t>
  </si>
  <si>
    <r>
      <t>Steel Cargo Security Cover</t>
    </r>
    <r>
      <rPr>
        <i/>
        <sz val="8"/>
        <color rgb="FF000000"/>
        <rFont val="Calibri"/>
        <family val="2"/>
        <scheme val="minor"/>
      </rPr>
      <t xml:space="preserve"> (for use w/o a cargo barrier, includes lower panel enclosures)</t>
    </r>
  </si>
  <si>
    <t>CSC57T15S</t>
  </si>
  <si>
    <r>
      <t>Steel Cargo Security Cover</t>
    </r>
    <r>
      <rPr>
        <i/>
        <sz val="8"/>
        <rFont val="Calibri"/>
        <family val="2"/>
        <scheme val="minor"/>
      </rPr>
      <t xml:space="preserve"> (for use w/ Pro-gard cargo barrier)</t>
    </r>
  </si>
  <si>
    <t>CSC57T15</t>
  </si>
  <si>
    <t>CARGO SECURITY COVERS</t>
  </si>
  <si>
    <t>B5705T15</t>
  </si>
  <si>
    <r>
      <t>¼" Poly, Cargo Barrier with Filler Panels</t>
    </r>
    <r>
      <rPr>
        <i/>
        <sz val="8"/>
        <color rgb="FF000000"/>
        <rFont val="Calibri"/>
        <family val="2"/>
        <scheme val="minor"/>
      </rPr>
      <t xml:space="preserve"> (for use w/ side curtain airbags in Police Package only)</t>
    </r>
  </si>
  <si>
    <t>B5702T15</t>
  </si>
  <si>
    <t>RWG57T15A</t>
  </si>
  <si>
    <r>
      <t xml:space="preserve">Pair, Black ABS, Rear Door Panels </t>
    </r>
    <r>
      <rPr>
        <i/>
        <sz val="8"/>
        <color theme="1"/>
        <rFont val="Calibri"/>
        <family val="2"/>
        <scheme val="minor"/>
      </rPr>
      <t>(for use with WB57T15 &amp; WBP57T15 only)</t>
    </r>
  </si>
  <si>
    <t>DP57T15</t>
  </si>
  <si>
    <r>
      <t xml:space="preserve">Pair, ¼" Poly Window Bars </t>
    </r>
    <r>
      <rPr>
        <i/>
        <sz val="8"/>
        <color theme="1"/>
        <rFont val="Calibri"/>
        <family val="2"/>
        <scheme val="minor"/>
      </rPr>
      <t>(for use with OEM Door Panels only)</t>
    </r>
  </si>
  <si>
    <t>WBP57NPT15</t>
  </si>
  <si>
    <r>
      <t xml:space="preserve">Pair, ¼" Poly Window Bars </t>
    </r>
    <r>
      <rPr>
        <i/>
        <sz val="8"/>
        <color theme="1"/>
        <rFont val="Calibri"/>
        <family val="2"/>
        <scheme val="minor"/>
      </rPr>
      <t>(for use with DP57T15 ABS Rear Door Panels only)</t>
    </r>
  </si>
  <si>
    <t>WBP57T15</t>
  </si>
  <si>
    <r>
      <t>Pair, Steel Window Bars (</t>
    </r>
    <r>
      <rPr>
        <i/>
        <sz val="8"/>
        <color theme="1"/>
        <rFont val="Calibri"/>
        <family val="2"/>
        <scheme val="minor"/>
      </rPr>
      <t>for use with OEM Door Panels only</t>
    </r>
    <r>
      <rPr>
        <sz val="8"/>
        <color theme="1"/>
        <rFont val="Calibri"/>
        <family val="2"/>
        <scheme val="minor"/>
      </rPr>
      <t>)</t>
    </r>
  </si>
  <si>
    <t>WB57NPT15</t>
  </si>
  <si>
    <r>
      <t>Pair, Steel Window Bars (</t>
    </r>
    <r>
      <rPr>
        <i/>
        <sz val="8"/>
        <color theme="1"/>
        <rFont val="Calibri"/>
        <family val="2"/>
        <scheme val="minor"/>
      </rPr>
      <t>for use with DP57T15 ABS Rear Door Panels only</t>
    </r>
    <r>
      <rPr>
        <sz val="8"/>
        <color theme="1"/>
        <rFont val="Calibri"/>
        <family val="2"/>
        <scheme val="minor"/>
      </rPr>
      <t>)</t>
    </r>
  </si>
  <si>
    <t>WB57T15</t>
  </si>
  <si>
    <r>
      <t xml:space="preserve">Charcoal Grey ABS, Standard Transport Seat </t>
    </r>
    <r>
      <rPr>
        <i/>
        <sz val="8"/>
        <rFont val="Calibri"/>
        <family val="2"/>
        <scheme val="minor"/>
      </rPr>
      <t>(straight back)</t>
    </r>
    <r>
      <rPr>
        <sz val="8"/>
        <rFont val="Calibri"/>
        <family val="2"/>
        <scheme val="minor"/>
      </rPr>
      <t xml:space="preserve"> w/ 7 Ga. Steel Screen Window Cargo Barrier &amp; Seat Mount</t>
    </r>
  </si>
  <si>
    <t>S5705T15</t>
  </si>
  <si>
    <r>
      <t xml:space="preserve">Charcoal Grey ABS, Standard Transport Seat </t>
    </r>
    <r>
      <rPr>
        <i/>
        <sz val="8"/>
        <rFont val="Calibri"/>
        <family val="2"/>
        <scheme val="minor"/>
      </rPr>
      <t>(straight back)</t>
    </r>
    <r>
      <rPr>
        <sz val="8"/>
        <rFont val="Calibri"/>
        <family val="2"/>
        <scheme val="minor"/>
      </rPr>
      <t xml:space="preserve"> w/ ¼" Poly. Window Cargo Barrier &amp; Seat Mount. Kit </t>
    </r>
  </si>
  <si>
    <t>S5702T15</t>
  </si>
  <si>
    <t>Outboard Seat Belt Retro-Fit Kit</t>
  </si>
  <si>
    <t>4OSBK5715</t>
  </si>
  <si>
    <t>Charcoal Grey ABS, Standard Transport Seat w/ 7 Ga. Steel Screen Window Cargo Barrier, and Outboard Seat Belts</t>
  </si>
  <si>
    <t>S5705T15OSB</t>
  </si>
  <si>
    <t xml:space="preserve">Charcoal Grey ABS, Standard Transport Seat w/ 1/4" Poly Window Cargo Barrier, and Outboard Seat Belts </t>
  </si>
  <si>
    <t>S5702T15OSB</t>
  </si>
  <si>
    <t>REAR TRANSPORT SEATS</t>
  </si>
  <si>
    <t>CHEVY TAHOE PPV 2015 - 2020</t>
  </si>
  <si>
    <t>PFW5717T15A</t>
  </si>
  <si>
    <t>PFW5716T15A</t>
  </si>
  <si>
    <t>PFW5714T15A</t>
  </si>
  <si>
    <t>PFW5713T15A</t>
  </si>
  <si>
    <t>PFW5712T15A</t>
  </si>
  <si>
    <t>PFW5705T15A</t>
  </si>
  <si>
    <t>PFW5704T15A</t>
  </si>
  <si>
    <t>PFW5702T15A</t>
  </si>
  <si>
    <t>PFW5700T15A</t>
  </si>
  <si>
    <r>
      <t xml:space="preserve">PARTITION - </t>
    </r>
    <r>
      <rPr>
        <i/>
        <sz val="8"/>
        <color rgb="FF000000"/>
        <rFont val="Calibri"/>
        <family val="2"/>
        <scheme val="minor"/>
      </rPr>
      <t>Includes Full Width Lower Extension Panel</t>
    </r>
  </si>
  <si>
    <t>PRPSP5717T15A</t>
  </si>
  <si>
    <t>PRPSP5716T15A</t>
  </si>
  <si>
    <t>PRPSP5714T15A</t>
  </si>
  <si>
    <t>PRPSP5713T15A</t>
  </si>
  <si>
    <t>PRPSP5712T15A</t>
  </si>
  <si>
    <t>PRPSP5705T15A</t>
  </si>
  <si>
    <t>PRPSP5704T15A</t>
  </si>
  <si>
    <t>PRPSP5702T15A</t>
  </si>
  <si>
    <t>PRPSP5700T15A</t>
  </si>
  <si>
    <r>
      <t>PARTITION - SPACE SAVER PLUS -</t>
    </r>
    <r>
      <rPr>
        <i/>
        <sz val="8"/>
        <color rgb="FF000000"/>
        <rFont val="Calibri"/>
        <family val="2"/>
        <scheme val="minor"/>
      </rPr>
      <t xml:space="preserve"> Includes Recessed Panels and Lower Extension Panels</t>
    </r>
  </si>
  <si>
    <r>
      <t>Dual Compartments, Pro-Cell, Full Partition (</t>
    </r>
    <r>
      <rPr>
        <i/>
        <sz val="8"/>
        <color theme="1"/>
        <rFont val="Calibri"/>
        <family val="2"/>
        <scheme val="minor"/>
      </rPr>
      <t>Includes Recessed Panel)</t>
    </r>
  </si>
  <si>
    <t>P1826T15A</t>
  </si>
  <si>
    <t>P1000T15A</t>
  </si>
  <si>
    <r>
      <t>Dual Compartments, Pro-Cell, Full Partition (</t>
    </r>
    <r>
      <rPr>
        <i/>
        <sz val="8"/>
        <color theme="1"/>
        <rFont val="Calibri"/>
        <family val="2"/>
        <scheme val="minor"/>
      </rPr>
      <t>Includes Recessed Panel)</t>
    </r>
    <r>
      <rPr>
        <sz val="8"/>
        <color theme="1"/>
        <rFont val="Calibri"/>
        <family val="2"/>
        <scheme val="minor"/>
      </rPr>
      <t xml:space="preserve"> w/ Outboard Seat Belts</t>
    </r>
  </si>
  <si>
    <t>P1826T15AOSB</t>
  </si>
  <si>
    <t>Single Compartment, Pro-Cell, ½ Partition, w/ Passenger Side Only Outboard Seat Belts</t>
  </si>
  <si>
    <t>P1000T15AOSB</t>
  </si>
  <si>
    <t xml:space="preserve"> Poly Window Cargo Barrier, &amp; Optional Outboard Seat Belts</t>
  </si>
  <si>
    <t>Includes: ½ or Full Partition, Transport Seat, Pair Door Panels, Pair Window Bars, Lower Extension Panel(s), Poly Center Divider,</t>
  </si>
  <si>
    <t>Pro-Cell Prisoner Transport Systems w/ Outboard Seat Belts</t>
  </si>
  <si>
    <t>Dual Compartments, Pro-Cell, Full Partition W/ Outboard Seat Belts</t>
  </si>
  <si>
    <t>PVS1826T15AOSB</t>
  </si>
  <si>
    <t>Poly Window Cargo Barrier, VIPER™ Shield, Door Panels, and Outboard Seat Belts</t>
  </si>
  <si>
    <t>Includes: Full Partition, Transport Seat, Pair Window Bars, Recessed Panel, Lower Extension Panels, Poly Center Divider,</t>
  </si>
  <si>
    <t>GVM5721D-V</t>
  </si>
  <si>
    <t>GVM5721D-K</t>
  </si>
  <si>
    <t>GVM5721D-H</t>
  </si>
  <si>
    <t>GVM5721S-V</t>
  </si>
  <si>
    <t>GVM5721S-K</t>
  </si>
  <si>
    <t>GVM5721S-H</t>
  </si>
  <si>
    <r>
      <t>GUN RACK - Tri-Lock</t>
    </r>
    <r>
      <rPr>
        <b/>
        <sz val="8"/>
        <rFont val="Calibri"/>
        <family val="2"/>
      </rPr>
      <t>™ SELF-SUPPORTING MOUNT</t>
    </r>
  </si>
  <si>
    <r>
      <t>GUN RACK - Tri-Lock</t>
    </r>
    <r>
      <rPr>
        <b/>
        <sz val="8"/>
        <rFont val="Calibri"/>
        <family val="2"/>
      </rPr>
      <t>™ VERTICAL PARTITION MOUNT</t>
    </r>
  </si>
  <si>
    <t>Cargo Storage Drawer - Mounting Kit - For Use with Cargo Storage Floor</t>
  </si>
  <si>
    <t>4CSD57T21</t>
  </si>
  <si>
    <t>Cargo Storage Drawer - Mounting Kit - Free Standing Mount</t>
  </si>
  <si>
    <t>4CSD57T21FS</t>
  </si>
  <si>
    <t>Cargo Storage Drawer - Small</t>
  </si>
  <si>
    <t>Cargo Storage Drawer - Large - Electronic Lock</t>
  </si>
  <si>
    <t>CSDLG003</t>
  </si>
  <si>
    <t>Cargo Storage Drawer - Large - Manual Key T-Handle Lock</t>
  </si>
  <si>
    <t>CSDLG002</t>
  </si>
  <si>
    <t>Cargo Storage Drawer - Large - No lock</t>
  </si>
  <si>
    <t>CSDLG001</t>
  </si>
  <si>
    <t>CARGO STORAGE DRAWER - *Must order Mounting Kit with Drawer selection  (All drawers come with rubber mat)</t>
  </si>
  <si>
    <t>Cargo Storage Floor (3 compartments)</t>
  </si>
  <si>
    <t>CSF57T21</t>
  </si>
  <si>
    <t>*New* Cargo Storage Floor (2 compartments)</t>
  </si>
  <si>
    <t>CSF57T23</t>
  </si>
  <si>
    <t>CARGO STORAGE FLOOR</t>
  </si>
  <si>
    <r>
      <t>Steel Cargo Security Cover</t>
    </r>
    <r>
      <rPr>
        <i/>
        <sz val="8"/>
        <color rgb="FF000000"/>
        <rFont val="Calibri"/>
        <family val="2"/>
        <scheme val="minor"/>
      </rPr>
      <t xml:space="preserve"> (for use w/o a cargo barrier, includes lower panel enclosures in Police Package only)</t>
    </r>
  </si>
  <si>
    <t>CSC57T21S</t>
  </si>
  <si>
    <r>
      <t>Steel Cargo Security Cover</t>
    </r>
    <r>
      <rPr>
        <i/>
        <sz val="8"/>
        <rFont val="Calibri"/>
        <family val="2"/>
        <scheme val="minor"/>
      </rPr>
      <t xml:space="preserve"> (for use w/ Pro-gard cargo barrier in Police Package only)</t>
    </r>
  </si>
  <si>
    <t>CSC57T21</t>
  </si>
  <si>
    <t>CHEVY TAHOE PPV/SSV 2021 - CURRENT</t>
  </si>
  <si>
    <r>
      <t xml:space="preserve">7 Gauge Steel Wire, Cargo Barrier with Filler Panels </t>
    </r>
    <r>
      <rPr>
        <i/>
        <sz val="8"/>
        <rFont val="Calibri"/>
        <family val="2"/>
        <scheme val="minor"/>
      </rPr>
      <t>(for use in Police Package only)</t>
    </r>
  </si>
  <si>
    <t>B5705T21</t>
  </si>
  <si>
    <r>
      <t>¼" Poly, Cargo Barrier with Filler Panels</t>
    </r>
    <r>
      <rPr>
        <i/>
        <sz val="8"/>
        <color rgb="FF000000"/>
        <rFont val="Calibri"/>
        <family val="2"/>
        <scheme val="minor"/>
      </rPr>
      <t xml:space="preserve"> (for use  in Police Package only)</t>
    </r>
  </si>
  <si>
    <t>B5702T21</t>
  </si>
  <si>
    <r>
      <t>Command Grille</t>
    </r>
    <r>
      <rPr>
        <sz val="8"/>
        <rFont val="Calibri"/>
        <family val="2"/>
      </rPr>
      <t>®</t>
    </r>
    <r>
      <rPr>
        <sz val="8"/>
        <rFont val="Calibri"/>
        <family val="2"/>
        <scheme val="minor"/>
      </rPr>
      <t xml:space="preserve"> - w/ No lights - Cutouts fit SoundOff mPower lights</t>
    </r>
  </si>
  <si>
    <t>CG57T21SNL</t>
  </si>
  <si>
    <r>
      <t>Command Grille</t>
    </r>
    <r>
      <rPr>
        <sz val="8"/>
        <rFont val="Calibri"/>
        <family val="2"/>
      </rPr>
      <t>®</t>
    </r>
    <r>
      <rPr>
        <sz val="8"/>
        <rFont val="Calibri"/>
        <family val="2"/>
        <scheme val="minor"/>
      </rPr>
      <t xml:space="preserve"> - w/ No lights - Cutouts fit Whelen T-Ion and Mini T-Ion</t>
    </r>
  </si>
  <si>
    <t>CG57T21WNL</t>
  </si>
  <si>
    <r>
      <t>Command Grille</t>
    </r>
    <r>
      <rPr>
        <sz val="8"/>
        <rFont val="Calibri"/>
        <family val="2"/>
      </rPr>
      <t>®</t>
    </r>
    <r>
      <rPr>
        <sz val="8"/>
        <rFont val="Calibri"/>
        <family val="2"/>
        <scheme val="minor"/>
      </rPr>
      <t xml:space="preserve"> - w/ Four Whelen T-Ion Duo Smoked Lens R/W,R/W,B/W,B/W and Two Whelen Mini T-Ions R/W,B/W</t>
    </r>
  </si>
  <si>
    <t>CG57T21W006</t>
  </si>
  <si>
    <r>
      <t>Command Grille</t>
    </r>
    <r>
      <rPr>
        <sz val="8"/>
        <rFont val="Calibri"/>
        <family val="2"/>
      </rPr>
      <t>®</t>
    </r>
    <r>
      <rPr>
        <sz val="8"/>
        <rFont val="Calibri"/>
        <family val="2"/>
        <scheme val="minor"/>
      </rPr>
      <t xml:space="preserve"> - w/ Four Whelen T-Ion Duo Smoked Lens B/W,B/W,B/W,B/W and Two Whelen Mini T-Ions B/W, B/W</t>
    </r>
  </si>
  <si>
    <t>CG57T21W005</t>
  </si>
  <si>
    <r>
      <t>Command Grille</t>
    </r>
    <r>
      <rPr>
        <sz val="8"/>
        <rFont val="Calibri"/>
        <family val="2"/>
      </rPr>
      <t>®</t>
    </r>
    <r>
      <rPr>
        <sz val="8"/>
        <rFont val="Calibri"/>
        <family val="2"/>
        <scheme val="minor"/>
      </rPr>
      <t xml:space="preserve"> - w/ Four Whelen T-Ion Duo Smoked Lens R/W,R/W,R/W,R/W and Two Whelen Mini T-Ions R/W, R/W</t>
    </r>
  </si>
  <si>
    <t>CG57T21W004</t>
  </si>
  <si>
    <r>
      <t>COMMAND GRILLE</t>
    </r>
    <r>
      <rPr>
        <b/>
        <sz val="8"/>
        <rFont val="Calibri"/>
        <family val="2"/>
      </rPr>
      <t>®</t>
    </r>
  </si>
  <si>
    <t>Fender Wrap, Pair, Steel</t>
  </si>
  <si>
    <t>4PBFW57T21</t>
  </si>
  <si>
    <t>HD PUSH BUMPER - FENDER WRAPS</t>
  </si>
  <si>
    <t>HD PB w/ Four Whelen® Ion™ Duo™ Smoked Lens 2 Red/White &amp; 2 Blue/White Lights</t>
  </si>
  <si>
    <t>PB5721HDL006</t>
  </si>
  <si>
    <t>HD PB w/ Four Whelen® Ion™ Duo™ Smoked Lens Blue/White Lights</t>
  </si>
  <si>
    <t>PB5721HDL005</t>
  </si>
  <si>
    <t>HD PB w/ Four Whelen® Ion™ Duo™ Smoked Lens Red/White Lights</t>
  </si>
  <si>
    <t>PB5721HDL004</t>
  </si>
  <si>
    <t>HD PB w/ Two Whelen® Ion™ Duo™ Smoked Lens 1 Red/White &amp; 1 Blue/White Light</t>
  </si>
  <si>
    <t>PB5721HDL003</t>
  </si>
  <si>
    <t>HD PB w/ Two Whelen® Ion™ Duo™ Smoked Lens Blue/White Lights</t>
  </si>
  <si>
    <t>PB5721HDL002</t>
  </si>
  <si>
    <t>HD PB w/ Two Whelen® Ion™ Duo™ Smoked Lens Red/White Lights</t>
  </si>
  <si>
    <t>PB5721HDL001</t>
  </si>
  <si>
    <t>PB57T21HD</t>
  </si>
  <si>
    <r>
      <t xml:space="preserve">HD PUSH BUMPERS </t>
    </r>
    <r>
      <rPr>
        <b/>
        <i/>
        <sz val="8"/>
        <rFont val="Calibri"/>
        <family val="2"/>
        <scheme val="minor"/>
      </rPr>
      <t xml:space="preserve">- </t>
    </r>
    <r>
      <rPr>
        <i/>
        <sz val="8"/>
        <rFont val="Calibri"/>
        <family val="2"/>
        <scheme val="minor"/>
      </rPr>
      <t>includes wire covers</t>
    </r>
  </si>
  <si>
    <t>BDP57T21P</t>
  </si>
  <si>
    <t>BDP57T21D</t>
  </si>
  <si>
    <t>Set of Three (rear cargo and rear sides) Window Guards, Steel, Grid Pattern, Black</t>
  </si>
  <si>
    <t>RWG57T21A</t>
  </si>
  <si>
    <r>
      <t xml:space="preserve">Pair, Black ABS, Rear Door Panels </t>
    </r>
    <r>
      <rPr>
        <i/>
        <sz val="8"/>
        <color theme="1"/>
        <rFont val="Calibri"/>
        <family val="2"/>
        <scheme val="minor"/>
      </rPr>
      <t>(for use with WB57T21 &amp; WBP57T21 only)</t>
    </r>
  </si>
  <si>
    <t>DP57T21</t>
  </si>
  <si>
    <t>WBP57NPT21</t>
  </si>
  <si>
    <r>
      <t xml:space="preserve">Pair, ¼" Poly Window Bars </t>
    </r>
    <r>
      <rPr>
        <i/>
        <sz val="8"/>
        <color theme="1"/>
        <rFont val="Calibri"/>
        <family val="2"/>
        <scheme val="minor"/>
      </rPr>
      <t>(for use with DP57T21 ABS Rear Door Panels only)</t>
    </r>
  </si>
  <si>
    <t>WBP57T21</t>
  </si>
  <si>
    <t>WB57NPT21</t>
  </si>
  <si>
    <r>
      <t>Pair, Steel Window Bars (</t>
    </r>
    <r>
      <rPr>
        <i/>
        <sz val="8"/>
        <color theme="1"/>
        <rFont val="Calibri"/>
        <family val="2"/>
        <scheme val="minor"/>
      </rPr>
      <t>for use with DP57T21 ABS Rear Door Panels only</t>
    </r>
    <r>
      <rPr>
        <sz val="8"/>
        <color theme="1"/>
        <rFont val="Calibri"/>
        <family val="2"/>
        <scheme val="minor"/>
      </rPr>
      <t>)</t>
    </r>
  </si>
  <si>
    <t>WB57T21</t>
  </si>
  <si>
    <t>REAR WINDOW BARS - DOOR PANELS</t>
  </si>
  <si>
    <t>PRISONER TRASNSPORT LIGHTING</t>
  </si>
  <si>
    <r>
      <t xml:space="preserve">Charcoal Grey ABS, Standard Transport Seat </t>
    </r>
    <r>
      <rPr>
        <sz val="8"/>
        <rFont val="Calibri"/>
        <family val="2"/>
        <scheme val="minor"/>
      </rPr>
      <t>w/ 7 Ga. Steel Screen Window Cargo Barrier</t>
    </r>
  </si>
  <si>
    <t>S5705T21</t>
  </si>
  <si>
    <r>
      <t>Charcoal Grey ABS, Standard Transport Seat</t>
    </r>
    <r>
      <rPr>
        <sz val="8"/>
        <rFont val="Calibri"/>
        <family val="2"/>
        <scheme val="minor"/>
      </rPr>
      <t xml:space="preserve"> w/ ¼" Poly. Window Cargo Barrier</t>
    </r>
  </si>
  <si>
    <t>S5702T21</t>
  </si>
  <si>
    <t>OSB Retro-Fit Kit (non Retractable Outboard Seatbelts)</t>
  </si>
  <si>
    <t>4OSBK5721</t>
  </si>
  <si>
    <t>Charcoal Grey ABS, Standard Transport Seat w/ 7 Ga. Steel Screen Window Cargo Barrier, and OSB's</t>
  </si>
  <si>
    <t>S5705T21OSB</t>
  </si>
  <si>
    <t>Charcoal Grey ABS, Standard Transport Seat w/ 1/4" Poly Window Cargo Barrier, and OSB's</t>
  </si>
  <si>
    <t>S5702T21OSB</t>
  </si>
  <si>
    <t>Charcoal Grey ABS, Standard Transport Seat w/ Steel Screen Window Cargo Barrier, and Retractable Outboard Seatbelts</t>
  </si>
  <si>
    <t>S5705T21OSB-R</t>
  </si>
  <si>
    <t>Charcoal Grey ABS, Standard Transport Seat w/ Poly Window Cargo Barrier, and Retractable Outboard Seatbelts</t>
  </si>
  <si>
    <t>S5702T21OSB-R</t>
  </si>
  <si>
    <r>
      <t>REAR TRANSPORTS SEATS</t>
    </r>
    <r>
      <rPr>
        <b/>
        <i/>
        <sz val="8"/>
        <color rgb="FF000000"/>
        <rFont val="Calibri"/>
        <family val="2"/>
        <scheme val="minor"/>
      </rPr>
      <t xml:space="preserve">   *Not compatible with GM factory ATZ second row seat delete option</t>
    </r>
  </si>
  <si>
    <t>Transfer Kit - Space Saver Partition</t>
  </si>
  <si>
    <t>TKSS57T21A</t>
  </si>
  <si>
    <t xml:space="preserve">Transfer Kit - Space Saver Plus Partition </t>
  </si>
  <si>
    <t>TKSSP57T21A</t>
  </si>
  <si>
    <t>Transfer Kit - Viper Shield Partition</t>
  </si>
  <si>
    <t>TKVS57T21A</t>
  </si>
  <si>
    <r>
      <t xml:space="preserve">TRANSFER KITS - </t>
    </r>
    <r>
      <rPr>
        <i/>
        <sz val="8"/>
        <rFont val="Calibri"/>
        <family val="2"/>
        <scheme val="minor"/>
      </rPr>
      <t>Includes Mounting Hardware, Filler Panels, Recessed Panel and Lower Extension Panels</t>
    </r>
  </si>
  <si>
    <t>PFW5717T21A</t>
  </si>
  <si>
    <t>PFW5716T21A</t>
  </si>
  <si>
    <t>PFW5714T21A</t>
  </si>
  <si>
    <t>PFW5713T21A</t>
  </si>
  <si>
    <t>PFW5712T21A</t>
  </si>
  <si>
    <t>PFW5705T21A</t>
  </si>
  <si>
    <t>PFW5704T21A</t>
  </si>
  <si>
    <t>PFW5702T21A</t>
  </si>
  <si>
    <t>PFW5700T21A</t>
  </si>
  <si>
    <r>
      <t xml:space="preserve">PARTITION </t>
    </r>
    <r>
      <rPr>
        <i/>
        <sz val="8"/>
        <rFont val="Calibri"/>
        <family val="2"/>
        <scheme val="minor"/>
      </rPr>
      <t>- Includes Full Width Lower Extension Panel</t>
    </r>
  </si>
  <si>
    <t>PRPSP5717T21A</t>
  </si>
  <si>
    <t>PRPSP5716T21A</t>
  </si>
  <si>
    <t>PRPSP5714T21A</t>
  </si>
  <si>
    <t>PRPSP5713T21A</t>
  </si>
  <si>
    <t>PRPSP5712T21A</t>
  </si>
  <si>
    <t>PRPSP5705T21A</t>
  </si>
  <si>
    <t>PRPSP5704T21A</t>
  </si>
  <si>
    <t>PRPSP5702T21A</t>
  </si>
  <si>
    <t>PRPSP5700T21A</t>
  </si>
  <si>
    <r>
      <t>PARTITION - SPACE SAVER</t>
    </r>
    <r>
      <rPr>
        <i/>
        <sz val="8"/>
        <rFont val="Calibri"/>
        <family val="2"/>
        <scheme val="minor"/>
      </rPr>
      <t xml:space="preserve"> - Includes Recessed Panel and Lower Extension Panels</t>
    </r>
  </si>
  <si>
    <t>PVSSP5717T21A</t>
  </si>
  <si>
    <t>PVSSP5716T21A</t>
  </si>
  <si>
    <t>PVSSP5714T21A</t>
  </si>
  <si>
    <t>PVSSP5713T21A</t>
  </si>
  <si>
    <t>PVSSP5712T21A</t>
  </si>
  <si>
    <t>PVSSP5705T21A</t>
  </si>
  <si>
    <t>PVSSP5704T21A</t>
  </si>
  <si>
    <t>PVSSP5702T21A</t>
  </si>
  <si>
    <t>PVSSP5700T21A</t>
  </si>
  <si>
    <r>
      <t xml:space="preserve">PARTITION - SPACE SAVER PLUS W/ VIPER SHIELD - </t>
    </r>
    <r>
      <rPr>
        <i/>
        <sz val="8"/>
        <color theme="1"/>
        <rFont val="Calibri"/>
        <family val="2"/>
        <scheme val="minor"/>
      </rPr>
      <t>Includes Recessed Panel and Lower Extension Panels</t>
    </r>
  </si>
  <si>
    <t>P1826T21A</t>
  </si>
  <si>
    <t>P1000T21A</t>
  </si>
  <si>
    <r>
      <t xml:space="preserve">Dual Compartments, Pro-Cell, Full Partition </t>
    </r>
    <r>
      <rPr>
        <i/>
        <sz val="8"/>
        <rFont val="Calibri"/>
        <family val="2"/>
        <scheme val="minor"/>
      </rPr>
      <t xml:space="preserve">(Includes Recessed Panel) </t>
    </r>
    <r>
      <rPr>
        <sz val="8"/>
        <rFont val="Calibri"/>
        <family val="2"/>
        <scheme val="minor"/>
      </rPr>
      <t>w/ Outboard Seat Belts</t>
    </r>
  </si>
  <si>
    <t>P1826T21AOSB</t>
  </si>
  <si>
    <t>Single Compartment, Pro-Cell, 1/3 Partition, w/ Passenger Side Only Outboard Seat Belts</t>
  </si>
  <si>
    <t>P1300T21AOSB</t>
  </si>
  <si>
    <t>P1000T21AOSB</t>
  </si>
  <si>
    <r>
      <t xml:space="preserve">Dual Compartments, Pro-Cell, Full Partition </t>
    </r>
    <r>
      <rPr>
        <i/>
        <sz val="8"/>
        <rFont val="Calibri"/>
        <family val="2"/>
        <scheme val="minor"/>
      </rPr>
      <t xml:space="preserve">(Includes Recessed Panel) </t>
    </r>
    <r>
      <rPr>
        <sz val="8"/>
        <rFont val="Calibri"/>
        <family val="2"/>
        <scheme val="minor"/>
      </rPr>
      <t>w/ Retractable Outboard Seat Belts</t>
    </r>
  </si>
  <si>
    <t>P1826T21AOSB-R</t>
  </si>
  <si>
    <t>Single Compartment, Pro-Cell, 1/3 Partition, w/ Passenger Side Only Retractable Outboard Seat Belts</t>
  </si>
  <si>
    <t>P1300T21AOSB-R</t>
  </si>
  <si>
    <t>Single Compartment, Pro-Cell, ½ Partition, w/ Passenger Side Only Retractable Outboard Seat Belts</t>
  </si>
  <si>
    <t>P1000T21AOSB-R</t>
  </si>
  <si>
    <t>*Not compatible with GM factory ATZ second row seat delete option</t>
  </si>
  <si>
    <t>Pair Door Panels, Passenger (Passenger Door Panel only  on P1300) Poly Window Cargo Barrier, &amp; Optional Outboard Seat Belts</t>
  </si>
  <si>
    <t>Includes: 1/2,  1/3, or Full Partition, Transport Seat, Pair Window Bars, Lower Extension Panel(s), Poly Center Divider,</t>
  </si>
  <si>
    <t>Dual Compartments, Pro-Cell, Full Partition w/outboard Seat Belts and VIPER Shield</t>
  </si>
  <si>
    <t>PVS1826T21AOSB</t>
  </si>
  <si>
    <t>Dual Compartments, Pro-Cell, Full Partition w/Retractable outboard Seat Belts and VIPER Shield</t>
  </si>
  <si>
    <t>PVS1826T21AOSB-R</t>
  </si>
  <si>
    <r>
      <t xml:space="preserve">Cargo Barrier, VIPER™ Shield, Door Panels, and Outboard Seat Belts </t>
    </r>
    <r>
      <rPr>
        <b/>
        <i/>
        <sz val="8"/>
        <rFont val="Calibri"/>
        <family val="2"/>
        <scheme val="minor"/>
      </rPr>
      <t>*Not compatible with GM factory ATZ second row seat delete option</t>
    </r>
  </si>
  <si>
    <t>Includes: Full Partition, Transport Seat, Pair Window Bars, Recessed Panel, Lower Extension Panels, Poly Center Divider, Poly Window</t>
  </si>
  <si>
    <t>PRO-CELL PRISONER TRANSORT SYSTEMS W/VIPER SHIELD</t>
  </si>
  <si>
    <t>GVM5818D-V</t>
  </si>
  <si>
    <t>GVM5818D-K</t>
  </si>
  <si>
    <t>GVM5818D-H</t>
  </si>
  <si>
    <t>GVM5818S-V</t>
  </si>
  <si>
    <t>GVM5818S-K</t>
  </si>
  <si>
    <t>GVM5818S-H</t>
  </si>
  <si>
    <t>GUN RACK - Tri-Lock™ VERTICAL PARTITION MOUNT</t>
  </si>
  <si>
    <r>
      <t xml:space="preserve">Pair, Wire Channel Covers </t>
    </r>
    <r>
      <rPr>
        <i/>
        <sz val="8"/>
        <color rgb="FF000000"/>
        <rFont val="Calibri"/>
        <family val="2"/>
        <scheme val="minor"/>
      </rPr>
      <t>(Now included with HD Bumpers)</t>
    </r>
  </si>
  <si>
    <t>PBWCTHD</t>
  </si>
  <si>
    <t>PB5818HDL006</t>
  </si>
  <si>
    <t>HD Push Bumper w/ Four Whelen® Ion™ Duo™ Smoked Lens Blue/White Lights - Includes wire covers</t>
  </si>
  <si>
    <t>PB5818HDL005</t>
  </si>
  <si>
    <t>PB5818HDL004</t>
  </si>
  <si>
    <t>PB5818HDL003</t>
  </si>
  <si>
    <t>PB5818HDL002</t>
  </si>
  <si>
    <t>PB5818HDL001</t>
  </si>
  <si>
    <t>PB58EXPD18HD</t>
  </si>
  <si>
    <r>
      <t xml:space="preserve">HD PUSH BUMPERS - 2018 - 2024 </t>
    </r>
    <r>
      <rPr>
        <i/>
        <sz val="8"/>
        <rFont val="Calibri"/>
        <family val="2"/>
        <scheme val="minor"/>
      </rPr>
      <t>Includes wire covers</t>
    </r>
  </si>
  <si>
    <t>PB5825HDL006</t>
  </si>
  <si>
    <t>PB5825HDL005</t>
  </si>
  <si>
    <t>PB5825HDL004</t>
  </si>
  <si>
    <t>PB5825HDL003</t>
  </si>
  <si>
    <t>PB5825HDL002</t>
  </si>
  <si>
    <t>PB5825HDL001</t>
  </si>
  <si>
    <t>PB58EXPD25HD</t>
  </si>
  <si>
    <r>
      <t xml:space="preserve">HD PUSH BUMPERS - 2025 </t>
    </r>
    <r>
      <rPr>
        <i/>
        <sz val="8"/>
        <rFont val="Calibri"/>
        <family val="2"/>
        <scheme val="minor"/>
      </rPr>
      <t>Includes wire covers</t>
    </r>
  </si>
  <si>
    <r>
      <t xml:space="preserve">Pair, Black ABS, Rear Door Panels </t>
    </r>
    <r>
      <rPr>
        <i/>
        <sz val="8"/>
        <color theme="1"/>
        <rFont val="Calibri"/>
        <family val="2"/>
        <scheme val="minor"/>
      </rPr>
      <t>(for use with WBP58EXPD18 only)</t>
    </r>
  </si>
  <si>
    <t>DP58EXPD18</t>
  </si>
  <si>
    <r>
      <t xml:space="preserve">Pair, ¼" Poly Window Bars </t>
    </r>
    <r>
      <rPr>
        <i/>
        <sz val="8"/>
        <color theme="1"/>
        <rFont val="Calibri"/>
        <family val="2"/>
        <scheme val="minor"/>
      </rPr>
      <t>(for use with DP58EXPD18 ABS Rear Door Panels only)</t>
    </r>
  </si>
  <si>
    <t>WBP58EXPD18</t>
  </si>
  <si>
    <t>7 Gauge Steel Wire, Cargo Barrier with Filler Panels</t>
  </si>
  <si>
    <t>B5805EXPD18</t>
  </si>
  <si>
    <t>¼" Poly, Cargo Barrier with Filler Panels</t>
  </si>
  <si>
    <t>B5802EXPD18</t>
  </si>
  <si>
    <t>PRPSP5817EXPD18A</t>
  </si>
  <si>
    <t>PRPSP5816EXPD18A</t>
  </si>
  <si>
    <t>PRPSP5814EXPD18A</t>
  </si>
  <si>
    <t>PRPSP5813EXPD18A</t>
  </si>
  <si>
    <t>PRPSP5812EXPD18A</t>
  </si>
  <si>
    <t>PRPSP5805EXPD18A</t>
  </si>
  <si>
    <t>PRPSP5804EXPD18A</t>
  </si>
  <si>
    <t>PRPSP5802EXPD18A</t>
  </si>
  <si>
    <t>PRPSP5800EXPD18A</t>
  </si>
  <si>
    <r>
      <t>PARTITION - SPACE SAVER -</t>
    </r>
    <r>
      <rPr>
        <i/>
        <sz val="8"/>
        <rFont val="Calibri"/>
        <family val="2"/>
        <scheme val="minor"/>
      </rPr>
      <t xml:space="preserve"> Includes Recessed Panel and Lower Extension Panels</t>
    </r>
  </si>
  <si>
    <t>P1000EXPD18A</t>
  </si>
  <si>
    <t>Pair Door Panels, Poly Window Cargo Barrier</t>
  </si>
  <si>
    <t>Includes: 1/2 Partition, Pair Poly Window Bars, Lower Extension Panel(s), Poly Center Divider,</t>
  </si>
  <si>
    <t>FORD EXPEDITION SSV 2018 - 2025</t>
  </si>
  <si>
    <t>GPC8116D-V</t>
  </si>
  <si>
    <t>GPC8116D-K</t>
  </si>
  <si>
    <t>GPC8116D-H</t>
  </si>
  <si>
    <t>GPC8116S-V</t>
  </si>
  <si>
    <t>GPC8116S-K</t>
  </si>
  <si>
    <t>GPC8116S-H</t>
  </si>
  <si>
    <t>GVM8121D-V</t>
  </si>
  <si>
    <t>GVM8121D-K</t>
  </si>
  <si>
    <t>GVM8121D-H</t>
  </si>
  <si>
    <t>GVM8121S-V</t>
  </si>
  <si>
    <t>GVM8121S-K</t>
  </si>
  <si>
    <t>GVM8121S-H</t>
  </si>
  <si>
    <t>GUN RACK - Tri-Lock™ -  SELF-SUPPORTING MOUNT</t>
  </si>
  <si>
    <t>GUN RACK - Tri-Lock™ -  VERTICAL PARTITION MOUNT</t>
  </si>
  <si>
    <t>PB8223HDL006</t>
  </si>
  <si>
    <t>PB8223HDL005</t>
  </si>
  <si>
    <t>PB8223HDL004</t>
  </si>
  <si>
    <t>PB8223HDL003</t>
  </si>
  <si>
    <t>HD Push Bumper w/ Two Whelen® Ion™ Duo™ Smoked Lens Blue/White Lights - Includes wire covers</t>
  </si>
  <si>
    <t>PB8223HDL002</t>
  </si>
  <si>
    <t>PB8223HDL001</t>
  </si>
  <si>
    <t>PB82FT23HD</t>
  </si>
  <si>
    <r>
      <t xml:space="preserve">HD PUSH BUMPERS - </t>
    </r>
    <r>
      <rPr>
        <i/>
        <sz val="8"/>
        <rFont val="Calibri"/>
        <family val="2"/>
        <scheme val="minor"/>
      </rPr>
      <t xml:space="preserve">Includes wire covers </t>
    </r>
  </si>
  <si>
    <t>USSGOFT21</t>
  </si>
  <si>
    <t>Under Seat Storage Box</t>
  </si>
  <si>
    <t>USS81FT21</t>
  </si>
  <si>
    <t>UNDER SEAT STORAGE</t>
  </si>
  <si>
    <t>PRPSP8117FT21A</t>
  </si>
  <si>
    <t>PRPSP8116FT21A</t>
  </si>
  <si>
    <t>PRPSP8114FT21A</t>
  </si>
  <si>
    <t>PRPSP8113FT21A</t>
  </si>
  <si>
    <t>PRPSP8112FT21A</t>
  </si>
  <si>
    <t>PRPSP8105FT21A</t>
  </si>
  <si>
    <t>PRPSP8104FT21A</t>
  </si>
  <si>
    <t>PRPSP8102FT21A</t>
  </si>
  <si>
    <t>PRPSP8100FT21A</t>
  </si>
  <si>
    <r>
      <t xml:space="preserve">PARTITION - SPACE SAVER - </t>
    </r>
    <r>
      <rPr>
        <i/>
        <sz val="8"/>
        <rFont val="Calibri"/>
        <family val="2"/>
        <scheme val="minor"/>
      </rPr>
      <t>Includes Recessed Panel and Lower Extension Panels</t>
    </r>
  </si>
  <si>
    <r>
      <t xml:space="preserve">Single Compartment, Pro-Cell, ½ Partition </t>
    </r>
    <r>
      <rPr>
        <i/>
        <sz val="8"/>
        <rFont val="Calibri"/>
        <family val="2"/>
        <scheme val="minor"/>
      </rPr>
      <t>(OEM Rear Seat Only)</t>
    </r>
  </si>
  <si>
    <t>P1000FT21A</t>
  </si>
  <si>
    <t>Includes: ½ Partition, Pair Door Panels, Pair Steel Window Bars, Lower Extension Panel, Poly Center Divider, &amp; Poly Rear Window Guard</t>
  </si>
  <si>
    <t>FORD F-250 2023 - CURRENT</t>
  </si>
  <si>
    <t>FORD F-150 RESPONDER &amp; SSV 2021 - CURRENT</t>
  </si>
  <si>
    <t>Expanded Metal Screens (Driver, and Passenger)</t>
  </si>
  <si>
    <t>4HRSEM002</t>
  </si>
  <si>
    <t>Expanded Metal Screens (Driver, Center, Passenger)</t>
  </si>
  <si>
    <t>4HRSEM001</t>
  </si>
  <si>
    <t>Side Light Mounting Bracket (Set), with ION Lights, Ion Trio R/B/W</t>
  </si>
  <si>
    <t>4HRSSL002</t>
  </si>
  <si>
    <t>Side Light Mounting Bracket (Set of 2)</t>
  </si>
  <si>
    <t>4HRSSL001</t>
  </si>
  <si>
    <t>Headache Rack Pro, Steel, with four Whelen G5 Tuen Amber</t>
  </si>
  <si>
    <t>HRS81FT21004</t>
  </si>
  <si>
    <t>Headache Rack Pro, Steel, with four Whelen G5 BTT R/R</t>
  </si>
  <si>
    <t>HRS81FT21003</t>
  </si>
  <si>
    <t>Headache Rack Pro, Steel, with four Whelen G5 Warning Amber</t>
  </si>
  <si>
    <t>HRS81FT21002</t>
  </si>
  <si>
    <t>Headache Rack Pro, Steel, with four Whelen TREO ION lights</t>
  </si>
  <si>
    <t>HRS81FT21001</t>
  </si>
  <si>
    <t>Headache Rack Pro, Steel, No lights</t>
  </si>
  <si>
    <t>HRS81FT21</t>
  </si>
  <si>
    <r>
      <t xml:space="preserve">HEADACHE RACK PRO - </t>
    </r>
    <r>
      <rPr>
        <i/>
        <sz val="8"/>
        <color theme="1"/>
        <rFont val="Calibri"/>
        <family val="2"/>
        <scheme val="minor"/>
      </rPr>
      <t>Includes mounting feet</t>
    </r>
  </si>
  <si>
    <t>Cargo Cab Pro</t>
  </si>
  <si>
    <t>CCP81T21</t>
  </si>
  <si>
    <t>CARGO CAB PRO</t>
  </si>
  <si>
    <t>PB8116HDL006</t>
  </si>
  <si>
    <t>PB8116HDL005</t>
  </si>
  <si>
    <t>PB8116HDL004</t>
  </si>
  <si>
    <t>PB8116HDL003</t>
  </si>
  <si>
    <t>PB8116HDL002</t>
  </si>
  <si>
    <t>PB8116HDL001</t>
  </si>
  <si>
    <t>PB81FT16HD</t>
  </si>
  <si>
    <t>RWG81FT16</t>
  </si>
  <si>
    <t>REAR WINDOW GUARD</t>
  </si>
  <si>
    <r>
      <t xml:space="preserve">Pair, ABS, Rear Door Panels </t>
    </r>
    <r>
      <rPr>
        <i/>
        <sz val="8"/>
        <rFont val="Calibri"/>
        <family val="2"/>
        <scheme val="minor"/>
      </rPr>
      <t>(for use with WB81FT16 only)</t>
    </r>
  </si>
  <si>
    <t>DP81FT16</t>
  </si>
  <si>
    <r>
      <t>Pair, Steel Window Bars (</t>
    </r>
    <r>
      <rPr>
        <i/>
        <sz val="8"/>
        <rFont val="Calibri"/>
        <family val="2"/>
        <scheme val="minor"/>
      </rPr>
      <t>for use with DP81FT16 only)</t>
    </r>
  </si>
  <si>
    <t>WB81FT16</t>
  </si>
  <si>
    <r>
      <t xml:space="preserve">Pair, Black ABS, Rear Door Panels </t>
    </r>
    <r>
      <rPr>
        <i/>
        <sz val="8"/>
        <rFont val="Calibri"/>
        <family val="2"/>
        <scheme val="minor"/>
      </rPr>
      <t>(for use with WBP81FT21 only)</t>
    </r>
  </si>
  <si>
    <t>DP81FT21</t>
  </si>
  <si>
    <r>
      <t>Pair, Poly Window Bars (</t>
    </r>
    <r>
      <rPr>
        <i/>
        <sz val="8"/>
        <rFont val="Calibri"/>
        <family val="2"/>
        <scheme val="minor"/>
      </rPr>
      <t>for use with DP81FT21 only)</t>
    </r>
  </si>
  <si>
    <t>WBP81FT21</t>
  </si>
  <si>
    <r>
      <t>Pair, Poly Window Bars (</t>
    </r>
    <r>
      <rPr>
        <i/>
        <sz val="8"/>
        <rFont val="Calibri"/>
        <family val="2"/>
        <scheme val="minor"/>
      </rPr>
      <t>for use with OEM door panels only)</t>
    </r>
  </si>
  <si>
    <t>WBP81NPFT21</t>
  </si>
  <si>
    <r>
      <t xml:space="preserve">Singe Compartment, Pro-Cell, 1/3 Partition </t>
    </r>
    <r>
      <rPr>
        <i/>
        <sz val="8"/>
        <rFont val="Calibri"/>
        <family val="2"/>
        <scheme val="minor"/>
      </rPr>
      <t>(OEM Rear Seat Only)</t>
    </r>
  </si>
  <si>
    <t>P1300FT21A</t>
  </si>
  <si>
    <t>GVM3613D-V</t>
  </si>
  <si>
    <t>GVM3613D-K</t>
  </si>
  <si>
    <t>GVM3613D-H</t>
  </si>
  <si>
    <t>GVM3613S-V</t>
  </si>
  <si>
    <t>GVM3613S-K</t>
  </si>
  <si>
    <t>GVM3613S-H</t>
  </si>
  <si>
    <r>
      <t xml:space="preserve">GUN RACK Tri-Lock™ SELF-SUPPORTING MOUNT </t>
    </r>
    <r>
      <rPr>
        <b/>
        <i/>
        <sz val="8"/>
        <rFont val="Calibri"/>
        <family val="2"/>
        <scheme val="minor"/>
      </rPr>
      <t xml:space="preserve"> (Not compatible with Partitions - Hand Gun Lock Box utilizes a different key than the gun locks)</t>
    </r>
  </si>
  <si>
    <r>
      <t xml:space="preserve">GUN RACK Tri-Lock™ VERTICAL PARTITION MOUNT </t>
    </r>
    <r>
      <rPr>
        <b/>
        <i/>
        <sz val="8"/>
        <rFont val="Calibri"/>
        <family val="2"/>
        <scheme val="minor"/>
      </rPr>
      <t xml:space="preserve">(For use with Recessed Panel - Hand Gun Lock Box utilizes a different key than the gun locks) </t>
    </r>
  </si>
  <si>
    <t>Slide-out Electronics Tray, Full Width</t>
  </si>
  <si>
    <t>TT36FINT13</t>
  </si>
  <si>
    <r>
      <t>Black Powder Coated Steel Skid Plate (</t>
    </r>
    <r>
      <rPr>
        <i/>
        <sz val="8"/>
        <rFont val="Calibri"/>
        <family val="2"/>
        <scheme val="minor"/>
      </rPr>
      <t>fits all engines</t>
    </r>
    <r>
      <rPr>
        <sz val="8"/>
        <rFont val="Calibri"/>
        <family val="2"/>
        <scheme val="minor"/>
      </rPr>
      <t>)</t>
    </r>
  </si>
  <si>
    <t>SK36INT13</t>
  </si>
  <si>
    <t>PB3613HDL003</t>
  </si>
  <si>
    <t>PB3613HDL002</t>
  </si>
  <si>
    <t>PB3613HDL001</t>
  </si>
  <si>
    <t>PB36INT13HD</t>
  </si>
  <si>
    <r>
      <t>HD PUSH BUMPERS  -</t>
    </r>
    <r>
      <rPr>
        <i/>
        <sz val="8"/>
        <rFont val="Calibri"/>
        <family val="2"/>
        <scheme val="minor"/>
      </rPr>
      <t xml:space="preserve"> Includes wire covers</t>
    </r>
  </si>
  <si>
    <t>BDP36INT13P</t>
  </si>
  <si>
    <t>BDP36INT13D</t>
  </si>
  <si>
    <r>
      <t xml:space="preserve">Pair, Black ABS, Rear Door Panels </t>
    </r>
    <r>
      <rPr>
        <i/>
        <sz val="8"/>
        <rFont val="Calibri"/>
        <family val="2"/>
        <scheme val="minor"/>
      </rPr>
      <t>(for use with WB36INT13 &amp; WBP36INT13 only</t>
    </r>
    <r>
      <rPr>
        <sz val="8"/>
        <rFont val="Calibri"/>
        <family val="2"/>
        <scheme val="minor"/>
      </rPr>
      <t>)</t>
    </r>
  </si>
  <si>
    <t>DP36INT13</t>
  </si>
  <si>
    <r>
      <t>Pair, ¼" Poly Window Bars (</t>
    </r>
    <r>
      <rPr>
        <i/>
        <sz val="8"/>
        <rFont val="Calibri"/>
        <family val="2"/>
        <scheme val="minor"/>
      </rPr>
      <t>for use with OEM door panels only</t>
    </r>
    <r>
      <rPr>
        <sz val="8"/>
        <rFont val="Calibri"/>
        <family val="2"/>
        <scheme val="minor"/>
      </rPr>
      <t>)</t>
    </r>
  </si>
  <si>
    <t>WBP36NPINT13</t>
  </si>
  <si>
    <r>
      <t>Pair, ¼" Poly Window Bars (</t>
    </r>
    <r>
      <rPr>
        <i/>
        <sz val="8"/>
        <rFont val="Calibri"/>
        <family val="2"/>
        <scheme val="minor"/>
      </rPr>
      <t>for use with DP36INT13 ABS Rear Door Panels only</t>
    </r>
    <r>
      <rPr>
        <sz val="8"/>
        <rFont val="Calibri"/>
        <family val="2"/>
        <scheme val="minor"/>
      </rPr>
      <t>)</t>
    </r>
  </si>
  <si>
    <t>WBP36INT13</t>
  </si>
  <si>
    <t>WB36NPINT13</t>
  </si>
  <si>
    <r>
      <t>Pair, Steel Window Bars</t>
    </r>
    <r>
      <rPr>
        <i/>
        <sz val="8"/>
        <rFont val="Calibri"/>
        <family val="2"/>
        <scheme val="minor"/>
      </rPr>
      <t xml:space="preserve"> (for use with DP36INT13 ABS Rear Door Panel only)</t>
    </r>
  </si>
  <si>
    <t>WB36INT13</t>
  </si>
  <si>
    <t>FORD INTERCEPTOR SEDAN 2013 - 2019</t>
  </si>
  <si>
    <t>FP36INT13</t>
  </si>
  <si>
    <t>S36INT13</t>
  </si>
  <si>
    <t>4OSBK3613</t>
  </si>
  <si>
    <t>S36INT13OSB</t>
  </si>
  <si>
    <t>TK36INT13</t>
  </si>
  <si>
    <t>TK36INT13A</t>
  </si>
  <si>
    <r>
      <t xml:space="preserve">TRANSFER KIT - </t>
    </r>
    <r>
      <rPr>
        <i/>
        <sz val="8"/>
        <rFont val="Calibri"/>
        <family val="2"/>
        <scheme val="minor"/>
      </rPr>
      <t>Universal Sedan Partition Only</t>
    </r>
  </si>
  <si>
    <t>PFW3617INT13A</t>
  </si>
  <si>
    <t>PFW3616INT13A</t>
  </si>
  <si>
    <t>PFW3614INT13A</t>
  </si>
  <si>
    <t>PFW3613INT13A</t>
  </si>
  <si>
    <t>PFW3612INT13A</t>
  </si>
  <si>
    <t>PFW3605INT13A</t>
  </si>
  <si>
    <t>PFW3604INT13A</t>
  </si>
  <si>
    <t>PFW3602INT13A</t>
  </si>
  <si>
    <t>PFW3600INT13A</t>
  </si>
  <si>
    <r>
      <t>PARTITION -</t>
    </r>
    <r>
      <rPr>
        <i/>
        <sz val="8"/>
        <color rgb="FF000000"/>
        <rFont val="Calibri"/>
        <family val="2"/>
        <scheme val="minor"/>
      </rPr>
      <t xml:space="preserve"> Includes Full Width Lower Extension Panel</t>
    </r>
  </si>
  <si>
    <t>PRPSP3617INT13A</t>
  </si>
  <si>
    <t>PRPSP3616INT13A</t>
  </si>
  <si>
    <t>PRPSP3614INT13A</t>
  </si>
  <si>
    <t>PRPSP3613INT13A</t>
  </si>
  <si>
    <t>PRPSP3612INT13A</t>
  </si>
  <si>
    <t>PRPSP3605INT13A</t>
  </si>
  <si>
    <t>PRPSP3604INT13A</t>
  </si>
  <si>
    <t>PRPSP3602INT13A</t>
  </si>
  <si>
    <t>PRPSP3600INT13A</t>
  </si>
  <si>
    <t xml:space="preserve">½ Slider Poly Window with Expanded Metal Insert  </t>
  </si>
  <si>
    <t>PSSP3617INT13A</t>
  </si>
  <si>
    <t>PSSP3616INT13A</t>
  </si>
  <si>
    <t>PSSP3614INT13A</t>
  </si>
  <si>
    <t xml:space="preserve">Vented Poly, Solid Window </t>
  </si>
  <si>
    <t>PSSP3613INT13A</t>
  </si>
  <si>
    <t xml:space="preserve">½ Poly, ½ Expanded Metal Window </t>
  </si>
  <si>
    <t>PSSP3612INT13A</t>
  </si>
  <si>
    <r>
      <t>Full, 7 Gauge Steel Wire Screen Window</t>
    </r>
    <r>
      <rPr>
        <i/>
        <sz val="8"/>
        <color indexed="8"/>
        <rFont val="Calibri"/>
        <family val="2"/>
        <scheme val="minor"/>
      </rPr>
      <t xml:space="preserve"> </t>
    </r>
  </si>
  <si>
    <t>PSSP3605INT13A</t>
  </si>
  <si>
    <t xml:space="preserve">Center Sliding Poly Window </t>
  </si>
  <si>
    <t>PSSP3604INT13A</t>
  </si>
  <si>
    <t>PSSP3602INT13A</t>
  </si>
  <si>
    <t>PSSP3600INT13A</t>
  </si>
  <si>
    <r>
      <t>Dual Compartments, Pro-Cell, Full Partition</t>
    </r>
    <r>
      <rPr>
        <i/>
        <sz val="8"/>
        <rFont val="Calibri"/>
        <family val="2"/>
        <scheme val="minor"/>
      </rPr>
      <t xml:space="preserve"> (Includes Recessed Panel)</t>
    </r>
  </si>
  <si>
    <t>P1826INT13A</t>
  </si>
  <si>
    <t>P1500INT13A</t>
  </si>
  <si>
    <t>P1000INT13A</t>
  </si>
  <si>
    <r>
      <t>Dual Compartments, Pro-Cell, Full Partition</t>
    </r>
    <r>
      <rPr>
        <i/>
        <sz val="8"/>
        <rFont val="Calibri"/>
        <family val="2"/>
        <scheme val="minor"/>
      </rPr>
      <t xml:space="preserve"> (Includes Recessed Panel)</t>
    </r>
    <r>
      <rPr>
        <sz val="8"/>
        <rFont val="Calibri"/>
        <family val="2"/>
        <scheme val="minor"/>
      </rPr>
      <t>, Outboard Seat Belts</t>
    </r>
  </si>
  <si>
    <t>P1826INT13AOSB</t>
  </si>
  <si>
    <t>Single Compartment, Pro-Cell, ½ Partition with full roll bar, Passenger Side Only Outboard Seat Belts</t>
  </si>
  <si>
    <t>P1500INT13AOSB</t>
  </si>
  <si>
    <t>Single Compartment, Pro-Cell, ½ Partition, Passenger Side Only Outboard Seat Belts</t>
  </si>
  <si>
    <t>P1000INT13AOSB</t>
  </si>
  <si>
    <t xml:space="preserve">Includes: ½ or Full Partition, Transport Seat, Floor Pan, Pair Rear Door Panels, Pair Window Bars, Lower Extension Panel(s), </t>
  </si>
  <si>
    <t>GPC4713D-V</t>
  </si>
  <si>
    <t>GPC4713D-K</t>
  </si>
  <si>
    <t>GPC4713D-H</t>
  </si>
  <si>
    <t>GPC4713S-V</t>
  </si>
  <si>
    <t>GPC4713S-K</t>
  </si>
  <si>
    <t>GPC4713S-H</t>
  </si>
  <si>
    <t>GVM4713D-V</t>
  </si>
  <si>
    <t>GVM4713D-K</t>
  </si>
  <si>
    <t>GVM4713D-H</t>
  </si>
  <si>
    <t>GVM4713S-V</t>
  </si>
  <si>
    <t>GVM4713S-K</t>
  </si>
  <si>
    <t>GVM4713S-H</t>
  </si>
  <si>
    <r>
      <t>GUN RACK - Tri-Lock™ VERTICAL PARTITION MOUNT</t>
    </r>
    <r>
      <rPr>
        <b/>
        <i/>
        <sz val="8"/>
        <rFont val="Calibri"/>
        <family val="2"/>
        <scheme val="minor"/>
      </rPr>
      <t xml:space="preserve"> </t>
    </r>
  </si>
  <si>
    <t>FORD INTERCEPTOR UTILITY 2013 - 2019</t>
  </si>
  <si>
    <r>
      <t>ABS Cargo Organizer w/Poly Lid and Dividers</t>
    </r>
    <r>
      <rPr>
        <i/>
        <sz val="8"/>
        <color indexed="8"/>
        <rFont val="Calibri"/>
        <family val="2"/>
        <scheme val="minor"/>
      </rPr>
      <t xml:space="preserve"> (on top of OEM load floor</t>
    </r>
    <r>
      <rPr>
        <i/>
        <sz val="8"/>
        <rFont val="Calibri"/>
        <family val="2"/>
        <scheme val="minor"/>
      </rPr>
      <t>)</t>
    </r>
  </si>
  <si>
    <t>TRUNK ORGANIZERS</t>
  </si>
  <si>
    <t>CSC47UINT13S</t>
  </si>
  <si>
    <r>
      <t xml:space="preserve">Steel Cargo Security Cover </t>
    </r>
    <r>
      <rPr>
        <i/>
        <sz val="8"/>
        <color indexed="8"/>
        <rFont val="Calibri"/>
        <family val="2"/>
        <scheme val="minor"/>
      </rPr>
      <t>(for use w/ non Pro-gard cargo barrier)</t>
    </r>
  </si>
  <si>
    <t>CSC47UINT13OEM</t>
  </si>
  <si>
    <r>
      <t xml:space="preserve">Steel Cargo Security Cover </t>
    </r>
    <r>
      <rPr>
        <i/>
        <sz val="8"/>
        <color indexed="8"/>
        <rFont val="Calibri"/>
        <family val="2"/>
        <scheme val="minor"/>
      </rPr>
      <t>(for use w/ Pro-gard cargo barrier only)</t>
    </r>
  </si>
  <si>
    <t>CSC47UINT13</t>
  </si>
  <si>
    <t>B4705UINT13</t>
  </si>
  <si>
    <t>B4702UINT13</t>
  </si>
  <si>
    <t>Black Powder Coated Steel Skid Plate</t>
  </si>
  <si>
    <t>SK47UINT16</t>
  </si>
  <si>
    <t>Pair, Wire Channel Covers (*Note* Now included with HD Bumpers)</t>
  </si>
  <si>
    <t>PBWCSHD</t>
  </si>
  <si>
    <t>PB4716HDL006</t>
  </si>
  <si>
    <t>PB4716HDL005</t>
  </si>
  <si>
    <t>PB4716HDL004</t>
  </si>
  <si>
    <t>PB4716HDL003</t>
  </si>
  <si>
    <t>PB4716HDL002</t>
  </si>
  <si>
    <t>PB4716HDL001</t>
  </si>
  <si>
    <t>PB47UINT16HD</t>
  </si>
  <si>
    <r>
      <t xml:space="preserve">HD BUMPERS - </t>
    </r>
    <r>
      <rPr>
        <i/>
        <sz val="8"/>
        <rFont val="Calibri"/>
        <family val="2"/>
        <scheme val="minor"/>
      </rPr>
      <t>Includes wire covers</t>
    </r>
  </si>
  <si>
    <t>BDP47UINT13P</t>
  </si>
  <si>
    <t>BDP47UINT13D</t>
  </si>
  <si>
    <t>Set of Three (rear cargo and rear side) Window Guards, 11 Gauge Steel, Grid Pattern, Black</t>
  </si>
  <si>
    <t>RWG47UINT13A</t>
  </si>
  <si>
    <r>
      <t>Pair, Black ABS, Rear Door Panels</t>
    </r>
    <r>
      <rPr>
        <i/>
        <sz val="8"/>
        <rFont val="Calibri"/>
        <family val="2"/>
        <scheme val="minor"/>
      </rPr>
      <t xml:space="preserve"> (for use with WB47UINT13 &amp; WBP47UINT13 only)</t>
    </r>
  </si>
  <si>
    <t>DP47UINT13</t>
  </si>
  <si>
    <t>WBP47NPUINT13</t>
  </si>
  <si>
    <r>
      <t>Pair, ¼" Poly Window Bars</t>
    </r>
    <r>
      <rPr>
        <i/>
        <sz val="8"/>
        <rFont val="Calibri"/>
        <family val="2"/>
        <scheme val="minor"/>
      </rPr>
      <t xml:space="preserve"> (for use with DP47UINT13 ABS Rear Door Panels only)</t>
    </r>
  </si>
  <si>
    <t>WBP47UINT13</t>
  </si>
  <si>
    <r>
      <t xml:space="preserve">Pair, Steel Window Bars </t>
    </r>
    <r>
      <rPr>
        <i/>
        <sz val="8"/>
        <rFont val="Calibri"/>
        <family val="2"/>
        <scheme val="minor"/>
      </rPr>
      <t>(for use with OEM door panels only)</t>
    </r>
  </si>
  <si>
    <t>WB47NPUINT13</t>
  </si>
  <si>
    <r>
      <t xml:space="preserve">Pair, Steel Window Bars </t>
    </r>
    <r>
      <rPr>
        <i/>
        <sz val="8"/>
        <rFont val="Calibri"/>
        <family val="2"/>
        <scheme val="minor"/>
      </rPr>
      <t>(for use with DP47UINT13 ABS Rear Door Panels only)</t>
    </r>
  </si>
  <si>
    <t>WB47UINT13</t>
  </si>
  <si>
    <t>FP47UINT13</t>
  </si>
  <si>
    <t xml:space="preserve">Charcoal Grey ABS, Standard Transport Seat w/ 7 Ga. Steel Screen Window Cargo Barrier &amp; Seat Mount. Kit </t>
  </si>
  <si>
    <t>S4705UINT13</t>
  </si>
  <si>
    <t xml:space="preserve">Charcoal Grey ABS, Standard Transport Seat w/ ¼" Poly. Window Cargo Barrier &amp; Seat Mount. Kit </t>
  </si>
  <si>
    <t>S4702UINT13</t>
  </si>
  <si>
    <t>4OSBK4713</t>
  </si>
  <si>
    <t>S4705UINT13OSB</t>
  </si>
  <si>
    <t>S4702UINT13OSB</t>
  </si>
  <si>
    <t>TK47UINT13</t>
  </si>
  <si>
    <t>TK47UINT13A</t>
  </si>
  <si>
    <r>
      <t xml:space="preserve">TRANSFER KIT - </t>
    </r>
    <r>
      <rPr>
        <i/>
        <sz val="8"/>
        <rFont val="Calibri"/>
        <family val="2"/>
        <scheme val="minor"/>
      </rPr>
      <t>Universal Partition Only</t>
    </r>
  </si>
  <si>
    <t>PFW4717UINT13A</t>
  </si>
  <si>
    <t>PFW4716UINT13A</t>
  </si>
  <si>
    <t>PFW4714UINT13A</t>
  </si>
  <si>
    <t>PFW4713UINT13A</t>
  </si>
  <si>
    <t>PFW4712UINT13A</t>
  </si>
  <si>
    <t>PFW4705UINT13A</t>
  </si>
  <si>
    <t>PFW4704UINT13A</t>
  </si>
  <si>
    <t>PFW4702UINT13A</t>
  </si>
  <si>
    <t>PFW4700UINT13A</t>
  </si>
  <si>
    <t>PRPSP4717UINT13A</t>
  </si>
  <si>
    <t>PRPSP4716UINT13A</t>
  </si>
  <si>
    <t>PRPSP4714UINT13A</t>
  </si>
  <si>
    <t>PRPSP4713UINT13A</t>
  </si>
  <si>
    <t>PRPSP4712UINT13A</t>
  </si>
  <si>
    <t>PRPSP4705UINT13A</t>
  </si>
  <si>
    <t>PRPSP4704UINT13A</t>
  </si>
  <si>
    <t>PRPSP4702UINT13A</t>
  </si>
  <si>
    <t>PRPSP4700UINT13A</t>
  </si>
  <si>
    <r>
      <t xml:space="preserve">PARTITION - SPACE SAVER - </t>
    </r>
    <r>
      <rPr>
        <i/>
        <sz val="8"/>
        <color rgb="FF000000"/>
        <rFont val="Calibri"/>
        <family val="2"/>
        <scheme val="minor"/>
      </rPr>
      <t>Includes Recessed Panel and Lower Extension Panels</t>
    </r>
  </si>
  <si>
    <t>PVS4717UINT13A</t>
  </si>
  <si>
    <t>PVS4716UINT13A</t>
  </si>
  <si>
    <t>PVS4714UINT13A</t>
  </si>
  <si>
    <t>PVS4713UINT13A</t>
  </si>
  <si>
    <t>PVS4712UINT13A</t>
  </si>
  <si>
    <t>PVS4705UINT13A</t>
  </si>
  <si>
    <t>PVS4704UINT13A</t>
  </si>
  <si>
    <t>PVS4702UINT13A</t>
  </si>
  <si>
    <t>PVS4700UINT13A</t>
  </si>
  <si>
    <r>
      <t xml:space="preserve">PARTITION - SPACE SAVER W/ VIPER SHIELD - </t>
    </r>
    <r>
      <rPr>
        <i/>
        <sz val="8"/>
        <color theme="1"/>
        <rFont val="Calibri"/>
        <family val="2"/>
        <scheme val="minor"/>
      </rPr>
      <t>Includes Recessed Panel and Lower Extension Panels</t>
    </r>
  </si>
  <si>
    <r>
      <t xml:space="preserve">Dual Compartments, Pro-Cell, Full Partition </t>
    </r>
    <r>
      <rPr>
        <i/>
        <sz val="8"/>
        <color indexed="8"/>
        <rFont val="Calibri"/>
        <family val="2"/>
        <scheme val="minor"/>
      </rPr>
      <t>(Includes Recessed Panel)</t>
    </r>
  </si>
  <si>
    <t>P1826UINT13A</t>
  </si>
  <si>
    <t>P1000UINT13A</t>
  </si>
  <si>
    <t>P1826UINT13AOSB</t>
  </si>
  <si>
    <t>P1000UINT13AOSB</t>
  </si>
  <si>
    <t>Poly Window Cargo Barrier, &amp; Optional Outboard Seat Belts</t>
  </si>
  <si>
    <t xml:space="preserve">Includes: ½ or Full Partition, Transport Seat, Floor Pan, Pair Door Panels, Pair Window Bars, Lower Extension Panel(s), Poly Center Divider, </t>
  </si>
  <si>
    <t>Dual Compartments, Pro-Cell, Full Partition w/ outboard Seat Belts</t>
  </si>
  <si>
    <t>PVS1826UINT13AOSB</t>
  </si>
  <si>
    <t xml:space="preserve">Includes: Full Partition, Transport Seat, Floor Pan, Pair Window Bars, Recessed Panel, Lower Extension Panels, Poly Center Divider, </t>
  </si>
  <si>
    <t>Self-Supporting Dual Weapon Tri-Lock Gun Rack w/ Vending Key</t>
  </si>
  <si>
    <t>GVM4720D-V</t>
  </si>
  <si>
    <t>Self-Supporting Dual Weapon Tri-Lock Gun Rack w/ Straight Key</t>
  </si>
  <si>
    <t>GVM4720D-K</t>
  </si>
  <si>
    <t>Self-Supporting Dual Weapon Tri-Lock Gun Rack w/ Handcuff Key</t>
  </si>
  <si>
    <t>GVM4720D-H</t>
  </si>
  <si>
    <t>Self-Supporting Single Weapon Tri-Lock Gun Rack w/ Vending Key</t>
  </si>
  <si>
    <t>GVM4720S-V</t>
  </si>
  <si>
    <t>Self-Supporting Single Weapon Tri-Lock Gun Rack w/ Straight Key</t>
  </si>
  <si>
    <t>GVM4720S-K</t>
  </si>
  <si>
    <t>Self-Supporting Single Weapon Tri-Lock Gun Rack w/ Handcuff Key</t>
  </si>
  <si>
    <t>GVM4720S-H</t>
  </si>
  <si>
    <t>Cargo Storage Drawer - Mounting Kit - Free Standing Mount (w/ Pro-gard Cargo Barrier)*</t>
  </si>
  <si>
    <t>4CSD47UINT20</t>
  </si>
  <si>
    <t>4CSD47UINT20FS</t>
  </si>
  <si>
    <t>CARGO STORAGE DRAWER -  *Must order Mounting Kit with Drawer selection  (All drawers come with rubber mat)</t>
  </si>
  <si>
    <t>FORD INTERCEPTOR UTILITY 2020 - CURRENT</t>
  </si>
  <si>
    <t>ABS Cargo Organizer w/ Poly Lid and Dividers (on top of OEM load floor)</t>
  </si>
  <si>
    <r>
      <t xml:space="preserve">Steel Cargo Security Cover </t>
    </r>
    <r>
      <rPr>
        <i/>
        <sz val="8"/>
        <rFont val="Calibri"/>
        <family val="2"/>
        <scheme val="minor"/>
      </rPr>
      <t>(for use w/o a cargo barrier, includes lower panel enclosures</t>
    </r>
    <r>
      <rPr>
        <sz val="8"/>
        <rFont val="Calibri"/>
        <family val="2"/>
        <scheme val="minor"/>
      </rPr>
      <t>)</t>
    </r>
  </si>
  <si>
    <t>CSC47UINT20S</t>
  </si>
  <si>
    <r>
      <t xml:space="preserve">Steel Cargo Security Cover </t>
    </r>
    <r>
      <rPr>
        <i/>
        <sz val="8"/>
        <rFont val="Calibri"/>
        <family val="2"/>
        <scheme val="minor"/>
      </rPr>
      <t>(for use w/ Pro-gard cargo barrier only)</t>
    </r>
  </si>
  <si>
    <t>CSC47UINT20</t>
  </si>
  <si>
    <t>B4705UINT20</t>
  </si>
  <si>
    <r>
      <t xml:space="preserve">¼" Poly, Cargo Barrier with Filler Panels </t>
    </r>
    <r>
      <rPr>
        <i/>
        <sz val="8"/>
        <rFont val="Calibri"/>
        <family val="2"/>
        <scheme val="minor"/>
      </rPr>
      <t>(for use w/ side curtain airbags in Police Package only)</t>
    </r>
  </si>
  <si>
    <t>B4702UINT20</t>
  </si>
  <si>
    <r>
      <t xml:space="preserve">Transmission Skid Plate </t>
    </r>
    <r>
      <rPr>
        <i/>
        <sz val="8"/>
        <rFont val="Calibri"/>
        <family val="2"/>
        <scheme val="minor"/>
      </rPr>
      <t>(Hybrid Engine)</t>
    </r>
  </si>
  <si>
    <t>TSP47UINT20H</t>
  </si>
  <si>
    <r>
      <t>Transmission Skid Plate</t>
    </r>
    <r>
      <rPr>
        <i/>
        <sz val="8"/>
        <rFont val="Calibri"/>
        <family val="2"/>
        <scheme val="minor"/>
      </rPr>
      <t xml:space="preserve"> (Gas Engine)</t>
    </r>
  </si>
  <si>
    <t>TSP47UINT20G</t>
  </si>
  <si>
    <t>SK47UINT20</t>
  </si>
  <si>
    <t>CG47UINT20SNL</t>
  </si>
  <si>
    <t>CG47UINT20WNL</t>
  </si>
  <si>
    <t>CG47UINT20W006</t>
  </si>
  <si>
    <t>CG47UINT20W005</t>
  </si>
  <si>
    <t>CG47UINT20W004</t>
  </si>
  <si>
    <t>4PBFW47UINT20</t>
  </si>
  <si>
    <t>PB4720HDL006</t>
  </si>
  <si>
    <t>PB4720HDL005</t>
  </si>
  <si>
    <t>PB4720HDL004</t>
  </si>
  <si>
    <t>PB4720HDL003</t>
  </si>
  <si>
    <t>PB4720HDL002</t>
  </si>
  <si>
    <t>PB4720HDL001</t>
  </si>
  <si>
    <t>PB47UINT20HD</t>
  </si>
  <si>
    <t>BDP47UINT20P</t>
  </si>
  <si>
    <t>BDP47UINT20D</t>
  </si>
  <si>
    <t>RWG47UINT20A</t>
  </si>
  <si>
    <r>
      <t>Pair, Black Formed ABS, Rear Door Panels</t>
    </r>
    <r>
      <rPr>
        <i/>
        <sz val="8"/>
        <rFont val="Calibri"/>
        <family val="2"/>
        <scheme val="minor"/>
      </rPr>
      <t xml:space="preserve"> </t>
    </r>
  </si>
  <si>
    <t>DP47UINT20</t>
  </si>
  <si>
    <r>
      <t>Black ABS, Door Panel Cover Plates</t>
    </r>
    <r>
      <rPr>
        <i/>
        <sz val="8"/>
        <rFont val="Calibri"/>
        <family val="2"/>
        <scheme val="minor"/>
      </rPr>
      <t xml:space="preserve"> (set)</t>
    </r>
  </si>
  <si>
    <t>DPCP47UINT20</t>
  </si>
  <si>
    <r>
      <t xml:space="preserve">Pair, ¼" Poly Window Bars </t>
    </r>
    <r>
      <rPr>
        <i/>
        <sz val="8"/>
        <rFont val="Calibri"/>
        <family val="2"/>
        <scheme val="minor"/>
      </rPr>
      <t>(for use with OEM door panels or DP47UINT20)</t>
    </r>
  </si>
  <si>
    <t>WBP47NPUINT20</t>
  </si>
  <si>
    <t xml:space="preserve">Pair, Steel Window Bars </t>
  </si>
  <si>
    <t>WB47NPUINT20</t>
  </si>
  <si>
    <t>REAR WINDOW BARS - DOOR PANEL COVER PLATES</t>
  </si>
  <si>
    <t>FP47UINT20</t>
  </si>
  <si>
    <t xml:space="preserve">Charcoal Grey ABS, Transport Seat w/ Steel Screen Window Cargo Barrier &amp; Seat Mounting Kit </t>
  </si>
  <si>
    <t>S4705UINT20</t>
  </si>
  <si>
    <t xml:space="preserve">Charcoal Grey ABS, Transport Seat w/ Poly Window Cargo Barrier &amp; Seat Mounting Kit </t>
  </si>
  <si>
    <t>S4702UINT20</t>
  </si>
  <si>
    <t>Outboard Seat Belt Retro-fit Kit (non-retractable)</t>
  </si>
  <si>
    <t>4OSBK4722</t>
  </si>
  <si>
    <t>Charcoal Grey ABS, Transport Seat w/ Steel Screen Window Cargo Barrier and Outboard Seat Belts</t>
  </si>
  <si>
    <t>S4705UINT20OSB</t>
  </si>
  <si>
    <t xml:space="preserve">Charcoal Grey ABS, Transport Seat w/ Poly Window Cargo Barrier and Outboard Seat Belts </t>
  </si>
  <si>
    <t>S4702UINT20OSB</t>
  </si>
  <si>
    <t>Charcoal Grey ABS, Transport Seat w/ Steel Screen Window Cargo Barrier and Retractable Outboard Seat Belts</t>
  </si>
  <si>
    <t>S4705UINT20OSB-R</t>
  </si>
  <si>
    <t xml:space="preserve">Charcoal Grey ABS, Transport Seat w/ Poly Window Cargo Barrier and Retractable Outboard Seat Belts </t>
  </si>
  <si>
    <t>S4702UINT20OSB-R</t>
  </si>
  <si>
    <t>Full Width Lower Extension Panel</t>
  </si>
  <si>
    <t>SP47FW20</t>
  </si>
  <si>
    <r>
      <t xml:space="preserve">Pair - Lower Extension Panels, </t>
    </r>
    <r>
      <rPr>
        <i/>
        <sz val="8"/>
        <rFont val="Calibri"/>
        <family val="2"/>
        <scheme val="minor"/>
      </rPr>
      <t>(for use with recess panel)</t>
    </r>
  </si>
  <si>
    <t>SP47BS20</t>
  </si>
  <si>
    <t xml:space="preserve">Recess Panel </t>
  </si>
  <si>
    <t>RP47UINT20</t>
  </si>
  <si>
    <t>Transfer Kit, Includes Hardware and 1/4" Air Bag Compatible Filler Panels</t>
  </si>
  <si>
    <t>TK47UINT20A</t>
  </si>
  <si>
    <r>
      <t xml:space="preserve">TRANSFER KIT AND ACCESSORIES - </t>
    </r>
    <r>
      <rPr>
        <i/>
        <sz val="8"/>
        <rFont val="Calibri"/>
        <family val="2"/>
        <scheme val="minor"/>
      </rPr>
      <t>Universal Partition Only</t>
    </r>
  </si>
  <si>
    <t>PFW4717UINT20A</t>
  </si>
  <si>
    <t>PFW4716UINT20A</t>
  </si>
  <si>
    <t>PFW4714UINT20A</t>
  </si>
  <si>
    <t>PFW4713UINT20A</t>
  </si>
  <si>
    <t>PFW4712UINT20A</t>
  </si>
  <si>
    <t>PFW4705UINT20A</t>
  </si>
  <si>
    <t>PFW4704UINT20A</t>
  </si>
  <si>
    <t>PFW4702UINT20A</t>
  </si>
  <si>
    <t>PFW4700UINT20A</t>
  </si>
  <si>
    <r>
      <t xml:space="preserve">PARTITION - </t>
    </r>
    <r>
      <rPr>
        <i/>
        <sz val="8"/>
        <rFont val="Calibri"/>
        <family val="2"/>
        <scheme val="minor"/>
      </rPr>
      <t>Includes Full Width Lower Extension Panel</t>
    </r>
  </si>
  <si>
    <t>PRPSP4717UINT20A</t>
  </si>
  <si>
    <t>PRPSP4716UINT20A</t>
  </si>
  <si>
    <t>PRPSP4714UINT20A</t>
  </si>
  <si>
    <t>PRPSP4713UINT20A</t>
  </si>
  <si>
    <t>PRPSP4712UINT20A</t>
  </si>
  <si>
    <t>PRPSP4705UINT20A</t>
  </si>
  <si>
    <t>PRPSP4704UINT20A</t>
  </si>
  <si>
    <t>PRPSP4702UINT20A</t>
  </si>
  <si>
    <t>PRPSP4700UINT20A</t>
  </si>
  <si>
    <t>PVS4717UINT20A</t>
  </si>
  <si>
    <t>PVS4716UINT20A</t>
  </si>
  <si>
    <t>PVS4714UINT20A</t>
  </si>
  <si>
    <t>PVS4713UINT20A</t>
  </si>
  <si>
    <t>PVS4712UINT20A</t>
  </si>
  <si>
    <t>PVS4705UINT20A</t>
  </si>
  <si>
    <t>PVS4704UINT20A</t>
  </si>
  <si>
    <t>PVS4702UINT20A</t>
  </si>
  <si>
    <t>PVS4700UINT20A</t>
  </si>
  <si>
    <r>
      <t xml:space="preserve">PARTITION - SPACE SAVER W/ VIPER SHIELD - </t>
    </r>
    <r>
      <rPr>
        <i/>
        <sz val="8"/>
        <rFont val="Calibri"/>
        <family val="2"/>
        <scheme val="minor"/>
      </rPr>
      <t>Includes Recessed Panel and Lower Extension Panels</t>
    </r>
  </si>
  <si>
    <t>P1826UINT20A</t>
  </si>
  <si>
    <t>P1000UINT20A</t>
  </si>
  <si>
    <t>P1826UINT20AOSB</t>
  </si>
  <si>
    <t>P1300UINT20AOSB</t>
  </si>
  <si>
    <t>P1000UINT20AOSB</t>
  </si>
  <si>
    <t>P1826UINT20AOSB-R</t>
  </si>
  <si>
    <t>P1300UINT20AOSB-R</t>
  </si>
  <si>
    <t>P1000UINT20AOSB-R</t>
  </si>
  <si>
    <t>Door Panel Cover Plates, (Door Panels on P1300 only) Passenger Side Door Panel (P1300 only) Poly Window Cargo Barrier, &amp; Optional Outboard Seat Belts</t>
  </si>
  <si>
    <t>Includes: 1/2,  1/3, or Full Partition, Transport Seat, Floor Pan, Pair Window Bars, Lower Extension Panel(s), Poly Center Divider,</t>
  </si>
  <si>
    <t>PVS1826UINT20AOSB</t>
  </si>
  <si>
    <t>Dual Compartments, Pro-Cell, Full Partition w/ Retractable Outboard Seat Belts</t>
  </si>
  <si>
    <t>PVS1826UINT20AOSB-R</t>
  </si>
  <si>
    <t>Poly Window Cargo Barrier, VIPER™ Shield, Door Panel Cover Plates and Outboard Seat Belts</t>
  </si>
  <si>
    <t>Pro-Gard Single Compartment, Pro-Cell, ½ Partition, w/ Passenger Side Only Retractable Outboard Seat Belts</t>
  </si>
  <si>
    <t>Pro-Gard Single Compartment, Pro-Cell, ½ Partition, w/ Passenger Side Only Outboard Seat Belts</t>
  </si>
  <si>
    <t>Pro-Gard Single Compartment, Pro-Cell, ½ Partition (OEM Rear Seat Only)</t>
  </si>
  <si>
    <t>Pro-Gard Single Compartment, Pro-Cell, 1/2 Partition, Does not include ABS Door Panels</t>
  </si>
  <si>
    <t>8211-10100</t>
  </si>
  <si>
    <t>Blac-Rac - KIT-WRS 1082-E-AR, Electronic, 8-Second Delay, 10" T-Channel (25010), Cold Wire (29002),  with 2 MA209 keys</t>
  </si>
  <si>
    <t>Havis 2020+ Ford Interceptor Utility VSX Console With Front Bin</t>
  </si>
  <si>
    <t>Havis 2020+  Ford Interceptor Utility VSX Console With Front Printer Mount</t>
  </si>
  <si>
    <t>EMPLB00***</t>
  </si>
  <si>
    <t>SoundOff Signal 55" Mpower Lightbar Dual Color</t>
  </si>
  <si>
    <t>SoundOff Signal 55" Mpower Lightbar Tri Color</t>
  </si>
  <si>
    <t>ENNLB00***</t>
  </si>
  <si>
    <t>ENULB00***</t>
  </si>
  <si>
    <t>ENRLB00***</t>
  </si>
  <si>
    <t>SoundOff Signal 54' Nroads Fleet Dual Color</t>
  </si>
  <si>
    <t>ENRMB00***</t>
  </si>
  <si>
    <t>nROADS® 17" Mini Lightbar Dual Color</t>
  </si>
  <si>
    <t>nROADS® 24" Mini Lightbar Dual Color</t>
  </si>
  <si>
    <t>4500 Series LED Beacon</t>
  </si>
  <si>
    <t>ENRBC000WV</t>
  </si>
  <si>
    <t>nROADS® LED Beacon low dome</t>
  </si>
  <si>
    <t>ENRBC001U2</t>
  </si>
  <si>
    <t>nROADS® LED Beacon high dome</t>
  </si>
  <si>
    <t>SoundOff Signal 54" NXT Lightbar Dual Color</t>
  </si>
  <si>
    <t>SoundOff Signal 54" NXT Lightbar Tri Color</t>
  </si>
  <si>
    <t>SoundOff Signal 54" Nfuse Lightbar Dual Color</t>
  </si>
  <si>
    <t xml:space="preserve">Whelen WCX Freedom 4 K4W Series Super-LED 49” Lightbar, model # K4W8BBBB. 6 front Super-LED modules, 8 rear Super-LED modules, 2 dual LR11 flashing LED takedown lights, 2 dual LR11 flashing LED alley lights and vehicle mounting kit       </t>
  </si>
  <si>
    <t>Whelen WCX LEGACY DUO Package; 48"or 54" Legacy 22 LED Mod's, TD, Alley, Cencom Core C399, CCTL5, 6 or 7 Control Head, OBDII C399K#, Speaker, Bkt</t>
  </si>
  <si>
    <t>Whelen Liberty II WCX Lightbar BB8/2BBBB 48"/54" with full Dual Color Ultra high intensity with 14 dual color Super LED modules, LR11 LED Alley lights, dual LR11 LED takedown lights and mount kit. Choose LED Colors, R,B,A,W</t>
  </si>
  <si>
    <t>Whelen Liberty II WCX Lightbar CORE Package; Includes  BB8/2BBBB, 14 Duo Super LED modules, Pr. High Intensity TD, Pr. Alley lights, mount kit, C399 Core Control Center, CCTL6/7 Control head,, OBDII C399K#, SA315P/U Speaker and Bracket  Choose LED Colors R,B,A,W</t>
  </si>
  <si>
    <t xml:space="preserve"> Whelen Legacy Dual Color WCX Lightbar 48"/54" model # EB8/2DDDD   Super High Intensity Ultra Low Profile Duo Color Lightbar w/ Super LED takedown and alleys, mount kit.</t>
  </si>
  <si>
    <t xml:space="preserve">Whelen Mini Liberty II Lightbar with 4 LED modules  Model # IT9BBBBP </t>
  </si>
  <si>
    <t>Whelen WCX Mini Liberty II Lightbar with 4 Corner LED Modules  Model BT9BBBBP</t>
  </si>
  <si>
    <t>Whelen Mini Legacy 19" mini LED lightbar model # GT9****P</t>
  </si>
  <si>
    <t>Whelen WCX Mini Legacy 19" Lightbar with 4 Corner LED Modules Model # ET9BBBBP</t>
  </si>
  <si>
    <t xml:space="preserve">Whelen mini Responder LP LED Lightbar model # R2LPPA with 6 LIN LED modules </t>
  </si>
  <si>
    <t>Interior Lightbar Packages, Interior Lightbars, Light Sticks, Dash Lighting</t>
  </si>
  <si>
    <t>ENFWB00XXX</t>
  </si>
  <si>
    <t>SoundOff Signal Nforce Interior Front 2 Piece Lightbar Dual Color</t>
  </si>
  <si>
    <t>SoundOff Signal Nforce Interior Front 2 Piece Lightbar Tri Color</t>
  </si>
  <si>
    <t>SoundOff Signal Nforce Interior Passenger only Dia; Color</t>
  </si>
  <si>
    <t>SoundOff Signal Nforce Interior Passenger only Tri Color</t>
  </si>
  <si>
    <t>SoundOff Signal Nforce Interior Rear Ligthbar 6 Module Dual Color</t>
  </si>
  <si>
    <t>SoundOff Signal Nforce Interior Rear Ligthbar 6 Module Tri Color</t>
  </si>
  <si>
    <t>SoundOff Signal Nforce Interior Rear Ligthbar 8 Module Dual Color</t>
  </si>
  <si>
    <t>SoundOff Signa Nforce Interior Rear Ligthbar 8 Module Tri Color</t>
  </si>
  <si>
    <t>EMPTC00XXXX</t>
  </si>
  <si>
    <t>Sirens, Speakers and Accessories</t>
  </si>
  <si>
    <t>SoundOff Signal 480 Remote Siren 200w</t>
  </si>
  <si>
    <t>SoundOff Signal 460 Hand Held Siren 200w</t>
  </si>
  <si>
    <t>SoundOff Signal 200 Series Compact Siren</t>
  </si>
  <si>
    <t>ETSA200R-PA</t>
  </si>
  <si>
    <t>SoundOff Signal 200 Series Compact Siren/PA</t>
  </si>
  <si>
    <t>SondOff Signal Aftershock Low Frequency 100w</t>
  </si>
  <si>
    <t>SondOff Signal Aftershock Low Frequency 200w</t>
  </si>
  <si>
    <t>SoundOff Signal 100W Speaker</t>
  </si>
  <si>
    <t>ETSKLF200</t>
  </si>
  <si>
    <t>SoundOff Signal Blueprint Hand Held Controler</t>
  </si>
  <si>
    <t>SoundOff Signal Blueprint Remote Control Panel</t>
  </si>
  <si>
    <t>SoundOff Signal Blueprint Remote Control Panel with Knob</t>
  </si>
  <si>
    <t>bluePRINT® 500 Control System Push Button -</t>
  </si>
  <si>
    <t>bluePRINT® 500 Control System Rotary Knob</t>
  </si>
  <si>
    <t xml:space="preserve">bluePRINT® 500 Control System Handheld </t>
  </si>
  <si>
    <t>ENGLMK***</t>
  </si>
  <si>
    <t>SoundOff Signal Blueprint Micro Link Specific Vehicle</t>
  </si>
  <si>
    <t>ENGND04101</t>
  </si>
  <si>
    <t>SoundOff Signal Blueprint Remote Node</t>
  </si>
  <si>
    <t>SoundOff Signal Blueprint Sync</t>
  </si>
  <si>
    <t xml:space="preserve">bluePRINT® Central Controller,  24 Outputs </t>
  </si>
  <si>
    <t>ENGHNK01</t>
  </si>
  <si>
    <t>SoundOff Signal Blueprint Central Harness</t>
  </si>
  <si>
    <t>ENGHNK05</t>
  </si>
  <si>
    <t>SoundOff Signal Blueprint  Node Harness</t>
  </si>
  <si>
    <t>EMPS1**S3*</t>
  </si>
  <si>
    <t>EMPS1**S4***</t>
  </si>
  <si>
    <t>EMPS2**S4*</t>
  </si>
  <si>
    <t>EMPS2**S5***</t>
  </si>
  <si>
    <t>EMPSA05BT-*</t>
  </si>
  <si>
    <t>EMPSA05BU-*</t>
  </si>
  <si>
    <t>EMPSB0C97-X</t>
  </si>
  <si>
    <t>EMPSC07M9-X</t>
  </si>
  <si>
    <t>ENT3B3*</t>
  </si>
  <si>
    <t>ENFSGS3*</t>
  </si>
  <si>
    <t>ENFSGS4***</t>
  </si>
  <si>
    <t>ELUC3H010*</t>
  </si>
  <si>
    <t>SoundOff Signal 3" mpower Lights Quick, Stud or Screw Mount Dual Color Pair</t>
  </si>
  <si>
    <t>SoundOff Signal 3" mpower Lights Quick, Stud or Screw Mount Tri Color Pair</t>
  </si>
  <si>
    <t>SoundOff Signal 4" mpower Lights Quick, Stud or Screw Mount Dual Color Pair</t>
  </si>
  <si>
    <t>SoundOff Signal 4" mpower Lights Quick, Stud or Screw Mount Tri Color Pair</t>
  </si>
  <si>
    <t>SoundOff Signal 4x2 mpower Lights Quick, Stud or Screw Mount Dual Color Pair</t>
  </si>
  <si>
    <t>SoundOff Signal 4x2 mpower Lights Quick, Stud or Screw Mount Tri Color Pair</t>
  </si>
  <si>
    <t>SoundOff Signal 6"x4" mpower with Screw Mount 24 LED (Dual) 9-32 Volt SAE with 1.5' Pigtail Clear Housing/Lens Pair</t>
  </si>
  <si>
    <t>SoundOff Signal 7"x3" mpower with Screw Mount 24 LED (Dual) 9-32 Volt SAE with 1.5' Pigtail Clear Housing/Lens Pair</t>
  </si>
  <si>
    <t>SoundOff Signal Intersector Under Mirror Lights Pair</t>
  </si>
  <si>
    <t>SoundOff Signal Nforce Single Deck and Grille Pair</t>
  </si>
  <si>
    <t>SoundOff Signal Universal Undercover "Hide-a-LED" Pair</t>
  </si>
  <si>
    <t>PS*02FCR</t>
  </si>
  <si>
    <t>Whelen-DUO LINEAR ION , one pair</t>
  </si>
  <si>
    <t>Whelen Model Super thin Surface mount ION, dual color (Pair)</t>
  </si>
  <si>
    <t xml:space="preserve">Whelen M9 Series Super-LED, Flush Mount (pair)  </t>
  </si>
  <si>
    <t xml:space="preserve">Whelen M4 Series Super-LED, Flush Mount (pair)  </t>
  </si>
  <si>
    <t xml:space="preserve">Whelen M2 Series Super-LED, Flush Mount (pair)   </t>
  </si>
  <si>
    <t xml:space="preserve">Whelen M6 Series Super-LED, Flush Mount (pair) </t>
  </si>
  <si>
    <t xml:space="preserve">Whelen M7 Series Super-LED, Flush Mount(pair)   </t>
  </si>
  <si>
    <t xml:space="preserve">Whelen Pioneer Nano-3 Series Bail Mount Black </t>
  </si>
  <si>
    <t>Whelen Pioneer Nano-6 Series Bail Mount Black</t>
  </si>
  <si>
    <t>Whelen Super LED Work light with pedestal housing (PAR 46)</t>
  </si>
  <si>
    <t>Whelen 180Deg Warning, TD and Puddle Light Combo, Universal Mnt. White Hsg Choose LED Color</t>
  </si>
  <si>
    <t xml:space="preserve">Whelen 180Deg Warning, TD and Puddle Light Combo, Universal Mnt. </t>
  </si>
  <si>
    <t xml:space="preserve">Whelen Super LED Work light with pedestal housing (PAR 36) </t>
  </si>
  <si>
    <t>Whelen DUO DIRECTIONAL LT Pair</t>
  </si>
  <si>
    <t>Running Board Lights</t>
  </si>
  <si>
    <t>TCRWX1*</t>
  </si>
  <si>
    <t>TCRWX2*</t>
  </si>
  <si>
    <t>TCRWX5*</t>
  </si>
  <si>
    <t>TCRWX6*</t>
  </si>
  <si>
    <t>Whelen WCX Tracer 2 Lamp Super-LED Light Array Duo, Requires Bracket, additional</t>
  </si>
  <si>
    <t>Whelen WCX Tracer 5 Lamp Super-LED Light Array Duo, Requires Bracket, additional</t>
  </si>
  <si>
    <t>Whelen WCX Tracer 6 Lamp Super-LED Light Array Duo, Requires Bracket, additional</t>
  </si>
  <si>
    <t>Whelen WCX Tracer 1 Lamp Super-LED Light Array Duo, Requires Bracket, additional</t>
  </si>
  <si>
    <t>Perimeter Lighting</t>
  </si>
  <si>
    <t>ESLRL6115 X</t>
  </si>
  <si>
    <t>ESLRL7316 X</t>
  </si>
  <si>
    <t>Soundoff Signal SL Running Light, 61" - 5 Module, Dual Color Each</t>
  </si>
  <si>
    <t>Soundoff Signal SL Running Light, 72" - 6 Module, Dual Color Each</t>
  </si>
  <si>
    <t>SoundOff Signal mpower® 9x7 Warning Light w/ Screw Mount,  Pair</t>
  </si>
  <si>
    <t>SoundOff Signal Red White Dome Lamp 6"</t>
  </si>
  <si>
    <t>SoundOff Signal 6x3 Flushmount White DomeLight</t>
  </si>
  <si>
    <t>Whelen Headlamp flasher positive output, solid state Model</t>
  </si>
  <si>
    <t>Whelen Headlamp flasher positive or negative output Model</t>
  </si>
  <si>
    <t xml:space="preserve">Federal Singal Flasher for tailight universal applications.  </t>
  </si>
  <si>
    <t xml:space="preserve">Federal Signal flasher for positive side switched systems, 18" sire leads </t>
  </si>
  <si>
    <t xml:space="preserve">Federal Signal flasher for LED halo lighting </t>
  </si>
  <si>
    <t>SoundOff Signal Select-A-Pattern Headlight Flasher, Solid State w/ 18" wire leads 9.5 amp</t>
  </si>
  <si>
    <t>SoundOff Signal Select-A-Pattern Headlight Flasher, Solid State, 12v Isolation Model (for systems requiring electrical isolation)</t>
  </si>
  <si>
    <t xml:space="preserve">Federal sIngal compartment lighting, 3" round surface mount,. (6) WHITE LED's. </t>
  </si>
  <si>
    <t xml:space="preserve">Federal sIngal compartment lighting, 3" round surface mount,. (3) WHITE LED's and (3) RED LED's </t>
  </si>
  <si>
    <t xml:space="preserve">Federal Signal interior compartment light, 6" round, on/off switch RED/WHITE LED's.  </t>
  </si>
  <si>
    <t xml:space="preserve">Federal Signal Commander Interior 5" light.  Low profile surface mount with polycarbonate clear lens. </t>
  </si>
  <si>
    <t>SoundOff Signal LED Dome Light, 6" Round w/ Red LED Night Light, 10-30v - White LEDs/White Lens</t>
  </si>
  <si>
    <t>Whelen 3" Compartment Light White</t>
  </si>
  <si>
    <t>Whelen 3" Round Compartment Light Split Red/White</t>
  </si>
  <si>
    <t>Decatur G3-RADAR-2KAD-MPH Ka Directional, Dual Antenna, MPH or KPH, includes brackets</t>
  </si>
  <si>
    <t>MPH BEE3_1K        BEE3_1K_C K-band patch single package</t>
  </si>
  <si>
    <t>MPH BEE3_2K        BEE3_2K_C K-band patch dual package</t>
  </si>
  <si>
    <t>"MPH PYT3STD_2KA
PYT3STD_2KA_FL
PYT3STD_2KA_NC Ka-band dual package"</t>
  </si>
  <si>
    <t>"MPH BEE3_1KA     BEE3_1KA_C
BEE3_1KA_FL     BEE3_1KA_FL_C
BEE3_1KA_NC     BEE3_1KA_NC_C
BEE3_1KA_WV    BEE3_1KA_WV_C Ka-band single package"</t>
  </si>
  <si>
    <t>S90 Std 1 Dwr</t>
  </si>
  <si>
    <t>N-VLS90S1-17N</t>
  </si>
  <si>
    <t>S90 Utl 1 Dwr</t>
  </si>
  <si>
    <t>N-VLS90U1-17N</t>
  </si>
  <si>
    <t>S90 Mag 1 Dwr</t>
  </si>
  <si>
    <t>N-VLS90M1-17N</t>
  </si>
  <si>
    <t>S90</t>
  </si>
  <si>
    <t>Behind 3rd Row Seat</t>
  </si>
  <si>
    <t>XC 90 Utility 1 Dwr</t>
  </si>
  <si>
    <t>T-VLXC9U1-14S</t>
  </si>
  <si>
    <t>XC 90 Std 2 Dwr</t>
  </si>
  <si>
    <t>T-VLXC9S2-14N</t>
  </si>
  <si>
    <t>T-VLXC9S2-03N</t>
  </si>
  <si>
    <t>XC 90 Std 1 Dwr</t>
  </si>
  <si>
    <t>T-VLXC9S1-14S</t>
  </si>
  <si>
    <t>3rd Row Folded</t>
  </si>
  <si>
    <t>T-VLXC9S1-14N</t>
  </si>
  <si>
    <t>T-VLXC9S1-03N</t>
  </si>
  <si>
    <t>XC 90 Mag 2 Dwr</t>
  </si>
  <si>
    <t>T-VLXC9M2-03N</t>
  </si>
  <si>
    <t>XC 90 Mag 1 Dwr</t>
  </si>
  <si>
    <t>T-VLXC9M1-14S</t>
  </si>
  <si>
    <t>T-VLXC9M1-14N</t>
  </si>
  <si>
    <t>T-VLXC9M1-03N</t>
  </si>
  <si>
    <t>XC 90 Investigator</t>
  </si>
  <si>
    <t>C-VLXC9N3-03I</t>
  </si>
  <si>
    <t>XC 90</t>
  </si>
  <si>
    <t>Wagon</t>
  </si>
  <si>
    <t>XC 70 Std OS Dwr</t>
  </si>
  <si>
    <t>T-VLXC7SO-00N</t>
  </si>
  <si>
    <t>XC 70 Std 2 Dwr</t>
  </si>
  <si>
    <t>T-VLXC7S2-08N</t>
  </si>
  <si>
    <t>XC 70 Std 1 Dwr</t>
  </si>
  <si>
    <t>T-VLXC7S1-08N</t>
  </si>
  <si>
    <t>XC 70 Mag 2 Dwr Offset</t>
  </si>
  <si>
    <t>T-VLXC7MO-00N-HT</t>
  </si>
  <si>
    <t>T-VLXC7MO-00N</t>
  </si>
  <si>
    <t>XC 70 Mag 2 Dwr</t>
  </si>
  <si>
    <t>T-VLXC7M2-08N</t>
  </si>
  <si>
    <t>T-VLXC7M2-00N</t>
  </si>
  <si>
    <t>XC 70 Mag 1 Dwr</t>
  </si>
  <si>
    <t>T-VLXC7M1-08N</t>
  </si>
  <si>
    <t>XC 70</t>
  </si>
  <si>
    <t>XC 60 Std 2 Dwr</t>
  </si>
  <si>
    <t>T-VLXC6S2-09N</t>
  </si>
  <si>
    <t>XC 60 Std 1 Dwr</t>
  </si>
  <si>
    <t>T-VLXC6S1-09N</t>
  </si>
  <si>
    <t>XC 60 Mag 2 Dwr</t>
  </si>
  <si>
    <t>T-VLXC6M2-09N</t>
  </si>
  <si>
    <t>XC 60 Mag 1 Dwr</t>
  </si>
  <si>
    <t>T-VLXC6M1-17N</t>
  </si>
  <si>
    <t>Heavy Duty Table</t>
  </si>
  <si>
    <t>T-VLXC6M1-09N-HT</t>
  </si>
  <si>
    <t>T-VLXC6M1-09N</t>
  </si>
  <si>
    <t>XC 60</t>
  </si>
  <si>
    <t>V90 Std 1 Drawer</t>
  </si>
  <si>
    <t>T-VLV90S1-17N</t>
  </si>
  <si>
    <t>V90</t>
  </si>
  <si>
    <t>V70 Std 2 Drawer</t>
  </si>
  <si>
    <t>T-VLV7NS2-08N</t>
  </si>
  <si>
    <t>V70 Std 1 Drawer</t>
  </si>
  <si>
    <t>T-VLV7NS1-08N</t>
  </si>
  <si>
    <t>V70 Mag 2 Drawer</t>
  </si>
  <si>
    <t>T-VLV7NM2-08N</t>
  </si>
  <si>
    <t>V70 Mag 1 Drawer</t>
  </si>
  <si>
    <t>T-VLV7NM1-08N</t>
  </si>
  <si>
    <t>V70</t>
  </si>
  <si>
    <t>V60 Utl 1 Drawer</t>
  </si>
  <si>
    <t>T-VLV60U1-19N</t>
  </si>
  <si>
    <t>V60</t>
  </si>
  <si>
    <t>Volvo</t>
  </si>
  <si>
    <t>Touareg Std Offset Dwr</t>
  </si>
  <si>
    <t>T-VWTRGSO-04N</t>
  </si>
  <si>
    <t>Touareg Std 2 Dwr</t>
  </si>
  <si>
    <t>T-VWTRGS2-04N</t>
  </si>
  <si>
    <t>Touraeg Std 1 Dwr</t>
  </si>
  <si>
    <t>T-VWTRGS1-10N</t>
  </si>
  <si>
    <t>T-VWTRGS1-04N</t>
  </si>
  <si>
    <t>Touraeg Mag 1 Dwr</t>
  </si>
  <si>
    <t>T-VWTRGM1-04N</t>
  </si>
  <si>
    <t>T-VWTGNS1-07N</t>
  </si>
  <si>
    <t>Touareg</t>
  </si>
  <si>
    <t>Tiguan Investigator</t>
  </si>
  <si>
    <t>C-VWTGNN2-18I</t>
  </si>
  <si>
    <t>Tiguan Std Offset</t>
  </si>
  <si>
    <t>T-VWTGNSO-07N</t>
  </si>
  <si>
    <t>Tiguan Std 1 Dwr</t>
  </si>
  <si>
    <t>T-VWTGNS1-18N</t>
  </si>
  <si>
    <t>Tiguan Mag Offset Dwr</t>
  </si>
  <si>
    <t>T-VWTGNMO-18N</t>
  </si>
  <si>
    <t>Tiguan Mag 1 Dwr</t>
  </si>
  <si>
    <t>T-VWTGNM1-07N</t>
  </si>
  <si>
    <t>Tiguan Field Ranger</t>
  </si>
  <si>
    <t>C-VWTGNN3-18R</t>
  </si>
  <si>
    <t>Tiguan</t>
  </si>
  <si>
    <t>TrunkVault</t>
  </si>
  <si>
    <t>Passat Patrolman; Elevated Vault</t>
  </si>
  <si>
    <t>N-VWPASN1-20N-HG</t>
  </si>
  <si>
    <t>N-VWPASN1-12N-HG</t>
  </si>
  <si>
    <t>Passat</t>
  </si>
  <si>
    <t>Jetta Sport Wagen Std 2 Dwr</t>
  </si>
  <si>
    <t>T-VWJSWS2-05N</t>
  </si>
  <si>
    <t>Jetta Sport Wagen Std 1 Dwr</t>
  </si>
  <si>
    <t>T-VWJSWS1-05N</t>
  </si>
  <si>
    <t>Jetta Sport Wagen</t>
  </si>
  <si>
    <t>Jetta Elevated</t>
  </si>
  <si>
    <t>N-VWJETN1-19N-HG</t>
  </si>
  <si>
    <t>Jetta Patrolman</t>
  </si>
  <si>
    <t>N-VWJETN1-05N</t>
  </si>
  <si>
    <t>Jetta</t>
  </si>
  <si>
    <t>Golf GTI Std 1 Dwr</t>
  </si>
  <si>
    <t>T-VWGTIS1-13N</t>
  </si>
  <si>
    <t>Golf GTI</t>
  </si>
  <si>
    <t>Golf All Track Standard 2 Dwr</t>
  </si>
  <si>
    <t>T-VWGATS2-15N</t>
  </si>
  <si>
    <t>Golf All Track Mag 2 Dwr</t>
  </si>
  <si>
    <t>T-VWGATM2-15N</t>
  </si>
  <si>
    <t>Golf All Track Mag 1 Dwr</t>
  </si>
  <si>
    <t>T-VWGATM1-15N</t>
  </si>
  <si>
    <t>Golf All Track</t>
  </si>
  <si>
    <t>Golf Mag 2 Dwr</t>
  </si>
  <si>
    <t>T-VWGOLM2-15N</t>
  </si>
  <si>
    <t>Golf</t>
  </si>
  <si>
    <t>Atlas Cross Sport Std 1 Dwr</t>
  </si>
  <si>
    <t>T-VWACSS1-20N</t>
  </si>
  <si>
    <t>Elevated, Radio Tray</t>
  </si>
  <si>
    <t>Atlas Cross Sport Mag 1 Dwr</t>
  </si>
  <si>
    <t>T-VWACSM1-20N-RD-HG</t>
  </si>
  <si>
    <t>Atlas Cross Sport</t>
  </si>
  <si>
    <t>Atlas Utility 2 Dwr</t>
  </si>
  <si>
    <t>T-VWATLU2-18N</t>
  </si>
  <si>
    <t>Atlas Utility 1 Dwr</t>
  </si>
  <si>
    <t>T-VWATLU1-18S</t>
  </si>
  <si>
    <t>Elevated</t>
  </si>
  <si>
    <t>T-VWATLU1-18N-HG</t>
  </si>
  <si>
    <t>T-VWATLU1-18N</t>
  </si>
  <si>
    <t>Atlas Std 2 Dwr Offset</t>
  </si>
  <si>
    <t>T-VWATLSO-18N</t>
  </si>
  <si>
    <t>Atlas Std  2 Dwr</t>
  </si>
  <si>
    <t>T-VWATLS2-18N</t>
  </si>
  <si>
    <t>Atlas Std 1 Dwr</t>
  </si>
  <si>
    <t>T-VWATLS1-18N</t>
  </si>
  <si>
    <t>Atlas Mag Offset Dwr</t>
  </si>
  <si>
    <t>T-VWATLMO-18N</t>
  </si>
  <si>
    <t>Atlas Mag 1 Dwr</t>
  </si>
  <si>
    <t>T-VWATLM1-18N-RD-HG</t>
  </si>
  <si>
    <t>T-VWATLM1-18N-HG</t>
  </si>
  <si>
    <t>T-VWATLM1-18N</t>
  </si>
  <si>
    <t>Atlas</t>
  </si>
  <si>
    <t>Short Bed, Crew Cab</t>
  </si>
  <si>
    <t>Amarok Pickup Std 2 Dwr</t>
  </si>
  <si>
    <t>T-VWAMAS2-15S-PC-PW</t>
  </si>
  <si>
    <t>5' Short Bed</t>
  </si>
  <si>
    <t>Amarok Base Camp 1</t>
  </si>
  <si>
    <t>B-VWAMAN2-10S-PC-BC1</t>
  </si>
  <si>
    <t>Amarok Pickup</t>
  </si>
  <si>
    <t>Volkswagen</t>
  </si>
  <si>
    <t>DO NOT USE</t>
  </si>
  <si>
    <t>Universal Small Std 1 Dwr</t>
  </si>
  <si>
    <t>T-NNUNSS1-50N</t>
  </si>
  <si>
    <t>Most Models</t>
  </si>
  <si>
    <t>Universal</t>
  </si>
  <si>
    <t>Generic ER2</t>
  </si>
  <si>
    <t>G-CMNDN3-4830-ER2</t>
  </si>
  <si>
    <t>Generic Drone Responder 7</t>
  </si>
  <si>
    <t>G-CMNDN2-4832-DR7</t>
  </si>
  <si>
    <t>Generic Drone Responder 10</t>
  </si>
  <si>
    <t>G-CMNDN1-4841-DR10</t>
  </si>
  <si>
    <t>Generic Drone Responder 8</t>
  </si>
  <si>
    <t>G-CMNDN0-4841-DR8</t>
  </si>
  <si>
    <t>Mounting onto TruckGlide</t>
  </si>
  <si>
    <t>Generic Custom</t>
  </si>
  <si>
    <t>G-CMND-9248-PS6</t>
  </si>
  <si>
    <t>Command Center</t>
  </si>
  <si>
    <t>Truckvault Generic</t>
  </si>
  <si>
    <t>95" x 46" - Narrow Cap Door Version</t>
  </si>
  <si>
    <t>TruckGlide 3200lb Full Extension</t>
  </si>
  <si>
    <t>M-TG3200X-9546</t>
  </si>
  <si>
    <t>XL3200</t>
  </si>
  <si>
    <t>92" x 48"; Low Profile Side Rails</t>
  </si>
  <si>
    <t>TruckGlide 2000lb Full Extension</t>
  </si>
  <si>
    <t>M-TG2000X-9248-LP</t>
  </si>
  <si>
    <t>92" x 48"</t>
  </si>
  <si>
    <t>M-TG2000X-9248</t>
  </si>
  <si>
    <t>92" x 46" - Narrow Cap Door Version</t>
  </si>
  <si>
    <t>M-TG2000X-9246</t>
  </si>
  <si>
    <t>92" x 24"</t>
  </si>
  <si>
    <t>M-TG2000X-9224</t>
  </si>
  <si>
    <t>90" x 48"</t>
  </si>
  <si>
    <t>M-TG2000X-9048</t>
  </si>
  <si>
    <t>90" x 24"</t>
  </si>
  <si>
    <t>M-TG2000X-9024</t>
  </si>
  <si>
    <t>XL2000</t>
  </si>
  <si>
    <t>80" x 24"</t>
  </si>
  <si>
    <t>TruckGlide 1500lb Full Extension</t>
  </si>
  <si>
    <t>M-TG1500X-8024</t>
  </si>
  <si>
    <t>77" x 48"; Low Profile Side Rails</t>
  </si>
  <si>
    <t>M-TG1500X-7748-LP</t>
  </si>
  <si>
    <t>77" x 48"</t>
  </si>
  <si>
    <t>M-TG1500X-7748</t>
  </si>
  <si>
    <t>77" x 46" - Narrow Cap Door Version</t>
  </si>
  <si>
    <t>M-TG1500X-7746</t>
  </si>
  <si>
    <t>77" x 24"</t>
  </si>
  <si>
    <t>M-TG1500X-7724</t>
  </si>
  <si>
    <t>73" x 48"; Low Profile Side Rails</t>
  </si>
  <si>
    <t>M-TG1500X-7348-LP</t>
  </si>
  <si>
    <t>73" x 48"</t>
  </si>
  <si>
    <t>M-TG1500X-7348</t>
  </si>
  <si>
    <t>73" x 39.5"</t>
  </si>
  <si>
    <t>M-TG1500X-7339</t>
  </si>
  <si>
    <t>73" x 24"</t>
  </si>
  <si>
    <t>M-TG1500X-7324</t>
  </si>
  <si>
    <t>65" x 48"; Low Profile Side Rails</t>
  </si>
  <si>
    <t>M-TG1500X-6548-LP</t>
  </si>
  <si>
    <t>65" x 48"</t>
  </si>
  <si>
    <t>M-TG1500X-6548</t>
  </si>
  <si>
    <t>65" x 42"</t>
  </si>
  <si>
    <t>M-TG1500X-6542</t>
  </si>
  <si>
    <t>65" x 24"</t>
  </si>
  <si>
    <t>M-TG1500X-6524</t>
  </si>
  <si>
    <t>60" x 48"; Low Profile Side Rails</t>
  </si>
  <si>
    <t>M-TG1500X-6048-LP</t>
  </si>
  <si>
    <t>60" x 48"</t>
  </si>
  <si>
    <t>M-TG1500X-6048</t>
  </si>
  <si>
    <t>60" x 42"</t>
  </si>
  <si>
    <t>M-TG1500X-6042</t>
  </si>
  <si>
    <t>60" x 24"</t>
  </si>
  <si>
    <t>M-TG1500X-6024</t>
  </si>
  <si>
    <t>56" x 42"</t>
  </si>
  <si>
    <t>M-TG1500X-5642</t>
  </si>
  <si>
    <t>56" x 20"</t>
  </si>
  <si>
    <t>M-TG1500X-5620</t>
  </si>
  <si>
    <t>53" x 42"</t>
  </si>
  <si>
    <t>M-TG1500X-5342</t>
  </si>
  <si>
    <t>XL1500</t>
  </si>
  <si>
    <t>TruckGlide</t>
  </si>
  <si>
    <t>Crown Trunkvault</t>
  </si>
  <si>
    <t>N-TYCRNN1-23N-HG</t>
  </si>
  <si>
    <t>Crown</t>
  </si>
  <si>
    <t>TrunkVault, 4 Door Hatchback</t>
  </si>
  <si>
    <t>Toyota Yaris</t>
  </si>
  <si>
    <t>N-TYYARN1-05N</t>
  </si>
  <si>
    <t>Yaris</t>
  </si>
  <si>
    <t>Venza Std 2 Dwr</t>
  </si>
  <si>
    <t>T-TYVENS2-09N</t>
  </si>
  <si>
    <t>Venza Std 1 Dwr</t>
  </si>
  <si>
    <t>T-TYVENS1-09N</t>
  </si>
  <si>
    <t>Venza Mag 2 Dwr</t>
  </si>
  <si>
    <t>T-TYVENM2-09N</t>
  </si>
  <si>
    <t>Venza Mag 1 Dwr</t>
  </si>
  <si>
    <t>T-TYVENM1-09N</t>
  </si>
  <si>
    <t>Venza</t>
  </si>
  <si>
    <t>CrewMax, Short Bed</t>
  </si>
  <si>
    <t>Tundra Stepside Pickup Std 2 Dwr</t>
  </si>
  <si>
    <t>T-TYTUSS2-07S-PX</t>
  </si>
  <si>
    <t>74.3" Bed; Stepside</t>
  </si>
  <si>
    <t>Tundra Pickup Std 2 Dwr</t>
  </si>
  <si>
    <t>T-TYTUSS2-04S</t>
  </si>
  <si>
    <t>Tundra Stepside Pickup</t>
  </si>
  <si>
    <t>Short Bed, A-Wthr</t>
  </si>
  <si>
    <t>Tundra Pickup Utility Offset Dwr</t>
  </si>
  <si>
    <t>T-TYTUNUO-22S-PW</t>
  </si>
  <si>
    <t>5'6", A-Wthr; Retrax</t>
  </si>
  <si>
    <t>T-TYTUNUO-22S-PC-RX-PW</t>
  </si>
  <si>
    <t>5'6", A-Wthr</t>
  </si>
  <si>
    <t>T-TYTUNUO-22S-PC-PW</t>
  </si>
  <si>
    <t>T-TYTUNUO-22S-PC</t>
  </si>
  <si>
    <t>Long Bed</t>
  </si>
  <si>
    <t>T-TYTUNUO-22L</t>
  </si>
  <si>
    <t>CrewMax, SB, A-Wthr ReTrax</t>
  </si>
  <si>
    <t>Tundra Pickup Utility OS Dwr</t>
  </si>
  <si>
    <t>T-TYTUNUO-07S-PX-RX-PW</t>
  </si>
  <si>
    <t>CrewMax, SB, A-Wthr</t>
  </si>
  <si>
    <t>T-TYTUNUO-07S-PX-PW</t>
  </si>
  <si>
    <t>T-TYTUNUO-07S-PX</t>
  </si>
  <si>
    <t>T-TYTUNUO-07S-PW</t>
  </si>
  <si>
    <t>Short Bed</t>
  </si>
  <si>
    <t>T-TYTUNUO-07S</t>
  </si>
  <si>
    <t>T-TYTUNUO-07L</t>
  </si>
  <si>
    <t>T-TYTUNUO-00S-PW</t>
  </si>
  <si>
    <t>T-TYTUNUO-00S</t>
  </si>
  <si>
    <t>6'6", A-Wthr</t>
  </si>
  <si>
    <t>Tundra Pickup Utility 2 Dwr</t>
  </si>
  <si>
    <t>T-TYTUNU2-22S-PW</t>
  </si>
  <si>
    <t>T-TYTUNU2-22S-PC-PW</t>
  </si>
  <si>
    <t>5'6" Bed</t>
  </si>
  <si>
    <t>Tundra Pickup Utl 2 Dwr</t>
  </si>
  <si>
    <t>T-TYTUNU2-22S-PC</t>
  </si>
  <si>
    <t>6' Bed</t>
  </si>
  <si>
    <t>T-TYTUNU2-22S</t>
  </si>
  <si>
    <t>Long Bed, A-Wthr</t>
  </si>
  <si>
    <t>T-TYTUNU2-22L-PW</t>
  </si>
  <si>
    <t>8' Bed</t>
  </si>
  <si>
    <t>T-TYTUNU2-22L</t>
  </si>
  <si>
    <t>T-TYTUNU2-07S-PX-PW</t>
  </si>
  <si>
    <t>T-TYTUNU2-07S-PX</t>
  </si>
  <si>
    <t>T-TYTUNU2-07S-PW</t>
  </si>
  <si>
    <t>T-TYTUNU2-07S</t>
  </si>
  <si>
    <t>T-TYTUNU2-07L-PW</t>
  </si>
  <si>
    <t>T-TYTUNU2-07L</t>
  </si>
  <si>
    <t>T-TYTUNU2-00S-PW</t>
  </si>
  <si>
    <t>T-TYTUNU2-00S</t>
  </si>
  <si>
    <t>5''6", All Wthr; Passenger Side</t>
  </si>
  <si>
    <t>Tundra Utility 1 Dwr Half Width</t>
  </si>
  <si>
    <t>T-TYTUNU1-22S-PC-HP-PW</t>
  </si>
  <si>
    <t>5'6" Bed; Driver side</t>
  </si>
  <si>
    <t>T-TYTUNU1-22S-PC-HD</t>
  </si>
  <si>
    <t>6'', All Wthr; Passenger Side</t>
  </si>
  <si>
    <t>T-TYTUNU1-22S-HP-PW</t>
  </si>
  <si>
    <t>Short Bed; Passenger Side, All-Wthr</t>
  </si>
  <si>
    <t>Tundra Pickup Utility 1 Dwr</t>
  </si>
  <si>
    <t>T-TYTUNU1-07S-PX-HP-PW</t>
  </si>
  <si>
    <t>Short Bed; Passenger Side</t>
  </si>
  <si>
    <t>T-TYTUNU1-07S-PX-HP</t>
  </si>
  <si>
    <t>Short Bed; Driver Side, All-Wthr</t>
  </si>
  <si>
    <t>T-TYTUNU1-07S-PX-HD-PW</t>
  </si>
  <si>
    <t>Short Bed; Driver Side</t>
  </si>
  <si>
    <t>T-TYTUNU1-07S-PX-HD</t>
  </si>
  <si>
    <t>6'6"  Short Bed; Passenger Side</t>
  </si>
  <si>
    <t>T-TYTUNU1-07S-HP</t>
  </si>
  <si>
    <t>6'6", All Wthr;Driver'sSide</t>
  </si>
  <si>
    <t>T-TYTUNU1-07S-HD-PW</t>
  </si>
  <si>
    <t>Tundra Pickup Std OS Dwr</t>
  </si>
  <si>
    <t>T-TYTUNSO-22S-PW</t>
  </si>
  <si>
    <t>Crew Cab, Short Bed, A-Wthr</t>
  </si>
  <si>
    <t>T-TYTUNSO-22S-PC-PW</t>
  </si>
  <si>
    <t>Crew Cab, Short Bed</t>
  </si>
  <si>
    <t>Tundra Pickup Std OS  Dwr</t>
  </si>
  <si>
    <t>T-TYTUNSO-22S-PC</t>
  </si>
  <si>
    <t>Tundra Pickup Std Offset Dwr</t>
  </si>
  <si>
    <t>T-TYTUNSO-07S-PX-PW</t>
  </si>
  <si>
    <t>T-TYTUNSO-07S-PX</t>
  </si>
  <si>
    <t>T-TYTUNSO-07S-PW</t>
  </si>
  <si>
    <t>78" Bed,Tbl Ext</t>
  </si>
  <si>
    <t>T-TYTUNSO-07S-PT</t>
  </si>
  <si>
    <t>T-TYTUNSO-07S</t>
  </si>
  <si>
    <t>T-TYTUNSO-07L-PW</t>
  </si>
  <si>
    <t>T-TYTUNSO-07L</t>
  </si>
  <si>
    <t>74.3" Bed, Double Cab, A-Wthr</t>
  </si>
  <si>
    <t>T-TYTUNSO-04S-PD-PW</t>
  </si>
  <si>
    <t>74.3" Bed, Double Cab</t>
  </si>
  <si>
    <t>T-TYTUNSO-04S-PD</t>
  </si>
  <si>
    <t>T-TYTUNSO-00S-PW</t>
  </si>
  <si>
    <t>T-TYTUNSO-00S</t>
  </si>
  <si>
    <t>T-TYTUNSO-00L-PW</t>
  </si>
  <si>
    <t>T-TYTUNSO-00L</t>
  </si>
  <si>
    <t>T-TYTUNS2-22S-PW</t>
  </si>
  <si>
    <t>5' 6", All Weather</t>
  </si>
  <si>
    <t>T-TYTUNS2-22S-PC-PW</t>
  </si>
  <si>
    <t>T-TYTUNS2-22S-PC</t>
  </si>
  <si>
    <t>T-TYTUNS2-22S</t>
  </si>
  <si>
    <t>Long  Bed, A-Wthr</t>
  </si>
  <si>
    <t>T-TYTUNS2-22L-PW</t>
  </si>
  <si>
    <t>T-TYTUNS2-22L</t>
  </si>
  <si>
    <t>T-TYTUNS2-07S-PX-PW</t>
  </si>
  <si>
    <t>CrewMax, Short Bed, Table Ext</t>
  </si>
  <si>
    <t>T-TYTUNS2-07S-PX-PT</t>
  </si>
  <si>
    <t>CrewMax, SB, Hvy Dty Tbl</t>
  </si>
  <si>
    <t>T-TYTUNS2-07S-PX-HT</t>
  </si>
  <si>
    <t>T-TYTUNS2-07S-PX</t>
  </si>
  <si>
    <t>T-TYTUNS2-07S-PW</t>
  </si>
  <si>
    <t>Short Bed; Heavy Duty Table</t>
  </si>
  <si>
    <t>T-TYTUNS2-07S-HT</t>
  </si>
  <si>
    <t>T-TYTUNS2-07S</t>
  </si>
  <si>
    <t>T-TYTUNS2-07L-PW</t>
  </si>
  <si>
    <t>Long Bed, Table Extention</t>
  </si>
  <si>
    <t>T-TYTUNS2-07L-PT</t>
  </si>
  <si>
    <t>T-TYTUNS2-07L</t>
  </si>
  <si>
    <t>T-TYTUNS2-04S-PD-PW</t>
  </si>
  <si>
    <t>74.3" Bed, DC, Tbl Ext</t>
  </si>
  <si>
    <t>T-TYTUNS2-04S-PD-PT</t>
  </si>
  <si>
    <t>T-TYTUNS2-04S-PD</t>
  </si>
  <si>
    <t>T-TYTUNS2-00S-PW</t>
  </si>
  <si>
    <t>T-TYTUNS2-00S</t>
  </si>
  <si>
    <t>T-TYTUNS2-00L-PW</t>
  </si>
  <si>
    <t>T-TYTUNS2-00L</t>
  </si>
  <si>
    <t>Crew Cab, Short Bed, Pass Side, AW</t>
  </si>
  <si>
    <t>Tundra Pickup Std 1  Dwr</t>
  </si>
  <si>
    <t>T-TYTUNS1-22S-PC-HP-PW</t>
  </si>
  <si>
    <t>Crew Cab, Short Bed, Drivers Side, AW</t>
  </si>
  <si>
    <t>T-TYTUNS1-22S-PC-HD-PW</t>
  </si>
  <si>
    <t>Crew Cab, Short Bed, Drivers Side</t>
  </si>
  <si>
    <t>T-TYTUNS1-22S-PC-HD</t>
  </si>
  <si>
    <t>5'6", All Wthr;Passenger Side</t>
  </si>
  <si>
    <t>Tundra Std 1 Dwr Half Width</t>
  </si>
  <si>
    <t>T-TYTUNS1-22S-HP-PW</t>
  </si>
  <si>
    <t>Short Bed; Passenger Side ReTrax</t>
  </si>
  <si>
    <t>Tundra Pickup Std 1 Dwr</t>
  </si>
  <si>
    <t>T-TYTUNS1-07S-PX-HP-RX</t>
  </si>
  <si>
    <t>CrewMax, All Wthr; Passenger Side</t>
  </si>
  <si>
    <t>T-TYTUNS1-07S-PX-HP-PW</t>
  </si>
  <si>
    <t>T-TYTUNS1-07S-PX-HP</t>
  </si>
  <si>
    <t>CrewMax, All Wthr; Driver Side</t>
  </si>
  <si>
    <t>T-TYTUNS1-07S-PX-HD-PW</t>
  </si>
  <si>
    <t>Short Bed; Drivers Side</t>
  </si>
  <si>
    <t>T-TYTUNS1-07S-PX-HD</t>
  </si>
  <si>
    <t>6'6", All Wthr;Passenger Side</t>
  </si>
  <si>
    <t>T-TYTUNS1-07S-HP-PW</t>
  </si>
  <si>
    <t>T-TYTUNS1-07S-HP</t>
  </si>
  <si>
    <t>T-TYTUNS1-07S-HD-PW</t>
  </si>
  <si>
    <t>T-TYTUNS1-07S-HD</t>
  </si>
  <si>
    <t>T-TYTUNS1-00S-HP-PW</t>
  </si>
  <si>
    <t>T-TYTUNS1-00S-HD</t>
  </si>
  <si>
    <t>AW</t>
  </si>
  <si>
    <t>Tundra Pickup Mag OS Dwr</t>
  </si>
  <si>
    <t>T-TYTUNMO-22S-PW</t>
  </si>
  <si>
    <t>T-TYTUNMO-22S-PC-PW</t>
  </si>
  <si>
    <t>Tundra Pickup OS 2 Dwr</t>
  </si>
  <si>
    <t>T-TYTUNMO-22S-PC</t>
  </si>
  <si>
    <t>T-TYTUNMO-22S</t>
  </si>
  <si>
    <t>SB,Shortened for Remax,  A-Wthr</t>
  </si>
  <si>
    <t>T-TYTUNMO-07S-PX-RX-PW</t>
  </si>
  <si>
    <t>T-TYTUNMO-07S-PX-PW</t>
  </si>
  <si>
    <t>CrewMax, Short Bed, Tbl Ext</t>
  </si>
  <si>
    <t>T-TYTUNMO-07S-PX-PT</t>
  </si>
  <si>
    <t>CrewMax, Short Bed, Heavy Tbl</t>
  </si>
  <si>
    <t>T-TYTUNMO-07S-PX-HT</t>
  </si>
  <si>
    <t>T-TYTUNMO-07S-PX</t>
  </si>
  <si>
    <t>T-TYTUNMO-07S-PW</t>
  </si>
  <si>
    <t>78" Bed, Tbl Ext</t>
  </si>
  <si>
    <t>T-TYTUNMO-07S-PT</t>
  </si>
  <si>
    <t>Tundra Pickup Mag Offset Dwr</t>
  </si>
  <si>
    <t>T-TYTUNMO-07S</t>
  </si>
  <si>
    <t>8' Bed, A-Wthr</t>
  </si>
  <si>
    <t>T-TYTUNMO-07L-PW</t>
  </si>
  <si>
    <t>T-TYTUNMO-07L</t>
  </si>
  <si>
    <t>74.3" Bed, DC, AW</t>
  </si>
  <si>
    <t>T-TYTUNMO-04S-PD-PW</t>
  </si>
  <si>
    <t>T-TYTUNMO-03S-PD-PW</t>
  </si>
  <si>
    <t>Short Bed, Tbl Ext.</t>
  </si>
  <si>
    <t>T-TYTUNMO-03S-PD-PT</t>
  </si>
  <si>
    <t>T-TYTUNMO-03S-PD</t>
  </si>
  <si>
    <t>T-TYTUNMO-00S-PW</t>
  </si>
  <si>
    <t>T-TYTUNMO-00S</t>
  </si>
  <si>
    <t>6'5", A-Wthr</t>
  </si>
  <si>
    <t>Tundra Pickup Mag 2 Dwr</t>
  </si>
  <si>
    <t>T-TYTUNM2-22S-PW</t>
  </si>
  <si>
    <t>T-TYTUNM2-22S-PC-PW</t>
  </si>
  <si>
    <t>T-TYTUNM2-22S-PC</t>
  </si>
  <si>
    <t>T-TYTUNM2-22S</t>
  </si>
  <si>
    <t>T-TYTUNM2-22L-PW</t>
  </si>
  <si>
    <t>T-TYTUNM2-07S-PX-PW</t>
  </si>
  <si>
    <t>T-TYTUNM2-07S-PX</t>
  </si>
  <si>
    <t>T-TYTUNM2-07S-PW</t>
  </si>
  <si>
    <t>T-TYTUNM2-07S-PD</t>
  </si>
  <si>
    <t>T-TYTUNM2-07S</t>
  </si>
  <si>
    <t>T-TYTUNM2-07L-PW</t>
  </si>
  <si>
    <t>T-TYTUNM2-07L</t>
  </si>
  <si>
    <t>T-TYTUNM2-04S-PD-PW</t>
  </si>
  <si>
    <t>T-TYTUNM2-04S-PD</t>
  </si>
  <si>
    <t>T-TYTUNM2-03S-PD-PT</t>
  </si>
  <si>
    <t>T-TYTUNM2-03S-PD</t>
  </si>
  <si>
    <t>T-TYTUNM2-00S-PT</t>
  </si>
  <si>
    <t>T-TYTUNM2-00S</t>
  </si>
  <si>
    <t>T-TYTUNM2-00L</t>
  </si>
  <si>
    <t>Tundra Mag 1 Dwr Half Width</t>
  </si>
  <si>
    <t>T-TYTUNM1-22S-PC-HP-PW</t>
  </si>
  <si>
    <t>Crew Cab, Short Bed, Passenger Side</t>
  </si>
  <si>
    <t>Tundra Pickup Mag 1  Dwr</t>
  </si>
  <si>
    <t>T-TYTUNM1-22S-PC-HP</t>
  </si>
  <si>
    <t>5'6", All Wthr; Drivers Side</t>
  </si>
  <si>
    <t>T-TYTUNM1-22S-PC-HD-PW</t>
  </si>
  <si>
    <t>T-TYTUNM1-22S-PC-HD</t>
  </si>
  <si>
    <t>6' 6", All Weather; Drivers Side; Retrax</t>
  </si>
  <si>
    <t>T-TYTUNM1-22S-HP-RX-PW</t>
  </si>
  <si>
    <t>6' 6", All Weather; Drivers Side</t>
  </si>
  <si>
    <t>T-TYTUNM1-22S-HP-PW</t>
  </si>
  <si>
    <t>T-TYTUNM1-22S-HD-PW</t>
  </si>
  <si>
    <t>Tundra Mag 1 Dwr Half Width ReTrax</t>
  </si>
  <si>
    <t>T-TYTUNM1-07S-PX-HP-RX-PW</t>
  </si>
  <si>
    <t>T-TYTUNM1-07S-PX-HP-PW</t>
  </si>
  <si>
    <t>Tundra Pickup Mag 1 Dwr</t>
  </si>
  <si>
    <t>T-TYTUNM1-07S-PX-HP</t>
  </si>
  <si>
    <t>CrewMax, All Wthr; Drivers Side</t>
  </si>
  <si>
    <t>T-TYTUNM1-07S-PX-HD-RX-PW</t>
  </si>
  <si>
    <t>T-TYTUNM1-07S-PX-HD-PW</t>
  </si>
  <si>
    <t>T-TYTUNM1-07S-PX-HD</t>
  </si>
  <si>
    <t>Shortbed, All Wthr; Passenger Side</t>
  </si>
  <si>
    <t>T-TYTUNM1-07S-HP-RX-PW</t>
  </si>
  <si>
    <t>T-TYTUNM1-07S-HP-PW</t>
  </si>
  <si>
    <t>T-TYTUNM1-07S-HP</t>
  </si>
  <si>
    <t>Drivers Side</t>
  </si>
  <si>
    <t>T-TYTUNM1-07S-HD</t>
  </si>
  <si>
    <t>T-TYTUNM1-07L-HD</t>
  </si>
  <si>
    <t>74.3"Bed,All Wthr; Pass Side</t>
  </si>
  <si>
    <t>T-TYTUNM1-04S-PD-HP-PW</t>
  </si>
  <si>
    <t>74.3" Bed; Passenger Side</t>
  </si>
  <si>
    <t>T-TYTUNM1-04S-PD-HP</t>
  </si>
  <si>
    <t>74.3" Bed; Driver Side</t>
  </si>
  <si>
    <t>T-TYTUNM1-04S-PD-HD</t>
  </si>
  <si>
    <t>T-TYTUNM1-00S-HP-PW</t>
  </si>
  <si>
    <t>6' 6" Bed,Passenger Side</t>
  </si>
  <si>
    <t>T-TYTUNM1-00S-HP</t>
  </si>
  <si>
    <t>Tundra Pickup Ext 2 Dwr</t>
  </si>
  <si>
    <t>T-TYTUNE2-07S-PX-PW</t>
  </si>
  <si>
    <t>5'6", All Wthr; Pass Side</t>
  </si>
  <si>
    <t>Tundra Ext 1 Dwr Half Width</t>
  </si>
  <si>
    <t>T-TYTUNE1-22S-PC-HP-PW</t>
  </si>
  <si>
    <t>5'6", Pass Side</t>
  </si>
  <si>
    <t>T-TYTUNE1-22S-PC-HP</t>
  </si>
  <si>
    <t>5'6", All Wthr; Drivers Side, Retrax</t>
  </si>
  <si>
    <t>T-TYTUNE1-22S-PC-HD-RX-PW</t>
  </si>
  <si>
    <t>T-TYTUNE1-22S-PC-HD-PW</t>
  </si>
  <si>
    <t>Tundra Ext 1 Dwr Half Width ReTrax</t>
  </si>
  <si>
    <t>T-TYTUNE1-07S-PX-HP-RX-PW</t>
  </si>
  <si>
    <t>T-TYTUNE1-07S-PX-HD-PW</t>
  </si>
  <si>
    <t>Only for Double Cab</t>
  </si>
  <si>
    <t>Tundra Pickup SeatVault -Double Cab</t>
  </si>
  <si>
    <t>S-TYTUNL1-07N-PD</t>
  </si>
  <si>
    <t>6' 6", Utility 2 Dwr</t>
  </si>
  <si>
    <t>Tundra Pickup Surveyor</t>
  </si>
  <si>
    <t>C-TYTUNU2-00S-VP</t>
  </si>
  <si>
    <t>Short Bed;</t>
  </si>
  <si>
    <t>Tundra Pickup Command Center</t>
  </si>
  <si>
    <t>C-TYTUNN6-07C-PT</t>
  </si>
  <si>
    <t>6' 6" Short Bed</t>
  </si>
  <si>
    <t>C-TYTUNN4-22S-VP</t>
  </si>
  <si>
    <t>5'6" Bed AW Field Ranger Super Crew</t>
  </si>
  <si>
    <t>Tundra AW Field Ranger Super Crew</t>
  </si>
  <si>
    <t>C-TYTUNN3-22S-PC-CR-PW</t>
  </si>
  <si>
    <t>6'6" Bed AW Field Ranger</t>
  </si>
  <si>
    <t>Tundra AW Field Ranger</t>
  </si>
  <si>
    <t>C-TYTUNN3-22S-CR-PW</t>
  </si>
  <si>
    <t>Tundra Pickup Field Ranger</t>
  </si>
  <si>
    <t>C-TYTUNN3-22S-CR</t>
  </si>
  <si>
    <t>5 1/2' Bed; CrewMax; A/W</t>
  </si>
  <si>
    <t>C-TYTUNN3-07S-PX-CR-PW</t>
  </si>
  <si>
    <t>CrewMax Short Bed</t>
  </si>
  <si>
    <t>C-TYTUNN3-07S-PX-CR</t>
  </si>
  <si>
    <t>Tundra Pickup BowVault</t>
  </si>
  <si>
    <t>C-TYTUNN3-07S-PX-BH-PW</t>
  </si>
  <si>
    <t>CrewMax; Short Bed</t>
  </si>
  <si>
    <t>Tundra Pickup BowHunter</t>
  </si>
  <si>
    <t>C-TYTUNN3-07S-PX-BH</t>
  </si>
  <si>
    <t>C-TYTUNN3-07S-CR-PW</t>
  </si>
  <si>
    <t>6' 6" Short Bed;</t>
  </si>
  <si>
    <t>C-TYTUNN3-07S-CR</t>
  </si>
  <si>
    <t>C-TYTUNN3-00S-CR-PW</t>
  </si>
  <si>
    <t>6' 6", 2 Dwr</t>
  </si>
  <si>
    <t>C-TYTUNM2-07S-VP</t>
  </si>
  <si>
    <t>5' 6", 2 Dwr</t>
  </si>
  <si>
    <t>C-TYTUNM2-07S-PX-VP</t>
  </si>
  <si>
    <t>5.5' bed</t>
  </si>
  <si>
    <t>Tundra Pickup Base Camp 4</t>
  </si>
  <si>
    <t>B-TYTUNN4-22S-PC-BC4</t>
  </si>
  <si>
    <t>6.5' Bed</t>
  </si>
  <si>
    <t>B-TYTUNN4-07S-BC4</t>
  </si>
  <si>
    <t>5' 6" Short Bed</t>
  </si>
  <si>
    <t>Tundra Pickup Base Camp 3</t>
  </si>
  <si>
    <t>B-TYTUNN3-22S-PC-BC3</t>
  </si>
  <si>
    <t>B-TYTUNN3-22S-BC3</t>
  </si>
  <si>
    <t>8' Long Bed</t>
  </si>
  <si>
    <t>B-TYTUNN3-22L-BC3</t>
  </si>
  <si>
    <t>6.5' Bed, Crewmax</t>
  </si>
  <si>
    <t>B-TYTUNN3-07S-PX-BC3</t>
  </si>
  <si>
    <t>B-TYTUNN3-07S-BC3</t>
  </si>
  <si>
    <t>5' 6" Bed</t>
  </si>
  <si>
    <t>Tundra Pickup Base Camp 5</t>
  </si>
  <si>
    <t>B-TYTUNN2-22S-PC-BC5</t>
  </si>
  <si>
    <t>Tundra Pickup Base Camp 1</t>
  </si>
  <si>
    <t>B-TYTUNN2-22S-PC-BC1</t>
  </si>
  <si>
    <t>6' 6" Short Bed, Half Width</t>
  </si>
  <si>
    <t>B-TYTUNN2-22S-HP-BC1</t>
  </si>
  <si>
    <t>Tundra Pickup Base Camp 2</t>
  </si>
  <si>
    <t>B-TYTUNN2-22S-BC2</t>
  </si>
  <si>
    <t>B-TYTUNN2-22S-BC1</t>
  </si>
  <si>
    <t>B-TYTUNN2-07S-PX-BC5</t>
  </si>
  <si>
    <t>B-TYTUNN2-07S-PX-BC2</t>
  </si>
  <si>
    <t>B-TYTUNN2-07S-PX-BC1</t>
  </si>
  <si>
    <t>6' 6" Long Bed</t>
  </si>
  <si>
    <t>B-TYTUNN2-07S-BC5</t>
  </si>
  <si>
    <t>B-TYTUNN2-07S-BC1</t>
  </si>
  <si>
    <t>B-TYTUNN2-07L-BC1</t>
  </si>
  <si>
    <t>B-TYTUNN2-00S-BC1</t>
  </si>
  <si>
    <t>Tundra Pickup</t>
  </si>
  <si>
    <t>5' Short Bed; Pass Side</t>
  </si>
  <si>
    <t>Tacoma Pickup Std 1 Dwr</t>
  </si>
  <si>
    <t>T-TYTACS1-24S-PC-HP</t>
  </si>
  <si>
    <t>5' Short Bed; Drivers Side</t>
  </si>
  <si>
    <t>T-TYTACS1-24S-PC-HD</t>
  </si>
  <si>
    <t>5' Bed; A/W</t>
  </si>
  <si>
    <t>Tacoma Pickup Field Ranger</t>
  </si>
  <si>
    <t>C-TYTACN3-24S-PC-CR-PW</t>
  </si>
  <si>
    <t>Tacoma Pickup Base Camp 2</t>
  </si>
  <si>
    <t>B-TYTACN2-24S-PC-BC2</t>
  </si>
  <si>
    <t>5' SB,  Passenger Side</t>
  </si>
  <si>
    <t>Tacoma Pickup Utl 1 Dwr</t>
  </si>
  <si>
    <t>T-TYTACU1-24S-PC-HP</t>
  </si>
  <si>
    <t>6' Short Bed</t>
  </si>
  <si>
    <t>Tacoma Pickup Base Camp 1</t>
  </si>
  <si>
    <t>B-TYTACN2-24S-BC1</t>
  </si>
  <si>
    <t>6' Short Bed, A-Wthr</t>
  </si>
  <si>
    <t>Tacoma Pickup Utility Offset</t>
  </si>
  <si>
    <t>T-TYTACUO-05S-PW</t>
  </si>
  <si>
    <t>5' Short Bed, All Weather</t>
  </si>
  <si>
    <t>Tacoma Pickup Utility OS Dwr</t>
  </si>
  <si>
    <t>T-TYTACUO-05S-PC-PW</t>
  </si>
  <si>
    <t>T-TYTACUO-05S-PC</t>
  </si>
  <si>
    <t>T-TYTACUO-05S</t>
  </si>
  <si>
    <t>A-Wthr</t>
  </si>
  <si>
    <t>Tacoma Pickup Utility 2 Dwr</t>
  </si>
  <si>
    <t>T-TYTACU2-95S-PW</t>
  </si>
  <si>
    <t>Double Cab</t>
  </si>
  <si>
    <t>T-TYTACU2-95S-PD</t>
  </si>
  <si>
    <t>6' Short Bed, AW</t>
  </si>
  <si>
    <t>Tacoma Pickup Utl 2 Dwr</t>
  </si>
  <si>
    <t>T-TYTACU2-24S-PW</t>
  </si>
  <si>
    <t>5' Short Bed, AW</t>
  </si>
  <si>
    <t>T-TYTACU2-24S-PC-PW</t>
  </si>
  <si>
    <t>T-TYTACU2-24S-PC</t>
  </si>
  <si>
    <t>T-TYTACU2-24S</t>
  </si>
  <si>
    <t>T-TYTACU2-05S-PW</t>
  </si>
  <si>
    <t>T-TYTACU2-05S-PC-PW</t>
  </si>
  <si>
    <t>T-TYTACU2-05S-PC</t>
  </si>
  <si>
    <t>T-TYTACU2-05S</t>
  </si>
  <si>
    <t>5' SB, A-Wthr, Passenger Side</t>
  </si>
  <si>
    <t>Tacoma Pickup Utility 1 Dwr</t>
  </si>
  <si>
    <t>T-TYTACU1-05S-PC-HP-PW</t>
  </si>
  <si>
    <t>5' Short Bed; Passenger Side</t>
  </si>
  <si>
    <t>T-TYTACU1-05S-PC-HP</t>
  </si>
  <si>
    <t>5' SB, A-Wthr, Driver's Side</t>
  </si>
  <si>
    <t>T-TYTACU1-05S-PC-HD-PW</t>
  </si>
  <si>
    <t>6' SB, A-Wthr, Passenger Side</t>
  </si>
  <si>
    <t>Tacoma Pickup Utility1 Dwr</t>
  </si>
  <si>
    <t>T-TYTACU1-05S-HP-PW</t>
  </si>
  <si>
    <t>6' Short Bed; Passenger Side</t>
  </si>
  <si>
    <t>T-TYTACU1-05S-HP</t>
  </si>
  <si>
    <t>6' SB, A-Wthr, Drivers Side</t>
  </si>
  <si>
    <t>T-TYTACU1-05S-HD-PW</t>
  </si>
  <si>
    <t>6' Short Bed; Drivers Side</t>
  </si>
  <si>
    <t>T-TYTACU1-05S-HD</t>
  </si>
  <si>
    <t>Double Cab, All-Wthr</t>
  </si>
  <si>
    <t>Tacoma Pickup Std OS Dwr</t>
  </si>
  <si>
    <t>T-TYTACSO-95S-PD-PW</t>
  </si>
  <si>
    <t>T-TYTACSO-95S-PD</t>
  </si>
  <si>
    <t>Tacoma Pickup Std Offset Dwr</t>
  </si>
  <si>
    <t>T-TYTACSO-95S</t>
  </si>
  <si>
    <t>Tacoma Pickup Std Offset</t>
  </si>
  <si>
    <t>T-TYTACSO-05S-PW</t>
  </si>
  <si>
    <t>5' Short Bed, A-Wthr</t>
  </si>
  <si>
    <t>T-TYTACSO-05S-PC-PW</t>
  </si>
  <si>
    <t>T-TYTACSO-05S-PC</t>
  </si>
  <si>
    <t>T-TYTACSO-05S</t>
  </si>
  <si>
    <t>Tacoma Pickup Ext 2 Dwr</t>
  </si>
  <si>
    <t>T-TYTACSE2-24S-PC-PW</t>
  </si>
  <si>
    <t>Short Bed, A-Wthr, Retrax</t>
  </si>
  <si>
    <t>Tacoma Pickup Std 2 Dwr</t>
  </si>
  <si>
    <t>T-TYTACS2-95S-PW-RX</t>
  </si>
  <si>
    <t>T-TYTACS2-95S-PW</t>
  </si>
  <si>
    <t>5' Short Bed w/Table Extention</t>
  </si>
  <si>
    <t>T-TYTACS2-95S-PT</t>
  </si>
  <si>
    <t>Double Cab, A-Wthr</t>
  </si>
  <si>
    <t>T-TYTACS2-95S-PD-PW</t>
  </si>
  <si>
    <t>Double Cab, Table Extention</t>
  </si>
  <si>
    <t>T-TYTACS2-95S-PD-PT</t>
  </si>
  <si>
    <t>T-TYTACS2-95S-PD</t>
  </si>
  <si>
    <t>T-TYTACS2-95S</t>
  </si>
  <si>
    <t>T-TYTACS2-24S-PW</t>
  </si>
  <si>
    <t>T-TYTACS2-24S-PC-PW</t>
  </si>
  <si>
    <t>T-TYTACS2-24S-PC</t>
  </si>
  <si>
    <t>T-TYTACS2-24S</t>
  </si>
  <si>
    <t>T-TYTACS2-05S-PW</t>
  </si>
  <si>
    <t>6' Short Bed, Tbl Ext</t>
  </si>
  <si>
    <t>T-TYTACS2-05S-PT</t>
  </si>
  <si>
    <t>5' Short Bed, All-Weather</t>
  </si>
  <si>
    <t>T-TYTACS2-05S-PC-PW</t>
  </si>
  <si>
    <t>5' Short Bed, Tbl Ext</t>
  </si>
  <si>
    <t>T-TYTACS2-05S-PC-PT</t>
  </si>
  <si>
    <t>T-TYTACS2-05S-PC</t>
  </si>
  <si>
    <t>T-TYTACS2-05S</t>
  </si>
  <si>
    <t>5'  SB, A-Wthr, Driver Side</t>
  </si>
  <si>
    <t>T-TYTACS1-95S-PD-HD-PW</t>
  </si>
  <si>
    <t>T-TYTACS1-05S-PC-HP-PW</t>
  </si>
  <si>
    <t>T-TYTACS1-05S-PC-HP</t>
  </si>
  <si>
    <t>5' SB, A-Wthr, Drivers Side, Retrax</t>
  </si>
  <si>
    <t>T-TYTACS1-05S-PC-HD-PW-RX</t>
  </si>
  <si>
    <t>5' SB, A-Wthr, Drivers Side</t>
  </si>
  <si>
    <t>T-TYTACS1-05S-PC-HD-PW</t>
  </si>
  <si>
    <t>T-TYTACS1-05S-PC-HD</t>
  </si>
  <si>
    <t>T-TYTACS1-05S-HP-PW</t>
  </si>
  <si>
    <t>6' Bed, Passenger Side</t>
  </si>
  <si>
    <t>Tacoma Std 1 Dwr Half Width</t>
  </si>
  <si>
    <t>T-TYTACS1-05S-HP</t>
  </si>
  <si>
    <t>6' SB, A-Wthr, Driver Side</t>
  </si>
  <si>
    <t>T-TYTACS1-05S-HD-PW</t>
  </si>
  <si>
    <t>6' Bed, Drivers Side</t>
  </si>
  <si>
    <t>T-TYTACS1-05S-HD</t>
  </si>
  <si>
    <t>6' Short Bed, All Weather</t>
  </si>
  <si>
    <t>Tacoma Pickup Mag OS Dwr</t>
  </si>
  <si>
    <t>T-TYTACMO-95S-PW</t>
  </si>
  <si>
    <t>T-TYTACMO-95S-PD-PW</t>
  </si>
  <si>
    <t>T-TYTACMO-95S-PD</t>
  </si>
  <si>
    <t>T-TYTACMO-95S</t>
  </si>
  <si>
    <t>T-TYTACMO-05S-PW</t>
  </si>
  <si>
    <t>Tacoma Pickup Mag Offset</t>
  </si>
  <si>
    <t>T-TYTACMO-05S-PC-PW</t>
  </si>
  <si>
    <t>T-TYTACMO-05S-PC</t>
  </si>
  <si>
    <t>T-TYTACMO-05S</t>
  </si>
  <si>
    <t>Tacoma Pickup Mag 2 Dwr</t>
  </si>
  <si>
    <t>T-TYTACM2-95S-PW</t>
  </si>
  <si>
    <t>T-TYTACM2-95S-PD-PW</t>
  </si>
  <si>
    <t>Double Cab HD Table</t>
  </si>
  <si>
    <t>T-TYTACM2-95S-PD-HT</t>
  </si>
  <si>
    <t>T-TYTACM2-95S-PD</t>
  </si>
  <si>
    <t>T-TYTACM2-95S</t>
  </si>
  <si>
    <t>T-TYTACM2-24S-PW</t>
  </si>
  <si>
    <t>T-TYTACM2-24S-PC-PW</t>
  </si>
  <si>
    <t>T-TYTACM2-24S-PC</t>
  </si>
  <si>
    <t>T-TYTACM2-24S</t>
  </si>
  <si>
    <t>T-TYTACM2-05S-PW</t>
  </si>
  <si>
    <t>5' Short Bed; Table Ext</t>
  </si>
  <si>
    <t>T-TYTACM2-05S-PT</t>
  </si>
  <si>
    <t>T-TYTACM2-05S-PC-PW</t>
  </si>
  <si>
    <t>T-TYTACM2-05S-PC-PT</t>
  </si>
  <si>
    <t>5' Short Bed; HD Table Ext</t>
  </si>
  <si>
    <t>T-TYTACM2-05S-PC-HT</t>
  </si>
  <si>
    <t>T-TYTACM2-05S-PC</t>
  </si>
  <si>
    <t>T-TYTACM2-05S</t>
  </si>
  <si>
    <t>Tacoma Pickup Mag 1 Dwr</t>
  </si>
  <si>
    <t>T-TYTACM1-99S-HP</t>
  </si>
  <si>
    <t>Tacoma Pickup Mag Half Width</t>
  </si>
  <si>
    <t>T-TYTACM1-95S-PD-HD-PW</t>
  </si>
  <si>
    <t>T-TYTACM1-24S-PC-HP-PW</t>
  </si>
  <si>
    <t>T-TYTACM1-24S-HP-PW</t>
  </si>
  <si>
    <t>Tacoma Pickup Mag 1 Dwr ReTrax</t>
  </si>
  <si>
    <t>T-TYTACM1-05S-PC-HP-PW-RX</t>
  </si>
  <si>
    <t>T-TYTACM1-05S-PC-HP-PW</t>
  </si>
  <si>
    <t>T-TYTACM1-05S-PC-HP</t>
  </si>
  <si>
    <t>T-TYTACM1-05S-PC-HD-PW</t>
  </si>
  <si>
    <t>T-TYTACM1-05S-PC-HD</t>
  </si>
  <si>
    <t>T-TYTACM1-05S-HP-PW</t>
  </si>
  <si>
    <t>Tacoma Pickup Mag1 Dwr</t>
  </si>
  <si>
    <t>T-TYTACM1-05S-HP</t>
  </si>
  <si>
    <t>T-TYTACM1-05S-HD-PW</t>
  </si>
  <si>
    <t>6' Short Bed; Driver's Side</t>
  </si>
  <si>
    <t>T-TYTACM1-05S-HD</t>
  </si>
  <si>
    <t>T-TYTACE2-24S-PW</t>
  </si>
  <si>
    <t>T-TYTACE2-24S-PC</t>
  </si>
  <si>
    <t>Tacoma Pickup Ext 1 Dwr</t>
  </si>
  <si>
    <t>T-TYTACE1-05S-PC-HP-PW</t>
  </si>
  <si>
    <t>SB, 5 Open Compartments</t>
  </si>
  <si>
    <t>Tacoma Pickup Surveyor</t>
  </si>
  <si>
    <t>C-TYTACN4-05S-VP</t>
  </si>
  <si>
    <t>5'  Bed, Double Cab</t>
  </si>
  <si>
    <t>C-TYTACN3-95S-CR-PD</t>
  </si>
  <si>
    <t>C-TYTACN3-05S-PC-CR-PW</t>
  </si>
  <si>
    <t>5'  Bed; Crew Cab</t>
  </si>
  <si>
    <t>C-TYTACN3-05S-PC-CR</t>
  </si>
  <si>
    <t>6'  Bed; A/W</t>
  </si>
  <si>
    <t>C-TYTACN3-05S-CR-PW</t>
  </si>
  <si>
    <t>6'  Bed</t>
  </si>
  <si>
    <t>C-TYTACN3-05S-CR</t>
  </si>
  <si>
    <t>6'  All-Weatherr</t>
  </si>
  <si>
    <t>C-TYTACN2-05S-VP-PW</t>
  </si>
  <si>
    <t>6' ; 2 Dwr</t>
  </si>
  <si>
    <t>C-TYTACN2-05S-VF</t>
  </si>
  <si>
    <t>Tacoma Base Camp 4</t>
  </si>
  <si>
    <t>B-TYTACN4-05S-PC-BC4</t>
  </si>
  <si>
    <t>Tacoma Pickup Base Camp 4</t>
  </si>
  <si>
    <t>B-TYTACN4-05S-BC4</t>
  </si>
  <si>
    <t>Tacoma Base Camp 3</t>
  </si>
  <si>
    <t>B-TYTACN3-05S-PC-BC3</t>
  </si>
  <si>
    <t>Tacoma Pickup Base Camp 3</t>
  </si>
  <si>
    <t>B-TYTACN3-05S-BC3</t>
  </si>
  <si>
    <t>B-TYTACN2-95S-BC2</t>
  </si>
  <si>
    <t>B-TYTACN2-95S-BC1</t>
  </si>
  <si>
    <t>5' Short Bed; Half Width</t>
  </si>
  <si>
    <t>Tacoma Base Camp 1</t>
  </si>
  <si>
    <t>B-TYTACN2-05S-PC-HP-BC1</t>
  </si>
  <si>
    <t>Tacoma Base Camp 5</t>
  </si>
  <si>
    <t>B-TYTACN2-05S-PC-BC5</t>
  </si>
  <si>
    <t>B-TYTACN2-05S-PC-BC2</t>
  </si>
  <si>
    <t>B-TYTACN2-05S-PC-BC1</t>
  </si>
  <si>
    <t>Tacoma Pickup Base Camp 5</t>
  </si>
  <si>
    <t>B-TYTACN2-05S-BC5</t>
  </si>
  <si>
    <t>B-TYTACN2-05S-BC2</t>
  </si>
  <si>
    <t>B-TYTACN2-05S-BC1</t>
  </si>
  <si>
    <t>6' Short Bed; Half Width</t>
  </si>
  <si>
    <t>B-TYTACN1-95S-HP-BC1</t>
  </si>
  <si>
    <t>B-TYTACN1-95S-BC1</t>
  </si>
  <si>
    <t>B-TYTACN1-24S-HP-BC1</t>
  </si>
  <si>
    <t>B-TYTACN1-05S-HP-BC1</t>
  </si>
  <si>
    <t>Tacoma Pickup</t>
  </si>
  <si>
    <t>T-100 Std 1 Dwr Half Width</t>
  </si>
  <si>
    <t>T-TYPICS1-88S-HP</t>
  </si>
  <si>
    <t>T-100 Mag 1 Dwr Half Width</t>
  </si>
  <si>
    <t>T-TYPICM1-88S-HP</t>
  </si>
  <si>
    <t>T-100 Pickup</t>
  </si>
  <si>
    <t>Supra Utility 1 Dwr</t>
  </si>
  <si>
    <t>N-TYSUPU1-19N</t>
  </si>
  <si>
    <t>Supra</t>
  </si>
  <si>
    <t>4-Runner Drone Responder 7</t>
  </si>
  <si>
    <t>C-TY4RUN1-10N-HT-C1-DR7</t>
  </si>
  <si>
    <t>3rd Upright</t>
  </si>
  <si>
    <t>Sienna Utility 1 Dwr</t>
  </si>
  <si>
    <t>T-TYSNAU1-21S</t>
  </si>
  <si>
    <t>3rd Seat Folded</t>
  </si>
  <si>
    <t>Sienna Utility OS Dwr</t>
  </si>
  <si>
    <t>T-TYSNAUO-21N</t>
  </si>
  <si>
    <t>T-TYSNAUO-11N</t>
  </si>
  <si>
    <t>Sienna Utility 2 Dwr</t>
  </si>
  <si>
    <t>T-TYSNAU2-21N</t>
  </si>
  <si>
    <t>T-TYSNAU2-11N</t>
  </si>
  <si>
    <t>T-TYSNAU1-21N</t>
  </si>
  <si>
    <t>T-TYSNAU1-11N</t>
  </si>
  <si>
    <t>Sienna Std OS Dwr</t>
  </si>
  <si>
    <t>T-TYSNASO-11N</t>
  </si>
  <si>
    <t>Top Tray</t>
  </si>
  <si>
    <t>Sienna Std 2 Dwr</t>
  </si>
  <si>
    <t>T-TYSNAS2-11N-TT</t>
  </si>
  <si>
    <t>T-TYSNAS2-11N</t>
  </si>
  <si>
    <t>T-TYSNAS2-04N</t>
  </si>
  <si>
    <t>Sienna Std 1 Dwr</t>
  </si>
  <si>
    <t>T-TYSNAS1-21N</t>
  </si>
  <si>
    <t>T-TYSNAS1-11N</t>
  </si>
  <si>
    <t>T-TYSNAS1-04N</t>
  </si>
  <si>
    <t>Sienna Lid Box</t>
  </si>
  <si>
    <t>T-TYSNAN0-21N</t>
  </si>
  <si>
    <t>Sienna Mag Offset Dwr</t>
  </si>
  <si>
    <t>T-TYSNAMO-11N</t>
  </si>
  <si>
    <t>T-TYSNAMO-04N</t>
  </si>
  <si>
    <t>Sienna Mag 2 Dwr</t>
  </si>
  <si>
    <t>T-TYSNAM2-11N</t>
  </si>
  <si>
    <t>T-TYSNAM2-04N</t>
  </si>
  <si>
    <t>Sienna Mag 1 Dwr</t>
  </si>
  <si>
    <t>T-TYSNAM1-98N</t>
  </si>
  <si>
    <t>T-TYSNAM1-21S</t>
  </si>
  <si>
    <t>3rd Folded</t>
  </si>
  <si>
    <t>T-TYSNAM1-21N</t>
  </si>
  <si>
    <t>T-TYSNAM1-11N</t>
  </si>
  <si>
    <t>T-TYSNAM1-04N</t>
  </si>
  <si>
    <t>Sienna Drone Responder 7</t>
  </si>
  <si>
    <t>D-TYSNAN2-21N-HT-C1-DR7</t>
  </si>
  <si>
    <t>D-TYSNAN1-21N-HT-C1-DR7</t>
  </si>
  <si>
    <t>Tbl Ext</t>
  </si>
  <si>
    <t>Sienna Special Ops Ctr</t>
  </si>
  <si>
    <t>C-TYSNAN3-11D-PT</t>
  </si>
  <si>
    <t>Sienna</t>
  </si>
  <si>
    <t>3rd Row Removed</t>
  </si>
  <si>
    <t>Sequoia Utility 2 Dwr</t>
  </si>
  <si>
    <t>T-TYSEQU2-23N-TR</t>
  </si>
  <si>
    <t>3rd Removed</t>
  </si>
  <si>
    <t>Sequoia Investigator</t>
  </si>
  <si>
    <t>C-TYSEQN3-23N-TR</t>
  </si>
  <si>
    <t>Seat Folded</t>
  </si>
  <si>
    <t>Sequoia Std 1 Dwr</t>
  </si>
  <si>
    <t>T-TYSEQS1-23N-TF</t>
  </si>
  <si>
    <t>Sequoia Mag 2 Dwr</t>
  </si>
  <si>
    <t>T-TYSEQM2-23N-TF</t>
  </si>
  <si>
    <t>Sequoia Std 2 Dwr</t>
  </si>
  <si>
    <t>T-TYSEQS2-23N-TR</t>
  </si>
  <si>
    <t>T-TYSEQS2-23N-TF</t>
  </si>
  <si>
    <t>Sequoia Utl 1 Dwr</t>
  </si>
  <si>
    <t>T-TYSEQU1-23N-TF</t>
  </si>
  <si>
    <t>Sequoia Mag 1 Dwr</t>
  </si>
  <si>
    <t>T-TYSEQM1-23N-TF</t>
  </si>
  <si>
    <t>Sequoia Utility OS Dwr</t>
  </si>
  <si>
    <t>T-TYSEQUO-08N-TF</t>
  </si>
  <si>
    <t>T-TYSEQU2-23N-TF</t>
  </si>
  <si>
    <t>Seat Folded; Top Tray</t>
  </si>
  <si>
    <t>T-TYSEQU2-08N-TF-TT</t>
  </si>
  <si>
    <t>Seat Folded HD Table</t>
  </si>
  <si>
    <t>T-TYSEQU2-08N-TF-HT</t>
  </si>
  <si>
    <t>T-TYSEQU2-08N-TF</t>
  </si>
  <si>
    <t>Seat Out</t>
  </si>
  <si>
    <t>T-TYSEQU2-01N-TR</t>
  </si>
  <si>
    <t>T-TYSEQU1-23N-TR</t>
  </si>
  <si>
    <t>3rd Seat Out</t>
  </si>
  <si>
    <t>Sequoia Utility1 Dwr</t>
  </si>
  <si>
    <t>T-TYSEQU1-01N-TR</t>
  </si>
  <si>
    <t>Seat Removed, Table Ext</t>
  </si>
  <si>
    <t>T-TYSEQSO-23N-TR-PT</t>
  </si>
  <si>
    <t>Sequoia Std OS Dwr</t>
  </si>
  <si>
    <t>T-TYSEQSO-08N-TF</t>
  </si>
  <si>
    <t>Sequoia Std O/S Dwr</t>
  </si>
  <si>
    <t>T-TYSEQSO-01N-TR</t>
  </si>
  <si>
    <t>T-TYSEQS2-08N-TR</t>
  </si>
  <si>
    <t>Seat Folded, HD Table</t>
  </si>
  <si>
    <t>T-TYSEQS2-08N-TF-HT</t>
  </si>
  <si>
    <t>T-TYSEQS2-08N-TF</t>
  </si>
  <si>
    <t>Seat Out, Tbl Ext</t>
  </si>
  <si>
    <t>T-TYSEQS2-01N-TR-PT</t>
  </si>
  <si>
    <t>T-TYSEQS2-01N-TR</t>
  </si>
  <si>
    <t>T-TYSEQS2-01N-TF</t>
  </si>
  <si>
    <t>T-TYSEQS1-23N-TR</t>
  </si>
  <si>
    <t>T-TYSEQS1-08N-TF</t>
  </si>
  <si>
    <t>Seat Present</t>
  </si>
  <si>
    <t>T-TYSEQS1-01S</t>
  </si>
  <si>
    <t>Seat Out, HD Table</t>
  </si>
  <si>
    <t>T-TYSEQS1-01N-TR-HT</t>
  </si>
  <si>
    <t>T-TYSEQS1-01N-TR</t>
  </si>
  <si>
    <t>Seat Folded, Tbl Ext</t>
  </si>
  <si>
    <t>T-TYSEQS1-01N-TF-PT</t>
  </si>
  <si>
    <t>T-TYSEQS1-01N-TF</t>
  </si>
  <si>
    <t>Sequoia Mag 2 Dwr Offset</t>
  </si>
  <si>
    <t>T-TYSEQMO-23N-TR</t>
  </si>
  <si>
    <t>Sequoia Mag Offset</t>
  </si>
  <si>
    <t>T-TYSEQMO-08N-TF</t>
  </si>
  <si>
    <t>T-TYSEQMO-01N-TR</t>
  </si>
  <si>
    <t>T-TYSEQMO-01N-TF</t>
  </si>
  <si>
    <t>T-TYSEQM2-23N-TR</t>
  </si>
  <si>
    <t>Seat Folded, Table Extention</t>
  </si>
  <si>
    <t>T-TYSEQM2-08N-TF-PT</t>
  </si>
  <si>
    <t>T-TYSEQM2-08N-TF</t>
  </si>
  <si>
    <t>Seat Out; Table Ext</t>
  </si>
  <si>
    <t>T-TYSEQM2-01N-TR-PT</t>
  </si>
  <si>
    <t>T-TYSEQM2-01N-TR</t>
  </si>
  <si>
    <t>Seat Folded; Table Ext</t>
  </si>
  <si>
    <t>T-TYSEQM2-01N-TF-PT</t>
  </si>
  <si>
    <t>T-TYSEQM2-01N-TF</t>
  </si>
  <si>
    <t>T-TYSEQM1-23N-TR</t>
  </si>
  <si>
    <t>T-TYSEQM1-08S</t>
  </si>
  <si>
    <t>Seat Removed</t>
  </si>
  <si>
    <t>T-TYSEQM1-08N-TR</t>
  </si>
  <si>
    <t>T-TYSEQM1-08N-TF</t>
  </si>
  <si>
    <t>T-TYSEQM1-01N-TR</t>
  </si>
  <si>
    <t>T-TYSEQM1-01N-TF</t>
  </si>
  <si>
    <t>Sequoia Ext 1 Dwr</t>
  </si>
  <si>
    <t>T-TYSEQE1-23N-TR</t>
  </si>
  <si>
    <t>Sequoia Drone Responder 6</t>
  </si>
  <si>
    <t>D-TYSEQN2-23N-TR-HT-C1-DR6</t>
  </si>
  <si>
    <t>Sequoia Field Ranger</t>
  </si>
  <si>
    <t>C-TYSEQN3-08R-TR</t>
  </si>
  <si>
    <t>C-TYSEQN3-08R-TF</t>
  </si>
  <si>
    <t>Sequoia 3 Dwr</t>
  </si>
  <si>
    <t>C-TYSEQN3-01I-TR</t>
  </si>
  <si>
    <t>Sequoia</t>
  </si>
  <si>
    <t>HD Table</t>
  </si>
  <si>
    <t>Rav 4 Utl Offset</t>
  </si>
  <si>
    <t>T-TYRAVUO-19N-HT</t>
  </si>
  <si>
    <t>Rav 4 Utility 1 Dwr</t>
  </si>
  <si>
    <t>T-TYRAVU1-19N</t>
  </si>
  <si>
    <t>T-TYRAVU1-06N</t>
  </si>
  <si>
    <t>Rav 4 Std Offset</t>
  </si>
  <si>
    <t>T-TYRAVSO-19N-HT</t>
  </si>
  <si>
    <t>Rav 4 Std 2 Dwr</t>
  </si>
  <si>
    <t>T-TYRAVS2-94N</t>
  </si>
  <si>
    <t>T-TYRAVS2-19N</t>
  </si>
  <si>
    <t>T-TYRAVS2-13N</t>
  </si>
  <si>
    <t>T-TYRAVS2-06N-PT</t>
  </si>
  <si>
    <t>T-TYRAVS2-06N</t>
  </si>
  <si>
    <t>Rav 4 Std 1 Dwr</t>
  </si>
  <si>
    <t>T-TYRAVS1-19N</t>
  </si>
  <si>
    <t>Hybrid</t>
  </si>
  <si>
    <t>T-TYRAVS1-13N-PH</t>
  </si>
  <si>
    <t>T-TYRAVS1-13N</t>
  </si>
  <si>
    <t>T-TYRAVS1-06N</t>
  </si>
  <si>
    <t>Rav 4 Mag 2 Dwr</t>
  </si>
  <si>
    <t>T-TYRAVM2-13N-PH</t>
  </si>
  <si>
    <t>T-TYRAVM2-13N</t>
  </si>
  <si>
    <t>Rav 4 Mag 1 Dwr</t>
  </si>
  <si>
    <t>T-TYRAVM1-19N</t>
  </si>
  <si>
    <t>T-TYRAVM1-13N</t>
  </si>
  <si>
    <t>T-TYRAVM1-06N</t>
  </si>
  <si>
    <t>T-TYRAVM1-01N</t>
  </si>
  <si>
    <t>Rav 4 Captain LX CC</t>
  </si>
  <si>
    <t>C-TYRAVN5-18P</t>
  </si>
  <si>
    <t>C-TYRAVN5-15P</t>
  </si>
  <si>
    <t>C-TYRAVN4-19P</t>
  </si>
  <si>
    <t>Rav 4</t>
  </si>
  <si>
    <t>Prius Utility 1 Dwr</t>
  </si>
  <si>
    <t>T-TYPRSU1-10N</t>
  </si>
  <si>
    <t>SUV</t>
  </si>
  <si>
    <t>Prius Std 2 Dwr</t>
  </si>
  <si>
    <t>T-TYPRSS2-10N</t>
  </si>
  <si>
    <t>T-TYPRSS2-04N</t>
  </si>
  <si>
    <t>Prius Std 1 Dwr</t>
  </si>
  <si>
    <t>T-TYPRSS1-10N</t>
  </si>
  <si>
    <t>T-TYPRSS1-09N</t>
  </si>
  <si>
    <t>T-TYPRSS1-04N</t>
  </si>
  <si>
    <t>Prius Mag OS Dwr</t>
  </si>
  <si>
    <t>T-TYPRSMO-10N</t>
  </si>
  <si>
    <t>Prius Mag 2 Dwr</t>
  </si>
  <si>
    <t>T-TYPRSM2-10N</t>
  </si>
  <si>
    <t>T-TYPRSM2-04N</t>
  </si>
  <si>
    <t>Prius Mag 1 Dwr</t>
  </si>
  <si>
    <t>T-TYPRSM1-10N</t>
  </si>
  <si>
    <t>T-TYPRSM1-04N</t>
  </si>
  <si>
    <t>Prius</t>
  </si>
  <si>
    <t>Prado Utl 2 Dwr</t>
  </si>
  <si>
    <t>T-TYPRAU2-10N</t>
  </si>
  <si>
    <t>Prado Mag 2 Dwr</t>
  </si>
  <si>
    <t>T-TYPRAM2-10N</t>
  </si>
  <si>
    <t>Prado</t>
  </si>
  <si>
    <t>6' All Weather</t>
  </si>
  <si>
    <t>Toyota Pickup Utility 2 Dwr Offset</t>
  </si>
  <si>
    <t>T-TYPICUO-88S-PW</t>
  </si>
  <si>
    <t>Toyota Pickup Std Offset Dwr</t>
  </si>
  <si>
    <t>T-TYPICSO-88S</t>
  </si>
  <si>
    <t>All Weather</t>
  </si>
  <si>
    <t>Toyota Pickup Std 2 Dwr</t>
  </si>
  <si>
    <t>T-TYPICS2-88S-PW</t>
  </si>
  <si>
    <t>T-TYPICS2-88S</t>
  </si>
  <si>
    <t>T-TYPICS2-83S</t>
  </si>
  <si>
    <t>1/2 Width Driver's Side</t>
  </si>
  <si>
    <t>Toyota Pickup Std 1 Dwr</t>
  </si>
  <si>
    <t>T-TYPICS1-88S-HD</t>
  </si>
  <si>
    <t>Toyota Pickup Mag 2 Dwr</t>
  </si>
  <si>
    <t>T-TYPICM2-88S-PW</t>
  </si>
  <si>
    <t>T-TYPICM2-88S</t>
  </si>
  <si>
    <t>Toyota Pickup Mag 1 Dwr</t>
  </si>
  <si>
    <t>T-TYPICM1-88S-HD</t>
  </si>
  <si>
    <t>Toyota Pickup Field Ranger</t>
  </si>
  <si>
    <t>C-TYPICN3-88S-CR</t>
  </si>
  <si>
    <t>Pickup</t>
  </si>
  <si>
    <t>Matrix Std 2 Dwr</t>
  </si>
  <si>
    <t>T-TYMATS2-03N</t>
  </si>
  <si>
    <t>Matrix Std 1 Dwr</t>
  </si>
  <si>
    <t>T-TYMATS1-03N</t>
  </si>
  <si>
    <t>Matrix Mag 2 Dwr</t>
  </si>
  <si>
    <t>T-TYMATM2-03N</t>
  </si>
  <si>
    <t>Matrix Mag 1 Dwr</t>
  </si>
  <si>
    <t>T-TYMATM1-03N</t>
  </si>
  <si>
    <t>Matrix</t>
  </si>
  <si>
    <t>Hyrbid</t>
  </si>
  <si>
    <t>Land Cruiser Mag 1 Dwr</t>
  </si>
  <si>
    <t>T-TYLDCM1-24N-NT-PH</t>
  </si>
  <si>
    <t>Land Cruiser Utility 2 Dwr Offset</t>
  </si>
  <si>
    <t>T-TYLDCUO-08N-TR</t>
  </si>
  <si>
    <t>Land Cruiser Utility OS Dwr</t>
  </si>
  <si>
    <t>T-TYLDCUO-08N</t>
  </si>
  <si>
    <t>Land Cruiser Utility 2 Dwr</t>
  </si>
  <si>
    <t>T-TYLDCU2-98N-TR</t>
  </si>
  <si>
    <t>3rd Row Removed, HD Table</t>
  </si>
  <si>
    <t>T-TYLDCU2-08N-TR-HT</t>
  </si>
  <si>
    <t>T-TYLDCU2-08N-TR</t>
  </si>
  <si>
    <t>Never Had 3rd Row</t>
  </si>
  <si>
    <t>T-TYLDCU2-08N-NT</t>
  </si>
  <si>
    <t>3rd Row Removed; Table Extension</t>
  </si>
  <si>
    <t>Land Cruiser Utility 1 Dwr</t>
  </si>
  <si>
    <t>T-TYLDCU1-98N-TR-PT</t>
  </si>
  <si>
    <t>T-TYLDCU1-98N-TR</t>
  </si>
  <si>
    <t>T-TYLDCU1-08S</t>
  </si>
  <si>
    <t>T-TYLDCU1-08N-TR</t>
  </si>
  <si>
    <t>3rd Row Never Had</t>
  </si>
  <si>
    <t>T-TYLDCU1-08N-NT</t>
  </si>
  <si>
    <t>T-TYLDCU1-08N</t>
  </si>
  <si>
    <t>T-Drawer; 3rd Row Removed</t>
  </si>
  <si>
    <t>Land Cruiser Std 1 Dwr</t>
  </si>
  <si>
    <t>T-TYLDCST-08N-TR</t>
  </si>
  <si>
    <t>3rd Seat Removed</t>
  </si>
  <si>
    <t>Land Cruiser Std OS Dwr</t>
  </si>
  <si>
    <t>T-TYLDCSO-98N-TR</t>
  </si>
  <si>
    <t>3rd Row Removed; Tbl Ext</t>
  </si>
  <si>
    <t>T-TYLDCSO-98N-PT-TR</t>
  </si>
  <si>
    <t>T-TYLDCSO-98N</t>
  </si>
  <si>
    <t>Seat Removed; Heavy Duty Table</t>
  </si>
  <si>
    <t>Land Cruiser Std Offset Dwr</t>
  </si>
  <si>
    <t>T-TYLDCSO-08N-TR-HT</t>
  </si>
  <si>
    <t>T-TYLDCSO-08N-TR</t>
  </si>
  <si>
    <t>T-TYLDCSO-08N</t>
  </si>
  <si>
    <t>Land Cruiser Std 2 Dwr</t>
  </si>
  <si>
    <t>T-TYLDCS2-98N-TR</t>
  </si>
  <si>
    <t>T-TYLDCS2-98N-PT</t>
  </si>
  <si>
    <t>T-TYLDCS2-98N</t>
  </si>
  <si>
    <t>T-TYLDCS2-08N-TT</t>
  </si>
  <si>
    <t>3rd Row Removed HD Table</t>
  </si>
  <si>
    <t>T-TYLDCS2-08N-TR-HT</t>
  </si>
  <si>
    <t>T-TYLDCS2-08N-TR</t>
  </si>
  <si>
    <t>T-TYLDCS2-08N-NT</t>
  </si>
  <si>
    <t>T-TYLDCS2-08N-HT</t>
  </si>
  <si>
    <t>T-TYLDCS2-08N</t>
  </si>
  <si>
    <t>T-TYLDCS1-98N-TR-PT</t>
  </si>
  <si>
    <t>T-TYLDCS1-98N</t>
  </si>
  <si>
    <t>T-TYLDCS1-08N-TT</t>
  </si>
  <si>
    <t>3rd Removed,  Pullout Table</t>
  </si>
  <si>
    <t>T-TYLDCS1-08N-TR-PT</t>
  </si>
  <si>
    <t>3rd Removed, HD Table</t>
  </si>
  <si>
    <t>T-TYLDCS1-08N-TR-HT</t>
  </si>
  <si>
    <t>T-TYLDCS1-08N-TR</t>
  </si>
  <si>
    <t>Never Had 3rd Row; Table Extension</t>
  </si>
  <si>
    <t>T-TYLDCS1-08N-NT-PT</t>
  </si>
  <si>
    <t>T-TYLDCS1-08N-NT</t>
  </si>
  <si>
    <t>T-TYLDCS1-08N</t>
  </si>
  <si>
    <t>3rd Row Seats Removed</t>
  </si>
  <si>
    <t>Land Cruiser Mag Offset</t>
  </si>
  <si>
    <t>T-TYLDCMO-08N-TR</t>
  </si>
  <si>
    <t>Land Cruiser Mag 2 Dwr</t>
  </si>
  <si>
    <t>T-TYLDCM2-98N</t>
  </si>
  <si>
    <t>T-TYLDCM2-08N-TR</t>
  </si>
  <si>
    <t>T-TYLDCM2-08N</t>
  </si>
  <si>
    <t>Landcruiser Mag 1 Dwr</t>
  </si>
  <si>
    <t>T-TYLDCM1-98N-TR</t>
  </si>
  <si>
    <t>T-TYLDCM1-98N</t>
  </si>
  <si>
    <t>T-TYLDCM1-08N-TR</t>
  </si>
  <si>
    <t>HD Table Extension</t>
  </si>
  <si>
    <t>T-TYLDCM1-08N-HT-NT</t>
  </si>
  <si>
    <t>T-TYLDCM1-08N</t>
  </si>
  <si>
    <t>Landcruiser Ext 1 Dwr</t>
  </si>
  <si>
    <t>T-TYLDCE1-98N-TR</t>
  </si>
  <si>
    <t>Land Cruiser Drone Responder 5</t>
  </si>
  <si>
    <t>D-TYLDCN3-08N-TR-C1-DR5</t>
  </si>
  <si>
    <t>Land Cruiser Tac Ctr</t>
  </si>
  <si>
    <t>C-TYLDCN5-08T-TR</t>
  </si>
  <si>
    <t>Land Cruiser Captain LX CC</t>
  </si>
  <si>
    <t>C-TYLDCN5-08P-NT</t>
  </si>
  <si>
    <t>Landcruiser Field Ranger</t>
  </si>
  <si>
    <t>C-TYLDCN3-08R-TR</t>
  </si>
  <si>
    <t>3rd Row Seats Removed; Table Ext.</t>
  </si>
  <si>
    <t>Landcruiser Special Ops Center</t>
  </si>
  <si>
    <t>C-TYLDCN3-08D-TR-PT</t>
  </si>
  <si>
    <t>C-TYLDCN3-08D-TR</t>
  </si>
  <si>
    <t>Land Cruiser</t>
  </si>
  <si>
    <t>Hilux Pickup Utility 2 Dwr Offset</t>
  </si>
  <si>
    <t>T-TYHLXUO-05S-PC-PW</t>
  </si>
  <si>
    <t>Hilux Pickup Std 2 Drawer</t>
  </si>
  <si>
    <t>T-TYHLXS2-05S-PC-PW</t>
  </si>
  <si>
    <t>Hilux Pickup</t>
  </si>
  <si>
    <t>T-TYHLXS2-05S-PC</t>
  </si>
  <si>
    <t>all-Weather 5'</t>
  </si>
  <si>
    <t>Hilux Pickup Std 1 Drawer 1/2 Width</t>
  </si>
  <si>
    <t>T-TYHLXS1-05S-PC-HD-PW</t>
  </si>
  <si>
    <t>Hilux Pickup Mag OS Drawer</t>
  </si>
  <si>
    <t>T-TYHLXMO-05S-PC-PW</t>
  </si>
  <si>
    <t>Hilux Pickup Mag 2 Drawer</t>
  </si>
  <si>
    <t>T-TYHLXM2-05S-PC-PW</t>
  </si>
  <si>
    <t>Hilux Pickup Utl 2 Drw</t>
  </si>
  <si>
    <t>T-TYHILU2-15S-PC</t>
  </si>
  <si>
    <t>Hilux Pickup Std Offset</t>
  </si>
  <si>
    <t>T-TYHILSO-15S-PC-PW</t>
  </si>
  <si>
    <t>3rd Row Folded; Hybrid and Non-Hybrid</t>
  </si>
  <si>
    <t>Highlander Utility OS Dwr</t>
  </si>
  <si>
    <t>T-TYHLNUO-14N</t>
  </si>
  <si>
    <t>3rd Row Folded; Heavy Duty Table</t>
  </si>
  <si>
    <t>Highlander Utility 2 Dwr</t>
  </si>
  <si>
    <t>T-TYHLNU2-20N-HT</t>
  </si>
  <si>
    <t>T-TYHLNU2-20N</t>
  </si>
  <si>
    <t>Highlander Utility 2 Dwr, Table</t>
  </si>
  <si>
    <t>T-TYHLNU2-14N-PT</t>
  </si>
  <si>
    <t>3rd Row Folded;</t>
  </si>
  <si>
    <t>T-TYHLNU2-08N</t>
  </si>
  <si>
    <t>3rd Row Folded; HD Table</t>
  </si>
  <si>
    <t>T-TYHLNU2-04N-HT</t>
  </si>
  <si>
    <t>Highlander Utility 1 Dwr</t>
  </si>
  <si>
    <t>T-TYHLNU1-20S</t>
  </si>
  <si>
    <t>Elevated Version</t>
  </si>
  <si>
    <t>T-TYHLNU1-20N-HG</t>
  </si>
  <si>
    <t>Highlander Utility 1 Drawer</t>
  </si>
  <si>
    <t>T-TYHLNU1-20N</t>
  </si>
  <si>
    <t>T-TYHLNU1-14S</t>
  </si>
  <si>
    <t>T-TYHLNU1-14N-HG</t>
  </si>
  <si>
    <t>T-TYHLNU1-14N</t>
  </si>
  <si>
    <t>T-TYHLNU1-01N</t>
  </si>
  <si>
    <t>Highlander Std Offset Dwr</t>
  </si>
  <si>
    <t>T-TYHLNSO-01N</t>
  </si>
  <si>
    <t>Highlander Std 2 Dwr HD Table</t>
  </si>
  <si>
    <t>T-TYHLNS2-20N-HT</t>
  </si>
  <si>
    <t>Highlander Std 2 Dwr</t>
  </si>
  <si>
    <t>T-TYHLNS2-20N</t>
  </si>
  <si>
    <t>T-TYHLNS2-14N</t>
  </si>
  <si>
    <t>T-TYHLNS2-08N</t>
  </si>
  <si>
    <t>T-TYHLNS2-04N</t>
  </si>
  <si>
    <t>T-TYHLNS2-01N</t>
  </si>
  <si>
    <t>Highlander Std 1 Dwr</t>
  </si>
  <si>
    <t>T-TYHLNS1-20S</t>
  </si>
  <si>
    <t>T-TYHLNS1-20N-HG</t>
  </si>
  <si>
    <t>Highlander Std 1 Drawer</t>
  </si>
  <si>
    <t>T-TYHLNS1-20N</t>
  </si>
  <si>
    <t>T-TYHLNS1-14S</t>
  </si>
  <si>
    <t>T-TYHLNS1-14N-HG</t>
  </si>
  <si>
    <t>T-TYHLNS1-14N</t>
  </si>
  <si>
    <t>T-TYHLNS1-08S</t>
  </si>
  <si>
    <t>T-TYHLNS1-08N</t>
  </si>
  <si>
    <t>T-TYHLNS1-04N</t>
  </si>
  <si>
    <t>T-TYHLNS1-01N</t>
  </si>
  <si>
    <t>3rd Row Removed, Elevated</t>
  </si>
  <si>
    <t>Highlander Magnum 2 Dwr</t>
  </si>
  <si>
    <t>T-TYHLNMO-20N-HG</t>
  </si>
  <si>
    <t>Highlander Magnum Offset Dwr</t>
  </si>
  <si>
    <t>T-TYHLNMO-20N</t>
  </si>
  <si>
    <t>Highlander Mag Offset Dwr</t>
  </si>
  <si>
    <t>T-TYHLNMO-14N</t>
  </si>
  <si>
    <t>T-TYHLNM2-20N-HG</t>
  </si>
  <si>
    <t>T-TYHLNM2-20N</t>
  </si>
  <si>
    <t>Highlander Mag 2 Dwr</t>
  </si>
  <si>
    <t>T-TYHLNM2-14N</t>
  </si>
  <si>
    <t>Table Ext</t>
  </si>
  <si>
    <t>T-TYHLNM2-08N-PT</t>
  </si>
  <si>
    <t>T-TYHLNM2-08N</t>
  </si>
  <si>
    <t>T-TYHLNM2-04N</t>
  </si>
  <si>
    <t>T-TYHLNM2-01N</t>
  </si>
  <si>
    <t>Highlander Mag 1 Dwr</t>
  </si>
  <si>
    <t>T-TYHLNM1-20N-HG</t>
  </si>
  <si>
    <t>Highlander Mag1 Drawer</t>
  </si>
  <si>
    <t>T-TYHLNM1-20N</t>
  </si>
  <si>
    <t>T-TYHLNM1-14S</t>
  </si>
  <si>
    <t>C13877A</t>
  </si>
  <si>
    <t>Highlander Custom</t>
  </si>
  <si>
    <t>T-TYHLNM1-14N-C13877A</t>
  </si>
  <si>
    <t>T-TYHLNM1-14N</t>
  </si>
  <si>
    <t>T-TYHLNM1-08N</t>
  </si>
  <si>
    <t>T-TYHLNM1-04N</t>
  </si>
  <si>
    <t>T-TYHLNM1-01N</t>
  </si>
  <si>
    <t>Highlander Drone Responder</t>
  </si>
  <si>
    <t>D-TYHLNN3-20N-HT-C1-DR4</t>
  </si>
  <si>
    <t>Highlander Chief LX CC</t>
  </si>
  <si>
    <t>C-TYHLNN6-20C</t>
  </si>
  <si>
    <t>Highlander Captain LX CC</t>
  </si>
  <si>
    <t>C-TYHLNN5-20P</t>
  </si>
  <si>
    <t>Highlander Investigator</t>
  </si>
  <si>
    <t>C-TYHLNN3-20I</t>
  </si>
  <si>
    <t>Highlander Special Ops Ctr</t>
  </si>
  <si>
    <t>C-TYHLNN3-20D</t>
  </si>
  <si>
    <t>Highlander Field Ranger</t>
  </si>
  <si>
    <t>C-TYHLNN3-14R-HT</t>
  </si>
  <si>
    <t>C-TYHLNN3-14I</t>
  </si>
  <si>
    <t>C-TYHLNN3-08I</t>
  </si>
  <si>
    <t>C-TYHLNN3-08D</t>
  </si>
  <si>
    <t>C-TYHLNN2-20D</t>
  </si>
  <si>
    <t>2 Dwr</t>
  </si>
  <si>
    <t>C-TYHLNN2-14I</t>
  </si>
  <si>
    <t>Highlander Investigator 2 Dwr</t>
  </si>
  <si>
    <t>C-TYHLNN2-04I</t>
  </si>
  <si>
    <t>Highlander</t>
  </si>
  <si>
    <t>Grand Highlander Investigator</t>
  </si>
  <si>
    <t>C-TYGHLN2-24I</t>
  </si>
  <si>
    <t>Grand Highlander Utl OS Dwr</t>
  </si>
  <si>
    <t>T-TYGHLUO-24S</t>
  </si>
  <si>
    <t>T-TYGHLUO-24N</t>
  </si>
  <si>
    <t>Behind 3rd Row</t>
  </si>
  <si>
    <t>Grand Highlander Utl 2 Dwr</t>
  </si>
  <si>
    <t>T-TYGHLU2-24S</t>
  </si>
  <si>
    <t>T-TYGHLU2-24N</t>
  </si>
  <si>
    <t>Grand Highlander Utl 1 Dwr</t>
  </si>
  <si>
    <t>T-TYGHLU1-24S</t>
  </si>
  <si>
    <t>T-TYGHLU1-24N-HG</t>
  </si>
  <si>
    <t>T-TYGHLU1-24N</t>
  </si>
  <si>
    <t>Grand Highlander Std OS Dwr</t>
  </si>
  <si>
    <t>T-TYGHLSO-24S</t>
  </si>
  <si>
    <t>T-TYGHLSO-24N</t>
  </si>
  <si>
    <t>Grand Highlander Std 2 Dwr</t>
  </si>
  <si>
    <t>T-TYGHLS2-24S</t>
  </si>
  <si>
    <t>T-TYGHLS2-24N</t>
  </si>
  <si>
    <t>Grand Highlander Std 1 Dwr</t>
  </si>
  <si>
    <t>T-TYGHLS1-24S</t>
  </si>
  <si>
    <t>T-TYGHLS1-24N-HG</t>
  </si>
  <si>
    <t>T-TYGHLS1-24N</t>
  </si>
  <si>
    <t>Grand Highlander Mag OS Dwr</t>
  </si>
  <si>
    <t>T-TYGHLMO-24S</t>
  </si>
  <si>
    <t>T-TYGHLMO-24N</t>
  </si>
  <si>
    <t>Grand Highlander Mag 2 Dwr</t>
  </si>
  <si>
    <t>T-TYGHLM2-24S</t>
  </si>
  <si>
    <t>T-TYGHLM2-24N</t>
  </si>
  <si>
    <t>Grand Highlander Mag 1 Dwr</t>
  </si>
  <si>
    <t>T-TYGHLM1-24S</t>
  </si>
  <si>
    <t>T-TYGHLM1-24N-HG</t>
  </si>
  <si>
    <t>T-TYGHLM1-24N</t>
  </si>
  <si>
    <t>Grand Highlander Ext OS Dwr</t>
  </si>
  <si>
    <t>T-TYGHLEO-24S</t>
  </si>
  <si>
    <t>T-TYGHLEO-24N</t>
  </si>
  <si>
    <t>Grand Highlander Ext 2 Dwr</t>
  </si>
  <si>
    <t>T-TYGHLE2-24S</t>
  </si>
  <si>
    <t>T-TYGHLE2-24N</t>
  </si>
  <si>
    <t>Grand Highlander Ext 1 Dwr</t>
  </si>
  <si>
    <t>T-TYGHLE1-24S</t>
  </si>
  <si>
    <t>T-TYGHLE1-24N</t>
  </si>
  <si>
    <t>Grand Highlander</t>
  </si>
  <si>
    <t>Fortuner Mag 2 Dwr</t>
  </si>
  <si>
    <t>T-TYFORM2-16N</t>
  </si>
  <si>
    <t>Fortuner Mag 1 Dwr</t>
  </si>
  <si>
    <t>T-TYFORM1-16N</t>
  </si>
  <si>
    <t>Fortuner</t>
  </si>
  <si>
    <t>FJ Cruiser Utility OS Dwr</t>
  </si>
  <si>
    <t>T-TYFJCUO-07N</t>
  </si>
  <si>
    <t>FJ Cruiser Utility 2 Dwr</t>
  </si>
  <si>
    <t>T-TYFJCU2-07N</t>
  </si>
  <si>
    <t>FJ Cruiser Utility 1 Dwr</t>
  </si>
  <si>
    <t>T-TYFJCU1-07N</t>
  </si>
  <si>
    <t>Table Extension</t>
  </si>
  <si>
    <t>FJ Cruiser Std OS Dwr</t>
  </si>
  <si>
    <t>T-TYFJCSO-07N-PT</t>
  </si>
  <si>
    <t>T-TYFJCSO-07N</t>
  </si>
  <si>
    <t>&amp; Pull Out Table</t>
  </si>
  <si>
    <t>FJ Cruiser Std 2 Dwr</t>
  </si>
  <si>
    <t>T-TYFJCS2-07N-PT</t>
  </si>
  <si>
    <t>T-TYFJCS2-07N-HT</t>
  </si>
  <si>
    <t>T-TYFJCS2-07N</t>
  </si>
  <si>
    <t>with Table Extention</t>
  </si>
  <si>
    <t>FJ Cruiser Std 1 Dwr</t>
  </si>
  <si>
    <t>T-TYFJCS1-07N-PT</t>
  </si>
  <si>
    <t>T-TYFJCS1-07N-HT</t>
  </si>
  <si>
    <t>T-TYFJCS1-07N</t>
  </si>
  <si>
    <t>FJ Cruiser Mag OS Dwr</t>
  </si>
  <si>
    <t>T-TYFJCMO-07N-PT</t>
  </si>
  <si>
    <t>T-TYFJCMO-07N</t>
  </si>
  <si>
    <t>Table Extention</t>
  </si>
  <si>
    <t>FJ Cruiser Mag 2 Dwr</t>
  </si>
  <si>
    <t>T-TYFJCM2-07N-PT</t>
  </si>
  <si>
    <t>T-TYFJCM2-07N-HT</t>
  </si>
  <si>
    <t>T-TYFJCM2-07N</t>
  </si>
  <si>
    <t>FJ Cruiser Mag 1 Dwr</t>
  </si>
  <si>
    <t>T-TYFJCM1-07N-PT</t>
  </si>
  <si>
    <t>T-TYFJCM1-07N-HT</t>
  </si>
  <si>
    <t>T-TYFJCM1-07N</t>
  </si>
  <si>
    <t>FJ Field Ranger</t>
  </si>
  <si>
    <t>C-TYFJCN3-07R</t>
  </si>
  <si>
    <t>FJ Special Ops Center</t>
  </si>
  <si>
    <t>C-TYFJCN3-07D</t>
  </si>
  <si>
    <t>FJ Cruiser</t>
  </si>
  <si>
    <t>Toyota Corolla</t>
  </si>
  <si>
    <t>N-TYCORN1-18N-HG</t>
  </si>
  <si>
    <t>N-TYCORN1-12N-HG</t>
  </si>
  <si>
    <t>N-TYCORN1-12N</t>
  </si>
  <si>
    <t>N-TYCORN1-00N-HG</t>
  </si>
  <si>
    <t>N-TYCORN1-00N</t>
  </si>
  <si>
    <t>Corolla</t>
  </si>
  <si>
    <t>Toyota Camry Hybrid 2 Dwr</t>
  </si>
  <si>
    <t>N-TYCAMN2-07N-PH</t>
  </si>
  <si>
    <t>Camry Patrolman</t>
  </si>
  <si>
    <t>N-TYCAMN1-18N-HG</t>
  </si>
  <si>
    <t>Camry Mag 1 Dwr</t>
  </si>
  <si>
    <t>N-TYCAMN1-18N</t>
  </si>
  <si>
    <t>Elevated TrunkVault</t>
  </si>
  <si>
    <t>Toyota Camry</t>
  </si>
  <si>
    <t>N-TYCAMN1-12N-HG</t>
  </si>
  <si>
    <t>Toyota Camry Hybrid</t>
  </si>
  <si>
    <t>N-TYCAMN1-07N-PH</t>
  </si>
  <si>
    <t>TrunkVault, Elevated</t>
  </si>
  <si>
    <t>N-TYCAMN1-07N-HG</t>
  </si>
  <si>
    <t>N-TYCAMN1-02N</t>
  </si>
  <si>
    <t>Camry</t>
  </si>
  <si>
    <t>bZ4X Utl OS Dwr</t>
  </si>
  <si>
    <t>T-TYBZ4UO-24N</t>
  </si>
  <si>
    <t>bZ4X Utl 2 Dwr</t>
  </si>
  <si>
    <t>T-TYBZ4U2-24N</t>
  </si>
  <si>
    <t>bZ4X Utl 1 Dwr</t>
  </si>
  <si>
    <t>T-TYBZ4U1-24N</t>
  </si>
  <si>
    <t>bZ4X Std OS Dwr</t>
  </si>
  <si>
    <t>T-TYBZ4SO-24N</t>
  </si>
  <si>
    <t>bZ4X Std 2 Dwr</t>
  </si>
  <si>
    <t>T-TYBZ4S2-24N</t>
  </si>
  <si>
    <t>bZ4X Std 1 Dwr</t>
  </si>
  <si>
    <t>T-TYBZ4S1-24N</t>
  </si>
  <si>
    <t>bZ4X Mag OS Dwr</t>
  </si>
  <si>
    <t>T-TYBZ4MO-24N</t>
  </si>
  <si>
    <t>bZ4X Mag 2 Dwr</t>
  </si>
  <si>
    <t>T-TYBZ4M2-24N</t>
  </si>
  <si>
    <t>bZ4X Mag 1 Dwr</t>
  </si>
  <si>
    <t>T-TYBZ4M1-24N</t>
  </si>
  <si>
    <t>bZ4X</t>
  </si>
  <si>
    <t>Avalon 1 Dwr</t>
  </si>
  <si>
    <t>N-TYAVNN1-05N-HG</t>
  </si>
  <si>
    <t>N-TYAVNN1-05N</t>
  </si>
  <si>
    <t>Avalon Patrolman</t>
  </si>
  <si>
    <t>N-TYAVAN1-18N-HG</t>
  </si>
  <si>
    <t>TrunkVault; Elevated</t>
  </si>
  <si>
    <t>N-TYAVAN1-13N-HG</t>
  </si>
  <si>
    <t>N-TYAVAN1-13N</t>
  </si>
  <si>
    <t>Avalon</t>
  </si>
  <si>
    <t>No 3rd Row</t>
  </si>
  <si>
    <t>4Runner Utl 2 Dwr</t>
  </si>
  <si>
    <t>T-TY4RUU2-25N-NT</t>
  </si>
  <si>
    <t>4Runner Std 2 Dwr</t>
  </si>
  <si>
    <t>T-TY4RUS2-25N-NT</t>
  </si>
  <si>
    <t>Tray/3rd Removed</t>
  </si>
  <si>
    <t>4 Runner Drone Responder 7</t>
  </si>
  <si>
    <t>D-TY4RUN2-25N-NT-HT-C1-DR7</t>
  </si>
  <si>
    <t>4Runner Utl 1 Dwr</t>
  </si>
  <si>
    <t>T-TY4RUU1-25N-NT</t>
  </si>
  <si>
    <t>4Runner Mag 1 Dwr</t>
  </si>
  <si>
    <t>T-TY4RUM1-25N-NT</t>
  </si>
  <si>
    <t>4Runner Mag 2 Dwr</t>
  </si>
  <si>
    <t>T-TY4RUM2-25N-NT</t>
  </si>
  <si>
    <t>No 3rd row, Half Width</t>
  </si>
  <si>
    <t>T-TY4RUM1-25N-NT-HD</t>
  </si>
  <si>
    <t>T-TY4RUS1-25N-NT</t>
  </si>
  <si>
    <t>4 Runner Drone Responder 6</t>
  </si>
  <si>
    <t>D-TY4RUN2-10N-T3-DR6</t>
  </si>
  <si>
    <t>4-Runner Utility OS Dwr</t>
  </si>
  <si>
    <t>T-TY4RUUO-90N</t>
  </si>
  <si>
    <t>Tray Removed</t>
  </si>
  <si>
    <t>4-Runner Utility Offset Dwr</t>
  </si>
  <si>
    <t>T-TY4RUUO-10N-RT</t>
  </si>
  <si>
    <t>T-TY4RUUO-10N-PT</t>
  </si>
  <si>
    <t>T-TY4RUUO-10N-HT</t>
  </si>
  <si>
    <t>T-TY4RUUO-10N</t>
  </si>
  <si>
    <t>Third Removed</t>
  </si>
  <si>
    <t>4-Runner Utility 2 Dwr</t>
  </si>
  <si>
    <t>T-TY4RUU2-10N-TR</t>
  </si>
  <si>
    <t>Sliding Tray Removed</t>
  </si>
  <si>
    <t>T-TY4RUU2-10N-RT</t>
  </si>
  <si>
    <t>T-TY4RUU2-10N-PT</t>
  </si>
  <si>
    <t>HD Table; Factory Table Removed</t>
  </si>
  <si>
    <t>T-TY4RUU2-10N-HT-RT</t>
  </si>
  <si>
    <t>T-TY4RUU2-10N-HT</t>
  </si>
  <si>
    <t>T-TY4RUU2-10N</t>
  </si>
  <si>
    <t>No Folding Shelf</t>
  </si>
  <si>
    <t>T-TY4RUU2-03M</t>
  </si>
  <si>
    <t>Heavy Duty Top Tray</t>
  </si>
  <si>
    <t>4-Runner Utility 1 Dwr</t>
  </si>
  <si>
    <t>T-TY4RUU1-10N-TT</t>
  </si>
  <si>
    <t>T-TY4RUU1-10N-TR</t>
  </si>
  <si>
    <t>HD Table, Seat Folded</t>
  </si>
  <si>
    <t>T-TY4RUU1-10N-T3-HT</t>
  </si>
  <si>
    <t>Fold 3rd Row Seating</t>
  </si>
  <si>
    <t>T-TY4RUU1-10N-T3</t>
  </si>
  <si>
    <t>HD Table Tray Removed</t>
  </si>
  <si>
    <t>T-TY4RUU1-10N-RT-HT</t>
  </si>
  <si>
    <t>T-TY4RUU1-10N-PT</t>
  </si>
  <si>
    <t>HD Table; Mounts to Stock Pull Out Table</t>
  </si>
  <si>
    <t>T-TY4RUU1-10N-PG-HT</t>
  </si>
  <si>
    <t>T-TY4RUU1-10N-HT</t>
  </si>
  <si>
    <t>1/2 Width Passenger Side</t>
  </si>
  <si>
    <t>T-TY4RUU1-10N-HP</t>
  </si>
  <si>
    <t>1/2 Width Drivers  Side</t>
  </si>
  <si>
    <t>T-TY4RUU1-10N-HD</t>
  </si>
  <si>
    <t>T-TY4RUU1-10N</t>
  </si>
  <si>
    <t>Heavy Duty Table No Folding Shelf</t>
  </si>
  <si>
    <t>4-Runner Std 1 Dwr</t>
  </si>
  <si>
    <t>T-TY4RUU1-03M-HT</t>
  </si>
  <si>
    <t>T-TY4RUU1-03M</t>
  </si>
  <si>
    <t>4-Runner Std T Dwr</t>
  </si>
  <si>
    <t>T-TY4RUST-99N</t>
  </si>
  <si>
    <t>T-TY4RUST-90N</t>
  </si>
  <si>
    <t>4-Runner Std OS Dwr</t>
  </si>
  <si>
    <t>T-TY4RUSO-99N</t>
  </si>
  <si>
    <t>T-TY4RUSO-96N</t>
  </si>
  <si>
    <t>3rd Row Folded, Table Extension</t>
  </si>
  <si>
    <t>4-Runner Std Offset Dwr</t>
  </si>
  <si>
    <t>T-TY4RUSO-10N-T3-PT</t>
  </si>
  <si>
    <t>Factory Pull Out Table Removed</t>
  </si>
  <si>
    <t>T-TY4RUSO-10N-RT</t>
  </si>
  <si>
    <t>T-TY4RUSO-10N-PT</t>
  </si>
  <si>
    <t>W/ Stock Pull Out Table</t>
  </si>
  <si>
    <t>T-TY4RUSO-10N-PG</t>
  </si>
  <si>
    <t>HD Table Ext; Seat Removed; Factory Table Removed</t>
  </si>
  <si>
    <t>T-TY4RUSO-10N-HT-TR-RT</t>
  </si>
  <si>
    <t>HD Table Ext</t>
  </si>
  <si>
    <t>T-TY4RUSO-10N-HT-RT</t>
  </si>
  <si>
    <t>T-TY4RUSO-10N-HT</t>
  </si>
  <si>
    <t>T-TY4RUSO-10N</t>
  </si>
  <si>
    <t>Tbl Ext, No Folding Shelf</t>
  </si>
  <si>
    <t>T-TY4RUSO-03M-PT</t>
  </si>
  <si>
    <t>HD Table,  No Folding Shelf</t>
  </si>
  <si>
    <t>T-TY4RUSO-03M-HT</t>
  </si>
  <si>
    <t>T-TY4RUSO-03M</t>
  </si>
  <si>
    <t>4-Runner Std 2 Dwr</t>
  </si>
  <si>
    <t>T-TY4RUS2-99N</t>
  </si>
  <si>
    <t>T-TY4RUS2-96N</t>
  </si>
  <si>
    <t>T-TY4RUS2-84N</t>
  </si>
  <si>
    <t>T-TY4RUS2-10N-TR</t>
  </si>
  <si>
    <t>3rd Row Folded / HD Table</t>
  </si>
  <si>
    <t>T-TY4RUS2-10N-T3-HT</t>
  </si>
  <si>
    <t>T-TY4RUS2-10N-T3</t>
  </si>
  <si>
    <t>T-TY4RUS2-10N-RT</t>
  </si>
  <si>
    <t>T-TY4RUS2-10N-PT</t>
  </si>
  <si>
    <t>T-TY4RUS2-10N-PG</t>
  </si>
  <si>
    <t>T-TY4RUS2-10N-HT-RT</t>
  </si>
  <si>
    <t>T-TY4RUS2-10N-HT</t>
  </si>
  <si>
    <t>T-TY4RUS2-10N</t>
  </si>
  <si>
    <t>Folding Shelf Present, P Cage</t>
  </si>
  <si>
    <t>T-TY4RUS2-03S-PP</t>
  </si>
  <si>
    <t>Folding Shelf Present</t>
  </si>
  <si>
    <t>T-TY4RUS2-03S</t>
  </si>
  <si>
    <t>T-TY4RUS2-03M-PT</t>
  </si>
  <si>
    <t>T-TY4RUS2-03M</t>
  </si>
  <si>
    <t>Table Ext.</t>
  </si>
  <si>
    <t>T-TY4RUS1-99N-PT</t>
  </si>
  <si>
    <t>T-TY4RUS1-99N</t>
  </si>
  <si>
    <t>T-TY4RUS1-96N</t>
  </si>
  <si>
    <t>T-TY4RUS1-84N</t>
  </si>
  <si>
    <t>4-Runner Standard 1 Dwr</t>
  </si>
  <si>
    <t>T-TY4RUS1-10N-TT</t>
  </si>
  <si>
    <t>T-TY4RUS1-10N-T3</t>
  </si>
  <si>
    <t>T-TY4RUS1-10N-RT-HT</t>
  </si>
  <si>
    <t>T-TY4RUS1-10N-RT</t>
  </si>
  <si>
    <t>T-TY4RUS1-10N-PT</t>
  </si>
  <si>
    <t>T-TY4RUS1-10N-PG</t>
  </si>
  <si>
    <t>T-TY4RUS1-10N-HT</t>
  </si>
  <si>
    <t>T-TY4RUS1-10N</t>
  </si>
  <si>
    <t>T-TY4RUS1-03S</t>
  </si>
  <si>
    <t>T-TY4RUS1-03M-PT</t>
  </si>
  <si>
    <t>T-TY4RUS1-03M</t>
  </si>
  <si>
    <t>4-Runner Mag T Dwr</t>
  </si>
  <si>
    <t>T-TY4RUMT-96N</t>
  </si>
  <si>
    <t>4-Runner Mag OS Dwr</t>
  </si>
  <si>
    <t>T-TY4RUMO-96N</t>
  </si>
  <si>
    <t>T-TY4RUMO-90N</t>
  </si>
  <si>
    <t>4-Runner Mag Offset Dwr</t>
  </si>
  <si>
    <t>T-TY4RUMO-10N-T3</t>
  </si>
  <si>
    <t>T-TY4RUMO-10N-PG</t>
  </si>
  <si>
    <t>T-TY4RUMO-10N-HT</t>
  </si>
  <si>
    <t>T-TY4RUMO-10N</t>
  </si>
  <si>
    <t>4-Runner Mag Offset</t>
  </si>
  <si>
    <t>T-TY4RUMO-03M</t>
  </si>
  <si>
    <t>4-Runner Mag 2 Dwr</t>
  </si>
  <si>
    <t>T-TY4RUM2-99N</t>
  </si>
  <si>
    <t>T-TY4RUM2-96N</t>
  </si>
  <si>
    <t>T-TY4RUM2-90N</t>
  </si>
  <si>
    <t>T-TY4RUM2-10N-T3</t>
  </si>
  <si>
    <t>T-TY4RUM2-10N-PG</t>
  </si>
  <si>
    <t>T-TY4RUM2-10N-HT</t>
  </si>
  <si>
    <t>T-TY4RUM2-10N</t>
  </si>
  <si>
    <t>T-TY4RUM2-03M</t>
  </si>
  <si>
    <t>4-Runner Mag 1 Dwr</t>
  </si>
  <si>
    <t>T-TY4RUM1-99N-PT</t>
  </si>
  <si>
    <t>T-TY4RUM1-99N</t>
  </si>
  <si>
    <t>T-TY4RUM1-96N</t>
  </si>
  <si>
    <t>T-TY4RUM1-84N</t>
  </si>
  <si>
    <t>4-Runner Mag 1 Dwr HD Table</t>
  </si>
  <si>
    <t>T-TY4RUM1-10N-T3-HT</t>
  </si>
  <si>
    <t>T-TY4RUM1-10N-T3</t>
  </si>
  <si>
    <t>4-Runner Mag 1 Dwr table removed</t>
  </si>
  <si>
    <t>T-TY4RUM1-10N-RT</t>
  </si>
  <si>
    <t>T-TY4RUM1-10N-PT</t>
  </si>
  <si>
    <t>T-TY4RUM1-10N-PG</t>
  </si>
  <si>
    <t>T-TY4RUM1-10N-HT</t>
  </si>
  <si>
    <t>4-Runner Mag 1 Dwr Half Width</t>
  </si>
  <si>
    <t>T-TY4RUM1-10N-HD</t>
  </si>
  <si>
    <t>T-TY4RUM1-10N</t>
  </si>
  <si>
    <t>T-TY4RUM1-03N</t>
  </si>
  <si>
    <t>T-TY4RUM1-03M-PT</t>
  </si>
  <si>
    <t>4-Runner Chief LX CC</t>
  </si>
  <si>
    <t>C-TY4RUN5-10C</t>
  </si>
  <si>
    <t>Seats Folded</t>
  </si>
  <si>
    <t>4-Runner Captain CC</t>
  </si>
  <si>
    <t>C-TY4RUN4-10P-TF</t>
  </si>
  <si>
    <t>4-Runner Field Ranger</t>
  </si>
  <si>
    <t>C-TY4RUN3-10R-HT</t>
  </si>
  <si>
    <t>C-TY4RUN3-10R</t>
  </si>
  <si>
    <t>4-Runner Investigator</t>
  </si>
  <si>
    <t>C-TY4RUN3-10I-T3</t>
  </si>
  <si>
    <t>C-TY4RUN3-10I</t>
  </si>
  <si>
    <t>4-Runner Special Ops Ctr</t>
  </si>
  <si>
    <t>C-TY4RUN3-10D-PT</t>
  </si>
  <si>
    <t>C-TY4RUN3-10D-HT</t>
  </si>
  <si>
    <t>C-TY4RUN3-10D</t>
  </si>
  <si>
    <t>C-TY4RUN3-03R</t>
  </si>
  <si>
    <t>C-TY4RUN3-03I-PT</t>
  </si>
  <si>
    <t>C-TY4RUN3-03I</t>
  </si>
  <si>
    <t>Sliding Tray, 2 Drawer</t>
  </si>
  <si>
    <t>4-Runner Investigator 2 Dwr</t>
  </si>
  <si>
    <t>C-TY4RUN2-10I-PG</t>
  </si>
  <si>
    <t>2 Drawer</t>
  </si>
  <si>
    <t>C-TY4RUN2-10I</t>
  </si>
  <si>
    <t>4-Runner</t>
  </si>
  <si>
    <t>Model Y Std 1 Dwr</t>
  </si>
  <si>
    <t>T-TSMLYS1-20N</t>
  </si>
  <si>
    <t>Model Y Utl 1 Dwr</t>
  </si>
  <si>
    <t>T-TSMLYU1-20N</t>
  </si>
  <si>
    <t>Model Y Mag 1 Dwr</t>
  </si>
  <si>
    <t>T-TSMLYM1-20N</t>
  </si>
  <si>
    <t>Model Y Floor Vault</t>
  </si>
  <si>
    <t>T-TSMLYL2-20N</t>
  </si>
  <si>
    <t>Model Y</t>
  </si>
  <si>
    <t>Model X Std 2 Dwr</t>
  </si>
  <si>
    <t>T-TSMLXS2-16N</t>
  </si>
  <si>
    <t>Model X Mag 2 Dwr</t>
  </si>
  <si>
    <t>T-TSMLXS1-16N-HT</t>
  </si>
  <si>
    <t>T-TSMLXM1-16S</t>
  </si>
  <si>
    <t>Model X</t>
  </si>
  <si>
    <t>Model S Mag 1 Dwr</t>
  </si>
  <si>
    <t>T-TSMLSM1-12N</t>
  </si>
  <si>
    <t>Model S</t>
  </si>
  <si>
    <t>Model 3 Mag 1 Dwr</t>
  </si>
  <si>
    <t>T-TSML3M1-17N</t>
  </si>
  <si>
    <t>Model 3 1 Lid Dwr</t>
  </si>
  <si>
    <t>T-TSML3L1-17N</t>
  </si>
  <si>
    <t>Model 3</t>
  </si>
  <si>
    <t>Utility 2 Dwr; All Weather</t>
  </si>
  <si>
    <t>Cybertruck Truckvault</t>
  </si>
  <si>
    <t>T-TSCBTU2-24S-PW</t>
  </si>
  <si>
    <t>Standard 2 Dwr; All Weather</t>
  </si>
  <si>
    <t>T-TSCBTS2-24S-PW</t>
  </si>
  <si>
    <t>Magnum 2 Dwr; All Weather</t>
  </si>
  <si>
    <t>T-TSCBTM2-24S-PW</t>
  </si>
  <si>
    <t>Cybertruck SeatVault</t>
  </si>
  <si>
    <t>S-TSCBTN1-24N</t>
  </si>
  <si>
    <t>S-TSCBTL1-24N</t>
  </si>
  <si>
    <t>Cybertruck</t>
  </si>
  <si>
    <t>TEMPORARY</t>
  </si>
  <si>
    <t>Custom Vault Temp stock code</t>
  </si>
  <si>
    <t>Z-CUSTOM-SEATVAULT</t>
  </si>
  <si>
    <t>Z-CUSTOM-COMMAND CENTER</t>
  </si>
  <si>
    <t>Z-CUSTOM-BOW VAULT CARPETED</t>
  </si>
  <si>
    <t>Z-CUSTOM-BOW VAULT AW</t>
  </si>
  <si>
    <t>Z-CUSTOM-ALL WEATHER</t>
  </si>
  <si>
    <t>Z-CUSTOM</t>
  </si>
  <si>
    <t>Custom Stock Code</t>
  </si>
  <si>
    <t>Temporary</t>
  </si>
  <si>
    <t>Grand Vitara Mag 1 Dwr</t>
  </si>
  <si>
    <t>T-SUGVTM1-06N</t>
  </si>
  <si>
    <t>Grand Vitara</t>
  </si>
  <si>
    <t>WRX</t>
  </si>
  <si>
    <t>N-SBWRXN1-16N-HG</t>
  </si>
  <si>
    <t>Tribeca Std 2 Dwr</t>
  </si>
  <si>
    <t>T-SBTRIS2-05N</t>
  </si>
  <si>
    <t>Tribeca Std 1 Dwr</t>
  </si>
  <si>
    <t>T-SBTRIS1-05N</t>
  </si>
  <si>
    <t>Tribeca Mag OS Dwr</t>
  </si>
  <si>
    <t>T-SBTRIMO-05N</t>
  </si>
  <si>
    <t>Tribeca Mag 2 Dwr</t>
  </si>
  <si>
    <t>T-SBTRIM2-05N</t>
  </si>
  <si>
    <t>Tribeca Mag 1 Dwr</t>
  </si>
  <si>
    <t>T-SBTRIM1-05N</t>
  </si>
  <si>
    <t>Tribeca</t>
  </si>
  <si>
    <t>Solterra Utl OS Dwr</t>
  </si>
  <si>
    <t>T-SBSOLUO-24N</t>
  </si>
  <si>
    <t>Solterra Utl 2 Dwr</t>
  </si>
  <si>
    <t>T-SBSOLU2-24N</t>
  </si>
  <si>
    <t>Solterra Utl 1 Dwr</t>
  </si>
  <si>
    <t>T-SBSOLU1-24N</t>
  </si>
  <si>
    <t>Solterra Std OS Dwr</t>
  </si>
  <si>
    <t>T-SBSOLSO-24N</t>
  </si>
  <si>
    <t>Solterra Std 2 Dwr</t>
  </si>
  <si>
    <t>T-SBSOLS2-24N</t>
  </si>
  <si>
    <t>Solterra Std 1 Dwr</t>
  </si>
  <si>
    <t>T-SBSOLS1-24N</t>
  </si>
  <si>
    <t>Solterra Mag OS Dwr</t>
  </si>
  <si>
    <t>T-SBSOLMO-24N</t>
  </si>
  <si>
    <t>Solterra Mag 2 Dwr</t>
  </si>
  <si>
    <t>T-SBSOLM2-24N</t>
  </si>
  <si>
    <t>Solterra Mag 1 Dwr</t>
  </si>
  <si>
    <t>T-SBSOLM1-24N</t>
  </si>
  <si>
    <t>Solterra</t>
  </si>
  <si>
    <t>Outback Utility 2 Dwr OS</t>
  </si>
  <si>
    <t>T-SBOUTUO-20N</t>
  </si>
  <si>
    <t>T-SBOUTUO-15N-PT</t>
  </si>
  <si>
    <t>Outback Utility 2 Dwr</t>
  </si>
  <si>
    <t>T-SBOUTU2-20N</t>
  </si>
  <si>
    <t>T-SBOUTU2-15N</t>
  </si>
  <si>
    <t>Outback Utility 1 Dwr</t>
  </si>
  <si>
    <t>T-SBOUTU1-20N</t>
  </si>
  <si>
    <t>T-SBOUTU1-15N</t>
  </si>
  <si>
    <t>Outback Std Offset</t>
  </si>
  <si>
    <t>T-SBOUTSO-98N-PT</t>
  </si>
  <si>
    <t>Outback Std 2 Dwr Offset</t>
  </si>
  <si>
    <t>T-SBOUTSO-20N</t>
  </si>
  <si>
    <t>T-SBOUTSO-15N</t>
  </si>
  <si>
    <t>Outback Std Offset Dwr</t>
  </si>
  <si>
    <t>T-SBOUTSO-09N</t>
  </si>
  <si>
    <t>Outback Std 2 Dwr</t>
  </si>
  <si>
    <t>T-SBOUTS2-20N-PT</t>
  </si>
  <si>
    <t>T-SBOUTS2-20N-HT</t>
  </si>
  <si>
    <t>T-SBOUTS2-20N</t>
  </si>
  <si>
    <t>T-SBOUTS2-15N</t>
  </si>
  <si>
    <t>T-SBOUTS2-09N</t>
  </si>
  <si>
    <t>T-SBOUTS2-05N</t>
  </si>
  <si>
    <t>T-SBOUTS2-03N</t>
  </si>
  <si>
    <t>T-SBOUTS2-00N</t>
  </si>
  <si>
    <t>Outback Std 1 Dwr</t>
  </si>
  <si>
    <t>T-SBOUTS1-20N-PT</t>
  </si>
  <si>
    <t>T-SBOUTS1-20N</t>
  </si>
  <si>
    <t>T-SBOUTS1-15N</t>
  </si>
  <si>
    <t>T-SBOUTS1-09N</t>
  </si>
  <si>
    <t>T-SBOUTS1-05N</t>
  </si>
  <si>
    <t>Outback Mag OS Dwr</t>
  </si>
  <si>
    <t>T-SBOUTMO-20N</t>
  </si>
  <si>
    <t>Outback Mag Offset Dwr</t>
  </si>
  <si>
    <t>T-SBOUTMO-15N</t>
  </si>
  <si>
    <t>T-SBOUTMO-09N</t>
  </si>
  <si>
    <t>Outback Mag Offset</t>
  </si>
  <si>
    <t>T-SBOUTMO-05N-PT</t>
  </si>
  <si>
    <t>T-SBOUTMO-05N</t>
  </si>
  <si>
    <t>Outback Mag 2 Dwr</t>
  </si>
  <si>
    <t>T-SBOUTM2-20N</t>
  </si>
  <si>
    <t>T-SBOUTM2-15N</t>
  </si>
  <si>
    <t>T-SBOUTM2-05N</t>
  </si>
  <si>
    <t>Outback Mag 1 Dwr</t>
  </si>
  <si>
    <t>T-SBOUTM1-20N</t>
  </si>
  <si>
    <t>Heavy Duty Table Extension</t>
  </si>
  <si>
    <t>T-SBOUTM1-15N-HT</t>
  </si>
  <si>
    <t>T-SBOUTM1-15N</t>
  </si>
  <si>
    <t>T-SBOUTM1-09N-HT</t>
  </si>
  <si>
    <t>T-SBOUTM1-09N</t>
  </si>
  <si>
    <t>T-SBOUTM1-05N</t>
  </si>
  <si>
    <t>3 Drawer</t>
  </si>
  <si>
    <t>Outback Custom</t>
  </si>
  <si>
    <t>C-SBOUTN3-20R</t>
  </si>
  <si>
    <t>Outback Investigator</t>
  </si>
  <si>
    <t>C-SBOUTN3-20I</t>
  </si>
  <si>
    <t>Outback Special Ops Ctr</t>
  </si>
  <si>
    <t>C-SBOUTN3-09D-PT</t>
  </si>
  <si>
    <t>Outback</t>
  </si>
  <si>
    <t>TrunkVault; Hanging</t>
  </si>
  <si>
    <t>Legacy Patrolman</t>
  </si>
  <si>
    <t>N-SBLEGN1-20N-HG</t>
  </si>
  <si>
    <t>N-SBLEGN1-14N-HG</t>
  </si>
  <si>
    <t>Legacy</t>
  </si>
  <si>
    <t>Impreza Std 2 Dwr</t>
  </si>
  <si>
    <t>T-SBIMPS2-11N</t>
  </si>
  <si>
    <t>Impreza Std 1 Dwr</t>
  </si>
  <si>
    <t>T-SBIMPS1-11N</t>
  </si>
  <si>
    <t>Impreza</t>
  </si>
  <si>
    <t>Forester Std 1 Dwr</t>
  </si>
  <si>
    <t>T-SBFORS1-97N</t>
  </si>
  <si>
    <t>Forrester</t>
  </si>
  <si>
    <t>No 3rd Seat</t>
  </si>
  <si>
    <t>Forester Utl 1 Dwr</t>
  </si>
  <si>
    <t>T-SBFORU1-19N</t>
  </si>
  <si>
    <t>Forester Std Offset</t>
  </si>
  <si>
    <t>T-SBFORSO-14N</t>
  </si>
  <si>
    <t>T-SBFORSO-08N</t>
  </si>
  <si>
    <t>Forester Std 2 Dwr</t>
  </si>
  <si>
    <t>T-SBFORS2-19N-HT</t>
  </si>
  <si>
    <t>T-SBFORS2-14N</t>
  </si>
  <si>
    <t>T-SBFORS2-03N</t>
  </si>
  <si>
    <t>T-SBFORS1-19N</t>
  </si>
  <si>
    <t>T-SBFORS1-14N</t>
  </si>
  <si>
    <t>T-SBFORS1-08N</t>
  </si>
  <si>
    <t>T-SBFORS1-03N</t>
  </si>
  <si>
    <t>Forester Mag 2 Dwr offset</t>
  </si>
  <si>
    <t>T-SBFORMO-19N</t>
  </si>
  <si>
    <t>Forester Mag Offset</t>
  </si>
  <si>
    <t>T-SBFORMO-03N</t>
  </si>
  <si>
    <t>Forester Mag 2 Dwr</t>
  </si>
  <si>
    <t>T-SBFORM2-19N</t>
  </si>
  <si>
    <t>T-SBFORM2-14N</t>
  </si>
  <si>
    <t>T-SBFORM2-08N</t>
  </si>
  <si>
    <t>T-SBFORM2-03N</t>
  </si>
  <si>
    <t>Forester Mag 1 Dwr</t>
  </si>
  <si>
    <t>T-SBFORM1-19N</t>
  </si>
  <si>
    <t>T-SBFORM1-14N</t>
  </si>
  <si>
    <t>T-SBFORM1-08N</t>
  </si>
  <si>
    <t>T-SBFORM1-03N</t>
  </si>
  <si>
    <t>No 3rd Row Seat</t>
  </si>
  <si>
    <t>Forester Field Ranger</t>
  </si>
  <si>
    <t>C-SBFORN3-19R</t>
  </si>
  <si>
    <t>Forester Investigator</t>
  </si>
  <si>
    <t>C-SBFORN3-19I</t>
  </si>
  <si>
    <t>C-SBFORN3-14R</t>
  </si>
  <si>
    <t>C-SBFORN3-14I</t>
  </si>
  <si>
    <t>C-SBFORN2-14I</t>
  </si>
  <si>
    <t>Forester</t>
  </si>
  <si>
    <t>Crosstrek Std OS Dwr</t>
  </si>
  <si>
    <t>T-SBCTRSO-18N</t>
  </si>
  <si>
    <t>Crosstrek Utl 1 Dwr</t>
  </si>
  <si>
    <t>T-SBCTRU1-18N</t>
  </si>
  <si>
    <t>Crosstrek Mag OS Dwr</t>
  </si>
  <si>
    <t>T-SBCTRMO-18N</t>
  </si>
  <si>
    <t>Crosstrek Utl 2 Dwr</t>
  </si>
  <si>
    <t>T-SBCTRU2-18N</t>
  </si>
  <si>
    <t>Crosstrek Utility 2 Dwr Offset</t>
  </si>
  <si>
    <t>T-SBCTRUO-18N</t>
  </si>
  <si>
    <t>Crosstrek Std 2 Dwr</t>
  </si>
  <si>
    <t>T-SBCTRS2-18N</t>
  </si>
  <si>
    <t>T-SBCTRS2-13N</t>
  </si>
  <si>
    <t>Crosstrek Std 1 Dwr</t>
  </si>
  <si>
    <t>T-SBCTRS1-18N</t>
  </si>
  <si>
    <t>T-SBCTRS1-13N</t>
  </si>
  <si>
    <t>Crosstrek Mag 2 Dwr</t>
  </si>
  <si>
    <t>T-SBCTRM2-18N</t>
  </si>
  <si>
    <t>T-SBCTRM2-13N</t>
  </si>
  <si>
    <t>Crosstrek Mag 1 Dwr</t>
  </si>
  <si>
    <t>T-SBCTRM1-18N</t>
  </si>
  <si>
    <t>T-SBCTRM1-13N</t>
  </si>
  <si>
    <t>Crosstrek</t>
  </si>
  <si>
    <t>Baja Std 1 Dwr</t>
  </si>
  <si>
    <t>T-SBBAJS1-03N-PW</t>
  </si>
  <si>
    <t>Baja</t>
  </si>
  <si>
    <t>3rd Seat Folded, HD Table</t>
  </si>
  <si>
    <t>Ascent Utility 2 Dwr Offset</t>
  </si>
  <si>
    <t>T-SBASCUO-19N-HT</t>
  </si>
  <si>
    <t>T-SBASCUO-19N</t>
  </si>
  <si>
    <t>Ascent Utility 2 Dwr</t>
  </si>
  <si>
    <t>T-SBASCU2-19N</t>
  </si>
  <si>
    <t>3rd Seat Upright</t>
  </si>
  <si>
    <t>Ascent Utility 1 Dwr</t>
  </si>
  <si>
    <t>T-SBASCU1-19S</t>
  </si>
  <si>
    <t>T-SBASCU1-19N</t>
  </si>
  <si>
    <t>Ascent Std 2 Dwr Offset</t>
  </si>
  <si>
    <t>T-SBASCSO-19N-HT</t>
  </si>
  <si>
    <t>3rd Row Folded, Table Ext</t>
  </si>
  <si>
    <t>Ascent Std 2 Dwr</t>
  </si>
  <si>
    <t>T-SBASCS2-19N-PT</t>
  </si>
  <si>
    <t>T-SBASCS2-19N-HT</t>
  </si>
  <si>
    <t>T-SBASCS2-19N</t>
  </si>
  <si>
    <t>Ascent Std 1 Dwr</t>
  </si>
  <si>
    <t>T-SBASCS1-19N</t>
  </si>
  <si>
    <t>3rd Seat Folded; Heavy Duty Table</t>
  </si>
  <si>
    <t>Ascent Mag Offset Dwr</t>
  </si>
  <si>
    <t>T-SBASCMO-19N-HT</t>
  </si>
  <si>
    <t>T-SBASCMO-19N</t>
  </si>
  <si>
    <t>Ascent Mag 2 Dwr</t>
  </si>
  <si>
    <t>T-SBASCM2-19N-HT</t>
  </si>
  <si>
    <t>T-SBASCM2-19N</t>
  </si>
  <si>
    <t>3rd Seat Folded, Half Wdith Driver side</t>
  </si>
  <si>
    <t>Ascent Mag 1 Dwr</t>
  </si>
  <si>
    <t>T-SBASCM1-19N-HD</t>
  </si>
  <si>
    <t>T-SBASCM1-19N</t>
  </si>
  <si>
    <t>Ascent Ext 1 Dwr</t>
  </si>
  <si>
    <t>T-SBASCE1-19N</t>
  </si>
  <si>
    <t>3rd Folded, HD Table</t>
  </si>
  <si>
    <t>Ascent Drone Responder 7</t>
  </si>
  <si>
    <t>D-SBASCN2-19N-HT-C1-DR7</t>
  </si>
  <si>
    <t>Ascent Investigator</t>
  </si>
  <si>
    <t>C-SBASCN3-19I-TF</t>
  </si>
  <si>
    <t>Ascent Spec Ops</t>
  </si>
  <si>
    <t>C-SBASCN3-19D</t>
  </si>
  <si>
    <t>C-SBASCN2-19I</t>
  </si>
  <si>
    <t>Ascent</t>
  </si>
  <si>
    <t>Subaru</t>
  </si>
  <si>
    <t>XB Std 2 Dwr</t>
  </si>
  <si>
    <t>T-SCXXBS2-08N</t>
  </si>
  <si>
    <t>XB Std 1 Dwr</t>
  </si>
  <si>
    <t>T-SCXXBS1-08N</t>
  </si>
  <si>
    <t>XB Mag 1 Dwr</t>
  </si>
  <si>
    <t>T-SCXXBM1-08N</t>
  </si>
  <si>
    <t>XB</t>
  </si>
  <si>
    <t>FRS 1 Dwr TrunkVault</t>
  </si>
  <si>
    <t>N-SCFRSN1-12N</t>
  </si>
  <si>
    <t>FRS</t>
  </si>
  <si>
    <t>Scion</t>
  </si>
  <si>
    <t>Vue Std 2 Dwr</t>
  </si>
  <si>
    <t>T-SAVUES2-08N</t>
  </si>
  <si>
    <t>Vue Std 1 Dwr</t>
  </si>
  <si>
    <t>T-SAVUES1-08N</t>
  </si>
  <si>
    <t>Vue Mag 2 Dwr</t>
  </si>
  <si>
    <t>T-SAVUEM2-08N</t>
  </si>
  <si>
    <t>Vue Mag 1 Dwr</t>
  </si>
  <si>
    <t>T-SAVUEM1-08N</t>
  </si>
  <si>
    <t>Vue</t>
  </si>
  <si>
    <t>Outlook Std 2 Dwr</t>
  </si>
  <si>
    <t>T-SAOUTS2-07N</t>
  </si>
  <si>
    <t>Outlook Std 1 Dwr</t>
  </si>
  <si>
    <t>T-SAOUTS1-07N</t>
  </si>
  <si>
    <t>Outlook Mag 2 Dwr</t>
  </si>
  <si>
    <t>T-SAOUTM2-07N</t>
  </si>
  <si>
    <t>Outlook Mag 1 Dwr</t>
  </si>
  <si>
    <t>T-SAOUTM1-07N</t>
  </si>
  <si>
    <t>Outlook</t>
  </si>
  <si>
    <t>Aura Patrolman</t>
  </si>
  <si>
    <t>N-SAAURN1-07N</t>
  </si>
  <si>
    <t>Aura</t>
  </si>
  <si>
    <t>Saturn</t>
  </si>
  <si>
    <t>9-3 ARC 1 Dwr TrunkVault</t>
  </si>
  <si>
    <t>N-SB93AN1-02N</t>
  </si>
  <si>
    <t>9-3 ARC</t>
  </si>
  <si>
    <t>Saab</t>
  </si>
  <si>
    <t>R1T Utl 2 Dwr Offset</t>
  </si>
  <si>
    <t>T-RVR1TUO-22N</t>
  </si>
  <si>
    <t>R1T 1Utl 2 Dwr</t>
  </si>
  <si>
    <t>T-RVR1TU2-22N</t>
  </si>
  <si>
    <t>R1T Std Offset Dwr</t>
  </si>
  <si>
    <t>T-RVR1TSO-22N</t>
  </si>
  <si>
    <t>R1T Std 2 Dwr</t>
  </si>
  <si>
    <t>T-RVR1TS2-22N</t>
  </si>
  <si>
    <t>5' Short Bed, Passenger Side</t>
  </si>
  <si>
    <t>R1T Std 1 Dwr</t>
  </si>
  <si>
    <t>T-RVR1TS1-22N-HP</t>
  </si>
  <si>
    <t>R1T Mag 2 Dwr Offset</t>
  </si>
  <si>
    <t>T-RVR1TMO-22N</t>
  </si>
  <si>
    <t>R1T Mag 2 Dwr</t>
  </si>
  <si>
    <t>T-RVR1TM2-22N</t>
  </si>
  <si>
    <t>R1T Ext 2 Dwr Offset</t>
  </si>
  <si>
    <t>T-RVR1TEO-22N</t>
  </si>
  <si>
    <t>R1T Ext 2 Dwr</t>
  </si>
  <si>
    <t>T-RVR1TE2-22N</t>
  </si>
  <si>
    <t>R1T Base Camp 4</t>
  </si>
  <si>
    <t>B-RVR1TN4-22S-BC4</t>
  </si>
  <si>
    <t>R1T Base Camp 1</t>
  </si>
  <si>
    <t>B-RVR1TN2-22N-BC1</t>
  </si>
  <si>
    <t>R1T</t>
  </si>
  <si>
    <t>R1S Std 1 Dwr</t>
  </si>
  <si>
    <t>T-RVR1SS1-22N-TF</t>
  </si>
  <si>
    <t>R1S</t>
  </si>
  <si>
    <t>Rivian</t>
  </si>
  <si>
    <t>Panamera Std 2 Dwr</t>
  </si>
  <si>
    <t>T-PRPANS2-10N</t>
  </si>
  <si>
    <t>Panamera Std 1 Dwr</t>
  </si>
  <si>
    <t>T-PRPANS1-10N</t>
  </si>
  <si>
    <t>Panamera</t>
  </si>
  <si>
    <t>Macan Utl Offset</t>
  </si>
  <si>
    <t>T-PRMCNUO-18N</t>
  </si>
  <si>
    <t>Macan Utl 1 Dwr</t>
  </si>
  <si>
    <t>T-PRMCNU1-18N</t>
  </si>
  <si>
    <t>Macan Std 2 Dwr</t>
  </si>
  <si>
    <t>T-PRMCNS2-18N</t>
  </si>
  <si>
    <t>Macan Std 1 Dwr</t>
  </si>
  <si>
    <t>T-PRMCNS1-18N</t>
  </si>
  <si>
    <t>Macan Mag 2 Dwr</t>
  </si>
  <si>
    <t>T-PRMCNM2-18N</t>
  </si>
  <si>
    <t>Macan</t>
  </si>
  <si>
    <t>Cayenne Std 2 Dwr Offset</t>
  </si>
  <si>
    <t>T-PRCYNSO-11N</t>
  </si>
  <si>
    <t>Cayenne Std 2 Dwr</t>
  </si>
  <si>
    <t>T-PRCYNS2-19N</t>
  </si>
  <si>
    <t>T-PRCYNS2-11N</t>
  </si>
  <si>
    <t>T-PRCYNS2-03N</t>
  </si>
  <si>
    <t>Cayenne Std 1 Dwr</t>
  </si>
  <si>
    <t>T-PRCYNS1-19N</t>
  </si>
  <si>
    <t>T-PRCYNS1-11N</t>
  </si>
  <si>
    <t>T-PRCYNS1-03N</t>
  </si>
  <si>
    <t>Cayenne Mag Offset Dwr</t>
  </si>
  <si>
    <t>T-PRCYNMO-03N</t>
  </si>
  <si>
    <t>Cayenne Mag 2 Dwr</t>
  </si>
  <si>
    <t>T-PRCYNM2-03N</t>
  </si>
  <si>
    <t>Cayenne Mag 1 Dwr</t>
  </si>
  <si>
    <t>T-PRCYNM1-19N</t>
  </si>
  <si>
    <t>T-PRCYNM1-11N</t>
  </si>
  <si>
    <t>T-PRCYNM1-03N</t>
  </si>
  <si>
    <t>T-PRCYNM1-02N</t>
  </si>
  <si>
    <t>Cayenne</t>
  </si>
  <si>
    <t>Lid Box</t>
  </si>
  <si>
    <t>Porsche 911</t>
  </si>
  <si>
    <t>N-PR911L1-12N</t>
  </si>
  <si>
    <t>Porsche</t>
  </si>
  <si>
    <t>Vibe Std 2 Dwr</t>
  </si>
  <si>
    <t>T-POVIBS2-03N</t>
  </si>
  <si>
    <t>Vibe Std 1 Dwr</t>
  </si>
  <si>
    <t>T-POVIBS1-03N</t>
  </si>
  <si>
    <t>Vibe Mag 2 Dwr</t>
  </si>
  <si>
    <t>T-POVIBM2-03N</t>
  </si>
  <si>
    <t>Vibe Mag 1 Dwr</t>
  </si>
  <si>
    <t>T-POVIBM1-03N</t>
  </si>
  <si>
    <t>Vibe</t>
  </si>
  <si>
    <t>Torrent Std 2 Drawer</t>
  </si>
  <si>
    <t>T-POTORS2-06N</t>
  </si>
  <si>
    <t>Torrent Std 1 Drawer</t>
  </si>
  <si>
    <t>T-POTORS1-06N</t>
  </si>
  <si>
    <t>Torrent Mag 2 Drawer</t>
  </si>
  <si>
    <t>T-POTORM2-06N</t>
  </si>
  <si>
    <t>Torrent Mag 1 Drawer</t>
  </si>
  <si>
    <t>T-POTORM1-06N</t>
  </si>
  <si>
    <t>Torrent</t>
  </si>
  <si>
    <t>Grand Prix Radio Patrolman</t>
  </si>
  <si>
    <t>N-POGPXN2-04N</t>
  </si>
  <si>
    <t>Grand Prix Patrolman</t>
  </si>
  <si>
    <t>N-POGPXN1-97N</t>
  </si>
  <si>
    <t>N-POGPXN1-04N</t>
  </si>
  <si>
    <t>Grand Prix</t>
  </si>
  <si>
    <t>Pontiac G8 1 Dwr</t>
  </si>
  <si>
    <t>N-POG8XN1-08N-HG</t>
  </si>
  <si>
    <t>N-POG8XN1-08N</t>
  </si>
  <si>
    <t>G8</t>
  </si>
  <si>
    <t>Pontiac G6 1 Dwr</t>
  </si>
  <si>
    <t>N-POG6XN1-05N</t>
  </si>
  <si>
    <t>G6</t>
  </si>
  <si>
    <t>Aztek Std 2 Dwr</t>
  </si>
  <si>
    <t>T-POAZTS2-01N</t>
  </si>
  <si>
    <t>Aztek Std 1 Dwr</t>
  </si>
  <si>
    <t>T-POAZTS1-01N</t>
  </si>
  <si>
    <t>Aztek Mag 2 Dwr</t>
  </si>
  <si>
    <t>T-POAZTM2-01N</t>
  </si>
  <si>
    <t>Aztek Mag 1 Dwr</t>
  </si>
  <si>
    <t>T-POAZTM1-01N</t>
  </si>
  <si>
    <t>Aztek</t>
  </si>
  <si>
    <t>Pontiac</t>
  </si>
  <si>
    <t>SWB</t>
  </si>
  <si>
    <t>Voyager STD 2 Dwr</t>
  </si>
  <si>
    <t>T-PLVOYS2-83S</t>
  </si>
  <si>
    <t>Voyager Std 1 Dwr</t>
  </si>
  <si>
    <t>T-PLVOYS1-83S</t>
  </si>
  <si>
    <t>Voyager Mag 2 Dwr</t>
  </si>
  <si>
    <t>T-PLVOYM2-83S</t>
  </si>
  <si>
    <t>Voyager Mag 1 Dwr</t>
  </si>
  <si>
    <t>T-PLVOYM1-83S</t>
  </si>
  <si>
    <t>Voyager</t>
  </si>
  <si>
    <t>LWB</t>
  </si>
  <si>
    <t>Grand Voyager Std 2 Dwr</t>
  </si>
  <si>
    <t>T-PLGVYS2-83L</t>
  </si>
  <si>
    <t>Grand Voyager Std 1 Dwr</t>
  </si>
  <si>
    <t>T-PLGVYS1-83L</t>
  </si>
  <si>
    <t>Grand Voyager Mag 2 Dwr</t>
  </si>
  <si>
    <t>T-PLGVYM2-99L</t>
  </si>
  <si>
    <t>Grand Voyager Mag 1 Dwr</t>
  </si>
  <si>
    <t>T-PLGVYM1-83L</t>
  </si>
  <si>
    <t>Grand Voyager</t>
  </si>
  <si>
    <t>Plymouth</t>
  </si>
  <si>
    <t>Portable Sales Vault for Shows</t>
  </si>
  <si>
    <t>Portable Sale Vault</t>
  </si>
  <si>
    <t>X-CUSALS1-04N</t>
  </si>
  <si>
    <t>Portable/Show</t>
  </si>
  <si>
    <t>FP Unit</t>
  </si>
  <si>
    <t>X-CUGENM1-FP01</t>
  </si>
  <si>
    <t>Generic</t>
  </si>
  <si>
    <t>Other</t>
  </si>
  <si>
    <t>Insignia Mag 1 Dwr</t>
  </si>
  <si>
    <t>T-OPINWM1-09N</t>
  </si>
  <si>
    <t>Insignia Wagon</t>
  </si>
  <si>
    <t>Opel</t>
  </si>
  <si>
    <t>Silhouette Std 2 Dwr</t>
  </si>
  <si>
    <t>T-OLSILS2-97S</t>
  </si>
  <si>
    <t>Silhouette Mag 2 Dwr</t>
  </si>
  <si>
    <t>T-OLSILM2-97S</t>
  </si>
  <si>
    <t>Silhouette</t>
  </si>
  <si>
    <t>Bravada Std 2 Dwr</t>
  </si>
  <si>
    <t>T-OLBRVS2-95N</t>
  </si>
  <si>
    <t>Bravada Std 1 Dwr</t>
  </si>
  <si>
    <t>T-OLBRVS1-95N</t>
  </si>
  <si>
    <t>Bravada Mag 2 Dwr</t>
  </si>
  <si>
    <t>T-OLBRVM2-95N</t>
  </si>
  <si>
    <t>Bravada Mag 1 Dwr</t>
  </si>
  <si>
    <t>T-OLBRVM1-95N</t>
  </si>
  <si>
    <t>Bravada</t>
  </si>
  <si>
    <t>Oldsmobile</t>
  </si>
  <si>
    <t>X-Trail Std 2 Dwr</t>
  </si>
  <si>
    <t>T-NSXTRS2-01N</t>
  </si>
  <si>
    <t>X-Trail Std 1 Dwr</t>
  </si>
  <si>
    <t>T-NSXTRS1-01N</t>
  </si>
  <si>
    <t>X-Trail Mag 2 Dwr</t>
  </si>
  <si>
    <t>T-NSXTRM2-01N</t>
  </si>
  <si>
    <t>X-Trail Mag 1 Dwr</t>
  </si>
  <si>
    <t>T-NSXTRM1-01N</t>
  </si>
  <si>
    <t>X-Trail</t>
  </si>
  <si>
    <t>X-Terra Utility 2 Dwr</t>
  </si>
  <si>
    <t>T-NSXTEU2-05N-HT</t>
  </si>
  <si>
    <t>Pullout Table</t>
  </si>
  <si>
    <t>X-Terra Utility 1 Dwr</t>
  </si>
  <si>
    <t>T-NSXTEU1-05N-PT</t>
  </si>
  <si>
    <t>X-Terra Std O/S Dwr</t>
  </si>
  <si>
    <t>T-NSXTESO-05N</t>
  </si>
  <si>
    <t>X-Terra Std OS Dwr</t>
  </si>
  <si>
    <t>T-NSXTESO-00N</t>
  </si>
  <si>
    <t>X-Terra Std 2 Dwr</t>
  </si>
  <si>
    <t>T-NSXTES2-05N-PT</t>
  </si>
  <si>
    <t>T-NSXTES2-05N</t>
  </si>
  <si>
    <t>T-NSXTES2-00N</t>
  </si>
  <si>
    <t>Passenger Side</t>
  </si>
  <si>
    <t>X-Terra Std 1 Dwr Half-Width</t>
  </si>
  <si>
    <t>T-NSXTES1-05N-HP</t>
  </si>
  <si>
    <t>X-Terra Std 1 Dwr</t>
  </si>
  <si>
    <t>T-NSXTES1-05N</t>
  </si>
  <si>
    <t>T-NSXTES1-00N</t>
  </si>
  <si>
    <t>X-Terra Mag OS Dwr</t>
  </si>
  <si>
    <t>T-NSXTEMO-05N</t>
  </si>
  <si>
    <t>X-Terra Mag 2 Dwr</t>
  </si>
  <si>
    <t>T-NSXTEM2-05N</t>
  </si>
  <si>
    <t>T-NSXTEM2-00N</t>
  </si>
  <si>
    <t>X-Terra Mag 1 Dwr</t>
  </si>
  <si>
    <t>T-NSXTEM1-05N</t>
  </si>
  <si>
    <t>T-NSXTEM1-00N</t>
  </si>
  <si>
    <t>29.5L x 39.5W</t>
  </si>
  <si>
    <t>Nissan X-Terra</t>
  </si>
  <si>
    <t>C-NSXTEN3-05I</t>
  </si>
  <si>
    <t>X-Terra</t>
  </si>
  <si>
    <t>Titan Pickup Utl Offset Dwr</t>
  </si>
  <si>
    <t>T-NSTITUO-04S</t>
  </si>
  <si>
    <t>Short Bed, Titan Box, A-Wthr</t>
  </si>
  <si>
    <t>Titan Pickup Utility 2 Dwr</t>
  </si>
  <si>
    <t>T-NSTITU2-16S-TB-PW</t>
  </si>
  <si>
    <t>Short Bed; Tool Boxes in Bed Rails</t>
  </si>
  <si>
    <t>T-NSTITU2-16S-TB</t>
  </si>
  <si>
    <t>T-NSTITU2-04S-PW</t>
  </si>
  <si>
    <t>Crew Cab, A-Wthr</t>
  </si>
  <si>
    <t>T-NSTITU2-04S-PC-PW</t>
  </si>
  <si>
    <t>Crew Cab</t>
  </si>
  <si>
    <t>T-NSTITU2-04S-PC</t>
  </si>
  <si>
    <t>T-NSTITU2-04S</t>
  </si>
  <si>
    <t>Crew Cab; Driver Side, All Weather</t>
  </si>
  <si>
    <t>Titan Utility 1 Dwr Half Width</t>
  </si>
  <si>
    <t>T-NSTITU1-04S-PC-HD-PW</t>
  </si>
  <si>
    <t>Crew Cab; Driver Side</t>
  </si>
  <si>
    <t>T-NSTITU1-04S-PC-HD</t>
  </si>
  <si>
    <t>6'6"; Passenger Side</t>
  </si>
  <si>
    <t>T-NSTITU1-04S-HP</t>
  </si>
  <si>
    <t>Titan Pickup Std Offset Dwr</t>
  </si>
  <si>
    <t>T-NSTITSO-16S-TB-PW</t>
  </si>
  <si>
    <t>T-NSTITSO-04S-PW</t>
  </si>
  <si>
    <t>Titan Pickup Std OS Dwr</t>
  </si>
  <si>
    <t>T-NSTITSO-04S-PC-PW</t>
  </si>
  <si>
    <t>T-NSTITSO-04S-PC</t>
  </si>
  <si>
    <t>T-NSTITSO-04S</t>
  </si>
  <si>
    <t>Titan Pickup Std 2 Dwr</t>
  </si>
  <si>
    <t>T-NSTITS2-16S-TB-PW</t>
  </si>
  <si>
    <t>T-NSTITS2-16S-TB</t>
  </si>
  <si>
    <t>T-NSTITS2-16L-PW</t>
  </si>
  <si>
    <t>T-NSTITS2-16L</t>
  </si>
  <si>
    <t>T-NSTITS2-04S-PW</t>
  </si>
  <si>
    <t>T-NSTITS2-04S-PC-PW</t>
  </si>
  <si>
    <t>T-NSTITS2-04S-PC</t>
  </si>
  <si>
    <t>T-NSTITS2-04S</t>
  </si>
  <si>
    <t>Crew Cab, A-Wthr, Passenger Side</t>
  </si>
  <si>
    <t>Titan Pickup Std 1 Half Width</t>
  </si>
  <si>
    <t>T-NSTITS1-04S-PC-HP-PW</t>
  </si>
  <si>
    <t>5' 6" S-Crew; Passenger Side</t>
  </si>
  <si>
    <t>Titan Std 1 Dwr Half Width</t>
  </si>
  <si>
    <t>T-NSTITS1-04S-PC-HP</t>
  </si>
  <si>
    <t>5' 6" S-Crew; Driver Side</t>
  </si>
  <si>
    <t>T-NSTITS1-04S-PC-HD</t>
  </si>
  <si>
    <t>6' 6"; Driver Side</t>
  </si>
  <si>
    <t>T-NSTITS1-04S-HD</t>
  </si>
  <si>
    <t>Titan Pickup Mag 2 Dwr Offset</t>
  </si>
  <si>
    <t>T-NSTITMO-16S-TB</t>
  </si>
  <si>
    <t>Titan Pickup Mag Offset</t>
  </si>
  <si>
    <t>T-NSTITMO-04S-PW</t>
  </si>
  <si>
    <t>Short Bed, Tbl Ext</t>
  </si>
  <si>
    <t>Titan Pickup Mag Offset Dwr</t>
  </si>
  <si>
    <t>T-NSTITMO-04S-PT</t>
  </si>
  <si>
    <t>Crew Cab, A-Wthr, Retrax</t>
  </si>
  <si>
    <t>T-NSTITMO-04S-PC-RX-PW</t>
  </si>
  <si>
    <t>Crew Cab; Retrax</t>
  </si>
  <si>
    <t>Titan Pickup Mag OS Dwr</t>
  </si>
  <si>
    <t>T-NSTITMO-04S-PC-RX</t>
  </si>
  <si>
    <t>T-NSTITMO-04S-PC-PW</t>
  </si>
  <si>
    <t>Crew Cab, Tbl Ext</t>
  </si>
  <si>
    <t>T-NSTITMO-04S-PC-PT</t>
  </si>
  <si>
    <t>Crew Cab, HD Table</t>
  </si>
  <si>
    <t>T-NSTITMO-04S-PC-HT</t>
  </si>
  <si>
    <t>T-NSTITMO-04S-PC</t>
  </si>
  <si>
    <t>T-NSTITMO-04S</t>
  </si>
  <si>
    <t>Mag Extreme Tool Boxes</t>
  </si>
  <si>
    <t>Titan Pickup Mag 2 Dwr</t>
  </si>
  <si>
    <t>T-NSTITM2-16S-TB-PW</t>
  </si>
  <si>
    <t>Mag Extreme Tool Boxes, Crew Cab</t>
  </si>
  <si>
    <t>T-NSTITM2-16S-PC-TB-PW</t>
  </si>
  <si>
    <t>Retrax Cannister</t>
  </si>
  <si>
    <t>T-NSTITM2-04S-RX</t>
  </si>
  <si>
    <t>Magnum Extreme</t>
  </si>
  <si>
    <t>T-NSTITM2-04S-PW</t>
  </si>
  <si>
    <t>T-NSTITM2-04S-PT</t>
  </si>
  <si>
    <t>T-NSTITM2-04S-PC-RX-PW</t>
  </si>
  <si>
    <t>Crew Cab; Retrax Cannister, HD Table</t>
  </si>
  <si>
    <t>T-NSTITM2-04S-PC-RX-HT</t>
  </si>
  <si>
    <t>Crew Cab; Retrax Cannister</t>
  </si>
  <si>
    <t>T-NSTITM2-04S-PC-RX</t>
  </si>
  <si>
    <t>T-NSTITM2-04S-PC-PW</t>
  </si>
  <si>
    <t>T-NSTITM2-04S-PC</t>
  </si>
  <si>
    <t>T-NSTITM2-04S</t>
  </si>
  <si>
    <t>Crew Cab; Passenger Side; Retrax</t>
  </si>
  <si>
    <t>Titan Mag 1 Dwr Half Width</t>
  </si>
  <si>
    <t>T-NSTITM1-04S-PC-HP-RX</t>
  </si>
  <si>
    <t>5'6"; Passenger Side AW</t>
  </si>
  <si>
    <t>T-NSTITM1-04S-PC-HP-PW</t>
  </si>
  <si>
    <t>Crew Cab; Passenger Side</t>
  </si>
  <si>
    <t>T-NSTITM1-04S-PC-HP</t>
  </si>
  <si>
    <t>Crew Cab; Driver Side; All Weather</t>
  </si>
  <si>
    <t>T-NSTITM1-04S-PC-HD-PW</t>
  </si>
  <si>
    <t>Crew Cab; Driverr Side</t>
  </si>
  <si>
    <t>T-NSTITM1-04S-PC-HD</t>
  </si>
  <si>
    <t>6'6"; Passenger Side AW</t>
  </si>
  <si>
    <t>T-NSTITM1-04S-HP-PW</t>
  </si>
  <si>
    <t>T-NSTITM1-04S-HP</t>
  </si>
  <si>
    <t>Titan Pickup SeatVault</t>
  </si>
  <si>
    <t>S-NSTITL2-16N</t>
  </si>
  <si>
    <t>S-NSTITL2-04N</t>
  </si>
  <si>
    <t>S-NSTITL1-16N</t>
  </si>
  <si>
    <t>S-NSTITL1-04N</t>
  </si>
  <si>
    <t>Titan Pickup Field Ranger, A-Wthr</t>
  </si>
  <si>
    <t>C-NSTITN3-04S-PC-CR-PW</t>
  </si>
  <si>
    <t>Titan Pickup Field Ranger</t>
  </si>
  <si>
    <t>C-NSTITN3-04S-PC-CR</t>
  </si>
  <si>
    <t>Titan Pickup Base Camp 1</t>
  </si>
  <si>
    <t>B-NSTITN2-04S-PC-BC1</t>
  </si>
  <si>
    <t>Titan Pickup</t>
  </si>
  <si>
    <t>Titan Pickup Surveyor</t>
  </si>
  <si>
    <t>C-NSTITM2-04S-PC-VP</t>
  </si>
  <si>
    <t>Titan</t>
  </si>
  <si>
    <t>Nissan Sentra</t>
  </si>
  <si>
    <t>N-NSSENN1-20N-HG</t>
  </si>
  <si>
    <t>N-NSSENN1-12N-HG</t>
  </si>
  <si>
    <t>N-NSSENN1-07N</t>
  </si>
  <si>
    <t>N-NSSENN1-00N-HG</t>
  </si>
  <si>
    <t>Magnum Height TrunkVault</t>
  </si>
  <si>
    <t>N-NSSENM1-00N</t>
  </si>
  <si>
    <t>Sentra</t>
  </si>
  <si>
    <t>Rogue Utl 2 Drawer</t>
  </si>
  <si>
    <t>T-NSROGU2-21N</t>
  </si>
  <si>
    <t>Rogue Utl 2 Drawer OS</t>
  </si>
  <si>
    <t>T-NSROGUO-21N</t>
  </si>
  <si>
    <t>Rogue Utl 1 Drawer</t>
  </si>
  <si>
    <t>T-NSROGU1-21N</t>
  </si>
  <si>
    <t>Rogue Utility 1 Drawer</t>
  </si>
  <si>
    <t>T-NSROGU1-14N</t>
  </si>
  <si>
    <t>Rogue Std OS Drawer</t>
  </si>
  <si>
    <t>T-NSROGSO-21N</t>
  </si>
  <si>
    <t>Rogue Std 2 Drawer</t>
  </si>
  <si>
    <t>T-NSROGS2-21N</t>
  </si>
  <si>
    <t>T-NSROGS2-14N</t>
  </si>
  <si>
    <t>T-NSROGS2-07N</t>
  </si>
  <si>
    <t>Radio Tray</t>
  </si>
  <si>
    <t>Rogue Std 1 Drawer</t>
  </si>
  <si>
    <t>T-NSROGS1-21N-RD</t>
  </si>
  <si>
    <t>T-NSROGS1-21N</t>
  </si>
  <si>
    <t>Rogue Std 1 Drawer 1/2 Width</t>
  </si>
  <si>
    <t>T-NSROGS1-14N-HN</t>
  </si>
  <si>
    <t>T-NSROGS1-14N</t>
  </si>
  <si>
    <t>T-NSROGS1-07N</t>
  </si>
  <si>
    <t>Rogue Mag 2 Drawer</t>
  </si>
  <si>
    <t>T-NSROGMO-21N</t>
  </si>
  <si>
    <t>T-NSROGM2-21N</t>
  </si>
  <si>
    <t>T-NSROGM2-07N</t>
  </si>
  <si>
    <t>Rogue Mag 1 Drawer</t>
  </si>
  <si>
    <t>T-NSROGM1-21N</t>
  </si>
  <si>
    <t>T-NSROGM1-14N</t>
  </si>
  <si>
    <t>T-NSROGM1-07N</t>
  </si>
  <si>
    <t>Rogue  Chief Command,</t>
  </si>
  <si>
    <t>C-NSROGN5-21C</t>
  </si>
  <si>
    <t>Rogue Captain LX CC</t>
  </si>
  <si>
    <t>C-NSROGN5-14P-PT</t>
  </si>
  <si>
    <t>All-Weather</t>
  </si>
  <si>
    <t>Rogue FieldRanger</t>
  </si>
  <si>
    <t>C-NSROGN3-21N-CR-PW</t>
  </si>
  <si>
    <t>Rogue</t>
  </si>
  <si>
    <t>Quest Std 2 Dwr</t>
  </si>
  <si>
    <t>T-NSQSTS2-00N</t>
  </si>
  <si>
    <t>Quest Std 1 Dwr</t>
  </si>
  <si>
    <t>T-NSQSTS1-10N</t>
  </si>
  <si>
    <t>T-NSQSTS1-00N</t>
  </si>
  <si>
    <t>Quest Mag 2 Dwr</t>
  </si>
  <si>
    <t>T-NSQSTM2-00N</t>
  </si>
  <si>
    <t>Quest Mag 1 Dwr</t>
  </si>
  <si>
    <t>T-NSQSTM1-99N</t>
  </si>
  <si>
    <t>T-NSQSTM1-10N</t>
  </si>
  <si>
    <t>T-NSQSTM1-04N</t>
  </si>
  <si>
    <t>Quest</t>
  </si>
  <si>
    <t>Pathfinder Mag 1 Dwr</t>
  </si>
  <si>
    <t>T-NSPTHM1-13N-HT</t>
  </si>
  <si>
    <t>Pathfinder Mag 2 Dwr</t>
  </si>
  <si>
    <t>T-NSPTHM2-13N-HT</t>
  </si>
  <si>
    <t>Pathfinder Utility Offset Dwr</t>
  </si>
  <si>
    <t>T-NSPTHUO-22N</t>
  </si>
  <si>
    <t>Pathfinder Utl 2 Dwr</t>
  </si>
  <si>
    <t>T-NSPTHU2-22N</t>
  </si>
  <si>
    <t>Pathfinder Utility 2 Dwr</t>
  </si>
  <si>
    <t>T-NSPTHU2-13N</t>
  </si>
  <si>
    <t>Pathfinder Utility 1 Dwr</t>
  </si>
  <si>
    <t>T-NSPTHU1-22N-TR</t>
  </si>
  <si>
    <t>T-NSPTHU1-22N-HG</t>
  </si>
  <si>
    <t>T-NSPTHU1-22N</t>
  </si>
  <si>
    <t>T-NSPTHU1-13N</t>
  </si>
  <si>
    <t>T-NSPTHU1-05N</t>
  </si>
  <si>
    <t>Pathfinder Std Offset Dwr</t>
  </si>
  <si>
    <t>T-NSPTHSO-96N</t>
  </si>
  <si>
    <t>T-NSPTHSO-22N</t>
  </si>
  <si>
    <t>T-NSPTHSO-05N-PT</t>
  </si>
  <si>
    <t>T-NSPTHSO-05N</t>
  </si>
  <si>
    <t>Pathfinder Std 2 Dwr</t>
  </si>
  <si>
    <t>T-NSPTHS2-96N</t>
  </si>
  <si>
    <t>T-NSPTHS2-22N</t>
  </si>
  <si>
    <t>Cage Present</t>
  </si>
  <si>
    <t>T-NSPTHS2-13N-PP</t>
  </si>
  <si>
    <t>T-NSPTHS2-13N</t>
  </si>
  <si>
    <t>T-NSPTHS2-05N</t>
  </si>
  <si>
    <t>Pathfinder Std 1 Dwr</t>
  </si>
  <si>
    <t>T-NSPTHS1-96N</t>
  </si>
  <si>
    <t>Behind Third Row</t>
  </si>
  <si>
    <t>T-NSPTHS1-22S</t>
  </si>
  <si>
    <t>T-NSPTHS1-22N-TR</t>
  </si>
  <si>
    <t>T-NSPTHS1-22N-HG</t>
  </si>
  <si>
    <t>T-NSPTHS1-22N</t>
  </si>
  <si>
    <t>T-NSPTHS1-13S</t>
  </si>
  <si>
    <t>T-NSPTHS1-13N</t>
  </si>
  <si>
    <t>T-NSPTHS1-05N</t>
  </si>
  <si>
    <t>Pathfinder Mag Offset Dwr</t>
  </si>
  <si>
    <t>T-NSPTHMO-22N</t>
  </si>
  <si>
    <t>T-NSPTHMO-13N</t>
  </si>
  <si>
    <t>T-NSPTHMO-05N</t>
  </si>
  <si>
    <t>*</t>
  </si>
  <si>
    <t>T-NSPTHM2-96N</t>
  </si>
  <si>
    <t>T-NSPTHM2-22N-TR</t>
  </si>
  <si>
    <t>T-NSPTHM2-22N</t>
  </si>
  <si>
    <t>T-NSPTHM2-13N</t>
  </si>
  <si>
    <t>T-NSPTHM2-05N</t>
  </si>
  <si>
    <t>T-NSPTHM1-96N</t>
  </si>
  <si>
    <t>T-NSPTHM1-22N-TR</t>
  </si>
  <si>
    <t>T-NSPTHM1-22N-RD</t>
  </si>
  <si>
    <t>T-NSPTHM1-22N-HT</t>
  </si>
  <si>
    <t>Elevated Vault</t>
  </si>
  <si>
    <t>T-NSPTHM1-22N-HG</t>
  </si>
  <si>
    <t>T-NSPTHM1-22N</t>
  </si>
  <si>
    <t>T-NSPTHM1-13S</t>
  </si>
  <si>
    <t>T-NSPTHM1-13N-TT</t>
  </si>
  <si>
    <t>P-Cage</t>
  </si>
  <si>
    <t>T-NSPTHM1-13N-PP</t>
  </si>
  <si>
    <t>T-NSPTHM1-13N</t>
  </si>
  <si>
    <t>T-NSPTHM1-05N-HT</t>
  </si>
  <si>
    <t>T-NSPTHM1-05N</t>
  </si>
  <si>
    <t>Pathfinder Drone Responder 6</t>
  </si>
  <si>
    <t>D-NSPTHN2-22N-HT-C1-DR6</t>
  </si>
  <si>
    <t>Interceptor</t>
  </si>
  <si>
    <t>Pathfinder  Drone Responder 7</t>
  </si>
  <si>
    <t>D-NSPTHN2-13N-HT-C1-DR7</t>
  </si>
  <si>
    <t>Pathfinder Drone Responder 9</t>
  </si>
  <si>
    <t>D-NSPTHN1-22N-FM-DR9</t>
  </si>
  <si>
    <t>Pathfinder Drone Responder 10</t>
  </si>
  <si>
    <t>D-NSPTHN1-22N-FM-DR10</t>
  </si>
  <si>
    <t>Pathfinder Drone Responder 8</t>
  </si>
  <si>
    <t>D-NSPTHN0-22N-FM-DR8</t>
  </si>
  <si>
    <t>Pathfinder Chief LX CC</t>
  </si>
  <si>
    <t>C-NSPTHN5-22P-TR</t>
  </si>
  <si>
    <t>Pathfinder Tac Ctr</t>
  </si>
  <si>
    <t>C-NSPTHN5-13T</t>
  </si>
  <si>
    <t>Pathfinder Investigator</t>
  </si>
  <si>
    <t>C-NSPTHN3-22I-HT</t>
  </si>
  <si>
    <t>C-NSPTHN3-22I</t>
  </si>
  <si>
    <t>Pathfinder Special Ops Ctr</t>
  </si>
  <si>
    <t>C-NSPTHN3-22D-TR</t>
  </si>
  <si>
    <t>Pathfinder Field Ranger</t>
  </si>
  <si>
    <t>C-NSPTHN3-13R</t>
  </si>
  <si>
    <t>C-NSPTHN3-13I</t>
  </si>
  <si>
    <t>Pathfinder  Special Ops Ctr HD Table</t>
  </si>
  <si>
    <t>C-NSPTHN3-13D-HT</t>
  </si>
  <si>
    <t>C-NSPTHN3-13D</t>
  </si>
  <si>
    <t>Pathfinder</t>
  </si>
  <si>
    <t>Field Ranger</t>
  </si>
  <si>
    <t>C-NSPTHN3-05R</t>
  </si>
  <si>
    <t>C-NSPTHN2-22I</t>
  </si>
  <si>
    <t>C-NSPTHN2-22D-TR</t>
  </si>
  <si>
    <t>C-NSPTHN2-13I</t>
  </si>
  <si>
    <t>NV200 Utility 2 Dwr</t>
  </si>
  <si>
    <t>T-NSNV2U2-09N</t>
  </si>
  <si>
    <t>NV200 Std 2 Dwr</t>
  </si>
  <si>
    <t>T-NSNV2S2-09N</t>
  </si>
  <si>
    <t>NV200 Mag 2 Dwr</t>
  </si>
  <si>
    <t>T-NSNV2M2-09N</t>
  </si>
  <si>
    <t>NV200</t>
  </si>
  <si>
    <t>Murano Mag 2 Dwr</t>
  </si>
  <si>
    <t>T-NSMURM2-15N</t>
  </si>
  <si>
    <t>Murano Utility 2  Dwr</t>
  </si>
  <si>
    <t>T-NSMURU2-15N</t>
  </si>
  <si>
    <t>Murano Utl 1 Dwr</t>
  </si>
  <si>
    <t>T-NSMURU1-15N-HG</t>
  </si>
  <si>
    <t>T-NSMURU1-15N</t>
  </si>
  <si>
    <t>Murano Utility 1 Dwr</t>
  </si>
  <si>
    <t>T-NSMURU1-08N</t>
  </si>
  <si>
    <t>Murano Std 2 Dwr</t>
  </si>
  <si>
    <t>T-NSMURS2-08N</t>
  </si>
  <si>
    <t>T-NSMURS2-03N</t>
  </si>
  <si>
    <t>Murano Std 1 Dwr</t>
  </si>
  <si>
    <t>T-NSMURS1-15N-HG</t>
  </si>
  <si>
    <t>T-NSMURS1-15N</t>
  </si>
  <si>
    <t>T-NSMURS1-08N</t>
  </si>
  <si>
    <t>T-NSMURS1-03N</t>
  </si>
  <si>
    <t>T-NSMURM2-03N</t>
  </si>
  <si>
    <t>Murano Mag 1 Dwr</t>
  </si>
  <si>
    <t>T-NSMURM1-15N-HT</t>
  </si>
  <si>
    <t>T-NSMURM1-15N-HG</t>
  </si>
  <si>
    <t>T-NSMURM1-15N</t>
  </si>
  <si>
    <t>New Model</t>
  </si>
  <si>
    <t>T-NSMURM1-08N</t>
  </si>
  <si>
    <t>T-NSMURM1-03N</t>
  </si>
  <si>
    <t>3rd Row No</t>
  </si>
  <si>
    <t>Murano  Investigator</t>
  </si>
  <si>
    <t>C-NSMURN3-15I</t>
  </si>
  <si>
    <t>Murano Special Op Ctr</t>
  </si>
  <si>
    <t>C-NSMURN3-15D</t>
  </si>
  <si>
    <t>Murano Investigator</t>
  </si>
  <si>
    <t>C-NSMURN2-15I</t>
  </si>
  <si>
    <t>Murano</t>
  </si>
  <si>
    <t>Maxima Patrolman</t>
  </si>
  <si>
    <t>N-NSMAXN1-16N-HG</t>
  </si>
  <si>
    <t>N-NSMAXN1-09N</t>
  </si>
  <si>
    <t>N-NSMAXN1-04N</t>
  </si>
  <si>
    <t>N-NSMAXN1-00N</t>
  </si>
  <si>
    <t>N-NSMAXM1-16N</t>
  </si>
  <si>
    <t>Maxima</t>
  </si>
  <si>
    <t>Nissan Leaf Standard 1 Drawer</t>
  </si>
  <si>
    <t>N-NSLEAS1-17N-HG</t>
  </si>
  <si>
    <t>Leaf</t>
  </si>
  <si>
    <t>Kicks Mag 2 Dwr</t>
  </si>
  <si>
    <t>T-NSKCSM2-16N</t>
  </si>
  <si>
    <t>Kicks Mag 1 Dwr</t>
  </si>
  <si>
    <t>T-NSKCSM1-16N</t>
  </si>
  <si>
    <t>Kicks</t>
  </si>
  <si>
    <t>Frontier Pickup Utility Offset Dwr</t>
  </si>
  <si>
    <t>T-NSFRTUO-05S-PC-PW</t>
  </si>
  <si>
    <t>Frontier Pickup Utl 2 Dwr</t>
  </si>
  <si>
    <t>T-NSFRTU2-22S-PC-PW</t>
  </si>
  <si>
    <t>Frontier Pickup Utility 2 Dwr</t>
  </si>
  <si>
    <t>T-NSFRTU2-22S-PC</t>
  </si>
  <si>
    <t>T-NSFRTU2-05S-PW</t>
  </si>
  <si>
    <t>T-NSFRTU2-05S-PC-PW</t>
  </si>
  <si>
    <t>T-NSFRTU2-05S-PC</t>
  </si>
  <si>
    <t>5', All Wthr; Driver Side</t>
  </si>
  <si>
    <t>Frontier Utl 1 Dwr Half Width</t>
  </si>
  <si>
    <t>T-NSFRTU1-22S-PC-HD-PW</t>
  </si>
  <si>
    <t>Frontier Pickup Std Offset</t>
  </si>
  <si>
    <t>T-NSFRTSO-98S</t>
  </si>
  <si>
    <t>Frontier Pickup Std OS Dwr</t>
  </si>
  <si>
    <t>T-NSFRTSO-98L-PW</t>
  </si>
  <si>
    <t>T-NSFRTSO-22S-PC</t>
  </si>
  <si>
    <t>Frontier Pickup Std Offset Dwr</t>
  </si>
  <si>
    <t>T-NSFRTSO-05S-PC-PW</t>
  </si>
  <si>
    <t>T-NSFRTSO-05S</t>
  </si>
  <si>
    <t>T-NSFRTSO-05L-PW</t>
  </si>
  <si>
    <t>Frontier Pickup Std 2 Dwr</t>
  </si>
  <si>
    <t>T-NSFRTS2-98S-PW</t>
  </si>
  <si>
    <t>T-NSFRTS2-98S-PC-PW</t>
  </si>
  <si>
    <t>T-NSFRTS2-98S-PC</t>
  </si>
  <si>
    <t>T-NSFRTS2-98S</t>
  </si>
  <si>
    <t>T-NSFRTS2-98L-PW</t>
  </si>
  <si>
    <t>T-NSFRTS2-98L</t>
  </si>
  <si>
    <t>T-NSFRTS2-22S-PC-PW</t>
  </si>
  <si>
    <t>T-NSFRTS2-22S-PC</t>
  </si>
  <si>
    <t>T-NSFRTS2-05S-PW</t>
  </si>
  <si>
    <t>Short Bed; Table Ext</t>
  </si>
  <si>
    <t>T-NSFRTS2-05S-PT</t>
  </si>
  <si>
    <t>T-NSFRTS2-05S-PC-RX</t>
  </si>
  <si>
    <t>T-NSFRTS2-05S-PC-PW</t>
  </si>
  <si>
    <t>T-NSFRTS2-05S-PC</t>
  </si>
  <si>
    <t>T-NSFRTS2-05S</t>
  </si>
  <si>
    <t>T-NSFRTS2-05L-PW</t>
  </si>
  <si>
    <t>5', Driver Side</t>
  </si>
  <si>
    <t>Frontier Std 1 Dwr Half Width</t>
  </si>
  <si>
    <t>T-NSFRTS1-22S-PC-HD</t>
  </si>
  <si>
    <t>Crew Cab, Passenger Side AWthr</t>
  </si>
  <si>
    <t>Frontier Pickup Std 1 Dwr</t>
  </si>
  <si>
    <t>T-NSFRTS1-05S-PC-HP-PW</t>
  </si>
  <si>
    <t>Crew Cab, Passenger Side</t>
  </si>
  <si>
    <t>T-NSFRTS1-05S-PC-HP</t>
  </si>
  <si>
    <t>Crew Cab, Driver Side</t>
  </si>
  <si>
    <t>T-NSFRTS1-05S-PC-HD</t>
  </si>
  <si>
    <t>T-NSFRTS1-05S-HD</t>
  </si>
  <si>
    <t>Frontier Pickup Mag Offset</t>
  </si>
  <si>
    <t>T-NSFRTMO-98L-PW</t>
  </si>
  <si>
    <t>Short Bed, All Weahter</t>
  </si>
  <si>
    <t>Frontier Pickup Mag Offset Dwr</t>
  </si>
  <si>
    <t>T-NSFRTMO-05S-PW</t>
  </si>
  <si>
    <t>Crew Cab, All Weahter</t>
  </si>
  <si>
    <t>T-NSFRTMO-05S-PC-PW</t>
  </si>
  <si>
    <t>T-NSFRTMO-05S-PC</t>
  </si>
  <si>
    <t>T-NSFRTMO-05S</t>
  </si>
  <si>
    <t>Frontier Pickup Mag 2 Dwr</t>
  </si>
  <si>
    <t>T-NSFRTM2-98S-PW</t>
  </si>
  <si>
    <t>T-NSFRTM2-98S</t>
  </si>
  <si>
    <t>T-NSFRTM2-98L-PW</t>
  </si>
  <si>
    <t>T-NSFRTM2-98L</t>
  </si>
  <si>
    <t>T-NSFRTM2-22S-PC-PW</t>
  </si>
  <si>
    <t>T-NSFRTM2-22S-PC</t>
  </si>
  <si>
    <t>T-NSFRTM2-05S-PW</t>
  </si>
  <si>
    <t>T-NSFRTM2-05S-PC-PW</t>
  </si>
  <si>
    <t>T-NSFRTM2-05S-PC</t>
  </si>
  <si>
    <t>T-NSFRTM2-05S</t>
  </si>
  <si>
    <t>T-NSFRTM2-05L-PW</t>
  </si>
  <si>
    <t>5', All Wthr; Passenger Side</t>
  </si>
  <si>
    <t>Frontier Mag 1 Dwr Half Width</t>
  </si>
  <si>
    <t>T-NSFRTM1-22S-PC-HP-PW</t>
  </si>
  <si>
    <t>5', Pass Side</t>
  </si>
  <si>
    <t>T-NSFRTM1-22S-PC-HP</t>
  </si>
  <si>
    <t>T-NSFRTM1-22S-PC-HD</t>
  </si>
  <si>
    <t>T-NSFRTM1-05S-PC-HP</t>
  </si>
  <si>
    <t>Frontier Pickup Base Camp 3</t>
  </si>
  <si>
    <t>B-NSFRTN3-05S-BC3</t>
  </si>
  <si>
    <t>Frontier Pickup Base Camp 2</t>
  </si>
  <si>
    <t>B-NSFRTN2-22S-PC-BC2</t>
  </si>
  <si>
    <t>Frontier Pickup Base Camp 1</t>
  </si>
  <si>
    <t>B-NSFRTN2-22S-PC-BC1</t>
  </si>
  <si>
    <t>B-NSFRTN2-22S-BC1</t>
  </si>
  <si>
    <t>B-NSFRTN2-05S-PC-BC1</t>
  </si>
  <si>
    <t>B-NSFRTN2-05S-BC3</t>
  </si>
  <si>
    <t>B-NSFRTN2-05S-BC1</t>
  </si>
  <si>
    <t>Frontier Pickup</t>
  </si>
  <si>
    <t>Third Row Folded</t>
  </si>
  <si>
    <t>Armada Drone Responder 10</t>
  </si>
  <si>
    <t>D-NSARMN2-16N-TF-FM-DR10</t>
  </si>
  <si>
    <t>Third Removed, HD Table</t>
  </si>
  <si>
    <t>Armada Field Ranger</t>
  </si>
  <si>
    <t>C-NSARMN3-16R-TR-HT</t>
  </si>
  <si>
    <t>Armada Mag OS Dwr</t>
  </si>
  <si>
    <t>T-NSARMMO-16N-TF</t>
  </si>
  <si>
    <t>Armada Captain LX CC</t>
  </si>
  <si>
    <t>C-NSARMN5-16P-TR</t>
  </si>
  <si>
    <t>Armada Utl Offset Dwr</t>
  </si>
  <si>
    <t>T-NSARMUO-16N-TF</t>
  </si>
  <si>
    <t>Armada Utility Offset Dwr</t>
  </si>
  <si>
    <t>T-NSARMUO-04N-HT</t>
  </si>
  <si>
    <t>Armada Utl 2 Dwr</t>
  </si>
  <si>
    <t>T-NSARMU2-16N-TR</t>
  </si>
  <si>
    <t>Armada Utl 1 Dwr</t>
  </si>
  <si>
    <t>T-NSARMU1-16N-TR</t>
  </si>
  <si>
    <t>T-NSARMU1-16N-TF</t>
  </si>
  <si>
    <t>Armada Std OS Dwr</t>
  </si>
  <si>
    <t>T-NSARMSO-04N</t>
  </si>
  <si>
    <t>3rd Removed; Low Profile Table Ext</t>
  </si>
  <si>
    <t>Armada Std 2 Dwr</t>
  </si>
  <si>
    <t>T-NSARMS2-16N-TR-PT</t>
  </si>
  <si>
    <t>3rd Folded, Low Profile Table Ext</t>
  </si>
  <si>
    <t>T-NSARMS2-16N-TF-PT</t>
  </si>
  <si>
    <t>T-NSARMS2-16N-TF</t>
  </si>
  <si>
    <t>T-NSARMS2-04N</t>
  </si>
  <si>
    <t>Armada Std 1 Dwr</t>
  </si>
  <si>
    <t>T-NSARMS1-16S</t>
  </si>
  <si>
    <t>T-NSARMS1-16N-TR</t>
  </si>
  <si>
    <t>Fits Behind 3rd Row C1039</t>
  </si>
  <si>
    <t>T-NSARMS1-04S</t>
  </si>
  <si>
    <t>T-NSARMS1-04N</t>
  </si>
  <si>
    <t>T-NSARMMO-04N</t>
  </si>
  <si>
    <t>3rd Removed, Heavy Duty Table</t>
  </si>
  <si>
    <t>Armada Mag 2 Dwr</t>
  </si>
  <si>
    <t>T-NSARMM2-16N-TR-HT</t>
  </si>
  <si>
    <t>T-NSARMM2-16N-TR</t>
  </si>
  <si>
    <t>Third Folded</t>
  </si>
  <si>
    <t>T-NSARMM2-16N-TF</t>
  </si>
  <si>
    <t>T-NSARMM2-16N</t>
  </si>
  <si>
    <t>T-NSARMM2-04N</t>
  </si>
  <si>
    <t>Armada Mag 1 Dwr</t>
  </si>
  <si>
    <t>T-NSARMM1-16N-TR-HT</t>
  </si>
  <si>
    <t>T-NSARMM1-16N-TR</t>
  </si>
  <si>
    <t>Third Row Folded, HD table</t>
  </si>
  <si>
    <t>T-NSARMM1-16N-TF-HT</t>
  </si>
  <si>
    <t>T-NSARMM1-16N-TF</t>
  </si>
  <si>
    <t>Half Width Driver Side</t>
  </si>
  <si>
    <t>T-NSARMM1-04N-HD</t>
  </si>
  <si>
    <t>T-NSARMM1-04N</t>
  </si>
  <si>
    <t>Armada Ext 2 Dwr</t>
  </si>
  <si>
    <t>T-NSARME2-16N-TR-HT</t>
  </si>
  <si>
    <t>Third Folded, HD table</t>
  </si>
  <si>
    <t>T-NSARME2-16N-TF-HT</t>
  </si>
  <si>
    <t>Armada Ext 1 Dwr</t>
  </si>
  <si>
    <t>T-NSARME1-16N-TF</t>
  </si>
  <si>
    <t>Third Row Removed</t>
  </si>
  <si>
    <t>Armada Drone Responder 7</t>
  </si>
  <si>
    <t>D-NSARMN1-16N-TR-HT-C1-DR7</t>
  </si>
  <si>
    <t>D-NSARMN1-16N-TF-FM-DR10</t>
  </si>
  <si>
    <t>Armada Chief LX CC</t>
  </si>
  <si>
    <t>C-NSARMN6-04C</t>
  </si>
  <si>
    <t>C-NSARMN5-04C</t>
  </si>
  <si>
    <t>C-NSARMN3-16R-TR</t>
  </si>
  <si>
    <t>C-NSARMN3-16R-TF</t>
  </si>
  <si>
    <t>Armada Investigator</t>
  </si>
  <si>
    <t>C-NSARMN3-16I-TR-HT</t>
  </si>
  <si>
    <t>C-NSARMN3-16I-TR</t>
  </si>
  <si>
    <t>C-NSARMN3-16I-TF</t>
  </si>
  <si>
    <t>C-NSARMN2-16I-TR-HT</t>
  </si>
  <si>
    <t>C-NSARMN2-16I-TR</t>
  </si>
  <si>
    <t>C-NSARMN2-16I-TF</t>
  </si>
  <si>
    <t>Armada</t>
  </si>
  <si>
    <t>Altima Patrolman</t>
  </si>
  <si>
    <t>N-NSALTN2-19N-HG</t>
  </si>
  <si>
    <t>Altima 2 Drawer</t>
  </si>
  <si>
    <t>N-NSALTN2-13N-HG</t>
  </si>
  <si>
    <t>N-NSALTN1-19N-HG</t>
  </si>
  <si>
    <t>Altima</t>
  </si>
  <si>
    <t>N-NSALTN1-13N-HG</t>
  </si>
  <si>
    <t>N-NSALTN1-13N</t>
  </si>
  <si>
    <t>N-NSALTN1-02N</t>
  </si>
  <si>
    <t>N-NSALTM1-19N</t>
  </si>
  <si>
    <t>Outlander Sport Std 1 Dwr</t>
  </si>
  <si>
    <t>T-MBOSPS1-11N</t>
  </si>
  <si>
    <t>Outlander Sport Mag 1 Dwr</t>
  </si>
  <si>
    <t>T-MBOSPM1-11N</t>
  </si>
  <si>
    <t>Outlander Sport Field Ranger</t>
  </si>
  <si>
    <t>C-MBOSPN3-11R-PT</t>
  </si>
  <si>
    <t>C-MBOSPN3-11R</t>
  </si>
  <si>
    <t>Outlander Sport</t>
  </si>
  <si>
    <t>Outlander Investigator 2 Dwr</t>
  </si>
  <si>
    <t>T-MBOUTN2-22I</t>
  </si>
  <si>
    <t>Outlander Utility OS Dwr</t>
  </si>
  <si>
    <t>T-MBOUTUO-22N</t>
  </si>
  <si>
    <t>Outlander Mag Offset Dwr</t>
  </si>
  <si>
    <t>T-MDGL2M1-14N</t>
  </si>
  <si>
    <t>Outlander Utility 2 Dwr</t>
  </si>
  <si>
    <t>T-MBOUTU2-22N</t>
  </si>
  <si>
    <t>Outlander Utl 1 Dwr</t>
  </si>
  <si>
    <t>T-MBOUTU1-22N</t>
  </si>
  <si>
    <t>Outlander Std 2 Dwr</t>
  </si>
  <si>
    <t>T-MBOUTS2-14N-PP</t>
  </si>
  <si>
    <t>T-MBOUTS2-03N</t>
  </si>
  <si>
    <t>Outlander Std 1 Dwr</t>
  </si>
  <si>
    <t>T-MBOUTS1-14N</t>
  </si>
  <si>
    <t>T-MBOUTS1-03N</t>
  </si>
  <si>
    <t>T-MBOUTMO-14N</t>
  </si>
  <si>
    <t>Outlander Mag 2 Dwr</t>
  </si>
  <si>
    <t>T-MBOUTM2-03N</t>
  </si>
  <si>
    <t>Outlander Mag 1 Dwr</t>
  </si>
  <si>
    <t>T-MBOUTM1-22N</t>
  </si>
  <si>
    <t>T-MBOUTM1-14N</t>
  </si>
  <si>
    <t>T-MBOUTM1-03N</t>
  </si>
  <si>
    <t>Outlander Tac Ctr</t>
  </si>
  <si>
    <t>C-MBOUTN5-22T</t>
  </si>
  <si>
    <t>Outlander</t>
  </si>
  <si>
    <t>Montero Sport Std 2 Dwr</t>
  </si>
  <si>
    <t>T-MBMSPSO-97N</t>
  </si>
  <si>
    <t>T-MBMSPS2-97N</t>
  </si>
  <si>
    <t>Montero Sport Std 1 Dwr</t>
  </si>
  <si>
    <t>T-MBMSPS1-97N</t>
  </si>
  <si>
    <t>Montero Sport Mag 2 Dwr</t>
  </si>
  <si>
    <t>T-MBMSPM2-97N</t>
  </si>
  <si>
    <t>Montero Sport Mag 1 Dwr</t>
  </si>
  <si>
    <t>T-MBMSPM1-97N</t>
  </si>
  <si>
    <t>Montero Sport</t>
  </si>
  <si>
    <t>Evolution Patrolman</t>
  </si>
  <si>
    <t>N-MBLEVN1-07N</t>
  </si>
  <si>
    <t>Lancer Evolution</t>
  </si>
  <si>
    <t>Endeavor Std 2 Dwr</t>
  </si>
  <si>
    <t>T-MBENDS2-03N</t>
  </si>
  <si>
    <t>Endeavor Std 1 Dwr</t>
  </si>
  <si>
    <t>T-MBENDS1-03N</t>
  </si>
  <si>
    <t>Endeavor Mag 2 Dwr</t>
  </si>
  <si>
    <t>T-MBENDM2-03N</t>
  </si>
  <si>
    <t>Endeavor Mag 1 Dwr</t>
  </si>
  <si>
    <t>T-MBENDM1-03N</t>
  </si>
  <si>
    <t>Endeavor</t>
  </si>
  <si>
    <t>Mini Coupe</t>
  </si>
  <si>
    <t>N-MCCOUS1-12N</t>
  </si>
  <si>
    <t>Coupe</t>
  </si>
  <si>
    <t>Mini Cooper Countryman Std 1 Dwr</t>
  </si>
  <si>
    <t>T-MCCTRS1-10N</t>
  </si>
  <si>
    <t>Mini Cooper Countryman Mag 1 Dwr</t>
  </si>
  <si>
    <t>T-MCCTRM1-10N</t>
  </si>
  <si>
    <t>Countryman</t>
  </si>
  <si>
    <t>Mini Cooper 4 Door Hardtop Std 1 Dwr</t>
  </si>
  <si>
    <t>T-MC4DHS1-15N</t>
  </si>
  <si>
    <t>Mini Cooper 4 Door Hardtop Mag 1 Dwr</t>
  </si>
  <si>
    <t>T-MC4DHM1-15N</t>
  </si>
  <si>
    <t>4 Door Hardtop</t>
  </si>
  <si>
    <t>Mini Cooper</t>
  </si>
  <si>
    <t>Villager Std 2 Dwr</t>
  </si>
  <si>
    <t>T-MYVILS2-93S</t>
  </si>
  <si>
    <t>T-MYVILS2-93L</t>
  </si>
  <si>
    <t>Villager Std 1 Dwr</t>
  </si>
  <si>
    <t>T-MYVILS1-93S</t>
  </si>
  <si>
    <t>T-MYVILS1-93L</t>
  </si>
  <si>
    <t>Villager Mag 2 Dwr</t>
  </si>
  <si>
    <t>T-MYVILM2-93S</t>
  </si>
  <si>
    <t>T-MYVILM2-93L</t>
  </si>
  <si>
    <t>Villager Mag 1 Dwr</t>
  </si>
  <si>
    <t>T-MYVILM1-99S</t>
  </si>
  <si>
    <t>T-MYVILM1-93L</t>
  </si>
  <si>
    <t>Villager</t>
  </si>
  <si>
    <t>Mountaineer Std OS Dwr</t>
  </si>
  <si>
    <t>T-MYMTNSO-91N</t>
  </si>
  <si>
    <t>Mountaineer Std 2 Dwr</t>
  </si>
  <si>
    <t>T-MYMTNS2-91N</t>
  </si>
  <si>
    <t>T-MYMTNS2-06N</t>
  </si>
  <si>
    <t>Mountaineer Std 1 Dwr</t>
  </si>
  <si>
    <t>T-MYMTNS1-91N-PT</t>
  </si>
  <si>
    <t>T-MYMTNS1-91N</t>
  </si>
  <si>
    <t>Must Fold 3rd Seat</t>
  </si>
  <si>
    <t>T-MYMTNS1-06N-T3</t>
  </si>
  <si>
    <t>Mountaineer Mag 2 Dwr</t>
  </si>
  <si>
    <t>T-MYMTNM2-91N</t>
  </si>
  <si>
    <t>T-MYMTNM2-06N</t>
  </si>
  <si>
    <t>Mountaineer Mag 1 Dwr</t>
  </si>
  <si>
    <t>T-MYMTNM1-91N</t>
  </si>
  <si>
    <t>T-MYMTNM1-06N</t>
  </si>
  <si>
    <t>T-MYMTNM1-02N</t>
  </si>
  <si>
    <t>Mountaineer</t>
  </si>
  <si>
    <t>Mariner Std 2 Dwr</t>
  </si>
  <si>
    <t>T-MYMARS2-08N</t>
  </si>
  <si>
    <t>T-MYMARS2-05N</t>
  </si>
  <si>
    <t>Mariner Std 1 Dwr</t>
  </si>
  <si>
    <t>T-MYMARS1-08N</t>
  </si>
  <si>
    <t>T-MYMARS1-05N</t>
  </si>
  <si>
    <t>Mariner Mag 2 Dwr</t>
  </si>
  <si>
    <t>T-MYMARM2-08N-PT</t>
  </si>
  <si>
    <t>T-MYMARM2-08N</t>
  </si>
  <si>
    <t>T-MYMARM2-05N-PT</t>
  </si>
  <si>
    <t>T-MYMARM2-05N</t>
  </si>
  <si>
    <t>Mariner Mag 1 Dwr</t>
  </si>
  <si>
    <t>T-MYMARM1-08N</t>
  </si>
  <si>
    <t>T-MYMARM1-05N</t>
  </si>
  <si>
    <t>Mariner</t>
  </si>
  <si>
    <t>Mercury Grand Marquis Patrolman</t>
  </si>
  <si>
    <t>N-MYGRMN1-00N</t>
  </si>
  <si>
    <t>Grand Marquis</t>
  </si>
  <si>
    <t>Mercury</t>
  </si>
  <si>
    <t>Sprinter Utility Dwr</t>
  </si>
  <si>
    <t>T-MDSPRU1-06M</t>
  </si>
  <si>
    <t>Sprinter Std 2 Dwr</t>
  </si>
  <si>
    <t>T-MDSPRS2-06N</t>
  </si>
  <si>
    <t>T-MDSPRS2-06M</t>
  </si>
  <si>
    <t>T-MDSPRS2-06F</t>
  </si>
  <si>
    <t>3rd Row Upright; Heavy Duty Table</t>
  </si>
  <si>
    <t>Sprinter Mag 2 Dwr Offset</t>
  </si>
  <si>
    <t>T-MDSPRMO-06N-HT</t>
  </si>
  <si>
    <t>3rd Row Upright</t>
  </si>
  <si>
    <t>T-MDSPRMO-06N</t>
  </si>
  <si>
    <t>Sprinter Mag 2 Dwr</t>
  </si>
  <si>
    <t>T-MDSPRM2-06N-PW</t>
  </si>
  <si>
    <t>Behind 3rd Row Seat; Heavy Duty Table</t>
  </si>
  <si>
    <t>T-MDSPRM2-06N-HT</t>
  </si>
  <si>
    <t>T-MDSPRM2-06N</t>
  </si>
  <si>
    <t>T-MDSPRM2-06M</t>
  </si>
  <si>
    <t>T-MDSPRM2-06F</t>
  </si>
  <si>
    <t>Sprinter Mag 1  Dwr</t>
  </si>
  <si>
    <t>T-MDSPRM1-06N-TR</t>
  </si>
  <si>
    <t>T-MDSPRM1-06N</t>
  </si>
  <si>
    <t>Sprinter Ext 2 Dwr</t>
  </si>
  <si>
    <t>T-MDSPRE2-06F</t>
  </si>
  <si>
    <t>Sprinter TAC CC</t>
  </si>
  <si>
    <t>C-MDSPRN5-06T</t>
  </si>
  <si>
    <t>Sprinter Van</t>
  </si>
  <si>
    <t>TrunkVault; Hanging Deck Lid</t>
  </si>
  <si>
    <t>S550 TrunkVault</t>
  </si>
  <si>
    <t>N-MDS55N1-05N</t>
  </si>
  <si>
    <t>N-MDS55M1-14N</t>
  </si>
  <si>
    <t>S550</t>
  </si>
  <si>
    <t>ML63 Std 2 Dwr</t>
  </si>
  <si>
    <t>T-MDMLXS2-06N</t>
  </si>
  <si>
    <t>Orvis</t>
  </si>
  <si>
    <t>ML63 Std 1 Dwr</t>
  </si>
  <si>
    <t>T-MDMLXS1-06N-ORV</t>
  </si>
  <si>
    <t>T-MDMLXS1-06N</t>
  </si>
  <si>
    <t>ML63/550 Mag OS Dwr</t>
  </si>
  <si>
    <t>T-MDMLXMO-06N</t>
  </si>
  <si>
    <t>G-Class Std 1 Dwr</t>
  </si>
  <si>
    <t>T-MDGL5S1-05N-ORV</t>
  </si>
  <si>
    <t>T-MDGL5S1-05N</t>
  </si>
  <si>
    <t>ML63/550</t>
  </si>
  <si>
    <t>ML Std 2 Dwr</t>
  </si>
  <si>
    <t>T-MDMDXS2-98N</t>
  </si>
  <si>
    <t>ML Std 1 Dwr</t>
  </si>
  <si>
    <t>T-MDMDXS1-98N</t>
  </si>
  <si>
    <t>ML Mag 2 Dwr</t>
  </si>
  <si>
    <t>T-MDMDXM2-98N</t>
  </si>
  <si>
    <t>ML Mag 1 Dwr</t>
  </si>
  <si>
    <t>T-MDMDXM1-98N-HT</t>
  </si>
  <si>
    <t>T-MDMDXM1-98N</t>
  </si>
  <si>
    <t>ML</t>
  </si>
  <si>
    <t>No 3rd Row Seats</t>
  </si>
  <si>
    <t>Metris Std OS Dwr</t>
  </si>
  <si>
    <t>T-MDMTSSO-16F</t>
  </si>
  <si>
    <t>Metris Std 1 Dwr</t>
  </si>
  <si>
    <t>T-MDMTSS1-16S</t>
  </si>
  <si>
    <t>T-MDMTSS1-16F</t>
  </si>
  <si>
    <t>Metris Mag OS Dwr</t>
  </si>
  <si>
    <t>T-MDMTSMO-16N</t>
  </si>
  <si>
    <t>Metris Mag 2 Dwr</t>
  </si>
  <si>
    <t>T-MDMTSM2-16N</t>
  </si>
  <si>
    <t>T-MDMTSM2-16F</t>
  </si>
  <si>
    <t>Metris</t>
  </si>
  <si>
    <t>M-class Std 2 Dwr</t>
  </si>
  <si>
    <t>T-MDMCLS2-98N</t>
  </si>
  <si>
    <t>T-MDMCLS2-11N</t>
  </si>
  <si>
    <t>T-MDMCLS2-06N</t>
  </si>
  <si>
    <t>M-class Std 1 Dwr</t>
  </si>
  <si>
    <t>T-MDMCLS1-98N</t>
  </si>
  <si>
    <t>T-MDMCLS1-12N</t>
  </si>
  <si>
    <t>T-MDMCLS1-06N</t>
  </si>
  <si>
    <t>T-MDMCLS1-00N</t>
  </si>
  <si>
    <t>M-class Mag 2 Dwr</t>
  </si>
  <si>
    <t>T-MDMCLM2-98N</t>
  </si>
  <si>
    <t>M-class Mag 1 Dwr</t>
  </si>
  <si>
    <t>T-MDMCLM1-98N</t>
  </si>
  <si>
    <t>M-Class</t>
  </si>
  <si>
    <t>G-Class Utility 2 Dwr Offset</t>
  </si>
  <si>
    <t>T-MDG50UO-19N</t>
  </si>
  <si>
    <t>G-Class Utility 2 Dwr</t>
  </si>
  <si>
    <t>T-MDG50U2-19N-PT</t>
  </si>
  <si>
    <t>T-MDG50U2-05N</t>
  </si>
  <si>
    <t>T-MDG50U1-19N</t>
  </si>
  <si>
    <t>G-Class Utility 1 Dwr</t>
  </si>
  <si>
    <t>T-MDG50U1-05N</t>
  </si>
  <si>
    <t>G-Class Std OS Dwr</t>
  </si>
  <si>
    <t>T-MDG50SO-19N</t>
  </si>
  <si>
    <t>T-MDG50SO-05N</t>
  </si>
  <si>
    <t>G-Class Std 2 Dwr</t>
  </si>
  <si>
    <t>T-MDG50S2-19N-PT</t>
  </si>
  <si>
    <t>T-MDG50S2-19N</t>
  </si>
  <si>
    <t>T-MDG50S2-05N</t>
  </si>
  <si>
    <t>Low Profile Table Ext</t>
  </si>
  <si>
    <t>T-MDG50S1-19N-PT</t>
  </si>
  <si>
    <t>T-MDG50S1-19N-HT</t>
  </si>
  <si>
    <t>T-MDG50S1-19N</t>
  </si>
  <si>
    <t>T-MDG50S1-18N</t>
  </si>
  <si>
    <t>T-MDG50S1-05N-PT</t>
  </si>
  <si>
    <t>T-MDG50S1-05N-ORV</t>
  </si>
  <si>
    <t>T-MDG50S1-05N-HT</t>
  </si>
  <si>
    <t>T-MDG50S1-05N</t>
  </si>
  <si>
    <t>G-Class Mag 2 Dwr</t>
  </si>
  <si>
    <t>T-MDG50M2-05N</t>
  </si>
  <si>
    <t>G-Class Mag 1 Dwr</t>
  </si>
  <si>
    <t>T-MDG50M1-19N-HT</t>
  </si>
  <si>
    <t>T-MDG50M1-19N</t>
  </si>
  <si>
    <t>T-MDG50M1-18N</t>
  </si>
  <si>
    <t>T-MDG50M1-05N</t>
  </si>
  <si>
    <t>G-Class Ext 1 Dwr</t>
  </si>
  <si>
    <t>T-MDG50E1-19N</t>
  </si>
  <si>
    <t>G-Wagon</t>
  </si>
  <si>
    <t>GLS-class Utility 2 Dwr</t>
  </si>
  <si>
    <t>T-MDGLSU2-16N</t>
  </si>
  <si>
    <t>GLS-class Std 2 Dwr</t>
  </si>
  <si>
    <t>T-MDGLSS2-20N-PT</t>
  </si>
  <si>
    <t>T-MDGLSS2-20N</t>
  </si>
  <si>
    <t>T-MDGLSS2-16N</t>
  </si>
  <si>
    <t>GLS-class Std 1 Dwr</t>
  </si>
  <si>
    <t>T-MDGLSS1-20N-PT</t>
  </si>
  <si>
    <t>T-MDGLSS1-20N</t>
  </si>
  <si>
    <t>T-MDGLSS1-16N</t>
  </si>
  <si>
    <t>GLS-class Mag 1 Dwr</t>
  </si>
  <si>
    <t>T-MDGLSM1-20N-HT</t>
  </si>
  <si>
    <t>GLS</t>
  </si>
  <si>
    <t>GLK Std 1 Dwr</t>
  </si>
  <si>
    <t>T-MDGLKS1-10N</t>
  </si>
  <si>
    <t>GLK</t>
  </si>
  <si>
    <t>3rd Seat No</t>
  </si>
  <si>
    <t>GLE 350 Std 2 Dwr</t>
  </si>
  <si>
    <t>T-MDGLES2-20N</t>
  </si>
  <si>
    <t>T-MDGLES2-13N</t>
  </si>
  <si>
    <t>GLE 350 Std 1 Dwr</t>
  </si>
  <si>
    <t>T-MDGLES1-13N</t>
  </si>
  <si>
    <t>GLE 350 Mag 1 Dwr</t>
  </si>
  <si>
    <t>T-MDGLEM1-20N</t>
  </si>
  <si>
    <t>GLE350</t>
  </si>
  <si>
    <t>GLE300 Std 1 Dwr</t>
  </si>
  <si>
    <t>T-MDGL3S1-13N</t>
  </si>
  <si>
    <t>T-MDGL3S1-11N</t>
  </si>
  <si>
    <t>GLE300</t>
  </si>
  <si>
    <t>GL-class Std 1 Dwr</t>
  </si>
  <si>
    <t>T-MDGL4S1-13N</t>
  </si>
  <si>
    <t>GL-class Mag1 Dwr</t>
  </si>
  <si>
    <t>T-MDGL4M1-20N-HT</t>
  </si>
  <si>
    <t>T-MDGL4M1-13N-HT</t>
  </si>
  <si>
    <t>GLE 450/550</t>
  </si>
  <si>
    <t>GLE std 1 dwr</t>
  </si>
  <si>
    <t>T-MDGLES1-20N</t>
  </si>
  <si>
    <t>GLE</t>
  </si>
  <si>
    <t>GLC-class Std 2 Dwr</t>
  </si>
  <si>
    <t>T-MDGLCS2-22N</t>
  </si>
  <si>
    <t>GLC-class</t>
  </si>
  <si>
    <t>GLB-class Std 1 Dwr</t>
  </si>
  <si>
    <t>T-MDGLBS2-20N</t>
  </si>
  <si>
    <t>GLB</t>
  </si>
  <si>
    <t>250 GLA Std 1 Dwr</t>
  </si>
  <si>
    <t>T-MDGL2S1-14N</t>
  </si>
  <si>
    <t>GLA250</t>
  </si>
  <si>
    <t>GL-class Std Offset Dwr</t>
  </si>
  <si>
    <t>T-MDGL4SO-06N</t>
  </si>
  <si>
    <t>GL-class Std 2 Dwr</t>
  </si>
  <si>
    <t>T-MDGL4S2-13N</t>
  </si>
  <si>
    <t>T-MDGL4S2-06N</t>
  </si>
  <si>
    <t>T-MDGL4S1-06N</t>
  </si>
  <si>
    <t>GL-class Mag Offset</t>
  </si>
  <si>
    <t>T-MDGL4MO-06N</t>
  </si>
  <si>
    <t>GL-class Mag 2 Dwr</t>
  </si>
  <si>
    <t>T-MDGL4M2-13N</t>
  </si>
  <si>
    <t>T-MDGL4M2-06N</t>
  </si>
  <si>
    <t>GL-class Mag 1 Dwr</t>
  </si>
  <si>
    <t>T-MDGL4M1-13N</t>
  </si>
  <si>
    <t>T-MDGL4M1-06N</t>
  </si>
  <si>
    <t>GL450</t>
  </si>
  <si>
    <t>GL350 Utility 2 Dwr</t>
  </si>
  <si>
    <t>T-MDGL3U2-13N-HT</t>
  </si>
  <si>
    <t>GL350 Std 2 Dwr</t>
  </si>
  <si>
    <t>T-MDGL3S2-06N</t>
  </si>
  <si>
    <t>GL350 Std 1 Dwr</t>
  </si>
  <si>
    <t>T-MDGL3S1-06N</t>
  </si>
  <si>
    <t>GL350 Mag 2 Dwr</t>
  </si>
  <si>
    <t>T-MDGL3M2-06N</t>
  </si>
  <si>
    <t>GL350 Mag 1 Dwr</t>
  </si>
  <si>
    <t>T-MDGL3M1-06N</t>
  </si>
  <si>
    <t>GL350</t>
  </si>
  <si>
    <t>E350 TrunkVault</t>
  </si>
  <si>
    <t>N-MDE50N1-03N-HG</t>
  </si>
  <si>
    <t>E550</t>
  </si>
  <si>
    <t>N-MDE35N1-10N</t>
  </si>
  <si>
    <t>E350</t>
  </si>
  <si>
    <t>E300 TrunkVault</t>
  </si>
  <si>
    <t>N-MDE30N1-17N</t>
  </si>
  <si>
    <t>E300</t>
  </si>
  <si>
    <t>C300 TrunkVault</t>
  </si>
  <si>
    <t>N-MDC30N1-15N</t>
  </si>
  <si>
    <t>C300</t>
  </si>
  <si>
    <t>Mercedes</t>
  </si>
  <si>
    <t>Tribute Std 2 Dwr</t>
  </si>
  <si>
    <t>T-MZTRIS2-05N</t>
  </si>
  <si>
    <t>T-MZTRIS2-01N</t>
  </si>
  <si>
    <t>Tribute Std 1 Dwr</t>
  </si>
  <si>
    <t>T-MZTRIS1-05N</t>
  </si>
  <si>
    <t>T-MZTRIS1-00N</t>
  </si>
  <si>
    <t>Tribute Mag 2 Dwr</t>
  </si>
  <si>
    <t>T-MZTRIM2-05N</t>
  </si>
  <si>
    <t>Tribute Mag 1 Dwr</t>
  </si>
  <si>
    <t>T-MZTRIM1-08N</t>
  </si>
  <si>
    <t>T-MZTRIM1-05N</t>
  </si>
  <si>
    <t>T-MZTRIM1-01N</t>
  </si>
  <si>
    <t>Tribute</t>
  </si>
  <si>
    <t>CX-90 Std 2 Dwr</t>
  </si>
  <si>
    <t>T-MZC90S2-24N-TF</t>
  </si>
  <si>
    <t>CX-90 Mag 2 Dwr</t>
  </si>
  <si>
    <t>T-MZC90M2-24N-TF</t>
  </si>
  <si>
    <t>CX-90 Ext 1 Dwr</t>
  </si>
  <si>
    <t>T-MZC90E1-24N-TF</t>
  </si>
  <si>
    <t>CX-90 Utl 1 Dwr</t>
  </si>
  <si>
    <t>T-MZC90U2-24N-TF</t>
  </si>
  <si>
    <t>CX-90 Ext 2 Dwr</t>
  </si>
  <si>
    <t>T-MZC90E2-24N-TF</t>
  </si>
  <si>
    <t>CX-90 Std 1 Dwr</t>
  </si>
  <si>
    <t>T-MZC90S1-24N-TF</t>
  </si>
  <si>
    <t>T-MZC90U1-24N-TF</t>
  </si>
  <si>
    <t>CX-90 Mag 1 Dwr</t>
  </si>
  <si>
    <t>T-MZC90M1-24N-TF</t>
  </si>
  <si>
    <t>CX-90 Investigator</t>
  </si>
  <si>
    <t>C-MZC90N3-24I-TF</t>
  </si>
  <si>
    <t>C-MZC90N2-24I-TF</t>
  </si>
  <si>
    <t>CX-90</t>
  </si>
  <si>
    <t>CX-9 Utility 2 Dwr Offset</t>
  </si>
  <si>
    <t>T-MZCX9UO-16N-HT</t>
  </si>
  <si>
    <t>CX-9 Std 2 Dwr</t>
  </si>
  <si>
    <t>T-MZCX9S2-07N</t>
  </si>
  <si>
    <t>CX-9 Std 1 Dwr</t>
  </si>
  <si>
    <t>T-MZCX9S1-07N</t>
  </si>
  <si>
    <t>T-MZCX9MO-16N-PT</t>
  </si>
  <si>
    <t>CX-9 Mag 2 Dwr</t>
  </si>
  <si>
    <t>T-MZCX9M2-07N</t>
  </si>
  <si>
    <t>CX-9 Mag 1  Dwr</t>
  </si>
  <si>
    <t>T-MZCX9M1-16N</t>
  </si>
  <si>
    <t>CX-9 Mag 1 Dwr</t>
  </si>
  <si>
    <t>T-MZCX9M1-07N</t>
  </si>
  <si>
    <t>CX-9 Investigator</t>
  </si>
  <si>
    <t>C-MZCX9N2-16I</t>
  </si>
  <si>
    <t>CX-9</t>
  </si>
  <si>
    <t>CX-7 Std 2 Dwr</t>
  </si>
  <si>
    <t>T-MZCX7S2-07N</t>
  </si>
  <si>
    <t>CX-7 Std 1 Dwr</t>
  </si>
  <si>
    <t>T-MZCX7S1-07N</t>
  </si>
  <si>
    <t>CX-7 Mag 2 Dwr</t>
  </si>
  <si>
    <t>T-MZCX7M2-07N</t>
  </si>
  <si>
    <t>CX-7 Mag 1 Dwr</t>
  </si>
  <si>
    <t>T-MZCX7M1-07N</t>
  </si>
  <si>
    <t>CX-7</t>
  </si>
  <si>
    <t>CX-50 Utl 1 Dwr</t>
  </si>
  <si>
    <t>T-MZX50U1-23N</t>
  </si>
  <si>
    <t>CX-50 Std 1 Dwr</t>
  </si>
  <si>
    <t>T-MZX50S1-23N-HG</t>
  </si>
  <si>
    <t>CX-50 Mag 1 Dwr</t>
  </si>
  <si>
    <t>T-MZX50M1-23N</t>
  </si>
  <si>
    <t>CX-50</t>
  </si>
  <si>
    <t>CX-5 Utility 2 Dwr</t>
  </si>
  <si>
    <t>T-MZCX5U2-16N</t>
  </si>
  <si>
    <t>CX-5 Utility 1 Dwr</t>
  </si>
  <si>
    <t>T-MZCX5U1-16N</t>
  </si>
  <si>
    <t>CX-5 Stgd 1 Dwr</t>
  </si>
  <si>
    <t>T-MZCX5S1-16N</t>
  </si>
  <si>
    <t>CX-5 Std 1 Dwr</t>
  </si>
  <si>
    <t>T-MZCX5S1-13N</t>
  </si>
  <si>
    <t>CX-5 Mag 1 Dwr</t>
  </si>
  <si>
    <t>T-MZCX5M1-16N</t>
  </si>
  <si>
    <t>T-MZCX5M1-13N</t>
  </si>
  <si>
    <t>CX-5 Field Ranger</t>
  </si>
  <si>
    <t>C-MZCX5N3-13R</t>
  </si>
  <si>
    <t>CX-5</t>
  </si>
  <si>
    <t>CX-30 Mag 1 Dwr</t>
  </si>
  <si>
    <t>T-MZCX3M1-19N</t>
  </si>
  <si>
    <t>CX-30</t>
  </si>
  <si>
    <t>B-Series Pickup Std 2 Dwr</t>
  </si>
  <si>
    <t>T-MZBSES2-99S-PW</t>
  </si>
  <si>
    <t>T-MZBSES2-99S</t>
  </si>
  <si>
    <t>T-MZBSES2-99L-PW</t>
  </si>
  <si>
    <t>T-MZBSES2-99L</t>
  </si>
  <si>
    <t>B-Series Pickup Mag 2 Dwr</t>
  </si>
  <si>
    <t>T-MZBSEM2-99S</t>
  </si>
  <si>
    <t>T-MZBSEM2-99L</t>
  </si>
  <si>
    <t>B-Series Pickup</t>
  </si>
  <si>
    <t>Mazda 6 Patrolman</t>
  </si>
  <si>
    <t>N-MZ6XXN1-13N</t>
  </si>
  <si>
    <t>N-MZ6XXN1-09N</t>
  </si>
  <si>
    <t>Short Size</t>
  </si>
  <si>
    <t>Navigator L Utility 2 Dwr</t>
  </si>
  <si>
    <t>T-LNNALU2-18S</t>
  </si>
  <si>
    <t>3rd Row Seat Removed or SSV</t>
  </si>
  <si>
    <t>T-LNNALU2-18N-TR</t>
  </si>
  <si>
    <t>Navigator L Utility 1 Dwr</t>
  </si>
  <si>
    <t>T-LNNALU1-18S</t>
  </si>
  <si>
    <t>Must Fold 3rd Seat, HD Table</t>
  </si>
  <si>
    <t>Navigator L Std OS Dwr</t>
  </si>
  <si>
    <t>T-LNNALSO-18F-HT</t>
  </si>
  <si>
    <t>T-LNNALSO-18F</t>
  </si>
  <si>
    <t>T-LNNALSO-07M</t>
  </si>
  <si>
    <t>T-LNNALSO-07F</t>
  </si>
  <si>
    <t>Navigator L Std 2 Dwr</t>
  </si>
  <si>
    <t>T-LNNALS2-18S</t>
  </si>
  <si>
    <t>T-LNNALS2-18F</t>
  </si>
  <si>
    <t>T-LNNALS2-07M</t>
  </si>
  <si>
    <t>Must Fold 3rd Seat, Tbl Ext</t>
  </si>
  <si>
    <t>T-LNNALS2-07F-PT</t>
  </si>
  <si>
    <t>T-LNNALS2-07F</t>
  </si>
  <si>
    <t>Navigator L Std 1 Dwr</t>
  </si>
  <si>
    <t>T-LNNALS1-18S</t>
  </si>
  <si>
    <t>T-LNNALS1-07S</t>
  </si>
  <si>
    <t>Must Fold 3rd Seat, Mid Size</t>
  </si>
  <si>
    <t>T-LNNALS1-07M</t>
  </si>
  <si>
    <t>Navigator L Mag Offset Dwr</t>
  </si>
  <si>
    <t>T-LNNALMO-07F</t>
  </si>
  <si>
    <t>Navigator L Mag 2 Dwr</t>
  </si>
  <si>
    <t>T-LNNALM2-18F-TR</t>
  </si>
  <si>
    <t>Must Fold 3rd Seat; Heavy Duty Table</t>
  </si>
  <si>
    <t>T-LNNALM2-18F-HT</t>
  </si>
  <si>
    <t>T-LNNALM2-18F</t>
  </si>
  <si>
    <t>Must Fold 3rd Seat, Table</t>
  </si>
  <si>
    <t>T-LNNALM2-07F-PT</t>
  </si>
  <si>
    <t>T-LNNALM2-07F</t>
  </si>
  <si>
    <t>Navigator L Mag 1 Dwr</t>
  </si>
  <si>
    <t>T-LNNALM1-18S</t>
  </si>
  <si>
    <t>T-LNNALM1-18M</t>
  </si>
  <si>
    <t>Navigator L</t>
  </si>
  <si>
    <t>Navigator Utl 2 Dwr</t>
  </si>
  <si>
    <t>T-LNNAVU2-18N-TR</t>
  </si>
  <si>
    <t>Navigator Utility 1 Dwr</t>
  </si>
  <si>
    <t>T-LNNAVU1-18S</t>
  </si>
  <si>
    <t>Navigator Std T Dwr</t>
  </si>
  <si>
    <t>T-LNNAVST-96N</t>
  </si>
  <si>
    <t>Navigator Std OS Dwr</t>
  </si>
  <si>
    <t>T-LNNAVSO-96N-PT</t>
  </si>
  <si>
    <t>T-LNNAVSO-03N</t>
  </si>
  <si>
    <t>Navigator Std L Dwr</t>
  </si>
  <si>
    <t>T-LNNAVSL-96N</t>
  </si>
  <si>
    <t>Navigator Std 2 Dwr</t>
  </si>
  <si>
    <t>T-LNNAVS2-96N</t>
  </si>
  <si>
    <t>T-LNNAVS2-03N</t>
  </si>
  <si>
    <t>Rear Air</t>
  </si>
  <si>
    <t>Navigator Std 1 Dwr</t>
  </si>
  <si>
    <t>T-LNNAVS1-96N-PA</t>
  </si>
  <si>
    <t>3rd Row Seat Folded</t>
  </si>
  <si>
    <t>Navigator Std 1  Dwr</t>
  </si>
  <si>
    <t>T-LNNAVS1-18N</t>
  </si>
  <si>
    <t>T-LNNAVS1-03N</t>
  </si>
  <si>
    <t>Navigator Mag T Dwr</t>
  </si>
  <si>
    <t>T-LNNAVMT-96N</t>
  </si>
  <si>
    <t>Navigator Mag OS Dwr</t>
  </si>
  <si>
    <t>T-LNNAVMO-96N</t>
  </si>
  <si>
    <t>T-LNNAVMO-03N</t>
  </si>
  <si>
    <t>Navigator Mag L Dwr</t>
  </si>
  <si>
    <t>T-LNNAVML-96N</t>
  </si>
  <si>
    <t>Navigator Mag 2 Dwr</t>
  </si>
  <si>
    <t>T-LNNAVM2-96N-PA</t>
  </si>
  <si>
    <t>T-LNNAVM2-03N</t>
  </si>
  <si>
    <t>Navigator Mag 1 Dwr</t>
  </si>
  <si>
    <t>T-LNNAVM1-96N-PA</t>
  </si>
  <si>
    <t>Navigator Mag 1  Dwr</t>
  </si>
  <si>
    <t>T-LNNAVM1-18S</t>
  </si>
  <si>
    <t>T-LNNAVM1-18N</t>
  </si>
  <si>
    <t>T-LNNAVM1-03N</t>
  </si>
  <si>
    <t>Navigator Utility 2 Dwr</t>
  </si>
  <si>
    <t>T-LNNALU2-03N-HT</t>
  </si>
  <si>
    <t>Navigator Investigator</t>
  </si>
  <si>
    <t>C-LNNAVN3-03I</t>
  </si>
  <si>
    <t>Navigator Special Ops Ctr</t>
  </si>
  <si>
    <t>C-LNNAVN3-03D-PT</t>
  </si>
  <si>
    <t>Navigator</t>
  </si>
  <si>
    <t>Nautilus 2 Dwr Utl</t>
  </si>
  <si>
    <t>T-LNNAUU2-24N</t>
  </si>
  <si>
    <t>Nautilus 1 Dwr Utility</t>
  </si>
  <si>
    <t>T-LNNAUU1-24N</t>
  </si>
  <si>
    <t>Nautilus 2 Dwr Std</t>
  </si>
  <si>
    <t>T-LNNAUS2-24N</t>
  </si>
  <si>
    <t>Nautilus 1 Dwr Std</t>
  </si>
  <si>
    <t>T-LNNAUS1-24N</t>
  </si>
  <si>
    <t>Nautilus 2 Dwr Mag</t>
  </si>
  <si>
    <t>T-LNNAUM2-24N</t>
  </si>
  <si>
    <t>Nautilus 1 Dwr Magnum</t>
  </si>
  <si>
    <t>T-LNNAUM1-24N</t>
  </si>
  <si>
    <t>Nautilus 1 Dwr Mag</t>
  </si>
  <si>
    <t>T-LNNAUM1-19N</t>
  </si>
  <si>
    <t>Nautilus 2 Dwr Ext</t>
  </si>
  <si>
    <t>T-LNNAUE2-24N</t>
  </si>
  <si>
    <t>Nautilus 1 Dwr Ext</t>
  </si>
  <si>
    <t>T-LNNAUE1-24N</t>
  </si>
  <si>
    <t>Nautilus</t>
  </si>
  <si>
    <t>MKZ TrunkVault</t>
  </si>
  <si>
    <t>N-LNMKZN1-13N-PH</t>
  </si>
  <si>
    <t>N-LNMKZN1-08N-PH</t>
  </si>
  <si>
    <t>MKZ</t>
  </si>
  <si>
    <t>MKX Utl 2 Dwr</t>
  </si>
  <si>
    <t>T-LNMKXU2-07N</t>
  </si>
  <si>
    <t>MKX Std 2 Dwr</t>
  </si>
  <si>
    <t>T-LNMKXS2-11N</t>
  </si>
  <si>
    <t>T-LNMKXS2-07N</t>
  </si>
  <si>
    <t>MKX Std 1 Dwr</t>
  </si>
  <si>
    <t>T-LNMKXS1-11N</t>
  </si>
  <si>
    <t>T-LNMKXS1-10N</t>
  </si>
  <si>
    <t>T-LNMKXS1-07N</t>
  </si>
  <si>
    <t>MKX Mag 2 Dwr</t>
  </si>
  <si>
    <t>T-LNMKXM2-11N</t>
  </si>
  <si>
    <t>T-LNMKXM2-07N</t>
  </si>
  <si>
    <t>MKX Mag 1 Dwr</t>
  </si>
  <si>
    <t>T-LNMKXM1-11N</t>
  </si>
  <si>
    <t>T-LNMKXM1-07N</t>
  </si>
  <si>
    <t>MKX</t>
  </si>
  <si>
    <t>MKT Std 2 Dwr</t>
  </si>
  <si>
    <t>T-LNMKTS2-10N</t>
  </si>
  <si>
    <t>MKT Std 1 Dwr</t>
  </si>
  <si>
    <t>T-LNMKTS1-10N</t>
  </si>
  <si>
    <t>MKT Mag 2 Dwr</t>
  </si>
  <si>
    <t>T-LNMKTM2-10N</t>
  </si>
  <si>
    <t>MKT Mag 1 Dwr</t>
  </si>
  <si>
    <t>T-LNMKTM1-10N</t>
  </si>
  <si>
    <t>MKT</t>
  </si>
  <si>
    <t>5' 6" S-Crew, A-Weather</t>
  </si>
  <si>
    <t>Mark LT Pickup Utility 2 Dwr</t>
  </si>
  <si>
    <t>T-LNMLTU2-06S-PC-PW</t>
  </si>
  <si>
    <t>5' 6" S-Crew</t>
  </si>
  <si>
    <t>T-LNMLTU2-06S-PC</t>
  </si>
  <si>
    <t>Mark LT Pickup Std 2 Dwr</t>
  </si>
  <si>
    <t>T-LNMLTS2-06S-PC-PW</t>
  </si>
  <si>
    <t>T-LNMLTS2-06S-PC</t>
  </si>
  <si>
    <t>T-LNMLTS2-06S</t>
  </si>
  <si>
    <t>5' 6" S-Crew, All-Whtr</t>
  </si>
  <si>
    <t>Mark LT Pickup Mag OS Dwr</t>
  </si>
  <si>
    <t>T-LNMLTMO-06S-PC-PW</t>
  </si>
  <si>
    <t>T-LNMLTMO-06S-PC</t>
  </si>
  <si>
    <t>Mark LT</t>
  </si>
  <si>
    <t>Lincoln Corsair</t>
  </si>
  <si>
    <t>T-LNCORM1-20N</t>
  </si>
  <si>
    <t>Corsair</t>
  </si>
  <si>
    <t>Aviator Utl 2 Dwr</t>
  </si>
  <si>
    <t>T-LNAVIU2-20N</t>
  </si>
  <si>
    <t>Aviator Utl 1 Dwr</t>
  </si>
  <si>
    <t>T-LNAVIU1-20S</t>
  </si>
  <si>
    <t>T-LNAVIU1-20N</t>
  </si>
  <si>
    <t>Aviator Std 2 Dwr OS</t>
  </si>
  <si>
    <t>T-LNAVISO-20N-PT</t>
  </si>
  <si>
    <t>Aviator Std 2 Dwr</t>
  </si>
  <si>
    <t>T-LNAVIS2-20N</t>
  </si>
  <si>
    <t>C8165</t>
  </si>
  <si>
    <t>Aviator Std 1 Dwr</t>
  </si>
  <si>
    <t>T-LNAVIS1-20S</t>
  </si>
  <si>
    <t>T-LNAVIS1-20N</t>
  </si>
  <si>
    <t>Aviator Mag 2  Dwr</t>
  </si>
  <si>
    <t>T-LNAVIM2-20N-TF-HT</t>
  </si>
  <si>
    <t>Aviator Mag 1  Dwr</t>
  </si>
  <si>
    <t>T-LNAVIM1-20N-TF-HT</t>
  </si>
  <si>
    <t>Aviator Mag 1 Dwr</t>
  </si>
  <si>
    <t>T-LNAVIM1-20N-HG</t>
  </si>
  <si>
    <t>T-LNAVIM1-20N</t>
  </si>
  <si>
    <t>Aviator Drone Responder 10</t>
  </si>
  <si>
    <t>D-LNAVIN1-20N-DR10</t>
  </si>
  <si>
    <t>Lincoln Aviator</t>
  </si>
  <si>
    <t>C-LNAVIN3-20I</t>
  </si>
  <si>
    <t>Aviator</t>
  </si>
  <si>
    <t>Lincoln</t>
  </si>
  <si>
    <t>UX 250H Std 1 Dwr</t>
  </si>
  <si>
    <t>T-LXUX25S1-19N-HT</t>
  </si>
  <si>
    <t>T-LXUX25S1-19N</t>
  </si>
  <si>
    <t>UX 250H</t>
  </si>
  <si>
    <t>RX Utility 2 Dwr</t>
  </si>
  <si>
    <t>T-LXRXNU2-16N</t>
  </si>
  <si>
    <t>RX Std 2 Dwr</t>
  </si>
  <si>
    <t>T-LXRXNS2-16N</t>
  </si>
  <si>
    <t>T-LXRXNS2-10N</t>
  </si>
  <si>
    <t>T-LXRXNS2-04N</t>
  </si>
  <si>
    <t>RX Std 1 Dwr</t>
  </si>
  <si>
    <t>T-LXRXNS1-16N</t>
  </si>
  <si>
    <t>T-LXRXNS1-10N</t>
  </si>
  <si>
    <t>T-LXRXNS1-04N</t>
  </si>
  <si>
    <t>RX Mag OS Dwr</t>
  </si>
  <si>
    <t>T-LXRXNMO-16N-PH</t>
  </si>
  <si>
    <t>RX Mag 2 Dwr</t>
  </si>
  <si>
    <t>T-LXRXNM2-10N</t>
  </si>
  <si>
    <t>T-LXRXNM2-04N</t>
  </si>
  <si>
    <t>RX Mag 1 Dwr</t>
  </si>
  <si>
    <t>T-LXRXNM1-16N-PH</t>
  </si>
  <si>
    <t>T-LXRXNM1-16N</t>
  </si>
  <si>
    <t>T-LXRXNM1-10N</t>
  </si>
  <si>
    <t>T-LXRXNM1-04N</t>
  </si>
  <si>
    <t>RX</t>
  </si>
  <si>
    <t>Lexus RC350, 1 Dwr</t>
  </si>
  <si>
    <t>N-LXRC3N1-15N-HG</t>
  </si>
  <si>
    <t>RC350</t>
  </si>
  <si>
    <t>NX Std OS</t>
  </si>
  <si>
    <t>T-LXNXTSO-15N</t>
  </si>
  <si>
    <t>NX Std 1 Dwr</t>
  </si>
  <si>
    <t>T-LXNXTNS1-15N</t>
  </si>
  <si>
    <t>NX</t>
  </si>
  <si>
    <t>LX600 Utl 2 Dwr</t>
  </si>
  <si>
    <t>T-LXL60U2-23N</t>
  </si>
  <si>
    <t>LX600</t>
  </si>
  <si>
    <t>3rd Row Seats Folded</t>
  </si>
  <si>
    <t>LX570 Utility OS Dwr</t>
  </si>
  <si>
    <t>T-LXL57UO-08N</t>
  </si>
  <si>
    <t>LX570 Utility 2 Dwr</t>
  </si>
  <si>
    <t>T-LXL57U2-08N-TR</t>
  </si>
  <si>
    <t>T-LXL57U2-08N</t>
  </si>
  <si>
    <t>LX570 Utility 1 Dwr</t>
  </si>
  <si>
    <t>T-LXL57U1-08N-TR</t>
  </si>
  <si>
    <t>LX570 Std 2 Dwr</t>
  </si>
  <si>
    <t>T-LXL57S2-08N-TR</t>
  </si>
  <si>
    <t>T-LXL57S2-08N</t>
  </si>
  <si>
    <t>3rd Row Seats Removed; Heavy Duty Table</t>
  </si>
  <si>
    <t>LX570 Std 1 Dwr</t>
  </si>
  <si>
    <t>T-LXL57S1-08N-TR-HT</t>
  </si>
  <si>
    <t>T-LXL57S1-08N-TR</t>
  </si>
  <si>
    <t>Never Had 3rd Row Seat</t>
  </si>
  <si>
    <t>T-LXL57S1-08N-NT</t>
  </si>
  <si>
    <t>T-LXL57S1-08N-HT-TR</t>
  </si>
  <si>
    <t>T-LXL57S1-08N-HT</t>
  </si>
  <si>
    <t>3rd Row Removed; 1/2 Width Pass Side</t>
  </si>
  <si>
    <t>LX570 Std 1 Dwr Half Width</t>
  </si>
  <si>
    <t>T-LXL57S1-08N-HP-TR</t>
  </si>
  <si>
    <t>3rd Row Folded; 1/2 Width Pass Side</t>
  </si>
  <si>
    <t>T-LXL57S1-08N-HP</t>
  </si>
  <si>
    <t>T-LXL57S1-08N</t>
  </si>
  <si>
    <t>LX570 Mag OS Dwr</t>
  </si>
  <si>
    <t>T-LXL57MO-08N-TR</t>
  </si>
  <si>
    <t>LX570 Mag 2 Dwr</t>
  </si>
  <si>
    <t>T-LXL57M2-08N-TR</t>
  </si>
  <si>
    <t>T-LXL57M2-08N</t>
  </si>
  <si>
    <t>LX570 Mag 1 Dwr</t>
  </si>
  <si>
    <t>T-LXL57M1-08N-TR</t>
  </si>
  <si>
    <t>T-LXL57M1-08N</t>
  </si>
  <si>
    <t>LX570 Field Ranger</t>
  </si>
  <si>
    <t>C-LXL57N3-08R</t>
  </si>
  <si>
    <t>LX570</t>
  </si>
  <si>
    <t>LX470 Utl Offset Dwr</t>
  </si>
  <si>
    <t>T-LXL47UO-99N-TR</t>
  </si>
  <si>
    <t>LX470 Utl 2 Dwr</t>
  </si>
  <si>
    <t>T-LXL47U2-99N</t>
  </si>
  <si>
    <t>LX470 Utl 1 Dwr</t>
  </si>
  <si>
    <t>T-LXL47U1-99N</t>
  </si>
  <si>
    <t>LX470 Std 2 Dwr Table Ext</t>
  </si>
  <si>
    <t>T-LXL47SO-99N-PT</t>
  </si>
  <si>
    <t>LX470 Std 2 Dwr</t>
  </si>
  <si>
    <t>T-LXL47SO-99N</t>
  </si>
  <si>
    <t>T-LXL47SO2-99N</t>
  </si>
  <si>
    <t>LX470 Std OS Dwr</t>
  </si>
  <si>
    <t>T-LXL47SO-04N</t>
  </si>
  <si>
    <t>T-LXL47S2-99N</t>
  </si>
  <si>
    <t>T-LXL47S2-04N</t>
  </si>
  <si>
    <t>LX470 Std 1 Dwr</t>
  </si>
  <si>
    <t>T-LXL47S1-99N</t>
  </si>
  <si>
    <t>T-LXL47S1-04N</t>
  </si>
  <si>
    <t>LX470 Mag OS Dwr</t>
  </si>
  <si>
    <t>T-LXL47MO-99N</t>
  </si>
  <si>
    <t>T-LXL47MO-04N</t>
  </si>
  <si>
    <t>LX470 Mag 2 Dwr</t>
  </si>
  <si>
    <t>T-LXL47M2-99N</t>
  </si>
  <si>
    <t>T-LXL47M2-91N</t>
  </si>
  <si>
    <t>T-LXL47M2-04N</t>
  </si>
  <si>
    <t>LX470 Mag 1 Dwr</t>
  </si>
  <si>
    <t>T-LXL47M1-99N</t>
  </si>
  <si>
    <t>T-LXL47M1-04N</t>
  </si>
  <si>
    <t>LX470 Utility 1 Dwr  HD Table</t>
  </si>
  <si>
    <t>T-LX470U1-99N-HT</t>
  </si>
  <si>
    <t>Lexus Field Ranger</t>
  </si>
  <si>
    <t>C-LXG47N3-03R</t>
  </si>
  <si>
    <t>C-LX470N3-99R</t>
  </si>
  <si>
    <t>LX470</t>
  </si>
  <si>
    <t>LS430 Patrolman</t>
  </si>
  <si>
    <t>N-LXLSEN1-01N</t>
  </si>
  <si>
    <t>LS430</t>
  </si>
  <si>
    <t>GX550 Utl 2 Dwr</t>
  </si>
  <si>
    <t>T-LXG55U2-24N-NT</t>
  </si>
  <si>
    <t>GX550 Utl 1 Dwr</t>
  </si>
  <si>
    <t>T-LXG55U1-24N-NT</t>
  </si>
  <si>
    <t>GX550 Std 2 Dwr</t>
  </si>
  <si>
    <t>T-LXG55S2-24N-NT</t>
  </si>
  <si>
    <t>GX550 Std 1 Dwr</t>
  </si>
  <si>
    <t>T-LXG55S1-24N-NT</t>
  </si>
  <si>
    <t>GX550 Mag 2 Dwr</t>
  </si>
  <si>
    <t>T-LXG55M2-24N-NT</t>
  </si>
  <si>
    <t>GX550 Ext 1 Dwr</t>
  </si>
  <si>
    <t>T-LXG55E1-24N-NT</t>
  </si>
  <si>
    <t>GX550</t>
  </si>
  <si>
    <t>GX470 Std 2 Dwr</t>
  </si>
  <si>
    <t>T-LXG47S2-03N-TR-PT</t>
  </si>
  <si>
    <t>T-LXG47S2-03N-TR</t>
  </si>
  <si>
    <t>T-LXG47S2-03N</t>
  </si>
  <si>
    <t>GX470 Std 1 Dwr</t>
  </si>
  <si>
    <t>T-LXG47S1-10N-TR</t>
  </si>
  <si>
    <t>T-LXG47S1-03N-TR</t>
  </si>
  <si>
    <t>T-LXG47S1-03N</t>
  </si>
  <si>
    <t>GX470 Mag 2 Dwr</t>
  </si>
  <si>
    <t>T-LXG47M2-03N</t>
  </si>
  <si>
    <t>GX470 Mag 1 Dwr</t>
  </si>
  <si>
    <t>T-LXG47M1-03N</t>
  </si>
  <si>
    <t>GX470</t>
  </si>
  <si>
    <t>GX460 Std OS Dwr</t>
  </si>
  <si>
    <t>T-LXG46SO-10N-TR</t>
  </si>
  <si>
    <t>GX Magnum 1 Dwr</t>
  </si>
  <si>
    <t>T-LXGX46M1-10N-TR</t>
  </si>
  <si>
    <t>GX460 Utility OS Dwr</t>
  </si>
  <si>
    <t>T-LXG46UO-10N</t>
  </si>
  <si>
    <t>GX460 Utility 2 Dwr</t>
  </si>
  <si>
    <t>T-LXG46U2-10N</t>
  </si>
  <si>
    <t>T-LXG46U2-03N</t>
  </si>
  <si>
    <t>1/2 Width</t>
  </si>
  <si>
    <t>GX460 Utility 1 Dwr</t>
  </si>
  <si>
    <t>T-LXG46U1-10N-HN</t>
  </si>
  <si>
    <t>T-LXG46U1-10N</t>
  </si>
  <si>
    <t>T-LXG46SO-10N</t>
  </si>
  <si>
    <t>GX460 Std 2 Dwr</t>
  </si>
  <si>
    <t>T-LXG46S2-10N</t>
  </si>
  <si>
    <t>GX460 Std 1 Dwr</t>
  </si>
  <si>
    <t>T-LXG46S1-10N-HN</t>
  </si>
  <si>
    <t>T-LXG46S1-10N</t>
  </si>
  <si>
    <t>GX460 Mag 2 Dwr Offset</t>
  </si>
  <si>
    <t>T-LXG46MO-10N-HT</t>
  </si>
  <si>
    <t>T-LXG46MO-10N</t>
  </si>
  <si>
    <t>GX460 Mag 2 Dwr</t>
  </si>
  <si>
    <t>T-LXG46M2-10N</t>
  </si>
  <si>
    <t>GX460 Mag 1 Dwr</t>
  </si>
  <si>
    <t>T-LXG46M1-10N</t>
  </si>
  <si>
    <t>GX460</t>
  </si>
  <si>
    <t>GX470 Std 1 Dwr 1/2 W Driverside</t>
  </si>
  <si>
    <t>T-LX470S1-99N-TR-HD</t>
  </si>
  <si>
    <t>GX450</t>
  </si>
  <si>
    <t>GS400  1 Dwr</t>
  </si>
  <si>
    <t>N-LXG40N1-98N</t>
  </si>
  <si>
    <t>GS400</t>
  </si>
  <si>
    <t>GS200T Patrolman</t>
  </si>
  <si>
    <t>N-LXG20N1-15N</t>
  </si>
  <si>
    <t>GS200T</t>
  </si>
  <si>
    <t>N-LXES3N1-18N-HG</t>
  </si>
  <si>
    <t>N-LXES3N1-15N-HG</t>
  </si>
  <si>
    <t>ES</t>
  </si>
  <si>
    <t>CT200H Utility 1 Dwr</t>
  </si>
  <si>
    <t>T-LXCT2U1-11N</t>
  </si>
  <si>
    <t>CT200H Std 1 Dwr</t>
  </si>
  <si>
    <t>T-LXCT2S1-11N</t>
  </si>
  <si>
    <t>CT200H</t>
  </si>
  <si>
    <t>Lexus</t>
  </si>
  <si>
    <t>Range Rover Sport Utility OS Dwr</t>
  </si>
  <si>
    <t>T-LRRRSUO-14N</t>
  </si>
  <si>
    <t>Range Rover Sport Utility 2 Dwr</t>
  </si>
  <si>
    <t>T-LRRRSU2-14N</t>
  </si>
  <si>
    <t>Range Rover Sport Utility 1 Dwr</t>
  </si>
  <si>
    <t>T-LRRRSU1-14N</t>
  </si>
  <si>
    <t>Range Rover Sport Std OS Dwr</t>
  </si>
  <si>
    <t>T-LRRRSSO-14N</t>
  </si>
  <si>
    <t>T-LRRRSSO-06N</t>
  </si>
  <si>
    <t>Range Rover Sport Std 1 Dwr</t>
  </si>
  <si>
    <t>T-LRRRSS2-14N</t>
  </si>
  <si>
    <t>Range Rover Sport Std 2 Dwr</t>
  </si>
  <si>
    <t>T-LRRRSS2-06N</t>
  </si>
  <si>
    <t>T-LRRRSS1-14N-PT</t>
  </si>
  <si>
    <t>T-LRRRSS1-14N</t>
  </si>
  <si>
    <t>T-LRRRSS1-06N</t>
  </si>
  <si>
    <t>Range Rover Sport Mag OS Dwr</t>
  </si>
  <si>
    <t>T-LRRRSMO-14N</t>
  </si>
  <si>
    <t>T-LRRRSM2-14N-HT</t>
  </si>
  <si>
    <t>Range Rover Sport Mag 1 Dwr</t>
  </si>
  <si>
    <t>T-LRRRSM1-14N</t>
  </si>
  <si>
    <t>T-LRRRSM1-06N</t>
  </si>
  <si>
    <t>Range Rover SportField Ranger</t>
  </si>
  <si>
    <t>C-LRRRSN3-14R-HT</t>
  </si>
  <si>
    <t>Range Rover Sport Special Ops Ctr</t>
  </si>
  <si>
    <t>C-LRRRSN3-06D</t>
  </si>
  <si>
    <t>Range Rover Sport</t>
  </si>
  <si>
    <t>Range Rover Utility 2 Dwr</t>
  </si>
  <si>
    <t>T-LRRROU2-13N</t>
  </si>
  <si>
    <t>Range Rover Utility 1 Dwr</t>
  </si>
  <si>
    <t>T-LRRROU1-13N</t>
  </si>
  <si>
    <t>Range Rover Std OS Dwr</t>
  </si>
  <si>
    <t>T-LRRROSO-13N</t>
  </si>
  <si>
    <t>T-LRRROSO-03N</t>
  </si>
  <si>
    <t>Range Rover Std 2 Dwr</t>
  </si>
  <si>
    <t>T-LRRROS2-95N</t>
  </si>
  <si>
    <t>T-LRRROS2-13N</t>
  </si>
  <si>
    <t>T-LRRROS2-03N</t>
  </si>
  <si>
    <t>Range Rover Std 1 Dwr</t>
  </si>
  <si>
    <t>T-LRRROS1-95N</t>
  </si>
  <si>
    <t>T-LRRROS1-13N-PT</t>
  </si>
  <si>
    <t>T-LRRROS1-13N</t>
  </si>
  <si>
    <t>T-LRRROS1-03N</t>
  </si>
  <si>
    <t>Range Rover Mag Offset Dwr</t>
  </si>
  <si>
    <t>T-LRRROMO-03N-PT</t>
  </si>
  <si>
    <t>T-LRRROMO-03N</t>
  </si>
  <si>
    <t>Range Rover Mag 2 Dwr</t>
  </si>
  <si>
    <t>T-LRRROM2-95N</t>
  </si>
  <si>
    <t>T-LRRROM2-13N-HT</t>
  </si>
  <si>
    <t>T-LRRROM2-03N</t>
  </si>
  <si>
    <t>Range Rover Mag 1 Dwr</t>
  </si>
  <si>
    <t>T-LRRROM1-95N</t>
  </si>
  <si>
    <t>T-LRRROM1-90N</t>
  </si>
  <si>
    <t>T-LRRROM1-13N</t>
  </si>
  <si>
    <t>T-LRRROM1-03N-PT</t>
  </si>
  <si>
    <t>T-LRRROM1-03N</t>
  </si>
  <si>
    <t>Range Rover</t>
  </si>
  <si>
    <t>LR5 Mag 1 Dwr</t>
  </si>
  <si>
    <t>T-LRDS5M1-17N-TF</t>
  </si>
  <si>
    <t>LR5</t>
  </si>
  <si>
    <t>LR4 Utility 1 Dwr</t>
  </si>
  <si>
    <t>T-LRLR4U1-11N</t>
  </si>
  <si>
    <t>LR4 Std 2 Dwr</t>
  </si>
  <si>
    <t>T-LRLR4S2-11N</t>
  </si>
  <si>
    <t>LR4 Std 1 Dwr</t>
  </si>
  <si>
    <t>T-LRLR4S1-11N</t>
  </si>
  <si>
    <t>LR4 Mag 2 Dwr Offset</t>
  </si>
  <si>
    <t>T-LRLR4MO-11N</t>
  </si>
  <si>
    <t>LR4 Mag 1 Dwr</t>
  </si>
  <si>
    <t>T-LRLR4M1-11N</t>
  </si>
  <si>
    <t>Land Rover LR4 Drone Responder 4</t>
  </si>
  <si>
    <t>D-LRLR4N3-11N-HT-C1-DR4</t>
  </si>
  <si>
    <t>Land Rover LR4 TAC CC</t>
  </si>
  <si>
    <t>C-LRLR4N5-11T</t>
  </si>
  <si>
    <t>LR4</t>
  </si>
  <si>
    <t>LR3 Utility OS Dwr</t>
  </si>
  <si>
    <t>T-LRLR3UO-05N</t>
  </si>
  <si>
    <t>LR3 Std OS Dwr</t>
  </si>
  <si>
    <t>T-LRLR3SO-05N</t>
  </si>
  <si>
    <t>LR3 Std 2 Dwr</t>
  </si>
  <si>
    <t>T-LRLR3S2-05N</t>
  </si>
  <si>
    <t>LR3 Std 1 Dwr</t>
  </si>
  <si>
    <t>T-LRLR3S1-05N</t>
  </si>
  <si>
    <t>LR3 Mag 2 Dwr</t>
  </si>
  <si>
    <t>T-LRLR3M2-05N</t>
  </si>
  <si>
    <t>LR3 Mag 1 Dwr</t>
  </si>
  <si>
    <t>T-LRLR3M1-05N-PT</t>
  </si>
  <si>
    <t>T-LRLR3M1-05N</t>
  </si>
  <si>
    <t>LR3 Field Ranger</t>
  </si>
  <si>
    <t>C-LRLR3N3-05R</t>
  </si>
  <si>
    <t>LR3</t>
  </si>
  <si>
    <t>LR2 Std 2 Dwr</t>
  </si>
  <si>
    <t>T-LRLR2S2-07N</t>
  </si>
  <si>
    <t>LR2 Std 1 Dwr</t>
  </si>
  <si>
    <t>T-LRLR2S1-07N</t>
  </si>
  <si>
    <t>LR2 Mag 2 Dwr</t>
  </si>
  <si>
    <t>T-LRLR2M2-07N</t>
  </si>
  <si>
    <t>LR2 Mag 1 Dwr</t>
  </si>
  <si>
    <t>T-LRLR2M1-07N</t>
  </si>
  <si>
    <t>LR2</t>
  </si>
  <si>
    <t>Freelander Std 2 Drawer</t>
  </si>
  <si>
    <t>T-LRFRES2-96N</t>
  </si>
  <si>
    <t>Freelander Std 1 Drawer</t>
  </si>
  <si>
    <t>T-LRFRES1-96N</t>
  </si>
  <si>
    <t>Freelander Mag 2 Drawer</t>
  </si>
  <si>
    <t>T-LRFREM2-96N</t>
  </si>
  <si>
    <t>Freelander Mag 1 Drawer</t>
  </si>
  <si>
    <t>T-LRFREM1-96N</t>
  </si>
  <si>
    <t>Freelander</t>
  </si>
  <si>
    <t>LR5 Utility 2 Dwr</t>
  </si>
  <si>
    <t>T-LRDS5U2-17N-TF</t>
  </si>
  <si>
    <t>LR5 Utility 1 Dwr</t>
  </si>
  <si>
    <t>T-LRDS5U1-17N-TF</t>
  </si>
  <si>
    <t>LR5 Std 2 Dwr</t>
  </si>
  <si>
    <t>T-LRDS5S2-17N-TF</t>
  </si>
  <si>
    <t>T-LRDS5S2-17N</t>
  </si>
  <si>
    <t>LR5 Std 1 Dwr</t>
  </si>
  <si>
    <t>T-LRDS5S1-17N</t>
  </si>
  <si>
    <t>Discovery V</t>
  </si>
  <si>
    <t>Discovery Sport Utility 1 Dwr</t>
  </si>
  <si>
    <t>T-LRDSSU1-14N</t>
  </si>
  <si>
    <t>Discovery Sport Std 2 Dwr</t>
  </si>
  <si>
    <t>T-LRDSSS2-14N</t>
  </si>
  <si>
    <t>Discovery Sport Mag 1 Dwr</t>
  </si>
  <si>
    <t>T-LRDSSM1-14N</t>
  </si>
  <si>
    <t>Land Rover Sport Special Ops Ctr</t>
  </si>
  <si>
    <t>C-LRDSSN3-14D-PT</t>
  </si>
  <si>
    <t>Discovery Sport</t>
  </si>
  <si>
    <t>Discovery II Utl 2 Dwr</t>
  </si>
  <si>
    <t>T-LRDS2U2-98N-TR</t>
  </si>
  <si>
    <t>Discovery II Std Offset Dwr</t>
  </si>
  <si>
    <t>T-LRDS2SO-98N</t>
  </si>
  <si>
    <t>Discovery II Std 2 Dwr</t>
  </si>
  <si>
    <t>T-LRDS2S2-98N</t>
  </si>
  <si>
    <t>Discovery II Std 1 Dwr</t>
  </si>
  <si>
    <t>T-LRDS2S1-98N</t>
  </si>
  <si>
    <t>Discovery II Mag 2 Dwr</t>
  </si>
  <si>
    <t>T-LRDS2M2-98N</t>
  </si>
  <si>
    <t>No Third Row/Third Removed</t>
  </si>
  <si>
    <t>Discovery II Mag 1 Dwr</t>
  </si>
  <si>
    <t>T-LRDS2M1-98N-TR</t>
  </si>
  <si>
    <t>T-LRDS2M1-98N</t>
  </si>
  <si>
    <t>Land Rover CUST</t>
  </si>
  <si>
    <t>C-LRDS2N3-98R-PT</t>
  </si>
  <si>
    <t>Discovery II</t>
  </si>
  <si>
    <t>Discovery I Std 2 Dwr</t>
  </si>
  <si>
    <t>T-LRDS1S2-94N</t>
  </si>
  <si>
    <t>Discovery I Std 1 Dwr</t>
  </si>
  <si>
    <t>T-LRDS1S1-94N</t>
  </si>
  <si>
    <t>Discovery I Mag 2 Dwr</t>
  </si>
  <si>
    <t>T-LRDS1M2-94N</t>
  </si>
  <si>
    <t>Discovery I Mag 1 Dwr</t>
  </si>
  <si>
    <t>T-LRDS1M1-94N</t>
  </si>
  <si>
    <t>Discovery I</t>
  </si>
  <si>
    <t>Defender 90 Utl 1 Dwr</t>
  </si>
  <si>
    <t>T-LRD90U1-90N</t>
  </si>
  <si>
    <t>Defender 90 Std 1 Dwr</t>
  </si>
  <si>
    <t>T-LRD90S1-90N</t>
  </si>
  <si>
    <t>Defender 90</t>
  </si>
  <si>
    <t>Defender 110 Std 1 Dwr</t>
  </si>
  <si>
    <t>T-LRD13U2-90N-PW</t>
  </si>
  <si>
    <t>Defender 130 Mag Offset</t>
  </si>
  <si>
    <t>T-LRD13MO-90N-PW</t>
  </si>
  <si>
    <t>Defender 130</t>
  </si>
  <si>
    <t>Defender 110 Utl 1 Dwr</t>
  </si>
  <si>
    <t>T-LRD11U1-20N</t>
  </si>
  <si>
    <t>T-LRD11S1-20N</t>
  </si>
  <si>
    <t>Defender 110 Mag 1 Dwr</t>
  </si>
  <si>
    <t>T-LRD11M1-20N</t>
  </si>
  <si>
    <t>Defender 110</t>
  </si>
  <si>
    <t>Land Rover</t>
  </si>
  <si>
    <t>Carnival Drone Responder 7</t>
  </si>
  <si>
    <t>D-KICARN2-22N-HT-C1-DR7</t>
  </si>
  <si>
    <t>Carnival Utl 2 Dwr</t>
  </si>
  <si>
    <t>T-KICARU2-22N</t>
  </si>
  <si>
    <t>Carnival Utl 1 Dwr</t>
  </si>
  <si>
    <t>T-KICARU1-22N</t>
  </si>
  <si>
    <t>Carnival Std 2 Dwr</t>
  </si>
  <si>
    <t>T-KICARS2-22N</t>
  </si>
  <si>
    <t>Carnival Std 1 Dwr</t>
  </si>
  <si>
    <t>T-KICARS1-22N</t>
  </si>
  <si>
    <t>Carnival Mag 2 Dwr</t>
  </si>
  <si>
    <t>T-KICARM2-22N</t>
  </si>
  <si>
    <t>Carnival Mag 1 Dwr</t>
  </si>
  <si>
    <t>T-KICARM1-22N</t>
  </si>
  <si>
    <t>Carnival Ext 2 Dwr</t>
  </si>
  <si>
    <t>T-KICARE2-22N</t>
  </si>
  <si>
    <t>Carnival Ext 1 Dwr</t>
  </si>
  <si>
    <t>T-KICARE1-22N</t>
  </si>
  <si>
    <t>Carnival</t>
  </si>
  <si>
    <t>Telluride Utl Offset Dwr</t>
  </si>
  <si>
    <t>T-KITELUO-20N</t>
  </si>
  <si>
    <t>Telluride Utl 2 Dwr</t>
  </si>
  <si>
    <t>T-KITELU2-20N</t>
  </si>
  <si>
    <t>Telluride Utl 1 Dwr</t>
  </si>
  <si>
    <t>T-KITELU1-20N-TT</t>
  </si>
  <si>
    <t>T-KITELU1-20N</t>
  </si>
  <si>
    <t>Telluride Std 1 Dwr</t>
  </si>
  <si>
    <t>T-KITELS2-20N-PT</t>
  </si>
  <si>
    <t>T-KITELS2-20N</t>
  </si>
  <si>
    <t>T-KITELS1-20S</t>
  </si>
  <si>
    <t>T-KITELS1-20N-HT</t>
  </si>
  <si>
    <t>T-KITELS1-20N</t>
  </si>
  <si>
    <t>Telluride Mag Offset Dwr</t>
  </si>
  <si>
    <t>T-KITELMO-20N</t>
  </si>
  <si>
    <t>Telluride Mag 2 Dwr</t>
  </si>
  <si>
    <t>T-KITELM2-20N-HT</t>
  </si>
  <si>
    <t>T-KITELM2-20N</t>
  </si>
  <si>
    <t>Telluride Mag 1 Dwr</t>
  </si>
  <si>
    <t>T-KITELM1-20N-HT</t>
  </si>
  <si>
    <t>T-KITELM1-20N</t>
  </si>
  <si>
    <t>Telluride</t>
  </si>
  <si>
    <t>Sportage Mag 1 Dwr</t>
  </si>
  <si>
    <t>T-KISPOM1-23N</t>
  </si>
  <si>
    <t>Telluride Utl 2  Dwr</t>
  </si>
  <si>
    <t>T-KISPOU2-23N</t>
  </si>
  <si>
    <t>Telluride Utl 1  Dwr</t>
  </si>
  <si>
    <t>T-KISPOU1-23N</t>
  </si>
  <si>
    <t>Sportage Std 2 Dwr</t>
  </si>
  <si>
    <t>T-KISPOS2-23N</t>
  </si>
  <si>
    <t>T-KISPOS2-15N</t>
  </si>
  <si>
    <t>T-KISPOS2-05N</t>
  </si>
  <si>
    <t>Sportage Std 1 Dwr</t>
  </si>
  <si>
    <t>T-KISPOS1-23N</t>
  </si>
  <si>
    <t>T-KISPOS1-15N</t>
  </si>
  <si>
    <t>T-KISPOS1-05N</t>
  </si>
  <si>
    <t>Sportage Mag 2 Dwr</t>
  </si>
  <si>
    <t>T-KISPOM2-15N</t>
  </si>
  <si>
    <t>T-KISPOM2-11N</t>
  </si>
  <si>
    <t>T-KISPOM2-05N</t>
  </si>
  <si>
    <t>T-KISPOM1-15N</t>
  </si>
  <si>
    <t>T-KISPOM1-05N</t>
  </si>
  <si>
    <t>Sportage Investigator</t>
  </si>
  <si>
    <t>C-KISPON3-15I</t>
  </si>
  <si>
    <t>Sportage</t>
  </si>
  <si>
    <t>Soul Std 1 Dwr</t>
  </si>
  <si>
    <t>T-KISOUS1-09N</t>
  </si>
  <si>
    <t>Soul Mag 1 Dwr</t>
  </si>
  <si>
    <t>T-KISOUM1-14N</t>
  </si>
  <si>
    <t>T-KISOUM1-09N</t>
  </si>
  <si>
    <t>Soul</t>
  </si>
  <si>
    <t>Sorento Utl 1Dwr</t>
  </si>
  <si>
    <t>T-KISORU1-21N</t>
  </si>
  <si>
    <t>Sorento Utility 1 Dwr</t>
  </si>
  <si>
    <t>T-KISORU1-14N</t>
  </si>
  <si>
    <t>Sorento Std 2 Dwr</t>
  </si>
  <si>
    <t>T-KISORS2-21N</t>
  </si>
  <si>
    <t>T-KISORS2-14N</t>
  </si>
  <si>
    <t>T-KISORS2-11N</t>
  </si>
  <si>
    <t>Sorento Std 1 Drawer</t>
  </si>
  <si>
    <t>T-KISORS1-21N</t>
  </si>
  <si>
    <t>Sorento Std 1 Dwr</t>
  </si>
  <si>
    <t>T-KISORS1-14N</t>
  </si>
  <si>
    <t>T-KISORS1-11N</t>
  </si>
  <si>
    <t>Sorento  Emergency Response 3</t>
  </si>
  <si>
    <t>T-KISORN3-14N-C1-ER3</t>
  </si>
  <si>
    <t>Sorento Mag Offset</t>
  </si>
  <si>
    <t>T-KISORMO-21N</t>
  </si>
  <si>
    <t>T-KISORMO-14N</t>
  </si>
  <si>
    <t>No 3rd Seat , HD Table</t>
  </si>
  <si>
    <t>Sorento Mag 2 Dwr</t>
  </si>
  <si>
    <t>T-KISORM2-14N-HT</t>
  </si>
  <si>
    <t>T-KISORM2-14N</t>
  </si>
  <si>
    <t>T-KISORM2-11N</t>
  </si>
  <si>
    <t>Sorento Mag 1</t>
  </si>
  <si>
    <t>T-KISORM1-21N</t>
  </si>
  <si>
    <t>Sorento Mag 1 Dwr</t>
  </si>
  <si>
    <t>T-KISORM1-14N-HT</t>
  </si>
  <si>
    <t>T-KISORM1-14N</t>
  </si>
  <si>
    <t>T-KISORM1-11N-HT</t>
  </si>
  <si>
    <t>T-KISORM1-11N</t>
  </si>
  <si>
    <t>T-KISORM1-02N</t>
  </si>
  <si>
    <t>Sorento  Investigator</t>
  </si>
  <si>
    <t>C-KISORN2-14I</t>
  </si>
  <si>
    <t>Sorento</t>
  </si>
  <si>
    <t>Seltos Std 1 Drawer</t>
  </si>
  <si>
    <t>T-KISELS1-21N</t>
  </si>
  <si>
    <t>Seltos Mag 1 Drawer</t>
  </si>
  <si>
    <t>T-KISELM1-21N</t>
  </si>
  <si>
    <t>Seltos</t>
  </si>
  <si>
    <t>Sedona Std 2 Dwr</t>
  </si>
  <si>
    <t>T-KISEDS2-15N</t>
  </si>
  <si>
    <t>T-KISEDS2-09N</t>
  </si>
  <si>
    <t>Sedona Std 1 Dwr</t>
  </si>
  <si>
    <t>T-KISEDS1-15N</t>
  </si>
  <si>
    <t>T-KISEDS1-06N</t>
  </si>
  <si>
    <t>Sedona Mag 2 Dwr</t>
  </si>
  <si>
    <t>T-KISEDM2-15N</t>
  </si>
  <si>
    <t>Sedona Mag 1 Dwr</t>
  </si>
  <si>
    <t>T-KISEDM1-15N</t>
  </si>
  <si>
    <t>Sedona Lid Box</t>
  </si>
  <si>
    <t>T-KISEDL1-15N</t>
  </si>
  <si>
    <t>Sedona</t>
  </si>
  <si>
    <t>Optima 2 Dwr TrunkVault</t>
  </si>
  <si>
    <t>N-KIOPTN2-16N-HG</t>
  </si>
  <si>
    <t>Optima Hybrid Patrolman</t>
  </si>
  <si>
    <t>N-KIOPTN1-16N-PH-HG</t>
  </si>
  <si>
    <t>Optima Patrolman</t>
  </si>
  <si>
    <t>N-KIOPTN1-16N-HG</t>
  </si>
  <si>
    <t>TrunkVault, Speaker In Trunk</t>
  </si>
  <si>
    <t>N-KIOPTN1-10N-PK</t>
  </si>
  <si>
    <t>N-KIOPTN1-10N-HG</t>
  </si>
  <si>
    <t>N-KIOPTN1-10N</t>
  </si>
  <si>
    <t>Optima</t>
  </si>
  <si>
    <t>Niro Std 1 Drawer</t>
  </si>
  <si>
    <t>T-KINIRS1-17N</t>
  </si>
  <si>
    <t>Niro</t>
  </si>
  <si>
    <t>Forte Patrolman</t>
  </si>
  <si>
    <t>N-KIFORN1-19N-HG</t>
  </si>
  <si>
    <t>TrunkVault; Elevated Deck Lid</t>
  </si>
  <si>
    <t>N-KIFORN1-10N-HG</t>
  </si>
  <si>
    <t>Forte</t>
  </si>
  <si>
    <t>Kia</t>
  </si>
  <si>
    <t>Seat Removed, Top Tray</t>
  </si>
  <si>
    <t>Wrangler Unlimited Mag 1 Dwr</t>
  </si>
  <si>
    <t>T-JPWULM1-04N-TR-TT</t>
  </si>
  <si>
    <t>HD Table Ext.</t>
  </si>
  <si>
    <t>Wrangler Unlimited Utility 2 Dwr Offset</t>
  </si>
  <si>
    <t>T-JPWULUO-07N-HT</t>
  </si>
  <si>
    <t>Wrangler Unlimited Utility Offset Dwr</t>
  </si>
  <si>
    <t>T-JPWULUO-07N</t>
  </si>
  <si>
    <t>3rd Row Seat Removed</t>
  </si>
  <si>
    <t>T-JPWULU2-07N-TR</t>
  </si>
  <si>
    <t>Wrangler Unlimited Utility 2 Dwr</t>
  </si>
  <si>
    <t>T-JPWULU2-07N-PT</t>
  </si>
  <si>
    <t>Speaker</t>
  </si>
  <si>
    <t>T-JPWULU2-07N-PK</t>
  </si>
  <si>
    <t>T-JPWULU2-07N</t>
  </si>
  <si>
    <t>Wrangler Unlimited Util 1 Dwr</t>
  </si>
  <si>
    <t>T-JPWULU1-07N-PW</t>
  </si>
  <si>
    <t>Wrangler Unlimited Utility 1 Dwr</t>
  </si>
  <si>
    <t>T-JPWULU1-07N-PK</t>
  </si>
  <si>
    <t>T-JPWULU1-07N</t>
  </si>
  <si>
    <t>Wrangler Unlimited Std OS Dwr</t>
  </si>
  <si>
    <t>T-JPWULSO-07N-TR</t>
  </si>
  <si>
    <t>T-JPWULSO-07N-PW</t>
  </si>
  <si>
    <t>T-JPWULSO-07N-PK</t>
  </si>
  <si>
    <t>Wrangler Unlimited Std Offset Dwr</t>
  </si>
  <si>
    <t>T-JPWULSO-07N-HT</t>
  </si>
  <si>
    <t>T-JPWULSO-07N</t>
  </si>
  <si>
    <t>Wrangler Unlimited Std 2 Dwr</t>
  </si>
  <si>
    <t>T-JPWULSO-04N-TR</t>
  </si>
  <si>
    <t>T-JPWULSO-04N-TF</t>
  </si>
  <si>
    <t>A-Wthr; Seat Removed</t>
  </si>
  <si>
    <t>T-JPWULS2-07N-TR-PW</t>
  </si>
  <si>
    <t>T-JPWULS2-07N-TR</t>
  </si>
  <si>
    <t>T-JPWULS2-07N-PW</t>
  </si>
  <si>
    <t>T-JPWULS2-07N-PT</t>
  </si>
  <si>
    <t>Speaker, Table Extension</t>
  </si>
  <si>
    <t>T-JPWULS2-07N-PK-PT</t>
  </si>
  <si>
    <t>T-JPWULS2-07N-PK</t>
  </si>
  <si>
    <t>T-JPWULS2-07N-HT</t>
  </si>
  <si>
    <t>T-JPWULS2-07N</t>
  </si>
  <si>
    <t>T-JPWULS2-04N-TR</t>
  </si>
  <si>
    <t>T-JPWULS2-04N-TF</t>
  </si>
  <si>
    <t>Wrangler Unlimited Std 1 Dwr</t>
  </si>
  <si>
    <t>T-JPWULS1-07N-TR-PW</t>
  </si>
  <si>
    <t>T-JPWULS1-07N-PW</t>
  </si>
  <si>
    <t>A-Wthr, Speaker</t>
  </si>
  <si>
    <t>T-JPWULS1-07N-PK-PW</t>
  </si>
  <si>
    <t>Speaker, Table Ext</t>
  </si>
  <si>
    <t>T-JPWULS1-07N-PK-PT</t>
  </si>
  <si>
    <t>Speaker, HD Table</t>
  </si>
  <si>
    <t>T-JPWULS1-07N-PK-HT</t>
  </si>
  <si>
    <t>T-JPWULS1-07N-PK</t>
  </si>
  <si>
    <t>T-JPWULS1-07N-HT</t>
  </si>
  <si>
    <t>T-JPWULS1-07N</t>
  </si>
  <si>
    <t>Seat Removed, A-Wthr</t>
  </si>
  <si>
    <t>T-JPWULS1-04N-TR-PW</t>
  </si>
  <si>
    <t>3rd Row Seat Removed, Tbl Ext</t>
  </si>
  <si>
    <t>T-JPWULS1-04N-TR-PT</t>
  </si>
  <si>
    <t>T-JPWULS1-04N-TR</t>
  </si>
  <si>
    <t>T-JPWULS1-04N-TF</t>
  </si>
  <si>
    <t>T-JPWULS1-04N</t>
  </si>
  <si>
    <t>Wrangler Unlimited Mag OS Dwr</t>
  </si>
  <si>
    <t>T-JPWULMO-07N-PK</t>
  </si>
  <si>
    <t>T-JPWULMO-07N-HT</t>
  </si>
  <si>
    <t>T-JPWULMO-07N</t>
  </si>
  <si>
    <t>Wrangler Unlimited Mag 2 Dwr</t>
  </si>
  <si>
    <t>T-JPWULM2-07N-TT</t>
  </si>
  <si>
    <t>T-JPWULM2-07N-TR-PW</t>
  </si>
  <si>
    <t>Heavy Duty Table #rd Seat Removed</t>
  </si>
  <si>
    <t>T-JPWULM2-07N-TR-HT</t>
  </si>
  <si>
    <t>T-JPWULM2-07N-PW</t>
  </si>
  <si>
    <t>T-JPWULM2-07N-PT</t>
  </si>
  <si>
    <t>T-JPWULM2-07N-PK-PW</t>
  </si>
  <si>
    <t>Speaker; Table Ext</t>
  </si>
  <si>
    <t>T-JPWULM2-07N-PK-PT</t>
  </si>
  <si>
    <t>T-JPWULM2-07N-PK</t>
  </si>
  <si>
    <t>Heavy Duty Table; Speaker</t>
  </si>
  <si>
    <t>T-JPWULM2-07N-HT-PK</t>
  </si>
  <si>
    <t>T-JPWULM2-07N-HT</t>
  </si>
  <si>
    <t>T-JPWULM2-07N</t>
  </si>
  <si>
    <t>Seat Removed, Tbl Ext</t>
  </si>
  <si>
    <t>T-JPWULM2-04N-TR-PT</t>
  </si>
  <si>
    <t>Seat Removed, HD Table</t>
  </si>
  <si>
    <t>T-JPWULM2-04N-TR-HT</t>
  </si>
  <si>
    <t>A-Wthr seat removed</t>
  </si>
  <si>
    <t>T-JPWULM1-07N-TR-PW</t>
  </si>
  <si>
    <t>T-JPWULM1-07N-PW</t>
  </si>
  <si>
    <t>T-JPWULM1-07N-PT</t>
  </si>
  <si>
    <t>T-JPWULM1-07N-PK-PW</t>
  </si>
  <si>
    <t>Speaker, Tbl Ext</t>
  </si>
  <si>
    <t>T-JPWULM1-07N-PK-PT</t>
  </si>
  <si>
    <t>T-JPWULM1-07N-PK-HT</t>
  </si>
  <si>
    <t>Speaker in Cargo Area</t>
  </si>
  <si>
    <t>T-JPWULM1-07N-PK</t>
  </si>
  <si>
    <t>T-JPWULM1-07N-HT</t>
  </si>
  <si>
    <t>T-JPWULM1-07N</t>
  </si>
  <si>
    <t>T-JPWULM1-04N-TR-PW</t>
  </si>
  <si>
    <t>T-JPWULM1-04N-TR-PT</t>
  </si>
  <si>
    <t>T-JPWULM1-04N-TR</t>
  </si>
  <si>
    <t>T-JPWULM1-04N-TF</t>
  </si>
  <si>
    <t>T-JPWULM1-04N</t>
  </si>
  <si>
    <t>Wrangler Unlimited Chief</t>
  </si>
  <si>
    <t>C-JPWULN5-07C-PK</t>
  </si>
  <si>
    <t>C-JPWULN5-07C</t>
  </si>
  <si>
    <t>Wrangler Unlimited FieldRanger</t>
  </si>
  <si>
    <t>C-JPWULN3-18R-PW</t>
  </si>
  <si>
    <t>C-JPWULN3-07R</t>
  </si>
  <si>
    <t>Wrangler Unlimited Investigato</t>
  </si>
  <si>
    <t>C-JPWULN3-07I-PT</t>
  </si>
  <si>
    <t>Jeep Wrangler Unlimited Investigator</t>
  </si>
  <si>
    <t>C-JPWULN3-07I-PK</t>
  </si>
  <si>
    <t>Wrangler UL Special Ops Ctr</t>
  </si>
  <si>
    <t>C-JPWULN3-07D</t>
  </si>
  <si>
    <t>2 Dwr; All Weather</t>
  </si>
  <si>
    <t>C-JPWULN2-07I-PW</t>
  </si>
  <si>
    <t>C-JPWULN2-07I-PK</t>
  </si>
  <si>
    <t>Wrangler Unlimited</t>
  </si>
  <si>
    <t>Wrangler AEV Std 2 Dwr</t>
  </si>
  <si>
    <t>T-JPWAVS2-11N-PW</t>
  </si>
  <si>
    <t>C6550</t>
  </si>
  <si>
    <t>Wrangler AEV</t>
  </si>
  <si>
    <t>T-JPWAVS2-11N</t>
  </si>
  <si>
    <t>Wrangler AEV Mag 1 Dwr</t>
  </si>
  <si>
    <t>T-JPWAVM2-11N-PW</t>
  </si>
  <si>
    <t>Wrangler AEV Magnum</t>
  </si>
  <si>
    <t>T-JPWAVM2-11N</t>
  </si>
  <si>
    <t>Acadia Special Ops Ctr HD Table</t>
  </si>
  <si>
    <t>C-GMACAN3-17D-HT</t>
  </si>
  <si>
    <t>Wrangler 4 Door Utility Offset</t>
  </si>
  <si>
    <t>T-JPW4DUO-18N-PT</t>
  </si>
  <si>
    <t>Wrangler 4 Door Utility Offset Dwr</t>
  </si>
  <si>
    <t>T-JPW4DUO-18N</t>
  </si>
  <si>
    <t>Wrangler 4 Door Utility 2 Dwr</t>
  </si>
  <si>
    <t>T-JPW4DU2-18N</t>
  </si>
  <si>
    <t>Low Profile Table Extension</t>
  </si>
  <si>
    <t>Wrangler 4 Door Utility 1 Dwr</t>
  </si>
  <si>
    <t>T-JPW4DU1-18N-PT</t>
  </si>
  <si>
    <t>T-JPW4DU1-18N-HT</t>
  </si>
  <si>
    <t>T-JPW4DU1-18N</t>
  </si>
  <si>
    <t>Wrangler 4 Door Standard Offset</t>
  </si>
  <si>
    <t>T-JPW4DSO-18N-PT</t>
  </si>
  <si>
    <t>Wrangler 4 Door Std OS Dwr</t>
  </si>
  <si>
    <t>T-JPW4DSO-18N</t>
  </si>
  <si>
    <t>Wrangler 4 Door Std 2 Dwr</t>
  </si>
  <si>
    <t>T-JPW4DS2-18N-HT</t>
  </si>
  <si>
    <t>T-JPW4DS2-18N</t>
  </si>
  <si>
    <t>Wrangler 4 Door Std 1 Dwr</t>
  </si>
  <si>
    <t>T-JPW4DS1-18N-PT</t>
  </si>
  <si>
    <t>T-JPW4DS1-18N</t>
  </si>
  <si>
    <t>Wrangler 4 Door Mag Offset  Dwr</t>
  </si>
  <si>
    <t>T-JPW4DMO-18N-PT</t>
  </si>
  <si>
    <t>Wrangler 4 Door Mag 2 Dwr</t>
  </si>
  <si>
    <t>T-JPW4DM2-18N-HT</t>
  </si>
  <si>
    <t>T-JPW4DM2-18N</t>
  </si>
  <si>
    <t>T-JPW4DM1-18N-PT</t>
  </si>
  <si>
    <t>Wrangler 4 Door Mag 1 Dwr</t>
  </si>
  <si>
    <t>T-JPW4DM1-18N-HT</t>
  </si>
  <si>
    <t>T-JPW4DM1-18N</t>
  </si>
  <si>
    <t>Wrangler 4 Door Captain LX CC</t>
  </si>
  <si>
    <t>C-JPW4DN5-18P</t>
  </si>
  <si>
    <t>Wrangler 4 Door Chief</t>
  </si>
  <si>
    <t>C-JPW4DN5-18C</t>
  </si>
  <si>
    <t>Wrangler 4 Door Field Ranger</t>
  </si>
  <si>
    <t>C-JPW4DN3-18R-HT</t>
  </si>
  <si>
    <t>C-JPW4DN3-18R</t>
  </si>
  <si>
    <t>Wrangler 4 Door Investigator</t>
  </si>
  <si>
    <t>C-JPW4DN3-18I</t>
  </si>
  <si>
    <t>Wrangler  Special Ops Ctr HD Table</t>
  </si>
  <si>
    <t>C-JPW4DN3-18D-HT</t>
  </si>
  <si>
    <t>C-JPW4DN2-18I</t>
  </si>
  <si>
    <t>Wrangler 4 Door</t>
  </si>
  <si>
    <t>Wrangler 2 Door Utility 2 Dwr</t>
  </si>
  <si>
    <t>T-JPW2DU2-18N-TT</t>
  </si>
  <si>
    <t>Wrangler 2 Door Std 1 Dwr</t>
  </si>
  <si>
    <t>T-JPW2DS1-18S</t>
  </si>
  <si>
    <t>Wrangler 2 Door Mag OS Dwr</t>
  </si>
  <si>
    <t>T-JPW2DMO-18N</t>
  </si>
  <si>
    <t>Wrangler 2 Door Mag 1 Dwr</t>
  </si>
  <si>
    <t>T-JPW2DM1-18N-HT</t>
  </si>
  <si>
    <t>Wrangler 1  Door Mag 1 Dwr  Half Width</t>
  </si>
  <si>
    <t>T-JPW2DM1-18N-HD</t>
  </si>
  <si>
    <t>Wrangler 2 Door Ext 1 Dwr</t>
  </si>
  <si>
    <t>T-JPW2DE1-18N</t>
  </si>
  <si>
    <t>Wrangler 2 Door</t>
  </si>
  <si>
    <t>A-Wthr, 2nd Seat Removed</t>
  </si>
  <si>
    <t>Wrangler Utility 2 Dwr</t>
  </si>
  <si>
    <t>T-JPWGRU2-97N-PW</t>
  </si>
  <si>
    <t>Wrangler Utility 1 Dwr</t>
  </si>
  <si>
    <t>T-JPWGRU1-97N-TR</t>
  </si>
  <si>
    <t>2nd Seat Removed</t>
  </si>
  <si>
    <t>T-JPWGRU1-07N-TR</t>
  </si>
  <si>
    <t>Wrangler Std Offset Dwr</t>
  </si>
  <si>
    <t>T-JPWGRSO-07N-TR</t>
  </si>
  <si>
    <t>Wrangler Std 2 Dwr</t>
  </si>
  <si>
    <t>T-JPWGRS2-97N-TR</t>
  </si>
  <si>
    <t>T-JPWGRS2-97N-PW</t>
  </si>
  <si>
    <t>T-JPWGRS2-97N</t>
  </si>
  <si>
    <t>T-JPWGRS2-07N-TR-PW</t>
  </si>
  <si>
    <t>Seat Removed; Table Extension</t>
  </si>
  <si>
    <t>T-JPWGRS2-07N-TR-PT</t>
  </si>
  <si>
    <t>Seat Removed; HD Table Extension</t>
  </si>
  <si>
    <t>T-JPWGRS2-07N-TR-HT</t>
  </si>
  <si>
    <t>T-JPWGRS2-07N-TR</t>
  </si>
  <si>
    <t>Wrangler Std 1 Dwr</t>
  </si>
  <si>
    <t>T-JPWGRS1-99N-TR</t>
  </si>
  <si>
    <t>T-JPWGRS1-97N-TR</t>
  </si>
  <si>
    <t>T-JPWGRS1-97N-PW</t>
  </si>
  <si>
    <t>T-JPWGRS1-97N</t>
  </si>
  <si>
    <t>T-JPWGRS1-87N-TR</t>
  </si>
  <si>
    <t>T-JPWGRS1-18S</t>
  </si>
  <si>
    <t>T-JPWGRS1-07N-TR-PW</t>
  </si>
  <si>
    <t>2nd Seat Removed; Table Ext</t>
  </si>
  <si>
    <t>T-JPWGRS1-07N-TR-PT</t>
  </si>
  <si>
    <t>No 2nd, Speaker, Table Ext</t>
  </si>
  <si>
    <t>T-JPWGRS1-07N-TR-PK-PT</t>
  </si>
  <si>
    <t>2nd Seat Removed, Speaker</t>
  </si>
  <si>
    <t>T-JPWGRS1-07N-TR-PK</t>
  </si>
  <si>
    <t>T-JPWGRS1-07N-TR</t>
  </si>
  <si>
    <t>Wrangler Mag OS Dwr</t>
  </si>
  <si>
    <t>T-JPWGRMO-99N-TR</t>
  </si>
  <si>
    <t>Wrangler Mag Offset</t>
  </si>
  <si>
    <t>T-JPWGRMO-07N-TR-PW</t>
  </si>
  <si>
    <t>Seat Removed, HD Table Extension</t>
  </si>
  <si>
    <t>T-JPWGRMO-07N-TR-HT</t>
  </si>
  <si>
    <t>Wrangler Mag 2 Dwr</t>
  </si>
  <si>
    <t>T-JPWGRM2-07N-TR-HT</t>
  </si>
  <si>
    <t>T-JPWGRM2-07N-TR</t>
  </si>
  <si>
    <t>Wrangler  Mag 1 Dwr</t>
  </si>
  <si>
    <t>T-JPWGRM1-99N-TR-PW</t>
  </si>
  <si>
    <t>Wrangler Mag 1 Dwr</t>
  </si>
  <si>
    <t>T-JPWGRM1-99N-TR</t>
  </si>
  <si>
    <t>T-JPWGRM1-97N-PW</t>
  </si>
  <si>
    <t>T-JPWGRM1-97N</t>
  </si>
  <si>
    <t>T-JPWGRM1-87N</t>
  </si>
  <si>
    <t>T-JPWGRM1-07N-TR-PW</t>
  </si>
  <si>
    <t>T-JPWGRM1-07N-TR-PK</t>
  </si>
  <si>
    <t>2nd Seat Removed; Heavy Duty Table</t>
  </si>
  <si>
    <t>T-JPWGRM1-07N-TR-HT</t>
  </si>
  <si>
    <t>T-JPWGRM1-07N-TR</t>
  </si>
  <si>
    <t>2 Door Wrangler Field Ranger</t>
  </si>
  <si>
    <t>C-JPWGRN3-97N-CR-PW</t>
  </si>
  <si>
    <t>Wrangler Field Ranger</t>
  </si>
  <si>
    <t>C-JPWGRN3-07R-TR</t>
  </si>
  <si>
    <t>Wrangler</t>
  </si>
  <si>
    <t>Wrangler Utl 1 Dwr</t>
  </si>
  <si>
    <t>T-JPWGLU1-22N-TF</t>
  </si>
  <si>
    <t>T-JPWGLS1-22N-TF</t>
  </si>
  <si>
    <t>T-JPWGLM1-22N-TF</t>
  </si>
  <si>
    <t>Wagoneer L</t>
  </si>
  <si>
    <t>Wagoneer Utl OS Dwr</t>
  </si>
  <si>
    <t>T-JPWAGUO-22N</t>
  </si>
  <si>
    <t>Wagoneer Utl 2 Dwr</t>
  </si>
  <si>
    <t>T-JPWAGU2-22N</t>
  </si>
  <si>
    <t>Wagoneer Utl 1 Dwr</t>
  </si>
  <si>
    <t>T-JPWAGU1-22S</t>
  </si>
  <si>
    <t>T-JPWAGU1-22N</t>
  </si>
  <si>
    <t>Wagoneer Std OS Dwr</t>
  </si>
  <si>
    <t>T-JPWAGSO-22N</t>
  </si>
  <si>
    <t>Wagoneer Std 2 Dwr</t>
  </si>
  <si>
    <t>T-JPWAGS2-22N</t>
  </si>
  <si>
    <t>Wagoneer Std 1 Dwr</t>
  </si>
  <si>
    <t>T-JPWAGS1-22N</t>
  </si>
  <si>
    <t>Wagoneer Mag Offset Dwr</t>
  </si>
  <si>
    <t>T-JPWAGMO-22N</t>
  </si>
  <si>
    <t>Wagoneer Mag 2 Dwr</t>
  </si>
  <si>
    <t>T-JPWAGM2-22N</t>
  </si>
  <si>
    <t>Wagoneer Mag 1 Dwr</t>
  </si>
  <si>
    <t>T-JPWAGM1-22N</t>
  </si>
  <si>
    <t>T-JPWAGEO-22N</t>
  </si>
  <si>
    <t>Wagoneer Ext 1 Dwr</t>
  </si>
  <si>
    <t>T-JPWAGE1-22N</t>
  </si>
  <si>
    <t>Wagoneer Investigator</t>
  </si>
  <si>
    <t>C-JPWAGN3-22I</t>
  </si>
  <si>
    <t>C-JPWAGN2-22I</t>
  </si>
  <si>
    <t>Wagoneer</t>
  </si>
  <si>
    <t>Renegade Std 1 Dwr</t>
  </si>
  <si>
    <t>T-JPRENS1-15N</t>
  </si>
  <si>
    <t>Renegade Mag 2 Dwr</t>
  </si>
  <si>
    <t>T-JPRENM2-15N</t>
  </si>
  <si>
    <t>Renegade Mag 1 Dwr</t>
  </si>
  <si>
    <t>T-JPRENM1-15N</t>
  </si>
  <si>
    <t>Renegade</t>
  </si>
  <si>
    <t>Patriot Std 2 Dwr</t>
  </si>
  <si>
    <t>T-JPPATS2-07N</t>
  </si>
  <si>
    <t>Patriot Std 1 Dwr</t>
  </si>
  <si>
    <t>T-JPPATS1-07N</t>
  </si>
  <si>
    <t>Table Ext, Prison Cage</t>
  </si>
  <si>
    <t>Patriot Mag 2 Dwr</t>
  </si>
  <si>
    <t>T-JPPATMO-07N-PT-PP</t>
  </si>
  <si>
    <t>Patriot Mag Offset Dwr</t>
  </si>
  <si>
    <t>T-JPPATMO-07N</t>
  </si>
  <si>
    <t>T-JPPATM2-07N-PT</t>
  </si>
  <si>
    <t>T-JPPATM2-07N</t>
  </si>
  <si>
    <t>Patriot Mag 1 Dwr</t>
  </si>
  <si>
    <t>T-JPPATM1-07N</t>
  </si>
  <si>
    <t>Patriot Field Ranger</t>
  </si>
  <si>
    <t>C-JPPATN3-07R</t>
  </si>
  <si>
    <t>Patriot Investigator</t>
  </si>
  <si>
    <t>C-JPPATN3-07I</t>
  </si>
  <si>
    <t>Patriot</t>
  </si>
  <si>
    <t>Liberty Std Offset Dwr</t>
  </si>
  <si>
    <t>T-JPLIBSO-02N</t>
  </si>
  <si>
    <t>Liberty Std 2 Dwr</t>
  </si>
  <si>
    <t>T-JPLIBS2-08N</t>
  </si>
  <si>
    <t>T-JPLIBS2-02N</t>
  </si>
  <si>
    <t>Liberty Std 1 Dwr</t>
  </si>
  <si>
    <t>T-JPLIBS1-08N</t>
  </si>
  <si>
    <t>T-JPLIBS1-02N</t>
  </si>
  <si>
    <t>Liberty Mag Offset</t>
  </si>
  <si>
    <t>T-JPLIBMO-02N</t>
  </si>
  <si>
    <t>Liberty Mag 2 Dwr</t>
  </si>
  <si>
    <t>T-JPLIBM2-08N</t>
  </si>
  <si>
    <t>T-JPLIBM2-02N</t>
  </si>
  <si>
    <t>Prisoner Cage</t>
  </si>
  <si>
    <t>Liberty Mag 1 Dwr</t>
  </si>
  <si>
    <t>T-JPLIBM1-08N-PP</t>
  </si>
  <si>
    <t>T-JPLIBM1-08N</t>
  </si>
  <si>
    <t>T-JPLIBM1-02N</t>
  </si>
  <si>
    <t>Liberty Investigator</t>
  </si>
  <si>
    <t>C-JPLIBN3-08I</t>
  </si>
  <si>
    <t>Liberty Field Ranger</t>
  </si>
  <si>
    <t>C-JPLIBN3-02R</t>
  </si>
  <si>
    <t>C-JPLIBN3-02I</t>
  </si>
  <si>
    <t>Liberty</t>
  </si>
  <si>
    <t>Grand Cherokee L Investigator</t>
  </si>
  <si>
    <t>C-JPGCLN3-21I</t>
  </si>
  <si>
    <t>Grand Cherokee L Std OS Dwr</t>
  </si>
  <si>
    <t>T-JPGCLSO-21N</t>
  </si>
  <si>
    <t>Grand Cherokee L Std 2 Dwr</t>
  </si>
  <si>
    <t>T-JPGCLS2-21N</t>
  </si>
  <si>
    <t>Grand Cherokee L Std 1 Dwr</t>
  </si>
  <si>
    <t>T-JPGCLS1-21N-HT</t>
  </si>
  <si>
    <t>T-JPGCLS1-21N</t>
  </si>
  <si>
    <t>Grand Cherokee L Mag 2 Dwr</t>
  </si>
  <si>
    <t>T-JPGCLM2-21N</t>
  </si>
  <si>
    <t>Grand Cherokee L Mag 1 Dwr</t>
  </si>
  <si>
    <t>T-JPGCLM1-21N-TR-HG</t>
  </si>
  <si>
    <t>Spare Access</t>
  </si>
  <si>
    <t>T-JPGCLM1-21N-SA</t>
  </si>
  <si>
    <t>T-JPGCLM1-21N-HT</t>
  </si>
  <si>
    <t>T-JPGCLM1-21N</t>
  </si>
  <si>
    <t>Grand Cherokee L Drone Responder 10</t>
  </si>
  <si>
    <t>D-JPGCLN1-21N-FM-DR10</t>
  </si>
  <si>
    <t>Grand Cherokee L</t>
  </si>
  <si>
    <t>Grand Cherokee Std OS Dwr</t>
  </si>
  <si>
    <t>T-JPGCHSO-22N-HT</t>
  </si>
  <si>
    <t>Grand Cherokee Utility 2 Dwr</t>
  </si>
  <si>
    <t>T-JPGCHU2-22N-HG</t>
  </si>
  <si>
    <t>Grand Cherokee Utility OS Dwr</t>
  </si>
  <si>
    <t>T-JPGCHUO-22N</t>
  </si>
  <si>
    <t>Grand Cherokee Utility Offset</t>
  </si>
  <si>
    <t>T-JPGCHUO-11N</t>
  </si>
  <si>
    <t>T-JPGCHU2-22N-HT</t>
  </si>
  <si>
    <t>T-JPGCHU2-22N</t>
  </si>
  <si>
    <t>T-JPGCHU2-11N-HT</t>
  </si>
  <si>
    <t>T-JPGCHU2-11N</t>
  </si>
  <si>
    <t>CD Changer</t>
  </si>
  <si>
    <t>Grand Cherokee Utl 1 Dwr</t>
  </si>
  <si>
    <t>T-JPGCHU1-99N-PM</t>
  </si>
  <si>
    <t>Grand Cherokee Utility 1 Dwr</t>
  </si>
  <si>
    <t>T-JPGCHU1-22N-HG</t>
  </si>
  <si>
    <t>T-JPGCHU1-22N</t>
  </si>
  <si>
    <t>T-JPGCHU1-11N-HT</t>
  </si>
  <si>
    <t>T-JPGCHU1-11N-HG</t>
  </si>
  <si>
    <t>T-JPGCHU1-11N</t>
  </si>
  <si>
    <t>T-JPGCHU1-05N</t>
  </si>
  <si>
    <t>T-JPGCHSO-99N</t>
  </si>
  <si>
    <t>9" Spare</t>
  </si>
  <si>
    <t>T-JPGCHSO-93N-S9</t>
  </si>
  <si>
    <t>Spare Removed</t>
  </si>
  <si>
    <t>T-JPGCHSO-93N</t>
  </si>
  <si>
    <t>T-JPGCHSO-22N</t>
  </si>
  <si>
    <t>Grand Cherokee Std Offset Dwr</t>
  </si>
  <si>
    <t>T-JPGCHSO-11N-HT</t>
  </si>
  <si>
    <t>Grand Cherokee Std Offset</t>
  </si>
  <si>
    <t>T-JPGCHSO-11N</t>
  </si>
  <si>
    <t>T-JPGCHSO-05N</t>
  </si>
  <si>
    <t>Grand Cherokee Std 2 Dwr</t>
  </si>
  <si>
    <t>T-JPGCHS2-99N</t>
  </si>
  <si>
    <t>T-JPGCHS2-93N-S9</t>
  </si>
  <si>
    <t>6" Spare</t>
  </si>
  <si>
    <t>T-JPGCHS2-93N-S6</t>
  </si>
  <si>
    <t>T-JPGCHS2-22N</t>
  </si>
  <si>
    <t>T-JPGCHS2-11N-PT</t>
  </si>
  <si>
    <t>T-JPGCHS2-11N-PP</t>
  </si>
  <si>
    <t>T-JPGCHS2-11N-HT</t>
  </si>
  <si>
    <t>T-JPGCHS2-11N</t>
  </si>
  <si>
    <t>T-JPGCHS2-05N</t>
  </si>
  <si>
    <t>Grand Cherokee Std 1 Dwr</t>
  </si>
  <si>
    <t>T-JPGCHS1-99N-PM</t>
  </si>
  <si>
    <t>T-JPGCHS1-99N</t>
  </si>
  <si>
    <t>T-JPGCHS1-93N-S9</t>
  </si>
  <si>
    <t>T-JPGCHS1-93N-S6</t>
  </si>
  <si>
    <t>T-JPGCHS1-93N</t>
  </si>
  <si>
    <t>T-JPGCHS1-22N-HG</t>
  </si>
  <si>
    <t>T-JPGCHS1-22N</t>
  </si>
  <si>
    <t>T-JPGCHS1-11N-PT</t>
  </si>
  <si>
    <t>T-JPGCHS1-11N-HT</t>
  </si>
  <si>
    <t>T-JPGCHS1-11N-HG</t>
  </si>
  <si>
    <t>T-JPGCHS1-11N</t>
  </si>
  <si>
    <t>T-JPGCHS1-05N-PT</t>
  </si>
  <si>
    <t>T-JPGCHS1-05N</t>
  </si>
  <si>
    <t>T-JPGCHS1-00N</t>
  </si>
  <si>
    <t>Grand Cherokee 1 Dwr</t>
  </si>
  <si>
    <t>T-JPGCHN1-11N-HG</t>
  </si>
  <si>
    <t>Grand Cherokee Mag OS Dwr</t>
  </si>
  <si>
    <t>T-JPGCHMO-99N</t>
  </si>
  <si>
    <t>Grand Cherokee Mag Offset Dwr</t>
  </si>
  <si>
    <t>T-JPGCHMO-22N-HG</t>
  </si>
  <si>
    <t>T-JPGCHMO-22N</t>
  </si>
  <si>
    <t>T-JPGCHMO-11N-HG</t>
  </si>
  <si>
    <t>Grand Cherokee Mag Offset</t>
  </si>
  <si>
    <t>T-JPGCHMO-11N</t>
  </si>
  <si>
    <t>T-JPGCHMO-05N-PT</t>
  </si>
  <si>
    <t>T-JPGCHMO-05N</t>
  </si>
  <si>
    <t>Grand Cherokee Mag 2 Dwr</t>
  </si>
  <si>
    <t>T-JPGCHM2-99N</t>
  </si>
  <si>
    <t>T-JPGCHM2-93N-S9</t>
  </si>
  <si>
    <t>T-JPGCHM2-93N-S6</t>
  </si>
  <si>
    <t>T-JPGCHM2-93N</t>
  </si>
  <si>
    <t>T-JPGCHM2-22N-HT</t>
  </si>
  <si>
    <t>T-JPGCHM2-22N</t>
  </si>
  <si>
    <t>T-JPGCHM2-11N-PT</t>
  </si>
  <si>
    <t>T-JPGCHM2-11N-PP</t>
  </si>
  <si>
    <t>T-JPGCHM2-11N-HT</t>
  </si>
  <si>
    <t>T-JPGCHM2-11N</t>
  </si>
  <si>
    <t>T-JPGCHM2-05N-PT</t>
  </si>
  <si>
    <t>T-JPGCHM2-05N</t>
  </si>
  <si>
    <t>CD Changer In Cargo Area</t>
  </si>
  <si>
    <t>Grand Cherokee Mag 1 Dwr</t>
  </si>
  <si>
    <t>T-JPGCHM1-99N-PM</t>
  </si>
  <si>
    <t>T-JPGCHM1-99N</t>
  </si>
  <si>
    <t>T-JPGCHM1-93N-S9</t>
  </si>
  <si>
    <t>T-JPGCHM1-93N-S6</t>
  </si>
  <si>
    <t>Spare Removed, Tbl Ext</t>
  </si>
  <si>
    <t>T-JPGCHM1-93N-PT</t>
  </si>
  <si>
    <t>T-JPGCHM1-93N</t>
  </si>
  <si>
    <t>T-JPGCHM1-22N-TT</t>
  </si>
  <si>
    <t>Radio Drawer</t>
  </si>
  <si>
    <t>T-JPGCHM1-22N-RD</t>
  </si>
  <si>
    <t>HD pullout table</t>
  </si>
  <si>
    <t>T-JPGCHM1-22N-HT</t>
  </si>
  <si>
    <t>T-JPGCHM1-22N-HG</t>
  </si>
  <si>
    <t>T-JPGCHM1-22N</t>
  </si>
  <si>
    <t>Elevated Version; Radio Drawer</t>
  </si>
  <si>
    <t>Grand Cherokee Magnum 1 Drawer</t>
  </si>
  <si>
    <t>T-JPGCHM1-11N-RD-HG</t>
  </si>
  <si>
    <t>T-JPGCHM1-11N-PT</t>
  </si>
  <si>
    <t>T-JPGCHM1-11N-PP</t>
  </si>
  <si>
    <t>T-JPGCHM1-11N-HT</t>
  </si>
  <si>
    <t>T-JPGCHM1-11N-HG</t>
  </si>
  <si>
    <t>T-JPGCHM1-11N</t>
  </si>
  <si>
    <t>T-JPGCHM1-05N-PT</t>
  </si>
  <si>
    <t>T-JPGCHM1-05N</t>
  </si>
  <si>
    <t>Grand Cherokee Emergency Response 6</t>
  </si>
  <si>
    <t>F-JPGCHN5-22N-ER6</t>
  </si>
  <si>
    <t>F-JPGCHN5-11N-ER6</t>
  </si>
  <si>
    <t>Grand Cherokee Emergency Response 3</t>
  </si>
  <si>
    <t>F-JPGCHN3-11N-C1-ER3</t>
  </si>
  <si>
    <t>Grand Cherokee Drone Responder 4</t>
  </si>
  <si>
    <t>D-JPGCHN3-11N-HT-C1-DR4</t>
  </si>
  <si>
    <t>Grand Cherokee Drone Responder 10</t>
  </si>
  <si>
    <t>D-JPGCHN1-22N-FM-DR10</t>
  </si>
  <si>
    <t>Grand Cherokee Chief LX CC</t>
  </si>
  <si>
    <t>C-JPGCHN5-11C-PT</t>
  </si>
  <si>
    <t>Grand Cherokee Tac Center</t>
  </si>
  <si>
    <t>C-JPGCHN4-11T</t>
  </si>
  <si>
    <t>Grand Cherokee Captain</t>
  </si>
  <si>
    <t>C-JPGCHN4-11P-HT</t>
  </si>
  <si>
    <t>Grand Cherokee Captain LX</t>
  </si>
  <si>
    <t>C-JPGCHN4-11P</t>
  </si>
  <si>
    <t>Grand Cherokee Investigator</t>
  </si>
  <si>
    <t>C-JPGCHN3-99I</t>
  </si>
  <si>
    <t>Grand Cherokee Special Ops Ctr</t>
  </si>
  <si>
    <t>C-JPGCHN3-99D</t>
  </si>
  <si>
    <t>Grand Cherokee Field Ranger</t>
  </si>
  <si>
    <t>C-JPGCHN3-93R</t>
  </si>
  <si>
    <t>C-JPGCHN3-22I</t>
  </si>
  <si>
    <t>C-JPGCHN3-11R</t>
  </si>
  <si>
    <t>C-JPGCHN3-11I-PT</t>
  </si>
  <si>
    <t>C-JPGCHN3-11I</t>
  </si>
  <si>
    <t>C-JPGCHN3-11D</t>
  </si>
  <si>
    <t>C-JPGCHN3-05I-PT</t>
  </si>
  <si>
    <t>C-JPGCHN3-05I</t>
  </si>
  <si>
    <t>C-JPGCHN3-05D</t>
  </si>
  <si>
    <t>Investigator, 1 Dwr Bottom</t>
  </si>
  <si>
    <t>Grand Cherokee Investigator 2 Dwr</t>
  </si>
  <si>
    <t>C-JPGCHN2-22I</t>
  </si>
  <si>
    <t>C-JPGCHN2-11I</t>
  </si>
  <si>
    <t>Grand Cherokee</t>
  </si>
  <si>
    <t>Gladiator Utility 2 Dwr Offset</t>
  </si>
  <si>
    <t>T-JPGDRUO-20S-PW</t>
  </si>
  <si>
    <t>Gladiator Utility 2 Dwr</t>
  </si>
  <si>
    <t>T-JPGDRU2-20S-PW</t>
  </si>
  <si>
    <t>T-JPGDRU2-20S</t>
  </si>
  <si>
    <t>1/2 Width Passenger All-Weather</t>
  </si>
  <si>
    <t>Gladiator Utility 1Dwr</t>
  </si>
  <si>
    <t>T-JPGDRU1-20S-HP-PW</t>
  </si>
  <si>
    <t>T-JPGDRU1-20S-HP</t>
  </si>
  <si>
    <t>1/2 Width Driver's  All-Weather</t>
  </si>
  <si>
    <t>T-JPGDRU1-20S-HD-PW</t>
  </si>
  <si>
    <t>Gladiator Std Offset Dwr</t>
  </si>
  <si>
    <t>T-JPGDRSO-20S-PW</t>
  </si>
  <si>
    <t>Gladiator Std 2 Dwr Offset</t>
  </si>
  <si>
    <t>T-JPGDRSO-20S</t>
  </si>
  <si>
    <t>Gladiator Std 2 Dwr</t>
  </si>
  <si>
    <t>T-JPGDRS2-20S-PW</t>
  </si>
  <si>
    <t>T-JPGDRS2-20S</t>
  </si>
  <si>
    <t>All-Weather; Passenger Side</t>
  </si>
  <si>
    <t>Gladiator Std 1 Dwr Half Width</t>
  </si>
  <si>
    <t>T-JPGDRS1-20S-HP-PW</t>
  </si>
  <si>
    <t>1/2 Width  Passenger's Side</t>
  </si>
  <si>
    <t>Gladiator Std  1 Dwr</t>
  </si>
  <si>
    <t>T-JPGDRS1-20S-HP</t>
  </si>
  <si>
    <t>All-Weather; Drivers Side</t>
  </si>
  <si>
    <t>T-JPGDRS1-20S-HD-PW</t>
  </si>
  <si>
    <t>1/2 Width  Driver's Side</t>
  </si>
  <si>
    <t>T-JPGDRS1-20S-HD</t>
  </si>
  <si>
    <t>Gladiator Mag Offset Dwr</t>
  </si>
  <si>
    <t>T-JPGDRMO-20S-PW</t>
  </si>
  <si>
    <t>Gladiator Mag 2 Dwr OS</t>
  </si>
  <si>
    <t>T-JPGDRMO-20S</t>
  </si>
  <si>
    <t>Gladiator Mag 2 Dwr</t>
  </si>
  <si>
    <t>T-JPGDRM2-20S-PW</t>
  </si>
  <si>
    <t>T-JPGDRM2-20S</t>
  </si>
  <si>
    <t>All-Wthr</t>
  </si>
  <si>
    <t>Gladiator Mag 1 Dwr</t>
  </si>
  <si>
    <t>T-JPGDRM1-20S-PW</t>
  </si>
  <si>
    <t>Gladiator Mag 1Dwr</t>
  </si>
  <si>
    <t>T-JPGDRM1-20S-HP-PW</t>
  </si>
  <si>
    <t>T-JPGDRM1-20S-HD-PW</t>
  </si>
  <si>
    <t>Gladiator Pickup SeatVault</t>
  </si>
  <si>
    <t>S-JPGDRL2-20N</t>
  </si>
  <si>
    <t>S-JPGDRL1-20N</t>
  </si>
  <si>
    <t>Gladiator Pickup Field Ranger</t>
  </si>
  <si>
    <t>C-JPGDRN3-20S-CR-PW</t>
  </si>
  <si>
    <t>5' Bed;</t>
  </si>
  <si>
    <t>C-JPGDRN3-20S-CR</t>
  </si>
  <si>
    <t>Gladiator Bow Hunter</t>
  </si>
  <si>
    <t>C-JPGDRN3-20S-BH</t>
  </si>
  <si>
    <t>Gladiator Base Camp 5</t>
  </si>
  <si>
    <t>B-JPGDRN2-20S-BC5</t>
  </si>
  <si>
    <t>Gladiator Base Camp 2</t>
  </si>
  <si>
    <t>B-JPGDRN2-20S-BC2</t>
  </si>
  <si>
    <t>Gladiator Base Camp 1</t>
  </si>
  <si>
    <t>B-JPGDRN2-20S-BC1</t>
  </si>
  <si>
    <t>B-JPGDRN1-20S-HP-BC1</t>
  </si>
  <si>
    <t>Gladiator</t>
  </si>
  <si>
    <t>Compass Utility 1 Dwr</t>
  </si>
  <si>
    <t>T-JPCPSU1-18N-HG</t>
  </si>
  <si>
    <t>T-JPCPSU1-18N</t>
  </si>
  <si>
    <t>Compass Std 2 Dwr</t>
  </si>
  <si>
    <t>T-JPCPSS2-18N</t>
  </si>
  <si>
    <t>T-JPCPSS2-07N</t>
  </si>
  <si>
    <t>Compass Std 1 Dwr</t>
  </si>
  <si>
    <t>T-JPCPSS1-18N-HG</t>
  </si>
  <si>
    <t>T-JPCPSS1-18N</t>
  </si>
  <si>
    <t>T-JPCPSS1-07N</t>
  </si>
  <si>
    <t>Compass Mag 2 Dwr</t>
  </si>
  <si>
    <t>T-JPCPSM2-18N</t>
  </si>
  <si>
    <t>T-JPCPSM2-07N</t>
  </si>
  <si>
    <t>Compass Mag 1 Dwr</t>
  </si>
  <si>
    <t>T-JPCPSM1-18N</t>
  </si>
  <si>
    <t>T-JPCPSM1-07N</t>
  </si>
  <si>
    <t>Compass Field Ranger</t>
  </si>
  <si>
    <t>C-JPCPSN3-07R</t>
  </si>
  <si>
    <t>Compass</t>
  </si>
  <si>
    <t>Commander Std 2 Dwr</t>
  </si>
  <si>
    <t>T-JPCMDS2-06N</t>
  </si>
  <si>
    <t>Commander Std 1 Dwr</t>
  </si>
  <si>
    <t>T-JPCMDS1-06N-TN</t>
  </si>
  <si>
    <t>T-JPCMDS1-06N</t>
  </si>
  <si>
    <t>Commander Mag 2 Dwr</t>
  </si>
  <si>
    <t>T-JPCMDM2-06N</t>
  </si>
  <si>
    <t>Commander Mag 1 Dwr</t>
  </si>
  <si>
    <t>T-JPCMDM1-06N-PT</t>
  </si>
  <si>
    <t>T-JPCMDM1-06N</t>
  </si>
  <si>
    <t>Commander Chief LX CC</t>
  </si>
  <si>
    <t>C-JPCMDN6-06C</t>
  </si>
  <si>
    <t>C-JPCMDN5-06C</t>
  </si>
  <si>
    <t>Commander Field Ranger</t>
  </si>
  <si>
    <t>C-JPCMDN3-06R</t>
  </si>
  <si>
    <t>Commander Investigator</t>
  </si>
  <si>
    <t>C-JPCMDN3-06I</t>
  </si>
  <si>
    <t>C-JPCMDN2-06I</t>
  </si>
  <si>
    <t>Commander</t>
  </si>
  <si>
    <t>Cherokee Utility 2 Dwr</t>
  </si>
  <si>
    <t>T-JPCHSU2-84N-HT</t>
  </si>
  <si>
    <t>T-JPCHSU2-84N</t>
  </si>
  <si>
    <t>Cherokee Utility 2 Dwr, HD Table</t>
  </si>
  <si>
    <t>T-JPCHSU2-19N-HT</t>
  </si>
  <si>
    <t>T-JPCHSU2-14N</t>
  </si>
  <si>
    <t>Cherokee Utility 1 Dwr, HD Table</t>
  </si>
  <si>
    <t>T-JPCHSU1-19N-HT</t>
  </si>
  <si>
    <t>Cherokee Utility 1 Dwr</t>
  </si>
  <si>
    <t>T-JPCHSU1-19N-HG</t>
  </si>
  <si>
    <t>T-JPCHSU1-19N</t>
  </si>
  <si>
    <t>Cherokee Std 1 Dwr</t>
  </si>
  <si>
    <t>T-JPCHSU1-14N-HG</t>
  </si>
  <si>
    <t>T-JPCHSU1-14N</t>
  </si>
  <si>
    <t>Cherokee Std OS Dwr</t>
  </si>
  <si>
    <t>T-JPCHSSO-97N-S9</t>
  </si>
  <si>
    <t>T-JPCHSSO-93N-S9</t>
  </si>
  <si>
    <t>Cherokee Std 2 Dwr Offset</t>
  </si>
  <si>
    <t>T-JPCHSSO-19N-PT</t>
  </si>
  <si>
    <t>T-JPCHSSO-19N</t>
  </si>
  <si>
    <t>Cherokee Std Offset Dwr</t>
  </si>
  <si>
    <t>T-JPCHSSO-14N</t>
  </si>
  <si>
    <t>Cherokee Std 2 Dwr</t>
  </si>
  <si>
    <t>T-JPCHSS2-97N-S9</t>
  </si>
  <si>
    <t>T-JPCHSS2-97N-S6</t>
  </si>
  <si>
    <t>T-JPCHSS2-93N-S9</t>
  </si>
  <si>
    <t>T-JPCHSS2-89N</t>
  </si>
  <si>
    <t>T-JPCHSS2-19N</t>
  </si>
  <si>
    <t>T-JPCHSS2-14N</t>
  </si>
  <si>
    <t>T-JPCHSS1-97N-S9</t>
  </si>
  <si>
    <t>T-JPCHSS1-97N-S6</t>
  </si>
  <si>
    <t>T-JPCHSS1-93N-S9</t>
  </si>
  <si>
    <t>T-JPCHSS1-90N-S6</t>
  </si>
  <si>
    <t>T-JPCHSS1-89N</t>
  </si>
  <si>
    <t>T-JPCHSS1-84N</t>
  </si>
  <si>
    <t>T-JPCHSS1-19N-HG</t>
  </si>
  <si>
    <t>T-JPCHSS1-19N</t>
  </si>
  <si>
    <t>T-JPCHSS1-14N-HG</t>
  </si>
  <si>
    <t>T-JPCHSS1-14N</t>
  </si>
  <si>
    <t>Cherokee Mag Offset</t>
  </si>
  <si>
    <t>T-JPCHSMO-89N-PT</t>
  </si>
  <si>
    <t>Cherokee Mag OS Dwr</t>
  </si>
  <si>
    <t>T-JPCHSMO-14N</t>
  </si>
  <si>
    <t>Cherokee Mag 2 Dwr</t>
  </si>
  <si>
    <t>T-JPCHSM2-97N-S9</t>
  </si>
  <si>
    <t>T-JPCHSM2-90N-S6</t>
  </si>
  <si>
    <t>T-JPCHSM2-89N</t>
  </si>
  <si>
    <t>T-JPCHSM2-19N</t>
  </si>
  <si>
    <t>T-JPCHSM2-14N</t>
  </si>
  <si>
    <t>Cherokee Mag 1 Dwr</t>
  </si>
  <si>
    <t>T-JPCHSM1-97N-S9</t>
  </si>
  <si>
    <t>T-JPCHSM1-97N</t>
  </si>
  <si>
    <t>T-JPCHSM1-90N-S6</t>
  </si>
  <si>
    <t>T-JPCHSM1-89N-S9</t>
  </si>
  <si>
    <t>T-JPCHSM1-89N-PT</t>
  </si>
  <si>
    <t>T-JPCHSM1-89N</t>
  </si>
  <si>
    <t>T-JPCHSM1-19N-HG</t>
  </si>
  <si>
    <t>T-JPCHSM1-19N</t>
  </si>
  <si>
    <t>T-JPCHSM1-14N-HT</t>
  </si>
  <si>
    <t>T-JPCHSM1-14N-HG</t>
  </si>
  <si>
    <t>T-JPCHSM1-14N</t>
  </si>
  <si>
    <t>Cherokee Field Ranger</t>
  </si>
  <si>
    <t>C-JPCHSN3-89R</t>
  </si>
  <si>
    <t>C-JPCHSN3-19R</t>
  </si>
  <si>
    <t>Cherokee Investigator</t>
  </si>
  <si>
    <t>C-JPCHSN3-19I</t>
  </si>
  <si>
    <t>C-JPCHSN3-14R</t>
  </si>
  <si>
    <t>C-JPCHSN3-14I-HT</t>
  </si>
  <si>
    <t>C-JPCHSN3-14I</t>
  </si>
  <si>
    <t>Cherokee Special Ops Ctr</t>
  </si>
  <si>
    <t>C-JPCHSN3-14D</t>
  </si>
  <si>
    <t>Jeep Cherokee Investigator 2 Dwr</t>
  </si>
  <si>
    <t>C-JPCHSN2-19I</t>
  </si>
  <si>
    <t>Cherokee</t>
  </si>
  <si>
    <t>XJ/XJL Patrolman</t>
  </si>
  <si>
    <t>N-JRXJLN1-09N</t>
  </si>
  <si>
    <t>XJ / XJL</t>
  </si>
  <si>
    <t>F-Pace Std 2 Dwr</t>
  </si>
  <si>
    <t>T-JRFPCS2-16N</t>
  </si>
  <si>
    <t>F-Pace Utility 2 Dwr</t>
  </si>
  <si>
    <t>T-JRFPCU2-16N</t>
  </si>
  <si>
    <t>F-Pace Utility 1 Dwr</t>
  </si>
  <si>
    <t>T-JRFPCU1-16N</t>
  </si>
  <si>
    <t>F-Pace Std 1 Dwr</t>
  </si>
  <si>
    <t>T-JRFPCS1-16N</t>
  </si>
  <si>
    <t>F-Pace Mag 2 Dwr</t>
  </si>
  <si>
    <t>T-JRFPCM2-16N</t>
  </si>
  <si>
    <t>F-Pace Magnum 1 Dwr</t>
  </si>
  <si>
    <t>T-JRFPCM1-16N</t>
  </si>
  <si>
    <t>F-Pace</t>
  </si>
  <si>
    <t>E-Pace Utility 1 Dwr</t>
  </si>
  <si>
    <t>T-JREPCU1-17N</t>
  </si>
  <si>
    <t>E-Pace Std 1 Dwr</t>
  </si>
  <si>
    <t>T-JREPCS1-17N</t>
  </si>
  <si>
    <t>E-Pace Mag 1 Dwr</t>
  </si>
  <si>
    <t>T-JREPCM1-17N</t>
  </si>
  <si>
    <t>E-Pace</t>
  </si>
  <si>
    <t>Jaguar</t>
  </si>
  <si>
    <t>Trooper Std Offset Dwrs</t>
  </si>
  <si>
    <t>T-IZTRPSO-92N</t>
  </si>
  <si>
    <t>Trooper Mag 2 Dwr</t>
  </si>
  <si>
    <t>T-IZTRPM2-92N</t>
  </si>
  <si>
    <t>Trooper</t>
  </si>
  <si>
    <t>Rodeo Std 1 Dwr</t>
  </si>
  <si>
    <t>T-IZRODS1-98N</t>
  </si>
  <si>
    <t>Rodeo</t>
  </si>
  <si>
    <t>Isuzu</t>
  </si>
  <si>
    <t>Scout Std 2 Dwr</t>
  </si>
  <si>
    <t>T-IHS2TS2-72N</t>
  </si>
  <si>
    <t>Scout</t>
  </si>
  <si>
    <t>International</t>
  </si>
  <si>
    <t>QX80 Std 2 Dwr</t>
  </si>
  <si>
    <t>T-INQX8SO-11N</t>
  </si>
  <si>
    <t>QX80 Std 1 Dwr</t>
  </si>
  <si>
    <t>T-INQX8S1-11S</t>
  </si>
  <si>
    <t>T-INQX8S1-11N</t>
  </si>
  <si>
    <t>QX80 Mag 1 Dwr</t>
  </si>
  <si>
    <t>T-INQX8M1-11N</t>
  </si>
  <si>
    <t>QX80</t>
  </si>
  <si>
    <t>QX60 Utl 2 Dwr</t>
  </si>
  <si>
    <t>T-INQX6U2-13N</t>
  </si>
  <si>
    <t>T-INQX6S1-13S</t>
  </si>
  <si>
    <t>QX60 Std 1 Dwr</t>
  </si>
  <si>
    <t>T-INQX6S1-13N</t>
  </si>
  <si>
    <t>QX60 Mag 1 Dwr</t>
  </si>
  <si>
    <t>T-INQX6M1-13N</t>
  </si>
  <si>
    <t>QX60</t>
  </si>
  <si>
    <t>QX56/80 Std 2 Dwr</t>
  </si>
  <si>
    <t>T-INQX5S2-11N</t>
  </si>
  <si>
    <t>w/table extention</t>
  </si>
  <si>
    <t>QX56 Std 2 Dwr</t>
  </si>
  <si>
    <t>T-INQX5S2-04N-PT</t>
  </si>
  <si>
    <t>T-INQX5S2-04N</t>
  </si>
  <si>
    <t>Short Length Behind 3rd Row Seating</t>
  </si>
  <si>
    <t>QX56/80 Std 1 Dwr</t>
  </si>
  <si>
    <t>T-INQX5S1-11S</t>
  </si>
  <si>
    <t>A/W</t>
  </si>
  <si>
    <t>T-INQX5S1-11N-PW</t>
  </si>
  <si>
    <t>T-INQX5S1-11N-PT</t>
  </si>
  <si>
    <t>T-INQX5S1-11N</t>
  </si>
  <si>
    <t>QX56 Std 1 Dwr</t>
  </si>
  <si>
    <t>T-INQX5S1-04N</t>
  </si>
  <si>
    <t>QX56 Mag 2 Dwr</t>
  </si>
  <si>
    <t>T-INQX5M2-04N</t>
  </si>
  <si>
    <t>QX56 Mag 1 Dwr</t>
  </si>
  <si>
    <t>T-INQX5M1-10N</t>
  </si>
  <si>
    <t>T-INQX5M1-04N</t>
  </si>
  <si>
    <t>QX56/80</t>
  </si>
  <si>
    <t>QX50 Std 2 Dwr</t>
  </si>
  <si>
    <t>T-INQX0S2-13N-PT</t>
  </si>
  <si>
    <t>T-INQX0S2-13N</t>
  </si>
  <si>
    <t>QX50</t>
  </si>
  <si>
    <t>Q50 Patrolman</t>
  </si>
  <si>
    <t>N-INQ50N1-14N-HG</t>
  </si>
  <si>
    <t>Q50</t>
  </si>
  <si>
    <t>M35</t>
  </si>
  <si>
    <t>N-INM35N1-06N-HG</t>
  </si>
  <si>
    <t>FX35/45 Std Offset Dwr</t>
  </si>
  <si>
    <t>T-INFXNSO-09N</t>
  </si>
  <si>
    <t>FX35/45 Std 2 Dwr</t>
  </si>
  <si>
    <t>T-INFXNS2-09N</t>
  </si>
  <si>
    <t>T-INFXNS2-03N</t>
  </si>
  <si>
    <t>FX35/45 Std 1 Dwr</t>
  </si>
  <si>
    <t>T-INFXNS1-09N</t>
  </si>
  <si>
    <t>T-INFXNS1-03N</t>
  </si>
  <si>
    <t>FX35/45 Mag 2 Dwr</t>
  </si>
  <si>
    <t>T-INFXNM2-03N</t>
  </si>
  <si>
    <t>FX35/45 Mag 1 Dwr</t>
  </si>
  <si>
    <t>T-INFXNM1-03N</t>
  </si>
  <si>
    <t>FX35/45</t>
  </si>
  <si>
    <t>EX35/37 Std 2 Dwr</t>
  </si>
  <si>
    <t>T-INEX3S2-08N</t>
  </si>
  <si>
    <t>EX35/37 Std 1 Dwr</t>
  </si>
  <si>
    <t>T-INEX3S1-08N</t>
  </si>
  <si>
    <t>EX35/37 Mag 2 Dwr</t>
  </si>
  <si>
    <t>T-INEX3M2-08N</t>
  </si>
  <si>
    <t>EX35/37 Mag 1 Dwr</t>
  </si>
  <si>
    <t>T-INEX3M1-08N</t>
  </si>
  <si>
    <t>EX35/37</t>
  </si>
  <si>
    <t>Infiniti</t>
  </si>
  <si>
    <t>Veracruz Std 2 Dwr</t>
  </si>
  <si>
    <t>T-HYVERS2-07N</t>
  </si>
  <si>
    <t>Veracruz Std 1 Dwr</t>
  </si>
  <si>
    <t>T-HYVERS1-07N</t>
  </si>
  <si>
    <t>Veracruz Mag 2 Dwr</t>
  </si>
  <si>
    <t>T-HYVERM2-07N</t>
  </si>
  <si>
    <t>Veracruz Mag 1 Dwr</t>
  </si>
  <si>
    <t>T-HYVERM1-07N</t>
  </si>
  <si>
    <t>Veracruz</t>
  </si>
  <si>
    <t>Veloster Lid</t>
  </si>
  <si>
    <t>T-HYVELL1-18N</t>
  </si>
  <si>
    <t>Veloster</t>
  </si>
  <si>
    <t>Tucson Utl OS Dwr</t>
  </si>
  <si>
    <t>T-HYTUCUO-22N</t>
  </si>
  <si>
    <t>Tucson Utl 2 Dwr</t>
  </si>
  <si>
    <t>T-HYTUCU2-22N</t>
  </si>
  <si>
    <t>Tucson Utl 1 Dwr</t>
  </si>
  <si>
    <t>T-HYTUCU1-22N-HG</t>
  </si>
  <si>
    <t>T-HYTUCU1-22N</t>
  </si>
  <si>
    <t>Tucson Utility 1 Dwr</t>
  </si>
  <si>
    <t>T-HYTUCU1-15N-HG</t>
  </si>
  <si>
    <t>T-HYTUCU1-15N</t>
  </si>
  <si>
    <t>Tucson Std OS Dwr</t>
  </si>
  <si>
    <t>T-HYTUCSO-22N</t>
  </si>
  <si>
    <t>T-HYTUCSO-15N</t>
  </si>
  <si>
    <t>Tucson Std 2 Dwr</t>
  </si>
  <si>
    <t>T-HYTUCS2-22N</t>
  </si>
  <si>
    <t>T-HYTUCS2-15N</t>
  </si>
  <si>
    <t>T-HYTUCS2-05N</t>
  </si>
  <si>
    <t>Tucson Std 1 Dwr</t>
  </si>
  <si>
    <t>T-HYTUCS1-22N-HG</t>
  </si>
  <si>
    <t>T-HYTUCS1-22N</t>
  </si>
  <si>
    <t>T-HYTUCS1-15N-HG</t>
  </si>
  <si>
    <t>T-HYTUCS1-15N</t>
  </si>
  <si>
    <t>T-HYTUCS1-05N</t>
  </si>
  <si>
    <t>Tucson Mag OS Dwr</t>
  </si>
  <si>
    <t>T-HYTUCMO-22N</t>
  </si>
  <si>
    <t>Tucson Mag 2 Dwr OS</t>
  </si>
  <si>
    <t>T-HYTUCMO-15N-PT</t>
  </si>
  <si>
    <t>Tucson Mag 2 Dwr</t>
  </si>
  <si>
    <t>T-HYTUCM2-22N</t>
  </si>
  <si>
    <t>T-HYTUCM2-05N</t>
  </si>
  <si>
    <t>Tucson Mag 1 Dwr</t>
  </si>
  <si>
    <t>T-HYTUCM1-22N-HG</t>
  </si>
  <si>
    <t>T-HYTUCM1-22N</t>
  </si>
  <si>
    <t>T-HYTUCM1-15N-HT</t>
  </si>
  <si>
    <t>T-HYTUCM1-15N-HG</t>
  </si>
  <si>
    <t>T-HYTUCM1-15N</t>
  </si>
  <si>
    <t>T-HYTUCM1-05N</t>
  </si>
  <si>
    <t>Tucson Ext 1 Dwr</t>
  </si>
  <si>
    <t>T-HYTUCE1-22N</t>
  </si>
  <si>
    <t>Tucson  Field Ranger</t>
  </si>
  <si>
    <t>C-HYTUCN3-10R</t>
  </si>
  <si>
    <t>Tucson Investigator</t>
  </si>
  <si>
    <t>C-HYTUCN2-22I</t>
  </si>
  <si>
    <t>C-HYTUCN2-15I</t>
  </si>
  <si>
    <t>Tucson</t>
  </si>
  <si>
    <t>Elevated, TrunkVault</t>
  </si>
  <si>
    <t>Sonata Patrolman</t>
  </si>
  <si>
    <t>N-HYSONN1-20N-HG</t>
  </si>
  <si>
    <t>N-HYSONN1-20N</t>
  </si>
  <si>
    <t>Elevated, Hybrid, TrunkVault</t>
  </si>
  <si>
    <t>N-HYSONN1-14N-HG-PH</t>
  </si>
  <si>
    <t>N-HYSONN1-14N-HG</t>
  </si>
  <si>
    <t>N-HYSONN1-14N</t>
  </si>
  <si>
    <t>Hanging, TrunkVault</t>
  </si>
  <si>
    <t>N-HYSONN1-09N-HG</t>
  </si>
  <si>
    <t>N-HYSONN1-09N</t>
  </si>
  <si>
    <t>Sonata</t>
  </si>
  <si>
    <t>Santa Fe Sport Utility 2 Dwr</t>
  </si>
  <si>
    <t>T-HYSASU2-13N</t>
  </si>
  <si>
    <t>Santa Fe Sport Std 2 Dwr</t>
  </si>
  <si>
    <t>T-HYSASS2-13N</t>
  </si>
  <si>
    <t>Santa Fe Sport Std 1 Dwr</t>
  </si>
  <si>
    <t>T-HYSASS1-13N</t>
  </si>
  <si>
    <t>Santa Fe Sport Mag 1 Dwr</t>
  </si>
  <si>
    <t>T-HYSASM1-13N</t>
  </si>
  <si>
    <t>Santa Fe Sport Investigator</t>
  </si>
  <si>
    <t>C-HYSASN3-13I</t>
  </si>
  <si>
    <t>C-HYSASN2-13I</t>
  </si>
  <si>
    <t>Santa Fe Sport</t>
  </si>
  <si>
    <t>Santa Fe Utility 2 Dwr</t>
  </si>
  <si>
    <t>T-HYSANU2-19N</t>
  </si>
  <si>
    <t>T-HYSANU2-24N</t>
  </si>
  <si>
    <t>Santa Fe Utility 1 Dwr</t>
  </si>
  <si>
    <t>T-HYSANU1-24N</t>
  </si>
  <si>
    <t>T-HYSANU1-19N</t>
  </si>
  <si>
    <t>T-HYSANU1-13N-HG</t>
  </si>
  <si>
    <t>T-HYSANU1-13N</t>
  </si>
  <si>
    <t>Santa Fe Std Offset Dwr</t>
  </si>
  <si>
    <t>T-HYSANSO-07N</t>
  </si>
  <si>
    <t>Santa Fe Std 2 Dwr</t>
  </si>
  <si>
    <t>T-HYSANS2-24N</t>
  </si>
  <si>
    <t>T-HYSANS2-19N</t>
  </si>
  <si>
    <t>T-HYSANS2-13N</t>
  </si>
  <si>
    <t>T-HYSANS2-07N</t>
  </si>
  <si>
    <t>Santa Fe Std 1 Dwr</t>
  </si>
  <si>
    <t>T-HYSANS1-24N</t>
  </si>
  <si>
    <t>T-HYSANS1-19N</t>
  </si>
  <si>
    <t>T-HYSANS1-13N</t>
  </si>
  <si>
    <t>T-HYSANS1-07N</t>
  </si>
  <si>
    <t>Santa Fe Mag 2 Dwr Offset</t>
  </si>
  <si>
    <t>T-HYSANMO-19N</t>
  </si>
  <si>
    <t>Santa Fe Mag Offset Dwr</t>
  </si>
  <si>
    <t>T-HYSANMO-13N</t>
  </si>
  <si>
    <t>Santa Fe Mag 2 Dwr</t>
  </si>
  <si>
    <t>T-HYSANM2-24N</t>
  </si>
  <si>
    <t>T-HYSANM2-19N</t>
  </si>
  <si>
    <t>T-HYSANM2-13N</t>
  </si>
  <si>
    <t>T-HYSANM2-07N</t>
  </si>
  <si>
    <t>Santa Fe Mag 1 Dwr</t>
  </si>
  <si>
    <t>T-HYSANM1-24N</t>
  </si>
  <si>
    <t>T-HYSANM1-19N</t>
  </si>
  <si>
    <t>T-HYSANM1-13N</t>
  </si>
  <si>
    <t>T-HYSANM1-07N</t>
  </si>
  <si>
    <t>Santa Fe Ext 2 Dwr</t>
  </si>
  <si>
    <t>T-HYSANE2-24N</t>
  </si>
  <si>
    <t>T-HYSANE2-19N</t>
  </si>
  <si>
    <t>Santa Fe Ext 1 Dwr</t>
  </si>
  <si>
    <t>T-HYSANE1-24N</t>
  </si>
  <si>
    <t>T-HYSANE1-19N</t>
  </si>
  <si>
    <t>Santa Fe  Emergency Response 3</t>
  </si>
  <si>
    <t>F-HYSANN3-13N-C1-ER3</t>
  </si>
  <si>
    <t>Santa Fe Investigator</t>
  </si>
  <si>
    <t>C-HYSANN3-19I</t>
  </si>
  <si>
    <t>C-HYSANN2-19I</t>
  </si>
  <si>
    <t>Santa Fe</t>
  </si>
  <si>
    <t>Santa Cruz Std 1 Dwr</t>
  </si>
  <si>
    <t>T-HYSACS1-22S-PC</t>
  </si>
  <si>
    <t>Santa Cruz Mag 2 Dwr</t>
  </si>
  <si>
    <t>T-HYSACM2-22S-PC</t>
  </si>
  <si>
    <t>Santa Cruz</t>
  </si>
  <si>
    <t>Palisade Mag 1 Dwr</t>
  </si>
  <si>
    <t>T-HYPALM1-20N-HT</t>
  </si>
  <si>
    <t>Palisade Utiliity2 Dwr Offset</t>
  </si>
  <si>
    <t>T-HYPALUO-20N</t>
  </si>
  <si>
    <t>Palisade Utiliity2 Dwr</t>
  </si>
  <si>
    <t>T-HYPALU2-20N</t>
  </si>
  <si>
    <t>Palisade Utility 1 Dwr</t>
  </si>
  <si>
    <t>T-HYPALU1-20S</t>
  </si>
  <si>
    <t>T-HYPALU1-20N</t>
  </si>
  <si>
    <t>Palisade Std 2 Dwr Offset</t>
  </si>
  <si>
    <t>T-HYPALSO-20N</t>
  </si>
  <si>
    <t>NO 3rd Row , HD Table</t>
  </si>
  <si>
    <t>Palisade Std 2 Dwr</t>
  </si>
  <si>
    <t>T-HYPALS2-20N-HT</t>
  </si>
  <si>
    <t>T-HYPALS2-20N</t>
  </si>
  <si>
    <t>Palisade Std 1 Dwr</t>
  </si>
  <si>
    <t>T-HYPALS1-20S</t>
  </si>
  <si>
    <t>T-HYPALS1-20N</t>
  </si>
  <si>
    <t>Palisade Mag 2 Dwr Offset</t>
  </si>
  <si>
    <t>T-HYPALMO-20N</t>
  </si>
  <si>
    <t>Palisade Mag 2 Dwr</t>
  </si>
  <si>
    <t>T-HYPALM2-20N</t>
  </si>
  <si>
    <t>T-HYPALM1-20S</t>
  </si>
  <si>
    <t>3rd Row Folded; Top Slide Out Tray</t>
  </si>
  <si>
    <t>T-HYPALM1-20N-TT</t>
  </si>
  <si>
    <t>T-HYPALM1-20N</t>
  </si>
  <si>
    <t>Palisade Drone Reponder 7</t>
  </si>
  <si>
    <t>D-HYPALN2-20N-HT-C1-DR7</t>
  </si>
  <si>
    <t>Palisade Field Ranger</t>
  </si>
  <si>
    <t>C-HYPALN3-20R</t>
  </si>
  <si>
    <t>Palisade Investigator</t>
  </si>
  <si>
    <t>C-HYPALN3-20I</t>
  </si>
  <si>
    <t>C-HYPALN2-20I</t>
  </si>
  <si>
    <t>Palisade</t>
  </si>
  <si>
    <t>Kona Std 1 Drawer</t>
  </si>
  <si>
    <t>T-HYKONS1-18N-HT</t>
  </si>
  <si>
    <t>Kona Mag 1 Drawer</t>
  </si>
  <si>
    <t>T-HYKONM1-18N</t>
  </si>
  <si>
    <t>Ioniq FloorVault</t>
  </si>
  <si>
    <t>T-HYIONL1-17N</t>
  </si>
  <si>
    <t>Kona</t>
  </si>
  <si>
    <t>TrunkVault Elevated</t>
  </si>
  <si>
    <t>Genesis Patrolman</t>
  </si>
  <si>
    <t>N-HYGENN1-14N-HG</t>
  </si>
  <si>
    <t>Genesis</t>
  </si>
  <si>
    <t>Entourage Std 2 Dwr</t>
  </si>
  <si>
    <t>T-HYENTS2-07S</t>
  </si>
  <si>
    <t>Entourage</t>
  </si>
  <si>
    <t>Elantra Patrolman</t>
  </si>
  <si>
    <t>N-HYELAN1-21N-HG</t>
  </si>
  <si>
    <t>N-HYELAN1-17N-HG</t>
  </si>
  <si>
    <t>N-HYELAN1-17N</t>
  </si>
  <si>
    <t>N-HYELAN1-11N</t>
  </si>
  <si>
    <t>Elantra</t>
  </si>
  <si>
    <t>Accent Patrolman</t>
  </si>
  <si>
    <t>N-HYACCS1-10N-HG</t>
  </si>
  <si>
    <t>Accent</t>
  </si>
  <si>
    <t>Hummer EV Mag 2 Dwr</t>
  </si>
  <si>
    <t>T-GMHETM2-22N</t>
  </si>
  <si>
    <t>Hummer EV Std 2 Dwr</t>
  </si>
  <si>
    <t>T-GMHETS2-22N</t>
  </si>
  <si>
    <t>T-GMHETS2-22N-PW</t>
  </si>
  <si>
    <t>Hummer EV Utl 2 Dwr</t>
  </si>
  <si>
    <t>T-GMHETU2-22N</t>
  </si>
  <si>
    <t>T-GMHETU2-22N-PW</t>
  </si>
  <si>
    <t>Hummer EV Mag OS Dwr</t>
  </si>
  <si>
    <t>T-GMHETMO-22N</t>
  </si>
  <si>
    <t>Hummer EV Utl 1 Dwr</t>
  </si>
  <si>
    <t>N-GMHETU1-22N</t>
  </si>
  <si>
    <t>T-GMHETM2-22N-PW</t>
  </si>
  <si>
    <t>Hummer EV Std OS Dwr</t>
  </si>
  <si>
    <t>T-GMHETSO-22N</t>
  </si>
  <si>
    <t>T-GMHETUO-22N-PW</t>
  </si>
  <si>
    <t>Hummer EV Utl OS Dwr</t>
  </si>
  <si>
    <t>T-GMHETUO-22N</t>
  </si>
  <si>
    <t>T-GMHETSO-22N-PW</t>
  </si>
  <si>
    <t>T-GMHETMO-22N-PW</t>
  </si>
  <si>
    <t>Hummer EV Std 1 Dwr</t>
  </si>
  <si>
    <t>N-GMHETS1-22N</t>
  </si>
  <si>
    <t>EV Pickup</t>
  </si>
  <si>
    <t>H3 Std  2 Dwr</t>
  </si>
  <si>
    <t>T-GMH3TS2-09N-PW</t>
  </si>
  <si>
    <t>Hummer H3 SUT Std 2 Dwr</t>
  </si>
  <si>
    <t>T-GMH3TS2-09N</t>
  </si>
  <si>
    <t>H3 Mag 2 Dwr</t>
  </si>
  <si>
    <t>T-GMH3TM2-09N-PW</t>
  </si>
  <si>
    <t>Hummer H3 SUT Mag 2 Dwr</t>
  </si>
  <si>
    <t>T-GMH3TM2-09N</t>
  </si>
  <si>
    <t>5" SUT, A-Wthr, D Side</t>
  </si>
  <si>
    <t>Hummer H3 SUT Mag 1 Dwr Half W</t>
  </si>
  <si>
    <t>T-GMH3TM1-09N-HD-PW</t>
  </si>
  <si>
    <t>H3 SUT</t>
  </si>
  <si>
    <t>Hummer H3 Emergency Response 1</t>
  </si>
  <si>
    <t>F-GMHH3N3-06N-C2-ER1</t>
  </si>
  <si>
    <t>H3 Utility 2 Dwr</t>
  </si>
  <si>
    <t>T-GMHH3U2-06N</t>
  </si>
  <si>
    <t>H3 Utility 1 Dwr</t>
  </si>
  <si>
    <t>T-GMHH3U1-06N</t>
  </si>
  <si>
    <t>H3 Std Offset</t>
  </si>
  <si>
    <t>T-GMHH3SO-06N</t>
  </si>
  <si>
    <t>H3 Std 2 Dwr</t>
  </si>
  <si>
    <t>T-GMHH3S2-06N-PT</t>
  </si>
  <si>
    <t>T-GMHH3S2-06N</t>
  </si>
  <si>
    <t>H3 Std 1 Dwr</t>
  </si>
  <si>
    <t>T-GMHH3S1-06N-PT</t>
  </si>
  <si>
    <t>T-GMHH3S1-06N</t>
  </si>
  <si>
    <t>H3 Mag Offset Dwr</t>
  </si>
  <si>
    <t>T-GMHH3MO-06N</t>
  </si>
  <si>
    <t>T-GMHH3M2-06N-PW</t>
  </si>
  <si>
    <t>T-GMHH3M2-06N</t>
  </si>
  <si>
    <t>H3 Mag 1 Dwr</t>
  </si>
  <si>
    <t>T-GMHH3M1-06N-PT</t>
  </si>
  <si>
    <t>T-GMHH3M1-06N</t>
  </si>
  <si>
    <t>Heavy Duty Tbl Ext</t>
  </si>
  <si>
    <t>HH3 Investigator</t>
  </si>
  <si>
    <t>C-GMHH3N3-06I-HT</t>
  </si>
  <si>
    <t>H3</t>
  </si>
  <si>
    <t>Hummer H2 SUT Utility OS Dwr</t>
  </si>
  <si>
    <t>T-GMHHTUO-05N-HT</t>
  </si>
  <si>
    <t>Hummer H2 SUT Std OS Dwr</t>
  </si>
  <si>
    <t>T-GMHHTSO-05N</t>
  </si>
  <si>
    <t>Hummer H2 SUT Std 2 Dwr</t>
  </si>
  <si>
    <t>T-GMHHTS2-05N</t>
  </si>
  <si>
    <t>Hummer H2 SUT Std 1 Dwr</t>
  </si>
  <si>
    <t>T-GMHHTS1-05N-PW</t>
  </si>
  <si>
    <t>T-GMHHTS1-05N</t>
  </si>
  <si>
    <t>Hummer H2 SUT Mag 1 Dwr</t>
  </si>
  <si>
    <t>T-GMHHTM1-05N-PW</t>
  </si>
  <si>
    <t>T-GMHHTM1-05N</t>
  </si>
  <si>
    <t>H2 SUT</t>
  </si>
  <si>
    <t>Spare Out</t>
  </si>
  <si>
    <t>Hummer H2 Utility 2 Dwr</t>
  </si>
  <si>
    <t>T-GMHH2U2-02N</t>
  </si>
  <si>
    <t>Spare Out; HD Table</t>
  </si>
  <si>
    <t>Hummer H2 Utility 1 Dwr</t>
  </si>
  <si>
    <t>T-GMHH2U1-02N-HT</t>
  </si>
  <si>
    <t>T-GMHH2U1-02N</t>
  </si>
  <si>
    <t>Hummer H2 Std OS Dwr</t>
  </si>
  <si>
    <t>T-GMHH2SO-02N</t>
  </si>
  <si>
    <t>Spare Out All-Weather</t>
  </si>
  <si>
    <t>Hummer H2 Std 2 Dwr</t>
  </si>
  <si>
    <t>T-GMHH2S2-02N-PW</t>
  </si>
  <si>
    <t>Spare Out, HD Table</t>
  </si>
  <si>
    <t>T-GMHH2S2-02N-HT</t>
  </si>
  <si>
    <t>T-GMHH2S2-02N</t>
  </si>
  <si>
    <t>Spare In</t>
  </si>
  <si>
    <t>Hummer H2 Std 1 Dwr</t>
  </si>
  <si>
    <t>T-GMHH2S1-02N-SI</t>
  </si>
  <si>
    <t>T-GMHH2S1-02N</t>
  </si>
  <si>
    <t>Hummer H2 Mag 2 Dwr</t>
  </si>
  <si>
    <t>T-GMHH2M2-02N-PW</t>
  </si>
  <si>
    <t>T-GMHH2M2-02N</t>
  </si>
  <si>
    <t>Hummer H2 Mag 1 Dwr</t>
  </si>
  <si>
    <t>T-GMHH2M1-02N-PW</t>
  </si>
  <si>
    <t>T-GMHH2M1-02N</t>
  </si>
  <si>
    <t>Hummer H2 Chief LX CC</t>
  </si>
  <si>
    <t>C-GMHH2N6-02C</t>
  </si>
  <si>
    <t>Hummer H2 Tac Center</t>
  </si>
  <si>
    <t>C-GMHH2N5-06T</t>
  </si>
  <si>
    <t>H2 Field Ranger</t>
  </si>
  <si>
    <t>C-GMHH2N3-02R</t>
  </si>
  <si>
    <t>Hummer H2 Investigator</t>
  </si>
  <si>
    <t>C-GMHH2N3-02I</t>
  </si>
  <si>
    <t>H2</t>
  </si>
  <si>
    <t>H1 Utility OS</t>
  </si>
  <si>
    <t>T-AMHH1UO-94N-PR-HT</t>
  </si>
  <si>
    <t>Spacer Out, Wagon, Barndoors, All Weather, Tailgate</t>
  </si>
  <si>
    <t>H1 Utility 1 Dwr</t>
  </si>
  <si>
    <t>T-AMHH1U1-94N-BT-PW</t>
  </si>
  <si>
    <t>Spacer Out, Wagon, Barndoors</t>
  </si>
  <si>
    <t>T-AMHH1U1-94N</t>
  </si>
  <si>
    <t>Spacer In, Wagon/Barndoor, Tbl</t>
  </si>
  <si>
    <t>H1 Std OS Dwr</t>
  </si>
  <si>
    <t>T-AMHH1SO-94N-PR-PT</t>
  </si>
  <si>
    <t>Spacer In, Wagon, Barndoors</t>
  </si>
  <si>
    <t>T-AMHH1SO-94N-PR</t>
  </si>
  <si>
    <t>T-AMHH1SO-94N</t>
  </si>
  <si>
    <t>H1 Std 2 Dwr</t>
  </si>
  <si>
    <t>T-AMHH1S2-94N-PR</t>
  </si>
  <si>
    <t>T-AMHH1S2-94N-HT</t>
  </si>
  <si>
    <t>Tailgate, PU Style Bed, A-Wthr</t>
  </si>
  <si>
    <t>T-AMHH1S2-94N-BT-PW</t>
  </si>
  <si>
    <t>T-AMHH1S2-94N-BT-PT</t>
  </si>
  <si>
    <t>Tailgate, PU Style Bed</t>
  </si>
  <si>
    <t>T-AMHH1S2-94N-BT</t>
  </si>
  <si>
    <t>H1 Std 1 Dwr</t>
  </si>
  <si>
    <t>T-AMHH1S1-94N-PR</t>
  </si>
  <si>
    <t>H1 Std 1 Dwr HD Table</t>
  </si>
  <si>
    <t>T-AMHH1S1-94N-HT</t>
  </si>
  <si>
    <t>T-AMHH1S1-94N-BT-PW</t>
  </si>
  <si>
    <t>Tailgate, Any Side, PU Style Bed, A-Wthr</t>
  </si>
  <si>
    <t>H1 Std 1 Dwr Half Width</t>
  </si>
  <si>
    <t>T-AMHH1S1-94N-BT-HN-PW</t>
  </si>
  <si>
    <t>T-AMHH1S1-94N-BT</t>
  </si>
  <si>
    <t>T-AMHH1S1-94N</t>
  </si>
  <si>
    <t>H1 Mag OS Dwr</t>
  </si>
  <si>
    <t>T-AMHH1MO-94N-PR</t>
  </si>
  <si>
    <t>H1 Mag 2 Offset</t>
  </si>
  <si>
    <t>T-AMHH1MO-94N-BT-PW</t>
  </si>
  <si>
    <t>T-AMHH1MO-94N</t>
  </si>
  <si>
    <t>H1 Mag 2 Dwr</t>
  </si>
  <si>
    <t>T-AMHH1M2-94N-PR</t>
  </si>
  <si>
    <t>T-AMHH1M2-94N-BT-PW</t>
  </si>
  <si>
    <t>H1 Mag 1 Dwr</t>
  </si>
  <si>
    <t>T-AMHH1M1-94N-PT</t>
  </si>
  <si>
    <t>T-AMHH1M1-94N-PR</t>
  </si>
  <si>
    <t>T-AMHH1M1-94N-BT-PW</t>
  </si>
  <si>
    <t>T-AMHH1M1-94N-BT</t>
  </si>
  <si>
    <t>T-AMHH1M1-94N</t>
  </si>
  <si>
    <t>Tailgate, PU Style Bed, A/W</t>
  </si>
  <si>
    <t>H1 A/W Field Ranger</t>
  </si>
  <si>
    <t>C-AMHH1N3-94R-BT-PW</t>
  </si>
  <si>
    <t>H1 Field Ranger</t>
  </si>
  <si>
    <t>C-AMHH1N3-94N-CR</t>
  </si>
  <si>
    <t>H1</t>
  </si>
  <si>
    <t>Prologue Mag 1 Dwr</t>
  </si>
  <si>
    <t>T-HDPRLM1-24N</t>
  </si>
  <si>
    <t>Prologue Utl 2 Dwr</t>
  </si>
  <si>
    <t>T-HDPRLU2-24N</t>
  </si>
  <si>
    <t>Prologue Mag 2 Dwr</t>
  </si>
  <si>
    <t>T-HDPRLM2-24N</t>
  </si>
  <si>
    <t>Prologue Utl 1 Dwr</t>
  </si>
  <si>
    <t>T-HDPRLU1-24N</t>
  </si>
  <si>
    <t>Prologue Std 1 Dwr</t>
  </si>
  <si>
    <t>T-HDPRLS1-24N</t>
  </si>
  <si>
    <t>Prologue Std 2 Dwr</t>
  </si>
  <si>
    <t>T-HDPRLS2-24N</t>
  </si>
  <si>
    <t>Prologue</t>
  </si>
  <si>
    <t>5' S-Crew, A-Wthr</t>
  </si>
  <si>
    <t>Ridgeline Pickup Utility 2 Drawer</t>
  </si>
  <si>
    <t>T-HDRIDU2-17S-PC-PW</t>
  </si>
  <si>
    <t>5' S-Crew</t>
  </si>
  <si>
    <t>Ridgeline Pickup Std Offset Drawer</t>
  </si>
  <si>
    <t>T-HDRIDSO-17S-PC</t>
  </si>
  <si>
    <t>Ridgeline Pickup Std OS Drawer</t>
  </si>
  <si>
    <t>T-HDRIDSO-05S-PC-PW</t>
  </si>
  <si>
    <t>Ridgeline Pickup Std 2 Drawer</t>
  </si>
  <si>
    <t>T-HDRIDS2-17S-PC-PW</t>
  </si>
  <si>
    <t>T-HDRIDS2-17S-PC</t>
  </si>
  <si>
    <t>T-HDRIDS2-06S-PC</t>
  </si>
  <si>
    <t>T-HDRIDS2-05S-PC-PW</t>
  </si>
  <si>
    <t>Ridgeline Pickup Mag 2 Drawer</t>
  </si>
  <si>
    <t>T-HDRIDM2-17S-PC</t>
  </si>
  <si>
    <t>2 lids</t>
  </si>
  <si>
    <t>Ridgeline Pickup SeatVault</t>
  </si>
  <si>
    <t>S-HDRIDL2-17N</t>
  </si>
  <si>
    <t>S-HDRIDL2-06N</t>
  </si>
  <si>
    <t>S-HDRIDL1-17N</t>
  </si>
  <si>
    <t>S-HDRIDL1-06N</t>
  </si>
  <si>
    <t>Ridgeline Pickup Base Camp 2</t>
  </si>
  <si>
    <t>B-HDRIDN2-17S-PC-BC2</t>
  </si>
  <si>
    <t>Ridgeline Pickup Base Camp 1</t>
  </si>
  <si>
    <t>B-HDRIDN2-17S-PC-BC1</t>
  </si>
  <si>
    <t>Ridgeline Pickup</t>
  </si>
  <si>
    <t>5' Bed Supercrew</t>
  </si>
  <si>
    <t>Honda Ridgeline Base Camp 5</t>
  </si>
  <si>
    <t>B-HDRIDN2-17S-PC-BC5</t>
  </si>
  <si>
    <t>Ridgeline</t>
  </si>
  <si>
    <t>Pilot Utl OS Dwr</t>
  </si>
  <si>
    <t>T-HDPILUO-23N</t>
  </si>
  <si>
    <t>Pilot Utl 2 Dwr</t>
  </si>
  <si>
    <t>T-HDPILU2-23N</t>
  </si>
  <si>
    <t>T-HDPILU2-16N</t>
  </si>
  <si>
    <t>Pilot Utility 1 Dwr</t>
  </si>
  <si>
    <t>T-HDPILU1-23N</t>
  </si>
  <si>
    <t>Pilot Utility1 Dwr</t>
  </si>
  <si>
    <t>T-HDPILU1-16N</t>
  </si>
  <si>
    <t>T-HDPILU1-09N</t>
  </si>
  <si>
    <t>Pilot Std OS Dwr</t>
  </si>
  <si>
    <t>T-HDPILSO-23N</t>
  </si>
  <si>
    <t>Pilot Std 2 Dwr Offset</t>
  </si>
  <si>
    <t>T-HDPILSO-03N</t>
  </si>
  <si>
    <t>Pilot Std 2 Dwr</t>
  </si>
  <si>
    <t>T-HDPILS2-23N</t>
  </si>
  <si>
    <t>T-HDPILS2-16N</t>
  </si>
  <si>
    <t>T-HDPILS2-09N</t>
  </si>
  <si>
    <t>T-HDPILS2-03N</t>
  </si>
  <si>
    <t>Pilot Std 1 Dwr</t>
  </si>
  <si>
    <t>T-HDPILS1-23N</t>
  </si>
  <si>
    <t>T-HDPILS1-16N</t>
  </si>
  <si>
    <t>T-HDPILS1-09N</t>
  </si>
  <si>
    <t>T-HDPILS1-03N</t>
  </si>
  <si>
    <t>Pilot Mag OS Dwr</t>
  </si>
  <si>
    <t>T-HDPILMO-23N</t>
  </si>
  <si>
    <t>Pilot Mag 2 Dwr</t>
  </si>
  <si>
    <t>T-HDPILM2-23N</t>
  </si>
  <si>
    <t>T-HDPILM2-16N</t>
  </si>
  <si>
    <t>T-HDPILM2-09N</t>
  </si>
  <si>
    <t>T-HDPILM2-03N</t>
  </si>
  <si>
    <t>Pilot Mag 1 Dwr</t>
  </si>
  <si>
    <t>T-HDPILM1-23N</t>
  </si>
  <si>
    <t>T-HDPILM1-16N</t>
  </si>
  <si>
    <t>T-HDPILM1-09S</t>
  </si>
  <si>
    <t>3rd Row Seat Folded; Heavy Duty Table</t>
  </si>
  <si>
    <t>T-HDPILM1-09N-HT</t>
  </si>
  <si>
    <t>T-HDPILM1-09N</t>
  </si>
  <si>
    <t>T-HDPILM1-03N</t>
  </si>
  <si>
    <t>Pilot Ext OS Dwr</t>
  </si>
  <si>
    <t>T-HDPILEO-23N</t>
  </si>
  <si>
    <t>Pilot Ext 2 Dwr</t>
  </si>
  <si>
    <t>T-HDPILE2-23N</t>
  </si>
  <si>
    <t>Pilot Ext 1 Dwr</t>
  </si>
  <si>
    <t>T-HDPILE1-23N</t>
  </si>
  <si>
    <t>T-HDPILE1-16N</t>
  </si>
  <si>
    <t>Pilot Special Ops Ctr</t>
  </si>
  <si>
    <t>C-HDPILN3-23D</t>
  </si>
  <si>
    <t>Pilot Investigator</t>
  </si>
  <si>
    <t>C-HDPILN3-16I</t>
  </si>
  <si>
    <t>C-HDPILN3-09I</t>
  </si>
  <si>
    <t>Pilot Field Ranger</t>
  </si>
  <si>
    <t>C-HDPILN3-03R</t>
  </si>
  <si>
    <t>Pilot</t>
  </si>
  <si>
    <t>Passport Utl OS Dwr</t>
  </si>
  <si>
    <t>T-HDPASUO-19N</t>
  </si>
  <si>
    <t>Passport Utl 1 Dwr</t>
  </si>
  <si>
    <t>T-HDPASU1-19N</t>
  </si>
  <si>
    <t>F-Size, 3rd Seat Removed</t>
  </si>
  <si>
    <t>Passport Std 2 Dwr, HD Table</t>
  </si>
  <si>
    <t>T-HDPASS2-19N-HT</t>
  </si>
  <si>
    <t>Passport Std 2 Dwr</t>
  </si>
  <si>
    <t>T-HDPASS2-19N</t>
  </si>
  <si>
    <t>Passport Std 1 Dwr</t>
  </si>
  <si>
    <t>T-HDPASS1-19N</t>
  </si>
  <si>
    <t>Passport Mag OS Dwr</t>
  </si>
  <si>
    <t>T-HDPASMO-19N</t>
  </si>
  <si>
    <t>Passport Mag 1 Dwr</t>
  </si>
  <si>
    <t>T-HDPASM1-19S</t>
  </si>
  <si>
    <t>T-HDPASM1-19N</t>
  </si>
  <si>
    <t>Passport</t>
  </si>
  <si>
    <t>Odyssey Flip Lid 1 Dwr</t>
  </si>
  <si>
    <t>T-HDODYN0-18S</t>
  </si>
  <si>
    <t>3rd Row Up-right</t>
  </si>
  <si>
    <t>Odyssey Utility 1 Dwr</t>
  </si>
  <si>
    <t>T-HDODYU1-18S</t>
  </si>
  <si>
    <t>T-HDODYU1-18N</t>
  </si>
  <si>
    <t>T-HDODYU1-05N</t>
  </si>
  <si>
    <t>Odyssey Std 2 Dwr</t>
  </si>
  <si>
    <t>T-HDODYS2-18N</t>
  </si>
  <si>
    <t>T-HDODYS2-11N</t>
  </si>
  <si>
    <t>T-HDODYS2-05N</t>
  </si>
  <si>
    <t>Odyssey Std 1 Dwr</t>
  </si>
  <si>
    <t>T-HDODYS1-18N</t>
  </si>
  <si>
    <t>T-HDODYN0-11S</t>
  </si>
  <si>
    <t>Odyssey Mag Offset Dwr</t>
  </si>
  <si>
    <t>T-HDODYMO-11N</t>
  </si>
  <si>
    <t>Odyssey Mag 2 Dwr</t>
  </si>
  <si>
    <t>T-HDODYM2-18N</t>
  </si>
  <si>
    <t>T-HDODYM2-11N</t>
  </si>
  <si>
    <t>Odyssey Mag 1 Dwr</t>
  </si>
  <si>
    <t>T-HDODYM1-18N</t>
  </si>
  <si>
    <t>T-HDODYM1-11N</t>
  </si>
  <si>
    <t>T-HDODYM1-05N</t>
  </si>
  <si>
    <t>Odyssey TAC Command Center</t>
  </si>
  <si>
    <t>C-HDODYN6-11N</t>
  </si>
  <si>
    <t>Odyssey Investigator</t>
  </si>
  <si>
    <t>C-HDODYN3-18I-HT</t>
  </si>
  <si>
    <t>Odyssey Field Ranger</t>
  </si>
  <si>
    <t>C-HDODYN3-11R</t>
  </si>
  <si>
    <t>Odyssey</t>
  </si>
  <si>
    <t>Honda Insight</t>
  </si>
  <si>
    <t>N-HDINSN1-19N-HG</t>
  </si>
  <si>
    <t>Insight</t>
  </si>
  <si>
    <t>HR-V Utility 1 Dwr</t>
  </si>
  <si>
    <t>T-HDHRVU1-18N</t>
  </si>
  <si>
    <t>T-HDHRVU1-16N</t>
  </si>
  <si>
    <t>HR-V Std 2 Dwr</t>
  </si>
  <si>
    <t>T-HDHRVS2-18N</t>
  </si>
  <si>
    <t>HR-V Std 1 Dwr</t>
  </si>
  <si>
    <t>T-HDHRVS1-18N</t>
  </si>
  <si>
    <t>T-HDHRVS1-16N</t>
  </si>
  <si>
    <t>HR-V</t>
  </si>
  <si>
    <t>Fit Std 1 Dwr</t>
  </si>
  <si>
    <t>T-HDFITS1-14N</t>
  </si>
  <si>
    <t>Fit</t>
  </si>
  <si>
    <t>Element Utility 1 Dwr</t>
  </si>
  <si>
    <t>T-HDELMU1-03N</t>
  </si>
  <si>
    <t>Element Std 2 Dwr</t>
  </si>
  <si>
    <t>T-HDELMS2-03N</t>
  </si>
  <si>
    <t>Element Std 1 Dwr</t>
  </si>
  <si>
    <t>T-HDELMS1-03N</t>
  </si>
  <si>
    <t>Element Mag 2 Dwr</t>
  </si>
  <si>
    <t>T-HDELMM2-03N</t>
  </si>
  <si>
    <t>Element Mag 1 Dwr</t>
  </si>
  <si>
    <t>T-HDELMM1-03N</t>
  </si>
  <si>
    <t>Element</t>
  </si>
  <si>
    <t>CRV Utility 2  Dwr</t>
  </si>
  <si>
    <t>T-HDCRVU2-12N-HT</t>
  </si>
  <si>
    <t>CRV Utility 1 Dwr</t>
  </si>
  <si>
    <t>T-HDCRVU1-23N</t>
  </si>
  <si>
    <t>T-HDCRVU1-17N</t>
  </si>
  <si>
    <t>T-HDCRVU1-12N</t>
  </si>
  <si>
    <t>CRV Std 2 Dwr</t>
  </si>
  <si>
    <t>T-HDCRVS2-17N</t>
  </si>
  <si>
    <t>T-HDCRVS2-07N</t>
  </si>
  <si>
    <t>T-HDCRVS2-02N</t>
  </si>
  <si>
    <t>CRV Std 1 Dwr</t>
  </si>
  <si>
    <t>T-HDCRVS1-95N</t>
  </si>
  <si>
    <t>T-HDCRVS1-23N</t>
  </si>
  <si>
    <t>T-HDCRVS1-17N</t>
  </si>
  <si>
    <t>T-HDCRVS1-07N</t>
  </si>
  <si>
    <t>T-HDCRVS1-02N</t>
  </si>
  <si>
    <t>CRV Mag 2 Dwr</t>
  </si>
  <si>
    <t>T-HDCRVM2-17N</t>
  </si>
  <si>
    <t>T-HDCRVM2-07N</t>
  </si>
  <si>
    <t>T-HDCRVM2-02N</t>
  </si>
  <si>
    <t>CRV Magnum 1 Dwr</t>
  </si>
  <si>
    <t>T-HDCRVM1-23N</t>
  </si>
  <si>
    <t>CRV Mag 1 Dwr</t>
  </si>
  <si>
    <t>T-HDCRVM1-17N</t>
  </si>
  <si>
    <t>T-HDCRVM1-07N</t>
  </si>
  <si>
    <t>T-HDCRVM1-02N</t>
  </si>
  <si>
    <t>CRV Investigator</t>
  </si>
  <si>
    <t>C-HDCRVN3-23I</t>
  </si>
  <si>
    <t>C-HDCRVN3-17I</t>
  </si>
  <si>
    <t>CRV</t>
  </si>
  <si>
    <t>Crosstour Std 1 Dwr</t>
  </si>
  <si>
    <t>T-HDCTRS1-10N</t>
  </si>
  <si>
    <t>Crosstour</t>
  </si>
  <si>
    <t>Trunkvault For Sedan Body</t>
  </si>
  <si>
    <t>Civic Patrolman</t>
  </si>
  <si>
    <t>N-HDCIVU1-16N</t>
  </si>
  <si>
    <t>N-HDCIVS1-16N</t>
  </si>
  <si>
    <t>Elevated Trunkvault For Sedan Body</t>
  </si>
  <si>
    <t>N-HDCIVN1-16N-HG</t>
  </si>
  <si>
    <t>N-HDCIVN1-11N-HG</t>
  </si>
  <si>
    <t>Honda Civic</t>
  </si>
  <si>
    <t>N-HDCIVN1-06N</t>
  </si>
  <si>
    <t>N-HDCIVN1-00N-HG</t>
  </si>
  <si>
    <t>N-HDCIVM1-16N</t>
  </si>
  <si>
    <t>Civic</t>
  </si>
  <si>
    <t>Honda Accord 2 Dwr Offset</t>
  </si>
  <si>
    <t>N-HDACDNO-13N-HG</t>
  </si>
  <si>
    <t>Honda Accord</t>
  </si>
  <si>
    <t>N-HDACDN1-18N-HG</t>
  </si>
  <si>
    <t>N-HDACDN1-13N-HG</t>
  </si>
  <si>
    <t>N-HDACDN1-13N</t>
  </si>
  <si>
    <t>N-HDACDN1-08N-HG</t>
  </si>
  <si>
    <t>N-HDACDN1-08N</t>
  </si>
  <si>
    <t>N-HDACDN1-02N</t>
  </si>
  <si>
    <t>Accord</t>
  </si>
  <si>
    <t>Hummer Truck Field Ranger</t>
  </si>
  <si>
    <t>C-GMHUTN3-24S-PC-CR-PW</t>
  </si>
  <si>
    <t>Hummer EV Pickup</t>
  </si>
  <si>
    <t>Investigator</t>
  </si>
  <si>
    <t>Yukon Denali</t>
  </si>
  <si>
    <t>C-GMYDEN2-21I-TF</t>
  </si>
  <si>
    <t>3rd Seat Removed, HD Table</t>
  </si>
  <si>
    <t>Yukon/Denali Std 2 Dwr</t>
  </si>
  <si>
    <t>T-GMYDES2-21N-TR-HT</t>
  </si>
  <si>
    <t>T-GMYDES2-21N-TF-HT</t>
  </si>
  <si>
    <t>Yukon/Denali Utility OS Dwr</t>
  </si>
  <si>
    <t>T-GMYDEUO-21N-TF</t>
  </si>
  <si>
    <t>Yukon/Denali Utility Offset</t>
  </si>
  <si>
    <t>T-GMYDEUO-15N</t>
  </si>
  <si>
    <t>Yukon/Denali Utility 2 Dwr</t>
  </si>
  <si>
    <t>T-GMYDEU2-92N</t>
  </si>
  <si>
    <t>T-GMYDEU2-21N-TR</t>
  </si>
  <si>
    <t>3rd Folded, Low Profile Table</t>
  </si>
  <si>
    <t>T-GMYDEU2-21N-TF-PT</t>
  </si>
  <si>
    <t>3rd  Folded</t>
  </si>
  <si>
    <t>T-GMYDEU2-21N-TF</t>
  </si>
  <si>
    <t>3rd Row Folded; Tray Removed</t>
  </si>
  <si>
    <t>T-GMYDEU2-15N-CR</t>
  </si>
  <si>
    <t>T-GMYDEU2-15N</t>
  </si>
  <si>
    <t>3rd  Removed</t>
  </si>
  <si>
    <t>T-GMYDEU2-12N</t>
  </si>
  <si>
    <t>HD Table 3rd Seat Removed</t>
  </si>
  <si>
    <t>T-GMYDEU2-07N-HT</t>
  </si>
  <si>
    <t>Yukon/Denali Utility 1 Dwr</t>
  </si>
  <si>
    <t>T-GMYDEU1-21S</t>
  </si>
  <si>
    <t>3rd Seat Folded, Table Ext</t>
  </si>
  <si>
    <t>T-GMYDEU1-21N-TF-PT</t>
  </si>
  <si>
    <t>T-GMYDEU1-21N-TF-HT</t>
  </si>
  <si>
    <t>T-GMYDEU1-21N-TF</t>
  </si>
  <si>
    <t>Yukon/Denaili Utility 1 Dwr</t>
  </si>
  <si>
    <t>T-GMYDEU1-15N</t>
  </si>
  <si>
    <t>Yukon/Denali Std 1 Dwr</t>
  </si>
  <si>
    <t>T-GMYDEU1-12N</t>
  </si>
  <si>
    <t>Yukon/Denali Std OS Dwr</t>
  </si>
  <si>
    <t>T-GMYDESO-97N</t>
  </si>
  <si>
    <t>T-GMYDESO-92N</t>
  </si>
  <si>
    <t>3rd Folded, Table Extension</t>
  </si>
  <si>
    <t>T-GMYDESO-21N-TF-PT</t>
  </si>
  <si>
    <t>T-GMYDESO-21N-TF</t>
  </si>
  <si>
    <t>T-GMYDESO-15N-CR</t>
  </si>
  <si>
    <t>T-GMYDESO-15N</t>
  </si>
  <si>
    <t>T-GMYDESO-12N</t>
  </si>
  <si>
    <t>T-GMYDESO-07N</t>
  </si>
  <si>
    <t>T-GMYDESO-00N-PT</t>
  </si>
  <si>
    <t>No 3rd Row Seat Brkt</t>
  </si>
  <si>
    <t>T-GMYDESO-00N-LN</t>
  </si>
  <si>
    <t>T-GMYDESO-00N</t>
  </si>
  <si>
    <t>T-GMYDES2-97N</t>
  </si>
  <si>
    <t>T-GMYDES2-92N</t>
  </si>
  <si>
    <t>T-GMYDES2-21N-TR</t>
  </si>
  <si>
    <t>T-GMYDES2-21N-TF-PT</t>
  </si>
  <si>
    <t>T-GMYDES2-21N-TF</t>
  </si>
  <si>
    <t>Tray/3rd Removed; Fuse Panel Access</t>
  </si>
  <si>
    <t>Yukon Denali Std 2  Dwr</t>
  </si>
  <si>
    <t>T-GMYDES2-15N-FP</t>
  </si>
  <si>
    <t>T-GMYDES2-15N-CR</t>
  </si>
  <si>
    <t>T-GMYDES2-15N</t>
  </si>
  <si>
    <t>T-GMYDES2-12N</t>
  </si>
  <si>
    <t>T-GMYDES2-07N-PP</t>
  </si>
  <si>
    <t>T-GMYDES2-07N</t>
  </si>
  <si>
    <t>T-GMYDES2-00N</t>
  </si>
  <si>
    <t>T-GMYDES1-97N</t>
  </si>
  <si>
    <t>T-GMYDES1-92N-D2</t>
  </si>
  <si>
    <t>T-GMYDES1-21S</t>
  </si>
  <si>
    <t>Yukon/Denaili Std 1 Dwr</t>
  </si>
  <si>
    <t>T-GMYDES1-21N-TR</t>
  </si>
  <si>
    <t>T-GMYDES1-21N-TF</t>
  </si>
  <si>
    <t>T-GMYDES1-15N-CR</t>
  </si>
  <si>
    <t>T-GMYDES1-15N</t>
  </si>
  <si>
    <t>Pull Out Table</t>
  </si>
  <si>
    <t>T-GMYDES1-12N-PT</t>
  </si>
  <si>
    <t>T-GMYDES1-12N</t>
  </si>
  <si>
    <t>T-GMYDES1-07N-PT</t>
  </si>
  <si>
    <t>T-GMYDES1-07N</t>
  </si>
  <si>
    <t>C-Chair</t>
  </si>
  <si>
    <t>T-GMYDES1-00N-TC</t>
  </si>
  <si>
    <t>T-GMYDES1-00N-PT</t>
  </si>
  <si>
    <t>T-GMYDES1-00N-PP</t>
  </si>
  <si>
    <t>T-GMYDES1-00N</t>
  </si>
  <si>
    <t>Yukon/Denali Mag T Dwr</t>
  </si>
  <si>
    <t>T-GMYDEMT-97N</t>
  </si>
  <si>
    <t>4 Door Tailgate</t>
  </si>
  <si>
    <t>T-GMYDEMT-92N-BT</t>
  </si>
  <si>
    <t>4 Door</t>
  </si>
  <si>
    <t>T-GMYDEMT-92N</t>
  </si>
  <si>
    <t>4 Door, P-Cage</t>
  </si>
  <si>
    <t>Yukon/Denali Mag OS Dwr</t>
  </si>
  <si>
    <t>T-GMYDEMO-92N-PP</t>
  </si>
  <si>
    <t>T-GMYDEMO-92N</t>
  </si>
  <si>
    <t>T-GMYDEMO-21S</t>
  </si>
  <si>
    <t>T-GMYDEMO-21N-TF</t>
  </si>
  <si>
    <t>Hvy Duty Tbl, 3rd/Tray Rem</t>
  </si>
  <si>
    <t>T-GMYDEMO-15N-HT</t>
  </si>
  <si>
    <t>3rd Row Folded, Tray Removed</t>
  </si>
  <si>
    <t>T-GMYDEMO-15N-CR</t>
  </si>
  <si>
    <t>T-GMYDEMO-15N</t>
  </si>
  <si>
    <t>T-GMYDEMO-12N-HT</t>
  </si>
  <si>
    <t>T-GMYDEMO-12N</t>
  </si>
  <si>
    <t>T-GMYDEMO-07N</t>
  </si>
  <si>
    <t>T-GMYDEMO-00N</t>
  </si>
  <si>
    <t>Yukon/Denali Mag 2 Dwr</t>
  </si>
  <si>
    <t>T-GMYDEM2-97N</t>
  </si>
  <si>
    <t>Yukon/Denali Mag 2 Drawer</t>
  </si>
  <si>
    <t>T-GMYDEM2-21N-TF</t>
  </si>
  <si>
    <t>T-GMYDEM2-15N-CR</t>
  </si>
  <si>
    <t>T-GMYDEM2-15N</t>
  </si>
  <si>
    <t>T-GMYDEM2-12N-PP</t>
  </si>
  <si>
    <t>T-GMYDEM2-12N</t>
  </si>
  <si>
    <t>T-GMYDEM2-07N-PP</t>
  </si>
  <si>
    <t>T-GMYDEM2-07N</t>
  </si>
  <si>
    <t>Capt Chairs, no Seat Bracket</t>
  </si>
  <si>
    <t>T-GMYDEM2-00N-TC-LN</t>
  </si>
  <si>
    <t>Pris Cage, no Seat Bracket</t>
  </si>
  <si>
    <t>T-GMYDEM2-00N-PP-LN</t>
  </si>
  <si>
    <t>T-GMYDEM2-00N</t>
  </si>
  <si>
    <t>Yukon/Denali Mag 1 Dwr</t>
  </si>
  <si>
    <t>T-GMYDEM1-97N</t>
  </si>
  <si>
    <t>T-GMYDEM1-21S</t>
  </si>
  <si>
    <t>T-GMYDEM1-21N-TR</t>
  </si>
  <si>
    <t>T-GMYDEM1-21N-TF-HT</t>
  </si>
  <si>
    <t>T-GMYDEM1-21N-TF</t>
  </si>
  <si>
    <t>Yukon/Denali Mag 1 Dwr 1/2 Width</t>
  </si>
  <si>
    <t>T-GMYDEM1-15N-CR-HP</t>
  </si>
  <si>
    <t>T-GMYDEM1-15N-CR</t>
  </si>
  <si>
    <t>T-GMYDEM1-15N</t>
  </si>
  <si>
    <t>T-GMYDEM1-12N-PT</t>
  </si>
  <si>
    <t>T-GMYDEM1-12N-PP</t>
  </si>
  <si>
    <t>T-GMYDEM1-12N</t>
  </si>
  <si>
    <t>T-GMYDEM1-07N-PT</t>
  </si>
  <si>
    <t>T-GMYDEM1-07N-PP</t>
  </si>
  <si>
    <t>T-GMYDEM1-07N</t>
  </si>
  <si>
    <t>Captains Chairs (3" shorter)</t>
  </si>
  <si>
    <t>T-GMYDEM1-00N-TC</t>
  </si>
  <si>
    <t>T-GMYDEM1-00N-PT</t>
  </si>
  <si>
    <t>No Seat Brkt</t>
  </si>
  <si>
    <t>T-GMYDEM1-00N-LN</t>
  </si>
  <si>
    <t>T-GMYDEM1-00N</t>
  </si>
  <si>
    <t>Yukon/Denali Emergency Resp 3</t>
  </si>
  <si>
    <t>F-GMYDEN3-12N-C1-ER3</t>
  </si>
  <si>
    <t>Yukon/Denali Emergency Resp 2</t>
  </si>
  <si>
    <t>F-GMYDEN3-12N-C1-ER2</t>
  </si>
  <si>
    <t>Yukon/Denali Commander 2</t>
  </si>
  <si>
    <t>F-GMYDEN2-07C-02-C3</t>
  </si>
  <si>
    <t>Yukon/Denali Drone Responder 10</t>
  </si>
  <si>
    <t>D-GMYDEN2-21N-TF-FM-DR10</t>
  </si>
  <si>
    <t>D-GMYDEN1-21N-TR-FM-DR10</t>
  </si>
  <si>
    <t>Yukon/Denali Chief LX CC</t>
  </si>
  <si>
    <t>C-GMYDEN6-95C</t>
  </si>
  <si>
    <t>Yukon Denali Chief LX CC</t>
  </si>
  <si>
    <t>C-GMYDEN6-15C</t>
  </si>
  <si>
    <t>C-GMYDEN6-12C</t>
  </si>
  <si>
    <t>C-GMYDEN6-07C</t>
  </si>
  <si>
    <t>LX, New 5 Dwr</t>
  </si>
  <si>
    <t>Yukon/Denali Captain CC</t>
  </si>
  <si>
    <t>C-GMYDEN5-96P</t>
  </si>
  <si>
    <t>C-GMYDEN5-95C</t>
  </si>
  <si>
    <t>Yukon Denali Tac Ctr</t>
  </si>
  <si>
    <t>C-GMYDEN5-15T-PT</t>
  </si>
  <si>
    <t>C-GMYDEN5-15T</t>
  </si>
  <si>
    <t>C-GMYDEN5-12C</t>
  </si>
  <si>
    <t>Yukon/Denali Captain LX CC</t>
  </si>
  <si>
    <t>C-GMYDEN5-07P</t>
  </si>
  <si>
    <t>C-GMYDEN5-07C</t>
  </si>
  <si>
    <t>Old Style</t>
  </si>
  <si>
    <t>C-GMYDEN4-96P</t>
  </si>
  <si>
    <t>Yukon Denali Investigator</t>
  </si>
  <si>
    <t>C-GMYDEN3-21I-TF</t>
  </si>
  <si>
    <t>Yukon/Denali Investigator</t>
  </si>
  <si>
    <t>C-GMYDEN3-15I-CR</t>
  </si>
  <si>
    <t>Yukon/Denali Field Ranger</t>
  </si>
  <si>
    <t>C-GMYDEN3-12R</t>
  </si>
  <si>
    <t>C-GMYDEN3-12I</t>
  </si>
  <si>
    <t>C-GMYDEN3-07R</t>
  </si>
  <si>
    <t>C-GMYDEN3-07I</t>
  </si>
  <si>
    <t>Yukon/Denali Special Ops Ctr</t>
  </si>
  <si>
    <t>C-GMYDEN3-07D</t>
  </si>
  <si>
    <t>C-GMYDEN3-00D</t>
  </si>
  <si>
    <t>Yukon/Denali</t>
  </si>
  <si>
    <t>Yukon XL Drone Responder 9</t>
  </si>
  <si>
    <t>D-GMYXLN2-21N-TR-FM-DR9</t>
  </si>
  <si>
    <t>S-Size, HD Table</t>
  </si>
  <si>
    <t>Yukon XL Std 2 Dwr</t>
  </si>
  <si>
    <t>T-GMYXLSO-21S-HT</t>
  </si>
  <si>
    <t>Yukon XL Utility OS Dwr</t>
  </si>
  <si>
    <t>T-GMYXLUO-21S</t>
  </si>
  <si>
    <t>F-Size, 3rd Removed</t>
  </si>
  <si>
    <t>T-GMYXLUO-21F-TR</t>
  </si>
  <si>
    <t>F-Size 3rd seat Folded</t>
  </si>
  <si>
    <t>T-GMYXLUO-21F-TF</t>
  </si>
  <si>
    <t>M-Size, Tray Removed, 3rd Fold</t>
  </si>
  <si>
    <t>Yukon XL Utility  Offset Dwr</t>
  </si>
  <si>
    <t>T-GMYXLUO-15M-CR</t>
  </si>
  <si>
    <t>F-Size, No Tray/3rd; Heavy Tbl</t>
  </si>
  <si>
    <t>T-GMYXLUO-15F-HT</t>
  </si>
  <si>
    <t>F-Size</t>
  </si>
  <si>
    <t>T-GMYXLUO-15F</t>
  </si>
  <si>
    <t>T-GMYXLUO-07S-HT</t>
  </si>
  <si>
    <t>T-GMYXLUO-07F</t>
  </si>
  <si>
    <t>S-Size, 3rd Seat Upright</t>
  </si>
  <si>
    <t>Yukon XL Utility 2 Dwr</t>
  </si>
  <si>
    <t>T-GMYXLU2-21S</t>
  </si>
  <si>
    <t>F-Size, 3rd Folded</t>
  </si>
  <si>
    <t>T-GMYXLU2-21F-TF</t>
  </si>
  <si>
    <t>S-Size, Tray Removed</t>
  </si>
  <si>
    <t>T-GMYXLU2-15S</t>
  </si>
  <si>
    <t>M-Size, Tray/3rd Removed</t>
  </si>
  <si>
    <t>T-GMYXLU2-15M</t>
  </si>
  <si>
    <t>F-Size, Tray/3rd Folded</t>
  </si>
  <si>
    <t>T-GMYXLU2-15F-CR</t>
  </si>
  <si>
    <t>F-Size, Tray/3rd Removed</t>
  </si>
  <si>
    <t>T-GMYXLU2-15F</t>
  </si>
  <si>
    <t>S-Size</t>
  </si>
  <si>
    <t>T-GMYXLU2-07S</t>
  </si>
  <si>
    <t>S-Size, 3rd Seat Upright, HD Table</t>
  </si>
  <si>
    <t>Yukon XL Utility 1 Dwr</t>
  </si>
  <si>
    <t>T-GMYXLU1-21S-HT</t>
  </si>
  <si>
    <t>T-GMYXLU1-21S</t>
  </si>
  <si>
    <t>S-Size, Can't Remove 3rd Row, Table Ext</t>
  </si>
  <si>
    <t>T-GMYXLU1-15S-PT</t>
  </si>
  <si>
    <t>S-Size, Heavy Duty Tbl Ext</t>
  </si>
  <si>
    <t>T-GMYXLU1-15S-HT</t>
  </si>
  <si>
    <t>S-Size, Can't Remove 3rd Row</t>
  </si>
  <si>
    <t>T-GMYXLU1-15S</t>
  </si>
  <si>
    <t>M-Size; Tray Removed; 3rd Fold; Table Ext</t>
  </si>
  <si>
    <t>T-GMYXLU1-15M-CR-PT</t>
  </si>
  <si>
    <t>T-GMYXLU1-07S</t>
  </si>
  <si>
    <t>T-GMYXLU1-00S</t>
  </si>
  <si>
    <t>T-GMYXLSO-21S</t>
  </si>
  <si>
    <t>F-Size, 3rd Removed, Top Tray</t>
  </si>
  <si>
    <t>Yukon XL Std Offset Dwr</t>
  </si>
  <si>
    <t>T-GMYXLSO-21F-TR-TT</t>
  </si>
  <si>
    <t>T-GMYXLSO-21F-TR</t>
  </si>
  <si>
    <t>Yukon XL Std 2 Dwr Offset</t>
  </si>
  <si>
    <t>T-GMYXLSO-21F-TF</t>
  </si>
  <si>
    <t>Yukon XL Std OS Dwr</t>
  </si>
  <si>
    <t>T-GMYXLSO-15S</t>
  </si>
  <si>
    <t>F-Size; Heavy Duty Table</t>
  </si>
  <si>
    <t>T-GMYXLSO-15F-HT</t>
  </si>
  <si>
    <t>F-Size, Tray Removed, 3rd Fold</t>
  </si>
  <si>
    <t>T-GMYXLSO-15F-CR</t>
  </si>
  <si>
    <t>T-GMYXLSO-15F</t>
  </si>
  <si>
    <t>T-GMYXLSO-12S</t>
  </si>
  <si>
    <t>M-Size, Tbl Ext</t>
  </si>
  <si>
    <t>T-GMYXLSO-12M-PT</t>
  </si>
  <si>
    <t>M-Size</t>
  </si>
  <si>
    <t>T-GMYXLSO-12M</t>
  </si>
  <si>
    <t>F-Size, Tbl Ext.</t>
  </si>
  <si>
    <t>T-GMYXLSO-12F-PT</t>
  </si>
  <si>
    <t>T-GMYXLSO-12F</t>
  </si>
  <si>
    <t>T-GMYXLSO-07S</t>
  </si>
  <si>
    <t>T-GMYXLSO-07M-PT</t>
  </si>
  <si>
    <t>T-GMYXLSO-07M</t>
  </si>
  <si>
    <t>T-GMYXLSO-07F-PT</t>
  </si>
  <si>
    <t>T-GMYXLSO-07F-ORV</t>
  </si>
  <si>
    <t>T-GMYXLSO-07F</t>
  </si>
  <si>
    <t>S-Size, Table</t>
  </si>
  <si>
    <t>T-GMYXLSO-00S-PT</t>
  </si>
  <si>
    <t>T-GMYXLSO-00S</t>
  </si>
  <si>
    <t>T-GMYXLSO-00M-PT</t>
  </si>
  <si>
    <t>M-Size, No Seat Brkt</t>
  </si>
  <si>
    <t>T-GMYXLSO-00M-LN</t>
  </si>
  <si>
    <t>T-GMYXLSO-00M</t>
  </si>
  <si>
    <t>F-Size, C-Chair</t>
  </si>
  <si>
    <t>T-GMYXLSO-00F-TC</t>
  </si>
  <si>
    <t>F-Size, Tbl Ext</t>
  </si>
  <si>
    <t>T-GMYXLSO-00F-PT</t>
  </si>
  <si>
    <t>F-Size, No Seat Brackets</t>
  </si>
  <si>
    <t>T-GMYXLSO-00F-LN</t>
  </si>
  <si>
    <t>T-GMYXLSO-00F</t>
  </si>
  <si>
    <t>T-GMYXLS2-88M</t>
  </si>
  <si>
    <t>S-Size, Table Extension</t>
  </si>
  <si>
    <t>T-GMYXLS2-21S-PT</t>
  </si>
  <si>
    <t>S-Size, Heavy Duty Table</t>
  </si>
  <si>
    <t>T-GMYXLS2-21S-HT</t>
  </si>
  <si>
    <t>T-GMYXLS2-21F-TR</t>
  </si>
  <si>
    <t>F-Size, 3rd Seat Folded</t>
  </si>
  <si>
    <t>T-GMYXLS2-21F-TF-TT</t>
  </si>
  <si>
    <t>T-GMYXLS2-21F-TF</t>
  </si>
  <si>
    <t>S-Size, Tray Removed, Table Extension</t>
  </si>
  <si>
    <t>T-GMYXLS2-15S-PT</t>
  </si>
  <si>
    <t>T-GMYXLS2-15S</t>
  </si>
  <si>
    <t>T-GMYXLS2-15M-PT</t>
  </si>
  <si>
    <t>T-GMYXLS2-15M-CR</t>
  </si>
  <si>
    <t>T-GMYXLS2-15M</t>
  </si>
  <si>
    <t>F-Size, Tray/3rd Rem, Tbl Ext</t>
  </si>
  <si>
    <t>T-GMYXLS2-15F-PT</t>
  </si>
  <si>
    <t>F-Size, Tray/3rd Rem; P-Cage</t>
  </si>
  <si>
    <t>T-GMYXLS2-15F-PP</t>
  </si>
  <si>
    <t>T-GMYXLS2-15F-CR</t>
  </si>
  <si>
    <t>T-GMYXLS2-15F</t>
  </si>
  <si>
    <t>S-Sz, Can't Rmv 3rd Rw,Tbl Ext</t>
  </si>
  <si>
    <t>T-GMYXLS2-12S-PT</t>
  </si>
  <si>
    <t>T-GMYXLS2-12S</t>
  </si>
  <si>
    <t>T-GMYXLS2-12M</t>
  </si>
  <si>
    <t>F-Size, Table Extention</t>
  </si>
  <si>
    <t>T-GMYXLS2-12F-PT</t>
  </si>
  <si>
    <t>T-GMYXLS2-12F</t>
  </si>
  <si>
    <t>T-GMYXLS2-07S</t>
  </si>
  <si>
    <t>T-GMYXLS2-07M</t>
  </si>
  <si>
    <t>T-GMYXLS2-07F-PT</t>
  </si>
  <si>
    <t>T-GMYXLS2-07F</t>
  </si>
  <si>
    <t>T-GMYXLS2-00S</t>
  </si>
  <si>
    <t>T-GMYXLS2-00M-LN</t>
  </si>
  <si>
    <t>T-GMYXLS2-00M</t>
  </si>
  <si>
    <t>T-GMYXLS2-00F-TC</t>
  </si>
  <si>
    <t>T-GMYXLS2-00F-PT</t>
  </si>
  <si>
    <t>F-Size, No Seat Brkt</t>
  </si>
  <si>
    <t>T-GMYXLS2-00F-LN</t>
  </si>
  <si>
    <t>T-GMYXLS2-00F</t>
  </si>
  <si>
    <t>Yukon XL Std 1 Dwr</t>
  </si>
  <si>
    <t>T-GMYXLS1-88S</t>
  </si>
  <si>
    <t>T-GMYXLS1-21S-PT</t>
  </si>
  <si>
    <t>S-Size; 3rd Seat Upright</t>
  </si>
  <si>
    <t>T-GMYXLS1-21S</t>
  </si>
  <si>
    <t>M-Size; 3rd Seat Folded</t>
  </si>
  <si>
    <t>T-GMYXLS1-21M-TF</t>
  </si>
  <si>
    <t>S-Size; Tray Removed; Heavy Duty Table</t>
  </si>
  <si>
    <t>T-GMYXLS1-15S-HT</t>
  </si>
  <si>
    <t>S-Size; Tray Removed</t>
  </si>
  <si>
    <t>T-GMYXLS1-15S</t>
  </si>
  <si>
    <t>Yukon XL Std 1 Dwr, Pullout Table</t>
  </si>
  <si>
    <t>T-GMYXLS1-15M-PT</t>
  </si>
  <si>
    <t>T-GMYXLS1-15M-CR</t>
  </si>
  <si>
    <t>T-GMYXLS1-15M</t>
  </si>
  <si>
    <t>S-Size, Can't Remove 3rd, Tbl</t>
  </si>
  <si>
    <t>T-GMYXLS1-12S-PT</t>
  </si>
  <si>
    <t>T-GMYXLS1-12S</t>
  </si>
  <si>
    <t>T-GMYXLS1-12M</t>
  </si>
  <si>
    <t>T-GMYXLS1-07S-PT</t>
  </si>
  <si>
    <t>T-GMYXLS1-07S</t>
  </si>
  <si>
    <t>T-GMYXLS1-00S-PT</t>
  </si>
  <si>
    <t>T-GMYXLS1-00S</t>
  </si>
  <si>
    <t>C8426</t>
  </si>
  <si>
    <t>Yukon XL Mag 1 Dwr</t>
  </si>
  <si>
    <t>T-GMYXLN1-15S-HT</t>
  </si>
  <si>
    <t>Yukon XL Mag Offset Dwr Top Tray</t>
  </si>
  <si>
    <t>T-GMYXLMO-21F-TR-TT</t>
  </si>
  <si>
    <t>F-Size, 3rd Removed; Heavy Duty Table</t>
  </si>
  <si>
    <t>Yukon XL Mag Offset Dwr</t>
  </si>
  <si>
    <t>T-GMYXLMO-21F-TR-HT</t>
  </si>
  <si>
    <t>T-GMYXLMO-21F-TR</t>
  </si>
  <si>
    <t>T-GMYXLMO-21F-TF</t>
  </si>
  <si>
    <t>T-GMYXLMO-15M</t>
  </si>
  <si>
    <t>F-Size; Heavy Duty Table Extension</t>
  </si>
  <si>
    <t>Yukon XL Mag OS Dwr</t>
  </si>
  <si>
    <t>T-GMYXLMO-15F-HT</t>
  </si>
  <si>
    <t>T-GMYXLMO-15F</t>
  </si>
  <si>
    <t>T-GMYXLMO-12S</t>
  </si>
  <si>
    <t>T-GMYXLMO-12M</t>
  </si>
  <si>
    <t>T-GMYXLMO-12F-PT</t>
  </si>
  <si>
    <t>T-GMYXLMO-12F</t>
  </si>
  <si>
    <t>T-GMYXLMO-07S</t>
  </si>
  <si>
    <t>T-GMYXLMO-07M</t>
  </si>
  <si>
    <t>T-GMYXLMO-07F-PT</t>
  </si>
  <si>
    <t>T-GMYXLMO-07F</t>
  </si>
  <si>
    <t>T-GMYXLMO-00S</t>
  </si>
  <si>
    <t>M-Size; Table Extension</t>
  </si>
  <si>
    <t>Yukon XL Mag Offset</t>
  </si>
  <si>
    <t>T-GMYXLMO-00M-PT</t>
  </si>
  <si>
    <t>T-GMYXLMO-00M-LN</t>
  </si>
  <si>
    <t>T-GMYXLMO-00M</t>
  </si>
  <si>
    <t>F-Size, P-Cage, No Seat Brkt</t>
  </si>
  <si>
    <t>T-GMYXLMO-00F-PP-LN</t>
  </si>
  <si>
    <t>F-Size, P-Cage</t>
  </si>
  <si>
    <t>T-GMYXLMO-00F-PP</t>
  </si>
  <si>
    <t>T-GMYXLMO-00F-LN</t>
  </si>
  <si>
    <t>T-GMYXLMO-00F</t>
  </si>
  <si>
    <t>Yukon XL Mag 2 Dwr</t>
  </si>
  <si>
    <t>T-GMYXLM2-88M</t>
  </si>
  <si>
    <t>T-GMYXLM2-21S</t>
  </si>
  <si>
    <t>F-Size; Seat Removed</t>
  </si>
  <si>
    <t>T-GMYXLM2-21F-TR</t>
  </si>
  <si>
    <t>F-Size, HD Table 3rd Folded</t>
  </si>
  <si>
    <t>T-GMYXLM2-21F-TF-HT</t>
  </si>
  <si>
    <t>T-GMYXLM2-21F-TF</t>
  </si>
  <si>
    <t>F-Size; Seat Removed, P Cage</t>
  </si>
  <si>
    <t>T-GMYXLM2-21F-PP-TR</t>
  </si>
  <si>
    <t>T-GMYXLM2-15S</t>
  </si>
  <si>
    <t>T-GMYXLM2-15M-CR</t>
  </si>
  <si>
    <t>T-GMYXLM2-15M</t>
  </si>
  <si>
    <t>F-Size, Tray Removed; 3rd Fold</t>
  </si>
  <si>
    <t>T-GMYXLM2-15F-CR</t>
  </si>
  <si>
    <t>T-GMYXLM2-15F</t>
  </si>
  <si>
    <t>T-GMYXLM2-12S</t>
  </si>
  <si>
    <t>T-GMYXLM2-12M</t>
  </si>
  <si>
    <t>T-GMYXLM2-12F-PT</t>
  </si>
  <si>
    <t>T-GMYXLM2-12F</t>
  </si>
  <si>
    <t>T-GMYXLM2-07S</t>
  </si>
  <si>
    <t>T-GMYXLM2-07M</t>
  </si>
  <si>
    <t>T-GMYXLM2-07F-PT</t>
  </si>
  <si>
    <t>F-Size, HD Table</t>
  </si>
  <si>
    <t>T-GMYXLM2-07F-HT</t>
  </si>
  <si>
    <t>T-GMYXLM2-07F</t>
  </si>
  <si>
    <t>T-GMYXLM2-00S</t>
  </si>
  <si>
    <t>T-GMYXLM2-00M-PT</t>
  </si>
  <si>
    <t>T-GMYXLM2-00M-LN</t>
  </si>
  <si>
    <t>T-GMYXLM2-00M</t>
  </si>
  <si>
    <t>F-Size, C-Chair, No Seat Brkt</t>
  </si>
  <si>
    <t>T-GMYXLM2-00F-TC-LN</t>
  </si>
  <si>
    <t>T-GMYXLM2-00F-TC</t>
  </si>
  <si>
    <t>T-GMYXLM2-00F-PT</t>
  </si>
  <si>
    <t>F-Size, P Cage, No Seat Brkt</t>
  </si>
  <si>
    <t>T-GMYXLM2-00F-PP-LN</t>
  </si>
  <si>
    <t>T-GMYXLM2-00F-PP</t>
  </si>
  <si>
    <t>T-GMYXLM2-00F-LN</t>
  </si>
  <si>
    <t>T-GMYXLM2-00F</t>
  </si>
  <si>
    <t>T-GMYXLM1-88S</t>
  </si>
  <si>
    <t>S-Size, 3rd Seat Upright; Heavy Duty Table</t>
  </si>
  <si>
    <t>T-GMYXLM1-21S-HT</t>
  </si>
  <si>
    <t>T-GMYXLM1-21S</t>
  </si>
  <si>
    <t>Yukon XL Magnum 1 Dwr</t>
  </si>
  <si>
    <t>T-GMYXLM1-21F-TF</t>
  </si>
  <si>
    <t>S-Size, Tbl Ext</t>
  </si>
  <si>
    <t>T-GMYXLM1-15S-PT</t>
  </si>
  <si>
    <t>T-GMYXLM1-15S-HT</t>
  </si>
  <si>
    <t>T-GMYXLM1-15S</t>
  </si>
  <si>
    <t>Yukon Mag 1 Dwr</t>
  </si>
  <si>
    <t>T-GMYXLM1-15M-CR</t>
  </si>
  <si>
    <t>T-GMYXLM1-15M</t>
  </si>
  <si>
    <t>T-GMYXLM1-12S-PT</t>
  </si>
  <si>
    <t>T-GMYXLM1-12S</t>
  </si>
  <si>
    <t>M-Size, 3rd Row seat removed</t>
  </si>
  <si>
    <t>T-GMYXLM1-12M</t>
  </si>
  <si>
    <t>T-GMYXLM1-07S-HT</t>
  </si>
  <si>
    <t>T-GMYXLM1-07S</t>
  </si>
  <si>
    <t>T-GMYXLM1-07M</t>
  </si>
  <si>
    <t>T-GMYXLM1-00S</t>
  </si>
  <si>
    <t>T-GMYXLM0-21S</t>
  </si>
  <si>
    <t>Yukon XL Emergency Response 8</t>
  </si>
  <si>
    <t>F-GMYXLN2-00N-C2-ER8</t>
  </si>
  <si>
    <t>Yukon XL Responder 6</t>
  </si>
  <si>
    <t>D-GMYXLN2-21N-TR-HT-C1-DR6</t>
  </si>
  <si>
    <t>Yukon XL Surveyor</t>
  </si>
  <si>
    <t>C-GMYXLU2-21F-VP</t>
  </si>
  <si>
    <t>F-Size, Prisoner Cage, Std 2 Dwr Top</t>
  </si>
  <si>
    <t>C-GMYXLS2-07F-PP-VF</t>
  </si>
  <si>
    <t>Yukon XL Chief LX CC</t>
  </si>
  <si>
    <t>C-GMYXLN6-15C</t>
  </si>
  <si>
    <t>C-GMYXLN6-12C </t>
  </si>
  <si>
    <t>C-GMYXLN6-07C</t>
  </si>
  <si>
    <t>C-GMYXLN6-00C</t>
  </si>
  <si>
    <t>C-GMYXLN5-21C-TR</t>
  </si>
  <si>
    <t>Yukon XL Tac Ctr</t>
  </si>
  <si>
    <t>C-GMYXLN5-15T-PT</t>
  </si>
  <si>
    <t>Tray/3rd Row Removed</t>
  </si>
  <si>
    <t>Yukon XL Captain LX CC</t>
  </si>
  <si>
    <t>C-GMYXLN5-15P</t>
  </si>
  <si>
    <t>C-GMYXLN5-12C</t>
  </si>
  <si>
    <t>C-GMYXLN5-07C</t>
  </si>
  <si>
    <t>C-GMYXLN5-00C</t>
  </si>
  <si>
    <t>F-Size, 5 Open Compartments</t>
  </si>
  <si>
    <t>C-GMYXLN4-07F-VF</t>
  </si>
  <si>
    <t>Yukon XL Captain CC</t>
  </si>
  <si>
    <t>C-GMYXLN4-00P</t>
  </si>
  <si>
    <t>Yukon XL Field Ranger</t>
  </si>
  <si>
    <t>C-GMYXLN3-15R</t>
  </si>
  <si>
    <t>Yukon XL Emergency Response 2</t>
  </si>
  <si>
    <t>C-GMYXLN3-15N-C1-ER2</t>
  </si>
  <si>
    <t>Yukon XL Bow Hunter</t>
  </si>
  <si>
    <t>C-GMYXLN3-15M-BH</t>
  </si>
  <si>
    <t>Yukon XL Investigator</t>
  </si>
  <si>
    <t>C-GMYXLN3-15I</t>
  </si>
  <si>
    <t>C-GMYXLN3-15F-BH</t>
  </si>
  <si>
    <t>Tray/3rd Removed, Tbl Ext</t>
  </si>
  <si>
    <t>Yukon XL Special Ops Ctr</t>
  </si>
  <si>
    <t>C-GMYXLN3-15D-PT</t>
  </si>
  <si>
    <t>C-GMYXLN3-15D</t>
  </si>
  <si>
    <t>GMC Yukon XL</t>
  </si>
  <si>
    <t>C-GMYXLN3-12R</t>
  </si>
  <si>
    <t>C-GMYXLN3-12I</t>
  </si>
  <si>
    <t>C-GMYXLN3-07R-PT</t>
  </si>
  <si>
    <t>C-GMYXLN3-07R</t>
  </si>
  <si>
    <t>C-GMYXLN3-07I</t>
  </si>
  <si>
    <t>C-GMYXLN3-00R-PT</t>
  </si>
  <si>
    <t>C-GMYXLN3-00I-PT</t>
  </si>
  <si>
    <t>Tbl Ext, No Seat Brkt</t>
  </si>
  <si>
    <t>C-GMYXLN3-00I-LN-PT</t>
  </si>
  <si>
    <t>C-GMYXLN3-00I</t>
  </si>
  <si>
    <t>C-GMYXLM2-21F-VP</t>
  </si>
  <si>
    <t>Yukon XL</t>
  </si>
  <si>
    <t>Terrain Utility 1 Dwr</t>
  </si>
  <si>
    <t>T-GMTERU1-18N-HG</t>
  </si>
  <si>
    <t>Terrain Utility1 Dwr</t>
  </si>
  <si>
    <t>T-GMTERU1-18N</t>
  </si>
  <si>
    <t>T-GMTERU1-10N-HG</t>
  </si>
  <si>
    <t>Terrain Std OS Dwr</t>
  </si>
  <si>
    <t>T-GMTERSO-18N</t>
  </si>
  <si>
    <t>Terrain Std 2 Dwr</t>
  </si>
  <si>
    <t>T-GMTERS2-18N</t>
  </si>
  <si>
    <t>T-GMTERS2-10N</t>
  </si>
  <si>
    <t>Terrain Std 1 Dwr</t>
  </si>
  <si>
    <t>T-GMTERS1-18N-HG</t>
  </si>
  <si>
    <t>T-GMTERS1-18N</t>
  </si>
  <si>
    <t>T-GMTERS1-10N-HG</t>
  </si>
  <si>
    <t>T-GMTERS1-10N</t>
  </si>
  <si>
    <t>Terrain Mag OS Dwr</t>
  </si>
  <si>
    <t>T-GMTERMO-18N</t>
  </si>
  <si>
    <t>Terrain Mag Offset Dwr</t>
  </si>
  <si>
    <t>T-GMTERMO-10N</t>
  </si>
  <si>
    <t>Terrain Mag 2 Dwr</t>
  </si>
  <si>
    <t>T-GMTERM2-10N-PT</t>
  </si>
  <si>
    <t>T-GMTERM2-10N</t>
  </si>
  <si>
    <t>Terrain Mag 1 Dwr</t>
  </si>
  <si>
    <t>T-GMTERM1-18N-HT</t>
  </si>
  <si>
    <t>T-GMTERM1-18N-HG</t>
  </si>
  <si>
    <t>T-GMTERM1-18N</t>
  </si>
  <si>
    <t>T-GMTERM1-10N-HG</t>
  </si>
  <si>
    <t>T-GMTERM1-10N</t>
  </si>
  <si>
    <t>Terrain Investigator</t>
  </si>
  <si>
    <t>C-GMTERN3-18I</t>
  </si>
  <si>
    <t>Terrain Special Ops Ctr</t>
  </si>
  <si>
    <t>C-GMTERN3-18D</t>
  </si>
  <si>
    <t>Terrain Field Ranger</t>
  </si>
  <si>
    <t>C-GMTERN3-10R</t>
  </si>
  <si>
    <t>C-GMTERN3-10I</t>
  </si>
  <si>
    <t>Terrain Investigator 2 drawer</t>
  </si>
  <si>
    <t>C-GMTERN2-18I</t>
  </si>
  <si>
    <t>C-GMTERN2-10I</t>
  </si>
  <si>
    <t>Terrain</t>
  </si>
  <si>
    <t>Suburban Std OS Dwr</t>
  </si>
  <si>
    <t>T-GMSUBSO-88S</t>
  </si>
  <si>
    <t>T-GMSUBSO-88M</t>
  </si>
  <si>
    <t>T-GMSUBSO-88F</t>
  </si>
  <si>
    <t>T-GMSUBSO-00S</t>
  </si>
  <si>
    <t>T-GMSUBSO-00M</t>
  </si>
  <si>
    <t>T-GMSUBSO-00F</t>
  </si>
  <si>
    <t>Suburban Std 2 Dwr</t>
  </si>
  <si>
    <t>T-GMSUBS2-88S</t>
  </si>
  <si>
    <t>T-GMSUBS2-88M</t>
  </si>
  <si>
    <t>T-GMSUBS2-88F</t>
  </si>
  <si>
    <t>T-GMSUBS2-00S</t>
  </si>
  <si>
    <t>T-GMSUBS2-00M</t>
  </si>
  <si>
    <t>T-GMSUBS2-00F</t>
  </si>
  <si>
    <t>Suburban Std 1 Dwr</t>
  </si>
  <si>
    <t>T-GMSUBS1-88S</t>
  </si>
  <si>
    <t>T-GMSUBS1-12S</t>
  </si>
  <si>
    <t>T-GMSUBS1-00S</t>
  </si>
  <si>
    <t>Suburban Mag OS Dwr</t>
  </si>
  <si>
    <t>T-GMSUBMO-00S</t>
  </si>
  <si>
    <t>T-GMSUBMO-00M</t>
  </si>
  <si>
    <t>T-GMSUBMO-00F</t>
  </si>
  <si>
    <t>Suburban Mag 2 Dwr</t>
  </si>
  <si>
    <t>T-GMSUBM2-88M</t>
  </si>
  <si>
    <t>T-GMSUBM2-00S</t>
  </si>
  <si>
    <t>T-GMSUBM2-00M</t>
  </si>
  <si>
    <t>T-GMSUBM2-00F-PT</t>
  </si>
  <si>
    <t>T-GMSUBM2-00F</t>
  </si>
  <si>
    <t>S-Size,with Table Extention</t>
  </si>
  <si>
    <t>Suburban Mag 1 Dwr</t>
  </si>
  <si>
    <t>T-GMSUBM1-88S-PT</t>
  </si>
  <si>
    <t>T-GMSUBM1-88S</t>
  </si>
  <si>
    <t>T-GMSUBM1-00S</t>
  </si>
  <si>
    <t>Suburban</t>
  </si>
  <si>
    <t>Sonoma Pickup Std 2 Dwr</t>
  </si>
  <si>
    <t>T-GMSSES2-99L-PW</t>
  </si>
  <si>
    <t>T-GMSSES2-99L</t>
  </si>
  <si>
    <t>T-GMSSES2-94S-PW</t>
  </si>
  <si>
    <t>T-GMSSES2-94S</t>
  </si>
  <si>
    <t>Sonoma Pickup Mag 2 Dwr</t>
  </si>
  <si>
    <t>T-GMSSEM2-99L</t>
  </si>
  <si>
    <t>Sonoma Pickup</t>
  </si>
  <si>
    <t>5' 8" Bed, Crew Cab</t>
  </si>
  <si>
    <t>Sierra Pickup Ext Offset Dwr</t>
  </si>
  <si>
    <t>T-GMSRAEO-07S-PC</t>
  </si>
  <si>
    <t>5.5' Short Bed</t>
  </si>
  <si>
    <t>Sierra Pickup Base Camp 1</t>
  </si>
  <si>
    <t>B-GMSRAN2-19S-PC-BC1</t>
  </si>
  <si>
    <t>5' 6", S-Crew, All Wthr; Carbon Bed, Retrax Drivers Side</t>
  </si>
  <si>
    <t>Sierra Mag 1 Dwr Half Width</t>
  </si>
  <si>
    <t>T-GMSRAM1-19S-PC-CB-RX-HD-PW</t>
  </si>
  <si>
    <t>5' 8" Bed, Carbon Body, All Weather</t>
  </si>
  <si>
    <t>Sierra Pickup Ext 2 Dwr</t>
  </si>
  <si>
    <t>T-GMSRAE2-19S-PC-CB-PW</t>
  </si>
  <si>
    <t>5' 8" Bed, Driver Side</t>
  </si>
  <si>
    <t>Sierra Utl 1 Dwr Half Width</t>
  </si>
  <si>
    <t>T-GMSRAU1-19S-PC-HD</t>
  </si>
  <si>
    <t>5' 8" Bed, Carbon Body</t>
  </si>
  <si>
    <t>T-GMSRAE2-19S-PC-CB</t>
  </si>
  <si>
    <t>Mounts to TruckGlide</t>
  </si>
  <si>
    <t>Professional Line 1</t>
  </si>
  <si>
    <t>C-GMSRAN3-19S-TG-PL1</t>
  </si>
  <si>
    <t>5' 8" Bed; Retrax ; A/W</t>
  </si>
  <si>
    <t>Sierra Pickup Field Ranger</t>
  </si>
  <si>
    <t>C-GMSRAN3-19S-PC-CR-RX-PW</t>
  </si>
  <si>
    <t>5' 8" Bed, Crew Cab, Logo</t>
  </si>
  <si>
    <t>Sierra Pickup Std 2 Dwr</t>
  </si>
  <si>
    <t>T-GMSRAS2-19S-PC-PL</t>
  </si>
  <si>
    <t>Mounted to TG1500X-6548</t>
  </si>
  <si>
    <t>Professional Line 2</t>
  </si>
  <si>
    <t>C-GMSRAN4-19S-PC-TG-PL2</t>
  </si>
  <si>
    <t>5' 8" Bed, Carbon Body; Step</t>
  </si>
  <si>
    <t>T-GMSRAS2-19S-PC-CB-PF-PW</t>
  </si>
  <si>
    <t>6'6", All Wthr; Driver Side</t>
  </si>
  <si>
    <t>Sierra Ext 1 Dwr Half Width</t>
  </si>
  <si>
    <t>T-GMSRAE1-19S-HD-PW</t>
  </si>
  <si>
    <t>BowVault, 5.5', Retrax, All Weather</t>
  </si>
  <si>
    <t>Sierra Pickup</t>
  </si>
  <si>
    <t>C-GMSRAN3-19S-PC-BH-RX-PW</t>
  </si>
  <si>
    <t>Sierra Pickup Utility 2 Dwr Offset</t>
  </si>
  <si>
    <t>T-GMSRAUO-19S-PW</t>
  </si>
  <si>
    <t>5' 8" Bed, Crew Cab, AW (New)</t>
  </si>
  <si>
    <t>Sierra Pickup Utility Offset Dwr</t>
  </si>
  <si>
    <t>T-GMSRAUO-19S-PC-PW</t>
  </si>
  <si>
    <t>5' 8" Bed, Crew Cab, AW, Spray Logo</t>
  </si>
  <si>
    <t>T-GMSRAUO-19S-PC-PL-PW</t>
  </si>
  <si>
    <t>5' 8" Bed, Crew Cab, Spray Logo</t>
  </si>
  <si>
    <t>T-GMSRAUO-19S-PC-PL</t>
  </si>
  <si>
    <t>5' 8" Bed, Crew Cab, AW, Folding Step</t>
  </si>
  <si>
    <t>T-GMSRAUO-19S-PC-PF-PW</t>
  </si>
  <si>
    <t>5' 8" Bed, Crew Cab, A-Wthr, Retrax, Carbon bed</t>
  </si>
  <si>
    <t>Sierra Pickup Utility OS Dwr</t>
  </si>
  <si>
    <t>T-GMSRAUO-19S-PC-CB-RX-PW</t>
  </si>
  <si>
    <t>5' 6" Bed, AW</t>
  </si>
  <si>
    <t>T-GMSRAUO-19S-PC-CB-PW</t>
  </si>
  <si>
    <t>T-GMSRAUO-19S-PC-CB</t>
  </si>
  <si>
    <t>5' 8" Bed, Crew Cab (New)</t>
  </si>
  <si>
    <t>T-GMSRAUO-19S-PC</t>
  </si>
  <si>
    <t>Short Bed, A-Wthr Logo</t>
  </si>
  <si>
    <t>T-GMSRAUO-15S-PL-PW</t>
  </si>
  <si>
    <t>6' 6" Short Bed , Spray Logo</t>
  </si>
  <si>
    <t>T-GMSRAUO-15S-PL</t>
  </si>
  <si>
    <t>5' 8" Bed, CC, Spray Logo, AW</t>
  </si>
  <si>
    <t>T-GMSRAUO-15S-PC-PL-PW</t>
  </si>
  <si>
    <t>6' 6" Short Bed; All-Weather</t>
  </si>
  <si>
    <t>T-GMSRAUO-07S-PW</t>
  </si>
  <si>
    <t>5' 8" Bed, Crew Cab, A-Wthr</t>
  </si>
  <si>
    <t>Sierra Pickup Utility 2 Dwr</t>
  </si>
  <si>
    <t>T-GMSRAUO-07S-PC-PW</t>
  </si>
  <si>
    <t>6' 6" Short Bed (New)</t>
  </si>
  <si>
    <t>T-GMSRAUO-07S</t>
  </si>
  <si>
    <t>8' Long Bed, A-Wthr</t>
  </si>
  <si>
    <t>T-GMSRAUO-07L-PW</t>
  </si>
  <si>
    <t>Sierra Pickup Utility  Offset Dwr</t>
  </si>
  <si>
    <t>T-GMSRAUO-07L</t>
  </si>
  <si>
    <t>8' Long Bed, A-Wthr, Retrax</t>
  </si>
  <si>
    <t>T-GMSRAU2-99L-PW-RX</t>
  </si>
  <si>
    <t>T-GMSRAU2-99L-PW</t>
  </si>
  <si>
    <t>T-GMSRAU2-19S-PW</t>
  </si>
  <si>
    <t>T-GMSRAU2-19S-PL-PW</t>
  </si>
  <si>
    <t>Short Bed, A-Wthr; Folding Step</t>
  </si>
  <si>
    <t>T-GMSRAU2-19S-PF-PW</t>
  </si>
  <si>
    <t>Sierra Pickup Utility 2 Dwr ReTrax</t>
  </si>
  <si>
    <t>T-GMSRAU2-19S-PC-RX-PW</t>
  </si>
  <si>
    <t>T-GMSRAU2-19S-PC-PW</t>
  </si>
  <si>
    <t>5' 8" Bed, Crew Cab; Table Extension</t>
  </si>
  <si>
    <t>T-GMSRAU2-19S-PC-PT</t>
  </si>
  <si>
    <t>5' 8" Bed, Crew Cab, Folding Step</t>
  </si>
  <si>
    <t>T-GMSRAU2-19S-PC-PF</t>
  </si>
  <si>
    <t>5' 8" Bed, Carbon Bed, AW (New)</t>
  </si>
  <si>
    <t>T-GMSRAU2-19S-PC-CB-PW</t>
  </si>
  <si>
    <t>5' 8" Bed, Crew Carbon Bed</t>
  </si>
  <si>
    <t>T-GMSRAU2-19S-PC-CB</t>
  </si>
  <si>
    <t>T-GMSRAU2-19S-PC</t>
  </si>
  <si>
    <t>SB, A-Wthr, Carbon Fiber Bed</t>
  </si>
  <si>
    <t>T-GMSRAU2-19S-CB-PW</t>
  </si>
  <si>
    <t>Short Bed, New Body Style</t>
  </si>
  <si>
    <t>T-GMSRAU2-19S</t>
  </si>
  <si>
    <t>8' Long Bed, A-Wthr (New)</t>
  </si>
  <si>
    <t>T-GMSRAU2-19L-PW</t>
  </si>
  <si>
    <t>T-GMSRAU2-15S-PL-PW</t>
  </si>
  <si>
    <t>T-GMSRAU2-15S-PL</t>
  </si>
  <si>
    <t>T-GMSRAU2-15S-PC-PL-PW</t>
  </si>
  <si>
    <t>5' 8" Bed, Crew Cab; Bed Spray</t>
  </si>
  <si>
    <t>T-GMSRAU2-15S-PC-PL</t>
  </si>
  <si>
    <t>8' Long Bed, A-Wthr, Spray Logo</t>
  </si>
  <si>
    <t>T-GMSRAU2-15L-PL-PW</t>
  </si>
  <si>
    <t>Short Bed, A-Wthr Retrax</t>
  </si>
  <si>
    <t>T-GMSRAU2-07S-RX-PW</t>
  </si>
  <si>
    <t>T-GMSRAU2-07S-PW</t>
  </si>
  <si>
    <t>T-GMSRAU2-07S-PC-PW</t>
  </si>
  <si>
    <t>T-GMSRAU2-07S</t>
  </si>
  <si>
    <t>T-GMSRAU2-07L-PW</t>
  </si>
  <si>
    <t>T-GMSRAU2-04S-PC</t>
  </si>
  <si>
    <t>5' 6", All Wthr;Passenger Side</t>
  </si>
  <si>
    <t>Sierra Utility 1 Dwr Half Width</t>
  </si>
  <si>
    <t>T-GMSRAU1-19S-PC-HP-PW</t>
  </si>
  <si>
    <t>5' 8" Bed, Passenger Side</t>
  </si>
  <si>
    <t>T-GMSRAU1-19S-PC-HP</t>
  </si>
  <si>
    <t>5' 8", All Wthr; Driver Side</t>
  </si>
  <si>
    <t>T-GMSRAU1-19S-PC-HD-PW</t>
  </si>
  <si>
    <t>5' 8", All Wthr; Driver Side, Tailgate Step</t>
  </si>
  <si>
    <t>T-GMSRAU1-19S-PC-HD-PF-PW</t>
  </si>
  <si>
    <t>T-GMSRAU1-19S-PC-HD-PF-PL-PW</t>
  </si>
  <si>
    <t>6'6", All Wthr; Passenger Side</t>
  </si>
  <si>
    <t>T-GMSRAU1-19S-HP-PW</t>
  </si>
  <si>
    <t>6'6", All Wthr; Driver Side; Spray Logo</t>
  </si>
  <si>
    <t>T-GMSRAU1-15S-PL-HD-PW</t>
  </si>
  <si>
    <t>T-GMSRAU1-15S-HP-PL-PW</t>
  </si>
  <si>
    <t>T-GMSRAU1-07S-HP-PW</t>
  </si>
  <si>
    <t>6' 6" Bed, Passenger Side</t>
  </si>
  <si>
    <t>T-GMSRAU1-07S-HP</t>
  </si>
  <si>
    <t>Sierra Pickup Std 2 Dwr Offset</t>
  </si>
  <si>
    <t>T-GMSRASO-19S-PW</t>
  </si>
  <si>
    <t>T-GMSRASO-19S-PC-PW</t>
  </si>
  <si>
    <t>5' 8" Bed, Crew Cab, All-Wthr</t>
  </si>
  <si>
    <t>Sierra Pickup Std OS Dwr</t>
  </si>
  <si>
    <t>T-GMSRASO-19S-PC-PL-PF-PW</t>
  </si>
  <si>
    <t>T-GMSRASO-19S-PC-PL</t>
  </si>
  <si>
    <t>5' 8" Bed, Crew Cab, AW, foliding step</t>
  </si>
  <si>
    <t>T-GMSRASO-19S-PC-PF-PW</t>
  </si>
  <si>
    <t>T-GMSRASO-19S-PC-PF</t>
  </si>
  <si>
    <t>T-GMSRASO-19S-PC</t>
  </si>
  <si>
    <t>Long Bed, All-Wthr</t>
  </si>
  <si>
    <t>Sierra Pickup Std Offset Dwr</t>
  </si>
  <si>
    <t>T-GMSRASO-19L-PW</t>
  </si>
  <si>
    <t>Long Bed, All-Wthr, Logo</t>
  </si>
  <si>
    <t>T-GMSRASO-19L-PL-PW</t>
  </si>
  <si>
    <t>6' 6" Bed, All Weather; Logo</t>
  </si>
  <si>
    <t>T-GMSRASO-15S-PL-PW</t>
  </si>
  <si>
    <t>6' 6" Bed; Logo</t>
  </si>
  <si>
    <t>T-GMSRASO-15S-PL</t>
  </si>
  <si>
    <t>5' 8" Crew Cab, Logo, All-Wthr</t>
  </si>
  <si>
    <t>T-GMSRASO-15S-PC-PL-PW</t>
  </si>
  <si>
    <t>T-GMSRASO-15S-PC-PL</t>
  </si>
  <si>
    <t>T-GMSRASO-15L-PL-PW</t>
  </si>
  <si>
    <t>6' 6" Bed, All Weather</t>
  </si>
  <si>
    <t>T-GMSRASO-07S-PW</t>
  </si>
  <si>
    <t>T-GMSRASO-07S-PC-PW</t>
  </si>
  <si>
    <t>T-GMSRASO-07S-PC</t>
  </si>
  <si>
    <t>6' 6" Bed</t>
  </si>
  <si>
    <t>T-GMSRASO-07S</t>
  </si>
  <si>
    <t>T-GMSRASO-07L-PW</t>
  </si>
  <si>
    <t>T-GMSRASO-07L</t>
  </si>
  <si>
    <t>T-GMSRASO-04S-PC-PW</t>
  </si>
  <si>
    <t>T-GMSRASO-04S-PC</t>
  </si>
  <si>
    <t>6' 6" Short Bed, Retrax</t>
  </si>
  <si>
    <t>T-GMSRAS2-19S-RX</t>
  </si>
  <si>
    <t>T-GMSRAS2-19S-PW</t>
  </si>
  <si>
    <t>T-GMSRAS2-19S-PL</t>
  </si>
  <si>
    <t>6' 6" Bed, Crew Cab, AW, Tailgate Step</t>
  </si>
  <si>
    <t>T-GMSRAS2-19S-PF-PW</t>
  </si>
  <si>
    <t>5' 8" Bed, Tailgate Handle</t>
  </si>
  <si>
    <t>T-GMSRAS2-19S-PF</t>
  </si>
  <si>
    <t>5' 8" Bed, Crew Cab, AW, Retrax</t>
  </si>
  <si>
    <t>T-GMSRAS2-19S-PC-RX-PW</t>
  </si>
  <si>
    <t>T-GMSRAS2-19S-PC-PW</t>
  </si>
  <si>
    <t>5' 5" Bed, Crew Cab, AW, Tailgate Step</t>
  </si>
  <si>
    <t>T-GMSRAS2-19S-PC-PF-PW</t>
  </si>
  <si>
    <t>5' 5" Bed, Crew Cab, Tailgate Step</t>
  </si>
  <si>
    <t>T-GMSRAS2-19S-PC-PF</t>
  </si>
  <si>
    <t>5' 8" Bed, Crew Cab, HD Table</t>
  </si>
  <si>
    <t>T-GMSRAS2-19S-PC-HT</t>
  </si>
  <si>
    <t>T-GMSRAS2-19S-PC-CB-PW</t>
  </si>
  <si>
    <t>5' 5" Bed, Crew Cab, Tailgate Step, Carbon Body</t>
  </si>
  <si>
    <t>T-GMSRAS2-19S-PC-CB-PF</t>
  </si>
  <si>
    <t>5' 8" Bed, Carbon Bed</t>
  </si>
  <si>
    <t>T-GMSRAS2-19S-PC-CB</t>
  </si>
  <si>
    <t>T-GMSRAS2-19S-PC</t>
  </si>
  <si>
    <t>T-GMSRAS2-19S</t>
  </si>
  <si>
    <t>T-GMSRAS2-19L</t>
  </si>
  <si>
    <t>Short Bed, A-Wthr; Logo</t>
  </si>
  <si>
    <t>T-GMSRAS2-15S-PL-PW</t>
  </si>
  <si>
    <t>T-GMSRAS2-15S-PL</t>
  </si>
  <si>
    <t>5' 8" Bed, Crew, A-Wthr, Retrax</t>
  </si>
  <si>
    <t>T-GMSRAS2-15S-PC-PL-RX-PW</t>
  </si>
  <si>
    <t>Sierra Pickup Std 2 Dwr Retrax</t>
  </si>
  <si>
    <t>T-GMSRAS2-15S-PC-PL-RX</t>
  </si>
  <si>
    <t>5' 8" Bed, Crew, A-Wthr, Spray</t>
  </si>
  <si>
    <t>T-GMSRAS2-15S-PC-PL-PW</t>
  </si>
  <si>
    <t>T-GMSRAS2-15S-PC-PL</t>
  </si>
  <si>
    <t>8' LB, Spray Logo, A-Wthr</t>
  </si>
  <si>
    <t>T-GMSRAS2-15L-PL-PW</t>
  </si>
  <si>
    <t>Long Bed; Logo</t>
  </si>
  <si>
    <t>T-GMSRAS2-15L-PL</t>
  </si>
  <si>
    <t>T-GMSRAS2-07S-RX-PW</t>
  </si>
  <si>
    <t>T-GMSRAS2-07S-PW</t>
  </si>
  <si>
    <t>6' 6" Bed, Table Ext</t>
  </si>
  <si>
    <t>T-GMSRAS2-07S-PT</t>
  </si>
  <si>
    <t>T-GMSRAS2-07S-PC-PW</t>
  </si>
  <si>
    <t>5' 8" Bed, Crew Cab; Table Ext</t>
  </si>
  <si>
    <t>T-GMSRAS2-07S-PC-PT</t>
  </si>
  <si>
    <t>T-GMSRAS2-07S-PC</t>
  </si>
  <si>
    <t>T-GMSRAS2-07S</t>
  </si>
  <si>
    <t>T-GMSRAS2-07L-PW</t>
  </si>
  <si>
    <t>T-GMSRAS2-07L</t>
  </si>
  <si>
    <t>T-GMSRAS2-04S-PC-PW</t>
  </si>
  <si>
    <t>T-GMSRAS2-04S-PC</t>
  </si>
  <si>
    <t>5' 6", All Wthr; Passenger Side; Retrax</t>
  </si>
  <si>
    <t>Sierra Std 1 Dwr Half Width</t>
  </si>
  <si>
    <t>T-GMSRAS1-19S-PC-HP-RX-PW</t>
  </si>
  <si>
    <t>5' 6", All Wthr; Passenger Side</t>
  </si>
  <si>
    <t>T-GMSRAS1-19S-PC-HP-PW</t>
  </si>
  <si>
    <t>T-GMSRAS1-19S-PC-HP</t>
  </si>
  <si>
    <t>5' 6", All Wthr; Drivers Side</t>
  </si>
  <si>
    <t>T-GMSRAS1-19S-PC-HD-PW</t>
  </si>
  <si>
    <t>5' 8" Bed, Drivers Side</t>
  </si>
  <si>
    <t>T-GMSRAS1-19S-PC-HD</t>
  </si>
  <si>
    <t>T-GMSRAS1-19S-PC</t>
  </si>
  <si>
    <t>T-GMSRAS1-19S-HP-PW</t>
  </si>
  <si>
    <t>6' 6" Bed, Passengers Side</t>
  </si>
  <si>
    <t>T-GMSRAS1-19S-HP</t>
  </si>
  <si>
    <t>Short Bed, Drivers Side, Folding step</t>
  </si>
  <si>
    <t>T-GMSRAS1-19S-HD-PF</t>
  </si>
  <si>
    <t>5' 6", All Wthr; Passenger's Side</t>
  </si>
  <si>
    <t>T-GMSRAS1-15S-PL-HP-PW</t>
  </si>
  <si>
    <t>6'6", All Wthr; Driver's Side</t>
  </si>
  <si>
    <t>T-GMSRAS1-15S-PL-HD-PW</t>
  </si>
  <si>
    <t>5' 6", All Wthr; Driver's Side</t>
  </si>
  <si>
    <t>T-GMSRAS1-15S-PC-PL-HD-PW</t>
  </si>
  <si>
    <t>T-GMSRAS1-07S-PC-HD</t>
  </si>
  <si>
    <t>T-GMSRAS1-07S-HP-PW</t>
  </si>
  <si>
    <t>T-GMSRAS1-07S-HP</t>
  </si>
  <si>
    <t>6'6", All Wthr; Drivers Side</t>
  </si>
  <si>
    <t>T-GMSRAS1-07S-HD-PW</t>
  </si>
  <si>
    <t>6' 6" Bed, Drivers Side</t>
  </si>
  <si>
    <t>T-GMSRAS1-07S-HD</t>
  </si>
  <si>
    <t>8' Long Bed, A-Wthr; Half Width Drivers Side</t>
  </si>
  <si>
    <t>Sierra Pickup Std 1 Dwr</t>
  </si>
  <si>
    <t>T-GMSRAS1-07L-HD-PW</t>
  </si>
  <si>
    <t>6.5' Bed, A-Wthr</t>
  </si>
  <si>
    <t>Sierra Pickup Mag OS Dwr</t>
  </si>
  <si>
    <t>T-GMSRAMO-19S-PW</t>
  </si>
  <si>
    <t>6' 6"  Shortened for Tailgate Handle  A-Wthr</t>
  </si>
  <si>
    <t>T-GMSRAMO-19S-PF-PW</t>
  </si>
  <si>
    <t>5' 8" Bed, Crew Cab, A-Wthr, Retrax</t>
  </si>
  <si>
    <t>T-GMSRAMO-19S-PC-RX-PW</t>
  </si>
  <si>
    <t>T-GMSRAMO-19S-PC-PW</t>
  </si>
  <si>
    <t>5' 8" Bed, Crew Cab, A-Wthr, Folding Step</t>
  </si>
  <si>
    <t>T-GMSRAMO-19S-PC-PF-PW</t>
  </si>
  <si>
    <t>T-GMSRAMO-19S-PC-CB-RX-PW</t>
  </si>
  <si>
    <t>Sierra Mag Offset drw</t>
  </si>
  <si>
    <t>T-GMSRAMO-19S-PC</t>
  </si>
  <si>
    <t>6' 6" Bed, HD Table</t>
  </si>
  <si>
    <t>T-GMSRAMO-19S-HT</t>
  </si>
  <si>
    <t>T-GMSRAMO-19S</t>
  </si>
  <si>
    <t>Sierra Mag Offset Dwr</t>
  </si>
  <si>
    <t>T-GMSRAMO-15S-PC-PL</t>
  </si>
  <si>
    <t>6' 6" Bed, A-Wthr</t>
  </si>
  <si>
    <t>T-GMSRAMO-07S-PW</t>
  </si>
  <si>
    <t>T-GMSRAMO-07S-PC-PW</t>
  </si>
  <si>
    <t>Sierra Pickup Mag Offset Dwr</t>
  </si>
  <si>
    <t>T-GMSRAMO-07S-PC</t>
  </si>
  <si>
    <t>T-GMSRAMO-07S</t>
  </si>
  <si>
    <t>8" Bed, All-Wthr</t>
  </si>
  <si>
    <t>T-GMSRAMO-07L-PW</t>
  </si>
  <si>
    <t>8" Bed</t>
  </si>
  <si>
    <t>T-GMSRAMO-07L</t>
  </si>
  <si>
    <t>T-GMSRAMO-04S-PC-PW</t>
  </si>
  <si>
    <t>T-GMSRAMO-04S-PC</t>
  </si>
  <si>
    <t>Sierra Pickup Mag 2 Dwr</t>
  </si>
  <si>
    <t>T-GMSRAM2-19S-PW</t>
  </si>
  <si>
    <t>5' 8" Bed, Folding Step, ReTrax</t>
  </si>
  <si>
    <t>T-GMSRAM2-19S-PF-RX</t>
  </si>
  <si>
    <t>SB Shortened for Tailgate Handle, A-Wthr</t>
  </si>
  <si>
    <t>T-GMSRAM2-19S-PF-PW</t>
  </si>
  <si>
    <t>5' 8" Bed</t>
  </si>
  <si>
    <t>T-GMSRAM2-19S-PF</t>
  </si>
  <si>
    <t>T-GMSRAM2-19S-PC-RX-PW</t>
  </si>
  <si>
    <t>T-GMSRAM2-19S-PC-PW</t>
  </si>
  <si>
    <t>T-GMSRAM2-19S-PC-PF-PW</t>
  </si>
  <si>
    <t>5' 8" Bed, Crew Cab,Tailgate Step</t>
  </si>
  <si>
    <t>T-GMSRAM2-19S-PC-PF</t>
  </si>
  <si>
    <t>5' 8" Bed, Carbon Body; Retrax, All Weather</t>
  </si>
  <si>
    <t>T-GMSRAM2-19S-PC-CB-RX-PW</t>
  </si>
  <si>
    <t>5' 8" Bed, Crew Cab, AW, Carbon Body</t>
  </si>
  <si>
    <t>T-GMSRAM2-19S-PC-CB-PW</t>
  </si>
  <si>
    <t>T-GMSRAM2-19S-PC-CB-PF-PW</t>
  </si>
  <si>
    <t>T-GMSRAM2-19S-PC-CB</t>
  </si>
  <si>
    <t>T-GMSRAM2-19S-PC</t>
  </si>
  <si>
    <t>5' 8" Bed, Folding Step, ReTrax, Carbon Body</t>
  </si>
  <si>
    <t>T-GMSRAM2-19S-CB-PF-RX</t>
  </si>
  <si>
    <t>T-GMSRAM2-19S</t>
  </si>
  <si>
    <t>Sierra Pickup Mag  Dwr</t>
  </si>
  <si>
    <t>T-GMSRAM2-19L-PW</t>
  </si>
  <si>
    <t>Sierra Pickup Mag Dwr</t>
  </si>
  <si>
    <t>T-GMSRAM2-19L</t>
  </si>
  <si>
    <t>6' 6" Bed, A-Wthr Shortened for Retrax</t>
  </si>
  <si>
    <t>T-GMSRAM2-07S-RX-PW</t>
  </si>
  <si>
    <t>T-GMSRAM2-07S-PW</t>
  </si>
  <si>
    <t>5' 8" Bed, Crew Cab, Retrax</t>
  </si>
  <si>
    <t>T-GMSRAM2-07S-PC-RX</t>
  </si>
  <si>
    <t>T-GMSRAM2-07S-PC-PW</t>
  </si>
  <si>
    <t>T-GMSRAM2-07S-PC</t>
  </si>
  <si>
    <t>6' 6" Short Bed, HD Table</t>
  </si>
  <si>
    <t>T-GMSRAM2-07S-HT</t>
  </si>
  <si>
    <t>T-GMSRAM2-07S</t>
  </si>
  <si>
    <t>8' Long Bed (New), All Wthr</t>
  </si>
  <si>
    <t>T-GMSRAM2-07L-PW</t>
  </si>
  <si>
    <t>T-GMSRAM2-07L</t>
  </si>
  <si>
    <t>T-GMSRAM2-04S-PC-PW</t>
  </si>
  <si>
    <t>T-GMSRAM2-04S-PC</t>
  </si>
  <si>
    <t>5' 6", All Wthr; Tailgate Step Passenger Side</t>
  </si>
  <si>
    <t>T-GMSRAM1-19S-PC-PF-HP-PW</t>
  </si>
  <si>
    <t>5' 6", All Wthr; Driver Side; Heavy Duty Table</t>
  </si>
  <si>
    <t>T-GMSRAM1-19S-PC-HT-HD-PW</t>
  </si>
  <si>
    <t>T-GMSRAM1-19S-PC-HP</t>
  </si>
  <si>
    <t>5' 6", All Wthr; Tailgate Step, Drivers Side</t>
  </si>
  <si>
    <t>T-GMSRAM1-19S-PC-HD-PW</t>
  </si>
  <si>
    <t>5' 8" Bed, Drivers Side FLAG</t>
  </si>
  <si>
    <t>T-GMSRAM1-19S-PC-HD</t>
  </si>
  <si>
    <t>6' 6", All Wthr; Tailgate Step, Passenger Side</t>
  </si>
  <si>
    <t>T-GMSRAM1-19S-HP-PW</t>
  </si>
  <si>
    <t>6' 6" Bed, Pass Side</t>
  </si>
  <si>
    <t>T-GMSRAM1-19S-HP</t>
  </si>
  <si>
    <t>6' 6" Bed, Driver's Side, Fuse Panel</t>
  </si>
  <si>
    <t>T-GMSRAM1-19S-HD-FP</t>
  </si>
  <si>
    <t>6' 6" Bed, Driver's Side</t>
  </si>
  <si>
    <t>T-GMSRAM1-19S-HD</t>
  </si>
  <si>
    <t>8' Bed, Pass Side</t>
  </si>
  <si>
    <t>T-GMSRAM1-19L-HP</t>
  </si>
  <si>
    <t>Sierra Pickup Mag 1 Dwr</t>
  </si>
  <si>
    <t>T-GMSRAM1-07S-PC-RX</t>
  </si>
  <si>
    <t>T-GMSRAM1-07S-PC-HT-HD-PW</t>
  </si>
  <si>
    <t>T-GMSRAM1-07S-PC-HP-PW</t>
  </si>
  <si>
    <t>5' 8" Bed, Passenger Side FLAG</t>
  </si>
  <si>
    <t>T-GMSRAM1-07S-PC-HP</t>
  </si>
  <si>
    <t>5' 6", All Wthr; Driver Side</t>
  </si>
  <si>
    <t>T-GMSRAM1-07S-PC-HD-PW</t>
  </si>
  <si>
    <t>T-GMSRAM1-07S-HP-PW</t>
  </si>
  <si>
    <t>T-GMSRAM1-07S-HP</t>
  </si>
  <si>
    <t>T-GMSRAM1-07S-HD-PW</t>
  </si>
  <si>
    <t>T-GMKSEU1-99S-HP-PW</t>
  </si>
  <si>
    <t>T-GMKSESO-99S-PW</t>
  </si>
  <si>
    <t>T-GMKSESO-99S-PT</t>
  </si>
  <si>
    <t>T-GMKSESO-99S</t>
  </si>
  <si>
    <t>T-GMKSESO-99L-PW</t>
  </si>
  <si>
    <t>T-GMKSESO-99L</t>
  </si>
  <si>
    <t>T-GMKSESO-88S-PW</t>
  </si>
  <si>
    <t>T-GMKSESO-88L</t>
  </si>
  <si>
    <t>T-GMKSES2-99S-PW</t>
  </si>
  <si>
    <t>T-GMKSES2-99S-PT</t>
  </si>
  <si>
    <t>T-GMKSES2-99S</t>
  </si>
  <si>
    <t>T-GMKSES2-99L-PW</t>
  </si>
  <si>
    <t>T-GMKSES2-99L</t>
  </si>
  <si>
    <t>6' 6" Short Bed, A-Wthr</t>
  </si>
  <si>
    <t>T-GMKSES2-88S-PW</t>
  </si>
  <si>
    <t>T-GMKSES2-88S</t>
  </si>
  <si>
    <t>T-GMKSES2-88L</t>
  </si>
  <si>
    <t>Sierra Pickup Std 1 Dwr Half Width</t>
  </si>
  <si>
    <t>T-GMKSES1-99L-HP</t>
  </si>
  <si>
    <t>T-GMKSEMO-99S-PW</t>
  </si>
  <si>
    <t>Short Bed with Table Extention</t>
  </si>
  <si>
    <t>T-GMKSEMO-99S-PT</t>
  </si>
  <si>
    <t>T-GMKSEMO-99S</t>
  </si>
  <si>
    <t>T-GMKSEMO-99L-PW</t>
  </si>
  <si>
    <t>T-GMKSEMO-99L</t>
  </si>
  <si>
    <t>T-GMKSEMO-88S-PW</t>
  </si>
  <si>
    <t>T-GMKSEMO-88S</t>
  </si>
  <si>
    <t>T-GMKSEMO-88L</t>
  </si>
  <si>
    <t>T-GMKSEM2-99S-PW</t>
  </si>
  <si>
    <t>T-GMKSEM2-99S-PT</t>
  </si>
  <si>
    <t>T-GMKSEM2-99S</t>
  </si>
  <si>
    <t>Long Bed, All-Weather</t>
  </si>
  <si>
    <t>T-GMKSEM2-99L-PW</t>
  </si>
  <si>
    <t>T-GMKSEM2-99L</t>
  </si>
  <si>
    <t>T-GMKSEM2-88L-PW</t>
  </si>
  <si>
    <t>T-GMKSEM1-99S-HP-PW</t>
  </si>
  <si>
    <t>Sierra Pickup SeatVault</t>
  </si>
  <si>
    <t>S-GMSRAN1-19N</t>
  </si>
  <si>
    <t>S-GMSRAL2-19N</t>
  </si>
  <si>
    <t>S-GMSRAL2-15N</t>
  </si>
  <si>
    <t>S-GMSRAL2-07N</t>
  </si>
  <si>
    <t>S-GMSRAL1-19N</t>
  </si>
  <si>
    <t>S-GMSRAL1-15N</t>
  </si>
  <si>
    <t>S-GMSRAL1-07N</t>
  </si>
  <si>
    <t>6.5', Utl 2 Dwr</t>
  </si>
  <si>
    <t>Sierra Pickup Surveyor</t>
  </si>
  <si>
    <t>C-GMSRAU2-19S-VP</t>
  </si>
  <si>
    <t>Short Bed AW Field Ranger</t>
  </si>
  <si>
    <t>Sierra AW Field Ranger</t>
  </si>
  <si>
    <t>C-GMSRAN3-20S-CR-PW</t>
  </si>
  <si>
    <t>5' 8" Bed; Crew Cab; A/W</t>
  </si>
  <si>
    <t>C-GMSRAN3-19S-PC-CR-PW</t>
  </si>
  <si>
    <t>5' 8" Bed; Crew Cab</t>
  </si>
  <si>
    <t>C-GMSRAN3-19S-PC-CR</t>
  </si>
  <si>
    <t>C-GMSRAN3-19S-CR-PW</t>
  </si>
  <si>
    <t>C-GMSRAN3-19S-CR</t>
  </si>
  <si>
    <t>BowVault</t>
  </si>
  <si>
    <t>C-GMSRAN3-07S-PC-BH-PW</t>
  </si>
  <si>
    <t>Sierra Pickup BowHunter</t>
  </si>
  <si>
    <t>C-GMSRAN3-07S-PC-BH</t>
  </si>
  <si>
    <t>C-GMSRAN3-07S-CR-PW</t>
  </si>
  <si>
    <t>GMC Sierra Pickup Field Ranger</t>
  </si>
  <si>
    <t>C-GMSRAN3-07S-CR-PT</t>
  </si>
  <si>
    <t>C-GMSRAN3-07S-CR</t>
  </si>
  <si>
    <t>C-GMSRAN3-07S-BH</t>
  </si>
  <si>
    <t>C-GMSRAN3-07L-BH</t>
  </si>
  <si>
    <t>Mounted to Truckglide</t>
  </si>
  <si>
    <t>Professional Line 3</t>
  </si>
  <si>
    <t>C-GMSRAN2-19S-TG-PL3</t>
  </si>
  <si>
    <t>C-GMSRAN2-07S-VP</t>
  </si>
  <si>
    <t>C-GMKSEN3-04R</t>
  </si>
  <si>
    <t>Sierra Pickup Base Camp 4</t>
  </si>
  <si>
    <t>B-GMSRAN4-19S-PC-BC4</t>
  </si>
  <si>
    <t>B-GMSRAN4-07S-PC-BC4</t>
  </si>
  <si>
    <t>6' 6" Short Bed; Folding Step</t>
  </si>
  <si>
    <t>Sierra Pickup Base Camp 3</t>
  </si>
  <si>
    <t>B-GMSRAN3-19S-PF-BC3</t>
  </si>
  <si>
    <t>Sierra Pickup Base Camp 5</t>
  </si>
  <si>
    <t>B-GMSRAN2-20S-P5-BC5</t>
  </si>
  <si>
    <t>6.5' Heavy Duty, Base Camp 1</t>
  </si>
  <si>
    <t>Sierra HD</t>
  </si>
  <si>
    <t>B-GMSRAN2-20S-P5-BC1</t>
  </si>
  <si>
    <t>8' Heavy Duty</t>
  </si>
  <si>
    <t>B-GMSRAN2-20L-P5-PF-BC1</t>
  </si>
  <si>
    <t>5' 6" Short Bed; Tailgate Step</t>
  </si>
  <si>
    <t>B-GMSRAN2-19S-PC-PF-BC1</t>
  </si>
  <si>
    <t>5' 6" Short Bed; Carbon;Folding Step</t>
  </si>
  <si>
    <t>B-GMSRAN2-19S-PC-CB-PF-BC1</t>
  </si>
  <si>
    <t>5' 6" Short Bed; Carbon</t>
  </si>
  <si>
    <t>B-GMSRAN2-19S-PC-CB-BC1</t>
  </si>
  <si>
    <t>B-GMSRAN2-19S-PC-BC5</t>
  </si>
  <si>
    <t>6.5' Short Bed</t>
  </si>
  <si>
    <t>Sierra Pickup Base Camp 2</t>
  </si>
  <si>
    <t>B-GMSRAN2-19S-BC2</t>
  </si>
  <si>
    <t>B-GMSRAN2-19S-BC1</t>
  </si>
  <si>
    <t>5' 6" Short Bed; Spray Logo</t>
  </si>
  <si>
    <t>B-GMSRAN2-15S-PC-PL-BC1</t>
  </si>
  <si>
    <t>B-GMSRAN2-07S-PC-BC1</t>
  </si>
  <si>
    <t>B-GMSRAN2-07S-BC5</t>
  </si>
  <si>
    <t>B-GMSRAN2-07S-BC2</t>
  </si>
  <si>
    <t>B-GMSRAN2-07S-BC1</t>
  </si>
  <si>
    <t>6'6" Short Bed; Half Width Passenger Side</t>
  </si>
  <si>
    <t>Sierra Base Camp 1</t>
  </si>
  <si>
    <t>B-GMSRAN1-07S-HP-BC1</t>
  </si>
  <si>
    <t>B-GMKSEN2-99S-BC1</t>
  </si>
  <si>
    <t>B-GMKSEN2-99L-BC1</t>
  </si>
  <si>
    <t>6' 6" Bed, Half Driver</t>
  </si>
  <si>
    <t>Sierra 2500 Pickup Mag 1 Dwr</t>
  </si>
  <si>
    <t>T-GMSRAE1-20S-P5-HD</t>
  </si>
  <si>
    <t>8' Long Bed, Gooseneck, All Weather</t>
  </si>
  <si>
    <t>Sierra HD Pickup Mag 3 Dwr</t>
  </si>
  <si>
    <t>T-GMSRAM3-20L-P5-C2-GN-PW</t>
  </si>
  <si>
    <t>6.5' Bed, AW, Gooseneck, Logo</t>
  </si>
  <si>
    <t>Sierra 2500/3500 Standard 3 Dwr Gooseneck</t>
  </si>
  <si>
    <t>T-GMSRAS3-20S-P5-GN-PL-PW</t>
  </si>
  <si>
    <t>8' Bed, AW, Retrax, Gooseneck</t>
  </si>
  <si>
    <t>Sierra 2500/3500 Utility Gooseneck</t>
  </si>
  <si>
    <t>T-GMSRAU3-20L-P5-C2-GN-RX-PW</t>
  </si>
  <si>
    <t>6' 6"; Passanger Side; Logo, HD</t>
  </si>
  <si>
    <t>T-GMSRAM1-20S-P5-HP-PL</t>
  </si>
  <si>
    <t>8' Bed, AW, Gooseneck</t>
  </si>
  <si>
    <t>T-GMSRAU3-20L-P5-C2-GN-PW</t>
  </si>
  <si>
    <t>6.5' Bed, AW, Gooseneck</t>
  </si>
  <si>
    <t>Sierra 2500/3500 Magnum Gooseneck</t>
  </si>
  <si>
    <t>T-GMSRAM3-20S-P5-C2-GN-PW</t>
  </si>
  <si>
    <t>Sierra 2500/3500 Utility 3 Dwr Gooseneck</t>
  </si>
  <si>
    <t>T-GMSRAU3-20S-P5-GN-PL-PW</t>
  </si>
  <si>
    <t>6' 6" Bed, A-Wthr, Half Driver</t>
  </si>
  <si>
    <t>T-GMSRAE1-20S-P5-HD-PW</t>
  </si>
  <si>
    <t>C-GMSRAN4-20S-P5-TG-PL2</t>
  </si>
  <si>
    <t>6.5' Long Bed, Folding Step, A-Wthr, Logo</t>
  </si>
  <si>
    <t>Sierra 2500/3500 Pickup Utility 2 Dwr</t>
  </si>
  <si>
    <t>T-GMSRAU2-20S-P5-PL-PF-PW</t>
  </si>
  <si>
    <t>6' 6" Bed, A-Wthr, ReTrax, Half Driver</t>
  </si>
  <si>
    <t>T-GMSRAS1-20S-P5-HD-RX-PW</t>
  </si>
  <si>
    <t>T-GMSRAM3-07S-P5-C2-GN-PW</t>
  </si>
  <si>
    <t>6' 8" Short Bed;  All-Weather, Retrax</t>
  </si>
  <si>
    <t>Sierra 2500/3500 Utility OS Dwr</t>
  </si>
  <si>
    <t>T-GMSRAUO-20S-P5-PW-RX</t>
  </si>
  <si>
    <t>6' 8" Short Bed;  All-Weather</t>
  </si>
  <si>
    <t>T-GMSRAUO-20S-P5-PW</t>
  </si>
  <si>
    <t>T-GMSRAUO-20S-P5-PL-PW</t>
  </si>
  <si>
    <t>6' 8" SB Tailgate Step  All-Weather</t>
  </si>
  <si>
    <t>T-GMSRAUO-20S-P5-PF-PW</t>
  </si>
  <si>
    <t>6' 8" Short Bed, Tailgate Step</t>
  </si>
  <si>
    <t>T-GMSRAUO-20S-P5-PF</t>
  </si>
  <si>
    <t>6' 8" Short Bed</t>
  </si>
  <si>
    <t>T-GMSRAUO-20S-P5</t>
  </si>
  <si>
    <t>8' Long Bed, A-Wthr,</t>
  </si>
  <si>
    <t>Sierra 2500/3500 Pickup Utility 2 Dwr Offset</t>
  </si>
  <si>
    <t>T-GMSRAUO-20L-P5-PW</t>
  </si>
  <si>
    <t>8' Long Bed, Logo</t>
  </si>
  <si>
    <t>T-GMSRAUO-20L-P5-PL</t>
  </si>
  <si>
    <t>Sierra 2500/3500 Utility 2  Dwr</t>
  </si>
  <si>
    <t>T-GMSRAU2-20S-P5-PL-PW</t>
  </si>
  <si>
    <t>Short Bed, New Body Style; Logo</t>
  </si>
  <si>
    <t>T-GMSRAU2-20S-P5-PL</t>
  </si>
  <si>
    <t>All-Weather, Handle in bed</t>
  </si>
  <si>
    <t>T-GMSRAU2-20S-P5-PF-PW</t>
  </si>
  <si>
    <t>Handle in bed</t>
  </si>
  <si>
    <t>T-GMSRAU2-20S-P5-PF</t>
  </si>
  <si>
    <t>T-GMSRAU2-20S-P5</t>
  </si>
  <si>
    <t>8' Long Bed, A-Wthr, Logo</t>
  </si>
  <si>
    <t>T-GMSRAU2-20L-P5-PL-PW</t>
  </si>
  <si>
    <t>8' Long Bed, Folding Step, A-Wthr, Logo</t>
  </si>
  <si>
    <t>T-GMSRAU2-20L-P5-PL-PF-PW</t>
  </si>
  <si>
    <t>8' Long Bed, Handle in bed</t>
  </si>
  <si>
    <t>T-GMSRAU2-20L-P5-PF</t>
  </si>
  <si>
    <t>8' Long Bed 2500</t>
  </si>
  <si>
    <t>T-GMSRAU2-20L-P5</t>
  </si>
  <si>
    <t>6' 6" Bed, Driver Side, Logo</t>
  </si>
  <si>
    <t>Sierra HD Utility 1 Dwr Half Width</t>
  </si>
  <si>
    <t>T-GMSRAU1-20S-P5-PL-HD</t>
  </si>
  <si>
    <t>6' 6", All Wthr; Passanger Side; Logo, HD</t>
  </si>
  <si>
    <t>T-GMSRAU1-20S-P5-HP-PL-PW</t>
  </si>
  <si>
    <t>T-GMSRAU1-20S-P5-HP-PF-PW</t>
  </si>
  <si>
    <t>T-GMSRAU1-20S-P5-HP</t>
  </si>
  <si>
    <t>6'6", All Wthr; Passanger Side Carbon</t>
  </si>
  <si>
    <t>T-GMSRAU1-20S-P5-CB-HP-PW</t>
  </si>
  <si>
    <t>Sierra 2500/3500 Std Offset</t>
  </si>
  <si>
    <t>T-GMSRASO-20S-P5-PW</t>
  </si>
  <si>
    <t>Sierra 2500/3500 Std Dwr Offset</t>
  </si>
  <si>
    <t>T-GMSRASO-20S-P5-PL-PW</t>
  </si>
  <si>
    <t>6' 8" Bed</t>
  </si>
  <si>
    <t>T-GMSRASO-20S-P5-PL</t>
  </si>
  <si>
    <t>Sierra 2500/3500 Std OS Dwr</t>
  </si>
  <si>
    <t>T-GMSRASO-20S-P5-PF-PW</t>
  </si>
  <si>
    <t>T-GMSRASO-20S-P5</t>
  </si>
  <si>
    <t>LB, New Body Style Handle in Bed</t>
  </si>
  <si>
    <t>Sierra Std 2 Dwr Offset All-Weather</t>
  </si>
  <si>
    <t>T-GMSRASO-20L-P5-PL-PF-PW</t>
  </si>
  <si>
    <t>T-GMSRASO-20L-P5-PF-PW</t>
  </si>
  <si>
    <t>T-GMSRASO-20L-P5-PF</t>
  </si>
  <si>
    <t>6' 8" Bed ; ReTrax</t>
  </si>
  <si>
    <t>T-GMSRAS2-20S-P5-RX</t>
  </si>
  <si>
    <t>Sierra 2500/3500 Std Dwr</t>
  </si>
  <si>
    <t>T-GMSRAS2-20S-P5-PW</t>
  </si>
  <si>
    <t>T-GMSRAS2-20S-P5-PL-PW</t>
  </si>
  <si>
    <t>T-GMSRAS2-20S-P5-PL</t>
  </si>
  <si>
    <t>6' 8" Short Bed;  All-Weather, Folding Step</t>
  </si>
  <si>
    <t>T-GMSRAS2-20S-P5-PF-PW</t>
  </si>
  <si>
    <t>6' 8" Bed Taigate Step</t>
  </si>
  <si>
    <t>T-GMSRAS2-20S-P5-PF</t>
  </si>
  <si>
    <t>6' 8" SB Carbon Body;  All-Weather</t>
  </si>
  <si>
    <t>T-GMSRAS2-20S-P5-CB-PW</t>
  </si>
  <si>
    <t>T-GMSRAS2-20S-P5</t>
  </si>
  <si>
    <t>Long Bed, New Body Style, Folding Step</t>
  </si>
  <si>
    <t>T-GMSRAS2-20L-PL-P5-PF</t>
  </si>
  <si>
    <t>Long Bed, New Body Style</t>
  </si>
  <si>
    <t>T-GMSRAS2-20L-PL-P5</t>
  </si>
  <si>
    <t>Sierra 2500/3500 Pickup Std 2 Dwr</t>
  </si>
  <si>
    <t>T-GMSRAS2-20L-P5-PW</t>
  </si>
  <si>
    <t>T-GMSRAS2-20L-P5-PL</t>
  </si>
  <si>
    <t>8' Long Bed, A-Wthr, tailgate step</t>
  </si>
  <si>
    <t>T-GMSRAS2-20L-P5-PF-PW</t>
  </si>
  <si>
    <t>6' 6" Bed, Passenger Side Logo</t>
  </si>
  <si>
    <t>Sierra HD Std1 Dwr Half Width</t>
  </si>
  <si>
    <t>T-GMSRAS1-20S-P5-PL-HP</t>
  </si>
  <si>
    <t>6' 6" Bed, Driver's Side Logo, Retrax</t>
  </si>
  <si>
    <t>T-GMSRAS1-20S-P5-PL-HD-RX</t>
  </si>
  <si>
    <t>6' 6" Bed, Driver's Side Logo</t>
  </si>
  <si>
    <t>T-GMSRAS1-20S-P5-PL-HD</t>
  </si>
  <si>
    <t>T-GMSRAS1-20S-P5-HP-PW</t>
  </si>
  <si>
    <t>All Wthr; Passenger Side</t>
  </si>
  <si>
    <t>T-GMSRAS1-20S-P5-HP-PF-PW</t>
  </si>
  <si>
    <t>T-GMSRAS1-20S-P5-HD-PW</t>
  </si>
  <si>
    <t>All Wthr; Driver's Side</t>
  </si>
  <si>
    <t>T-GMSRAS1-20S-P5-HD-PF-PW</t>
  </si>
  <si>
    <t>6' 8" Bed, A-Wthr</t>
  </si>
  <si>
    <t>T-GMSRAMO-20S-P5-PW</t>
  </si>
  <si>
    <t>Sierra 2500/3500 Mag OS Dwr</t>
  </si>
  <si>
    <t>T-GMSRAMO-20S-P5-PL-PW</t>
  </si>
  <si>
    <t>6' 8" Short Bed;  Step, Logo, All-Weather</t>
  </si>
  <si>
    <t>T-GMSRAMO-20S-P5-PF-PL-PW</t>
  </si>
  <si>
    <t>T-GMSRAMO-20S-P5</t>
  </si>
  <si>
    <t>T-GMSRAMO-20L-P5-PW</t>
  </si>
  <si>
    <t>T-GMSRAMO-20L-P5</t>
  </si>
  <si>
    <t>6' 6" Bed, A-Wthr  ReTrax</t>
  </si>
  <si>
    <t>Sierra 2500 Pickup Mag 2 Dwr</t>
  </si>
  <si>
    <t>T-GMSRAM2-20S-P5-RX-PW</t>
  </si>
  <si>
    <t>6' 8" Bed ReTrax</t>
  </si>
  <si>
    <t>Sierra Pickup Mag 2  Dwr</t>
  </si>
  <si>
    <t>T-GMSRAM2-20S-P5-RX</t>
  </si>
  <si>
    <t>6' 6" Bed, A-Wthr 2500</t>
  </si>
  <si>
    <t>T-GMSRAM2-20S-P5-PW</t>
  </si>
  <si>
    <t>6' 6" Bed, A-Wthr 2500; Folding Step</t>
  </si>
  <si>
    <t>T-GMSRAM2-20S-P5-PF-PW</t>
  </si>
  <si>
    <t>6' 8" Bed SHortened for Handle in Bed</t>
  </si>
  <si>
    <t>T-GMSRAM2-20S-P5-PF</t>
  </si>
  <si>
    <t>T-GMSRAM2-20S-P5</t>
  </si>
  <si>
    <t>8' Long Bed (New), All Wthr, folding Step, ReTrax</t>
  </si>
  <si>
    <t>T-GMSRAM2-20L-P5-RX-PF-PW</t>
  </si>
  <si>
    <t>T-GMSRAM2-20L-P5-PW</t>
  </si>
  <si>
    <t>8' Long Bed (New), All Wthr, folding Step</t>
  </si>
  <si>
    <t>T-GMSRAM2-20L-P5-PF-PW</t>
  </si>
  <si>
    <t>8' Bed, Folding Step</t>
  </si>
  <si>
    <t>T-GMSRAM2-20L-P5-PF</t>
  </si>
  <si>
    <t>T-GMSRAM2-20L-P5</t>
  </si>
  <si>
    <t>6' 6" Bed, A-Wthr, ReTrax, Half Passenger</t>
  </si>
  <si>
    <t>T-GMSRAM1-20S-P5-HP-RX-PW</t>
  </si>
  <si>
    <t>T-GMSRAM1-20S-P5-HP-PL-PW</t>
  </si>
  <si>
    <t>6' 6", All Wthr; Passanger Side; Tailgate Step, HD</t>
  </si>
  <si>
    <t>T-GMSRAM1-20S-P5-HP-PF-PW</t>
  </si>
  <si>
    <t>6' 6", All Wthr; Passanger Side; Tailgate Step</t>
  </si>
  <si>
    <t>T-GMSRAM1-20S-P5-HD-PF-PW</t>
  </si>
  <si>
    <t>Driver's Side</t>
  </si>
  <si>
    <t>Sierra 2500/3500 Mag 1 Dwr Half Width</t>
  </si>
  <si>
    <t>T-GMSRAM1-20S-P5-HD-PF</t>
  </si>
  <si>
    <t>6' 8" Bed, Driver's Side</t>
  </si>
  <si>
    <t>T-GMSRAM1-20S-P5-HD</t>
  </si>
  <si>
    <t>T-GMSRAM1-20S-P5-CB-HP-PW</t>
  </si>
  <si>
    <t>Crew Cab; HD</t>
  </si>
  <si>
    <t>S-GMSRAN1-20N-P5</t>
  </si>
  <si>
    <t>Sierra HD 2 Lid SeatVault</t>
  </si>
  <si>
    <t>S-GMSRAL2-20N-P5</t>
  </si>
  <si>
    <t>Sierra HD Pickup SeatVault</t>
  </si>
  <si>
    <t>S-GMSRAL1-20N-P5</t>
  </si>
  <si>
    <t>Short Bed, A-Wthr Tailgate Handle ReTrax</t>
  </si>
  <si>
    <t>Sierra 2500/3500 Pickup Std Gooseneck</t>
  </si>
  <si>
    <t>H-GMSRAU3-20S-P5-RX-TF-C1-PW</t>
  </si>
  <si>
    <t>Mounted to TG1500X-7348</t>
  </si>
  <si>
    <t>Professional Line 6</t>
  </si>
  <si>
    <t>C-GMSRAN3-20S-P5-TG-PL6</t>
  </si>
  <si>
    <t>C-GMSRAN3-20S-P5-TG-PL1</t>
  </si>
  <si>
    <t>6' 9" Bed</t>
  </si>
  <si>
    <t>Sierra  AW Field Ranger</t>
  </si>
  <si>
    <t>C-GMSRAN3-20S-P5-CR-PW</t>
  </si>
  <si>
    <t>6'9" Bed</t>
  </si>
  <si>
    <t>Sierra HD Pickup Field Ranger</t>
  </si>
  <si>
    <t>C-GMSRAN3-20S-P5-CR</t>
  </si>
  <si>
    <t>C-GMSRAN3-20L-P5-TG-PL6</t>
  </si>
  <si>
    <t>6' 9" Bed, A-Wthr</t>
  </si>
  <si>
    <t>Sierra 2500/3500  Field Ranger</t>
  </si>
  <si>
    <t>C-GMSRAN3-20L-P5-CR-PW</t>
  </si>
  <si>
    <t>6' 9" Bed, Folding Step, A-Wthr</t>
  </si>
  <si>
    <t>C-GMSRAN3-20L-P5-CR-PF-PW</t>
  </si>
  <si>
    <t>C-GMSRAN3-20L-P5-CR</t>
  </si>
  <si>
    <t>C-GMSRAN2-20S-P5-TG-PL3</t>
  </si>
  <si>
    <t>6 1/2'  Mag 2 Dwr</t>
  </si>
  <si>
    <t>C-GMSRAM2-20S-P5-VP</t>
  </si>
  <si>
    <t>8',  Mag 2 Dwr</t>
  </si>
  <si>
    <t>C-GMSRAM2-20L-P5-VP</t>
  </si>
  <si>
    <t>6' 4" Short Bed</t>
  </si>
  <si>
    <t>Sierra 2500 Pickup Base Camp 3</t>
  </si>
  <si>
    <t>B-GMSRAN3-20S-P5-BC3</t>
  </si>
  <si>
    <t>B-GMSRAN2-20L-P5-PF-BC5</t>
  </si>
  <si>
    <t>Sierra 2500/3500</t>
  </si>
  <si>
    <t>F-Size; 3rd Row Removed</t>
  </si>
  <si>
    <t>Savana Utility 2 Dwr</t>
  </si>
  <si>
    <t>T-GMSAVU2-03F</t>
  </si>
  <si>
    <t>Savana Std 2 Dwr</t>
  </si>
  <si>
    <t>T-GMSAVS2-98L</t>
  </si>
  <si>
    <t>T-GMSAVS2-16M-PT</t>
  </si>
  <si>
    <t>T-GMSAVS2-16M</t>
  </si>
  <si>
    <t>T-GMSAVS2-03L</t>
  </si>
  <si>
    <t>Savana Mag 2 Dwr</t>
  </si>
  <si>
    <t>T-GMSAVM2-98L</t>
  </si>
  <si>
    <t>T-GMSAVM2-16M</t>
  </si>
  <si>
    <t>Full Size Surveyor</t>
  </si>
  <si>
    <t>C-GMSAVN4-03N-VP</t>
  </si>
  <si>
    <t>C13960D</t>
  </si>
  <si>
    <t>Savana Custom</t>
  </si>
  <si>
    <t>C-GMSAVN2-16N-C2-AC13960D</t>
  </si>
  <si>
    <t>Savana</t>
  </si>
  <si>
    <t>Safari Van Std 2 Dwr</t>
  </si>
  <si>
    <t>T-GMSAFS2-86S</t>
  </si>
  <si>
    <t>Safari Std 1 Dwr</t>
  </si>
  <si>
    <t>T-GMSAFS1-86S</t>
  </si>
  <si>
    <t>T-GMSAFS1-02S</t>
  </si>
  <si>
    <t>Safari Van Mag 2 Dwr</t>
  </si>
  <si>
    <t>T-GMSAFM2-86S</t>
  </si>
  <si>
    <t>Safari</t>
  </si>
  <si>
    <t>S-15 Jimmy Std 1 Dwr</t>
  </si>
  <si>
    <t>T-GMSJIS1-95N</t>
  </si>
  <si>
    <t>2 Door</t>
  </si>
  <si>
    <t>T-GMSJIS1-01N-D2</t>
  </si>
  <si>
    <t>S-15 Jimmy Mag 1 Dwr</t>
  </si>
  <si>
    <t>T-GMSJIM1-95N</t>
  </si>
  <si>
    <t>T-GMSJIM1-02N-D2</t>
  </si>
  <si>
    <t>S-15 Jimmy</t>
  </si>
  <si>
    <t>Envoy XL Std 2 Dwr</t>
  </si>
  <si>
    <t>T-GMEXLS2-02N</t>
  </si>
  <si>
    <t>Envoy XL Std 1 Dwr</t>
  </si>
  <si>
    <t>T-GMEXLS1-02N</t>
  </si>
  <si>
    <t>Envoy XL Mag 2 Dwr</t>
  </si>
  <si>
    <t>T-GMEXLM2-02N-TR-PT</t>
  </si>
  <si>
    <t>T-GMEXLM2-02N-TR</t>
  </si>
  <si>
    <t>T-GMEXLM2-02N</t>
  </si>
  <si>
    <t>Envoy XL Mag 1 Dwr</t>
  </si>
  <si>
    <t>T-GMEXLM1-02N-TR</t>
  </si>
  <si>
    <t>T-GMEXLM1-02N</t>
  </si>
  <si>
    <t>Envoy XL</t>
  </si>
  <si>
    <t>Envoy Std 2 Dwr</t>
  </si>
  <si>
    <t>T-GMENVU2-02N-HT</t>
  </si>
  <si>
    <t>T-GMENVS2-02N</t>
  </si>
  <si>
    <t>Envoy Std 1 Dwr</t>
  </si>
  <si>
    <t>T-GMENVS1-02N</t>
  </si>
  <si>
    <t>Envoy Mag 2 Dwr</t>
  </si>
  <si>
    <t>T-GMENVM2-02N</t>
  </si>
  <si>
    <t>Envoy Mag 1 Dwr</t>
  </si>
  <si>
    <t>T-GMENVM1-02N</t>
  </si>
  <si>
    <t>Envoy Investigator</t>
  </si>
  <si>
    <t>C-GMENVN3-02I</t>
  </si>
  <si>
    <t>Envoy</t>
  </si>
  <si>
    <t>Short Bed, All-Wthr</t>
  </si>
  <si>
    <t>Canyon Pickup Offset 2 Dwr</t>
  </si>
  <si>
    <t>T-GMCANUO-15S-PW</t>
  </si>
  <si>
    <t>Canyon Pickup Utility OS Dwr</t>
  </si>
  <si>
    <t>T-GMCANUO-15S-PC</t>
  </si>
  <si>
    <t>Canyon Pickup  2 Dwr</t>
  </si>
  <si>
    <t>T-GMCANU2-15S-PW</t>
  </si>
  <si>
    <t>Short Bed, All-Wthr, Crew Cab</t>
  </si>
  <si>
    <t>T-GMCANU2-15S-PC-PW</t>
  </si>
  <si>
    <t>Canyon Pickup Utility 2 Dwr</t>
  </si>
  <si>
    <t>T-GMCANU2-15S-PC</t>
  </si>
  <si>
    <t>Short Bed, All-Wthr, Driver Side</t>
  </si>
  <si>
    <t>Canyon Pickup Utl 1 Dwr Half Width</t>
  </si>
  <si>
    <t>T-GMCANU1-15S-PW-HD</t>
  </si>
  <si>
    <t>Crew Cab, All-Wthr, Driver Side</t>
  </si>
  <si>
    <t>T-GMCANU1-15S-PC-PW-HD</t>
  </si>
  <si>
    <t>Short Bed, Crew Cab, Spray In Liner With Logo</t>
  </si>
  <si>
    <t>Canyon Pickup Std Offset Dwr</t>
  </si>
  <si>
    <t>T-GMCANSO-15S-PC-PL-PW</t>
  </si>
  <si>
    <t>Canyon Pickup Std OS Dwr</t>
  </si>
  <si>
    <t>T-GMCANSO-15S-PC</t>
  </si>
  <si>
    <t>T-GMCANSO-15S</t>
  </si>
  <si>
    <t>T-GMCANSO-04S-PC</t>
  </si>
  <si>
    <t>Canyon Pickup Std 2 Dwr</t>
  </si>
  <si>
    <t>T-GMCANS2-15S-PW</t>
  </si>
  <si>
    <t>T-GMCANS2-15S-PC-PW</t>
  </si>
  <si>
    <t>T-GMCANS2-15S-PC-PL-PW</t>
  </si>
  <si>
    <t>Short Bed, Crew Cab, Spray Logo</t>
  </si>
  <si>
    <t>T-GMCANS2-15S-PC-PL</t>
  </si>
  <si>
    <t>T-GMCANS2-15S-PC</t>
  </si>
  <si>
    <t>T-GMCANS2-15S</t>
  </si>
  <si>
    <t>T-GMCANS2-04S-PW</t>
  </si>
  <si>
    <t>Short Bed, Crew Cab, A-Wthr</t>
  </si>
  <si>
    <t>T-GMCANS2-04S-PC-PW</t>
  </si>
  <si>
    <t>T-GMCANS2-04S-PC</t>
  </si>
  <si>
    <t>T-GMCANS2-04S</t>
  </si>
  <si>
    <t>6' SB, A-Wthr, Driver's Side</t>
  </si>
  <si>
    <t>Canyon Pickup Std 1 Dwr</t>
  </si>
  <si>
    <t>T-GMCANS1-15S-PL-HD-PW</t>
  </si>
  <si>
    <t>5' Short Bed; Logo Passenger's Side</t>
  </si>
  <si>
    <t>T-GMCANS1-15S-PC-PL-HP</t>
  </si>
  <si>
    <t>5' Short Bed; Logo Driver's Side</t>
  </si>
  <si>
    <t>T-GMCANS1-15S-PC-PL-HD</t>
  </si>
  <si>
    <t>5', A-Wthr, Pasenger Side</t>
  </si>
  <si>
    <t>T-GMCANS1-15S-PC-HP-PW</t>
  </si>
  <si>
    <t>T-GMCANS1-15S-PC-HD-PW</t>
  </si>
  <si>
    <t>6'  Bed, Passenger Side</t>
  </si>
  <si>
    <t>Canyon Std 1 Dwr Half Width</t>
  </si>
  <si>
    <t>T-GMCANS1-15S-HP</t>
  </si>
  <si>
    <t>Canyon Pickup Mag Offset Dwr</t>
  </si>
  <si>
    <t>T-GMCANMO-15S-PW</t>
  </si>
  <si>
    <t>Short Bed, Crew Cab, All-Wthr</t>
  </si>
  <si>
    <t>T-GMCANMO-15S-PC-PW</t>
  </si>
  <si>
    <t>Canyon Pickup Mag Offset</t>
  </si>
  <si>
    <t>T-GMCANMO-04S-PC-PW</t>
  </si>
  <si>
    <t>T-GMCANMO-04S-PC</t>
  </si>
  <si>
    <t>Canyon Pickup Mag 2 Dwr</t>
  </si>
  <si>
    <t>T-GMCANM2-23S-PC</t>
  </si>
  <si>
    <t>T-GMCANM2-15S-PW</t>
  </si>
  <si>
    <t>T-GMCANM2-15S-PC-PW</t>
  </si>
  <si>
    <t>T-GMCANM2-15S-PC</t>
  </si>
  <si>
    <t>T-GMCANM2-15S</t>
  </si>
  <si>
    <t>T-GMCANM2-04S-PW</t>
  </si>
  <si>
    <t>T-GMCANM2-04S-PC-PW</t>
  </si>
  <si>
    <t>T-GMCANM2-04S-PC</t>
  </si>
  <si>
    <t>T-GMCANM2-04S</t>
  </si>
  <si>
    <t>Short Bed, Crew Cab, All-Wthr, Passenger Side</t>
  </si>
  <si>
    <t>Canyon Pickup Mag 21 Dwr Half Width</t>
  </si>
  <si>
    <t>T-GMCANM1-15S-PC-HP-PW</t>
  </si>
  <si>
    <t>5'  Bed,Passenger Side</t>
  </si>
  <si>
    <t>Canyon Mag 1 Dwr Half Width</t>
  </si>
  <si>
    <t>T-GMCANM1-15S-PC-HP</t>
  </si>
  <si>
    <t>Short Bed, Crew Cab, All-Wthr, Driver Side</t>
  </si>
  <si>
    <t>T-GMCANM1-15S-PC-HD-PW</t>
  </si>
  <si>
    <t>6'  Bed, Drivers Side</t>
  </si>
  <si>
    <t>T-GMCANM1-15S-HD</t>
  </si>
  <si>
    <t>5'  Bed, Drivers Side</t>
  </si>
  <si>
    <t>T-GMCANM1-04S-PC-HD</t>
  </si>
  <si>
    <t>Canyon Pickup Field Ranger</t>
  </si>
  <si>
    <t>C-GMCANN3-15S-PC-CR</t>
  </si>
  <si>
    <t>Canyon Pickup</t>
  </si>
  <si>
    <t>C-GMCANN3-15S-PC-BH-PW</t>
  </si>
  <si>
    <t>Canyon Pickup Base Camp 4</t>
  </si>
  <si>
    <t>B-GMCANN4-15S-PC-BC4</t>
  </si>
  <si>
    <t>Utility 1 Drawer</t>
  </si>
  <si>
    <t>Acadia</t>
  </si>
  <si>
    <t>T-GMACAU1-24S</t>
  </si>
  <si>
    <t>Utility Offset 2 Drawer</t>
  </si>
  <si>
    <t>T-GMACAUO-17N</t>
  </si>
  <si>
    <t>Utility 2 Drawer</t>
  </si>
  <si>
    <t>T-GMACAU2-17N</t>
  </si>
  <si>
    <t>Acadia Elevated Vault</t>
  </si>
  <si>
    <t>T-GMACAU1-17N-HG</t>
  </si>
  <si>
    <t>T-GMACAU1-17N</t>
  </si>
  <si>
    <t>Acadia Std OS Dwr</t>
  </si>
  <si>
    <t>T-GMACASO-17N</t>
  </si>
  <si>
    <t>Std Offset Drawer</t>
  </si>
  <si>
    <t>T-GMACASO-07N</t>
  </si>
  <si>
    <t>Std 2 Drawer</t>
  </si>
  <si>
    <t>T-GMACAS2-17N</t>
  </si>
  <si>
    <t>T-GMACAS2-07N</t>
  </si>
  <si>
    <t>S-Size, Behind 3rd Row Seat</t>
  </si>
  <si>
    <t>Acadia Std 1 Drawer</t>
  </si>
  <si>
    <t>T-GMACAS1-17S</t>
  </si>
  <si>
    <t>Std 1 Drawer</t>
  </si>
  <si>
    <t>T-GMACAS1-17N-HG</t>
  </si>
  <si>
    <t>T-GMACAS1-17N</t>
  </si>
  <si>
    <t>T-GMACAS1-07N</t>
  </si>
  <si>
    <t>Acadia Mag OS Dwr</t>
  </si>
  <si>
    <t>T-GMACAMO-17N</t>
  </si>
  <si>
    <t>Mag Offset Drawer, Tbl Ext</t>
  </si>
  <si>
    <t>T-GMACAMO-07N-PT</t>
  </si>
  <si>
    <t>Mag Offset Drawer</t>
  </si>
  <si>
    <t>T-GMACAMO-07N</t>
  </si>
  <si>
    <t>Mag 2 Drawer</t>
  </si>
  <si>
    <t>T-GMACAM2-17N</t>
  </si>
  <si>
    <t>Mag 2 Drawer, P-Cage</t>
  </si>
  <si>
    <t>T-GMACAM2-07N-PP</t>
  </si>
  <si>
    <t>T-GMACAM2-07N</t>
  </si>
  <si>
    <t>Mag 1 Drawer</t>
  </si>
  <si>
    <t>T-GMACAM1-24N-HG</t>
  </si>
  <si>
    <t>Acadia Mag 1 Drawer</t>
  </si>
  <si>
    <t>T-GMACAM1-24N</t>
  </si>
  <si>
    <t>T-GMACAM1-17N-HG</t>
  </si>
  <si>
    <t>T-GMACAM1-17N</t>
  </si>
  <si>
    <t>T-GMACAM1-07N</t>
  </si>
  <si>
    <t>Acadia Drone Responder 5</t>
  </si>
  <si>
    <t>D-GMACAN3-17N-C1-DR5</t>
  </si>
  <si>
    <t>Acadia Investigator</t>
  </si>
  <si>
    <t>C-GMACAN3-17I</t>
  </si>
  <si>
    <t>Acadia Field Ranger</t>
  </si>
  <si>
    <t>C-GMACAN3-07R</t>
  </si>
  <si>
    <t>C-GMACAN3-07I-PT</t>
  </si>
  <si>
    <t>C-GMACAN3-07I</t>
  </si>
  <si>
    <t>C-GMACAN2-24I</t>
  </si>
  <si>
    <t>C-GMACAN2-17I</t>
  </si>
  <si>
    <t>Professional Line 4</t>
  </si>
  <si>
    <t>C-FDFSEN2-17S-P5-TG-PL4</t>
  </si>
  <si>
    <t>F-250/350</t>
  </si>
  <si>
    <t>Windstar Std 2 Dwr</t>
  </si>
  <si>
    <t>T-FDWINS2-99S</t>
  </si>
  <si>
    <t>T-FDWINS2-99L</t>
  </si>
  <si>
    <t>T-FDWINS2-03L</t>
  </si>
  <si>
    <t>Windstar Std 1 Dwr</t>
  </si>
  <si>
    <t>T-FDWINS1-03L</t>
  </si>
  <si>
    <t>Windstar Mag 2 Dwr</t>
  </si>
  <si>
    <t>T-FDWINM2-99S</t>
  </si>
  <si>
    <t>T-FDWINM2-99L</t>
  </si>
  <si>
    <t>T-FDWINM2-95L</t>
  </si>
  <si>
    <t>T-FDWINM2-03L</t>
  </si>
  <si>
    <t>Windstar Mag 1 Dwr</t>
  </si>
  <si>
    <t>T-FDWINM1-99L</t>
  </si>
  <si>
    <t>T-FDWINM1-03L</t>
  </si>
  <si>
    <t>Windstar</t>
  </si>
  <si>
    <t>LWB; Extended Body Style; Full Length Vault</t>
  </si>
  <si>
    <t>Full Size Van Std 2 Dwr</t>
  </si>
  <si>
    <t>T-FDTRXS2-14F</t>
  </si>
  <si>
    <t>LWB;  Full Length Vault</t>
  </si>
  <si>
    <t>Full Size Van Mag Offset</t>
  </si>
  <si>
    <t>T-FDTRXMO-14F</t>
  </si>
  <si>
    <t>Full Size Van Mag 2 Dwr</t>
  </si>
  <si>
    <t>T-FDTRXM2-14F</t>
  </si>
  <si>
    <t>Transit Full Size Van XLT</t>
  </si>
  <si>
    <t>SWB 3rd Seat Removed; HD Table</t>
  </si>
  <si>
    <t>Ford Transit  Std 2 Dwr</t>
  </si>
  <si>
    <t>T-FDTRSS2-14M-TR-HT</t>
  </si>
  <si>
    <t>Ford Transit Magnum 1 Drawer</t>
  </si>
  <si>
    <t>T-FDTRSM1-14M</t>
  </si>
  <si>
    <t>T-FDTRSM1-14L</t>
  </si>
  <si>
    <t>LWB 3rd Seat Removed; HD Table</t>
  </si>
  <si>
    <t>Ford Transit  Mag 2 Dwr</t>
  </si>
  <si>
    <t>T-FDTRLM2-14L-TR-HT</t>
  </si>
  <si>
    <t>Transit Full Size Van SWB</t>
  </si>
  <si>
    <t>T-FDTRLM2-14L</t>
  </si>
  <si>
    <t>Behind 4th Row</t>
  </si>
  <si>
    <t>Transit LWB Magnum 1 Dwr</t>
  </si>
  <si>
    <t>T-FDTRLM1-14S</t>
  </si>
  <si>
    <t>T-FDTRLM1-14M</t>
  </si>
  <si>
    <t>Transit  Drone Responder 7</t>
  </si>
  <si>
    <t>D-FDTRLN2-20N-HT-C1-DR7</t>
  </si>
  <si>
    <t>LWB 10 Seat</t>
  </si>
  <si>
    <t>Ford Transit Captain LX CC</t>
  </si>
  <si>
    <t>C-FDTRLN5-14P</t>
  </si>
  <si>
    <t>Transit Full Size Van LWB</t>
  </si>
  <si>
    <t>SWB; 3rd Row Seat Removed</t>
  </si>
  <si>
    <t>Transit Std 2 Dwr</t>
  </si>
  <si>
    <t>T-FDTRAS2-14N-TR</t>
  </si>
  <si>
    <t>Transit Std 1 Dwr</t>
  </si>
  <si>
    <t>T-FDTRAS1-14N-TR</t>
  </si>
  <si>
    <t>Transit Drone Responder 10</t>
  </si>
  <si>
    <t>T-FDTRAN1-14N-TR-FM-DR10</t>
  </si>
  <si>
    <t>Mag  2 Dwr</t>
  </si>
  <si>
    <t>Transit Full Size Van</t>
  </si>
  <si>
    <t>T-FDTRAM2-14M</t>
  </si>
  <si>
    <t>Transit Magnum 2 Dwr</t>
  </si>
  <si>
    <t>T-FDTRAM2-14L</t>
  </si>
  <si>
    <t>Transit Magnum 1 Dwr</t>
  </si>
  <si>
    <t>T-FDTRAM1-14S</t>
  </si>
  <si>
    <t>Transit Tac Center</t>
  </si>
  <si>
    <t>C-FDTRAN6-14T-HT</t>
  </si>
  <si>
    <t>C-FDTRAN5-14P-HT</t>
  </si>
  <si>
    <t>Mag 2 Drawer Top</t>
  </si>
  <si>
    <t>Transit Surveyor</t>
  </si>
  <si>
    <t>C-FDTRAM2-14N-VP</t>
  </si>
  <si>
    <t>SWB; Full Length Vault</t>
  </si>
  <si>
    <t>Transit Connect Mag 2 Dwr</t>
  </si>
  <si>
    <t>T-FDTCSM2-14F</t>
  </si>
  <si>
    <t>T-FDTCSM2-02F</t>
  </si>
  <si>
    <t>Transit Connect SWB</t>
  </si>
  <si>
    <t>LWB; Mid Length Vault</t>
  </si>
  <si>
    <t>Transit Connect Utility OS Dwr</t>
  </si>
  <si>
    <t>T-FDTCLUO-14M</t>
  </si>
  <si>
    <t>Transit Connect Utility 2 Dwr</t>
  </si>
  <si>
    <t>T-FDTCLU2-14M</t>
  </si>
  <si>
    <t>Transit Connect Std OS Dwr</t>
  </si>
  <si>
    <t>T-FDTCLSO-14M</t>
  </si>
  <si>
    <t>LWB; Mid Length Vault, Heavy Duty Table</t>
  </si>
  <si>
    <t>Transit Connect Std 2 Dwr</t>
  </si>
  <si>
    <t>T-FDTCLS2-14M-HT</t>
  </si>
  <si>
    <t>T-FDTCLS2-14M</t>
  </si>
  <si>
    <t>LWB; Mid Length Vault, HD Table</t>
  </si>
  <si>
    <t>Transit Connect Mag Offset 2 Dwr</t>
  </si>
  <si>
    <t>T-FDTCLMO-14M-HT</t>
  </si>
  <si>
    <t>T-FDTCLMO-14M</t>
  </si>
  <si>
    <t>T-FDTCLM2-14M</t>
  </si>
  <si>
    <t>LWB; Full Length Vault, Table Extension</t>
  </si>
  <si>
    <t>T-FDTCLM2-14F-PT</t>
  </si>
  <si>
    <t>LWB; Full Length Vault; Heavy Duty Table</t>
  </si>
  <si>
    <t>T-FDTCLM2-14F-HT</t>
  </si>
  <si>
    <t>LWB; Full Length Vault</t>
  </si>
  <si>
    <t>T-FDTCLM2-14F</t>
  </si>
  <si>
    <t>Transit Connect Mag 1 Dwr</t>
  </si>
  <si>
    <t>T-FDTCLM1-14M</t>
  </si>
  <si>
    <t>3rd Row Seat Removed; Heavy Duty Table</t>
  </si>
  <si>
    <t>Transit Connect LWB Investigator</t>
  </si>
  <si>
    <t>C-FDTRCN3-14I-HT</t>
  </si>
  <si>
    <t>Transit Connect Chief CC</t>
  </si>
  <si>
    <t>C-FDTCLN6-14C</t>
  </si>
  <si>
    <t>Transit Connect Surveyor</t>
  </si>
  <si>
    <t>C-FDTCLM2-14F-VP</t>
  </si>
  <si>
    <t>Transit Connect LWB</t>
  </si>
  <si>
    <t>Taurus X Std 2 Dwr</t>
  </si>
  <si>
    <t>T-FDTAXS2-08N-PP</t>
  </si>
  <si>
    <t>T-FDTAXS2-08N</t>
  </si>
  <si>
    <t>Taurus X Std 1 Dwr</t>
  </si>
  <si>
    <t>T-FDTAXS1-08N</t>
  </si>
  <si>
    <t>Taurus X Mag 2 Dwr</t>
  </si>
  <si>
    <t>T-FDTAXM2-08N</t>
  </si>
  <si>
    <t>Taurus X Mag 1 Dwr</t>
  </si>
  <si>
    <t>T-FDTAXM1-08N</t>
  </si>
  <si>
    <t>Taurus X</t>
  </si>
  <si>
    <t>Taurus Radio Patrolman</t>
  </si>
  <si>
    <t>N-FDTAUN2-10N</t>
  </si>
  <si>
    <t>Taurus Patrolman</t>
  </si>
  <si>
    <t>N-FDTAUN1-96N-HG</t>
  </si>
  <si>
    <t>Police Interceptor; Hanging</t>
  </si>
  <si>
    <t>N-FDTAUN1-10N-PS-HG</t>
  </si>
  <si>
    <t>N-FDTAUN1-10N-HG</t>
  </si>
  <si>
    <t>N-FDTAUN1-10N</t>
  </si>
  <si>
    <t>N-FDTAUN1-08N</t>
  </si>
  <si>
    <t>N-FDTAUN1-03N</t>
  </si>
  <si>
    <t>Taurus Patrolman Mag 1 drw</t>
  </si>
  <si>
    <t>N-FDTAUM1-10N</t>
  </si>
  <si>
    <t>Taurus</t>
  </si>
  <si>
    <t>Ranger T6 Std 2 Dwr</t>
  </si>
  <si>
    <t>T-FDRT6S2-12S</t>
  </si>
  <si>
    <t>Ranger T6 Std 1 Dwr Half Width</t>
  </si>
  <si>
    <t>T-FDRT6S1-12S-HD</t>
  </si>
  <si>
    <t>Ranger T6 Pickup</t>
  </si>
  <si>
    <t>5' Short Bed; Driver Side, All-Wthr</t>
  </si>
  <si>
    <t>Ranger Pickup Utl 1 Dwr</t>
  </si>
  <si>
    <t>T-FDRANU1-24S-PC-HD-PW</t>
  </si>
  <si>
    <t>Ranger Pickup Utility OS Dwr</t>
  </si>
  <si>
    <t>T-FDRANUO-99S-PW</t>
  </si>
  <si>
    <t>T-FDRANUO-19S-PW</t>
  </si>
  <si>
    <t>T-FDRANUO-19S-PC</t>
  </si>
  <si>
    <t>Ranger Pickup Utility 2 Dwr</t>
  </si>
  <si>
    <t>T-FDRANU2-99S-PW</t>
  </si>
  <si>
    <t>T-FDRANU2-99S</t>
  </si>
  <si>
    <t>5' Short Bed, A-Wthr, Retrax</t>
  </si>
  <si>
    <t>Ranger Pickup Utl 2 Dwr</t>
  </si>
  <si>
    <t>T-FDRANU2-24S-PC-RX-PW</t>
  </si>
  <si>
    <t>T-FDRANU2-24S-PC-PW</t>
  </si>
  <si>
    <t>Short Bed, A-Wthr,  Retrax</t>
  </si>
  <si>
    <t>T-FDRANU2-19S-RX-PW</t>
  </si>
  <si>
    <t>T-FDRANU2-19S-PW</t>
  </si>
  <si>
    <t>T-FDRANU2-19S-PC-PW</t>
  </si>
  <si>
    <t>T-FDRANU2-19S-PC</t>
  </si>
  <si>
    <t>T-FDRANU2-19S</t>
  </si>
  <si>
    <t>5' Short Bed; Passenger Side, All-Wthr</t>
  </si>
  <si>
    <t>T-FDRANU1-24S-PC-HP-PW</t>
  </si>
  <si>
    <t>5', A-Wthr, Passenger Side, Retrax</t>
  </si>
  <si>
    <t>Ranger Pickup Utl 1 Dwr Half Width</t>
  </si>
  <si>
    <t>T-FDRANU1-19S-PC-HP-RX-PW</t>
  </si>
  <si>
    <t>Ranger Pickup Utility 1 Dwr</t>
  </si>
  <si>
    <t>T-FDRANU1-19S-PC-HP-PW</t>
  </si>
  <si>
    <t>T-FDRANU1-19S-PC-HP</t>
  </si>
  <si>
    <t>5' short bed, All Weather, Drivers Side</t>
  </si>
  <si>
    <t>Ranger Pickup Mag 1 Dwr</t>
  </si>
  <si>
    <t>T-FDRANU1-19S-PC-HD-PW</t>
  </si>
  <si>
    <t>5' Short Bed; Driver's Side</t>
  </si>
  <si>
    <t>T-FDRANU1-19S-PC-HD</t>
  </si>
  <si>
    <t>5'6" SB, A-Wthr, Passenger Side</t>
  </si>
  <si>
    <t>T-FDRANU1-19S-HP-PW</t>
  </si>
  <si>
    <t>5' 6" Bed; Passenger Side</t>
  </si>
  <si>
    <t>T-FDRANU1-19S-HP</t>
  </si>
  <si>
    <t>Ranger Pickup Std OS Dwr</t>
  </si>
  <si>
    <t>T-FDRANSO-99S-PW</t>
  </si>
  <si>
    <t>T-FDRANSO-99S</t>
  </si>
  <si>
    <t>T-FDRANSO-19S-PC-PW</t>
  </si>
  <si>
    <t>5' Short Bed, A-Wthr; Bed Logo</t>
  </si>
  <si>
    <t>T-FDRANSO-19S-PC-PL-PW</t>
  </si>
  <si>
    <t>T-FDRANSO-19S-PC</t>
  </si>
  <si>
    <t>Ranger Pickup Std Offset Dwr</t>
  </si>
  <si>
    <t>T-FDRANSO-19S</t>
  </si>
  <si>
    <t>Ranger Pickup Std 2 Dwr</t>
  </si>
  <si>
    <t>T-FDRANS2-99S-PW</t>
  </si>
  <si>
    <t>T-FDRANS2-99S-PT</t>
  </si>
  <si>
    <t>T-FDRANS2-99S</t>
  </si>
  <si>
    <t>T-FDRANS2-99L-PW</t>
  </si>
  <si>
    <t>T-FDRANS2-99L</t>
  </si>
  <si>
    <t>T-FDRANS2-93S-PW</t>
  </si>
  <si>
    <t>T-FDRANS2-93S</t>
  </si>
  <si>
    <t>T-FDRANS2-24S-PC-PW</t>
  </si>
  <si>
    <t>T-FDRANS2-19S-PW</t>
  </si>
  <si>
    <t>T-FDRANS2-19S-PC-PW</t>
  </si>
  <si>
    <t>T-FDRANS2-19S-PC</t>
  </si>
  <si>
    <t>T-FDRANS2-19S</t>
  </si>
  <si>
    <t>Ranger Pickup Std 1 Dwr</t>
  </si>
  <si>
    <t>T-FDRANS1-99S-HD</t>
  </si>
  <si>
    <t>Ranger Pickup Std 1 Dwr Half Width</t>
  </si>
  <si>
    <t>T-FDRANS1-24S-PC-HP-RX-PW</t>
  </si>
  <si>
    <t>5' Short Bed; Passenger's Side</t>
  </si>
  <si>
    <t>T-FDRANS1-24S-PC-HP</t>
  </si>
  <si>
    <t>T-FDRANS1-24S-HP-RX-PW</t>
  </si>
  <si>
    <t>T-FDRANS1-19S-PC-HP-RX-PW</t>
  </si>
  <si>
    <t>5', A-Wthr, Passenger Side</t>
  </si>
  <si>
    <t>T-FDRANS1-19S-PC-HP-PW</t>
  </si>
  <si>
    <t>T-FDRANS1-19S-PC-HP</t>
  </si>
  <si>
    <t>5', A-Wthr, Drivers Side</t>
  </si>
  <si>
    <t>T-FDRANS1-19S-PC-HD-PW</t>
  </si>
  <si>
    <t>T-FDRANS1-19S-PC-HD</t>
  </si>
  <si>
    <t>T-FDRANS1-19S-HP-RX-PW</t>
  </si>
  <si>
    <t>5'6", A-Wthr, Passenger Side</t>
  </si>
  <si>
    <t>T-FDRANS1-19S-HP-PW</t>
  </si>
  <si>
    <t>5'6" ; Drivers Side</t>
  </si>
  <si>
    <t>T-FDRANS1-19S-HD</t>
  </si>
  <si>
    <t>Ranger Pickup Mag OS Dwr</t>
  </si>
  <si>
    <t>T-FDRANMO-99S-PW</t>
  </si>
  <si>
    <t>T-FDRANMO-99S</t>
  </si>
  <si>
    <t>T-FDRANMO-93S-PW</t>
  </si>
  <si>
    <t>T-FDRANMO-93S</t>
  </si>
  <si>
    <t>Ranger Pickup Mag Offset Dwr</t>
  </si>
  <si>
    <t>T-FDRANMO-19S-PW</t>
  </si>
  <si>
    <t>5' Short Bed, A-Wthr; Retrax</t>
  </si>
  <si>
    <t>Ranger Pickup Mag OS  Dwr</t>
  </si>
  <si>
    <t>T-FDRANMO-19S-PC-RX-PW</t>
  </si>
  <si>
    <t>T-FDRANMO-19S-PC-PW</t>
  </si>
  <si>
    <t>Ranger Pickup Mag 2 Dwr Offset</t>
  </si>
  <si>
    <t>T-FDRANMO-19S-PC</t>
  </si>
  <si>
    <t>Ranger Pickup Mag 2 Dwr</t>
  </si>
  <si>
    <t>T-FDRANM2-99S-PW</t>
  </si>
  <si>
    <t>T-FDRANM2-99S</t>
  </si>
  <si>
    <t>T-FDRANM2-99L</t>
  </si>
  <si>
    <t>T-FDRANM2-93S-PW</t>
  </si>
  <si>
    <t>T-FDRANM2-24S-PC-RX-PW</t>
  </si>
  <si>
    <t>T-FDRANM2-24S-PC-PW</t>
  </si>
  <si>
    <t>Short Bed, A-Wthr; Retrax</t>
  </si>
  <si>
    <t>T-FDRANM2-19S-RX-PW</t>
  </si>
  <si>
    <t>T-FDRANM2-19S-PW</t>
  </si>
  <si>
    <t>T-FDRANM2-19S-PC-RX-PW</t>
  </si>
  <si>
    <t>5' Short Bed; Retrax</t>
  </si>
  <si>
    <t>T-FDRANM2-19S-PC-RX</t>
  </si>
  <si>
    <t>T-FDRANM2-19S-PC-PW</t>
  </si>
  <si>
    <t>T-FDRANM2-19S-PC</t>
  </si>
  <si>
    <t>T-FDRANM2-19S</t>
  </si>
  <si>
    <t>T-FDRANM1-24S-PC-HP-PW</t>
  </si>
  <si>
    <t>T-FDRANM1-19S-PC-HP-PW</t>
  </si>
  <si>
    <t>T-FDRANM1-19S-PC-HP</t>
  </si>
  <si>
    <t>T-FDRANM1-19S-PC-HD-PW</t>
  </si>
  <si>
    <t>T-FDRANM1-19S-PC-HD</t>
  </si>
  <si>
    <t>6' SB, A-Wthr, Passenger Side; Retrax</t>
  </si>
  <si>
    <t>T-FDRANM1-19S-HP-RX-PW</t>
  </si>
  <si>
    <t>6'  Short Bed; Passenger Side; Retrax</t>
  </si>
  <si>
    <t>T-FDRANM1-19S-HP-RX</t>
  </si>
  <si>
    <t>6'  Short Bed; Passenger Side</t>
  </si>
  <si>
    <t>T-FDRANM1-19S-HP</t>
  </si>
  <si>
    <t>6' Bed, All Weather, Retrax, Drivers Side</t>
  </si>
  <si>
    <t>T-FDRANM1-19S-HD-RX-PW</t>
  </si>
  <si>
    <t>6' Bed, All Weather, Drivers Side</t>
  </si>
  <si>
    <t>T-FDRANM1-19S-HD-PW</t>
  </si>
  <si>
    <t>Extended Cab</t>
  </si>
  <si>
    <t>Ranger Pickup SeatVault</t>
  </si>
  <si>
    <t>S-FDRANL1-01N-EC</t>
  </si>
  <si>
    <t>Ranger Pickup Field Ranger</t>
  </si>
  <si>
    <t>C-FDRANN3-19S-PC-CR</t>
  </si>
  <si>
    <t>Ranger Base Camp 2</t>
  </si>
  <si>
    <t>B-FDRANN2-99S-BC2</t>
  </si>
  <si>
    <t>Ranger Pickup Base Camp 1</t>
  </si>
  <si>
    <t>B-FDRANN2-99S-BC1</t>
  </si>
  <si>
    <t>B-FDRANN2-19S-PC-BC2</t>
  </si>
  <si>
    <t>Ranger Base Camp 1</t>
  </si>
  <si>
    <t>B-FDRANN2-19S-PC-BC1</t>
  </si>
  <si>
    <t>B-FDRANN2-19S-BC1</t>
  </si>
  <si>
    <t>B-FDRANN1-19S-PC-HP-BC1</t>
  </si>
  <si>
    <t>Ranger Pickup</t>
  </si>
  <si>
    <t>Ranger Flare Pickup Std 2 Dwr</t>
  </si>
  <si>
    <t>T-FDRSFS2-97S</t>
  </si>
  <si>
    <t>T-FDRAFS2-99S-PW</t>
  </si>
  <si>
    <t>T-FDRAFS2-99S</t>
  </si>
  <si>
    <t>T-FDRAFS2-93S-PW</t>
  </si>
  <si>
    <t>T-FDRAFS2-93S</t>
  </si>
  <si>
    <t>Ranger Flare Pickup Mag 2 Dwr</t>
  </si>
  <si>
    <t>T-FDRAFM2-99S</t>
  </si>
  <si>
    <t>Ranger Flare Pickup</t>
  </si>
  <si>
    <t>Mustang Mach-E Utl 1 Dwr</t>
  </si>
  <si>
    <t>T-FDMMEU1-21N</t>
  </si>
  <si>
    <t>Mustang Mach-E Std OS 2 Dwr</t>
  </si>
  <si>
    <t>T-FDMMESO-21N</t>
  </si>
  <si>
    <t>Mustang Mach-E Std 2 Dwr</t>
  </si>
  <si>
    <t>T-FDMMES2-21N</t>
  </si>
  <si>
    <t>Mustang Mach-E Std 1 Dwr</t>
  </si>
  <si>
    <t>T-FDMMES1-21N-PP</t>
  </si>
  <si>
    <t>T-FDMMES1-21N</t>
  </si>
  <si>
    <t>Mustang Mach-E Mag 2 Dwr</t>
  </si>
  <si>
    <t>T-FDMMEM2-21N</t>
  </si>
  <si>
    <t>Mustang Mach-E Mag 1 Dwr</t>
  </si>
  <si>
    <t>T-FDMMEM1-21N</t>
  </si>
  <si>
    <t>Mustang Mach-E 3 Dwr</t>
  </si>
  <si>
    <t>C-FDMMEN3-21R</t>
  </si>
  <si>
    <t>Mustang Mach-E</t>
  </si>
  <si>
    <t>Mustang GT</t>
  </si>
  <si>
    <t>N-FDMGTN1-94N</t>
  </si>
  <si>
    <t>N-FDMGTN1-24N-HG</t>
  </si>
  <si>
    <t>N-FDMGTN1-15N-HG</t>
  </si>
  <si>
    <t>N-FDMGTN1-15N</t>
  </si>
  <si>
    <t>N-FDMGTN1-05N</t>
  </si>
  <si>
    <t>4.5' Bed</t>
  </si>
  <si>
    <t>Maverick Pickup Utl 2 Dwr</t>
  </si>
  <si>
    <t>T-FDMVKUO-22S-PC</t>
  </si>
  <si>
    <t>4.5' Bed, A-Wthr</t>
  </si>
  <si>
    <t>T-FDMVKU2-22S-PC-PW</t>
  </si>
  <si>
    <t>T-FDMVKU2-22S-PC</t>
  </si>
  <si>
    <t>4.5' Bed, A-Wthr, Passenger Side</t>
  </si>
  <si>
    <t>Maverick Pickup Utl 1  Dwr</t>
  </si>
  <si>
    <t>T-FDMVKU1-22S-PC-HP-PW</t>
  </si>
  <si>
    <t>Short Bed, Passenger Side</t>
  </si>
  <si>
    <t>T-FDMVKU1-22S-PC-HP</t>
  </si>
  <si>
    <t>4.5' Bed, A-Wthr, Drivers Side</t>
  </si>
  <si>
    <t>T-FDMVKU1-22S-PC-HD-PW</t>
  </si>
  <si>
    <t>Maverick Pickup Std 2 Dwr</t>
  </si>
  <si>
    <t>T-FDMVKSO-22S-PC</t>
  </si>
  <si>
    <t>T-FDMVKS2-22S-PC-VP</t>
  </si>
  <si>
    <t>T-FDMVKS2-22S-PC-PW</t>
  </si>
  <si>
    <t>T-FDMVKS2-22S-PC</t>
  </si>
  <si>
    <t>Maverick Pickup Std 1  Dwr</t>
  </si>
  <si>
    <t>T-FDMVKS1-22S-PC-HP-PW</t>
  </si>
  <si>
    <t>T-FDMVKS1-22S-PC-HP</t>
  </si>
  <si>
    <t>T-FDMVKS1-22S-PC-HD-PW</t>
  </si>
  <si>
    <t>Short Bed, Driver Side</t>
  </si>
  <si>
    <t>T-FDMVKS1-22S-PC-HD</t>
  </si>
  <si>
    <t>Maverick Pickup Field Ranger</t>
  </si>
  <si>
    <t>T-FDMVKN3-22S-PC-CR</t>
  </si>
  <si>
    <t>4.5' Bed, A-Wthr, Retrax</t>
  </si>
  <si>
    <t>Maverick Pickup Mag 2 Dwr</t>
  </si>
  <si>
    <t>T-FDMVKM2-22S-PC-RX-PW</t>
  </si>
  <si>
    <t>T-FDMVKM2-22S-PC-PW</t>
  </si>
  <si>
    <t>T-FDMVKM2-22S-PC</t>
  </si>
  <si>
    <t>T-FDMVKM1-22S-PC-HP-PW</t>
  </si>
  <si>
    <t>T-FDMVKM1-22S-PC-HP</t>
  </si>
  <si>
    <t>Maverick Pickup Ext 2 Dwr</t>
  </si>
  <si>
    <t>T-FDMVKEO-22S-PC-PW</t>
  </si>
  <si>
    <t>T-FDMVKE2-22S-PC-PW</t>
  </si>
  <si>
    <t>4.5' Short Bed</t>
  </si>
  <si>
    <t>Maverick Pickup Base Camp 1</t>
  </si>
  <si>
    <t>B-FDMVKN2-22S-PC-BC1</t>
  </si>
  <si>
    <t>Maverick Pickup</t>
  </si>
  <si>
    <t>Hybrid Energi Spare Access</t>
  </si>
  <si>
    <t>Fusion Trunk 1 Dwr</t>
  </si>
  <si>
    <t>N-FDFUSN1-13N-PE-SA</t>
  </si>
  <si>
    <t>Fusion Trunk  1 Dwr</t>
  </si>
  <si>
    <t>N-FDFUSN1-10N-PH</t>
  </si>
  <si>
    <t>Fusion Hybrid</t>
  </si>
  <si>
    <t>Hybrid, Spare Access</t>
  </si>
  <si>
    <t>Fusion Trunk Std 1 Dwr</t>
  </si>
  <si>
    <t>N-FDFUSS1-13N-PH-SA</t>
  </si>
  <si>
    <t>N-FDFUSN1-13N-PH-SA</t>
  </si>
  <si>
    <t>N-FDFUSN1-13N-PH</t>
  </si>
  <si>
    <t>N-FDFUSN1-13N-HG</t>
  </si>
  <si>
    <t>N-FDFUSN1-06N-HG</t>
  </si>
  <si>
    <t>N-FDFUSN1-06N</t>
  </si>
  <si>
    <t>Fusion Mag 1 Dwr</t>
  </si>
  <si>
    <t>N-FDFUSM1-13N</t>
  </si>
  <si>
    <t>Fusion</t>
  </si>
  <si>
    <t>Full Size Van Utility 2 Dwr</t>
  </si>
  <si>
    <t>T-FDESEU2-06L</t>
  </si>
  <si>
    <t>Full Size Van Std OS Dwr</t>
  </si>
  <si>
    <t>T-FDESESO-06L</t>
  </si>
  <si>
    <t>T-FDESES2-98L</t>
  </si>
  <si>
    <t>T-FDESES2-92S</t>
  </si>
  <si>
    <t>T-FDESES2-06L-PT</t>
  </si>
  <si>
    <t>T-FDESES2-06L</t>
  </si>
  <si>
    <t>Full Size Van Std 1 Dwr</t>
  </si>
  <si>
    <t>T-FDESES1-06L</t>
  </si>
  <si>
    <t>Mid Size E-350 pullout table</t>
  </si>
  <si>
    <t>T-FDESEMO-92M-PT</t>
  </si>
  <si>
    <t>Full Size Van Mag OS Table Ext</t>
  </si>
  <si>
    <t>T-FDESEMO-06L-PT</t>
  </si>
  <si>
    <t>Full Size Van Mag OS Dwr</t>
  </si>
  <si>
    <t>T-FDESEMO-06L</t>
  </si>
  <si>
    <t>T-FDESEM2-98L</t>
  </si>
  <si>
    <t>Long Bed, Tbl Ext</t>
  </si>
  <si>
    <t>T-FDESEM2-06L-PT</t>
  </si>
  <si>
    <t>T-FDESEM2-06L</t>
  </si>
  <si>
    <t>Full Size Van Mag 1 Dwr</t>
  </si>
  <si>
    <t>T-FDESEM1-06L</t>
  </si>
  <si>
    <t>Full Size Van Drone Responder</t>
  </si>
  <si>
    <t>D-FDESEN2-92N-HT-C1-DR7</t>
  </si>
  <si>
    <t>13 Total Dwrs</t>
  </si>
  <si>
    <t>Full Size Van Office Ctr</t>
  </si>
  <si>
    <t>C-FDESEN7-06E</t>
  </si>
  <si>
    <t>Full Size Van Chief LX CC</t>
  </si>
  <si>
    <t>C-FDESEN6-98C</t>
  </si>
  <si>
    <t>C-FDESEN5-98C</t>
  </si>
  <si>
    <t>Full Size Van Field Ranger</t>
  </si>
  <si>
    <t>C-FDESEN3-92R</t>
  </si>
  <si>
    <t>Full Size Van Special Ops Ctr</t>
  </si>
  <si>
    <t>C-FDESEN3-92D-PT</t>
  </si>
  <si>
    <t>Full Size Van</t>
  </si>
  <si>
    <t>Freestyle Std 2 Dwr</t>
  </si>
  <si>
    <t>T-FDFRES2-05N</t>
  </si>
  <si>
    <t>Freestyle Std 1 Dwr</t>
  </si>
  <si>
    <t>T-FDFRES1-05N</t>
  </si>
  <si>
    <t>Freestyle Mag 2 Dwr</t>
  </si>
  <si>
    <t>T-FDFREM2-05N</t>
  </si>
  <si>
    <t>Freestyle Mag 1 Dwr</t>
  </si>
  <si>
    <t>T-FDFREM1-05N</t>
  </si>
  <si>
    <t>Freestyle</t>
  </si>
  <si>
    <t>Freestar Std OS Dwr</t>
  </si>
  <si>
    <t>T-FDFRSSO-04N</t>
  </si>
  <si>
    <t>Freestar Std 2 Dwr</t>
  </si>
  <si>
    <t>T-FDFRSS2-04N</t>
  </si>
  <si>
    <t>Freestar Std 1 Dwr</t>
  </si>
  <si>
    <t>T-FDFRSS1-04N</t>
  </si>
  <si>
    <t>Freestar Mag 2 Dwr</t>
  </si>
  <si>
    <t>T-FDFRSM2-04N</t>
  </si>
  <si>
    <t>Freestar Mag 1 Dwr</t>
  </si>
  <si>
    <t>T-FDFRSM1-04N</t>
  </si>
  <si>
    <t>Freestar</t>
  </si>
  <si>
    <t>Focus 5-Door Std 2 Dwr</t>
  </si>
  <si>
    <t>T-FDFOCS2-11N</t>
  </si>
  <si>
    <t>Focus 5-Door Std 1 Dwr</t>
  </si>
  <si>
    <t>T-FDFOCS1-11N</t>
  </si>
  <si>
    <t>Focus 5-Door</t>
  </si>
  <si>
    <t>T-FDFOCN1-11N-HG</t>
  </si>
  <si>
    <t>Focus 5-Door Mag 2 Dwr</t>
  </si>
  <si>
    <t>T-FDFOCM2-11N</t>
  </si>
  <si>
    <t>Focus 5-Door Mag 1 Dwr</t>
  </si>
  <si>
    <t>T-FDFOCM1-11N</t>
  </si>
  <si>
    <t>T-FDFOCM1-04N</t>
  </si>
  <si>
    <t>Focus 2 Dwr TrunkVault</t>
  </si>
  <si>
    <t>N-FDFOCN2-11N-HG</t>
  </si>
  <si>
    <t>N-FDFOCN2-11N</t>
  </si>
  <si>
    <t>Focus Patrolman</t>
  </si>
  <si>
    <t>N-FDFOCN1-11N-HG</t>
  </si>
  <si>
    <t>Focus 1 Dwr TrunkVault</t>
  </si>
  <si>
    <t>N-FDFOCN1-11N</t>
  </si>
  <si>
    <t>N-FDFOCN1-08N</t>
  </si>
  <si>
    <t>N-FDFOCN1-04N-HG</t>
  </si>
  <si>
    <t>Focus</t>
  </si>
  <si>
    <t>Flex Std Offset Dwr</t>
  </si>
  <si>
    <t>T-FDFLXSO-09N</t>
  </si>
  <si>
    <t>Flex Std 2 Dwr</t>
  </si>
  <si>
    <t>T-FDFLXS2-09N</t>
  </si>
  <si>
    <t>Elevated Design</t>
  </si>
  <si>
    <t>Flex Std 1 Dwr</t>
  </si>
  <si>
    <t>T-FDFLXS1-19N-HG</t>
  </si>
  <si>
    <t>T-FDFLXS1-09S</t>
  </si>
  <si>
    <t>T-FDFLXS1-09N</t>
  </si>
  <si>
    <t>Flex Mag Offset</t>
  </si>
  <si>
    <t>T-FDFLXMO-09N</t>
  </si>
  <si>
    <t>Flex Mag 2 Dwr</t>
  </si>
  <si>
    <t>T-FDFLXM2-09N-PT</t>
  </si>
  <si>
    <t>T-FDFLXM2-09N</t>
  </si>
  <si>
    <t>Flex Mag 1 Dwr</t>
  </si>
  <si>
    <t>T-FDFLXM1-19N-HG</t>
  </si>
  <si>
    <t>T-FDFLXM1-09N-PT</t>
  </si>
  <si>
    <t>T-FDFLXM1-09N</t>
  </si>
  <si>
    <t>Flex Chief CC</t>
  </si>
  <si>
    <t>C-FDFLXN5-09C</t>
  </si>
  <si>
    <t>Flex Investigator</t>
  </si>
  <si>
    <t>C-FDFLXN3-09I</t>
  </si>
  <si>
    <t>Flex</t>
  </si>
  <si>
    <t>8' Short Bed, Gooseneck, All Weather</t>
  </si>
  <si>
    <t>F-Series HD Pickup Utl 3 Dwr</t>
  </si>
  <si>
    <t>T-FDFSEU3-17L-P5-C2-GN-PW</t>
  </si>
  <si>
    <t>F-Series Pickup Magnum Gooseneck</t>
  </si>
  <si>
    <t>T-FDFSEM3-17S-P5-GN-PW</t>
  </si>
  <si>
    <t>6.5' Bed, AW, Gooseneck, Retrax, Tailgate Step</t>
  </si>
  <si>
    <t>F-Series HD Pickup Utility 3 Dwr</t>
  </si>
  <si>
    <t>T-FDFSEU3-12S-P5-GN-PF-RX-PW</t>
  </si>
  <si>
    <t>F-Series Pickup Base Camp 5</t>
  </si>
  <si>
    <t>B-FDFSEN4-17L-P5-BC5</t>
  </si>
  <si>
    <t>Mounted to TG1500X-9248</t>
  </si>
  <si>
    <t>Professional Line 5</t>
  </si>
  <si>
    <t>C-FDFSEN2-17L-P5-TG-PL5</t>
  </si>
  <si>
    <t>F-Step, All Weather</t>
  </si>
  <si>
    <t>F-Series Pickup Ext 2 Dwr</t>
  </si>
  <si>
    <t>T-FDFSEE2-12S-P5-PF-PW</t>
  </si>
  <si>
    <t>F-Series Pickup Utl 3 Dwr Gooseneck</t>
  </si>
  <si>
    <t>T-FDFSEU3-17S-P5-GN-IW-PW</t>
  </si>
  <si>
    <t>F-Series HD Pickup Mag 3 Dwr</t>
  </si>
  <si>
    <t>T-FDFSEM3-17L-P5-C2-GN-PW</t>
  </si>
  <si>
    <t>6.5' Short Bed, Gooseneck, All Weather</t>
  </si>
  <si>
    <t>F-Series HD Pickup Utl 2 Dwr</t>
  </si>
  <si>
    <t>T-FDFSEU2-17S-P5-C2-GN-PW</t>
  </si>
  <si>
    <t>T-FDFSEU2-17L-P5-C2-GN-PW</t>
  </si>
  <si>
    <t>F-Series HD Pickup Std 3 Dwr</t>
  </si>
  <si>
    <t>T-FDFSES3-17S-P5-C2-GN-PW</t>
  </si>
  <si>
    <t>F-Series HD Pickup Mag 2 Dwr</t>
  </si>
  <si>
    <t>T-FDFSEM2-17L-P5-C2-GN-PW</t>
  </si>
  <si>
    <t>T-FDFSEU3-17S-P5-C2-GN-PW</t>
  </si>
  <si>
    <t>8' F-250/350 Long Bed AW Field Ranger</t>
  </si>
  <si>
    <t>F-Series Pickup AW Field Ranger, Retrax</t>
  </si>
  <si>
    <t>C-FDFSEN3-17L-P5-CR-RX-PW</t>
  </si>
  <si>
    <t>8' Bed, AW, Retrax, Gooseneck, Inverter Wing</t>
  </si>
  <si>
    <t>T-FDFSEM3-17S-P5-GN-IW-RX-PW</t>
  </si>
  <si>
    <t>6.5' Bed, AW, Retrax, Gooseneck</t>
  </si>
  <si>
    <t>F-Series HD Standard 3 Dwr</t>
  </si>
  <si>
    <t>T-FDFSES3-17S-P5-C2-GN-RX-PW</t>
  </si>
  <si>
    <t>F-Series HD Utility 2 Dwr</t>
  </si>
  <si>
    <t>T-FDFSEU2-17L-P5-C2-GN-RX-PW</t>
  </si>
  <si>
    <t>6' 9" Bed F250/350</t>
  </si>
  <si>
    <t>F-Series Pickup Utility OS Dwr</t>
  </si>
  <si>
    <t>T-FDFSEUO-97S-P5</t>
  </si>
  <si>
    <t>8' Long Bed F-250/350, AW</t>
  </si>
  <si>
    <t>F-Series Pickup Utility Offset Dwr</t>
  </si>
  <si>
    <t>T-FDFSEUO-97L-P5-PW</t>
  </si>
  <si>
    <t>8' Long Bed F-250/350</t>
  </si>
  <si>
    <t>T-FDFSEUO-97L-P5</t>
  </si>
  <si>
    <t>8' Bed F-250/350, All-Wthr</t>
  </si>
  <si>
    <t>T-FDFSEUO-92L-P5-PW</t>
  </si>
  <si>
    <t>6' 9" Bed F250/350, A-Wthr, Retrax</t>
  </si>
  <si>
    <t>T-FDFSEUO-17S-P5-RX-PW</t>
  </si>
  <si>
    <t>6' 9" Bed F250/350, A-Wthr</t>
  </si>
  <si>
    <t>T-FDFSEUO-17S-P5-PW</t>
  </si>
  <si>
    <t>6' 9" Bed F250/350; Heavy Duty Table - Magnetic Dry Erase</t>
  </si>
  <si>
    <t>T-FDFSEUO-17S-P5-HM</t>
  </si>
  <si>
    <t>T-FDFSEUO-17S-P5</t>
  </si>
  <si>
    <t>8' F250/350, A-W</t>
  </si>
  <si>
    <t>T-FDFSEUO-17L-P5-PW</t>
  </si>
  <si>
    <t>8' Bed F-250/350</t>
  </si>
  <si>
    <t>T-FDFSEUO-17L-P5</t>
  </si>
  <si>
    <t>T-FDFSEUO-12S-P5-PW</t>
  </si>
  <si>
    <t>8' Long Bed F-250/350, A-Wthr</t>
  </si>
  <si>
    <t>F-Series Pickup Offset Dwr</t>
  </si>
  <si>
    <t>T-FDFSEUO-12L-P5-PW</t>
  </si>
  <si>
    <t>T-FDFSEUO-12L-P5</t>
  </si>
  <si>
    <t>F-Series Pickup Utility 2 Dwr</t>
  </si>
  <si>
    <t>T-FDFSEU2-97S-P5-PW</t>
  </si>
  <si>
    <t>T-FDFSEU2-97S-P5</t>
  </si>
  <si>
    <t>T-FDFSEU2-97L-P5-PW</t>
  </si>
  <si>
    <t>T-FDFSEU2-97L-P5</t>
  </si>
  <si>
    <t>T-FDFSEU2-92L-P5</t>
  </si>
  <si>
    <t>6.5' Bed F-250/350, All-Wthr</t>
  </si>
  <si>
    <t>F-Series Pickup Utl 2 Dwr</t>
  </si>
  <si>
    <t>T-FDFSEU2-88S-P5-PW</t>
  </si>
  <si>
    <t>6' 9" Bed F250/350, ReTrtax  A-Wthr</t>
  </si>
  <si>
    <t>T-FDFSEU2-17S-P5-RX-PW</t>
  </si>
  <si>
    <t>T-FDFSEU2-17S-P5-PW</t>
  </si>
  <si>
    <t>6' 9" Bed F250/350, Inverter Wing</t>
  </si>
  <si>
    <t>T-FDFSEU2-17S-P5-IW</t>
  </si>
  <si>
    <t>T-FDFSEU2-17S-P5</t>
  </si>
  <si>
    <t>8' Long Bed F-250/350 Retrax</t>
  </si>
  <si>
    <t>T-FDFSEU2-17L-P5-RX</t>
  </si>
  <si>
    <t>T-FDFSEU2-17L-P5-PW</t>
  </si>
  <si>
    <t>8' Long Bed F-250/350, Inverter Wing, All Weather</t>
  </si>
  <si>
    <t>T-FDFSEU2-17L-P5-IW-PW</t>
  </si>
  <si>
    <t>8' Long Bed F-250/350, Inverter Wing</t>
  </si>
  <si>
    <t>T-FDFSEU2-17L-P5-IW</t>
  </si>
  <si>
    <t>T-FDFSEU2-17L-P5</t>
  </si>
  <si>
    <t>T-FDFSEU2-12S-P5-PW</t>
  </si>
  <si>
    <t>6' 9" F250, A-Wthr, Fldng Step</t>
  </si>
  <si>
    <t>T-FDFSEU2-12S-P5-PF-PW</t>
  </si>
  <si>
    <t>6' 9" F250/350, Folding Step</t>
  </si>
  <si>
    <t>T-FDFSEU2-12S-P5-PF</t>
  </si>
  <si>
    <t>6' 6" Short Bed HD</t>
  </si>
  <si>
    <t>T-FDFSEU2-12S-P5</t>
  </si>
  <si>
    <t>F-Series Pickup 2 Dwr</t>
  </si>
  <si>
    <t>T-FDFSEU2-12L-P5-PW</t>
  </si>
  <si>
    <t>T-FDFSEU2-12L-P5-PF-PW</t>
  </si>
  <si>
    <t>T-FDFSEU2-12L-P5</t>
  </si>
  <si>
    <t>6'9" Bed, AW, Passenger Side</t>
  </si>
  <si>
    <t>F-Series Utility 1 Dwr Half Width</t>
  </si>
  <si>
    <t>T-FDFSEU1-97S-P5-HP-PW</t>
  </si>
  <si>
    <t>8', All Wthr; Passenger Side</t>
  </si>
  <si>
    <t>T-FDFSEU1-92L-P5-HP-PW</t>
  </si>
  <si>
    <t>6' Bed, Passenger Side Retrax</t>
  </si>
  <si>
    <t>T-FDFSEU1-17S-P5-HP-RX</t>
  </si>
  <si>
    <t>6'9" Bed, AW, Passenger Side, ReTrax</t>
  </si>
  <si>
    <t>T-FDFSEU1-17S-P5-HP-PW-RX</t>
  </si>
  <si>
    <t>T-FDFSEU1-17S-P5-HP-PW</t>
  </si>
  <si>
    <t>F-Series Utility1 Dwr Half Width</t>
  </si>
  <si>
    <t>T-FDFSEU1-17S-P5-HP</t>
  </si>
  <si>
    <t>6'9" Bed, AW, Driver Side, ReTrax</t>
  </si>
  <si>
    <t>T-FDFSEU1-17S-P5-HD-PW-RX</t>
  </si>
  <si>
    <t>6'9" Bed, AW, Driver Side</t>
  </si>
  <si>
    <t>T-FDFSEU1-17S-P5-HD-PW</t>
  </si>
  <si>
    <t>T-FDFSEU1-17S-P5-HD</t>
  </si>
  <si>
    <t>T-FDFSEU1-17L-P5-HP-PW</t>
  </si>
  <si>
    <t>8'; Passenger Side</t>
  </si>
  <si>
    <t>T-FDFSEU1-17L-P5-HP</t>
  </si>
  <si>
    <t>8', All Wthr; Driver'sSide</t>
  </si>
  <si>
    <t>T-FDFSEU1-17L-P5-HD-PW</t>
  </si>
  <si>
    <t>6' 9", A-Wthr, Passenger Side</t>
  </si>
  <si>
    <t>T-FDFSEU1-12S-P5-HP-PW</t>
  </si>
  <si>
    <t>6' 9" Bed F250/350, All-Wthr</t>
  </si>
  <si>
    <t>F-Series Pickup Std Offset Dwr</t>
  </si>
  <si>
    <t>T-FDFSESO-97S-P5-PW</t>
  </si>
  <si>
    <t>6' 5" Bed F250/350, Tbl Ext</t>
  </si>
  <si>
    <t>T-FDFSESO-97S-P5-PT</t>
  </si>
  <si>
    <t>T-FDFSESO-97S-P5-PF-PW</t>
  </si>
  <si>
    <t>6' 5" Bed F250/350,FoldingStep</t>
  </si>
  <si>
    <t>T-FDFSESO-97S-P5-PF-PT</t>
  </si>
  <si>
    <t>T-FDFSESO-97S-P5-PF</t>
  </si>
  <si>
    <t>6' 5" Bed F250/350</t>
  </si>
  <si>
    <t>T-FDFSESO-97S-P5</t>
  </si>
  <si>
    <t>T-FDFSESO-97L-P5-PW</t>
  </si>
  <si>
    <t>8' F250/350, A-W Folding Step</t>
  </si>
  <si>
    <t>T-FDFSESO-97L-P5-PF-PW</t>
  </si>
  <si>
    <t>8' F250/350, Folding Step</t>
  </si>
  <si>
    <t>T-FDFSESO-97L-P5-PF</t>
  </si>
  <si>
    <t>T-FDFSESO-97L-P5</t>
  </si>
  <si>
    <t>F-Series Pickup Std 2 Dwr Offset</t>
  </si>
  <si>
    <t>T-FDFSESO-92L-P5-PW</t>
  </si>
  <si>
    <t>6' 9" Bed F250/350, A-Wthr; Retrax</t>
  </si>
  <si>
    <t>T-FDFSESO-17S-P5-RX-PW</t>
  </si>
  <si>
    <t>T-FDFSESO-17S-P5-PW</t>
  </si>
  <si>
    <t>T-FDFSESO-17S-P5</t>
  </si>
  <si>
    <t>T-FDFSESO-17L-P5-PW</t>
  </si>
  <si>
    <t>T-FDFSESO-17L-P5</t>
  </si>
  <si>
    <t>T-FDFSESO-12S-P5-PW</t>
  </si>
  <si>
    <t>T-FDFSESO-12S-P5-PF-PW</t>
  </si>
  <si>
    <t>6' 9" Bed F250/350,FoldingStep</t>
  </si>
  <si>
    <t>T-FDFSESO-12S-P5-PF</t>
  </si>
  <si>
    <t>T-FDFSESO-12S-P5</t>
  </si>
  <si>
    <t>T-FDFSESO-12L-P5-PW</t>
  </si>
  <si>
    <t>T-FDFSESO-12L-P5-PF-PW</t>
  </si>
  <si>
    <t>T-FDFSESO-12L-P5-PF</t>
  </si>
  <si>
    <t>T-FDFSESO-12L-P5</t>
  </si>
  <si>
    <t>F-Series Pickup Std 2 Dwr</t>
  </si>
  <si>
    <t>T-FDFSES2-97S-P5-PW</t>
  </si>
  <si>
    <t>6' 9" Bed F250/350, Tbl Ext</t>
  </si>
  <si>
    <t>T-FDFSES2-97S-P5-PT</t>
  </si>
  <si>
    <t>T-FDFSES2-97S-P5-PF-PW</t>
  </si>
  <si>
    <t>6' 9" F250/350, Step,Table Ext</t>
  </si>
  <si>
    <t>T-FDFSES2-97S-P5-PF-PT</t>
  </si>
  <si>
    <t>T-FDFSES2-97S-P5-PF</t>
  </si>
  <si>
    <t>T-FDFSES2-97S-P5</t>
  </si>
  <si>
    <t>T-FDFSES2-97L-P5-PW</t>
  </si>
  <si>
    <t>8' LB F-250/350, Table Ext</t>
  </si>
  <si>
    <t>T-FDFSES2-97L-P5-PT</t>
  </si>
  <si>
    <t>8' F-250/350 LB/A-Wht-Step</t>
  </si>
  <si>
    <t>T-FDFSES2-97L-P5-PF-PW</t>
  </si>
  <si>
    <t>8' L Bed F-2/350, Folding Step</t>
  </si>
  <si>
    <t>T-FDFSES2-97L-P5-PF</t>
  </si>
  <si>
    <t>8' Long Bed F-250/350 Bedslide</t>
  </si>
  <si>
    <t>T-FDFSES2-97L-P5-BS</t>
  </si>
  <si>
    <t>T-FDFSES2-97L-P5</t>
  </si>
  <si>
    <t>T-FDFSES2-92L-P5-PW</t>
  </si>
  <si>
    <t>8' Long Bed; F250/350</t>
  </si>
  <si>
    <t>T-FDFSES2-92L-P5</t>
  </si>
  <si>
    <t>T-FDFSES2-88L-P5-PW</t>
  </si>
  <si>
    <t>8' Long Bed, F-250/350</t>
  </si>
  <si>
    <t>T-FDFSES2-84L-P5</t>
  </si>
  <si>
    <t>T-FDFSES2-17S-P5-RX-PW</t>
  </si>
  <si>
    <t>T-FDFSES2-17S-P5-PW</t>
  </si>
  <si>
    <t>T-FDFSES2-17S-P5-IW</t>
  </si>
  <si>
    <t>T-FDFSES2-17S-P5</t>
  </si>
  <si>
    <t>T-FDFSES2-17L-P5-PW</t>
  </si>
  <si>
    <t>T-FDFSES2-17L-P5-IW</t>
  </si>
  <si>
    <t>8' Long Bed F-250/350, HD Table</t>
  </si>
  <si>
    <t>T-FDFSES2-17L-P5-HT</t>
  </si>
  <si>
    <t>T-FDFSES2-17L-P5</t>
  </si>
  <si>
    <t>T-FDFSES2-12S-P5-PW</t>
  </si>
  <si>
    <t>T-FDFSES2-12S-P5-PT</t>
  </si>
  <si>
    <t>T-FDFSES2-12S-P5-PF-PW</t>
  </si>
  <si>
    <t>T-FDFSES2-12S-P5-PF</t>
  </si>
  <si>
    <t>6' 9" Bed F250/350; HD Table</t>
  </si>
  <si>
    <t>T-FDFSES2-12S-P5-HT</t>
  </si>
  <si>
    <t>T-FDFSES2-12S-P5</t>
  </si>
  <si>
    <t>T-FDFSES2-12L-P5-PW</t>
  </si>
  <si>
    <t>T-FDFSES2-12L-P5-PT</t>
  </si>
  <si>
    <t>T-FDFSES2-12L-P5-PF-PW</t>
  </si>
  <si>
    <t>8' LB, Step, F-2/350, Tbl Ext</t>
  </si>
  <si>
    <t>T-FDFSES2-12L-P5-PF-PT</t>
  </si>
  <si>
    <t>T-FDFSES2-12L-P5-PF</t>
  </si>
  <si>
    <t>T-FDFSES2-12L-P5</t>
  </si>
  <si>
    <t>F-Series Std 1 Dwr Half Width</t>
  </si>
  <si>
    <t>T-FDFSES1-97S-P5-HP-PW</t>
  </si>
  <si>
    <t>T-FDFSES1-97S-P5-HP</t>
  </si>
  <si>
    <t>T-FDFSES1-97S-P5-HD-PW</t>
  </si>
  <si>
    <t>T-FDFSES1-17S-P5-HP-PW</t>
  </si>
  <si>
    <t>T-FDFSES1-17S-P5-HP</t>
  </si>
  <si>
    <t>T-FDFSES1-17S-P5-HD-PW</t>
  </si>
  <si>
    <t>6'6"; Drivers Side</t>
  </si>
  <si>
    <t>T-FDFSES1-17S-P5-HD</t>
  </si>
  <si>
    <t>T-FDFSES1-17L-P5-HP-PW</t>
  </si>
  <si>
    <t>F-Series MStd1 Dwr Half Width</t>
  </si>
  <si>
    <t>T-FDFSES1-17L-P5-HP</t>
  </si>
  <si>
    <t>8', All Wthr; Driver Side</t>
  </si>
  <si>
    <t>T-FDFSES1-17L-P5-HD-PW</t>
  </si>
  <si>
    <t>8'; Driver Side</t>
  </si>
  <si>
    <t>T-FDFSES1-17L-P5-HD</t>
  </si>
  <si>
    <t>6' Bed, Fld Step; Drivers Side</t>
  </si>
  <si>
    <t>T-FDFSES1-12S-P5-PF-HD</t>
  </si>
  <si>
    <t>T-FDFSES1-12S-P5-HP</t>
  </si>
  <si>
    <t>6' 9" Bed, All Weather</t>
  </si>
  <si>
    <t>F-Series Pickup Mag OS Dwr</t>
  </si>
  <si>
    <t>T-FDFSEMO-97S-P5-PW</t>
  </si>
  <si>
    <t>6' 9" Bed F-250/350, Tbl Ext</t>
  </si>
  <si>
    <t>F-Series Pickup Mag Offset Dwr</t>
  </si>
  <si>
    <t>T-FDFSEMO-97S-P5-PT</t>
  </si>
  <si>
    <t>F-Step, Magnum All Weather</t>
  </si>
  <si>
    <t>T-FDFSEMO-97S-P5-PF-PW</t>
  </si>
  <si>
    <t>6' 9" F-250/350, Folding Step</t>
  </si>
  <si>
    <t>T-FDFSEMO-97S-P5-PF</t>
  </si>
  <si>
    <t>6' 9" Bed F-250/350</t>
  </si>
  <si>
    <t>T-FDFSEMO-97S-P5</t>
  </si>
  <si>
    <t>T-FDFSEMO-97L-P5-PW</t>
  </si>
  <si>
    <t>8' Bed F-250/350, Tbl Ext</t>
  </si>
  <si>
    <t>T-FDFSEMO-97L-P5-PT</t>
  </si>
  <si>
    <t>T-FDFSEMO-97L-P5</t>
  </si>
  <si>
    <t>T-FDFSEMO-92L-P5-PW</t>
  </si>
  <si>
    <t>T-FDFSEMO-88L-P5-PW</t>
  </si>
  <si>
    <t>8' Long Bed, F-250-350</t>
  </si>
  <si>
    <t>T-FDFSEMO-88L-P5</t>
  </si>
  <si>
    <t>T-FDFSEMO-17S-P5-PW</t>
  </si>
  <si>
    <t>6' 9" Bed, All Weather, HD Table</t>
  </si>
  <si>
    <t>T-FDFSEMO-17S-P5-HW-PW</t>
  </si>
  <si>
    <t>6' 9" Bed F-250/350; Heavy Tbl</t>
  </si>
  <si>
    <t>T-FDFSEMO-17S-P5-HT</t>
  </si>
  <si>
    <t>T-FDFSEMO-17S-P5</t>
  </si>
  <si>
    <t>T-FDFSEMO-17L-P5-PW</t>
  </si>
  <si>
    <t>8' Bed F-250/350; Heavy Duty Table</t>
  </si>
  <si>
    <t>T-FDFSEMO-17L-P5-HT</t>
  </si>
  <si>
    <t>T-FDFSEMO-17L-P5</t>
  </si>
  <si>
    <t>T-FDFSEMO-12S-P5-PW</t>
  </si>
  <si>
    <t>T-FDFSEMO-12S-P5-PF-PW</t>
  </si>
  <si>
    <t>T-FDFSEMO-12S-P5-PF</t>
  </si>
  <si>
    <t>T-FDFSEMO-12S-P5</t>
  </si>
  <si>
    <t>T-FDFSEMO-12L-P5-PW</t>
  </si>
  <si>
    <t>T-FDFSEMO-12L-P5-PF-PW</t>
  </si>
  <si>
    <t>8' F-250/350 Long Bed</t>
  </si>
  <si>
    <t>T-FDFSEMO-12L-P5-PF</t>
  </si>
  <si>
    <t>T-FDFSEMO-12L-P5</t>
  </si>
  <si>
    <t>F-Series Pickup Mag 2 Dwr</t>
  </si>
  <si>
    <t>T-FDFSEM2-97S-P5-PW</t>
  </si>
  <si>
    <t>T-FDFSEM2-97S-P5-PT</t>
  </si>
  <si>
    <t>F-Step, Mag, All Weather</t>
  </si>
  <si>
    <t>T-FDFSEM2-97S-P5-PF-PW</t>
  </si>
  <si>
    <t>T-FDFSEM2-97S-P5-PF</t>
  </si>
  <si>
    <t>T-FDFSEM2-97S-P5</t>
  </si>
  <si>
    <t>8' F-250/350 Long Bed/All Wea</t>
  </si>
  <si>
    <t>T-FDFSEM2-97L-P5-PW</t>
  </si>
  <si>
    <t>8' F-250/350 Long Bed, Tbl Ext</t>
  </si>
  <si>
    <t>T-FDFSEM2-97L-P5-PT</t>
  </si>
  <si>
    <t>T-FDFSEM2-97L-P5-PF-PW</t>
  </si>
  <si>
    <t>8' F-250/350, Step, CargoGlide</t>
  </si>
  <si>
    <t>T-FDFSEM2-97L-P5-PF-BS</t>
  </si>
  <si>
    <t>8' F-250/350 Long Bed, Step</t>
  </si>
  <si>
    <t>T-FDFSEM2-97L-P5-PF</t>
  </si>
  <si>
    <t>8' F-250/350, CargoGlide</t>
  </si>
  <si>
    <t>T-FDFSEM2-97L-P5-BS</t>
  </si>
  <si>
    <t>T-FDFSEM2-97L-P5</t>
  </si>
  <si>
    <t>T-FDFSEM2-92L-P5-PW</t>
  </si>
  <si>
    <t>T-FDFSEM2-92L-P5</t>
  </si>
  <si>
    <t>T-FDFSEM2-88L-P5-PW</t>
  </si>
  <si>
    <t>T-FDFSEM2-80L-P5-PW</t>
  </si>
  <si>
    <t>T-FDFSEM2-80L-P5</t>
  </si>
  <si>
    <t>6' 9" Bed, All Weather, Retrax</t>
  </si>
  <si>
    <t>T-FDFSEM2-17S-P5-RX-PW</t>
  </si>
  <si>
    <t>6' 9" Bed F-250/350 ReTrax</t>
  </si>
  <si>
    <t>T-FDFSEM2-17S-P5-RX</t>
  </si>
  <si>
    <t>T-FDFSEM2-17S-P5-PW</t>
  </si>
  <si>
    <t>6' 9" Bed F-250/350; Heavy Duty Table</t>
  </si>
  <si>
    <t>T-FDFSEM2-17S-P5-HT</t>
  </si>
  <si>
    <t>T-FDFSEM2-17S-P5</t>
  </si>
  <si>
    <t>F-Series Pickup Mag 2 Dwr ReTrax</t>
  </si>
  <si>
    <t>T-FDFSEM2-17L-P5-PW-RX</t>
  </si>
  <si>
    <t>T-FDFSEM2-17L-P5-PW</t>
  </si>
  <si>
    <t>T-FDFSEM2-17L-P5</t>
  </si>
  <si>
    <t>6' 9" Bed F-250/350; Retrax</t>
  </si>
  <si>
    <t>T-FDFSEM2-12S-P5-RX</t>
  </si>
  <si>
    <t>T-FDFSEM2-12S-P5-PW</t>
  </si>
  <si>
    <t>T-FDFSEM2-12S-P5-PF-PW</t>
  </si>
  <si>
    <t>T-FDFSEM2-12S-P5-PF</t>
  </si>
  <si>
    <t>T-FDFSEM2-12S-P5-HT</t>
  </si>
  <si>
    <t>T-FDFSEM2-12S-P5</t>
  </si>
  <si>
    <t>T-FDFSEM2-12L-P5-PW</t>
  </si>
  <si>
    <t>T-FDFSEM2-12L-P5-PF-PW</t>
  </si>
  <si>
    <t>T-FDFSEM2-12L-P5-PF</t>
  </si>
  <si>
    <t>T-FDFSEM2-12L-P5</t>
  </si>
  <si>
    <t>6'9", A-Wthr, Passenger Side</t>
  </si>
  <si>
    <t>F-Series Mag 1 Dwr Half Width</t>
  </si>
  <si>
    <t>T-FDFSEM1-97S-P5-HP-PW</t>
  </si>
  <si>
    <t>6'9"; Passenger Side</t>
  </si>
  <si>
    <t>T-FDFSEM1-97S-P5-HP</t>
  </si>
  <si>
    <t>6'9", A-Wthr, Drivers Side</t>
  </si>
  <si>
    <t>T-FDFSEM1-97S-P5-HD-PW</t>
  </si>
  <si>
    <t>T-FDFSEM1-17S-P5-HP-PW</t>
  </si>
  <si>
    <t>T-FDFSEM1-17S-P5-HP</t>
  </si>
  <si>
    <t>T-FDFSEM1-17S-P5-HD-PW</t>
  </si>
  <si>
    <t>6'6"; Driver's Side</t>
  </si>
  <si>
    <t>T-FDFSEM1-17S-P5-HD</t>
  </si>
  <si>
    <t>8', All Wthr; Passenger Side, Retrax</t>
  </si>
  <si>
    <t>T-FDFSEM1-17L-P5-HP-PW-RX</t>
  </si>
  <si>
    <t>T-FDFSEM1-17L-P5-HP-PW</t>
  </si>
  <si>
    <t>T-FDFSEM1-17L-P5-HP</t>
  </si>
  <si>
    <t>8'; Drivers Side; Retrax</t>
  </si>
  <si>
    <t>T-FDFSEM1-17L-P5-HD-RX</t>
  </si>
  <si>
    <t>8', A-Wthr, Drivers Side</t>
  </si>
  <si>
    <t>T-FDFSEM1-17L-P5-HD-PW</t>
  </si>
  <si>
    <t>6'6", A-Wthr, Passenger Side</t>
  </si>
  <si>
    <t>T-FDFSEM1-12S-P5-PF-HP-PW</t>
  </si>
  <si>
    <t>T-FDFSEM1-12S-P5-PF-HP</t>
  </si>
  <si>
    <t>6'6", A-Wthr, Drivers Side</t>
  </si>
  <si>
    <t>T-FDFSEM1-12S-P5-PF-HD-PW</t>
  </si>
  <si>
    <t>T-FDFSEM1-12S-P5-PF-HD</t>
  </si>
  <si>
    <t>T-FDFSEM1-12S-P5-HP</t>
  </si>
  <si>
    <t>T-FDFSEM1-12S-P5-HD-PW</t>
  </si>
  <si>
    <t>T-FDFSEM1-12S-P5-HD</t>
  </si>
  <si>
    <t>8', A-Wthr, Step, Drivers Side</t>
  </si>
  <si>
    <t>T-FDFSEM1-12L-P5-PF-HD-PW</t>
  </si>
  <si>
    <t>8'; Step, Drivers Side</t>
  </si>
  <si>
    <t>T-FDFSEM1-12L-P5-PF-HD</t>
  </si>
  <si>
    <t>8', A-Wthr, Passenger Side</t>
  </si>
  <si>
    <t>T-FDFSEM1-12L-P5-HP-PW</t>
  </si>
  <si>
    <t>T-FDFSEM1-12L-P5-HP</t>
  </si>
  <si>
    <t>8'; Drivers Side</t>
  </si>
  <si>
    <t>T-FDFSEM1-12L-P5-HD</t>
  </si>
  <si>
    <t>F-Series Pickup Ext OS Dwr</t>
  </si>
  <si>
    <t>T-FDFSEEO-17L-P5</t>
  </si>
  <si>
    <t>T-FDFSEE2-17S-P5-PW</t>
  </si>
  <si>
    <t>T-FDFSEE2-17S-P5</t>
  </si>
  <si>
    <t>T-FDFSEE2-17L-P5</t>
  </si>
  <si>
    <t>6'9", A-Wthr, Passenger Side, Retrax</t>
  </si>
  <si>
    <t>T-FDFSEE1-17S-P5-HP-RX-PW</t>
  </si>
  <si>
    <t>F-Series Pickup SeatVault</t>
  </si>
  <si>
    <t>S-FDFSEN1-17N-P5</t>
  </si>
  <si>
    <t>S-FDFSEL2-97N-P5-EC</t>
  </si>
  <si>
    <t>S-FDFSEL2-17N-P5-EC</t>
  </si>
  <si>
    <t>S-FDFSEL2-17N-P5</t>
  </si>
  <si>
    <t>S-FDFSEL1-97N-P5-EC</t>
  </si>
  <si>
    <t>S-FDFSEL1-97N-P5</t>
  </si>
  <si>
    <t>Half Width Driver's side</t>
  </si>
  <si>
    <t>F-250 &amp; 350 Pickup SeatVault</t>
  </si>
  <si>
    <t>S-FDFSEL1-17N-P5-HD</t>
  </si>
  <si>
    <t>Extended Cab, Speaker</t>
  </si>
  <si>
    <t>S-FDFSEL1-17N-P5-EC-PK</t>
  </si>
  <si>
    <t>S-FDFSEL1-17N-P5-EC</t>
  </si>
  <si>
    <t>S-FDFSEL1-17N-P5</t>
  </si>
  <si>
    <t>F250 &amp; 350, 2 Dwr, 78"L</t>
  </si>
  <si>
    <t>F-Series Pickup Surveyor</t>
  </si>
  <si>
    <t>C-FDFSES2-97S-P5-VP</t>
  </si>
  <si>
    <t>F-250/350 Super Crew</t>
  </si>
  <si>
    <t>F-Series Pickup Chief LX CC</t>
  </si>
  <si>
    <t>C-FDFSEN6-97C-P5</t>
  </si>
  <si>
    <t>C-FDFSEN5-97C-P5</t>
  </si>
  <si>
    <t>C-FDFSEN4-97S-P5-VP</t>
  </si>
  <si>
    <t>C-FDFSEN4-17S-P5-VP</t>
  </si>
  <si>
    <t>C-FDFSEN4-17S-P5-TG-PL2</t>
  </si>
  <si>
    <t>C-FDFSEN4-12L-P5-VP</t>
  </si>
  <si>
    <t>F-Series Pickup BowHunter</t>
  </si>
  <si>
    <t>C-FDFSEN3-97L-P5-BH-PW</t>
  </si>
  <si>
    <t>Mounted to TG1500X-7748</t>
  </si>
  <si>
    <t>C-FDFSEN3-17S-P5-TG-PL6</t>
  </si>
  <si>
    <t>C-FDFSEN3-17S-P5-TG-PL1</t>
  </si>
  <si>
    <t>Short Bed F250 AW Field Ranger, HD Table</t>
  </si>
  <si>
    <t>F-250 AW Field Ranger</t>
  </si>
  <si>
    <t>C-FDFSEN3-17S-P5-HT-CR-PW</t>
  </si>
  <si>
    <t>Short Bed F250 AW Field Ranger; Retrax</t>
  </si>
  <si>
    <t>C-FDFSEN3-17S-P5-CR-RX-PW</t>
  </si>
  <si>
    <t>Short Bed F250 AW Field Ranger</t>
  </si>
  <si>
    <t>C-FDFSEN3-17S-P5-CR-PW</t>
  </si>
  <si>
    <t>F-Series Pickup Field Ranger</t>
  </si>
  <si>
    <t>C-FDFSEN3-17S-P5-CR</t>
  </si>
  <si>
    <t>C-FDFSEN3-17S-P5-BH-PW</t>
  </si>
  <si>
    <t>F-Series Pickup AW Field Ranger</t>
  </si>
  <si>
    <t>C-FDFSEN3-17L-P5-CR-PW</t>
  </si>
  <si>
    <t>8' F-250/350 Long Bed AW, Inverter Wing</t>
  </si>
  <si>
    <t>C-FDFSEN3-17L-P5-CR-IW-PW</t>
  </si>
  <si>
    <t>C-FDFSEN3-17L-P5-CR</t>
  </si>
  <si>
    <t>C-FDFSEN3-12S-P5-CR-PW</t>
  </si>
  <si>
    <t>C-FDFSEN3-12S-P5-CR</t>
  </si>
  <si>
    <t>C-FDFSEN3-12S-P5-BH-PW</t>
  </si>
  <si>
    <t>Long Bed, All Wthr, folding step</t>
  </si>
  <si>
    <t>C-FDFSEN3-12L-P5-CR-PF-PW</t>
  </si>
  <si>
    <t>C-FDFSEN3-12L-P5-CR</t>
  </si>
  <si>
    <t>C-FDFSEN2-17S-P5-TG-PL5</t>
  </si>
  <si>
    <t>C-FDFSEN2-17S-P5-TG-PL3</t>
  </si>
  <si>
    <t>Back Seat</t>
  </si>
  <si>
    <t>F-Series Pickup Custom</t>
  </si>
  <si>
    <t>C-FDFSEN0-17S-P5-C2-C11841</t>
  </si>
  <si>
    <t>C-FDFSEM2-97S-P5-VP</t>
  </si>
  <si>
    <t>F250 &amp; 350, 2 Dwr</t>
  </si>
  <si>
    <t>C-FDFSEM2-17S-P5-VP</t>
  </si>
  <si>
    <t>8', 2 Dwr</t>
  </si>
  <si>
    <t>C-FDFSEM2-17L-P5-VP</t>
  </si>
  <si>
    <t>C-FDFSEM2-12L-P5-VP</t>
  </si>
  <si>
    <t>C-FDFSEM2-04S-P5-VP</t>
  </si>
  <si>
    <t>6' 7" Bed</t>
  </si>
  <si>
    <t>B-FDFSEN4-17S-P5-BC5</t>
  </si>
  <si>
    <t>6' 9" Short Bed</t>
  </si>
  <si>
    <t>F-Series Pickup Base Camp 4</t>
  </si>
  <si>
    <t>B-FDFSEN4-17S-P5-BC4</t>
  </si>
  <si>
    <t>B-FDFSEN4-12S-P5-BC4</t>
  </si>
  <si>
    <t>B-FDFSEN4-12L-P5-BC5</t>
  </si>
  <si>
    <t>F-Series Pickup Base Camp 3</t>
  </si>
  <si>
    <t>B-FDFSEN3-97S-P5-BC3</t>
  </si>
  <si>
    <t>B-FDFSEN3-17S-P5-BC3</t>
  </si>
  <si>
    <t>B-FDFSEN3-12L-P5-BC3</t>
  </si>
  <si>
    <t>F-Series Pickup Base Camp 2</t>
  </si>
  <si>
    <t>B-FDFSEN2-17S-P5-BC2</t>
  </si>
  <si>
    <t>F-Series Pickup Base Camp 1</t>
  </si>
  <si>
    <t>B-FDFSEN2-17S-P5-BC1</t>
  </si>
  <si>
    <t>B-FDFSEN2-17L-P5-BC2</t>
  </si>
  <si>
    <t>B-FDFSEN2-17L-P5-BC1</t>
  </si>
  <si>
    <t>B-FDFSEN2-12S-P5-BC5</t>
  </si>
  <si>
    <t>B-FDFSEN2-12S-P5-BC2</t>
  </si>
  <si>
    <t>B-FDFSEN2-12L-P5-BC2</t>
  </si>
  <si>
    <t>F-250 &amp; 350 Pickup</t>
  </si>
  <si>
    <t>B-FDFSEN3-12S-P5-BC3</t>
  </si>
  <si>
    <t>6' 8" Short Bed;</t>
  </si>
  <si>
    <t>B-FDFSEN2-12S-P5-BC1</t>
  </si>
  <si>
    <t>8' Long Bed;</t>
  </si>
  <si>
    <t>B-FDFSEN2-12L-P5-BC1</t>
  </si>
  <si>
    <t>F-250 &amp; 350</t>
  </si>
  <si>
    <t>F-Series, Flare Std Offset Dwr</t>
  </si>
  <si>
    <t>T-FDFSFSO-99S</t>
  </si>
  <si>
    <t>T-FDFSFSO-04S</t>
  </si>
  <si>
    <t>F-Series, Flare Std 2 Dwr</t>
  </si>
  <si>
    <t>T-FDFSFS2-99S-PW</t>
  </si>
  <si>
    <t>T-FDFSFS2-99S</t>
  </si>
  <si>
    <t>T-FDFSFS2-04S-PW</t>
  </si>
  <si>
    <t>T-FDFSFS2-04S</t>
  </si>
  <si>
    <t>F-Series Flare Mag OS Dwr</t>
  </si>
  <si>
    <t>T-FDFSFMO-99S-PW</t>
  </si>
  <si>
    <t>F-Series, Flare Mag 2 Dwr OS</t>
  </si>
  <si>
    <t>T-FDFSFMO-04S</t>
  </si>
  <si>
    <t>F-Series Flare Mag 2 Dwr</t>
  </si>
  <si>
    <t>T-FDFSFM2-99S-PW</t>
  </si>
  <si>
    <t>F-Series, Flare Mag 2 Dwr</t>
  </si>
  <si>
    <t>T-FDFSFM2-99S</t>
  </si>
  <si>
    <t>T-FDFSFM2-04S-PW</t>
  </si>
  <si>
    <t>T-FDFSFM2-04S</t>
  </si>
  <si>
    <t>F-150 Pickup Flareside</t>
  </si>
  <si>
    <t>6'6"; Pass Side; All-Weather, Retrax</t>
  </si>
  <si>
    <t>T-FDFSEM1-15S-HP-RX-PW</t>
  </si>
  <si>
    <t>5' 6" S-Crew, All Weather; Half Driver</t>
  </si>
  <si>
    <t>F-Series Pickup Ext 1 Dwr</t>
  </si>
  <si>
    <t>T-FDFSEE1-15S-PC-HD-PW</t>
  </si>
  <si>
    <t>8', 4 Dwr</t>
  </si>
  <si>
    <t>F-150 Pickup Surveyor</t>
  </si>
  <si>
    <t>C-FDFSEN4-15L-VP</t>
  </si>
  <si>
    <t>F-Series Ext 1 Dwr Half Width</t>
  </si>
  <si>
    <t>T-FDFSEE1-15S-PC-HP</t>
  </si>
  <si>
    <t>T-FDFSEUO-97L-PW</t>
  </si>
  <si>
    <t>F-Series Pickup Utility 2 Dwr Offset</t>
  </si>
  <si>
    <t>T-FDFSEUO-87L</t>
  </si>
  <si>
    <t>6' 6" SB, All Weather, ReTrax</t>
  </si>
  <si>
    <t>T-FDFSEUO-15S-RX-PW</t>
  </si>
  <si>
    <t>6' 6" Short Bed ReTrax</t>
  </si>
  <si>
    <t>T-FDFSEUO-15S-RX</t>
  </si>
  <si>
    <t>6' 6" Short Bed, All Weather</t>
  </si>
  <si>
    <t>T-FDFSEUO-15S-PW</t>
  </si>
  <si>
    <t>5' 6", S-Crew, All Weather ReTrax</t>
  </si>
  <si>
    <t>T-FDFSEUO-15S-PC-RX-PW</t>
  </si>
  <si>
    <t>5' 6", S-Crew, All Weather</t>
  </si>
  <si>
    <t>T-FDFSEUO-15S-PC-PW</t>
  </si>
  <si>
    <t>5' 6" S-Crew; Table ext</t>
  </si>
  <si>
    <t>T-FDFSEUO-15S-PC-PT</t>
  </si>
  <si>
    <t>6' 6" SB,S-Crew,  All Weather Invertor Wing</t>
  </si>
  <si>
    <t>T-FDFSEUO-15S-PC-IW-PW</t>
  </si>
  <si>
    <t>5' 6" S-Crew Invertor Wing</t>
  </si>
  <si>
    <t>T-FDFSEUO-15S-PC-IW</t>
  </si>
  <si>
    <t>T-FDFSEUO-15S-PC</t>
  </si>
  <si>
    <t>6' 6" SB, All Weather Invertor Wing</t>
  </si>
  <si>
    <t>T-FDFSEUO-15S-IW-PW</t>
  </si>
  <si>
    <t>T-FDFSEUO-15S-IW</t>
  </si>
  <si>
    <t>T-FDFSEUO-15S</t>
  </si>
  <si>
    <t>T-FDFSEUO-15L</t>
  </si>
  <si>
    <t>5' 6" S-Crew, Folding Step</t>
  </si>
  <si>
    <t>T-FDFSEUO-09S-PC-PF</t>
  </si>
  <si>
    <t>T-FDFSEUO-04S-PC-PW</t>
  </si>
  <si>
    <t>T-FDFSEUO-04S-PC</t>
  </si>
  <si>
    <t>T-FDFSEU2-97L-PW</t>
  </si>
  <si>
    <t>T-FDFSEU2-92L-P5-PW</t>
  </si>
  <si>
    <t>T-FDFSEU2-87S</t>
  </si>
  <si>
    <t>T-FDFSEU2-15S-RX-PW</t>
  </si>
  <si>
    <t>T-FDFSEU2-15S-RX</t>
  </si>
  <si>
    <t>T-FDFSEU2-15S-PW</t>
  </si>
  <si>
    <t>T-FDFSEU2-15S-PC-RX-PW</t>
  </si>
  <si>
    <t>5' 6" S-Crew; Retrax</t>
  </si>
  <si>
    <t>T-FDFSEU2-15S-PC-RX</t>
  </si>
  <si>
    <t>T-FDFSEU2-15S-PC-PW</t>
  </si>
  <si>
    <t>5' 6", Invertor Wing All Weather, Retrax</t>
  </si>
  <si>
    <t>T-FDFSEU2-15S-PC-IW-RX-PW</t>
  </si>
  <si>
    <t>5' 6", Invertor Wing All Weather</t>
  </si>
  <si>
    <t>T-FDFSEU2-15S-PC-IW-PW</t>
  </si>
  <si>
    <t>T-FDFSEU2-15S-PC-IW</t>
  </si>
  <si>
    <t>5' 6", S-Crew, HD Table</t>
  </si>
  <si>
    <t>T-FDFSEU2-15S-PC-HT</t>
  </si>
  <si>
    <t>T-FDFSEU2-15S-PC</t>
  </si>
  <si>
    <t>T-FDFSEU2-15S-IW-PW</t>
  </si>
  <si>
    <t>T-FDFSEU2-15S</t>
  </si>
  <si>
    <t>T-FDFSEU2-15L-PW</t>
  </si>
  <si>
    <t>T-FDFSEU2-15L</t>
  </si>
  <si>
    <t>6' 6" , Folding Step</t>
  </si>
  <si>
    <t>F-Series PickupUtility 2  Dwr</t>
  </si>
  <si>
    <t>T-FDFSEU2-09S-PF</t>
  </si>
  <si>
    <t>5' 6", S-Crew, All Weather TG Step</t>
  </si>
  <si>
    <t>T-FDFSEU2-09S-PC-PF-PW</t>
  </si>
  <si>
    <t>T-FDFSEU2-09S-PC-PF</t>
  </si>
  <si>
    <t>T-FDFSEU2-04S-PW</t>
  </si>
  <si>
    <t>5' 6" S-Crew, A-Wthr</t>
  </si>
  <si>
    <t>T-FDFSEU2-04S-PC-PW</t>
  </si>
  <si>
    <t>T-FDFSEU2-04S-PC</t>
  </si>
  <si>
    <t>T-FDFSEU2-04S</t>
  </si>
  <si>
    <t>T-FDFSEU2-04L-PW</t>
  </si>
  <si>
    <t>T-FDFSEU2-01S-PC</t>
  </si>
  <si>
    <t>5' 6", A-Wthr, Passenger Side</t>
  </si>
  <si>
    <t>T-FDFSEU1-15S-PC-HP-PW</t>
  </si>
  <si>
    <t>T-FDFSEU1-15S-PC-HP</t>
  </si>
  <si>
    <t>5' 6", A-Wthr, Driver Side, Retrax</t>
  </si>
  <si>
    <t>T-FDFSEU1-15S-PC-HD-RX-PW</t>
  </si>
  <si>
    <t>5' 6", A-Wthr, Driver Side</t>
  </si>
  <si>
    <t>T-FDFSEU1-15S-PC-HD-PW</t>
  </si>
  <si>
    <t>5' 6" S-Crew; Drivers Side</t>
  </si>
  <si>
    <t>T-FDFSEU1-15S-PC-HD</t>
  </si>
  <si>
    <t>6' 6", A-Wthr, Passenger Side</t>
  </si>
  <si>
    <t>T-FDFSEU1-15S-HP-PW</t>
  </si>
  <si>
    <t>6' 6"; Passenger Side</t>
  </si>
  <si>
    <t>T-FDFSEU1-15S-HP</t>
  </si>
  <si>
    <t>6' 6", A-Wthr, Driver Side</t>
  </si>
  <si>
    <t>T-FDFSEU1-15S-HD-PW</t>
  </si>
  <si>
    <t>6' 6"; Drivers Side, Wing Set Back</t>
  </si>
  <si>
    <t>T-FDFSEU1-15S-HD-IW</t>
  </si>
  <si>
    <t>6' 6"; Drivers Side</t>
  </si>
  <si>
    <t>T-FDFSEU1-15S-HD</t>
  </si>
  <si>
    <t>8' Bed, P Side</t>
  </si>
  <si>
    <t>T-FDFSEU1-15L-HP</t>
  </si>
  <si>
    <t>6' 5" Bed F150, All-Wthr</t>
  </si>
  <si>
    <t>T-FDFSESO-97S-PW</t>
  </si>
  <si>
    <t>T-FDFSESO-97S</t>
  </si>
  <si>
    <t>T-FDFSESO-97L-PW</t>
  </si>
  <si>
    <t>T-FDFSESO-97L</t>
  </si>
  <si>
    <t>T-FDFSESO-15S-PW</t>
  </si>
  <si>
    <t>T-FDFSESO-15S-PC-PW</t>
  </si>
  <si>
    <t>5' 6",  All Weather, Inverter Wing</t>
  </si>
  <si>
    <t>T-FDFSESO-15S-PC-IW-PW</t>
  </si>
  <si>
    <t>5' 6",  Inverter Wing</t>
  </si>
  <si>
    <t>T-FDFSESO-15S-PC-IW</t>
  </si>
  <si>
    <t>5' 6", S-Crew, Heavy Duty Table</t>
  </si>
  <si>
    <t>T-FDFSESO-15S-PC-HT</t>
  </si>
  <si>
    <t>T-FDFSESO-15S-PC</t>
  </si>
  <si>
    <t>6' 6" Bed, All Weather, Invertor Wing</t>
  </si>
  <si>
    <t>T-FDFSESO-15S-IW-PW</t>
  </si>
  <si>
    <t>6' 6" Short Bed, Inverter Wing</t>
  </si>
  <si>
    <t>T-FDFSESO-15S-IW</t>
  </si>
  <si>
    <t>T-FDFSESO-15S</t>
  </si>
  <si>
    <t>F-Series Pickup Std OS Dwr</t>
  </si>
  <si>
    <t>T-FDFSESO-15L-PW</t>
  </si>
  <si>
    <t>T-FDFSESO-15L</t>
  </si>
  <si>
    <t>6' 6" SB, Step Opt,  A-Wthr</t>
  </si>
  <si>
    <t>T-FDFSESO-09S-PF-PW</t>
  </si>
  <si>
    <t>T-FDFSESO-09S-PF</t>
  </si>
  <si>
    <t>5' 6" SB, Step Opt,  A-Wthr</t>
  </si>
  <si>
    <t>T-FDFSESO-09S-PC-PF-PW</t>
  </si>
  <si>
    <t>5' 6" S-Crew, Folding Step,</t>
  </si>
  <si>
    <t>F-Series Std Offset Table Ext</t>
  </si>
  <si>
    <t>T-FDFSESO-09S-PC-PF-PT</t>
  </si>
  <si>
    <t>T-FDFSESO-09S-PC-PF</t>
  </si>
  <si>
    <t>Tailgate Step, 8' LB, A-Wthr</t>
  </si>
  <si>
    <t>T-FDFSESO-09L-PF-PW</t>
  </si>
  <si>
    <t>8' Bed , Folding Step</t>
  </si>
  <si>
    <t>T-FDFSESO-09L-PF</t>
  </si>
  <si>
    <t>T-FDFSESO-04S-PW</t>
  </si>
  <si>
    <t>6' 6" Short Bed; Table Ext</t>
  </si>
  <si>
    <t>T-FDFSESO-04S-PT</t>
  </si>
  <si>
    <t>T-FDFSESO-04S-PC-PW</t>
  </si>
  <si>
    <t>5' 6" S-Crew, Tbl Ext</t>
  </si>
  <si>
    <t>T-FDFSESO-04S-PC-PT</t>
  </si>
  <si>
    <t>T-FDFSESO-04S-PC</t>
  </si>
  <si>
    <t>T-FDFSESO-04S</t>
  </si>
  <si>
    <t>T-FDFSESO-04L</t>
  </si>
  <si>
    <t>T-FDFSESO-01S-PC-PW</t>
  </si>
  <si>
    <t>T-FDFSESO-01S-PC-PT</t>
  </si>
  <si>
    <t>T-FDFSESO-01S-PC</t>
  </si>
  <si>
    <t>T-FDFSES2-97S-PW</t>
  </si>
  <si>
    <t>T-FDFSES2-97S</t>
  </si>
  <si>
    <t>T-FDFSES2-97L-PW</t>
  </si>
  <si>
    <t>T-FDFSES2-97L</t>
  </si>
  <si>
    <t>T-FDFSES2-92S</t>
  </si>
  <si>
    <t>T-FDFSES2-87S</t>
  </si>
  <si>
    <t>T-FDFSES2-87L-PW</t>
  </si>
  <si>
    <t>T-FDFSES2-87L</t>
  </si>
  <si>
    <t>T-FDFSES2-15S-RX-PW</t>
  </si>
  <si>
    <t>T-FDFSES2-15S-PW</t>
  </si>
  <si>
    <t>5' 6", ReTrax All Weather</t>
  </si>
  <si>
    <t>T-FDFSES2-15S-PC-RX-PW</t>
  </si>
  <si>
    <t>5' 6" S-Crew Shortened for Retrax</t>
  </si>
  <si>
    <t>T-FDFSES2-15S-PC-RX</t>
  </si>
  <si>
    <t>T-FDFSES2-15S-PC-PW</t>
  </si>
  <si>
    <t>T-FDFSES2-15S-PC-PT</t>
  </si>
  <si>
    <t>5' 6", ReTrax All Weather, Inverter Wing</t>
  </si>
  <si>
    <t>T-FDFSES2-15S-PC-IW-RX-PW</t>
  </si>
  <si>
    <t>T-FDFSES2-15S-PC-IW-PW</t>
  </si>
  <si>
    <t>T-FDFSES2-15S-PC-IW</t>
  </si>
  <si>
    <t>5' 6" S-Crew; HD Table</t>
  </si>
  <si>
    <t>T-FDFSES2-15S-PC-HT</t>
  </si>
  <si>
    <t>T-FDFSES2-15S-PC</t>
  </si>
  <si>
    <t>ORVIS; 6' 6" Short Bed</t>
  </si>
  <si>
    <t>T-FDFSES2-15S-ORV</t>
  </si>
  <si>
    <t>6' 6" SB, All Weather,</t>
  </si>
  <si>
    <t>T-FDFSES2-15S-IW-PW</t>
  </si>
  <si>
    <t>6' 6" Short Bed, Invertor Wing</t>
  </si>
  <si>
    <t>T-FDFSES2-15S-IW</t>
  </si>
  <si>
    <t>6' 6" Short Bed HD Table</t>
  </si>
  <si>
    <t>T-FDFSES2-15S-HT</t>
  </si>
  <si>
    <t>T-FDFSES2-15S</t>
  </si>
  <si>
    <t>T-FDFSES2-15L-PW</t>
  </si>
  <si>
    <t>T-FDFSES2-15L</t>
  </si>
  <si>
    <t>T-FDFSES2-09S-PF-PW</t>
  </si>
  <si>
    <t>T-FDFSES2-09S-PF</t>
  </si>
  <si>
    <t>5' 6" S-Crew, Fld Stp, A-Wthr</t>
  </si>
  <si>
    <t>T-FDFSES2-09S-PC-PF-PW</t>
  </si>
  <si>
    <t>5' 6" S-Crew, Fld Step, Tbl Ex</t>
  </si>
  <si>
    <t>T-FDFSES2-09S-PC-PF-PT</t>
  </si>
  <si>
    <t>T-FDFSES2-09S-PC-PF</t>
  </si>
  <si>
    <t>T-FDFSES2-09L-PF-PW</t>
  </si>
  <si>
    <t>T-FDFSES2-09L-PF</t>
  </si>
  <si>
    <t>T-FDFSES2-04S-PW</t>
  </si>
  <si>
    <t>6' 6" Short Bed, Tbl Ext</t>
  </si>
  <si>
    <t>T-FDFSES2-04S-PT</t>
  </si>
  <si>
    <t>T-FDFSES2-04S-PC-PW</t>
  </si>
  <si>
    <t>T-FDFSES2-04S-PC-PT</t>
  </si>
  <si>
    <t>T-FDFSES2-04S-PC</t>
  </si>
  <si>
    <t>T-FDFSES2-04S</t>
  </si>
  <si>
    <t>T-FDFSES2-04L-PW</t>
  </si>
  <si>
    <t>8' Long Bed; HD Table</t>
  </si>
  <si>
    <t>T-FDFSES2-04L-HT</t>
  </si>
  <si>
    <t>T-FDFSES2-04L</t>
  </si>
  <si>
    <t>T-FDFSES2-01S-PC-PW</t>
  </si>
  <si>
    <t>T-FDFSES2-01S-PC-PT</t>
  </si>
  <si>
    <t>T-FDFSES2-01S-PC</t>
  </si>
  <si>
    <t>5' 6" Crew, All Wthr; Passenger Side</t>
  </si>
  <si>
    <t>F-Series Mag 1 Dwr Half Width ReTrax</t>
  </si>
  <si>
    <t>T-FDFSES1-15S-PC-HP-RX-PW</t>
  </si>
  <si>
    <t>T-FDFSES1-15S-PC-HP-PW</t>
  </si>
  <si>
    <t>T-FDFSES1-15S-PC-HP</t>
  </si>
  <si>
    <t>T-FDFSES1-15S-PC-HD-PW</t>
  </si>
  <si>
    <t>T-FDFSES1-15S-PC-HD</t>
  </si>
  <si>
    <t>T-FDFSES1-15S-HP-PW</t>
  </si>
  <si>
    <t>T-FDFSES1-15S-HP</t>
  </si>
  <si>
    <t>6' 6", A-Wthr, Drivers Side</t>
  </si>
  <si>
    <t>T-FDFSES1-15S-HD-PW</t>
  </si>
  <si>
    <t>T-FDFSES1-15S-HD</t>
  </si>
  <si>
    <t>T-FDFSES1-12L-P5-HP-PW</t>
  </si>
  <si>
    <t>6', Fld Stp, A-Wthr, P Side</t>
  </si>
  <si>
    <t>T-FDFSES1-09S-PF-HP-PW</t>
  </si>
  <si>
    <t>6' Bed, Fld Step; P Side</t>
  </si>
  <si>
    <t>T-FDFSES1-09S-PF-HP</t>
  </si>
  <si>
    <t>6', Fld Stp, A-Wthr, D Side</t>
  </si>
  <si>
    <t>T-FDFSES1-09S-PF-HD-PW</t>
  </si>
  <si>
    <t>T-FDFSES1-09S-PF-HD</t>
  </si>
  <si>
    <t>5' 6", Fld Stp, A-Wthr, P Side</t>
  </si>
  <si>
    <t>T-FDFSES1-09S-PC-PF-HP-PW</t>
  </si>
  <si>
    <t>5' 6"; Step; Passenger Side</t>
  </si>
  <si>
    <t>T-FDFSES1-09S-PC-PF-HP</t>
  </si>
  <si>
    <t>5' 6", Fld Stp, A-Wthr, D Side</t>
  </si>
  <si>
    <t>T-FDFSES1-09S-PC-PF-HD-PW</t>
  </si>
  <si>
    <t>5' 6", Step; Drivers Side</t>
  </si>
  <si>
    <t>T-FDFSES1-09S-PC-PF-HD</t>
  </si>
  <si>
    <t>8', Fld Stp, A-Wthr, P Side</t>
  </si>
  <si>
    <t>T-FDFSES1-09L-PF-HP-PW</t>
  </si>
  <si>
    <t>8' Bed, Fld Step; P Side</t>
  </si>
  <si>
    <t>T-FDFSES1-09L-PF-HP</t>
  </si>
  <si>
    <t>8', Fld Stp, A-Wthr, D Side</t>
  </si>
  <si>
    <t>T-FDFSES1-09L-PF-HD-PW</t>
  </si>
  <si>
    <t>8' Bed, Fld Step; Drivers Side</t>
  </si>
  <si>
    <t>T-FDFSES1-09L-PF-HD</t>
  </si>
  <si>
    <t>T-FDFSES1-04S-PC-HP-PW</t>
  </si>
  <si>
    <t>T-FDFSES1-04S-PC-HP</t>
  </si>
  <si>
    <t>5' 6", A-Wthr, Drivers Side</t>
  </si>
  <si>
    <t>T-FDFSES1-04S-PC-HD-PW</t>
  </si>
  <si>
    <t>T-FDFSES1-04S-PC-HD</t>
  </si>
  <si>
    <t>T-FDFSES1-04S-HP-PW</t>
  </si>
  <si>
    <t>T-FDFSES1-04S-HP</t>
  </si>
  <si>
    <t>T-FDFSES1-04S-HD-PW</t>
  </si>
  <si>
    <t>T-FDFSES1-04S-HD</t>
  </si>
  <si>
    <t>T-FDFSES1-04L-HP-PW</t>
  </si>
  <si>
    <t>T-FDFSES1-04L-HP</t>
  </si>
  <si>
    <t>T-FDFSES1-04L-HD-PW</t>
  </si>
  <si>
    <t>T-FDFSES1-04L-HD</t>
  </si>
  <si>
    <t>5'6" S-Crew; Half Width Passenger</t>
  </si>
  <si>
    <t>F-Series Pickup Std 1 Dwr</t>
  </si>
  <si>
    <t>T-FDFSES1-01S-PC-HP</t>
  </si>
  <si>
    <t>Super Crew</t>
  </si>
  <si>
    <t>T-FDFSEN3-04R-PC</t>
  </si>
  <si>
    <t>6' 6" Bed, F-150 All Weather</t>
  </si>
  <si>
    <t>T-FDFSEMO-97S-PW</t>
  </si>
  <si>
    <t>6' 6" Short Bed w/tbl ext</t>
  </si>
  <si>
    <t>T-FDFSEMO-97S-PT</t>
  </si>
  <si>
    <t>T-FDFSEMO-97S</t>
  </si>
  <si>
    <t>8' Long Bed/All Wea</t>
  </si>
  <si>
    <t>F-Series Pickup Mag 2 Dwr Offset</t>
  </si>
  <si>
    <t>T-FDFSEMO-97L-PW</t>
  </si>
  <si>
    <t>T-FDFSEMO-97L</t>
  </si>
  <si>
    <t>T-FDFSEMO-15S-PW</t>
  </si>
  <si>
    <t>5' 6" SB, Crew Cab, All-Whtr</t>
  </si>
  <si>
    <t>F-Series Pickup Mag Offset Dwr ReTrax</t>
  </si>
  <si>
    <t>T-FDFSEMO-15S-PC-RX-PW</t>
  </si>
  <si>
    <t>5' 6" S-Crew ReTrax</t>
  </si>
  <si>
    <t>T-FDFSEMO-15S-PC-RX</t>
  </si>
  <si>
    <t>5' 6" S-Crew, All Weather</t>
  </si>
  <si>
    <t>T-FDFSEMO-15S-PC-PW</t>
  </si>
  <si>
    <t>5' 6" S-Crew, All Weather Invertor Wing</t>
  </si>
  <si>
    <t>T-FDFSEMO-15S-PC-IW-PW</t>
  </si>
  <si>
    <t>5' 6" S-Crew, Invertor Wing</t>
  </si>
  <si>
    <t>T-FDFSEMO-15S-PC-IW</t>
  </si>
  <si>
    <t>5' 6" S-Crew; Heavy Duty Table</t>
  </si>
  <si>
    <t>T-FDFSEMO-15S-PC-HT</t>
  </si>
  <si>
    <t>T-FDFSEMO-15S-PC</t>
  </si>
  <si>
    <t>T-FDFSEMO-15S</t>
  </si>
  <si>
    <t>T-FDFSEMO-15L-PW</t>
  </si>
  <si>
    <t>T-FDFSEMO-15L</t>
  </si>
  <si>
    <t>6' Bed, Folding Step,All-Wht</t>
  </si>
  <si>
    <t>T-FDFSEMO-09S-PF-PW</t>
  </si>
  <si>
    <t>6' Bed, Folding Step</t>
  </si>
  <si>
    <t>T-FDFSEMO-09S-PF</t>
  </si>
  <si>
    <t>F-Series Pickup Mag Offset</t>
  </si>
  <si>
    <t>T-FDFSEMO-09S-PC-PF-PW</t>
  </si>
  <si>
    <t>T-FDFSEMO-09S-PC-PF</t>
  </si>
  <si>
    <t>8' Long Bed, Step, All Wea</t>
  </si>
  <si>
    <t>T-FDFSEMO-09L-PF-PW</t>
  </si>
  <si>
    <t>T-FDFSEMO-09L-PF</t>
  </si>
  <si>
    <t>6' 6" Short Bed, All-Wthr</t>
  </si>
  <si>
    <t>T-FDFSEMO-04S-PW</t>
  </si>
  <si>
    <t>6' 6" Short Bed, Table Ext</t>
  </si>
  <si>
    <t>T-FDFSEMO-04S-PT</t>
  </si>
  <si>
    <t>T-FDFSEMO-04S-PC-PW</t>
  </si>
  <si>
    <t>5' 6" S-Crew, Table Ext</t>
  </si>
  <si>
    <t>T-FDFSEMO-04S-PC-PT</t>
  </si>
  <si>
    <t>T-FDFSEMO-04S-PC</t>
  </si>
  <si>
    <t>T-FDFSEMO-04S</t>
  </si>
  <si>
    <t>T-FDFSEMO-04L-PW</t>
  </si>
  <si>
    <t>T-FDFSEMO-04L</t>
  </si>
  <si>
    <t>T-FDFSEMO-01S-PC-PW</t>
  </si>
  <si>
    <t>T-FDFSEMO-01S-PC</t>
  </si>
  <si>
    <t>T-FDFSEM2-97S-PW</t>
  </si>
  <si>
    <t>T-FDFSEM2-97S-PC-PW</t>
  </si>
  <si>
    <t>T-FDFSEM2-97S</t>
  </si>
  <si>
    <t>T-FDFSEM2-97L-PW</t>
  </si>
  <si>
    <t>T-FDFSEM2-97L</t>
  </si>
  <si>
    <t>T-FDFSEM2-87S</t>
  </si>
  <si>
    <t>T-FDFSEM2-87L-PW</t>
  </si>
  <si>
    <t>T-FDFSEM2-87L</t>
  </si>
  <si>
    <t>T-FDFSEM2-15S-RX-PW</t>
  </si>
  <si>
    <t>T-FDFSEM2-15S-PW</t>
  </si>
  <si>
    <t>5' 6" S-Crew, All Weather; Retrax</t>
  </si>
  <si>
    <t>T-FDFSEM2-15S-PC-RX-PW</t>
  </si>
  <si>
    <t>T-FDFSEM2-15S-PC-RX</t>
  </si>
  <si>
    <t>T-FDFSEM2-15S-PC-PW</t>
  </si>
  <si>
    <t>T-FDFSEM2-15S-PC-PT</t>
  </si>
  <si>
    <t>5' 6" S-Crew, All Weather; Wing Inverter</t>
  </si>
  <si>
    <t>T-FDFSEM2-15S-PC-IW-PW</t>
  </si>
  <si>
    <t>T-FDFSEM2-15S-PC-IW</t>
  </si>
  <si>
    <t>T-FDFSEM2-15S-PC-HT</t>
  </si>
  <si>
    <t>T-FDFSEM2-15S-PC</t>
  </si>
  <si>
    <t>6' 6" Short Bed; Inverter Wing</t>
  </si>
  <si>
    <t>T-FDFSEM2-15S-IW</t>
  </si>
  <si>
    <t>T-FDFSEM2-15S</t>
  </si>
  <si>
    <t>T-FDFSEM2-15L-PW</t>
  </si>
  <si>
    <t>T-FDFSEM2-15L</t>
  </si>
  <si>
    <t>Tailgate Step Opt, Mag Extreme</t>
  </si>
  <si>
    <t>T-FDFSEM2-09S-PF-PW</t>
  </si>
  <si>
    <t>T-FDFSEM2-09S-PF</t>
  </si>
  <si>
    <t>T-FDFSEM2-09S-PC-PF-PW</t>
  </si>
  <si>
    <t>T-FDFSEM2-09S-PC-PF</t>
  </si>
  <si>
    <t>T-FDFSEM2-09L-PF-PW</t>
  </si>
  <si>
    <t>T-FDFSEM2-09L-PF</t>
  </si>
  <si>
    <t>F-Series  Mag 2 Dwr ReTrax</t>
  </si>
  <si>
    <t>T-FDFSEM2-04S-RX-PW</t>
  </si>
  <si>
    <t>T-FDFSEM2-04S-PW</t>
  </si>
  <si>
    <t>T-FDFSEM2-04S-PT</t>
  </si>
  <si>
    <t>S-Crew, A-Wthr</t>
  </si>
  <si>
    <t>T-FDFSEM2-04S-PC-PW-RX</t>
  </si>
  <si>
    <t>T-FDFSEM2-04S-PC-PW</t>
  </si>
  <si>
    <t>T-FDFSEM2-04S-PC-PT</t>
  </si>
  <si>
    <t>T-FDFSEM2-04S-PC</t>
  </si>
  <si>
    <t>T-FDFSEM2-04S</t>
  </si>
  <si>
    <t>T-FDFSEM2-04L-PW</t>
  </si>
  <si>
    <t>8' Long Bed w/Table Extension</t>
  </si>
  <si>
    <t>T-FDFSEM2-04L-PT</t>
  </si>
  <si>
    <t>T-FDFSEM2-04L</t>
  </si>
  <si>
    <t>T-FDFSEM2-01S-PC-PW</t>
  </si>
  <si>
    <t>T-FDFSEM2-01S-PC</t>
  </si>
  <si>
    <t>5' 6" Crew, All Wthr; PassengerSide</t>
  </si>
  <si>
    <t>T-FDFSEM1-15S-PC-HP-RX-PW</t>
  </si>
  <si>
    <t>5' 6" S-Crew; Pass Side, ReTrax</t>
  </si>
  <si>
    <t>T-FDFSEM1-15S-PC-HP-RX</t>
  </si>
  <si>
    <t>T-FDFSEM1-15S-PC-HP-PW</t>
  </si>
  <si>
    <t>T-FDFSEM1-15S-PC-HP</t>
  </si>
  <si>
    <t>5' 6" Crew, All Wthr; Drivers Side</t>
  </si>
  <si>
    <t>T-FDFSEM1-15S-PC-HD-RX-PW</t>
  </si>
  <si>
    <t>5' 6" S-Crew; Drivers Side ReTrax</t>
  </si>
  <si>
    <t>T-FDFSEM1-15S-PC-HD-RX</t>
  </si>
  <si>
    <t>T-FDFSEM1-15S-PC-HD-PW</t>
  </si>
  <si>
    <t>T-FDFSEM1-15S-PC-HD</t>
  </si>
  <si>
    <t>T-FDFSEM1-15S-HP-PW</t>
  </si>
  <si>
    <t>T-FDFSEM1-15S-HP</t>
  </si>
  <si>
    <t>6'6"; Drivers Side; All-Weather, Retrax</t>
  </si>
  <si>
    <t>T-FDFSEM1-15S-HD-RX-PW</t>
  </si>
  <si>
    <t>T-FDFSEM1-15S-HD-PW</t>
  </si>
  <si>
    <t>6'6"; Drivers Side, Wing Set back</t>
  </si>
  <si>
    <t>T-FDFSEM1-15S-HD-IW</t>
  </si>
  <si>
    <t>T-FDFSEM1-15S-HD</t>
  </si>
  <si>
    <t>8' Bed, A-Wthr, Driver Side</t>
  </si>
  <si>
    <t>T-FDFSEM1-15L-HD-PW</t>
  </si>
  <si>
    <t>T-FDFSEM1-15L-HD</t>
  </si>
  <si>
    <t>T-FDFSEM1-09S-PF-HP-PW</t>
  </si>
  <si>
    <t>T-FDFSEM1-09S-PF-HP</t>
  </si>
  <si>
    <t>T-FDFSEM1-09S-PF-HD-PW</t>
  </si>
  <si>
    <t>T-FDFSEM1-09S-PF-HD</t>
  </si>
  <si>
    <t>T-FDFSEM1-09S-PC-PF-HP-PW</t>
  </si>
  <si>
    <t>5' 6", Step, Passenger Side</t>
  </si>
  <si>
    <t>F-Series Mag 1 Dwr</t>
  </si>
  <si>
    <t>T-FDFSEM1-09S-PC-PF-HP</t>
  </si>
  <si>
    <t>T-FDFSEM1-09S-PC-PF-HD-PW</t>
  </si>
  <si>
    <t>5' 6", Step, Drivers Side</t>
  </si>
  <si>
    <t>T-FDFSEM1-09S-PC-PF-HD</t>
  </si>
  <si>
    <t>T-FDFSEM1-09L-PF-HP-PW</t>
  </si>
  <si>
    <t>T-FDFSEM1-09L-PF-HP</t>
  </si>
  <si>
    <t>T-FDFSEM1-09L-PF-HD-PW</t>
  </si>
  <si>
    <t>T-FDFSEM1-09L-PF-HD</t>
  </si>
  <si>
    <t>T-FDFSEM1-04S-PC-HP-PW</t>
  </si>
  <si>
    <t>T-FDFSEM1-04S-PC-HP</t>
  </si>
  <si>
    <t>T-FDFSEM1-04S-PC-HD-PW</t>
  </si>
  <si>
    <t>T-FDFSEM1-04S-PC-HD</t>
  </si>
  <si>
    <t>T-FDFSEM1-04S-HP-PW</t>
  </si>
  <si>
    <t>T-FDFSEM1-04S-HP</t>
  </si>
  <si>
    <t>T-FDFSEM1-04S-HD-PW</t>
  </si>
  <si>
    <t>T-FDFSEM1-04S-HD</t>
  </si>
  <si>
    <t>T-FDFSEM1-04L-HP-PW</t>
  </si>
  <si>
    <t>T-FDFSEM1-04L-HP</t>
  </si>
  <si>
    <t>T-FDFSEM1-04L-HD-PW</t>
  </si>
  <si>
    <t>T-FDFSEM1-04L-HD</t>
  </si>
  <si>
    <t>F-Series Pickup Mag 1 Dwr</t>
  </si>
  <si>
    <t>T-FDFSEM1-01S-PC-HP</t>
  </si>
  <si>
    <t>F-Series Pickup Ext Offset Dwr</t>
  </si>
  <si>
    <t>T-FDFSEEO-15S-PW</t>
  </si>
  <si>
    <t>F-Series Pickup Ext 2 Dwr Offset</t>
  </si>
  <si>
    <t>T-FDFSEEO-15S-PC</t>
  </si>
  <si>
    <t>T-FDFSEE2-15S-PC-PW</t>
  </si>
  <si>
    <t>T-FDFSEE2-15S-PC-IW-PW</t>
  </si>
  <si>
    <t>T-FDFSEE2-15S-PC</t>
  </si>
  <si>
    <t>5' 6" S-Crew, All Weather; Wing Inverter, Half Passenger</t>
  </si>
  <si>
    <t>T-FDFSEE1-15S-PC-HP-IW-PW</t>
  </si>
  <si>
    <t>5' 6" S-Crew, All Weather; Wing Inverter, Half Driver</t>
  </si>
  <si>
    <t>T-FDFSEE1-15S-PC-HD-IW-PW</t>
  </si>
  <si>
    <t>1 Drawer</t>
  </si>
  <si>
    <t>S-FDFSEN1-15N</t>
  </si>
  <si>
    <t>S-FDFSEL2-15N-EC</t>
  </si>
  <si>
    <t>S-FDFSEL2-15N</t>
  </si>
  <si>
    <t>S-FDFSEL2-12N</t>
  </si>
  <si>
    <t>S-FDFSEL2-09N</t>
  </si>
  <si>
    <t>S-FDFSEL1-97N-EC</t>
  </si>
  <si>
    <t>S-FDFSEL1-15N-PK</t>
  </si>
  <si>
    <t>S-FDFSEL1-15N-EC</t>
  </si>
  <si>
    <t>S-FDFSEL1-15N-C8834</t>
  </si>
  <si>
    <t>S-FDFSEL1-15N</t>
  </si>
  <si>
    <t>C4648, Subwoofer, 60% W</t>
  </si>
  <si>
    <t>S-FDFSEL1-12N-PK</t>
  </si>
  <si>
    <t>S-FDFSEL1-12N</t>
  </si>
  <si>
    <t>S-FDFSEL1-09N-EC-PK</t>
  </si>
  <si>
    <t>S-FDFSEL1-04N</t>
  </si>
  <si>
    <t>Frunk Vault</t>
  </si>
  <si>
    <t>F-Series Electric 1 Drawer Utility</t>
  </si>
  <si>
    <t>N-FDFSEU1-22N-EV</t>
  </si>
  <si>
    <t>F-150, 2 Dwr Utility Height</t>
  </si>
  <si>
    <t>C-FDFSEU2-15S-VP</t>
  </si>
  <si>
    <t>5 1/2' Crew Cab F-150, 2 Dwr</t>
  </si>
  <si>
    <t>C-FDFSES2-15S-PC-VP</t>
  </si>
  <si>
    <t>F-150 Super Crew CargoGlide</t>
  </si>
  <si>
    <t>C-FDFSEN6-04C-PT-BS</t>
  </si>
  <si>
    <t>C-FDFSEN6-04C-BS</t>
  </si>
  <si>
    <t>C-FDFSEN5-04C-PT-BS</t>
  </si>
  <si>
    <t>F-150 Super Crew</t>
  </si>
  <si>
    <t>C-FDFSEN5-04C</t>
  </si>
  <si>
    <t>C-FDFSEN4-15S-VP</t>
  </si>
  <si>
    <t>C-FDFSEN4-15S-PC-VP</t>
  </si>
  <si>
    <t>C-FDFSEN4-04S-VP</t>
  </si>
  <si>
    <t>5 1/2' CC, 5 Open Compartments</t>
  </si>
  <si>
    <t>C-FDFSEN4-04S-PC-VP</t>
  </si>
  <si>
    <t>C-FDFSEN4-04L-VP</t>
  </si>
  <si>
    <t>Short Bed F150 AW Field Ranger</t>
  </si>
  <si>
    <t>F-150 AW Field Ranger</t>
  </si>
  <si>
    <t>C-FDFSEN3-97S-CR-PW</t>
  </si>
  <si>
    <t>C-FDFSEN3-15S-TG-PL6</t>
  </si>
  <si>
    <t>C-FDFSEN3-15S-TG-PL1</t>
  </si>
  <si>
    <t>6' 6" Short Bed; Table Extension</t>
  </si>
  <si>
    <t>C-FDFSEN3-15S-PT-CR</t>
  </si>
  <si>
    <t>Mounted to TG1500X-6048</t>
  </si>
  <si>
    <t>C-FDFSEN3-15S-PC-TG-PL6</t>
  </si>
  <si>
    <t>C-FDFSEN3-15S-PC-TG-PL1</t>
  </si>
  <si>
    <t>5 1/2' Bed; Crew Cab; A/W</t>
  </si>
  <si>
    <t>F-150 Pickup Field Ranger</t>
  </si>
  <si>
    <t>C-FDFSEN3-15S-PC-CR-PW</t>
  </si>
  <si>
    <t>5 1/2' Bed; Crew Cab; A/W; inverter wing</t>
  </si>
  <si>
    <t>C-FDFSEN3-15S-PC-CR-IW-PW</t>
  </si>
  <si>
    <t>5' 6" Bed; Crew Cab</t>
  </si>
  <si>
    <t>C-FDFSEN3-15S-PC-CR</t>
  </si>
  <si>
    <t>5'6" Bed, BowVault</t>
  </si>
  <si>
    <t>F-Series Pickup</t>
  </si>
  <si>
    <t>C-FDFSEN3-15S-PC-BH-PW</t>
  </si>
  <si>
    <t>C-FDFSEN3-15S-PC-BH</t>
  </si>
  <si>
    <t>C-FDFSEN3-15S-CR-PW</t>
  </si>
  <si>
    <t>F-150 AW Field Ranger Invertor Wing</t>
  </si>
  <si>
    <t>C-FDFSEN3-15S-CR-IW-PW</t>
  </si>
  <si>
    <t>C-FDFSEN3-15S-CR</t>
  </si>
  <si>
    <t>F-150 Pickup BowHunter</t>
  </si>
  <si>
    <t>C-FDFSEN3-15S-BH-PW</t>
  </si>
  <si>
    <t>Long Bed F150 AW Field Ranger</t>
  </si>
  <si>
    <t>C-FDFSEN3-15L-CR-PW</t>
  </si>
  <si>
    <t>8'Bed</t>
  </si>
  <si>
    <t>C-FDFSEN3-15L-BH</t>
  </si>
  <si>
    <t>Tailgate Step Option, BowVault</t>
  </si>
  <si>
    <t>C-FDFSEN3-09S-PC-PF-BH-PW</t>
  </si>
  <si>
    <t>C1971 5' 6" Short Bed</t>
  </si>
  <si>
    <t>C-FDFSEN3-04S-PC-VP</t>
  </si>
  <si>
    <t>C-FDFSEN3-04S-PC-CR-PW</t>
  </si>
  <si>
    <t>C-FDFSEN3-04S-PC-BH-PW</t>
  </si>
  <si>
    <t>C-FDFSEN3-04S-PC-BH</t>
  </si>
  <si>
    <t>C-FDFSEN3-04S-CR-PW</t>
  </si>
  <si>
    <t>C-FDFSEN3-04S-BH-PW</t>
  </si>
  <si>
    <t>C-FDFSEN3-04S-BH</t>
  </si>
  <si>
    <t>C-FDFSEN3-04R-PC</t>
  </si>
  <si>
    <t>C-FDFSEN2-15S-PC-TG-PL3</t>
  </si>
  <si>
    <t>C12973</t>
  </si>
  <si>
    <t>C-FDFSEN2-15N-PC-HP-PWZC12973</t>
  </si>
  <si>
    <t>F-150, Mag 2 Dwr</t>
  </si>
  <si>
    <t>C-FDFSEM2-97S-VP</t>
  </si>
  <si>
    <t>F-150, 2 Dwr</t>
  </si>
  <si>
    <t>C-FDFSEM2-15S-VP</t>
  </si>
  <si>
    <t>F-150; 5' 6" Bed</t>
  </si>
  <si>
    <t>F-Series Pickup Surveyor All-Weather</t>
  </si>
  <si>
    <t>C-FDFSEM2-15S-PC-VP-PW</t>
  </si>
  <si>
    <t>C-FDFSEM2-15S-PC-VP</t>
  </si>
  <si>
    <t>C-FDFSEM2-04S-VP</t>
  </si>
  <si>
    <t>C-FDFSEM2-04S-PC-VP</t>
  </si>
  <si>
    <t>C-FDFSEM2-04L-VP</t>
  </si>
  <si>
    <t>8' Short Bed</t>
  </si>
  <si>
    <t>B-FDFSEN4-97L-P5-BC4</t>
  </si>
  <si>
    <t>5 ' 6" Short Bed</t>
  </si>
  <si>
    <t>B-FDFSEN4-15S-PC-BC4</t>
  </si>
  <si>
    <t>B-FDFSEN4-15S-BC4</t>
  </si>
  <si>
    <t>B-FDFSEN4-12L-P5-BC4</t>
  </si>
  <si>
    <t>B-FDFSEN3-15S-PC-BC3</t>
  </si>
  <si>
    <t>B-FDFSEN3-15S-BC3</t>
  </si>
  <si>
    <t>F150 Pickup Base Camp 3</t>
  </si>
  <si>
    <t>B-FDFSEN3-15L-BC3</t>
  </si>
  <si>
    <t>B-FDFSEN3-09S-PC-PF-BC3</t>
  </si>
  <si>
    <t>B-FDFSEN3-04S-PC-BC3</t>
  </si>
  <si>
    <t>F-150 Pickup Base Camp 1</t>
  </si>
  <si>
    <t>B-FDFSEN2-97S-P5-BC1</t>
  </si>
  <si>
    <t>F-150 Pickup Base Camp 5</t>
  </si>
  <si>
    <t>B-FDFSEN2-97L-P5-BC5</t>
  </si>
  <si>
    <t>5' 6" Short Bed; Half Width</t>
  </si>
  <si>
    <t>F-150 Base Camp 1</t>
  </si>
  <si>
    <t>B-FDFSEN2-15S-PC-HP-BC1</t>
  </si>
  <si>
    <t>B-FDFSEN2-15S-PC-BC5</t>
  </si>
  <si>
    <t>B-FDFSEN2-15S-PC-BC2</t>
  </si>
  <si>
    <t>5' 6" Short Bed z</t>
  </si>
  <si>
    <t>B-FDFSEN2-15S-PC-BC1</t>
  </si>
  <si>
    <t>B-FDFSEN2-15S-IW-BC1</t>
  </si>
  <si>
    <t>C14359</t>
  </si>
  <si>
    <t>F-Series Pickup Base Camp Custom</t>
  </si>
  <si>
    <t>B-FDFSEN2-15S-HP-BC4</t>
  </si>
  <si>
    <t>B-FDFSEN2-15S-BC5</t>
  </si>
  <si>
    <t>B-FDFSEN2-15S-BC2</t>
  </si>
  <si>
    <t>B-FDFSEN2-15S-BC1</t>
  </si>
  <si>
    <t>F-150 Pickup Base Camp 2</t>
  </si>
  <si>
    <t>B-FDFSEN2-04S-PC-BC2</t>
  </si>
  <si>
    <t>B-FDFSEN2-04S-PC-BC1</t>
  </si>
  <si>
    <t>B-FDFSEN2-04S-BC5</t>
  </si>
  <si>
    <t>B-FDFSEN2-04L-BC5</t>
  </si>
  <si>
    <t>F-150 Pickup</t>
  </si>
  <si>
    <t>Explorer Sport Trac Utility 2 Dwr</t>
  </si>
  <si>
    <t>T-FDEXSU2-02N-PW</t>
  </si>
  <si>
    <t>Explorer Sport Trac Std Offset</t>
  </si>
  <si>
    <t>T-FDEXSSO-07N</t>
  </si>
  <si>
    <t>T-FDEXSSO-02N</t>
  </si>
  <si>
    <t>Explorer Sport Trac Std 2 Dwr</t>
  </si>
  <si>
    <t>T-FDEXSS2-07N-PW</t>
  </si>
  <si>
    <t>T-FDEXSS2-07N</t>
  </si>
  <si>
    <t>T-FDEXSS2-02N-PW</t>
  </si>
  <si>
    <t>T-FDEXSS2-02N</t>
  </si>
  <si>
    <t>Explorer Sport Trac Std 1 Dwr</t>
  </si>
  <si>
    <t>T-FDEXSS1-07N</t>
  </si>
  <si>
    <t>T-FDEXSS1-02N</t>
  </si>
  <si>
    <t>Explorer Sport Trac Mag Offset</t>
  </si>
  <si>
    <t>T-FDEXSMO-07N</t>
  </si>
  <si>
    <t>T-FDEXSMO-02N</t>
  </si>
  <si>
    <t>Explorer Sport Trac Mag 2 Dwr</t>
  </si>
  <si>
    <t>T-FDEXSM2-07N-PW</t>
  </si>
  <si>
    <t>T-FDEXSM2-07N</t>
  </si>
  <si>
    <t>T-FDEXSM2-02N-PW</t>
  </si>
  <si>
    <t>T-FDEXSM2-02N</t>
  </si>
  <si>
    <t>Explorer Sport Trac Mag 1 Dwr</t>
  </si>
  <si>
    <t>T-FDEXSM1-07N</t>
  </si>
  <si>
    <t>T-FDEXSM1-02N</t>
  </si>
  <si>
    <t>Explorer Sport Trac</t>
  </si>
  <si>
    <t>Police Package No 3rd Row Seat, K9 Cage</t>
  </si>
  <si>
    <t>Explorer Captain CC</t>
  </si>
  <si>
    <t>C-FDEXRN4-20P-PS-K9</t>
  </si>
  <si>
    <t>Elevated Version; 3rd Row Removed</t>
  </si>
  <si>
    <t>Explorer Magnum 2 Offset  Drawer</t>
  </si>
  <si>
    <t>T-FDEXRMO-11N-HG</t>
  </si>
  <si>
    <t>Police Package No 3rd Row; K9-Cage</t>
  </si>
  <si>
    <t>Explorer Utility 1 Dwr</t>
  </si>
  <si>
    <t>T-FDEXRU1-20N-PS-K9</t>
  </si>
  <si>
    <t>Explorer Utility 2 Dwr</t>
  </si>
  <si>
    <t>T-FDEXRU2-20N-PS-K9</t>
  </si>
  <si>
    <t>Folding 3rd Row Seat, HD Table</t>
  </si>
  <si>
    <t>T-FDEXRU1-20N-HT</t>
  </si>
  <si>
    <t>Elevated Version; Interceptor</t>
  </si>
  <si>
    <t>T-FDEXRMO-11N-PS-HG</t>
  </si>
  <si>
    <t>Interceptor, P Cage, HD Table</t>
  </si>
  <si>
    <t>Explorer Drone Responder 6</t>
  </si>
  <si>
    <t>D-FDEXRN2-11N-PS-PP-HT-C1-DR6</t>
  </si>
  <si>
    <t>No 3rd Row; Pullout Table</t>
  </si>
  <si>
    <t>Explorer Utility Offset Dwr</t>
  </si>
  <si>
    <t>T-FDEXRUO-20N-HT</t>
  </si>
  <si>
    <t>Police Package No 3rd Row; P-Cage, Top Tray</t>
  </si>
  <si>
    <t>T-FDEXRU1-20N-PS-PP-TT</t>
  </si>
  <si>
    <t>Police Package; 7" Shorten, Radio Drawer</t>
  </si>
  <si>
    <t>Explorer Mag 1 Dwr</t>
  </si>
  <si>
    <t>T-FDEXRM1-11N-PS-RD-P7</t>
  </si>
  <si>
    <t>T-FDEXRUO-20S</t>
  </si>
  <si>
    <t>PIU; P-Cage, Lift</t>
  </si>
  <si>
    <t>T-FDEXRUO-20N-PS-PP-LT</t>
  </si>
  <si>
    <t>Police; Cage, Radio Lift</t>
  </si>
  <si>
    <t>Explorer Utility OS  Dwr</t>
  </si>
  <si>
    <t>T-FDEXRUO-20N-PS-PP-LR</t>
  </si>
  <si>
    <t>Police Package No 3rd Row; P-Cage</t>
  </si>
  <si>
    <t>Explorer Utility Offset Dwr Pullout Table</t>
  </si>
  <si>
    <t>T-FDEXRUO-20N-PS-PP-HT</t>
  </si>
  <si>
    <t>Police; P-Cage</t>
  </si>
  <si>
    <t>T-FDEXRUO-20N-PS-PP</t>
  </si>
  <si>
    <t>Police; Lift</t>
  </si>
  <si>
    <t>Explorer Utility OS Dwr</t>
  </si>
  <si>
    <t>T-FDEXRUO-20N-PS-LT</t>
  </si>
  <si>
    <t>Police Package No 3rd Row; Pullout Table</t>
  </si>
  <si>
    <t>T-FDEXRUO-20N-PS-HT</t>
  </si>
  <si>
    <t>Police Package No 3rd Row Seat</t>
  </si>
  <si>
    <t>T-FDEXRUO-20N-PS</t>
  </si>
  <si>
    <t>Civilian; Lift</t>
  </si>
  <si>
    <t>T-FDEXRUO-20N-LT</t>
  </si>
  <si>
    <t>Folding 3rd Row Seat, Radio Lift</t>
  </si>
  <si>
    <t>T-FDEXRUO-20N-LR</t>
  </si>
  <si>
    <t>Folding 3rd Row Seat</t>
  </si>
  <si>
    <t>T-FDEXRUO-20N</t>
  </si>
  <si>
    <t>Police Package; Lift</t>
  </si>
  <si>
    <t>T-FDEXRUO-11N-PS-PP-LT</t>
  </si>
  <si>
    <t>T-FDEXRUO-11N-PS-PP</t>
  </si>
  <si>
    <t>T-FDEXRUO-11N-PS-P7</t>
  </si>
  <si>
    <t>T-FDEXRUO-11N-PS-LT</t>
  </si>
  <si>
    <t>T-FDEXRUO-11N</t>
  </si>
  <si>
    <t>T-FDEXRU2-20S</t>
  </si>
  <si>
    <t>Police Package No 3rd Row Seat, Table Ext</t>
  </si>
  <si>
    <t>T-FDEXRU2-20N-PS-PT</t>
  </si>
  <si>
    <t>Police Package; Lift; Table Ext</t>
  </si>
  <si>
    <t>T-FDEXRU2-20N-PS-PP-PT-LT</t>
  </si>
  <si>
    <t>T-FDEXRU2-20N-PS-PP-LT</t>
  </si>
  <si>
    <t>T-FDEXRU2-20N-PS-PP-LR</t>
  </si>
  <si>
    <t>Explorer Utility 2 Dwr Pullout Table</t>
  </si>
  <si>
    <t>T-FDEXRU2-20N-PS-PP-HT</t>
  </si>
  <si>
    <t>T-FDEXRU2-20N-PS-PP</t>
  </si>
  <si>
    <t>Police Package; 7" Shorten</t>
  </si>
  <si>
    <t>T-FDEXRU2-20N-PS-P7</t>
  </si>
  <si>
    <t>T-FDEXRU2-20N-PS-LT</t>
  </si>
  <si>
    <t>Police; Radio Lift</t>
  </si>
  <si>
    <t>T-FDEXRU2-20N-PS-LR</t>
  </si>
  <si>
    <t>Police Package No 3rd Row Seat, HD Table</t>
  </si>
  <si>
    <t>T-FDEXRU2-20N-PS-HT</t>
  </si>
  <si>
    <t>Elevated Version; Police Package</t>
  </si>
  <si>
    <t>Explorer Utility Height 2 Drawer</t>
  </si>
  <si>
    <t>T-FDEXRU2-20N-PS-HG</t>
  </si>
  <si>
    <t>T-FDEXRU2-20N-PS</t>
  </si>
  <si>
    <t>Civilian; Lift : cage</t>
  </si>
  <si>
    <t>T-FDEXRU2-20N-PP-LT</t>
  </si>
  <si>
    <t>Lift</t>
  </si>
  <si>
    <t>T-FDEXRU2-20N-LT</t>
  </si>
  <si>
    <t>T-FDEXRU2-20N</t>
  </si>
  <si>
    <t>No 3rd Row Seat; Table Extension</t>
  </si>
  <si>
    <t>T-FDEXRU2-11N-PT-LT</t>
  </si>
  <si>
    <t>Folding 3rd Row Seat; Table Extension</t>
  </si>
  <si>
    <t>T-FDEXRU2-11N-PT</t>
  </si>
  <si>
    <t>No 3rd Row, Spare Access</t>
  </si>
  <si>
    <t>T-FDEXRU2-11N-PS-SA</t>
  </si>
  <si>
    <t>Police; Lift; Table</t>
  </si>
  <si>
    <t>T-FDEXRU2-11N-PS-PT-LT</t>
  </si>
  <si>
    <t>T-FDEXRU2-11N-PS-PP-LT</t>
  </si>
  <si>
    <t>T-FDEXRU2-11N-PS-PP-HT</t>
  </si>
  <si>
    <t>T-FDEXRU2-11N-PS-PP</t>
  </si>
  <si>
    <t>T-FDEXRU2-11N-PS-LT</t>
  </si>
  <si>
    <t>T-FDEXRU2-11N-PS-HT</t>
  </si>
  <si>
    <t>T-FDEXRU2-11N-PS-HG</t>
  </si>
  <si>
    <t>T-FDEXRU2-11N-PS</t>
  </si>
  <si>
    <t>3rd Removed; P-Cage; Lift</t>
  </si>
  <si>
    <t>T-FDEXRU2-11N-PP-LT</t>
  </si>
  <si>
    <t>3rd Removed; Lift</t>
  </si>
  <si>
    <t>T-FDEXRU2-11N-LT</t>
  </si>
  <si>
    <t>T-FDEXRU2-11N-HT</t>
  </si>
  <si>
    <t>T-FDEXRU2-11N</t>
  </si>
  <si>
    <t>T-FDEXRU1-20S</t>
  </si>
  <si>
    <t>T-FDEXRU1-20N-SA</t>
  </si>
  <si>
    <t>Civilian; Table Extension; Lift</t>
  </si>
  <si>
    <t>T-FDEXRU1-20N-PT-LT</t>
  </si>
  <si>
    <t>3rd Row Folded; Table Extension</t>
  </si>
  <si>
    <t>T-FDEXRU1-20N-PT</t>
  </si>
  <si>
    <t>T-FDEXRU1-20N-PS-SA</t>
  </si>
  <si>
    <t>Elevated Version; Radio Drawer; Police Package</t>
  </si>
  <si>
    <t>Explorer Utility Height 1 Drawer</t>
  </si>
  <si>
    <t>T-FDEXRU1-20N-PS-RD-HG</t>
  </si>
  <si>
    <t>Cage; Lift, Pullout Table</t>
  </si>
  <si>
    <t>T-FDEXRU1-20N-PS-PP-PT-LT</t>
  </si>
  <si>
    <t>T-FDEXRU1-20N-PS-PP-LT</t>
  </si>
  <si>
    <t>Police Package; Prisoner Cage; Radio Lift &amp; Tray</t>
  </si>
  <si>
    <t>T-FDEXRU1-20N-PS-PP-LR</t>
  </si>
  <si>
    <t>T-FDEXRU1-20N-PS-PP-HT</t>
  </si>
  <si>
    <t>T-FDEXRU1-20N-PS-PP</t>
  </si>
  <si>
    <t>T-FDEXRU1-20N-PS-P7</t>
  </si>
  <si>
    <t>T-FDEXRU1-20N-PS-LT</t>
  </si>
  <si>
    <t>Police Package; Radio Lift &amp; Tray</t>
  </si>
  <si>
    <t>T-FDEXRU1-20N-PS-LR</t>
  </si>
  <si>
    <t>Police Package No 3rd Row Seat; Heavy Duty Table</t>
  </si>
  <si>
    <t>T-FDEXRU1-20N-PS-HT</t>
  </si>
  <si>
    <t>T-FDEXRU1-20N-PS-HG</t>
  </si>
  <si>
    <t>T-FDEXRU1-20N-PS</t>
  </si>
  <si>
    <t>3rd Seat Removed; Radio Lift &amp; Tray, P-Cage</t>
  </si>
  <si>
    <t>T-FDEXRU1-20N-PP-LR</t>
  </si>
  <si>
    <t>T-FDEXRU1-20N-LT</t>
  </si>
  <si>
    <t>3rd Seat Removed; Radio Lift &amp; Tray</t>
  </si>
  <si>
    <t>T-FDEXRU1-20N-LR</t>
  </si>
  <si>
    <t>Elevated 3rd Seat Removed</t>
  </si>
  <si>
    <t>T-FDEXRU1-20N-HG</t>
  </si>
  <si>
    <t>T-FDEXRU1-20N</t>
  </si>
  <si>
    <t>Third Row Removed;Spare Access</t>
  </si>
  <si>
    <t>T-FDEXRU1-11N-SA</t>
  </si>
  <si>
    <t>T-FDEXRU1-11N-PS-SA</t>
  </si>
  <si>
    <t>Elevated Version; Police Package; Radio Tray</t>
  </si>
  <si>
    <t>T-FDEXRU1-11N-PS-RD-HG</t>
  </si>
  <si>
    <t>Police; P-Cage; Table Ext; Lift</t>
  </si>
  <si>
    <t>T-FDEXRU1-11N-PS-PP-PT-LT</t>
  </si>
  <si>
    <t>Police; P-Cage; Table Ext</t>
  </si>
  <si>
    <t>T-FDEXRU1-11N-PS-PP-PT</t>
  </si>
  <si>
    <t>T-FDEXRU1-11N-PS-PP-LT</t>
  </si>
  <si>
    <t>T-FDEXRU1-11N-PS-PP</t>
  </si>
  <si>
    <t>T-FDEXRU1-11N-PS-LT</t>
  </si>
  <si>
    <t>T-FDEXRU1-11N-PS-HG</t>
  </si>
  <si>
    <t>T-FDEXRU1-11N-PS</t>
  </si>
  <si>
    <t>3rd Row Seat Removed; Lift</t>
  </si>
  <si>
    <t>T-FDEXRU1-11N-PP-LT</t>
  </si>
  <si>
    <t>T-FDEXRU1-11N-LT</t>
  </si>
  <si>
    <t>Explorer Utility 1 Drawer</t>
  </si>
  <si>
    <t>T-FDEXRU1-11N-HG</t>
  </si>
  <si>
    <t>T-FDEXRU1-11N</t>
  </si>
  <si>
    <t>T-FDEXRU1-06N-T3</t>
  </si>
  <si>
    <t>Explorer Std Offset Dwr</t>
  </si>
  <si>
    <t>T-FDEXRSO-20S</t>
  </si>
  <si>
    <t>Explorer Std 2 Dwr Off Set</t>
  </si>
  <si>
    <t>T-FDEXRSO-20N-PS-PP-LT</t>
  </si>
  <si>
    <t>Police Pack; Hvy Tbl, Lift; P-Cage</t>
  </si>
  <si>
    <t>Explorer Std OS Dwr</t>
  </si>
  <si>
    <t>T-FDEXRSO-20N-PS-PP-HT-LT</t>
  </si>
  <si>
    <t>Police; P-Cage HD Table</t>
  </si>
  <si>
    <t>T-FDEXRSO-20N-PS-PP-HT</t>
  </si>
  <si>
    <t>T-FDEXRSO-20N-PS-PP</t>
  </si>
  <si>
    <t>T-FDEXRSO-20N-PS-LT</t>
  </si>
  <si>
    <t>Police Pack; Hvy Tbl, Lift;</t>
  </si>
  <si>
    <t>T-FDEXRSO-20N-PS-HT-LT</t>
  </si>
  <si>
    <t>T-FDEXRSO-20N-PS</t>
  </si>
  <si>
    <t>T-FDEXRSO-20N-LT</t>
  </si>
  <si>
    <t>T-FDEXRSO-20N</t>
  </si>
  <si>
    <t>T-FDEXRSO-11N-SA</t>
  </si>
  <si>
    <t>3rd Removed, Tbl Ext, Lift</t>
  </si>
  <si>
    <t>T-FDEXRSO-11N-PT-LT</t>
  </si>
  <si>
    <t>T-FDEXRSO-11N-PS-SA</t>
  </si>
  <si>
    <t>T-FDEXRSO-11N-PS-PP-PT</t>
  </si>
  <si>
    <t>T-FDEXRSO-11N-PS-PP-LT</t>
  </si>
  <si>
    <t>T-FDEXRSO-11N-PS-PP-HT-LT</t>
  </si>
  <si>
    <t>T-FDEXRSO-11N-PS-PP</t>
  </si>
  <si>
    <t>T-FDEXRSO-11N-PS-P7</t>
  </si>
  <si>
    <t>T-FDEXRSO-11N-PS-LT</t>
  </si>
  <si>
    <t>Police Package; Lift; Heavy Duty Table</t>
  </si>
  <si>
    <t>T-FDEXRSO-11N-PS-HT-LT</t>
  </si>
  <si>
    <t>T-FDEXRSO-11N-PS</t>
  </si>
  <si>
    <t>T-FDEXRSO-11N-PP-PS</t>
  </si>
  <si>
    <t>Folding 3rd Row Seat; P-Cage</t>
  </si>
  <si>
    <t>T-FDEXRSO-11N-PP</t>
  </si>
  <si>
    <t>Explorer Std Offset</t>
  </si>
  <si>
    <t>T-FDEXRSO-11N-LT</t>
  </si>
  <si>
    <t>T-FDEXRSO-11N</t>
  </si>
  <si>
    <t>No 3rd Row Seat, tbl ext.</t>
  </si>
  <si>
    <t>T-FDEXRSO-06N-PT</t>
  </si>
  <si>
    <t>No 3rd Row Seat, P Cage</t>
  </si>
  <si>
    <t>T-FDEXRSO-06N-PP</t>
  </si>
  <si>
    <t>T-FDEXRSO-06N</t>
  </si>
  <si>
    <t>T-FDEXRSO-02N-PT</t>
  </si>
  <si>
    <t>T-FDEXRSO-02N-PP</t>
  </si>
  <si>
    <t>T-FDEXRSO-02N</t>
  </si>
  <si>
    <t>Explorer Std 2 Dwr</t>
  </si>
  <si>
    <t>T-FDEXRS2-20S</t>
  </si>
  <si>
    <t>Folding 3rd Row Seat, Top Tray</t>
  </si>
  <si>
    <t>T-FDEXRS2-20N-TT</t>
  </si>
  <si>
    <t>T-FDEXRS2-20N-PS-PP-LT</t>
  </si>
  <si>
    <t>Police, Cage, Radio Lift</t>
  </si>
  <si>
    <t>T-FDEXRS2-20N-PS-PP-LR</t>
  </si>
  <si>
    <t>T-FDEXRS2-20N-PS-PP-HT-LT</t>
  </si>
  <si>
    <t>Police; Prisoner Cage; Radio Lift; Heavy Duty Table</t>
  </si>
  <si>
    <t>T-FDEXRS2-20N-PS-PP-HT-LR</t>
  </si>
  <si>
    <t>T-FDEXRS2-20N-PS-PP</t>
  </si>
  <si>
    <t>T-FDEXRS2-20N-PS-P7</t>
  </si>
  <si>
    <t>T-FDEXRS2-20N-PS-LT</t>
  </si>
  <si>
    <t>T-FDEXRS2-20N-PS-LR</t>
  </si>
  <si>
    <t>T-FDEXRS2-20N-PS-HT-LT</t>
  </si>
  <si>
    <t>Explorer Std 2 Drawer</t>
  </si>
  <si>
    <t>T-FDEXRS2-20N-PS-HG</t>
  </si>
  <si>
    <t>T-FDEXRS2-20N-PS</t>
  </si>
  <si>
    <t>T-FDEXRS2-20N-LT</t>
  </si>
  <si>
    <t>HD Table, Lift</t>
  </si>
  <si>
    <t>T-FDEXRS2-20N-HT-LT</t>
  </si>
  <si>
    <t>T-FDEXRS2-20N-HT</t>
  </si>
  <si>
    <t>T-FDEXRS2-20N</t>
  </si>
  <si>
    <t>T-FDEXRS2-11N-SA</t>
  </si>
  <si>
    <t>T-FDEXRS2-11N-PT-LT</t>
  </si>
  <si>
    <t>3rd Row Seat Folded, Tbl Ext</t>
  </si>
  <si>
    <t>T-FDEXRS2-11N-PT</t>
  </si>
  <si>
    <t>T-FDEXRS2-11N-PS-SA-P7</t>
  </si>
  <si>
    <t>T-FDEXRS2-11N-PS-SA</t>
  </si>
  <si>
    <t>Police Package; Tbl Ext, Lift</t>
  </si>
  <si>
    <t>T-FDEXRS2-11N-PS-PT-LT</t>
  </si>
  <si>
    <t>Police Package, Tbl Ext</t>
  </si>
  <si>
    <t>T-FDEXRS2-11N-PS-PT</t>
  </si>
  <si>
    <t>Police Package; Table Ext, Lift</t>
  </si>
  <si>
    <t>T-FDEXRS2-11N-PS-PP-PT-LT</t>
  </si>
  <si>
    <t>T-FDEXRS2-11N-PS-PP-PT</t>
  </si>
  <si>
    <t>T-FDEXRS2-11N-PS-PP-LT</t>
  </si>
  <si>
    <t>T-FDEXRS2-11N-PS-PP-HT-LT</t>
  </si>
  <si>
    <t>T-FDEXRS2-11N-PS-PP</t>
  </si>
  <si>
    <t>T-FDEXRS2-11N-PS-P7</t>
  </si>
  <si>
    <t>T-FDEXRS2-11N-PS-LT</t>
  </si>
  <si>
    <t>Police Pack; Hvy Tbl, Lift</t>
  </si>
  <si>
    <t>T-FDEXRS2-11N-PS-HT-LT</t>
  </si>
  <si>
    <t>T-FDEXRS2-11N-PS-HG</t>
  </si>
  <si>
    <t>T-FDEXRS2-11N-PS</t>
  </si>
  <si>
    <t>T-FDEXRS2-11N-PP-LT</t>
  </si>
  <si>
    <t>T-FDEXRS2-11N-PP</t>
  </si>
  <si>
    <t>T-FDEXRS2-11N-LT</t>
  </si>
  <si>
    <t>3rd Removed; HD Table;  Lift</t>
  </si>
  <si>
    <t>T-FDEXRS2-11N-HT-LT</t>
  </si>
  <si>
    <t>Fold 3rd, Mounting on Bedslide</t>
  </si>
  <si>
    <t>T-FDEXRS2-11N-BS</t>
  </si>
  <si>
    <t>T-FDEXRS2-11N</t>
  </si>
  <si>
    <t>No 3rd Row Seat, Tbl Ext</t>
  </si>
  <si>
    <t>T-FDEXRS2-06N-PT</t>
  </si>
  <si>
    <t>T-FDEXRS2-06N-PP</t>
  </si>
  <si>
    <t>T-FDEXRS2-06N</t>
  </si>
  <si>
    <t>T-FDEXRS2-02N-PT</t>
  </si>
  <si>
    <t>T-FDEXRS2-02N</t>
  </si>
  <si>
    <t>Explorer Std 1 Dwr</t>
  </si>
  <si>
    <t>T-FDEXRS1-20S</t>
  </si>
  <si>
    <t>T-FDEXRS1-20N-SA</t>
  </si>
  <si>
    <t>T-FDEXRS1-20N-PT</t>
  </si>
  <si>
    <t>T-FDEXRS1-20N-PS-SA</t>
  </si>
  <si>
    <t>Elevated Version; Radio Drawer; Police Version</t>
  </si>
  <si>
    <t>Explorer Standard 1 Drawer</t>
  </si>
  <si>
    <t>T-FDEXRS1-20N-PS-RD-HG</t>
  </si>
  <si>
    <t>T-FDEXRS1-20N-PS-PP-LT</t>
  </si>
  <si>
    <t>T-FDEXRS1-20N-PS-PP-LR</t>
  </si>
  <si>
    <t>Police; P-Cage; Lift; Hvy Tbl</t>
  </si>
  <si>
    <t>T-FDEXRS1-20N-PS-PP-HT-LT</t>
  </si>
  <si>
    <t>T-FDEXRS1-20N-PS-PP-HT-LR</t>
  </si>
  <si>
    <t>Police Package; No 3rd Row Seat</t>
  </si>
  <si>
    <t>T-FDEXRS1-20N-PS-PP</t>
  </si>
  <si>
    <t>T-FDEXRS1-20N-PS-P7</t>
  </si>
  <si>
    <t>T-FDEXRS1-20N-PS-LT</t>
  </si>
  <si>
    <t>T-FDEXRS1-20N-PS-LR</t>
  </si>
  <si>
    <t>Police Package; No 3rd Row Seat, K9 Unit</t>
  </si>
  <si>
    <t>T-FDEXRS1-20N-PS-K9</t>
  </si>
  <si>
    <t>T-FDEXRS1-20N-PS-HT-LT</t>
  </si>
  <si>
    <t>Police Package; No 3rd Row Seat; Heavy Duty Table</t>
  </si>
  <si>
    <t>T-FDEXRS1-20N-PS-HT</t>
  </si>
  <si>
    <t>T-FDEXRS1-20N-PS-HG</t>
  </si>
  <si>
    <t>T-FDEXRS1-20N-PS</t>
  </si>
  <si>
    <t>Civilian 3rd Seat Removed, Lift</t>
  </si>
  <si>
    <t>T-FDEXRS1-20N-LT</t>
  </si>
  <si>
    <t>Radio Lift &amp; Tray</t>
  </si>
  <si>
    <t>T-FDEXRS1-20N-LR</t>
  </si>
  <si>
    <t>3rd Removed; HD Table; Lift</t>
  </si>
  <si>
    <t>T-FDEXRS1-20N-HT-LT</t>
  </si>
  <si>
    <t>No 3rd Row Seat; Heavy Duty Table</t>
  </si>
  <si>
    <t>T-FDEXRS1-20N-HT</t>
  </si>
  <si>
    <t>Elevated Version; Civilian</t>
  </si>
  <si>
    <t>T-FDEXRS1-20N-HG</t>
  </si>
  <si>
    <t>T-FDEXRS1-20N</t>
  </si>
  <si>
    <t>T-FDEXRS1-11N-SA</t>
  </si>
  <si>
    <t>Police Package; Lift, Heavy Duty Top Tray</t>
  </si>
  <si>
    <t>T-FDEXRS1-11N-PS-TT-LT</t>
  </si>
  <si>
    <t>Spare Access; Prisoner Cage</t>
  </si>
  <si>
    <t>T-FDEXRS1-11N-PS-SA-PP</t>
  </si>
  <si>
    <t>T-FDEXRS1-11N-PS-SA-P7</t>
  </si>
  <si>
    <t>T-FDEXRS1-11N-PS-SA</t>
  </si>
  <si>
    <t>Police; Tbl Ext, Lift</t>
  </si>
  <si>
    <t>T-FDEXRS1-11N-PS-PT-LT</t>
  </si>
  <si>
    <t>Police Package; Top Tray; Lift</t>
  </si>
  <si>
    <t>T-FDEXRS1-11N-PS-PP-TT-LT</t>
  </si>
  <si>
    <t>Police; P-Cage; Tbl Ext, Lift</t>
  </si>
  <si>
    <t>T-FDEXRS1-11N-PS-PP-PT-LT</t>
  </si>
  <si>
    <t>T-FDEXRS1-11N-PS-PP-PT</t>
  </si>
  <si>
    <t>T-FDEXRS1-11N-PS-PP-LT</t>
  </si>
  <si>
    <t>T-FDEXRS1-11N-PS-PP-HT-LT</t>
  </si>
  <si>
    <t>Police; P-Cage; Lift; Magnetic Table</t>
  </si>
  <si>
    <t>T-FDEXRS1-11N-PS-PP-HM-LT</t>
  </si>
  <si>
    <t>T-FDEXRS1-11N-PS-PP</t>
  </si>
  <si>
    <t>T-FDEXRS1-11N-PS-P7</t>
  </si>
  <si>
    <t>T-FDEXRS1-11N-PS-LT</t>
  </si>
  <si>
    <t>Police Package; Lift; Hvy Tbl</t>
  </si>
  <si>
    <t>T-FDEXRS1-11N-PS-HT-LT</t>
  </si>
  <si>
    <t>T-FDEXRS1-11N-PS-HG</t>
  </si>
  <si>
    <t>T-FDEXRS1-11N-PS</t>
  </si>
  <si>
    <t>T-FDEXRS1-11N-PP-LT</t>
  </si>
  <si>
    <t>Civilian;3rd Row Removed; P-Cage; Lift; Hvy Tbl</t>
  </si>
  <si>
    <t>T-FDEXRS1-11N-PP-HT-LT</t>
  </si>
  <si>
    <t>T-FDEXRS1-11N-PP</t>
  </si>
  <si>
    <t>T-FDEXRS1-11N-LT</t>
  </si>
  <si>
    <t>T-FDEXRS1-11N-HT-LT</t>
  </si>
  <si>
    <t>T-FDEXRS1-11N-HG</t>
  </si>
  <si>
    <t>T-FDEXRS1-11N</t>
  </si>
  <si>
    <t>T-FDEXRS1-06N-T3</t>
  </si>
  <si>
    <t>T-FDEXRS1-06N-PT</t>
  </si>
  <si>
    <t>No 3rd Row, Pris Cage</t>
  </si>
  <si>
    <t>T-FDEXRS1-06N-PP</t>
  </si>
  <si>
    <t>T-FDEXRS1-06N</t>
  </si>
  <si>
    <t>T-FDEXRS1-02N-PT</t>
  </si>
  <si>
    <t>T-FDEXRS1-02N-PP</t>
  </si>
  <si>
    <t>T-FDEXRS1-02N</t>
  </si>
  <si>
    <t>Explorer 1 Drawer</t>
  </si>
  <si>
    <t>T-FDEXRN1-11N-PS-HG</t>
  </si>
  <si>
    <t>T-FDEXRN1-11N-HG</t>
  </si>
  <si>
    <t>Explorer Mag Offset Dwr</t>
  </si>
  <si>
    <t>T-FDEXRMO-20S</t>
  </si>
  <si>
    <t>Police Package No 3rd Row Seat, Top Tray</t>
  </si>
  <si>
    <t>Explorer Mag Offset</t>
  </si>
  <si>
    <t>T-FDEXRMO-20N-PS-TT</t>
  </si>
  <si>
    <t>T-FDEXRMO-20N-PS-PP-LT</t>
  </si>
  <si>
    <t>No 3rd Seat, Cage Radio Lift</t>
  </si>
  <si>
    <t>T-FDEXRMO-20N-PS-PP-LR</t>
  </si>
  <si>
    <t>T-FDEXRMO-20N-PS-PP</t>
  </si>
  <si>
    <t>Police Package; 7" Shorten, HD Table</t>
  </si>
  <si>
    <t>T-FDEXRMO-20N-PS-P7-HT</t>
  </si>
  <si>
    <t>T-FDEXRMO-20N-PS-P7</t>
  </si>
  <si>
    <t>Explorer Mag 2 Offset Dwr</t>
  </si>
  <si>
    <t>T-FDEXRMO-20N-PS-LT</t>
  </si>
  <si>
    <t>Police Package, K9 Cage, HD Table</t>
  </si>
  <si>
    <t>T-FDEXRMO-20N-PS-K9-HT</t>
  </si>
  <si>
    <t>T-FDEXRMO-20N-PS-HT</t>
  </si>
  <si>
    <t>T-FDEXRMO-20N-PS</t>
  </si>
  <si>
    <t>Lift, Prisoner Cage</t>
  </si>
  <si>
    <t>T-FDEXRMO-20N-PP-LT</t>
  </si>
  <si>
    <t>T-FDEXRMO-20N-LT</t>
  </si>
  <si>
    <t>3rd Row Seat Removed, Radio Tray</t>
  </si>
  <si>
    <t>T-FDEXRMO-20N-LR</t>
  </si>
  <si>
    <t>Folding 3rd Row Seat HD Table</t>
  </si>
  <si>
    <t>T-FDEXRMO-20N-HT</t>
  </si>
  <si>
    <t>T-FDEXRMO-20N-HG</t>
  </si>
  <si>
    <t>T-FDEXRMO-20N</t>
  </si>
  <si>
    <t>T-FDEXRMO-11N-PS-TT</t>
  </si>
  <si>
    <t>Police; Spare Access</t>
  </si>
  <si>
    <t>T-FDEXRMO-11N-PS-SA</t>
  </si>
  <si>
    <t>Police Package; Table Ext</t>
  </si>
  <si>
    <t>T-FDEXRMO-11N-PS-PT</t>
  </si>
  <si>
    <t>No 3rd Row, Tbl Ext</t>
  </si>
  <si>
    <t>Explorer Mag OS Dwr</t>
  </si>
  <si>
    <t>T-FDEXRMO-11N-PS-PP-PT</t>
  </si>
  <si>
    <t>T-FDEXRMO-11N-PS-PP-LT</t>
  </si>
  <si>
    <t>T-FDEXRMO-11N-PS-PP</t>
  </si>
  <si>
    <t>T-FDEXRMO-11N-PS-P7</t>
  </si>
  <si>
    <t>T-FDEXRMO-11N-PS-LT</t>
  </si>
  <si>
    <t>T-FDEXRMO-11N-PS</t>
  </si>
  <si>
    <t>T-FDEXRMO-11N-PP</t>
  </si>
  <si>
    <t>T-FDEXRMO-11N-LT</t>
  </si>
  <si>
    <t>T-FDEXRMO-11N</t>
  </si>
  <si>
    <t>3rd Row Folded, Pull Out Table</t>
  </si>
  <si>
    <t>T-FDEXRMO-06N-T3-PT</t>
  </si>
  <si>
    <t>Seat Folded, Prisoner Cage</t>
  </si>
  <si>
    <t>T-FDEXRMO-06N-T3-PP</t>
  </si>
  <si>
    <t>T-FDEXRMO-06N-T3</t>
  </si>
  <si>
    <t>Table Ext, No 3rd Row Seat</t>
  </si>
  <si>
    <t>T-FDEXRMO-06N-PT</t>
  </si>
  <si>
    <t>P-Cage, No 3rd Row Seat</t>
  </si>
  <si>
    <t>T-FDEXRMO-06N-PP</t>
  </si>
  <si>
    <t>T-FDEXRMO-06N</t>
  </si>
  <si>
    <t>T-FDEXRMO-02N-PT</t>
  </si>
  <si>
    <t>T-FDEXRMO-02N-PP</t>
  </si>
  <si>
    <t>T-FDEXRMO-02N</t>
  </si>
  <si>
    <t>Explorer Mag 2 Dwr</t>
  </si>
  <si>
    <t>T-FDEXRM2-20S</t>
  </si>
  <si>
    <t>T-FDEXRM2-20N-SA</t>
  </si>
  <si>
    <t>T-FDEXRM2-20N-PS-SA</t>
  </si>
  <si>
    <t>Police Package; Prisoner Cage; Lift</t>
  </si>
  <si>
    <t>T-FDEXRM2-20N-PS-PP-LT</t>
  </si>
  <si>
    <t>Explorer Magnum 2 Dwr</t>
  </si>
  <si>
    <t>T-FDEXRM2-20N-PS-PP-LR</t>
  </si>
  <si>
    <t>Explorer Mag 2 Dwr HD Table</t>
  </si>
  <si>
    <t>T-FDEXRM2-20N-PS-PP-HT</t>
  </si>
  <si>
    <t>T-FDEXRM2-20N-PS-PP</t>
  </si>
  <si>
    <t>T-FDEXRM2-20N-PS-P7</t>
  </si>
  <si>
    <t>T-FDEXRM2-20N-PS-LT</t>
  </si>
  <si>
    <t>T-FDEXRM2-20N-PS-LR</t>
  </si>
  <si>
    <t>Police; K9 Unit; Table Ext</t>
  </si>
  <si>
    <t>T-FDEXRM2-20N-PS-K9-PT</t>
  </si>
  <si>
    <t>Police; K9 Unit</t>
  </si>
  <si>
    <t>T-FDEXRM2-20N-PS-K9</t>
  </si>
  <si>
    <t>T-FDEXRM2-20N-PS-HT</t>
  </si>
  <si>
    <t>Explorer Magnum 2 Drawer</t>
  </si>
  <si>
    <t>T-FDEXRM2-20N-PS-HG</t>
  </si>
  <si>
    <t>T-FDEXRM2-20N-PS</t>
  </si>
  <si>
    <t>3rd Removed; Lift; P Cage</t>
  </si>
  <si>
    <t>T-FDEXRM2-20N-PP-LT</t>
  </si>
  <si>
    <t>T-FDEXRM2-20N-LT</t>
  </si>
  <si>
    <t>3rd Row Seat Removed, Radio Lift</t>
  </si>
  <si>
    <t>T-FDEXRM2-20N-LR</t>
  </si>
  <si>
    <t>Folding 3rd Row Seat; Heavy Duty Table</t>
  </si>
  <si>
    <t>T-FDEXRM2-20N-HT</t>
  </si>
  <si>
    <t>T-FDEXRM2-20N</t>
  </si>
  <si>
    <t>Spare Access;Third Row Removed</t>
  </si>
  <si>
    <t>T-FDEXRM2-11N-SA</t>
  </si>
  <si>
    <t>T-FDEXRM2-11N-PT</t>
  </si>
  <si>
    <t>Spare Access; 7" P-Cage</t>
  </si>
  <si>
    <t>T-FDEXRM2-11N-PS-SA-P7</t>
  </si>
  <si>
    <t>T-FDEXRM2-11N-PS-SA</t>
  </si>
  <si>
    <t>Spare Access; P-Cage</t>
  </si>
  <si>
    <t>T-FDEXRM2-11N-PS-PP-SA</t>
  </si>
  <si>
    <t>T-FDEXRM2-11N-PS-PP-PT</t>
  </si>
  <si>
    <t>Police; P-Cage; Lift</t>
  </si>
  <si>
    <t>T-FDEXRM2-11N-PS-PP-LT</t>
  </si>
  <si>
    <t>Police Pack; Heavy Dty Tbl</t>
  </si>
  <si>
    <t>Explorer Mag 2 Dwr, P-Cage</t>
  </si>
  <si>
    <t>T-FDEXRM2-11N-PS-PP-HT</t>
  </si>
  <si>
    <t>Police Pkg, No 3rd Row, P-Cage</t>
  </si>
  <si>
    <t>T-FDEXRM2-11N-PS-PP</t>
  </si>
  <si>
    <t>Police; 7" Shrt; Table Ext</t>
  </si>
  <si>
    <t>T-FDEXRM2-11N-PS-P7-PT</t>
  </si>
  <si>
    <t>T-FDEXRM2-11N-PS-P7</t>
  </si>
  <si>
    <t>T-FDEXRM2-11N-PS-LT</t>
  </si>
  <si>
    <t>T-FDEXRM2-11N-PS-HT</t>
  </si>
  <si>
    <t>T-FDEXRM2-11N-PS</t>
  </si>
  <si>
    <t>3rd Removed; Lift; P-Cage</t>
  </si>
  <si>
    <t>T-FDEXRM2-11N-PP-LT</t>
  </si>
  <si>
    <t>Folding 3rd Row Seat, P Cage</t>
  </si>
  <si>
    <t>T-FDEXRM2-11N-PP</t>
  </si>
  <si>
    <t>T-FDEXRM2-11N-LT</t>
  </si>
  <si>
    <t>T-FDEXRM2-11N-HT</t>
  </si>
  <si>
    <t>T-FDEXRM2-11N</t>
  </si>
  <si>
    <t>Tbl Ext, No 3rd Row Seat</t>
  </si>
  <si>
    <t>T-FDEXRM2-06N-PT</t>
  </si>
  <si>
    <t>T-FDEXRM2-06N-PP</t>
  </si>
  <si>
    <t>T-FDEXRM2-06N</t>
  </si>
  <si>
    <t>T-FDEXRM2-02N-PP</t>
  </si>
  <si>
    <t>T-FDEXRM2-02N</t>
  </si>
  <si>
    <t>T-FDEXRM1-20S</t>
  </si>
  <si>
    <t>T-FDEXRM1-20N-SA</t>
  </si>
  <si>
    <t>Elevated Version; Radio Drawer; Civilian 3rd Removed</t>
  </si>
  <si>
    <t>Explorer Magnum 1 Drawer</t>
  </si>
  <si>
    <t>T-FDEXRM1-20N-RD-HG</t>
  </si>
  <si>
    <t>T-FDEXRM1-20N-PS-SA-PP</t>
  </si>
  <si>
    <t>T-FDEXRM1-20N-PS-SA</t>
  </si>
  <si>
    <t>T-FDEXRM1-20N-PS-RD-HG</t>
  </si>
  <si>
    <t>Police Package; No 3rd Row Seat, Table Extension</t>
  </si>
  <si>
    <t>T-FDEXRM1-20N-PS-PT</t>
  </si>
  <si>
    <t>T-FDEXRM1-20N-PS-PP-LT</t>
  </si>
  <si>
    <t>Explorer Magnum 1 Dwr</t>
  </si>
  <si>
    <t>T-FDEXRM1-20N-PS-PP-LR</t>
  </si>
  <si>
    <t>T-FDEXRM1-20N-PS-PP-HT</t>
  </si>
  <si>
    <t>T-FDEXRM1-20N-PS-PP</t>
  </si>
  <si>
    <t>T-FDEXRM1-20N-PS-P7</t>
  </si>
  <si>
    <t>T-FDEXRM1-20N-PS-LT</t>
  </si>
  <si>
    <t>T-FDEXRM1-20N-PS-LR</t>
  </si>
  <si>
    <t>PS, K-9 Cage; No 3rd Row Seat; Radio Tray</t>
  </si>
  <si>
    <t>T-FDEXRM1-20N-PS-K9-RD</t>
  </si>
  <si>
    <t>T-FDEXRM1-20N-PS-K9-PT</t>
  </si>
  <si>
    <t>PS, K-9 Cage; No 3rd Row Seat</t>
  </si>
  <si>
    <t>T-FDEXRM1-20N-PS-K9</t>
  </si>
  <si>
    <t>Elevated Version; Heavy Duty Table; Police Package</t>
  </si>
  <si>
    <t>T-FDEXRM1-20N-PS-HT-HG</t>
  </si>
  <si>
    <t>Heavy Duty Table; Police Package</t>
  </si>
  <si>
    <t>T-FDEXRM1-20N-PS-HT</t>
  </si>
  <si>
    <t>T-FDEXRM1-20N-PS-HG</t>
  </si>
  <si>
    <t>T-FDEXRM1-20N-PS</t>
  </si>
  <si>
    <t>T-FDEXRM1-20N-PP-LT</t>
  </si>
  <si>
    <t>T-FDEXRM1-20N-LT</t>
  </si>
  <si>
    <t>Civilian 3rd Removed; Radio Lift &amp; Tray</t>
  </si>
  <si>
    <t>T-FDEXRM1-20N-LR</t>
  </si>
  <si>
    <t>3rd Seat Removed, HD Table, Spare Access</t>
  </si>
  <si>
    <t>T-FDEXRM1-20N-HT-SA</t>
  </si>
  <si>
    <t>T-FDEXRM1-20N-HT-LT</t>
  </si>
  <si>
    <t>3rd seat folded HD Table</t>
  </si>
  <si>
    <t>T-FDEXRM1-20N-HT</t>
  </si>
  <si>
    <t>T-FDEXRM1-20N-HG</t>
  </si>
  <si>
    <t>T-FDEXRM1-20N</t>
  </si>
  <si>
    <t>Spare Access;No Third; P-Cage</t>
  </si>
  <si>
    <t>T-FDEXRM1-11N-SA-PP</t>
  </si>
  <si>
    <t>T-FDEXRM1-11N-SA</t>
  </si>
  <si>
    <t>Tbl Ext, Folding 3rd Row Seats</t>
  </si>
  <si>
    <t>T-FDEXRM1-11N-PT</t>
  </si>
  <si>
    <t>Police Package No 3rd Row; HD Top Tray</t>
  </si>
  <si>
    <t>T-FDEXRM1-11N-PS-TT</t>
  </si>
  <si>
    <t>T-FDEXRM1-11N-PS-SA-PP</t>
  </si>
  <si>
    <t>Spare Access; Prisoner Cage 7"</t>
  </si>
  <si>
    <t>T-FDEXRM1-11N-PS-SA-P7</t>
  </si>
  <si>
    <t>T-FDEXRM1-11N-PS-SA</t>
  </si>
  <si>
    <t>T-FDEXRM1-11N-PS-PT</t>
  </si>
  <si>
    <t>PPV, No 3rd Row; HD Top Tray; P-Cage</t>
  </si>
  <si>
    <t>T-FDEXRM1-11N-PS-PP-TT</t>
  </si>
  <si>
    <t>T-FDEXRM1-11N-PS-PP-PT</t>
  </si>
  <si>
    <t>T-FDEXRM1-11N-PS-PP-LT</t>
  </si>
  <si>
    <t>T-FDEXRM1-11N-PS-PP-HT</t>
  </si>
  <si>
    <t>T-FDEXRM1-11N-PS-PP</t>
  </si>
  <si>
    <t>T-FDEXRM1-11N-PS-P7</t>
  </si>
  <si>
    <t>T-FDEXRM1-11N-PS-LT</t>
  </si>
  <si>
    <t>Police Package No 3rd Row; Heavy Duty Table</t>
  </si>
  <si>
    <t>T-FDEXRM1-11N-PS-HT</t>
  </si>
  <si>
    <t>T-FDEXRM1-11N-PS-HG</t>
  </si>
  <si>
    <t>T-FDEXRM1-11N-PS</t>
  </si>
  <si>
    <t>P-Cage/K-9; Lift</t>
  </si>
  <si>
    <t>T-FDEXRM1-11N-PP-LT</t>
  </si>
  <si>
    <t>Folding 3rd Row Seat, Prisoner</t>
  </si>
  <si>
    <t>T-FDEXRM1-11N-PP</t>
  </si>
  <si>
    <t>T-FDEXRM1-11N-LT</t>
  </si>
  <si>
    <t>Hvy Duty Tbl, Folding 3rd Row</t>
  </si>
  <si>
    <t>T-FDEXRM1-11N-HT</t>
  </si>
  <si>
    <t>T-FDEXRM1-11N-HG</t>
  </si>
  <si>
    <t>T-FDEXRM1-11N</t>
  </si>
  <si>
    <t>T-FDEXRM1-06N-T3</t>
  </si>
  <si>
    <t>Tbl Ext, No 3rd Row Seats</t>
  </si>
  <si>
    <t>T-FDEXRM1-06N-PT</t>
  </si>
  <si>
    <t>P-Cage, No 3rd Row Seats</t>
  </si>
  <si>
    <t>T-FDEXRM1-06N-PP</t>
  </si>
  <si>
    <t>T-FDEXRM1-06N</t>
  </si>
  <si>
    <t>T-FDEXRM1-02N-PT</t>
  </si>
  <si>
    <t>T-FDEXRM1-02N-PP</t>
  </si>
  <si>
    <t>T-FDEXRM1-02N-HT</t>
  </si>
  <si>
    <t>T-FDEXRM1-02N</t>
  </si>
  <si>
    <t>Explorer Lid box</t>
  </si>
  <si>
    <t>T-FDEXRL1-11N</t>
  </si>
  <si>
    <t>Explorer Ext 2 Dwr</t>
  </si>
  <si>
    <t>T-FDEXRE2-20N</t>
  </si>
  <si>
    <t>T-FDEXRE2-11N</t>
  </si>
  <si>
    <t>Police Package; No 3rd Row Seat, Brkt</t>
  </si>
  <si>
    <t>Explorer Ext 1 Dwr</t>
  </si>
  <si>
    <t>T-FDEXRE1-20N-PS-SA</t>
  </si>
  <si>
    <t>T-FDEXRE1-20N-PS-PP</t>
  </si>
  <si>
    <t>Police Package</t>
  </si>
  <si>
    <t>Explorer Emergency Response 6</t>
  </si>
  <si>
    <t>F-FDEXRN5-20N-PS-ER6</t>
  </si>
  <si>
    <t>F-FDEXRN5-11N-PS-ER6</t>
  </si>
  <si>
    <t>F-FDEXRN5-11N-ER6</t>
  </si>
  <si>
    <t>Explorer Emergency Response 4</t>
  </si>
  <si>
    <t>F-FDEXRN4-20N-PS-C1-ER4</t>
  </si>
  <si>
    <t>F-FDEXRN4-20N-C1-ER4</t>
  </si>
  <si>
    <t>F-FDEXRN4-11N-PS-C1-ER4</t>
  </si>
  <si>
    <t>F-FDEXRN4-11N-C1-ER4</t>
  </si>
  <si>
    <t>Explorer Emergency Response 3</t>
  </si>
  <si>
    <t>F-FDEXRN3-20N-PS-C1-ER3</t>
  </si>
  <si>
    <t>Explorer Emergency Response 2</t>
  </si>
  <si>
    <t>F-FDEXRN3-20N-PS-C1-ER2</t>
  </si>
  <si>
    <t>F-FDEXRN3-20N-C1-ER3</t>
  </si>
  <si>
    <t>F-FDEXRN3-20N-C1-ER2</t>
  </si>
  <si>
    <t>F-FDEXRN3-11N-PS-C1-PT-ER3</t>
  </si>
  <si>
    <t>F-FDEXRN3-11N-PS-C1-ER3</t>
  </si>
  <si>
    <t>F-FDEXRN3-11N-PS-C1-ER2</t>
  </si>
  <si>
    <t>F-FDEXRN3-11N-C1-ER3</t>
  </si>
  <si>
    <t>F-FDEXRN3-06N-C1-ER3</t>
  </si>
  <si>
    <t>F-FDEXRN3-06N-C1-ER2</t>
  </si>
  <si>
    <t>Explorer Emergency Response 7</t>
  </si>
  <si>
    <t>F-FDEXRN2-20N-PS-PP-ER7-LT</t>
  </si>
  <si>
    <t>Explorer Emergency Response 1</t>
  </si>
  <si>
    <t>F-FDEXRN2-20N-PS-PP-C2-ER1</t>
  </si>
  <si>
    <t>F-FDEXRN2-20N-PS-HT-C2-ER1</t>
  </si>
  <si>
    <t>F-FDEXRN2-20N-PS-ER7-LT</t>
  </si>
  <si>
    <t>Explorer Emergency Response 5</t>
  </si>
  <si>
    <t>F-FDEXRN2-20N-PS-C4-ER5</t>
  </si>
  <si>
    <t>Explorer Emergency Response 8</t>
  </si>
  <si>
    <t>F-FDEXRN2-20N-PS-C2-ER8</t>
  </si>
  <si>
    <t>F-FDEXRN2-20N-PS-C2-ER1</t>
  </si>
  <si>
    <t>F-FDEXRN2-20N-ER7-LT</t>
  </si>
  <si>
    <t>F-FDEXRN2-20N-ER7</t>
  </si>
  <si>
    <t>F-FDEXRN2-20N-C4-ER5</t>
  </si>
  <si>
    <t>F-FDEXRN2-20N-C2-ER1</t>
  </si>
  <si>
    <t>F-FDEXRN2-11N-PS-ER7-LT</t>
  </si>
  <si>
    <t>F-FDEXRN2-11N-PS-ER7</t>
  </si>
  <si>
    <t>F-FDEXRN2-11N-PS-C4-ER5</t>
  </si>
  <si>
    <t>F-FDEXRN2-11N-PS-C2-ER8</t>
  </si>
  <si>
    <t>F-FDEXRN2-11N-PS-C2-ER1</t>
  </si>
  <si>
    <t>F-FDEXRN2-11N-C2-ER1</t>
  </si>
  <si>
    <t>F-FDEXRN2-06N-C2-PT-ER8</t>
  </si>
  <si>
    <t>F-FDEXRN2-06N-C2-ER8</t>
  </si>
  <si>
    <t>F-FDEXRN2-06N-C2-ER1</t>
  </si>
  <si>
    <t>Interceptor, P-Cage</t>
  </si>
  <si>
    <t>Explorer Drone Responder 5</t>
  </si>
  <si>
    <t>D-FDEXRN3-20N-PS-PP-C1-DR5</t>
  </si>
  <si>
    <t>Explorer Drone Responder 4</t>
  </si>
  <si>
    <t>D-FDEXRN3-20N-PS-HT-C1-DR4</t>
  </si>
  <si>
    <t>D-FDEXRN3-20N-PS-C1-DR5</t>
  </si>
  <si>
    <t>D-FDEXRN3-20N-C1-DR5</t>
  </si>
  <si>
    <t>D-FDEXRN3-11N-PS-HT-C1-DR4</t>
  </si>
  <si>
    <t>D-FDEXRN3-11N-PS-C1-DR5</t>
  </si>
  <si>
    <t>Interceptor; Prisoner Cage, HD Table</t>
  </si>
  <si>
    <t>Explorer Drone Responder 7</t>
  </si>
  <si>
    <t>D-FDEXRN2-20N-PS-PP-HT-C1-DR7</t>
  </si>
  <si>
    <t>Interceptor; Prisoner Cage</t>
  </si>
  <si>
    <t>D-FDEXRN2-20N-PS-PP-HT-C1-DR6</t>
  </si>
  <si>
    <t>Explorer Drone Responder 9</t>
  </si>
  <si>
    <t>D-FDEXRN2-20N-PS-PP-FM-DR9</t>
  </si>
  <si>
    <t>D-FDEXRN2-20N-PS-HT-C1-DR7</t>
  </si>
  <si>
    <t>D-FDEXRN2-20N-PS-HT-C1-DR6</t>
  </si>
  <si>
    <t>D-FDEXRN2-20N-PS-FM-DR9</t>
  </si>
  <si>
    <t>Explorer Drone Responder 10</t>
  </si>
  <si>
    <t>D-FDEXRN2-20N-PS-FM-DR10</t>
  </si>
  <si>
    <t>Civilian</t>
  </si>
  <si>
    <t>D-FDEXRN2-20N-HT-C1-DR7</t>
  </si>
  <si>
    <t>Civilian; 3rd Folded</t>
  </si>
  <si>
    <t>D-FDEXRN2-20N-HT-C1-DR6</t>
  </si>
  <si>
    <t>D-FDEXRN2-20N-FM-DR9</t>
  </si>
  <si>
    <t>D-FDEXRN2-11N-PS-PP-HT-C1-DR7</t>
  </si>
  <si>
    <t>D-FDEXRN2-11N-PS-HT-C1-DR7</t>
  </si>
  <si>
    <t>D-FDEXRN2-11N-PS-HT-C1-DR6</t>
  </si>
  <si>
    <t>D-FDEXRN2-11N-PS-FM-DR9</t>
  </si>
  <si>
    <t>D-FDEXRN2-11N-HT-C1-DR7</t>
  </si>
  <si>
    <t>D-FDEXRN2-11N-FM-DR10</t>
  </si>
  <si>
    <t>D-FDEXRN1-20N-PS-PP-HT-C1-DR7</t>
  </si>
  <si>
    <t>D-FDEXRN1-20N-PS-PP-FM-DR9</t>
  </si>
  <si>
    <t>D-FDEXRN1-20N-PS-PP-FM-DR10</t>
  </si>
  <si>
    <t>Single Drawer,  Interceptor</t>
  </si>
  <si>
    <t>D-FDEXRN1-20N-PS-HT-C1-DR7</t>
  </si>
  <si>
    <t>D-FDEXRN1-20N-PS-FM-DR9</t>
  </si>
  <si>
    <t>D-FDEXRN1-20N-PS-FM-DR10</t>
  </si>
  <si>
    <t>D-FDEXRN1-20N-HT-C1-DR7</t>
  </si>
  <si>
    <t>D-FDEXRN1-20N-FM-DR9</t>
  </si>
  <si>
    <t>3rd Removed, Lift</t>
  </si>
  <si>
    <t>D-FDEXRN1-20N-FM-DR10-LT</t>
  </si>
  <si>
    <t>D-FDEXRN1-20N-FM-DR10</t>
  </si>
  <si>
    <t>D-FDEXRN1-11N-PS-FM-DR9</t>
  </si>
  <si>
    <t>Explorer Drone Responder 8</t>
  </si>
  <si>
    <t>D-FDEXRN0-20N-PS-PP-FM-DR8</t>
  </si>
  <si>
    <t>D-FDEXRN0-20N-PS-FM-DR8</t>
  </si>
  <si>
    <t>D-FDEXRN0-20N-FM-DR8</t>
  </si>
  <si>
    <t>D-FDEXRN0-11N-PS-FM-DR8</t>
  </si>
  <si>
    <t>Explorer Drone Responder 3</t>
  </si>
  <si>
    <t>D-FDEXRM2-20N-PS-C1-DR3</t>
  </si>
  <si>
    <t>Explorer Drone Responder 1</t>
  </si>
  <si>
    <t>D-FDEXRM2-20N-PS-C1-DR1</t>
  </si>
  <si>
    <t>D-FDEXRM2-20N-C1-DR1</t>
  </si>
  <si>
    <t>D-FDEXRM2-11N-PS-PP-C1-DR1</t>
  </si>
  <si>
    <t>D-FDEXRM2-11N-PS-C1-DR3</t>
  </si>
  <si>
    <t>D-FDEXRM2-11N-PS-C1-DR1</t>
  </si>
  <si>
    <t>Explorer Drone Responder 2</t>
  </si>
  <si>
    <t>D-FDEXRM1-20N-PS-C1-DR2</t>
  </si>
  <si>
    <t>Explorer Chief LX CC</t>
  </si>
  <si>
    <t>C-FDEXRN6-20C</t>
  </si>
  <si>
    <t>C15116</t>
  </si>
  <si>
    <t>Explorer Custom</t>
  </si>
  <si>
    <t>C-FDEXRN6-11N-TR ZC15116A</t>
  </si>
  <si>
    <t>C15116A</t>
  </si>
  <si>
    <t>C-FDEXRN6-11N-PS-TR ZC15116A</t>
  </si>
  <si>
    <t>C-FDEXRN6-11C-PS-PP</t>
  </si>
  <si>
    <t>C-FDEXRN6-11C</t>
  </si>
  <si>
    <t>C-FDEXRN6-06C</t>
  </si>
  <si>
    <t>Police Interceptor</t>
  </si>
  <si>
    <t>Explorer TAC CC</t>
  </si>
  <si>
    <t>C-FDEXRN5-20T-PS</t>
  </si>
  <si>
    <t>C-FDEXRN5-20T</t>
  </si>
  <si>
    <t>C-FDEXRN5-20C-PS-PP</t>
  </si>
  <si>
    <t>C-FDEXRN5-20C-PS</t>
  </si>
  <si>
    <t>C-FDEXRN5-20C</t>
  </si>
  <si>
    <t>C-FDEXRN5-11T-PS</t>
  </si>
  <si>
    <t>C-FDEXRN5-11T</t>
  </si>
  <si>
    <t>C-FDEXRN5-11C-TR</t>
  </si>
  <si>
    <t>C-FDEXRN5-11C-PT</t>
  </si>
  <si>
    <t>C-FDEXRN5-11C-PS-PT</t>
  </si>
  <si>
    <t>C-FDEXRN5-11C-PS</t>
  </si>
  <si>
    <t>C-FDEXRN5-11C</t>
  </si>
  <si>
    <t>Police Package No 3rd Row, Tbl</t>
  </si>
  <si>
    <t>C-FDEXRN4-20P-PS-PT</t>
  </si>
  <si>
    <t>Police Package No 3rd Row Seat; Prisoner Cage</t>
  </si>
  <si>
    <t>Explorer Captain CC, HD Table</t>
  </si>
  <si>
    <t>C-FDEXRN4-20P-PS-PP-HT</t>
  </si>
  <si>
    <t>C-FDEXRN4-20P-PS-HT</t>
  </si>
  <si>
    <t>C-FDEXRN4-20P-PS</t>
  </si>
  <si>
    <t>C-FDEXRN4-20P</t>
  </si>
  <si>
    <t>C-FDEXRN4-20C</t>
  </si>
  <si>
    <t>C-FDEXRN4-11P-TR</t>
  </si>
  <si>
    <t>Pullout  Table</t>
  </si>
  <si>
    <t>C-FDEXRN4-11P-PT</t>
  </si>
  <si>
    <t>C-FDEXRN4-11P-PS-PT</t>
  </si>
  <si>
    <t>C-FDEXRN4-11P-PS-PP</t>
  </si>
  <si>
    <t>Police Package No 3rd Row, HD Table</t>
  </si>
  <si>
    <t>C-FDEXRN4-11P-PS-HT</t>
  </si>
  <si>
    <t>C-FDEXRN4-11P-PS</t>
  </si>
  <si>
    <t>C-FDEXRN4-11P</t>
  </si>
  <si>
    <t>Police Package; P-Cage, Lift</t>
  </si>
  <si>
    <t>Explorer Field Ranger</t>
  </si>
  <si>
    <t>C-FDEXRN3-20R-PS-PP-LT</t>
  </si>
  <si>
    <t>C-FDEXRN3-20R-PS-PP</t>
  </si>
  <si>
    <t>C-FDEXRN3-20R-PS-LT</t>
  </si>
  <si>
    <t>C-FDEXRN3-20R-PS-K9</t>
  </si>
  <si>
    <t>C-FDEXRN3-20R-PS</t>
  </si>
  <si>
    <t>C-FDEXRN3-20R-LT</t>
  </si>
  <si>
    <t>C-FDEXRN3-20R</t>
  </si>
  <si>
    <t>Table Extenstion; Lift</t>
  </si>
  <si>
    <t>Explorer Investigator</t>
  </si>
  <si>
    <t>C-FDEXRN3-20I-PS-PT-LT</t>
  </si>
  <si>
    <t>C-FDEXRN3-20I-PS-PT</t>
  </si>
  <si>
    <t>Police Package; P-Cage; Lift</t>
  </si>
  <si>
    <t>C-FDEXRN3-20I-PS-PP-LT</t>
  </si>
  <si>
    <t>Police Package; P-Cage;Radio  Lift</t>
  </si>
  <si>
    <t>C-FDEXRN3-20I-PS-PP-LR</t>
  </si>
  <si>
    <t>Police Package; P-Cage; Lift, HD Table</t>
  </si>
  <si>
    <t>C-FDEXRN3-20I-PS-PP-HT-LT</t>
  </si>
  <si>
    <t>Police Package; Prisoner Cage; No 3rd Row Seat</t>
  </si>
  <si>
    <t>C-FDEXRN3-20I-PS-PP</t>
  </si>
  <si>
    <t>C-FDEXRN3-20I-PS-LT</t>
  </si>
  <si>
    <t>Police Package; Radio Lift</t>
  </si>
  <si>
    <t>C-FDEXRN3-20I-PS-LR</t>
  </si>
  <si>
    <t>Police Package; Prisoner Cage - 10" Short for K9</t>
  </si>
  <si>
    <t>C-FDEXRN3-20I-PS-K9</t>
  </si>
  <si>
    <t>Police Package;  Lift, HD Table</t>
  </si>
  <si>
    <t>C-FDEXRN3-20I-PS-HT-LT</t>
  </si>
  <si>
    <t>Heavy Duty Table; Prisoner Cage - 10" Short for K9</t>
  </si>
  <si>
    <t>C-FDEXRN3-20I-PS-HT-K9</t>
  </si>
  <si>
    <t>C-FDEXRN3-20I-PS-HT</t>
  </si>
  <si>
    <t>C-FDEXRN3-20I-PS</t>
  </si>
  <si>
    <t>P-Cage; Lift</t>
  </si>
  <si>
    <t>C-FDEXRN3-20I-PP-LT</t>
  </si>
  <si>
    <t>Prisoner Care Radio Lift</t>
  </si>
  <si>
    <t>C-FDEXRN3-20I-PP-LR</t>
  </si>
  <si>
    <t>C-FDEXRN3-20I-LT</t>
  </si>
  <si>
    <t>Civilian  Lift, HD Table</t>
  </si>
  <si>
    <t>C-FDEXRN3-20I-HT-LT</t>
  </si>
  <si>
    <t>C-FDEXRN3-20I</t>
  </si>
  <si>
    <t>Explorer Special Ops Ctr</t>
  </si>
  <si>
    <t>C-FDEXRN3-20D-PS-PT</t>
  </si>
  <si>
    <t>Prisoner Cage; Lift</t>
  </si>
  <si>
    <t>C-FDEXRN3-20D-PS-PP-LT</t>
  </si>
  <si>
    <t>Prisoner Cage; HD Table</t>
  </si>
  <si>
    <t>C-FDEXRN3-20D-PS-PP-HT</t>
  </si>
  <si>
    <t>C-FDEXRN3-20D-PS-PP</t>
  </si>
  <si>
    <t>C-FDEXRN3-20D-PS-LT</t>
  </si>
  <si>
    <t>C-FDEXRN3-20D-PS-HT</t>
  </si>
  <si>
    <t>C-FDEXRN3-20D-PS</t>
  </si>
  <si>
    <t>3rd Removed Civilian; Lift</t>
  </si>
  <si>
    <t>C-FDEXRN3-20D-LT</t>
  </si>
  <si>
    <t>C-FDEXRN3-20D</t>
  </si>
  <si>
    <t>C-FDEXRN3-11R-PT</t>
  </si>
  <si>
    <t>Police Package; Table Ext.</t>
  </si>
  <si>
    <t>C-FDEXRN3-11R-PS-PT</t>
  </si>
  <si>
    <t>C-FDEXRN3-11R-PS-PP-LT</t>
  </si>
  <si>
    <t>C-FDEXRN3-11R-PS-PP</t>
  </si>
  <si>
    <t>C-FDEXRN3-11R-PS-P7</t>
  </si>
  <si>
    <t>C-FDEXRN3-11R-PS-LT</t>
  </si>
  <si>
    <t>No 3rd Row; Heavy Duty Table</t>
  </si>
  <si>
    <t>C-FDEXRN3-11R-PS-HT</t>
  </si>
  <si>
    <t>C-FDEXRN3-11R-PS</t>
  </si>
  <si>
    <t>C-FDEXRN3-11R-PP</t>
  </si>
  <si>
    <t>C-FDEXRN3-11R-LT</t>
  </si>
  <si>
    <t>C-FDEXRN3-11R</t>
  </si>
  <si>
    <t>Explorer CUST Command Center</t>
  </si>
  <si>
    <t>C-FDEXRN3-11N-PS-PT</t>
  </si>
  <si>
    <t>C-FDEXRN3-11I-TR</t>
  </si>
  <si>
    <t>C-FDEXRN3-11I-SA</t>
  </si>
  <si>
    <t>C-FDEXRN3-11I-PT-LT</t>
  </si>
  <si>
    <t>C-FDEXRN3-11I-PT</t>
  </si>
  <si>
    <t>Police Package Spare Access</t>
  </si>
  <si>
    <t>C-FDEXRN3-11I-PS-SA</t>
  </si>
  <si>
    <t>C-FDEXRN3-11I-PS-PT-LT</t>
  </si>
  <si>
    <t>Police Package, Table Ext</t>
  </si>
  <si>
    <t>C-FDEXRN3-11I-PS-PT</t>
  </si>
  <si>
    <t>Spare Access, P-Cage</t>
  </si>
  <si>
    <t>C-FDEXRN3-11I-PS-PP-SA</t>
  </si>
  <si>
    <t>Police Package; P-Cage; Lift; Table Ext.</t>
  </si>
  <si>
    <t>C-FDEXRN3-11I-PS-PP-PT-LT</t>
  </si>
  <si>
    <t>Police Pack, P-cage, Tbl Ext</t>
  </si>
  <si>
    <t>C-FDEXRN3-11I-PS-PP-PT</t>
  </si>
  <si>
    <t>C-FDEXRN3-11I-PS-PP-LT</t>
  </si>
  <si>
    <t>C-FDEXRN3-11I-PS-PP-HT-LT</t>
  </si>
  <si>
    <t>C-FDEXRN3-11I-PS-PP</t>
  </si>
  <si>
    <t>Police Package; 7" P-Cage</t>
  </si>
  <si>
    <t>C-FDEXRN3-11I-PS-P7</t>
  </si>
  <si>
    <t>C-FDEXRN3-11I-PS-LT</t>
  </si>
  <si>
    <t>C-FDEXRN3-11I-PS-HT-LT</t>
  </si>
  <si>
    <t>Explorer Investigator HD Table</t>
  </si>
  <si>
    <t>C-FDEXRN3-11I-PS-HT</t>
  </si>
  <si>
    <t>C-FDEXRN3-11I-PS</t>
  </si>
  <si>
    <t>C-FDEXRN3-11I-PP-LT</t>
  </si>
  <si>
    <t>C-FDEXRN3-11I-PP</t>
  </si>
  <si>
    <t>C-FDEXRN3-11I-LT</t>
  </si>
  <si>
    <t>Lift, HD Table</t>
  </si>
  <si>
    <t>C-FDEXRN3-11I-HT-LT</t>
  </si>
  <si>
    <t>C-FDEXRN3-11I</t>
  </si>
  <si>
    <t>C-FDEXRN3-11D-TR</t>
  </si>
  <si>
    <t>C-FDEXRN3-11D-PT</t>
  </si>
  <si>
    <t>Police Pack. No 3rd Row, Brkt</t>
  </si>
  <si>
    <t>C-FDEXRN3-11D-PS-SA</t>
  </si>
  <si>
    <t>Police, No 3rd Row, Tbl, Brkt</t>
  </si>
  <si>
    <t>C-FDEXRN3-11D-PS-PT-SA</t>
  </si>
  <si>
    <t>C-FDEXRN3-11D-PS-PT</t>
  </si>
  <si>
    <t>Pol Pack, No 3rd, P-Cage, Brkt</t>
  </si>
  <si>
    <t>C-FDEXRN3-11D-PS-PP-SA</t>
  </si>
  <si>
    <t>C-FDEXRN3-11D-PS-PP-PT</t>
  </si>
  <si>
    <t>C-FDEXRN3-11D-PS-PP-LT</t>
  </si>
  <si>
    <t>C-FDEXRN3-11D-PS-PP</t>
  </si>
  <si>
    <t>Police; 7" P-Cage Table Ext</t>
  </si>
  <si>
    <t>C-FDEXRN3-11D-PS-P7-PT</t>
  </si>
  <si>
    <t>C-FDEXRN3-11D-PS-LT</t>
  </si>
  <si>
    <t>Heavy Duty Tbl; Police Package</t>
  </si>
  <si>
    <t>C-FDEXRN3-11D-PS-HT</t>
  </si>
  <si>
    <t>C-FDEXRN3-11D-PS</t>
  </si>
  <si>
    <t>C-FDEXRN3-11D-LT</t>
  </si>
  <si>
    <t>C-FDEXRN3-11D-HT</t>
  </si>
  <si>
    <t>C-FDEXRN3-11D</t>
  </si>
  <si>
    <t>C-FDEXRN3-06R-PT</t>
  </si>
  <si>
    <t>C-FDEXRN3-06R-PP</t>
  </si>
  <si>
    <t>C-FDEXRN3-06R</t>
  </si>
  <si>
    <t>C-FDEXRN3-06I-PT</t>
  </si>
  <si>
    <t>C-FDEXRN3-06I-PP</t>
  </si>
  <si>
    <t>C-FDEXRN3-06I</t>
  </si>
  <si>
    <t>C-FDEXRN3-06D-PT</t>
  </si>
  <si>
    <t>C-FDEXRN3-06D</t>
  </si>
  <si>
    <t>C-FDEXRN3-02R</t>
  </si>
  <si>
    <t>C-FDEXRN3-02I-PP</t>
  </si>
  <si>
    <t>C-FDEXRN3-02I-HT</t>
  </si>
  <si>
    <t>C-FDEXRN3-02I</t>
  </si>
  <si>
    <t>C-FDEXRN3-02D</t>
  </si>
  <si>
    <t>C11254B</t>
  </si>
  <si>
    <t>C-FDEXRN2-20N-PS-HT-TT-C11254B</t>
  </si>
  <si>
    <t>1 Dwr Bottom; Lift, Table Ext</t>
  </si>
  <si>
    <t>Explorer Investigator 2 Dwr</t>
  </si>
  <si>
    <t>C-FDEXRN2-20I-PT-LT</t>
  </si>
  <si>
    <t>Police Pkg; Lift; 2 Dwr; Table ext</t>
  </si>
  <si>
    <t>C-FDEXRN2-20I-PS-PT-LT</t>
  </si>
  <si>
    <t>Police Pkg; P-Cage; 2 Dwr Lift</t>
  </si>
  <si>
    <t>C-FDEXRN2-20I-PS-PP-LT</t>
  </si>
  <si>
    <t>Police Pkg; P-Cage; 2 Dwr</t>
  </si>
  <si>
    <t>C-FDEXRN2-20I-PS-PP</t>
  </si>
  <si>
    <t>Police Pkg; Lift; 2 Dwr</t>
  </si>
  <si>
    <t>C-FDEXRN2-20I-PS-LT</t>
  </si>
  <si>
    <t>Police Pkg; Radio Lift</t>
  </si>
  <si>
    <t>C-FDEXRN2-20I-PS-LR</t>
  </si>
  <si>
    <t>Police Pkg; K9-Cage; 2 Dwr</t>
  </si>
  <si>
    <t>C-FDEXRN2-20I-PS-K9</t>
  </si>
  <si>
    <t>No 3rd Seat 2 Dwr</t>
  </si>
  <si>
    <t>C-FDEXRN2-20I-PS</t>
  </si>
  <si>
    <t>Civilian; P-Cage; 2 Dwr Lift</t>
  </si>
  <si>
    <t>C-FDEXRN2-20I-PP-LT</t>
  </si>
  <si>
    <t>Civilian; P-Cage; 2 Dwr</t>
  </si>
  <si>
    <t>C-FDEXRN2-20I-PP</t>
  </si>
  <si>
    <t>1 Dwr Bottom; Lift</t>
  </si>
  <si>
    <t>C-FDEXRN2-20I-LT</t>
  </si>
  <si>
    <t>3rd Row Folded; 2 Dwr; Radio Lift</t>
  </si>
  <si>
    <t>C-FDEXRN2-20I-LR</t>
  </si>
  <si>
    <t>3rd Row Folded; 2 Dwr</t>
  </si>
  <si>
    <t>C-FDEXRN2-20I</t>
  </si>
  <si>
    <t>Police Package; P Cage</t>
  </si>
  <si>
    <t>2 Dwr Explorer Special Ops Ctr</t>
  </si>
  <si>
    <t>C-FDEXRN2-20D-PS-PP</t>
  </si>
  <si>
    <t>C-FDEXRN2-20D-PS-LT</t>
  </si>
  <si>
    <t>C-FDEXRN2-11I-SA</t>
  </si>
  <si>
    <t>C-FDEXRN2-11I-PS-PP-LT</t>
  </si>
  <si>
    <t>C-FDEXRN2-11I-PS-PP</t>
  </si>
  <si>
    <t>C-FDEXRN2-11I-PS-LT</t>
  </si>
  <si>
    <t>Police Pkg; 2 Dwr</t>
  </si>
  <si>
    <t>C-FDEXRN2-11I-PS</t>
  </si>
  <si>
    <t>C-FDEXRN2-11I-PP-LT</t>
  </si>
  <si>
    <t>3rd Row Folded; 2 Dwr; P-Cage</t>
  </si>
  <si>
    <t>C-FDEXRN2-11I-PP</t>
  </si>
  <si>
    <t>C-FDEXRN2-11I-LT</t>
  </si>
  <si>
    <t>C-FDEXRN2-11I</t>
  </si>
  <si>
    <t>C-FDEXRN2-11D-PS-LT</t>
  </si>
  <si>
    <t>1 Drawer Bottom</t>
  </si>
  <si>
    <t>C-FDEXRN2-06I</t>
  </si>
  <si>
    <t>C11553B; Interceptor</t>
  </si>
  <si>
    <t>C-FDEXRN1-11N-PS-HT-C1-C11553B</t>
  </si>
  <si>
    <t>C11057B; DR</t>
  </si>
  <si>
    <t>C-FDEXRN1-11N-PS-C1-HT-C11057B</t>
  </si>
  <si>
    <t>Explorer</t>
  </si>
  <si>
    <t>3rd Row Seat Removed or SSV; P-Cage; HD Table</t>
  </si>
  <si>
    <t>Expedition Max Mag 2 Dwr</t>
  </si>
  <si>
    <t>T-FDMAXM2-18F-PP-TR-HT</t>
  </si>
  <si>
    <t>3rd Row Seat Removed or SSV, Top Tray</t>
  </si>
  <si>
    <t>Expedition Max Mag OS Dwr</t>
  </si>
  <si>
    <t>T-FDMAXMO-18F-TR-TT</t>
  </si>
  <si>
    <t>3rd Row Seat Removed or SSV, HD Table</t>
  </si>
  <si>
    <t>Expedition Max Utility 2 Dwr</t>
  </si>
  <si>
    <t>T-FDMAXU2-18M-TR-HT</t>
  </si>
  <si>
    <t>T-FDMAXU2-18F-TR-TT</t>
  </si>
  <si>
    <t>Must Fold 3rd Seat; Top Tray</t>
  </si>
  <si>
    <t>T-FDMAXM2-18F-TT</t>
  </si>
  <si>
    <t>Expedition Max Utility Offset Dwr</t>
  </si>
  <si>
    <t>T-FDMAXUO-18S</t>
  </si>
  <si>
    <t>3rd Row Seat Folded; Heavy Duty Table &amp; Top Tray</t>
  </si>
  <si>
    <t>T-FDMAXUO-18M-HT-TT</t>
  </si>
  <si>
    <t>Expedition Max Utility Offset  Dwr</t>
  </si>
  <si>
    <t>T-FDMAXUO-18M</t>
  </si>
  <si>
    <t>3rd Row Seat Removed or SSV, Table Extension</t>
  </si>
  <si>
    <t>Expedition Max Utility 2 Dwr Offset</t>
  </si>
  <si>
    <t>T-FDMAXUO-18F-TR-PT</t>
  </si>
  <si>
    <t>3rd Row Seat Removed or SSV, Heavy Duty Table</t>
  </si>
  <si>
    <t>T-FDMAXUO-18F-TR-HT</t>
  </si>
  <si>
    <t>T-FDMAXUO-18F-TR</t>
  </si>
  <si>
    <t>Expedition Max Utility OS Dwr</t>
  </si>
  <si>
    <t>T-FDMAXUO-18F-PT</t>
  </si>
  <si>
    <t>T-FDMAXU2-18M-TR</t>
  </si>
  <si>
    <t>T-FDMAXU2-18F-TR-HT</t>
  </si>
  <si>
    <t>T-FDMAXU2-18F-TR</t>
  </si>
  <si>
    <t>T-FDMAXU2-18F-PP-TR-HT</t>
  </si>
  <si>
    <t>T-FDMAXU2-18F-PP-TR</t>
  </si>
  <si>
    <t>T-FDMAXU2-18F</t>
  </si>
  <si>
    <t>Short Size; Heavy Duty Table</t>
  </si>
  <si>
    <t>Expedition Max Utility 1 Dwr</t>
  </si>
  <si>
    <t>T-FDMAXU1-18S-HT</t>
  </si>
  <si>
    <t>Short Size Behind 3rd seat</t>
  </si>
  <si>
    <t>Expedition Max Utility1 Dwr</t>
  </si>
  <si>
    <t>T-FDMAXU1-18S</t>
  </si>
  <si>
    <t>Mid-Length; Seat Removed</t>
  </si>
  <si>
    <t>T-FDMAXU1-18M-TR</t>
  </si>
  <si>
    <t>Mid-Length; Seat Folded</t>
  </si>
  <si>
    <t>T-FDMAXU1-18M</t>
  </si>
  <si>
    <t>Expedition Max Std Offset Dwr</t>
  </si>
  <si>
    <t>T-FDMAXSO-18S-PT</t>
  </si>
  <si>
    <t>Expedition Max Std 2 Dwr Offset</t>
  </si>
  <si>
    <t>T-FDMAXSO-18F-TR-HT</t>
  </si>
  <si>
    <t>Expedition Max Std OS Dwr</t>
  </si>
  <si>
    <t>T-FDMAXSO-18F</t>
  </si>
  <si>
    <t>S-Size; HD Table</t>
  </si>
  <si>
    <t>Expedition Max Std 2 Dwr</t>
  </si>
  <si>
    <t>T-FDMAXS2-18S-HT</t>
  </si>
  <si>
    <t>T-FDMAXS2-18S</t>
  </si>
  <si>
    <t>T-FDMAXS2-18M-TR</t>
  </si>
  <si>
    <t>Folded 3rd Seat</t>
  </si>
  <si>
    <t>T-FDMAXS2-18M</t>
  </si>
  <si>
    <t>T-FDMAXS2-18F-TR</t>
  </si>
  <si>
    <t>3rd Row Seat Removed or SSV; P-Cage</t>
  </si>
  <si>
    <t>T-FDMAXS2-18F-PP-TR</t>
  </si>
  <si>
    <t>T-FDMAXS2-18F-HT</t>
  </si>
  <si>
    <t>T-FDMAXS2-18F</t>
  </si>
  <si>
    <t>Expedition Max Std 1 Dwr</t>
  </si>
  <si>
    <t>T-FDMAXS1-18S</t>
  </si>
  <si>
    <t>Medium  Size</t>
  </si>
  <si>
    <t>T-FDMAXS1-18M</t>
  </si>
  <si>
    <t>Expedition Max Mag 2 Dwr Offset</t>
  </si>
  <si>
    <t>T-FDMAXMO-18M-TR-HT</t>
  </si>
  <si>
    <t>T-FDMAXMO-18M</t>
  </si>
  <si>
    <t>T-FDMAXMO-18F-TR-HT</t>
  </si>
  <si>
    <t>T-FDMAXMO-18F-TR</t>
  </si>
  <si>
    <t>3rd Row Seat Removed or SSV; P-Cage; Top Tray</t>
  </si>
  <si>
    <t>T-FDMAXMO-18F-PP-TR-TT</t>
  </si>
  <si>
    <t>T-FDMAXMO-18F-PP-TR</t>
  </si>
  <si>
    <t>3rd Row Seat Folded, HD Table</t>
  </si>
  <si>
    <t>T-FDMAXMO-18F-HT</t>
  </si>
  <si>
    <t>T-FDMAXMO-18F</t>
  </si>
  <si>
    <t>T-FDMAXM2-18S</t>
  </si>
  <si>
    <t>Removed 3rd Seat</t>
  </si>
  <si>
    <t>T-FDMAXM2-18M-TR</t>
  </si>
  <si>
    <t>T-FDMAXM2-18M</t>
  </si>
  <si>
    <t>T-FDMAXM2-18F-TR-HT</t>
  </si>
  <si>
    <t>T-FDMAXM2-18F-TR</t>
  </si>
  <si>
    <t>T-FDMAXM2-18F-PP-TR</t>
  </si>
  <si>
    <t>Must Fold 3rd Seat; P-Cage</t>
  </si>
  <si>
    <t>T-FDMAXM2-18F-PP</t>
  </si>
  <si>
    <t>T-FDMAXM2-18F-HT</t>
  </si>
  <si>
    <t>T-FDMAXM2-18F</t>
  </si>
  <si>
    <t>Short Size HD Table</t>
  </si>
  <si>
    <t>Expedition Max Mag 1 Dwr</t>
  </si>
  <si>
    <t>T-FDMAXM1-18S-HT</t>
  </si>
  <si>
    <t>T-FDMAXM1-18S</t>
  </si>
  <si>
    <t>T-FDMAXM1-18M-TR</t>
  </si>
  <si>
    <t>Mid-Length;  Seat Folded</t>
  </si>
  <si>
    <t>T-FDMAXM1-18M</t>
  </si>
  <si>
    <t>Full-Length; Seat Removed, P-Cage</t>
  </si>
  <si>
    <t>T-FDMAXM1-18F-TR-PP</t>
  </si>
  <si>
    <t>Full-Length; Seat Removed</t>
  </si>
  <si>
    <t>T-FDMAXM1-18F-TR-HT</t>
  </si>
  <si>
    <t>3rd Row Removed; 1/2 Width Driver Side</t>
  </si>
  <si>
    <t>T-FDMAXM1-18F-TR-HD</t>
  </si>
  <si>
    <t>Full-Length; Seat Folded</t>
  </si>
  <si>
    <t>T-FDMAXM1-18F-HT</t>
  </si>
  <si>
    <t>3rd Row Folded / 1/2 Width Passenger Side</t>
  </si>
  <si>
    <t>T-FDMAXM1-18F-HP</t>
  </si>
  <si>
    <t>3rd Row Folded / 1/2 Width Driver Side</t>
  </si>
  <si>
    <t>T-FDMAXM1-18F-HD</t>
  </si>
  <si>
    <t>Expedition Max Emergency Response 6</t>
  </si>
  <si>
    <t>F-FDMAXN5-18N-ER6-TR</t>
  </si>
  <si>
    <t>F-FDMAXN5-18N-ER6</t>
  </si>
  <si>
    <t>Expedition Max Emergency Response4</t>
  </si>
  <si>
    <t>F-FDMAXN4-18N-TR-C1-ER4</t>
  </si>
  <si>
    <t>F-FDMAXN4-18N-TF-C1-ER4</t>
  </si>
  <si>
    <t>Expedition Max Emergency Resp 3</t>
  </si>
  <si>
    <t>F-FDMAXN3-18N-C1-ER3-TR</t>
  </si>
  <si>
    <t>F-FDMAXN3-18N-C1-ER3</t>
  </si>
  <si>
    <t>Expedition EL Emergency Response 2</t>
  </si>
  <si>
    <t>F-FDMAXN3-18N-C1-ER2</t>
  </si>
  <si>
    <t>3rd Row Removed or Never Had 3rd Row</t>
  </si>
  <si>
    <t>Expedition Max Emergency Resp 7</t>
  </si>
  <si>
    <t>F-FDMAXN2-18N-TR-ER7</t>
  </si>
  <si>
    <t>3rd Row Removed or SSV</t>
  </si>
  <si>
    <t>Expedition Max Emergency Resp 5</t>
  </si>
  <si>
    <t>F-FDMAXN2-18N-TR-C4-ER5</t>
  </si>
  <si>
    <t>F-FDMAXN2-18N-ER7</t>
  </si>
  <si>
    <t>Expedition Max Emergency Resp 8</t>
  </si>
  <si>
    <t>F-FDMAXN2-18N-C2-ER8</t>
  </si>
  <si>
    <t>Emergency Response 1</t>
  </si>
  <si>
    <t>F-FDMAXN2-18N-C2-ER1-TR</t>
  </si>
  <si>
    <t>Expedition Max Emergency Resp 1</t>
  </si>
  <si>
    <t>F-FDMAXN2-18N-C2-ER1</t>
  </si>
  <si>
    <t>Expedition Max Drone Responder 4</t>
  </si>
  <si>
    <t>D-FDMAXN3-18N-TR-HT-C1-DR4</t>
  </si>
  <si>
    <t>D-FDMAXN3-18N-HT-C1-DR4</t>
  </si>
  <si>
    <t>Expedition Max  Drone Responder 5</t>
  </si>
  <si>
    <t>D-FDMAXN3-18N-C1-DR5</t>
  </si>
  <si>
    <t>3rd Removed/SSV</t>
  </si>
  <si>
    <t>Expedition Max Drone Responder 7</t>
  </si>
  <si>
    <t>D-FDMAXN2-18N-TR-HT-C1-DR7</t>
  </si>
  <si>
    <t>Expedition Max Drone Responder 6</t>
  </si>
  <si>
    <t>D-FDMAXN2-18N-TR-HT-C1-DR6</t>
  </si>
  <si>
    <t>Expedition Max Drone Responder 9</t>
  </si>
  <si>
    <t>D-FDMAXN2-18N-TR-FM-DR9</t>
  </si>
  <si>
    <t>Expedition Max Drone Responder 10</t>
  </si>
  <si>
    <t>D-FDMAXN2-18N-TR-FM-DR10</t>
  </si>
  <si>
    <t>Expedition Drone Responder</t>
  </si>
  <si>
    <t>D-FDMAXN2-18N-TR-C1-DR1</t>
  </si>
  <si>
    <t>Expedition Max  Drone Responder 10</t>
  </si>
  <si>
    <t>D-FDMAXN1-20N-TR-FM-DR10</t>
  </si>
  <si>
    <t>D-FDMAXN1-18N-TR-FM-DR9</t>
  </si>
  <si>
    <t>D-FDMAXN1-18N-TR-FM-DR10</t>
  </si>
  <si>
    <t>Expedition Max Drone Responder 8</t>
  </si>
  <si>
    <t>D-FDMAXN0-18N-TR-FM-DR8</t>
  </si>
  <si>
    <t>3rd Seat Removed, Heavy Duty Table</t>
  </si>
  <si>
    <t>Expedition Max Chief LX CC</t>
  </si>
  <si>
    <t>C-FDMAXN6-18C-TR-HT</t>
  </si>
  <si>
    <t>C-FDMAXN6-18C-TR</t>
  </si>
  <si>
    <t>C-FDMAXN6-18C</t>
  </si>
  <si>
    <t>New 5 Dwr; 3rd Row Removed; Heavy Duty Table</t>
  </si>
  <si>
    <t>Expedition Max Captain LX CC</t>
  </si>
  <si>
    <t>C-FDMAXN5-18P-TR-HT</t>
  </si>
  <si>
    <t>New 5 Dwr; 3rd Row Folded; Heavy Duty Table</t>
  </si>
  <si>
    <t>C-FDMAXN5-18P-HT</t>
  </si>
  <si>
    <t>New 5 Dwr; 3rd Row Folded</t>
  </si>
  <si>
    <t>C-FDMAXN5-18P</t>
  </si>
  <si>
    <t>3rd Row Removed or PPV, HD Table</t>
  </si>
  <si>
    <t>Expedition Max Field Ranger</t>
  </si>
  <si>
    <t>C-FDMAXN3-18R-TR-HT</t>
  </si>
  <si>
    <t>3rd Row Removed or PPV</t>
  </si>
  <si>
    <t>C-FDMAXN3-18R-TR</t>
  </si>
  <si>
    <t>3rd Row Removed or PPV Cage</t>
  </si>
  <si>
    <t>C-FDMAXN3-18R-PP-TR</t>
  </si>
  <si>
    <t>C-FDMAXN3-18R-HT</t>
  </si>
  <si>
    <t>3rd Row Removed , HD Table</t>
  </si>
  <si>
    <t>Expedition Max Investigator</t>
  </si>
  <si>
    <t>C-FDMAXN3-18I-TR-HT</t>
  </si>
  <si>
    <t>C-FDMAXN3-18I-TR</t>
  </si>
  <si>
    <t>3rd Row Removed , HD Table, Cage</t>
  </si>
  <si>
    <t>C-FDMAXN3-18I-PP-TR-HT</t>
  </si>
  <si>
    <t>3rd Row Removed, Cage</t>
  </si>
  <si>
    <t>C-FDMAXN3-18I-PP-TR</t>
  </si>
  <si>
    <t>C-FDMAXN3-18I-HT</t>
  </si>
  <si>
    <t>C-FDMAXN3-18I</t>
  </si>
  <si>
    <t>3rd Row Removed/SSV, HD Table</t>
  </si>
  <si>
    <t>Expedition Max Special Ops Ctr</t>
  </si>
  <si>
    <t>C-FDMAXN3-18D-TR-HT</t>
  </si>
  <si>
    <t>3rd Row Removed/SSV</t>
  </si>
  <si>
    <t>C-FDMAXN3-18D-TR</t>
  </si>
  <si>
    <t>C-FDMAXN2-18I-TF</t>
  </si>
  <si>
    <t>C-FDMAXN2-18I</t>
  </si>
  <si>
    <t>Expedition Max Base Camp 1</t>
  </si>
  <si>
    <t>B-FDMAXN2-18F-BC1</t>
  </si>
  <si>
    <t>Expedition Max</t>
  </si>
  <si>
    <t>Expedition EL Utility 2 Dwr OS</t>
  </si>
  <si>
    <t>T-FDEXLUO-07S</t>
  </si>
  <si>
    <t>Expedition EL Utility 2 Dwr</t>
  </si>
  <si>
    <t>T-FDEXLU2-07M-TR</t>
  </si>
  <si>
    <t>T-FDEXLU2-07F</t>
  </si>
  <si>
    <t>Mid Size</t>
  </si>
  <si>
    <t>Expedition EL Utl 1 Dwr</t>
  </si>
  <si>
    <t>T-FDEXLU1-07M</t>
  </si>
  <si>
    <t>T-FDEXLU0-07S</t>
  </si>
  <si>
    <t>Expedition EL Std OS Dwr</t>
  </si>
  <si>
    <t>T-FDEXLSO-07M</t>
  </si>
  <si>
    <t>T-FDEXLSO-07F-TR</t>
  </si>
  <si>
    <t>T-FDEXLSO-07F</t>
  </si>
  <si>
    <t>Expedition EL Std 2 Dwr</t>
  </si>
  <si>
    <t>T-FDEXLS2-07S</t>
  </si>
  <si>
    <t>3rd Row Removed, Tbl Ext</t>
  </si>
  <si>
    <t>T-FDEXLS2-07M-TR-PT</t>
  </si>
  <si>
    <t>T-FDEXLS2-07M-TR</t>
  </si>
  <si>
    <t>3rd Row Folded, Tbl Ext</t>
  </si>
  <si>
    <t>T-FDEXLS2-07M-PT</t>
  </si>
  <si>
    <t>T-FDEXLS2-07M</t>
  </si>
  <si>
    <t>3rd Row Seat Removed; P-Cage</t>
  </si>
  <si>
    <t>T-FDEXLS2-07F-TR-PP</t>
  </si>
  <si>
    <t>T-FDEXLS2-07F-TR</t>
  </si>
  <si>
    <t>T-FDEXLS2-07F-PT</t>
  </si>
  <si>
    <t>T-FDEXLS2-07F-PP</t>
  </si>
  <si>
    <t>Heavy Duty Table Ext.</t>
  </si>
  <si>
    <t>T-FDEXLS2-07F-HT</t>
  </si>
  <si>
    <t>T-FDEXLS2-07F</t>
  </si>
  <si>
    <t>Expedition EL Std 1 Dwr</t>
  </si>
  <si>
    <t>T-FDEXLS1-07S-HT</t>
  </si>
  <si>
    <t>T-FDEXLS1-07S</t>
  </si>
  <si>
    <t>T-FDEXLS1-07M</t>
  </si>
  <si>
    <t>Expedition EL Mag Offset Dwrs</t>
  </si>
  <si>
    <t>T-FDEXLMO-07S</t>
  </si>
  <si>
    <t>Expedition EL Mag OS Dwr</t>
  </si>
  <si>
    <t>T-FDEXLMO-07M-TR</t>
  </si>
  <si>
    <t>T-FDEXLMO-07M-PT</t>
  </si>
  <si>
    <t>SSV,  No 3rd Row Seat</t>
  </si>
  <si>
    <t>T-FDEXLMO-07M-PS</t>
  </si>
  <si>
    <t>T-FDEXLMO-07M</t>
  </si>
  <si>
    <t>3rd Row Seat Removes; P-Cage</t>
  </si>
  <si>
    <t>T-FDEXLMO-07F-TR-PP</t>
  </si>
  <si>
    <t>T-FDEXLMO-07F-TR</t>
  </si>
  <si>
    <t>T-FDEXLMO-07F-PT</t>
  </si>
  <si>
    <t>SSV</t>
  </si>
  <si>
    <t>T-FDEXLMO-07F-PS</t>
  </si>
  <si>
    <t>T-FDEXLMO-07F-HT</t>
  </si>
  <si>
    <t>T-FDEXLMO-07F</t>
  </si>
  <si>
    <t>Expedition EL Mag 2 Dwr</t>
  </si>
  <si>
    <t>T-FDEXLM2-07S</t>
  </si>
  <si>
    <t>T-FDEXLM2-07M-TR</t>
  </si>
  <si>
    <t>Prisoner Cage, Fold 3rd Seat</t>
  </si>
  <si>
    <t>T-FDEXLM2-07M-PP</t>
  </si>
  <si>
    <t>T-FDEXLM2-07M</t>
  </si>
  <si>
    <t>T-FDEXLM2-07F-TR-PP</t>
  </si>
  <si>
    <t>3rd Row Seat Rem; Heavy Table</t>
  </si>
  <si>
    <t>T-FDEXLM2-07F-TR-HT</t>
  </si>
  <si>
    <t>T-FDEXLM2-07F-TR</t>
  </si>
  <si>
    <t>Must Fold 3rd Seat, Tble Ext</t>
  </si>
  <si>
    <t>T-FDEXLM2-07F-PT</t>
  </si>
  <si>
    <t>Must Fold 3rd Seat, P-Cage</t>
  </si>
  <si>
    <t>T-FDEXLM2-07F-PP</t>
  </si>
  <si>
    <t>T-FDEXLM2-07F-HT</t>
  </si>
  <si>
    <t>T-FDEXLM2-07F</t>
  </si>
  <si>
    <t>Short Size, Table Ext</t>
  </si>
  <si>
    <t>Expedition EL Mag 1 Dwr</t>
  </si>
  <si>
    <t>T-FDEXLM1-07S-PT</t>
  </si>
  <si>
    <t>T-FDEXLM1-07S-HT</t>
  </si>
  <si>
    <t>T-FDEXLM1-07S</t>
  </si>
  <si>
    <t>Mid Size, Seats Removed</t>
  </si>
  <si>
    <t>T-FDEXLM1-07M-TR</t>
  </si>
  <si>
    <t>T-FDEXLM1-07M-HD</t>
  </si>
  <si>
    <t>T-FDEXLM1-07M</t>
  </si>
  <si>
    <t>Expedition EL Emergency Resp 6</t>
  </si>
  <si>
    <t>F-FDEXLN5-07N-ER6</t>
  </si>
  <si>
    <t>Expedition EL Emergency Resp 4</t>
  </si>
  <si>
    <t>F-FDEXLN4-07N-C1-ER4</t>
  </si>
  <si>
    <t>Expedition EL Emergency Resp 3</t>
  </si>
  <si>
    <t>F-FDEXLN3-07N-C1-ER3</t>
  </si>
  <si>
    <t>Expedition EL Emergency Resp 2</t>
  </si>
  <si>
    <t>F-FDEXLN3-07N-C1-ER2</t>
  </si>
  <si>
    <t>Expedition EL Emergency Resp 7</t>
  </si>
  <si>
    <t>F-FDEXLN2-07N-ER7</t>
  </si>
  <si>
    <t>Expedition EL Emergency Resp 5</t>
  </si>
  <si>
    <t>F-FDEXLN2-07N-C4-ER5</t>
  </si>
  <si>
    <t>Expedition EL Emergency Resp 8</t>
  </si>
  <si>
    <t>F-FDEXLN2-07N-C2-ER8</t>
  </si>
  <si>
    <t>Expedition EL Emergency Resp 1</t>
  </si>
  <si>
    <t>F-FDEXLN2-07N-C2-ER1</t>
  </si>
  <si>
    <t>3rd Row Seat Must Be Folded</t>
  </si>
  <si>
    <t>Expedition EL Tac Ctr</t>
  </si>
  <si>
    <t>C-FDEXLN5-07T</t>
  </si>
  <si>
    <t>New 5 Dwr</t>
  </si>
  <si>
    <t>Expedition EL Captain LX CC</t>
  </si>
  <si>
    <t>C-FDEXLN5-07P</t>
  </si>
  <si>
    <t>Expedition EL Chief LX CC</t>
  </si>
  <si>
    <t>C-FDEXLN5-07C-PT</t>
  </si>
  <si>
    <t>C-FDEXLN5-07C</t>
  </si>
  <si>
    <t>Expedition EL Captain CC</t>
  </si>
  <si>
    <t>C-FDEXLN4-07P</t>
  </si>
  <si>
    <t>Expedition EL Surveyor</t>
  </si>
  <si>
    <t>C-FDEXLN4-07F-VP</t>
  </si>
  <si>
    <t>Expedition EL Field Ranger</t>
  </si>
  <si>
    <t>C-FDEXLN3-07R-TR</t>
  </si>
  <si>
    <t>C-FDEXLN3-07R</t>
  </si>
  <si>
    <t>Expedition EL Investigator</t>
  </si>
  <si>
    <t>C-FDEXLN3-07I-PT</t>
  </si>
  <si>
    <t>SSV, Pull Out Table</t>
  </si>
  <si>
    <t>C-FDEXLN3-07I-PS-PT</t>
  </si>
  <si>
    <t>C-FDEXLN3-07I</t>
  </si>
  <si>
    <t>Table Ext; CargoGlide Shrt</t>
  </si>
  <si>
    <t>Expedition EL Special Ops Ctr</t>
  </si>
  <si>
    <t>C-FDEXLN3-07D-PT-BS</t>
  </si>
  <si>
    <t>C-FDEXLN3-07D-PT</t>
  </si>
  <si>
    <t>C-FDEXLN3-07D-PS</t>
  </si>
  <si>
    <t>C-FDEXLN3-07D-HT</t>
  </si>
  <si>
    <t>C-FDEXLN3-07D</t>
  </si>
  <si>
    <t>F-Size, Mag 2 Dwr Top</t>
  </si>
  <si>
    <t>C-FDEXLM2-07F-VP</t>
  </si>
  <si>
    <t>Expedition EL</t>
  </si>
  <si>
    <t>3rd Row Folded, HD Table</t>
  </si>
  <si>
    <t>Expedition Std 1 Dwr</t>
  </si>
  <si>
    <t>T-FDEXPS1-18N-HT</t>
  </si>
  <si>
    <t>Expedition Drone Responder 9</t>
  </si>
  <si>
    <t>D-FDEXPN2-18N-TR-FM-DR9</t>
  </si>
  <si>
    <t>3rd Row Removed, Table Extension</t>
  </si>
  <si>
    <t>Expedition Utility OS Dwr</t>
  </si>
  <si>
    <t>T-FDEXPUO-18N-TR-PT</t>
  </si>
  <si>
    <t>3rd Row Removed; Prisoner Cage; Heavy Duty Table; Top Tray</t>
  </si>
  <si>
    <t>Expedition Utility Offset Dwr</t>
  </si>
  <si>
    <t>T-FDEXPUO-18N-TR-PP-HT-TT</t>
  </si>
  <si>
    <t>3rd Row Seat Removed or SSV; Prisoner Cage</t>
  </si>
  <si>
    <t>T-FDEXPUO-18N-TR-PP</t>
  </si>
  <si>
    <t>T-FDEXPUO-18N-TR-HT</t>
  </si>
  <si>
    <t>T-FDEXPUO-18N-TR</t>
  </si>
  <si>
    <t>T-FDEXPUO-18N-HT</t>
  </si>
  <si>
    <t>T-FDEXPUO-18N</t>
  </si>
  <si>
    <t>Expedition Utility 2 Dwr Offset</t>
  </si>
  <si>
    <t>T-FDEXPUO-03N-TR-PP</t>
  </si>
  <si>
    <t>T-FDEXPUO-03N-TR-HT</t>
  </si>
  <si>
    <t>T-FDEXPUO-03N-PP</t>
  </si>
  <si>
    <t>Expedition Utility 2 Dwr</t>
  </si>
  <si>
    <t>T-FDEXPU2-18N-TR-TT</t>
  </si>
  <si>
    <t>T-FDEXPU2-18N-TR-PP</t>
  </si>
  <si>
    <t>3rd Row  Removed or SSV, Heavy Duty Table</t>
  </si>
  <si>
    <t>T-FDEXPU2-18N-TR-HT</t>
  </si>
  <si>
    <t>T-FDEXPU2-18N-TR</t>
  </si>
  <si>
    <t>T-FDEXPU2-18N</t>
  </si>
  <si>
    <t>T-FDEXPU2-03N-TR</t>
  </si>
  <si>
    <t>T-FDEXPU2-03N</t>
  </si>
  <si>
    <t>S-Size, Behind 3rd Row Seats</t>
  </si>
  <si>
    <t>Expedition Utility 1 Dwr</t>
  </si>
  <si>
    <t>T-FDEXPU1-18S</t>
  </si>
  <si>
    <t>Expedition Utility 1 Dwr Cage</t>
  </si>
  <si>
    <t>T-FDEXPU1-18N-TR-PP</t>
  </si>
  <si>
    <t>Expedition Utility 1 Dwr, HD Table</t>
  </si>
  <si>
    <t>T-FDEXPU1-18N-TR-HT</t>
  </si>
  <si>
    <t>T-FDEXPU1-18N-TR</t>
  </si>
  <si>
    <t>3rd Removed, Elevated</t>
  </si>
  <si>
    <t>T-FDEXPU1-18N-HG</t>
  </si>
  <si>
    <t>Fold 3rd Seat,</t>
  </si>
  <si>
    <t>T-FDEXPU1-18N</t>
  </si>
  <si>
    <t>T-FDEXPU1-03N-TR</t>
  </si>
  <si>
    <t>Fold 3rd Seat, or 07-17</t>
  </si>
  <si>
    <t>T-FDEXPU1-03N</t>
  </si>
  <si>
    <t>Expedition Std T Dwr</t>
  </si>
  <si>
    <t>T-FDEXPST-96N</t>
  </si>
  <si>
    <t>Expedition Std OS Dwr</t>
  </si>
  <si>
    <t>T-FDEXPSO-96N-PT</t>
  </si>
  <si>
    <t>T-FDEXPSO-96N-PA</t>
  </si>
  <si>
    <t>T-FDEXPSO-96N</t>
  </si>
  <si>
    <t>Expedition Std Offset</t>
  </si>
  <si>
    <t>T-FDEXPSO-18N-TR-HT</t>
  </si>
  <si>
    <t>T-FDEXPSO-18N-TR</t>
  </si>
  <si>
    <t>SSV; Prisoner Cage: Heavy Duty Table</t>
  </si>
  <si>
    <t>T-FDEXPSO-18N-PS-PP-HT</t>
  </si>
  <si>
    <t>3rd Row Seat Removed or SSV, P-Cage</t>
  </si>
  <si>
    <t>T-FDEXPSO-18N-PP-TR</t>
  </si>
  <si>
    <t>T-FDEXPSO-18N</t>
  </si>
  <si>
    <t>3rd Row Seat Rem, Table</t>
  </si>
  <si>
    <t>T-FDEXPSO-03N-TR-PT</t>
  </si>
  <si>
    <t>3rd Row Seat Removed, P-Cage</t>
  </si>
  <si>
    <t>T-FDEXPSO-03N-TR-PP</t>
  </si>
  <si>
    <t>T-FDEXPSO-03N-TR</t>
  </si>
  <si>
    <t>T-FDEXPSO-03N-PT</t>
  </si>
  <si>
    <t>SSV, Tbl Ext</t>
  </si>
  <si>
    <t>T-FDEXPSO-03N-PS-PT</t>
  </si>
  <si>
    <t>P-Cage, SSV</t>
  </si>
  <si>
    <t>T-FDEXPSO-03N-PS-PP</t>
  </si>
  <si>
    <t>SSV,  Never Had 3rd Row Seat</t>
  </si>
  <si>
    <t>T-FDEXPSO-03N-PS</t>
  </si>
  <si>
    <t>3rd Seat Folded, P-Cage, Table</t>
  </si>
  <si>
    <t>T-FDEXPSO-03N-PP-PT</t>
  </si>
  <si>
    <t>3rd Row Seat Folded, P-Cage</t>
  </si>
  <si>
    <t>T-FDEXPSO-03N-PP</t>
  </si>
  <si>
    <t>T-FDEXPSO-03N-HT</t>
  </si>
  <si>
    <t>Fold 3rd Seat, or 07+</t>
  </si>
  <si>
    <t>T-FDEXPSO-03N</t>
  </si>
  <si>
    <t>Expedition Std L Dwr</t>
  </si>
  <si>
    <t>T-FDEXPSL-96N</t>
  </si>
  <si>
    <t>Expedition Std 2 Dwr</t>
  </si>
  <si>
    <t>T-FDEXPS2-96N-PT</t>
  </si>
  <si>
    <t>T-FDEXPS2-96N-PP</t>
  </si>
  <si>
    <t>Rear Air, Tbl Ext</t>
  </si>
  <si>
    <t>T-FDEXPS2-96N-PA-PT</t>
  </si>
  <si>
    <t>T-FDEXPS2-96N-PA</t>
  </si>
  <si>
    <t>T-FDEXPS2-96N</t>
  </si>
  <si>
    <t>Expedition Std 2 Dwr Top Tray</t>
  </si>
  <si>
    <t>T-FDEXPS2-18N-TT</t>
  </si>
  <si>
    <t>T-FDEXPS2-18N-TR-PT</t>
  </si>
  <si>
    <t>T-FDEXPS2-18N-TR-HT</t>
  </si>
  <si>
    <t>T-FDEXPS2-18N-TR</t>
  </si>
  <si>
    <t>T-FDEXPS2-18N-PP-TR</t>
  </si>
  <si>
    <t>T-FDEXPS2-18N</t>
  </si>
  <si>
    <t>Seat Removed, P-Cage</t>
  </si>
  <si>
    <t>T-FDEXPS2-03N-TR-PP</t>
  </si>
  <si>
    <t>T-FDEXPS2-03N-TR-HT</t>
  </si>
  <si>
    <t>T-FDEXPS2-03N-TR</t>
  </si>
  <si>
    <t>T-FDEXPS2-03N-PT</t>
  </si>
  <si>
    <t>T-FDEXPS2-03N-PS-PT</t>
  </si>
  <si>
    <t>SSV, P-Cage</t>
  </si>
  <si>
    <t>T-FDEXPS2-03N-PS-PP</t>
  </si>
  <si>
    <t>SSV, Never Had 3rd Row Seat</t>
  </si>
  <si>
    <t>T-FDEXPS2-03N-PS</t>
  </si>
  <si>
    <t>P-Cage, Tbl Ext</t>
  </si>
  <si>
    <t>T-FDEXPS2-03N-PP-PT</t>
  </si>
  <si>
    <t>T-FDEXPS2-03N-PP</t>
  </si>
  <si>
    <t>T-FDEXPS2-03N-HT</t>
  </si>
  <si>
    <t>Fld 3rd,07+, Mount on Bedslide</t>
  </si>
  <si>
    <t>T-FDEXPS2-03N-BS</t>
  </si>
  <si>
    <t>T-FDEXPS2-03N</t>
  </si>
  <si>
    <t>T-FDEXPS1-96N-PA</t>
  </si>
  <si>
    <t>T-FDEXPS1-96N</t>
  </si>
  <si>
    <t>T-FDEXPS1-18S</t>
  </si>
  <si>
    <t>Expedition Std 1 Dwr, HD Table</t>
  </si>
  <si>
    <t>T-FDEXPS1-18N-TR-HT</t>
  </si>
  <si>
    <t>T-FDEXPS1-18N-TR</t>
  </si>
  <si>
    <t>3rd Removed; Prisoner Cage; Magnetic Table</t>
  </si>
  <si>
    <t>T-FDEXPS1-18N-PP-TR-HM</t>
  </si>
  <si>
    <t>T-FDEXPS1-18N-PP-TR</t>
  </si>
  <si>
    <t>3rd Row Removed or SSV, Elevated</t>
  </si>
  <si>
    <t>T-FDEXPS1-18N-HG</t>
  </si>
  <si>
    <t>T-FDEXPS1-18N</t>
  </si>
  <si>
    <t>3rd Seat Removed, P-Cage</t>
  </si>
  <si>
    <t>T-FDEXPS1-03N-TR-PP</t>
  </si>
  <si>
    <t>T-FDEXPS1-03N-TR</t>
  </si>
  <si>
    <t>Fold 3rd Seat or 07+ Tbl Ext</t>
  </si>
  <si>
    <t>T-FDEXPS1-03N-PT</t>
  </si>
  <si>
    <t>SSV, Never Had 3rd Row, Tbl</t>
  </si>
  <si>
    <t>T-FDEXPS1-03N-PS-PT</t>
  </si>
  <si>
    <t>T-FDEXPS1-03N-PS-PP</t>
  </si>
  <si>
    <t>T-FDEXPS1-03N-PS</t>
  </si>
  <si>
    <t>T-FDEXPS1-03N-PP</t>
  </si>
  <si>
    <t>T-FDEXPS1-03N-HT</t>
  </si>
  <si>
    <t>Expedition Std 1 Dwr 1/2 Width Passenger</t>
  </si>
  <si>
    <t>T-FDEXPS1-03N-HP</t>
  </si>
  <si>
    <t>T-FDEXPS1-03N-BS</t>
  </si>
  <si>
    <t>T-FDEXPS1-03N</t>
  </si>
  <si>
    <t>Expedition Mag T Dwr</t>
  </si>
  <si>
    <t>T-FDEXPMT-96N</t>
  </si>
  <si>
    <t>Expedition Mag OS Dwr</t>
  </si>
  <si>
    <t>T-FDEXPMO-96N-PT</t>
  </si>
  <si>
    <t>T-FDEXPMO-96N-PA</t>
  </si>
  <si>
    <t>T-FDEXPMO-96N</t>
  </si>
  <si>
    <t>3rd Row Removed; Prisoner Cage: Heavy Duty Table; Top Tray</t>
  </si>
  <si>
    <t>Expedition Mag Offset Dwr</t>
  </si>
  <si>
    <t>T-FDEXPMO-18N-TR-PP-HT-TT</t>
  </si>
  <si>
    <t>3rd Row Removed; Prisoner Cage: Heavy Duty Table</t>
  </si>
  <si>
    <t>T-FDEXPMO-18N-TR-PP-HT</t>
  </si>
  <si>
    <t>3rd Row Seat Removed or SSV; K9</t>
  </si>
  <si>
    <t>T-FDEXPMO-18N-TR-K9</t>
  </si>
  <si>
    <t>3rd Seat Removed; HD Table</t>
  </si>
  <si>
    <t>T-FDEXPMO-18N-TR-HT</t>
  </si>
  <si>
    <t>T-FDEXPMO-18N-TR</t>
  </si>
  <si>
    <t>3rd Row Seat Removed or SSV, P-Cage, Radio Drawer</t>
  </si>
  <si>
    <t>T-FDEXPMO-18N-PP-TR-RD</t>
  </si>
  <si>
    <t>T-FDEXPMO-18N-PP-TR</t>
  </si>
  <si>
    <t>T-FDEXPMO-18N-HT</t>
  </si>
  <si>
    <t>T-FDEXPMO-18N</t>
  </si>
  <si>
    <t>T-FDEXPMO-03N-TR-PP</t>
  </si>
  <si>
    <t>T-FDEXPMO-03N-TR</t>
  </si>
  <si>
    <t>T-FDEXPMO-03N-PT</t>
  </si>
  <si>
    <t>T-FDEXPMO-03N-PS-PT</t>
  </si>
  <si>
    <t>T-FDEXPMO-03N-PS-PP</t>
  </si>
  <si>
    <t>T-FDEXPMO-03N-PS</t>
  </si>
  <si>
    <t>Prisoner Cage, Tbl Ext</t>
  </si>
  <si>
    <t>T-FDEXPMO-03N-PP-PT</t>
  </si>
  <si>
    <t>Fold 3rd Seat/07+; Heavy Table</t>
  </si>
  <si>
    <t>T-FDEXPMO-03N-PP-HT</t>
  </si>
  <si>
    <t>T-FDEXPMO-03N-PP</t>
  </si>
  <si>
    <t>T-FDEXPMO-03N</t>
  </si>
  <si>
    <t>Expedition Mag L Dwr</t>
  </si>
  <si>
    <t>T-FDEXPML-96N</t>
  </si>
  <si>
    <t>P-Cage, Rear Air</t>
  </si>
  <si>
    <t>Expedition Mag 2 Dwr</t>
  </si>
  <si>
    <t>T-FDEXPM2-96N-PP-PA</t>
  </si>
  <si>
    <t>T-FDEXPM2-96N-PP</t>
  </si>
  <si>
    <t>T-FDEXPM2-96N-PA</t>
  </si>
  <si>
    <t>T-FDEXPM2-96N</t>
  </si>
  <si>
    <t>T-FDEXPM2-18S</t>
  </si>
  <si>
    <t>3rd Row Folded; Top Tray</t>
  </si>
  <si>
    <t>T-FDEXPM2-18N-TT</t>
  </si>
  <si>
    <t>3rd Row Removed; Top Tray</t>
  </si>
  <si>
    <t>T-FDEXPM2-18N-TR-TT</t>
  </si>
  <si>
    <t>3rd Row Removed or SSV, Table Extension</t>
  </si>
  <si>
    <t>T-FDEXPM2-18N-TR-PT</t>
  </si>
  <si>
    <t>3rd Row Removed; P-Cage; Heavy Duty Table</t>
  </si>
  <si>
    <t>T-FDEXPM2-18N-TR-PP-HT</t>
  </si>
  <si>
    <t>3rd Row Removed; K9</t>
  </si>
  <si>
    <t>T-FDEXPM2-18N-TR-K9</t>
  </si>
  <si>
    <t>3rd Row Removed or SSV; Heavy Duty Table</t>
  </si>
  <si>
    <t>T-FDEXPM2-18N-TR-HT</t>
  </si>
  <si>
    <t>3rd Row Removed or SSV; Heavy Map Board Table</t>
  </si>
  <si>
    <t>T-FDEXPM2-18N-TR-HM</t>
  </si>
  <si>
    <t>T-FDEXPM2-18N-TR</t>
  </si>
  <si>
    <t>3rd Row Removed or SSV, P-Cage</t>
  </si>
  <si>
    <t>Expedition Mag 2 Dwr Top Tray</t>
  </si>
  <si>
    <t>T-FDEXPM2-18N-PP-TR-TT</t>
  </si>
  <si>
    <t>3rd Row Removed or SSV, P-Cage, Radio Tray</t>
  </si>
  <si>
    <t>T-FDEXPM2-18N-PP-TR-RD</t>
  </si>
  <si>
    <t>T-FDEXPM2-18N-PP-TR</t>
  </si>
  <si>
    <t>3rd Folded; Heavy Duty Table</t>
  </si>
  <si>
    <t>T-FDEXPM2-18N-HT</t>
  </si>
  <si>
    <t>T-FDEXPM2-18N</t>
  </si>
  <si>
    <t>T-FDEXPM2-03N-TR-PT</t>
  </si>
  <si>
    <t>Expedition Mag 2 Dwr, Tbl Ex</t>
  </si>
  <si>
    <t>T-FDEXPM2-03N-TR-PP-PT</t>
  </si>
  <si>
    <t>T-FDEXPM2-03N-TR-PP</t>
  </si>
  <si>
    <t>3rd Row Rem, Hvy Dty Tbl Ext</t>
  </si>
  <si>
    <t>T-FDEXPM2-03N-TR-HT</t>
  </si>
  <si>
    <t>T-FDEXPM2-03N-TR</t>
  </si>
  <si>
    <t>T-FDEXPM2-03N-PT</t>
  </si>
  <si>
    <t>T-FDEXPM2-03N-PS-PT</t>
  </si>
  <si>
    <t>SSV, P-Cage, Tbl Ext</t>
  </si>
  <si>
    <t>T-FDEXPM2-03N-PS-PP-PT</t>
  </si>
  <si>
    <t>T-FDEXPM2-03N-PS-PP</t>
  </si>
  <si>
    <t>T-FDEXPM2-03N-PS</t>
  </si>
  <si>
    <t>T-FDEXPM2-03N-PP</t>
  </si>
  <si>
    <t>T-FDEXPM2-03N-HT</t>
  </si>
  <si>
    <t>T-FDEXPM2-03N-BS</t>
  </si>
  <si>
    <t>T-FDEXPM2-03N</t>
  </si>
  <si>
    <t>Expedition Mag 1 Dwr</t>
  </si>
  <si>
    <t>T-FDEXPM1-96N-PT</t>
  </si>
  <si>
    <t>T-FDEXPM1-96N-PP</t>
  </si>
  <si>
    <t>T-FDEXPM1-96N-PA</t>
  </si>
  <si>
    <t>T-FDEXPM1-96N</t>
  </si>
  <si>
    <t>T-FDEXPM1-18S</t>
  </si>
  <si>
    <t>T-FDEXPM1-18N-TR-TT</t>
  </si>
  <si>
    <t>T-FDEXPM1-18N-TR-PP-HT</t>
  </si>
  <si>
    <t>T-FDEXPM1-18N-TR-K9</t>
  </si>
  <si>
    <t>Expedition Mag 1 Dwr HD Table</t>
  </si>
  <si>
    <t>T-FDEXPM1-18N-TR-HT</t>
  </si>
  <si>
    <t>3rd Row Removed or SSV; Drivers Side</t>
  </si>
  <si>
    <t>Expedition Mag 1 Dwr Half Width</t>
  </si>
  <si>
    <t>T-FDEXPM1-18N-TR-HD</t>
  </si>
  <si>
    <t>T-FDEXPM1-18N-TR</t>
  </si>
  <si>
    <t>Tbl Ext, 3rd Row Folded</t>
  </si>
  <si>
    <t>T-FDEXPM1-18N-PT</t>
  </si>
  <si>
    <t>3rd Row Folded, P-Cage, Top Tray</t>
  </si>
  <si>
    <t>T-FDEXPM1-18N-PP-TT</t>
  </si>
  <si>
    <t>3rd Row Removed or SSV, P-Cage, Radio Drawer</t>
  </si>
  <si>
    <t>T-FDEXPM1-18N-PP-TR-RD</t>
  </si>
  <si>
    <t>T-FDEXPM1-18N-PP-TR</t>
  </si>
  <si>
    <t>3rd Row Folded, P-Cage</t>
  </si>
  <si>
    <t>T-FDEXPM1-18N-PP</t>
  </si>
  <si>
    <t>T-FDEXPM1-18N-HT</t>
  </si>
  <si>
    <t>Elevated Version; No 3rd Row</t>
  </si>
  <si>
    <t>Expedition Magnum 1 Drawer</t>
  </si>
  <si>
    <t>T-FDEXPM1-18N-HG</t>
  </si>
  <si>
    <t>3rd Row Folded; Drivers Side</t>
  </si>
  <si>
    <t>T-FDEXPM1-18N-HD</t>
  </si>
  <si>
    <t>T-FDEXPM1-18N</t>
  </si>
  <si>
    <t>T-FDEXPM1-03N-TR</t>
  </si>
  <si>
    <t>T-FDEXPM1-03N-PT</t>
  </si>
  <si>
    <t>T-FDEXPM1-03N-PS-PT</t>
  </si>
  <si>
    <t>T-FDEXPM1-03N-PS-PP</t>
  </si>
  <si>
    <t>T-FDEXPM1-03N-PS</t>
  </si>
  <si>
    <t>P-Cage 3rd Row Removed</t>
  </si>
  <si>
    <t>T-FDEXPM1-03N-PP-TR</t>
  </si>
  <si>
    <t>3rd Seat Fld, P-Cage, Tbl Ext</t>
  </si>
  <si>
    <t>T-FDEXPM1-03N-PP-PT</t>
  </si>
  <si>
    <t>3rd Seat Folded, P-Cage</t>
  </si>
  <si>
    <t>T-FDEXPM1-03N-PP</t>
  </si>
  <si>
    <t>T-FDEXPM1-03N-HT-TR</t>
  </si>
  <si>
    <t>T-FDEXPM1-03N-HT</t>
  </si>
  <si>
    <t>Half Width Passenger Side</t>
  </si>
  <si>
    <t>T-FDEXPM1-03N-HP</t>
  </si>
  <si>
    <t>T-FDEXPM1-03N-HD</t>
  </si>
  <si>
    <t>Fld 3rd, 07+,Mount on Bedslide</t>
  </si>
  <si>
    <t>T-FDEXPM1-03N-BS</t>
  </si>
  <si>
    <t>T-FDEXPM1-03N</t>
  </si>
  <si>
    <t>Expedition Ext 1 Dwr</t>
  </si>
  <si>
    <t>T-FDEXPE1-18N</t>
  </si>
  <si>
    <t>Expedition Emergency Response 6</t>
  </si>
  <si>
    <t>F-FDEXPN5-18N-ER6-TR</t>
  </si>
  <si>
    <t>Expedition Emergency Response6</t>
  </si>
  <si>
    <t>F-FDEXPN5-18N-ER6</t>
  </si>
  <si>
    <t>F-FDEXPN5-03N-ER6</t>
  </si>
  <si>
    <t>Expedition Emergency Response4</t>
  </si>
  <si>
    <t>F-FDEXPN4-18N-TR-C1-ER4</t>
  </si>
  <si>
    <t>F-FDEXPN4-18N-C1-ER4</t>
  </si>
  <si>
    <t>F-FDEXPN4-03N-C1-ER4</t>
  </si>
  <si>
    <t>Expedition Emergency Response3</t>
  </si>
  <si>
    <t>F-FDEXPN3-18N-TR-C1-ER3</t>
  </si>
  <si>
    <t>Expedition Emergency Response2</t>
  </si>
  <si>
    <t>F-FDEXPN3-18N-TR-C1-ER2</t>
  </si>
  <si>
    <t>F-FDEXPN3-18N-C1-ER3</t>
  </si>
  <si>
    <t>F-FDEXPN3-18N-C1-ER2</t>
  </si>
  <si>
    <t>F-FDEXPN3-03N-TR-C1-ER2</t>
  </si>
  <si>
    <t>F-FDEXPN3-03N-C1-ER3</t>
  </si>
  <si>
    <t>F-FDEXPN3-03N-C1-ER2</t>
  </si>
  <si>
    <t>Expedition Emergency Response 5</t>
  </si>
  <si>
    <t>F-FDEXPN2-18N-TR-C4-ER5</t>
  </si>
  <si>
    <t>Expedition Emergency Response1</t>
  </si>
  <si>
    <t>F-FDEXPN2-18N-TR-C2-ER1</t>
  </si>
  <si>
    <t>Expedition Emergency Response8</t>
  </si>
  <si>
    <t>F-FDEXPN2-18N-C2-ER8</t>
  </si>
  <si>
    <t>F-FDEXPN2-18N-C2-ER1</t>
  </si>
  <si>
    <t>F-FDEXPN2-03N-TR-C2-ER</t>
  </si>
  <si>
    <t>Expedition Emergency Response7</t>
  </si>
  <si>
    <t>F-FDEXPN2-03N-ER7</t>
  </si>
  <si>
    <t>Expedition Emergency Response5</t>
  </si>
  <si>
    <t>F-FDEXPN2-03N-C4-ER5</t>
  </si>
  <si>
    <t>F-FDEXPN2-03N-C2-PT-ER1</t>
  </si>
  <si>
    <t>F-FDEXPN2-03N-C2-ER8</t>
  </si>
  <si>
    <t>F-FDEXPN2-03N-C2-ER1</t>
  </si>
  <si>
    <t>Expedition Commander 1</t>
  </si>
  <si>
    <t>F-FDEXPN2-03C-01-C3-PT</t>
  </si>
  <si>
    <t>F-FDEXPN2-03C-01-C3</t>
  </si>
  <si>
    <t>Expedition Drone Responder 7</t>
  </si>
  <si>
    <t>D-FDEXPN3-92N-TR-HT-C1-DR7</t>
  </si>
  <si>
    <t>Expedition Drone Responder 4</t>
  </si>
  <si>
    <t>D-FDEXPN3-18N-TR-PP-HT-C1-DR4</t>
  </si>
  <si>
    <t>Expedition Drone Responder 5</t>
  </si>
  <si>
    <t>D-FDEXPN3-18N-TR-C1-DR5</t>
  </si>
  <si>
    <t>EWxpedition Drone Responder 5</t>
  </si>
  <si>
    <t>D-FDEXPN3-18N-C1-DR5</t>
  </si>
  <si>
    <t>D-FDEXPN2-18N-TR-HT-C1-DR7</t>
  </si>
  <si>
    <t>Expedition Drone Responder 6</t>
  </si>
  <si>
    <t>D-FDEXPN2-18N-TR-HT-C1-DR6</t>
  </si>
  <si>
    <t>D-FDEXPN2-18N-TR-HT-C1-DR1</t>
  </si>
  <si>
    <t>3rd Removed, No HD Table</t>
  </si>
  <si>
    <t>D-FDEXPN2-18N-TR-C1-DR1</t>
  </si>
  <si>
    <t>D-FDEXPN2-03N-TR-HT-C1-DR7</t>
  </si>
  <si>
    <t>D-FDEXPN2-03N-TR-HT-C1-DR6</t>
  </si>
  <si>
    <t>3rd Removed, P Cage</t>
  </si>
  <si>
    <t>Expedition Drone Responder 10</t>
  </si>
  <si>
    <t>D-FDEXPN1-18N-TR-PP-FM-DR10</t>
  </si>
  <si>
    <t>D-FDEXPN1-18N-TR-HT-C1-DR7</t>
  </si>
  <si>
    <t>D-FDEXPN1-18N-TR-FM-DR9</t>
  </si>
  <si>
    <t>D-FDEXPN1-18N-TR-FM-DR10</t>
  </si>
  <si>
    <t>D-FDEXPN1-03N-TR-FM-DR10</t>
  </si>
  <si>
    <t>Expedition Drone Responder 8</t>
  </si>
  <si>
    <t>D-FDEXPN0-18N-TR-FM-DR8</t>
  </si>
  <si>
    <t>D-FDEXPN0-18N-TF-FM-DR8</t>
  </si>
  <si>
    <t>Expedition Chief LX CC</t>
  </si>
  <si>
    <t>C-FDEXPN6-96C</t>
  </si>
  <si>
    <t>Expedition Tac Ctr</t>
  </si>
  <si>
    <t>C-FDEXPN6-95T</t>
  </si>
  <si>
    <t>C-FDEXPN6-95C</t>
  </si>
  <si>
    <t>3rd Row Removed or SSV;Table Extension</t>
  </si>
  <si>
    <t>C-FDEXPN6-18C-TR-PT</t>
  </si>
  <si>
    <t>3rd Row Removed or SSV; Heavy Duty Table Extension</t>
  </si>
  <si>
    <t>C-FDEXPN6-18C-TR-HT</t>
  </si>
  <si>
    <t>C-FDEXPN6-18C-TR</t>
  </si>
  <si>
    <t>C-FDEXPN6-18C</t>
  </si>
  <si>
    <t>6 Dwr, Op Short</t>
  </si>
  <si>
    <t>Expedition Op Ctr</t>
  </si>
  <si>
    <t>C-FDEXPN6-03E</t>
  </si>
  <si>
    <t>C-FDEXPN6-03C-TR</t>
  </si>
  <si>
    <t>C-FDEXPN6-03C-PT</t>
  </si>
  <si>
    <t>C-FDEXPN6-03C-PS-PT</t>
  </si>
  <si>
    <t>C-FDEXPN6-03C-PS</t>
  </si>
  <si>
    <t>C-FDEXPN6-03C</t>
  </si>
  <si>
    <t>Expedition Captain LX</t>
  </si>
  <si>
    <t>C-FDEXPN5-96P</t>
  </si>
  <si>
    <t>C-FDEXPN5-96C</t>
  </si>
  <si>
    <t>C-FDEXPN5-95C</t>
  </si>
  <si>
    <t>C-FDEXPN5-18T-TR</t>
  </si>
  <si>
    <t>C-FDEXPN5-18T</t>
  </si>
  <si>
    <t>Expedition Captain LX CC</t>
  </si>
  <si>
    <t>C-FDEXPN5-18P-TR-HT</t>
  </si>
  <si>
    <t>C-FDEXPN5-18P-TR</t>
  </si>
  <si>
    <t>C-FDEXPN5-18P</t>
  </si>
  <si>
    <t>C-FDEXPN5-03T-TR</t>
  </si>
  <si>
    <t>SSV, Never Had 3rd Row Seats</t>
  </si>
  <si>
    <t>C-FDEXPN5-03T-PS</t>
  </si>
  <si>
    <t>C-FDEXPN5-03T</t>
  </si>
  <si>
    <t>New 5 Dwr, Seat Removed</t>
  </si>
  <si>
    <t>C-FDEXPN5-03P-TR</t>
  </si>
  <si>
    <t>New 5 Dwr; Table Ext; TTP</t>
  </si>
  <si>
    <t>Expedition Captain CC</t>
  </si>
  <si>
    <t>C-FDEXPN5-03P-PT-T01</t>
  </si>
  <si>
    <t>New 5 Dwr; Table Ext</t>
  </si>
  <si>
    <t>C-FDEXPN5-03P-PT</t>
  </si>
  <si>
    <t>SSV, New 5 Dwr, Tbl Ext</t>
  </si>
  <si>
    <t>C-FDEXPN5-03P-PS-PT</t>
  </si>
  <si>
    <t>SSV, New 5 Dwr</t>
  </si>
  <si>
    <t>C-FDEXPN5-03P-PS</t>
  </si>
  <si>
    <t>C-FDEXPN5-03P</t>
  </si>
  <si>
    <t>C-FDEXPN5-03C-TR</t>
  </si>
  <si>
    <t>C-FDEXPN5-03C-PT</t>
  </si>
  <si>
    <t>C-FDEXPN5-03C-PS-PT</t>
  </si>
  <si>
    <t>C-FDEXPN5-03C-PS</t>
  </si>
  <si>
    <t>C-FDEXPN5-03C</t>
  </si>
  <si>
    <t>C-FDEXPN4-96P</t>
  </si>
  <si>
    <t>C-FDEXPN4-03P-PS</t>
  </si>
  <si>
    <t>C-FDEXPN4-03P</t>
  </si>
  <si>
    <t>Expedition Investigator</t>
  </si>
  <si>
    <t>C-FDEXPN3-96I</t>
  </si>
  <si>
    <t>Expedition Special Ops Ctr</t>
  </si>
  <si>
    <t>C-FDEXPN3-96D-PS</t>
  </si>
  <si>
    <t>C-FDEXPN3-96D</t>
  </si>
  <si>
    <t>3rd Row Seat Removed; Prisoner Cage, Heavy Duty Table</t>
  </si>
  <si>
    <t>Expedition Field Ranger</t>
  </si>
  <si>
    <t>C-FDEXPN3-18R-TR-PP-HT</t>
  </si>
  <si>
    <t>3rd Row Seat Removed; Prisoner Cage</t>
  </si>
  <si>
    <t>C-FDEXPN3-18R-TR-PP</t>
  </si>
  <si>
    <t>3rd Row Seat Removed; K9</t>
  </si>
  <si>
    <t>C-FDEXPN3-18R-TR-K9</t>
  </si>
  <si>
    <t>No 3rd; Heavy Duty Table</t>
  </si>
  <si>
    <t>C-FDEXPN3-18R-TR-HT</t>
  </si>
  <si>
    <t>C-FDEXPN3-18R-TR</t>
  </si>
  <si>
    <t>C-FDEXPN3-18R-TF-HT</t>
  </si>
  <si>
    <t>C-FDEXPN3-18R</t>
  </si>
  <si>
    <t>3rd Row Removed or SSV, Top Tray</t>
  </si>
  <si>
    <t>C-FDEXPN3-18I-TR-TT</t>
  </si>
  <si>
    <t>No 3rd Row ; HD Table, P-Cage</t>
  </si>
  <si>
    <t>C-FDEXPN3-18I-TR-PP-HT</t>
  </si>
  <si>
    <t>3rd Row Removed or SSV; P-Cage</t>
  </si>
  <si>
    <t>C-FDEXPN3-18I-TR-PP</t>
  </si>
  <si>
    <t>3rd Row Removed or SSV; K9</t>
  </si>
  <si>
    <t>C-FDEXPN3-18I-TR-K9</t>
  </si>
  <si>
    <t>C-FDEXPN3-18I-TR-HT</t>
  </si>
  <si>
    <t>C-FDEXPN3-18I-TR</t>
  </si>
  <si>
    <t>Must Fold 3rd Seat; Table Ext.</t>
  </si>
  <si>
    <t>C-FDEXPN3-18I-PT</t>
  </si>
  <si>
    <t>3rd Row Rolded, HD Table</t>
  </si>
  <si>
    <t>C-FDEXPN3-18I-HT</t>
  </si>
  <si>
    <t>C-FDEXPN3-18I</t>
  </si>
  <si>
    <t>C-FDEXPN3-18D-TR-PP</t>
  </si>
  <si>
    <t>3rd Row Removed or SSV, HD Table</t>
  </si>
  <si>
    <t>C-FDEXPN3-18D-TR-HT</t>
  </si>
  <si>
    <t>C-FDEXPN3-18D-TR</t>
  </si>
  <si>
    <t>C-FDEXPN3-18D-TF</t>
  </si>
  <si>
    <t>C-FDEXPN3-03R-TR-PP</t>
  </si>
  <si>
    <t>C-FDEXPN3-03R-TR</t>
  </si>
  <si>
    <t>C-FDEXPN3-03R-PT</t>
  </si>
  <si>
    <t>C-FDEXPN3-03R-PS</t>
  </si>
  <si>
    <t>C-FDEXPN3-03R-PP-PT</t>
  </si>
  <si>
    <t>C-FDEXPN3-03R-PP</t>
  </si>
  <si>
    <t>C-FDEXPN3-03R-HT</t>
  </si>
  <si>
    <t>C-FDEXPN3-03R</t>
  </si>
  <si>
    <t>C-FDEXPN3-03I-TR-HT</t>
  </si>
  <si>
    <t>C-FDEXPN3-03I-TR</t>
  </si>
  <si>
    <t>No 3rd Row Seats, Tbl Ext</t>
  </si>
  <si>
    <t>C-FDEXPN3-03I-PT</t>
  </si>
  <si>
    <t>SSV, No 3rd Row Seats, Tbl Ext</t>
  </si>
  <si>
    <t>C-FDEXPN3-03I-PS-PT</t>
  </si>
  <si>
    <t>C-FDEXPN3-03I-PS-PP</t>
  </si>
  <si>
    <t>C-FDEXPN3-03I-PS</t>
  </si>
  <si>
    <t>C-FDEXPN3-03I-PP</t>
  </si>
  <si>
    <t>Hvy Duty Tbl, No 3rd or Folded</t>
  </si>
  <si>
    <t>C-FDEXPN3-03I-HT</t>
  </si>
  <si>
    <t>C-FDEXPN3-03I</t>
  </si>
  <si>
    <t>C-FDEXPN3-03D-PT</t>
  </si>
  <si>
    <t>C-FDEXPN3-03D-PS</t>
  </si>
  <si>
    <t>C-FDEXPN3-03D-PP</t>
  </si>
  <si>
    <t>C-FDEXPN3-03D-HT</t>
  </si>
  <si>
    <t>C-FDEXPN3-03D</t>
  </si>
  <si>
    <t>Expedition 2 Dwr Investigator</t>
  </si>
  <si>
    <t>C-FDEXPN2-18I-TR-PP</t>
  </si>
  <si>
    <t>C-FDEXPN2-18I-TR</t>
  </si>
  <si>
    <t>Expedition Surveyor</t>
  </si>
  <si>
    <t>C-FDEXPN2-03N-VC</t>
  </si>
  <si>
    <t>C-FDEXPN2-03I</t>
  </si>
  <si>
    <t>Expedition</t>
  </si>
  <si>
    <t>Excursion Mag 2 Dwr</t>
  </si>
  <si>
    <t>T-FDEXCM2-00S</t>
  </si>
  <si>
    <t>Excursion Utility OS Dwr</t>
  </si>
  <si>
    <t>T-FDEXCUO-00S</t>
  </si>
  <si>
    <t>Mid-Size Spare Removed</t>
  </si>
  <si>
    <t>T-FDEXCUO-00M-SR</t>
  </si>
  <si>
    <t>T-FDEXCUO-00M</t>
  </si>
  <si>
    <t>F-Size, Spare Removed</t>
  </si>
  <si>
    <t>T-FDEXCUO-00F-SR</t>
  </si>
  <si>
    <t>Heavy Duty Table; F-Size</t>
  </si>
  <si>
    <t>T-FDEXCUO-00F-HT</t>
  </si>
  <si>
    <t>Excursion Utility 2 Dwr Offset</t>
  </si>
  <si>
    <t>T-FDEXCUO-00F</t>
  </si>
  <si>
    <t>Excursion Utility 2 Dwr HD Table</t>
  </si>
  <si>
    <t>T-FDEXCU2-00M-SR-HT</t>
  </si>
  <si>
    <t>Excursion Utility 2 Dwr</t>
  </si>
  <si>
    <t>T-FDEXCU2-00M-SR</t>
  </si>
  <si>
    <t>T-FDEXCU2-00M</t>
  </si>
  <si>
    <t>F-Size; Top Tray</t>
  </si>
  <si>
    <t>T-FDEXCU2-00F-TT</t>
  </si>
  <si>
    <t>Pullout Table; F-Size</t>
  </si>
  <si>
    <t>T-FDEXCU2-00F-PT</t>
  </si>
  <si>
    <t>T-FDEXCU2-00F</t>
  </si>
  <si>
    <t>Excursion Utility 1 Dwr</t>
  </si>
  <si>
    <t>T-FDEXCU1-00S</t>
  </si>
  <si>
    <t>M-Size, Spare Removed</t>
  </si>
  <si>
    <t>T-FDEXCU1-00M-SR</t>
  </si>
  <si>
    <t>Excursion Std OS Dwr</t>
  </si>
  <si>
    <t>T-FDEXCSO-00S</t>
  </si>
  <si>
    <t>T-FDEXCSO-00M</t>
  </si>
  <si>
    <t>Excursion Std OS Dwr HD Table</t>
  </si>
  <si>
    <t>T-FDEXCSO-00F-SR-HT</t>
  </si>
  <si>
    <t>T-FDEXCSO-00F-SR</t>
  </si>
  <si>
    <t>T-FDEXCSO-00F-PT</t>
  </si>
  <si>
    <t>T-FDEXCSO-00F-PP</t>
  </si>
  <si>
    <t>T-FDEXCSO-00F</t>
  </si>
  <si>
    <t>Excursion Std 2 Dwr</t>
  </si>
  <si>
    <t>T-FDEXCS2-00S</t>
  </si>
  <si>
    <t>Mid-Size, Tbl Ext</t>
  </si>
  <si>
    <t>T-FDEXCS2-00M-PT</t>
  </si>
  <si>
    <t>Mid-Size, HD Table</t>
  </si>
  <si>
    <t>T-FDEXCS2-00M-HT</t>
  </si>
  <si>
    <t>T-FDEXCS2-00M</t>
  </si>
  <si>
    <t>Spare Removed; F-Size</t>
  </si>
  <si>
    <t>T-FDEXCS2-00F-SR</t>
  </si>
  <si>
    <t>Table Extension; F-Size</t>
  </si>
  <si>
    <t>T-FDEXCS2-00F-PT</t>
  </si>
  <si>
    <t>T-FDEXCS2-00F-HT</t>
  </si>
  <si>
    <t>T-FDEXCS2-00F</t>
  </si>
  <si>
    <t>Excursion Std 1 Dwr</t>
  </si>
  <si>
    <t>T-FDEXCS1-00S</t>
  </si>
  <si>
    <t>Excursion Mag OS Dwr</t>
  </si>
  <si>
    <t>T-FDEXCMO-00S</t>
  </si>
  <si>
    <t>T-FDEXCMO-00M-SR</t>
  </si>
  <si>
    <t>T-FDEXCMO-00M-PT</t>
  </si>
  <si>
    <t>T-FDEXCMO-00M</t>
  </si>
  <si>
    <t>T-FDEXCMO-00F-SR</t>
  </si>
  <si>
    <t>T-FDEXCMO-00F-PT</t>
  </si>
  <si>
    <t>T-FDEXCMO-00F</t>
  </si>
  <si>
    <t>T-FDEXCM2-00M-SR</t>
  </si>
  <si>
    <t>T-FDEXCM2-00M</t>
  </si>
  <si>
    <t>F-Size; Spare Removed</t>
  </si>
  <si>
    <t>T-FDEXCM2-00F-SR</t>
  </si>
  <si>
    <t>T-FDEXCM2-00F-PT</t>
  </si>
  <si>
    <t>T-FDEXCM2-00F-HT</t>
  </si>
  <si>
    <t>T-FDEXCM2-00F</t>
  </si>
  <si>
    <t>S-Size, Spare Removed</t>
  </si>
  <si>
    <t>Excursion Mag 1 Dwr</t>
  </si>
  <si>
    <t>T-FDEXCM1-00S-SR</t>
  </si>
  <si>
    <t>T-FDEXCM1-00S-PT</t>
  </si>
  <si>
    <t>T-FDEXCM1-00S</t>
  </si>
  <si>
    <t>Excursion Emergency Resp 4</t>
  </si>
  <si>
    <t>F-FDEXCN4-00N-C1-ER4</t>
  </si>
  <si>
    <t>Excursion Emergency Resp 7</t>
  </si>
  <si>
    <t>F-FDEXCN2-00N-ER7</t>
  </si>
  <si>
    <t>Excursion Tac Ctr</t>
  </si>
  <si>
    <t>C-FDEXCN6-96T</t>
  </si>
  <si>
    <t>C-FDEXCN6-00T</t>
  </si>
  <si>
    <t>Excursion Chief LX CC</t>
  </si>
  <si>
    <t>C-FDEXCN6-00C</t>
  </si>
  <si>
    <t>Excursion Captain LX CC</t>
  </si>
  <si>
    <t>C-FDEXCN5-00P</t>
  </si>
  <si>
    <t>C-FDEXCN5-00C</t>
  </si>
  <si>
    <t>Excursion Captain CC</t>
  </si>
  <si>
    <t>C-FDEXCN4-96P-PT</t>
  </si>
  <si>
    <t>C-FDEXCN4-96P</t>
  </si>
  <si>
    <t>Excursion Field Ranger</t>
  </si>
  <si>
    <t>C-FDEXCN3-00R-SR</t>
  </si>
  <si>
    <t>C-FDEXCN3-00R</t>
  </si>
  <si>
    <t>Excursion Investigator</t>
  </si>
  <si>
    <t>C-FDEXCN3-00I-PT</t>
  </si>
  <si>
    <t>C-FDEXCN3-00I</t>
  </si>
  <si>
    <t>Excursion Special Ops Ctr</t>
  </si>
  <si>
    <t>C-FDEXCN3-00D</t>
  </si>
  <si>
    <t>Excursion Base Camp 1</t>
  </si>
  <si>
    <t>B-FDEXCN2-00F-BC1</t>
  </si>
  <si>
    <t>Excursion</t>
  </si>
  <si>
    <t>Hybrid 2008-2019 Table Ext</t>
  </si>
  <si>
    <t>Escape Std 2 Dwr</t>
  </si>
  <si>
    <t>T-FDESCS2-08N-PH-PT</t>
  </si>
  <si>
    <t>Hybrid 2008-2019</t>
  </si>
  <si>
    <t>Escape Std 2 Drawer</t>
  </si>
  <si>
    <t>T-FDESCS2-08N-PH</t>
  </si>
  <si>
    <t>T-FDESCS2-05N-PH</t>
  </si>
  <si>
    <t>Hybrid, 2008-2019 Prisoner Cage</t>
  </si>
  <si>
    <t>Escape Std 1 Dwr</t>
  </si>
  <si>
    <t>T-FDESCS1-08N-PH-PP</t>
  </si>
  <si>
    <t>T-FDESCS1-08N-PH</t>
  </si>
  <si>
    <t>T-FDESCS1-05N-PH</t>
  </si>
  <si>
    <t>Escape Mag 2 Dwr</t>
  </si>
  <si>
    <t>T-FDESCM2-08N-PH</t>
  </si>
  <si>
    <t>T-FDESCM2-05N-PH</t>
  </si>
  <si>
    <t>Escape Mag 1 Dwr</t>
  </si>
  <si>
    <t>T-FDESCM1-08N-PH</t>
  </si>
  <si>
    <t>T-FDESCM1-05N-PH</t>
  </si>
  <si>
    <t>Escape LX CC</t>
  </si>
  <si>
    <t>C-FDESCN5-08C-PH-PT</t>
  </si>
  <si>
    <t>Escape Special-Ops</t>
  </si>
  <si>
    <t>C-FDESCN3-08D-PH</t>
  </si>
  <si>
    <t>Escape Hybrid</t>
  </si>
  <si>
    <t>Will fit Hybrids</t>
  </si>
  <si>
    <t>Escape Utility 2  Dwr</t>
  </si>
  <si>
    <t>T-FDESCU2-20N</t>
  </si>
  <si>
    <t>Escape Utility 1 Dwr Hanging Design</t>
  </si>
  <si>
    <t>T-FDESCU1-20N-HG</t>
  </si>
  <si>
    <t>Escape Utility 1 Dwr</t>
  </si>
  <si>
    <t>T-FDESCU1-20N</t>
  </si>
  <si>
    <t>T-FDESCU1-14N-HG</t>
  </si>
  <si>
    <t>T-FDESCU1-14N</t>
  </si>
  <si>
    <t>Escape Std OS Dwr</t>
  </si>
  <si>
    <t>T-FDESCSO-08N</t>
  </si>
  <si>
    <t>T-FDESCSO-01N</t>
  </si>
  <si>
    <t>T-FDESCS2-20N</t>
  </si>
  <si>
    <t>T-FDESCS2-14N</t>
  </si>
  <si>
    <t>T-FDESCS2-13N-PT</t>
  </si>
  <si>
    <t>T-FDESCS2-13N</t>
  </si>
  <si>
    <t>with Prisoner Cage</t>
  </si>
  <si>
    <t>T-FDESCS2-08N-PP</t>
  </si>
  <si>
    <t>T-FDESCS2-08N</t>
  </si>
  <si>
    <t>T-FDESCS2-05N-PT</t>
  </si>
  <si>
    <t>T-FDESCS2-05N</t>
  </si>
  <si>
    <t>T-FDESCS2-01N</t>
  </si>
  <si>
    <t>Escape Std 1 Dwr Hanging Design</t>
  </si>
  <si>
    <t>T-FDESCS1-20N-HG</t>
  </si>
  <si>
    <t>T-FDESCS1-20N</t>
  </si>
  <si>
    <t>T-FDESCS1-14N-HG</t>
  </si>
  <si>
    <t>T-FDESCS1-14N</t>
  </si>
  <si>
    <t>T-FDESCS1-13N</t>
  </si>
  <si>
    <t>T-FDESCS1-08N-PP</t>
  </si>
  <si>
    <t>T-FDESCS1-08N</t>
  </si>
  <si>
    <t>T-FDESCS1-05N</t>
  </si>
  <si>
    <t>T-FDESCS1-01N</t>
  </si>
  <si>
    <t>Escape 1 Dwr Hanging Design</t>
  </si>
  <si>
    <t>T-FDESCN1-14N-HG</t>
  </si>
  <si>
    <t>Escape Mag OS Dwr</t>
  </si>
  <si>
    <t>T-FDESCMO-20N</t>
  </si>
  <si>
    <t>T-FDESCMO-14N</t>
  </si>
  <si>
    <t>T-FDESCMO-13N</t>
  </si>
  <si>
    <t>T-FDESCMO-08N-PT</t>
  </si>
  <si>
    <t>T-FDESCMO-08N</t>
  </si>
  <si>
    <t>T-FDESCMO-05N-PT</t>
  </si>
  <si>
    <t>T-FDESCMO-01N</t>
  </si>
  <si>
    <t>Escape Magnum 2 Dwr</t>
  </si>
  <si>
    <t>T-FDESCM2-20N</t>
  </si>
  <si>
    <t>T-FDESCM2-14N</t>
  </si>
  <si>
    <t>T-FDESCM2-08N-PT</t>
  </si>
  <si>
    <t>T-FDESCM2-08N</t>
  </si>
  <si>
    <t>T-FDESCM2-05N-PT</t>
  </si>
  <si>
    <t>T-FDESCM2-05N</t>
  </si>
  <si>
    <t>T-FDESCM2-01N</t>
  </si>
  <si>
    <t>Escape Mag 1 Dwr Hanging Design</t>
  </si>
  <si>
    <t>T-FDESCM1-20N-HG</t>
  </si>
  <si>
    <t>T-FDESCM1-20N</t>
  </si>
  <si>
    <t>T-FDESCM1-14N-HG</t>
  </si>
  <si>
    <t>T-FDESCM1-14N</t>
  </si>
  <si>
    <t>T-FDESCM1-08N-PT</t>
  </si>
  <si>
    <t>Escape Mag 1Dwr Prisoner Cage</t>
  </si>
  <si>
    <t>T-FDESCM1-08N-PP</t>
  </si>
  <si>
    <t>T-FDESCM1-08N</t>
  </si>
  <si>
    <t>T-FDESCM1-05N</t>
  </si>
  <si>
    <t>T-FDESCM1-01N</t>
  </si>
  <si>
    <t>No</t>
  </si>
  <si>
    <t>Escape Emergency Response2</t>
  </si>
  <si>
    <t>F-FDESCN3-20N-C1-ER2</t>
  </si>
  <si>
    <t>Escape Chief CC</t>
  </si>
  <si>
    <t>C-FDESCN6-14C</t>
  </si>
  <si>
    <t>Escape Tac Center</t>
  </si>
  <si>
    <t>C-FDESCN6-13T</t>
  </si>
  <si>
    <t>C-FDESCN6-08T-PT</t>
  </si>
  <si>
    <t>C-FDESCN6-08T</t>
  </si>
  <si>
    <t>Escape Chief LX CC</t>
  </si>
  <si>
    <t>C-FDESCN6-01C</t>
  </si>
  <si>
    <t>C-FDESCN5-08C-PT</t>
  </si>
  <si>
    <t>C-FDESCN5-08C</t>
  </si>
  <si>
    <t>C-FDESCN5-01C</t>
  </si>
  <si>
    <t>Ford Escape Field Ranger</t>
  </si>
  <si>
    <t>C-FDESCN3-20R-HT</t>
  </si>
  <si>
    <t>C-FDESCN3-20R</t>
  </si>
  <si>
    <t>Heavy Duty Table Ext</t>
  </si>
  <si>
    <t>C-FDESCN3-14R-HT</t>
  </si>
  <si>
    <t>C-FDESCN3-14R</t>
  </si>
  <si>
    <t>Ford Escape Investigator</t>
  </si>
  <si>
    <t>C-FDESCN3-14I-HT</t>
  </si>
  <si>
    <t>C-FDESCN3-14I</t>
  </si>
  <si>
    <t>Escape Investigator</t>
  </si>
  <si>
    <t>C-FDESCN3-08I-HT</t>
  </si>
  <si>
    <t>24"L x 40"W</t>
  </si>
  <si>
    <t>C-FDESCN3-08I</t>
  </si>
  <si>
    <t>C-FDESCN3-05I</t>
  </si>
  <si>
    <t>C-FDESCN2-20I</t>
  </si>
  <si>
    <t>Escape</t>
  </si>
  <si>
    <t>Edge Utility 2 Dwr OS</t>
  </si>
  <si>
    <t>T-FDEDGUO-15N</t>
  </si>
  <si>
    <t>Edge Utility 1 Dwr</t>
  </si>
  <si>
    <t>T-FDEDGU1-15N-HG</t>
  </si>
  <si>
    <t>T-FDEDGU1-15N</t>
  </si>
  <si>
    <t>Edge Std 2 Dwr</t>
  </si>
  <si>
    <t>T-FDEDGS2-15N</t>
  </si>
  <si>
    <t>T-FDEDGS2-11N</t>
  </si>
  <si>
    <t>T-FDEDGS2-07N</t>
  </si>
  <si>
    <t>Edge Std 1 Dwr</t>
  </si>
  <si>
    <t>T-FDEDGS1-15N-PT</t>
  </si>
  <si>
    <t>T-FDEDGS1-15N-HG</t>
  </si>
  <si>
    <t>T-FDEDGS1-15N</t>
  </si>
  <si>
    <t>T-FDEDGS1-11N-PT</t>
  </si>
  <si>
    <t>T-FDEDGS1-11N</t>
  </si>
  <si>
    <t>T-FDEDGS1-07N-PT</t>
  </si>
  <si>
    <t>Ford Edge</t>
  </si>
  <si>
    <t>T-FDEDGS1-07N</t>
  </si>
  <si>
    <t>Edge Mag OS Dwr</t>
  </si>
  <si>
    <t>T-FDEDGMO-15N</t>
  </si>
  <si>
    <t>T-FDEDGMO-11N</t>
  </si>
  <si>
    <t>T-FDEDGMO-07N</t>
  </si>
  <si>
    <t>Edge Mag 2 Dwr</t>
  </si>
  <si>
    <t>T-FDEDGM2-15N-HG</t>
  </si>
  <si>
    <t>T-FDEDGM2-15N</t>
  </si>
  <si>
    <t>T-FDEDGM2-11N</t>
  </si>
  <si>
    <t>T-FDEDGM2-07N</t>
  </si>
  <si>
    <t>Edge Mag 1 Dwr</t>
  </si>
  <si>
    <t>T-FDEDGM1-15N-HT</t>
  </si>
  <si>
    <t>T-FDEDGM1-15N-HG</t>
  </si>
  <si>
    <t>T-FDEDGM1-15N</t>
  </si>
  <si>
    <t>T-FDEDGM1-11N</t>
  </si>
  <si>
    <t>T-FDEDGM1-07N-PT</t>
  </si>
  <si>
    <t>T-FDEDGM1-07N</t>
  </si>
  <si>
    <t>Edge Field Ranger</t>
  </si>
  <si>
    <t>C-FDEDGN3-15R-HT</t>
  </si>
  <si>
    <t>C-FDEDGN3-15R</t>
  </si>
  <si>
    <t>Edge Investigator</t>
  </si>
  <si>
    <t>C-FDEDGN3-15I</t>
  </si>
  <si>
    <t>Ford Edge Field Ranger</t>
  </si>
  <si>
    <t>C-FDEDGN3-07R</t>
  </si>
  <si>
    <t>24L x 38.5W</t>
  </si>
  <si>
    <t>C-FDEDGN3-07I</t>
  </si>
  <si>
    <t>Edge Special-Ops</t>
  </si>
  <si>
    <t>C-FDEDGN3-07D</t>
  </si>
  <si>
    <t>C-FDEDGN2-15I</t>
  </si>
  <si>
    <t>Edge</t>
  </si>
  <si>
    <t>Bot Dwr Lock</t>
  </si>
  <si>
    <t>Crown Victoria Radio Patrolman</t>
  </si>
  <si>
    <t>N-FDCNVN2-98N-PL</t>
  </si>
  <si>
    <t>N-FDCNVN2-98N</t>
  </si>
  <si>
    <t>N-FDCNVN2-06N</t>
  </si>
  <si>
    <t>Crown Victoria Patrolman</t>
  </si>
  <si>
    <t>N-FDCNVN1-94N</t>
  </si>
  <si>
    <t>N-FDCNVN1-06N</t>
  </si>
  <si>
    <t>TrunkVault 14W x 20.5L x 9.75H</t>
  </si>
  <si>
    <t>Crown Victoria Patrolman Lite</t>
  </si>
  <si>
    <t>N-FDCNVN1-00S</t>
  </si>
  <si>
    <t>Equipment TrunkVault. DP</t>
  </si>
  <si>
    <t>Crown Victoria Equip Patrolman</t>
  </si>
  <si>
    <t>N-FDCNVN1-00N-EP</t>
  </si>
  <si>
    <t>N-FDCNVN1-00N</t>
  </si>
  <si>
    <t>Crown Victoria Lid Box</t>
  </si>
  <si>
    <t>N-FDCNVL1-06N</t>
  </si>
  <si>
    <t>Crown Victoria</t>
  </si>
  <si>
    <t>C-Max Mag 1 Dwr</t>
  </si>
  <si>
    <t>T-FDCMXM1-11N</t>
  </si>
  <si>
    <t>C-Max</t>
  </si>
  <si>
    <t>Bronco Sport Utility OS 2 Dwr</t>
  </si>
  <si>
    <t>T-FDBCSUO-21N-PT</t>
  </si>
  <si>
    <t>Bronco Sport Utility 2 Dwr</t>
  </si>
  <si>
    <t>T-FDBCSU2-21N</t>
  </si>
  <si>
    <t>Bronco Sport Utility 1 Dwr</t>
  </si>
  <si>
    <t>T-FDBCSU1-21N-HG</t>
  </si>
  <si>
    <t>T-FDBCSU1-21N</t>
  </si>
  <si>
    <t>Bronco Sport Std 2 Dwr</t>
  </si>
  <si>
    <t>T-FDBCSS2-21N</t>
  </si>
  <si>
    <t>Bronco Sport Std 1 Dwr</t>
  </si>
  <si>
    <t>T-FDBCSS1-21N-HG</t>
  </si>
  <si>
    <t>T-FDBCSS1-21N</t>
  </si>
  <si>
    <t>Bronco Sport Offset Dwr</t>
  </si>
  <si>
    <t>T-FDBCSO-21N</t>
  </si>
  <si>
    <t>Bronco Sport Mag 2 Dwr</t>
  </si>
  <si>
    <t>T-FDBCSM2-21N</t>
  </si>
  <si>
    <t>Bronco Sport Mag 1 Dwr</t>
  </si>
  <si>
    <t>T-FDBCSM1-21N-HG</t>
  </si>
  <si>
    <t>T-FDBCSM1-21N</t>
  </si>
  <si>
    <t>C14050</t>
  </si>
  <si>
    <t>Bronco Sport Custom</t>
  </si>
  <si>
    <t>C-FDBCSN2-21N-C14050</t>
  </si>
  <si>
    <t>Bronco Sport Investigator</t>
  </si>
  <si>
    <t>C-FDBCSN2-21I</t>
  </si>
  <si>
    <t>Bronco Sport</t>
  </si>
  <si>
    <t>Bronco 4 Door Investigator</t>
  </si>
  <si>
    <t>T-FDB4DN2-21I</t>
  </si>
  <si>
    <t>Ext Table</t>
  </si>
  <si>
    <t>Bronco 4 Door Utl Offset Dwr</t>
  </si>
  <si>
    <t>T-FDB4DUO-21N-PT</t>
  </si>
  <si>
    <t>T-FDB4DUO-21N-HT</t>
  </si>
  <si>
    <t>Bronco 4 Door Utl 2 Dwr</t>
  </si>
  <si>
    <t>T-FDB4DU2-21N</t>
  </si>
  <si>
    <t>Bronco 4 Door Utl 1 Dwr</t>
  </si>
  <si>
    <t>T-FDB4DU1-21N-PT</t>
  </si>
  <si>
    <t>T-FDB4DU1-21N-HT</t>
  </si>
  <si>
    <t>T-FDB4DU1-21N</t>
  </si>
  <si>
    <t>Bronco 4 Door Std 2 Dwr Offset</t>
  </si>
  <si>
    <t>T-FDB4DSO-21N</t>
  </si>
  <si>
    <t>Bronco 4 Door Std 2 Dwr</t>
  </si>
  <si>
    <t>T-FDB4DS2-21N-HT</t>
  </si>
  <si>
    <t>T-FDB4DS2-21N</t>
  </si>
  <si>
    <t>Bronco 4 Door Std 1 Dwr</t>
  </si>
  <si>
    <t>T-FDB4DS1-21N-HT</t>
  </si>
  <si>
    <t>T-FDB4DS1-21N</t>
  </si>
  <si>
    <t>Bronco 4 Door Mag Offset Dwr</t>
  </si>
  <si>
    <t>T-FDB4DMO-21N-HT</t>
  </si>
  <si>
    <t>T-FDB4DMO-21N</t>
  </si>
  <si>
    <t>Bronco 4 Door Mag 2 Dwr</t>
  </si>
  <si>
    <t>T-FDB4DM2-21N-HT</t>
  </si>
  <si>
    <t>T-FDB4DM2-21N</t>
  </si>
  <si>
    <t>All Wthr</t>
  </si>
  <si>
    <t>Bronco 4 Door Mag 1 Dwr</t>
  </si>
  <si>
    <t>T-FDB4DM1-21N-PW</t>
  </si>
  <si>
    <t>T-FDB4DM1-21N-PT</t>
  </si>
  <si>
    <t>T-FDB4DM1-21N-HT</t>
  </si>
  <si>
    <t>T-FDB4DM1-21N</t>
  </si>
  <si>
    <t>Bronco 2  Door Mag 1 Dwr</t>
  </si>
  <si>
    <t>T-FDB2DS2-21N-HT</t>
  </si>
  <si>
    <t>Bronco 4 Door</t>
  </si>
  <si>
    <t>Bronco 2 Door Std 1 Dwr</t>
  </si>
  <si>
    <t>T-FDB2DS1-21N</t>
  </si>
  <si>
    <t>Bronco 2 Door</t>
  </si>
  <si>
    <t>Bronco FS Utility 2  Dwr</t>
  </si>
  <si>
    <t>T-FDBCOU2-88N-HT</t>
  </si>
  <si>
    <t>Bronco FS Utility 1 Dwr</t>
  </si>
  <si>
    <t>T-FDBCOU1-88N</t>
  </si>
  <si>
    <t>Bronco FS Std L Dwr</t>
  </si>
  <si>
    <t>T-FDBCOSL-88N</t>
  </si>
  <si>
    <t>Bronco FS Std 2 Dwr</t>
  </si>
  <si>
    <t>T-FDBCOS2-88N</t>
  </si>
  <si>
    <t>T-FDBCOS2-85N</t>
  </si>
  <si>
    <t>Bronco FS Std 1 Dwr</t>
  </si>
  <si>
    <t>T-FDBCOS1-88N</t>
  </si>
  <si>
    <t>Bronco FS Mag 2 Dwr</t>
  </si>
  <si>
    <t>T-FDBCOM2-88N</t>
  </si>
  <si>
    <t>T-FDBCOM2-85N</t>
  </si>
  <si>
    <t>Bronco FS Mag 1 Dwr</t>
  </si>
  <si>
    <t>T-FDBCOM1-88N</t>
  </si>
  <si>
    <t>T-FDBCOM1-85N</t>
  </si>
  <si>
    <t>Bronco Chief LX CC</t>
  </si>
  <si>
    <t>C-FDBCON6-88C</t>
  </si>
  <si>
    <t>C-FDBCON5-88C</t>
  </si>
  <si>
    <t>Bronco</t>
  </si>
  <si>
    <t>Aerostar Std 2 Dwr</t>
  </si>
  <si>
    <t>T-FDAERS2-86S</t>
  </si>
  <si>
    <t>T-FDAERS2-86L</t>
  </si>
  <si>
    <t>Aerostar Std 1 Dwr</t>
  </si>
  <si>
    <t>T-FDAERS1-86S</t>
  </si>
  <si>
    <t>Aerostar Mag 2 Dwr</t>
  </si>
  <si>
    <t>T-FDAERM2-92S</t>
  </si>
  <si>
    <t>T-FDAERM2-92L</t>
  </si>
  <si>
    <t>Aerostar Mag 1 Dwr</t>
  </si>
  <si>
    <t>T-FDAERM1-92S</t>
  </si>
  <si>
    <t>Aerostar</t>
  </si>
  <si>
    <t>500 Patrolman</t>
  </si>
  <si>
    <t>N-FD500N1-05N</t>
  </si>
  <si>
    <t>Fiat 500L</t>
  </si>
  <si>
    <t>T-FI50LU1-14N</t>
  </si>
  <si>
    <t>500L</t>
  </si>
  <si>
    <t>Fiat</t>
  </si>
  <si>
    <t>Stratus Patrolman</t>
  </si>
  <si>
    <t>N-DGSTRN1-01N</t>
  </si>
  <si>
    <t>Stratus</t>
  </si>
  <si>
    <t>5' 7", All Wthr; Any Side, Ram box</t>
  </si>
  <si>
    <t>Ram Utility 1 Dwr Half Width</t>
  </si>
  <si>
    <t>T-DGRAMU1-19S-PC-TB-HN-PW</t>
  </si>
  <si>
    <t>Ram HD Pickup Mag 3 Dwr</t>
  </si>
  <si>
    <t>T-DGRAMM3-15L-P5-DW-GN-PW</t>
  </si>
  <si>
    <t>Ram HD Pickup Mag 2 Dwr</t>
  </si>
  <si>
    <t>T-DGRAMM2-03S-P5-C2-GN-PW</t>
  </si>
  <si>
    <t>6' 3" Short Bed, A-Wthr, HD, Rambox</t>
  </si>
  <si>
    <t>Ram Pickup Std 2 Dwr</t>
  </si>
  <si>
    <t>T-DGRAMS2-19S-P5-TB-PW</t>
  </si>
  <si>
    <t>C-DGRAMN3-19L-P5-TG-PL1</t>
  </si>
  <si>
    <t>Ram HD Pickup Std 3 Dwr</t>
  </si>
  <si>
    <t>T-DGRAMS3-03S-P5-C2-GN-PW</t>
  </si>
  <si>
    <t>8' Bed, Passenger Side, All Weather</t>
  </si>
  <si>
    <t>Ram HD Mag 1 Dwr Half Width</t>
  </si>
  <si>
    <t>T-DGRAMM1-03L-P5-HD-PW</t>
  </si>
  <si>
    <t>T-DGRAMM3-19S-P5-C2-GN-PW</t>
  </si>
  <si>
    <t>6' 3" Short Bed, HD</t>
  </si>
  <si>
    <t>Ram Pickup Std OS Dwr</t>
  </si>
  <si>
    <t>T-DGRAMSO-19S-P5</t>
  </si>
  <si>
    <t>6' 3" SB, A-Wthr,Tool Box</t>
  </si>
  <si>
    <t>Ram Pickup Utility Offset Dwr</t>
  </si>
  <si>
    <t>T-DGRAMUO-19S-TB-PW</t>
  </si>
  <si>
    <t>6' 3" Short Bed, A-Wthr</t>
  </si>
  <si>
    <t>T-DGRAMUO-19S-PW</t>
  </si>
  <si>
    <t>5' 7" SB,Crew, A-Wthr,Tool Box</t>
  </si>
  <si>
    <t>T-DGRAMUO-19S-PC-TB-PW</t>
  </si>
  <si>
    <t>5' 7" SB, ReTrax, All-Wthr</t>
  </si>
  <si>
    <t>Ram Pickup Utility OS Dwr</t>
  </si>
  <si>
    <t>T-DGRAMUO-19S-PC-RX-PW</t>
  </si>
  <si>
    <t>5' 7" SB, Crew Cab, All-Wthr</t>
  </si>
  <si>
    <t>T-DGRAMUO-19S-PC-PW</t>
  </si>
  <si>
    <t>5 1/2' Short Bed, Crew Cab</t>
  </si>
  <si>
    <t>Ram Pickup Utility 2 Dwr Offset</t>
  </si>
  <si>
    <t>T-DGRAMUO-19S-PC</t>
  </si>
  <si>
    <t>T-DGRAMUO-19S-P5-TB-PW</t>
  </si>
  <si>
    <t>6' 3" Short Bed, A-Wthr, HD</t>
  </si>
  <si>
    <t>T-DGRAMUO-19S-P5-PW</t>
  </si>
  <si>
    <t>Short Bed, HD 2500</t>
  </si>
  <si>
    <t>T-DGRAMUO-19S-P5</t>
  </si>
  <si>
    <t>6' 3" Short Bed</t>
  </si>
  <si>
    <t>T-DGRAMUO-19S</t>
  </si>
  <si>
    <t>8' Long Bed, A-Wthr, HD</t>
  </si>
  <si>
    <t>T-DGRAMUO-19L-P5-PW</t>
  </si>
  <si>
    <t>8' Long  Bed</t>
  </si>
  <si>
    <t>T-DGRAMUO-19L-P5</t>
  </si>
  <si>
    <t>6' 4" SB, A-Wthr,Tool Box</t>
  </si>
  <si>
    <t>T-DGRAMUO-09S-TB-PW</t>
  </si>
  <si>
    <t>6' 4" SB,Tool Box</t>
  </si>
  <si>
    <t>T-DGRAMUO-09S-TB</t>
  </si>
  <si>
    <t>T-DGRAMUO-09S-PC-TB-PW</t>
  </si>
  <si>
    <t>5' 7" SB,Crew Cab,Tool Box</t>
  </si>
  <si>
    <t>T-DGRAMUO-09S-PC-TB</t>
  </si>
  <si>
    <t>T-DGRAMUO-09S-PC-PW</t>
  </si>
  <si>
    <t>5' 7" Short Bed, Crew Cab</t>
  </si>
  <si>
    <t>T-DGRAMUO-09S-PC</t>
  </si>
  <si>
    <t>T-DGRAMUO-03S-P5-PW</t>
  </si>
  <si>
    <t>Short Bed, HD</t>
  </si>
  <si>
    <t>T-DGRAMUO-03S-P5</t>
  </si>
  <si>
    <t>Long Bed HD, All Weather</t>
  </si>
  <si>
    <t>T-DGRAMUO-03L-P5-PW</t>
  </si>
  <si>
    <t>Long Bed, HD</t>
  </si>
  <si>
    <t>Ram Pickup Utility 2 Dwr</t>
  </si>
  <si>
    <t>T-DGRAMUO-03L-P5</t>
  </si>
  <si>
    <t>6' 3" Short Bed, A-Wthr, Retrax</t>
  </si>
  <si>
    <t>T-DGRAMUO-02S-PW-RX</t>
  </si>
  <si>
    <t>T-DGRAMUO-02S-PW</t>
  </si>
  <si>
    <t>T-DGRAMUO-02S</t>
  </si>
  <si>
    <t>T-DGRAMU2-19S-RX-PW</t>
  </si>
  <si>
    <t>T-DGRAMU2-19S-PW</t>
  </si>
  <si>
    <t>5' 7" SB,Crew, A-Whtr,Tool Box</t>
  </si>
  <si>
    <t>T-DGRAMU2-19S-PC-TB-PW</t>
  </si>
  <si>
    <t>T-DGRAMU2-19S-PC-TB</t>
  </si>
  <si>
    <t>5 1/2' Short Bed, Crew Cab; Retrax</t>
  </si>
  <si>
    <t>T-DGRAMU2-19S-PC-RX</t>
  </si>
  <si>
    <t>5' 7" SB, Crew Cab, All-Whtr, Retrax</t>
  </si>
  <si>
    <t>T-DGRAMU2-19S-PC-PW-RX</t>
  </si>
  <si>
    <t>5' 7" SB, Crew Cab, All-Whtr</t>
  </si>
  <si>
    <t>T-DGRAMU2-19S-PC-PW</t>
  </si>
  <si>
    <t>T-DGRAMU2-19S-PC</t>
  </si>
  <si>
    <t>Ram Pickup Utl 2 Dwr</t>
  </si>
  <si>
    <t>T-DGRAMU2-19S-P5-TB-PW</t>
  </si>
  <si>
    <t>T-DGRAMU2-19S-P5-PW</t>
  </si>
  <si>
    <t>T-DGRAMU2-19S-P5</t>
  </si>
  <si>
    <t>6 1/2' Short Bed</t>
  </si>
  <si>
    <t>T-DGRAMU2-19S</t>
  </si>
  <si>
    <t>Long Bed, A-Wthr, HD</t>
  </si>
  <si>
    <t>T-DGRAMU2-19L-P5-PW</t>
  </si>
  <si>
    <t>T-DGRAMU2-19L-P5</t>
  </si>
  <si>
    <t>T-DGRAMU2-09S-TB-PW</t>
  </si>
  <si>
    <t>T-DGRAMU2-09S-PC-TB-PW</t>
  </si>
  <si>
    <t>T-DGRAMU2-09S-PC-TB</t>
  </si>
  <si>
    <t>5' 7" Short Bed, Crew Cab, Retrax</t>
  </si>
  <si>
    <t>T-DGRAMU2-09S-PC-RX</t>
  </si>
  <si>
    <t>5' 7" SB, Crew Cab, All-Wthr, Retrax</t>
  </si>
  <si>
    <t>T-DGRAMU2-09S-PC-PW-RX</t>
  </si>
  <si>
    <t>T-DGRAMU2-09S-PC-PW</t>
  </si>
  <si>
    <t>T-DGRAMU2-09S-PC</t>
  </si>
  <si>
    <t>T-DGRAMU2-09S-P5-TB-PW</t>
  </si>
  <si>
    <t>6' 4" SB, HD, Tool Box</t>
  </si>
  <si>
    <t>Ram Pickup Utility2 Drawer</t>
  </si>
  <si>
    <t>T-DGRAMU2-09S-P5-TB</t>
  </si>
  <si>
    <t>6' 3" Short Bed, A-Wthr, HD; Retrax</t>
  </si>
  <si>
    <t>T-DGRAMU2-03S-P5-RX-PW</t>
  </si>
  <si>
    <t>T-DGRAMU2-03S-P5-PW</t>
  </si>
  <si>
    <t>T-DGRAMU2-03S-P5</t>
  </si>
  <si>
    <t>T-DGRAMU2-03L-P5-PW</t>
  </si>
  <si>
    <t>T-DGRAMU2-03L-P5</t>
  </si>
  <si>
    <t>T-DGRAMU2-02S-PW</t>
  </si>
  <si>
    <t>T-DGRAMU2-02S</t>
  </si>
  <si>
    <t>5' 7" Crew Cab, Passenger Side; Retrax</t>
  </si>
  <si>
    <t>Ram Utility 1 Dwr, Half Width</t>
  </si>
  <si>
    <t>T-DGRAMU1-19S-PC-HP-RX</t>
  </si>
  <si>
    <t>5' 7", All Wthr;Passenger Side</t>
  </si>
  <si>
    <t>T-DGRAMU1-19S-PC-HP-PW</t>
  </si>
  <si>
    <t>5' 7" Crew Cab, Driver's Side; Retrax</t>
  </si>
  <si>
    <t>T-DGRAMU1-19S-PC-HD-RX</t>
  </si>
  <si>
    <t>5' 7", All Wthr; Driver's Side</t>
  </si>
  <si>
    <t>T-DGRAMU1-19S-PC-HD-PW</t>
  </si>
  <si>
    <t>5' 7" Crew Cab, Driver's Side</t>
  </si>
  <si>
    <t>T-DGRAMU1-19S-PC-HD</t>
  </si>
  <si>
    <t>6' 3", All Wthr; Passenger Side</t>
  </si>
  <si>
    <t>T-DGRAMU1-19S-HP-PW</t>
  </si>
  <si>
    <t>6 1/2  Bed; Passengers Side</t>
  </si>
  <si>
    <t>Ram Utl 1 Dwr Half Width</t>
  </si>
  <si>
    <t>T-DGRAMU1-19S-HP</t>
  </si>
  <si>
    <t>Long Bed, All Wthr; Passenger Side</t>
  </si>
  <si>
    <t>T-DGRAMU1-19L-P5-HP-PW</t>
  </si>
  <si>
    <t>Long Bed, All Wthr; Driver Side</t>
  </si>
  <si>
    <t>T-DGRAMU1-19L-P5-HD-PW</t>
  </si>
  <si>
    <t>6' 3" Short Bed, Tool Box, Half-Width</t>
  </si>
  <si>
    <t>Ram Pickup Utl 1 Dwr</t>
  </si>
  <si>
    <t>T-DGRAMU1-09S-TB-HN</t>
  </si>
  <si>
    <t>5' 6" Tool Box; Passenger Side</t>
  </si>
  <si>
    <t>T-DGRAMU1-09S-PC-TB-HP</t>
  </si>
  <si>
    <t>5' 7", All Wthr; Either Side</t>
  </si>
  <si>
    <t>T-DGRAMU1-09S-PC-TB-HN-PW</t>
  </si>
  <si>
    <t>T-DGRAMU1-09S-PC-HP-PW</t>
  </si>
  <si>
    <t>5' 7" Crew Cab, Passenger Side</t>
  </si>
  <si>
    <t>T-DGRAMU1-09S-PC-HP</t>
  </si>
  <si>
    <t>T-DGRAMU1-09S-PC-HD-PW</t>
  </si>
  <si>
    <t>T-DGRAMU1-09S-PC-HD</t>
  </si>
  <si>
    <t>6' 3", All Wthr;Passenger Side</t>
  </si>
  <si>
    <t>T-DGRAMU1-03S-P5-HP-PW</t>
  </si>
  <si>
    <t>6' 3"; HD; Passenger Side</t>
  </si>
  <si>
    <t>Ram Utility1 Dwr, Half Width</t>
  </si>
  <si>
    <t>T-DGRAMU1-03S-P5-HP</t>
  </si>
  <si>
    <t>6' 3", All Wthr; Drivers Side</t>
  </si>
  <si>
    <t>T-DGRAMU1-03S-P5-HD-PW</t>
  </si>
  <si>
    <t>6' 3", Drivers Side</t>
  </si>
  <si>
    <t>T-DGRAMU1-03S-P5-HD</t>
  </si>
  <si>
    <t>T-DGRAMU1-03L-P5-HP-PW</t>
  </si>
  <si>
    <t>8' Bed, Passenger Side</t>
  </si>
  <si>
    <t>Ram HD Utility 1 Dwr Half Width</t>
  </si>
  <si>
    <t>T-DGRAMU1-03L-P5-HP</t>
  </si>
  <si>
    <t>T-DGRAMU1-02S-HP-PW</t>
  </si>
  <si>
    <t>T-DGRAMU1-02S-HD-PW</t>
  </si>
  <si>
    <t>6' 3" Short Bed; Drivers Side</t>
  </si>
  <si>
    <t>T-DGRAMU1-02S-HD</t>
  </si>
  <si>
    <t>T-DGRAMSO-94S-PW</t>
  </si>
  <si>
    <t>T-DGRAMSO-94S</t>
  </si>
  <si>
    <t>Long Bed, Heavy Duty</t>
  </si>
  <si>
    <t>Ram Pickup Std Offset Dwr</t>
  </si>
  <si>
    <t>T-DGRAMSO-94L-P5</t>
  </si>
  <si>
    <t>T-DGRAMSO-94L</t>
  </si>
  <si>
    <t>T-DGRAMSO-19S-PW</t>
  </si>
  <si>
    <t>T-DGRAMSO-19S-PC-PW</t>
  </si>
  <si>
    <t>5 1/2' Short Bed, Crew Cab, HD Table</t>
  </si>
  <si>
    <t>T-DGRAMSO-19S-PC-HT</t>
  </si>
  <si>
    <t>T-DGRAMSO-19S-PC</t>
  </si>
  <si>
    <t>T-DGRAMSO-19S-P5-TB-PW</t>
  </si>
  <si>
    <t>T-DGRAMSO-19S-P5-PW</t>
  </si>
  <si>
    <t>T-DGRAMSO-19S</t>
  </si>
  <si>
    <t>8"  Bed, A-Wthr, HD</t>
  </si>
  <si>
    <t>Ram Pickup Mag Offset</t>
  </si>
  <si>
    <t>T-DGRAMSO-19L-P5-PW</t>
  </si>
  <si>
    <t>Ram 3500 Dually Pickup Std OS Dwr</t>
  </si>
  <si>
    <t>T-DGRAMSO-15S-P5-DW-PW</t>
  </si>
  <si>
    <t>Ram 3500 Dually Pickup Std Offset Dwr</t>
  </si>
  <si>
    <t>T-DGRAMSO-15L-P5-DW-PW</t>
  </si>
  <si>
    <t>T-DGRAMSO-09S-PC-TB-PW</t>
  </si>
  <si>
    <t>T-DGRAMSO-09S-PC-TB</t>
  </si>
  <si>
    <t>T-DGRAMSO-09S-PC-PW</t>
  </si>
  <si>
    <t>5' 7" SB, C-Cab, Hvy Dty Tbl</t>
  </si>
  <si>
    <t>T-DGRAMSO-09S-PC-HT</t>
  </si>
  <si>
    <t>T-DGRAMSO-09S-PC</t>
  </si>
  <si>
    <t>6' 4" SB, HD, A-Wthr,Tool Box</t>
  </si>
  <si>
    <t>T-DGRAMSO-09S-P5-TB-PW</t>
  </si>
  <si>
    <t>Ram Pickup Standard Offset</t>
  </si>
  <si>
    <t>T-DGRAMSO-09S-P5-TB</t>
  </si>
  <si>
    <t>T-DGRAMSO-03S-P5-PW</t>
  </si>
  <si>
    <t>Ram Pickup Std Offset</t>
  </si>
  <si>
    <t>T-DGRAMSO-03S-P5</t>
  </si>
  <si>
    <t>T-DGRAMSO-03L-P5-PW</t>
  </si>
  <si>
    <t>T-DGRAMSO-03L-P5</t>
  </si>
  <si>
    <t>T-DGRAMSO-02S-PW-RX</t>
  </si>
  <si>
    <t>T-DGRAMSO-02S-PW</t>
  </si>
  <si>
    <t>6' 3" Short Bed; Table Ext</t>
  </si>
  <si>
    <t>T-DGRAMSO-02S-PT</t>
  </si>
  <si>
    <t>T-DGRAMSO-02S</t>
  </si>
  <si>
    <t>T-DGRAMSO-02L</t>
  </si>
  <si>
    <t>T-DGRAMS2-94S-PW</t>
  </si>
  <si>
    <t>Short Bed w/Table Ext</t>
  </si>
  <si>
    <t>T-DGRAMS2-94S-PT</t>
  </si>
  <si>
    <t>Short Bed, A-Wthr, HD</t>
  </si>
  <si>
    <t>T-DGRAMS2-94S-P5-PW</t>
  </si>
  <si>
    <t>T-DGRAMS2-94S-P5</t>
  </si>
  <si>
    <t>T-DGRAMS2-94S</t>
  </si>
  <si>
    <t>T-DGRAMS2-94L-PW</t>
  </si>
  <si>
    <t>T-DGRAMS2-94L-P5-PW</t>
  </si>
  <si>
    <t>T-DGRAMS2-94L-P5</t>
  </si>
  <si>
    <t>T-DGRAMS2-94L</t>
  </si>
  <si>
    <t>6' 3" Short Bed, A-Wthr, Toolbox</t>
  </si>
  <si>
    <t>T-DGRAMS2-19S-TB-PW</t>
  </si>
  <si>
    <t>T-DGRAMS2-19S-PW</t>
  </si>
  <si>
    <t>5' 7" SB,Crew Cab,Tool Box Retrax</t>
  </si>
  <si>
    <t>T-DGRAMS2-19S-PC-TB-RX</t>
  </si>
  <si>
    <t>T-DGRAMS2-19S-PC-TB-PW</t>
  </si>
  <si>
    <t>T-DGRAMS2-19S-PC-TB</t>
  </si>
  <si>
    <t>4'  SB,Crew Cab, Retrax</t>
  </si>
  <si>
    <t>T-DGRAMS2-19S-PC-RX-PW</t>
  </si>
  <si>
    <t>T-DGRAMS2-19S-PC-PW</t>
  </si>
  <si>
    <t>T-DGRAMS2-19S-PC</t>
  </si>
  <si>
    <t>T-DGRAMS2-19S-P5-RX-PW</t>
  </si>
  <si>
    <t>T-DGRAMS2-19S-P5-PW</t>
  </si>
  <si>
    <t>T-DGRAMS2-19S-P5</t>
  </si>
  <si>
    <t>T-DGRAMS2-19S</t>
  </si>
  <si>
    <t>T-DGRAMS2-19L-P5-PW</t>
  </si>
  <si>
    <t>T-DGRAMS2-19L-P5</t>
  </si>
  <si>
    <t>Ram 3500 Dually Pickup Std 2 Dwr</t>
  </si>
  <si>
    <t>T-DGRAMS2-15S-P5-DW-PW</t>
  </si>
  <si>
    <t>T-DGRAMS2-15L-P5-DW-PW</t>
  </si>
  <si>
    <t>T-DGRAMS2-09S-TB-PW</t>
  </si>
  <si>
    <t>6' 3" Short Bed, Tool Box</t>
  </si>
  <si>
    <t>T-DGRAMS2-09S-TB</t>
  </si>
  <si>
    <t>T-DGRAMS2-09S-PC-TB-PW</t>
  </si>
  <si>
    <t>T-DGRAMS2-09S-PC-TB</t>
  </si>
  <si>
    <t>T-DGRAMS2-09S-PC-PW</t>
  </si>
  <si>
    <t>5' 7" Short Bed, Crew Cab, Table Ext</t>
  </si>
  <si>
    <t>T-DGRAMS2-09S-PC-PT</t>
  </si>
  <si>
    <t>T-DGRAMS2-09S-PC</t>
  </si>
  <si>
    <t>T-DGRAMS2-09S-P5-TB-PW</t>
  </si>
  <si>
    <t>Ram Pickup Standard 2 Drawer</t>
  </si>
  <si>
    <t>T-DGRAMS2-09S-P5-TB</t>
  </si>
  <si>
    <t>T-DGRAMS2-03S-P5-PW</t>
  </si>
  <si>
    <t>6' 3" Short Bed, HD Table Ext</t>
  </si>
  <si>
    <t>Ram Pickup Std 2 Dwr Table Ext</t>
  </si>
  <si>
    <t>T-DGRAMS2-03S-P5-PT</t>
  </si>
  <si>
    <t>6' 3" Short Bed, HD; Heavy Tbl</t>
  </si>
  <si>
    <t>T-DGRAMS2-03S-P5-HT</t>
  </si>
  <si>
    <t>T-DGRAMS2-03S-P5</t>
  </si>
  <si>
    <t>T-DGRAMS2-03L-P5-PW</t>
  </si>
  <si>
    <t>T-DGRAMS2-03L-P5</t>
  </si>
  <si>
    <t>T-DGRAMS2-02S-PW</t>
  </si>
  <si>
    <t>6' 3" Short Bed, Tbl Ext</t>
  </si>
  <si>
    <t>T-DGRAMS2-02S-PT</t>
  </si>
  <si>
    <t>T-DGRAMS2-02S</t>
  </si>
  <si>
    <t>T-DGRAMS2-02L-PW</t>
  </si>
  <si>
    <t>T-DGRAMS2-02L</t>
  </si>
  <si>
    <t>5' 7" Bed; Drivers Side, Rambox</t>
  </si>
  <si>
    <t>Ram Std 1 Dwr Half Width</t>
  </si>
  <si>
    <t>T-DGRAMS1-19S-PC-TB-HD</t>
  </si>
  <si>
    <t>5' 7", All Wthr; Retrax; Passenger Side</t>
  </si>
  <si>
    <t>T-DGRAMS1-19S-PC-HP-RX-PW</t>
  </si>
  <si>
    <t>5' 7" Bed; Passengers Side</t>
  </si>
  <si>
    <t>Ram Std 1 Dwr 1/2 Width ReTrax</t>
  </si>
  <si>
    <t>T-DGRAMS1-19S-PC-HP-RX</t>
  </si>
  <si>
    <t>T-DGRAMS1-19S-PC-HP-PW</t>
  </si>
  <si>
    <t>T-DGRAMS1-19S-PC-HP</t>
  </si>
  <si>
    <t>T-DGRAMS1-19S-PC-HD-PW</t>
  </si>
  <si>
    <t>5' 7" Bed; Drivers Side</t>
  </si>
  <si>
    <t>T-DGRAMS1-19S-PC-HD</t>
  </si>
  <si>
    <t>6' 3"; HD; Driver Side, Rambox</t>
  </si>
  <si>
    <t>Ram Std 1 Dwr, Half Width</t>
  </si>
  <si>
    <t>T-DGRAMS1-19S-P5-TB-HD</t>
  </si>
  <si>
    <t>6.5" , HD, Passenger Side, All Weather</t>
  </si>
  <si>
    <t>Ram HD Std 1 Dwr Half Width</t>
  </si>
  <si>
    <t>T-DGRAMS1-19S-P5-HP-PW</t>
  </si>
  <si>
    <t>6.5" , HD, Passenger Side</t>
  </si>
  <si>
    <t>T-DGRAMS1-19S-P5-HP</t>
  </si>
  <si>
    <t>6' 3"; HD; Driver Side</t>
  </si>
  <si>
    <t>T-DGRAMS1-19S-P5-HD</t>
  </si>
  <si>
    <t>T-DGRAMS1-19S-HP</t>
  </si>
  <si>
    <t>T-DGRAMS1-19S-HD-PW</t>
  </si>
  <si>
    <t>6 1/2  Bed; Drivers Side</t>
  </si>
  <si>
    <t>T-DGRAMS1-19S-HD</t>
  </si>
  <si>
    <t>Ram 3500 Dually Std 1 Dwr Half Width</t>
  </si>
  <si>
    <t>T-DGRAMS1-15S-P5-HP-DW-PW</t>
  </si>
  <si>
    <t>T-DGRAMS1-15S-P5-HD-DW-PW</t>
  </si>
  <si>
    <t>8', All Wthr; Drivers Side</t>
  </si>
  <si>
    <t>T-DGRAMS1-15L-P5-HD-DW-PW</t>
  </si>
  <si>
    <t>5' 7", All Wthr;Either Side, Ram Boxes</t>
  </si>
  <si>
    <t>Ram Std 1 Dwr Half Width RetRax</t>
  </si>
  <si>
    <t>T-DGRAMS1-09S-PC-TB-RX-HN-PW</t>
  </si>
  <si>
    <t>T-DGRAMS1-09S-PC-TB-HP</t>
  </si>
  <si>
    <t>5' 6", All Wthr ;Either  Side</t>
  </si>
  <si>
    <t>Ram Std 1 Dwr Half Width No Wings</t>
  </si>
  <si>
    <t>T-DGRAMS1-09S-PC-TB-HN-PW</t>
  </si>
  <si>
    <t>T-DGRAMS1-09S-PC-HP-PW</t>
  </si>
  <si>
    <t>T-DGRAMS1-09S-PC-HP</t>
  </si>
  <si>
    <t>5' 6", All Wthr;Drivers Side</t>
  </si>
  <si>
    <t>T-DGRAMS1-09S-PC-HD-PW</t>
  </si>
  <si>
    <t>5' 7" Short Bed; Drivers Side</t>
  </si>
  <si>
    <t>T-DGRAMS1-09S-PC-HD</t>
  </si>
  <si>
    <t>6' 6", All Wthr; Ram Boxes</t>
  </si>
  <si>
    <t>T-DGRAMS1-09S-P5-TB-HN-PW</t>
  </si>
  <si>
    <t>T-DGRAMS1-03S-P5-HP-PW</t>
  </si>
  <si>
    <t>T-DGRAMS1-03S-P5-HP</t>
  </si>
  <si>
    <t>T-DGRAMS1-03S-P5-HD-PW</t>
  </si>
  <si>
    <t>6' 3"; HD; Drivers Side</t>
  </si>
  <si>
    <t>T-DGRAMS1-03S-P5-HD</t>
  </si>
  <si>
    <t>8', All Wthr; Passengers Side</t>
  </si>
  <si>
    <t>HD Ram Std 1 Dwr Half Width</t>
  </si>
  <si>
    <t>T-DGRAMS1-03L-P5-HP-PW</t>
  </si>
  <si>
    <t>T-DGRAMS1-03L-P5-HP</t>
  </si>
  <si>
    <t>T-DGRAMS1-03L-P5-HD-PW</t>
  </si>
  <si>
    <t>8' Bed, Drivers Side</t>
  </si>
  <si>
    <t>T-DGRAMS1-03L-P5-HD</t>
  </si>
  <si>
    <t>T-DGRAMS1-02S-HP-PW</t>
  </si>
  <si>
    <t>6' 3" Short Bed; Passenge Side</t>
  </si>
  <si>
    <t>T-DGRAMS1-02S-HP</t>
  </si>
  <si>
    <t>T-DGRAMS1-02S-HD-PW</t>
  </si>
  <si>
    <t>T-DGRAMS1-02S-HD</t>
  </si>
  <si>
    <t>T-DGRAMS1-02L-HP-PW</t>
  </si>
  <si>
    <t>8' Long Bed; Passenger Side</t>
  </si>
  <si>
    <t>T-DGRAMS1-02L-HP</t>
  </si>
  <si>
    <t>T-DGRAMS1-02L-HD-PW</t>
  </si>
  <si>
    <t>8' Long Bed; Drivers Side</t>
  </si>
  <si>
    <t>T-DGRAMS1-02L-HD</t>
  </si>
  <si>
    <t>Ram Pickup Mag Offset Dwr</t>
  </si>
  <si>
    <t>T-DGRAMMO-94S-PW</t>
  </si>
  <si>
    <t>T-DGRAMMO-94S</t>
  </si>
  <si>
    <t>Ram Pickup Mag OS Dwr</t>
  </si>
  <si>
    <t>T-DGRAMMO-94L-PW</t>
  </si>
  <si>
    <t>T-DGRAMMO-94L</t>
  </si>
  <si>
    <t>T-DGRAMMO-81L-PW</t>
  </si>
  <si>
    <t>T-DGRAMMO-81L</t>
  </si>
  <si>
    <t>T-DGRAMMO-19S-PW</t>
  </si>
  <si>
    <t>T-DGRAMMO-19S-PC-TB-PW</t>
  </si>
  <si>
    <t>T-DGRAMMO-19S-PC-TB</t>
  </si>
  <si>
    <t>5' 7" SB, Crew Cab, Retrax All-Whtr</t>
  </si>
  <si>
    <t>T-DGRAMMO-19S-PC-RX-PW</t>
  </si>
  <si>
    <t>5' 7" SB, Crew Cab, Retrax</t>
  </si>
  <si>
    <t>T-DGRAMMO-19S-PC-RX</t>
  </si>
  <si>
    <t>T-DGRAMMO-19S-PC-PW</t>
  </si>
  <si>
    <t>T-DGRAMMO-19S-PC</t>
  </si>
  <si>
    <t>T-DGRAMMO-19S-P5-PW</t>
  </si>
  <si>
    <t>T-DGRAMMO-19S-P5-HW-PW</t>
  </si>
  <si>
    <t>6'3" Short Bed, HD</t>
  </si>
  <si>
    <t>T-DGRAMMO-19S-P5</t>
  </si>
  <si>
    <t>T-DGRAMMO-19S</t>
  </si>
  <si>
    <t>Ram Pickup Magnum Offset Dwr</t>
  </si>
  <si>
    <t>T-DGRAMMO-19L-P5-PW</t>
  </si>
  <si>
    <t>T-DGRAMMO-19L-P5</t>
  </si>
  <si>
    <t>Ram 3500 Dually Pickup Mag OS Dwr</t>
  </si>
  <si>
    <t>T-DGRAMMO-15S-P5-DW-PW</t>
  </si>
  <si>
    <t>Heavy Duty, Long Bed, A-Wthr</t>
  </si>
  <si>
    <t>Ram 3500 Dually Pickup Mag Offset</t>
  </si>
  <si>
    <t>T-DGRAMMO-15L-P5-DW-PW</t>
  </si>
  <si>
    <t>5' 7" SB,Crew,Tool Box, A-Wthr</t>
  </si>
  <si>
    <t>T-DGRAMMO-09S-PC-TB-PW</t>
  </si>
  <si>
    <t>5' 7" SB, Tool Box, Crew Cab</t>
  </si>
  <si>
    <t>T-DGRAMMO-09S-PC-TB</t>
  </si>
  <si>
    <t>5' 7" Short Bed, ReTrax</t>
  </si>
  <si>
    <t>T-DGRAMMO-09S-PC-RX</t>
  </si>
  <si>
    <t>T-DGRAMMO-09S-PC-PW</t>
  </si>
  <si>
    <t>5' 7" SB,Crew,Tool Box, A-Wthr, HD Table</t>
  </si>
  <si>
    <t>T-DGRAMMO-09S-PC-HT-TB-PW</t>
  </si>
  <si>
    <t>T-DGRAMMO-09S-PC</t>
  </si>
  <si>
    <t>T-DGRAMMO-09S-P5-TB-PW</t>
  </si>
  <si>
    <t>6' 4" SB, HD,Tool Box</t>
  </si>
  <si>
    <t>T-DGRAMMO-09S-P5-TB</t>
  </si>
  <si>
    <t>T-DGRAMMO-03S-P5-PW</t>
  </si>
  <si>
    <t>6' 3" Short Bed, HD, HD Table</t>
  </si>
  <si>
    <t>T-DGRAMMO-03S-P5-HT</t>
  </si>
  <si>
    <t>Ram Pickup Mag OS Dwr,Bedslide</t>
  </si>
  <si>
    <t>T-DGRAMMO-03S-P5-BS-PW</t>
  </si>
  <si>
    <t>T-DGRAMMO-03S-P5</t>
  </si>
  <si>
    <t>T-DGRAMMO-03L-P5-PW</t>
  </si>
  <si>
    <t>T-DGRAMMO-03L-P5</t>
  </si>
  <si>
    <t>Ram Pickup Magnum OS Dwr</t>
  </si>
  <si>
    <t>T-DGRAMMO-02S-PW-RX</t>
  </si>
  <si>
    <t>T-DGRAMMO-02S-PW</t>
  </si>
  <si>
    <t>T-DGRAMMO-02S</t>
  </si>
  <si>
    <t>T-DGRAMMO-02L-PW</t>
  </si>
  <si>
    <t>T-DGRAMMO-02L</t>
  </si>
  <si>
    <t>Ram Pickup Mag 2 Dwr</t>
  </si>
  <si>
    <t>T-DGRAMM2-94S-PW</t>
  </si>
  <si>
    <t>T-DGRAMM2-94S-P5</t>
  </si>
  <si>
    <t>T-DGRAMM2-94S</t>
  </si>
  <si>
    <t>T-DGRAMM2-94L-PW</t>
  </si>
  <si>
    <t>T-DGRAMM2-94L-P5-PW</t>
  </si>
  <si>
    <t>T-DGRAMM2-94L-P5</t>
  </si>
  <si>
    <t>T-DGRAMM2-94L</t>
  </si>
  <si>
    <t>6' 6" Short Bed, Crew Cab</t>
  </si>
  <si>
    <t>Ram Pickup Surveyor</t>
  </si>
  <si>
    <t>T-DGRAMM2-19S-VP</t>
  </si>
  <si>
    <t>6' 3" Short Bed, A-Wthr ReTrax</t>
  </si>
  <si>
    <t>T-DGRAMM2-19S-RX-PW</t>
  </si>
  <si>
    <t>6' 3" Short Bed, HD ReTrax</t>
  </si>
  <si>
    <t>T-DGRAMM2-19S-RX</t>
  </si>
  <si>
    <t>T-DGRAMM2-19S-PW</t>
  </si>
  <si>
    <t>5' 7" SB, Crew Cab, Tool Box, All-Whtr</t>
  </si>
  <si>
    <t>Ram Pickup Mag 2 Dwr ReTrax</t>
  </si>
  <si>
    <t>T-DGRAMM2-19S-PC-TB-RX-PW</t>
  </si>
  <si>
    <t>T-DGRAMM2-19S-PC-TB-RX</t>
  </si>
  <si>
    <t>5' 7" SB,Crew,Tool Box, A-Whtr</t>
  </si>
  <si>
    <t>T-DGRAMM2-19S-PC-TB-PW</t>
  </si>
  <si>
    <t>T-DGRAMM2-19S-PC-TB</t>
  </si>
  <si>
    <t>5' 7" SB, Crew Cab, Retrax; All-Whtr</t>
  </si>
  <si>
    <t>T-DGRAMM2-19S-PC-RX-PW</t>
  </si>
  <si>
    <t>5' 7" SB,SuperCrew</t>
  </si>
  <si>
    <t>T-DGRAMM2-19S-PC-RX</t>
  </si>
  <si>
    <t>T-DGRAMM2-19S-PC-PW</t>
  </si>
  <si>
    <t>T-DGRAMM2-19S-PC</t>
  </si>
  <si>
    <t>T-DGRAMM2-19S-P5-TB-PW</t>
  </si>
  <si>
    <t>T-DGRAMM2-19S-P5-PW</t>
  </si>
  <si>
    <t>6' 3" Short Bed, A-Wthr, HD, HD Table</t>
  </si>
  <si>
    <t>T-DGRAMM2-19S-P5-HW-PW</t>
  </si>
  <si>
    <t>T-DGRAMM2-19S-P5</t>
  </si>
  <si>
    <t>T-DGRAMM2-19S</t>
  </si>
  <si>
    <t>8" Long Bed, A-Wthr, HD</t>
  </si>
  <si>
    <t>T-DGRAMM2-19L-PW</t>
  </si>
  <si>
    <t>T-DGRAMM2-19L-P5-PW</t>
  </si>
  <si>
    <t>Long Bed, HD; Bed Lights &amp; Cleats</t>
  </si>
  <si>
    <t>T-DGRAMM2-19L-P5</t>
  </si>
  <si>
    <t>Ram 3500 Dually Pickup Mag 2 Dwr</t>
  </si>
  <si>
    <t>T-DGRAMM2-15S-P5-DW-PW</t>
  </si>
  <si>
    <t>T-DGRAMM2-15L-P5-DW-PW</t>
  </si>
  <si>
    <t>T-DGRAMM2-09S-TB-PW</t>
  </si>
  <si>
    <t>T-DGRAMM2-09S-PC-TB-RX</t>
  </si>
  <si>
    <t>T-DGRAMM2-09S-PC-TB-PW</t>
  </si>
  <si>
    <t>T-DGRAMM2-09S-PC-TB</t>
  </si>
  <si>
    <t>T-DGRAMM2-09S-PC-RX-PW</t>
  </si>
  <si>
    <t>5' 7" SB Shortened for ReTrax</t>
  </si>
  <si>
    <t>T-DGRAMM2-09S-PC-RX</t>
  </si>
  <si>
    <t>T-DGRAMM2-09S-PC-PW</t>
  </si>
  <si>
    <t>5' 7" SB, Crew Cab, BedSlide</t>
  </si>
  <si>
    <t>T-DGRAMM2-09S-PC-BS</t>
  </si>
  <si>
    <t>T-DGRAMM2-09S-PC</t>
  </si>
  <si>
    <t>T-DGRAMM2-09S-P5-TB-PW</t>
  </si>
  <si>
    <t>Ram Pickup Mag 2 Drawer</t>
  </si>
  <si>
    <t>T-DGRAMM2-09S-P5-TB</t>
  </si>
  <si>
    <t>T-DGRAMM2-03S-P5-RX-PW</t>
  </si>
  <si>
    <t>T-DGRAMM2-03S-P5-PW</t>
  </si>
  <si>
    <t>T-DGRAMM2-03S-P5</t>
  </si>
  <si>
    <t>T-DGRAMM2-03L-P5-PW</t>
  </si>
  <si>
    <t>T-DGRAMM2-03L-P5</t>
  </si>
  <si>
    <t>6' 3" Short Bed, A-Wthr; Retrax</t>
  </si>
  <si>
    <t>T-DGRAMM2-02S-RX-PW</t>
  </si>
  <si>
    <t>6' 3" Short Bed, Retrax</t>
  </si>
  <si>
    <t>T-DGRAMM2-02S-RX</t>
  </si>
  <si>
    <t>T-DGRAMM2-02S-PW</t>
  </si>
  <si>
    <t>T-DGRAMM2-02S</t>
  </si>
  <si>
    <t>T-DGRAMM2-02L-PW</t>
  </si>
  <si>
    <t>T-DGRAMM2-02L</t>
  </si>
  <si>
    <t>6 1/2' Crew Cab, Driver Side</t>
  </si>
  <si>
    <t>Ram Mag 1 Dwr, Half Width ReTrax</t>
  </si>
  <si>
    <t>T-DGRAMM1-19S-RX-HD</t>
  </si>
  <si>
    <t>5' 7" Crew Cab, Any Side, Ram Box</t>
  </si>
  <si>
    <t>Ram Mag 1 Dwr, Half Width</t>
  </si>
  <si>
    <t>T-DGRAMM1-19S-PC-TB-HN</t>
  </si>
  <si>
    <t>5' 7" Crew Cab, Driver Side, Ram Box</t>
  </si>
  <si>
    <t>T-DGRAMM1-19S-PC-TB-HD</t>
  </si>
  <si>
    <t>5' 7", All Wthr; ReTrax</t>
  </si>
  <si>
    <t>Ram Mag 1 Dwr 1/2 Width Passenger Side</t>
  </si>
  <si>
    <t>T-DGRAMM1-19S-PC-RX-HP-PW</t>
  </si>
  <si>
    <t>5' 7" Crew Cab,</t>
  </si>
  <si>
    <t>Ram Mag 1 Dwr,  ReTrax, Half width</t>
  </si>
  <si>
    <t>T-DGRAMM1-19S-PC-RX-HP</t>
  </si>
  <si>
    <t>Ram Mag 1 Dwr,  ReTrax</t>
  </si>
  <si>
    <t>T-DGRAMM1-19S-PC-RX</t>
  </si>
  <si>
    <t>Ram Mag 1 Dwr Half Width</t>
  </si>
  <si>
    <t>T-DGRAMM1-19S-PC-HP-PW</t>
  </si>
  <si>
    <t>T-DGRAMM1-19S-PC-HP</t>
  </si>
  <si>
    <t>5' 7", All Wthr;Drivers Side</t>
  </si>
  <si>
    <t>T-DGRAMM1-19S-PC-HD-PW</t>
  </si>
  <si>
    <t>5' 7" Crew Cab, Driver Side</t>
  </si>
  <si>
    <t>T-DGRAMM1-19S-PC-HD</t>
  </si>
  <si>
    <t>6', All Wthr; Passenger Side</t>
  </si>
  <si>
    <t>T-DGRAMM1-19S-P5-HP-PW</t>
  </si>
  <si>
    <t>T-DGRAMM1-19S-P5-HP</t>
  </si>
  <si>
    <t>6.5'; HD; Drivers Side</t>
  </si>
  <si>
    <t>Ram Mag 1 Dwr, Half Width, All Weather</t>
  </si>
  <si>
    <t>T-DGRAMM1-19S-P5-HD-PW</t>
  </si>
  <si>
    <t>T-DGRAMM1-19S-P5-HD</t>
  </si>
  <si>
    <t>T-DGRAMM1-19S-HP-PW</t>
  </si>
  <si>
    <t>T-DGRAMM1-19S-HP</t>
  </si>
  <si>
    <t>T-DGRAMM1-19S-HD-PW</t>
  </si>
  <si>
    <t>6' Crew Cab, Driver Side</t>
  </si>
  <si>
    <t>T-DGRAMM1-19S-HD</t>
  </si>
  <si>
    <t>8' Bed, Driver Side, Ram HD</t>
  </si>
  <si>
    <t>T-DGRAMM1-19L-P5-HD</t>
  </si>
  <si>
    <t>Ram 3500 Mag 1 Dwr Half Width</t>
  </si>
  <si>
    <t>T-DGRAMM1-15S-P5-HP-DW-PW</t>
  </si>
  <si>
    <t>Ram 3500 Dually Mag 1 Dwr Half Width</t>
  </si>
  <si>
    <t>T-DGRAMM1-15S-P5-HD-DW-PW</t>
  </si>
  <si>
    <t>6'3" Crew Cab, Either Side, Ram Box</t>
  </si>
  <si>
    <t>T-DGRAMM1-09S-TB-HN</t>
  </si>
  <si>
    <t>5' 7", All Wthr;Either Side</t>
  </si>
  <si>
    <t>T-DGRAMM1-09S-PC-TB-HN-PW</t>
  </si>
  <si>
    <t>5' 7" Crew Cab, Driver Side, Either Side</t>
  </si>
  <si>
    <t>T-DGRAMM1-09S-PC-TB-HN</t>
  </si>
  <si>
    <t>T-DGRAMM1-09S-PC-TB-HD</t>
  </si>
  <si>
    <t>Ram Mag 1 Dwr Half Width ReTrax</t>
  </si>
  <si>
    <t>T-DGRAMM1-09S-PC-HP-RX-PW</t>
  </si>
  <si>
    <t>T-DGRAMM1-09S-PC-HP-PW</t>
  </si>
  <si>
    <t>T-DGRAMM1-09S-PC-HP</t>
  </si>
  <si>
    <t>T-DGRAMM1-09S-PC-HD-PW</t>
  </si>
  <si>
    <t>T-DGRAMM1-09S-PC-HD</t>
  </si>
  <si>
    <t>6'3" All Wthr;Either Side</t>
  </si>
  <si>
    <t>T-DGRAMM1-09S-P5-TB-HN-PW</t>
  </si>
  <si>
    <t>T-DGRAMM1-03S-P5-RX-HP-PW</t>
  </si>
  <si>
    <t>T-DGRAMM1-03S-P5-RX-HD-PW</t>
  </si>
  <si>
    <t>T-DGRAMM1-03S-P5-HP-PW</t>
  </si>
  <si>
    <t>T-DGRAMM1-03S-P5-HP</t>
  </si>
  <si>
    <t>T-DGRAMM1-03S-P5-HD-PW</t>
  </si>
  <si>
    <t>T-DGRAMM1-03S-P5-HD</t>
  </si>
  <si>
    <t>T-DGRAMM1-03L-P5-HP</t>
  </si>
  <si>
    <t>T-DGRAMM1-02S-HP-PW</t>
  </si>
  <si>
    <t>T-DGRAMM1-02S-HP</t>
  </si>
  <si>
    <t>T-DGRAMM1-02S-HD-PW</t>
  </si>
  <si>
    <t>T-DGRAMM1-02S-HD</t>
  </si>
  <si>
    <t>T-DGRAMM1-02L-HP-PW</t>
  </si>
  <si>
    <t>T-DGRAMM1-02L-HP</t>
  </si>
  <si>
    <t>T-DGRAMM1-02L-HD-PW</t>
  </si>
  <si>
    <t>T-DGRAMM1-02L-HD</t>
  </si>
  <si>
    <t>Ram Pickup Ext 2 Dwr</t>
  </si>
  <si>
    <t>T-DGRAME2-19S-PC-PW</t>
  </si>
  <si>
    <t>Ram Pickup Cab Vault</t>
  </si>
  <si>
    <t>S-DGRAMN1-19N-LD</t>
  </si>
  <si>
    <t>Ram Pickup SeatVault</t>
  </si>
  <si>
    <t>S-DGRAML2-19N</t>
  </si>
  <si>
    <t>Factory Floor Lids</t>
  </si>
  <si>
    <t>S-DGRAML1-19N-LD</t>
  </si>
  <si>
    <t>S-DGRAML1-19N</t>
  </si>
  <si>
    <t>C-DGRAMN4-19S-TG-PL2</t>
  </si>
  <si>
    <t>C-DGRAMN4-02S-VP</t>
  </si>
  <si>
    <t>C-DGRAMN3-19S-TG-PL1</t>
  </si>
  <si>
    <t>C-DGRAMN3-19S-PC-TG-PL1</t>
  </si>
  <si>
    <t>5' 7" Bed; Crew Cab; A/W</t>
  </si>
  <si>
    <t>Ram Pickup Field Ranger</t>
  </si>
  <si>
    <t>C-DGRAMN3-19S-PC-CR-PW</t>
  </si>
  <si>
    <t>5' 7" Bed; Crew Cab</t>
  </si>
  <si>
    <t>C-DGRAMN3-19S-PC-CR</t>
  </si>
  <si>
    <t>C-DGRAMN3-19S-P5-TG-PL6</t>
  </si>
  <si>
    <t>C-DGRAMN3-19S-P5-TG-PL1</t>
  </si>
  <si>
    <t>6' 8" Bed, All Weather, Heavy Duty</t>
  </si>
  <si>
    <t>C-DGRAMN3-19S-P5-CR-PW</t>
  </si>
  <si>
    <t>6' 3" Bed, All Weather,</t>
  </si>
  <si>
    <t>C-DGRAMN3-19S-CR-PW</t>
  </si>
  <si>
    <t>Ram Field Ranger</t>
  </si>
  <si>
    <t>C-DGRAMN3-19S-CR</t>
  </si>
  <si>
    <t>8' Bed, All Weather, Heavy Duty</t>
  </si>
  <si>
    <t>C-DGRAMN3-19L-P5-CR-PW</t>
  </si>
  <si>
    <t>5 1/2 Bed</t>
  </si>
  <si>
    <t>Dodge Ram Special Ops Ctr</t>
  </si>
  <si>
    <t>C-DGRAMN3-19D-PC</t>
  </si>
  <si>
    <t>5' 7" Bed, Ram Boxes, All-Wthr</t>
  </si>
  <si>
    <t>Ram Pickup BowHunter</t>
  </si>
  <si>
    <t>C-DGRAMN3-09S-PC-TB-BH-PW</t>
  </si>
  <si>
    <t>C-DGRAMN3-09S-PC-CR-PW</t>
  </si>
  <si>
    <t>C-DGRAMN3-09S-PC-CR</t>
  </si>
  <si>
    <t>C-DGRAMN3-09S-P5-TB-CR</t>
  </si>
  <si>
    <t>Ram Boxes, All Weather</t>
  </si>
  <si>
    <t>C-DGRAMN3-09R-TB-PW</t>
  </si>
  <si>
    <t>C-DGRAMN3-09R-PC-TB-PW</t>
  </si>
  <si>
    <t>Ram Pickup Investigator</t>
  </si>
  <si>
    <t>C-DGRAMN3-09I-PC</t>
  </si>
  <si>
    <t>6' 3" Bed, All Weather, HD</t>
  </si>
  <si>
    <t>C-DGRAMN3-03S-P5-CR-PW</t>
  </si>
  <si>
    <t>C-DGRAMN3-03S-P5-CR</t>
  </si>
  <si>
    <t>6' 3" Bed, All-Weather, HD</t>
  </si>
  <si>
    <t>C-DGRAMN3-03S-P5-BH-PW</t>
  </si>
  <si>
    <t>6' 3" Bed, Short Bed</t>
  </si>
  <si>
    <t>C-DGRAMN3-03S-P5-BH</t>
  </si>
  <si>
    <t>Ram Pickup</t>
  </si>
  <si>
    <t>C-DGRAMN3-03L-P5-CR-PW</t>
  </si>
  <si>
    <t>C-DGRAMN3-03L-P5-BH-PW</t>
  </si>
  <si>
    <t>C-DGRAMN3-02S-CR</t>
  </si>
  <si>
    <t>C-DGRAMN3-02I</t>
  </si>
  <si>
    <t>C-DGRAMN2-19S-PC-TG-PL3</t>
  </si>
  <si>
    <t>C-DGRAMN2-19L-P5-TG-PL3</t>
  </si>
  <si>
    <t>C-DGRAMN2-09S-PC-TG-PL3</t>
  </si>
  <si>
    <t>6.5' Short Bed, Crew Cab</t>
  </si>
  <si>
    <t>C-DGRAMM2-19S-VP</t>
  </si>
  <si>
    <t>C-DGRAMM2-19S-PC-VP</t>
  </si>
  <si>
    <t>C-DGRAMM2-09S-PC-VP</t>
  </si>
  <si>
    <t>Ram Pickup Base Camp 4</t>
  </si>
  <si>
    <t>B-DGRAMN4-19S-PC-BC4</t>
  </si>
  <si>
    <t>B-DGRAMN4-19S-P5-BC4</t>
  </si>
  <si>
    <t>B-DGRAMN4-19S-BC4</t>
  </si>
  <si>
    <t>B-DGRAMN4-09S-PC-BC4</t>
  </si>
  <si>
    <t>6 ' 3" Short Bed</t>
  </si>
  <si>
    <t>B-DGRAMN4-03S-P5-BC4</t>
  </si>
  <si>
    <t>B-DGRAMN4-03L-P5-BC4</t>
  </si>
  <si>
    <t>Ram Pickup Base Camp 3</t>
  </si>
  <si>
    <t>B-DGRAMN3-19S-PC-BC3</t>
  </si>
  <si>
    <t>B-DGRAMN3-19S-BC3</t>
  </si>
  <si>
    <t>Ram Pickup Base Camp 5</t>
  </si>
  <si>
    <t>B-DGRAMN2-19S-PC-BC6</t>
  </si>
  <si>
    <t>B-DGRAMN2-19S-PC-BC5</t>
  </si>
  <si>
    <t>Ram Pickup Base Camp 2</t>
  </si>
  <si>
    <t>B-DGRAMN2-19S-PC-BC2</t>
  </si>
  <si>
    <t>Ram Pickup Base Camp 1</t>
  </si>
  <si>
    <t>B-DGRAMN2-19S-PC-BC1</t>
  </si>
  <si>
    <t>6' 4 " Short Bed</t>
  </si>
  <si>
    <t>B-DGRAMN2-19S-P5-BC5</t>
  </si>
  <si>
    <t>B-DGRAMN2-19S-P5-BC2</t>
  </si>
  <si>
    <t>B-DGRAMN2-19S-P5-BC1</t>
  </si>
  <si>
    <t>B-DGRAMN2-19S-BC2</t>
  </si>
  <si>
    <t>B-DGRAMN2-19S-BC1</t>
  </si>
  <si>
    <t>B-DGRAMN2-19L-P5-BC1</t>
  </si>
  <si>
    <t>B-DGRAMN2-09S-PC-BC5</t>
  </si>
  <si>
    <t>B-DGRAMN2-09S-PC-BC1</t>
  </si>
  <si>
    <t>B-DGRAMN2-03S-P5-BC2</t>
  </si>
  <si>
    <t>B-DGRAMN2-03L-P5-BC1</t>
  </si>
  <si>
    <t>B-DGRAMN2-02S-BC2</t>
  </si>
  <si>
    <t>B-DGRAMN2-02S-BC1</t>
  </si>
  <si>
    <t>Ram CV Captain LX CC</t>
  </si>
  <si>
    <t>C-DGRCVN5-12P-PT</t>
  </si>
  <si>
    <t>Ram CV</t>
  </si>
  <si>
    <t>LWB All Weather</t>
  </si>
  <si>
    <t>ProMaster Van Mag 2 Dwr</t>
  </si>
  <si>
    <t>T-DGPMVU2-15L-PW</t>
  </si>
  <si>
    <t>T-DGPMVM2-06L</t>
  </si>
  <si>
    <t>ProMaster Surveyor</t>
  </si>
  <si>
    <t>C-DGPMVM2-15L-VP</t>
  </si>
  <si>
    <t>ProMaster City Van</t>
  </si>
  <si>
    <t>ProMaster Cargo Van</t>
  </si>
  <si>
    <t>T-DGPMCSO-06L</t>
  </si>
  <si>
    <t>T-DGPMCM2-06L</t>
  </si>
  <si>
    <t>Promaster Cargo Van</t>
  </si>
  <si>
    <t>Nitro Std 2 Drawer</t>
  </si>
  <si>
    <t>T-DGNITS2-07N</t>
  </si>
  <si>
    <t>Nitro Std 1 Drawer</t>
  </si>
  <si>
    <t>T-DGNITS1-07N</t>
  </si>
  <si>
    <t>Nitro Mag 2 Drawer</t>
  </si>
  <si>
    <t>T-DGNITM2-07N</t>
  </si>
  <si>
    <t>Nitro Mag 1 Drawer</t>
  </si>
  <si>
    <t>T-DGNITM1-07N</t>
  </si>
  <si>
    <t>Nitro Investigator</t>
  </si>
  <si>
    <t>C-DGNITN3-07I</t>
  </si>
  <si>
    <t>Nitro</t>
  </si>
  <si>
    <t>19L x 39W x 15H</t>
  </si>
  <si>
    <t>Magnum 1 Dwr</t>
  </si>
  <si>
    <t>T-DGMAGN1-05N</t>
  </si>
  <si>
    <t>19L x 39W, Top Dwr Map Brd</t>
  </si>
  <si>
    <t>Magnum 2 Dwr Stack CC</t>
  </si>
  <si>
    <t>C-DGMAGN2-05N</t>
  </si>
  <si>
    <t>Magnum</t>
  </si>
  <si>
    <t>Journey Utility 1 Dwr</t>
  </si>
  <si>
    <t>T-DGJNYU1-09N-TR</t>
  </si>
  <si>
    <t>T-DGJNYU1-09N-HG</t>
  </si>
  <si>
    <t>T-DGJNYU1-09N</t>
  </si>
  <si>
    <t>Journey Std 2 Dwr</t>
  </si>
  <si>
    <t>T-DGJNYS2-09N</t>
  </si>
  <si>
    <t>Journey Std 1 Dwr</t>
  </si>
  <si>
    <t>T-DGJNYS1-09N-HG</t>
  </si>
  <si>
    <t>T-DGJNYS1-09N</t>
  </si>
  <si>
    <t>Journey Mag Offset Dwr</t>
  </si>
  <si>
    <t>T-DGJNYMO-09N</t>
  </si>
  <si>
    <t>Journey Mag 2 Dwr</t>
  </si>
  <si>
    <t>T-DGJNYM2-09N</t>
  </si>
  <si>
    <t>Journey Mag 1 Dwr</t>
  </si>
  <si>
    <t>T-DGJNYM1-09N-TR</t>
  </si>
  <si>
    <t>T-DGJNYM1-09N-HG</t>
  </si>
  <si>
    <t>T-DGJNYM1-09N</t>
  </si>
  <si>
    <t>Journey Ext 2 Dwr</t>
  </si>
  <si>
    <t>T-DGJNYE2-09N-TR</t>
  </si>
  <si>
    <t>Journey Field Ranger</t>
  </si>
  <si>
    <t>C-DGJNYN3-09R</t>
  </si>
  <si>
    <t>Journey Investigator</t>
  </si>
  <si>
    <t>C-DGJNYN3-09I</t>
  </si>
  <si>
    <t>C-DGJNYN2-09I</t>
  </si>
  <si>
    <t>Journey</t>
  </si>
  <si>
    <t>Intrepid Patrolman</t>
  </si>
  <si>
    <t>N-DGINTN1-98N</t>
  </si>
  <si>
    <t>N-DGINTN1-03N</t>
  </si>
  <si>
    <t>Intrepid</t>
  </si>
  <si>
    <t>Grand Caravan Utility 2 Dwr</t>
  </si>
  <si>
    <t>T-DGGCVU2-08L-HT</t>
  </si>
  <si>
    <t>LWB; Heavy Duty Table &amp; Tray</t>
  </si>
  <si>
    <t>Grand Caravan Utility 1 Dwr</t>
  </si>
  <si>
    <t>T-DGGCVU1-08L-HT-TT</t>
  </si>
  <si>
    <t>T-DGGCVU1-08L</t>
  </si>
  <si>
    <t>Grand Caravan Std Offset Dwr</t>
  </si>
  <si>
    <t>T-DGGCVSO-99L</t>
  </si>
  <si>
    <t>Grand Caravan Std 2 Dwr</t>
  </si>
  <si>
    <t>T-DGGCVS2-99L</t>
  </si>
  <si>
    <t>T-DGGCVS2-08L</t>
  </si>
  <si>
    <t>T-DGGCVS2-05L</t>
  </si>
  <si>
    <t>Grand Caravan Std 1 Dwr</t>
  </si>
  <si>
    <t>T-DGGCVS1-99L</t>
  </si>
  <si>
    <t>T-DGGCVS1-08L</t>
  </si>
  <si>
    <t>T-DGGCVS1-05L</t>
  </si>
  <si>
    <t>Stow and Go Area</t>
  </si>
  <si>
    <t>Hinged Lid Box</t>
  </si>
  <si>
    <t>T-DGGCVN0-08L-C0</t>
  </si>
  <si>
    <t>LWB; Heavy Duty Table Extension</t>
  </si>
  <si>
    <t>Grand Caravan Mag OS Dwr</t>
  </si>
  <si>
    <t>T-DGGCVMO-08L-HT</t>
  </si>
  <si>
    <t>T-DGGCVMO-08L</t>
  </si>
  <si>
    <t>Grand Caravan Mag 2 Dwr</t>
  </si>
  <si>
    <t>T-DGGCVM2-99L</t>
  </si>
  <si>
    <t>T-DGGCVM2-83L</t>
  </si>
  <si>
    <t>LWB; P-Cage/K9</t>
  </si>
  <si>
    <t>T-DGGCVM2-08L-PP</t>
  </si>
  <si>
    <t>LWB, HD Table</t>
  </si>
  <si>
    <t>T-DGGCVM2-08L-HT</t>
  </si>
  <si>
    <t>T-DGGCVM2-08L</t>
  </si>
  <si>
    <t>LWB, Tbl Ext</t>
  </si>
  <si>
    <t>T-DGGCVM2-05L-PT</t>
  </si>
  <si>
    <t>T-DGGCVM2-05L</t>
  </si>
  <si>
    <t>Grand Caravan Mag 1 Dwr</t>
  </si>
  <si>
    <t>T-DGGCVM1-99L</t>
  </si>
  <si>
    <t>T-DGGCVM1-88L</t>
  </si>
  <si>
    <t>LWB, Prisoner Cage/K-9</t>
  </si>
  <si>
    <t>T-DGGCVM1-08L-PP</t>
  </si>
  <si>
    <t>LWB; Heavy Duty Table</t>
  </si>
  <si>
    <t>T-DGGCVM1-08L-HT</t>
  </si>
  <si>
    <t>T-DGGCVM1-08L</t>
  </si>
  <si>
    <t>T-DGGCVM1-05L</t>
  </si>
  <si>
    <t>Grand Caravan Emergency Response6</t>
  </si>
  <si>
    <t>F-DGGCVN5-08N-ER6</t>
  </si>
  <si>
    <t>5 Dwr</t>
  </si>
  <si>
    <t>Grand Caravan Captain LX CC</t>
  </si>
  <si>
    <t>C-DGGCVN5-08P</t>
  </si>
  <si>
    <t>Grand Caravan Chief LX CC</t>
  </si>
  <si>
    <t>C-DGGCVN5-08C-PT</t>
  </si>
  <si>
    <t>C-DGGCVN5-08C-HT</t>
  </si>
  <si>
    <t>C-DGGCVN5-08C</t>
  </si>
  <si>
    <t>Grand Caravan Field Ranger</t>
  </si>
  <si>
    <t>C-DGGCVN3-08R</t>
  </si>
  <si>
    <t>Grand Caravan</t>
  </si>
  <si>
    <t>C-DGGCVN3-08I</t>
  </si>
  <si>
    <t>Grand Caravan  Investigator 2 Dwr</t>
  </si>
  <si>
    <t>C-DGGCVN2-08I</t>
  </si>
  <si>
    <t>3rd Row Removed / SSV; 1/2 Driver Side, P Cage</t>
  </si>
  <si>
    <t>Durango Mag 1 Dwr</t>
  </si>
  <si>
    <t>T-DGDURM1-11N-TR-PP-HD</t>
  </si>
  <si>
    <t>C17229A</t>
  </si>
  <si>
    <t>Durango Custom</t>
  </si>
  <si>
    <t>D-DGDURN1-11N-TR-PP-C17229A</t>
  </si>
  <si>
    <t>P-Cage; 3rd Row Removed or SSV, HD Table</t>
  </si>
  <si>
    <t>Durango Std O/S Dwr</t>
  </si>
  <si>
    <t>T-DGDURSO-11N-TR-PP-HT</t>
  </si>
  <si>
    <t>Durango Utility OS Dwr</t>
  </si>
  <si>
    <t>T-DGDURUO-11N-TR</t>
  </si>
  <si>
    <t>3rd Row Removed, P Cage</t>
  </si>
  <si>
    <t>T-DGDURUO-11N-PP-TR</t>
  </si>
  <si>
    <t>T-DGDURUO-11N-HT</t>
  </si>
  <si>
    <t>T-DGDURUO-11N</t>
  </si>
  <si>
    <t>Durango Utility 2 Dwr</t>
  </si>
  <si>
    <t>T-DGDURU2-11N-TR-HT</t>
  </si>
  <si>
    <t>T-DGDURU2-11N-TR</t>
  </si>
  <si>
    <t>T-DGDURU2-11N-PP-TR</t>
  </si>
  <si>
    <t>T-DGDURU2-11N</t>
  </si>
  <si>
    <t>Elevated Version; PPV; No 3rd Row; Radio Drawer</t>
  </si>
  <si>
    <t>Durango Utility 1 Dwr</t>
  </si>
  <si>
    <t>T-DGDURU1-11N-TR-RD-HG</t>
  </si>
  <si>
    <t>3rd Row Removed or SSV, Heavy Duty Table</t>
  </si>
  <si>
    <t>T-DGDURU1-11N-TR-HT</t>
  </si>
  <si>
    <t>Elevated Version; PPV; No 3rd Row Seats</t>
  </si>
  <si>
    <t>T-DGDURU1-11N-TR-HG</t>
  </si>
  <si>
    <t>T-DGDURU1-11N-TR-HD</t>
  </si>
  <si>
    <t>T-DGDURU1-11N-TR</t>
  </si>
  <si>
    <t>T-DGDURU1-11N-PS-HG</t>
  </si>
  <si>
    <t>P-Cage; 3rd Row Removed or SSV</t>
  </si>
  <si>
    <t>T-DGDURU1-11N-PP-TR</t>
  </si>
  <si>
    <t>T-DGDURU1-11N</t>
  </si>
  <si>
    <t>Durango Std OS Dwr</t>
  </si>
  <si>
    <t>T-DGDURSO-98M</t>
  </si>
  <si>
    <t>Durango Std Offset Dwr</t>
  </si>
  <si>
    <t>T-DGDURSO-11N-TR</t>
  </si>
  <si>
    <t>T-DGDURSO-11N-PP</t>
  </si>
  <si>
    <t>T-DGDURSO-11N</t>
  </si>
  <si>
    <t>Durango Std SO Dwr</t>
  </si>
  <si>
    <t>T-DGDURSO-07N</t>
  </si>
  <si>
    <t>T-DGDURSO-04N</t>
  </si>
  <si>
    <t>Durango Std 2 Dwr</t>
  </si>
  <si>
    <t>T-DGDURS2-98S</t>
  </si>
  <si>
    <t>T-DGDURS2-98M</t>
  </si>
  <si>
    <t>Third Row Removed or SSV; Heavy Duty Table</t>
  </si>
  <si>
    <t>T-DGDURS2-11N-TR-HT</t>
  </si>
  <si>
    <t>Third Row Removed or SSV</t>
  </si>
  <si>
    <t>T-DGDURS2-11N-TR</t>
  </si>
  <si>
    <t>T-DGDURS2-11N-PT</t>
  </si>
  <si>
    <t>T-DGDURS2-11N-PP-TR</t>
  </si>
  <si>
    <t>T-DGDURS2-11N-PP</t>
  </si>
  <si>
    <t>T-DGDURS2-11N-HT</t>
  </si>
  <si>
    <t>T-DGDURS2-11N</t>
  </si>
  <si>
    <t>T-DGDURS2-07N-PT</t>
  </si>
  <si>
    <t>T-DGDURS2-07N-PP</t>
  </si>
  <si>
    <t>T-DGDURS2-07N</t>
  </si>
  <si>
    <t>T-DGDURS2-04N-TT</t>
  </si>
  <si>
    <t>T-DGDURS2-04N-PT</t>
  </si>
  <si>
    <t>T-DGDURS2-04N-PP</t>
  </si>
  <si>
    <t>T-DGDURS2-04N</t>
  </si>
  <si>
    <t>Durango Std 1 Dwr</t>
  </si>
  <si>
    <t>T-DGDURS1-98S</t>
  </si>
  <si>
    <t>T-DGDURS1-98M</t>
  </si>
  <si>
    <t>T-DGDURS1-11S</t>
  </si>
  <si>
    <t>T-DGDURS1-11N-TR-RD-HG</t>
  </si>
  <si>
    <t>T-DGDURS1-11N-TR-HG</t>
  </si>
  <si>
    <t>T-DGDURS1-11N-TR</t>
  </si>
  <si>
    <t>T-DGDURS1-11N-PT</t>
  </si>
  <si>
    <t>T-DGDURS1-11N-PP-TR</t>
  </si>
  <si>
    <t>T-DGDURS1-11N-PP</t>
  </si>
  <si>
    <t>T-DGDURS1-11N</t>
  </si>
  <si>
    <t>Prisoner Cage/K9</t>
  </si>
  <si>
    <t>T-DGDURS1-07N-PP</t>
  </si>
  <si>
    <t>T-DGDURS1-07N</t>
  </si>
  <si>
    <t>T-DGDURS1-04S</t>
  </si>
  <si>
    <t>T-DGDURS1-04N</t>
  </si>
  <si>
    <t>Durango 1 Dwr</t>
  </si>
  <si>
    <t>T-DGDURN1-11N-TR-HG</t>
  </si>
  <si>
    <t>T-DGDURN1-11N-PS-HG</t>
  </si>
  <si>
    <t>3rd Removed/SSV; Table Extension</t>
  </si>
  <si>
    <t>Durango Mag OS Dwr</t>
  </si>
  <si>
    <t>T-DGDURMO-11N-TR-PT</t>
  </si>
  <si>
    <t>Durango Mag O/S Dwr</t>
  </si>
  <si>
    <t>T-DGDURMO-11N-TR-PP</t>
  </si>
  <si>
    <t>3rd Removed/SSV; Heavy Duty Table</t>
  </si>
  <si>
    <t>T-DGDURMO-11N-TR-HT</t>
  </si>
  <si>
    <t>T-DGDURMO-11N-TR</t>
  </si>
  <si>
    <t>Durango Mag Offset Dwr</t>
  </si>
  <si>
    <t>T-DGDURMO-11N-PS-HG</t>
  </si>
  <si>
    <t>T-DGDURMO-11N-PP</t>
  </si>
  <si>
    <t>3rd Row Removed or SSV; HD Table</t>
  </si>
  <si>
    <t>T-DGDURMO-11N-HT-TR</t>
  </si>
  <si>
    <t>T-DGDURMO-11N-HT</t>
  </si>
  <si>
    <t>T-DGDURMO-11N</t>
  </si>
  <si>
    <t>T-DGDURMO-07N-PT</t>
  </si>
  <si>
    <t>T-DGDURMO-07N-PP</t>
  </si>
  <si>
    <t>T-DGDURMO-07N</t>
  </si>
  <si>
    <t>Prisoner Cage/K-9</t>
  </si>
  <si>
    <t>T-DGDURMO-04N-PP</t>
  </si>
  <si>
    <t>T-DGDURMO-04N</t>
  </si>
  <si>
    <t>Durango Mag 2 Dwr</t>
  </si>
  <si>
    <t>T-DGDURM2-98S</t>
  </si>
  <si>
    <t>T-DGDURM2-98M</t>
  </si>
  <si>
    <t>Third Row Removed or SSV; Top Tray</t>
  </si>
  <si>
    <t>T-DGDURM2-11N-TR-TT</t>
  </si>
  <si>
    <t>T-DGDURM2-11N-TR-HT</t>
  </si>
  <si>
    <t>Third Row Removed; Elevated</t>
  </si>
  <si>
    <t>T-DGDURM2-11N-TR-HG</t>
  </si>
  <si>
    <t>T-DGDURM2-11N-TR</t>
  </si>
  <si>
    <t>T-DGDURM2-11N-PT</t>
  </si>
  <si>
    <t>Prisoner Cage; Heavy Duty Table</t>
  </si>
  <si>
    <t>Durango Mag 2 Dwr 3rd Removed</t>
  </si>
  <si>
    <t>T-DGDURM2-11N-PP-TR-HT</t>
  </si>
  <si>
    <t>T-DGDURM2-11N-PP-TR</t>
  </si>
  <si>
    <t>T-DGDURM2-11N-PP-HT</t>
  </si>
  <si>
    <t>T-DGDURM2-11N-PP</t>
  </si>
  <si>
    <t>T-DGDURM2-11N-HT</t>
  </si>
  <si>
    <t>T-DGDURM2-11N</t>
  </si>
  <si>
    <t>T-DGDURM2-07N-PT</t>
  </si>
  <si>
    <t>T-DGDURM2-07N-PP</t>
  </si>
  <si>
    <t>T-DGDURM2-07N</t>
  </si>
  <si>
    <t>T-DGDURM2-04N-PT</t>
  </si>
  <si>
    <t>T-DGDURM2-04N-PP</t>
  </si>
  <si>
    <t>T-DGDURM2-04N</t>
  </si>
  <si>
    <t>T-DGDURM1-98S</t>
  </si>
  <si>
    <t>M-Size, Table Extention</t>
  </si>
  <si>
    <t>T-DGDURM1-98M-PT</t>
  </si>
  <si>
    <t>T-DGDURM1-98M</t>
  </si>
  <si>
    <t>T-DGDURM1-11S</t>
  </si>
  <si>
    <t>T-DGDURM1-11N-TT</t>
  </si>
  <si>
    <t>Elevated; Radio Drawer; No 3rd/SSV</t>
  </si>
  <si>
    <t>T-DGDURM1-11N-TR-RD-HG</t>
  </si>
  <si>
    <t>Radio Drawer; No 3rd/SSV</t>
  </si>
  <si>
    <t>T-DGDURM1-11N-TR-RD</t>
  </si>
  <si>
    <t>Low Profile Table; 3rd Row Removed or SSV</t>
  </si>
  <si>
    <t>T-DGDURM1-11N-TR-PT</t>
  </si>
  <si>
    <t>HD Table; 3rd Row Removed or SSV</t>
  </si>
  <si>
    <t>T-DGDURM1-11N-TR-HT</t>
  </si>
  <si>
    <t>T-DGDURM1-11N-TR-HG</t>
  </si>
  <si>
    <t>3rd Row Removed / SSV; 1/2 Driver Side</t>
  </si>
  <si>
    <t>T-DGDURM1-11N-TR-HD</t>
  </si>
  <si>
    <t>Third Seat Removed or SSV</t>
  </si>
  <si>
    <t>T-DGDURM1-11N-TR</t>
  </si>
  <si>
    <t>T-DGDURM1-11N-PS-HG</t>
  </si>
  <si>
    <t>P-Cage; Seat Removed or SSV; HD Top Tray</t>
  </si>
  <si>
    <t>T-DGDURM1-11N-PP-TR-TT</t>
  </si>
  <si>
    <t>HD Table, P-Cage, 3rd removed</t>
  </si>
  <si>
    <t>T-DGDURM1-11N-PP-TR-HT</t>
  </si>
  <si>
    <t>3rd Row Removed / SSV; 1/2 Passenger Side</t>
  </si>
  <si>
    <t>T-DGDURM1-11N-PP-TR-HP</t>
  </si>
  <si>
    <t>P-Cage; Seat Removed or SSV</t>
  </si>
  <si>
    <t>T-DGDURM1-11N-PP-TR</t>
  </si>
  <si>
    <t>HD Table, P-Cage</t>
  </si>
  <si>
    <t>T-DGDURM1-11N-PP-HT</t>
  </si>
  <si>
    <t>T-DGDURM1-11N-PP</t>
  </si>
  <si>
    <t>T-DGDURM1-11N-HT</t>
  </si>
  <si>
    <t>3rd Row Folded; 1/2 Driver Side</t>
  </si>
  <si>
    <t>T-DGDURM1-11N-HD</t>
  </si>
  <si>
    <t>T-DGDURM1-11N</t>
  </si>
  <si>
    <t>T-DGDURM1-07N-PT</t>
  </si>
  <si>
    <t>Prisoner Cage, Table Ext</t>
  </si>
  <si>
    <t>T-DGDURM1-07N-PP-PT</t>
  </si>
  <si>
    <t>T-DGDURM1-07N-PP</t>
  </si>
  <si>
    <t>T-DGDURM1-07N</t>
  </si>
  <si>
    <t>T-DGDURM1-04S</t>
  </si>
  <si>
    <t>T-DGDURM1-04N-PT</t>
  </si>
  <si>
    <t>T-DGDURM1-04N-PP</t>
  </si>
  <si>
    <t>T-DGDURM1-04N</t>
  </si>
  <si>
    <t>Durango Floor Vault</t>
  </si>
  <si>
    <t>T-DGDURL2-11N-TR</t>
  </si>
  <si>
    <t>3rd Row Removed or SSV; Prisoner Cage</t>
  </si>
  <si>
    <t>T-DGDURL1-11N-TR-PP</t>
  </si>
  <si>
    <t>Top Tray; 3rd Row Removed or SSV</t>
  </si>
  <si>
    <t>Durango Ext 2 Dwr Offset</t>
  </si>
  <si>
    <t>T-DGDUREO-11N-TR-TT</t>
  </si>
  <si>
    <t>T-DGDUREO-11N-TR</t>
  </si>
  <si>
    <t>Third Row Removed or SSV, HD Table</t>
  </si>
  <si>
    <t>Durango Ext 2 Dwr</t>
  </si>
  <si>
    <t>T-DGDURE2-11N-TR-HT</t>
  </si>
  <si>
    <t>T-DGDURE2-11N-TR</t>
  </si>
  <si>
    <t>Durango Emergency Response 6</t>
  </si>
  <si>
    <t>F-DGDURN5-11N-TR-ER6</t>
  </si>
  <si>
    <t>F-DGDURN5-11N-ER6</t>
  </si>
  <si>
    <t>Durango Emergency Response 4</t>
  </si>
  <si>
    <t>F-DGDURN4-11N-TR-C1-ER4</t>
  </si>
  <si>
    <t>F-DGDURN4-11N-C1-ER4</t>
  </si>
  <si>
    <t>Durango Emergency Response 2</t>
  </si>
  <si>
    <t>F-DGDURN3-11N-TR-C1-ER2</t>
  </si>
  <si>
    <t>Durango Emergency Response3</t>
  </si>
  <si>
    <t>F-DGDURN3-11N-C1-ER3-TR</t>
  </si>
  <si>
    <t>F-DGDURN3-11N-C1-ER3</t>
  </si>
  <si>
    <t>Durango Emergency Response 5</t>
  </si>
  <si>
    <t>F-DGDURN2-11N-TR-C4-ER5</t>
  </si>
  <si>
    <t>Seat Removed/SSV</t>
  </si>
  <si>
    <t>Durango Emergency Response 8</t>
  </si>
  <si>
    <t>F-DGDURN2-11N-TR-C2-ER8</t>
  </si>
  <si>
    <t>Durango Emergency Response 1</t>
  </si>
  <si>
    <t>F-DGDURN2-11N-TR-C2-ER1</t>
  </si>
  <si>
    <t>Durango Emergency Resp 7</t>
  </si>
  <si>
    <t>F-DGDURN2-11N-ER7</t>
  </si>
  <si>
    <t>F-DGDURN2-11N-C3-ER1</t>
  </si>
  <si>
    <t>F-DGDURN2-11N-C2-ER8</t>
  </si>
  <si>
    <t>F-DGDURN2-07N-C3-ER1</t>
  </si>
  <si>
    <t>3rd Removed, P-Cage</t>
  </si>
  <si>
    <t>Durango Drone Responder 9</t>
  </si>
  <si>
    <t>D-DGDURNO-11N-TR-PP-FM-DR9</t>
  </si>
  <si>
    <t>D-DGDURNO-11N-TR-FM-DR9</t>
  </si>
  <si>
    <t>Durango Drone Responder 4</t>
  </si>
  <si>
    <t>D-DGDURN3-11N-TR-HT-C1-DR4</t>
  </si>
  <si>
    <t>3rd Row Removed/SSV; Prisoner Cage</t>
  </si>
  <si>
    <t>Durango Drone Responder 7</t>
  </si>
  <si>
    <t>D-DGDURN2-11N-TR-PP-HT-C1-DR7</t>
  </si>
  <si>
    <t>Durango Drone Responder 6</t>
  </si>
  <si>
    <t>D-DGDURN2-11N-TR-PP-HT-C1-DR6</t>
  </si>
  <si>
    <t>D-DGDURN2-11N-TR-PP-FM-DR9</t>
  </si>
  <si>
    <t>D-DGDURN2-11N-TR-HT-C1-DR7</t>
  </si>
  <si>
    <t>D-DGDURN2-11N-TR-HT-C1-DR6</t>
  </si>
  <si>
    <t>D-DGDURN2-11N-TR-FM-DR9</t>
  </si>
  <si>
    <t>D-DGDURN1-11N-TR-PP-HT-C1-DR7</t>
  </si>
  <si>
    <t>3rd Removed, P-Cage, Radio Drawer</t>
  </si>
  <si>
    <t>Durango Drone Responder 8</t>
  </si>
  <si>
    <t>D-DGDURN1-11N-TR-PP-FM-RD-DR8</t>
  </si>
  <si>
    <t>D-DGDURN1-11N-TR-PP-FM-DR9</t>
  </si>
  <si>
    <t>Durango Drone Responder 10</t>
  </si>
  <si>
    <t>D-DGDURN1-11N-TR-PP-FM-DR10</t>
  </si>
  <si>
    <t>Extra Clearance</t>
  </si>
  <si>
    <t>D-DGDURN1-11N-TR-P8-FM-DR10</t>
  </si>
  <si>
    <t>D-DGDURN1-11N-TR-FM-DR9</t>
  </si>
  <si>
    <t>D-DGDURN1-11N-TR-FM-DR10</t>
  </si>
  <si>
    <t>Tahoe Drone Responder 8</t>
  </si>
  <si>
    <t>D-DGDURN0-11N-TR-PP-FM-DR8</t>
  </si>
  <si>
    <t>D-DGDURN0-11N-TR-FM-DR8</t>
  </si>
  <si>
    <t>Durango Drone Responder 1</t>
  </si>
  <si>
    <t>D-DGDURM2-11N-TR-C1-DR1</t>
  </si>
  <si>
    <t>Durango  Drone Responder 2</t>
  </si>
  <si>
    <t>D-DGDURM1-11N-TR-C1-DR2</t>
  </si>
  <si>
    <t>Durango Chief LX CC</t>
  </si>
  <si>
    <t>C-DGDURN6-99C </t>
  </si>
  <si>
    <t>C-DGDURN5-99C</t>
  </si>
  <si>
    <t>Durango Tac Center</t>
  </si>
  <si>
    <t>C-DGDURN5-11T-TR</t>
  </si>
  <si>
    <t>C-DGDURN5-11T</t>
  </si>
  <si>
    <t>3rd Row Seat Removed or PPV</t>
  </si>
  <si>
    <t>Durango 5 Drawer Captain CC</t>
  </si>
  <si>
    <t>C-DGDURN5-11P-TR</t>
  </si>
  <si>
    <t>C-DGDURN5-11C-TR-PP</t>
  </si>
  <si>
    <t>C-DGDURN5-11C-TR</t>
  </si>
  <si>
    <t>C-DGDURN5-11C</t>
  </si>
  <si>
    <t>C-DGDURN5-07T</t>
  </si>
  <si>
    <t>C-DGDURN5-07C</t>
  </si>
  <si>
    <t>C-DGDURN5-04C</t>
  </si>
  <si>
    <t>Durango Captain CC</t>
  </si>
  <si>
    <t>C-DGDURN4-11P</t>
  </si>
  <si>
    <t>Durango Special Ops CC</t>
  </si>
  <si>
    <t>C-DGDURN3-98D</t>
  </si>
  <si>
    <t>3rd Row Removed/SSV; Heavy Duty Table</t>
  </si>
  <si>
    <t>Durango Field Ranger</t>
  </si>
  <si>
    <t>C-DGDURN3-11R-TR-HT</t>
  </si>
  <si>
    <t>C-DGDURN3-11R-TR</t>
  </si>
  <si>
    <t>C-DGDURN3-11R-PT</t>
  </si>
  <si>
    <t>C-DGDURN3-11R-PP</t>
  </si>
  <si>
    <t>C-DGDURN3-11R</t>
  </si>
  <si>
    <t>15963B</t>
  </si>
  <si>
    <t>C-DGDURN3-11N-TR-C1-C15963B</t>
  </si>
  <si>
    <t>3rd Row Removed or SSV, Prisoner Cage, Heavy Duty Table</t>
  </si>
  <si>
    <t>Durango Investigator</t>
  </si>
  <si>
    <t>C-DGDURN3-11I-TR-PP-HT</t>
  </si>
  <si>
    <t>C-DGDURN3-11I-TR-HT</t>
  </si>
  <si>
    <t>C-DGDURN3-11I-TR</t>
  </si>
  <si>
    <t>C-DGDURN3-11I-PP-TR</t>
  </si>
  <si>
    <t>C-DGDURN3-11I-PP</t>
  </si>
  <si>
    <t>C-DGDURN3-11I</t>
  </si>
  <si>
    <t>Third Row Removed or SSV, HD Table, Prisoner Cage</t>
  </si>
  <si>
    <t>C-DGDURN3-11D-TR-PP-HT</t>
  </si>
  <si>
    <t>C-DGDURN3-11D-TR-HT</t>
  </si>
  <si>
    <t>C-DGDURN3-11D-TR</t>
  </si>
  <si>
    <t>Special Ops, Pull Out Table</t>
  </si>
  <si>
    <t>Durango CC</t>
  </si>
  <si>
    <t>C-DGDURN3-11D-PT</t>
  </si>
  <si>
    <t>Special Ops, HD Table</t>
  </si>
  <si>
    <t>Durango CC Cage Present</t>
  </si>
  <si>
    <t>C-DGDURN3-11D-PP-HT</t>
  </si>
  <si>
    <t>C-DGDURN3-11D-HT</t>
  </si>
  <si>
    <t>C-DGDURN3-11D</t>
  </si>
  <si>
    <t>C-DGDURN3-07R-PP</t>
  </si>
  <si>
    <t>C-DGDURN3-07R</t>
  </si>
  <si>
    <t>C-DGDURN3-07I</t>
  </si>
  <si>
    <t>C-DGDURN3-07D-PT</t>
  </si>
  <si>
    <t>C-DGDURN3-07D</t>
  </si>
  <si>
    <t>C-DGDURN3-04R-PP</t>
  </si>
  <si>
    <t>C-DGDURN3-04R</t>
  </si>
  <si>
    <t>C-DGDURN3-04I</t>
  </si>
  <si>
    <t>C-DGDURN3-04D-PT</t>
  </si>
  <si>
    <t>C-DGDURN3-04D</t>
  </si>
  <si>
    <t>3rd Row Removed or SSV; Radio Drawer</t>
  </si>
  <si>
    <t>Durango 2 Dwr Investigator</t>
  </si>
  <si>
    <t>C-DGDURN2-11I-TR-RD</t>
  </si>
  <si>
    <t>C-DGDURN2-11I-TR</t>
  </si>
  <si>
    <t>C-DGDURN2-11I-PP-TR</t>
  </si>
  <si>
    <t>Durango Investigator 2 Dwr</t>
  </si>
  <si>
    <t>C-DGDURN2-11I</t>
  </si>
  <si>
    <t>C-DGDURN2-11D-TR</t>
  </si>
  <si>
    <t>C-DGDURN2-04N-HT-C1-DR6</t>
  </si>
  <si>
    <t>Durango</t>
  </si>
  <si>
    <t>Dart Patrolman</t>
  </si>
  <si>
    <t>N-DGDRTN1-13N</t>
  </si>
  <si>
    <t>Dart</t>
  </si>
  <si>
    <t>4 Door, A-Wthr</t>
  </si>
  <si>
    <t>Dakota Sport Pickup Std OS Dwr</t>
  </si>
  <si>
    <t>T-DGDAKSO-00S-D4-PW</t>
  </si>
  <si>
    <t>Dakota Sport Pickup Std Offset</t>
  </si>
  <si>
    <t>T-DGDAKSO-00S-D4</t>
  </si>
  <si>
    <t>Dakota Sport Pickup Std 2 Dwr</t>
  </si>
  <si>
    <t>T-DGDAKS2-00S-D4-PW</t>
  </si>
  <si>
    <t>4 Door; Heavy Duty Table</t>
  </si>
  <si>
    <t>T-DGDAKS2-00S-D4-HT</t>
  </si>
  <si>
    <t>T-DGDAKS2-00S-D4</t>
  </si>
  <si>
    <t>4 Door, Short Bed, A-Wthr</t>
  </si>
  <si>
    <t>Dakota Pickup Mag OS Dwr</t>
  </si>
  <si>
    <t>T-DGDAKMO-00S-D4-PW</t>
  </si>
  <si>
    <t>Dakota Sport PU Offset Mag Dwr</t>
  </si>
  <si>
    <t>T-DGDAKMO-00S-D4</t>
  </si>
  <si>
    <t>Dakota Pickup Mag 2 Dwr</t>
  </si>
  <si>
    <t>T-DGDAKM2-00S-D4-PW</t>
  </si>
  <si>
    <t>4 Door, Tbl Ext</t>
  </si>
  <si>
    <t>Dakota Sport Pickup Mag 2 Dwr</t>
  </si>
  <si>
    <t>T-DGDAKM2-00S-D4-PT</t>
  </si>
  <si>
    <t>T-DGDAKM2-00S-D4</t>
  </si>
  <si>
    <t>Dakota Sport Pickup</t>
  </si>
  <si>
    <t>Dakota Pickup Utl OS Dwr</t>
  </si>
  <si>
    <t>T-DGDAKUO-00S-D4-PW</t>
  </si>
  <si>
    <t>Half Width; Drivers Side</t>
  </si>
  <si>
    <t>Dakota Pickup Utility 1 Dwr</t>
  </si>
  <si>
    <t>T-DGDAKU1-05S-HD</t>
  </si>
  <si>
    <t>Dakota Pickup Std OS Dwr</t>
  </si>
  <si>
    <t>T-DGDAKSO-95S-PW</t>
  </si>
  <si>
    <t>Dakota Pickup Std 2 Dwr</t>
  </si>
  <si>
    <t>T-DGDAKSO-05S-PC-PW</t>
  </si>
  <si>
    <t>T-DGDAKS2-95S-PW</t>
  </si>
  <si>
    <t>T-DGDAKS2-95S</t>
  </si>
  <si>
    <t>T-DGDAKS2-87L-PW</t>
  </si>
  <si>
    <t>T-DGDAKS2-87L</t>
  </si>
  <si>
    <t>T-DGDAKS2-05S-PC</t>
  </si>
  <si>
    <t>6'1/2'</t>
  </si>
  <si>
    <t>'Dakota Pickup Std 2 Dwr</t>
  </si>
  <si>
    <t>T-DGDAKS2-05S</t>
  </si>
  <si>
    <t>Dakota Std 1 Dwr Half Width</t>
  </si>
  <si>
    <t>T-DGDAKS1-05S-HP-PC-PW</t>
  </si>
  <si>
    <t>Short Bed, A-Wthr, Drivers Side</t>
  </si>
  <si>
    <t>T-DGDAKS1-05S-HD-PW</t>
  </si>
  <si>
    <t>Dakota Pickup Std 1 Dwr</t>
  </si>
  <si>
    <t>T-DGDAKS1-05S-HD</t>
  </si>
  <si>
    <t>T-DGDAKMO-95S-PW</t>
  </si>
  <si>
    <t>Dakota Pickup Mag Offset Dwr</t>
  </si>
  <si>
    <t>T-DGDAKMO-95S</t>
  </si>
  <si>
    <t>T-DGDAKM2-95S-PW</t>
  </si>
  <si>
    <t>T-DGDAKM2-95S</t>
  </si>
  <si>
    <t>T-DGDAKM2-87L</t>
  </si>
  <si>
    <t>T-DGDAKM2-05S-PC</t>
  </si>
  <si>
    <t>T-DGDAKM2-05S</t>
  </si>
  <si>
    <t>Dakota Pickup</t>
  </si>
  <si>
    <t>Non-Folding Seats, All Years</t>
  </si>
  <si>
    <t>Charger Radio Patrolman</t>
  </si>
  <si>
    <t>N-DGCHRN2-09N</t>
  </si>
  <si>
    <t>Charger 2 Dwr Patrolman</t>
  </si>
  <si>
    <t>N-DGCHRN2-06N-HG</t>
  </si>
  <si>
    <t>N-DGCHRN2-06N</t>
  </si>
  <si>
    <t>Charger Patrolman</t>
  </si>
  <si>
    <t>N-DGCHRN1-06N-HG</t>
  </si>
  <si>
    <t>N-DGCHRN1-06N</t>
  </si>
  <si>
    <t>Charger</t>
  </si>
  <si>
    <t>Challenger Patrolman</t>
  </si>
  <si>
    <t>N-DGCHLN1-08N-HG</t>
  </si>
  <si>
    <t>N-DGCHLN1-08N</t>
  </si>
  <si>
    <t>Challenger</t>
  </si>
  <si>
    <t>Caravan  1 Dwr</t>
  </si>
  <si>
    <t>Z-DGCVNX1-00S</t>
  </si>
  <si>
    <t>Caravan Utl 2 Dwr</t>
  </si>
  <si>
    <t>T-DGCVNU2-08S</t>
  </si>
  <si>
    <t>Caravan Std 2 Dwr</t>
  </si>
  <si>
    <t>T-DGCVNS2-83S</t>
  </si>
  <si>
    <t>Caravan Std 1 Dwr</t>
  </si>
  <si>
    <t>T-DGCVNS2-08S</t>
  </si>
  <si>
    <t>T-DGCVNS2-01S</t>
  </si>
  <si>
    <t>T-DGCVNS1-83S</t>
  </si>
  <si>
    <t>T-DGCVNS1-08S</t>
  </si>
  <si>
    <t>T-DGCVNS1-01S</t>
  </si>
  <si>
    <t>Caravan Mag OS Dwr</t>
  </si>
  <si>
    <t>T-DGCVNMO-01S</t>
  </si>
  <si>
    <t>Caravan Mag 2 Dwr</t>
  </si>
  <si>
    <t>T-DGCVNM2-83S</t>
  </si>
  <si>
    <t>T-DGCVNM2-01S</t>
  </si>
  <si>
    <t>Caravan Mag 1 Dwr</t>
  </si>
  <si>
    <t>T-DGCVNM1-83S</t>
  </si>
  <si>
    <t>SWB, HD Table</t>
  </si>
  <si>
    <t>T-DGCVNM1-08S-HT</t>
  </si>
  <si>
    <t>T-DGCVNM1-08S</t>
  </si>
  <si>
    <t>T-DGCVNM1-01S</t>
  </si>
  <si>
    <t>Caravan Captain LX CC</t>
  </si>
  <si>
    <t>C-DGCVNN5-08P</t>
  </si>
  <si>
    <t>C-DGCVNN5-01P-PT</t>
  </si>
  <si>
    <t>C-DGCVNN5-01P</t>
  </si>
  <si>
    <t>Caravan Investigator</t>
  </si>
  <si>
    <t>C-DGCVNN3-01I</t>
  </si>
  <si>
    <t>Caravan</t>
  </si>
  <si>
    <t>Caliber Std 1 Drawer</t>
  </si>
  <si>
    <t>T-DGCALS1-07N</t>
  </si>
  <si>
    <t>Caliber</t>
  </si>
  <si>
    <t>Avenger Patrolman</t>
  </si>
  <si>
    <t>N-DGAVGN1-06N</t>
  </si>
  <si>
    <t>Avenger</t>
  </si>
  <si>
    <t>Voyager Utl 2 Dwr</t>
  </si>
  <si>
    <t>T-CRVOYU2-20S-TF</t>
  </si>
  <si>
    <t>T-CRVOYS2-20N</t>
  </si>
  <si>
    <t>T-CRVOYS2-00N</t>
  </si>
  <si>
    <t>T-CRVOYS1-20S</t>
  </si>
  <si>
    <t>T-CRVOYS1-00N</t>
  </si>
  <si>
    <t>T-CRVOYN0-20N</t>
  </si>
  <si>
    <t>T-CRVOYM2-20N-HT</t>
  </si>
  <si>
    <t>T-CRVOYM2-20N</t>
  </si>
  <si>
    <t>T-CRVOYM2-00N</t>
  </si>
  <si>
    <t>3rd Row Upright HD Table</t>
  </si>
  <si>
    <t>T-CRVOYM1-20S-HT</t>
  </si>
  <si>
    <t>T-CRVOYM1-20S</t>
  </si>
  <si>
    <t>T-CRVOYM1-20N-TR</t>
  </si>
  <si>
    <t>3rd Row Folded; Half Width Drivers Side</t>
  </si>
  <si>
    <t>T-CRVOYM1-20N-HD</t>
  </si>
  <si>
    <t>T-CRVOYM1-20N</t>
  </si>
  <si>
    <t>T-CRVOYM1-00N</t>
  </si>
  <si>
    <t>Voyager Emergency Responder 1</t>
  </si>
  <si>
    <t>F-CRVOYN2-20N-C2-ER1</t>
  </si>
  <si>
    <t>Voyager Field Ranger</t>
  </si>
  <si>
    <t>C-CRVOYN3-20R</t>
  </si>
  <si>
    <t>Voyager Investigator</t>
  </si>
  <si>
    <t>C-CRVOYN3-20I</t>
  </si>
  <si>
    <t>C-CRVOYN2-20I</t>
  </si>
  <si>
    <t>Town &amp; Country Std 2 Dwr</t>
  </si>
  <si>
    <t>T-CRT&amp;CS2-83S</t>
  </si>
  <si>
    <t>T-CRT&amp;CS2-83L</t>
  </si>
  <si>
    <t>T-CRT&amp;CS2-08N</t>
  </si>
  <si>
    <t>T-CRT&amp;CS2-05L</t>
  </si>
  <si>
    <t>Town &amp; Country Std 1 Dwr</t>
  </si>
  <si>
    <t>T-CRT&amp;CS1-99L</t>
  </si>
  <si>
    <t>T-CRT&amp;CS1-83S</t>
  </si>
  <si>
    <t>T-CRT&amp;CS1-83L</t>
  </si>
  <si>
    <t>T-CRT&amp;CS1-08N</t>
  </si>
  <si>
    <t>T-CRT&amp;CN0-08L-C0</t>
  </si>
  <si>
    <t>Town &amp; Country Mag 2 Dwr</t>
  </si>
  <si>
    <t>T-CRT&amp;CM2-83S</t>
  </si>
  <si>
    <t>T-CRT&amp;CM2-83L</t>
  </si>
  <si>
    <t>Town &amp; Country Mag 1 Dwr</t>
  </si>
  <si>
    <t>T-CRT&amp;CM1-83S</t>
  </si>
  <si>
    <t>T-CRT&amp;CM1-83L</t>
  </si>
  <si>
    <t>T-CRT&amp;CM1-08N</t>
  </si>
  <si>
    <t>T-CRT&amp;CM1-05L</t>
  </si>
  <si>
    <t>Town &amp; Country</t>
  </si>
  <si>
    <t>PT Cruiser Std 2 Dwr</t>
  </si>
  <si>
    <t>T-CRPTCS2-01N</t>
  </si>
  <si>
    <t>PT Cruiser Std 1 Dwr</t>
  </si>
  <si>
    <t>T-CRPTCS1-01N</t>
  </si>
  <si>
    <t>PT Cruiser Mag 2 Dwr</t>
  </si>
  <si>
    <t>T-CRPTCM2-01N</t>
  </si>
  <si>
    <t>PT Cruiser Mag 1 Dwr</t>
  </si>
  <si>
    <t>T-CRPTCM1-01N</t>
  </si>
  <si>
    <t>PT Cruiser</t>
  </si>
  <si>
    <t>Pacifica Utl 1 Dwr</t>
  </si>
  <si>
    <t>T-CRPACU1-17N</t>
  </si>
  <si>
    <t>Pacifica Std Offset</t>
  </si>
  <si>
    <t>T-CRPACSO-17N-HT</t>
  </si>
  <si>
    <t>Pacifica Std 2 Dwr</t>
  </si>
  <si>
    <t>T-CRPACS2-17N</t>
  </si>
  <si>
    <t>T-CRPACS2-04N</t>
  </si>
  <si>
    <t>3rd Row Folded 1/2 Width</t>
  </si>
  <si>
    <t>Pacifica Std 1 Dwr</t>
  </si>
  <si>
    <t>T-CRPACS1-17N-HD</t>
  </si>
  <si>
    <t>T-CRPACS1-17N</t>
  </si>
  <si>
    <t>T-CRPACS1-04N</t>
  </si>
  <si>
    <t>Pacifica Field Ranger</t>
  </si>
  <si>
    <t>T-CRPACN3-17R</t>
  </si>
  <si>
    <t>T-CRPACN0-17N</t>
  </si>
  <si>
    <t>Pacifica Mag OS Dwr</t>
  </si>
  <si>
    <t>T-CRPACMO-17N</t>
  </si>
  <si>
    <t>T-CRPACMO-04N</t>
  </si>
  <si>
    <t>Pacifica Mag 2 Dwr</t>
  </si>
  <si>
    <t>T-CRPACM2-17N</t>
  </si>
  <si>
    <t>T-CRPACM2-04N</t>
  </si>
  <si>
    <t>Pacifica Mag 1 Dwr</t>
  </si>
  <si>
    <t>T-CRPACM1-17N-HD</t>
  </si>
  <si>
    <t>T-CRPACM1-17N</t>
  </si>
  <si>
    <t>T-CRPACM1-04N-PT</t>
  </si>
  <si>
    <t>T-CRPACM1-04N</t>
  </si>
  <si>
    <t>3rd Row Uprightor</t>
  </si>
  <si>
    <t>Pacifica Floor Vault</t>
  </si>
  <si>
    <t>T-CRPACL1-17N</t>
  </si>
  <si>
    <t>Pacifica Tac Center</t>
  </si>
  <si>
    <t>C-CRPACN5-17T</t>
  </si>
  <si>
    <t>Pacifica  Investigator</t>
  </si>
  <si>
    <t>C-CRPACN3-17I</t>
  </si>
  <si>
    <t>Pacifica Special Ops Ctr</t>
  </si>
  <si>
    <t>C-CRPACN3-17D</t>
  </si>
  <si>
    <t>C-CRPACN3-04D</t>
  </si>
  <si>
    <t>Pacifica Investigator</t>
  </si>
  <si>
    <t>C-CRPACN2-17I</t>
  </si>
  <si>
    <t>Pacifica Drone Responder 7</t>
  </si>
  <si>
    <t>C-CRPACN1-17N-HT-C1-DR7</t>
  </si>
  <si>
    <t>Pacifica</t>
  </si>
  <si>
    <t>T-CRCONN1-98N</t>
  </si>
  <si>
    <t>Concorde</t>
  </si>
  <si>
    <t>Aspen Std 2 Drawer</t>
  </si>
  <si>
    <t>T-CRASPS2-07N</t>
  </si>
  <si>
    <t>Aspen Std 1 Drawer</t>
  </si>
  <si>
    <t>T-CRASPS1-07N</t>
  </si>
  <si>
    <t>Aspen Mag 2 Drawer</t>
  </si>
  <si>
    <t>T-CRASPM2-07N-PT</t>
  </si>
  <si>
    <t>T-CRASPM2-07N</t>
  </si>
  <si>
    <t>Aspen Mag 1 Drawer</t>
  </si>
  <si>
    <t>T-CRASPM1-07N</t>
  </si>
  <si>
    <t>Aspen</t>
  </si>
  <si>
    <t>300 Patrolman</t>
  </si>
  <si>
    <t>N-CR300N1-11N</t>
  </si>
  <si>
    <t>N-CR300N1-05N</t>
  </si>
  <si>
    <t>200 Patrolman</t>
  </si>
  <si>
    <t>N-CR200N1-15N-HG</t>
  </si>
  <si>
    <t>N-CR200N1-15N</t>
  </si>
  <si>
    <t>N-CR200N1-10N</t>
  </si>
  <si>
    <t>N-CR200M1-15N</t>
  </si>
  <si>
    <t>Chrysler</t>
  </si>
  <si>
    <t>Tahoe Emergency Response 1</t>
  </si>
  <si>
    <t>F-GMYDEN2-15N-C2-ER1</t>
  </si>
  <si>
    <t>Tahoe Emergency Response 3</t>
  </si>
  <si>
    <t>F-GMYDEN3-15N-C1-ER3</t>
  </si>
  <si>
    <t>Yukon</t>
  </si>
  <si>
    <t>Volt Std 1 Dwr</t>
  </si>
  <si>
    <t>T-CHVOLS1-10N</t>
  </si>
  <si>
    <t>Volt</t>
  </si>
  <si>
    <t>Venture Std 2 Dwr</t>
  </si>
  <si>
    <t>T-CHVENS2-97S</t>
  </si>
  <si>
    <t>SWB, Tbl Ext</t>
  </si>
  <si>
    <t>T-CHVENS2-90S-PT</t>
  </si>
  <si>
    <t>T-CHVENS2-90S</t>
  </si>
  <si>
    <t>T-CHVENS2-90L</t>
  </si>
  <si>
    <t>Venture Std 1 Dwr</t>
  </si>
  <si>
    <t>T-CHVENS1-90S</t>
  </si>
  <si>
    <t>T-CHVENS1-90L</t>
  </si>
  <si>
    <t>Venture Mag 2 Dwr</t>
  </si>
  <si>
    <t>T-CHVENM2-90S</t>
  </si>
  <si>
    <t>T-CHVENM2-90L</t>
  </si>
  <si>
    <t>Venture Mag 1 Dwr</t>
  </si>
  <si>
    <t>T-CHVENM1-90S</t>
  </si>
  <si>
    <t>T-CHVENM1-90L</t>
  </si>
  <si>
    <t>Venture</t>
  </si>
  <si>
    <t>Uplander Std 2 Dwr</t>
  </si>
  <si>
    <t>T-CHUPLS2-05S</t>
  </si>
  <si>
    <t>T-CHUPLS2-05L</t>
  </si>
  <si>
    <t>Uplander Std 1 Dwr</t>
  </si>
  <si>
    <t>T-CHUPLS1-05L</t>
  </si>
  <si>
    <t>Uplander Mag OS Dwr</t>
  </si>
  <si>
    <t>T-CHUPLMO-05L</t>
  </si>
  <si>
    <t>Uplander Mag 2 Dwr</t>
  </si>
  <si>
    <t>T-CHUPLM2-05S</t>
  </si>
  <si>
    <t>T-CHUPLM2-05L-PT</t>
  </si>
  <si>
    <t>T-CHUPLM2-05L</t>
  </si>
  <si>
    <t>Uplander Mag 1 Dwr</t>
  </si>
  <si>
    <t>T-CHUPLM1-05L-PT</t>
  </si>
  <si>
    <t>T-CHUPLM1-05L</t>
  </si>
  <si>
    <t>Uplander Chief LX CC</t>
  </si>
  <si>
    <t>C-CHUPLN6-05C</t>
  </si>
  <si>
    <t>Uplander Captain LX CC</t>
  </si>
  <si>
    <t>C-CHUPLN5-05P</t>
  </si>
  <si>
    <t>C-CHUPLN5-05C</t>
  </si>
  <si>
    <t>Uplander Special Ops Ctr</t>
  </si>
  <si>
    <t>C-CHUPLN3-07D</t>
  </si>
  <si>
    <t>Uplander Field Ranger</t>
  </si>
  <si>
    <t>C-CHUPLN3-05R-PT</t>
  </si>
  <si>
    <t>Uplander Investigator</t>
  </si>
  <si>
    <t>C-CHUPLN3-05I-PT</t>
  </si>
  <si>
    <t>C-CHUPLN3-05I</t>
  </si>
  <si>
    <t>Uplander</t>
  </si>
  <si>
    <t>Trax Utl 2 Dwr</t>
  </si>
  <si>
    <t>T-CHTRXU2-14N-HT</t>
  </si>
  <si>
    <t>T-CHTRXU2-14N</t>
  </si>
  <si>
    <t>Trax Std 2 Dwr</t>
  </si>
  <si>
    <t>T-CHTRXS2-14N</t>
  </si>
  <si>
    <t>Trax Std 1 Dwr</t>
  </si>
  <si>
    <t>T-CHTRXS1-14N</t>
  </si>
  <si>
    <t>Trax Mag 2 Dwr</t>
  </si>
  <si>
    <t>T-CHTRXM2-14N</t>
  </si>
  <si>
    <t>Trax Mag 1 Dwr</t>
  </si>
  <si>
    <t>T-CHTRXM1-14N</t>
  </si>
  <si>
    <t>Trax</t>
  </si>
  <si>
    <t>Traverse Mag 1 Dwr</t>
  </si>
  <si>
    <t>T-CHTRVM1-24S</t>
  </si>
  <si>
    <t>3rd Row Seat Upright</t>
  </si>
  <si>
    <t>Traverse Utility 1 Dwr</t>
  </si>
  <si>
    <t>T-CHTRVU1-24S</t>
  </si>
  <si>
    <t>Traverse Std 1 Dwr</t>
  </si>
  <si>
    <t>T-CHTRVS1-24S</t>
  </si>
  <si>
    <t>Elevated Version; 3rd Row Seats Removed</t>
  </si>
  <si>
    <t>T-CHTRVS1-24N-TR-HG</t>
  </si>
  <si>
    <t>Traverse Drone Responder 10</t>
  </si>
  <si>
    <t>D-CHTRVN1-18N-HT-C1-DR10</t>
  </si>
  <si>
    <t>Traverse Drone Responder 8</t>
  </si>
  <si>
    <t>D-CHTRVN0-18N-HT-C1-DR8</t>
  </si>
  <si>
    <t>3rd  Seat Folded, HD Table</t>
  </si>
  <si>
    <t>Traverse Utility Offset</t>
  </si>
  <si>
    <t>T-CHTRVUO-18N-HT</t>
  </si>
  <si>
    <t>T-CHTRVUO-18N</t>
  </si>
  <si>
    <t>Traverse Utility 2 Dwr</t>
  </si>
  <si>
    <t>T-CHTRVU2-24N</t>
  </si>
  <si>
    <t>T-CHTRVU2-18N</t>
  </si>
  <si>
    <t>T-CHTRVU1-24N-TR-HG</t>
  </si>
  <si>
    <t>T-CHTRVU1-24N</t>
  </si>
  <si>
    <t>T-CHTRVU1-18S</t>
  </si>
  <si>
    <t>Elevated Version; 3rd Row Seats Removed, Radio Drawer</t>
  </si>
  <si>
    <t>T-CHTRVU1-18N-TR-HG-RD</t>
  </si>
  <si>
    <t>T-CHTRVU1-18N-TR-HG</t>
  </si>
  <si>
    <t>T-CHTRVU1-18N-HT</t>
  </si>
  <si>
    <t>T-CHTRVU1-18N</t>
  </si>
  <si>
    <t>T-CHTRVU1-09N</t>
  </si>
  <si>
    <t>Traverse Std 2 OS Dwr</t>
  </si>
  <si>
    <t>T-CHTRVSO-18N</t>
  </si>
  <si>
    <t>3rd Row Folded; Heavy Duty Tbl</t>
  </si>
  <si>
    <t>Traverse Std Offset</t>
  </si>
  <si>
    <t>T-CHTRVSO-09N-HT</t>
  </si>
  <si>
    <t>T-CHTRVSO-09N</t>
  </si>
  <si>
    <t>Traverse Std 2 Dwr</t>
  </si>
  <si>
    <t>T-CHTRVS2-24N</t>
  </si>
  <si>
    <t>3rd Row Seat Folded, Table Ext</t>
  </si>
  <si>
    <t>T-CHTRVS2-18N-PT</t>
  </si>
  <si>
    <t>T-CHTRVS2-18N</t>
  </si>
  <si>
    <t>T-CHTRVS2-09N</t>
  </si>
  <si>
    <t>T-CHTRVS1-24N-TR-RD-HG</t>
  </si>
  <si>
    <t>T-CHTRVS1-24N</t>
  </si>
  <si>
    <t>T-CHTRVS1-18N-TR-RD-HG</t>
  </si>
  <si>
    <t>T-CHTRVS1-18N-TR-HG</t>
  </si>
  <si>
    <t>T-CHTRVS1-18N-PT</t>
  </si>
  <si>
    <t>T-CHTRVS1-18N</t>
  </si>
  <si>
    <t>T-CHTRVS1-09N</t>
  </si>
  <si>
    <t>Traverse Mag OS Dwr</t>
  </si>
  <si>
    <t>T-CHTRVMO-24N</t>
  </si>
  <si>
    <t>Traverse Mag 2 Dwr offset</t>
  </si>
  <si>
    <t>T-CHTRVMO-18N-TR-HG</t>
  </si>
  <si>
    <t>Traverse Mag Offset</t>
  </si>
  <si>
    <t>T-CHTRVMO-18N</t>
  </si>
  <si>
    <t>T-CHTRVMO-09N</t>
  </si>
  <si>
    <t>Traverse Mag 2 Dwr</t>
  </si>
  <si>
    <t>T-CHTRVM2-24N</t>
  </si>
  <si>
    <t>T-CHTRVM2-18N-HT</t>
  </si>
  <si>
    <t>T-CHTRVM2-18N</t>
  </si>
  <si>
    <t>T-CHTRVM2-09N-HT</t>
  </si>
  <si>
    <t>T-CHTRVM2-09N</t>
  </si>
  <si>
    <t>T-CHTRVM1-24N-TR-HG</t>
  </si>
  <si>
    <t>T-CHTRVM1-24N</t>
  </si>
  <si>
    <t>T-CHTRVM1-18S</t>
  </si>
  <si>
    <t>3rd Row Seat Folded; Top Tray Heavy Duty</t>
  </si>
  <si>
    <t>T-CHTRVM1-18N-TT</t>
  </si>
  <si>
    <t>T-CHTRVM1-18N-TR-HG-RD</t>
  </si>
  <si>
    <t>T-CHTRVM1-18N-TR-HG</t>
  </si>
  <si>
    <t>T-CHTRVM1-18N-HT</t>
  </si>
  <si>
    <t>T-CHTRVM1-18N</t>
  </si>
  <si>
    <t>T-CHTRVM1-09S</t>
  </si>
  <si>
    <t>T-CHTRVM1-09N</t>
  </si>
  <si>
    <t>Traverse Emergency Response 3</t>
  </si>
  <si>
    <t>F-CHTRVN3-18N-ER3</t>
  </si>
  <si>
    <t>Traverse Emergency Response 7</t>
  </si>
  <si>
    <t>F-CHTRVN2-18N-ER7</t>
  </si>
  <si>
    <t>Traverse Emergency Response 1</t>
  </si>
  <si>
    <t>F-CHTRVN2-18N-C2-ER1</t>
  </si>
  <si>
    <t>TraverseDrone Responder 7</t>
  </si>
  <si>
    <t>D-CHTRVN2-18N-HT-C1-DR7</t>
  </si>
  <si>
    <t>Traverse Drone Responder 6</t>
  </si>
  <si>
    <t>D-CHTRVN2-18N-HT-C1-DR6</t>
  </si>
  <si>
    <t>Traverse Surveyor</t>
  </si>
  <si>
    <t>C-CHTRVS2-18N-VP</t>
  </si>
  <si>
    <t>Traverse Captain LX CC</t>
  </si>
  <si>
    <t>C-CHTRVN5-18P</t>
  </si>
  <si>
    <t>Traverse Tac Ctr</t>
  </si>
  <si>
    <t>C-CHTRVN5-09T</t>
  </si>
  <si>
    <t>Traverse Chief LX CC</t>
  </si>
  <si>
    <t>C-CHTRVN5-09C</t>
  </si>
  <si>
    <t>Traverse Field Ranger</t>
  </si>
  <si>
    <t>C-CHTRVN3-18R</t>
  </si>
  <si>
    <t>Traverse Investigator</t>
  </si>
  <si>
    <t>C-CHTRVN3-18I-HT</t>
  </si>
  <si>
    <t>C-CHTRVN3-18I</t>
  </si>
  <si>
    <t>Traverse Special Ops Ctr</t>
  </si>
  <si>
    <t>C-CHTRVN3-18D</t>
  </si>
  <si>
    <t>C-CHTRVN3-09R</t>
  </si>
  <si>
    <t>C-CHTRVN3-09I</t>
  </si>
  <si>
    <t>Traverse  Investigator 2 Dwr</t>
  </si>
  <si>
    <t>C-CHTRVN2-18I</t>
  </si>
  <si>
    <t>Traverse</t>
  </si>
  <si>
    <t>Trailblazer EXT Std 2 Dwr</t>
  </si>
  <si>
    <t>T-CHTBXS2-02N-TR</t>
  </si>
  <si>
    <t>Trailblazer EXT Std 1 Dwr</t>
  </si>
  <si>
    <t>T-CHTBXS1-02N-TR</t>
  </si>
  <si>
    <t>Trailblazer EXT Mag OS Dwr</t>
  </si>
  <si>
    <t>T-CHTBXMO-02N-TR</t>
  </si>
  <si>
    <t>Trailblazer EXT Mag 2 Dwr</t>
  </si>
  <si>
    <t>T-CHTBXM2-02N-TR-PT</t>
  </si>
  <si>
    <t>T-CHTBXM2-02N-TR</t>
  </si>
  <si>
    <t>Trailblazer EXT Mag 1 Dwr</t>
  </si>
  <si>
    <t>T-CHTBXM1-02N-TR</t>
  </si>
  <si>
    <t>Trailblazer Ext Investigator</t>
  </si>
  <si>
    <t>C-CHTBXN3-02I</t>
  </si>
  <si>
    <t>Trailblazer EXT</t>
  </si>
  <si>
    <t>Trailblazer Utility 2 Dwr</t>
  </si>
  <si>
    <t>T-CHTLBU2-20N</t>
  </si>
  <si>
    <t>Trailblazer Utility 1 Dwr</t>
  </si>
  <si>
    <t>T-CHTLBU1-20N</t>
  </si>
  <si>
    <t>Trailblazer Std OS Dwr</t>
  </si>
  <si>
    <t>T-CHTLBSO-02N</t>
  </si>
  <si>
    <t>No 3rd Seat, Radio Drawer</t>
  </si>
  <si>
    <t>Trailblazer Standard 2 Dwr</t>
  </si>
  <si>
    <t>T-CHTLBS2-20N-RD</t>
  </si>
  <si>
    <t>T-CHTLBS2-20N</t>
  </si>
  <si>
    <t>Trailblazer Std 2 Dwr</t>
  </si>
  <si>
    <t>T-CHTLBS2-02N-PT</t>
  </si>
  <si>
    <t>W/Prisoner Cage</t>
  </si>
  <si>
    <t>T-CHTLBS2-02N-PP</t>
  </si>
  <si>
    <t>T-CHTLBS2-02N</t>
  </si>
  <si>
    <t>Trailblazer Standard 1 Dwr</t>
  </si>
  <si>
    <t>T-CHTLBS1-20N</t>
  </si>
  <si>
    <t>Trailblazer Std 1 Dwr</t>
  </si>
  <si>
    <t>T-CHTLBS1-02N-PT</t>
  </si>
  <si>
    <t>T-CHTLBS1-02N-PP</t>
  </si>
  <si>
    <t>T-CHTLBS1-02N</t>
  </si>
  <si>
    <t>Trailblazer Mag OS Dwr</t>
  </si>
  <si>
    <t>T-CHTLBMO-02N-PT</t>
  </si>
  <si>
    <t>T-CHTLBMO-02N</t>
  </si>
  <si>
    <t>Trailblazer Mag 2 Dwr</t>
  </si>
  <si>
    <t>T-CHTLBM2-20N</t>
  </si>
  <si>
    <t>T-CHTLBM2-02N-PT</t>
  </si>
  <si>
    <t>T-CHTLBM2-02N</t>
  </si>
  <si>
    <t>Trailblazer Mag 1 Dwr</t>
  </si>
  <si>
    <t>T-CHTLBM1-20N</t>
  </si>
  <si>
    <t>T-CHTLBM1-02N-TR</t>
  </si>
  <si>
    <t>T-CHTLBM1-02N-PT</t>
  </si>
  <si>
    <t>T-CHTLBM1-02N-PP</t>
  </si>
  <si>
    <t>T-CHTLBM1-02N</t>
  </si>
  <si>
    <t>Trailblazer Emergency Response 1</t>
  </si>
  <si>
    <t>F-CHTLBN2-02N-C2-ER1</t>
  </si>
  <si>
    <t>Trailblazer Chief LX CC</t>
  </si>
  <si>
    <t>C-CHTLBN5-02C</t>
  </si>
  <si>
    <t>Trailblazer Captain CC</t>
  </si>
  <si>
    <t>C-CHTLBN4-02P</t>
  </si>
  <si>
    <t>Trailblazer Field Ranger</t>
  </si>
  <si>
    <t>C-CHTLBN3-02R-PT</t>
  </si>
  <si>
    <t>C-CHTLBN3-02R</t>
  </si>
  <si>
    <t>Trailblazer Investigator</t>
  </si>
  <si>
    <t>C-CHTLBN3-02I</t>
  </si>
  <si>
    <t>Trailblazer Special Ops Center</t>
  </si>
  <si>
    <t>C-CHTLBN3-02D</t>
  </si>
  <si>
    <t>Trailblazer</t>
  </si>
  <si>
    <t>3rd Removed, Surveyor</t>
  </si>
  <si>
    <t>Tahoe Utility 2 Dwr Offset</t>
  </si>
  <si>
    <t>C-CHTAHUO-21N-TR-VP</t>
  </si>
  <si>
    <t>3rd Removed, Cage, Half Driver</t>
  </si>
  <si>
    <t>Tahoe Mag 1 Dwr</t>
  </si>
  <si>
    <t>T-CHTAHM1-21N-TR-PP-HD</t>
  </si>
  <si>
    <t>Tray/3rd Removed, K9</t>
  </si>
  <si>
    <t>Tahoe Emergency Response 6</t>
  </si>
  <si>
    <t>F-CHTAHN5-21N-ER6-TR-K9</t>
  </si>
  <si>
    <t>Tahoe Drone Responder 10</t>
  </si>
  <si>
    <t>D-CHTAHN1-21N-TF-FM-DR10</t>
  </si>
  <si>
    <t>3rd Removed; K9 Unit</t>
  </si>
  <si>
    <t>Tahoe Captain LX CC</t>
  </si>
  <si>
    <t>C-CHTAHN5-21P-TR-K9</t>
  </si>
  <si>
    <t>3rd Removed, Cage, Radio Drawer</t>
  </si>
  <si>
    <t>Tahoe Mag 2 Dwr</t>
  </si>
  <si>
    <t>T-CHTAHM2-21N-TR-RD-PP</t>
  </si>
  <si>
    <t>3rd Folded Surveyor</t>
  </si>
  <si>
    <t>C-CHTAHUO-21N-TF-VP</t>
  </si>
  <si>
    <t>3rd Removed; HD Table, K9</t>
  </si>
  <si>
    <t>Tahoe Tac Center</t>
  </si>
  <si>
    <t>C-CHTAHN4-21T-TR-HT-K9</t>
  </si>
  <si>
    <t>3rd Removed, Cage, HD Table, Top Tray</t>
  </si>
  <si>
    <t>Tahoe Utility OS Dwr</t>
  </si>
  <si>
    <t>T-CHTAHUO-21N-TR-PP-HT-TT</t>
  </si>
  <si>
    <t>3rd Removed, Cage, HD Table</t>
  </si>
  <si>
    <t>T-CHTAHUO-21N-TR-PP-HT</t>
  </si>
  <si>
    <t>3rd Removed, Cage</t>
  </si>
  <si>
    <t>T-CHTAHUO-21N-TR-PP</t>
  </si>
  <si>
    <t>3rd Removed, K9</t>
  </si>
  <si>
    <t>T-CHTAHUO-21N-TR-K9</t>
  </si>
  <si>
    <t>T-CHTAHUO-21N-TR-HT</t>
  </si>
  <si>
    <t>T-CHTAHUO-21N-TR</t>
  </si>
  <si>
    <t>T-CHTAHUO-21N-TF-PT</t>
  </si>
  <si>
    <t>T-CHTAHUO-21N-TF</t>
  </si>
  <si>
    <t>Tray/3rd Removed;P-Cage; HD Table</t>
  </si>
  <si>
    <t>T-CHTAHUO-15N-PP-HT</t>
  </si>
  <si>
    <t>P-Cage, Tray/3rd Removed</t>
  </si>
  <si>
    <t>T-CHTAHUO-15N-PP</t>
  </si>
  <si>
    <t>Tray/3rd Removed; HD Table</t>
  </si>
  <si>
    <t>T-CHTAHUO-15N-HT</t>
  </si>
  <si>
    <t>T-CHTAHUO-15N-CR</t>
  </si>
  <si>
    <t>T-CHTAHUO-15N</t>
  </si>
  <si>
    <t>T-CHTAHUO-07N-PT</t>
  </si>
  <si>
    <t>T-CHTAHUO-07N</t>
  </si>
  <si>
    <t>Tahoe Utility 2 Dwr</t>
  </si>
  <si>
    <t>T-CHTAHU2-21N-TR-PP</t>
  </si>
  <si>
    <t>T-CHTAHU2-21N-TR-K9</t>
  </si>
  <si>
    <t>T-CHTAHU2-21N-TR-HT</t>
  </si>
  <si>
    <t>T-CHTAHU2-21N-TR</t>
  </si>
  <si>
    <t>3rd Folded, Pullout Table, Top Tray</t>
  </si>
  <si>
    <t>T-CHTAHU2-21N-TF-PT-TT</t>
  </si>
  <si>
    <t>3rd Folded Pullout Table</t>
  </si>
  <si>
    <t>T-CHTAHU2-21N-TF-PT</t>
  </si>
  <si>
    <t>T-CHTAHU2-21N-TF</t>
  </si>
  <si>
    <t>Prisoner Cage; Heavy Duty Table Extention</t>
  </si>
  <si>
    <t>T-CHTAHU2-15N-PP-HT</t>
  </si>
  <si>
    <t>T-CHTAHU2-15N-PP</t>
  </si>
  <si>
    <t>T-CHTAHU2-15N-HT</t>
  </si>
  <si>
    <t>T-CHTAHU2-15N-CR</t>
  </si>
  <si>
    <t>T-CHTAHU2-15N</t>
  </si>
  <si>
    <t>T-CHTAHU2-12N</t>
  </si>
  <si>
    <t>3rd seat removed, Table Extension</t>
  </si>
  <si>
    <t>T-CHTAHU2-07N-PT</t>
  </si>
  <si>
    <t>T-CHTAHU2-07N</t>
  </si>
  <si>
    <t>T-CHTAHU2-00N</t>
  </si>
  <si>
    <t>Tahoe Utility 1 Dwr</t>
  </si>
  <si>
    <t>T-CHTAHU1-21S</t>
  </si>
  <si>
    <t>3rd Removed, Top Tray</t>
  </si>
  <si>
    <t>T-CHTAHU1-21N-TR-TT</t>
  </si>
  <si>
    <t>3rd Removed, Radio, P Cage</t>
  </si>
  <si>
    <t>T-CHTAHU1-21N-TR-RD-PP</t>
  </si>
  <si>
    <t>3rd Removed, Radio Tray</t>
  </si>
  <si>
    <t>T-CHTAHU1-21N-TR-RD</t>
  </si>
  <si>
    <t>3rd Removed, Table Ext</t>
  </si>
  <si>
    <t>T-CHTAHU1-21N-TR-PT</t>
  </si>
  <si>
    <t>T-CHTAHU1-21N-TR-PP</t>
  </si>
  <si>
    <t>Tahoe Utility 1  Dwr</t>
  </si>
  <si>
    <t>T-CHTAHU1-21N-TR-K9</t>
  </si>
  <si>
    <t>3rd Removed, Heavy Duty Table, P Cage</t>
  </si>
  <si>
    <t>T-CHTAHU1-21N-TR-HT-PP</t>
  </si>
  <si>
    <t>T-CHTAHU1-21N-TR-HT</t>
  </si>
  <si>
    <t>T-CHTAHU1-21N-TR</t>
  </si>
  <si>
    <t>T-CHTAHU1-21N-TF-HT</t>
  </si>
  <si>
    <t>T-CHTAHU1-21N-TF</t>
  </si>
  <si>
    <t>3rd Removed, AX Battery Access, P Cage</t>
  </si>
  <si>
    <t>T-CHTAHU1-21N-AX-TR-PP</t>
  </si>
  <si>
    <t>3rd Removed AX Battery Access</t>
  </si>
  <si>
    <t>T-CHTAHU1-21N-AX-TR</t>
  </si>
  <si>
    <t>T-CHTAHU1-15S</t>
  </si>
  <si>
    <t>P-Cage, No 3rd, Heavy Talbe</t>
  </si>
  <si>
    <t>T-CHTAHU1-15N-PP-HT</t>
  </si>
  <si>
    <t>T-CHTAHU1-15N-PP</t>
  </si>
  <si>
    <t>Tray/3rd Removed; Heavy Duty Table</t>
  </si>
  <si>
    <t>T-CHTAHU1-15N-HT</t>
  </si>
  <si>
    <t>Tray/3rd Removed; 1/2 Width Passenger Side</t>
  </si>
  <si>
    <t>T-CHTAHU1-15N-HP</t>
  </si>
  <si>
    <t>T-CHTAHU1-15N-CR</t>
  </si>
  <si>
    <t>T-CHTAHU1-15N</t>
  </si>
  <si>
    <t>T-CHTAHU1-07N</t>
  </si>
  <si>
    <t>T-CHTAHU1-00N</t>
  </si>
  <si>
    <t>Tahoe Std T Dwr</t>
  </si>
  <si>
    <t>T-CHTAHST-97N</t>
  </si>
  <si>
    <t>T-CHTAHST-92N</t>
  </si>
  <si>
    <t>Tahoe Std OS Dwr</t>
  </si>
  <si>
    <t>T-CHTAHSO-97N</t>
  </si>
  <si>
    <t>T-CHTAHSO-92N</t>
  </si>
  <si>
    <t>Tahoe Std 2 Dwr Offset</t>
  </si>
  <si>
    <t>T-CHTAHSO-21N-TR-PP</t>
  </si>
  <si>
    <t>3rd Removed; Heavy Duty Table</t>
  </si>
  <si>
    <t>T-CHTAHSO-21N-TR-HT</t>
  </si>
  <si>
    <t>T-CHTAHSO-21N-TR</t>
  </si>
  <si>
    <t>T-CHTAHSO-21N-TF-HT</t>
  </si>
  <si>
    <t>T-CHTAHSO-21N-TF</t>
  </si>
  <si>
    <t>Table Ext, Tray/3rd Removed</t>
  </si>
  <si>
    <t>T-CHTAHSO-15N-PT</t>
  </si>
  <si>
    <t>Tray/3rd Removed; P-Cage</t>
  </si>
  <si>
    <t>Tahoe Elevated Std OS Dwr</t>
  </si>
  <si>
    <t>T-CHTAHSO-15N-PP-HG</t>
  </si>
  <si>
    <t>T-CHTAHSO-15N-PP</t>
  </si>
  <si>
    <t>Heavy Duty Table Extention</t>
  </si>
  <si>
    <t>Tahoe Std Offset Dwr</t>
  </si>
  <si>
    <t>T-CHTAHSO-15N-HT</t>
  </si>
  <si>
    <t>T-CHTAHSO-15N-FP</t>
  </si>
  <si>
    <t>T-CHTAHSO-15N-CR</t>
  </si>
  <si>
    <t>T-CHTAHSO-15N</t>
  </si>
  <si>
    <t>T-CHTAHSO-12N-PT</t>
  </si>
  <si>
    <t>T-CHTAHSO-12N-PP-PT</t>
  </si>
  <si>
    <t>T-CHTAHSO-12N-PP</t>
  </si>
  <si>
    <t>T-CHTAHSO-12N</t>
  </si>
  <si>
    <t>T-CHTAHSO-07N-PT</t>
  </si>
  <si>
    <t>T-CHTAHSO-07N-PP-PT</t>
  </si>
  <si>
    <t>T-CHTAHSO-07N-PP</t>
  </si>
  <si>
    <t>Easy Clean</t>
  </si>
  <si>
    <t>T-CHTAHSO-07N-PE</t>
  </si>
  <si>
    <t>T-CHTAHSO-07N</t>
  </si>
  <si>
    <t>C-Chairs</t>
  </si>
  <si>
    <t>T-CHTAHSO-00N-TC</t>
  </si>
  <si>
    <t>T-CHTAHSO-00N-PT</t>
  </si>
  <si>
    <t>P-Cage, No Seat Brkt</t>
  </si>
  <si>
    <t>T-CHTAHSO-00N-PP-LN</t>
  </si>
  <si>
    <t>T-CHTAHSO-00N-PP</t>
  </si>
  <si>
    <t>No Seat Brkt, Tbl Ext</t>
  </si>
  <si>
    <t>T-CHTAHSO-00N-LN-PT</t>
  </si>
  <si>
    <t>T-CHTAHSO-00N-LN</t>
  </si>
  <si>
    <t>T-CHTAHSO-00N</t>
  </si>
  <si>
    <t>2 Door, Spare In</t>
  </si>
  <si>
    <t>Tahoe Std L Dwr</t>
  </si>
  <si>
    <t>T-CHTAHSL-97N-D2-SI</t>
  </si>
  <si>
    <t>T-CHTAHSL-94N-D2-SI</t>
  </si>
  <si>
    <t>Tahoe Std 2 Dwr</t>
  </si>
  <si>
    <t>T-CHTAHS2-97N-HT</t>
  </si>
  <si>
    <t>T-CHTAHS2-97N</t>
  </si>
  <si>
    <t>T-CHTAHS2-92N-PT</t>
  </si>
  <si>
    <t>T-CHTAHS2-92N</t>
  </si>
  <si>
    <t>3rd Removed HD Table</t>
  </si>
  <si>
    <t>Tahoe Std 2 Dwr Cage Present</t>
  </si>
  <si>
    <t>T-CHTAHS2-21N-TR-PP-HT</t>
  </si>
  <si>
    <t>T-CHTAHS2-21N-TR-PP</t>
  </si>
  <si>
    <t>3rd Removed, K9 Unit</t>
  </si>
  <si>
    <t>T-CHTAHS2-21N-TR-K9</t>
  </si>
  <si>
    <t>T-CHTAHS2-21N-TR-HT</t>
  </si>
  <si>
    <t>T-CHTAHS2-21N-TR</t>
  </si>
  <si>
    <t>T-CHTAHS2-21N-TF-PT</t>
  </si>
  <si>
    <t>T-CHTAHS2-21N-TF-HT</t>
  </si>
  <si>
    <t>T-CHTAHS2-21N-TF</t>
  </si>
  <si>
    <t>T-CHTAHS2-15N-PT</t>
  </si>
  <si>
    <t>T-CHTAHS2-15N-PP-HT</t>
  </si>
  <si>
    <t>T-CHTAHS2-15N-PP</t>
  </si>
  <si>
    <t>T-CHTAHS2-15N-HT</t>
  </si>
  <si>
    <t>Tahoe Std 2  Dwr</t>
  </si>
  <si>
    <t>T-CHTAHS2-15N-FP</t>
  </si>
  <si>
    <t>T-CHTAHS2-15N-CR</t>
  </si>
  <si>
    <t>T-CHTAHS2-15N</t>
  </si>
  <si>
    <t>T-CHTAHS2-12N-PT</t>
  </si>
  <si>
    <t>T-CHTAHS2-12N-PP</t>
  </si>
  <si>
    <t>T-CHTAHS2-12N-HT</t>
  </si>
  <si>
    <t>T-CHTAHS2-12N</t>
  </si>
  <si>
    <t>T-CHTAHS2-07N-PT</t>
  </si>
  <si>
    <t>Easy Clean Rubber Floors</t>
  </si>
  <si>
    <t>Tahoe Std 2 Dwr, P-cage</t>
  </si>
  <si>
    <t>T-CHTAHS2-07N-PP-PE</t>
  </si>
  <si>
    <t>T-CHTAHS2-07N-PP</t>
  </si>
  <si>
    <t>Easy Clean Floors, Table Ext</t>
  </si>
  <si>
    <t>T-CHTAHS2-07N-PE-PT</t>
  </si>
  <si>
    <t>T-CHTAHS2-07N-PE</t>
  </si>
  <si>
    <t>Mounting on Bedslide</t>
  </si>
  <si>
    <t>T-CHTAHS2-07N-BS</t>
  </si>
  <si>
    <t>T-CHTAHS2-07N</t>
  </si>
  <si>
    <t>T-CHTAHS2-00N-PT</t>
  </si>
  <si>
    <t>T-CHTAHS2-00N-PP-LN</t>
  </si>
  <si>
    <t>T-CHTAHS2-00N-PP</t>
  </si>
  <si>
    <t>T-CHTAHS2-00N-LN</t>
  </si>
  <si>
    <t>T-CHTAHS2-00N</t>
  </si>
  <si>
    <t>Tahoe Std 1 Dwr</t>
  </si>
  <si>
    <t>T-CHTAHS1-97N-PP</t>
  </si>
  <si>
    <t>T-CHTAHS1-97N</t>
  </si>
  <si>
    <t>T-CHTAHS1-92N</t>
  </si>
  <si>
    <t>T-CHTAHS1-21S</t>
  </si>
  <si>
    <t>3rd Removed, Cage, Top Tray</t>
  </si>
  <si>
    <t>T-CHTAHS1-21N-TR-PP-TT</t>
  </si>
  <si>
    <t>T-CHTAHS1-21N-TR-PP-HW</t>
  </si>
  <si>
    <t>T-CHTAHS1-21N-TR-PP</t>
  </si>
  <si>
    <t>T-CHTAHS1-21N-TR-K9</t>
  </si>
  <si>
    <t>T-CHTAHS1-21N-TR-HT</t>
  </si>
  <si>
    <t>3rd Removed, Passenger Side</t>
  </si>
  <si>
    <t>T-CHTAHS1-21N-TR-HP</t>
  </si>
  <si>
    <t>T-CHTAHS1-21N-TR</t>
  </si>
  <si>
    <t>T-CHTAHS1-21N-TF-HT</t>
  </si>
  <si>
    <t>T-CHTAHS1-21N-TF</t>
  </si>
  <si>
    <t>T-CHTAHS1-21N-AX-TR</t>
  </si>
  <si>
    <t>Tray/3rd Rem; HD Top Tray</t>
  </si>
  <si>
    <t>T-CHTAHS1-15N-TT</t>
  </si>
  <si>
    <t>Tahoe Std 1 Dwr Pull Out Table</t>
  </si>
  <si>
    <t>T-CHTAHS1-15N-PT-CR</t>
  </si>
  <si>
    <t>T-CHTAHS1-15N-PT</t>
  </si>
  <si>
    <t>P-Cage, No 3rd, Top Tray</t>
  </si>
  <si>
    <t>T-CHTAHS1-15N-PP-TT</t>
  </si>
  <si>
    <t>Prisoner Cage; Table Extension</t>
  </si>
  <si>
    <t>T-CHTAHS1-15N-PP-PT</t>
  </si>
  <si>
    <t>Tray/3rd Rem; P-Cage; HD Table</t>
  </si>
  <si>
    <t>T-CHTAHS1-15N-PP-HT</t>
  </si>
  <si>
    <t>Tahoe Std 1 Dwr Elevated Vault</t>
  </si>
  <si>
    <t>T-CHTAHS1-15N-PP-HG</t>
  </si>
  <si>
    <t>T-CHTAHS1-15N-PP</t>
  </si>
  <si>
    <t>Tray/3rd Rem/Hvy Dty Tbl Ext, Top Tray</t>
  </si>
  <si>
    <t>T-CHTAHS1-15N-HT-TT</t>
  </si>
  <si>
    <t>Tray/3rd Rem/Hvy Dty Tbl Ext</t>
  </si>
  <si>
    <t>T-CHTAHS1-15N-HT</t>
  </si>
  <si>
    <t>T-CHTAHS1-15N-HP-CR</t>
  </si>
  <si>
    <t>Tahoe Elevated Std 1 Dwr</t>
  </si>
  <si>
    <t>T-CHTAHS1-15N-HG</t>
  </si>
  <si>
    <t>Tahoe Std 1 Dwr 1/2 Width driver's side</t>
  </si>
  <si>
    <t>T-CHTAHS1-15N-HD-CR</t>
  </si>
  <si>
    <t>Tahoe Std 1 Dwr w/HD Table</t>
  </si>
  <si>
    <t>T-CHTAHS1-15N-FP-HT</t>
  </si>
  <si>
    <t>T-CHTAHS1-15N-FP</t>
  </si>
  <si>
    <t>T-CHTAHS1-15N-CR</t>
  </si>
  <si>
    <t>T-CHTAHS1-15N</t>
  </si>
  <si>
    <t>T-CHTAHS1-12N-PT</t>
  </si>
  <si>
    <t>T-CHTAHS1-12N-PP-PT</t>
  </si>
  <si>
    <t>T-CHTAHS1-12N-PP</t>
  </si>
  <si>
    <t>T-CHTAHS1-12N-HT</t>
  </si>
  <si>
    <t>T-CHTAHS1-12N</t>
  </si>
  <si>
    <t>T-CHTAHS1-07N-PT</t>
  </si>
  <si>
    <t>P-cage, Easy Clean Floors</t>
  </si>
  <si>
    <t>T-CHTAHS1-07N-PP-PE</t>
  </si>
  <si>
    <t>T-CHTAHS1-07N-PP</t>
  </si>
  <si>
    <t>Easy Clean Floors, Cargo Glide</t>
  </si>
  <si>
    <t>T-CHTAHS1-07N-PE-BS</t>
  </si>
  <si>
    <t>T-CHTAHS1-07N-BS</t>
  </si>
  <si>
    <t>T-CHTAHS1-07N</t>
  </si>
  <si>
    <t>T-CHTAHS1-00N-TC</t>
  </si>
  <si>
    <t>T-CHTAHS1-00N-PT</t>
  </si>
  <si>
    <t>T-CHTAHS1-00N-PP-LN</t>
  </si>
  <si>
    <t>T-CHTAHS1-00N-PP</t>
  </si>
  <si>
    <t>T-CHTAHS1-00N-LN-PT</t>
  </si>
  <si>
    <t>T-CHTAHS1-00N-LN</t>
  </si>
  <si>
    <t>T-CHTAHS1-00N</t>
  </si>
  <si>
    <t>Tahoe Mag T Dwr</t>
  </si>
  <si>
    <t>T-CHTAHMT-97N</t>
  </si>
  <si>
    <t>Tahoe Mag OS Dwr</t>
  </si>
  <si>
    <t>T-CHTAHMO-97N</t>
  </si>
  <si>
    <t>T-CHTAHMO-94N-D2</t>
  </si>
  <si>
    <t>T-CHTAHMO-92N</t>
  </si>
  <si>
    <t>Tahoe Mag Offset Dwr</t>
  </si>
  <si>
    <t>T-CHTAHMO-21N-TR-RD-PP</t>
  </si>
  <si>
    <t>3rd Removed, Cage, HD Table; Top Tray</t>
  </si>
  <si>
    <t>T-CHTAHMO-21N-TR-PP-HT-TT</t>
  </si>
  <si>
    <t>T-CHTAHMO-21N-TR-PP-HT</t>
  </si>
  <si>
    <t>15455A</t>
  </si>
  <si>
    <t>Tahoe Custom</t>
  </si>
  <si>
    <t>T-CHTAHMO-21N-TR-PP-C15455A</t>
  </si>
  <si>
    <t>T-CHTAHMO-21N-TR-PP</t>
  </si>
  <si>
    <t>T-CHTAHMO-21N-TR-K9</t>
  </si>
  <si>
    <t>3rd Removed; Heavy Duty Table; Top Tray</t>
  </si>
  <si>
    <t>T-CHTAHMO-21N-TR-HT-TT</t>
  </si>
  <si>
    <t>T-CHTAHMO-21N-TR-HT</t>
  </si>
  <si>
    <t>T-CHTAHMO-21N-TR</t>
  </si>
  <si>
    <t>Tahoe Mag 2 Dwr Offset</t>
  </si>
  <si>
    <t>T-CHTAHMO-21N-TF</t>
  </si>
  <si>
    <t>T-CHTAHMO-15N-PT</t>
  </si>
  <si>
    <t>P-Cage, Top Tray</t>
  </si>
  <si>
    <t>T-CHTAHMO-15N-PP-TT</t>
  </si>
  <si>
    <t>P-Cage, No Tray/3rd; Table Ext</t>
  </si>
  <si>
    <t>T-CHTAHMO-15N-PP-PT</t>
  </si>
  <si>
    <t>P-Cage; HD Table</t>
  </si>
  <si>
    <t>T-CHTAHMO-15N-PP-HT</t>
  </si>
  <si>
    <t>T-CHTAHMO-15N-PP</t>
  </si>
  <si>
    <t>T-CHTAHMO-15N-HT</t>
  </si>
  <si>
    <t>T-CHTAHMO-15N-CR</t>
  </si>
  <si>
    <t>T-CHTAHMO-15N</t>
  </si>
  <si>
    <t>T-CHTAHMO-12N-PT</t>
  </si>
  <si>
    <t>T-CHTAHMO-12N-PP-PT</t>
  </si>
  <si>
    <t>Tahoe Mag Offset</t>
  </si>
  <si>
    <t>T-CHTAHMO-12N-PP-HT</t>
  </si>
  <si>
    <t>T-CHTAHMO-12N-PP</t>
  </si>
  <si>
    <t>T-CHTAHMO-12N-HT</t>
  </si>
  <si>
    <t>T-CHTAHMO-12N</t>
  </si>
  <si>
    <t>T-CHTAHMO-07N-PT</t>
  </si>
  <si>
    <t>T-CHTAHMO-07N-PP</t>
  </si>
  <si>
    <t>T-CHTAHMO-07N</t>
  </si>
  <si>
    <t>Capt Chairs, Seat Bracket</t>
  </si>
  <si>
    <t>T-CHTAHMO-00N-TC</t>
  </si>
  <si>
    <t>T-CHTAHMO-00N-PT</t>
  </si>
  <si>
    <t>T-CHTAHMO-00N-PP-LN</t>
  </si>
  <si>
    <t>T-CHTAHMO-00N-PP</t>
  </si>
  <si>
    <t>T-CHTAHMO-00N-LN-PT</t>
  </si>
  <si>
    <t>T-CHTAHMO-00N-LN</t>
  </si>
  <si>
    <t>T-CHTAHMO-00N</t>
  </si>
  <si>
    <t>T-CHTAHM2-97N-PT</t>
  </si>
  <si>
    <t>T-CHTAHM2-97N</t>
  </si>
  <si>
    <t>T-CHTAHM2-92N-PP</t>
  </si>
  <si>
    <t>T-CHTAHM2-92N</t>
  </si>
  <si>
    <t>3rd Removed; Top Tray</t>
  </si>
  <si>
    <t>T-CHTAHM2-21N-TR-TT</t>
  </si>
  <si>
    <t>3rd Removed, Table Extensin</t>
  </si>
  <si>
    <t>T-CHTAHM2-21N-TR-PT</t>
  </si>
  <si>
    <t>3rd Removed, Cage; Top Tray</t>
  </si>
  <si>
    <t>T-CHTAHM2-21N-TR-PP-TT</t>
  </si>
  <si>
    <t>Tahoe Mag 2 Dwr HD Table</t>
  </si>
  <si>
    <t>T-CHTAHM2-21N-TR-PP-HT</t>
  </si>
  <si>
    <t>T-CHTAHM2-21N-TR-PP</t>
  </si>
  <si>
    <t>3rd Removed, K9 Cage, HD Table</t>
  </si>
  <si>
    <t>T-CHTAHM2-21N-TR-K9-HT</t>
  </si>
  <si>
    <t>3rd Removed, K9 Cage</t>
  </si>
  <si>
    <t>T-CHTAHM2-21N-TR-K9</t>
  </si>
  <si>
    <t>T-CHTAHM2-21N-TR-HT</t>
  </si>
  <si>
    <t>3rd Removed; Heavy Duty Magnetic Table</t>
  </si>
  <si>
    <t>T-CHTAHM2-21N-TR-HM</t>
  </si>
  <si>
    <t>T-CHTAHM2-21N-TR</t>
  </si>
  <si>
    <t>3rd Folded, Table Ext</t>
  </si>
  <si>
    <t>T-CHTAHM2-21N-TF-PT</t>
  </si>
  <si>
    <t>T-CHTAHM2-21N-TF-HT</t>
  </si>
  <si>
    <t>T-CHTAHM2-21N-TF</t>
  </si>
  <si>
    <t>T-CHTAHM2-21N-AX-TR-PP</t>
  </si>
  <si>
    <t>T-CHTAHM2-21N-AX-TR</t>
  </si>
  <si>
    <t>T-CHTAHM2-15N-PT</t>
  </si>
  <si>
    <t>P-Cage, Tray/3rd Removed, Top Tray</t>
  </si>
  <si>
    <t>T-CHTAHM2-15N-PP-TT</t>
  </si>
  <si>
    <t>T-CHTAHM2-15N-PP-PT</t>
  </si>
  <si>
    <t>P-Cage, Heavy Duty Table</t>
  </si>
  <si>
    <t>T-CHTAHM2-15N-PP-HT</t>
  </si>
  <si>
    <t>T-CHTAHM2-15N-PP</t>
  </si>
  <si>
    <t>Heavy Duty Table; Tray/3rd Rem</t>
  </si>
  <si>
    <t>T-CHTAHM2-15N-HT</t>
  </si>
  <si>
    <t>Tahoe Mag 2 Dwr Fuse Panel</t>
  </si>
  <si>
    <t>T-CHTAHM2-15N-FP-PP</t>
  </si>
  <si>
    <t>T-CHTAHM2-15N-CR</t>
  </si>
  <si>
    <t>T-CHTAHM2-15N</t>
  </si>
  <si>
    <t>T-CHTAHM2-12N-PT</t>
  </si>
  <si>
    <t>T-CHTAHM2-12N-PP-PT</t>
  </si>
  <si>
    <t>T-CHTAHM2-12N-PP-HT</t>
  </si>
  <si>
    <t>T-CHTAHM2-12N-PP</t>
  </si>
  <si>
    <t>T-CHTAHM2-12N-HT</t>
  </si>
  <si>
    <t>T-CHTAHM2-12N</t>
  </si>
  <si>
    <t>T-CHTAHM2-07N-PT</t>
  </si>
  <si>
    <t>T-CHTAHM2-07N-PP-PT</t>
  </si>
  <si>
    <t>T-CHTAHM2-07N-PP</t>
  </si>
  <si>
    <t>No Wings, Faceplates or Ledger</t>
  </si>
  <si>
    <t>T-CHTAHM2-07N-PN</t>
  </si>
  <si>
    <t>T-CHTAHM2-07N-HT</t>
  </si>
  <si>
    <t>T-CHTAHM2-07N-BS</t>
  </si>
  <si>
    <t>T-CHTAHM2-07N</t>
  </si>
  <si>
    <t>T-CHTAHM2-00N-TC-LN</t>
  </si>
  <si>
    <t>T-CHTAHM2-00N-PT</t>
  </si>
  <si>
    <t>T-CHTAHM2-00N-PP-LN</t>
  </si>
  <si>
    <t>T-CHTAHM2-00N-PP</t>
  </si>
  <si>
    <t>T-CHTAHM2-00N-PN</t>
  </si>
  <si>
    <t>T-CHTAHM2-00N-LN-PT</t>
  </si>
  <si>
    <t>T-CHTAHM2-00N-LN</t>
  </si>
  <si>
    <t>T-CHTAHM2-00N</t>
  </si>
  <si>
    <t>T-CHTAHM1-97N</t>
  </si>
  <si>
    <t>T-CHTAHM1-92N</t>
  </si>
  <si>
    <t>T-CHTAHM1-21S</t>
  </si>
  <si>
    <t>Top Tray, 3rd Removed</t>
  </si>
  <si>
    <t>T-CHTAHM1-21N-TR-TT</t>
  </si>
  <si>
    <t>3rd Removed Cage Installed</t>
  </si>
  <si>
    <t>Tahoe Mag 1 Dwr Radio Drawer</t>
  </si>
  <si>
    <t>T-CHTAHM1-21N-TR-RD-PP</t>
  </si>
  <si>
    <t>3rd Removed, KP Cage Installed</t>
  </si>
  <si>
    <t>T-CHTAHM1-21N-TR-RD-K9</t>
  </si>
  <si>
    <t>T-CHTAHM1-21N-TR-RD</t>
  </si>
  <si>
    <t>Table Extension 3rd Removed</t>
  </si>
  <si>
    <t>T-CHTAHM1-21N-TR-PT</t>
  </si>
  <si>
    <t>T-CHTAHM1-21N-TR-PP-TT</t>
  </si>
  <si>
    <t>P-Cage, 3rd Removed, Heavy Table, Top Tray</t>
  </si>
  <si>
    <t>T-CHTAHM1-21N-TR-PP-HT-TT</t>
  </si>
  <si>
    <t>P-Cage, 3rd Removed, Heavy Table</t>
  </si>
  <si>
    <t>T-CHTAHM1-21N-TR-PP-HT</t>
  </si>
  <si>
    <t>3rd Removed; P-Cage; Passenger Side</t>
  </si>
  <si>
    <t>Tahoe Mag 1 Dwr 1/2 width</t>
  </si>
  <si>
    <t>T-CHTAHM1-21N-TR-PP-HP</t>
  </si>
  <si>
    <t>T-CHTAHM1-21N-TR-PP</t>
  </si>
  <si>
    <t>3rd Removed, K9, Top Tray</t>
  </si>
  <si>
    <t>T-CHTAHM1-21N-TR-K9-TT</t>
  </si>
  <si>
    <t>T-CHTAHM1-21N-TR-K9</t>
  </si>
  <si>
    <t>3rd Removed, Heavy Table, Top Tray</t>
  </si>
  <si>
    <t>T-CHTAHM1-21N-TR-HT-TT</t>
  </si>
  <si>
    <t>T-CHTAHM1-21N-TR-HT</t>
  </si>
  <si>
    <t>3rd Removed Passenger Side, Radio drawer</t>
  </si>
  <si>
    <t>T-CHTAHM1-21N-TR-HP-RD</t>
  </si>
  <si>
    <t>3rd Removed Passenger Side</t>
  </si>
  <si>
    <t>T-CHTAHM1-21N-TR-HP</t>
  </si>
  <si>
    <t>T-CHTAHM1-21N-TR-FP</t>
  </si>
  <si>
    <t>T-CHTAHM1-21N-TR</t>
  </si>
  <si>
    <t>T-CHTAHM1-21N-TF-HT</t>
  </si>
  <si>
    <t>Tahoe Mag 1 Dwr 1/2 Width Passenger Side</t>
  </si>
  <si>
    <t>T-CHTAHM1-21N-TF-HP</t>
  </si>
  <si>
    <t>T-CHTAHM1-21N-TF</t>
  </si>
  <si>
    <t>3rd Removed, Ax Battery Access; Radio Drawer</t>
  </si>
  <si>
    <t>T-CHTAHM1-21N-AX-TR-RD</t>
  </si>
  <si>
    <t>Tahoe Mag 1 Dwr, Cage present</t>
  </si>
  <si>
    <t>T-CHTAHM1-21N-AX-TR-PP-RD</t>
  </si>
  <si>
    <t>3rd Removed, Ax Battery Access; Heavy Table</t>
  </si>
  <si>
    <t>T-CHTAHM1-21N-AX-TR-PP-HT</t>
  </si>
  <si>
    <t>3rd Removed, Ax Battery Access</t>
  </si>
  <si>
    <t>T-CHTAHM1-21N-AX-TR-PP</t>
  </si>
  <si>
    <t>Tahoe Mag 1 Dwr, K9</t>
  </si>
  <si>
    <t>T-CHTAHM1-21N-AX-TR-K9</t>
  </si>
  <si>
    <t>T-CHTAHM1-21N-AX-TR</t>
  </si>
  <si>
    <t>No 3rd, Top Tray</t>
  </si>
  <si>
    <t>T-CHTAHM1-15N-TT</t>
  </si>
  <si>
    <t>T-CHTAHM1-15N-PT</t>
  </si>
  <si>
    <t>T-CHTAHM1-15N-PP-TT</t>
  </si>
  <si>
    <t>T-CHTAHM1-15N-PP-HT</t>
  </si>
  <si>
    <t>T-CHTAHM1-15N-PP-HP</t>
  </si>
  <si>
    <t>T-CHTAHM1-15N-PP</t>
  </si>
  <si>
    <t>Tray/3rd Removed; Heavy Table, Top Tray</t>
  </si>
  <si>
    <t>T-CHTAHM1-15N-HT-TT</t>
  </si>
  <si>
    <t>Tray/3rd Removed; Heavy Table</t>
  </si>
  <si>
    <t>T-CHTAHM1-15N-HT</t>
  </si>
  <si>
    <t>T-CHTAHM1-15N-HP</t>
  </si>
  <si>
    <t>T-CHTAHM1-15N-HG</t>
  </si>
  <si>
    <t>3rd Removed Driver's Side</t>
  </si>
  <si>
    <t>T-CHTAHM1-15N-HD-PP</t>
  </si>
  <si>
    <t>Tahoe Mag 1 Dwr w/HD Table</t>
  </si>
  <si>
    <t>T-CHTAHM1-15N-FP-HT</t>
  </si>
  <si>
    <t>T-CHTAHM1-15N-FP</t>
  </si>
  <si>
    <t>T-CHTAHM1-15N-CR</t>
  </si>
  <si>
    <t>T-CHTAHM1-15N</t>
  </si>
  <si>
    <t>Captains Chairs</t>
  </si>
  <si>
    <t>T-CHTAHM1-12N-TC</t>
  </si>
  <si>
    <t>T-CHTAHM1-12N-PT</t>
  </si>
  <si>
    <t>P-Cage, Table Ext</t>
  </si>
  <si>
    <t>T-CHTAHM1-12N-PP-PT</t>
  </si>
  <si>
    <t>T-CHTAHM1-12N-PP</t>
  </si>
  <si>
    <t>T-CHTAHM1-12N-HT</t>
  </si>
  <si>
    <t>T-CHTAHM1-12N-FOB</t>
  </si>
  <si>
    <t>T-CHTAHM1-12N</t>
  </si>
  <si>
    <t>T-CHTAHM1-07N-PT</t>
  </si>
  <si>
    <t>T-CHTAHM1-07N-PP-PT</t>
  </si>
  <si>
    <t>T-CHTAHM1-07N-PP</t>
  </si>
  <si>
    <t>T-CHTAHM1-07N-BS</t>
  </si>
  <si>
    <t>T-CHTAHM1-07N</t>
  </si>
  <si>
    <t>T-CHTAHM1-00N-PT</t>
  </si>
  <si>
    <t>T-CHTAHM1-00N-PP-LN</t>
  </si>
  <si>
    <t>T-CHTAHM1-00N-PP</t>
  </si>
  <si>
    <t>T-CHTAHM1-00N-LN-PT</t>
  </si>
  <si>
    <t>T-CHTAHM1-00N-LN</t>
  </si>
  <si>
    <t>T-CHTAHM1-00N</t>
  </si>
  <si>
    <t>Tahoe Ext Offset Dwr</t>
  </si>
  <si>
    <t>T-CHTAHEO-21N-TR-TT</t>
  </si>
  <si>
    <t>T-CHTAHEO-21N-TR</t>
  </si>
  <si>
    <t>Tahoe Ext 2 Dwr</t>
  </si>
  <si>
    <t>T-CHTAHE2-21N-TR-PP</t>
  </si>
  <si>
    <t>Tahoe Ext 1 Dwr</t>
  </si>
  <si>
    <t>T-CHTAHE1-21N-TR-PP</t>
  </si>
  <si>
    <t>T-CHTAHE1-21N-TR-K9</t>
  </si>
  <si>
    <t>T-CHTAHE1-21N-TR</t>
  </si>
  <si>
    <t>F-CHTAHN5-21N-ER6-TR</t>
  </si>
  <si>
    <t>F-CHTAHN5-15N-ER6-HT</t>
  </si>
  <si>
    <t>F-CHTAHN5-15N-ER6</t>
  </si>
  <si>
    <t>F-CHTAHN5-12N-ER6</t>
  </si>
  <si>
    <t>F-CHTAHN5-00N-ER6</t>
  </si>
  <si>
    <t>Tahoe Emergency Response 4</t>
  </si>
  <si>
    <t>F-CHTAHN4-21N-TR-HT-C1-ER4</t>
  </si>
  <si>
    <t>F-CHTAHN4-21N-TR-C1-ER4</t>
  </si>
  <si>
    <t>F-CHTAHN4-15N-HT-C1-ER4</t>
  </si>
  <si>
    <t>F-CHTAHN4-15N-C1-ER4</t>
  </si>
  <si>
    <t>F-CHTAHN4-12N-C1-ER4</t>
  </si>
  <si>
    <t>F-CHTAHN4-07N-C1-ER4</t>
  </si>
  <si>
    <t>Tahoe Emergency Response 2</t>
  </si>
  <si>
    <t>F-CHTAHN3-21N-TR-C1-ER2</t>
  </si>
  <si>
    <t>3rd Seat Removed; K9 Cage</t>
  </si>
  <si>
    <t>F-CHTAHN3-21N-C1-ER3-TR-K9</t>
  </si>
  <si>
    <t>F-CHTAHN3-21N-C1-ER3-TR</t>
  </si>
  <si>
    <t>F-CHTAHN3-15N-C1-ER3</t>
  </si>
  <si>
    <t>F-CHTAHN3-15N-C1-ER2</t>
  </si>
  <si>
    <t>F-CHTAHN3-12N-C1-ER3-TR</t>
  </si>
  <si>
    <t>F-CHTAHN3-12N-C1-ER3</t>
  </si>
  <si>
    <t>F-CHTAHN3-12N-C1-ER2</t>
  </si>
  <si>
    <t>F-CHTAHN3-00N-C1-ER3</t>
  </si>
  <si>
    <t>F-CHTAHN2-21N-TF-C2-ER1</t>
  </si>
  <si>
    <t>Tray/3rd Removed, HD Table</t>
  </si>
  <si>
    <t>Tahoe Emergency Response 7</t>
  </si>
  <si>
    <t>F-CHTAHN2-21N-ER7-TR-HT</t>
  </si>
  <si>
    <t>F-CHTAHN2-21N-ER7-TR</t>
  </si>
  <si>
    <t>Tahoe Emergency Response 5</t>
  </si>
  <si>
    <t>F-CHTAHN2-21N-C4-ER5-TR</t>
  </si>
  <si>
    <t>F-CHTAHN2-21N-C4-ER1-TR-C11999</t>
  </si>
  <si>
    <t>Tahoe Emergency Response 8</t>
  </si>
  <si>
    <t>F-CHTAHN2-21N-C2-TR-ER8</t>
  </si>
  <si>
    <t>F-CHTAHN2-21N-C2-TF-ER8</t>
  </si>
  <si>
    <t>F-CHTAHN2-21N-C2-ER1-TR</t>
  </si>
  <si>
    <t>F-CHTAHN2-15N-ER7</t>
  </si>
  <si>
    <t>F-CHTAHN2-15N-C4-ER5</t>
  </si>
  <si>
    <t>F-CHTAHN2-15N-C2-ER8</t>
  </si>
  <si>
    <t>F-CHTAHN2-15N-C2-ER1</t>
  </si>
  <si>
    <t>F-CHTAHN2-12N-ER7</t>
  </si>
  <si>
    <t>F-CHTAHN2-12N-C4-ER5</t>
  </si>
  <si>
    <t>Mounting on Slide</t>
  </si>
  <si>
    <t>F-CHTAHN2-12N-C2-ER8-BS</t>
  </si>
  <si>
    <t>F-CHTAHN2-12N-C2-ER8</t>
  </si>
  <si>
    <t>F-CHTAHN2-12N-C2-ER1</t>
  </si>
  <si>
    <t>Tahoe Emergency Resp 1</t>
  </si>
  <si>
    <t>F-CHTAHN2-07N-C2-ER1</t>
  </si>
  <si>
    <t>Tahoe Drone Responder 4</t>
  </si>
  <si>
    <t>D-CHTAHN3-21N-TR-HT-C1-DR4</t>
  </si>
  <si>
    <t>Tahoe Drone Responder 5</t>
  </si>
  <si>
    <t>D-CHTAHN3-21N-TR-C1-DR5</t>
  </si>
  <si>
    <t>D-CHTAHN3-21N-TF-HT-C1-DR4</t>
  </si>
  <si>
    <t>D-CHTAHN3-21N-TF-C1-DR5</t>
  </si>
  <si>
    <t>D-CHTAHN3-21N-HT-C1-DR4-TR</t>
  </si>
  <si>
    <t>D-CHTAHN3-15N-HT-C1-DR4</t>
  </si>
  <si>
    <t>D-CHTAHN3-15N-C1-DR5</t>
  </si>
  <si>
    <t>3rd Removed; Prisoner Cage</t>
  </si>
  <si>
    <t>Tahoe Drone Responder 7</t>
  </si>
  <si>
    <t>D-CHTAHN2-21N-TR-PP-HT-C1-DR7</t>
  </si>
  <si>
    <t>Tahoe Drone Responder 9</t>
  </si>
  <si>
    <t>D-CHTAHN2-21N-TR-PP-FM-DR9</t>
  </si>
  <si>
    <t>P Cage Present</t>
  </si>
  <si>
    <t>D-CHTAHN2-21N-TR-PP-FM-DR10</t>
  </si>
  <si>
    <t>D-CHTAHN2-21N-TR-K9-HT-C1-DR7</t>
  </si>
  <si>
    <t>D-CHTAHN2-21N-TR-HT-C1-DR7</t>
  </si>
  <si>
    <t>Tahoe Drone Responder 6</t>
  </si>
  <si>
    <t>D-CHTAHN2-21N-TR-HT-C1-DR6</t>
  </si>
  <si>
    <t>D-CHTAHN2-21N-TR-FM-DR9</t>
  </si>
  <si>
    <t>D-CHTAHN2-21N-TR-FM-DR10</t>
  </si>
  <si>
    <t>D-CHTAHN2-21N-TF-HT-C1-DR7</t>
  </si>
  <si>
    <t>Tray/3rd Removed, Cage, HD Table</t>
  </si>
  <si>
    <t>D-CHTAHN2-15N-PP-HT-C1-DR7</t>
  </si>
  <si>
    <t>D-CHTAHN2-15N-HT-C1-DR7</t>
  </si>
  <si>
    <t>D-CHTAHN2-15N-HT-C1-DR6</t>
  </si>
  <si>
    <t>D-CHTAHN2-07N-HT-C1-DR7</t>
  </si>
  <si>
    <t>D-CHTAHN1-21N-TR-PP-FM-DR9</t>
  </si>
  <si>
    <t>D-CHTAHN1-21N-TR-PP-FM-DR10</t>
  </si>
  <si>
    <t>D-CHTAHN1-21N-TR-HT-C1-DR7</t>
  </si>
  <si>
    <t>D-CHTAHN1-21N-TR-FM-DR9</t>
  </si>
  <si>
    <t>D-CHTAHN1-21N-TR-FM-DR10</t>
  </si>
  <si>
    <t>D-CHTAHN1-21N-TF-HT-C1-DR7</t>
  </si>
  <si>
    <t>D-CHTAHN1-15N-PP-FM-DR10</t>
  </si>
  <si>
    <t>D-CHTAHN1-15N-HT-C1-DR7</t>
  </si>
  <si>
    <t>D-CHTAHN1-15N-FM-DR9</t>
  </si>
  <si>
    <t>D-CHTAHN1-15N-FM-DR10</t>
  </si>
  <si>
    <t>D-CHTAHN1-07N-FM-DR9</t>
  </si>
  <si>
    <t>D-CHTAHN0-21N-TR-FM-DR8</t>
  </si>
  <si>
    <t>D-CHTAHN0-15N-FM-DR8</t>
  </si>
  <si>
    <t>3rd Removed Mag 2 Drawer</t>
  </si>
  <si>
    <t>Tahoe Drone Responder 3</t>
  </si>
  <si>
    <t>D-CHTAHM2-21N-TR-C1-DR3</t>
  </si>
  <si>
    <t>Tahoe Drone Responder 1</t>
  </si>
  <si>
    <t>D-CHTAHM2-21N-TR-C1-DR1</t>
  </si>
  <si>
    <t>D-CHTAHM2-15N-C1-DR3</t>
  </si>
  <si>
    <t>D-CHTAHM2-15N-C1-DR1</t>
  </si>
  <si>
    <t>Tahoe Drone Responder 2</t>
  </si>
  <si>
    <t>D-CHTAHM1-21N-TR-C1-DR2</t>
  </si>
  <si>
    <t>D-CHTAHM1-15N-C1-DR2</t>
  </si>
  <si>
    <t>C11523</t>
  </si>
  <si>
    <t>Tahoe Custom, 3rd Folded, HD Table, Cubbies</t>
  </si>
  <si>
    <t>C-CHTAHS2-21N-TF-C3-HT-C11523</t>
  </si>
  <si>
    <t>Tahoe Chief LX CC</t>
  </si>
  <si>
    <t>C-CHTAHN6-95C-PT</t>
  </si>
  <si>
    <t>C-CHTAHN6-95C</t>
  </si>
  <si>
    <t>Tahoe Tac Ctr</t>
  </si>
  <si>
    <t>C-CHTAHN6-21T-TR</t>
  </si>
  <si>
    <t>C-CHTAHN6-21T-TF</t>
  </si>
  <si>
    <t>C-CHTAHN6-21C-TR-K9</t>
  </si>
  <si>
    <t>C-CHTAHN6-21C-TR</t>
  </si>
  <si>
    <t>C-CHTAHN6-15T-PT</t>
  </si>
  <si>
    <t>C-CHTAHN6-15T</t>
  </si>
  <si>
    <t>C-CHTAHN6-15C-PT-PP</t>
  </si>
  <si>
    <t>C-CHTAHN6-15C-PT</t>
  </si>
  <si>
    <t>C-CHTAHN6-15C-HT</t>
  </si>
  <si>
    <t>C-CHTAHN6-15C</t>
  </si>
  <si>
    <t>C-CHTAHN6-12T-PT</t>
  </si>
  <si>
    <t>C-CHTAHN6-12T</t>
  </si>
  <si>
    <t>Table Extention 3rd Seat Removed</t>
  </si>
  <si>
    <t>C-CHTAHN6-12C-TR-PT</t>
  </si>
  <si>
    <t>C-CHTAHN6-12C-PT</t>
  </si>
  <si>
    <t>C-CHTAHN6-12C-PP</t>
  </si>
  <si>
    <t>C-CHTAHN6-12C</t>
  </si>
  <si>
    <t>C-CHTAHN6-07T-PT</t>
  </si>
  <si>
    <t>C-CHTAHN6-07T</t>
  </si>
  <si>
    <t>C-CHTAHN6-07C-PT</t>
  </si>
  <si>
    <t>C-CHTAHN6-07C-PP</t>
  </si>
  <si>
    <t>C-CHTAHN6-07C</t>
  </si>
  <si>
    <t>C-CHTAHN6-00T</t>
  </si>
  <si>
    <t>C-CHTAHN5-96P</t>
  </si>
  <si>
    <t>C-CHTAHN5-95C-PT</t>
  </si>
  <si>
    <t>C-CHTAHN5-95C</t>
  </si>
  <si>
    <t>3rd Removed, P-Cage Present</t>
  </si>
  <si>
    <t>C-CHTAHN5-21T-TR-PP</t>
  </si>
  <si>
    <t>HD Table, 3rd Removed; K9 Unit</t>
  </si>
  <si>
    <t>C-CHTAHN5-21P-TR-HT-K9</t>
  </si>
  <si>
    <t>HD Table, 3rd Removed</t>
  </si>
  <si>
    <t>C-CHTAHN5-21P-TR-HT</t>
  </si>
  <si>
    <t>C-CHTAHN5-21P-TR</t>
  </si>
  <si>
    <t>C-CHTAHN5-21P-TF</t>
  </si>
  <si>
    <t>C16282B</t>
  </si>
  <si>
    <t>C-CHTAHN5-21N-TR-C3-C16282B</t>
  </si>
  <si>
    <t>C16266B</t>
  </si>
  <si>
    <t>C-CHTAHN5-21N-TR-C3-C16266B</t>
  </si>
  <si>
    <t>C-CHTAHN5-21C-TR</t>
  </si>
  <si>
    <t>C-CHTAHN5-21C-TF</t>
  </si>
  <si>
    <t>Tahoe 5 Dwr Tac Ctr</t>
  </si>
  <si>
    <t>C-CHTAHN5-15T-PT</t>
  </si>
  <si>
    <t>C-CHTAHN5-15T</t>
  </si>
  <si>
    <t>Table Extension, Tray/3rd Out</t>
  </si>
  <si>
    <t>C-CHTAHN5-15P-PT</t>
  </si>
  <si>
    <t>C-CHTAHN5-15P-PP</t>
  </si>
  <si>
    <t>C-CHTAHN5-15P-HT</t>
  </si>
  <si>
    <t>C-CHTAHN5-15P</t>
  </si>
  <si>
    <t>with Table Extension</t>
  </si>
  <si>
    <t>C-CHTAHN5-12P-PT</t>
  </si>
  <si>
    <t>C-CHTAHN5-12P</t>
  </si>
  <si>
    <t>C-CHTAHN5-12C-PT</t>
  </si>
  <si>
    <t>C-CHTAHN5-12C-PP</t>
  </si>
  <si>
    <t>C-CHTAHN5-07P-PT</t>
  </si>
  <si>
    <t>C-CHTAHN5-07P</t>
  </si>
  <si>
    <t>C-CHTAHN5-07C-PT</t>
  </si>
  <si>
    <t>C-CHTAHN5-07C-PP</t>
  </si>
  <si>
    <t>C-CHTAHN5-07C</t>
  </si>
  <si>
    <t>C-CHTAHN5-00T</t>
  </si>
  <si>
    <t>C-CHTAHN5-00P-PT</t>
  </si>
  <si>
    <t>Tahoe Captain CC</t>
  </si>
  <si>
    <t>C-CHTAHN4-96P</t>
  </si>
  <si>
    <t>3rd Removed; HD Table</t>
  </si>
  <si>
    <t>C-CHTAHN4-21T-TR-HT-PP</t>
  </si>
  <si>
    <t>C-CHTAHN4-21P-TR</t>
  </si>
  <si>
    <t>HD Table; K9 Cage</t>
  </si>
  <si>
    <t>C-CHTAHN4-21C-TR-HT-K9</t>
  </si>
  <si>
    <t>C-CHTAHN4-21C-TR-HT</t>
  </si>
  <si>
    <t>Old Style; Tray/3rd Removed</t>
  </si>
  <si>
    <t>Tahoe Captain CC Cage Present</t>
  </si>
  <si>
    <t>C-CHTAHN4-15P-PP</t>
  </si>
  <si>
    <t>C-CHTAHN4-15P</t>
  </si>
  <si>
    <t>C-CHTAHN4-12P</t>
  </si>
  <si>
    <t>C-CHTAHN4-07P</t>
  </si>
  <si>
    <t>Tahoe Field Ranger</t>
  </si>
  <si>
    <t>C-CHTAHN3-96R</t>
  </si>
  <si>
    <t>Tahoe Investigator</t>
  </si>
  <si>
    <t>C-CHTAHN3-96I-PP</t>
  </si>
  <si>
    <t>C-CHTAHN3-96I</t>
  </si>
  <si>
    <t>Tahoe Special Ops Ctr</t>
  </si>
  <si>
    <t>C-CHTAHN3-96D</t>
  </si>
  <si>
    <t>C-CHTAHN3-92R</t>
  </si>
  <si>
    <t>C-CHTAHN3-92I</t>
  </si>
  <si>
    <t>3rd Removed Top Tray</t>
  </si>
  <si>
    <t>C-CHTAHN3-21R-TR-TT</t>
  </si>
  <si>
    <t>3rd Removed; Prisoner Cage: Heavy Duty Table</t>
  </si>
  <si>
    <t>C-CHTAHN3-21R-TR-PP-HT</t>
  </si>
  <si>
    <t>P-Cage, 3rd Row Removed</t>
  </si>
  <si>
    <t>C-CHTAHN3-21R-TR-PP</t>
  </si>
  <si>
    <t>K9, 3rd Row Removed</t>
  </si>
  <si>
    <t>C-CHTAHN3-21R-TR-K9</t>
  </si>
  <si>
    <t>Heavy Duty Table, 3rd Row Removed; K9 Unit</t>
  </si>
  <si>
    <t>C-CHTAHN3-21R-TR-HT-K9</t>
  </si>
  <si>
    <t>C-CHTAHN3-21R-TR-HT</t>
  </si>
  <si>
    <t>C-CHTAHN3-21R-TR</t>
  </si>
  <si>
    <t>3rd Folded; HD Table</t>
  </si>
  <si>
    <t>C-CHTAHN3-21R-TF-HT</t>
  </si>
  <si>
    <t>C-CHTAHN3-21R-TF</t>
  </si>
  <si>
    <t>C11878</t>
  </si>
  <si>
    <t>Tahoe 3 Drawer Stacked</t>
  </si>
  <si>
    <t>C-CHTAHN3-21N-TR-PP-C11878</t>
  </si>
  <si>
    <t>3rd Removed, Cage; Heavy Duty Table</t>
  </si>
  <si>
    <t>C-CHTAHN3-21I-TR-PP-HT</t>
  </si>
  <si>
    <t>C-CHTAHN3-21I-TR-PP</t>
  </si>
  <si>
    <t>C-CHTAHN3-21I-TR-K9</t>
  </si>
  <si>
    <t>C-CHTAHN3-21I-TR-HT-K9</t>
  </si>
  <si>
    <t>C-CHTAHN3-21I-TR-HT</t>
  </si>
  <si>
    <t>C12383</t>
  </si>
  <si>
    <t>Tahoe Investigator Custom</t>
  </si>
  <si>
    <t>C-CHTAHN3-21I-TR-C12383</t>
  </si>
  <si>
    <t>C-CHTAHN3-21I-TR</t>
  </si>
  <si>
    <t>Tray/3rd Folded</t>
  </si>
  <si>
    <t>C-CHTAHN3-21I-TF</t>
  </si>
  <si>
    <t>3rd Removed, Radio Drawer</t>
  </si>
  <si>
    <t>C-CHTAHN3-21D-TR-RD</t>
  </si>
  <si>
    <t>C-CHTAHN3-21D-TR-PP</t>
  </si>
  <si>
    <t>C-CHTAHN3-21D-TR-HT-PP</t>
  </si>
  <si>
    <t>3rd Seat Removed HDTable</t>
  </si>
  <si>
    <t>C-CHTAHN3-21D-TR-HT</t>
  </si>
  <si>
    <t>C-CHTAHN3-21D-TR</t>
  </si>
  <si>
    <t>C-CHTAHN3-21D-TF</t>
  </si>
  <si>
    <t>Top Slide Out, Tray/3rd Rem</t>
  </si>
  <si>
    <t>C-CHTAHN3-15R-TT</t>
  </si>
  <si>
    <t>Tabe Ext, Tray/3rd Removed</t>
  </si>
  <si>
    <t>C-CHTAHN3-15R-PT</t>
  </si>
  <si>
    <t>C-CHTAHN3-15R-PP-HT</t>
  </si>
  <si>
    <t>P-Cage,Tray/3rd Removed</t>
  </si>
  <si>
    <t>C-CHTAHN3-15R-PP</t>
  </si>
  <si>
    <t>HD Table Ext, Tray/3rd Removed</t>
  </si>
  <si>
    <t>C-CHTAHN3-15R-HT</t>
  </si>
  <si>
    <t>Tray Removed, 3rd Row Folded</t>
  </si>
  <si>
    <t>C-CHTAHN3-15R-CR</t>
  </si>
  <si>
    <t>C-CHTAHN3-15R</t>
  </si>
  <si>
    <t>Tbl Ext, Tray/3rd Removed</t>
  </si>
  <si>
    <t>C-CHTAHN3-15I-PT</t>
  </si>
  <si>
    <t>P-Cage, Tbl Ext, Tray/3rd Out</t>
  </si>
  <si>
    <t>C-CHTAHN3-15I-PP-PT</t>
  </si>
  <si>
    <t>P-Cage, Heavy Duty Tbl Ext, No Tray/3rd</t>
  </si>
  <si>
    <t>C-CHTAHN3-15I-PP-HT</t>
  </si>
  <si>
    <t>Prisoner Cage,Tray/3rd Removed</t>
  </si>
  <si>
    <t>C-CHTAHN3-15I-PP</t>
  </si>
  <si>
    <t>Heavy Duty Tbl Ext No Tray/3rd</t>
  </si>
  <si>
    <t>C-CHTAHN3-15I-HT</t>
  </si>
  <si>
    <t>Heavy Duty Tbl Ext - Magnetic</t>
  </si>
  <si>
    <t>C-CHTAHN3-15I-HM</t>
  </si>
  <si>
    <t>C-CHTAHN3-15I-CR</t>
  </si>
  <si>
    <t>C-CHTAHN3-15I</t>
  </si>
  <si>
    <t>C-CHTAHN3-15D-PT</t>
  </si>
  <si>
    <t>P-Cage, Tbl Ext, Tray/3rd Rem</t>
  </si>
  <si>
    <t>C-CHTAHN3-15D-PP-PT</t>
  </si>
  <si>
    <t>Prisoner Cage, Heavy Duty Table, Tray/3rd Removed</t>
  </si>
  <si>
    <t>C-CHTAHN3-15D-PP-HT</t>
  </si>
  <si>
    <t>C-CHTAHN3-15D-PP</t>
  </si>
  <si>
    <t>Heavy Duty Table; Mounts on Glide</t>
  </si>
  <si>
    <t>C-CHTAHN3-15D-HT-BS</t>
  </si>
  <si>
    <t>C-CHTAHN3-15D-HT</t>
  </si>
  <si>
    <t>C-CHTAHN3-15D</t>
  </si>
  <si>
    <t>C-CHTAHN3-12R-PT</t>
  </si>
  <si>
    <t>Prisoner Cage, Table Extention</t>
  </si>
  <si>
    <t>C-CHTAHN3-12R-PP-PT</t>
  </si>
  <si>
    <t>C-CHTAHN3-12R-PP</t>
  </si>
  <si>
    <t>C-CHTAHN3-12R</t>
  </si>
  <si>
    <t>C-CHTAHN3-12D-PT</t>
  </si>
  <si>
    <t>C-CHTAHN3-12D-PP</t>
  </si>
  <si>
    <t>C-CHTAHN3-12D</t>
  </si>
  <si>
    <t>C-CHTAHN3-07R-PT</t>
  </si>
  <si>
    <t>C-CHTAHN3-07R-PP-PT</t>
  </si>
  <si>
    <t>C-CHTAHN3-07R-PP</t>
  </si>
  <si>
    <t>C-CHTAHN3-07R-HT</t>
  </si>
  <si>
    <t>C-CHTAHN3-07R</t>
  </si>
  <si>
    <t>C-CHTAHN3-07I-PT</t>
  </si>
  <si>
    <t>Tbl Ext; Prisoner Cage</t>
  </si>
  <si>
    <t>C-CHTAHN3-07I-PP-PT</t>
  </si>
  <si>
    <t>C-CHTAHN3-07I-PP</t>
  </si>
  <si>
    <t>C-CHTAHN3-07I</t>
  </si>
  <si>
    <t>C-CHTAHN3-07D-PT</t>
  </si>
  <si>
    <t>Prisoner Cage or K-9</t>
  </si>
  <si>
    <t>C-CHTAHN3-07D-PP</t>
  </si>
  <si>
    <t>C-CHTAHN3-07D-HT</t>
  </si>
  <si>
    <t>C-CHTAHN3-07D</t>
  </si>
  <si>
    <t>C-CHTAHN3-00R-PP</t>
  </si>
  <si>
    <t>C-CHTAHN3-00R-HT</t>
  </si>
  <si>
    <t>C-CHTAHN3-00R</t>
  </si>
  <si>
    <t>C-CHTAHN3-00I</t>
  </si>
  <si>
    <t>C-CHTAHN3-00D-PT</t>
  </si>
  <si>
    <t>C-CHTAHN3-00D</t>
  </si>
  <si>
    <t>C14740</t>
  </si>
  <si>
    <t>C-CHTAHN2-21N-TR-C2-C14740</t>
  </si>
  <si>
    <t>C12522</t>
  </si>
  <si>
    <t>Custom</t>
  </si>
  <si>
    <t>C-CHTAHN2-21N-TR-C12522</t>
  </si>
  <si>
    <t>C11250C</t>
  </si>
  <si>
    <t>C-CHTAHN2-21N-TF-C3-HT-C11250C</t>
  </si>
  <si>
    <t>3rd Removed, Cage 1 Dwr Bot</t>
  </si>
  <si>
    <t>Tahoe Investigator 2 Dwr</t>
  </si>
  <si>
    <t>C-CHTAHN2-21I-TR-PP</t>
  </si>
  <si>
    <t>C-CHTAHN2-21I-TR-K9</t>
  </si>
  <si>
    <t>C-CHTAHN2-21I-TR-HT</t>
  </si>
  <si>
    <t>3rd Seat Removed 1 Dwr Bot</t>
  </si>
  <si>
    <t>C-CHTAHN2-21I-TR</t>
  </si>
  <si>
    <t>Investigator, 1 Dwr Bot</t>
  </si>
  <si>
    <t>C-CHTAHN2-21I-TF</t>
  </si>
  <si>
    <t>C-CHTAHN2-21I</t>
  </si>
  <si>
    <t>3rd Seat Removed, Radio Tray</t>
  </si>
  <si>
    <t>Tahoe 2 Dwr</t>
  </si>
  <si>
    <t>C-CHTAHN2-21D-TR-RD</t>
  </si>
  <si>
    <t>C-CHTAHN2-21D-TR</t>
  </si>
  <si>
    <t>P-Cage; 1 Dwr Bot</t>
  </si>
  <si>
    <t>C-CHTAHN2-15I-PP</t>
  </si>
  <si>
    <t>Heavy Duty Table, P-Cage</t>
  </si>
  <si>
    <t>C-CHTAHN2-15I-HT-PP</t>
  </si>
  <si>
    <t>C-CHTAHN2-15I-HT</t>
  </si>
  <si>
    <t>C-CHTAHN2-15I</t>
  </si>
  <si>
    <t>C-CHTAHN2-15D</t>
  </si>
  <si>
    <t>C-CHTAHN2-12I-PP</t>
  </si>
  <si>
    <t>C-CHTAHN2-12I</t>
  </si>
  <si>
    <t>C-CHTAHN2-07I</t>
  </si>
  <si>
    <t>Tahoe</t>
  </si>
  <si>
    <t>M-Size, 3rd Removed</t>
  </si>
  <si>
    <t>T-CHSUBS1-21M-TR</t>
  </si>
  <si>
    <t>S-Size, Behind 3rd Seat</t>
  </si>
  <si>
    <t>T-CHSUBS2-21S</t>
  </si>
  <si>
    <t>S-Size, 3rd Seat Upright, Table Extension</t>
  </si>
  <si>
    <t>T-CHSUBS2-21S-PT</t>
  </si>
  <si>
    <t>F-Size, Tray/3rd Removed; Top Tray</t>
  </si>
  <si>
    <t>T-CHSUBS2-15F-TT</t>
  </si>
  <si>
    <t>M-Size; Heavy Duty Table</t>
  </si>
  <si>
    <t>Suburban Utility OS Dwr</t>
  </si>
  <si>
    <t>T-CHSUBUO-92M-HT</t>
  </si>
  <si>
    <t>Suburban Utility 2 Dwr Offset  HD Table</t>
  </si>
  <si>
    <t>T-CHSUBUO-21S-HT</t>
  </si>
  <si>
    <t>Suburban Utility 2 Dwr Offset</t>
  </si>
  <si>
    <t>T-CHSUBUO-21S</t>
  </si>
  <si>
    <t>M-Size 3rd seat Folded</t>
  </si>
  <si>
    <t>Suburban Utility 2 Dwr OS</t>
  </si>
  <si>
    <t>T-CHSUBUO-21M-TF</t>
  </si>
  <si>
    <t>F-Size 3rd seat Removed, Top Tray</t>
  </si>
  <si>
    <t>T-CHSUBUO-21F-TR-TT</t>
  </si>
  <si>
    <t>F-Size 3rd seat Removed</t>
  </si>
  <si>
    <t>T-CHSUBUO-21F-TR</t>
  </si>
  <si>
    <t>F-Size 3rd seat Folded, Top Tray</t>
  </si>
  <si>
    <t>T-CHSUBUO-21F-TF-TT</t>
  </si>
  <si>
    <t>F-Size 3rd seat Folded, Table Ext</t>
  </si>
  <si>
    <t>T-CHSUBUO-21F-TF-PT</t>
  </si>
  <si>
    <t>T-CHSUBUO-21F-TF</t>
  </si>
  <si>
    <t>S-Size, No Tray/3rd; Table Extension</t>
  </si>
  <si>
    <t>T-CHSUBUO-15S-PT</t>
  </si>
  <si>
    <t>Suburban Utility Offset Dwr</t>
  </si>
  <si>
    <t>T-CHSUBUO-15M-CR</t>
  </si>
  <si>
    <t>F-Size, No Tray/3rd; Table Extension</t>
  </si>
  <si>
    <t>T-CHSUBUO-15F-PT</t>
  </si>
  <si>
    <t>T-CHSUBUO-15F-HT</t>
  </si>
  <si>
    <t>T-CHSUBUO-12F-HT</t>
  </si>
  <si>
    <t>T-CHSUBUO-07M</t>
  </si>
  <si>
    <t>T-CHSUBUO-07F</t>
  </si>
  <si>
    <t>T-CHSUBUO-00M</t>
  </si>
  <si>
    <t>Suburban Utility 2 Dwr, HD Table</t>
  </si>
  <si>
    <t>T-CHSUBU2-21S-HT</t>
  </si>
  <si>
    <t>M-Size, 3rd Removed, Table Extension</t>
  </si>
  <si>
    <t>T-CHSUBU2-21M-TR-PT</t>
  </si>
  <si>
    <t>M-Size, 3rd Folded; Table Extension</t>
  </si>
  <si>
    <t>Suburban Utility 2 Dwr</t>
  </si>
  <si>
    <t>T-CHSUBU2-21M-TF-PT</t>
  </si>
  <si>
    <t>M-Size, 3rd Folded</t>
  </si>
  <si>
    <t>T-CHSUBU2-21M-TF</t>
  </si>
  <si>
    <t>F-Size, HD Table, 3rd Seat Removed</t>
  </si>
  <si>
    <t>T-CHSUBU2-21F-TR-HT</t>
  </si>
  <si>
    <t>T-CHSUBU2-21F-TR</t>
  </si>
  <si>
    <t>F-Size, HD Table, 3rd Seat Folded</t>
  </si>
  <si>
    <t>T-CHSUBU2-21F-TF-HT</t>
  </si>
  <si>
    <t>T-CHSUBU2-21F-TF</t>
  </si>
  <si>
    <t>T-CHSUBU2-15S</t>
  </si>
  <si>
    <t>M-Size; HD Table</t>
  </si>
  <si>
    <t>T-CHSUBU2-15M-HT</t>
  </si>
  <si>
    <t>T-CHSUBU2-15M-CR</t>
  </si>
  <si>
    <t>T-CHSUBU2-15M</t>
  </si>
  <si>
    <t>T-CHSUBU2-15F-HT</t>
  </si>
  <si>
    <t>T-CHSUBU2-15F</t>
  </si>
  <si>
    <t>F-Size, Heavy Duty Table</t>
  </si>
  <si>
    <t>T-CHSUBU2-12F-HT</t>
  </si>
  <si>
    <t>T-CHSUBU2-07S</t>
  </si>
  <si>
    <t>F-Size,Top Tray</t>
  </si>
  <si>
    <t>T-CHSUBU2-07F-TT</t>
  </si>
  <si>
    <t>F-Size, HD Table, Top Tray</t>
  </si>
  <si>
    <t>T-CHSUBU2-07F-HT-TT</t>
  </si>
  <si>
    <t>T-CHSUBU2-07F-HT</t>
  </si>
  <si>
    <t>T-CHSUBU2-07F</t>
  </si>
  <si>
    <t>T-CHSUBU2-00F-HT</t>
  </si>
  <si>
    <t>T-CHSUBU2-00F</t>
  </si>
  <si>
    <t>Suburban Utility 1 Dwr</t>
  </si>
  <si>
    <t>T-CHSUBU1-21S-HT</t>
  </si>
  <si>
    <t>S-Size,  3rd Seat Upright</t>
  </si>
  <si>
    <t>T-CHSUBU1-21S</t>
  </si>
  <si>
    <t>M-Size; 3rd Removed</t>
  </si>
  <si>
    <t>T-CHSUBU1-21M-TR</t>
  </si>
  <si>
    <t>M-Size; 3rd Folded</t>
  </si>
  <si>
    <t>T-CHSUBU1-21M-TF</t>
  </si>
  <si>
    <t>T-CHSUBU1-15S-HT</t>
  </si>
  <si>
    <t>T-CHSUBU1-15S</t>
  </si>
  <si>
    <t>M-Size, Can't Remove 3rd Row</t>
  </si>
  <si>
    <t>T-CHSUBU1-15M</t>
  </si>
  <si>
    <t>T-CHSUBU1-07S</t>
  </si>
  <si>
    <t>T-CHSUBU1-00S-PT</t>
  </si>
  <si>
    <t>S-Size, HD Table Extension</t>
  </si>
  <si>
    <t>T-CHSUBU1-00S-HT</t>
  </si>
  <si>
    <t>T-CHSUBU1-00S</t>
  </si>
  <si>
    <t>T-CHSUBSO-88S</t>
  </si>
  <si>
    <t>T-CHSUBSO-88M</t>
  </si>
  <si>
    <t>T-CHSUBSO-88F</t>
  </si>
  <si>
    <t>Suburban Std Offset Dwr</t>
  </si>
  <si>
    <t>T-CHSUBSO-21S-PT</t>
  </si>
  <si>
    <t>T-CHSUBSO-21S</t>
  </si>
  <si>
    <t>T-CHSUBSO-21M-TF</t>
  </si>
  <si>
    <t>T-CHSUBSO-21F-TR-TT</t>
  </si>
  <si>
    <t>T-CHSUBSO-21F-TR</t>
  </si>
  <si>
    <t>F-Size, 3rd Folded, Table Extension</t>
  </si>
  <si>
    <t>T-CHSUBSO-21F-TF-PT</t>
  </si>
  <si>
    <t>T-CHSUBSO-21F-TF</t>
  </si>
  <si>
    <t>S-Size, Tray Removed; Table Extension</t>
  </si>
  <si>
    <t>T-CHSUBSO-15S-PT</t>
  </si>
  <si>
    <t>T-CHSUBSO-15S</t>
  </si>
  <si>
    <t>T-CHSUBSO-15M-CR</t>
  </si>
  <si>
    <t>T-CHSUBSO-15M</t>
  </si>
  <si>
    <t>F-Size, P-Cage, Tray/3rd Out</t>
  </si>
  <si>
    <t>T-CHSUBSO-15F-PP</t>
  </si>
  <si>
    <t>T-CHSUBSO-15F-CR</t>
  </si>
  <si>
    <t>T-CHSUBSO-15F</t>
  </si>
  <si>
    <t>T-CHSUBSO-12S</t>
  </si>
  <si>
    <t>T-CHSUBSO-12M</t>
  </si>
  <si>
    <t>T-CHSUBSO-12F-PT</t>
  </si>
  <si>
    <t>F-Size; P Cage</t>
  </si>
  <si>
    <t>T-CHSUBSO-12F-PP</t>
  </si>
  <si>
    <t>T-CHSUBSO-12F</t>
  </si>
  <si>
    <t>Suburban Std Offset</t>
  </si>
  <si>
    <t>T-CHSUBSO-07S-PT</t>
  </si>
  <si>
    <t>T-CHSUBSO-07S</t>
  </si>
  <si>
    <t>T-CHSUBSO-07M-PT</t>
  </si>
  <si>
    <t>T-CHSUBSO-07M</t>
  </si>
  <si>
    <t>T-CHSUBSO-07F-PT</t>
  </si>
  <si>
    <t>T-CHSUBSO-07F</t>
  </si>
  <si>
    <t>S-Size; Table Ext.</t>
  </si>
  <si>
    <t>T-CHSUBSO-00S-PT</t>
  </si>
  <si>
    <t>T-CHSUBSO-00S</t>
  </si>
  <si>
    <t>T-CHSUBSO-00M-PT</t>
  </si>
  <si>
    <t>T-CHSUBSO-00M-LN</t>
  </si>
  <si>
    <t>T-CHSUBSO-00M</t>
  </si>
  <si>
    <t>T-CHSUBSO-00F-PT</t>
  </si>
  <si>
    <t>T-CHSUBSO-00F-LN</t>
  </si>
  <si>
    <t>T-CHSUBSO-00F</t>
  </si>
  <si>
    <t>T-CHSUBS2-88S</t>
  </si>
  <si>
    <t>T-CHSUBS2-88M-PT</t>
  </si>
  <si>
    <t>T-CHSUBS2-88M</t>
  </si>
  <si>
    <t>T-CHSUBS2-88F-PT</t>
  </si>
  <si>
    <t>T-CHSUBS2-88F</t>
  </si>
  <si>
    <t>T-CHSUBS2-21M-TR</t>
  </si>
  <si>
    <t>T-CHSUBS2-21F-TR</t>
  </si>
  <si>
    <t>F-Size, 3rd Folded, Top Tray</t>
  </si>
  <si>
    <t>T-CHSUBS2-21F-TF-TT</t>
  </si>
  <si>
    <t>T-CHSUBS2-21F-TF</t>
  </si>
  <si>
    <t>T-CHSUBS2-15S-PT</t>
  </si>
  <si>
    <t>T-CHSUBS2-15S</t>
  </si>
  <si>
    <t>T-CHSUBS2-15M-PT</t>
  </si>
  <si>
    <t>T-CHSUBS2-15M-HT</t>
  </si>
  <si>
    <t>T-CHSUBS2-15M-CR</t>
  </si>
  <si>
    <t>T-CHSUBS2-15M</t>
  </si>
  <si>
    <t>F-Size, Tray/3rd Removed, Table Extension</t>
  </si>
  <si>
    <t>T-CHSUBS2-15F-PT</t>
  </si>
  <si>
    <t>T-CHSUBS2-15F-PP</t>
  </si>
  <si>
    <t>T-CHSUBS2-15F-HT</t>
  </si>
  <si>
    <t>T-CHSUBS2-15F-CR</t>
  </si>
  <si>
    <t>T-CHSUBS2-15F</t>
  </si>
  <si>
    <t>T-CHSUBS2-12S</t>
  </si>
  <si>
    <t>T-CHSUBS2-12M</t>
  </si>
  <si>
    <t>T-CHSUBS2-12F-PT</t>
  </si>
  <si>
    <t>F-Size, Prisoner Cage</t>
  </si>
  <si>
    <t>T-CHSUBS2-12F-PP</t>
  </si>
  <si>
    <t>T-CHSUBS2-12F-HT</t>
  </si>
  <si>
    <t>T-CHSUBS2-12F</t>
  </si>
  <si>
    <t>T-CHSUBS2-07S-PT</t>
  </si>
  <si>
    <t>T-CHSUBS2-07S-BS</t>
  </si>
  <si>
    <t>T-CHSUBS2-07S</t>
  </si>
  <si>
    <t>T-CHSUBS2-07M-PT</t>
  </si>
  <si>
    <t>M-Size, Mounting on Bedslide</t>
  </si>
  <si>
    <t>T-CHSUBS2-07M-BS</t>
  </si>
  <si>
    <t>T-CHSUBS2-07M</t>
  </si>
  <si>
    <t>T-CHSUBS2-07F-PW</t>
  </si>
  <si>
    <t>T-CHSUBS2-07F-PT</t>
  </si>
  <si>
    <t>F-Size, Prisoner Cage,Table Ex</t>
  </si>
  <si>
    <t>T-CHSUBS2-07F-PP-PT</t>
  </si>
  <si>
    <t>T-CHSUBS2-07F-PP</t>
  </si>
  <si>
    <t>F-Size, Mounting on Bedslide</t>
  </si>
  <si>
    <t>T-CHSUBS2-07F-BS</t>
  </si>
  <si>
    <t>T-CHSUBS2-07F</t>
  </si>
  <si>
    <t>T-CHSUBS2-00S</t>
  </si>
  <si>
    <t>T-CHSUBS2-00M-PT</t>
  </si>
  <si>
    <t>T-CHSUBS2-00M-LN</t>
  </si>
  <si>
    <t>T-CHSUBS2-00M</t>
  </si>
  <si>
    <t>T-CHSUBS2-00F-PT</t>
  </si>
  <si>
    <t>T-CHSUBS2-00F-LN</t>
  </si>
  <si>
    <t>T-CHSUBS2-00F</t>
  </si>
  <si>
    <t>S-Size, Table Ext</t>
  </si>
  <si>
    <t>T-CHSUBS1-88S-PT</t>
  </si>
  <si>
    <t>T-CHSUBS1-88S</t>
  </si>
  <si>
    <t>T-CHSUBS1-21S-HT</t>
  </si>
  <si>
    <t>T-CHSUBS1-21S</t>
  </si>
  <si>
    <t>M-Size, 3rd Seat Folded</t>
  </si>
  <si>
    <t>T-CHSUBS1-21M-TF</t>
  </si>
  <si>
    <t>F-Size; Half Drivers Side</t>
  </si>
  <si>
    <t>Suburban Std 1 Dwr Half Width</t>
  </si>
  <si>
    <t>T-CHSUBS1-21F-TF-HD</t>
  </si>
  <si>
    <t>S-Size, Tray Removed, Sliding Top Tray</t>
  </si>
  <si>
    <t>T-CHSUBS1-15S-TT</t>
  </si>
  <si>
    <t>T-CHSUBS1-15S-PT</t>
  </si>
  <si>
    <t>S-Size, Tray Removed, P-Cage</t>
  </si>
  <si>
    <t>T-CHSUBS1-15S-PP</t>
  </si>
  <si>
    <t>S-Size, Can't Remove 3rd, HD Tbl</t>
  </si>
  <si>
    <t>T-CHSUBS1-15S-HT</t>
  </si>
  <si>
    <t>T-CHSUBS1-15S</t>
  </si>
  <si>
    <t>M-Size; Tray Removed; 3rd Fold</t>
  </si>
  <si>
    <t>T-CHSUBS1-15M-CR</t>
  </si>
  <si>
    <t>M-Size; Tray/3rd Removed</t>
  </si>
  <si>
    <t>T-CHSUBS1-15M</t>
  </si>
  <si>
    <t>Suburban Std 1/2 Width 1 Dwr Driver Side</t>
  </si>
  <si>
    <t>T-CHSUBS1-15F-CR-HD</t>
  </si>
  <si>
    <t>T-CHSUBS1-12S-PT</t>
  </si>
  <si>
    <t>T-CHSUBS1-12S</t>
  </si>
  <si>
    <t>T-CHSUBS1-12M</t>
  </si>
  <si>
    <t>T-CHSUBS1-07S-PT</t>
  </si>
  <si>
    <t>T-CHSUBS1-07S</t>
  </si>
  <si>
    <t>M-Size; Table Ext</t>
  </si>
  <si>
    <t>T-CHSUBS1-07M-PT</t>
  </si>
  <si>
    <t>T-CHSUBS1-07M</t>
  </si>
  <si>
    <t>T-CHSUBS1-00S-PT</t>
  </si>
  <si>
    <t>T-CHSUBS1-00S</t>
  </si>
  <si>
    <t>T-CHSUBS1-00M-LN</t>
  </si>
  <si>
    <t>T-CHSUBS1-00M</t>
  </si>
  <si>
    <t>Suburban Std 1/2 Width 1 Dwr Passenger Side</t>
  </si>
  <si>
    <t>T-CHSUBS1-00F-HP</t>
  </si>
  <si>
    <t>T-CHSUBMO-88M</t>
  </si>
  <si>
    <t>T-CHSUBMO-88F-PT</t>
  </si>
  <si>
    <t>T-CHSUBMO-88F</t>
  </si>
  <si>
    <t>Suburban Mag Offset Dwr</t>
  </si>
  <si>
    <t>T-CHSUBMO-21S-HT</t>
  </si>
  <si>
    <t>Suburban Mag 2 Dwr Offset</t>
  </si>
  <si>
    <t>T-CHSUBMO-21M-TR-TT</t>
  </si>
  <si>
    <t>M-Size, 3rd Removed, HD Table</t>
  </si>
  <si>
    <t>T-CHSUBMO-21M-TR-HT</t>
  </si>
  <si>
    <t>T-CHSUBMO-21M-TR</t>
  </si>
  <si>
    <t>T-CHSUBMO-21M-TF</t>
  </si>
  <si>
    <t>T-CHSUBMO-21F-TR-TT</t>
  </si>
  <si>
    <t>F-Size, 3rd Removed, HD table</t>
  </si>
  <si>
    <t>T-CHSUBMO-21F-TR-HT</t>
  </si>
  <si>
    <t>T-CHSUBMO-21F-TR</t>
  </si>
  <si>
    <t>T-CHSUBMO-21F-TF-TT</t>
  </si>
  <si>
    <t>F-Size, 3rd Folded, HD table</t>
  </si>
  <si>
    <t>T-CHSUBMO-21F-TF-HT</t>
  </si>
  <si>
    <t>T-CHSUBMO-21F-TF</t>
  </si>
  <si>
    <t>T-CHSUBMO-15S</t>
  </si>
  <si>
    <t>T-CHSUBMO-15M-CR</t>
  </si>
  <si>
    <t>T-CHSUBMO-15M</t>
  </si>
  <si>
    <t>T-CHSUBMO-15F-PP</t>
  </si>
  <si>
    <t>F-Size, Tray/3rd Removed; Heavy Duty Table</t>
  </si>
  <si>
    <t>T-CHSUBMO-15F-HT</t>
  </si>
  <si>
    <t>T-CHSUBMO-15F-CR</t>
  </si>
  <si>
    <t>T-CHSUBMO-15F</t>
  </si>
  <si>
    <t>T-CHSUBMO-12S</t>
  </si>
  <si>
    <t>M-Size, Table Ext</t>
  </si>
  <si>
    <t>T-CHSUBMO-12M-PT</t>
  </si>
  <si>
    <t>T-CHSUBMO-12M</t>
  </si>
  <si>
    <t>F-Size,Tbl. Ext. Prisoner Cage</t>
  </si>
  <si>
    <t>T-CHSUBMO-12F-PT-PP</t>
  </si>
  <si>
    <t>F-Size, Tbl. Ext.</t>
  </si>
  <si>
    <t>T-CHSUBMO-12F-PT</t>
  </si>
  <si>
    <t>F-Size; Prisoner Cage</t>
  </si>
  <si>
    <t>T-CHSUBMO-12F-PP</t>
  </si>
  <si>
    <t>T-CHSUBMO-12F</t>
  </si>
  <si>
    <t>T-CHSUBMO-07S-PT</t>
  </si>
  <si>
    <t>S-Size, HD Table Ext</t>
  </si>
  <si>
    <t>T-CHSUBMO-07S-HT</t>
  </si>
  <si>
    <t>T-CHSUBMO-07S</t>
  </si>
  <si>
    <t>T-CHSUBMO-07M-PT</t>
  </si>
  <si>
    <t>T-CHSUBMO-07M</t>
  </si>
  <si>
    <t>T-CHSUBMO-07F-PT-PP</t>
  </si>
  <si>
    <t>F-Size, Tbl. Ext. Bed Slide</t>
  </si>
  <si>
    <t>T-CHSUBMO-07F-PT-BS</t>
  </si>
  <si>
    <t>T-CHSUBMO-07F-PT</t>
  </si>
  <si>
    <t>T-CHSUBMO-07F</t>
  </si>
  <si>
    <t>T-CHSUBMO-00S</t>
  </si>
  <si>
    <t>T-CHSUBMO-00M-PT</t>
  </si>
  <si>
    <t>T-CHSUBMO-00M-LN</t>
  </si>
  <si>
    <t>T-CHSUBMO-00M</t>
  </si>
  <si>
    <t>F-Size C-Chair, No Seat Brkt</t>
  </si>
  <si>
    <t>T-CHSUBMO-00F-TC-LN</t>
  </si>
  <si>
    <t>F-Size C-Chair</t>
  </si>
  <si>
    <t>T-CHSUBMO-00F-TC</t>
  </si>
  <si>
    <t>T-CHSUBMO-00F-PT</t>
  </si>
  <si>
    <t>T-CHSUBMO-00F-PP-LN</t>
  </si>
  <si>
    <t>T-CHSUBMO-00F-PP</t>
  </si>
  <si>
    <t>T-CHSUBMO-00F-LN</t>
  </si>
  <si>
    <t>T-CHSUBMO-00F-HT</t>
  </si>
  <si>
    <t>T-CHSUBMO-00F</t>
  </si>
  <si>
    <t>T-CHSUBM2-88S</t>
  </si>
  <si>
    <t>T-CHSUBM2-88M</t>
  </si>
  <si>
    <t>T-CHSUBM2-88F-PT</t>
  </si>
  <si>
    <t>F-Size, BedSlide Below</t>
  </si>
  <si>
    <t>T-CHSUBM2-88F-BS</t>
  </si>
  <si>
    <t>T-CHSUBM2-88F</t>
  </si>
  <si>
    <t>S-Size, Behind 3rd Seat, HD Table</t>
  </si>
  <si>
    <t>T-CHSUBM2-21S-HT</t>
  </si>
  <si>
    <t>T-CHSUBM2-21S</t>
  </si>
  <si>
    <t>T-CHSUBM2-21N-AX-TF</t>
  </si>
  <si>
    <t>T-CHSUBM2-21M-TR-PT</t>
  </si>
  <si>
    <t>M-Size, 3rd Removed, HD Table Extension</t>
  </si>
  <si>
    <t>T-CHSUBM2-21M-TR-HT</t>
  </si>
  <si>
    <t>T-CHSUBM2-21M-TR</t>
  </si>
  <si>
    <t>T-CHSUBM2-21M-TF</t>
  </si>
  <si>
    <t>F-Size, 3rd Row Removed; HD Table; P cage</t>
  </si>
  <si>
    <t>T-CHSUBM2-21F-TR-PP-HT</t>
  </si>
  <si>
    <t>F-Size, 3rd Row Removed; Heavy Duty Table</t>
  </si>
  <si>
    <t>T-CHSUBM2-21F-TR-HT</t>
  </si>
  <si>
    <t>T-CHSUBM2-21F-TR</t>
  </si>
  <si>
    <t>F-Size, 3rd Row Folded;  Top Tray</t>
  </si>
  <si>
    <t>T-CHSUBM2-21F-TF-TT</t>
  </si>
  <si>
    <t>F-Size, 3rd Row Folded; Heavy Duty Table: Top Tray</t>
  </si>
  <si>
    <t>T-CHSUBM2-21F-TF-HT-TT</t>
  </si>
  <si>
    <t>F-Size, 3rd Row Folded; Heavy Duty Table</t>
  </si>
  <si>
    <t>T-CHSUBM2-21F-TF-HT</t>
  </si>
  <si>
    <t>T-CHSUBM2-21F-TF</t>
  </si>
  <si>
    <t>S-Size, Tray Removed; Prisoner Cage</t>
  </si>
  <si>
    <t>T-CHSUBM2-15S-PP</t>
  </si>
  <si>
    <t>T-CHSUBM2-15S</t>
  </si>
  <si>
    <t>M-Size, Tray/3rd Removed; Heavy Duty Table</t>
  </si>
  <si>
    <t>T-CHSUBM2-15M-HT</t>
  </si>
  <si>
    <t>T-CHSUBM2-15M-CR</t>
  </si>
  <si>
    <t>T-CHSUBM2-15M</t>
  </si>
  <si>
    <t>T-CHSUBM2-15F-TT</t>
  </si>
  <si>
    <t>T-CHSUBM2-15F-PT</t>
  </si>
  <si>
    <t>F-Size, P-Cage Tray/3rd Out</t>
  </si>
  <si>
    <t>T-CHSUBM2-15F-PP</t>
  </si>
  <si>
    <t>T-CHSUBM2-15F-HT</t>
  </si>
  <si>
    <t>T-CHSUBM2-15F-CR</t>
  </si>
  <si>
    <t>T-CHSUBM2-15F</t>
  </si>
  <si>
    <t>T-CHSUBM2-12S-PT</t>
  </si>
  <si>
    <t>T-CHSUBM2-12S</t>
  </si>
  <si>
    <t>T-CHSUBM2-12M</t>
  </si>
  <si>
    <t>T-CHSUBM2-12F-PT</t>
  </si>
  <si>
    <t>F-Size, P-Cage, Table Ext</t>
  </si>
  <si>
    <t>Suburban Mag 2 Dwr Table Ext</t>
  </si>
  <si>
    <t>T-CHSUBM2-12F-PP-PT</t>
  </si>
  <si>
    <t>T-CHSUBM2-12F-PP</t>
  </si>
  <si>
    <t>T-CHSUBM2-12F</t>
  </si>
  <si>
    <t>T-CHSUBM2-07S-BS</t>
  </si>
  <si>
    <t>T-CHSUBM2-07S</t>
  </si>
  <si>
    <t>T-CHSUBM2-07M-PT</t>
  </si>
  <si>
    <t>M-Size, HD Table</t>
  </si>
  <si>
    <t>T-CHSUBM2-07M-HT</t>
  </si>
  <si>
    <t>T-CHSUBM2-07M-BS</t>
  </si>
  <si>
    <t>T-CHSUBM2-07M</t>
  </si>
  <si>
    <t>T-CHSUBM2-07F-TT</t>
  </si>
  <si>
    <t>T-CHSUBM2-07F-PT</t>
  </si>
  <si>
    <t>F-Size, P-Cage, TTP</t>
  </si>
  <si>
    <t>T-CHSUBM2-07F-PP-T01</t>
  </si>
  <si>
    <t>T-CHSUBM2-07F-PP-PT</t>
  </si>
  <si>
    <t>T-CHSUBM2-07F-PP</t>
  </si>
  <si>
    <t>T-CHSUBM2-07F-HT</t>
  </si>
  <si>
    <t>T-CHSUBM2-07F-BS</t>
  </si>
  <si>
    <t>T-CHSUBM2-07F</t>
  </si>
  <si>
    <t>T-CHSUBM2-00S</t>
  </si>
  <si>
    <t>T-CHSUBM2-00M-PT</t>
  </si>
  <si>
    <t>T-CHSUBM2-00M-LN</t>
  </si>
  <si>
    <t>T-CHSUBM2-00M-BS</t>
  </si>
  <si>
    <t>T-CHSUBM2-00M</t>
  </si>
  <si>
    <t>F-Size C-Chair, No S Brkt</t>
  </si>
  <si>
    <t>T-CHSUBM2-00F-TC-LN</t>
  </si>
  <si>
    <t>T-CHSUBM2-00F-TC</t>
  </si>
  <si>
    <t>T-CHSUBM2-00F-PT</t>
  </si>
  <si>
    <t>T-CHSUBM2-00F-PP-LN</t>
  </si>
  <si>
    <t>T-CHSUBM2-00F-PP</t>
  </si>
  <si>
    <t>F-Size, No Seat Brkt, Tbl Ext</t>
  </si>
  <si>
    <t>T-CHSUBM2-00F-LN-PT</t>
  </si>
  <si>
    <t>T-CHSUBM2-00F-LN</t>
  </si>
  <si>
    <t>T-CHSUBM2-00F</t>
  </si>
  <si>
    <t>T-CHSUBM1-88S</t>
  </si>
  <si>
    <t>S-Size, Behind 3rd Seat, Table Ext</t>
  </si>
  <si>
    <t>T-CHSUBM1-21S-PT</t>
  </si>
  <si>
    <t>S-Size, Behind 3rd Seat; Heavy Duty Table</t>
  </si>
  <si>
    <t>T-CHSUBM1-21S-HT</t>
  </si>
  <si>
    <t>T-CHSUBM1-21S</t>
  </si>
  <si>
    <t>T-CHSUBM1-21M-TR</t>
  </si>
  <si>
    <t>M-Size, 3rd Row seat folded, HD Table</t>
  </si>
  <si>
    <t>T-CHSUBM1-21M-TF-HT</t>
  </si>
  <si>
    <t>M-Size, 3rd Row seat folded</t>
  </si>
  <si>
    <t>T-CHSUBM1-21M-TF</t>
  </si>
  <si>
    <t>F-Size; 3rd Removed</t>
  </si>
  <si>
    <t>T-CHSUBM1-21F-TR</t>
  </si>
  <si>
    <t>F-Size; 3rd Folded</t>
  </si>
  <si>
    <t>T-CHSUBM1-21F-TF</t>
  </si>
  <si>
    <t>S-Size, Tray Removed, Top Sliding Tray</t>
  </si>
  <si>
    <t>T-CHSUBM1-15S-TT</t>
  </si>
  <si>
    <t>T-CHSUBM1-15S-PP</t>
  </si>
  <si>
    <t>S-Size, Tray Removed; Heavy Duty Table</t>
  </si>
  <si>
    <t>T-CHSUBM1-15S-HT</t>
  </si>
  <si>
    <t>T-CHSUBM1-15S</t>
  </si>
  <si>
    <t>M-Size, No 3rd, Heavy Table</t>
  </si>
  <si>
    <t>T-CHSUBM1-15M-HT</t>
  </si>
  <si>
    <t>M-Size, 3rd Removed; Passenger Side</t>
  </si>
  <si>
    <t>Suburban Mag 1 Dwr Half Width</t>
  </si>
  <si>
    <t>T-CHSUBM1-15M-HP</t>
  </si>
  <si>
    <t>M-Size, Tray Removed; 3rd Fold</t>
  </si>
  <si>
    <t>T-CHSUBM1-15M-CR</t>
  </si>
  <si>
    <t>T-CHSUBM1-15M</t>
  </si>
  <si>
    <t>F-Size, Tray/3rd Removed; Half Width Drivers Side</t>
  </si>
  <si>
    <t>T-CHSUBM1-15F-HP</t>
  </si>
  <si>
    <t>T-CHSUBM1-12S-PT</t>
  </si>
  <si>
    <t>T-CHSUBM1-12S</t>
  </si>
  <si>
    <t>T-CHSUBM1-12M</t>
  </si>
  <si>
    <t>F-Size; Half Passenger Side</t>
  </si>
  <si>
    <t>T-CHSUBM1-12F-HP</t>
  </si>
  <si>
    <t>T-CHSUBM1-07S-PT</t>
  </si>
  <si>
    <t>T-CHSUBM1-07S-HT</t>
  </si>
  <si>
    <t>No 3rd, Mounting on Bedslide</t>
  </si>
  <si>
    <t>T-CHSUBM1-07S-BS</t>
  </si>
  <si>
    <t>T-CHSUBM1-07S</t>
  </si>
  <si>
    <t>M-Size, No 3rd, Table Ext</t>
  </si>
  <si>
    <t>T-CHSUBM1-07M-PT</t>
  </si>
  <si>
    <t>T-CHSUBM1-07M-BS</t>
  </si>
  <si>
    <t>T-CHSUBM1-07M</t>
  </si>
  <si>
    <t>T-CHSUBM1-00S-PT</t>
  </si>
  <si>
    <t>S-Size; Heavy Duty Table</t>
  </si>
  <si>
    <t>T-CHSUBM1-00S-HT</t>
  </si>
  <si>
    <t>T-CHSUBM1-00S</t>
  </si>
  <si>
    <t>T-CHSUBM1-00M</t>
  </si>
  <si>
    <t>Suburban Emergency Response 6</t>
  </si>
  <si>
    <t>F-CHSUBN5-21N-ER6-TR</t>
  </si>
  <si>
    <t>F-CHSUBN5-15N-ER6</t>
  </si>
  <si>
    <t>F-CHSUBN5-12N-ER6</t>
  </si>
  <si>
    <t>Suburban Emergency Response 4</t>
  </si>
  <si>
    <t>F-CHSUBN4-15N-C1-ER4</t>
  </si>
  <si>
    <t>F-CHSUBN4-12N-C1-ER4</t>
  </si>
  <si>
    <t>Suburban Emergency Response 2</t>
  </si>
  <si>
    <t>F-CHSUBN3-21N-TR-C1-ER2</t>
  </si>
  <si>
    <t>Suburban Emergency Response 3</t>
  </si>
  <si>
    <t>F-CHSUBN3-15N-C1-ER3</t>
  </si>
  <si>
    <t>F-CHSUBN3-15N-C1-ER2</t>
  </si>
  <si>
    <t>F-CHSUBN3-12N-C1-ER3</t>
  </si>
  <si>
    <t>F-CHSUBN3-12N-C1-ER2</t>
  </si>
  <si>
    <t>Suburban Emergency Response 7</t>
  </si>
  <si>
    <t>F-CHSUBN2-88N-ER7</t>
  </si>
  <si>
    <t>Suburban Emergency Response 8</t>
  </si>
  <si>
    <t>F-CHSUBN2-21N-TF-C2-ER8</t>
  </si>
  <si>
    <t>Suburban Emergency Response 1</t>
  </si>
  <si>
    <t>F-CHSUBN2-21N-TF-C2-ER1</t>
  </si>
  <si>
    <t>Suburban Emergency Response 5</t>
  </si>
  <si>
    <t>F-CHSUBN2-21N-C4-ER5-TR</t>
  </si>
  <si>
    <t>F-CHSUBN2-21N-C2-ER1-TR</t>
  </si>
  <si>
    <t>F-CHSUBN2-15N-ER7</t>
  </si>
  <si>
    <t>F-CHSUBN2-15N-C4-ER5</t>
  </si>
  <si>
    <t>F-CHSUBN2-15N-C2-ER8-HT</t>
  </si>
  <si>
    <t>F-CHSUBN2-15N-C2-ER8</t>
  </si>
  <si>
    <t>F-CHSUBN2-15N-C2-ER1</t>
  </si>
  <si>
    <t>F-CHSUBN2-12N-ER7</t>
  </si>
  <si>
    <t>F-CHSUBN2-12N-C4-ER5</t>
  </si>
  <si>
    <t>F-CHSUBN2-12N-C2-ER8</t>
  </si>
  <si>
    <t>F-CHSUBN2-12N-C2-ER1</t>
  </si>
  <si>
    <t>F-CHSUBN2-00N-C2-ER1</t>
  </si>
  <si>
    <t>Suburban Drone Responder 4</t>
  </si>
  <si>
    <t>D-CHSUBN3-21N-TF-HT-C1-DR4</t>
  </si>
  <si>
    <t>Suburban Drone Responder 7</t>
  </si>
  <si>
    <t>D-CHSUBN2-21N-TR-HT-C1-DR7</t>
  </si>
  <si>
    <t>Suburban Drone Responder 6</t>
  </si>
  <si>
    <t>D-CHSUBN2-21N-TR-HT-C1-DR6</t>
  </si>
  <si>
    <t>Suburban Drone Responder 10</t>
  </si>
  <si>
    <t>D-CHSUBN2-21N-TR-FM-DR10</t>
  </si>
  <si>
    <t>Suburban Drone Responder 3</t>
  </si>
  <si>
    <t>D-CHSUBN2-21N-TF-C1-DR3</t>
  </si>
  <si>
    <t>D-CHSUBN2-15N-HT-C1-DR7</t>
  </si>
  <si>
    <t>D-CHSUBN2-07N-HT-C1-DR7</t>
  </si>
  <si>
    <t>D-CHSUBN1-21N-TR-FM-DR10</t>
  </si>
  <si>
    <t>Suburban Drone Responder 8</t>
  </si>
  <si>
    <t>D-CHSUBN0-21N-TR-FM-DR8</t>
  </si>
  <si>
    <t>D-CHSUBN0-07N-TR-FM-DR8</t>
  </si>
  <si>
    <t>Behind 3rd Seat</t>
  </si>
  <si>
    <t>Suburban Drone Responder 2</t>
  </si>
  <si>
    <t>D-CHSUBM1-15S-C1-DR2</t>
  </si>
  <si>
    <t>Tray/3rd Removed Mid-Size</t>
  </si>
  <si>
    <t>D-CHSUBM1-15M-C1-DR2</t>
  </si>
  <si>
    <t>D-CHSUBM1-07S-C1-DR2</t>
  </si>
  <si>
    <t>D-CHSUBM1-07N-C1-DR2</t>
  </si>
  <si>
    <t>Suburban Captain LX CC</t>
  </si>
  <si>
    <t>C-GMYXLN5-00P</t>
  </si>
  <si>
    <t>F-Size, Utl 2 Dwr</t>
  </si>
  <si>
    <t>Suburban Surveyor</t>
  </si>
  <si>
    <t>C-CHSUBU2-21F-VP</t>
  </si>
  <si>
    <t>F-Size, Std 2 Dwr Top</t>
  </si>
  <si>
    <t>C-CHSUBS2-07F-VF</t>
  </si>
  <si>
    <t>C-CHSUBS2-07F-PP-VF</t>
  </si>
  <si>
    <t>Suburban Office Ctr</t>
  </si>
  <si>
    <t>C-CHSUBN9-12O</t>
  </si>
  <si>
    <t>C-CHSUBN9-07O</t>
  </si>
  <si>
    <t>C-CHSUBN9-00O</t>
  </si>
  <si>
    <t>Suburban Full-Length Op Ctr</t>
  </si>
  <si>
    <t>C-CHSUBN7-88E</t>
  </si>
  <si>
    <t>Suburban Op Ctr</t>
  </si>
  <si>
    <t>C-CHSUBN7-12E</t>
  </si>
  <si>
    <t>C-CHSUBN7-07E</t>
  </si>
  <si>
    <t>No Desk or rear drawers</t>
  </si>
  <si>
    <t>Suburban CUST Office Ctr</t>
  </si>
  <si>
    <t>C-CHSUBN7-00O</t>
  </si>
  <si>
    <t>Suburban Tac Ctr</t>
  </si>
  <si>
    <t>C-CHSUBN6-88T</t>
  </si>
  <si>
    <t>Suburban Chief LX CC</t>
  </si>
  <si>
    <t>C-CHSUBN6-88C</t>
  </si>
  <si>
    <t>C-CHSUBN6-21T-TR</t>
  </si>
  <si>
    <t>C-CHSUBN6-21C-TR</t>
  </si>
  <si>
    <t>C-CHSUBN6-21C-TF</t>
  </si>
  <si>
    <t>C-CHSUBN6-15T-PT</t>
  </si>
  <si>
    <t>C-CHSUBN6-15T</t>
  </si>
  <si>
    <t>Tray/3rd Removed; Table Ext</t>
  </si>
  <si>
    <t>C-CHSUBN6-15C-PT</t>
  </si>
  <si>
    <t>C-CHSUBN6-15C-HT</t>
  </si>
  <si>
    <t>C-CHSUBN6-15C</t>
  </si>
  <si>
    <t>C-CHSUBN6-12T</t>
  </si>
  <si>
    <t>C-CHSUBN6-12C</t>
  </si>
  <si>
    <t>C-CHSUBN6-07T</t>
  </si>
  <si>
    <t>C-CHSUBN6-07C-PT</t>
  </si>
  <si>
    <t>C-CHSUBN6-07C</t>
  </si>
  <si>
    <t>C-CHSUBN5-88C</t>
  </si>
  <si>
    <t>C-CHSUBN5-21P-TR</t>
  </si>
  <si>
    <t>C-CHSUBN5-21C-TF</t>
  </si>
  <si>
    <t>C-CHSUBN5-15T-PT</t>
  </si>
  <si>
    <t>C-CHSUBN5-15P</t>
  </si>
  <si>
    <t>C-CHSUBN5-12P</t>
  </si>
  <si>
    <t>C-CHSUBN5-12C</t>
  </si>
  <si>
    <t>C-CHSUBN5-07P</t>
  </si>
  <si>
    <t>C-CHSUBN5-07C-PT</t>
  </si>
  <si>
    <t>C-CHSUBN5-07C</t>
  </si>
  <si>
    <t>C-CHSUBN5-00P</t>
  </si>
  <si>
    <t>Suburban Captain CC</t>
  </si>
  <si>
    <t>C-CHSUBN4-15P</t>
  </si>
  <si>
    <t>C-CHSUBN4-12P</t>
  </si>
  <si>
    <t>C-CHSUBN4-12F-VF</t>
  </si>
  <si>
    <t>C-CHSUBN4-07F-VF</t>
  </si>
  <si>
    <t>C-CHSUBN4-00P-PT</t>
  </si>
  <si>
    <t>C-CHSUBN4-00P</t>
  </si>
  <si>
    <t>C-CHSUBN4-00F-VF</t>
  </si>
  <si>
    <t>Suburban Field Ranger</t>
  </si>
  <si>
    <t>C-CHSUBN3-88R</t>
  </si>
  <si>
    <t>Suburban Special Op Ctr</t>
  </si>
  <si>
    <t>C-CHSUBN3-88D</t>
  </si>
  <si>
    <t>3rd Removed, Table Extension</t>
  </si>
  <si>
    <t>C-CHSUBN3-21R-TR-PT</t>
  </si>
  <si>
    <t>C-CHSUBN3-21R-TR</t>
  </si>
  <si>
    <t>C-CHSUBN3-21R-TF</t>
  </si>
  <si>
    <t>Suburban Investigator</t>
  </si>
  <si>
    <t>C-CHSUBN3-21I-TR-HT</t>
  </si>
  <si>
    <t>C-CHSUBN3-21I-TR</t>
  </si>
  <si>
    <t>C-CHSUBN3-21I-TF-HT</t>
  </si>
  <si>
    <t>C-CHSUBN3-21I-TF</t>
  </si>
  <si>
    <t>C-CHSUBN3-21D</t>
  </si>
  <si>
    <t>C-CHSUBN3-15R-PT</t>
  </si>
  <si>
    <t>C-CHSUBN3-15R-HT</t>
  </si>
  <si>
    <t>C-CHSUBN3-15R</t>
  </si>
  <si>
    <t>C-CHSUBN3-15I-PT</t>
  </si>
  <si>
    <t>Tray/3rd Removed, Prisoner Cage</t>
  </si>
  <si>
    <t>C-CHSUBN3-15I-PP</t>
  </si>
  <si>
    <t>C-CHSUBN3-15I-FP</t>
  </si>
  <si>
    <t>C-CHSUBN3-15I</t>
  </si>
  <si>
    <t>C-CHSUBN3-15D-PT</t>
  </si>
  <si>
    <t>C-CHSUBN3-15D</t>
  </si>
  <si>
    <t>C-CHSUBN3-12R-PT</t>
  </si>
  <si>
    <t>C-CHSUBN3-12R</t>
  </si>
  <si>
    <t>C-CHSUBN3-12I-PT</t>
  </si>
  <si>
    <t>C-CHSUBN3-12I</t>
  </si>
  <si>
    <t>45L x 48W, Tbl Ext</t>
  </si>
  <si>
    <t>C-CHSUBN3-12D-PT</t>
  </si>
  <si>
    <t>45L x 48W</t>
  </si>
  <si>
    <t>C-CHSUBN3-12D</t>
  </si>
  <si>
    <t>C-CHSUBN3-07R-PT</t>
  </si>
  <si>
    <t>C-CHSUBN3-07R</t>
  </si>
  <si>
    <t>C-CHSUBN3-07I-PT</t>
  </si>
  <si>
    <t>C-CHSUBN3-07I</t>
  </si>
  <si>
    <t>C-CHSUBN3-07D-PT</t>
  </si>
  <si>
    <t>C-CHSUBN3-07D</t>
  </si>
  <si>
    <t>C-CHSUBN3-00R-PT</t>
  </si>
  <si>
    <t>C-CHSUBN3-00R-LN</t>
  </si>
  <si>
    <t>C-CHSUBN3-00R</t>
  </si>
  <si>
    <t>C-CHSUBN3-00I-PT</t>
  </si>
  <si>
    <t>C-CHSUBN3-00I</t>
  </si>
  <si>
    <t>C-CHSUBN3-00D-PT</t>
  </si>
  <si>
    <t>C-CHSUBN3-00D</t>
  </si>
  <si>
    <t>3rd Row in Place</t>
  </si>
  <si>
    <t>C-CHSUBN2-21I</t>
  </si>
  <si>
    <t>C-CHSUBN2-21D</t>
  </si>
  <si>
    <t>C10620C</t>
  </si>
  <si>
    <t>Suburban Custom Drone Command Center</t>
  </si>
  <si>
    <t>C-CHSUBN2-15N-HT-TT-C2-C10620C</t>
  </si>
  <si>
    <t>F-Size, Mag 2 Dwr Top, Table Ext.</t>
  </si>
  <si>
    <t>C-CHSUBM2-15F-VF-PT</t>
  </si>
  <si>
    <t>C-CHSUBM2-15F-VF</t>
  </si>
  <si>
    <t>Suburban Base Camp 1</t>
  </si>
  <si>
    <t>B-CHSUBN2-88F-BC1</t>
  </si>
  <si>
    <t>Chevy SS</t>
  </si>
  <si>
    <t>N-CHSSPN1-14N-HG</t>
  </si>
  <si>
    <t>SS</t>
  </si>
  <si>
    <t>Sportside Pickup Std 2 Dwr</t>
  </si>
  <si>
    <t>T-CHCSSS2-95S-PW</t>
  </si>
  <si>
    <t>T-CHCSSS2-95S</t>
  </si>
  <si>
    <t>Short Bed, All Weather</t>
  </si>
  <si>
    <t>Sportside Pickup Mag 2 Dwr</t>
  </si>
  <si>
    <t>T-CHCSSM2-95S-PW</t>
  </si>
  <si>
    <t>T-CHCSSM2-95S</t>
  </si>
  <si>
    <t>Sportside Pickup</t>
  </si>
  <si>
    <t>6' 6", All Wthr; Drivers Side</t>
  </si>
  <si>
    <t>Silverado Ext 1 Dwr Half Width</t>
  </si>
  <si>
    <t>T-CHSILE1-19S-HD-PW</t>
  </si>
  <si>
    <t>Silverado Pickup Mag 2 Dwr</t>
  </si>
  <si>
    <t>T-CHSILM2-19L-PW</t>
  </si>
  <si>
    <t>Silverado Pickup Base Camp 2</t>
  </si>
  <si>
    <t>B-CHSILN2-07S-PC-BC2</t>
  </si>
  <si>
    <t>C-CHSILN2-19S-PC-TG-PL3</t>
  </si>
  <si>
    <t>8' Long Bed; All-Weather</t>
  </si>
  <si>
    <t>Silverado Pickup Utility OS Dwr</t>
  </si>
  <si>
    <t>T-CHSILUO-99L-PW</t>
  </si>
  <si>
    <t>6' 6" Short Bed, A-Wthr; Retrax</t>
  </si>
  <si>
    <t>Silverado Pickup Utility 2 Dwr Offset</t>
  </si>
  <si>
    <t>T-CHSILUO-19S-RX-PW</t>
  </si>
  <si>
    <t>6' 6" Short Bed, A-Wthr (New)</t>
  </si>
  <si>
    <t>T-CHSILUO-19S-PW</t>
  </si>
  <si>
    <t>Crew Cab, AW, Retrax</t>
  </si>
  <si>
    <t>Silverado Pickup Utility Offset Dwr</t>
  </si>
  <si>
    <t>T-CHSILUO-19S-PC-RX-PW</t>
  </si>
  <si>
    <t>T-CHSILUO-19S-PC-PW</t>
  </si>
  <si>
    <t>5' 8" Bed, Crew Cab, Logo AW (New)</t>
  </si>
  <si>
    <t>T-CHSILUO-19S-PC-PL-PW</t>
  </si>
  <si>
    <t>T-CHSILUO-19S-PC</t>
  </si>
  <si>
    <t>T-CHSILUO-19S</t>
  </si>
  <si>
    <t>T-CHSILUO-19L-PW</t>
  </si>
  <si>
    <t>6' 6" Short Bed; Spray Logo; All-Weather</t>
  </si>
  <si>
    <t>T-CHSILUO-15S-PL-PW</t>
  </si>
  <si>
    <t>T-CHSILUO-15S-PL</t>
  </si>
  <si>
    <t>T-CHSILUO-15L-PL-PW</t>
  </si>
  <si>
    <t>T-CHSILUO-07S-PW</t>
  </si>
  <si>
    <t>5' 8" Bed, Crew Cab, AW; Retrax</t>
  </si>
  <si>
    <t>T-CHSILUO-07S-PC-RX-PW</t>
  </si>
  <si>
    <t>T-CHSILUO-07S-PC-PW</t>
  </si>
  <si>
    <t>T-CHSILUO-07S-PC</t>
  </si>
  <si>
    <t>T-CHSILUO-07S</t>
  </si>
  <si>
    <t>8' Long Bed; Heavy Duty Table</t>
  </si>
  <si>
    <t>T-CHSILUO-07L-HT</t>
  </si>
  <si>
    <t>T-CHSILUO-07L</t>
  </si>
  <si>
    <t>6' 6" Bed,  AW (New)</t>
  </si>
  <si>
    <t>Silverado Pickup Utility 2 Dwr ReTrax</t>
  </si>
  <si>
    <t>T-CHSILU2-19S-RX-PW</t>
  </si>
  <si>
    <t>6' 6" Short Bed (New), ReTrax</t>
  </si>
  <si>
    <t>Silverado Pickup Utility 2 Dwr</t>
  </si>
  <si>
    <t>T-CHSILU2-19S-RX</t>
  </si>
  <si>
    <t>T-CHSILU2-19S-PW</t>
  </si>
  <si>
    <t>T-CHSILU2-19S-PL-PW</t>
  </si>
  <si>
    <t>5' 8" Bed,  AW (New)</t>
  </si>
  <si>
    <t>T-CHSILU2-19S-PC-RX-PW</t>
  </si>
  <si>
    <t>T-CHSILU2-19S-PC-RX</t>
  </si>
  <si>
    <t>T-CHSILU2-19S-PC-PW</t>
  </si>
  <si>
    <t>T-CHSILU2-19S-PC-PL-RX-PW</t>
  </si>
  <si>
    <t>T-CHSILU2-19S-PC-PL-PW</t>
  </si>
  <si>
    <t>T-CHSILU2-19S-PC</t>
  </si>
  <si>
    <t>T-CHSILU2-19S</t>
  </si>
  <si>
    <t>T-CHSILU2-19L-PW</t>
  </si>
  <si>
    <t>8' Long Bed (New)</t>
  </si>
  <si>
    <t>T-CHSILU2-19L</t>
  </si>
  <si>
    <t>T-CHSILU2-15S-PL-PW</t>
  </si>
  <si>
    <t>T-CHSILU2-15S-PL</t>
  </si>
  <si>
    <t>T-CHSILU2-15S-PC-PL-PW</t>
  </si>
  <si>
    <t>5' 8" Bed, Crew Cab; Spray Logo</t>
  </si>
  <si>
    <t>T-CHSILU2-15S-PC-PL</t>
  </si>
  <si>
    <t>T-CHSILU2-15L-PL-PW</t>
  </si>
  <si>
    <t>8' Long Bed; Logo</t>
  </si>
  <si>
    <t>T-CHSILU2-15L-PL</t>
  </si>
  <si>
    <t>T-CHSILU2-07S-PW</t>
  </si>
  <si>
    <t>T-CHSILU2-07S-PC-RX-PW</t>
  </si>
  <si>
    <t>T-CHSILU2-07S-PC-PW</t>
  </si>
  <si>
    <t>T-CHSILU2-07S-PC</t>
  </si>
  <si>
    <t>T-CHSILU2-07S</t>
  </si>
  <si>
    <t>T-CHSILU2-07L-PW</t>
  </si>
  <si>
    <t>T-CHSILU2-07L</t>
  </si>
  <si>
    <t>6'6", All Wthr; Passenger Side, Logo</t>
  </si>
  <si>
    <t>Silverado Utility 1 Dwr Half Width</t>
  </si>
  <si>
    <t>T-CHSILU1-19S-PL-HD-PW</t>
  </si>
  <si>
    <t>All Wthr; Passenger  Side, Retrax</t>
  </si>
  <si>
    <t>Silverado Utility  1 Dwr Half Width</t>
  </si>
  <si>
    <t>T-CHSILU1-19S-PC-RX-HP</t>
  </si>
  <si>
    <t>T-CHSILU1-19S-PC-HP-RX-PW</t>
  </si>
  <si>
    <t>T-CHSILU1-19S-PC-HP-PW</t>
  </si>
  <si>
    <t>Silverado Utl 1 Dwr Half Width</t>
  </si>
  <si>
    <t>T-CHSILU1-19S-PC-HP</t>
  </si>
  <si>
    <t>T-CHSILU1-19S-PC-HD-PW</t>
  </si>
  <si>
    <t>Silverado Std 1 Dwr Half Width</t>
  </si>
  <si>
    <t>T-CHSILU1-19S-PC-HD</t>
  </si>
  <si>
    <t>T-CHSILU1-19S-HP-PW</t>
  </si>
  <si>
    <t>T-CHSILU1-19S-HP</t>
  </si>
  <si>
    <t>6'6"; Driver Side</t>
  </si>
  <si>
    <t>T-CHSILU1-19S-HD</t>
  </si>
  <si>
    <t>T-CHSILU1-15S-PL-HP</t>
  </si>
  <si>
    <t>T-CHSILU1-15S-PL-HD</t>
  </si>
  <si>
    <t>5' 6", All Wthr;Passenger Side, Retrax</t>
  </si>
  <si>
    <t>T-CHSILU1-15S-PC-PL-HP-RX-PW</t>
  </si>
  <si>
    <t>SilveradoUtility 1 Dwr Half Width</t>
  </si>
  <si>
    <t>T-CHSILU1-15S-PC-PL-HP</t>
  </si>
  <si>
    <t>T-CHSILU1-07S-PC-HP-PW</t>
  </si>
  <si>
    <t>T-CHSILU1-07S-PC-HD-PW</t>
  </si>
  <si>
    <t>T-CHSILU1-07S-HP-PW</t>
  </si>
  <si>
    <t>T-CHSILU1-07S-HP</t>
  </si>
  <si>
    <t>T-CHSILU1-07S-HD-PW</t>
  </si>
  <si>
    <t>T-CHSILU1-07L-HD</t>
  </si>
  <si>
    <t>Silverado Pickup Std OS Dwr</t>
  </si>
  <si>
    <t>T-CHSILSO-19S-PW</t>
  </si>
  <si>
    <t>T-CHSILSO-19S-PC-RX</t>
  </si>
  <si>
    <t>T-CHSILSO-19S-PC-PW</t>
  </si>
  <si>
    <t>T-CHSILSO-19S-PC</t>
  </si>
  <si>
    <t>Silverado Pickup Standard Offset Dwr</t>
  </si>
  <si>
    <t>T-CHSILSO-19S</t>
  </si>
  <si>
    <t>6' 6" Short Bed, A-Wthr; Logo</t>
  </si>
  <si>
    <t>T-CHSILSO-15S-PL-PW</t>
  </si>
  <si>
    <t>6' 6" Short Bed (New); Logo</t>
  </si>
  <si>
    <t>T-CHSILSO-15S-PL</t>
  </si>
  <si>
    <t>T-CHSILSO-15S-PC-PL-PW</t>
  </si>
  <si>
    <t>5' 8" Bed, CC, Spray Logo</t>
  </si>
  <si>
    <t>T-CHSILSO-15S-PC-PL</t>
  </si>
  <si>
    <t>6 1/2  Bed, Crew Cab (ReTrax</t>
  </si>
  <si>
    <t>T-CHSILSO-07S-RX</t>
  </si>
  <si>
    <t>T-CHSILSO-07S-PW</t>
  </si>
  <si>
    <t>T-CHSILSO-07S-PC-PW</t>
  </si>
  <si>
    <t>5' 8" Bed, Crew Cab, Tbl Ext</t>
  </si>
  <si>
    <t>Silverado Pickup Std O Dwr</t>
  </si>
  <si>
    <t>T-CHSILSO-07S-PC-PT</t>
  </si>
  <si>
    <t>T-CHSILSO-07S-PC</t>
  </si>
  <si>
    <t>T-CHSILSO-07S</t>
  </si>
  <si>
    <t>T-CHSILSO-07L-PW</t>
  </si>
  <si>
    <t>T-CHSILSO-07L</t>
  </si>
  <si>
    <t>T-CHSILSO-04S-PC-PW</t>
  </si>
  <si>
    <t>T-CHSILSO-04S-PC</t>
  </si>
  <si>
    <t>6' 6" Bed, Crew Cab, A-Wthr</t>
  </si>
  <si>
    <t>Silverado Pickup Std 2 Dwr</t>
  </si>
  <si>
    <t>T-CHSILS2-99S-PW</t>
  </si>
  <si>
    <t>T-CHSILS2-19S-RX-PW</t>
  </si>
  <si>
    <t>6' 6" Short Bed; Retrax</t>
  </si>
  <si>
    <t>Silverado Pickup Standard 2 Dwr</t>
  </si>
  <si>
    <t>T-CHSILS2-19S-RX</t>
  </si>
  <si>
    <t>T-CHSILS2-19S-PW</t>
  </si>
  <si>
    <t>6' 6" Short Bed (New), Folding Step</t>
  </si>
  <si>
    <t>T-CHSILS2-19S-PF</t>
  </si>
  <si>
    <t>5' 8" Bed, Crew Cab (New) ReTrax</t>
  </si>
  <si>
    <t>T-CHSILS2-19S-PC-RX</t>
  </si>
  <si>
    <t>T-CHSILS2-19S-PC-PW</t>
  </si>
  <si>
    <t>5' 8" Bed, Crew Cab, Driver's Side</t>
  </si>
  <si>
    <t>T-CHSILS2-19S-PC-PL</t>
  </si>
  <si>
    <t>T-CHSILS2-19S-PC-PF</t>
  </si>
  <si>
    <t>T-CHSILS2-19S-PC</t>
  </si>
  <si>
    <t>T-CHSILS2-19S</t>
  </si>
  <si>
    <t>T-CHSILS2-19L-PW</t>
  </si>
  <si>
    <t>T-CHSILS2-19L</t>
  </si>
  <si>
    <t>6' 6" SB, A-Wthr, Spray Logo</t>
  </si>
  <si>
    <t>T-CHSILS2-15S-PL-PW</t>
  </si>
  <si>
    <t>T-CHSILS2-15S-PL</t>
  </si>
  <si>
    <t>T-CHSILS2-15S-PC-PL-PW</t>
  </si>
  <si>
    <t>T-CHSILS2-15S-PC-PL</t>
  </si>
  <si>
    <t>T-CHSILS2-15L-PL-PW</t>
  </si>
  <si>
    <t>T-CHSILS2-15L-PL</t>
  </si>
  <si>
    <t>T-CHSILS2-07S-PW</t>
  </si>
  <si>
    <t>6' 6" Bed w/Pull Out Table (N)</t>
  </si>
  <si>
    <t>T-CHSILS2-07S-PT</t>
  </si>
  <si>
    <t>T-CHSILS2-07S-PC-RX-PW</t>
  </si>
  <si>
    <t>T-CHSILS2-07S-PC-PW</t>
  </si>
  <si>
    <t>T-CHSILS2-07S-PC-PT</t>
  </si>
  <si>
    <t>T-CHSILS2-07S-PC</t>
  </si>
  <si>
    <t>T-CHSILS2-07S</t>
  </si>
  <si>
    <t>T-CHSILS2-07L-PW</t>
  </si>
  <si>
    <t>8' Long Bed, Table Ext</t>
  </si>
  <si>
    <t>T-CHSILS2-07L-PT</t>
  </si>
  <si>
    <t>T-CHSILS2-07L-HT</t>
  </si>
  <si>
    <t>T-CHSILS2-07L</t>
  </si>
  <si>
    <t>T-CHSILS2-04S-PC-PW</t>
  </si>
  <si>
    <t>T-CHSILS2-04S-PC</t>
  </si>
  <si>
    <t>6.5', All Wthr; Drivers Side</t>
  </si>
  <si>
    <t>T-CHSILS1-19S-PL-HD-PW</t>
  </si>
  <si>
    <t>5' 8" Bed, Drivers Side; Retrax</t>
  </si>
  <si>
    <t>T-CHSILS1-19S-PC-RX-HD</t>
  </si>
  <si>
    <t>T-CHSILS1-19S-PC-PL-HD-PW</t>
  </si>
  <si>
    <t>T-CHSILS1-19S-PC-PL-HD</t>
  </si>
  <si>
    <t>T-CHSILS1-19S-PC-HP-PW</t>
  </si>
  <si>
    <t>T-CHSILS1-19S-PC-HP</t>
  </si>
  <si>
    <t>T-CHSILS1-19S-PC-HD-PW</t>
  </si>
  <si>
    <t>T-CHSILS1-19S-PC-HD</t>
  </si>
  <si>
    <t>6' 6", All Wthr;Passenger Side</t>
  </si>
  <si>
    <t>T-CHSILS1-19S-HP-PW</t>
  </si>
  <si>
    <t>T-CHSILS1-19S-HD</t>
  </si>
  <si>
    <t>T-CHSILS1-19L-HD</t>
  </si>
  <si>
    <t>5' 6", All Wthr;Pass Side, ReTrax</t>
  </si>
  <si>
    <t>T-CHSILS1-15S-PC-PL-HP-RX-PW</t>
  </si>
  <si>
    <t>T-CHSILS1-15S-PC-PL-HP-PW</t>
  </si>
  <si>
    <t>T-CHSILS1-07S-PC-HP-PW</t>
  </si>
  <si>
    <t>T-CHSILS1-07S-PC-HP</t>
  </si>
  <si>
    <t>T-CHSILS1-07S-PC-HD-PW</t>
  </si>
  <si>
    <t>T-CHSILS1-07S-PC-HD</t>
  </si>
  <si>
    <t>T-CHSILS1-07S-HP-PW</t>
  </si>
  <si>
    <t>T-CHSILS1-07S-HP</t>
  </si>
  <si>
    <t>T-CHSILS1-07S-HD-PW</t>
  </si>
  <si>
    <t>T-CHSILS1-07S-HD</t>
  </si>
  <si>
    <t>T-CHSILS1-07L-HP-PW</t>
  </si>
  <si>
    <t>T-CHSILS1-07L-HP</t>
  </si>
  <si>
    <t>T-CHSILS1-07L-HD-PW</t>
  </si>
  <si>
    <t>T-CHSILS1-07L-HD</t>
  </si>
  <si>
    <t>Silverado Pickup Mag Offset Dwr</t>
  </si>
  <si>
    <t>T-CHSILMO-19S-PW</t>
  </si>
  <si>
    <t>Crew Cab (New), AW, Retrax</t>
  </si>
  <si>
    <t>Silverado Pickup Mag OS Dwr</t>
  </si>
  <si>
    <t>T-CHSILMO-19S-PC-RX-PW</t>
  </si>
  <si>
    <t>5' 8" Bed, Crew Cab (New), AW</t>
  </si>
  <si>
    <t>T-CHSILMO-19S-PC-PW</t>
  </si>
  <si>
    <t>T-CHSILMO-19S-PC</t>
  </si>
  <si>
    <t>6' 6" Short Bed, Flip Up HD Table</t>
  </si>
  <si>
    <t>T-CHSILMO-19S-HW</t>
  </si>
  <si>
    <t>T-CHSILMO-19S</t>
  </si>
  <si>
    <t>6' 6" Short Bed (New) Retrax</t>
  </si>
  <si>
    <t>Silverado Pickup Mag 2 Dwr OS</t>
  </si>
  <si>
    <t>T-CHSILMO-07S-RX</t>
  </si>
  <si>
    <t>6' 6" Short Bed, A-Wthr, Heavy Duty Table</t>
  </si>
  <si>
    <t>T-CHSILMO-07S-PW-HT</t>
  </si>
  <si>
    <t>T-CHSILMO-07S-PW</t>
  </si>
  <si>
    <t>6' 6" Short Bed, Pullout Table</t>
  </si>
  <si>
    <t>T-CHSILMO-07S-PT</t>
  </si>
  <si>
    <t>T-CHSILMO-07S-PC-PW</t>
  </si>
  <si>
    <t>5' 6" Short Bed, Pullout Table</t>
  </si>
  <si>
    <t>T-CHSILMO-07S-PC-PT</t>
  </si>
  <si>
    <t>T-CHSILMO-07S-PC</t>
  </si>
  <si>
    <t>T-CHSILMO-07S</t>
  </si>
  <si>
    <t>T-CHSILMO-07L-PW</t>
  </si>
  <si>
    <t>8' Long Bed, Tbl Ext</t>
  </si>
  <si>
    <t>Silverado Pickup Mag OffsetDwr</t>
  </si>
  <si>
    <t>T-CHSILMO-07L-PT</t>
  </si>
  <si>
    <t>Silverado P/U Mag Offset Dwr</t>
  </si>
  <si>
    <t>T-CHSILMO-07L</t>
  </si>
  <si>
    <t>T-CHSILMO-04S-PC-PW</t>
  </si>
  <si>
    <t>T-CHSILMO-04S-PC</t>
  </si>
  <si>
    <t>T-CHSILM2-19S-RX-PW</t>
  </si>
  <si>
    <t>Silverado Pickup Magnum 2 Dwr</t>
  </si>
  <si>
    <t>T-CHSILM2-19S-RX</t>
  </si>
  <si>
    <t>T-CHSILM2-19S-PW</t>
  </si>
  <si>
    <t>5' 6" Short Bed, A-Wthr; Retrax</t>
  </si>
  <si>
    <t>T-CHSILM2-19S-PC-RX-PW</t>
  </si>
  <si>
    <t>5' 8" Bed, Crew Cab ReMax</t>
  </si>
  <si>
    <t>T-CHSILM2-19S-PC-RX</t>
  </si>
  <si>
    <t>T-CHSILM2-19S-PC-PW</t>
  </si>
  <si>
    <t>T-CHSILM2-19S-PC</t>
  </si>
  <si>
    <t>T-CHSILM2-19S</t>
  </si>
  <si>
    <t>T-CHSILM2-19L</t>
  </si>
  <si>
    <t>T-CHSILM2-07S-PW</t>
  </si>
  <si>
    <t>T-CHSILM2-07S-PT</t>
  </si>
  <si>
    <t>T-CHSILM2-07S-PC-RX</t>
  </si>
  <si>
    <t>5' 8" Bed, Crew Cab, AW</t>
  </si>
  <si>
    <t>T-CHSILM2-07S-PC-PW</t>
  </si>
  <si>
    <t>5' 8" Bed, Crew Cab, Table Ext.</t>
  </si>
  <si>
    <t>T-CHSILM2-07S-PC-PT</t>
  </si>
  <si>
    <t>T-CHSILM2-07S-PC</t>
  </si>
  <si>
    <t>T-CHSILM2-07S-HT</t>
  </si>
  <si>
    <t>T-CHSILM2-07S</t>
  </si>
  <si>
    <t>8' Long Bed, All Wthr, Retrrax</t>
  </si>
  <si>
    <t>T-CHSILM2-07L-RX-PW</t>
  </si>
  <si>
    <t>T-CHSILM2-07L-PW</t>
  </si>
  <si>
    <t>8'  Long Bed, HD Table</t>
  </si>
  <si>
    <t>T-CHSILM2-07L-HT</t>
  </si>
  <si>
    <t>T-CHSILM2-07L</t>
  </si>
  <si>
    <t>5' 8" Bed, Crew Cab, All Wea</t>
  </si>
  <si>
    <t>T-CHSILM2-04S-PC-PW</t>
  </si>
  <si>
    <t>T-CHSILM2-04S-PC</t>
  </si>
  <si>
    <t>5' 8" Bed, Passenger Side, Retrax</t>
  </si>
  <si>
    <t>Silverado Mag 1 Dwr Half Width</t>
  </si>
  <si>
    <t>T-CHSILM1-19S-PC-RX-HP</t>
  </si>
  <si>
    <t>T-CHSILM1-19S-PC-HP-RX-PW</t>
  </si>
  <si>
    <t>T-CHSILM1-19S-PC-HP-PW</t>
  </si>
  <si>
    <t>T-CHSILM1-19S-PC-HP</t>
  </si>
  <si>
    <t>5' 6", All Wthr; Drivers Side; Retrax</t>
  </si>
  <si>
    <t>T-CHSILM1-19S-PC-HD-RX-PW</t>
  </si>
  <si>
    <t>T-CHSILM1-19S-PC-HD-PW</t>
  </si>
  <si>
    <t>T-CHSILM1-19S-PC-HD</t>
  </si>
  <si>
    <t>6' 6", All Wthr; Pass Side; Retrax</t>
  </si>
  <si>
    <t>T-CHSILM1-19S-HP-RX-PW</t>
  </si>
  <si>
    <t>6' 6", All Wthr; Passenger Side</t>
  </si>
  <si>
    <t>T-CHSILM1-19S-HP-PW</t>
  </si>
  <si>
    <t>T-CHSILM1-19S-HP</t>
  </si>
  <si>
    <t>6' 6", All Wthr; Drivers Side; Retrax</t>
  </si>
  <si>
    <t>T-CHSILM1-19S-HD-RX-PW</t>
  </si>
  <si>
    <t>6' 6", Drivers Side; Retrax</t>
  </si>
  <si>
    <t>T-CHSILM1-19S-HD-RX</t>
  </si>
  <si>
    <t>T-CHSILM1-19S-HD-PW</t>
  </si>
  <si>
    <t>6' 6" Bed, DriversSide</t>
  </si>
  <si>
    <t>T-CHSILM1-19S-HD</t>
  </si>
  <si>
    <t>8"; Passenger Side</t>
  </si>
  <si>
    <t>Silverado Magnum 1 Dwr Half Width</t>
  </si>
  <si>
    <t>T-CHSILM1-19L-HP</t>
  </si>
  <si>
    <t>5' 6", All Wthr; Drivers Side ReTrax</t>
  </si>
  <si>
    <t>T-CHSILM1-15S-PC-HD-RX-PW</t>
  </si>
  <si>
    <t>T-CHSILM1-07S-PC-HP-PW</t>
  </si>
  <si>
    <t>T-CHSILM1-07S-PC-HP</t>
  </si>
  <si>
    <t>5' 8" Bed, Drivers Side, ReTrax</t>
  </si>
  <si>
    <t>T-CHSILM1-07S-PC-HD-RX</t>
  </si>
  <si>
    <t>T-CHSILM1-07S-PC-HD-PW</t>
  </si>
  <si>
    <t>T-CHSILM1-07S-PC-HD</t>
  </si>
  <si>
    <t>T-CHSILM1-07S-HP-PW</t>
  </si>
  <si>
    <t>T-CHSILM1-07S-HP</t>
  </si>
  <si>
    <t>T-CHSILM1-07S-HD-PW</t>
  </si>
  <si>
    <t>T-CHSILM1-07S-HD</t>
  </si>
  <si>
    <t>T-CHSILM1-07L-HP-PW</t>
  </si>
  <si>
    <t>T-CHSILM1-07L-HP</t>
  </si>
  <si>
    <t>T-CHSILM1-07L-HD-PW</t>
  </si>
  <si>
    <t>T-CHSILM1-07L-HD</t>
  </si>
  <si>
    <t>T-CHSILM1-04S-PC-HP-PW</t>
  </si>
  <si>
    <t>6' 8" Bed, AW</t>
  </si>
  <si>
    <t>Silverado Pickup Ext 2 Dwr</t>
  </si>
  <si>
    <t>T-CHSILE2-19S-PW</t>
  </si>
  <si>
    <t>T-CHSILE2-19S-PC-PW-RX</t>
  </si>
  <si>
    <t>T-CHSILE2-19S-PC-PW</t>
  </si>
  <si>
    <t>T-CHSILE2-19S-PC</t>
  </si>
  <si>
    <t>Half Width, 5.5' Bed, All Weather, Retrax</t>
  </si>
  <si>
    <t>Silverado Ext 1 Drawer</t>
  </si>
  <si>
    <t>T-CHSILE1-19S-PC-HD-PW-RX</t>
  </si>
  <si>
    <t>Half Width, 5.5' Bed, All Weather</t>
  </si>
  <si>
    <t>T-CHSILE1-19S-HD-PC-PW</t>
  </si>
  <si>
    <t>T-CHCSEUO-99S-PW</t>
  </si>
  <si>
    <t>T-CHCSEU2-99S-PW</t>
  </si>
  <si>
    <t>6'6"' Short Bed</t>
  </si>
  <si>
    <t>T-CHCSEU2-99S</t>
  </si>
  <si>
    <t>8' Long Bed, A-Wthr (Classic)</t>
  </si>
  <si>
    <t>T-CHCSEU2-99L-PW</t>
  </si>
  <si>
    <t>8' Long Bed (Classic)</t>
  </si>
  <si>
    <t>T-CHCSEU2-99L</t>
  </si>
  <si>
    <t>6.5' Bed, Driver's Side</t>
  </si>
  <si>
    <t>T-CHCSEU1-99S-HD</t>
  </si>
  <si>
    <t>T-CHCSEU1-99L-HP</t>
  </si>
  <si>
    <t>6' 6" Short Bed, A-Wthr (Clas)</t>
  </si>
  <si>
    <t>T-CHCSESO-99S-PW</t>
  </si>
  <si>
    <t>Silverado Pickup Std OffsetDwr</t>
  </si>
  <si>
    <t>T-CHCSESO-99S-PT</t>
  </si>
  <si>
    <t>6' 6" Short Bed (Classic)</t>
  </si>
  <si>
    <t>T-CHCSESO-99S</t>
  </si>
  <si>
    <t>Long Bed (Classic), All-Wthr</t>
  </si>
  <si>
    <t>T-CHCSESO-99L-PW</t>
  </si>
  <si>
    <t>Long Bed (Classic)</t>
  </si>
  <si>
    <t>T-CHCSESO-99L</t>
  </si>
  <si>
    <t>T-CHCSESO-88S</t>
  </si>
  <si>
    <t>T-CHCSESO-88L-PW</t>
  </si>
  <si>
    <t>T-CHCSESO-78L</t>
  </si>
  <si>
    <t>T-CHCSES2-99S-PW</t>
  </si>
  <si>
    <t>T-CHCSES2-99S-PT</t>
  </si>
  <si>
    <t>T-CHCSES2-99S</t>
  </si>
  <si>
    <t>T-CHCSES2-99L-PW</t>
  </si>
  <si>
    <t>T-CHCSES2-99L</t>
  </si>
  <si>
    <t>T-CHCSES2-88S-PW</t>
  </si>
  <si>
    <t>T-CHCSES2-88S</t>
  </si>
  <si>
    <t>T-CHCSES2-88L-PW</t>
  </si>
  <si>
    <t>T-CHCSES2-88L</t>
  </si>
  <si>
    <t>T-CHCSES2-78L</t>
  </si>
  <si>
    <t>T-CHCSES2-73S-PW</t>
  </si>
  <si>
    <t>T-CHCSES2-73L-PW</t>
  </si>
  <si>
    <t>T-CHCSES1-88L-HP-PW</t>
  </si>
  <si>
    <t>T-CHCSES1-73S-HD-PW</t>
  </si>
  <si>
    <t>T-CHCSEMO-99S-PW</t>
  </si>
  <si>
    <t>T-CHCSEMO-99S</t>
  </si>
  <si>
    <t>8' Long Bed, All-Wthr</t>
  </si>
  <si>
    <t>T-CHCSEMO-99L-PW</t>
  </si>
  <si>
    <t>8' Long Bed, Tbl Ext (Classic)</t>
  </si>
  <si>
    <t>T-CHCSEMO-99L-PT</t>
  </si>
  <si>
    <t>T-CHCSEMO-99L</t>
  </si>
  <si>
    <t>T-CHCSEMO-88S-PW</t>
  </si>
  <si>
    <t>T-CHCSEMO-88S</t>
  </si>
  <si>
    <t>T-CHCSEMO-88L</t>
  </si>
  <si>
    <t>T-CHCSEM2-99S-PW</t>
  </si>
  <si>
    <t>T-CHCSEM2-99S-PT</t>
  </si>
  <si>
    <t>T-CHCSEM2-99S</t>
  </si>
  <si>
    <t>8' Long Bed, All Weather</t>
  </si>
  <si>
    <t>T-CHCSEM2-99L-PW</t>
  </si>
  <si>
    <t>T-CHCSEM2-99L-PT</t>
  </si>
  <si>
    <t>T-CHCSEM2-99L</t>
  </si>
  <si>
    <t>T-CHCSEM2-88S-PW</t>
  </si>
  <si>
    <t>T-CHCSEM2-88S</t>
  </si>
  <si>
    <t>T-CHCSEM2-88L-PW</t>
  </si>
  <si>
    <t>T-CHCSEM2-88L</t>
  </si>
  <si>
    <t>T-CHCSEM2-78L-PW</t>
  </si>
  <si>
    <t>T-CHCSEM2-73S-PW</t>
  </si>
  <si>
    <t>T-CHCSEM1-99L-HP</t>
  </si>
  <si>
    <t>6' 6" Bed, A-Wthr, Half Width Driver Side</t>
  </si>
  <si>
    <t>T-CHCSEM1-88S-HD-PW</t>
  </si>
  <si>
    <t>T-CHCSEM1-73S-HD-PW</t>
  </si>
  <si>
    <t>2 Drawer Offset</t>
  </si>
  <si>
    <t>Silverado Pickup SeatVault</t>
  </si>
  <si>
    <t>S-CHSILNO-19N</t>
  </si>
  <si>
    <t>S-CHSILN1-19N</t>
  </si>
  <si>
    <t>S-CHSILL2-19N-EC</t>
  </si>
  <si>
    <t>S-CHSILL2-19N</t>
  </si>
  <si>
    <t>S-CHSILL2-07N</t>
  </si>
  <si>
    <t>S-CHSILL1-19N-EC</t>
  </si>
  <si>
    <t>S-CHSILL1-19N</t>
  </si>
  <si>
    <t>S-CHSILL1-07N</t>
  </si>
  <si>
    <t>S-CHSILL1-00N-EC</t>
  </si>
  <si>
    <t>6' 6", 2 Utility Dwr</t>
  </si>
  <si>
    <t>Silverado Pickup Surveyor</t>
  </si>
  <si>
    <t>C-CHSILU2-19S-VP</t>
  </si>
  <si>
    <t>Silverado Chief LX CC</t>
  </si>
  <si>
    <t>C-CHSILN5-07S-CC</t>
  </si>
  <si>
    <t>C-CHSILN4-19S-TG-PL2</t>
  </si>
  <si>
    <t>C-CHSILN4-19S-PC-TG-PL2</t>
  </si>
  <si>
    <t>C15733A</t>
  </si>
  <si>
    <t>Silverado Custom</t>
  </si>
  <si>
    <t>C-CHSILN4-19S-PC-PW-C15733A</t>
  </si>
  <si>
    <t>C-CHSILN4-07S-VP</t>
  </si>
  <si>
    <t>C-CHSILN4-07S-PC-VP</t>
  </si>
  <si>
    <t>Silverado AW Field Ranger</t>
  </si>
  <si>
    <t>C-CHSILN3-99S-CR-PW</t>
  </si>
  <si>
    <t>Silverado Pickup Field Ranger</t>
  </si>
  <si>
    <t>C-CHSILN3-99S-CR</t>
  </si>
  <si>
    <t>C-CHSILN3-19S-TG-PL6</t>
  </si>
  <si>
    <t>C-CHSILN3-19S-TG-PL1</t>
  </si>
  <si>
    <t>C-CHSILN3-19S-PC-TG-PL1</t>
  </si>
  <si>
    <t>C-CHSILN3-19S-PC-PL-CR-PW</t>
  </si>
  <si>
    <t>5' 6" Bed; Crew Cab, HD Table</t>
  </si>
  <si>
    <t>C-CHSILN3-19S-PC-HT-CR</t>
  </si>
  <si>
    <t>5'8" Bed; Crew Cab; A/W</t>
  </si>
  <si>
    <t>C-CHSILN3-19S-PC-CR-PW</t>
  </si>
  <si>
    <t>C-CHSILN3-19S-PC-CR</t>
  </si>
  <si>
    <t>C-CHSILN3-19S-CR-PW</t>
  </si>
  <si>
    <t>C-CHSILN3-19S-CR-PL-PW</t>
  </si>
  <si>
    <t>C-CHSILN3-19S-CR</t>
  </si>
  <si>
    <t>C-CHSILN3-07S-TG-PL6</t>
  </si>
  <si>
    <t>C-CHSILN3-07S-PC-CR-PW</t>
  </si>
  <si>
    <t>C-CHSILN3-07S-PC-CR</t>
  </si>
  <si>
    <t>Silverado Pickup BowHunter</t>
  </si>
  <si>
    <t>C-CHSILN3-07S-PC-BH-PW</t>
  </si>
  <si>
    <t>C-CHSILN3-07S-PC-BH</t>
  </si>
  <si>
    <t>C-CHSILN3-07S-CR-PW</t>
  </si>
  <si>
    <t>6' 6" Bed; Crew Cab</t>
  </si>
  <si>
    <t>C-CHSILN3-07S-CR</t>
  </si>
  <si>
    <t>C-CHSILN3-07S-BH-PW</t>
  </si>
  <si>
    <t>6' 6" Bed, Crew Cab</t>
  </si>
  <si>
    <t>C-CHSILN3-07S-BH</t>
  </si>
  <si>
    <t>C-CHSILN3-07L-CR-PW</t>
  </si>
  <si>
    <t>C-CHSILN3-07L-CR</t>
  </si>
  <si>
    <t>C-CHSILN3-07L-BH-PW</t>
  </si>
  <si>
    <t>C-CHSILN2-19S-TG-PL5</t>
  </si>
  <si>
    <t>C-CHSILN2-19S-TG-PL4</t>
  </si>
  <si>
    <t>C-CHSILN2-19S-TG-PL3</t>
  </si>
  <si>
    <t>5' 8" Bed, Crew Cab, Mag 2 dwr</t>
  </si>
  <si>
    <t>C-CHSILM2-19S-PC-VP</t>
  </si>
  <si>
    <t>C-CHSILM2-07S-VP</t>
  </si>
  <si>
    <t>C-CHSILM2-07S-PC-VP</t>
  </si>
  <si>
    <t>C-CHSILM2-07L-VP</t>
  </si>
  <si>
    <t>C-CHCSEN6-99C</t>
  </si>
  <si>
    <t>C-CHCSEN5-99C</t>
  </si>
  <si>
    <t>C-CHCSEN4-99S-VP</t>
  </si>
  <si>
    <t>8' Long Bed AW Field Ranger</t>
  </si>
  <si>
    <t>Silverado Pickup AW Field Ranger</t>
  </si>
  <si>
    <t>C-CHCSEN3-88L-CR-PW</t>
  </si>
  <si>
    <t>C-CHCSEN3-73L-CR-PW</t>
  </si>
  <si>
    <t>Silverado Pickup Base Camp 4</t>
  </si>
  <si>
    <t>B-CHSILN4-19S-PC-BC4</t>
  </si>
  <si>
    <t>B-CHSILN4-19S-BC4</t>
  </si>
  <si>
    <t>B-CHSILN4-07S-PC-BC4</t>
  </si>
  <si>
    <t>Silverado Pickup Base Camp 3</t>
  </si>
  <si>
    <t>B-CHSILN3-19S-PC-BC3</t>
  </si>
  <si>
    <t>B-CHSILN3-19S-BC3</t>
  </si>
  <si>
    <t>B-CHSILN3-07S-PC-BC3</t>
  </si>
  <si>
    <t>B-CHSILN3-07S-BC3</t>
  </si>
  <si>
    <t>Silverado Pickup Base Camp 5</t>
  </si>
  <si>
    <t>B-CHSILN2-19S-PC-BC5</t>
  </si>
  <si>
    <t>B-CHSILN2-19S-PC-BC2</t>
  </si>
  <si>
    <t>Silverado Base Camp 1</t>
  </si>
  <si>
    <t>B-CHSILN2-19S-PC-BC1</t>
  </si>
  <si>
    <t>B-CHSILN2-19S-BC5</t>
  </si>
  <si>
    <t>B-CHSILN2-19S-BC2</t>
  </si>
  <si>
    <t>Silverado Pickup Base Camp 1</t>
  </si>
  <si>
    <t>B-CHSILN2-19S-BC1</t>
  </si>
  <si>
    <t>B-CHSILN2-15L-PL-BC5</t>
  </si>
  <si>
    <t>B-CHSILN2-07S-PC-BC1</t>
  </si>
  <si>
    <t>B-CHSILN2-07S-BC5</t>
  </si>
  <si>
    <t>B-CHSILN2-07S-BC2</t>
  </si>
  <si>
    <t>B-CHSILN2-07S-BC1</t>
  </si>
  <si>
    <t>B-CHSILN2-07L-BC5</t>
  </si>
  <si>
    <t>B-CHCSEN2-99L-BC2</t>
  </si>
  <si>
    <t>Silverado Pickup</t>
  </si>
  <si>
    <t>Silverado Electric Utl OS Dwr</t>
  </si>
  <si>
    <t>T-CHSEVUO-24S-PC-PW</t>
  </si>
  <si>
    <t>Silverado Electric Utl 2 Dwr</t>
  </si>
  <si>
    <t>T-CHSEVU2-24S-PC-PW</t>
  </si>
  <si>
    <t>Silverado Electric Std OS Dwr</t>
  </si>
  <si>
    <t>T-CHSEVSO-24S-PC-PW</t>
  </si>
  <si>
    <t>Silverado Electric Std 2 Dwr</t>
  </si>
  <si>
    <t>T-CHSEVS2-24S-PC-PW</t>
  </si>
  <si>
    <t>Silverado Electric Mag OS Dwr</t>
  </si>
  <si>
    <t>T-CHSEVMO-24S-PC-PW</t>
  </si>
  <si>
    <t>Silverado Electric Mag 2 Dwr</t>
  </si>
  <si>
    <t>T-CHSEVM2-24S-PC-PW</t>
  </si>
  <si>
    <t>Silverado EV</t>
  </si>
  <si>
    <t>6.5' Short Bed, Gooseneck, All Weather, Logo</t>
  </si>
  <si>
    <t>Silverado HD Pickup Std 3 Dwr</t>
  </si>
  <si>
    <t>T-CHSILS2-20S-P5-GN-PL-PW</t>
  </si>
  <si>
    <t>6'6", Drivers Side</t>
  </si>
  <si>
    <t>T-CHSILE1-20S-P5-HD</t>
  </si>
  <si>
    <t>Silverado HD Pickup Utl 3 Dwr</t>
  </si>
  <si>
    <t>T-CHSILU3-20S-P5-C2-GN-PW</t>
  </si>
  <si>
    <t>6.5' Short Bed, Gooseneck, All Weather, Retrax</t>
  </si>
  <si>
    <t>Silverado HD Pickup Mag 3 Dwr</t>
  </si>
  <si>
    <t>T-CHSILM3-20S-P5-C2-GN-RX-PW</t>
  </si>
  <si>
    <t>T-CHSILS3-20S-P5-C2-GN-PW</t>
  </si>
  <si>
    <t>6'6", All Wthr; Either Side, No Wings</t>
  </si>
  <si>
    <t>T-CHSILM1-20S-P5-HN-PW</t>
  </si>
  <si>
    <t>Silverado HD Pickup Utl 2 Dwr</t>
  </si>
  <si>
    <t>T-CHSILU2-07S-P5-GN-PL-PW</t>
  </si>
  <si>
    <t>T-CHSILM3-20S-P5-C2-GN-PW</t>
  </si>
  <si>
    <t>T-CHSILS3-20S-P5-GN-PL-PW</t>
  </si>
  <si>
    <t>Silverado HD Pickup Std 2 Dwr</t>
  </si>
  <si>
    <t>T-CHSILS2-20S-P5-C2-GN-PW</t>
  </si>
  <si>
    <t>T-CHSILE1-20S-P5-HD-PW</t>
  </si>
  <si>
    <t>Silverado 2500/3500 Pickup Base Camp 1</t>
  </si>
  <si>
    <t>B-CHCSEN2-99L-BC1</t>
  </si>
  <si>
    <t>T-CHSILU3-07S-P5-GN-PL-PW</t>
  </si>
  <si>
    <t>6' 8" Short Bed, A-Wthr</t>
  </si>
  <si>
    <t>Silverado 2500/3500 Pickup Utility 2 Dwr Offset</t>
  </si>
  <si>
    <t>T-CHSILUO-20S-P5-PW</t>
  </si>
  <si>
    <t>T-CHSILUO-20S-P5-PL-PW</t>
  </si>
  <si>
    <t>6' 8" Short Bed, A-Wthr, Folding Step</t>
  </si>
  <si>
    <t>T-CHSILUO-20S-P5-PF-PW</t>
  </si>
  <si>
    <t>Silverado 2500/3500 Utility 2 Dwr Offset</t>
  </si>
  <si>
    <t>T-CHSILUO-20S-P5</t>
  </si>
  <si>
    <t>8', A-Wthr</t>
  </si>
  <si>
    <t>T-CHSILUO-20L-P5-PW</t>
  </si>
  <si>
    <t>T-CHSILUO-20L-P5</t>
  </si>
  <si>
    <t>8'  Long  Bed, A-Wthr</t>
  </si>
  <si>
    <t>T-CHSILUO-07L-PW</t>
  </si>
  <si>
    <t>6' 8" Short Bed, A-Wthr ReTrax</t>
  </si>
  <si>
    <t>T-CHSILU2-20S-P5-PW-RX</t>
  </si>
  <si>
    <t>Silverado 2500/3500 Pickup Utility 2 Dwr</t>
  </si>
  <si>
    <t>T-CHSILU2-20S-P5-PW</t>
  </si>
  <si>
    <t>T-CHSILU2-20S-P5-PL-PW</t>
  </si>
  <si>
    <t>6' 8" Short Bed, Heavy Duty Tray</t>
  </si>
  <si>
    <t>T-CHSILU2-20S-P5-HT</t>
  </si>
  <si>
    <t>T-CHSILU2-20S-P5</t>
  </si>
  <si>
    <t>T-CHSILU2-20L-PL-P5</t>
  </si>
  <si>
    <t>Silverado 2500/3500 Pickup Utility 2  Dwr</t>
  </si>
  <si>
    <t>T-CHSILU2-20L-P5-PW</t>
  </si>
  <si>
    <t>8' Long Bed, A-Wthr Logo</t>
  </si>
  <si>
    <t>T-CHSILU2-20L-P5-PL-PW</t>
  </si>
  <si>
    <t>T-CHSILU2-20L-P5-PL</t>
  </si>
  <si>
    <t>T-CHSILU2-20L-P5</t>
  </si>
  <si>
    <t>6' 8" Short Bed;  All-Weather, Spary Logo, Half Passenger</t>
  </si>
  <si>
    <t>Silverado 2500/3500 Utility 1 Dwr</t>
  </si>
  <si>
    <t>T-CHSILU1-20S-P5-PL-HP-PW</t>
  </si>
  <si>
    <t>6' 8" Short Bed, A-Wthr, Half Width Driver Side, Shot Lock</t>
  </si>
  <si>
    <t>Silverado 2500/3500 Pickup Utility 1 Dwr</t>
  </si>
  <si>
    <t>T-CHSILU1-20S-P5-PL-HD-PW</t>
  </si>
  <si>
    <t>6' 8" Short Bed; Spray Logo, Half Passenger</t>
  </si>
  <si>
    <t>T-CHSILU1-20S-P5-HP-PL</t>
  </si>
  <si>
    <t>6' 8" Short Bed 1/2 width Drivers' Side</t>
  </si>
  <si>
    <t>T-CHSILU1-20S-P5-HD</t>
  </si>
  <si>
    <t>96", All Wthr; Passenger  Side</t>
  </si>
  <si>
    <t>T-CHSILU1-20L-P5-PL-HP-PW</t>
  </si>
  <si>
    <t>Silverado Pickup Std 2 Dwr Offset</t>
  </si>
  <si>
    <t>T-CHSILSO-20S-P5-PW-RX</t>
  </si>
  <si>
    <t>T-CHSILSO-20S-P5-PW</t>
  </si>
  <si>
    <t>6' 8" Short Bed, A-Wthr Logo</t>
  </si>
  <si>
    <t>T-CHSILSO-20S-P5-PL-PW</t>
  </si>
  <si>
    <t>Silverado 2500/3500 Pickup Standard 2 Dwr offset</t>
  </si>
  <si>
    <t>T-CHSILSO-20S-P5-PL</t>
  </si>
  <si>
    <t>T-CHSILSO-20S-P5</t>
  </si>
  <si>
    <t>Silverado 2500/3500 Pickup Std OS Dwr</t>
  </si>
  <si>
    <t>T-CHSILSO-20L-P5-PW</t>
  </si>
  <si>
    <t>T-CHSILSO-20L-P5-PL-PW</t>
  </si>
  <si>
    <t>6' 8" Short Bed Shortened for Retrax</t>
  </si>
  <si>
    <t>Silverado 2500/3500 Pickup Strd 2 Dwr</t>
  </si>
  <si>
    <t>T-CHSILS2-20S-P5-RX</t>
  </si>
  <si>
    <t>T-CHSILS2-20S-P5-PW-RX</t>
  </si>
  <si>
    <t>T-CHSILS2-20S-P5-PW</t>
  </si>
  <si>
    <t>T-CHSILS2-20S-P5-PL-PW</t>
  </si>
  <si>
    <t>Silverado 2500/3500 Pickup Standard 2 Dwr</t>
  </si>
  <si>
    <t>T-CHSILS2-20S-P5-PL</t>
  </si>
  <si>
    <t>6' 8" Short Bed, Folding Step, A-Wthr</t>
  </si>
  <si>
    <t>T-CHSILS2-20S-P5-PF-PW</t>
  </si>
  <si>
    <t>6' 8" Short Bed, Folding Step</t>
  </si>
  <si>
    <t>T-CHSILS2-20S-P5-PF</t>
  </si>
  <si>
    <t>T-CHSILS2-20S-P5</t>
  </si>
  <si>
    <t>T-CHSILS2-20L-PL-P5</t>
  </si>
  <si>
    <t>Silverado 2500/3500 Pickup Std Dwr</t>
  </si>
  <si>
    <t>T-CHSILS2-20L-P5-PW</t>
  </si>
  <si>
    <t>T-CHSILS2-20L-P5-PL-PW</t>
  </si>
  <si>
    <t>8' Long Bed 2500, Folding step</t>
  </si>
  <si>
    <t>T-CHSILS2-20L-P5-PF</t>
  </si>
  <si>
    <t>6'6", All Wthr; Passenger  Side</t>
  </si>
  <si>
    <t>T-CHSILS1-20S-P5-PL-HP-PW</t>
  </si>
  <si>
    <t>6' 8" Short Bed 1/2 width Passanger Side</t>
  </si>
  <si>
    <t>Silverado 2500/3500 Pickup Standard 1 Dwr</t>
  </si>
  <si>
    <t>T-CHSILS1-20S-P5-PL-HP</t>
  </si>
  <si>
    <t>6'6", All Wthr; Drivers Side Logo</t>
  </si>
  <si>
    <t>T-CHSILS1-20S-P5-PL-HD-PW</t>
  </si>
  <si>
    <t>6' 8" Short Bed 1/2 width Drivers Side</t>
  </si>
  <si>
    <t>T-CHSILS1-20S-P5-PL-HD</t>
  </si>
  <si>
    <t>T-CHSILS1-20S-P5-HP-PW</t>
  </si>
  <si>
    <t>T-CHSILS1-20S-P5-HP</t>
  </si>
  <si>
    <t>T-CHSILS1-20S-P5-HD-PW</t>
  </si>
  <si>
    <t>8' Short Bed 1/2 width Passanger Side</t>
  </si>
  <si>
    <t>T-CHSILS1-20L-P5-HP</t>
  </si>
  <si>
    <t>Silverado 2500/3500 Mag Offset Dwr</t>
  </si>
  <si>
    <t>T-CHSILMO-20S-P5-PW</t>
  </si>
  <si>
    <t>T-CHSILMO-20S-P5</t>
  </si>
  <si>
    <t>Silverado Pickup Mag 2 Dwr Offset</t>
  </si>
  <si>
    <t>T-CHSILMO-20L-P5-PW</t>
  </si>
  <si>
    <t>T-CHSILMO-20L-P5</t>
  </si>
  <si>
    <t>6' 8" Short Bed, A-Wthr (New), Retrax</t>
  </si>
  <si>
    <t>Silverado 2500/3500 Mag 2 Dwr</t>
  </si>
  <si>
    <t>T-CHSILM2-20S-P5-RX-PW</t>
  </si>
  <si>
    <t>6' 8" Short Bed, Retrax</t>
  </si>
  <si>
    <t>T-CHSILM2-20S-P5-RX</t>
  </si>
  <si>
    <t>6' 8" Short Bed, A-Wthr (New)</t>
  </si>
  <si>
    <t>T-CHSILM2-20S-P5-PW</t>
  </si>
  <si>
    <t>6' 8" Short Bed, A-Wthr, Logo</t>
  </si>
  <si>
    <t>T-CHSILM2-20S-P5-PL-PW</t>
  </si>
  <si>
    <t>6' 8" Short Bed, Logo</t>
  </si>
  <si>
    <t>T-CHSILM2-20S-P5-PL</t>
  </si>
  <si>
    <t>T-CHSILM2-20S-P5-PF-PW</t>
  </si>
  <si>
    <t>6' 8" Short Bed, HD Tray</t>
  </si>
  <si>
    <t>T-CHSILM2-20S-P5-HT</t>
  </si>
  <si>
    <t>T-CHSILM2-20S-P5</t>
  </si>
  <si>
    <t>T-CHSILM2-20L-P5-PW</t>
  </si>
  <si>
    <t>T-CHSILM2-20L-P5</t>
  </si>
  <si>
    <t>T-CHSILM1-20S-P5-HP-PW</t>
  </si>
  <si>
    <t>T-CHSILM1-20S-P5-HP</t>
  </si>
  <si>
    <t>6'6", All Wthr; Drivers Side; Retrax</t>
  </si>
  <si>
    <t>T-CHSILM1-20S-P5-HD-RX-PW</t>
  </si>
  <si>
    <t>6'6", HD, Drivers Side; Retrax</t>
  </si>
  <si>
    <t>T-CHSILM1-20S-P5-HD-RX</t>
  </si>
  <si>
    <t>T-CHSILM1-20S-P5-HD-PW</t>
  </si>
  <si>
    <t>T-CHSILM1-20S-P5-HD</t>
  </si>
  <si>
    <t>T-CHSILM1-20L-P5-HP</t>
  </si>
  <si>
    <t>T-CHSILM1-20L-P5-HD-PW</t>
  </si>
  <si>
    <t>Silverado 2500/3500 Pickup Ext 2 Dwr Offset</t>
  </si>
  <si>
    <t>T-CHSILEO-20S-P5-PW</t>
  </si>
  <si>
    <t>S-CHSILN1-20N-P5</t>
  </si>
  <si>
    <t>Silverado 2 Lid SeatVault</t>
  </si>
  <si>
    <t>S-CHSILL2-20N-P5</t>
  </si>
  <si>
    <t>Silverado HD Pickup SeatVault</t>
  </si>
  <si>
    <t>S-CHSILL1-20N-P5</t>
  </si>
  <si>
    <t>8', Std 2 Dwr</t>
  </si>
  <si>
    <t>C-CHSILS2-20L-P5-VP</t>
  </si>
  <si>
    <t>Professional Line 2, 2500/3500</t>
  </si>
  <si>
    <t>C-CHSILN4-20S-P5-TG-PL2</t>
  </si>
  <si>
    <t>C-CHSILN3-20S-P5-TG-PL6</t>
  </si>
  <si>
    <t>Professional Line 1, 2500/3500</t>
  </si>
  <si>
    <t>C-CHSILN3-20S-P5-TG-PL1</t>
  </si>
  <si>
    <t>Silverado HD Pickup Field Ranger</t>
  </si>
  <si>
    <t>C-CHSILN3-20S-P5-CR-PW</t>
  </si>
  <si>
    <t>C-CHSILN3-20S-P5-CR-HT</t>
  </si>
  <si>
    <t>C-CHSILN3-20S-P5-CR</t>
  </si>
  <si>
    <t>8' Bed, All Weather</t>
  </si>
  <si>
    <t>C-CHSILN3-20L-P5-CR-PW</t>
  </si>
  <si>
    <t>C-CHSILN3-20L-P5-CR</t>
  </si>
  <si>
    <t>C-CHSILN3-07S-P5-TG-PL6</t>
  </si>
  <si>
    <t>C-CHSILN2-20S-P5-TG-PL5</t>
  </si>
  <si>
    <t>C-CHSILN2-20S-P5-TG-PL4</t>
  </si>
  <si>
    <t>C-CHSILN2-20S-P5-TG-PL3</t>
  </si>
  <si>
    <t>C-CHSILM2-20S-P5-VP</t>
  </si>
  <si>
    <t>C-CHSILM2-20L-P5-VP</t>
  </si>
  <si>
    <t>Silverado 2500/3500 Pickup Base Camp 4</t>
  </si>
  <si>
    <t>B-CHSILN4-20S-P5-BC4</t>
  </si>
  <si>
    <t>Silverado 2500/3500 Pickup Base Camp 5</t>
  </si>
  <si>
    <t>B-CHSILN2-20S-P5-BC5</t>
  </si>
  <si>
    <t>B-CHSILN2-20S-P5-BC1</t>
  </si>
  <si>
    <t>Silverado 2500/3500 Pickup Base Camp 2</t>
  </si>
  <si>
    <t>B-CHSILN2-20L-P5-BC2</t>
  </si>
  <si>
    <t>B-CHSILN2-20L-P5-BC1</t>
  </si>
  <si>
    <t>Silverado 2500/3500</t>
  </si>
  <si>
    <t>S-10 Pickup Std OS Dwr</t>
  </si>
  <si>
    <t>T-CHSSESO-97S-PW</t>
  </si>
  <si>
    <t>S-10 Pickup Std 2 Dwr</t>
  </si>
  <si>
    <t>T-CHSSES2-99L-PW</t>
  </si>
  <si>
    <t>T-CHSSES2-99L</t>
  </si>
  <si>
    <t>Short Bed, A-Weather</t>
  </si>
  <si>
    <t>T-CHSSES2-97S-PW</t>
  </si>
  <si>
    <t>Super Crew Cab, A-Wthr</t>
  </si>
  <si>
    <t>T-CHSSES2-97S-PC-PW</t>
  </si>
  <si>
    <t>Short Bed, Super Crew Cab</t>
  </si>
  <si>
    <t>T-CHSSES2-97S-PC</t>
  </si>
  <si>
    <t>T-CHSSES2-97S</t>
  </si>
  <si>
    <t>T-CHSSES2-94S-PW</t>
  </si>
  <si>
    <t>T-CHSSES2-94S</t>
  </si>
  <si>
    <t>T-CHSSES2-82S-PW</t>
  </si>
  <si>
    <t>S-10 Pickup Mag Offset Dwr</t>
  </si>
  <si>
    <t>T-CHSSEMO-97S</t>
  </si>
  <si>
    <t>S-10 Pickup Mag 2 Dwr</t>
  </si>
  <si>
    <t>T-CHSSEM2-99L</t>
  </si>
  <si>
    <t>T-CHSSEM2-97S-PW</t>
  </si>
  <si>
    <t>T-CHSSEM2-97S-PC</t>
  </si>
  <si>
    <t>T-CHSSEM2-97S</t>
  </si>
  <si>
    <t>T-CHSSEM2-82S-PW</t>
  </si>
  <si>
    <t>S-10 Pickup</t>
  </si>
  <si>
    <t>S-10 Blazer Std OS Dwr</t>
  </si>
  <si>
    <t>T-CHSBLSO-01N-D2</t>
  </si>
  <si>
    <t>S-10 Blazer Std L Dwr</t>
  </si>
  <si>
    <t>T-CHSBLSL-95N</t>
  </si>
  <si>
    <t>35"L x 38"W x 14"H</t>
  </si>
  <si>
    <t>S-10 Blazer Std 2 Dwr</t>
  </si>
  <si>
    <t>T-CHSBLS2-95N-D2</t>
  </si>
  <si>
    <t>T-CHSBLS2-95N</t>
  </si>
  <si>
    <t>T-CHSBLS2-01N-D2</t>
  </si>
  <si>
    <t>S-10 Blazer Std 1 Dwr</t>
  </si>
  <si>
    <t>T-CHSBLS1-95N-D2</t>
  </si>
  <si>
    <t>T-CHSBLS1-95N</t>
  </si>
  <si>
    <t>T-CHSBLS1-01N-D2</t>
  </si>
  <si>
    <t>S-10 Blazer Mag OS Dwr</t>
  </si>
  <si>
    <t>T-CHSBLMO-95N</t>
  </si>
  <si>
    <t>S-10 Blazer Mag 2 Dwr</t>
  </si>
  <si>
    <t>T-CHSBLM2-95N-D2</t>
  </si>
  <si>
    <t>T-CHSBLM2-95N</t>
  </si>
  <si>
    <t>T-CHSBLM2-01N-D2</t>
  </si>
  <si>
    <t>S-10 Blazer Mag 1 Dwr</t>
  </si>
  <si>
    <t>T-CHSBLM1-95N</t>
  </si>
  <si>
    <t>T-CHSBLM1-01N-D2</t>
  </si>
  <si>
    <t>S-10 Blazer Chief LX CC</t>
  </si>
  <si>
    <t>C-CHSBLN5-95C</t>
  </si>
  <si>
    <t>S-10 Blazer</t>
  </si>
  <si>
    <t>Monte Carlo</t>
  </si>
  <si>
    <t>N-CHMTCN1-06N</t>
  </si>
  <si>
    <t>Malibu</t>
  </si>
  <si>
    <t>N-CHMALN1-20N-HG</t>
  </si>
  <si>
    <t>Malibu Hybrid</t>
  </si>
  <si>
    <t>N-CHMALN1-16N-PH-HG</t>
  </si>
  <si>
    <t>TrunkVault; Full Size Spare</t>
  </si>
  <si>
    <t>N-CHMALN1-16N-HG-FS</t>
  </si>
  <si>
    <t>TrunkVault; Donut Spare</t>
  </si>
  <si>
    <t>N-CHMALN1-16N-HG-DN</t>
  </si>
  <si>
    <t>N-CHMALN1-13N-HG</t>
  </si>
  <si>
    <t>N-CHMALN1-08N-HG</t>
  </si>
  <si>
    <t>N-CHMALN1-08N</t>
  </si>
  <si>
    <t>N-CHMALN1-04N</t>
  </si>
  <si>
    <t>Lumina Patrolman</t>
  </si>
  <si>
    <t>N-CHLUMN1-95N</t>
  </si>
  <si>
    <t>Lumina</t>
  </si>
  <si>
    <t>Impala Radio Patrolman</t>
  </si>
  <si>
    <t>N-CHIMPN2-06N</t>
  </si>
  <si>
    <t>TrunkVault ECOTEC W/Trunk Bat.</t>
  </si>
  <si>
    <t>Impala Hybrid Patrolman</t>
  </si>
  <si>
    <t>N-CHIMPN1-14N-PH-HG</t>
  </si>
  <si>
    <t>Elevated Trunkvault - No trunk Battery</t>
  </si>
  <si>
    <t>Impala Civilian</t>
  </si>
  <si>
    <t>N-CHIMPN1-14N-HG</t>
  </si>
  <si>
    <t>Floor Mounted Trunkvault</t>
  </si>
  <si>
    <t>Impala Patrolman</t>
  </si>
  <si>
    <t>N-CHIMPN1-14N</t>
  </si>
  <si>
    <t>N-CHIMPN1-06N-HG</t>
  </si>
  <si>
    <t>N-CHIMPN1-06N</t>
  </si>
  <si>
    <t>Impala</t>
  </si>
  <si>
    <t>HHR Std 2 Dwr</t>
  </si>
  <si>
    <t>T-CHHHRS2-06N</t>
  </si>
  <si>
    <t>HHR Std 1 Dwr</t>
  </si>
  <si>
    <t>T-CHHHRS1-06N</t>
  </si>
  <si>
    <t>HHR Mag 2 Dwr</t>
  </si>
  <si>
    <t>T-CHHHRM2-06N</t>
  </si>
  <si>
    <t>HHR Mag 1 Dwr</t>
  </si>
  <si>
    <t>T-CHHHRM1-06N</t>
  </si>
  <si>
    <t>HHR</t>
  </si>
  <si>
    <t>Full Size Van Std Offset</t>
  </si>
  <si>
    <t>T-CHEXPSO-98L</t>
  </si>
  <si>
    <t>T-CHEXPS2-98L</t>
  </si>
  <si>
    <t>T-CHEXPS2-16M</t>
  </si>
  <si>
    <t>T-CHEXPS1-16M</t>
  </si>
  <si>
    <t>Long Bed, Table Ext</t>
  </si>
  <si>
    <t>T-CHEXPMO-98L-PT</t>
  </si>
  <si>
    <t>T-CHEXPM2-98L-PT</t>
  </si>
  <si>
    <t>T-CHEXPM2-98L</t>
  </si>
  <si>
    <t>C-CHEXPN4-03N-VP</t>
  </si>
  <si>
    <t>C-CHEXPN4-03N-PT-VP</t>
  </si>
  <si>
    <t>Full Size Surveyor, Tbl Ext</t>
  </si>
  <si>
    <t>C-CHEXPM2-03N-PT-VP</t>
  </si>
  <si>
    <t>Blazer Full Size Std 2 Dwr</t>
  </si>
  <si>
    <t>T-CHBLAS2-92N</t>
  </si>
  <si>
    <t>T-CHBLAS2-90N</t>
  </si>
  <si>
    <t>T-CHBLAS2-73N-PW</t>
  </si>
  <si>
    <t>T-CHBLAS2-73N</t>
  </si>
  <si>
    <t>Blazer Full Size Std 1 Dwr</t>
  </si>
  <si>
    <t>T-CHBLAS1-92N</t>
  </si>
  <si>
    <t>T-CHBLAS1-90N</t>
  </si>
  <si>
    <t>Blazer Full Size Mag Offset</t>
  </si>
  <si>
    <t>T-CHBLAMO-92N-PT</t>
  </si>
  <si>
    <t>T-CHBLAMO-92N</t>
  </si>
  <si>
    <t>Heavy Duty Table, Spare Removed</t>
  </si>
  <si>
    <t>Blazer Full Size Mag 2 Dwr</t>
  </si>
  <si>
    <t>T-CHBLAM2-92N-HT</t>
  </si>
  <si>
    <t>T-CHBLAM2-92N</t>
  </si>
  <si>
    <t>T-CHBLAM2-73N</t>
  </si>
  <si>
    <t>Blazer Full Size Field Ranger</t>
  </si>
  <si>
    <t>C-CHBLAN3-95R</t>
  </si>
  <si>
    <t>Blazer Full Size Special Ops Ctr</t>
  </si>
  <si>
    <t>C-CHBLAN3-19D</t>
  </si>
  <si>
    <t>Full Size Blazer</t>
  </si>
  <si>
    <t>S-Size, Behind 3rd Row Seating</t>
  </si>
  <si>
    <t>Express Van Mag 1 Dwr</t>
  </si>
  <si>
    <t>T-CHEXPMO-16S</t>
  </si>
  <si>
    <t>T-CHEXPM1-16S</t>
  </si>
  <si>
    <t>HD Table Extension 3rd seat removed</t>
  </si>
  <si>
    <t>Express Van Tac Ctr</t>
  </si>
  <si>
    <t>C-CHEXPN6-16T-HT</t>
  </si>
  <si>
    <t>Full Size Van Captain LX CC</t>
  </si>
  <si>
    <t>C-CHEXPN5-03P-HT</t>
  </si>
  <si>
    <t>Express Van</t>
  </si>
  <si>
    <t>Equinox Utility 1 Dwr</t>
  </si>
  <si>
    <t>T-CHEQXU1-18N</t>
  </si>
  <si>
    <t>Equinox Utl Offset Dwr</t>
  </si>
  <si>
    <t>T-CHEQXUO-18N</t>
  </si>
  <si>
    <t>Equinox Utility Offset Dwr</t>
  </si>
  <si>
    <t>T-CHEQXUO-05N-HT</t>
  </si>
  <si>
    <t>Equinox Utility 2 Dwr</t>
  </si>
  <si>
    <t>T-CHEQXU2-18N-HG</t>
  </si>
  <si>
    <t>T-CHEQXU1-18N-HT</t>
  </si>
  <si>
    <t>T-CHEQXU1-18N-HG</t>
  </si>
  <si>
    <t>Equinox Utl 1 Dwr</t>
  </si>
  <si>
    <t>T-CHEQXU1-10N</t>
  </si>
  <si>
    <t>Equinox Std Offset Dwr</t>
  </si>
  <si>
    <t>T-CHEQXSO-18N</t>
  </si>
  <si>
    <t>T-CHEQXSO-10N</t>
  </si>
  <si>
    <t>Equinox Std OS Dwr</t>
  </si>
  <si>
    <t>T-CHEQXSO-05N</t>
  </si>
  <si>
    <t>Equinox Std 2 Dwr</t>
  </si>
  <si>
    <t>T-CHEQXS2-18N-HG</t>
  </si>
  <si>
    <t>T-CHEQXS2-18N</t>
  </si>
  <si>
    <t>T-CHEQXS2-10N-HT</t>
  </si>
  <si>
    <t>T-CHEQXS2-10N</t>
  </si>
  <si>
    <t>T-CHEQXS2-05N</t>
  </si>
  <si>
    <t>Equinox Std 1 Dwr</t>
  </si>
  <si>
    <t>T-CHEQXS1-18N-HG</t>
  </si>
  <si>
    <t>T-CHEQXS1-18N</t>
  </si>
  <si>
    <t>T-CHEQXS1-10N-PT</t>
  </si>
  <si>
    <t>T-CHEQXS1-10N-HT</t>
  </si>
  <si>
    <t>C4852</t>
  </si>
  <si>
    <t>Equinox 1 Dwr Hanging Design</t>
  </si>
  <si>
    <t>T-CHEQXS1-10N-HG</t>
  </si>
  <si>
    <t>T-CHEQXS1-10N</t>
  </si>
  <si>
    <t>T-CHEQXS1-05N</t>
  </si>
  <si>
    <t>T-CHEQXN1-10N-HG</t>
  </si>
  <si>
    <t>Equinox Mag 2 DwrOffset</t>
  </si>
  <si>
    <t>T-CHEQXMO-10N-HG</t>
  </si>
  <si>
    <t>Equinox Mag Offset Dwr</t>
  </si>
  <si>
    <t>T-CHEQXMO-10N</t>
  </si>
  <si>
    <t>Equinox Mag OS Dwr</t>
  </si>
  <si>
    <t>T-CHEQXMO-05N</t>
  </si>
  <si>
    <t>Equinox Mag 2 Dwr</t>
  </si>
  <si>
    <t>T-CHEQXM2-18N-HG</t>
  </si>
  <si>
    <t>T-CHEQXM2-18N</t>
  </si>
  <si>
    <t>T-CHEQXM2-10N-PT</t>
  </si>
  <si>
    <t>T-CHEQXM2-10N</t>
  </si>
  <si>
    <t>Equinox Mag 1 Dwr</t>
  </si>
  <si>
    <t>T-CHEQXM1-18N-HT</t>
  </si>
  <si>
    <t>T-CHEQXM1-18N-HG</t>
  </si>
  <si>
    <t>T-CHEQXM1-18N</t>
  </si>
  <si>
    <t>T-CHEQXM1-10N-PP</t>
  </si>
  <si>
    <t>T-CHEQXM1-10N-HT</t>
  </si>
  <si>
    <t>T-CHEQXM1-10N-HG</t>
  </si>
  <si>
    <t>T-CHEQXM1-10N</t>
  </si>
  <si>
    <t>T-CHEQXM1-05N</t>
  </si>
  <si>
    <t>Equinox Emergency Response 3</t>
  </si>
  <si>
    <t>F-CHEQXN3-18N-C1-ER3</t>
  </si>
  <si>
    <t>Equinox Field Ranger</t>
  </si>
  <si>
    <t>C-CHEQXN3-18R-HT</t>
  </si>
  <si>
    <t>Equinox Investigator</t>
  </si>
  <si>
    <t>C-CHEQXN3-18I-PT</t>
  </si>
  <si>
    <t>C-CHEQXN3-18I-HT</t>
  </si>
  <si>
    <t>C-CHEQXN3-10R</t>
  </si>
  <si>
    <t>C-CHEQXN3-10I-PT</t>
  </si>
  <si>
    <t>C-CHEQXN3-10I</t>
  </si>
  <si>
    <t>Equinox Special Ops HD Table</t>
  </si>
  <si>
    <t>C-CHEQXN3-10D-HT</t>
  </si>
  <si>
    <t>C-CHEQXN3-05I-PT</t>
  </si>
  <si>
    <t>C-CHEQXN3-05I</t>
  </si>
  <si>
    <t>C-CHEQXN2-18I</t>
  </si>
  <si>
    <t>Equinox Investigator 2 Dwr HD Table</t>
  </si>
  <si>
    <t>C-CHEQXN2-10I-HT</t>
  </si>
  <si>
    <t>C-CHEQXN2-10I</t>
  </si>
  <si>
    <t>C-CHEQXN2-10D-HT</t>
  </si>
  <si>
    <t>Equinox</t>
  </si>
  <si>
    <t>Silverado K10  Pickup Utility 2 Dwr</t>
  </si>
  <si>
    <t>T-CHCSEU2-73S-PW</t>
  </si>
  <si>
    <t>C-Series Pickup</t>
  </si>
  <si>
    <t>TrunkVault Hanging Design</t>
  </si>
  <si>
    <t>Cruze Patrolman</t>
  </si>
  <si>
    <t>N-CHCRZN1-15N-HG</t>
  </si>
  <si>
    <t>N-CHCRZN1-15N</t>
  </si>
  <si>
    <t>N-CHCRZN1-08N-HG</t>
  </si>
  <si>
    <t>N-CHCRZN1-08N</t>
  </si>
  <si>
    <t>Cruze</t>
  </si>
  <si>
    <t>5' Bed</t>
  </si>
  <si>
    <t>Colorado Pickup Utility 2 Dwr</t>
  </si>
  <si>
    <t>T-CHCOLU2-23S-PC</t>
  </si>
  <si>
    <t>5' Bed, All Weather</t>
  </si>
  <si>
    <t>Colorado Pickup Standard 2 Dwr</t>
  </si>
  <si>
    <t>T-CHCOLS2-23S-PC-PW</t>
  </si>
  <si>
    <t>5' Bed, Pass Half Width , A-Wthr</t>
  </si>
  <si>
    <t>Colorado Pickup Std 1 Dwr</t>
  </si>
  <si>
    <t>T-CHCOLS1-23S-PC-HP-PW</t>
  </si>
  <si>
    <t>T-CHCOLS2-23S-PC</t>
  </si>
  <si>
    <t>Colorado Pickup Utility OS Dwr</t>
  </si>
  <si>
    <t>T-CHCOLUO-15S-PW</t>
  </si>
  <si>
    <t>Colorado Pickup Utility Offset Dwr</t>
  </si>
  <si>
    <t>T-CHCOLUO-15S-PC-PW</t>
  </si>
  <si>
    <t>Short Bed, Logo, Crew Cab</t>
  </si>
  <si>
    <t>T-CHCOLUO-15S-PC-PL-PW</t>
  </si>
  <si>
    <t>T-CHCOLUO-15S-PC</t>
  </si>
  <si>
    <t>Colorado Pickup Utility 2 Dwr Offset</t>
  </si>
  <si>
    <t>T-CHCOLUO-15S</t>
  </si>
  <si>
    <t>T-CHCOLU2-15S-PW</t>
  </si>
  <si>
    <t>T-CHCOLU2-15S-PC-PW</t>
  </si>
  <si>
    <t>T-CHCOLU2-15S-PC-PL-PW</t>
  </si>
  <si>
    <t>T-CHCOLU2-15S-PC-PL</t>
  </si>
  <si>
    <t>T-CHCOLU2-15S-PC</t>
  </si>
  <si>
    <t>T-CHCOLU2-15S</t>
  </si>
  <si>
    <t>T-CHCOLU2-04S-PW</t>
  </si>
  <si>
    <t>T-CHCOLU2-04S-PC-PW</t>
  </si>
  <si>
    <t>T-CHCOLU2-04S-PC</t>
  </si>
  <si>
    <t>Colorado Pickup Utility 1 Dwr</t>
  </si>
  <si>
    <t>T-CHCOLU1-15S-PC-PL-HP-PW</t>
  </si>
  <si>
    <t>T-CHCOLU1-15S-PC-PL-HD</t>
  </si>
  <si>
    <t>T-CHCOLU1-15S-HP-PW</t>
  </si>
  <si>
    <t>Short Bed,  A-Wthr</t>
  </si>
  <si>
    <t>Colorado Pickup Std OS Dwr</t>
  </si>
  <si>
    <t>T-CHCOLSO-15S-PW</t>
  </si>
  <si>
    <t>Spray Logo</t>
  </si>
  <si>
    <t>Colorado Pickup Std Offset Dwr</t>
  </si>
  <si>
    <t>T-CHCOLSO-15S-PL</t>
  </si>
  <si>
    <t>T-CHCOLSO-15S-PC-PW</t>
  </si>
  <si>
    <t>T-CHCOLSO-15S-PC-PL-PW</t>
  </si>
  <si>
    <t>Crew Cab, Spray,  Logo,</t>
  </si>
  <si>
    <t>Colorado Pickup Std O/S Dwr</t>
  </si>
  <si>
    <t>T-CHCOLSO-15S-PC-PL</t>
  </si>
  <si>
    <t>T-CHCOLSO-15S-PC</t>
  </si>
  <si>
    <t>T-CHCOLSO-15S</t>
  </si>
  <si>
    <t>Colorado Pickup Std Offset</t>
  </si>
  <si>
    <t>T-CHCOLSO-04S-PW</t>
  </si>
  <si>
    <t>T-CHCOLSO-04S-PC-PW</t>
  </si>
  <si>
    <t>Short Bed, Crew Cab; BedSlide</t>
  </si>
  <si>
    <t>T-CHCOLSO-04S-PC-BS</t>
  </si>
  <si>
    <t>T-CHCOLSO-04S-PC</t>
  </si>
  <si>
    <t>BedSlide</t>
  </si>
  <si>
    <t>T-CHCOLSO-04S-BS</t>
  </si>
  <si>
    <t>T-CHCOLSO-04S</t>
  </si>
  <si>
    <t>Colorado Pickup Std 2 Dwr</t>
  </si>
  <si>
    <t>T-CHCOLS2-15S-PW</t>
  </si>
  <si>
    <t>Short Bed, Crew Cab, Logo, A-Wthr</t>
  </si>
  <si>
    <t>T-CHCOLS2-15S-PL-PW</t>
  </si>
  <si>
    <t>Logo</t>
  </si>
  <si>
    <t>T-CHCOLS2-15S-PL</t>
  </si>
  <si>
    <t>T-CHCOLS2-15S-PC-PW</t>
  </si>
  <si>
    <t>T-CHCOLS2-15S-PC-PL-PW</t>
  </si>
  <si>
    <t>T-CHCOLS2-15S-PC-PL</t>
  </si>
  <si>
    <t>T-CHCOLS2-15S-PC</t>
  </si>
  <si>
    <t>T-CHCOLS2-15S-HT</t>
  </si>
  <si>
    <t>T-CHCOLS2-15S</t>
  </si>
  <si>
    <t>T-CHCOLS2-04S-PW</t>
  </si>
  <si>
    <t>T-CHCOLS2-04S-PC-PW</t>
  </si>
  <si>
    <t>T-CHCOLS2-04S-PC</t>
  </si>
  <si>
    <t>T-CHCOLS2-04S</t>
  </si>
  <si>
    <t>6'  Driver Side, All Wthr, Logo</t>
  </si>
  <si>
    <t>Colorado Std 1 Dwr Half Width</t>
  </si>
  <si>
    <t>T-CHCOLS1-15S-PL-HD-PW</t>
  </si>
  <si>
    <t>T-CHCOLS1-15S-PC-PL-HP-PW</t>
  </si>
  <si>
    <t>5' Short Bed; Logo Passenger Side</t>
  </si>
  <si>
    <t>T-CHCOLS1-15S-PC-PL-HP</t>
  </si>
  <si>
    <t>T-CHCOLS1-15S-PC-PL-HD</t>
  </si>
  <si>
    <t>6'  Bed,Passenger Side, All Wthr</t>
  </si>
  <si>
    <t>T-CHCOLS1-15S-HP-PW</t>
  </si>
  <si>
    <t>6'  Bed,Passenger Side</t>
  </si>
  <si>
    <t>T-CHCOLS1-15S-HP</t>
  </si>
  <si>
    <t>T-CHCOLS1-04S-PC-HD</t>
  </si>
  <si>
    <t>Colorado Pickup Mag OS Dwr</t>
  </si>
  <si>
    <t>T-CHCOLMO-15S-PW</t>
  </si>
  <si>
    <t>Colorado Pickup Mag Offset Dwr</t>
  </si>
  <si>
    <t>T-CHCOLMO-15S-PC-PW</t>
  </si>
  <si>
    <t>T-CHCOLMO-15S-PC</t>
  </si>
  <si>
    <t>T-CHCOLMO-15S</t>
  </si>
  <si>
    <t>Colorado Pickup Mag Offset</t>
  </si>
  <si>
    <t>T-CHCOLMO-04S-PW</t>
  </si>
  <si>
    <t>T-CHCOLMO-04S-PC-PW</t>
  </si>
  <si>
    <t>T-CHCOLMO-04S-PC</t>
  </si>
  <si>
    <t>T-CHCOLMO-04S</t>
  </si>
  <si>
    <t>Colorado Pickup Mag 2 Dwr</t>
  </si>
  <si>
    <t>T-CHCOLM2-23S-PC-PW</t>
  </si>
  <si>
    <t>Colorado Pickup Magnum 2 Dwr</t>
  </si>
  <si>
    <t>T-CHCOLM2-23S-PC</t>
  </si>
  <si>
    <t>T-CHCOLM2-15S-PW</t>
  </si>
  <si>
    <t>T-CHCOLM2-15S-PC-PW</t>
  </si>
  <si>
    <t>Crew Cab, Spray Liner, Logo</t>
  </si>
  <si>
    <t>T-CHCOLM2-15S-PC-PL</t>
  </si>
  <si>
    <t>Short Bed, Crew Cab, HD Table</t>
  </si>
  <si>
    <t>T-CHCOLM2-15S-PC-HT</t>
  </si>
  <si>
    <t>T-CHCOLM2-15S-PC</t>
  </si>
  <si>
    <t>T-CHCOLM2-15S</t>
  </si>
  <si>
    <t>T-CHCOLM2-04S-PW</t>
  </si>
  <si>
    <t>T-CHCOLM2-04S-PC-PW</t>
  </si>
  <si>
    <t>T-CHCOLM2-04S-PC</t>
  </si>
  <si>
    <t>T-CHCOLM2-04S</t>
  </si>
  <si>
    <t>5' bed, A-Wthr, DriverSide</t>
  </si>
  <si>
    <t>Colorado Pickup Mag 1 Dwr</t>
  </si>
  <si>
    <t>T-CHCOLM1-23S-PC-HD-PW</t>
  </si>
  <si>
    <t>T-CHCOLM1-15S-PC-HP-PW</t>
  </si>
  <si>
    <t>Colorado Mag 1 Dwr Half Width</t>
  </si>
  <si>
    <t>T-CHCOLM1-15S-PC-HP</t>
  </si>
  <si>
    <t>T-CHCOLM1-15S-PC-HD-PW</t>
  </si>
  <si>
    <t>5'  Bed,Drivers  Side</t>
  </si>
  <si>
    <t>T-CHCOLM1-15S-PC-HD</t>
  </si>
  <si>
    <t>T-CHCOLM1-15S-HP-PW</t>
  </si>
  <si>
    <t>T-CHCOLM1-15S-HP</t>
  </si>
  <si>
    <t>T-CHCOLM1-04S-PC-HP</t>
  </si>
  <si>
    <t>T-CHCOLM1-04S-HP</t>
  </si>
  <si>
    <t>Colorado Pickup SeatVault</t>
  </si>
  <si>
    <t>S-CHCOLL1-04N-EC</t>
  </si>
  <si>
    <t>5' Bed; Crew Cab; A/W</t>
  </si>
  <si>
    <t>Colorado Pickup Field Ranger</t>
  </si>
  <si>
    <t>C-CHCOLN3-15S-PC-CR-PW</t>
  </si>
  <si>
    <t>C-CHCOLN3-15S-CR</t>
  </si>
  <si>
    <t>6' Bed, 2 Dwr Offset</t>
  </si>
  <si>
    <t>Colorado Pickup Surveyor</t>
  </si>
  <si>
    <t>C-CHCOLMO-15S-VP</t>
  </si>
  <si>
    <t>Colorado Pickup Base Camp 4</t>
  </si>
  <si>
    <t>B-NSFRTN4-05S-PC-BC4</t>
  </si>
  <si>
    <t>B-NSFRTN4-05S-BC4</t>
  </si>
  <si>
    <t>Colorado Base Camp 3</t>
  </si>
  <si>
    <t>B-CHCOLN3-15S-PC-BC3</t>
  </si>
  <si>
    <t>B-CHCOLN3-15S-BC3</t>
  </si>
  <si>
    <t>Colorado Pickup Base Camp 5</t>
  </si>
  <si>
    <t>B-CHCOLN2-23S-PC-BC5</t>
  </si>
  <si>
    <t>B-CHCOLN2-15S-PC-BC4</t>
  </si>
  <si>
    <t>Colorado Pickup Base Camp 2</t>
  </si>
  <si>
    <t>B-CHCOLN2-15S-PC-BC2</t>
  </si>
  <si>
    <t>Colorado Pickup Base Camp 1</t>
  </si>
  <si>
    <t>B-CHCOLN2-15S-PC-BC1</t>
  </si>
  <si>
    <t>6" Short Bed</t>
  </si>
  <si>
    <t>B-CHCOLN2-15S-BC1</t>
  </si>
  <si>
    <t>Colorado Base Camp 1</t>
  </si>
  <si>
    <t>B-CHCOLN1-15S-PC-HP-BC1</t>
  </si>
  <si>
    <t>Colorado Pickup</t>
  </si>
  <si>
    <t>Chevrolet Cobalt</t>
  </si>
  <si>
    <t>N-CHCOBN1-05N</t>
  </si>
  <si>
    <t>Cobalt</t>
  </si>
  <si>
    <t>City Express Van Mag 2 dwr offset</t>
  </si>
  <si>
    <t>T-CHCEXMO-15N</t>
  </si>
  <si>
    <t>City Express Van Chief LX CC</t>
  </si>
  <si>
    <t>C-CHCEXN6-15C</t>
  </si>
  <si>
    <t>City Express Van</t>
  </si>
  <si>
    <t>Captiva Std 1 Dwr</t>
  </si>
  <si>
    <t>T-CHCAPS1-11N</t>
  </si>
  <si>
    <t>Captiva</t>
  </si>
  <si>
    <t>Caprice Radio Patrolman</t>
  </si>
  <si>
    <t>N-CHCAPN2-11N</t>
  </si>
  <si>
    <t>Caprice Patrolman</t>
  </si>
  <si>
    <t>N-CHCAPN1-11N-HG</t>
  </si>
  <si>
    <t>N-CHCAPN1-11N</t>
  </si>
  <si>
    <t>Caprice</t>
  </si>
  <si>
    <t>Camaro Patrolman</t>
  </si>
  <si>
    <t>N-CHCAMN1-10N</t>
  </si>
  <si>
    <t>Camaro</t>
  </si>
  <si>
    <t>Bolt EV Std 1 Dwr</t>
  </si>
  <si>
    <t>T-CHBOLS1-17N</t>
  </si>
  <si>
    <t>Bolt EV Mag 1 Dwr</t>
  </si>
  <si>
    <t>T-CHBOLM1-17N</t>
  </si>
  <si>
    <t>T-CHBOLL1-17N</t>
  </si>
  <si>
    <t>Bolt EV</t>
  </si>
  <si>
    <t>Blazer EV Utl 1 Dwr</t>
  </si>
  <si>
    <t>T-CHBEVU1-24N</t>
  </si>
  <si>
    <t>Blazer EV Std 1 Dwr</t>
  </si>
  <si>
    <t>T-CHBEVS1-24N</t>
  </si>
  <si>
    <t>Blazer EV Mag 1 Dwr</t>
  </si>
  <si>
    <t>T-CHBEVM1-24N-RD</t>
  </si>
  <si>
    <t>T-CHBEVM1-24N</t>
  </si>
  <si>
    <t>Blazer EV</t>
  </si>
  <si>
    <t>Blazer Utl 2 Dwr</t>
  </si>
  <si>
    <t>T-CHBLAUO-19N</t>
  </si>
  <si>
    <t>T-CHBLAU2-19N</t>
  </si>
  <si>
    <t>Blazer Utility 1 Dwr</t>
  </si>
  <si>
    <t>T-CHBLAU1-19N-HG</t>
  </si>
  <si>
    <t>Blazer Utl 1 Dwr</t>
  </si>
  <si>
    <t>T-CHBLAU1-19N</t>
  </si>
  <si>
    <t>Blazer Std 2 Dwr</t>
  </si>
  <si>
    <t>T-CHBLASO-19N</t>
  </si>
  <si>
    <t>T-CHBLAS2-19N</t>
  </si>
  <si>
    <t>Blazer Standard 1 Dwr</t>
  </si>
  <si>
    <t>T-CHBLAS1-19N-HG</t>
  </si>
  <si>
    <t>Blazer Std 1 Dwr</t>
  </si>
  <si>
    <t>T-CHBLAS1-19N</t>
  </si>
  <si>
    <t>Blazer Full Size Mag OS Dwr</t>
  </si>
  <si>
    <t>T-CHBLAMO-19N</t>
  </si>
  <si>
    <t>T-CHBLAM2-19N</t>
  </si>
  <si>
    <t>Blazer Mag 1 Dwr</t>
  </si>
  <si>
    <t>T-CHBLAM1-19N-HT</t>
  </si>
  <si>
    <t>Blazer Magnum 1 Dwr</t>
  </si>
  <si>
    <t>T-CHBLAM1-19N-HG</t>
  </si>
  <si>
    <t>T-CHBLAM1-19N</t>
  </si>
  <si>
    <t>Blazer Investigator</t>
  </si>
  <si>
    <t>C-CHBLAN3-19I</t>
  </si>
  <si>
    <t>C-CHBLAN2-19I-PT</t>
  </si>
  <si>
    <t>C-CHBLAN2-19I</t>
  </si>
  <si>
    <t>Blazer</t>
  </si>
  <si>
    <t>Avalanche SUT Std OS Dwr</t>
  </si>
  <si>
    <t>T-CHAVLSO-02S-PW</t>
  </si>
  <si>
    <t>Avalanche SUT Std Offset Dwr</t>
  </si>
  <si>
    <t>T-CHAVLSO-02S</t>
  </si>
  <si>
    <t>Avalanche SUT Std 2 Dwr</t>
  </si>
  <si>
    <t>T-CHAVLS2-02S-PW</t>
  </si>
  <si>
    <t>T-CHAVLS2-02S</t>
  </si>
  <si>
    <t>Avalanche SUT Std 1 Dwr</t>
  </si>
  <si>
    <t>T-CHAVLS1-02S-HP</t>
  </si>
  <si>
    <t>Avalanche SUT Mag Offset Dwr</t>
  </si>
  <si>
    <t>T-CHAVLMO-02S-PW</t>
  </si>
  <si>
    <t>Avalanche SUT Mag OS Dwr</t>
  </si>
  <si>
    <t>T-CHAVLMO-02S</t>
  </si>
  <si>
    <t>Avalanche SUT Mag 2 Dwr</t>
  </si>
  <si>
    <t>T-CHAVLM2-02S-PW</t>
  </si>
  <si>
    <t>Short Bed, Table Extension</t>
  </si>
  <si>
    <t>T-CHAVLM2-02S-PT</t>
  </si>
  <si>
    <t>T-CHAVLM2-02S</t>
  </si>
  <si>
    <t>SB, All Wthr; Drivers Side</t>
  </si>
  <si>
    <t>Avalanche Mag 1 Dwr Half Width</t>
  </si>
  <si>
    <t>T-CHAVLM1-02S-HD-PW</t>
  </si>
  <si>
    <t>Short Bed, Drivers Side</t>
  </si>
  <si>
    <t>Avalanche SUT Mag 1 Dwr</t>
  </si>
  <si>
    <t>T-CHAVLM1-02S-HD</t>
  </si>
  <si>
    <t>Avalanche Chief LX CC</t>
  </si>
  <si>
    <t>C-CHAVLN6-02C</t>
  </si>
  <si>
    <t>C-CHAVLN5-02C</t>
  </si>
  <si>
    <t>Avalanche SUT Field Ranger</t>
  </si>
  <si>
    <t>C-CHAVLN3-02R</t>
  </si>
  <si>
    <t>Avalanche SUT Pickup</t>
  </si>
  <si>
    <t>All Wthr; Pass Side</t>
  </si>
  <si>
    <t>T-CHAVLU1-02S-HP-PW</t>
  </si>
  <si>
    <t>Avalanche SUT</t>
  </si>
  <si>
    <t>Astro Van Std OS Dwr</t>
  </si>
  <si>
    <t>T-CHASTSO-95L</t>
  </si>
  <si>
    <t>Astro Van Std 2 Dwr</t>
  </si>
  <si>
    <t>T-CHASTS2-95L</t>
  </si>
  <si>
    <t>Astro Van Std 1 Dwr</t>
  </si>
  <si>
    <t>T-CHASTS1-95L</t>
  </si>
  <si>
    <t>Astro Van Mag OS Dwr</t>
  </si>
  <si>
    <t>T-CHASTMO-95L</t>
  </si>
  <si>
    <t>Astro Van Mag 2 Dwr</t>
  </si>
  <si>
    <t>T-CHASTM2-95L</t>
  </si>
  <si>
    <t>Astro Van Mag 1 Dwr</t>
  </si>
  <si>
    <t>T-CHASTM1-95L</t>
  </si>
  <si>
    <t>Astro Van Investigator</t>
  </si>
  <si>
    <t>C-CHASTN3-95I</t>
  </si>
  <si>
    <t>Astro Van</t>
  </si>
  <si>
    <t>XT4 Magnum 1 Dwr</t>
  </si>
  <si>
    <t>T-CAXT4M1-18N</t>
  </si>
  <si>
    <t>XT4</t>
  </si>
  <si>
    <t>XT6 Magnum 1 Dwr</t>
  </si>
  <si>
    <t>T-CAXT6M1-20N</t>
  </si>
  <si>
    <t>XT6</t>
  </si>
  <si>
    <t>XT5 Std 2 Dwr</t>
  </si>
  <si>
    <t>T-CAXT5S2-17N</t>
  </si>
  <si>
    <t>XT5 Std 1 Dwr</t>
  </si>
  <si>
    <t>T-CAXT5S1-17N</t>
  </si>
  <si>
    <t>XT5 Mag 1 Dwr</t>
  </si>
  <si>
    <t>T-CAXT5M1-17N</t>
  </si>
  <si>
    <t>XT5  Investigator</t>
  </si>
  <si>
    <t>C-CAXT5N3-17I-PT</t>
  </si>
  <si>
    <t>XT5 Investigator</t>
  </si>
  <si>
    <t>C-CAXT5N2-17I</t>
  </si>
  <si>
    <t>XT5</t>
  </si>
  <si>
    <t>SRX Std 2 Dwr</t>
  </si>
  <si>
    <t>T-CASRXS2-10N</t>
  </si>
  <si>
    <t>T-CASRXS2-04N</t>
  </si>
  <si>
    <t>SRX Std 1 Dwr</t>
  </si>
  <si>
    <t>T-CASRXS1-10N</t>
  </si>
  <si>
    <t>T-CASRXS1-04N</t>
  </si>
  <si>
    <t>SRX Mag 2 Dwr</t>
  </si>
  <si>
    <t>T-CASRXM2-10N</t>
  </si>
  <si>
    <t>T-CASRXM2-04N</t>
  </si>
  <si>
    <t>SRX Mag 1 Dwr</t>
  </si>
  <si>
    <t>T-CASRXM1-10N</t>
  </si>
  <si>
    <t>T-CASRXM1-04N</t>
  </si>
  <si>
    <t>SRX</t>
  </si>
  <si>
    <t>Escalade EXT Std OS Dwr</t>
  </si>
  <si>
    <t>T-CAEXTSO-02S-PW</t>
  </si>
  <si>
    <t>Escalade EXT Std 2 Dwr</t>
  </si>
  <si>
    <t>T-CAEXTS2-02S-PW</t>
  </si>
  <si>
    <t>T-CAEXTS2-02S</t>
  </si>
  <si>
    <t>Escalade EXT Mag OS Dwr</t>
  </si>
  <si>
    <t>T-CAEXTMO-02S</t>
  </si>
  <si>
    <t>Escalade EXT Mag 2 Dwr</t>
  </si>
  <si>
    <t>T-CAEXTM2-02S-PW</t>
  </si>
  <si>
    <t>T-CAEXTM2-02S</t>
  </si>
  <si>
    <t>Escalade EXT Pickup</t>
  </si>
  <si>
    <t>T-CAEXTSO-02S</t>
  </si>
  <si>
    <t>Escalade EXT</t>
  </si>
  <si>
    <t>Escalade ESV Utility OS Dwr</t>
  </si>
  <si>
    <t>T-CAESVUO-07F</t>
  </si>
  <si>
    <t>F-Size, 3rd Removed, Table Extension</t>
  </si>
  <si>
    <t>Escalade ESV Utility 2 Dwr</t>
  </si>
  <si>
    <t>T-CAESVU2-21F-TR-PT</t>
  </si>
  <si>
    <t>T-CAESVU2-21F-TF</t>
  </si>
  <si>
    <t>T-CAESVU2-07F</t>
  </si>
  <si>
    <t>Escalade ESV Utility 1 Dwr</t>
  </si>
  <si>
    <t>T-CAESVU1-21S</t>
  </si>
  <si>
    <t>T-CAESVU1-15S</t>
  </si>
  <si>
    <t>F-Size, Third Folded</t>
  </si>
  <si>
    <t>Escalade ESV Std OS Dwr</t>
  </si>
  <si>
    <t>T-CAESVSO-21F-TF</t>
  </si>
  <si>
    <t>S-Size, Can't Remove 3rd Row, Top Tray</t>
  </si>
  <si>
    <t>T-CAESVSO-15S-TT</t>
  </si>
  <si>
    <t>S-Size, 3rd Upright</t>
  </si>
  <si>
    <t>T-CAESVSO-15S</t>
  </si>
  <si>
    <t>T-CAESVSO-15F</t>
  </si>
  <si>
    <t>T-CAESVSO-12S</t>
  </si>
  <si>
    <t>T-CAESVSO-12M</t>
  </si>
  <si>
    <t>T-CAESVSO-12F</t>
  </si>
  <si>
    <t>T-CAESVSO-07S</t>
  </si>
  <si>
    <t>T-CAESVSO-07M-PT</t>
  </si>
  <si>
    <t>T-CAESVSO-07M</t>
  </si>
  <si>
    <t>T-CAESVSO-07F</t>
  </si>
  <si>
    <t>T-CAESVSO-03S</t>
  </si>
  <si>
    <t>T-CAESVSO-03M-LN</t>
  </si>
  <si>
    <t>T-CAESVSO-03M</t>
  </si>
  <si>
    <t>T-CAESVSO-03F-LN</t>
  </si>
  <si>
    <t>T-CAESVSO-03F</t>
  </si>
  <si>
    <t>Escalade ESV Std 2 Dwr</t>
  </si>
  <si>
    <t>T-CAESVS2-21F-TF</t>
  </si>
  <si>
    <t>T-CAESVS2-15S</t>
  </si>
  <si>
    <t>T-CAESVS2-15M-CR</t>
  </si>
  <si>
    <t>M-Size, 3rd/Tray Removed</t>
  </si>
  <si>
    <t>T-CAESVS2-15M</t>
  </si>
  <si>
    <t>T-CAESVS2-15F</t>
  </si>
  <si>
    <t>T-CAESVS2-12S</t>
  </si>
  <si>
    <t>T-CAESVS2-12M</t>
  </si>
  <si>
    <t>T-CAESVS2-12F</t>
  </si>
  <si>
    <t>T-CAESVS2-07S</t>
  </si>
  <si>
    <t>T-CAESVS2-07M</t>
  </si>
  <si>
    <t>F-Size, Table Extension</t>
  </si>
  <si>
    <t>T-CAESVS2-07F-PT</t>
  </si>
  <si>
    <t>T-CAESVS2-07F</t>
  </si>
  <si>
    <t>T-CAESVS2-03S</t>
  </si>
  <si>
    <t>T-CAESVS2-03M-PT</t>
  </si>
  <si>
    <t>T-CAESVS2-03M-LN</t>
  </si>
  <si>
    <t>T-CAESVS2-03M</t>
  </si>
  <si>
    <t>T-CAESVS2-03F-LN</t>
  </si>
  <si>
    <t>T-CAESVS2-03F</t>
  </si>
  <si>
    <t>S-Size; 3rd Row Upright</t>
  </si>
  <si>
    <t>Escalade ESV Std 1 Dwr</t>
  </si>
  <si>
    <t>T-CAESVS1-21S</t>
  </si>
  <si>
    <t>M-Size; 3rd Row Folded</t>
  </si>
  <si>
    <t>T-CAESVS1-21M-TF</t>
  </si>
  <si>
    <t>Tray Removed, HD Table Seat Folded</t>
  </si>
  <si>
    <t>Escalade ESV Std 1 Dwr, S-Size,</t>
  </si>
  <si>
    <t>T-CAESVS1-15S-HT-TF</t>
  </si>
  <si>
    <t>S-Size, Tray Removed HD Table</t>
  </si>
  <si>
    <t>T-CAESVS1-15S-HT</t>
  </si>
  <si>
    <t>T-CAESVS1-15S</t>
  </si>
  <si>
    <t>T-CAESVS1-15M-CR</t>
  </si>
  <si>
    <t>T-CAESVS1-12S</t>
  </si>
  <si>
    <t>T-CAESVS1-07S-PT</t>
  </si>
  <si>
    <t>T-CAESVS1-07S</t>
  </si>
  <si>
    <t>T-CAESVS1-03S</t>
  </si>
  <si>
    <t>T-CAESVS1-03M</t>
  </si>
  <si>
    <t>F-Size; Table Extension</t>
  </si>
  <si>
    <t>Escalade ESV Mag OS Dwr</t>
  </si>
  <si>
    <t>T-CAESVMO-15F-PT</t>
  </si>
  <si>
    <t>T-CAESVMO-12S</t>
  </si>
  <si>
    <t>T-CAESVMO-12M</t>
  </si>
  <si>
    <t>T-CAESVMO-12F-PT</t>
  </si>
  <si>
    <t>T-CAESVMO-12F</t>
  </si>
  <si>
    <t>T-CAESVMO-07S</t>
  </si>
  <si>
    <t>T-CAESVMO-07M</t>
  </si>
  <si>
    <t>T-CAESVMO-07F</t>
  </si>
  <si>
    <t>T-CAESVMO-03S</t>
  </si>
  <si>
    <t>T-CAESVMO-03M-LN</t>
  </si>
  <si>
    <t>T-CAESVMO-03M</t>
  </si>
  <si>
    <t>F-Size C-Chairs, No Seat Brkt</t>
  </si>
  <si>
    <t>T-CAESVMO-03F-TC-LN</t>
  </si>
  <si>
    <t>F-Size C-Chairs</t>
  </si>
  <si>
    <t>T-CAESVMO-03F-TC</t>
  </si>
  <si>
    <t>T-CAESVMO-03F-LN</t>
  </si>
  <si>
    <t>T-CAESVMO-03F</t>
  </si>
  <si>
    <t>T-CAESVMO-00F-TC</t>
  </si>
  <si>
    <t>Escalade ESV Mag 2 Dwr</t>
  </si>
  <si>
    <t>T-CAESVM2-21S</t>
  </si>
  <si>
    <t>F-Size, Tray/3rd Removed, HD Table</t>
  </si>
  <si>
    <t>T-CAESVM2-21F-TR-HT</t>
  </si>
  <si>
    <t>T-CAESVM2-21F-TF</t>
  </si>
  <si>
    <t>T-CAESVM2-15S</t>
  </si>
  <si>
    <t>T-CAESVM2-15M</t>
  </si>
  <si>
    <t>T-CAESVM2-15F</t>
  </si>
  <si>
    <t>T-CAESVM2-12S</t>
  </si>
  <si>
    <t>T-CAESVM2-12M</t>
  </si>
  <si>
    <t>T-CAESVM2-12F</t>
  </si>
  <si>
    <t>S-Size, Can't Remove 3rd Row; Table Ext.</t>
  </si>
  <si>
    <t>T-CAESVM2-07S-PT</t>
  </si>
  <si>
    <t>T-CAESVM2-07S</t>
  </si>
  <si>
    <t>T-CAESVM2-07M</t>
  </si>
  <si>
    <t>T-CAESVM2-07F-PT</t>
  </si>
  <si>
    <t>T-CAESVM2-07F</t>
  </si>
  <si>
    <t>T-CAESVM2-03S</t>
  </si>
  <si>
    <t>T-CAESVM2-03M-LN</t>
  </si>
  <si>
    <t>T-CAESVM2-03M</t>
  </si>
  <si>
    <t>T-CAESVM2-03F-TC-LN</t>
  </si>
  <si>
    <t>T-CAESVM2-03F-TC</t>
  </si>
  <si>
    <t>T-CAESVM2-03F-LN</t>
  </si>
  <si>
    <t>T-CAESVM2-03F</t>
  </si>
  <si>
    <t>Escalade ESV Mag 1 Dwr</t>
  </si>
  <si>
    <t>T-CAESVM1-21S</t>
  </si>
  <si>
    <t>T-CAESVM1-15S</t>
  </si>
  <si>
    <t>T-CAESVM1-12S</t>
  </si>
  <si>
    <t>T-CAESVM1-07S</t>
  </si>
  <si>
    <t>T-CAESVM1-03S</t>
  </si>
  <si>
    <t>Escalade ESV</t>
  </si>
  <si>
    <t>Escalade Std 2 Dwr</t>
  </si>
  <si>
    <t>T-CAESVS2-15F-CR</t>
  </si>
  <si>
    <t>Escalade Utl 1 Dwr</t>
  </si>
  <si>
    <t>T-CAESCU2-00N-PT</t>
  </si>
  <si>
    <t>T-CAESCU2-00N</t>
  </si>
  <si>
    <t>T-CAESCU1-15N</t>
  </si>
  <si>
    <t>Escalade Std OS Dwr</t>
  </si>
  <si>
    <t>T-CAESCSO-15N-CR</t>
  </si>
  <si>
    <t>T-CAESCSO-15N</t>
  </si>
  <si>
    <t>T-CAESCSO-12N</t>
  </si>
  <si>
    <t>T-CAESCSO-07N-PT</t>
  </si>
  <si>
    <t>T-CAESCSO-07N</t>
  </si>
  <si>
    <t>T-CAESCSO-00N-LN</t>
  </si>
  <si>
    <t>T-CAESCSO-00N</t>
  </si>
  <si>
    <t>T-CAESCS2-21N-TR</t>
  </si>
  <si>
    <t>T-CAESCS2-21N-TF</t>
  </si>
  <si>
    <t>Heavy Duty Table; Tray/3rd Removed</t>
  </si>
  <si>
    <t>T-CAESCS2-15N-HT</t>
  </si>
  <si>
    <t>T-CAESCS2-15N</t>
  </si>
  <si>
    <t>T-CAESCS2-12N</t>
  </si>
  <si>
    <t>T-CAESCS2-07N-PP</t>
  </si>
  <si>
    <t>T-CAESCS2-07N</t>
  </si>
  <si>
    <t>T-CAESCS2-00N</t>
  </si>
  <si>
    <t>Escalade Std 1 Dwr</t>
  </si>
  <si>
    <t>T-CAESCS1-97N</t>
  </si>
  <si>
    <t>Tray/3rd Rem; Heavy Top Tray</t>
  </si>
  <si>
    <t>T-CAESCS1-15N-TT</t>
  </si>
  <si>
    <t>Escalade Std 1 Dwr Pull Out Table</t>
  </si>
  <si>
    <t>T-CAESCS1-15N-PT-CR</t>
  </si>
  <si>
    <t>T-CAESCS1-15N-PT</t>
  </si>
  <si>
    <t>3rd Row Folded; Tray Removed; Heavy Duty Table</t>
  </si>
  <si>
    <t>T-CAESCS1-15N-HT-CR</t>
  </si>
  <si>
    <t>Escalade Std 1 Dwr 1/2 Width driver's side</t>
  </si>
  <si>
    <t>T-CAESCS1-15N-HD-CR</t>
  </si>
  <si>
    <t>T-CAESCS1-15N-CR</t>
  </si>
  <si>
    <t>T-CAESCS1-15N</t>
  </si>
  <si>
    <t>T-CAESCS1-12N-PT</t>
  </si>
  <si>
    <t>T-CAESCS1-12N-PP</t>
  </si>
  <si>
    <t>T-CAESCS1-12N</t>
  </si>
  <si>
    <t>T-CAESCS1-07N-PT</t>
  </si>
  <si>
    <t>T-CAESCS1-07N</t>
  </si>
  <si>
    <t>Captain's Chairs</t>
  </si>
  <si>
    <t>T-CAESCS1-00N-TC</t>
  </si>
  <si>
    <t>T-CAESCS1-00N-PP</t>
  </si>
  <si>
    <t>T-CAESCS1-00N</t>
  </si>
  <si>
    <t>Escalade Mag 2 Dwr</t>
  </si>
  <si>
    <t>T-CAESCMO-21N-TF</t>
  </si>
  <si>
    <t>Escalade Mag OS Dwr</t>
  </si>
  <si>
    <t>T-CAESCMO-15N</t>
  </si>
  <si>
    <t>T-CAESCMO-12N</t>
  </si>
  <si>
    <t>T-CAESCMO-07N</t>
  </si>
  <si>
    <t>T-CAESCMO-00N</t>
  </si>
  <si>
    <t>T-CAESCM2-97N</t>
  </si>
  <si>
    <t>T-CAESCM2-15N-CR</t>
  </si>
  <si>
    <t>T-CAESCM2-15N</t>
  </si>
  <si>
    <t>T-CAESCM2-12N-PP</t>
  </si>
  <si>
    <t>T-CAESCM2-12N</t>
  </si>
  <si>
    <t>T-CAESCM2-07N</t>
  </si>
  <si>
    <t>T-CAESCM2-00N-TC-LN</t>
  </si>
  <si>
    <t>T-CAESCM2-00N-PP-LN</t>
  </si>
  <si>
    <t>T-CAESCM2-00N</t>
  </si>
  <si>
    <t>Escalade Mag 1 Dwr</t>
  </si>
  <si>
    <t>T-CAESCM1-21S</t>
  </si>
  <si>
    <t>T-CAESCM1-21N-TR</t>
  </si>
  <si>
    <t>Tray/3rd Removed HD Table</t>
  </si>
  <si>
    <t>Escalade Mag 1 Dwr 1/2 Width</t>
  </si>
  <si>
    <t>T-CAESCM1-15N-HD-HT</t>
  </si>
  <si>
    <t>3rd  Row Folded, Tray Removed</t>
  </si>
  <si>
    <t>T-CAESCM1-15N-CR</t>
  </si>
  <si>
    <t>T-CAESCM1-15N</t>
  </si>
  <si>
    <t>T-CAESCM1-12N</t>
  </si>
  <si>
    <t>T-CAESCM1-07N-PP</t>
  </si>
  <si>
    <t>T-CAESCM1-07N</t>
  </si>
  <si>
    <t>T-CAESCM1-00N-PT</t>
  </si>
  <si>
    <t>T-CAESCM1-00N</t>
  </si>
  <si>
    <t>Escalade Chief LX CC</t>
  </si>
  <si>
    <t>C-CAESCN6-96C</t>
  </si>
  <si>
    <t>Escalade Tac Ctr</t>
  </si>
  <si>
    <t>C-CAESCN6-00T</t>
  </si>
  <si>
    <t>C-CAESCN5-96C</t>
  </si>
  <si>
    <t>Escalade Investigator</t>
  </si>
  <si>
    <t>C-CAESCN3-97I</t>
  </si>
  <si>
    <t>Escalade Field Ranger</t>
  </si>
  <si>
    <t>C-CAESCN3-21R-TF</t>
  </si>
  <si>
    <t>C-CAESCN3-12R</t>
  </si>
  <si>
    <t>C-CAESCN3-12I</t>
  </si>
  <si>
    <t>Escalade Special Ops Ctr</t>
  </si>
  <si>
    <t>C-CAESCN3-12D-PT</t>
  </si>
  <si>
    <t>C-CAESCN3-07I</t>
  </si>
  <si>
    <t>C-CAESCN3-07D-PT</t>
  </si>
  <si>
    <t>Escalade</t>
  </si>
  <si>
    <t>DTS Patrolman</t>
  </si>
  <si>
    <t>N-CADTSN1-06N</t>
  </si>
  <si>
    <t>DTS</t>
  </si>
  <si>
    <t>CTS-V Patrolman</t>
  </si>
  <si>
    <t>N-CACTSN1-14N-HG</t>
  </si>
  <si>
    <t>N-CACTSN1-11N-HG</t>
  </si>
  <si>
    <t>CT5</t>
  </si>
  <si>
    <t>N-CACT5N1-20N-HG</t>
  </si>
  <si>
    <t>CTS-V</t>
  </si>
  <si>
    <t>Cadillac</t>
  </si>
  <si>
    <t>Envista Std 2 Dwr</t>
  </si>
  <si>
    <t>T-BKEVSS2-24N</t>
  </si>
  <si>
    <t>Envista Mag 2 Dwr</t>
  </si>
  <si>
    <t>T-BKEVSM2-24N</t>
  </si>
  <si>
    <t>Envista Utl 2 Dwr</t>
  </si>
  <si>
    <t>T-BKEVSU2-24N</t>
  </si>
  <si>
    <t>Envista Std 1 Dwr</t>
  </si>
  <si>
    <t>T-BKEVSS1-24N</t>
  </si>
  <si>
    <t>Envista Utl OS Dwr</t>
  </si>
  <si>
    <t>T-BKEVSUO-24N</t>
  </si>
  <si>
    <t>Envista Std OS Dwr</t>
  </si>
  <si>
    <t>T-BKEVSSO-24N</t>
  </si>
  <si>
    <t>Envista Mag OS Dwr</t>
  </si>
  <si>
    <t>T-BKEVSMO-24N</t>
  </si>
  <si>
    <t>Envista Utl 1 Dwr</t>
  </si>
  <si>
    <t>T-BKEVSU1-24N</t>
  </si>
  <si>
    <t>Envista Mag 1 Dwr</t>
  </si>
  <si>
    <t>T-BKEVSM1-24N</t>
  </si>
  <si>
    <t>Envista</t>
  </si>
  <si>
    <t>Terraza Std 2 Dwr</t>
  </si>
  <si>
    <t>T-BKTRZS2-05N</t>
  </si>
  <si>
    <t>Terraza Mag 2 Dwr</t>
  </si>
  <si>
    <t>T-BKTRZM2-05N-PT</t>
  </si>
  <si>
    <t>T-BKTRZM2-05N</t>
  </si>
  <si>
    <t>Terraza</t>
  </si>
  <si>
    <t>Rendezvous Std 2 Dwr</t>
  </si>
  <si>
    <t>T-BKRENS2-02N</t>
  </si>
  <si>
    <t>Rendezvous Std 1 Dwr</t>
  </si>
  <si>
    <t>T-BKRENS1-02N</t>
  </si>
  <si>
    <t>Rendezvous Mag 2 Dwr</t>
  </si>
  <si>
    <t>T-BKRENM2-02N</t>
  </si>
  <si>
    <t>Rendezvous Mag 1 Dwr</t>
  </si>
  <si>
    <t>T-BKRENM1-02N</t>
  </si>
  <si>
    <t>Rendezvous Special Op Ctr</t>
  </si>
  <si>
    <t>C-BKRENN3-05D</t>
  </si>
  <si>
    <t>Rendezvous</t>
  </si>
  <si>
    <t>Regal Patrolman</t>
  </si>
  <si>
    <t>N-BKREGN1-97N</t>
  </si>
  <si>
    <t>Regal</t>
  </si>
  <si>
    <t>Lucern Patrolman</t>
  </si>
  <si>
    <t>N-BKLUCN1-06N-HG</t>
  </si>
  <si>
    <t>N-BKLUCN1-06N</t>
  </si>
  <si>
    <t>Lucerne</t>
  </si>
  <si>
    <t>Lacrosse Hybrid Patrolman</t>
  </si>
  <si>
    <t>N-BKLACN1-10N-PH-HG</t>
  </si>
  <si>
    <t>Lacrosse Patrolman</t>
  </si>
  <si>
    <t>N-BKLACN1-10N-HG</t>
  </si>
  <si>
    <t>N-BKLACN1-10N</t>
  </si>
  <si>
    <t>N-BKLACN1-05N</t>
  </si>
  <si>
    <t>Lacrosse</t>
  </si>
  <si>
    <t>Envision Utl OS Dwr</t>
  </si>
  <si>
    <t>T-BKENVUO-21N</t>
  </si>
  <si>
    <t>Envision Utl 2 Dwr</t>
  </si>
  <si>
    <t>T-BKENVU2-21N</t>
  </si>
  <si>
    <t>Envision Utl 1 Dwr</t>
  </si>
  <si>
    <t>T-BKENVU1-21N</t>
  </si>
  <si>
    <t>Envision Std OS Dwr</t>
  </si>
  <si>
    <t>T-BKENVSO-21N</t>
  </si>
  <si>
    <t>Envision Std 2 Dwr</t>
  </si>
  <si>
    <t>T-BKENVS2-21N</t>
  </si>
  <si>
    <t>Envision Std 1 Dwr</t>
  </si>
  <si>
    <t>T-BKENVS1-21N</t>
  </si>
  <si>
    <t>Envision Mag OS Dwr</t>
  </si>
  <si>
    <t>T-BKENVMO-21N</t>
  </si>
  <si>
    <t>Envision Mag 2 Dwr</t>
  </si>
  <si>
    <t>T-BKENVM2-21N</t>
  </si>
  <si>
    <t>Envision Mag 1 Dwr</t>
  </si>
  <si>
    <t>T-BKENVM1-21N</t>
  </si>
  <si>
    <t>Envision</t>
  </si>
  <si>
    <t>Encore Std 2 Dwr</t>
  </si>
  <si>
    <t>T-BKENRS2-13N</t>
  </si>
  <si>
    <t>Encore Std 1 Dwr</t>
  </si>
  <si>
    <t>T-BKENRS1-13N</t>
  </si>
  <si>
    <t>Encore Mag 1 Dwr</t>
  </si>
  <si>
    <t>T-BKENRM1-13N</t>
  </si>
  <si>
    <t>Encore</t>
  </si>
  <si>
    <t>Enclave Utl 1 Dwr</t>
  </si>
  <si>
    <t>T-BKENCU1-25S</t>
  </si>
  <si>
    <t>Enclave Mag 1 Dwr</t>
  </si>
  <si>
    <t>T-BKENCM1-25S</t>
  </si>
  <si>
    <t>Enclave Std 2 Dwr</t>
  </si>
  <si>
    <t>T-BKENCS2-18N</t>
  </si>
  <si>
    <t>T-BKENCS2-08N</t>
  </si>
  <si>
    <t>Enclave Std 1 Dwr</t>
  </si>
  <si>
    <t>T-BKENCS1-08N</t>
  </si>
  <si>
    <t>Enclave Mag 2 Dwr</t>
  </si>
  <si>
    <t>T-BKENCM2-08N</t>
  </si>
  <si>
    <t>T-BKENCM1-18N</t>
  </si>
  <si>
    <t>S-Size, Fits Behind 3rd Row</t>
  </si>
  <si>
    <t>T-BKENCM1-08S</t>
  </si>
  <si>
    <t>T-BKENCM1-08N</t>
  </si>
  <si>
    <t>Enclave Investigator</t>
  </si>
  <si>
    <t>C-BKENCN3-08I</t>
  </si>
  <si>
    <t>Enclave</t>
  </si>
  <si>
    <t>Buick</t>
  </si>
  <si>
    <t>X7 Utility1 Drawer</t>
  </si>
  <si>
    <t>T-BWX7NU1-19S-TF-HT</t>
  </si>
  <si>
    <t>T-BWX7NU1-19S-TF</t>
  </si>
  <si>
    <t>X7 Std 1 Drawer</t>
  </si>
  <si>
    <t>T-BWX7NS1-19S-TF</t>
  </si>
  <si>
    <t>T-BWX7NS1-19S</t>
  </si>
  <si>
    <t>X7 Mag 1 Drawer</t>
  </si>
  <si>
    <t>T-BWX7NM1-19S-TF</t>
  </si>
  <si>
    <t>X7 Mag 1 Dwr</t>
  </si>
  <si>
    <t>T-BWX7NM1-19S</t>
  </si>
  <si>
    <t>X7</t>
  </si>
  <si>
    <t>X6 Std 2 Dwr</t>
  </si>
  <si>
    <t>T-BWX6NS2-09N</t>
  </si>
  <si>
    <t>X6 Std 1 Dwr</t>
  </si>
  <si>
    <t>T-BWX6NS1-09N</t>
  </si>
  <si>
    <t>X6 Mag 2 Dwr</t>
  </si>
  <si>
    <t>T-BWX6NM2-09N</t>
  </si>
  <si>
    <t>X6 Mag 1 Dwr</t>
  </si>
  <si>
    <t>T-BWX6NM1-15N</t>
  </si>
  <si>
    <t>T-BWX6NM1-09N</t>
  </si>
  <si>
    <t>X6</t>
  </si>
  <si>
    <t>X5 Utility Offset Dwrs</t>
  </si>
  <si>
    <t>T-BWX5NUO-19N</t>
  </si>
  <si>
    <t>T-BWX5NUO-14N</t>
  </si>
  <si>
    <t>X5 Utility 1 Dwr</t>
  </si>
  <si>
    <t>T-BWX5NU1-19N</t>
  </si>
  <si>
    <t>T-BWX5NU1-14N</t>
  </si>
  <si>
    <t>T-BWX5NU1-07N</t>
  </si>
  <si>
    <t>X5 Std Offset Dwrs</t>
  </si>
  <si>
    <t>T-BWX5NSO-14N</t>
  </si>
  <si>
    <t>T-BWX5NSO-07N</t>
  </si>
  <si>
    <t>X5 Std Offset Dwr</t>
  </si>
  <si>
    <t>T-BWX5NSO-00N</t>
  </si>
  <si>
    <t>X5 Std 2 Dwr</t>
  </si>
  <si>
    <t>T-BWX5NS2-19N</t>
  </si>
  <si>
    <t>T-BWX5NS2-14N</t>
  </si>
  <si>
    <t>T-BWX5NS2-07N</t>
  </si>
  <si>
    <t>T-BWX5NS2-00N</t>
  </si>
  <si>
    <t>X5 Std 1 Dwr</t>
  </si>
  <si>
    <t>T-BWX5NS1-19N</t>
  </si>
  <si>
    <t>T-BWX5NS1-14N-TT</t>
  </si>
  <si>
    <t>T-BWX5NS1-14N-PT</t>
  </si>
  <si>
    <t>T-BWX5NS1-14N</t>
  </si>
  <si>
    <t>T-BWX5NS1-07N</t>
  </si>
  <si>
    <t>T-BWX5NS1-00N</t>
  </si>
  <si>
    <t>X5 Mag OS Dwr</t>
  </si>
  <si>
    <t>T-BWX5NMO-07N</t>
  </si>
  <si>
    <t>X5 Mag 2 Dwr</t>
  </si>
  <si>
    <t>T-BWX5NM2-14N</t>
  </si>
  <si>
    <t>T-BWX5NM2-07N</t>
  </si>
  <si>
    <t>T-BWX5NM2-00N</t>
  </si>
  <si>
    <t>X5 Mag 1 Dwr</t>
  </si>
  <si>
    <t>T-BWX5NM1-19N</t>
  </si>
  <si>
    <t>T-BWX5NM1-14N</t>
  </si>
  <si>
    <t>T-BWX5NM1-07N</t>
  </si>
  <si>
    <t>T-BWX5NM1-00N</t>
  </si>
  <si>
    <t>X5</t>
  </si>
  <si>
    <t>X3  Utility Offset</t>
  </si>
  <si>
    <t>T-BWX3NUO-18N</t>
  </si>
  <si>
    <t>X3 Utility 1 Dwr</t>
  </si>
  <si>
    <t>T-BWX3NU1-18N</t>
  </si>
  <si>
    <t>X3 Utility1 Dwr</t>
  </si>
  <si>
    <t>T-BWX3NU1-11N</t>
  </si>
  <si>
    <t>X3 Std Offset</t>
  </si>
  <si>
    <t>T-BWX3NSO-04N-PT</t>
  </si>
  <si>
    <t>X3 Std 2 Dwr</t>
  </si>
  <si>
    <t>T-BWX3NS2-11N</t>
  </si>
  <si>
    <t>T-BWX3NS2-04N</t>
  </si>
  <si>
    <t>X3 Std 1 Dwr</t>
  </si>
  <si>
    <t>T-BWX3NS1-18N</t>
  </si>
  <si>
    <t>T-BWX3NS1-11N</t>
  </si>
  <si>
    <t>T-BWX3NS1-04N</t>
  </si>
  <si>
    <t>X3 Mag Offset</t>
  </si>
  <si>
    <t>T-BWX3NMO-04N</t>
  </si>
  <si>
    <t>X3</t>
  </si>
  <si>
    <t>760LI Patrolman</t>
  </si>
  <si>
    <t>N-BW7SEN1-09N</t>
  </si>
  <si>
    <t>760LI</t>
  </si>
  <si>
    <t>750Li Std 2 Dwr</t>
  </si>
  <si>
    <t>T-BW750S2-02N</t>
  </si>
  <si>
    <t>750Li Std 1 Dwr</t>
  </si>
  <si>
    <t>T-BW750S1-02N</t>
  </si>
  <si>
    <t>750Li  Mag 2 Dwr</t>
  </si>
  <si>
    <t>T-BW750M2-02N</t>
  </si>
  <si>
    <t>750Li  Mag 1 Dwr</t>
  </si>
  <si>
    <t>T-BW750M1-02N</t>
  </si>
  <si>
    <t>750LI Patrolman</t>
  </si>
  <si>
    <t>N-BW750M1-16N</t>
  </si>
  <si>
    <t>750Li</t>
  </si>
  <si>
    <t>Mag 1 drawer</t>
  </si>
  <si>
    <t>N-BW650M1-11N</t>
  </si>
  <si>
    <t>528I Patrolman</t>
  </si>
  <si>
    <t>N-BM528N1-11N</t>
  </si>
  <si>
    <t>528I</t>
  </si>
  <si>
    <t>5 Series Sedan Std 1 Dwr</t>
  </si>
  <si>
    <t>N-BM5SES1-17N</t>
  </si>
  <si>
    <t>5 Series Sedan</t>
  </si>
  <si>
    <t>3 Series Sport Wagon Utility 1 Dwr</t>
  </si>
  <si>
    <t>T-BWG20U1-18N</t>
  </si>
  <si>
    <t>3 Series Sport Wagon Std 1 Dwr</t>
  </si>
  <si>
    <t>T-BWG20S1-18N</t>
  </si>
  <si>
    <t>T-BWF31S1-12N</t>
  </si>
  <si>
    <t>3 Series Sport Wagon Mag 1 Dwr</t>
  </si>
  <si>
    <t>T-BWF31M1-12N</t>
  </si>
  <si>
    <t>3 Series Sport Wagon</t>
  </si>
  <si>
    <t>BMW 235</t>
  </si>
  <si>
    <t>N-BW2SEN1-14N-HG</t>
  </si>
  <si>
    <t>BMW</t>
  </si>
  <si>
    <t>S5 Patrolman</t>
  </si>
  <si>
    <t>N-ADS5XN1-07N</t>
  </si>
  <si>
    <t>S5</t>
  </si>
  <si>
    <t>S3 Patrolman</t>
  </si>
  <si>
    <t>N-ADS3XN1-13N-HG</t>
  </si>
  <si>
    <t>N-ADS3XN1-13N</t>
  </si>
  <si>
    <t>S3</t>
  </si>
  <si>
    <t>Audi Q8 Std 2 Dwr</t>
  </si>
  <si>
    <t>T-ADQ8XS2-20N</t>
  </si>
  <si>
    <t>34" Long</t>
  </si>
  <si>
    <t>Audi Q8 Std 1 Dwr</t>
  </si>
  <si>
    <t>T-ADQ8XS1-20N</t>
  </si>
  <si>
    <t>Q8</t>
  </si>
  <si>
    <t>35" Long</t>
  </si>
  <si>
    <t>Audi Q7 Utility 1 Dwr</t>
  </si>
  <si>
    <t>T-ADQ7XU1-16N</t>
  </si>
  <si>
    <t>T-ADQ7XU1-06S</t>
  </si>
  <si>
    <t>T-ADQ7XU1-06N</t>
  </si>
  <si>
    <t>36" Long</t>
  </si>
  <si>
    <t>Audi Q7 Std 2 Dwr Offset</t>
  </si>
  <si>
    <t>T-ADQ7XSO-06N</t>
  </si>
  <si>
    <t>Audi Q7 Std 2 Dwr</t>
  </si>
  <si>
    <t>T-ADQ7XS2-16N</t>
  </si>
  <si>
    <t>T-ADQ7XS2-06N</t>
  </si>
  <si>
    <t>Audi Q7 Standard 1 Dwr</t>
  </si>
  <si>
    <t>T-ADQ7XS1-16S</t>
  </si>
  <si>
    <t>Audi Q7 Std 1 Dwr</t>
  </si>
  <si>
    <t>T-ADQ7XS1-16N</t>
  </si>
  <si>
    <t>T-ADQ7XS1-06N-PT</t>
  </si>
  <si>
    <t>T-ADQ7XS1-06N</t>
  </si>
  <si>
    <t>Audi Q7 Mag 2 Dwr</t>
  </si>
  <si>
    <t>T-ADQ7XM2-06N</t>
  </si>
  <si>
    <t>Audi Q7 Mag 1 Dwr</t>
  </si>
  <si>
    <t>T-ADQ7XM1-16S</t>
  </si>
  <si>
    <t>T-ADQ7XM1-16N</t>
  </si>
  <si>
    <t>33" Long</t>
  </si>
  <si>
    <t>T-ADQ7XM1-06N</t>
  </si>
  <si>
    <t>Q7</t>
  </si>
  <si>
    <t>No 3rd Row Seat Table</t>
  </si>
  <si>
    <t>Audi Q5 Utility 2 Dwr Offset</t>
  </si>
  <si>
    <t>T-ADQ5XUO-05N-PT</t>
  </si>
  <si>
    <t>No 3rd Row Seating</t>
  </si>
  <si>
    <t>Audi Q5 Utility 1 Dwr</t>
  </si>
  <si>
    <t>T-ADQ5XU1-18N</t>
  </si>
  <si>
    <t>Audi Q5 Std 2 Dwr</t>
  </si>
  <si>
    <t>T-ADQ5XS2-18N-PT</t>
  </si>
  <si>
    <t>T-ADQ5XS2-18N</t>
  </si>
  <si>
    <t>Audi Q5 Std 1 Dwr</t>
  </si>
  <si>
    <t>T-ADQ5XS1-05N</t>
  </si>
  <si>
    <t>Audi Q5 Mag 1 Dwr</t>
  </si>
  <si>
    <t>T-ADQ5XM1-18N</t>
  </si>
  <si>
    <t>T-ADQ5XM1-05N</t>
  </si>
  <si>
    <t>Q5</t>
  </si>
  <si>
    <t>Audi Q3 Utility 1 Dwr</t>
  </si>
  <si>
    <t>T-ADQ3XU1-18N</t>
  </si>
  <si>
    <t>Q3</t>
  </si>
  <si>
    <t>A7 Patrolman</t>
  </si>
  <si>
    <t>N-ADA7XN1-10N</t>
  </si>
  <si>
    <t>A7</t>
  </si>
  <si>
    <t>Audi A4 All Road Std 1 Dwr</t>
  </si>
  <si>
    <t>T-ADA4RS1-15N</t>
  </si>
  <si>
    <t>A4 All Road</t>
  </si>
  <si>
    <t>A4 Patrolman</t>
  </si>
  <si>
    <t>N-ADA4XN1-16N</t>
  </si>
  <si>
    <t>N-ADA4XN1-08N</t>
  </si>
  <si>
    <t>A4</t>
  </si>
  <si>
    <t>A3 Patrolman</t>
  </si>
  <si>
    <t>N-ADA3XN1-13N-HG</t>
  </si>
  <si>
    <t>A3</t>
  </si>
  <si>
    <t>Audi</t>
  </si>
  <si>
    <t>TLX Mag 1 Dwr</t>
  </si>
  <si>
    <t>T-ACTLXM1-18N</t>
  </si>
  <si>
    <t>TLX</t>
  </si>
  <si>
    <t>Acura TL</t>
  </si>
  <si>
    <t>N-ACTL4N1-09N</t>
  </si>
  <si>
    <t>TL</t>
  </si>
  <si>
    <t>RDX Utl 1 Dwr</t>
  </si>
  <si>
    <t>T-ACRDXU1-19N</t>
  </si>
  <si>
    <t>RDX Std 2  Dwr</t>
  </si>
  <si>
    <t>T-ACRDXS2-19N</t>
  </si>
  <si>
    <t>RDX Std 1 Dwr</t>
  </si>
  <si>
    <t>T-ACRDXS1-19N</t>
  </si>
  <si>
    <t>T-ACRDXS1-13N</t>
  </si>
  <si>
    <t>T-ACRDXS1-07N</t>
  </si>
  <si>
    <t>RDX Mag 1 Dwr</t>
  </si>
  <si>
    <t>T-ACRDXM1-19N-PT</t>
  </si>
  <si>
    <t>T-ACRDXM1-19N</t>
  </si>
  <si>
    <t>RDX Special Ops</t>
  </si>
  <si>
    <t>C-ACRDXN2-19D</t>
  </si>
  <si>
    <t>RDX</t>
  </si>
  <si>
    <t>MDX Mag 1 Dwr</t>
  </si>
  <si>
    <t>T-ACMDXM1-22N</t>
  </si>
  <si>
    <t>MDX Std 2 Dwr</t>
  </si>
  <si>
    <t>T-ACMDXS2-14N</t>
  </si>
  <si>
    <t>T-ACMDXS2-07N</t>
  </si>
  <si>
    <t>T-ACMDXS2-01N</t>
  </si>
  <si>
    <t>MDX Std 1 Dwr test</t>
  </si>
  <si>
    <t>T-ACMDXS1-22N</t>
  </si>
  <si>
    <t>MDX Std 1 Dwr</t>
  </si>
  <si>
    <t>T-ACMDXS1-14N</t>
  </si>
  <si>
    <t>T-ACMDXS1-07N</t>
  </si>
  <si>
    <t>T-ACMDXS1-01N-HT</t>
  </si>
  <si>
    <t>T-ACMDXS1-01N</t>
  </si>
  <si>
    <t>MDX Mag Offset Dwr</t>
  </si>
  <si>
    <t>T-ACMDXMO-01N</t>
  </si>
  <si>
    <t>MDX Mag 2 Dwr</t>
  </si>
  <si>
    <t>T-ACMDXM2-01N</t>
  </si>
  <si>
    <t>T-ACMDXM1-14N</t>
  </si>
  <si>
    <t>T-ACMDXM1-07N</t>
  </si>
  <si>
    <t>T-ACMDXM1-01N</t>
  </si>
  <si>
    <t>MDX</t>
  </si>
  <si>
    <t>Acura</t>
  </si>
  <si>
    <t>Long Description</t>
  </si>
  <si>
    <t>Stock Code</t>
  </si>
  <si>
    <r>
      <rPr>
        <b/>
        <sz val="12"/>
        <rFont val="Arial"/>
        <family val="2"/>
      </rPr>
      <t>Warranty</t>
    </r>
    <r>
      <rPr>
        <sz val="12"/>
        <rFont val="Arial"/>
        <family val="2"/>
      </rPr>
      <t xml:space="preserve"> - LOFT products 4 years from date of purchase except Gun Locks - 1 year mfg. warranty</t>
    </r>
  </si>
  <si>
    <t xml:space="preserve">2021 - 25 Suburban Compact Single Shotgun Loft Weapon Storage Tray w/ Auto Open - Interior Dimension 11" x 40" LOFT-21SUB-SG-AO Includes Shotgun Gun Lock, Butt Cup, Momentary Push Button Switch. (Optional Accessories Available) </t>
  </si>
  <si>
    <t xml:space="preserve">2021 - 25 Suburban Compact Single AR Loft Weapon Storage Tray w/ Auto Open - Interior Dimension 11" x 40" LOFT-21SUB-GV-AO Includes Standard Gun Lock, Muzzle Bracket Assembly, Momentary Push Button Switch. (Optional Accessories Available) </t>
  </si>
  <si>
    <t xml:space="preserve">2021 - 25 Suburban Compact Single Shotgun Loft Weapon Storage Tray - Interior Dimension 11" x 40" LOFT-21SUB-SG Includes Shotgun Gun Lock, Butt Cup, Momentary Push Button Switch. (Optional Accessories Available) </t>
  </si>
  <si>
    <t xml:space="preserve">2021 - 25 Suburban Compact Single AR Loft Weapon Storage Tray - Interior Dimension 11" x 40" LOFT-21SUB-GV Includes Standard Gun Lock, Muzzle Bracket Assembly, Momentary Push Button Switch. (Optional Accessories Available) </t>
  </si>
  <si>
    <t>2021 - 25 Suburban Compact Electronic Equipment Tray w/ Interior Dimension 11" x 40" LOFT-21SUB-3R-EC Includes Includes removable stand-off electronics installation platform, allowing "bench" prep prior to installation (Optional Accessories Available)</t>
  </si>
  <si>
    <t>2025 LOFT List Price Guide</t>
  </si>
  <si>
    <t>TOP Assembly, DUAL FIL, - Orange</t>
  </si>
  <si>
    <t>TOP Assembly SL45 PF OR</t>
  </si>
  <si>
    <t>ProTac Rail Mount Remote-  No Anti-Activation Guard</t>
  </si>
  <si>
    <t>Screw Pack Stinger Charger</t>
  </si>
  <si>
    <t>3AAA Laser Holster</t>
  </si>
  <si>
    <t>Tailcap, Stylus Pro USB - Orange</t>
  </si>
  <si>
    <t>940083-4</t>
  </si>
  <si>
    <t>Tailcap, Stylus Pro USB - Lime Green</t>
  </si>
  <si>
    <t>940083-3</t>
  </si>
  <si>
    <t>Tailcap, Stylus Pro USB - Red</t>
  </si>
  <si>
    <t>940083-2</t>
  </si>
  <si>
    <t>Tailcap, Stylus Pro USB - Blue</t>
  </si>
  <si>
    <t>940083-1</t>
  </si>
  <si>
    <t>Knucklehead Replacement Body Assembly - Orange</t>
  </si>
  <si>
    <t>906060-3</t>
  </si>
  <si>
    <t>Knucklehead Replacement Body Assembly - Yellow</t>
  </si>
  <si>
    <t>906060-2</t>
  </si>
  <si>
    <t>Survivor Pivot Head Assembly - Yellow</t>
  </si>
  <si>
    <t>906043-2</t>
  </si>
  <si>
    <t>Cover, Hook, Yellow - Knucklehead</t>
  </si>
  <si>
    <t>906021-2</t>
  </si>
  <si>
    <t>Retaining Ring, Contact Yellow - PolyStinger LED/DS LED</t>
  </si>
  <si>
    <t>761004-1</t>
  </si>
  <si>
    <t>Stinger LED HL Head/BARRE</t>
  </si>
  <si>
    <t>757048-HL</t>
  </si>
  <si>
    <t>Strion LED Head/Barrel</t>
  </si>
  <si>
    <t>747055-L</t>
  </si>
  <si>
    <t>SL-JR Lamp DBL BEAD</t>
  </si>
  <si>
    <t>700005-1</t>
  </si>
  <si>
    <t>Remote Momentary Switch Standard</t>
  </si>
  <si>
    <t>691187-2</t>
  </si>
  <si>
    <t>Remote Door Assembly SAFE O</t>
  </si>
  <si>
    <t>691178-2</t>
  </si>
  <si>
    <t>Remote Door Assembly - TLR VIR</t>
  </si>
  <si>
    <t>691178-1</t>
  </si>
  <si>
    <t>Switch assembly - Vantage</t>
  </si>
  <si>
    <t>691136-1</t>
  </si>
  <si>
    <t>Red filter lens - 4AA</t>
  </si>
  <si>
    <t>680043-5</t>
  </si>
  <si>
    <t>Blue filter lens - 4AA</t>
  </si>
  <si>
    <t>680043-4</t>
  </si>
  <si>
    <t>Green filter lens - 4AA</t>
  </si>
  <si>
    <t>680043-3</t>
  </si>
  <si>
    <t>Tailcap - Stylus Pro - Lime Green</t>
  </si>
  <si>
    <t>660023-7</t>
  </si>
  <si>
    <t>Tailcap - Stylus Pro - Orange</t>
  </si>
  <si>
    <t>660023-6</t>
  </si>
  <si>
    <t>Tailcap - Stylus Pro - Silver</t>
  </si>
  <si>
    <t>660023-3</t>
  </si>
  <si>
    <t>Tailcap - Stylus Pro - Red</t>
  </si>
  <si>
    <t>660023-2</t>
  </si>
  <si>
    <t>Tailcap - Stylus Pro - Blue</t>
  </si>
  <si>
    <t>660023-1</t>
  </si>
  <si>
    <t>Tailcap, Stylus - Red</t>
  </si>
  <si>
    <t>653034-4</t>
  </si>
  <si>
    <t>Tailcap, Stylus - Clear</t>
  </si>
  <si>
    <t>653034-3</t>
  </si>
  <si>
    <t>Tailcap, Stylus - Gold</t>
  </si>
  <si>
    <t>653034-2</t>
  </si>
  <si>
    <t>Tailcap, Stylus - Blue</t>
  </si>
  <si>
    <t>653034-1</t>
  </si>
  <si>
    <t>Cable tie wrap - 3 in long, Fire Vulcan LED/Bank Charger</t>
  </si>
  <si>
    <t>600117-1</t>
  </si>
  <si>
    <t>Rack, top and bottom - Yellow</t>
  </si>
  <si>
    <t>450112-2</t>
  </si>
  <si>
    <t>Body Vulcan Orange</t>
  </si>
  <si>
    <t>441001-1</t>
  </si>
  <si>
    <t>Switch, Push, LiteBox</t>
  </si>
  <si>
    <t>400157-1</t>
  </si>
  <si>
    <t>Switch Boot, push button, LiteBox</t>
  </si>
  <si>
    <t>400130-1</t>
  </si>
  <si>
    <t>Body, 20LP - Yellow</t>
  </si>
  <si>
    <t>252001-2</t>
  </si>
  <si>
    <t>Body, 20LP - Orange</t>
  </si>
  <si>
    <t>252001-1</t>
  </si>
  <si>
    <t>Tailcap – Yellow - SL-20XP LED</t>
  </si>
  <si>
    <t>251003-2</t>
  </si>
  <si>
    <t>Tailcap – Orange - SL-20XP LED</t>
  </si>
  <si>
    <t>251003-1</t>
  </si>
  <si>
    <t>Facecap Yellow - SL-20XP/SL-20XP LED/3C XP</t>
  </si>
  <si>
    <t>250002-2</t>
  </si>
  <si>
    <t>Facecap Orange - SL-20XP/SL-20XP LED/3C XP</t>
  </si>
  <si>
    <t>250002-1</t>
  </si>
  <si>
    <t>Mounting Screws for charger (pack of 4)</t>
  </si>
  <si>
    <t>202521-1</t>
  </si>
  <si>
    <t>Kit - TLR-7 7X 8 8AG RM1</t>
  </si>
  <si>
    <t>TLR-9/10 &amp; RM2 Clamp Screw Kit</t>
  </si>
  <si>
    <t>4X4 - Red/Gray SL Sticker</t>
  </si>
  <si>
    <t>Backer - Logo Peg</t>
  </si>
  <si>
    <t>Backer - Logo Slat</t>
  </si>
  <si>
    <t>Wedge Clip Kit</t>
  </si>
  <si>
    <t>Lens/Bezel Kit - Includes lens seal, lens &amp; facecap - Dualie 3AA</t>
  </si>
  <si>
    <t xml:space="preserve">Pocket Clip - Stylus Pro USB/USB UV/360 </t>
  </si>
  <si>
    <t>Facecap Assy - ProTac HL 3</t>
  </si>
  <si>
    <t>Tailcap Assembly - Stylus Pro USB, UV models - Black</t>
  </si>
  <si>
    <t>Clip - ProTac HL 3</t>
  </si>
  <si>
    <t>Hoster - ProTac HL3</t>
  </si>
  <si>
    <t>Pocket Clip - ProTac 2AAA</t>
  </si>
  <si>
    <t>Survivor (Low Profile) Face cap - Includes Lens, facecap, o-ring</t>
  </si>
  <si>
    <t>Survivor (Low Profile) Clip Assembly (incl. mounting screws)</t>
  </si>
  <si>
    <t>Survivor (Low Profile) XPE LED Module (incl. Switch and LED)</t>
  </si>
  <si>
    <t xml:space="preserve">Survivor (Low Profile) Optic </t>
  </si>
  <si>
    <t>Knucklehead Replacement Body Assembly - Black</t>
  </si>
  <si>
    <t>Knucklehead Magnet Cover</t>
  </si>
  <si>
    <t>DIV2 Switch HeatSink Assembly, Knucklehead</t>
  </si>
  <si>
    <t>Magnet Screw - Knucklehead</t>
  </si>
  <si>
    <t>Spacer Support, Knucklehead</t>
  </si>
  <si>
    <t>Survivor Pivot Head Assembly - Blaxk</t>
  </si>
  <si>
    <t xml:space="preserve">Rubber Facecap  - Knucklehead </t>
  </si>
  <si>
    <t>Lens - Knucklehead</t>
  </si>
  <si>
    <t>Reflector - Knucklehead Flood</t>
  </si>
  <si>
    <t>Cover, Hook, Black - Knucklehead</t>
  </si>
  <si>
    <t>Hook - Knucklehead</t>
  </si>
  <si>
    <t>Knucklehead HAZ-LO switch/heat sink Assy</t>
  </si>
  <si>
    <t>Reflector, XPE LED</t>
  </si>
  <si>
    <t>LED/Switch Module - Survivor LED (Must also order the 90557 Facecap Assembly)</t>
  </si>
  <si>
    <t>Insert Screw, Surv/X/Pivot</t>
  </si>
  <si>
    <t>O-ring, Housing - Survivor LED</t>
  </si>
  <si>
    <t>Survivor LED Facecap Assembly</t>
  </si>
  <si>
    <t>Reflector SurvivorIVOR LED</t>
  </si>
  <si>
    <t xml:space="preserve">6-32 X 5/8 PPH Screw, Survivor </t>
  </si>
  <si>
    <t>O-ring, Battery Door - Survivor LED</t>
  </si>
  <si>
    <t>Battery Door Assembly - Survivor LED</t>
  </si>
  <si>
    <t>4 X 1/4 Pan Head SS SCR</t>
  </si>
  <si>
    <t>Bracket, Clip - Survivor LED</t>
  </si>
  <si>
    <t>SL-90X O-Ring Lens</t>
  </si>
  <si>
    <t>Base Assembly With Latch (Division 2) - Survivor</t>
  </si>
  <si>
    <t xml:space="preserve">Thermostat/Fuse Assembly, Survivor </t>
  </si>
  <si>
    <t>Double Torsion Spring, Survivor, Survivor X and Survivor Pivot</t>
  </si>
  <si>
    <t>Lens - Survivor LED,  Stinger LED HP, SuperTac, TLR-HP</t>
  </si>
  <si>
    <t>Retaining E Ring</t>
  </si>
  <si>
    <t>Screw 4-24x1/2 Phillips - Vulcan/Fire Vulcan</t>
  </si>
  <si>
    <t>Pin, Battery Retaining - Survivor LED</t>
  </si>
  <si>
    <t>PolyTac 90 D-ring assembly</t>
  </si>
  <si>
    <t>PolyTac 90 Clip</t>
  </si>
  <si>
    <t>PolyTac Head Assembly - Black</t>
  </si>
  <si>
    <t>PolyTac/HP Tail Cap Assembly - Black - Gen 2</t>
  </si>
  <si>
    <t>PolyTac Clip</t>
  </si>
  <si>
    <t>Tailcap Assembly, PolyTac Series, Black Gen 1</t>
  </si>
  <si>
    <t>PolyTac X - Spring Head</t>
  </si>
  <si>
    <t>XPE reflector assembly for Super Tac with serial # greater than 010346</t>
  </si>
  <si>
    <t>NS XPE Module Assy for Super Tac w/ serial # greater than 010346; for TL-2 LED w/ serial # greater than 0110176; Scorpion LED w/ serial # greater than 011864; NightFighter LED w/ serial # greater than 010078</t>
  </si>
  <si>
    <t>LED Module for Scorpion LED, TL/NF LED, SuperTac and X models</t>
  </si>
  <si>
    <t>Reflector XPE, Strion LED/DS LED</t>
  </si>
  <si>
    <t xml:space="preserve">Reflector Assembly - Super Tac </t>
  </si>
  <si>
    <t>Clip, Pocket, Tactical</t>
  </si>
  <si>
    <t>ProTac HL-X Tailcap Assembly</t>
  </si>
  <si>
    <t>ProTac Rail Mount HL-X Remote Switch w/ Tailcap</t>
  </si>
  <si>
    <t>ProTac HL USB Headlamp Lens Kit - Includes rubber lens holder, red and green lenses</t>
  </si>
  <si>
    <t>Pocket Clip - ProTac 2L</t>
  </si>
  <si>
    <t>Tailcap Assembly, ProTac Rail Mount 1 and ProTac Rail Mount 2</t>
  </si>
  <si>
    <t>ProTac HL4 Tailcap Assembly Service</t>
  </si>
  <si>
    <t xml:space="preserve">Pocket Clip - ProTac 1AAA </t>
  </si>
  <si>
    <t>ProTac 1AAA Tailcap Assembly Service</t>
  </si>
  <si>
    <t xml:space="preserve">Pocket Clip - ProTac 1L-1AA </t>
  </si>
  <si>
    <t>ProTac 1L-1AA Tailcap Assembly Service</t>
  </si>
  <si>
    <t>ProTac HL USB Tailcap Assembly</t>
  </si>
  <si>
    <t xml:space="preserve">Pocket Clip - ProTac HL USB </t>
  </si>
  <si>
    <t>Tailcap Assembly - ProTac 2AAA</t>
  </si>
  <si>
    <t>Hoslter - ProTac HL</t>
  </si>
  <si>
    <t>Tailcap Assembly, ProTac HL &amp; ProTac HL 3</t>
  </si>
  <si>
    <t>Lens/Reflector Assy, ProTac HL</t>
  </si>
  <si>
    <t>Pocket Clip - ProTac HL</t>
  </si>
  <si>
    <t>Pocket Clip - ProTac 1AA &amp; 2</t>
  </si>
  <si>
    <t>Pocket Clip - ProTac 1L &amp; 2L</t>
  </si>
  <si>
    <t>Tailcap Assembly - ProTac 1AA/ProTac 2AA</t>
  </si>
  <si>
    <t>Tailcap Assembly - ProTac 1L/ProTac 2L</t>
  </si>
  <si>
    <t>Lanyard, Tactical Black</t>
  </si>
  <si>
    <t xml:space="preserve">O-ring, Body - Super Tac </t>
  </si>
  <si>
    <t>NightFighter Grip Ring</t>
  </si>
  <si>
    <t>Spring, Battery NEGATIV</t>
  </si>
  <si>
    <t>Lamp Holder Assembly, Xenon - TL-2/NF/Scorpion/PolyTac</t>
  </si>
  <si>
    <t>Switch Assembly - Scorpion/Scorpion LED</t>
  </si>
  <si>
    <t>O-ring, Head - Scorpion/PolyStinger LED/DS LED</t>
  </si>
  <si>
    <t>Scorpion Sleeve - Scorpion/Scorpion LED</t>
  </si>
  <si>
    <t>Safety Wand, HI-VIS</t>
  </si>
  <si>
    <t>Ultra LED lens/optic assembly</t>
  </si>
  <si>
    <t>Lamp Spring - UltraStinger</t>
  </si>
  <si>
    <t>Reflector - UltraStinger</t>
  </si>
  <si>
    <t>REF/LENS Assembly ULTRA/HP</t>
  </si>
  <si>
    <t>Reflector/head- UltraStinger</t>
  </si>
  <si>
    <t>O-ring, Lamp - UltraStinger</t>
  </si>
  <si>
    <t>Retainer Boot, PolyStinger HAZ-LO</t>
  </si>
  <si>
    <t>Switch Boot, PolyStinger HAZ-LO</t>
  </si>
  <si>
    <t>PolyStinger LED HAZ-LO switch/LED assembly</t>
  </si>
  <si>
    <t>Heat Sink Assembly PolyStinger LED (Inc. Switch and LED)</t>
  </si>
  <si>
    <t>Facecap Ring - PolyStinger LED/DS LED/PolyStinger LED HAZ-LO</t>
  </si>
  <si>
    <t>Charge Screw Insulator, PolyStinger/PolyStinger HAZ-LO</t>
  </si>
  <si>
    <t>Retaining Ring, Contact Black - PolyStinger LED/DS LED</t>
  </si>
  <si>
    <t>Tailcap - PolyStinger</t>
  </si>
  <si>
    <t>Lens (PolyStinger LED/DS LED, Stinger LED/DS LED)</t>
  </si>
  <si>
    <t>Stinger DS Head/Barrell</t>
  </si>
  <si>
    <t>Retainer - Ring - Stinger HPL/DS HPL</t>
  </si>
  <si>
    <t>Switch Assembly - Tail Switch</t>
  </si>
  <si>
    <t>Tailcap Assembly- Stinger LED - Includes O-Ring</t>
  </si>
  <si>
    <t>STNGR LED Head/BARREL</t>
  </si>
  <si>
    <t>Facecap, Stinger LED/DS LED - Includes O-Ring</t>
  </si>
  <si>
    <t>Sleeve - Facecap, Stinger LED/DS LED</t>
  </si>
  <si>
    <t>O-ring, Facecap - Stinger LED/DS LED &amp; HL</t>
  </si>
  <si>
    <t>O-ring, Lens - PolyStinger LED/DS LED/LED HL</t>
  </si>
  <si>
    <t>Boot, Body Switch - PolyStinger LED/DS LED, Stinger LED/DS LED/ LED HL</t>
  </si>
  <si>
    <t>Reflector - Stinger LED/DS LED</t>
  </si>
  <si>
    <t>Lens PolyStinger LED / PolyStinger LED HAZ-LO</t>
  </si>
  <si>
    <t>Retainer - Ring - Stinger LED</t>
  </si>
  <si>
    <t>Charge Screw - Stinger LED/DS LED, PolyStinger LED/DS LED</t>
  </si>
  <si>
    <t>Tailcap, Stinger LED</t>
  </si>
  <si>
    <t xml:space="preserve">Facecap Assy, Stinger LED HL </t>
  </si>
  <si>
    <t>Facecap, HL</t>
  </si>
  <si>
    <t>HL/HPL Switch MOD Assembly</t>
  </si>
  <si>
    <t>Facecap Assy, Stinger Classic LED - Includes adapter, optic, facecap &amp; seal</t>
  </si>
  <si>
    <t>Facecap Stinger Classic LED</t>
  </si>
  <si>
    <t>Optic Stinger Classic LED</t>
  </si>
  <si>
    <t>Switch/LED module for Classic LED</t>
  </si>
  <si>
    <t>Clamp Ring, Traffic WAN</t>
  </si>
  <si>
    <t>Reflector, Stinger - Super, XT</t>
  </si>
  <si>
    <t>Tailcap Switch Assembly - Stinger XT/Stinger XT HP</t>
  </si>
  <si>
    <t>Cap, Stinger Battery</t>
  </si>
  <si>
    <t>Switch Boot -Stinger XT/Stinger XT HP/Stinger DS LED</t>
  </si>
  <si>
    <t>Tailcap - Stinger/Stinger XT/Stinger HP/Super Stinger/Stinger Classic LED/Ultra</t>
  </si>
  <si>
    <t>Barrel/Head Assembly - Stinger</t>
  </si>
  <si>
    <t xml:space="preserve">O-ring, Head - Super Tac/UltraStinger LED </t>
  </si>
  <si>
    <t>Switch Boot - Stinger/Stinger HP/Super Stinger</t>
  </si>
  <si>
    <t>Lens (Special Tools Required For Assembly)**  (Stinger, Stinger XT, SuperStinger)</t>
  </si>
  <si>
    <t>Screw Contact, Stinger/Strion</t>
  </si>
  <si>
    <t>Charge Plate, Stinger</t>
  </si>
  <si>
    <t>Facecap, Stinger</t>
  </si>
  <si>
    <t>Strion HP/HPL F/C Assembly (Small hole - S/N starting at 027251)</t>
  </si>
  <si>
    <t xml:space="preserve">Strion DS LED HL Facecap Assembly </t>
  </si>
  <si>
    <t>Facecap Assembly Strion DS</t>
  </si>
  <si>
    <t>DS HL LED Module Assembly</t>
  </si>
  <si>
    <t>Strion LED HL LED Module Assembly</t>
  </si>
  <si>
    <t xml:space="preserve">Strion LED/HP, LED Assembly (S/N starting at 298862 for Strion LED and 027251 for HP model) </t>
  </si>
  <si>
    <t>Strion LED Switch Boot</t>
  </si>
  <si>
    <t>Strion LED/LED HP/HPL/HL/DS Click Switch Assembly</t>
  </si>
  <si>
    <t>TACTCAP, Strion</t>
  </si>
  <si>
    <t>Charge Plate, Strion</t>
  </si>
  <si>
    <t>Lanyard with button slide</t>
  </si>
  <si>
    <t>LED Module - Streamlight Jr. LED</t>
  </si>
  <si>
    <t>LED Facecap Assembly - Streamlight Jr. LED</t>
  </si>
  <si>
    <t xml:space="preserve">Tailcap Switch (recessed boot) - New Streamlight Jr. LED </t>
  </si>
  <si>
    <t>Tailcap Switch (original model) - Jr. Xenon/Jr. Lux/Original Jr. LED</t>
  </si>
  <si>
    <t>Jr. LED Pocket Clip</t>
  </si>
  <si>
    <t>O-ring, Tailcap - PolyStinger/Stinger HP/Stinger XT HP/Stinger LED/DS LED/UltraStinger</t>
  </si>
  <si>
    <t>TLR-9/10 &amp; RM2 Facecap Assembly</t>
  </si>
  <si>
    <t>TLR-9/10 &amp; RM2 Railcap Assembly</t>
  </si>
  <si>
    <t>TLR-7X/7 Sub/9 LOW M2 Tailcap kit</t>
  </si>
  <si>
    <t>TLR-8 X/TLR-8 X Sub/TLR-10 LOW M2 Tailcap kit</t>
  </si>
  <si>
    <t>TLR-7 X, TLR-8 X,TLR- 9 and TLR-10 Clamp Screw</t>
  </si>
  <si>
    <t>Clamp Jaw, TLR-7/8/8G/RM1</t>
  </si>
  <si>
    <t>O-ring - facecap module, Vantage II</t>
  </si>
  <si>
    <t>TLR-6 Body Screw (Each)</t>
  </si>
  <si>
    <t>Facecap - TLR-1 HPL</t>
  </si>
  <si>
    <t>TLR-2G / TLR-VIR Pistol Lens (works with 692522)</t>
  </si>
  <si>
    <t>Clamp Screw - TLR-3 &amp; 4</t>
  </si>
  <si>
    <t>.062 Short Arm Hex Wrench</t>
  </si>
  <si>
    <t>Aiming Screw, TLR-4 and TLR-4G</t>
  </si>
  <si>
    <t>Clamp - TLR-3 USP Full</t>
  </si>
  <si>
    <t>Clamp - TLR-3 USP Compac</t>
  </si>
  <si>
    <t>Battery - CR2</t>
  </si>
  <si>
    <t xml:space="preserve">TLR-3 &amp; 4 Clamp </t>
  </si>
  <si>
    <t>TLR-3 &amp; 4 Facecap assembly - Includes LED</t>
  </si>
  <si>
    <t>Facecap, TLR HP</t>
  </si>
  <si>
    <t>Facecap Assy TLR-HP (use with TLR-1 HP, SHP &amp; GameSpotter)</t>
  </si>
  <si>
    <t>Remote Hardware Kit</t>
  </si>
  <si>
    <t>TLR-1 &amp; TLR-2 Field Repair Kit - Includes clamp screw, 1913 key and tether pin</t>
  </si>
  <si>
    <t>Locking screw  - Vantage</t>
  </si>
  <si>
    <t>Vantage/TLR Facecap assembly (used on all TLR-1s models, all TLR-1 from S/N C4-272-263 and after, and all TLR-2s models and Vantage with S/N starting at 046475) (Small hole)</t>
  </si>
  <si>
    <t>Tether Pin, TLR-1/2</t>
  </si>
  <si>
    <t>Hinge Pin, TLR</t>
  </si>
  <si>
    <t>Draw Latch, TLR-1/2</t>
  </si>
  <si>
    <t>Draw Level, TLR-1/2</t>
  </si>
  <si>
    <t>Facecap Assembly, TLR-VIR</t>
  </si>
  <si>
    <t>TLR-VIR / Long Gun Clamp Thumbscrew</t>
  </si>
  <si>
    <t>5° beam adjuster - Vantage</t>
  </si>
  <si>
    <t>Thermal Pad, TLR/Vantage</t>
  </si>
  <si>
    <t>Seal, TLF, Vantage</t>
  </si>
  <si>
    <t xml:space="preserve">Blue LED Housing Assembly, Vantage </t>
  </si>
  <si>
    <t>Tape Switch Straight Con</t>
  </si>
  <si>
    <t>.050 Hex Wrench</t>
  </si>
  <si>
    <t>TLR Spring Cradle</t>
  </si>
  <si>
    <t>TLR Spring Cap</t>
  </si>
  <si>
    <t xml:space="preserve">Clamp Screw (TLR-1 &amp; 2)  </t>
  </si>
  <si>
    <t xml:space="preserve">TLR series wave spring </t>
  </si>
  <si>
    <t xml:space="preserve">TLR-1 &amp; 2 Hex Screw for Key </t>
  </si>
  <si>
    <t>TLR Pin</t>
  </si>
  <si>
    <t>TLR-3 &amp; 4 Screw (Switch)</t>
  </si>
  <si>
    <t>TLR Switch assembly/Battery Door</t>
  </si>
  <si>
    <t>TLR Screw 2-56</t>
  </si>
  <si>
    <t>TLR Aiming Spring</t>
  </si>
  <si>
    <t>TLR Aiming Screw</t>
  </si>
  <si>
    <t>TLR Laaser Module Assembly</t>
  </si>
  <si>
    <t>TLR Battery Contact</t>
  </si>
  <si>
    <t>TLR Positive Battery Insulator</t>
  </si>
  <si>
    <t>TLR Negative Battery Insulator</t>
  </si>
  <si>
    <t>TLR Facecap O-Ring</t>
  </si>
  <si>
    <t>Dualie USB CGR WIRE BAL</t>
  </si>
  <si>
    <t xml:space="preserve">Switch/LED Assembly, Dualie 3AA </t>
  </si>
  <si>
    <t>3AA HAZ LO Facecap (requires 692413 Allen Wrench)</t>
  </si>
  <si>
    <t>GEN2 3AA Switch Assembly</t>
  </si>
  <si>
    <t>Facecap O-Ring</t>
  </si>
  <si>
    <t>Facecap - 4AA Lux</t>
  </si>
  <si>
    <t>4AA LUXEON Module Assembly</t>
  </si>
  <si>
    <t>Switch Boot - 4AA</t>
  </si>
  <si>
    <t>4AA Lux Switch Assembly</t>
  </si>
  <si>
    <t>Switch Assembly - 4AA Xenon - Includes 680217 Boot</t>
  </si>
  <si>
    <t>Facecap O-Ring, 4 AA</t>
  </si>
  <si>
    <t>Facecap Assembly - 4AA Xenon/4AA LED</t>
  </si>
  <si>
    <t>Facecap/Lens Assembly - 2AA HAZ-LO</t>
  </si>
  <si>
    <t>Switch Assembly - 2AA LED/2AA HAZ-LO</t>
  </si>
  <si>
    <t>Valve</t>
  </si>
  <si>
    <t>Stylus Pro 360 Rubber Boot (sleeve)</t>
  </si>
  <si>
    <t>Switch assembly - Stylus Pro 360</t>
  </si>
  <si>
    <t xml:space="preserve">Pocket/Hat Clip - MicroStream </t>
  </si>
  <si>
    <t>Rubber Switch Boot - Stylus Pro/MicroStream</t>
  </si>
  <si>
    <t>Pocket Clip - Stylus Pro</t>
  </si>
  <si>
    <t xml:space="preserve">Switch assembly - Stylus Pro/Stylus Pro 360/MicroStream (alkaline only) Black </t>
  </si>
  <si>
    <t>Stylus Tailcap Assembly, Black</t>
  </si>
  <si>
    <t>Tailcap - Stylus - Black</t>
  </si>
  <si>
    <t>Clip, Stylus Lanyard</t>
  </si>
  <si>
    <t>O-Ring, Tailcap-Stylus</t>
  </si>
  <si>
    <t>Battery, N size</t>
  </si>
  <si>
    <t>Rubber Strap, Bandit</t>
  </si>
  <si>
    <t>Battery Assembly, DC USB, Double Clutch</t>
  </si>
  <si>
    <t>Elastic Headstrap - Double Clutch</t>
  </si>
  <si>
    <t>Battery Cap, Enduro</t>
  </si>
  <si>
    <t>Battery Cap, Argo HP</t>
  </si>
  <si>
    <t xml:space="preserve">Battery Cap, Argo  [ORIGINAL/FIRST GENERATION] </t>
  </si>
  <si>
    <t xml:space="preserve">Battery Cartridge - Argo  [ORIGINAL/FIRST GENERATION] </t>
  </si>
  <si>
    <t>End Cap, 3AA HAZ-LO battery</t>
  </si>
  <si>
    <t>Battery Cartridge - 3AA HAZ-LO</t>
  </si>
  <si>
    <t>Battery Carrier - Gen 2 headlamp</t>
  </si>
  <si>
    <t xml:space="preserve">Battery Cap - Trident/Septor only  [ORIGINAL/FIRST GENERATION] </t>
  </si>
  <si>
    <t>Lanyard (Fits All Twin-Task &amp; Task-Lights)</t>
  </si>
  <si>
    <t>Battery Carrier - Multi Ops, Twin-Task 3AAA LED Laser</t>
  </si>
  <si>
    <t>Portable Scene Light II Charger Kit - Includes Power Supply, 100V AC and DC cord</t>
  </si>
  <si>
    <t>Portable Scene Light II Charger Kit - Includes Power Supply, 120V AC and DC cord</t>
  </si>
  <si>
    <t>E-Spot Reflector Assembly</t>
  </si>
  <si>
    <t>Screws for Hook Housing - Knucklehead</t>
  </si>
  <si>
    <t>Extended Pole assy PSL EXT Scene light.</t>
  </si>
  <si>
    <t>Clamp 4 Replacement Kit (Smallest)  - Portable Scene Light</t>
  </si>
  <si>
    <t>Clamp 3 Replacement Kit  - Portable Scene Light</t>
  </si>
  <si>
    <t>Clamp 2 Replacement Kit  - Portable Scene Light</t>
  </si>
  <si>
    <t>Clamp 1 Replacement Kit (Largest)  - Portable Scene Light</t>
  </si>
  <si>
    <t>Head Assembly, Repair - Portable Scene Light</t>
  </si>
  <si>
    <t>Charge Board Assembly - Portable Scene Light (Includes Switch)</t>
  </si>
  <si>
    <t>Strap - Heavy Duty</t>
  </si>
  <si>
    <t>Quick Release Pin - Portable Scene Light</t>
  </si>
  <si>
    <t>Rubber Pull Band - Portable Scene Light</t>
  </si>
  <si>
    <t>Brace Leg Assy (w/Folding support) - Portable Scene Light</t>
  </si>
  <si>
    <t>Retaining Leg Assembly - Portable Scene Light</t>
  </si>
  <si>
    <t>Switch &amp; Charger PCB Assembly - HID Lite Box</t>
  </si>
  <si>
    <t>HID Lamp Retaining Clip</t>
  </si>
  <si>
    <t>Pull Ring, HID Litebox</t>
  </si>
  <si>
    <t>Latch Blocl, HID LiteBox</t>
  </si>
  <si>
    <t>Lamp/Ballast Cable - HID LiteBox</t>
  </si>
  <si>
    <t>Battery - 12V 7.2AH</t>
  </si>
  <si>
    <t>Ring, Head HID LiteBox</t>
  </si>
  <si>
    <t>Lantern -  IND/FIRE - no batteries</t>
  </si>
  <si>
    <t>Fuse Holder, Litebox/Bank Charger</t>
  </si>
  <si>
    <t>PCB Assembly PF With Wires Kit, Litebox</t>
  </si>
  <si>
    <t>PCB Assembly Std With Wires Kit, Litebox</t>
  </si>
  <si>
    <t>Lock Keyed DIFF SL-45</t>
  </si>
  <si>
    <t>Bottom, Orange - LiteBox/FireBox/HID LiteBox</t>
  </si>
  <si>
    <t>Toggle Switch Boot - Vulcan/Litebox/PSL I</t>
  </si>
  <si>
    <t>Rack - Top and Bottom - Orange, LiteBox</t>
  </si>
  <si>
    <t>Lamp Terminal - LiteBox/FireBox</t>
  </si>
  <si>
    <t>Harness Lamp, 2-Wire - LiteBox/FireBox</t>
  </si>
  <si>
    <t>Harness, Direct Wire Rack - LiteBox/FireBox</t>
  </si>
  <si>
    <t>Harness, Standard Rack - LiteBox/FireBox</t>
  </si>
  <si>
    <t>Spring Latch Release - Vulcan/Fire Vulcan</t>
  </si>
  <si>
    <t>Latch - Rack</t>
  </si>
  <si>
    <t>Release Button, LiteBox</t>
  </si>
  <si>
    <t xml:space="preserve">Screw, Charge Contact, LiteBox/PSL </t>
  </si>
  <si>
    <t>Screw - Lantern Body (Qty 1)</t>
  </si>
  <si>
    <t>Fire Vulcan LED Reflector Only</t>
  </si>
  <si>
    <t>Fire Vulcan LED Module Assy - Includes Switch, PCB &amp; LED (must have 446036)</t>
  </si>
  <si>
    <t>REBEL LED Assembly, Fire Vulcan LED</t>
  </si>
  <si>
    <t>Fire Vulcan LED Switch</t>
  </si>
  <si>
    <t>Facecap - Fire Vulcan LED - Does not include Lens</t>
  </si>
  <si>
    <t>Lens - Fire Vulcan LED</t>
  </si>
  <si>
    <t>FV LED Body Assembly - Orange</t>
  </si>
  <si>
    <t>Replacement Body Assembly, Fire Vulcan - Orange</t>
  </si>
  <si>
    <t>Vulcan 180 Direct Cord</t>
  </si>
  <si>
    <t>PCB Assembly - Vulcan 180</t>
  </si>
  <si>
    <t>Facecap/bezel Waypoint - Includes lens</t>
  </si>
  <si>
    <t>Toggle Switch - FireBox / Fire Vulcan (Does not include 450116 Boot)</t>
  </si>
  <si>
    <t>PCB Assembly – Vehicle Mount - Vulcan/Fire Vulcan</t>
  </si>
  <si>
    <t>Latch, Charger - Vulcan/Fire Vulcan</t>
  </si>
  <si>
    <t xml:space="preserve">O-ring, Facecap - Fire Vulcan LED </t>
  </si>
  <si>
    <t>Screw, 10-16 X 1 Hi-Lo - Fire Vulcan LED</t>
  </si>
  <si>
    <t>Plug, Valve - Fire Vulcan LED</t>
  </si>
  <si>
    <t>Battery, Vulcan</t>
  </si>
  <si>
    <t xml:space="preserve">PAD, Battery Clamp, Vulcan/PSL </t>
  </si>
  <si>
    <t>Clamp, Battery, Vulcan</t>
  </si>
  <si>
    <t>Battery - LiteBox</t>
  </si>
  <si>
    <t>Fusible Link for SL-40</t>
  </si>
  <si>
    <t>Switch With Boot - LiteBox/FireBox</t>
  </si>
  <si>
    <t>Rack Snap Retainer</t>
  </si>
  <si>
    <t>3C Gen2 Switch Assembly</t>
  </si>
  <si>
    <t xml:space="preserve">Facecap Assembly - 3C Lux </t>
  </si>
  <si>
    <t>Key Ring, Stainless Steal</t>
  </si>
  <si>
    <t>Facecap Assembly - 3C</t>
  </si>
  <si>
    <t>Switch &amp; LED Assembly - 20L/LP</t>
  </si>
  <si>
    <t>Reflector - SL-20L</t>
  </si>
  <si>
    <t>Cover Plate, 20L/LP</t>
  </si>
  <si>
    <t>Switch Boot - 20L/LP</t>
  </si>
  <si>
    <t>Body, 20LP - Black</t>
  </si>
  <si>
    <t>Battery Stick SL-20XP</t>
  </si>
  <si>
    <t>Tailcap – Black - SL-20XP LED/3C-XP</t>
  </si>
  <si>
    <t>O-ring Tailcap - SL-20XP/SL-20XP LED/3C XP</t>
  </si>
  <si>
    <t>O-ring Face Cap - PolyStinger/Stinger HP/XT HP/UltraStinger/3C-XP/SL-20XP20XP LED</t>
  </si>
  <si>
    <t>Facecap - Black - SL-20XP/SL-20XP LED, 3C XP</t>
  </si>
  <si>
    <t>Tailcap Spring - SL-20XP LED, 3C XP</t>
  </si>
  <si>
    <t>LED Ring Assembly, 20XP/LED</t>
  </si>
  <si>
    <t>Retaining Ring - SL-20L</t>
  </si>
  <si>
    <t>Ribbed Battery Insert, 20X/LED</t>
  </si>
  <si>
    <t>Clamp Ring, Safety Wand</t>
  </si>
  <si>
    <t>Strain Relief #1150, Bank Charger</t>
  </si>
  <si>
    <t xml:space="preserve">Tailcap Spring - SL-20X/SL-35X </t>
  </si>
  <si>
    <t>Charger Sleeve Assembly X-Series</t>
  </si>
  <si>
    <t>O-ring, Facecap, Head O-ring - SL-15X/SL-20X/SL-20X LED/SL-35X</t>
  </si>
  <si>
    <t>15X Face Cap Black</t>
  </si>
  <si>
    <t>O-ring, Tailcap - SL-15/SL-20X/SL-35X/SL-20X LED</t>
  </si>
  <si>
    <t>Face Cap - SL-15 Black</t>
  </si>
  <si>
    <t>Arc Rail Screw- Stalk</t>
  </si>
  <si>
    <t>V-Ring, Sidewinder Compact II (o-ring for male end of battery door)</t>
  </si>
  <si>
    <t>Sidewinder Tailcap Assy - Coyote</t>
  </si>
  <si>
    <t>O-Ring - Tailcap, SWR</t>
  </si>
  <si>
    <t>Facecap, Sidewinder Rescue</t>
  </si>
  <si>
    <t>Optic, Sidewinder Rescue</t>
  </si>
  <si>
    <t>Elexctronics Assembly, HP/RG, SWR</t>
  </si>
  <si>
    <t>Sidewnder Battery Door Assembly - Coyote</t>
  </si>
  <si>
    <t>Sidewinder Lens Gasket</t>
  </si>
  <si>
    <t>O-Ring, -012 .364x.070C, TL-Racker</t>
  </si>
  <si>
    <t>Valve - Fire Vulcan LED</t>
  </si>
  <si>
    <t>Survivor X LED Module (Incl. Switch and LED)</t>
  </si>
  <si>
    <t>Facecap Assembly (serial # 216940 or higher) - Survivor LED</t>
  </si>
  <si>
    <t>Facecap Assembly - Survivor LED</t>
  </si>
  <si>
    <t>Belt Clip Assembly - Survivor</t>
  </si>
  <si>
    <t>Xenon Bulb (Survivor Division 1)</t>
  </si>
  <si>
    <t>Black Dot Xenon Bulb (Survivor Division 2)</t>
  </si>
  <si>
    <t xml:space="preserve">Lamp Module - Survivor </t>
  </si>
  <si>
    <t>Xenon Bulb - TL-3</t>
  </si>
  <si>
    <t>Lens/Reflector Assembly - SuperTac/Stinger LED HP/DS LED HP/ Stinger HPL</t>
  </si>
  <si>
    <t>Tactical Series Click Switch Kit - TL-2, NightFighter, SuperTac</t>
  </si>
  <si>
    <t>Xenon Bulb - Stinger HP, Stinger XT HP</t>
  </si>
  <si>
    <t>Xenon Bulb - UltraStinger</t>
  </si>
  <si>
    <t>Upgrade Kit- Fits Super Stinger to upgrade to UltraStinger</t>
  </si>
  <si>
    <t>Lens Reflector Assembly (Ultra/HP Lens Reflector Assembly - external threads)</t>
  </si>
  <si>
    <t>Lens/Reflector Assembly - PolyStinger</t>
  </si>
  <si>
    <t>Sleeve - PolyStinger</t>
  </si>
  <si>
    <t>Tailcap Assy - PolyStinger LED/PolyStinger LED HAZ-LO</t>
  </si>
  <si>
    <t>Lens/Reflector Assembly - Stinger/Stinger XT/Super Stinger</t>
  </si>
  <si>
    <t>Stinger HL/HPL Switch Kit- Includes LED, boot, screws &amp; triangle</t>
  </si>
  <si>
    <t>Xenon Bulb - Stinger, Stinger XT, PolyStinger</t>
  </si>
  <si>
    <t>C4 LED Switch Kit - Stinger LED/ LED HP</t>
  </si>
  <si>
    <t xml:space="preserve">C4 LED Switch/LED Upgrade Kit (Requires tool) (Serial numbers not starting with "C" or "C4") - 
Stinger LED/DS LED. Does not upgrade xenon Stinger to a Stinger LED. </t>
  </si>
  <si>
    <t>Lamp Holder Assembly - Stinger XT/Stinger XT HP</t>
  </si>
  <si>
    <t>Strion Replacement Lamp</t>
  </si>
  <si>
    <t>Strion LED HP, XPG Service Kit - Includes switch and LED</t>
  </si>
  <si>
    <t>Strion LED HP Facecap Assembly</t>
  </si>
  <si>
    <t>Strion LED, XPG Service Kit - Includes switch and LED</t>
  </si>
  <si>
    <t>Strion Switch Kit (lamp holder assy)</t>
  </si>
  <si>
    <t>Replacement Switch Button with Tactcap™ - Strion</t>
  </si>
  <si>
    <t>Krypton Bulb (2 pk) - Wow and Revolution, Streamlight Jr.</t>
  </si>
  <si>
    <t>TLR Clamp Assembly - Includes wave spring, clamp screw &amp; clamp for TLR-1, TLR-2</t>
  </si>
  <si>
    <t>TLR Earless Screw Kit</t>
  </si>
  <si>
    <t>Gen2 LED Module Assembly, 3AA HAZ LO</t>
  </si>
  <si>
    <t>LED Assembly (Div 2) - 4AA Lux</t>
  </si>
  <si>
    <t>4AA White LED Module - 4AA LED</t>
  </si>
  <si>
    <t>Dualie 3AA SW Boot Kit</t>
  </si>
  <si>
    <t>Dualie  3AA Magnetic Clip Kit</t>
  </si>
  <si>
    <t>Dualie 3AA Standard Clip Kit</t>
  </si>
  <si>
    <t>LED Module Assembly (Div 1) - 4AA Lux</t>
  </si>
  <si>
    <t>LED Module - 2AA HAZ-LO</t>
  </si>
  <si>
    <t>2AA LED Module</t>
  </si>
  <si>
    <t>Head Strap - Bandit Black/Grey</t>
  </si>
  <si>
    <t>Elastic Strap - Bandit Black/Yellow</t>
  </si>
  <si>
    <t>Hat Clip - Bandit</t>
  </si>
  <si>
    <t>QB Strap - Black</t>
  </si>
  <si>
    <t>QB Strap - Yellow</t>
  </si>
  <si>
    <t>Elastic Strap, Enduro Pro</t>
  </si>
  <si>
    <t>Rubber Strap, Enduro Pro</t>
  </si>
  <si>
    <t>Elastic Strap - All headlamps except Enduro (Includes elastic strap &amp; saddle)</t>
  </si>
  <si>
    <t>Battery Carrier - Trident Series, Septor</t>
  </si>
  <si>
    <t>Top Assembly - Yellow - Standard - LiteBox</t>
  </si>
  <si>
    <t>Lamp Ring - LiteBox/FireBox</t>
  </si>
  <si>
    <t>Knob &amp; Bolt For Swivel Head - LiteBox/FireBox</t>
  </si>
  <si>
    <t>Top Assembly - FireBox - Orange - FireBox (FOR FIREBOX ONLY)</t>
  </si>
  <si>
    <t>Top Assembly - Orange - LiteBox</t>
  </si>
  <si>
    <t>Kit - E-Spot PCB/Refector</t>
  </si>
  <si>
    <t>E-Spot PCB Assembly</t>
  </si>
  <si>
    <t>Kit - E-Spot lens/reflector assembly</t>
  </si>
  <si>
    <t>E-Flood PCB assembly</t>
  </si>
  <si>
    <t>Spacer Kit - HID LiteBox</t>
  </si>
  <si>
    <t>Head Restraint Kit (Includes 2 pull rings), HID Litebox</t>
  </si>
  <si>
    <t>Ballast Kit - HID LiteBox</t>
  </si>
  <si>
    <t>Body Screw Kit - HID LiteBox</t>
  </si>
  <si>
    <t>Replacement Board Kit - HID LiteBox (Includes switch)</t>
  </si>
  <si>
    <t>HID Lens/Reflector Assembly</t>
  </si>
  <si>
    <t>Knob Kit - HID LiteBox</t>
  </si>
  <si>
    <t>Head Assembly – Black - HID LiteBox</t>
  </si>
  <si>
    <t>Head Assembly – Orange - HID LiteBox</t>
  </si>
  <si>
    <t>Upper Body Assembly – Black - HID LiteBox</t>
  </si>
  <si>
    <t>Upper Body Assembly – Orange - HID LiteBox</t>
  </si>
  <si>
    <t>Lanyard - Rechargeable Waypoint</t>
  </si>
  <si>
    <t>Lanyard -  Alkaline Waypoint</t>
  </si>
  <si>
    <t>Switch Module  (SL-20L/SL-20 LP)</t>
  </si>
  <si>
    <t>Switch Cover Boot Kit</t>
  </si>
  <si>
    <t>Lens - SL-15X/20X/SL-20X LED/20XP/SL-20XP LED/SL-35X/SL-20L/LP/Stinger HP/Stinger XT HP/UltraStinger</t>
  </si>
  <si>
    <t xml:space="preserve">Sidewinder Compact Battery Cap - Coyote </t>
  </si>
  <si>
    <t>Belt Clip w/ Screw - Sidewinder</t>
  </si>
  <si>
    <t>Lens Kit - Includes gasket, SWR</t>
  </si>
  <si>
    <t>Battery Door Assembly - Coyote - Sidewinder</t>
  </si>
  <si>
    <t>PARTS</t>
  </si>
  <si>
    <t>Rubber Helmet Strap</t>
  </si>
  <si>
    <t>Survivor (Low Profile) Smoke Cutter Plug Kit</t>
  </si>
  <si>
    <t>POS Retractor Kit</t>
  </si>
  <si>
    <t>Magnet Kit -  Survivor Pivot</t>
  </si>
  <si>
    <t>12V DC Bank Charger - Survivor X and Survivor Pivot</t>
  </si>
  <si>
    <t>120V/100V AC Bank Charger - Survivor X and Survivor Pivot</t>
  </si>
  <si>
    <t>Survivor X Clip Kit</t>
  </si>
  <si>
    <t>Charger Holder - Survivor X</t>
  </si>
  <si>
    <t>Battery Carrier -  Survivor X and Survivor Pivot(for Alkaline or SL-B26 models)</t>
  </si>
  <si>
    <t>Lithium-ion Battery - Survivor X C1D1</t>
  </si>
  <si>
    <r>
      <t>Knucklehead/Survivor LED Alkaline battery carrier</t>
    </r>
    <r>
      <rPr>
        <i/>
        <sz val="10"/>
        <rFont val="Arial Narrow"/>
        <family val="2"/>
      </rPr>
      <t xml:space="preserve"> (Batteries not included)</t>
    </r>
  </si>
  <si>
    <t>NiMH Battery - Survivor, Knucklehead</t>
  </si>
  <si>
    <t>Battery Pack - Survivor (Original version)</t>
  </si>
  <si>
    <t>Tailcap - ProTac 2.0 Rail Mount, ProTac 2.0 Rail Mount HP</t>
  </si>
  <si>
    <t>Green Filter - ProTac 2.0 Headlamp</t>
  </si>
  <si>
    <t>Straight Latching Switch - ProTac 2.0 Rail Mount, TLR-1/TLR-2 series</t>
  </si>
  <si>
    <t>Elastic Headstrap - fits the ProTac HL USB Headlamp, ProTac 2.0 Headlamp</t>
  </si>
  <si>
    <t>ProTac 2.0 Rail Mount Latching</t>
  </si>
  <si>
    <t>Vantage 180 Helmet Mount</t>
  </si>
  <si>
    <t>PolyTac 90 Pocket Clip</t>
  </si>
  <si>
    <t>Gear Keeper - PolyTac 90</t>
  </si>
  <si>
    <t>Wedge Body Screw Kit</t>
  </si>
  <si>
    <t>Lanyard - Wedge XT</t>
  </si>
  <si>
    <t>Lanyard - Wedge</t>
  </si>
  <si>
    <t>M-LOK Mount - TLR-1, TLR-2, TLR-9, TLR-10, TLR RM 1 and TLR RM 2 Series</t>
  </si>
  <si>
    <t>M-LOK Mount - ProTac Rail Mount Series</t>
  </si>
  <si>
    <t>Remote Retaining Clip</t>
  </si>
  <si>
    <t>Rechargeable lithium polymer battery pack, ProTac 2AA-X USB</t>
  </si>
  <si>
    <t>SL-B48 Battery Pack - 2pk</t>
  </si>
  <si>
    <t>Jack-Cap - ProTac RM HL-X Pro</t>
  </si>
  <si>
    <t>Remote Switch - ProTac RM HL-X w/ Laser</t>
  </si>
  <si>
    <t>Lens Kit - Strion TL2 NF</t>
  </si>
  <si>
    <t xml:space="preserve">Remote Switch with Tailcap - with anti-activation guard and is located at the same end of the cord - ProTac Rail Mount 1 &amp; 2 </t>
  </si>
  <si>
    <t>Safety Wand - Red - fits ProTac HL, ProTac HL-X, Scorpion HL, and ProTac 2.0</t>
  </si>
  <si>
    <t>Duty Holster - Stinger LED, Stinger LED HL, Stinger HPL</t>
  </si>
  <si>
    <t>Tactical Holster - TL-2 LED, Strion Series, PolyTac, ProTac HL/ProTac HL USB</t>
  </si>
  <si>
    <t>Nylon Holster - ProTac HL USB</t>
  </si>
  <si>
    <t>Nylon Holster - ProTac HL 3</t>
  </si>
  <si>
    <t>Nylon Holster - ProTac HL</t>
  </si>
  <si>
    <t>Nylon Holster - ProTac 2AA-X</t>
  </si>
  <si>
    <t>Nylon Holster - ProTac 2L/2LX, 1L-1AA, MegaStream USB</t>
  </si>
  <si>
    <t>Nylon Holster - TL-2 LED, TT-2L, PolyTac, Strion LED</t>
  </si>
  <si>
    <t>CR123A Lithium batteries - 6pk (Net price applies. No other discounts)</t>
  </si>
  <si>
    <t>CR123A Lithium batteries - 400pk (Net price applies. No other discounts)</t>
  </si>
  <si>
    <t>CR123A Lithium batteries - 12pk (Net price applies. No other discounts)</t>
  </si>
  <si>
    <t>CR123A Lithium batteries - 2pk (Net price applies. No other discounts)</t>
  </si>
  <si>
    <t>Flip Lens - 2AA ProPolymer, TL-2 LED, Strion LED,  PolyTac 90 - Green</t>
  </si>
  <si>
    <t>Flip Lens - 2AA ProPolymer, TL-2 LED, Strion LED,  PolyTac 90 - Blue</t>
  </si>
  <si>
    <t>Flip Lens - 2AA ProPolymer, TL-2 LED, Strion LED,  PolyTac 90 - Red</t>
  </si>
  <si>
    <t>Safety Wand - UltraStinger, UltraStinger LED - Glow in the Dark</t>
  </si>
  <si>
    <t>Safety Wand - UltraStinger, UltraStinger LED - Yellow</t>
  </si>
  <si>
    <t>Safety Wand - UltraStinger, UltraStinger LED - Red</t>
  </si>
  <si>
    <t>Stinger 2020 S Service Kit</t>
  </si>
  <si>
    <t>Stinger 2020 S Rear Door Kit</t>
  </si>
  <si>
    <t>PiggyBack Charger - Includes Stinger 2020 S battery pack</t>
  </si>
  <si>
    <t>PiggyBack Charger - Stinger 2020 S</t>
  </si>
  <si>
    <t>Stinger 2020 S Battery Pack</t>
  </si>
  <si>
    <t>Service Kit - Stinger 2020 - Includes Charge Screws, Switch Boot, Slide Switch Assy, Module Assy, Install Tool, Reflector, Tailcap Door</t>
  </si>
  <si>
    <t>Rear Door Kit - Stinger 2020</t>
  </si>
  <si>
    <t>Module/Switch Kit - Stinger 2020</t>
  </si>
  <si>
    <t>Leather Holster - Basketweave Pattern - Stinger 2020 and Stinger 2020 S</t>
  </si>
  <si>
    <t>Facecap Ring Kit - Includes Red, Blue, Lime, Orange &amp; Purple Rings - Stinger 2020 and Stinger 2020 S</t>
  </si>
  <si>
    <t>Facecap Ring - Purple - Stinger 2020 and Stinger 2020 S</t>
  </si>
  <si>
    <t>Facecap Ring - Orange - Stinger 2020 and Stinger 2020 S</t>
  </si>
  <si>
    <t>Facecap Ring - Lime Green - Stinger 2020 and Stinger 2020 S</t>
  </si>
  <si>
    <t>Facecap Ring - Blue - Stinger 2020 and Stinger 2020 S</t>
  </si>
  <si>
    <t>Facecap Ring - Red - Stinger 2020 and Stinger 2020 S</t>
  </si>
  <si>
    <t>Nylon Holster - Stinger 2020 and Stinger 2020 S</t>
  </si>
  <si>
    <t>Battery Carrier - Stinger 2020</t>
  </si>
  <si>
    <t>Battery Pack - Includes battery carrier &amp; (2) SL-B26 USB battery packs - Stinger 2020</t>
  </si>
  <si>
    <t>Replacement Lens - PolyStinger</t>
  </si>
  <si>
    <t>NiMH Battery - SL-20L/LP,SL-20XP-LED, UltraStinger</t>
  </si>
  <si>
    <t>Lithium-ion Battery - Stinger Switchblade</t>
  </si>
  <si>
    <t>Lanyard - PolyStinger LED HAZ-LO</t>
  </si>
  <si>
    <t xml:space="preserve">NiMH Battery - PolyStinger LED HAZ-LO </t>
  </si>
  <si>
    <t>Facecap Kit - PolyStinger LED</t>
  </si>
  <si>
    <t>PolyStinger DS LED Switch</t>
  </si>
  <si>
    <t>Nylon Holster - Stinger, Stinger XT, PolyStinger</t>
  </si>
  <si>
    <t>Stinger Series Magnetic Mount</t>
  </si>
  <si>
    <t>Safety Wand - Strion HPL, Stinger HPL/DS HPL - Glow in the Dark</t>
  </si>
  <si>
    <t>Safety Wand - Strion HPL, Stinger HPL/DS HPL - Yellow</t>
  </si>
  <si>
    <t>Safety Wand - Strion HPL, Stinger HPL/DS HPL - Red</t>
  </si>
  <si>
    <t>Safety Wand - PolyStinger LED, PolyStinger DS LED, PolyStinger LED HAZ-LO - Glow in the Dark</t>
  </si>
  <si>
    <t>Safety Wand - PolyStinger LED, PolyStinger DS LED, PolyStinger LED HAZ-LO - Yellow</t>
  </si>
  <si>
    <t>Safety Wand - PolyStinger LED, PolyStinger DS LED, PolyStinger LED HAZ-LO - Red</t>
  </si>
  <si>
    <t>Loop Holster - Stinger Series</t>
  </si>
  <si>
    <t>Nylon Holster - Stinger LED/Stinger DS LED</t>
  </si>
  <si>
    <t>Safety Wand - Stinger LED/DS LED/Classic LED, Stinger 2020, Stinger 2020 S, 4AA ProPolymer - Glow in the Dark</t>
  </si>
  <si>
    <t>Holster - Stinger LED HPL, UltraStinger, Strion HPL (Deluxe Nylon), MegaStream HP USB</t>
  </si>
  <si>
    <t>Safety Wand - Stinger LED/DS LED/Classic LED, Stinger 2020, Stinger 2020 S, 4AA ProPolymer - White</t>
  </si>
  <si>
    <t>Ring Holder - Stinger</t>
  </si>
  <si>
    <t>Safety Wand - Stinger LED/DS LED/Classic LED, Stinger 2020, Stinger 2020 S, 4AA ProPolymer - Yellow</t>
  </si>
  <si>
    <t>Safety Wand - Stinger LED/DS LED/Classic LED, Stinger 2020, Stinger 2020 S, 4AA ProPolymer - Red</t>
  </si>
  <si>
    <t>Safety Wand - Stinger LED/DS LED/Classic LED, Stinger 2020, Stinger 2020 S, 4AA ProPolymer - Blue</t>
  </si>
  <si>
    <t>Stinger DS LED Tail Cap Switch - Fits Stinger LED Model flashlights with serial #034389 and later</t>
  </si>
  <si>
    <t>Stinger LED/DS LED Upgrade Kit (Original Stinger LED models without "C" or "C4" in the serial number) - Includes facecap assembly, retaining ring, and C4 LED with switch assembly</t>
  </si>
  <si>
    <t>Lens Tool - Stinger LED</t>
  </si>
  <si>
    <t>Anti-Roll Ring - Stinger/XT, PolyStinger, Stinger LED/DS LED, Stinger Lite Pipe</t>
  </si>
  <si>
    <t>5 Unit Bank Charger - 120V - Stinger Series</t>
  </si>
  <si>
    <t>NiMH Battery - Stingers except UltraStinger, PolyStinger LED HAZ-LO, Stinger Switchblade, Stinger 2020</t>
  </si>
  <si>
    <t>PiggyBack Smart Charger Holder &amp; Battery (Cord not included) - Stinger Series except UltraStinger, PolyStinger LED HAZ-LO, Stinger 2020</t>
  </si>
  <si>
    <t>USB PiggyBack Charger Assembly - Stinger</t>
  </si>
  <si>
    <t>Lithium-ion Battery - Stingers except UltraStinger, PolyStinger LED HAZ-LO, Stinger Switchblade, Stinger 2020</t>
  </si>
  <si>
    <t xml:space="preserve">Lens Tool Kit - Stinger </t>
  </si>
  <si>
    <r>
      <t xml:space="preserve">Switch Module - Stinger, PolyStinger, Stinger HP, UltraStinger </t>
    </r>
    <r>
      <rPr>
        <i/>
        <sz val="10"/>
        <rFont val="Arial Narrow"/>
        <family val="2"/>
      </rPr>
      <t>** Special tool required for installation</t>
    </r>
  </si>
  <si>
    <t>Leather holster - Basketweave Pattern - Stinger LED/PolyStinger LED Series</t>
  </si>
  <si>
    <t>Leather holster - Plain - Stinger LED/PolyStinger LED Series</t>
  </si>
  <si>
    <t>Flip Lens - Stinger LED/DS LED, Stinger 2020, Stinger 2020 S, 4AA ProPolymer - Green</t>
  </si>
  <si>
    <t>Flip Lens - Stinger LED/DS LED, Stinger 2020, Stinger 2020 S, 4AA ProPolymer - Blue</t>
  </si>
  <si>
    <t>Flip Lens - Stinger LED/DS LED, Stinger 2020, Stinger 2020 S, 4AA ProPolymer - Red</t>
  </si>
  <si>
    <t>Smart Charger Holder - Stinger Series</t>
  </si>
  <si>
    <t>Infrared Lens - Stinger LED/DS LED, Stinger 2020, Stinger 2020 S, 4AA ProPolymer</t>
  </si>
  <si>
    <t>Safety Wand - TL-2 LED, Strion/LED, 2AA ProPolymer - Glow in the Dark</t>
  </si>
  <si>
    <t>Safety Wand - TL-2 LED, Strion/LED, 2AA ProPolymer - Yellow</t>
  </si>
  <si>
    <t>Safety Wand - TL-2 LED, Strion/LED, 2AA ProPolymer - Red</t>
  </si>
  <si>
    <t>Lithium-ion Battery - Strion 2020</t>
  </si>
  <si>
    <t>6-unit Bank Charger 12V DC - Strion Series</t>
  </si>
  <si>
    <t>6-unit Bank Charger 120V AC - Strion Series</t>
  </si>
  <si>
    <t>Rail Mount - Strion Series</t>
  </si>
  <si>
    <t>Lithium-ion Battery - Strion Series, ProTac HL USB/HPL USB, ProTac HL USB Headlamp, Twin-Task USB Headlamp</t>
  </si>
  <si>
    <t>USB PiggyBack Charger Holder - Strion Series</t>
  </si>
  <si>
    <t>Stinger XT Sleeve</t>
  </si>
  <si>
    <t>Charger Holder Fast Charge (2.5 hour) (All Stingers) (**Does not include Cord)</t>
  </si>
  <si>
    <t>Charger Holder - Strion Series</t>
  </si>
  <si>
    <t>Leather Holster - Basketweave Pattern - Strion Series (excludes DS models), ProTac HL</t>
  </si>
  <si>
    <t>Leather Holster - Plain - Strion Series (excludes DS models), ProTac HL</t>
  </si>
  <si>
    <t>Strion Series Grip Ring</t>
  </si>
  <si>
    <t>Flip Lens - 2AA ProPolymer, TL-2 LED, Strion LED,  PolyTac/90 - I/R</t>
  </si>
  <si>
    <t>Lanyard with Push Button Slide</t>
  </si>
  <si>
    <t>Magnetic Clip - Streamlight Jr. LED Series</t>
  </si>
  <si>
    <t>Nylon Holster - ProPolymer 2AA, Streamlight Jr. LED, Jr F-Stop</t>
  </si>
  <si>
    <t>Nylon Holster - SL-JR Black</t>
  </si>
  <si>
    <t>REM 870 Rail - TLRs</t>
  </si>
  <si>
    <t>Mag Tube Rail - TL Series, Super Tac</t>
  </si>
  <si>
    <t>Mag Tube Rail - TLRs</t>
  </si>
  <si>
    <t>TL-Racker Forend Wrench</t>
  </si>
  <si>
    <t>Tailcap Switch - TLR-8 X G, TLR-8 X G sub MK2</t>
  </si>
  <si>
    <t>Tailcap Switch - TLR-7 X sub MK2</t>
  </si>
  <si>
    <t>Tailcap Switch - TLR-8 X, TLR-10G MK2</t>
  </si>
  <si>
    <t>Tailcap Switch - TLR-7 X, TLR-9 MK2</t>
  </si>
  <si>
    <r>
      <t>Sig</t>
    </r>
    <r>
      <rPr>
        <vertAlign val="superscript"/>
        <sz val="10"/>
        <rFont val="Arial Narrow"/>
        <family val="2"/>
      </rPr>
      <t>®</t>
    </r>
    <r>
      <rPr>
        <sz val="10"/>
        <rFont val="Arial Narrow"/>
        <family val="2"/>
      </rPr>
      <t xml:space="preserve"> P320 XCARRY Contour Remote - TLR-1 and TLR-2</t>
    </r>
  </si>
  <si>
    <t>Bracket Kit - For MSA Cairns® 1010/1044 Traditional Fire Helmets</t>
  </si>
  <si>
    <t>Bracket Kit - Vantage II - Industrial</t>
  </si>
  <si>
    <t>Bracket Kit - Vantage II - Fire</t>
  </si>
  <si>
    <t>TLR-sub SIG 365/XL Clamp Kit</t>
  </si>
  <si>
    <t>TLR-sub 1913 Clamp Kit</t>
  </si>
  <si>
    <t>TLR-sub Clamp Kit - 1913OS</t>
  </si>
  <si>
    <t xml:space="preserve">TLR-sub GLOCK Clamp Kit </t>
  </si>
  <si>
    <t>Contour Remote (Fits Smith &amp; Wesson M&amp;P Autoloading Pistols)</t>
  </si>
  <si>
    <t>Contour Remote (Fits Glock 17/22 and 19/23 size frames)</t>
  </si>
  <si>
    <t>CR 1/3N Lithium Batteries - 12pk - TLR-6</t>
  </si>
  <si>
    <t>CR 1/3N Lithium Batteries - 2pk - TLR-6</t>
  </si>
  <si>
    <t>TLR-3/TLR-4, H&amp;K USP Conversion Kit Full</t>
  </si>
  <si>
    <t xml:space="preserve">TLR-3/TLR-4, H&amp;K USP Conversion Kit Compact </t>
  </si>
  <si>
    <t>CR2 lithium batteries - 2pk</t>
  </si>
  <si>
    <t>Key Kit - TLR-1 HL-X</t>
  </si>
  <si>
    <t>Key Kit - TLR-7 X/TLR-8 X/TLR-9/TLR10/TLR RM 1 - Includes Rail Locating Keys for Universal or 1913 Picatinny style rails and mounting tools</t>
  </si>
  <si>
    <t>Key Kit - TLR-3/TLR-4 - Includes Rail Locating Keys for Glock style, 1913 Picatinny style rails and mounting tools</t>
  </si>
  <si>
    <t xml:space="preserve">Key Kit - TLR-1/TLR-2 - Includes Rail Locating Keys for Glock style, 1913 Picatinny, S&amp;W 99/TSW, P320 and Beretta 90TWO and mounting tools </t>
  </si>
  <si>
    <t>Remote Door/Switch Assy with SAFE OFF - TLR-1/ TLR-2 Series</t>
  </si>
  <si>
    <t>Remote Pressure Switch Plug (Momentary), Straight - TLR-1/ TLR-2 Series</t>
  </si>
  <si>
    <t>Dual Remote Pressure Switch - Includes mounting kit</t>
  </si>
  <si>
    <t>Remote Pressure Switch Plug - Coil - TLR-1/ TLR-2 Series</t>
  </si>
  <si>
    <t>Remote Tape Switch Plug - Straight  - TLR-1/ TLR-2 Series</t>
  </si>
  <si>
    <t>Remote Door/Switch Assy - TLR-1/ TLR-2 Series</t>
  </si>
  <si>
    <t>Flip Lens - TLR-1/TLR-2 Series, ProTac Rail Mount 1 and 2 - Opaque</t>
  </si>
  <si>
    <t>Flip Lens - TLR-1/TLR-2 Series, ProTac Rail Mount 1 and 2 - IR</t>
  </si>
  <si>
    <t>Flip Lens - TLR-1/TLR-2 Series, ProTac Rail Mount 1 and 2 - Green</t>
  </si>
  <si>
    <t>Flip Lens - TLR-1/TLR-2 Series, ProTac Rail Mount 1 and 2 - Blue</t>
  </si>
  <si>
    <t>Flip Lens - TLR-1/TLR-2 Series, ProTac Rail Mount 1 and 2 - Red</t>
  </si>
  <si>
    <t>Vertical Grip with Rail - Strion Series, TLR, TL-2 LED</t>
  </si>
  <si>
    <t>Nylon Holster - 4AA, 4AA LED, PolyTac LED HP</t>
  </si>
  <si>
    <t>Lithium-ion Battery - Dualie Rechargeable</t>
  </si>
  <si>
    <t>Charger Holder - Dualie Rechargeable</t>
  </si>
  <si>
    <t>Bank Charger - Dualie Rechargeable</t>
  </si>
  <si>
    <t>Poly Mount - 2AA/3AA/4AA ProPolymer Series, PolyTac Series</t>
  </si>
  <si>
    <t>Belt Clip - 3AA ProPolymer HAZ-LO/4AA ProPolymax</t>
  </si>
  <si>
    <t>4AA/3AA/PolyTac Helmet Mount</t>
  </si>
  <si>
    <t>4AA ProPolymer Lens Kit (Red, Green, Blue lenses)</t>
  </si>
  <si>
    <t>Lithium-ion battery - MacroStream USB</t>
  </si>
  <si>
    <t>Lithium-ion battery - MicroStream USB</t>
  </si>
  <si>
    <t>Tailcap Switch - Stylus Pro HAZ-LO</t>
  </si>
  <si>
    <t>Stylus Pro HAZ-LO Clip</t>
  </si>
  <si>
    <t>Rubber Sleeve - Stylus Pro USB and MicroStream USB</t>
  </si>
  <si>
    <t>Lithium-ion battery - Stylus Pro USB</t>
  </si>
  <si>
    <t>Nylon Holster - Stylus Pro USB, Stylus Pro HAZ-LO, 2AAA ProPolymer HAZ-LO</t>
  </si>
  <si>
    <t>Nylon Holster - Stylus Pro</t>
  </si>
  <si>
    <t>6 PK Stylus Tailcap, Black</t>
  </si>
  <si>
    <t>Stylus Glare Guard</t>
  </si>
  <si>
    <t>AAAA Batteries - 6pk</t>
  </si>
  <si>
    <t xml:space="preserve">"N" Cell batteries - 6pk </t>
  </si>
  <si>
    <t>Hat Mount - SL-SideSaddle</t>
  </si>
  <si>
    <t>Polymer Battery - SL-SideSaddle USB</t>
  </si>
  <si>
    <t>Slot Strap Kit - SL-SideSaddle</t>
  </si>
  <si>
    <t>Universal Y-Strap Kit - SL-SideSaddle</t>
  </si>
  <si>
    <t>Hard Hat Base - SL-SideSaddle</t>
  </si>
  <si>
    <t>Double Clutch Strap Assembly</t>
  </si>
  <si>
    <t>Lithium Polymer Battery - Double Clutch USB</t>
  </si>
  <si>
    <t>5-Unit Bank Charger - 120V AC - USB HAZ-LO Headlamp</t>
  </si>
  <si>
    <t>Charger/Holder - USB HAZ-LO Headlamp (cord not included)</t>
  </si>
  <si>
    <t>Lithium-ion battery - BearTrap Series</t>
  </si>
  <si>
    <t>Lithium-ion battery - USB HAZ-LO Headlamp</t>
  </si>
  <si>
    <t>Hardhat Clip - 1" (2.54 cm) Strap</t>
  </si>
  <si>
    <t>Safety Wand - ProTac HL USB - Red</t>
  </si>
  <si>
    <t>Rubber Headlamp Strap (Headlamps)</t>
  </si>
  <si>
    <t>36" (9.44 cm) Security Cable - SpeedLocker</t>
  </si>
  <si>
    <t>Padlock - Includes 3 keys - SpeedLocker</t>
  </si>
  <si>
    <t>Twin-Task Replacement Xenon Bulb</t>
  </si>
  <si>
    <t>Battery Pack - Lithium-ion - Portable Scene Light II - 2pk</t>
  </si>
  <si>
    <t>Lithium-ion Battery - E-Flood LiteBox/FireBox, E-Spot LiteBox/FireBox - Upgrade</t>
  </si>
  <si>
    <r>
      <t xml:space="preserve">Battery - LiteBox/FireBox/E-Flood LiteBox/E-Spot LiteBox - </t>
    </r>
    <r>
      <rPr>
        <i/>
        <sz val="10"/>
        <rFont val="Arial Narrow"/>
        <family val="2"/>
      </rPr>
      <t>California Proposition 65 WARNING:  This product contains chemicals known to the State of California to cause cancer, or birth defects or other reproductive harm.</t>
    </r>
  </si>
  <si>
    <t>Head Cover, LiteBox</t>
  </si>
  <si>
    <t>E-Spot Upgrade Kit</t>
  </si>
  <si>
    <t>E-Flood Upgrade Kit</t>
  </si>
  <si>
    <t>Heavy Duty Shoulder Strap with Carabiner Lock (Portable Scene Light)</t>
  </si>
  <si>
    <t>HID Flood Lens</t>
  </si>
  <si>
    <t>HID IR Filter</t>
  </si>
  <si>
    <t>HID Bulb Kit</t>
  </si>
  <si>
    <r>
      <t xml:space="preserve">Battery - Portable Scene Light, HID LiteBox, E-Flood LiteBox HL  </t>
    </r>
    <r>
      <rPr>
        <i/>
        <sz val="9"/>
        <rFont val="Arial Narrow"/>
        <family val="2"/>
      </rPr>
      <t>California Proposition 65 WARNING:  This product contains chemicals known to the State of California to cause cancer, or birth defects or other reproductive harm.</t>
    </r>
  </si>
  <si>
    <t>Heavy Duty Shoulder Strap (LiteBox/HID/FireBox/Vulcan Series)</t>
  </si>
  <si>
    <t>Direct Wire 12V DC Mounting Rack - Black - HID LiteBox</t>
  </si>
  <si>
    <t>Standard System Mounting Rack - Black - HID LiteBox</t>
  </si>
  <si>
    <t>Direct Wire 12V DC Mounting Rack - Yellow - LiteBox/FireBox Series</t>
  </si>
  <si>
    <t>Standard System Mounting Rack - Yellow - LiteBox/FireBox Series</t>
  </si>
  <si>
    <t>Direct Wire 12V DC Mounting Rack - Orange - LiteBox/FireBox/HID LiteBox</t>
  </si>
  <si>
    <t>Standard System Mounting Rack - Orange - LiteBox/FireBox/HID LiteBox</t>
  </si>
  <si>
    <t>Siege Magnetic Base - Black</t>
  </si>
  <si>
    <t>Super Siege Magnetic Base - Black</t>
  </si>
  <si>
    <t>Glare Guard - The Siege/Super Siege</t>
  </si>
  <si>
    <t>Siege AA Magnetic Base - Coyote</t>
  </si>
  <si>
    <t>Waypoint (Alkaline) Filter - Green</t>
  </si>
  <si>
    <t>Waypoint (Alkaline) Filter - Red</t>
  </si>
  <si>
    <t>12V DC Cord - Waypoint 400/Super Siege/BearTrap/Li-ion Bank Charger</t>
  </si>
  <si>
    <t>120V AC (90 degree barrel) Cord - BearTrap</t>
  </si>
  <si>
    <t>Waypoint 400 mount/holder</t>
  </si>
  <si>
    <t>Waypoint 400 Filter - Green</t>
  </si>
  <si>
    <t>Waypoint 400 Filter - Red</t>
  </si>
  <si>
    <t>120V AC Cord - Waypoint 400/Super Siege/Li-ion 8-Unit Bank Charger</t>
  </si>
  <si>
    <t>Waypoint mount/holder (Alkaline Model)</t>
  </si>
  <si>
    <t>Waypoint 12V DC power cord - 62.2" (158 cm)</t>
  </si>
  <si>
    <t>Strap - berry quick release</t>
  </si>
  <si>
    <t>Lithium-ion Battery - Fire Vulcan LED</t>
  </si>
  <si>
    <t>Lithium-ion Battery - Vulcan Clutch</t>
  </si>
  <si>
    <t>Lithium-ion Battery - Vulcan 180 DIV 1</t>
  </si>
  <si>
    <t>Lithium-ion Battery - Vulcan 180</t>
  </si>
  <si>
    <t>Vulcan 180 Standard System Rack</t>
  </si>
  <si>
    <t xml:space="preserve">Direct Wire 12V DC Charge Kit (Vulcan 180) Black </t>
  </si>
  <si>
    <t>Direct Wire 12V DC Mounting Rack (Vulcan Series) Black</t>
  </si>
  <si>
    <t>Charging Rack AC/DC Smart Charge (Vulcan Series) Black</t>
  </si>
  <si>
    <t>Quick Release Strap (FireBox/LiteBox/Vulcan Series)</t>
  </si>
  <si>
    <r>
      <t xml:space="preserve">Battery (Vulcan/Fire Vulcan) </t>
    </r>
    <r>
      <rPr>
        <i/>
        <sz val="9"/>
        <rFont val="Arial Narrow"/>
        <family val="2"/>
      </rPr>
      <t>California Proposition 65 WARNING:  This product contains chemicals known to the State of California to cause cancer, or birth defects or other reproductive harm.</t>
    </r>
  </si>
  <si>
    <r>
      <t>Locking Device (</t>
    </r>
    <r>
      <rPr>
        <i/>
        <sz val="10"/>
        <rFont val="Arial Narrow"/>
        <family val="2"/>
      </rPr>
      <t>keyed differently</t>
    </r>
    <r>
      <rPr>
        <sz val="10"/>
        <rFont val="Arial Narrow"/>
        <family val="2"/>
      </rPr>
      <t xml:space="preserve">) (FireBox/LiteBox) </t>
    </r>
    <r>
      <rPr>
        <i/>
        <sz val="10"/>
        <rFont val="Arial Narrow"/>
        <family val="2"/>
      </rPr>
      <t>**Must be factory installed</t>
    </r>
  </si>
  <si>
    <t>3C Xenon Lamp Assembly</t>
  </si>
  <si>
    <t>Battery Stick (SL20-XP) (NiCd)</t>
  </si>
  <si>
    <t>20XP/LED Sleeve</t>
  </si>
  <si>
    <t>Nylon Holster - SL Series, ProTac HL-5X</t>
  </si>
  <si>
    <t>Safety Wand - SL-20 Series - Yellow</t>
  </si>
  <si>
    <t>Safety Wand - SL-20 Series - Glow in the Dark</t>
  </si>
  <si>
    <t>Safety Wand - SL-20 Series - Red</t>
  </si>
  <si>
    <t>SL-B34 Rechargeable Battery Pack - 1pk</t>
  </si>
  <si>
    <t>SL-B2 Battery - 2pk</t>
  </si>
  <si>
    <t>SL-B2 Battery Charger – Includes charger and (2) SL-B2 batteries</t>
  </si>
  <si>
    <t>SL-B50 Battery Pack - 2pk</t>
  </si>
  <si>
    <t>SL-B50 Battery Pack - 1pk</t>
  </si>
  <si>
    <t>SL-B26 Protected Li-ion USB Rechargeable Battery Pack - 12pk</t>
  </si>
  <si>
    <t>SL-B26 Protected Li-ion USB Rechargeable Battery Pack - 8pk</t>
  </si>
  <si>
    <t>SL-B26 Protected Li-ion USB Rechargeable Battery Pack - 2pk - Box</t>
  </si>
  <si>
    <t>SL-B26 Protected Li-ion USB Rechargeable Battery Pack - 2pk</t>
  </si>
  <si>
    <t>SL-B26 Protected Li-ion USB Rechargeable Battery Pack</t>
  </si>
  <si>
    <t>SL-B26 USB Battery Charge Cradle</t>
  </si>
  <si>
    <t>USB-C Cord 40" (101.6 cm)</t>
  </si>
  <si>
    <t xml:space="preserve"> "Y" Split USB-C Cord</t>
  </si>
  <si>
    <t>120V USB Adapter</t>
  </si>
  <si>
    <t>120V/100V AC Charge Cord - HID LiteBox, E-Flood LiteBox HL</t>
  </si>
  <si>
    <t>USB-C Cord 22" (55.88 cm)</t>
  </si>
  <si>
    <t>Portable Scene Light Series Power Supply</t>
  </si>
  <si>
    <t>Micro-USB Cord - Y Split</t>
  </si>
  <si>
    <t>USB Cord A to USB Micro 22" (55.88 cm)</t>
  </si>
  <si>
    <t>12V DC USB Cord - Dualie Rechargeable</t>
  </si>
  <si>
    <t>USB Cord A TO USB MICRO 5" (12.7 cm)</t>
  </si>
  <si>
    <t>120V AC Cord - Portable Scene Light Series</t>
  </si>
  <si>
    <t>120V AC USB Charge Cord</t>
  </si>
  <si>
    <t>40" (101 cm) USB Cord A to Micro</t>
  </si>
  <si>
    <t>12V DC USB Adapter</t>
  </si>
  <si>
    <t>120V/100V AC Charge Cord</t>
  </si>
  <si>
    <t>120V AC USB Wall Adapter</t>
  </si>
  <si>
    <t>12V DC Power Cord (10 ft) - H.I.D. LiteBox</t>
  </si>
  <si>
    <t>X-Series Charge Unit D</t>
  </si>
  <si>
    <t>DC1 Charge Cord (All Rechargeables)</t>
  </si>
  <si>
    <t>DC2 Direct Wire Charge Cord (All Rechargeables)</t>
  </si>
  <si>
    <t>Charge Sleeve - Smart Charger - SL Series  (**Cord not included)</t>
  </si>
  <si>
    <t>5 Unit Bank Charger - 12V DC - SL Series</t>
  </si>
  <si>
    <t>5 Unit Bank Charger - 120V AC - SL Series</t>
  </si>
  <si>
    <t>Lens Tool - SL-20L</t>
  </si>
  <si>
    <t>SL-B9 Battery Pack - 100pk</t>
  </si>
  <si>
    <t>SL-B9 Battery Pack - 8pk</t>
  </si>
  <si>
    <t>SL-B9 Battery Pack - 2pk</t>
  </si>
  <si>
    <t>12V DC 2 Charge Cord - Li-ion 8-Unit Bank Charger</t>
  </si>
  <si>
    <t>Safety Wand - Glow in the Dark - Sidewinder Series</t>
  </si>
  <si>
    <t>Sidewinder Stalk Arc Rail Mount</t>
  </si>
  <si>
    <t xml:space="preserve">Sidewinder Stalk Arc Rail Clip </t>
  </si>
  <si>
    <t>Sidewinder Stalk Helmet Clip</t>
  </si>
  <si>
    <t>Sidewinder NVG Mount (Tactical) (works with DoD, NATO and ISAF combat helmets)</t>
  </si>
  <si>
    <t>Sidewinder Rescue Accessory Kit - Includes MOLLE retainer and paracord</t>
  </si>
  <si>
    <t>Paracord</t>
  </si>
  <si>
    <t>Sidewinder E-Mount Accessory Kit - Includes E-mount, MOLLE retainer and paracord</t>
  </si>
  <si>
    <t>Sidewinder E-Mount Kit (ACH, ECH, MICH, LWH Compatible)</t>
  </si>
  <si>
    <t>Sidewinder NVG Mount (works with HGU-84 rotary wing aircrew helmet)</t>
  </si>
  <si>
    <t>Sidewinder High Offset ARC Rail Mount</t>
  </si>
  <si>
    <t>Sidewinder Contour ARC Rail Mount</t>
  </si>
  <si>
    <t>Sidewinder Rail Mount Accessory Kit</t>
  </si>
  <si>
    <t>Sidewinder Helmet Mount Accessory Kit</t>
  </si>
  <si>
    <t xml:space="preserve">Sidewinder Mount, Hook &amp; Loop </t>
  </si>
  <si>
    <t xml:space="preserve">Elastic Headstrap - Coyote - Works with Sidewinder Compact and PolyTac 90  </t>
  </si>
  <si>
    <t>Sidewinder 1913 Rail Mount (not intended for use with long guns) - Coyote</t>
  </si>
  <si>
    <t>Sidewinder Helmet Mount - Coyote</t>
  </si>
  <si>
    <t>Replacement Retainer MOLLE - Sidewinder</t>
  </si>
  <si>
    <t>MOD DISPLAY, MegaStream HP</t>
  </si>
  <si>
    <t>MOD DISPLAY, TLR-1 HP-X</t>
  </si>
  <si>
    <t>MOD DISPLAY, TLR RM 1 HL-X USB</t>
  </si>
  <si>
    <t>MOD DISPLAY, Sidewinder X Military</t>
  </si>
  <si>
    <t>MOD DISPLAY, MegaStream USB</t>
  </si>
  <si>
    <t>MOD DISPLAY, TLR-8 HL-X G sub USB 1913OS</t>
  </si>
  <si>
    <t xml:space="preserve">MOD DISPLAY, TLR-8 HL-X sub USB P365 </t>
  </si>
  <si>
    <t>MOD DISPLAY, TLR-8 HL-X G USB GLK</t>
  </si>
  <si>
    <t>MOD DISPLAY, TLR-8 HL-X 1913</t>
  </si>
  <si>
    <t>MOD DISPLAY, TLR-7 HL-X sub</t>
  </si>
  <si>
    <t>MOD DISPLAY, TLR-1 HL-X</t>
  </si>
  <si>
    <t>MOD DISPLAY, ProTac HL 6</t>
  </si>
  <si>
    <t>MOD DISPLAY, ProTac 2AA-X USB</t>
  </si>
  <si>
    <t>MOD DISPLAY, TLR-7 HL-X</t>
  </si>
  <si>
    <t>MOD DISPLAY, Strion 2020</t>
  </si>
  <si>
    <t>MOD DISPLAY, TLR-6 HL G P365</t>
  </si>
  <si>
    <t>MOD DISPLAY, TLR-6 HL R 42/43</t>
  </si>
  <si>
    <t>MOD DISPLAY, Survivor Pivot</t>
  </si>
  <si>
    <t>MOD DISPLAY, ProTac Rail Mount HL-X Pro</t>
  </si>
  <si>
    <t>MOD DISPLAY, Stylus Pro HAZ-LO</t>
  </si>
  <si>
    <t>MOD DISPLAY, Wedge XT</t>
  </si>
  <si>
    <t>MOD DISPLAY, Stinger Color-Rite</t>
  </si>
  <si>
    <t>MOD DISPLAY, ProTac 2.0 Headlamp</t>
  </si>
  <si>
    <t>MOD DISPLAY, ProTac 2.0</t>
  </si>
  <si>
    <t>MOD DISPLAY, TLR-8 X G sub</t>
  </si>
  <si>
    <t xml:space="preserve">MOD DISPLAY, TLR-8 X sub </t>
  </si>
  <si>
    <t xml:space="preserve">MOD DISPLAY, Dualie 3AA Color-Rite  </t>
  </si>
  <si>
    <t>MOD DISPLAY, TLR-10 G</t>
  </si>
  <si>
    <t>MOD DISPLAY, Sidewinder Stalk</t>
  </si>
  <si>
    <t xml:space="preserve">MOD DISPLAY, Wedge  </t>
  </si>
  <si>
    <t>MOD DISPLAY, TLR-7 X sub P365</t>
  </si>
  <si>
    <t>MOD DISPLAY, TLR-10</t>
  </si>
  <si>
    <t>DISPLAY, Weapon Mount - Empty</t>
  </si>
  <si>
    <t>MOD DISPLAY, ProTac 90X</t>
  </si>
  <si>
    <t>MOD DISPLAY, PolyTac 90 X</t>
  </si>
  <si>
    <t>MOD DISPLAY, Stinger 2020</t>
  </si>
  <si>
    <t>MOD DISPLAY, Strion Switchblade</t>
  </si>
  <si>
    <t>MOD DISPLAY, MacroStream</t>
  </si>
  <si>
    <t>MOD DISPLAY, TLR-8 X G</t>
  </si>
  <si>
    <t>MOD DISPLAY, TLR-8 X</t>
  </si>
  <si>
    <t>MOD DISPLAY, TLR-7 X</t>
  </si>
  <si>
    <t>MOD DISPLAY, TLR-9</t>
  </si>
  <si>
    <t>MOD DISPLAY, Enduro Pro USB</t>
  </si>
  <si>
    <t>MOD DISPLAY, Syclone</t>
  </si>
  <si>
    <t>MOD DISPLAY, FlipMate</t>
  </si>
  <si>
    <t>MOD DISPLAY, USB HAZ-LO Headlamp</t>
  </si>
  <si>
    <t>MOD DISPLAY, TLR-6 42/43 NL</t>
  </si>
  <si>
    <t>MOD DISPLAY, ProTac RM HL-X Laser</t>
  </si>
  <si>
    <t>MOD DISPLAY, TLR-VIR II</t>
  </si>
  <si>
    <t>MOD DISPLAY, Enduro Pro HAZ-LO</t>
  </si>
  <si>
    <t>MOD DISPLAY, ProTac 2L X</t>
  </si>
  <si>
    <t>MOD DISPLAY, ProTac HL X</t>
  </si>
  <si>
    <t>MOD DISPLAY, Dualie 2AA</t>
  </si>
  <si>
    <t>MOD DISPLAY, Vantage 180</t>
  </si>
  <si>
    <t>MOD DISPLAY, Strion DS HL</t>
  </si>
  <si>
    <t>MOD DISPLAY, ProTac 1L-1AA</t>
  </si>
  <si>
    <t xml:space="preserve">MOD DISPLAY, TLR-6 SIG  </t>
  </si>
  <si>
    <t xml:space="preserve">MOD DISPLAY, TLR-6 M&amp;P </t>
  </si>
  <si>
    <t>MOD DISPLAY, TLR-6 G26/27</t>
  </si>
  <si>
    <t xml:space="preserve">MOD DISPLAY, 3AA Dualie  </t>
  </si>
  <si>
    <t>MOD DISPLAY, TLR-6 G42/43</t>
  </si>
  <si>
    <t>MOD DISPLAY, TLR-2 HL G</t>
  </si>
  <si>
    <t>MOD DISPLAY, ProTac HL USB</t>
  </si>
  <si>
    <t>MOD DISPLAY, ClipMate USB</t>
  </si>
  <si>
    <t>MOD DISPLAY, TLR-1 HL</t>
  </si>
  <si>
    <t>MOD DISPLAY, Waypoint</t>
  </si>
  <si>
    <t>MOD DISPLAY, Stinger LED</t>
  </si>
  <si>
    <t>MOD DISPLAY, Trident</t>
  </si>
  <si>
    <t>MOD DISPLAY, Septor</t>
  </si>
  <si>
    <t>MOD DISPLAY, Streamlight Jr. LED</t>
  </si>
  <si>
    <t>Modular Displays *No discounts</t>
  </si>
  <si>
    <t xml:space="preserve">Bracket - TLR Series - 29.84" x 7.62" x 10.16" </t>
  </si>
  <si>
    <t xml:space="preserve">Display Base - Vulcan Charger 120V - 22.86" x 33.02" x 29.84" </t>
  </si>
  <si>
    <t xml:space="preserve">Bracket - Headlamps - 29.84" x 7.62" x 15.24" </t>
  </si>
  <si>
    <t xml:space="preserve">Bracket - Strion Charger 120V - 29.84" x 7.62" x 10.16" </t>
  </si>
  <si>
    <t xml:space="preserve">Bracket - Stinger Charger 120V - 29.84" x 7.62" x 10.16" </t>
  </si>
  <si>
    <t xml:space="preserve">Bracket - Hand-held Lights (fits most Streamlight hand-held lights) - 29.84" x 7.62" x 10.16" </t>
  </si>
  <si>
    <t xml:space="preserve">Display Base (Brackets and product sold separately) - 11.75" x 3" x 4" </t>
  </si>
  <si>
    <r>
      <t>Modular Display Brackets</t>
    </r>
    <r>
      <rPr>
        <sz val="10"/>
        <color indexed="23"/>
        <rFont val="Arial Narrow"/>
        <family val="2"/>
      </rPr>
      <t xml:space="preserve"> - Product and feature cards sold separately.            *No Discounts Apply*</t>
    </r>
  </si>
  <si>
    <t>Counter Mat - Clear w/ logo</t>
  </si>
  <si>
    <t>5 Inch Icon Magnet</t>
  </si>
  <si>
    <t>9 Inch Icon Sticker</t>
  </si>
  <si>
    <t>Tools Not Toys Sticker</t>
  </si>
  <si>
    <t>Diamond Plate Sticker</t>
  </si>
  <si>
    <t>Hard hat Sticker</t>
  </si>
  <si>
    <t>3 Inch Icon Sticker</t>
  </si>
  <si>
    <t>5 Inch Icon Sticker</t>
  </si>
  <si>
    <t>Banner 31.5 x 19" vinyl - White</t>
  </si>
  <si>
    <t xml:space="preserve">Streamlight Banner 2x6' vinyl - Black  </t>
  </si>
  <si>
    <t>Streamlight Banner 2x6' vinyl - White</t>
  </si>
  <si>
    <t>Sintra (PVC) Sign - Metallic color sign with logo. Features hooks for either slat wall or peg board mounting- 18 x 5 inches</t>
  </si>
  <si>
    <t xml:space="preserve">Header Sign White (frame sold separately) 22" x 6" </t>
  </si>
  <si>
    <t>Header Sign Orange (frame sold separately) 22" x 6"</t>
  </si>
  <si>
    <t xml:space="preserve">Header Sign Black (frame sold separately) 22" x 6" </t>
  </si>
  <si>
    <t xml:space="preserve">Header Sign Metallic (frame sold separately) 22" x 6" </t>
  </si>
  <si>
    <t>Time to Reorder Card</t>
  </si>
  <si>
    <t>Display - Stylus Clips</t>
  </si>
  <si>
    <t>Feature Card Set</t>
  </si>
  <si>
    <t xml:space="preserve">Logoed Backer, Peg Hook - plastic branded background for peg board display - Includes plastic clips for mounting - 24" x 26" </t>
  </si>
  <si>
    <t xml:space="preserve">Logoed Backer, Slat Wall - plastic branded background for slat wall display - Includes plastic clips for mounting - 24" x 26" </t>
  </si>
  <si>
    <t>Other - No discounts apply</t>
  </si>
  <si>
    <t>Acrylic Display - SL White - Large - 9.125" x 8.5" x 5.75"</t>
  </si>
  <si>
    <t>Acrylic Display - SL White - Small - 9.125" x 5.75" x 5.75"</t>
  </si>
  <si>
    <t>Acrylic Display - TLR - Full Size</t>
  </si>
  <si>
    <t>Acrylic Display - TLR - Subcompact</t>
  </si>
  <si>
    <r>
      <t>Acrylic Displays -</t>
    </r>
    <r>
      <rPr>
        <sz val="10"/>
        <color indexed="55"/>
        <rFont val="Arial Narrow"/>
        <family val="2"/>
      </rPr>
      <t xml:space="preserve"> Displays single flashlight. Great for countertops and trade show displays. Feature card set sold separately.       *No Discounts Apply*</t>
    </r>
  </si>
  <si>
    <t>Clip Strip Display - AAAA Battery</t>
  </si>
  <si>
    <t>Clip Strip Display - Stylus Pro</t>
  </si>
  <si>
    <t>Clip Strip Display - MicroStream</t>
  </si>
  <si>
    <t>Clip Strip Displays</t>
  </si>
  <si>
    <t>White 3 Tier Headlamp Display</t>
  </si>
  <si>
    <t>ProTac Display (Trio - Product not included) - Slat Wall Compatible</t>
  </si>
  <si>
    <t>ProTac Display (Trio - Product not included)</t>
  </si>
  <si>
    <t>Empty Display 2x3</t>
  </si>
  <si>
    <t>Magnetic (Work light) Counter Display</t>
  </si>
  <si>
    <t>Survivor X Counter Display</t>
  </si>
  <si>
    <t>MicroStream/Stylus Pro Display 2x3</t>
  </si>
  <si>
    <t>Stylus Pro Display 2x3</t>
  </si>
  <si>
    <t>MicroStream Display 2x3</t>
  </si>
  <si>
    <t>Empty Display 1x6</t>
  </si>
  <si>
    <t>Stylus Pro Display 1x6</t>
  </si>
  <si>
    <t>MicroStream Display 1x6</t>
  </si>
  <si>
    <t>Countertop Displays</t>
  </si>
  <si>
    <t xml:space="preserve">P.O.P. // DISPLAYS </t>
  </si>
  <si>
    <t>TL Racker - Remington 870 - CR123A lithium batteries - Box - Orange</t>
  </si>
  <si>
    <t>TL Racker - Mossberg 500/590 - CR123A lithium batteries - Box - Orange</t>
  </si>
  <si>
    <t>TL Racker - Mossberg 590 Shockwave - Includes strap and CR123A lithium batteries - Box - Black</t>
  </si>
  <si>
    <t>TL Racker - Remington 870 - CR123A lithium batteries - Box - Black</t>
  </si>
  <si>
    <t>TL Racker - Mossberg 500/590 - CR123A lithium batteries - Box - Black</t>
  </si>
  <si>
    <t>Export of Streamlight products may be subject to U.S. export controls, including but not limited to export controls administered by the U.S. Department of Commerce, Bureau of Industry and Security, under the Export Administration Regulations or by the U.S. Department of State, Directorate of Defense Trade Controls under the International Traffic in Arms Regulations. Sale of this product is restricted to Federal, state and local government law enforcement agencies through a direct purchase order.</t>
  </si>
  <si>
    <t>TL-RACKER®</t>
  </si>
  <si>
    <t>TLR RM 2 Laser G - Light only - Includes key kit and (2) CR123A lithium batteries - Box - Black</t>
  </si>
  <si>
    <t>TLR RM 2 Laser G - System- Includes remote door switch, remote pressure switch, mounting clips, (2) CR123A lithium batteries - Box - Black</t>
  </si>
  <si>
    <t>TLR RM 2 Laser R - Light only - Includes key kit and (2) CR123A lithium batteries - Box - Black</t>
  </si>
  <si>
    <t>TLR RM 2 Laser R - System- Includes remote door switch, remote pressure switch, mounting clips, (2) CR123A lithium batteries - Box - Black</t>
  </si>
  <si>
    <t>TLR RM 2 - Light only - Includes key kit and (2) CR123A lithium batteries - Box - Black</t>
  </si>
  <si>
    <t>TLR RM 2 System - Includes remote door switch, remote pressure switch, mounting clips and (2) CR123A lithium batteries - Box - Black</t>
  </si>
  <si>
    <t>TLR RM 1 HL-X USB - Light Only - Includes key kit, (1) SL-B9 rechargeable battery packs and USB-C cord - Box</t>
  </si>
  <si>
    <t>TLR RM 1 HL-X USB - System - Includes key kit, mounting hardware, straight momentary pressure switch, (1) SL-B9 rechargeable battery packs and USB-C cord - Box</t>
  </si>
  <si>
    <t>TLR RM 1 Laser G - Light only - Includes key kit and CR123A lithium battery - Box - Black</t>
  </si>
  <si>
    <t>TLR RM 1 Laser G - System - Includes remote door switch, remote pressure switch, mounting clips, CR123A lithium battery - Box - Black</t>
  </si>
  <si>
    <t>TLR RM 1 Laser R - Light only - Includes key kit and CR123A lithium battery - Box - Black</t>
  </si>
  <si>
    <t>TLR RM 1 Laser R - System - Includes remote door switch, remote pressure switch, mounting clips, CR123A lithium battery - Box - Black</t>
  </si>
  <si>
    <t>TLR RM 1 - Includes Dual Remote Switch - Box - Black</t>
  </si>
  <si>
    <t>TLR RM 1 - Light only - Includes key kit and CR123A lithium battery - Box - Black</t>
  </si>
  <si>
    <t>TLR RM 1 - System - Includes remote door switch, remote pressure switch, mounting clips, CR123A lithium battery - Box - Black</t>
  </si>
  <si>
    <t>TLR-VIR II visible LED/IR illuminator/IR laser - Includes Rail Locating Keys and CR123A lithium battery - Box - Black</t>
  </si>
  <si>
    <t>TLR-VIR II visible LED/IR illuminator/IR laser - Includes Rail Locating Keys and CR123A lithium battery - Box - Coyote</t>
  </si>
  <si>
    <t>TLR-10 G - Includes high switch (mounted), low switch, (2) CR123A lithium batteries and key kit - Black</t>
  </si>
  <si>
    <t>TLR-10 - Includes high switch (mounted), low switch, (2) CR123A lithium batteries and key kit - Black</t>
  </si>
  <si>
    <t>TLR-9 - Includes high switch (mounted), low switch, (2) CR123A lithium batteries and key kit - Box</t>
  </si>
  <si>
    <r>
      <t>TLR-8 HL-X G sub USB (1913OS</t>
    </r>
    <r>
      <rPr>
        <sz val="10.5"/>
        <rFont val="Arial Narrow"/>
        <family val="2"/>
      </rPr>
      <t>) - Includes high and low switches, (1) SL-B9 rechargeable battery pack, USB-C cord, multi-tool and mounting kit with key - Box</t>
    </r>
  </si>
  <si>
    <t>TLR-8 HL-X G sub USB (1913) - Includes high and low switches, (1) SL-B9 rechargeable battery pack, USB-C cord, multi-tool and mounting kit with keys - Box</t>
  </si>
  <si>
    <r>
      <t>TLR-8 HL-X G sub USB (SIG SAUER</t>
    </r>
    <r>
      <rPr>
        <vertAlign val="superscript"/>
        <sz val="10.5"/>
        <rFont val="Arial Narrow"/>
        <family val="2"/>
      </rPr>
      <t>®</t>
    </r>
    <r>
      <rPr>
        <sz val="10.5"/>
        <rFont val="Arial Narrow"/>
        <family val="2"/>
      </rPr>
      <t xml:space="preserve"> P365</t>
    </r>
    <r>
      <rPr>
        <vertAlign val="superscript"/>
        <sz val="10.5"/>
        <rFont val="Arial Narrow"/>
        <family val="2"/>
      </rPr>
      <t>®</t>
    </r>
    <r>
      <rPr>
        <sz val="10.5"/>
        <rFont val="Arial Narrow"/>
        <family val="2"/>
      </rPr>
      <t>/XL closed rail systems</t>
    </r>
    <r>
      <rPr>
        <b/>
        <sz val="10.5"/>
        <rFont val="Arial Narrow"/>
        <family val="2"/>
      </rPr>
      <t>*</t>
    </r>
    <r>
      <rPr>
        <sz val="10.5"/>
        <rFont val="Arial Narrow"/>
        <family val="2"/>
      </rPr>
      <t>) - Includes high and low switches, (1) SL-B9 rechargeable battery pack, USB-C cord, multi-tool and mounting kit with key - Box</t>
    </r>
  </si>
  <si>
    <r>
      <t>TLR-8 HL-X G sub USB (GLOCK</t>
    </r>
    <r>
      <rPr>
        <vertAlign val="superscript"/>
        <sz val="10.5"/>
        <rFont val="Arial Narrow"/>
        <family val="2"/>
      </rPr>
      <t>®</t>
    </r>
    <r>
      <rPr>
        <sz val="10.5"/>
        <rFont val="Arial Narrow"/>
        <family val="2"/>
      </rPr>
      <t xml:space="preserve"> 43X/48 MOS | 43X/48 Rail) - Includes high and low switches, (1) SL-B9 rechargeable battery pack, USB-C cord, multi-tool and mounting kit with key - Box</t>
    </r>
  </si>
  <si>
    <r>
      <t>TLR-8 HL-X sub USB (1913OS</t>
    </r>
    <r>
      <rPr>
        <sz val="10.5"/>
        <rFont val="Arial Narrow"/>
        <family val="2"/>
      </rPr>
      <t>) - Includes high and low switches, (1) SL-B9 rechargeable battery pack, USB-C cord, multi-tool and mounting kit with key - Box</t>
    </r>
  </si>
  <si>
    <t>TLR-8 HL-X sub USB (1913) - Includes high and low switches, (1) SL-B9 rechargeable battery pack, USB-C cord, multi-tool and mounting kit with keys - Box</t>
  </si>
  <si>
    <r>
      <t>TLR-8 HL-X sub USB (SIG SAUER</t>
    </r>
    <r>
      <rPr>
        <vertAlign val="superscript"/>
        <sz val="10.5"/>
        <rFont val="Arial Narrow"/>
        <family val="2"/>
      </rPr>
      <t>®</t>
    </r>
    <r>
      <rPr>
        <sz val="10.5"/>
        <rFont val="Arial Narrow"/>
        <family val="2"/>
      </rPr>
      <t xml:space="preserve"> P365</t>
    </r>
    <r>
      <rPr>
        <vertAlign val="superscript"/>
        <sz val="10.5"/>
        <rFont val="Arial Narrow"/>
        <family val="2"/>
      </rPr>
      <t>®</t>
    </r>
    <r>
      <rPr>
        <sz val="10.5"/>
        <rFont val="Arial Narrow"/>
        <family val="2"/>
      </rPr>
      <t>/XL closed rail systems</t>
    </r>
    <r>
      <rPr>
        <b/>
        <sz val="10.5"/>
        <rFont val="Arial Narrow"/>
        <family val="2"/>
      </rPr>
      <t>*</t>
    </r>
    <r>
      <rPr>
        <sz val="10.5"/>
        <rFont val="Arial Narrow"/>
        <family val="2"/>
      </rPr>
      <t>) - Includes high and low switches, (1) SL-B9 rechargeable battery pack, USB-C cord, multi-tool and mounting kit with key - Box</t>
    </r>
  </si>
  <si>
    <r>
      <t>TLR-8 HL-X sub USB (GLOCK</t>
    </r>
    <r>
      <rPr>
        <vertAlign val="superscript"/>
        <sz val="10.5"/>
        <rFont val="Arial Narrow"/>
        <family val="2"/>
      </rPr>
      <t>®</t>
    </r>
    <r>
      <rPr>
        <sz val="10.5"/>
        <rFont val="Arial Narrow"/>
        <family val="2"/>
      </rPr>
      <t xml:space="preserve"> 43X/48 MOS | 43X/48 Rail) - Includes high and low switches, (1) SL-B9 rechargeable battery pack, USB-C cord, multi-tool and mounting kit with key - Box</t>
    </r>
  </si>
  <si>
    <t>TLR-8 HL-X G USB – Includes high and low switches, (1) SL-B9 rechargeable battery pack, USB-C cord, multi-tool and key kit - Box</t>
  </si>
  <si>
    <t>TLR-8 HL-X USB – Includes high and low switches, (1) SL-B9 rechargeable battery pack, USB-C cord, multi-tool and key kit - Box</t>
  </si>
  <si>
    <t>TLR-8 X G sub (1913OS) - Includes mounting kit with keys, high/low paddle switches and CR123A lithium battery - Box</t>
  </si>
  <si>
    <t>TLR-8 X G sub (1913) - Includes mounting kit with keys, high/low paddle switches and CR123A lithium battery - Box</t>
  </si>
  <si>
    <t>TLR-8 X G sub (SIG SAUER® P365/XL) - Includes mounting kit with key, high/low paddle switches and CR123A lithium battery - Box</t>
  </si>
  <si>
    <t>TLR-8 X G sub (GLOCK® 43X/48 MOS | 43X/48 Rail) - Includes mounting kit with key, high/low paddle switches and CR123A lithium battery - Box</t>
  </si>
  <si>
    <t>TLR-8 X sub (1913OS) - Includes mounting kit with keys, high/low paddle switches and CR123A lithium battery - Box</t>
  </si>
  <si>
    <t>TLR-8 X sub (1913) - Includes mounting kit with keys, high/low paddle switches and CR123A lithium battery - Box</t>
  </si>
  <si>
    <t>TLR-8 X sub (SIG P365/XL) - Includes mounting kit with key, high/low paddle switches and CR123A lithium battery - Box</t>
  </si>
  <si>
    <t>TLR-8 X sub (GLOCK® 43X/48 MOS | 43X/48 Rail) - Includes mounting kit with key, high/low paddle switches and CR123A lithium battery - Box</t>
  </si>
  <si>
    <t>TLR-8 X G - Includes high switch, low switch, CR123A lithium battery and key kit - Box</t>
  </si>
  <si>
    <t>TLR-8 X - Includes high switch, low switch, CR123A lithium battery, and key kit - Box</t>
  </si>
  <si>
    <t>TLR-7 X Contour Remote (SIG SAUER® P320® XCarry frame) - Includes Rail Locating Keys, CR123A lithium battery - Box - Black</t>
  </si>
  <si>
    <t>TLR-7 X Contour Remote (for most railed GLOCK® Gen 4 or Gen 5 models) - Includes mounting key, CR123A lithium battery - Box - Black</t>
  </si>
  <si>
    <r>
      <t>TLR-7 X sub USB (1913OS</t>
    </r>
    <r>
      <rPr>
        <sz val="10.5"/>
        <color theme="1"/>
        <rFont val="Arial Narrow"/>
        <family val="2"/>
      </rPr>
      <t>) - Includes mounting kit with key, multi-tool, (1) SL-B9 Li-Ion rechargeable battery pack and USB-C cord</t>
    </r>
  </si>
  <si>
    <t>TLR-7 X sub USB (1913) - Includes mounting kit with keys, multi-tool, (1) SL-B9 Li-Ion rechargeable battery pack and USB-C cord</t>
  </si>
  <si>
    <r>
      <t>TLR-7 X sub USB (SIG SAUER</t>
    </r>
    <r>
      <rPr>
        <vertAlign val="superscript"/>
        <sz val="10.5"/>
        <color theme="1"/>
        <rFont val="Arial Narrow"/>
        <family val="2"/>
      </rPr>
      <t>®</t>
    </r>
    <r>
      <rPr>
        <sz val="10.5"/>
        <color theme="1"/>
        <rFont val="Arial Narrow"/>
        <family val="2"/>
      </rPr>
      <t xml:space="preserve"> P365</t>
    </r>
    <r>
      <rPr>
        <vertAlign val="superscript"/>
        <sz val="10.5"/>
        <color theme="1"/>
        <rFont val="Arial Narrow"/>
        <family val="2"/>
      </rPr>
      <t>®</t>
    </r>
    <r>
      <rPr>
        <sz val="10.5"/>
        <color theme="1"/>
        <rFont val="Arial Narrow"/>
        <family val="2"/>
      </rPr>
      <t>/XL closed rail systems*) - Includes mounting kit with key, multi-tool, (1) SL-B9 Li-Ion rechargeable battery pack and USB-C cord</t>
    </r>
    <r>
      <rPr>
        <i/>
        <sz val="10"/>
        <color theme="1"/>
        <rFont val="Arial Narrow"/>
        <family val="2"/>
      </rPr>
      <t xml:space="preserve"> Please Note:  Does not fit the P365</t>
    </r>
    <r>
      <rPr>
        <i/>
        <vertAlign val="superscript"/>
        <sz val="10"/>
        <color theme="1"/>
        <rFont val="Arial Narrow"/>
        <family val="2"/>
      </rPr>
      <t>®</t>
    </r>
    <r>
      <rPr>
        <i/>
        <sz val="10"/>
        <color theme="1"/>
        <rFont val="Arial Narrow"/>
        <family val="2"/>
      </rPr>
      <t xml:space="preserve"> XMACRO</t>
    </r>
    <r>
      <rPr>
        <sz val="10.5"/>
        <color theme="1"/>
        <rFont val="Arial Narrow"/>
        <family val="2"/>
      </rPr>
      <t xml:space="preserve"> </t>
    </r>
  </si>
  <si>
    <r>
      <t>TLR-7 X sub USB (GLOCK</t>
    </r>
    <r>
      <rPr>
        <vertAlign val="superscript"/>
        <sz val="10.5"/>
        <color theme="1"/>
        <rFont val="Arial Narrow"/>
        <family val="2"/>
      </rPr>
      <t>®</t>
    </r>
    <r>
      <rPr>
        <sz val="10.5"/>
        <color theme="1"/>
        <rFont val="Arial Narrow"/>
        <family val="2"/>
      </rPr>
      <t xml:space="preserve"> 43X/48 MOS | 43X/48 Rail) - Includes mounting kit with key, multi-tool, (1) SL-B9 Li-Ion rechargeable battery pack, and USB-C cord</t>
    </r>
  </si>
  <si>
    <r>
      <t>TLR-7 X sub (1913OS</t>
    </r>
    <r>
      <rPr>
        <sz val="10.5"/>
        <color theme="1"/>
        <rFont val="Arial Narrow"/>
        <family val="2"/>
      </rPr>
      <t>) - Includes mounting kit with key, multi-tool and (1) CR123A lithium battery</t>
    </r>
  </si>
  <si>
    <t>TLR-7 X sub (1913) - Includes mounting kit with keys, multi-tool and (1) CR123A lithium battery</t>
  </si>
  <si>
    <r>
      <t>TLR-7 X sub (SIG SAUER</t>
    </r>
    <r>
      <rPr>
        <vertAlign val="superscript"/>
        <sz val="10.5"/>
        <color theme="1"/>
        <rFont val="Arial Narrow"/>
        <family val="2"/>
      </rPr>
      <t>®</t>
    </r>
    <r>
      <rPr>
        <sz val="10.5"/>
        <color theme="1"/>
        <rFont val="Arial Narrow"/>
        <family val="2"/>
      </rPr>
      <t xml:space="preserve"> P365</t>
    </r>
    <r>
      <rPr>
        <vertAlign val="superscript"/>
        <sz val="10.5"/>
        <color theme="1"/>
        <rFont val="Arial Narrow"/>
        <family val="2"/>
      </rPr>
      <t>®</t>
    </r>
    <r>
      <rPr>
        <sz val="10.5"/>
        <color theme="1"/>
        <rFont val="Arial Narrow"/>
        <family val="2"/>
      </rPr>
      <t xml:space="preserve">/XL closed rail systems*) - Includes mounting kit with key, multi-tool, and (1) CR123A lithium battery </t>
    </r>
    <r>
      <rPr>
        <i/>
        <sz val="10"/>
        <color theme="1"/>
        <rFont val="Arial Narrow"/>
        <family val="2"/>
      </rPr>
      <t>Please note</t>
    </r>
    <r>
      <rPr>
        <sz val="10.5"/>
        <color theme="1"/>
        <rFont val="Arial Narrow"/>
        <family val="2"/>
      </rPr>
      <t xml:space="preserve">: </t>
    </r>
    <r>
      <rPr>
        <i/>
        <sz val="10"/>
        <color theme="1"/>
        <rFont val="Arial Narrow"/>
        <family val="2"/>
      </rPr>
      <t>Does not fit the P365</t>
    </r>
    <r>
      <rPr>
        <i/>
        <vertAlign val="superscript"/>
        <sz val="10"/>
        <color theme="1"/>
        <rFont val="Arial Narrow"/>
        <family val="2"/>
      </rPr>
      <t>®</t>
    </r>
    <r>
      <rPr>
        <i/>
        <sz val="10"/>
        <color theme="1"/>
        <rFont val="Arial Narrow"/>
        <family val="2"/>
      </rPr>
      <t xml:space="preserve"> XMACRO</t>
    </r>
  </si>
  <si>
    <r>
      <t>TLR-7 X sub (GLOCK</t>
    </r>
    <r>
      <rPr>
        <vertAlign val="superscript"/>
        <sz val="10.5"/>
        <color theme="1"/>
        <rFont val="Arial Narrow"/>
        <family val="2"/>
      </rPr>
      <t>®</t>
    </r>
    <r>
      <rPr>
        <sz val="10.5"/>
        <color theme="1"/>
        <rFont val="Arial Narrow"/>
        <family val="2"/>
      </rPr>
      <t xml:space="preserve"> 43X/48 MOS | 43X/48 Rail) - Includes mounting kit with key, multi-tool and (1) CR123A lithium battery </t>
    </r>
  </si>
  <si>
    <t>TLR-7 HL-X sub USB (1913OS) - Includes mounting kit with key, multi-tool and (1) SL-B9 Li-ion rechargeable battery pack and USB-C cord - Black</t>
  </si>
  <si>
    <t>TLR-7 HL-X sub USB (1913) - Includes mounting kit with key, multi-tool and (1) SL-B9 Li-ion rechargeable battery pack and USB-C cord - Black</t>
  </si>
  <si>
    <r>
      <t>TLR-7 HL-X sub USB (SIG SAUER</t>
    </r>
    <r>
      <rPr>
        <vertAlign val="superscript"/>
        <sz val="10.5"/>
        <color theme="1"/>
        <rFont val="Arial Narrow"/>
        <family val="2"/>
      </rPr>
      <t>®</t>
    </r>
    <r>
      <rPr>
        <sz val="10.5"/>
        <color theme="1"/>
        <rFont val="Arial Narrow"/>
        <family val="2"/>
      </rPr>
      <t xml:space="preserve"> P365</t>
    </r>
    <r>
      <rPr>
        <vertAlign val="superscript"/>
        <sz val="10.5"/>
        <color theme="1"/>
        <rFont val="Arial Narrow"/>
        <family val="2"/>
      </rPr>
      <t>®</t>
    </r>
    <r>
      <rPr>
        <sz val="10.5"/>
        <color theme="1"/>
        <rFont val="Arial Narrow"/>
        <family val="2"/>
      </rPr>
      <t>/XL closed rail systems*) - Includes mounting kit with key, multi-tool and (1) SL-B9 Li-ion rechargeable battery pack and USB-C cord - Black       *Does not fit the P365</t>
    </r>
    <r>
      <rPr>
        <vertAlign val="superscript"/>
        <sz val="10.5"/>
        <color theme="1"/>
        <rFont val="Arial Narrow"/>
        <family val="2"/>
      </rPr>
      <t>®</t>
    </r>
    <r>
      <rPr>
        <sz val="10.5"/>
        <color theme="1"/>
        <rFont val="Arial Narrow"/>
        <family val="2"/>
      </rPr>
      <t xml:space="preserve"> XMACRO</t>
    </r>
  </si>
  <si>
    <t>TLR-7 HL-X sub USB (GLOCK® 43X/48 MOS | 43X/48 Rail) - Includes mounting kit with key, multi-tool and (1) SL-B9 Li-ion rechargeable battery pack and USB-C cord - Black</t>
  </si>
  <si>
    <t>TLR-7 HL-X USB – Includes high and low paddle switches, rail locating keys, and (1) SL-B9 lithium battery pack – FDE</t>
  </si>
  <si>
    <t>TLR-7 HL-X USB – Includes high and low paddle switches, rail locating keys, and (1) SL-B9 lithium battery pack – Black</t>
  </si>
  <si>
    <t>TLR-7 X USB - Includes key kit, high/low paddle switches, SL-B9 rechargeable battery pack, and USB-C cord - FDE</t>
  </si>
  <si>
    <t>TLR-7 X USB - Includes key kit, high/low paddle switches, SL-B9 rechargeable battery pack, and USB-C cord - Black</t>
  </si>
  <si>
    <t>TLR-7 X - Includes low switch, high switch, CR123A lithium battery, and key kit - Box - FDE</t>
  </si>
  <si>
    <t>TLR-7 X - Includes low switch, high switch, CR123A lithium battery, and key kit - Box - Black</t>
  </si>
  <si>
    <t>TLR-6 HL G (G43X/48) White LED / Green Laser – Includes (3) SL-B2 batteries and charger  – Black</t>
  </si>
  <si>
    <t>TLR-6 HL G (M&amp;P® Shield™ 40/9) White LED / Green Laser – Includes (3) SL-B2 batteries and charger – Black</t>
  </si>
  <si>
    <t>TLR-6 HL G (SIG SAUER® P365®) White LED / Green Laser – Includes (3) SL-B2 batteries and charger  – Black</t>
  </si>
  <si>
    <t>TLR-6 HL G (GLOCK® Rail Mount) White LED / Green Laser  - Includes (3) SL-B2 batteries and charger - Black</t>
  </si>
  <si>
    <t>TLR-6 HL G (GLOCK® 42/43) White LED / Green Laser – Includes (3) SL-B2 batteries and charger  – Flat Dark Earth Brown</t>
  </si>
  <si>
    <t>TLR-6 HL G (GLOCK® 42/43) White LED / Green Laser – Includes (3) SL-B2 batteries and charger – Black</t>
  </si>
  <si>
    <t>TLR-6 HL (G43X/48) White LED / Red Laser – Includes (3) SL-B2 batteries and charger – Black</t>
  </si>
  <si>
    <t>TLR-6 HL (M&amp;P® Shield™ 40/9) White LED / Red Laser – Includes (3) SL-B2 batteries and charger – Black</t>
  </si>
  <si>
    <t>TLR-6 HL (SIG SAUER® P365®) White LED / Red Laser – Includes (3) SL-B2 batteries and charger – Black</t>
  </si>
  <si>
    <t xml:space="preserve">TLR-6 HL (GLOCK® Rail Mount) White LED / Red Laser  - Includes (3) SL-B2 batteries and charger - Black </t>
  </si>
  <si>
    <t>TLR-6 HL (GLOCK® 42/43) White LED / Red Laser – Includes (3) SL-B2 batteries and charger – Flat Dark Earth Brown</t>
  </si>
  <si>
    <t xml:space="preserve">TLR-6 HL (GLOCK® 42/43) White LED / Red Laser – Includes (3) SL-B2 batteries and charger – Black  </t>
  </si>
  <si>
    <t>TLR-6 (1911) Without Laser - Includes (2) CR 1/3N lithium batteries - Box</t>
  </si>
  <si>
    <t>TLR-6 (SIG SAUER®365) Without Laser - Includes (2) CR 1/3N lithium batteries - Box</t>
  </si>
  <si>
    <t>TLR-6 (M&amp;P Shield™) Without Laser - Includes (2) CR 1/3N lithium batteries - Box</t>
  </si>
  <si>
    <t>TLR-6 (GLOCK® 26/27/33) Without Laser - Includes (2) CR 1/3N lithium batteries - Box</t>
  </si>
  <si>
    <t>TLR-6 (GLOCK® 42/43) Without Laser - Includes (2) CR 1/3N lithium batteries - Box</t>
  </si>
  <si>
    <t>TLR-6 Rail (Smith &amp; Wesson M&amp;P™) Red Laser - Includes (2) CR 1/3N lithium batteries - Box</t>
  </si>
  <si>
    <t>TLR-6 Rail (SA XD) Red Laser - Includes (2) CR 1/3N lithium batteries - Box</t>
  </si>
  <si>
    <t>TLR-6 Rail (GLOCK®) Red Laser - Includes (2) CR 1/3N lithium batteries - Box</t>
  </si>
  <si>
    <t>TLR-6 (Taurus GX4™) Red Laser - Includes (2) CR 1/3N lithium batteries - Box</t>
  </si>
  <si>
    <t>TLR-6 (SA XD Hellcat®) Red Laser - Includes (2) CR 1/3N lithium batteries - Box</t>
  </si>
  <si>
    <t>TLR-6 (GLOCK® 43X/48) Red Laser - Includes (2) CR 1/3N lithium batteries - Box</t>
  </si>
  <si>
    <t>TLR-6 (1911) Red Laser - Includes (2) CR 1/3N lithium batteries - Box</t>
  </si>
  <si>
    <t>TLR-6 (GLOCK® 42/43) Red Laser - Includes (2) CR 1/3N lithium batteries - Box - Flat Dark Earth Brown</t>
  </si>
  <si>
    <t>TLR-6 Universal Kit - Includes LED/laser module and select TLR-6 body housings - (Flat Dark Earth Brown model not included)</t>
  </si>
  <si>
    <t>TLR-6 (Kimber® Micro) Red Laser - Includes (2) CR 1/3N lithium batteries - Box</t>
  </si>
  <si>
    <t>TLR-6 (SIG SAUER®365) Red Laser - Includes (2) CR 1/3N lithium batteries - Box</t>
  </si>
  <si>
    <t>TLR-6 (SIG SAUER® P238/P938) Red Laser - Includes (2) CR 1/3N lithium batteries - Box</t>
  </si>
  <si>
    <t>TLR-6 (Kahr®) Red Laser - Includes (2) CR 1/3N lithium batteries - Box</t>
  </si>
  <si>
    <t>TLR-6 (M&amp;P Shield™) Red Laser - Includes (2) CR 1/3N lithium batteries - Box</t>
  </si>
  <si>
    <t>TLR-6 (GLOCK® 26/27/33) Red Laser - Includes (2) CR 1/3N lithium batteries - Box</t>
  </si>
  <si>
    <t>TLR-6 (GLOCK® 42/43) Red Laser - Includes (2) CR 1/3N lithium batteries - Box</t>
  </si>
  <si>
    <t>TLR-4 G - H&amp;K USP Full-Size with CR2 lithium battery - Box</t>
  </si>
  <si>
    <t>TLR-4 G - H&amp;K USP Compact with CR2 lithium battery - Box</t>
  </si>
  <si>
    <t>TLR-4 G - Includes Rail Locating Keys and CR2 lithium battery - Box</t>
  </si>
  <si>
    <t>TLR-4 - Batteries not included</t>
  </si>
  <si>
    <t>TLR-4 - H&amp;K USP Full-Size with CR2 lithium battery - Box</t>
  </si>
  <si>
    <t>TLR-4 - H&amp;K USP Compact with CR2 lithium battery - Box</t>
  </si>
  <si>
    <t>TLR-4 - Includes Rail Locating Keys and CR2 lithium battery - Box</t>
  </si>
  <si>
    <t>TLR-3 - USP Full H&amp;K USP Full-Size with CR2 lithium battery - Box</t>
  </si>
  <si>
    <t>TLR-3 - H&amp;K USP Compact with CR2 lithium battery - Box</t>
  </si>
  <si>
    <t>TLR-3 - Includes Rail Locating Keys and CR2 lithium battery - Box</t>
  </si>
  <si>
    <t>TLR-2 HL G EXT - Includes Rail Locating Keys and lithium batteries - Box</t>
  </si>
  <si>
    <t>TLR-2 HL G - Includes Rail Locating Keys and lithium batteries - Box</t>
  </si>
  <si>
    <t>TLR-2 HL - Includes Rail Locating Keys and lithium batteries - Box</t>
  </si>
  <si>
    <t>TLR-2 G - Includes Rail Locating Keys and lithium batteries - Box</t>
  </si>
  <si>
    <t>TLR-2s - Includes Rail Locating Keys and lithium batteries - Box</t>
  </si>
  <si>
    <t>TLR-2 - Includes Rail Locating Keys and lithium batteries - Box</t>
  </si>
  <si>
    <t>TLR-1 HPL Long Gun Kit - Includes Safe off remote door switch, remote pressure switch, mounting clips, standard door switch, lithium batteries - Box</t>
  </si>
  <si>
    <t>TLR-1 HPL Remote Switch - Includes Rail Locating Keys, remote switch, door switch, and lithium batteries - Box</t>
  </si>
  <si>
    <t>TLR-1 HPL Standard Switch - Includes Rail Locating Keys and lithium batteries</t>
  </si>
  <si>
    <t>TLR-1 HP-X USB – Includes rail locating keys and (2) SL-B9 battery packs – Black</t>
  </si>
  <si>
    <t>TLR-1 HP-X – Includes rail locating keys and (2) CR123A lithium batteries – Black</t>
  </si>
  <si>
    <t>TLR-1 HP - Long Gun Kit – Includes Safe off remote door switch, remote pressure switch, mounting clips, standard door switch and lithium batteries – Black</t>
  </si>
  <si>
    <t>TLR-1 HP – Includes rail locating keys and (2) CR123A lithium batteries – FDE</t>
  </si>
  <si>
    <t>TLR-1 HP – Includes rail locating keys and (2) CR123A lithium batteries – Black</t>
  </si>
  <si>
    <t>TLR-1 HL-X USB - Includes rail locating keys, (2) SL-B9 battery packs and USB-C cord - Black</t>
  </si>
  <si>
    <t>TLR-1 HL-X - Includes rail locating keys and (2) CR123A lithium batteries - Black</t>
  </si>
  <si>
    <t>TLR-1 HL Dual Remote Kit -  Includes remote door switch, remote pressure switch, mounting clips, standard door switch, lithium batteries - Black</t>
  </si>
  <si>
    <t>TLR-1 HL Long Gun Kit - Includes Safe off remote door switch, remote pressure switch, mounting clips, standard door switch, lithium batteries - Flat Dark Earth</t>
  </si>
  <si>
    <t>TLR-1 HL Long Gun Kit - Includes Safe off remote door switch, remote pressure switch, mounting clips, standard door switch, lithium batteries - Black</t>
  </si>
  <si>
    <t>TLR-1 HL - Includes Rail Locating Keys and lithium batteries - Box - Flat Dark Earth Brown</t>
  </si>
  <si>
    <t>TLR-1 HL - Includes Rail Locating Keys and lithium batteries - Box - Flat Dark Earth</t>
  </si>
  <si>
    <t>TLR-1 HL Earless screw - Includes Rail Locating Keys - batteries not included</t>
  </si>
  <si>
    <t>TLR-1 HL Earless screw - Includes Rail Locating Keys and lithium batteries - Box</t>
  </si>
  <si>
    <t>TLR-1 HL - Includes Rail Locating Keys and lithium batteries - Box</t>
  </si>
  <si>
    <t xml:space="preserve">TLR-1 HL with Safe-Off Sold Separately - Includes Rail Locating Keys and lithium batteries </t>
  </si>
  <si>
    <t>TLR-1s - Earless screw - Includes Rail Locating Keys and lithium batteries - Box</t>
  </si>
  <si>
    <t>TLR-1s - Includes Rail Locating Keys and lithium batteries - Box</t>
  </si>
  <si>
    <t>TLR-1 Earless screw - Includes Rail Locating Keys and lithium batteries - Box</t>
  </si>
  <si>
    <t>TLR-1 - Includes Rail Locating Keys and lithium batteries - Box</t>
  </si>
  <si>
    <r>
      <t>TLR SERIES</t>
    </r>
    <r>
      <rPr>
        <sz val="10"/>
        <rFont val="Arial Narrow"/>
        <family val="2"/>
      </rPr>
      <t xml:space="preserve"> </t>
    </r>
  </si>
  <si>
    <t>SpeedLocker - Includes padlock, Allen key, and security cable</t>
  </si>
  <si>
    <t>SPEEDLOCKER®</t>
  </si>
  <si>
    <t>Sidewinder Stalk - Includes Helmet Clip (attached to light), Arc Rail Assy, Arc Rail Mount, (1) CR123A &amp; "AA" Alkaline Battery - Mailer - Black</t>
  </si>
  <si>
    <t>Sidewinder Stalk - Includes Helmet Clip (attached to light), (1) CR123A &amp; "AA" Alkaline Battery - Mailer - Black</t>
  </si>
  <si>
    <t>Sidewinder Stalk - Includes Helmet Clip (attached to light), E-Mount, (1) CR123A &amp; "AA" Alkaline Battery - Box - Coyote</t>
  </si>
  <si>
    <t>Sidewinder Stalk - Includes Helmet Clip (attached to light), E-Mount, (1) CR123A &amp; "AA" Alkaline Battery - Mailer - Coyote</t>
  </si>
  <si>
    <t>Sidewinder Stalk - Includes Helmet Clip (attached to light), Arc Rail Assy, Arc Rail Mount, (1) CR123A &amp; "AA" Alkaline Battery - Box - Coyote</t>
  </si>
  <si>
    <t>Sidewinder Stalk - Includes Helmet Clip (attached to light), Arc Rail Assy, Arc Rail Mount, (1) CR123A &amp; "AA" Alkaline Battery - Mailer - Coyote</t>
  </si>
  <si>
    <t>Sidewinder Stalk - Includes Helmet Clip (attached to light), (1) CR123A &amp; "AA" Alkaline Battery - Box - Coyote</t>
  </si>
  <si>
    <t>Sidewinder Stalk - Includes Helmet Clip (attached to light), (1) CR123A &amp; "AA" Alkaline Battery - Mailer - Coyote</t>
  </si>
  <si>
    <t>SIDEWINDER STALK®</t>
  </si>
  <si>
    <t>Sidewinder Boot - White LED - Includes (2) “AA” Alkaline batteries - Box - Coyote</t>
  </si>
  <si>
    <t>SIDEWINDER BOOT®</t>
  </si>
  <si>
    <t>Sidewinder Compact II Rescue - White Green, Blue, IR LEDs - Includes (1) “AA” Alkaline battery and (1) CR123A battery - Box</t>
  </si>
  <si>
    <t>Sidewinder Compact II Aviation Model - White, Green, Blue, IR LEDs - Includes NVG mount (works with HGU-84 rotary wing aircrew helmet) and (1) "AA" Alkaline battery - Box</t>
  </si>
  <si>
    <t>Sidewinder Compact II Aviation Model - White, Green, Blue, IR LEDs - Includes rail mount, headstrap and (1) "AA" Alkaline battery - Box</t>
  </si>
  <si>
    <t>Sidewinder Compact II Aviation Model - White, Green, Blue, IR LEDs - Includes rail mount, headstrap and (1) CR123A lithium battery - Clam</t>
  </si>
  <si>
    <t>Sidewinder Compact II Military Model - White, Red, Blue, IR LEDs - Includes NVG mount (works with DoD, NATO and ISAF combat helmets) and (1) CR123A lithium battery - Box</t>
  </si>
  <si>
    <t>Sidewinder Compact II Military Model - White, Red, Blue, IR LEDs - Includes helmet mount, rail mount and CR123A lithium battery - Box</t>
  </si>
  <si>
    <t>Sidewinder Compact II Military Model - White, Red, Blue, IR LEDs - Includes helmet mount, headstrap and CR123A lithium battery - Box</t>
  </si>
  <si>
    <t xml:space="preserve">Sidewinder Compact II Military Model - White, Red, Blue, IR LEDs - Includes E-mount, headstrap and CR123A lithium battery - Clam  </t>
  </si>
  <si>
    <t xml:space="preserve">Sidewinder Compact II Military Model - White, Red, Blue, IR LEDs - Includes E-mount, headstrap and CR123A lithium battery - Box   </t>
  </si>
  <si>
    <t>Sidewinder Compact II Military Model - White, Red, Blue, IR LEDs - Includes helmet mount, headstrap and CR123A lithium battery - Clam</t>
  </si>
  <si>
    <t>Sidewinder Compact II Military Model - White, Red, Blue, IR LEDs - Includes helmet mount and CR123A lithium battery - Mailer</t>
  </si>
  <si>
    <t>Sidewinder Compact II Military Model - White, Red, Blue, IR LEDs - Includes helmet mount and CR123A lithium battery - Box</t>
  </si>
  <si>
    <t>Sidewinder Compact II Military Model - White, Red, Blue, IR LEDs - Includes CR123A lithium battery - Box</t>
  </si>
  <si>
    <t>Sidewinder Compact II Medical Model - Includes CR123A lithium battery - Mailer</t>
  </si>
  <si>
    <t>SIDEWINDER COMPACT® II</t>
  </si>
  <si>
    <t>Sidewinder Compact Aviation Model - White, Green, Blue, IR LEDs - Includes helmet mount and CR123A lithium battery - Mailer</t>
  </si>
  <si>
    <t>Sidewinder Compact Aviation Model - White, Green, Blue, IR LEDs - Includes CR123A lithium battery - Mailer</t>
  </si>
  <si>
    <t>Sidewinder Compact Military Model - White, Red, Blue, IR LEDs - Includes helmet mount and CR123A lithium battery - Clam</t>
  </si>
  <si>
    <t>Sidewinder Compact Military Model - White, Red, Blue, IR LEDs - Includes CR123A lithium battery - Clam</t>
  </si>
  <si>
    <t>SIDEWINDER COMPACT®</t>
  </si>
  <si>
    <t>Sidewinder X User Configurable (UC) Model - Includes (2) “AA” alkaline batteries - Coyote</t>
  </si>
  <si>
    <t xml:space="preserve">Sidewinder X Aviation Model - White, Green, Blue, IR LEDs - Includes MOLLE retainer and (2) “AA” alkaline batteries - Coyote </t>
  </si>
  <si>
    <t>Sidewinder X Military Model - White, Red, Blue, IR LEDs - Includes (2) “AA” alkaline batteries - Coyote</t>
  </si>
  <si>
    <t>Sidewinder X Military Model - White, Red, Blue, IR LEDs - Includes E-Mount and (2) “AA” alkaline batteries - Coyote</t>
  </si>
  <si>
    <t>SIDEWINDER® X</t>
  </si>
  <si>
    <t>Sidewinder Rescue - White, Green, Blue, IR LEDs - Includes E-mount and (2) “AA” Alkaline batteries - Box</t>
  </si>
  <si>
    <t>Sidewinder Rescue - White, Green, Blue, IR LEDs - Includes (2) “AA” Alkaline batteries - Clam</t>
  </si>
  <si>
    <t>Sidewinder Rescue - White, Green, Blue, IR LEDs - Includes (2) “AA” Alkaline batteries - Box</t>
  </si>
  <si>
    <t>Sidewinder Rescue Kit - White, Green, Blue, IR LEDs - Includes MOLLE retainer, paracord and (2) “AA” Alkaline batteries - Clam</t>
  </si>
  <si>
    <t>Sidewinder Rescue Kit - White, Green, Blue, IR LEDs - Includes MOLLE retainer, paracord and (2) “AA” Alkaline batteries - Box</t>
  </si>
  <si>
    <t>Sidewinder Aviation Model - White, Green, Blue, IR LEDs - Includes MOLLE retainer and (2) “AA” Alkaline batteries - Mailer</t>
  </si>
  <si>
    <t>Sidewinder Aviation Model - White, Green, Blue, IR LEDs - Includes MOLLE retainer and (2) “AA” Alkaline batteries - Box</t>
  </si>
  <si>
    <t xml:space="preserve">Sidewinder Aviation Model - White, Green, Blue, IR LEDs - Includes (2) “AA” Alkaline batteries - Clam </t>
  </si>
  <si>
    <t xml:space="preserve">Sidewinder Military Model - White, Red, Blue, IR LEDs - Includes paracord and (2) “AA” Alkaline batteries - Clam </t>
  </si>
  <si>
    <t>Sidewinder Military Model - White, Red, Blue, IR LEDs - Includes E-mount and (2) “AA” Alkaline batteries - Clam</t>
  </si>
  <si>
    <t xml:space="preserve">Sidewinder Military Model - White, Red, Blue, IR LEDs - Includes helmet mount and (2) “AA” Alkaline batteries - Clam </t>
  </si>
  <si>
    <t>Sidewinder Military Model - White, Red, Blue, IR LEDs - Includes (2) “AA” Alkaline batteries - Mailer</t>
  </si>
  <si>
    <t>Sidewinder Military Model - White, Red, Blue, IR LEDs - Includes (2) “AA” Alkaline batteries - Box</t>
  </si>
  <si>
    <t>Sidewinder Military Model - White, Red, Blue, IR LEDs - Includes (2) “AA” Alkaline batteries - Clam</t>
  </si>
  <si>
    <t>SIDEWINDER®</t>
  </si>
  <si>
    <t>Wedge XT - Includes USB-C cord and pocket lanyard - Blue (C.O.P.S)</t>
  </si>
  <si>
    <t>Wedge XT - Includes USB-C cord and pocket lanyard - Pink (BCRF)</t>
  </si>
  <si>
    <t>Wedge XT - Includes USB-C cord and pocket lanyard - Silver</t>
  </si>
  <si>
    <t>Wedge XT - Includes USB-C cord, pocket lanyard - Coyote</t>
  </si>
  <si>
    <t>Wedge XT - Includes USB-C cord, pocket lanyard - Black</t>
  </si>
  <si>
    <t>WEDGE® XT</t>
  </si>
  <si>
    <t>Wedge - Includes USB-C cord and lanyard - Lime Green</t>
  </si>
  <si>
    <t>Wedge - Includes USB-C cord and lanyard - Orange</t>
  </si>
  <si>
    <t>Wedge - Includes USB-C cord and lanyard - Purple</t>
  </si>
  <si>
    <t>Wedge - Includes USB-C cord and lanyard - Blue</t>
  </si>
  <si>
    <t>Wedge - Includes USB-C cord and lanyard - Red</t>
  </si>
  <si>
    <t>Wedge - Includes USB-C cord and lanyard - Coyote</t>
  </si>
  <si>
    <t>Wedge - Includes USB-C cord and lanyard - Black</t>
  </si>
  <si>
    <t>WEDGE®</t>
  </si>
  <si>
    <r>
      <t>ProTac Rail Mount HP-X Pro USB - Light Only - Includes Jack-Cap</t>
    </r>
    <r>
      <rPr>
        <vertAlign val="superscript"/>
        <sz val="10.5"/>
        <color theme="1"/>
        <rFont val="Arial Narrow"/>
        <family val="2"/>
      </rPr>
      <t>®</t>
    </r>
    <r>
      <rPr>
        <sz val="10.5"/>
        <color theme="1"/>
        <rFont val="Arial Narrow"/>
        <family val="2"/>
      </rPr>
      <t xml:space="preserve"> tail cap switch, M-LOK</t>
    </r>
    <r>
      <rPr>
        <vertAlign val="superscript"/>
        <sz val="10.5"/>
        <color theme="1"/>
        <rFont val="Arial Narrow"/>
        <family val="2"/>
      </rPr>
      <t>®</t>
    </r>
    <r>
      <rPr>
        <sz val="10.5"/>
        <color theme="1"/>
        <rFont val="Arial Narrow"/>
        <family val="2"/>
      </rPr>
      <t xml:space="preserve"> mount, Allen wrench, </t>
    </r>
    <r>
      <rPr>
        <sz val="10"/>
        <rFont val="Arial Narrow"/>
        <family val="2"/>
      </rPr>
      <t>(1) SL-B26 rechargeable battery pack and USB cord - Box</t>
    </r>
  </si>
  <si>
    <r>
      <t>ProTac Rail Mount HP-X Pro - Light Only - Includes Jack-Cap</t>
    </r>
    <r>
      <rPr>
        <vertAlign val="superscript"/>
        <sz val="10.5"/>
        <color theme="1"/>
        <rFont val="Arial Narrow"/>
        <family val="2"/>
      </rPr>
      <t>®</t>
    </r>
    <r>
      <rPr>
        <sz val="10.5"/>
        <color theme="1"/>
        <rFont val="Arial Narrow"/>
        <family val="2"/>
      </rPr>
      <t xml:space="preserve"> tail cap switch, M-LOK</t>
    </r>
    <r>
      <rPr>
        <vertAlign val="superscript"/>
        <sz val="10.5"/>
        <color theme="1"/>
        <rFont val="Arial Narrow"/>
        <family val="2"/>
      </rPr>
      <t>®</t>
    </r>
    <r>
      <rPr>
        <sz val="10.5"/>
        <color theme="1"/>
        <rFont val="Arial Narrow"/>
        <family val="2"/>
      </rPr>
      <t xml:space="preserve"> mount, Allen wrench and</t>
    </r>
    <r>
      <rPr>
        <sz val="10"/>
        <rFont val="Arial Narrow"/>
        <family val="2"/>
      </rPr>
      <t xml:space="preserve"> (2) CR123A lithium batteries - Box</t>
    </r>
  </si>
  <si>
    <r>
      <t>ProTac Rail Mount HP-X Pro USB - System - Includes Jack-Cap</t>
    </r>
    <r>
      <rPr>
        <vertAlign val="superscript"/>
        <sz val="10.5"/>
        <color theme="1"/>
        <rFont val="Arial Narrow"/>
        <family val="2"/>
      </rPr>
      <t>®</t>
    </r>
    <r>
      <rPr>
        <sz val="10.5"/>
        <color theme="1"/>
        <rFont val="Arial Narrow"/>
        <family val="2"/>
      </rPr>
      <t xml:space="preserve"> tail cap switch, M-LOK</t>
    </r>
    <r>
      <rPr>
        <vertAlign val="superscript"/>
        <sz val="10.5"/>
        <color theme="1"/>
        <rFont val="Arial Narrow"/>
        <family val="2"/>
      </rPr>
      <t>®</t>
    </r>
    <r>
      <rPr>
        <sz val="10.5"/>
        <color theme="1"/>
        <rFont val="Arial Narrow"/>
        <family val="2"/>
      </rPr>
      <t xml:space="preserve"> mount, mounting hardware, Allen wrench, straight momentary pressure switch,</t>
    </r>
    <r>
      <rPr>
        <sz val="10"/>
        <rFont val="Arial Narrow"/>
        <family val="2"/>
      </rPr>
      <t xml:space="preserve"> (1) SL-B26 rechargeable battery pack and USB cord - Box</t>
    </r>
  </si>
  <si>
    <r>
      <t>ProTac Rail Mount HP-X Pro - System - Includes Jack-Cap</t>
    </r>
    <r>
      <rPr>
        <vertAlign val="superscript"/>
        <sz val="10.5"/>
        <color theme="1"/>
        <rFont val="Arial Narrow"/>
        <family val="2"/>
      </rPr>
      <t>®</t>
    </r>
    <r>
      <rPr>
        <sz val="10.5"/>
        <color theme="1"/>
        <rFont val="Arial Narrow"/>
        <family val="2"/>
      </rPr>
      <t xml:space="preserve"> tail cap switch, M-LOK</t>
    </r>
    <r>
      <rPr>
        <vertAlign val="superscript"/>
        <sz val="10"/>
        <rFont val="Arial Narrow"/>
        <family val="2"/>
      </rPr>
      <t>®</t>
    </r>
    <r>
      <rPr>
        <sz val="10"/>
        <rFont val="Arial Narrow"/>
        <family val="2"/>
      </rPr>
      <t xml:space="preserve"> mount, mounting hardware, Allen wrench, straight momentary pressure switch and (2) CR123A lithium batteries - Box</t>
    </r>
  </si>
  <si>
    <t xml:space="preserve">ProTac RM HL-X Pro USB - Light Only - Includes Jack-Cap®, M-LOK® Kit, 2.5 mm Allen Wrench, (1) SL-B26 USB Battery, 40” USB Cord </t>
  </si>
  <si>
    <t xml:space="preserve">ProTac RM HL-X Pro - Light Only - Includes Jack-Cap®, M-LOK® Kit, 2.5 mm Allen Wrench, (2) CR123A Batteries </t>
  </si>
  <si>
    <t xml:space="preserve">ProTac RM HL-X Pro USB - Includes Jack-Cap®, M-LOK® Kit, Momentary Switch, Hardware Kit, 2.5 mm Allen Wrench, (1) SL-B26 battery pack, 40” USB Cord </t>
  </si>
  <si>
    <t>ProTac RM HL-X Pro - Includes Jack-Cap®, M-LOK® Kit, Momentary Switch, Hardware Kit, 2.5 mm Allen Wrench, (2) CR123A batteries</t>
  </si>
  <si>
    <r>
      <t>ProTac 2.0 Rail Mount HP - Light Only - Includes M-LOK</t>
    </r>
    <r>
      <rPr>
        <vertAlign val="superscript"/>
        <sz val="10"/>
        <rFont val="Arial Narrow"/>
        <family val="2"/>
      </rPr>
      <t>®</t>
    </r>
    <r>
      <rPr>
        <sz val="10"/>
        <rFont val="Arial Narrow"/>
        <family val="2"/>
      </rPr>
      <t xml:space="preserve"> mount, </t>
    </r>
    <r>
      <rPr>
        <sz val="10.5"/>
        <color theme="1"/>
        <rFont val="Arial Narrow"/>
        <family val="2"/>
      </rPr>
      <t>(1) SL-B50 rechargeable battery pack and USB-C cord  - Box</t>
    </r>
  </si>
  <si>
    <r>
      <t>ProTac 2.0 Rail Mount HP - System - Includes M-LOK</t>
    </r>
    <r>
      <rPr>
        <vertAlign val="superscript"/>
        <sz val="10.5"/>
        <color theme="1"/>
        <rFont val="Arial Narrow"/>
        <family val="2"/>
      </rPr>
      <t>®</t>
    </r>
    <r>
      <rPr>
        <sz val="10.5"/>
        <color theme="1"/>
        <rFont val="Arial Narrow"/>
        <family val="2"/>
      </rPr>
      <t xml:space="preserve"> mount, mounting hardware, straight momentary pressure switch, (1) SL-B50 rechargeable battery pack and USB-C cord  - Box</t>
    </r>
  </si>
  <si>
    <r>
      <t>ProTac 2.0 Rail Mount - System - Includes straight momentary pressure switch, SL-B50 battery pack, mounting hardware, USB-C cord, M-LOK</t>
    </r>
    <r>
      <rPr>
        <vertAlign val="superscript"/>
        <sz val="10"/>
        <rFont val="Arial Narrow"/>
        <family val="2"/>
      </rPr>
      <t>®</t>
    </r>
    <r>
      <rPr>
        <sz val="10"/>
        <rFont val="Arial Narrow"/>
        <family val="2"/>
      </rPr>
      <t xml:space="preserve"> mount</t>
    </r>
  </si>
  <si>
    <r>
      <t>ProTac 2.0 Rail Mount - Light Only - Includes SL-B50 battery pack, USB-C cord and M-LOK</t>
    </r>
    <r>
      <rPr>
        <vertAlign val="superscript"/>
        <sz val="10"/>
        <rFont val="Arial Narrow"/>
        <family val="2"/>
      </rPr>
      <t>®</t>
    </r>
    <r>
      <rPr>
        <sz val="10"/>
        <rFont val="Arial Narrow"/>
        <family val="2"/>
      </rPr>
      <t xml:space="preserve"> mount - Black</t>
    </r>
  </si>
  <si>
    <t>ProTac Rail Mount HL-X Laser USB - Includes remote switch, tail switch, remote retaining clips, mounting hardware, SL-B26 battery pack and USB cord - Black</t>
  </si>
  <si>
    <t xml:space="preserve">ProTac Rail Mount HL-X Laser - Includes remote switch, tail switch, remote retaining clips mounting hardware (2) CR123A lithium batteries </t>
  </si>
  <si>
    <r>
      <t>ProTac Rail Mount HL-X USB - Includes remote switch, tail switch, remote retaining clips, M-LOK</t>
    </r>
    <r>
      <rPr>
        <vertAlign val="superscript"/>
        <sz val="10"/>
        <rFont val="Arial Narrow"/>
        <family val="2"/>
      </rPr>
      <t>®</t>
    </r>
    <r>
      <rPr>
        <sz val="10"/>
        <rFont val="Arial Narrow"/>
        <family val="2"/>
      </rPr>
      <t xml:space="preserve"> mount, mounting hardware, SL-B26 USB battery pack and USB cord - Box - Black</t>
    </r>
  </si>
  <si>
    <r>
      <t>ProTac Rail Mount HL-X - Includes remote switch, tail switch, remote retaining clips, M-LOK</t>
    </r>
    <r>
      <rPr>
        <vertAlign val="superscript"/>
        <sz val="10"/>
        <rFont val="Arial Narrow"/>
        <family val="2"/>
      </rPr>
      <t>®</t>
    </r>
    <r>
      <rPr>
        <sz val="10"/>
        <rFont val="Arial Narrow"/>
        <family val="2"/>
      </rPr>
      <t xml:space="preserve"> mount, mounting hardware and (2) CR123A lithium batteries - Black</t>
    </r>
  </si>
  <si>
    <r>
      <t>ProTac Rail Mount 2 - Includes remote switch, tail switch, remote retaining clips, M-LOK</t>
    </r>
    <r>
      <rPr>
        <vertAlign val="superscript"/>
        <sz val="10"/>
        <rFont val="Arial Narrow"/>
        <family val="2"/>
      </rPr>
      <t>®</t>
    </r>
    <r>
      <rPr>
        <sz val="10"/>
        <rFont val="Arial Narrow"/>
        <family val="2"/>
      </rPr>
      <t xml:space="preserve"> mount, mounting hardware, and (2) CR123A lithium batteries </t>
    </r>
  </si>
  <si>
    <r>
      <t>ProTac Rail Mount 1 - Includes remote pressure switch, tailcap switch, mounting hardware, M-LOK</t>
    </r>
    <r>
      <rPr>
        <vertAlign val="superscript"/>
        <sz val="10"/>
        <rFont val="Arial Narrow"/>
        <family val="2"/>
      </rPr>
      <t>®</t>
    </r>
    <r>
      <rPr>
        <sz val="10"/>
        <rFont val="Arial Narrow"/>
        <family val="2"/>
      </rPr>
      <t xml:space="preserve"> mount, (1) "AA" Alkaline battery and (1) CR123A lithium battery</t>
    </r>
  </si>
  <si>
    <t>ProTac 90X USB - Includes SL-B26 battery pack USB battery, USB cord and holster - Box</t>
  </si>
  <si>
    <t>ProTac 90X - Includes (2) CR123A lithium batteries and holster - Box</t>
  </si>
  <si>
    <t>ProTac HP-X USB - Includes nylon holster and SL-B26 battery pack and USB cord - Box</t>
  </si>
  <si>
    <t>ProTac HP-X - Includes nylon holster and (2) CR123A lithium batteries - Box</t>
  </si>
  <si>
    <t>ProTac HPL USB - Includes USB cord and holster - Box - Black</t>
  </si>
  <si>
    <t>ProTac HPL USB - Includes USB cord and holster - Clam - Black</t>
  </si>
  <si>
    <t>ProTac HL USB - 120V AC/12V DC - Includes USB cord and nylon holster - Black</t>
  </si>
  <si>
    <t>ProTac HL USB - Includes USB cord and nylon holster - Black</t>
  </si>
  <si>
    <t>ProTac HL-X USB - Includes SL-B26 battery pack, USB cord and holster - Box</t>
  </si>
  <si>
    <t>ProTac HL-X USB - Includes SL-B26 battery pack, USB cord and holster - Clam</t>
  </si>
  <si>
    <t>ProTac HL-X USB - Includes SL-B26 battery pack, USB cord and holster - Box (TAA)</t>
  </si>
  <si>
    <t>ProTac HL-X - Includes (2) CR123A lithium batteries and holster - Box - Black</t>
  </si>
  <si>
    <t>ProTac HL-X - Includes (2) CR123A lithium batteries and holster - Clam - Black</t>
  </si>
  <si>
    <t>ProTac HL-X - Includes (2) CR123A lithium batteries and holster - Box - Black (TAA)</t>
  </si>
  <si>
    <t>ProTac HL - Includes (2) CR123A lithium batteries and holster - Clam - Black</t>
  </si>
  <si>
    <t>ProTac HL 6 - Includes "Y" USB-C cord and wrist lanyard - Box</t>
  </si>
  <si>
    <t>ProTac HL 6 - Includes 120V AC adapter, "Y" USB-C cord and wrist lanyard - Box</t>
  </si>
  <si>
    <t>ProTac HL 5-X USB - Includes SL-B26 battery packs, Dual USB Cord and wrist lanyard - Box</t>
  </si>
  <si>
    <t>ProTac HL 5-X - Includes (4) CR123A lithium batteries and wrist lanyard - Box - Black</t>
  </si>
  <si>
    <t>ProTac 2L-X USB - Includes SL-B26 battery pack, USB cord and holster - Box</t>
  </si>
  <si>
    <t>ProTac 2L-X USB - Includes SL-B26 battery pack, USB cord and holster - Clam</t>
  </si>
  <si>
    <t>ProTac 2L-X - Includes (2) CR123A lithium batteries and holster - Box - Black</t>
  </si>
  <si>
    <t>ProTac 2L-X - Includes (2) CR123A lithium batteries and holster - Clam - Black</t>
  </si>
  <si>
    <t>ProTac 2L - Includes (2) CR123A lithium batteries and holster - Clam - Black</t>
  </si>
  <si>
    <t>ProTac 2AA-X - Includes (2) "AA" Alkaline batteries and holster - Clam - Coyote</t>
  </si>
  <si>
    <t>ProTac 2AA-X - Includes (2) "AA" Alkaline batteries and holster - Clam - Black</t>
  </si>
  <si>
    <t>ProTac 2AA-X USB – Includes holster, rechargeable lithium polymer battery pack and USB-C cord - Coyote</t>
  </si>
  <si>
    <t>ProTac 2AA-X USB – Includes holster, rechargeable lithium polymer battery pack and USB-C cord - Black</t>
  </si>
  <si>
    <t>ProTac 2.0 HP - Includes (1) SL-B50 rechargeable battery pack, nylon holster and USB-C cord  - Box</t>
  </si>
  <si>
    <r>
      <t>ProTac 2.0 - Includes (1) SL-B50</t>
    </r>
    <r>
      <rPr>
        <sz val="10"/>
        <color theme="1"/>
        <rFont val="Arial Narrow"/>
        <family val="2"/>
      </rPr>
      <t xml:space="preserve"> battery pack, USB-C cord and</t>
    </r>
    <r>
      <rPr>
        <sz val="9"/>
        <color theme="1"/>
        <rFont val="Arial Narrow"/>
        <family val="2"/>
      </rPr>
      <t xml:space="preserve"> </t>
    </r>
    <r>
      <rPr>
        <sz val="10"/>
        <color theme="1"/>
        <rFont val="Arial Narrow"/>
        <family val="2"/>
      </rPr>
      <t>nylon</t>
    </r>
    <r>
      <rPr>
        <sz val="9"/>
        <color theme="1"/>
        <rFont val="Arial Narrow"/>
        <family val="2"/>
      </rPr>
      <t xml:space="preserve"> </t>
    </r>
    <r>
      <rPr>
        <sz val="10"/>
        <color theme="1"/>
        <rFont val="Arial Narrow"/>
        <family val="2"/>
      </rPr>
      <t>holster</t>
    </r>
    <r>
      <rPr>
        <sz val="9"/>
        <color theme="1"/>
        <rFont val="Arial Narrow"/>
        <family val="2"/>
      </rPr>
      <t xml:space="preserve"> - </t>
    </r>
    <r>
      <rPr>
        <sz val="10"/>
        <color theme="1"/>
        <rFont val="Arial Narrow"/>
        <family val="2"/>
      </rPr>
      <t>Box</t>
    </r>
  </si>
  <si>
    <t>ProTac 1L-1AA - Includes (1) CR123A lithium and "AA" Alkaline battery and holster - Clam - Coyote</t>
  </si>
  <si>
    <t>ProTac 1L-1AA - Includes (1) CR123A lithium and "AA" Alkaline battery and holster - Clam - Black</t>
  </si>
  <si>
    <t>PROTAC® SERIES</t>
  </si>
  <si>
    <t>PolyTac X USB - Includes SL-B26 battery pack - Box - Coyote</t>
  </si>
  <si>
    <t>PolyTac X USB - Includes SL-B26 battery pack - Box - Yellow</t>
  </si>
  <si>
    <t>PolyTac X USB - Includes SL-B26 battery pack - Box - Black</t>
  </si>
  <si>
    <t>PolyTac X USB - Includes SL-B26 battery pack - Clam - Coyote</t>
  </si>
  <si>
    <t>PolyTac X USB - Includes SL-B26 battery pack - Clam - Yellow</t>
  </si>
  <si>
    <t>PolyTac X USB - Includes SL-B26 battery pack - Clam - Black</t>
  </si>
  <si>
    <t>PolyTac X - Includes (2) CR123A lithium batteries - Box - Coyote</t>
  </si>
  <si>
    <t>PolyTac X - Includes (2) CR123A lithium batteries - Box - Yellow</t>
  </si>
  <si>
    <t>PolyTac X - Includes (2) CR123A lithium batteries - Box - Black</t>
  </si>
  <si>
    <t>PolyTac X - Includes (2) CR123A lithium batteries - Clam - Coyote</t>
  </si>
  <si>
    <t>PolyTac X - Includes (2) CR123A lithium batteries - Clam - Yellow</t>
  </si>
  <si>
    <t>PolyTac X - Includes (2) CR123A lithium batteries - Clam - Black</t>
  </si>
  <si>
    <t>PolyTac 90 X USB - Includes SL-B26 battery pack &amp; USB cord - Box - Orange</t>
  </si>
  <si>
    <t>PolyTac 90 X USB - Includes SL-B26 battery pack, USB cord and Gear Keeper - Box - Orange</t>
  </si>
  <si>
    <t>PolyTac 90 X USB - Includes SL-B26 battery pack &amp; USB cord - Box - Yellow</t>
  </si>
  <si>
    <t>PolyTac 90 X USB - Includes SL-B26 battery pack &amp; USB cord - Box - Black</t>
  </si>
  <si>
    <t>PolyTac 90 X - Includes (2) CR123A lithium batteries - Box - Orange</t>
  </si>
  <si>
    <t>PolyTac 90 X - Includes (2) CR123A lithium batteries and Gear Keeper - Box - Orange</t>
  </si>
  <si>
    <t>PolyTac 90 X - Includes (2) CR123A lithium batteries - Box - Yellow</t>
  </si>
  <si>
    <t>PolyTac 90 X - Includes (2) CR123A lithium batteries - Box - Black</t>
  </si>
  <si>
    <t>PolyTac Helmet Lighting Kit - Includes helmet mount, rubber helmet strap and (2) CR123A lithium batteries - Clam - Yellow</t>
  </si>
  <si>
    <t>PolyTac - Includes (2) CR123A lithium batteries - Clam - Coyote</t>
  </si>
  <si>
    <t>PolyTac - Includes (2) CR123A lithium batteries - Clam - Black</t>
  </si>
  <si>
    <t>PolyTac - Includes (2) CR123A lithium batteries - Clam - Yellow</t>
  </si>
  <si>
    <t>POLYTAC® SERIES</t>
  </si>
  <si>
    <t>MegaStream HP USB - Includes (1) SL-B34 rechargeable battery pack, USB-C cord and holster - Box - Black</t>
  </si>
  <si>
    <t>MegaStream USB - Includes (1) SL-B34 rechargeable battery pack, USB-C cord and holster - Box - Black</t>
  </si>
  <si>
    <t>MacroStream USB - Includes USB cord and lanyard - Box - Black</t>
  </si>
  <si>
    <t>MicroStream USB - Includes USB cord and lanyard - Box - Coyote</t>
  </si>
  <si>
    <t>MicroStream USB - Includes USB cord and lanyard - Clam - Coyote</t>
  </si>
  <si>
    <t>MicroStream USB - Includes USB cord and lanyard - Box - Blue</t>
  </si>
  <si>
    <t>MicroStream USB - Includes USB cord and lanyard - Clam - Blue</t>
  </si>
  <si>
    <t>MicroStream USB - Includes USB cord and lanyard - Box - Red</t>
  </si>
  <si>
    <t>MicroStream USB - Includes USB cord and lanyard - Clam - Red</t>
  </si>
  <si>
    <t>MicroStream USB - Includes USB cord and lanyard - Box - Black</t>
  </si>
  <si>
    <t>MicroStream USB - Includes USB cord and lanyard - Clam - Black</t>
  </si>
  <si>
    <t>MicroStream - Includes Alkaline battery - Clam - Red</t>
  </si>
  <si>
    <t>MicroStream - Includes Alkaline battery - Clam - Black</t>
  </si>
  <si>
    <t>STREAM SERIES</t>
  </si>
  <si>
    <t>Pocket Mate - Includes USB cord - Box - Pink</t>
  </si>
  <si>
    <t>Pocket Mate - Includes USB cord - Box - Blue</t>
  </si>
  <si>
    <t>Pocket Mate - Includes USB cord - Box - Red</t>
  </si>
  <si>
    <t>Pocket Mate - Includes USB cord - Box - Silver</t>
  </si>
  <si>
    <t>POCKET MATE USB</t>
  </si>
  <si>
    <t>Nano Light II - Includes (1) AAAA alkaline battery - Pink (BCRF)</t>
  </si>
  <si>
    <t>Nano Light II - Includes (1) AAAA alkaline battery - Blue (C.O.P.S)</t>
  </si>
  <si>
    <t>Nano Light II - Includes (1) AAAA alkaline battery - Black</t>
  </si>
  <si>
    <t>NANO LIGHT® II</t>
  </si>
  <si>
    <t>Streamlight Jr. F-Stop - Includes Alkaline batteries - Box - Black</t>
  </si>
  <si>
    <t>Streamlight Jr. F-Stop - Includes Alkaline batteries - Clam - Black</t>
  </si>
  <si>
    <t>Streamlight Jr. Reach LED - Includes Alkaline batteries - Black</t>
  </si>
  <si>
    <t>Streamlight Jr. LED - Includes Alkaline batteries - Black</t>
  </si>
  <si>
    <t>STREAMLIGHT JR.® LED</t>
  </si>
  <si>
    <t>Stylus Reach 18 - Black - 18" Cable - Clam - White LED</t>
  </si>
  <si>
    <t xml:space="preserve">STYLUS REACH® 18 </t>
  </si>
  <si>
    <r>
      <t xml:space="preserve">Stylus Reach - </t>
    </r>
    <r>
      <rPr>
        <i/>
        <sz val="10"/>
        <rFont val="Arial Narrow"/>
        <family val="2"/>
      </rPr>
      <t>UL Listed</t>
    </r>
    <r>
      <rPr>
        <sz val="10"/>
        <rFont val="Arial Narrow"/>
        <family val="2"/>
      </rPr>
      <t xml:space="preserve"> Black - Clam - White LED</t>
    </r>
  </si>
  <si>
    <t>Stylus Reach - Black - Clam - White LED</t>
  </si>
  <si>
    <t>Stylus Reach - Silver - Clam - White LED</t>
  </si>
  <si>
    <t xml:space="preserve">STYLUS REACH® </t>
  </si>
  <si>
    <r>
      <t>Stylus -</t>
    </r>
    <r>
      <rPr>
        <i/>
        <sz val="10"/>
        <rFont val="Arial Narrow"/>
        <family val="2"/>
      </rPr>
      <t xml:space="preserve"> UL Listed</t>
    </r>
    <r>
      <rPr>
        <sz val="10"/>
        <rFont val="Arial Narrow"/>
        <family val="2"/>
      </rPr>
      <t xml:space="preserve"> - Clam - Black White LED</t>
    </r>
  </si>
  <si>
    <t>Stylus - Blue - Clam - White LED</t>
  </si>
  <si>
    <t>Stylus - Red - Clam - White LED</t>
  </si>
  <si>
    <t>Stylus - Gold - Clam - White LED</t>
  </si>
  <si>
    <t>Stylus - Black - Clam - Blue  LED</t>
  </si>
  <si>
    <t>Stylus - Black - Clam - Green LED</t>
  </si>
  <si>
    <t>Stylus - Black - Clam - White LED</t>
  </si>
  <si>
    <t>Stylus - Silver - Clam - White LED</t>
  </si>
  <si>
    <t>Stylus - Black - Clam - Red LED</t>
  </si>
  <si>
    <t xml:space="preserve">STYLUS® </t>
  </si>
  <si>
    <t>Stylus Pro HAZ-LO - Includes (2) "AAA" Alkaline batteries - Yellow</t>
  </si>
  <si>
    <t>STYLUS PRO® HAZ-LO®</t>
  </si>
  <si>
    <t>Stylus Pro USB UV - Includes USB cord and nylon holster</t>
  </si>
  <si>
    <t>Stylus Pro USB UV - 120V AC - Includes nylon holster</t>
  </si>
  <si>
    <t>Stylus Pro USB - Includes USB cord, nylon holster - Black with White LED</t>
  </si>
  <si>
    <t>Stylus Pro USB - 120V AC - Includes nylon holster - Black with White LED</t>
  </si>
  <si>
    <t>Stylus Pro - Lime Green - Clam - White LED</t>
  </si>
  <si>
    <t>Stylus Pro - Orange - Clam - White LED</t>
  </si>
  <si>
    <t>Stylus Pro - Blue - Clam - White LED</t>
  </si>
  <si>
    <t>Stylus Pro - Silver - Clam - White LED</t>
  </si>
  <si>
    <t>Stylus Pro - Red - Clam - White LED</t>
  </si>
  <si>
    <t>Stylus Pro - Black - Clam - White LED</t>
  </si>
  <si>
    <t xml:space="preserve">STYLUS PRO® </t>
  </si>
  <si>
    <t>ClipMate USB - 120V AC - Black with White and Red LEDs</t>
  </si>
  <si>
    <t>ClipMate USB - Light only - Black with White and Red LEDs</t>
  </si>
  <si>
    <t>CLIPMATE® SERIES</t>
  </si>
  <si>
    <t>Vantage 180 X USB - Includes SL-B26 battery pack, helmet bracket - Box - Black</t>
  </si>
  <si>
    <t>Vantage 180 X USB - Includes SL-B26 battery pack, helmet bracket - Box - Orange</t>
  </si>
  <si>
    <t>Vantage 180 X - Includes (2) CR123A lithium batteries, helmet bracket - Box - Black</t>
  </si>
  <si>
    <t>Vantage 180 X - Includes (2) CR123A lithium batteries, helmet bracket - Box - Orange</t>
  </si>
  <si>
    <t>Vantage II - (For MSA Cairns® 1010/1044 Traditional Fire Helmets) with CR123A lithium battery</t>
  </si>
  <si>
    <t>Vantage II - Industrial hard hat mount and (1) CR123A lithium battery - Box</t>
  </si>
  <si>
    <t>Vantage II - Fire helmet mount and (1) CR123A lithium battery - Box</t>
  </si>
  <si>
    <t>Vantage with White and Blue LEDs - Box - Black</t>
  </si>
  <si>
    <t>VANTAGE® SERIES</t>
  </si>
  <si>
    <t xml:space="preserve">Twin-Task USB Headlamp - Includes USB cord - Box - Red  </t>
  </si>
  <si>
    <t>Twin-Task USB Headlamp - Includes USB cord - Clam - Red</t>
  </si>
  <si>
    <r>
      <t>Bandit Pro - Includes elastic headstrap, rubber hard hat strap, 3M</t>
    </r>
    <r>
      <rPr>
        <vertAlign val="superscript"/>
        <sz val="10"/>
        <rFont val="Arial Narrow"/>
        <family val="2"/>
      </rPr>
      <t>®</t>
    </r>
    <r>
      <rPr>
        <sz val="10"/>
        <rFont val="Arial Narrow"/>
        <family val="2"/>
      </rPr>
      <t xml:space="preserve"> Dual Lock</t>
    </r>
    <r>
      <rPr>
        <vertAlign val="superscript"/>
        <sz val="10"/>
        <rFont val="Arial Narrow"/>
        <family val="2"/>
      </rPr>
      <t>®</t>
    </r>
    <r>
      <rPr>
        <sz val="10"/>
        <rFont val="Arial Narrow"/>
        <family val="2"/>
      </rPr>
      <t xml:space="preserve"> and USB cord - Yellow - Box</t>
    </r>
  </si>
  <si>
    <t>Bandit Pro - Includes USB cord - Black - Clam</t>
  </si>
  <si>
    <t>Bandit Pro - Includes USB cord - Yellow - Clam</t>
  </si>
  <si>
    <t>Bandit - Includes USB cord - Coyote with Green LED - Clam</t>
  </si>
  <si>
    <t>Bandit - Includes USB cord - Coyote with Red LED - Clam</t>
  </si>
  <si>
    <r>
      <t>Bandit - Includes elastic headstrap, rubber hard hat strap, 3M</t>
    </r>
    <r>
      <rPr>
        <vertAlign val="superscript"/>
        <sz val="10"/>
        <rFont val="Arial Narrow"/>
        <family val="2"/>
      </rPr>
      <t>®</t>
    </r>
    <r>
      <rPr>
        <sz val="10"/>
        <rFont val="Arial Narrow"/>
        <family val="2"/>
      </rPr>
      <t xml:space="preserve"> Dual Lock</t>
    </r>
    <r>
      <rPr>
        <vertAlign val="superscript"/>
        <sz val="10"/>
        <rFont val="Arial Narrow"/>
        <family val="2"/>
      </rPr>
      <t>®</t>
    </r>
    <r>
      <rPr>
        <sz val="10"/>
        <rFont val="Arial Narrow"/>
        <family val="2"/>
      </rPr>
      <t xml:space="preserve"> and USB cord - Box - Yellow</t>
    </r>
  </si>
  <si>
    <t>Bandit - Includes USB cord - Black</t>
  </si>
  <si>
    <t>Bandit - Includes USB cord - Yellow</t>
  </si>
  <si>
    <r>
      <t>USB HAZ-LO Headlamp - 120V AC - Includes charge cradle, rubber hard hat strap, elastic head strap, 3M</t>
    </r>
    <r>
      <rPr>
        <vertAlign val="superscript"/>
        <sz val="10"/>
        <rFont val="Arial Narrow"/>
        <family val="2"/>
      </rPr>
      <t>®</t>
    </r>
    <r>
      <rPr>
        <sz val="10"/>
        <rFont val="Arial Narrow"/>
        <family val="2"/>
      </rPr>
      <t xml:space="preserve"> Dual Lock</t>
    </r>
    <r>
      <rPr>
        <vertAlign val="superscript"/>
        <sz val="10"/>
        <rFont val="Arial Narrow"/>
        <family val="2"/>
      </rPr>
      <t>®</t>
    </r>
    <r>
      <rPr>
        <sz val="10"/>
        <rFont val="Arial Narrow"/>
        <family val="2"/>
      </rPr>
      <t xml:space="preserve"> - Box - Yellow</t>
    </r>
  </si>
  <si>
    <r>
      <t>USB HAZ-LO Headlamp - 120V AC Cord - Includes rubber hard hat strap, elastic head strap, 3M</t>
    </r>
    <r>
      <rPr>
        <vertAlign val="superscript"/>
        <sz val="10"/>
        <rFont val="Arial Narrow"/>
        <family val="2"/>
      </rPr>
      <t>®</t>
    </r>
    <r>
      <rPr>
        <sz val="10"/>
        <rFont val="Arial Narrow"/>
        <family val="2"/>
      </rPr>
      <t xml:space="preserve"> Dual Lock</t>
    </r>
    <r>
      <rPr>
        <vertAlign val="superscript"/>
        <sz val="10"/>
        <rFont val="Arial Narrow"/>
        <family val="2"/>
      </rPr>
      <t>®</t>
    </r>
    <r>
      <rPr>
        <sz val="10"/>
        <rFont val="Arial Narrow"/>
        <family val="2"/>
      </rPr>
      <t xml:space="preserve"> - Box - Yellow</t>
    </r>
  </si>
  <si>
    <r>
      <t>Enduro Pro USB - Includes USB cord, elastic head strap, rubber hard hat strap, 3M</t>
    </r>
    <r>
      <rPr>
        <vertAlign val="superscript"/>
        <sz val="10"/>
        <color theme="1"/>
        <rFont val="Arial Narrow"/>
        <family val="2"/>
      </rPr>
      <t>®</t>
    </r>
    <r>
      <rPr>
        <sz val="10"/>
        <color theme="1"/>
        <rFont val="Arial Narrow"/>
        <family val="2"/>
      </rPr>
      <t xml:space="preserve"> Dual Lock</t>
    </r>
    <r>
      <rPr>
        <vertAlign val="superscript"/>
        <sz val="10"/>
        <color theme="1"/>
        <rFont val="Arial Narrow"/>
        <family val="2"/>
      </rPr>
      <t>®</t>
    </r>
    <r>
      <rPr>
        <sz val="10"/>
        <color theme="1"/>
        <rFont val="Arial Narrow"/>
        <family val="2"/>
      </rPr>
      <t xml:space="preserve"> - Box - Yellow</t>
    </r>
  </si>
  <si>
    <t>Enduro Pro USB - Includes USB cord, elastic head strap - Box - Yellow</t>
  </si>
  <si>
    <r>
      <t>Enduro Pro HAZ-LO - Includes (3) "AAA" Alkaline batteries, rubber hard hat strap, elastic head strap, 3M</t>
    </r>
    <r>
      <rPr>
        <vertAlign val="superscript"/>
        <sz val="10"/>
        <rFont val="Arial Narrow"/>
        <family val="2"/>
      </rPr>
      <t>®</t>
    </r>
    <r>
      <rPr>
        <sz val="10"/>
        <rFont val="Arial Narrow"/>
        <family val="2"/>
      </rPr>
      <t xml:space="preserve"> Dual Lock</t>
    </r>
    <r>
      <rPr>
        <vertAlign val="superscript"/>
        <sz val="10"/>
        <rFont val="Arial Narrow"/>
        <family val="2"/>
      </rPr>
      <t>®</t>
    </r>
    <r>
      <rPr>
        <sz val="10"/>
        <rFont val="Arial Narrow"/>
        <family val="2"/>
      </rPr>
      <t xml:space="preserve"> - Box - Yellow</t>
    </r>
  </si>
  <si>
    <t>Enduro Pro - White/Green LEDs - Includes (3) "AAA" Alkaline batteries, elastic headstrap - Clam - Coyote</t>
  </si>
  <si>
    <r>
      <t>Enduro Pro - White/Red LEDs - Includes (3) "AAA" Alkaline batteries, rubber hard hat strap, elastic head strap, 3M</t>
    </r>
    <r>
      <rPr>
        <vertAlign val="superscript"/>
        <sz val="10"/>
        <rFont val="Arial Narrow"/>
        <family val="2"/>
      </rPr>
      <t>®</t>
    </r>
    <r>
      <rPr>
        <sz val="10"/>
        <rFont val="Arial Narrow"/>
        <family val="2"/>
      </rPr>
      <t xml:space="preserve"> Dual Lock</t>
    </r>
    <r>
      <rPr>
        <vertAlign val="superscript"/>
        <sz val="10"/>
        <rFont val="Arial Narrow"/>
        <family val="2"/>
      </rPr>
      <t>®</t>
    </r>
    <r>
      <rPr>
        <sz val="10"/>
        <rFont val="Arial Narrow"/>
        <family val="2"/>
      </rPr>
      <t xml:space="preserve"> - Box - Yellow</t>
    </r>
  </si>
  <si>
    <t>Enduro Pro - White/Red LEDs - Includes (3) "AAA" Alkaline batteries, elastic headstrap - Box - Yellow</t>
  </si>
  <si>
    <t>Enduro Pro - White/Red LEDs - Includes (3) "AAA" Alkaline batteries, elastic headstrap - Clam - Yellow</t>
  </si>
  <si>
    <t>Enduro - Includes Alkaline batteries, visor clip and elastic strap - Clam - Black</t>
  </si>
  <si>
    <t xml:space="preserve">Double Clutch - Alkaline Model - Black  </t>
  </si>
  <si>
    <t xml:space="preserve">Double Clutch - Alkaline Model - Yellow  </t>
  </si>
  <si>
    <t xml:space="preserve">Double Clutch USB - 120V AC - Black  </t>
  </si>
  <si>
    <t xml:space="preserve">Double Clutch USB - 120V AC - Yellow  </t>
  </si>
  <si>
    <t xml:space="preserve">Double Clutch USB - Black  </t>
  </si>
  <si>
    <t xml:space="preserve">Double Clutch USB - Yellow  </t>
  </si>
  <si>
    <t xml:space="preserve">ProTac HL USB Headlamp - 120V AC - Black     </t>
  </si>
  <si>
    <t xml:space="preserve">ProTac HL USB Headlamp - Box - Black     </t>
  </si>
  <si>
    <t xml:space="preserve">ProTac HL USB Headlamp - Clam - Black     </t>
  </si>
  <si>
    <t>ProTac HL Headlamp</t>
  </si>
  <si>
    <t xml:space="preserve">Argo Div. 2 - Includes Alkaline batteries, rubber &amp; elastic straps - Yellow    </t>
  </si>
  <si>
    <t>Trident Div. 2 with White and Green LEDs - Includes Alkaline batteries, rubber &amp; elastic straps - Green</t>
  </si>
  <si>
    <t>Trident Div. 2 with White LEDs - Includes Alkaline batteries, rubber &amp; elastic straps - Yellow</t>
  </si>
  <si>
    <t>3AA HAZ-LO - Includes Alkaline batteries, rubber &amp; elastic straps - Yellow</t>
  </si>
  <si>
    <t>Septor Div. 2 - Includes Alkaline batteries, rubber &amp; elastic straps - Yellow</t>
  </si>
  <si>
    <t>ProTac 2.0 Headlamp - Includes SL-B50 battery pack, USB-C cord, elastic head strap, and rubber hard hat strap - Black</t>
  </si>
  <si>
    <t>HEADLAMPS</t>
  </si>
  <si>
    <t>SL-SideSaddle USB Hat Light - Includes (1) polymer battery, USB-C cord and hat mount - Black</t>
  </si>
  <si>
    <t>SL-SideSaddle USB Hat Light - Includes (1) polymer battery, USB-C cord and hat mount - Yellow</t>
  </si>
  <si>
    <t>SL-SideSaddle Hat Light - Includes (3) AAA alkaline batteries and hat mount - Black</t>
  </si>
  <si>
    <t>SL-SideSaddle Hat Light - Includes (3) AAA alkaline batteries and hat mount - Yellow</t>
  </si>
  <si>
    <t>SL-SideSaddle USB - Includes hard hat mount kit (baseplate, slot strap, universal Y-strap), USB-C cord and (1) lithium polymer battery - Box - Black</t>
  </si>
  <si>
    <t>SL-SideSaddle USB - Includes hard hat mount kit (baseplate, slot strap, universal Y-strap), USB-C cord and (1) lithium polymer battery - Box - Yellow</t>
  </si>
  <si>
    <t>SL-SideSaddle - Includes hard hat mount kit (baseplate, slot strap, universal Y-strap) and (3) AAA alkalinebatteries - Box - Black</t>
  </si>
  <si>
    <t>SL-SideSaddle - Includes hard hat mount kit (baseplate, slot strap, universal Y-strap) and (3) AAA alkaline batteries - Box - Yellow</t>
  </si>
  <si>
    <t>SL-SIDESADDLE® SERIES</t>
  </si>
  <si>
    <t>4AA LED - Alkaline batteries - Box - Black</t>
  </si>
  <si>
    <t>4AA LED - Alkaline batteries - Blister - Black</t>
  </si>
  <si>
    <t>4AA LED - without Alkaline batteries - Box - Black</t>
  </si>
  <si>
    <t>4AA LED - Alkaline batteries - Clam - Yellow</t>
  </si>
  <si>
    <t>4AA LED - Alkaline batteries - Box - Yellow</t>
  </si>
  <si>
    <t>4AA LED - without Alkaline batteries - Box -  Yellow</t>
  </si>
  <si>
    <t>4AA Lux Div 2 - Alkaline batteries - Clam - Black</t>
  </si>
  <si>
    <t>4AA Lux Div 2 - Alkaline batteries - Clam - Yellow</t>
  </si>
  <si>
    <t>4AA Lux Div 1 - Alkaline batteries - Clam - Black</t>
  </si>
  <si>
    <t>4AA Lux Div 1 - Alkaline batteries - Clam - Yellow</t>
  </si>
  <si>
    <t>2AA ProPolymer HAZ-LO - Alkaline batteries - Clam - Yellow</t>
  </si>
  <si>
    <t>2AA ProPolymer HAZ-LO - Alkaline batteries - Clam - Black</t>
  </si>
  <si>
    <t>2AAA ProPolymer HAZ-LO - Alkaline batteries - Box - Yellow</t>
  </si>
  <si>
    <t>2AAA ProPolymer HAZ-LO - Alkaline batteries - Clam - Yellow</t>
  </si>
  <si>
    <t>PROPOLYMERS®</t>
  </si>
  <si>
    <t>Dualie Rechargeable - Light Only - Box - Black</t>
  </si>
  <si>
    <t>Dualie Rechargeable - Light Only - Box - Yellow</t>
  </si>
  <si>
    <t>Dualie Rechargeable - 12V DC Direct Wire - Box - Black</t>
  </si>
  <si>
    <t>Dualie Rechargeable - 12V DC Direct Wire - Box - Yellow</t>
  </si>
  <si>
    <t>Dualie Rechargeable - 120V/100V AC - Box - Black</t>
  </si>
  <si>
    <t xml:space="preserve">Dualie Rechargeable - 120V/100V AC - Box - Yellow </t>
  </si>
  <si>
    <t xml:space="preserve">Dualie Rechargeable Magnet - Light Only - Box - Black </t>
  </si>
  <si>
    <t>Dualie Rechargeable Magnet - Light Only - Box - Yellow</t>
  </si>
  <si>
    <t xml:space="preserve">Dualie Rechargeable Magnet - 12V DC Direct Wire - Box- Black </t>
  </si>
  <si>
    <t>Dualie Rechargeable Magnet - 12V DC Direct Wire - Box - Yellow</t>
  </si>
  <si>
    <t>Dualie Rechargeable Magnet - 120V/100V AC - Box - Black</t>
  </si>
  <si>
    <t>Dualie Rechargeable Magnet - 120V/100V AC - Box - Yellow</t>
  </si>
  <si>
    <t>Dualie 3AA Color-Rite - Box - Yellow</t>
  </si>
  <si>
    <t>Dualie 3AA Laser - Includes (3) "AA" Alkaline batteries - Clam - Black</t>
  </si>
  <si>
    <t>Dualie 3AA Laser - Includes (3) "AA" Alkaline batteries - Clam - Yellow</t>
  </si>
  <si>
    <t>Dualie 3AA Magnet with Alkaline batteries and lanyard - Box - Black</t>
  </si>
  <si>
    <t>Dualie 3AA Magnet with Alkaline batteries and lanyard - Box - Yellow</t>
  </si>
  <si>
    <t>Dualie 3AA with magnetic clip and lanyard without batteries - Box - Black</t>
  </si>
  <si>
    <t>Dualie 3AA with magnetic clip and lanyard without batteries - Box - Yellow</t>
  </si>
  <si>
    <t>Dualie 3AA without batteries - Mailer - Black</t>
  </si>
  <si>
    <t>Dualie 3AA without batteries - Mailer - Yellow</t>
  </si>
  <si>
    <t>Dualie 3AA with (3) "AA" Alkaline batteries - Clam - Black</t>
  </si>
  <si>
    <t>Dualie 3AA with (3) "AA" Alkaline batteries - Clam - Yellow</t>
  </si>
  <si>
    <t>Dualie 2AA with (2) "AA" Alkaline batteries - Box - Yellow</t>
  </si>
  <si>
    <t>Dualie 2AA with (2) "AA" Alkaline batteries - Clam - Yellow</t>
  </si>
  <si>
    <t>DUALIE® SERIES</t>
  </si>
  <si>
    <t>Super Siege - 120V AC - Coyote</t>
  </si>
  <si>
    <t>Super Siege - 120V AC - Yellow</t>
  </si>
  <si>
    <t>Siege AA with Magnets - Yellow</t>
  </si>
  <si>
    <t>Siege AA - Coyote</t>
  </si>
  <si>
    <t>The Siege - Coyote</t>
  </si>
  <si>
    <t>SIEGE® SERIES</t>
  </si>
  <si>
    <t>Waypoint - Includes 12V DC power cord - Clam - Black</t>
  </si>
  <si>
    <t>Waypoint - Includes mount and 12V DC power cord - Box - Black</t>
  </si>
  <si>
    <t>Waypoint - Includes mount and 12V DC power cord - Box - Yellow</t>
  </si>
  <si>
    <t>Waypoint 400 - 120V/100V AC - Includes mount - Black</t>
  </si>
  <si>
    <t>Waypoint 400 - 120V/100V AC - Includes mount - Yellow</t>
  </si>
  <si>
    <t>WAYPOINT® SERIES</t>
  </si>
  <si>
    <t>BearTrap 360 - 120V/100V AC - Red</t>
  </si>
  <si>
    <t>BearTrap - 120V/100V AC - Red</t>
  </si>
  <si>
    <t>BEARTRAP® SERIES</t>
  </si>
  <si>
    <t>Flipmate - Includes USB cord - Blue</t>
  </si>
  <si>
    <t>Flipmate - Includes USB cord - Red</t>
  </si>
  <si>
    <t>Flipmate - Includes USB cord - Black</t>
  </si>
  <si>
    <t>FLIPMATE®</t>
  </si>
  <si>
    <t>Syclone Jr. - Includes USB cord - Red</t>
  </si>
  <si>
    <t>Syclone - Includes USB cord - Red</t>
  </si>
  <si>
    <t>SYCLONE® SERIES</t>
  </si>
  <si>
    <t>Survivor Pivot USB Magnet - Includes 22" (55.88 cm) USB cord and includes battery carrier - Yellow</t>
  </si>
  <si>
    <t>Survivor Pivot USB Magnet - Includes 22" (55.88 cm) USB cord and battery carrier - Orange</t>
  </si>
  <si>
    <t>Survivor Pivot USB - Includes 22" (55.88 cm) USB cord and includes battery carrier - Yellow</t>
  </si>
  <si>
    <t>Survivor Pivot USB - Includes 22" (55.88 cm) USB cord and battery carrier) - Orange</t>
  </si>
  <si>
    <t>SURVIVOR PIVOT® USB</t>
  </si>
  <si>
    <t>Note: The Survivor Pivot® is not compatible with legacy Survivor® chargers.</t>
  </si>
  <si>
    <t>Survivor Pivot Magnet - Light Only - Yellow</t>
  </si>
  <si>
    <t>Survivor Pivot Magnet - Light Only - Orange</t>
  </si>
  <si>
    <t>Survivor Pivot Magnet - Alkaline (includes battery carrier) - Yellow</t>
  </si>
  <si>
    <t>Survivor Pivot Magnet - Alkaline (includes battery carrier) - Orange</t>
  </si>
  <si>
    <t>Survivor Pivot Magnet - 120V/100V AC/12V DC (Alkaline battery carrier not included) - Yellow</t>
  </si>
  <si>
    <t>Survivor Pivot Magnet - 120V/100V AC/12V DC (Alkaline battery carrier not included) - Orange</t>
  </si>
  <si>
    <t>Survivor Pivot - Light Only - Yellow</t>
  </si>
  <si>
    <t>Survivor Pivot - Light Only - Orange</t>
  </si>
  <si>
    <t>Survivor Pivot - Alkaline (includes battery carrier) - Yellow</t>
  </si>
  <si>
    <t>Survivor Pivot - Alkaline (includes battery carrier) - Orange</t>
  </si>
  <si>
    <t>Survivor Pivot - 120V/100V AC/12V DC (Alkaline battery carrier not included) - Yellow</t>
  </si>
  <si>
    <t>Survivor Pivot - 120V/100V AC/12V DC (Alkaline battery carrier not included) - Orange</t>
  </si>
  <si>
    <t xml:space="preserve">SURVIVOR PIVOT® </t>
  </si>
  <si>
    <t>Survivor X USB - Includes 22" (55.88 cm) USB cord and battery carrier - Yellow</t>
  </si>
  <si>
    <t>Survivor X USB - Includes 22" (55.88 cm) USB cord and battery carrier - Orange</t>
  </si>
  <si>
    <t>SURVIVOR® X USB</t>
  </si>
  <si>
    <r>
      <t>Note: The Survivor X</t>
    </r>
    <r>
      <rPr>
        <i/>
        <vertAlign val="superscript"/>
        <sz val="10"/>
        <color theme="3" tint="-0.499984740745262"/>
        <rFont val="Arial Narrow"/>
        <family val="2"/>
      </rPr>
      <t>®</t>
    </r>
    <r>
      <rPr>
        <i/>
        <sz val="10"/>
        <color theme="3" tint="-0.499984740745262"/>
        <rFont val="Arial Narrow"/>
        <family val="2"/>
      </rPr>
      <t xml:space="preserve"> is not compatible with legacy Survivor® chargers</t>
    </r>
  </si>
  <si>
    <t>Survivor X - Alkaline Model - Includes battery carrier - Yellow</t>
  </si>
  <si>
    <t>Survivor X - Alkaline Model - Includes battery carrier - Orange</t>
  </si>
  <si>
    <t>Survivor X - Light Only - Yellow</t>
  </si>
  <si>
    <t>Survivor X - Light Only - Orange</t>
  </si>
  <si>
    <t>Survivor X - 120V/100V AC/12V DC (Alkaline battery carrier not included) - Yellow</t>
  </si>
  <si>
    <t>Survivor X - 120V/100V AC/12V DC (Alkaline battery carrier not included) - Orange</t>
  </si>
  <si>
    <t>SURVIVOR® X</t>
  </si>
  <si>
    <t>Survivor (WITHOUT CHARGER) - Black</t>
  </si>
  <si>
    <t xml:space="preserve">Survivor (WITHOUT CHARGER) - Orange  </t>
  </si>
  <si>
    <t>Survivor (WITHOUT CHARGER) - Yellow</t>
  </si>
  <si>
    <t>Survivor - Alkaline Model - Clam - Black</t>
  </si>
  <si>
    <t xml:space="preserve">Survivor - Alkaline Model - Clam - Orange </t>
  </si>
  <si>
    <t>Survivor - Alkaline Model - Clam - Yellow</t>
  </si>
  <si>
    <t>Survivor - 120V/100V AC/12V DC - Black</t>
  </si>
  <si>
    <t>Survivor - 120V/100V AC/12V DC - Orange</t>
  </si>
  <si>
    <t>Survivor - 120V/100V AC/12V DC - Yellow</t>
  </si>
  <si>
    <t>SURVIVOR®</t>
  </si>
  <si>
    <r>
      <t>Fire Vulcan LED (WITHOUT CHARGER)</t>
    </r>
    <r>
      <rPr>
        <i/>
        <sz val="10"/>
        <rFont val="Arial Narrow"/>
        <family val="2"/>
      </rPr>
      <t xml:space="preserve"> </t>
    </r>
    <r>
      <rPr>
        <sz val="10"/>
        <rFont val="Arial Narrow"/>
        <family val="2"/>
      </rPr>
      <t>- Includes quick release shoulder strap - Orange</t>
    </r>
  </si>
  <si>
    <t>Fire Vulcan LED Vehicle Mount System - 12V DC - Includes quick release shoulder strap &amp; direct wire rack - Orange</t>
  </si>
  <si>
    <t>Fire Vulcan LED Standard System - 120V/100V AC/12V DC - Includes quick release shoulder strap &amp; charging rack -  Orange</t>
  </si>
  <si>
    <t>FIRE VULCAN® LED</t>
  </si>
  <si>
    <t>Vulcan Clutch (WITHOUT CHARGER) - Includes heavy duty shoulder strap - Yellow</t>
  </si>
  <si>
    <t>Vulcan Clutch (WITHOUT CHARGER) - Includes quick release shoulder strap - Orange</t>
  </si>
  <si>
    <t>Vulcan Clutch Vehicle Mount System - 12V DC - Includes heavy duty shoulder strap - Yellow</t>
  </si>
  <si>
    <t>Vulcan Clutch Vehicle Mount System - 12V DC - Includes quick release shoulder strap - Orange</t>
  </si>
  <si>
    <t>Vulcan Clutch - 120V/100V AC/12V DC - Includes heavy duty shoulder strap - Yellow</t>
  </si>
  <si>
    <t>Vulcan Clutch - 120V/100V AC/12V DC - Includes quick release shoulder strap - Orange</t>
  </si>
  <si>
    <t>VULCAN CLUTCH®</t>
  </si>
  <si>
    <t>Vulcan 180 (Div 2) (WITHOUT CHARGER) - Yellow</t>
  </si>
  <si>
    <t>Vulcan 180 (Div 2) (WITHOUT CHARGER) - Orange</t>
  </si>
  <si>
    <t xml:space="preserve">Vulcan 180 Vehicle Mount System (Div 2) - 12V DC direct wire rack - Includes heavy duty shoulder strap - Yellow </t>
  </si>
  <si>
    <t>Vulcan 180 Standard System (Div 2) - 120V/100V AC/12V DC - Includes heavy duty shoulder strap  - Yellow</t>
  </si>
  <si>
    <t xml:space="preserve">Vulcan 180 Vehicle Mount System (Div 2) - 12V DC direct wire rack - Includes quick release shoulder strap - Orange </t>
  </si>
  <si>
    <t xml:space="preserve">Vulcan 180 Standard System (Div 2) - 120V/100V AC/12V DC - Includes quick release shoulder strap - Yellow </t>
  </si>
  <si>
    <t xml:space="preserve">Vulcan 180 Standard System (Div 2) - 120V/100V AC/12V DC - Includes quick release shoulder strap - Orange </t>
  </si>
  <si>
    <t>VULCAN® 180</t>
  </si>
  <si>
    <t>E-Spot LiteBox (WITHOUT CHARGER) - Yellow</t>
  </si>
  <si>
    <t>E-Spot LiteBox (WITHOUT CHARGER) - Orange</t>
  </si>
  <si>
    <t>E-Spot LiteBox Power Failure System - 120V/100V AC/12V DC - Includes shoulder strap &amp; mounting rack - Orange</t>
  </si>
  <si>
    <t>E-Spot LiteBox Vehicle Mount System - 12V DC charge cord and DC direct wire rack - Yellow</t>
  </si>
  <si>
    <t>E-Spot LiteBox Vehicle Mount System - 12V DC direct wire rack - Orange</t>
  </si>
  <si>
    <t>E-Spot LiteBox Standard System - 120V/100V AC/12V DC - Includes shoulder strap &amp; mounting rack - Yellow</t>
  </si>
  <si>
    <t>E-Spot LiteBox Standard System - 120V/100V AC/12V DC - Includes shoulder strap &amp; mounting rack - Orange</t>
  </si>
  <si>
    <t xml:space="preserve">E-SPOT® LITEBOX® </t>
  </si>
  <si>
    <t>E-Spot FireBox (WITHOUT CHARGER) - Yellow</t>
  </si>
  <si>
    <t xml:space="preserve">E-Spot FireBox (WITHOUT CHARGER) - Orange </t>
  </si>
  <si>
    <t>E-Spot FireBox Vehicle Mount System - 12V DC - Includes shoulder strap - Yellow</t>
  </si>
  <si>
    <t>E-Spot FireBox Vehicle Mount System - 12V DC - Includes shoulder strap - Orange</t>
  </si>
  <si>
    <t>E-Spot FireBox Standard System - 120V/100V AC/12V DC - Includes shoulder strap &amp; mounting rack - Yellow</t>
  </si>
  <si>
    <t>E-Spot FireBox Standard System - 120V/100V AC/12V DC - Includes shoulder strap &amp; mounting rack - Orange</t>
  </si>
  <si>
    <t xml:space="preserve">E-SPOT® FIREBOX® </t>
  </si>
  <si>
    <t xml:space="preserve">Strion DS HL (WITHOUT CHARGER) </t>
  </si>
  <si>
    <t>Strion DS HL - 120V/100V AC/12V DC PiggyBack</t>
  </si>
  <si>
    <t xml:space="preserve">Strion DS HL - 12V DC </t>
  </si>
  <si>
    <t xml:space="preserve">Strion DS HL - 120V/100V AC </t>
  </si>
  <si>
    <t xml:space="preserve">Strion DS HL - 120V/100V AC/12V DC – 1 Holder </t>
  </si>
  <si>
    <t xml:space="preserve">Strion DS HL - 120V/100V AC/12V DC – 2 Holders </t>
  </si>
  <si>
    <t>STRION® DS HL</t>
  </si>
  <si>
    <t>Strion LED HL (WITHOUT CHARGER)</t>
  </si>
  <si>
    <t>Strion LED HL - 120V/100V AC/12V DC PiggyBack</t>
  </si>
  <si>
    <t xml:space="preserve">Strion LED HL - 12V DC </t>
  </si>
  <si>
    <t xml:space="preserve">Strion LED HL - 120V/100V AC </t>
  </si>
  <si>
    <t xml:space="preserve">Strion LED HL - 120V/100V AC/12V DC – 1 Holder </t>
  </si>
  <si>
    <t xml:space="preserve">Strion LED HL - 120V/100V AC/12V DC – 2 Holders </t>
  </si>
  <si>
    <t>STRION LED HL®</t>
  </si>
  <si>
    <t>Strion 2020 (WITHOUT CHARGER)</t>
  </si>
  <si>
    <t>Strion 2020 - 120V/100VAC/12V DC PiggyBack</t>
  </si>
  <si>
    <t>Strion 2020 - 12V DC</t>
  </si>
  <si>
    <t>Strion 2020 - 120V/100V AC/12V DC - 1 Holder</t>
  </si>
  <si>
    <t>ADD</t>
  </si>
  <si>
    <t>STRION® 2020</t>
  </si>
  <si>
    <t>Strion LED (WITHOUT CHARGER)</t>
  </si>
  <si>
    <t>Strion LED - 120V/100V AC/12V DC PiggyBack</t>
  </si>
  <si>
    <t>Strion LED - 12V DC</t>
  </si>
  <si>
    <t>Strion LED with Grip Ring - 120V/100V AC</t>
  </si>
  <si>
    <t>Strion LED - 120V/100V AC</t>
  </si>
  <si>
    <t>Strion LED - 120V/100V AC/DC - 1 Holder</t>
  </si>
  <si>
    <t>Strion LED - 120V/100V AC/DC - 2 Holders</t>
  </si>
  <si>
    <t>STRION® LED</t>
  </si>
  <si>
    <t xml:space="preserve">Stinger DS LED HL (WITHOUT CHARGER)  </t>
  </si>
  <si>
    <t xml:space="preserve">Stinger DS LED HL - 120V/100V AC/12V DC PiggyBack </t>
  </si>
  <si>
    <t xml:space="preserve">Stinger DS LED HL - 12V DC </t>
  </si>
  <si>
    <t xml:space="preserve">Stinger DS LED HL - 120V/100V AC </t>
  </si>
  <si>
    <t xml:space="preserve">Stinger DS LED HL - 120V/100V AC/12V DC – 2 Holders </t>
  </si>
  <si>
    <t>STINGER DS LED HL®</t>
  </si>
  <si>
    <t xml:space="preserve">Stinger DS LED (WITHOUT CHARGER) </t>
  </si>
  <si>
    <t>Stinger DS LED - 120V/100V AC/12V DC PiggyBack</t>
  </si>
  <si>
    <t xml:space="preserve">Stinger DS LED - 12V DC </t>
  </si>
  <si>
    <t>Stinger DS LED - 12V DC - Smart Charge PiggyBack</t>
  </si>
  <si>
    <t>Stinger DS LED - 120V/100V AC - Smart Charge PiggyBack</t>
  </si>
  <si>
    <t xml:space="preserve">Stinger DS LED - 120V/100V AC </t>
  </si>
  <si>
    <t>Stinger DS LED - 120V/100V AC/12V DC - 1 Holder - Clam</t>
  </si>
  <si>
    <t xml:space="preserve">Stinger DS LED - 120V/100V AC/12V DC - 2 Holders </t>
  </si>
  <si>
    <t>STINGER DS® LED</t>
  </si>
  <si>
    <t xml:space="preserve">Stinger LED HL (WITHOUT CHARGER) </t>
  </si>
  <si>
    <t xml:space="preserve">Stinger LED HL - 120V/100V AC/12V DC PiggyBack </t>
  </si>
  <si>
    <t>Stinger LED HL - 12V DC - 1 Holder</t>
  </si>
  <si>
    <t xml:space="preserve">Stinger LED HL - 120V/100V AC </t>
  </si>
  <si>
    <t xml:space="preserve">Stinger LED HL - 120V/100V AC/12V DC – 2 Holders </t>
  </si>
  <si>
    <t>STINGER LED HL®</t>
  </si>
  <si>
    <t xml:space="preserve">Stinger LED (WITHOUT CHARGER) </t>
  </si>
  <si>
    <t xml:space="preserve">Stinger LED - 12V DC   </t>
  </si>
  <si>
    <t xml:space="preserve">Stinger LED - 120V/100V AC   </t>
  </si>
  <si>
    <t xml:space="preserve">Stinger LED - 120V/100V AC/12V DC - 2 Holders </t>
  </si>
  <si>
    <t>STINGER® LED</t>
  </si>
  <si>
    <t>Stinger 2020 (WITHOUT CHARGER) - Includes "Y" USB cord - Black</t>
  </si>
  <si>
    <t>Stinger 2020 - 12V DC - 1 Holder - Black</t>
  </si>
  <si>
    <t>Stinger 2020 - 120V AC/12V DC - 1 Holder - Black</t>
  </si>
  <si>
    <t>STINGER® 2020</t>
  </si>
  <si>
    <t xml:space="preserve">2025
MSRP </t>
  </si>
  <si>
    <t xml:space="preserve">Item Description </t>
  </si>
  <si>
    <r>
      <t xml:space="preserve">Prices effective June 2, 2025. </t>
    </r>
    <r>
      <rPr>
        <b/>
        <i/>
        <sz val="11"/>
        <color indexed="10"/>
        <rFont val="Arial"/>
        <family val="2"/>
      </rPr>
      <t>Prices are subject to change without notice.</t>
    </r>
  </si>
  <si>
    <t>GBPC Distributor Price List 2025</t>
  </si>
  <si>
    <t xml:space="preserve">Miscellaneous Equipment		</t>
  </si>
  <si>
    <t>Custom Graphics</t>
  </si>
  <si>
    <t>Custom Paint</t>
  </si>
  <si>
    <t>Repair, Service and Install (per hour)</t>
  </si>
  <si>
    <t>Transportation - Pick Up/Return Hourly</t>
  </si>
  <si>
    <t>Fleet Key</t>
  </si>
  <si>
    <t>Window Tint - Sun Strip Only</t>
  </si>
  <si>
    <t>Window Tint - Two Windows Only</t>
  </si>
  <si>
    <t xml:space="preserve">Window Tint - Four Windows </t>
  </si>
  <si>
    <t>Window Tint- Entire Vehicle</t>
  </si>
  <si>
    <t>Remote Start</t>
  </si>
  <si>
    <t>Shop Supplies Small</t>
  </si>
  <si>
    <t>Shop Supplies Medium</t>
  </si>
  <si>
    <t>Shop SuppliesLarge</t>
  </si>
  <si>
    <t xml:space="preserve">Transfer 2-way radio and front mount antenna  </t>
  </si>
  <si>
    <t xml:space="preserve">Transfer 2-way radio and trunk mount antenna  </t>
  </si>
  <si>
    <t>Transfer Second 2-way radio</t>
  </si>
  <si>
    <t>Transfer Repeater 2-way radio</t>
  </si>
  <si>
    <t>Transfer Portable 2-way radio charger</t>
  </si>
  <si>
    <t xml:space="preserve">Transfer Light bar and switching  </t>
  </si>
  <si>
    <t>Transfer front interior lightbar</t>
  </si>
  <si>
    <t>Transfer rear interior lightbar</t>
  </si>
  <si>
    <t>Transfer rear exterior lightbar</t>
  </si>
  <si>
    <t>Transfer Siren and speaker</t>
  </si>
  <si>
    <t xml:space="preserve">Transfer Prisoner Barrier </t>
  </si>
  <si>
    <t xml:space="preserve">Transfer Cargo Barrier Barrier </t>
  </si>
  <si>
    <t xml:space="preserve">Transfer Single Cell Prisoner Transport System </t>
  </si>
  <si>
    <t xml:space="preserve">Transfer containment module  </t>
  </si>
  <si>
    <t>Transfer rear prisoner seat</t>
  </si>
  <si>
    <t xml:space="preserve">Transfer grill lights  </t>
  </si>
  <si>
    <t>Transfer wig-wag headlight flasher</t>
  </si>
  <si>
    <t xml:space="preserve">Transfer rear deck lights </t>
  </si>
  <si>
    <t xml:space="preserve">Transfer rear flash back unit with bulbs </t>
  </si>
  <si>
    <t>Transfer front fender LED lgihts</t>
  </si>
  <si>
    <t>Transfer front fog lamps LED lights</t>
  </si>
  <si>
    <t xml:space="preserve">Transfer 2 hideaway LED systems  </t>
  </si>
  <si>
    <t xml:space="preserve">Transfer 4 hideaway LED systems   </t>
  </si>
  <si>
    <t xml:space="preserve">Transfer 6 hideaway LED systems   </t>
  </si>
  <si>
    <t>Transfer Electronic Ticketing System to include printer, scanner and associated hardware</t>
  </si>
  <si>
    <t xml:space="preserve">Transfer opticom  </t>
  </si>
  <si>
    <t>Transfer fuel monitor system</t>
  </si>
  <si>
    <t xml:space="preserve">Transfer scanner and antenna  </t>
  </si>
  <si>
    <t xml:space="preserve">Transfer flashlight with charger  </t>
  </si>
  <si>
    <t>Transfer console only</t>
  </si>
  <si>
    <t>Transfer rear equipment tray</t>
  </si>
  <si>
    <t>Transfer electric shotgun rack (trunk mount or cage mount )</t>
  </si>
  <si>
    <t>Transfer mobile data terminal, modem, power supply, charge guard, mount and antenna</t>
  </si>
  <si>
    <t>Transfer Dash mounted Intergrated Computer System</t>
  </si>
  <si>
    <t>Transfer License Plate Reader System (requires vehicle specific brackets, not included)</t>
  </si>
  <si>
    <t>Transfer GPS system</t>
  </si>
  <si>
    <t>Transfer Anti-theft system (vehicle specific)</t>
  </si>
  <si>
    <t xml:space="preserve">Transfer trunk lights and flasher  </t>
  </si>
  <si>
    <t xml:space="preserve">Transfer In-car video system (single camera)with switch panel  </t>
  </si>
  <si>
    <t>Transfer additional video camera (each)</t>
  </si>
  <si>
    <t xml:space="preserve">Transfer arrow stick with switch panel </t>
  </si>
  <si>
    <t xml:space="preserve">Transfer radar system  </t>
  </si>
  <si>
    <t>Transfer K-9 transport system including heat alarm and door opener</t>
  </si>
  <si>
    <t xml:space="preserve">Transfer front windshield interior light   </t>
  </si>
  <si>
    <t xml:space="preserve">Transfer mirror beam lighting system  </t>
  </si>
  <si>
    <t>Transfer rear Storage unit - SUV</t>
  </si>
  <si>
    <t>Transfer rear Command Cabinet unit - SUV</t>
  </si>
  <si>
    <t xml:space="preserve">Transfer Stop Stick system  </t>
  </si>
  <si>
    <t xml:space="preserve">Transfer window screens or bars  </t>
  </si>
  <si>
    <t>Transfer rear door panels</t>
  </si>
  <si>
    <t xml:space="preserve">Transfer side lights on prisoner barrier or push bumper </t>
  </si>
  <si>
    <t>Transfer push bumper with new hardware</t>
  </si>
  <si>
    <t>Transfer recessed lighted push bumper with new hardware</t>
  </si>
  <si>
    <t xml:space="preserve">Transfer Rumbler siren system  </t>
  </si>
  <si>
    <t xml:space="preserve">Equipment Transfer	</t>
  </si>
  <si>
    <t>Additional Services</t>
  </si>
  <si>
    <t>Onsite Installation/Repair  Work - Travel included ( per Hour, Travel Included)</t>
  </si>
  <si>
    <t>Westin Automotive</t>
  </si>
  <si>
    <t>CUP-1005</t>
  </si>
  <si>
    <t>Havis Internal Mount Armrest With Lockable Accessory Pocket</t>
  </si>
  <si>
    <t xml:space="preserve">Havis Internal Cup Holders </t>
  </si>
  <si>
    <t>Havis External Mount Self-Adjusting Cup Holder</t>
  </si>
  <si>
    <t>Havis Self-Adjusting Double Cup Holder (Fixed Mount)</t>
  </si>
  <si>
    <t>Havis Angled Wedge Kit For Havis Cup Holders &amp; 1-Piece 4" Equipment Brackets</t>
  </si>
  <si>
    <t>Havis Angled External Dual Self-Adjusting Cup Holder</t>
  </si>
  <si>
    <t>Havis Top Mount Armrest</t>
  </si>
  <si>
    <t>Havis Armrest For Top Mount, Console, Large Pad</t>
  </si>
  <si>
    <t>Havis Molded Armrest To Mount To Tunnel-Mount Base</t>
  </si>
  <si>
    <t xml:space="preserve"> C-ARM-108</t>
  </si>
  <si>
    <t xml:space="preserve"> C-ARM-109</t>
  </si>
  <si>
    <t>Havis Side Mounted Flip Up Armrest</t>
  </si>
  <si>
    <t>Havis Side Mount Armrest</t>
  </si>
  <si>
    <t>Prisoner Transport Systems, Partitions</t>
  </si>
  <si>
    <t>PK****ITU20TM</t>
  </si>
  <si>
    <t>Setina Recessed Panel Partition Tall Man 2020+ PIU</t>
  </si>
  <si>
    <t>425-3816</t>
  </si>
  <si>
    <t>Jotto Desk Magnetic Mic</t>
  </si>
  <si>
    <t>$100-$6000</t>
  </si>
  <si>
    <t>$400-$10000</t>
  </si>
  <si>
    <t>$125-$200</t>
  </si>
  <si>
    <t>Havis 2025+ Ford Interceptor Utility Vehicle Specific Angled Console</t>
  </si>
  <si>
    <t>Havis 2025+ Chevy Tahoe Vehicle Specific Angled Console</t>
  </si>
  <si>
    <t>Havis 2025+ Chevy Tahoe Vehicle Specific Printer Mount Angled Console</t>
  </si>
  <si>
    <t xml:space="preserve">Havis 2025+ Chevy Tahoe Wide VSX Console with Front Printer </t>
  </si>
  <si>
    <t>Havis Chevy Silverado 2025 Silverado Printer Mount Console</t>
  </si>
  <si>
    <t>American Aluminum</t>
  </si>
  <si>
    <t>Angel Armor</t>
  </si>
  <si>
    <t>Big Sky Gun Racks</t>
  </si>
  <si>
    <t>Decatur Radar</t>
  </si>
  <si>
    <t>Gamber Johnson</t>
  </si>
  <si>
    <t>Havis</t>
  </si>
  <si>
    <t>Lund</t>
  </si>
  <si>
    <t>Pro Gard</t>
  </si>
  <si>
    <t>Setina</t>
  </si>
  <si>
    <t>Sound Off</t>
  </si>
  <si>
    <t>Tiger Tough</t>
  </si>
  <si>
    <t>Tremco</t>
  </si>
  <si>
    <t>Troy Products</t>
  </si>
  <si>
    <t>Truck Vault</t>
  </si>
  <si>
    <t xml:space="preserve">	 Whelen STRIP-LITE DUO with Flasher Pair</t>
  </si>
  <si>
    <t>RADAR</t>
  </si>
  <si>
    <t>QK0***ITU2*</t>
  </si>
  <si>
    <t>DK***ITU20</t>
  </si>
  <si>
    <t>Setinal Door Panel</t>
  </si>
  <si>
    <t xml:space="preserve">American Aluminum - Includes: M910 controller, Touchscreen, harness kit and hardware. instruction manual included. </t>
  </si>
  <si>
    <t>M900-Service Kit: Upgrade M900 CG Plus to M910-CGP</t>
  </si>
  <si>
    <t>M900-Service Kit</t>
  </si>
  <si>
    <t>American Aluminum - Pedestal</t>
  </si>
  <si>
    <t>Pedestal</t>
  </si>
  <si>
    <t>American Aluminum - Paw Protect</t>
  </si>
  <si>
    <t>Paw Protect</t>
  </si>
  <si>
    <t>American Aluminum - Power Distribution Box</t>
  </si>
  <si>
    <t>Power Distribution Box</t>
  </si>
  <si>
    <t xml:space="preserve">American Aluminum - Touchscreen Display </t>
  </si>
  <si>
    <t xml:space="preserve">Touchscreen Display </t>
  </si>
  <si>
    <t>American Aluminum - Wire Harness - Cool Guard</t>
  </si>
  <si>
    <t>Wire Harness - Cool Guard</t>
  </si>
  <si>
    <t>American Aluminum - Pager Antenna</t>
  </si>
  <si>
    <t>Pager Antenna</t>
  </si>
  <si>
    <t>American Aluminum - Temperature Probe</t>
  </si>
  <si>
    <t>Temperature Probe</t>
  </si>
  <si>
    <t>American Aluminum - Fan Guard</t>
  </si>
  <si>
    <t>Fan Guard</t>
  </si>
  <si>
    <t>American Aluminum - Cool Guard Box</t>
  </si>
  <si>
    <t>Cool Guard Box</t>
  </si>
  <si>
    <t>American Aluminum - Fan</t>
  </si>
  <si>
    <t>Fan</t>
  </si>
  <si>
    <t>American Aluminum - Replacement Pager Transmitter Only</t>
  </si>
  <si>
    <t>Replacement Pager Transmitter Only</t>
  </si>
  <si>
    <t xml:space="preserve">Pager Transmitter </t>
  </si>
  <si>
    <t>American Aluminum - Coolguard Pager - Only</t>
  </si>
  <si>
    <t>Coolguard Pager - Only</t>
  </si>
  <si>
    <t>Coolguard Pager</t>
  </si>
  <si>
    <t>American Aluminum - Cool Guard Pro &amp; R.E.S.C.U.E box</t>
  </si>
  <si>
    <t>Cool Guard Pro &amp; R.E.S.C.U.E box</t>
  </si>
  <si>
    <t>American Aluminum - Replacement R.E.S.C.U.E. Antenna Whip</t>
  </si>
  <si>
    <t>Replacement R.E.S.C.U.E. Antenna Whip</t>
  </si>
  <si>
    <t>R.E.S.C.U.E. Antenna Whip</t>
  </si>
  <si>
    <t>American Aluminum - Replacement R.E.S.C.U.E. Solenoid</t>
  </si>
  <si>
    <t>Replacement R.E.S.C.U.E. Solenoid</t>
  </si>
  <si>
    <t>R.E.S.C.U.E. Solenoid</t>
  </si>
  <si>
    <t>American Aluminum - Wire Harness - R.E.S.C.U.E</t>
  </si>
  <si>
    <t>Wire Harness - R.E.S.C.U.E</t>
  </si>
  <si>
    <t>American Aluminum - R.E.S.C.U.E Receiver (box)</t>
  </si>
  <si>
    <t>R.E.S.C.U.E Receiver (box)</t>
  </si>
  <si>
    <t>R.E.S.C.U.E Receiver</t>
  </si>
  <si>
    <t>American Aluminum - Remote Holder (2.25" key chain) for R.E.S.C.U.E</t>
  </si>
  <si>
    <t>Remote Holder (2.25" key chain) for R.E.S.C.U.E</t>
  </si>
  <si>
    <t xml:space="preserve">Remote Holder </t>
  </si>
  <si>
    <t>American Aluminum - Remote FOB (key chain style) for R.E.S.C.U.E</t>
  </si>
  <si>
    <t>Remote FOB (key chain style) for R.E.S.C.U.E</t>
  </si>
  <si>
    <t xml:space="preserve">Remote FOB </t>
  </si>
  <si>
    <t>American Aluminum - Hydraulic Cylinder (shock) for R.E.S.C.U.E</t>
  </si>
  <si>
    <t>Hydraulic Cylinder (shock) for R.E.S.C.U.E</t>
  </si>
  <si>
    <t>Hydraulic Cylinder</t>
  </si>
  <si>
    <t>American Aluminum - Cylinder Bracket Set</t>
  </si>
  <si>
    <t>Cylinder Bracket Set</t>
  </si>
  <si>
    <t>American Aluminum - Coax Cable</t>
  </si>
  <si>
    <t>Coax Cable</t>
  </si>
  <si>
    <t xml:space="preserve">American Aluminum - R.E.S.C.U.E Antenna Assembly </t>
  </si>
  <si>
    <t xml:space="preserve">R.E.S.C.U.E Antenna Assembly </t>
  </si>
  <si>
    <t>American Aluminum - R.E.S.C.U.E - Actuator Motor</t>
  </si>
  <si>
    <t>R.E.S.C.U.E - Actuator Motor</t>
  </si>
  <si>
    <t>American Aluminum - Interceptor SUV Spare Tire Cover (2011 - 2019)</t>
  </si>
  <si>
    <t>Interceptor SUV Spare Tire Cover (2011 - 2019)</t>
  </si>
  <si>
    <t xml:space="preserve">Spare Tire Cover </t>
  </si>
  <si>
    <t>American Aluminum - Replacement T Handle</t>
  </si>
  <si>
    <t>Replacement T Handle</t>
  </si>
  <si>
    <t>American Aluminum - Add Weapons Foam to Vault (per drawer)</t>
  </si>
  <si>
    <t>Add Weapons Foam to Vault (per drawer)</t>
  </si>
  <si>
    <t xml:space="preserve">Weapons Foam </t>
  </si>
  <si>
    <t>American Aluminum - Electronics Basket</t>
  </si>
  <si>
    <t>Electronics Basket</t>
  </si>
  <si>
    <t>American Aluminum - Up Vault Legs</t>
  </si>
  <si>
    <t>Up Vault Legs</t>
  </si>
  <si>
    <t>American Aluminum - Vault Basket</t>
  </si>
  <si>
    <t>Vault Basket</t>
  </si>
  <si>
    <t>American Aluminum - Vault Dividers</t>
  </si>
  <si>
    <t>Vault Dividers</t>
  </si>
  <si>
    <t>American Aluminum - Vault Slides</t>
  </si>
  <si>
    <t>Vault Slides</t>
  </si>
  <si>
    <t>American Aluminum - Front Only K9 Block Out Kit</t>
  </si>
  <si>
    <t>Front Only K9 Block Out Kit</t>
  </si>
  <si>
    <t>American Aluminum - Rear Only K9 Block Out Kit</t>
  </si>
  <si>
    <t>Rear Only K9 Block Out Kit</t>
  </si>
  <si>
    <t>American Aluminum - Full Set K9 Block Out Kit</t>
  </si>
  <si>
    <t>Full Set K9 Block Out Kit</t>
  </si>
  <si>
    <t>American Aluminum - Replacement K9 Spit Guard</t>
  </si>
  <si>
    <t>Replacement K9 Spit Guard</t>
  </si>
  <si>
    <t>American Aluminum - K9 Unit Back for 1/3, 2/3 (2/3 portion Only)</t>
  </si>
  <si>
    <t>K9 Unit Back for 1/3, 2/3 (2/3 portion Only)</t>
  </si>
  <si>
    <t>American Aluminum - K9 Unit Back for Platform</t>
  </si>
  <si>
    <t>K9 Unit Back for Platform</t>
  </si>
  <si>
    <t>American Aluminum - Water Dish Bracket</t>
  </si>
  <si>
    <t>Water Dish Bracket</t>
  </si>
  <si>
    <t>American Aluminum - LED "White" or "Red" Light (K9)</t>
  </si>
  <si>
    <t>LED "White" or "Red" Light (K9)</t>
  </si>
  <si>
    <t>American Aluminum - Rubber Trim for Door Panels</t>
  </si>
  <si>
    <t>Rubber Trim for Door Panels</t>
  </si>
  <si>
    <t>American Aluminum - Headliner Covers</t>
  </si>
  <si>
    <t>Headliner Covers</t>
  </si>
  <si>
    <t>American Aluminum - Polycarbonate Wing Set</t>
  </si>
  <si>
    <t>Polycarbonate Wing Set</t>
  </si>
  <si>
    <t>American Aluminum - Aluminum Wing Set</t>
  </si>
  <si>
    <t>Aluminum Wing Set</t>
  </si>
  <si>
    <t>American Aluminum - Back Drop Down Window</t>
  </si>
  <si>
    <t>Back Drop Down Window</t>
  </si>
  <si>
    <t>American Aluminum - Hardware Kit</t>
  </si>
  <si>
    <t>Hardware Kit</t>
  </si>
  <si>
    <t>American Aluminum - Bar Style Window Guard Set</t>
  </si>
  <si>
    <t>Bar Style Window Guard Set</t>
  </si>
  <si>
    <t>American Aluminum - Window Guard Set</t>
  </si>
  <si>
    <t>Window Guard Set</t>
  </si>
  <si>
    <t>American Aluminum - Door Panel (set)</t>
  </si>
  <si>
    <t>Door Panel (set)</t>
  </si>
  <si>
    <t>American Aluminum - Track Set (for door)</t>
  </si>
  <si>
    <t>Track Set (for door)</t>
  </si>
  <si>
    <t>American Aluminum - Door (front partition)</t>
  </si>
  <si>
    <t>Door (front partition)</t>
  </si>
  <si>
    <t>American Aluminum - K9 Unit Front</t>
  </si>
  <si>
    <t>K9 Unit Front</t>
  </si>
  <si>
    <t>American Aluminum - K9 Unit Pan (Floor)</t>
  </si>
  <si>
    <t>K9 Unit Pan (Floor)</t>
  </si>
  <si>
    <t>American Aluminum - K9 Canopy (Roof)</t>
  </si>
  <si>
    <t>K9 Canopy (Roof)</t>
  </si>
  <si>
    <t>American Aluminum - Individual Hot Box</t>
  </si>
  <si>
    <t>Individual Hot Box</t>
  </si>
  <si>
    <t>American Aluminum - Handgun Case</t>
  </si>
  <si>
    <t>Handgun Case</t>
  </si>
  <si>
    <t>American Aluminum - AR Gun Case</t>
  </si>
  <si>
    <t>AR Gun Case</t>
  </si>
  <si>
    <t>American Aluminum - Narc Replacement Box</t>
  </si>
  <si>
    <t>Narc Replacement Box</t>
  </si>
  <si>
    <t>American Aluminum - 3 Comp Narc Safe</t>
  </si>
  <si>
    <t>3 Comp Narc Safe</t>
  </si>
  <si>
    <t>American Aluminum - 4 Comp Narc Safe</t>
  </si>
  <si>
    <t>4 Comp Narc Safe</t>
  </si>
  <si>
    <t>American Aluminum - Home Kennel</t>
  </si>
  <si>
    <t>Home Kennel</t>
  </si>
  <si>
    <t>American Aluminum - Hot Boxes Set of 6</t>
  </si>
  <si>
    <t>Hot Boxes Set of 6</t>
  </si>
  <si>
    <t>American Aluminum - DOD Obstacle Course</t>
  </si>
  <si>
    <t>DOD Obstacle Course</t>
  </si>
  <si>
    <t>American Aluminum - EZ Obstacle Course USPCA Group 2</t>
  </si>
  <si>
    <t>EZ Obstacle Course USPCA Group 2</t>
  </si>
  <si>
    <t>American Aluminum - EZ Obstacle Course USPCA Group I</t>
  </si>
  <si>
    <t>EZ Obstacle Course USPCA Group I</t>
  </si>
  <si>
    <t>American Aluminum - EZ Obstacle Course USPCA Group I&amp;2</t>
  </si>
  <si>
    <t>EZ Obstacle Course USPCA Group I&amp;2</t>
  </si>
  <si>
    <t>American Aluminum - Lockable Holding Case</t>
  </si>
  <si>
    <t>Lockable Holding Case</t>
  </si>
  <si>
    <t>American Aluminum - Large Box</t>
  </si>
  <si>
    <t>Large Box</t>
  </si>
  <si>
    <t>American Aluminum - Small Box</t>
  </si>
  <si>
    <t>Small Box</t>
  </si>
  <si>
    <t>American Aluminum - Sniff Kit Set</t>
  </si>
  <si>
    <t>Sniff Kit Set</t>
  </si>
  <si>
    <t xml:space="preserve">American Aluminum - Animal Control 6 Comp. Slide In for Pick up Truck with. Powder coated WHITE. 
Includes: protected fans, protected LED interior lighting, drain in each animal compartment, heavy duty non toxic rubber liners, powder coated white, top rail, all lockable compartments, all locks keyed the same, catch pole hole in each door,  aluminum continuous piano hinge on all doors.
</t>
  </si>
  <si>
    <t>6 Compartment (Slide In)</t>
  </si>
  <si>
    <t>ACO 6 Compartment</t>
  </si>
  <si>
    <t xml:space="preserve">American Aluminum - Slide-In Animal Control, 4 Compartment with storage compartment in the front. Powder coated WHITE. Includes: protected fans, protected LED interior lighting, drain in each animal compartment, heavy duty non toxic rubber liners, powder coated white, top rail, all lockable compartments, all locks keyed the same, catch pole hole in each door, all aluminum insulated top, aluminum continuous piano hinge on all doors.
BED LENGTH: 
</t>
  </si>
  <si>
    <t>4 Compartment (Slide In)</t>
  </si>
  <si>
    <t>ACO 4 Compartment</t>
  </si>
  <si>
    <t>American Aluminum - Additional slave</t>
  </si>
  <si>
    <t>Intercom System (IT) - Additional Slave</t>
  </si>
  <si>
    <t>Additional Salve</t>
  </si>
  <si>
    <t>American Aluminum - System will come with one slave. For a 2 compartment you will need 1 additional slave. For a 3 compartment you will need 2 additional slaves. For a 4th compartment you will need 3 additional slaves.</t>
  </si>
  <si>
    <t xml:space="preserve">Intercom System (1 comp IT system) </t>
  </si>
  <si>
    <t>Intercom System</t>
  </si>
  <si>
    <t>American Aluminum -  Seatbelt Extender</t>
  </si>
  <si>
    <t>Seatbelt Extender</t>
  </si>
  <si>
    <t>American Aluminum - 48" Seatbelts (replacement)</t>
  </si>
  <si>
    <t>48" Seatbelts (replacement)</t>
  </si>
  <si>
    <t xml:space="preserve">American Aluminum - Replacement. All modular inmate units come with it. </t>
  </si>
  <si>
    <t xml:space="preserve">Console Box </t>
  </si>
  <si>
    <t>American Aluminum - Used so there is no visibility between the compartments and the driver cab</t>
  </si>
  <si>
    <t>Solid Front Partition / Bulkhead</t>
  </si>
  <si>
    <t xml:space="preserve">American Aluminum - Used so there is no visibility between the compartments. </t>
  </si>
  <si>
    <t>Solid Drop Doors</t>
  </si>
  <si>
    <t>American Aluminum - Heavy duty vinyl, bottom only or bottom and back options available</t>
  </si>
  <si>
    <t xml:space="preserve">Seat Cushions for 3 to 4 Compartment </t>
  </si>
  <si>
    <t>Seat Cushions 3 to 4 Comp</t>
  </si>
  <si>
    <t xml:space="preserve">Seat Cushions for 1 to 2 Compartment </t>
  </si>
  <si>
    <t>Seat Cushions 1 to 2 Comp</t>
  </si>
  <si>
    <t xml:space="preserve">American Aluminum - Provides easy and secure food access to inmates </t>
  </si>
  <si>
    <t xml:space="preserve">Food Doors </t>
  </si>
  <si>
    <t>American Aluminum - Helps reduce Odor and noise</t>
  </si>
  <si>
    <t>Carpeted Front Bulkhead</t>
  </si>
  <si>
    <t>American Aluminum - Complete 5 Camera DVR Recording System w/ 256GB SD Card</t>
  </si>
  <si>
    <t>5 Compartment Camera System Safety Vision</t>
  </si>
  <si>
    <t>5 Compartment Camera System</t>
  </si>
  <si>
    <t>American Aluminum - Complete 4 Camera DVR Recording System w/ 256GB SD Card</t>
  </si>
  <si>
    <t>4 Compartment Camera System Safety Vision</t>
  </si>
  <si>
    <t>4 Compartment Camera System</t>
  </si>
  <si>
    <t>American Aluminum - Complete 3 Camera DVR Recording System w/ 256GB SD Card</t>
  </si>
  <si>
    <t>3 Compartment Camera System Safety Vision</t>
  </si>
  <si>
    <t>3 Compartment Camera System</t>
  </si>
  <si>
    <t>American Aluminum - Complete 2 Camera DVR Recording System w/ 256GB SD Card</t>
  </si>
  <si>
    <t>2 Compartment Camera System Safety Vision</t>
  </si>
  <si>
    <t>2 Compartment Camera System</t>
  </si>
  <si>
    <t>American Aluminum - Complete 1 Camera DVR Recording System w/ 256GB SD Card</t>
  </si>
  <si>
    <t>1 Compartment Camera System Safety Vision</t>
  </si>
  <si>
    <t>1 Compartment Camera System</t>
  </si>
  <si>
    <t>American Aluminum - With our wheelchair accessible transport system, a restraint chair lift is included in your choice of a two or three compartment with the ADA section being one of those compartments. The new design allows different custody levels and genders to be transported at the same time along with a restraint chair.</t>
  </si>
  <si>
    <t xml:space="preserve">ADA Van add on * Does not includes lift, just the work to cage around the lift.       </t>
  </si>
  <si>
    <t xml:space="preserve">ADA Van </t>
  </si>
  <si>
    <t>American Aluminum - On our 3 compartment units, we offer an additional Storage Compartments 1 Stow away storage compartment &amp; 1 Pull out Drawer</t>
  </si>
  <si>
    <t>Under the front compartment bench storage system</t>
  </si>
  <si>
    <t>Bench Storage</t>
  </si>
  <si>
    <t>American Aluminum - On our 3 compartment units the squish seat allows for creating a single compartment on a needed basis for confinement but stores away when not in use to allow the full front compartment usage.</t>
  </si>
  <si>
    <t>Squish Seat</t>
  </si>
  <si>
    <t xml:space="preserve"> Squish Seat</t>
  </si>
  <si>
    <t>American Aluminum - Designed and tested to seal off the front cab area of the officer/driver from the Inmate Transport unit. Includes custom fit aluminum powder coated filler parts for all necessary bulk heads, Front and Rear on all units and Side Door when applicable.  The parts are designed to fit and fill the open areas around the inmate transport unit and will require heat resistant caulk to seal all seams and FireBlock insulated foam sealant to seal off any additional open spaces (included). For models equipped with emergency escape doors , custom fit poly trim and aluminum plates with rubber trim are included. Two smoke test kits are include to ensure the installer has sealed the unit properly.</t>
  </si>
  <si>
    <t>Sealed Driver Separation Kit</t>
  </si>
  <si>
    <t>Sealed Driver Kit</t>
  </si>
  <si>
    <t xml:space="preserve">American Aluminum - install time is as little as 6 hrs on some models, we offer free tech support.                                                           On site training on first time installs as a courtesy of AAA may be offered. </t>
  </si>
  <si>
    <t>4 Compartment-Extended Length. 4th compartment units are vehicle specific</t>
  </si>
  <si>
    <t>4 Compartment-Ext Length</t>
  </si>
  <si>
    <t>3 Compartment-Extended Length</t>
  </si>
  <si>
    <t>American Aluminum - Please ask for our occupant chart. Some models accommodate up to 12 inmates. Many options for customization for specific needs of the department</t>
  </si>
  <si>
    <t>2 Compartment-Extended Length</t>
  </si>
  <si>
    <t>2 Compartment-Ext Length</t>
  </si>
  <si>
    <t>1 Compartment-Extended Length</t>
  </si>
  <si>
    <t>1 Compartment-Ext Length</t>
  </si>
  <si>
    <t xml:space="preserve">American Aluminum - Includes the same standard features as the 1 &amp; 2 Compartments. Vehicle specific, easy install. Easy cleaning, interchangeable with same body style vehicles that provides long term usage of the modular unit. </t>
  </si>
  <si>
    <t xml:space="preserve">4 Compartment-Standard Length. 4th compartment units are vehicle specific </t>
  </si>
  <si>
    <t>4 Compartment-Std Length</t>
  </si>
  <si>
    <t>3  Compartment-Standard Length</t>
  </si>
  <si>
    <t>3 Compartment-Std Length</t>
  </si>
  <si>
    <t>American Aluminum - Includes:  seat belts, center console, Rear step, side single step if needed (both steps powder coated black matte finish), interior protected LED lighting, all hoses, clamps and hardware for hooking up rear factory A/C, diamond plate aluminum floor, 6,000 pound slam locks with Camlocker T-Handles, all locks keyed the same.</t>
  </si>
  <si>
    <t>2 Compartment- Standard Length</t>
  </si>
  <si>
    <t>2 Compartment- Std Length</t>
  </si>
  <si>
    <t>1 Compartment- Standard Length</t>
  </si>
  <si>
    <t>1 Compartment- Std Length</t>
  </si>
  <si>
    <t>American Aluminum - Heavy gauge bracket mounted heavy duty steps, powder coated matte black. Install hardware included.</t>
  </si>
  <si>
    <t>Side Step</t>
  </si>
  <si>
    <t>Rear Step</t>
  </si>
  <si>
    <t xml:space="preserve">American Aluminum -  0.125" thick aluminum partition with brackets for mounting. </t>
  </si>
  <si>
    <t>Partition Rear</t>
  </si>
  <si>
    <t>Partition Middle</t>
  </si>
  <si>
    <t>American Aluminum - Includes: 16 gauge steel window guards, 1/2" holes punched in window guards.</t>
  </si>
  <si>
    <t xml:space="preserve">Window Screens Only - Standard or Extended Length Van. Chevy Express, GMC Savannah, Ford Transit.               </t>
  </si>
  <si>
    <t>SECURITY SCREEN SYSTEMS Windo</t>
  </si>
  <si>
    <t>American Aluminum - Includes: 16 gauge steel window guards, 0.125" think aluminum front partition, 1/4" Plexiglass in partition window, 1/2" holes punched in window guards and 1 1/2" holes punched in front partition.</t>
  </si>
  <si>
    <t xml:space="preserve">Standard or Extended Length Van. Chevy Express, GMC Savannah, Ford Transit.               </t>
  </si>
  <si>
    <t>SECURITY SCREEN SYSTEMS Van</t>
  </si>
  <si>
    <t>American Aluminum - Combination lock with Key over ride</t>
  </si>
  <si>
    <t>Simplex Locks  **Ask for discounts on Multiple Orders**</t>
  </si>
  <si>
    <t>Simplex Lock</t>
  </si>
  <si>
    <t>American Aluminum - Under the seat Gun Vault for Pickups</t>
  </si>
  <si>
    <t>Under the seat Gun Vault for Pickups</t>
  </si>
  <si>
    <t>Underseat Gun Vault</t>
  </si>
  <si>
    <t>American Aluminum - White Board add on</t>
  </si>
  <si>
    <t>Vault Pull Out White Board add on</t>
  </si>
  <si>
    <t>White Board</t>
  </si>
  <si>
    <t>American Aluminum - Electronics tray for Explorer 2020-C</t>
  </si>
  <si>
    <t>Electronics tray for Explorer 2020-C</t>
  </si>
  <si>
    <t>Electronics tray</t>
  </si>
  <si>
    <t>American Aluminum - Vehicle specific, Secure lock system, heavy gauge, foam and divider options for specific needs, carpeted top and easy removable carpet interior for easy cleaning. install friendly</t>
  </si>
  <si>
    <t>Command Vault System  (Includes Powder Coat &amp; Basket)</t>
  </si>
  <si>
    <t>Weapons Storage Vault Command System</t>
  </si>
  <si>
    <t>Pensacola Vault System (Includes Powder Coat &amp; Basket)</t>
  </si>
  <si>
    <t>Weapons Storage Vault Pensacola System</t>
  </si>
  <si>
    <t>Intoxilizer Vault System (Includes Powder Coat &amp; Basket)</t>
  </si>
  <si>
    <t>Weapons Storage Vault Intoxilizer System</t>
  </si>
  <si>
    <t xml:space="preserve">Two Drawer System (Includes Powder Coat &amp; Basket)                 </t>
  </si>
  <si>
    <t>Weapons Storage Vault Two Drawer System</t>
  </si>
  <si>
    <t>American Aluminum - Vehicle specific, floor mounted and in some models we offer a "off the floor" bracket mounting system to access spare tire. Secure lock system, heavy gauge, foam and divider options for specific needs, carpeted top and easy removable carpet interior for easy cleaning. install friendly</t>
  </si>
  <si>
    <t xml:space="preserve">Single Drawer System-Vehicle Specific (Includes Powder Coat &amp; Basket)                                                                             </t>
  </si>
  <si>
    <t>Weapons Storage Vault Single Drawer System</t>
  </si>
  <si>
    <t>American Aluminum - 25"Wx36"Dx27"H</t>
  </si>
  <si>
    <t>Non Collapsible crate</t>
  </si>
  <si>
    <t>American Aluminum - Collapsible Crate XXL, 32"W x 48"L x 35"H</t>
  </si>
  <si>
    <t>XXl  *Powder Coat: Other than matte black is additional $200</t>
  </si>
  <si>
    <t>Collapsible Crates XXL</t>
  </si>
  <si>
    <t>American Aluminum - 27"Wx42"Dx30"H</t>
  </si>
  <si>
    <t>XL *Powder Coat: Other than matte black is additional $200</t>
  </si>
  <si>
    <t>Collapsible Crates XL</t>
  </si>
  <si>
    <t>Large *Powder Coat: Other than matte black is additional $200</t>
  </si>
  <si>
    <t>Collapsible Crates L</t>
  </si>
  <si>
    <t>American Aluminum - Drawer: 10"W x 28"D x 10"H</t>
  </si>
  <si>
    <t>Drawer Side Only (UUV Combo)</t>
  </si>
  <si>
    <t>American Aluminum -  Full size: 46x34x31 (dog compartment is 30"W). Down size: E/Z UUV-Combo Unit for Small Size SUV  ** does not fit commercial explorer **
Dog Side: 30"W x 28"D x 29"H. 
Drawer: 10"W x 28"D x 10"H                                                                                                                                                                                                                                                                                                                                                                                       E/Z UUV-Combo Unit for Commercial Explorer SUV  
Dog Side: 25"W x 37"D x 26"H with Folding T handle
Drawer: 16"W x 37"D  with a 9" and 7"H drawer on top and 5"H basket. Drawers have Camlocker locks</t>
  </si>
  <si>
    <t>UUV Combo **Powder coat Included**</t>
  </si>
  <si>
    <t>American Aluminum - Only for full size SUVs… 46"Wx36"Dx31"H</t>
  </si>
  <si>
    <t>2 Compartment UUV **Powder coat Included**   Tahoe, Expedition and Suburban Only</t>
  </si>
  <si>
    <t>American Aluminum - Down size UUV (for small SUVs): 38"Wx33"Dx29"H    Full Size UUV (for full size SUVs): 46"wx 36"D x 31"H</t>
  </si>
  <si>
    <t>UUV **Powder coat Included** Explorer, Interceptor and Durango Only</t>
  </si>
  <si>
    <t>American Aluminum - Coolguard with R.E.S.C.U.E Door Opener Install</t>
  </si>
  <si>
    <t>Coolguard with R.E.S.C.U.E Door Opener Install</t>
  </si>
  <si>
    <t>American Aluminum - Coolguard Heat Alarm Install</t>
  </si>
  <si>
    <t>Coolguard Heat Alarm Install</t>
  </si>
  <si>
    <t>American Aluminum - 12" FAN, with vehicle specific fan guard and a on/off switch</t>
  </si>
  <si>
    <t>American Aluminum - E/Z-Cool Guard Pager System. Works in conjunction with Cool Guard Monitoring System. ***INCLUDES A GLASS MOUNT ANTENNA***. 1 MILE RANGE</t>
  </si>
  <si>
    <t xml:space="preserve">American Aluminum - Coolguard AP Renewal </t>
  </si>
  <si>
    <t xml:space="preserve">Coolguard AP Renewal </t>
  </si>
  <si>
    <t>American Aluminum - Coolguard AP</t>
  </si>
  <si>
    <t>Coolguard AP</t>
  </si>
  <si>
    <t xml:space="preserve">American Aluminum - E/Z-Cool Guard System PRO  
(Coolguard ONLY, this does not include the Rescue Door Opener)                           Standard M910 includes the following…
Kit:
1pc Cool Guard Plus only
1pc Cool Guard Control Head (TS display)
1pc Paw Protect
2pcs Temp Probes w/ temp and humidity
1pc Pedestal kit
1kt All associated wire harnesses for CGP
1pc 30A Fuse and In-line Fuse Holder
1 Fan and Fan guard
</t>
  </si>
  <si>
    <t>E/Z-Cool Guard System PLUS M910</t>
  </si>
  <si>
    <t xml:space="preserve">American Aluminum -  Rescue Add On for use with E/Z-Cool Guard System Plus M910 System
The standard kit includes the following…
 Rescue Add On                                               1kt All associated wire harnesses 
1kt Antenna Kit
</t>
  </si>
  <si>
    <t>Rescue Add On for E/Z-Cool Guard System PLUS M910</t>
  </si>
  <si>
    <t>American Aluminum - Ramp - Storable Under Cage Floor</t>
  </si>
  <si>
    <t>Ramp - Storable Under Cage Floor</t>
  </si>
  <si>
    <t>Ramp</t>
  </si>
  <si>
    <t>American Aluminum - *FOR REGULAR (NON EXTENDED) PLATFORMS ONLY. DP-003 (door swings towards the passenger side) or   DP-004 (door swings towards the driver side)</t>
  </si>
  <si>
    <t xml:space="preserve">Removable Divider </t>
  </si>
  <si>
    <t>DP-004</t>
  </si>
  <si>
    <t>Removable Divider</t>
  </si>
  <si>
    <t>DP-003</t>
  </si>
  <si>
    <t>American Aluminum - *FOR EXTENDED PLATFORMS ONLY.                  DEP-001  (door swings towards the passenger side)  or DED-002 (door swings towards the driver side)</t>
  </si>
  <si>
    <t>DED-002</t>
  </si>
  <si>
    <t>DEP-001</t>
  </si>
  <si>
    <t xml:space="preserve">American Aluminum - Universal, hinged, permanent, easy cleaning, 1 gallon capacity, spill resistant </t>
  </si>
  <si>
    <t>Water Dish - Permanent</t>
  </si>
  <si>
    <t xml:space="preserve">Water Dish </t>
  </si>
  <si>
    <t>American Aluminum - Deluxe anti skid, non toxic, 1/4" heavy duty, custom fit rubber mat</t>
  </si>
  <si>
    <t>Rubber Mat- Vehicle Specific</t>
  </si>
  <si>
    <t>Rubber Mat</t>
  </si>
  <si>
    <t xml:space="preserve">American Aluminum - For the departments that require a versatile use of the K9 officer and need to transport inmates; some units extend into the cargo area.                                                                               Kit Includes: Rubber Mat, Matte Black Powder Coat &amp; White Interior Cage Light. Vehicle specific, heavy gauge aluminum, easy cleaning, tailored for easy install as well as the comfort of the officer and K9 partner. </t>
  </si>
  <si>
    <t xml:space="preserve">E/Z  Rider 1/3 Inmate-2/3 K9 System (Kit Pricing).                                  </t>
  </si>
  <si>
    <t>E/Z Rider K9 Unit 1/3 Inmate-2/3 K9</t>
  </si>
  <si>
    <t xml:space="preserve">American Aluminum - This unit is meant to be used with 2 K9 partners  (divider must be purchased) or for a big single K9 or for an officer that needs storage on the side (to be used with divider); unit extends into the cargo area.                                                               Kit Includes: Rubber Mat, Matte Black Powder Coat &amp; White Interior Cage Light. Vehicle specific, heavy gauge aluminum, easy cleaning, tailored for easy install as well as the comfort of the officer and K9 partner. Air bag tested. </t>
  </si>
  <si>
    <t xml:space="preserve">E/Z Rider K9 Unit- Platform System "EXTENDED" (Kit Pricing).              </t>
  </si>
  <si>
    <t>American Aluminum - Kit Includes: Rubber Mat, Matte Black Powder Coat &amp; White Interior Cage Light. Vehicle specific, heavy gauge aluminum, easy cleaning, tailored for easy install as well as the comfort of the officer and K9 partner. Air bag tested.                                   Unit includes additional storage shelving and is available for 20-21 Explorer, 15-21 F250, 15-20 f150, 15-21 Tahoe, 19-21 Dodge Crew Cab</t>
  </si>
  <si>
    <t xml:space="preserve">E/Z Rider K9 Unit- Platform with Shelving System (Kit Pricing)                                                                                  </t>
  </si>
  <si>
    <t xml:space="preserve">American Aluminum - Kit Includes: Rubber Mat, Matte Black Powder Coat &amp; White Interior Cage Light. Vehicle specific, heavy gauge aluminum, easy cleaning, tailored for easy install as well as the comfort of the officer and K9 partner. Air bag tested. </t>
  </si>
  <si>
    <t xml:space="preserve">E/Z Rider K9 Unit- Platform System (Kit Pricing)                                     </t>
  </si>
  <si>
    <t>Short Description</t>
  </si>
  <si>
    <t>Manufacturer Part Number</t>
  </si>
  <si>
    <t>Vendor Part Number</t>
  </si>
  <si>
    <t>Cargo Radio Tray</t>
  </si>
  <si>
    <t>TK****TAH**</t>
  </si>
  <si>
    <t xml:space="preserve"> Setina Cargo Storage Sytem - Interceptor Utility</t>
  </si>
  <si>
    <t>TK****DUR**</t>
  </si>
  <si>
    <t>TK****ITU**</t>
  </si>
  <si>
    <t>Setina Cargo Storage System - Durango</t>
  </si>
  <si>
    <t>Setina - Cargo Deck w/ Drawer Super Max F150</t>
  </si>
  <si>
    <t xml:space="preserve"> Setina Cargo Storage Sytem Super Max - Interceptor Utility</t>
  </si>
  <si>
    <t>Setina Cargo Storage System Super Max - Tahoe</t>
  </si>
  <si>
    <t>Setina - Cargo Deck w/ Drawer Super Max Silverado</t>
  </si>
  <si>
    <t>TK****FDT*****</t>
  </si>
  <si>
    <t>TK****CHT*****</t>
  </si>
  <si>
    <t>Setina - Upper Cargo Deck</t>
  </si>
  <si>
    <t>8211-18100</t>
  </si>
  <si>
    <t>4110-18103</t>
  </si>
  <si>
    <t>Weapon Retention Systems</t>
  </si>
  <si>
    <t>LOFT-DUR-2G-AO</t>
  </si>
  <si>
    <t>12+ Dodge Durango Loft Dual Weapon Storage Tray w/ Auto Open - Interior Dimension 16.5" x 40" LOFT-DUR-2G-AO Includes 2 Gun Locks, Muzzle Bracket Assembly, Butt Cup &amp; Momentary Push Button Switch. For use with a 18" Shotgun &amp; M4</t>
  </si>
  <si>
    <t>LOFT-PIU20-GV</t>
  </si>
  <si>
    <t>20+ Ford Police Utility/Explorer Loft Weapon Storage Tray - Interior Dimension 16.5" x 40" LOFT-PIU20-GV Includes Standard Gun Lock, Muzzle Bracket Assembly, Momentary Push Button Switch.</t>
  </si>
  <si>
    <t>LOFT-PIU20-GV-AO</t>
  </si>
  <si>
    <t>PYT3STD-1KA</t>
  </si>
  <si>
    <t>Python 3 standard radar with one Kaband antenna, basic kit with remote control, tuning forks and manual, two year warranty</t>
  </si>
  <si>
    <t>LOFT-PIU20-2G</t>
  </si>
  <si>
    <t>20+ Ford Police Utility/Explorer Loft Dual Weapon Storage Tray - Interior Dimension 16.5" x 40" LOFT-PIU20-2G Includes 2 Gun Locks, Muzzle Bracket Assembly, Butt Cup &amp; Momentary Push Button Switch. For use with a 18" Shotgun &amp; M4</t>
  </si>
  <si>
    <t>Python 3 standard radar with two Kaband antenna, basic kit with remote control, tuning forks and manual, two year warranty</t>
  </si>
  <si>
    <t>PYT3STD-2KA</t>
  </si>
  <si>
    <t>20+ Ford FPIU Loft Single Weapon Storage Tray w/ Auto Open - Interior Dimension 16.5" x 40" LOFT-PIU20-GV-AO Includes Standard Gun Lock, Muzzle Bracket Assembly, Momentary Push Button Switch.</t>
  </si>
  <si>
    <t>LOFT-PIU20-2G-AO</t>
  </si>
  <si>
    <t>20+ Ford FPIU Loft Dual Weapon Storage Tray w/ Auto Open - Interior Dimension 16.5" x 40" LOFT-PIU20-2G-AO Includes 2 Gun Locks, Muzzle Bracket Assembly, Butt Cup &amp; Momentary Push Button Switch. For use with a 18" Shotgun &amp; M4</t>
  </si>
  <si>
    <t>G3-2KAD-MPH</t>
  </si>
  <si>
    <t>BEE3-2KA</t>
  </si>
  <si>
    <t xml:space="preserve">	
MPH- BEE III standard radar with two Ka-band antennas, basic kit with wireless remote, tuning forks and manual, two year warranty</t>
  </si>
  <si>
    <t>Setina - Single T Rail w/ Universal Lock &amp; Handcuff Key</t>
  </si>
  <si>
    <t>GK10251UHK</t>
  </si>
  <si>
    <t>Setina - Single T Rail w/ Small Lock &amp; Handcuff Key</t>
  </si>
  <si>
    <t>Setina - Dual T Rail w/ Universal, Small Lock, Handcuff Key</t>
  </si>
  <si>
    <t>CONSOLES</t>
  </si>
  <si>
    <t>Havis 2020+ Ford Interceptor Utility 24" Flat Console</t>
  </si>
  <si>
    <t>Havis 2021+ Durango Pursuit 14" Angled Console w/ Printer Mount</t>
  </si>
  <si>
    <t>Havis 2021+ Durango Pursuit 21" Angled Console</t>
  </si>
  <si>
    <t>Havis 2021+ Ford F150 Responder 17" Wide Flat Console with Printer Mount</t>
  </si>
  <si>
    <t>C-VSW-1700-F150-PM-*</t>
  </si>
  <si>
    <t>Havis 2021+ Ford F150 Responder 30" Wide Flat Console</t>
  </si>
  <si>
    <t>C-VSW-1900-SILV-PM-*</t>
  </si>
  <si>
    <t>Havis 2019+ Silverado 26" Flat Console</t>
  </si>
  <si>
    <t>Brother PocketJet 8 Printer Mount for 2020-2025 FPIU Consoles</t>
  </si>
  <si>
    <t>Havis Prisoner Containment Modules</t>
  </si>
  <si>
    <t>Kustom Signal Eagle 3 Dual Ka-band antenna with Same Direction, Fastest, Scan mode, Wireless Speed Sensing, QuikTrak, and eFork</t>
  </si>
  <si>
    <t>Kustom Signal Raptor RP-1 Dual Directional Ka-Band Antennas with Same Direction and Dura Trak</t>
  </si>
  <si>
    <t>Kustom Signal Raptor RP-1 Dual Directional K-Band Antennas with Same Direction and DuraTrak</t>
  </si>
  <si>
    <t>VT-UP</t>
  </si>
  <si>
    <t>7615B</t>
  </si>
  <si>
    <t>Blue Sea Systems ADT Automatic Timer Disconnect</t>
  </si>
  <si>
    <t>Havis ChargeGuard-Select</t>
  </si>
  <si>
    <t>TREMCO</t>
  </si>
  <si>
    <t>TREMCO Anti-Theft Device</t>
  </si>
  <si>
    <t>Front and Rear Vent Shades</t>
  </si>
  <si>
    <t>VS</t>
  </si>
  <si>
    <t xml:space="preserve">American Aluminum Single Drawer System-Vehicle Specific (Includes Powder Coat &amp; Basket)               </t>
  </si>
  <si>
    <t>All Models</t>
  </si>
  <si>
    <t>Mounting Plate and Hardware</t>
  </si>
  <si>
    <t>Mounting Plate Only for Santa Cruz SC-1900</t>
  </si>
  <si>
    <t>MP-SC-1900</t>
  </si>
  <si>
    <t>L Bracket Mounting Plate</t>
  </si>
  <si>
    <t>Santa Cruz Adjustable Steel Butt Plate and Mounting Plate</t>
  </si>
  <si>
    <t>SC-1900 (w mounting plate)</t>
  </si>
  <si>
    <t>Mounting Plate Only for Santa Cruz SC-1-AR and SC-1-B</t>
  </si>
  <si>
    <t>MP-SC-1</t>
  </si>
  <si>
    <t>Timed Lock, Mounting Plate and Shotgun/AR Adapter</t>
  </si>
  <si>
    <t>Santa Cruz Weapon Barrel Gun Lock w Key Override and Mounting Plate</t>
  </si>
  <si>
    <t>SC-1-B (w mounting plate)</t>
  </si>
  <si>
    <t>Timed Lock and Mounting Plate</t>
  </si>
  <si>
    <t>Santa Cruz Large Gun Lock w Key Override and Mounting Plate</t>
  </si>
  <si>
    <t>SC-1-AR (w mounting plate)</t>
  </si>
  <si>
    <t>All Models w Large or Secured Rack</t>
  </si>
  <si>
    <t>T-Handle Key Lock (included)</t>
  </si>
  <si>
    <t>Universal Utility/Weapons Drawer - Mounts Under S3B, S4C, S4D and LB Series</t>
  </si>
  <si>
    <t>UWD-1</t>
  </si>
  <si>
    <t>GUN DRAWER</t>
  </si>
  <si>
    <t>2018-2024</t>
  </si>
  <si>
    <t>Dodge Durango Pursuit</t>
  </si>
  <si>
    <t>Dual Latch Key Locks (included)</t>
  </si>
  <si>
    <t>2018-2024 Dodge Durango Secured Rack w Lid</t>
  </si>
  <si>
    <t>LB-DUR-18</t>
  </si>
  <si>
    <t>GUN BOX</t>
  </si>
  <si>
    <t>2021-2024</t>
  </si>
  <si>
    <t>Chevy Tahoe</t>
  </si>
  <si>
    <t xml:space="preserve">2021-2024 Chevy Tahoe Secured Rack w Lid </t>
  </si>
  <si>
    <t>LB-TAH-21</t>
  </si>
  <si>
    <t>2020-2024</t>
  </si>
  <si>
    <t>Ford PIU</t>
  </si>
  <si>
    <t>2020-2024 Ford PIU Secured Rack w Lid</t>
  </si>
  <si>
    <t>LB-PIU-20</t>
  </si>
  <si>
    <t>Door Panel for Equipment and Universal Mounting Brackets</t>
  </si>
  <si>
    <t xml:space="preserve">Standalone Electronics Box and Door Panel </t>
  </si>
  <si>
    <t>BOX-1</t>
  </si>
  <si>
    <t>ELEC. BOX</t>
  </si>
  <si>
    <t xml:space="preserve">Floor Leveler in Rear Cargo Area for 2021 - Newer Chevy Tahoe </t>
  </si>
  <si>
    <t>TAH-LEVELER-1</t>
  </si>
  <si>
    <t>TAH LEVELER</t>
  </si>
  <si>
    <t>DIV-1 x2</t>
  </si>
  <si>
    <t>Two Dividers for Rack</t>
  </si>
  <si>
    <t>DIV-1-PKG</t>
  </si>
  <si>
    <t xml:space="preserve">Single Divider for Rack </t>
  </si>
  <si>
    <t>DIV-1</t>
  </si>
  <si>
    <t>RACK DIVIDER</t>
  </si>
  <si>
    <t xml:space="preserve">Blue (REF TAPE) or Red (REF TAPE R) Reflective Tape </t>
  </si>
  <si>
    <t>REF TAPE or REF TAPE R</t>
  </si>
  <si>
    <t>Large Entry Tool Mount - 1’’-2.25’’ handle thickness (rubber handle mounts, sledgehammers, axes)</t>
  </si>
  <si>
    <t>LH-MOUNT</t>
  </si>
  <si>
    <t xml:space="preserve">Standard Entry Tool Mount - 5/8’’ – 1-3/8’’ handle thickness (stainless steel Halligan)  </t>
  </si>
  <si>
    <t>SH-MOUNT</t>
  </si>
  <si>
    <t>Caution Tape Holder</t>
  </si>
  <si>
    <t>TAPE</t>
  </si>
  <si>
    <t>Fire Extinguisher Mount (5 and 10 lb)</t>
  </si>
  <si>
    <t>MOUNT</t>
  </si>
  <si>
    <t xml:space="preserve">All Vehicle with Large Tray </t>
  </si>
  <si>
    <t>FLARE BOX x2</t>
  </si>
  <si>
    <t xml:space="preserve">Two Flare / Glove Box Containers (for large CargoRAXX) </t>
  </si>
  <si>
    <t>FLARE-PKG</t>
  </si>
  <si>
    <t>All Vehicle with Large Tray</t>
  </si>
  <si>
    <t>Flare / Glove Container (for large CargoRAXX) - Holds up to 12 flares or glove box</t>
  </si>
  <si>
    <t>FLARE BOX</t>
  </si>
  <si>
    <t>FLARE BOX x2, MOUNT, TAPE, SH-MOUNT, REF TAPE</t>
  </si>
  <si>
    <t>Standard halligan, 2 flare boxes, extinguisher, caution tape and reflective tape</t>
  </si>
  <si>
    <t>FL PACKAGE S (most popular)</t>
  </si>
  <si>
    <t>FLARE BOX x2, MOUNT, TAPE, LH-MOUNT, REF TAPE</t>
  </si>
  <si>
    <t>Large halligan, 2 flare boxes, extinguisher, caution tape and reflective tape</t>
  </si>
  <si>
    <t>FL PACKAGE L (most popular)</t>
  </si>
  <si>
    <t>OPTIONS</t>
  </si>
  <si>
    <t>2011-2024</t>
  </si>
  <si>
    <t xml:space="preserve">Replacement Set of Brackets for Hard Mount CargoRAXX Series </t>
  </si>
  <si>
    <t>S4C, S4D, S3B, S3A or S3E BRACKETS</t>
  </si>
  <si>
    <t>RETROFIT</t>
  </si>
  <si>
    <t>43'' Wide Tray, Hard Mount</t>
  </si>
  <si>
    <t xml:space="preserve">2020-2024 Ford Expedition - Large (43'' wide) CargoRAXX </t>
  </si>
  <si>
    <t>S3E</t>
  </si>
  <si>
    <t xml:space="preserve">2011-2023 Dodge Durango Pursuit - Large (43'' wide) CargoRAXX </t>
  </si>
  <si>
    <t>S4D</t>
  </si>
  <si>
    <t xml:space="preserve">2020-2023 Ford PIU - Large (43'' wide) CargoRAXX </t>
  </si>
  <si>
    <t>S4C</t>
  </si>
  <si>
    <t xml:space="preserve">2021-2023 Tahoe - Large (43'' wide) CargoRAXX </t>
  </si>
  <si>
    <t>S3B</t>
  </si>
  <si>
    <t>2011-2020</t>
  </si>
  <si>
    <t>43'' Wide Tray - Hard Mount</t>
  </si>
  <si>
    <t xml:space="preserve">2011-2020 Tahoe - Large (43'' wide) CargoRAXX </t>
  </si>
  <si>
    <t>S3A</t>
  </si>
  <si>
    <t>RACKS</t>
  </si>
  <si>
    <t>Year Compatibility</t>
  </si>
  <si>
    <t>Vehicle Compatibility</t>
  </si>
  <si>
    <t>Options Included</t>
  </si>
  <si>
    <t>Part #</t>
  </si>
  <si>
    <t>CATEGORY</t>
  </si>
  <si>
    <t>NOVEMBER 2024 PRICE SHEET</t>
  </si>
  <si>
    <r>
      <rPr>
        <sz val="8"/>
        <color rgb="FF001F5F"/>
        <rFont val="Calibri"/>
        <family val="2"/>
      </rPr>
      <t>HARDWARE, 7004MD</t>
    </r>
  </si>
  <si>
    <r>
      <rPr>
        <sz val="8"/>
        <color rgb="FF001F5F"/>
        <rFont val="Calibri"/>
        <family val="2"/>
      </rPr>
      <t>MINI DUAL CORNER CONNECTOR FULL LENGTH 120"  31 SECTION</t>
    </r>
  </si>
  <si>
    <r>
      <rPr>
        <sz val="8"/>
        <color rgb="FF001F5F"/>
        <rFont val="Calibri"/>
        <family val="2"/>
      </rPr>
      <t>7004MD</t>
    </r>
  </si>
  <si>
    <r>
      <rPr>
        <sz val="8"/>
        <color rgb="FF001F5F"/>
        <rFont val="Calibri"/>
        <family val="2"/>
      </rPr>
      <t>HARDWARE, 7004D</t>
    </r>
  </si>
  <si>
    <r>
      <rPr>
        <sz val="8"/>
        <color rgb="FF001F5F"/>
        <rFont val="Calibri"/>
        <family val="2"/>
      </rPr>
      <t>DUAL CORNER CONNECTOR FULL LENGTH 120"  20 SECTION</t>
    </r>
  </si>
  <si>
    <r>
      <rPr>
        <sz val="8"/>
        <color rgb="FF001F5F"/>
        <rFont val="Calibri"/>
        <family val="2"/>
      </rPr>
      <t>7004D</t>
    </r>
  </si>
  <si>
    <r>
      <rPr>
        <b/>
        <sz val="10.5"/>
        <color rgb="FFFFFFFF"/>
        <rFont val="Calibri"/>
        <family val="2"/>
      </rPr>
      <t>MISCELLANEOUS ITEMS</t>
    </r>
  </si>
  <si>
    <r>
      <rPr>
        <sz val="8"/>
        <color rgb="FF001F5F"/>
        <rFont val="Calibri"/>
        <family val="2"/>
      </rPr>
      <t>Z MOUNT, MINI DUAL TRAC - 1 SECTION</t>
    </r>
  </si>
  <si>
    <r>
      <rPr>
        <sz val="8"/>
        <color rgb="FF001F5F"/>
        <rFont val="Calibri"/>
        <family val="2"/>
      </rPr>
      <t>7001MD-1</t>
    </r>
  </si>
  <si>
    <r>
      <rPr>
        <b/>
        <sz val="10.5"/>
        <color rgb="FFFFFFFF"/>
        <rFont val="Calibri"/>
        <family val="2"/>
      </rPr>
      <t>Z MOUNT KITS FOR PAC MINI DUAL TRAC</t>
    </r>
  </si>
  <si>
    <r>
      <rPr>
        <sz val="8"/>
        <color rgb="FF001F5F"/>
        <rFont val="Calibri"/>
        <family val="2"/>
      </rPr>
      <t>PAC MINI-DUAL TRAC - 50" LENGTH                         (3-3/4" WIDE)</t>
    </r>
  </si>
  <si>
    <r>
      <rPr>
        <sz val="8"/>
        <color rgb="FF001F5F"/>
        <rFont val="Calibri"/>
        <family val="2"/>
      </rPr>
      <t>7050-50</t>
    </r>
  </si>
  <si>
    <r>
      <rPr>
        <sz val="8"/>
        <color rgb="FF001F5F"/>
        <rFont val="Calibri"/>
        <family val="2"/>
      </rPr>
      <t>PAC MINI-DUAL TRAC - 70" LENGTH                         (3-3/4" WIDE)</t>
    </r>
  </si>
  <si>
    <r>
      <rPr>
        <sz val="8"/>
        <color rgb="FF001F5F"/>
        <rFont val="Calibri"/>
        <family val="2"/>
      </rPr>
      <t>7050-70</t>
    </r>
  </si>
  <si>
    <r>
      <rPr>
        <sz val="8"/>
        <color rgb="FF001F5F"/>
        <rFont val="Calibri"/>
        <family val="2"/>
      </rPr>
      <t>PAC MINI-DUAL TRAC - 120" LENGTH                         (3-3/4" WIDE)</t>
    </r>
  </si>
  <si>
    <r>
      <rPr>
        <sz val="8"/>
        <color rgb="FF001F5F"/>
        <rFont val="Calibri"/>
        <family val="2"/>
      </rPr>
      <t>PAC MINI-DUAL TRAC, SOLD BY THE INCH (WHOLE INCH ONLY)</t>
    </r>
  </si>
  <si>
    <r>
      <rPr>
        <sz val="8"/>
        <color rgb="FF001F5F"/>
        <rFont val="Calibri"/>
        <family val="2"/>
      </rPr>
      <t>7050P</t>
    </r>
  </si>
  <si>
    <r>
      <rPr>
        <b/>
        <sz val="7"/>
        <color rgb="FF001F5F"/>
        <rFont val="Calibri"/>
        <family val="2"/>
      </rPr>
      <t>MSRP</t>
    </r>
  </si>
  <si>
    <r>
      <rPr>
        <b/>
        <sz val="7"/>
        <color rgb="FF001F5F"/>
        <rFont val="Calibri"/>
        <family val="2"/>
      </rPr>
      <t>PRODUCT DESCRIPTION</t>
    </r>
  </si>
  <si>
    <r>
      <rPr>
        <b/>
        <sz val="7"/>
        <color rgb="FF001F5F"/>
        <rFont val="Calibri"/>
        <family val="2"/>
      </rPr>
      <t>PART NO</t>
    </r>
  </si>
  <si>
    <r>
      <rPr>
        <b/>
        <sz val="10.5"/>
        <color rgb="FFFFFFFF"/>
        <rFont val="Calibri"/>
        <family val="2"/>
      </rPr>
      <t>PAC MINI DUAL TRAC FULL LENGTHS</t>
    </r>
  </si>
  <si>
    <r>
      <rPr>
        <sz val="8"/>
        <color rgb="FF001F5F"/>
        <rFont val="Calibri"/>
        <family val="2"/>
      </rPr>
      <t>U-CHANNEL KIT, DOUBLE FACED DUAL TRAC 10 SECTION</t>
    </r>
  </si>
  <si>
    <r>
      <rPr>
        <sz val="8"/>
        <color rgb="FF001F5F"/>
        <rFont val="Calibri"/>
        <family val="2"/>
      </rPr>
      <t>7009-10</t>
    </r>
  </si>
  <si>
    <r>
      <rPr>
        <sz val="8"/>
        <color rgb="FF001F5F"/>
        <rFont val="Calibri"/>
        <family val="2"/>
      </rPr>
      <t>U-CHANNEL KIT, DOUBLE FACED DUAL TRAC 9 SECTION</t>
    </r>
  </si>
  <si>
    <r>
      <rPr>
        <sz val="8"/>
        <color rgb="FF001F5F"/>
        <rFont val="Calibri"/>
        <family val="2"/>
      </rPr>
      <t>7009-9</t>
    </r>
  </si>
  <si>
    <r>
      <rPr>
        <sz val="8"/>
        <color rgb="FF001F5F"/>
        <rFont val="Calibri"/>
        <family val="2"/>
      </rPr>
      <t>U-CHANNEL KIT, DOUBLE FACED DUAL TRAC 8 SECTION</t>
    </r>
  </si>
  <si>
    <r>
      <rPr>
        <sz val="8"/>
        <color rgb="FF001F5F"/>
        <rFont val="Calibri"/>
        <family val="2"/>
      </rPr>
      <t>7009-8</t>
    </r>
  </si>
  <si>
    <r>
      <rPr>
        <sz val="8"/>
        <color rgb="FF001F5F"/>
        <rFont val="Calibri"/>
        <family val="2"/>
      </rPr>
      <t>U-CHANNEL KIT, DOUBLE FACED DUAL TRAC 7 SECTION</t>
    </r>
  </si>
  <si>
    <r>
      <rPr>
        <sz val="8"/>
        <color rgb="FF001F5F"/>
        <rFont val="Calibri"/>
        <family val="2"/>
      </rPr>
      <t>7009-7</t>
    </r>
  </si>
  <si>
    <r>
      <rPr>
        <sz val="8"/>
        <color rgb="FF001F5F"/>
        <rFont val="Calibri"/>
        <family val="2"/>
      </rPr>
      <t>U-CHANNEL KIT, DOUBLE FACED DUAL TRAC 6 SECTION</t>
    </r>
  </si>
  <si>
    <r>
      <rPr>
        <sz val="8"/>
        <color rgb="FF001F5F"/>
        <rFont val="Calibri"/>
        <family val="2"/>
      </rPr>
      <t>7009-6</t>
    </r>
  </si>
  <si>
    <r>
      <rPr>
        <sz val="8"/>
        <color rgb="FF001F5F"/>
        <rFont val="Calibri"/>
        <family val="2"/>
      </rPr>
      <t>U-CHANNEL KIT, DOUBLE FACED DUAL TRAC 5 SECTION</t>
    </r>
  </si>
  <si>
    <r>
      <rPr>
        <sz val="8"/>
        <color rgb="FF001F5F"/>
        <rFont val="Calibri"/>
        <family val="2"/>
      </rPr>
      <t>7009-5</t>
    </r>
  </si>
  <si>
    <r>
      <rPr>
        <sz val="8"/>
        <color rgb="FF001F5F"/>
        <rFont val="Calibri"/>
        <family val="2"/>
      </rPr>
      <t>U-CHANNEL KIT, DOUBLE FACED DUAL TRAC 4 SECTION</t>
    </r>
  </si>
  <si>
    <r>
      <rPr>
        <sz val="8"/>
        <color rgb="FF001F5F"/>
        <rFont val="Calibri"/>
        <family val="2"/>
      </rPr>
      <t>7009-4</t>
    </r>
  </si>
  <si>
    <r>
      <rPr>
        <sz val="8"/>
        <color rgb="FF001F5F"/>
        <rFont val="Calibri"/>
        <family val="2"/>
      </rPr>
      <t>U-CHANNEL KIT, DOUBLE FACED DUAL TRAC 3 SECTION</t>
    </r>
  </si>
  <si>
    <r>
      <rPr>
        <sz val="8"/>
        <color rgb="FF001F5F"/>
        <rFont val="Calibri"/>
        <family val="2"/>
      </rPr>
      <t>7009-3</t>
    </r>
  </si>
  <si>
    <r>
      <rPr>
        <sz val="8"/>
        <color rgb="FF001F5F"/>
        <rFont val="Calibri"/>
        <family val="2"/>
      </rPr>
      <t>U-CHANNEL KIT, DOUBLE FACED DUAL TRAC 2 SECTION</t>
    </r>
  </si>
  <si>
    <r>
      <rPr>
        <sz val="8"/>
        <color rgb="FF001F5F"/>
        <rFont val="Calibri"/>
        <family val="2"/>
      </rPr>
      <t>7009-2</t>
    </r>
  </si>
  <si>
    <r>
      <rPr>
        <sz val="8"/>
        <color rgb="FF001F5F"/>
        <rFont val="Calibri"/>
        <family val="2"/>
      </rPr>
      <t>U-CHANNEL KIT, DOUBLE FACED DUAL TRAC 1 SECTION</t>
    </r>
  </si>
  <si>
    <r>
      <rPr>
        <sz val="8"/>
        <color rgb="FF001F5F"/>
        <rFont val="Calibri"/>
        <family val="2"/>
      </rPr>
      <t>7009-1</t>
    </r>
  </si>
  <si>
    <r>
      <rPr>
        <sz val="8"/>
        <color rgb="FF001F5F"/>
        <rFont val="Calibri"/>
        <family val="2"/>
      </rPr>
      <t xml:space="preserve">U-CHANNEL KIT, FULL LENGTH 120.75" </t>
    </r>
    <r>
      <rPr>
        <sz val="6"/>
        <color rgb="FF001F5F"/>
        <rFont val="Calibri"/>
        <family val="2"/>
      </rPr>
      <t>21 SECTION W/ HARWARE</t>
    </r>
  </si>
  <si>
    <r>
      <rPr>
        <b/>
        <sz val="10.5"/>
        <color rgb="FFFFFFFF"/>
        <rFont val="Calibri"/>
        <family val="2"/>
      </rPr>
      <t>U CHANNEL FOR DOUBLE FACED DUAL TRAC</t>
    </r>
  </si>
  <si>
    <r>
      <rPr>
        <sz val="8"/>
        <color rgb="FF001F5F"/>
        <rFont val="Calibri"/>
        <family val="2"/>
      </rPr>
      <t>DOUBLE FACED DUAL TRAC - 50" LENGTH            (5-3/4" WIDE)</t>
    </r>
  </si>
  <si>
    <r>
      <rPr>
        <sz val="8"/>
        <color rgb="FF001F5F"/>
        <rFont val="Calibri"/>
        <family val="2"/>
      </rPr>
      <t>7040-50</t>
    </r>
  </si>
  <si>
    <r>
      <rPr>
        <sz val="8"/>
        <color rgb="FF001F5F"/>
        <rFont val="Calibri"/>
        <family val="2"/>
      </rPr>
      <t>DOUBLE FACED DUAL TRAC - 70" LENGTH            (5-3/4" WIDE)</t>
    </r>
  </si>
  <si>
    <r>
      <rPr>
        <sz val="8"/>
        <color rgb="FF001F5F"/>
        <rFont val="Calibri"/>
        <family val="2"/>
      </rPr>
      <t>7040-70</t>
    </r>
  </si>
  <si>
    <r>
      <rPr>
        <sz val="8"/>
        <color rgb="FF001F5F"/>
        <rFont val="Calibri"/>
        <family val="2"/>
      </rPr>
      <t>DOUBLE FACED DUAL TRAC - 120" LENGTH            (5-3/4" WIDE)</t>
    </r>
  </si>
  <si>
    <r>
      <rPr>
        <sz val="8"/>
        <color rgb="FF001F5F"/>
        <rFont val="Calibri"/>
        <family val="2"/>
      </rPr>
      <t>DOUBLE FACED DUAL TRAC, SOLD BY THE INCH (WHOLE INCH ONLY)</t>
    </r>
  </si>
  <si>
    <r>
      <rPr>
        <sz val="8"/>
        <color rgb="FF001F5F"/>
        <rFont val="Calibri"/>
        <family val="2"/>
      </rPr>
      <t>7040P</t>
    </r>
  </si>
  <si>
    <r>
      <rPr>
        <b/>
        <sz val="10.5"/>
        <color rgb="FFFFFFFF"/>
        <rFont val="Calibri"/>
        <family val="2"/>
      </rPr>
      <t>PAC DOUBLE FACED DUAL TRAC FULL LENGTHS</t>
    </r>
  </si>
  <si>
    <r>
      <rPr>
        <sz val="8"/>
        <color rgb="FF001F5F"/>
        <rFont val="Calibri"/>
        <family val="2"/>
      </rPr>
      <t>Z MOUNT KIT, DUAL TRAC - 10 SECTION</t>
    </r>
  </si>
  <si>
    <r>
      <rPr>
        <sz val="8"/>
        <color rgb="FF001F5F"/>
        <rFont val="Calibri"/>
        <family val="2"/>
      </rPr>
      <t>7001D-10</t>
    </r>
  </si>
  <si>
    <r>
      <rPr>
        <sz val="8"/>
        <color rgb="FF001F5F"/>
        <rFont val="Calibri"/>
        <family val="2"/>
      </rPr>
      <t>Z MOUNT KIT, DUAL TRAC - 9 SECTION</t>
    </r>
  </si>
  <si>
    <r>
      <rPr>
        <sz val="8"/>
        <color rgb="FF001F5F"/>
        <rFont val="Calibri"/>
        <family val="2"/>
      </rPr>
      <t>7001D-9</t>
    </r>
  </si>
  <si>
    <r>
      <rPr>
        <sz val="8"/>
        <color rgb="FF001F5F"/>
        <rFont val="Calibri"/>
        <family val="2"/>
      </rPr>
      <t>Z MOUNT KIT, DUAL TRAC - 8 SECTION</t>
    </r>
  </si>
  <si>
    <r>
      <rPr>
        <sz val="8"/>
        <color rgb="FF001F5F"/>
        <rFont val="Calibri"/>
        <family val="2"/>
      </rPr>
      <t>7001D-8</t>
    </r>
  </si>
  <si>
    <r>
      <rPr>
        <sz val="8"/>
        <color rgb="FF001F5F"/>
        <rFont val="Calibri"/>
        <family val="2"/>
      </rPr>
      <t>Z MOUNT KIT, DUAL TRAC - 7 SECTION</t>
    </r>
  </si>
  <si>
    <r>
      <rPr>
        <sz val="8"/>
        <color rgb="FF001F5F"/>
        <rFont val="Calibri"/>
        <family val="2"/>
      </rPr>
      <t>7001D-7</t>
    </r>
  </si>
  <si>
    <r>
      <rPr>
        <sz val="8"/>
        <color rgb="FF001F5F"/>
        <rFont val="Calibri"/>
        <family val="2"/>
      </rPr>
      <t>Z MOUNT KIT, DUAL TRAC - 6 SECTION</t>
    </r>
  </si>
  <si>
    <r>
      <rPr>
        <sz val="8"/>
        <color rgb="FF001F5F"/>
        <rFont val="Calibri"/>
        <family val="2"/>
      </rPr>
      <t>7001D-6</t>
    </r>
  </si>
  <si>
    <r>
      <rPr>
        <sz val="8"/>
        <color rgb="FF001F5F"/>
        <rFont val="Calibri"/>
        <family val="2"/>
      </rPr>
      <t>Z MOUNT KIT, DUAL TRAC - 5 SECTION</t>
    </r>
  </si>
  <si>
    <r>
      <rPr>
        <sz val="8"/>
        <color rgb="FF001F5F"/>
        <rFont val="Calibri"/>
        <family val="2"/>
      </rPr>
      <t>7001D-5</t>
    </r>
  </si>
  <si>
    <r>
      <rPr>
        <sz val="8"/>
        <color rgb="FF001F5F"/>
        <rFont val="Calibri"/>
        <family val="2"/>
      </rPr>
      <t>Z MOUNT KIT, DUAL TRAC - 4 SECTION</t>
    </r>
  </si>
  <si>
    <r>
      <rPr>
        <sz val="8"/>
        <color rgb="FF001F5F"/>
        <rFont val="Calibri"/>
        <family val="2"/>
      </rPr>
      <t>7001D-4</t>
    </r>
  </si>
  <si>
    <r>
      <rPr>
        <sz val="8"/>
        <color rgb="FF001F5F"/>
        <rFont val="Calibri"/>
        <family val="2"/>
      </rPr>
      <t>Z MOUNT KIT, DUAL TRAC - 3 SECTION</t>
    </r>
  </si>
  <si>
    <r>
      <rPr>
        <sz val="8"/>
        <color rgb="FF001F5F"/>
        <rFont val="Calibri"/>
        <family val="2"/>
      </rPr>
      <t>7001D-3</t>
    </r>
  </si>
  <si>
    <r>
      <rPr>
        <sz val="8"/>
        <color rgb="FF001F5F"/>
        <rFont val="Calibri"/>
        <family val="2"/>
      </rPr>
      <t>Z MOUNT KIT, DUAL TRAC - 2 SECTION</t>
    </r>
  </si>
  <si>
    <r>
      <rPr>
        <sz val="8"/>
        <color rgb="FF001F5F"/>
        <rFont val="Calibri"/>
        <family val="2"/>
      </rPr>
      <t>7001D-2</t>
    </r>
  </si>
  <si>
    <r>
      <rPr>
        <sz val="8"/>
        <color rgb="FF001F5F"/>
        <rFont val="Calibri"/>
        <family val="2"/>
      </rPr>
      <t>Z MOUNT KIT, DUAL TRAC - 1 SECTION</t>
    </r>
  </si>
  <si>
    <r>
      <rPr>
        <sz val="8"/>
        <color rgb="FF001F5F"/>
        <rFont val="Calibri"/>
        <family val="2"/>
      </rPr>
      <t>7001D-1</t>
    </r>
  </si>
  <si>
    <r>
      <rPr>
        <sz val="8"/>
        <color rgb="FF001F5F"/>
        <rFont val="Calibri"/>
        <family val="2"/>
      </rPr>
      <t xml:space="preserve">Z MOUNT KIT, DUAL TRAC - FULL LENGTH 120.75"  </t>
    </r>
    <r>
      <rPr>
        <sz val="5.5"/>
        <color rgb="FF001F5F"/>
        <rFont val="Calibri"/>
        <family val="2"/>
      </rPr>
      <t>21 SECTION W/ HARDWARE</t>
    </r>
  </si>
  <si>
    <r>
      <rPr>
        <sz val="8"/>
        <color rgb="FF001F5F"/>
        <rFont val="Calibri"/>
        <family val="2"/>
      </rPr>
      <t>7001D</t>
    </r>
  </si>
  <si>
    <r>
      <rPr>
        <b/>
        <sz val="10.5"/>
        <color rgb="FFFFFFFF"/>
        <rFont val="Calibri"/>
        <family val="2"/>
      </rPr>
      <t>Z MOUNT KITS FOR PAC DUAL TRAC</t>
    </r>
  </si>
  <si>
    <r>
      <rPr>
        <sz val="8"/>
        <color rgb="FF001F5F"/>
        <rFont val="Calibri"/>
        <family val="2"/>
      </rPr>
      <t>PAC DUAL TRAC - 50" LENGTH            (5-3/4" WIDE)</t>
    </r>
  </si>
  <si>
    <r>
      <rPr>
        <sz val="8"/>
        <color rgb="FF001F5F"/>
        <rFont val="Calibri"/>
        <family val="2"/>
      </rPr>
      <t>7020-50</t>
    </r>
  </si>
  <si>
    <r>
      <rPr>
        <sz val="8"/>
        <color rgb="FF001F5F"/>
        <rFont val="Calibri"/>
        <family val="2"/>
      </rPr>
      <t>PAC DUAL TRAC - 70" LENGTH            (5-3/4" WIDE)</t>
    </r>
  </si>
  <si>
    <r>
      <rPr>
        <sz val="8"/>
        <color rgb="FF001F5F"/>
        <rFont val="Calibri"/>
        <family val="2"/>
      </rPr>
      <t>7020-70</t>
    </r>
  </si>
  <si>
    <r>
      <rPr>
        <sz val="8"/>
        <color rgb="FF001F5F"/>
        <rFont val="Calibri"/>
        <family val="2"/>
      </rPr>
      <t>PAC DUAL TRAC - 120" LENGTH            (5-3/4" WIDE)</t>
    </r>
  </si>
  <si>
    <r>
      <rPr>
        <sz val="8"/>
        <color rgb="FF001F5F"/>
        <rFont val="Calibri"/>
        <family val="2"/>
      </rPr>
      <t>PAC DUAL TRAC, SOLD BY THE INCH (WHOLE INCH ONLY)</t>
    </r>
  </si>
  <si>
    <r>
      <rPr>
        <sz val="8"/>
        <color rgb="FF001F5F"/>
        <rFont val="Calibri"/>
        <family val="2"/>
      </rPr>
      <t>7020P</t>
    </r>
  </si>
  <si>
    <r>
      <rPr>
        <b/>
        <sz val="10.5"/>
        <color rgb="FFFFFFFF"/>
        <rFont val="Calibri"/>
        <family val="2"/>
      </rPr>
      <t>DUAL TRAC FULL LENGTHS</t>
    </r>
  </si>
  <si>
    <r>
      <rPr>
        <sz val="8"/>
        <color rgb="FF001F5F"/>
        <rFont val="Calibri"/>
        <family val="2"/>
      </rPr>
      <t>Z MOUNT KIT, PAC TRAC - 8 SECTION</t>
    </r>
  </si>
  <si>
    <r>
      <rPr>
        <sz val="8"/>
        <color rgb="FF001F5F"/>
        <rFont val="Calibri"/>
        <family val="2"/>
      </rPr>
      <t>7001-8</t>
    </r>
  </si>
  <si>
    <r>
      <rPr>
        <sz val="8"/>
        <color rgb="FF001F5F"/>
        <rFont val="Calibri"/>
        <family val="2"/>
      </rPr>
      <t>Z MOUNT KIT, PAC TRAC - 7 SECTION</t>
    </r>
  </si>
  <si>
    <r>
      <rPr>
        <sz val="8"/>
        <color rgb="FF001F5F"/>
        <rFont val="Calibri"/>
        <family val="2"/>
      </rPr>
      <t>7001-7</t>
    </r>
  </si>
  <si>
    <r>
      <rPr>
        <sz val="8"/>
        <color rgb="FF001F5F"/>
        <rFont val="Calibri"/>
        <family val="2"/>
      </rPr>
      <t>Z MOUNT KIT, PAC TRAC - 6 SECTION</t>
    </r>
  </si>
  <si>
    <r>
      <rPr>
        <sz val="8"/>
        <color rgb="FF001F5F"/>
        <rFont val="Calibri"/>
        <family val="2"/>
      </rPr>
      <t>7001-6</t>
    </r>
  </si>
  <si>
    <r>
      <rPr>
        <sz val="8"/>
        <color rgb="FF001F5F"/>
        <rFont val="Calibri"/>
        <family val="2"/>
      </rPr>
      <t>Z MOUNT KIT, PAC TRAC - 5 SECTION</t>
    </r>
  </si>
  <si>
    <r>
      <rPr>
        <sz val="8"/>
        <color rgb="FF001F5F"/>
        <rFont val="Calibri"/>
        <family val="2"/>
      </rPr>
      <t>7001-5</t>
    </r>
  </si>
  <si>
    <r>
      <rPr>
        <sz val="8"/>
        <color rgb="FF001F5F"/>
        <rFont val="Calibri"/>
        <family val="2"/>
      </rPr>
      <t>Z MOUNT KIT, PAC TRAC - 4 SECTION</t>
    </r>
  </si>
  <si>
    <r>
      <rPr>
        <sz val="8"/>
        <color rgb="FF001F5F"/>
        <rFont val="Calibri"/>
        <family val="2"/>
      </rPr>
      <t>7001-4</t>
    </r>
  </si>
  <si>
    <r>
      <rPr>
        <sz val="8"/>
        <color rgb="FF001F5F"/>
        <rFont val="Calibri"/>
        <family val="2"/>
      </rPr>
      <t>Z MOUNT KIT, PAC TRAC - 3 SECTION</t>
    </r>
  </si>
  <si>
    <r>
      <rPr>
        <sz val="8"/>
        <color rgb="FF001F5F"/>
        <rFont val="Calibri"/>
        <family val="2"/>
      </rPr>
      <t>7001-3</t>
    </r>
  </si>
  <si>
    <r>
      <rPr>
        <sz val="8"/>
        <color rgb="FF001F5F"/>
        <rFont val="Calibri"/>
        <family val="2"/>
      </rPr>
      <t>Z MOUNT KIT, PAC TRAC - 2 SECTION</t>
    </r>
  </si>
  <si>
    <r>
      <rPr>
        <sz val="8"/>
        <color rgb="FF001F5F"/>
        <rFont val="Calibri"/>
        <family val="2"/>
      </rPr>
      <t>7001-2</t>
    </r>
  </si>
  <si>
    <r>
      <rPr>
        <sz val="8"/>
        <color rgb="FF001F5F"/>
        <rFont val="Calibri"/>
        <family val="2"/>
      </rPr>
      <t>Z MOUNT KIT, PAC TRAC - 1 SECTION</t>
    </r>
  </si>
  <si>
    <r>
      <rPr>
        <sz val="8"/>
        <color rgb="FF001F5F"/>
        <rFont val="Calibri"/>
        <family val="2"/>
      </rPr>
      <t>7001-1</t>
    </r>
  </si>
  <si>
    <r>
      <rPr>
        <sz val="8"/>
        <color rgb="FF001F5F"/>
        <rFont val="Calibri"/>
        <family val="2"/>
      </rPr>
      <t xml:space="preserve">Z MOUNT KIT, PAC TRAC - FULL LENGTH 120.75" </t>
    </r>
    <r>
      <rPr>
        <sz val="5.5"/>
        <color rgb="FF001F5F"/>
        <rFont val="Calibri"/>
        <family val="2"/>
      </rPr>
      <t>14 SECTION W/ HARDWARE</t>
    </r>
  </si>
  <si>
    <r>
      <rPr>
        <b/>
        <sz val="10.5"/>
        <color rgb="FFFFFFFF"/>
        <rFont val="Calibri"/>
        <family val="2"/>
      </rPr>
      <t>Z MOUNT KITS FOR PAC TRAC</t>
    </r>
  </si>
  <si>
    <r>
      <rPr>
        <sz val="8"/>
        <color rgb="FF001F5F"/>
        <rFont val="Calibri"/>
        <family val="2"/>
      </rPr>
      <t>PAC TRAC - 50" LENGTH                   (8- 5/8" WIDE)</t>
    </r>
  </si>
  <si>
    <r>
      <rPr>
        <sz val="8"/>
        <color rgb="FF001F5F"/>
        <rFont val="Calibri"/>
        <family val="2"/>
      </rPr>
      <t>7000-50</t>
    </r>
  </si>
  <si>
    <r>
      <rPr>
        <sz val="8"/>
        <color rgb="FF001F5F"/>
        <rFont val="Calibri"/>
        <family val="2"/>
      </rPr>
      <t>PAC TRAC - 70" LENGTH                   (8-5/8" WIDE)</t>
    </r>
  </si>
  <si>
    <r>
      <rPr>
        <sz val="8"/>
        <color rgb="FF001F5F"/>
        <rFont val="Calibri"/>
        <family val="2"/>
      </rPr>
      <t>7000-70</t>
    </r>
  </si>
  <si>
    <r>
      <rPr>
        <sz val="8"/>
        <color rgb="FF001F5F"/>
        <rFont val="Calibri"/>
        <family val="2"/>
      </rPr>
      <t>PAC TRAC - 120" LENGTH                   (8-5/8" WIDE)</t>
    </r>
  </si>
  <si>
    <r>
      <rPr>
        <sz val="8"/>
        <color rgb="FF001F5F"/>
        <rFont val="Calibri"/>
        <family val="2"/>
      </rPr>
      <t>PAC TRAC, SOLD BY THE INCH (WHOLE INCH ONLY)</t>
    </r>
  </si>
  <si>
    <r>
      <rPr>
        <sz val="8"/>
        <color rgb="FF001F5F"/>
        <rFont val="Calibri"/>
        <family val="2"/>
      </rPr>
      <t>7000P</t>
    </r>
  </si>
  <si>
    <r>
      <rPr>
        <b/>
        <sz val="10.5"/>
        <color rgb="FFFFFFFF"/>
        <rFont val="Calibri"/>
        <family val="2"/>
      </rPr>
      <t>PAC TRAC FULL LENGTHS</t>
    </r>
  </si>
  <si>
    <r>
      <rPr>
        <sz val="8"/>
        <color rgb="FF001F5F"/>
        <rFont val="Calibri"/>
        <family val="2"/>
      </rPr>
      <t>ANGLE ANODIZED 3"X 3" X 3/16" SOLD BY THE INCH</t>
    </r>
  </si>
  <si>
    <r>
      <rPr>
        <sz val="8"/>
        <color rgb="FF001F5F"/>
        <rFont val="Calibri"/>
        <family val="2"/>
      </rPr>
      <t>A648S</t>
    </r>
  </si>
  <si>
    <r>
      <rPr>
        <sz val="8"/>
        <color rgb="FF001F5F"/>
        <rFont val="Calibri"/>
        <family val="2"/>
      </rPr>
      <t>ANGLE ANODIZED 2"X 2" X 1/8"  SOLD BY THE INCH</t>
    </r>
  </si>
  <si>
    <r>
      <rPr>
        <sz val="8"/>
        <color rgb="FF001F5F"/>
        <rFont val="Calibri"/>
        <family val="2"/>
      </rPr>
      <t>A432S</t>
    </r>
  </si>
  <si>
    <r>
      <rPr>
        <sz val="8"/>
        <color rgb="FF001F5F"/>
        <rFont val="Calibri"/>
        <family val="2"/>
      </rPr>
      <t>ANGLE ANODIZED 1"X 1" X 1/8" SOLD BY THE INCH</t>
    </r>
  </si>
  <si>
    <r>
      <rPr>
        <sz val="8"/>
        <color rgb="FF001F5F"/>
        <rFont val="Calibri"/>
        <family val="2"/>
      </rPr>
      <t>A416S</t>
    </r>
  </si>
  <si>
    <r>
      <rPr>
        <sz val="8"/>
        <color rgb="FF001F5F"/>
        <rFont val="Calibri"/>
        <family val="2"/>
      </rPr>
      <t>ANGLE ANODIZED 1"X 2" X 1/8"  SOLD BY THE INCH</t>
    </r>
  </si>
  <si>
    <r>
      <rPr>
        <sz val="8"/>
        <color rgb="FF001F5F"/>
        <rFont val="Calibri"/>
        <family val="2"/>
      </rPr>
      <t>A41632S</t>
    </r>
  </si>
  <si>
    <r>
      <rPr>
        <sz val="8"/>
        <color rgb="FF001F5F"/>
        <rFont val="Calibri"/>
        <family val="2"/>
      </rPr>
      <t>CALL PAC</t>
    </r>
  </si>
  <si>
    <r>
      <rPr>
        <sz val="8"/>
        <color rgb="FF001F5F"/>
        <rFont val="Calibri"/>
        <family val="2"/>
      </rPr>
      <t xml:space="preserve">1/4-20 UNISTRUT SS 304 CHANNEL NUT/ SHORT SPRING </t>
    </r>
    <r>
      <rPr>
        <sz val="6"/>
        <color rgb="FF001F5F"/>
        <rFont val="Calibri"/>
        <family val="2"/>
      </rPr>
      <t>(CALL FOR PRICE)</t>
    </r>
  </si>
  <si>
    <r>
      <rPr>
        <sz val="8"/>
        <color rgb="FF001F5F"/>
        <rFont val="Calibri"/>
        <family val="2"/>
      </rPr>
      <t xml:space="preserve">1/4-20 UNISTRUT SS 304 SMALL STEEL CHANNEL NUT </t>
    </r>
    <r>
      <rPr>
        <sz val="6"/>
        <color rgb="FF001F5F"/>
        <rFont val="Calibri"/>
        <family val="2"/>
      </rPr>
      <t>(CALL FOR PRICE)</t>
    </r>
  </si>
  <si>
    <r>
      <rPr>
        <b/>
        <sz val="8"/>
        <color rgb="FF001F5F"/>
        <rFont val="Calibri"/>
        <family val="2"/>
      </rPr>
      <t xml:space="preserve">2X 1/4-20 UNISTRUT #2018 </t>
    </r>
    <r>
      <rPr>
        <b/>
        <sz val="4"/>
        <color rgb="FF001F5F"/>
        <rFont val="Calibri"/>
        <family val="2"/>
      </rPr>
      <t>(FOR PAC STRUT HD 2020)</t>
    </r>
  </si>
  <si>
    <r>
      <rPr>
        <b/>
        <sz val="8"/>
        <color rgb="FF001F5F"/>
        <rFont val="Calibri"/>
        <family val="2"/>
      </rPr>
      <t xml:space="preserve">2X 1/4-20 UNISTRUT #2010 </t>
    </r>
    <r>
      <rPr>
        <b/>
        <sz val="4"/>
        <color rgb="FF001F5F"/>
        <rFont val="Calibri"/>
        <family val="2"/>
      </rPr>
      <t>(FOR SHORT UNISTRUT P4000)</t>
    </r>
  </si>
  <si>
    <r>
      <rPr>
        <b/>
        <u/>
        <sz val="8"/>
        <color rgb="FF001F5F"/>
        <rFont val="Calibri"/>
        <family val="2"/>
      </rPr>
      <t>2X  1/4-20 PAC #2104 </t>
    </r>
    <r>
      <rPr>
        <b/>
        <u/>
        <sz val="4"/>
        <color rgb="FF001F5F"/>
        <rFont val="Calibri"/>
        <family val="2"/>
      </rPr>
      <t>(FOR ALL PAC DUAL TRAC EXTRUSIONS AND PAC STRUT2019</t>
    </r>
    <r>
      <rPr>
        <b/>
        <sz val="4"/>
        <color rgb="FF001F5F"/>
        <rFont val="Calibri"/>
        <family val="2"/>
      </rPr>
      <t>)</t>
    </r>
  </si>
  <si>
    <r>
      <rPr>
        <sz val="8"/>
        <color rgb="FF001F5F"/>
        <rFont val="Calibri"/>
        <family val="2"/>
      </rPr>
      <t>1/4-20 UNISTRUT SMALL STEEL CHANNEL NUT</t>
    </r>
  </si>
  <si>
    <r>
      <rPr>
        <sz val="8"/>
        <color rgb="FF001F5F"/>
        <rFont val="Calibri"/>
        <family val="2"/>
      </rPr>
      <t>1/4-20 UNISTRUT STEEL CHANNEL NUT/ LONG SPRING</t>
    </r>
  </si>
  <si>
    <r>
      <rPr>
        <sz val="8"/>
        <color rgb="FF001F5F"/>
        <rFont val="Calibri"/>
        <family val="2"/>
      </rPr>
      <t>1/4-20 UNISTRUTSTEEL CHANNEL NUT/ SHORT SPRING</t>
    </r>
  </si>
  <si>
    <r>
      <rPr>
        <sz val="8"/>
        <color rgb="FF001F5F"/>
        <rFont val="Calibri"/>
        <family val="2"/>
      </rPr>
      <t>1/4-20 PAC SMALL STEEL-NYLON CHANNEL NUT</t>
    </r>
  </si>
  <si>
    <r>
      <rPr>
        <b/>
        <u/>
        <sz val="8"/>
        <color rgb="FF001F5F"/>
        <rFont val="Calibri"/>
        <family val="2"/>
      </rPr>
      <t>24 PACK NYLON CHANNEL NUTS (12) 10-24 &amp; (12) 1/4-20</t>
    </r>
  </si>
  <si>
    <r>
      <rPr>
        <b/>
        <u/>
        <sz val="8"/>
        <color rgb="FF001F5F"/>
        <rFont val="Calibri"/>
        <family val="2"/>
      </rPr>
      <t>12 PACK NYLON CHANNEL NUTS (6) 10-24 &amp;(6) 1/4-20</t>
    </r>
  </si>
  <si>
    <r>
      <rPr>
        <sz val="8"/>
        <color rgb="FF001F5F"/>
        <rFont val="Calibri"/>
        <family val="2"/>
      </rPr>
      <t>1/4-20 PAC NYLON CHANNEL NUT</t>
    </r>
  </si>
  <si>
    <r>
      <rPr>
        <sz val="8"/>
        <color rgb="FF001F5F"/>
        <rFont val="Calibri"/>
        <family val="2"/>
      </rPr>
      <t>10-24 PAC NYLON CHANNEL NUT</t>
    </r>
  </si>
  <si>
    <r>
      <rPr>
        <b/>
        <u/>
        <sz val="8"/>
        <color rgb="FF001F5F"/>
        <rFont val="Calibri"/>
        <family val="2"/>
      </rPr>
      <t>TRAC LOK PAK - 100 INSERTS (NO SCREWS)</t>
    </r>
  </si>
  <si>
    <r>
      <rPr>
        <sz val="8"/>
        <color rgb="FF001F5F"/>
        <rFont val="Calibri"/>
        <family val="2"/>
      </rPr>
      <t>7016-100</t>
    </r>
  </si>
  <si>
    <r>
      <rPr>
        <b/>
        <u/>
        <sz val="8"/>
        <color rgb="FF001F5F"/>
        <rFont val="Calibri"/>
        <family val="2"/>
      </rPr>
      <t>TRAC LOK &amp; SCREW PACK - 40 INSERTS &amp; SCREWS</t>
    </r>
  </si>
  <si>
    <r>
      <rPr>
        <b/>
        <u/>
        <sz val="8"/>
        <color rgb="FF001F5F"/>
        <rFont val="Calibri"/>
        <family val="2"/>
      </rPr>
      <t>DUAL TRAC CORNER CONNECTOR - now a pair!</t>
    </r>
  </si>
  <si>
    <r>
      <rPr>
        <sz val="8"/>
        <color rgb="FF001F5F"/>
        <rFont val="Calibri"/>
        <family val="2"/>
      </rPr>
      <t>DUAL TRAC SHELF MOUNT</t>
    </r>
  </si>
  <si>
    <r>
      <rPr>
        <b/>
        <u/>
        <sz val="8"/>
        <color rgb="FF001F5F"/>
        <rFont val="Calibri"/>
        <family val="2"/>
      </rPr>
      <t>MINI DUAL CORNER CONNECTOR - now a pair!</t>
    </r>
  </si>
  <si>
    <r>
      <rPr>
        <b/>
        <u/>
        <sz val="8"/>
        <color rgb="FF001F5F"/>
        <rFont val="Calibri"/>
        <family val="2"/>
      </rPr>
      <t>UNISTRUT P4000 13/16” X 1-5/8” CLEAR ANODIZE</t>
    </r>
  </si>
  <si>
    <r>
      <rPr>
        <sz val="8"/>
        <color rgb="FF001F5F"/>
        <rFont val="Calibri"/>
        <family val="2"/>
      </rPr>
      <t>7062-AP</t>
    </r>
  </si>
  <si>
    <r>
      <rPr>
        <b/>
        <u/>
        <sz val="8"/>
        <color rgb="FF001F5F"/>
        <rFont val="Calibri"/>
        <family val="2"/>
      </rPr>
      <t>UNISTRUT P4000 13/16” X 1-5/8” Mill Finish</t>
    </r>
  </si>
  <si>
    <r>
      <rPr>
        <sz val="8"/>
        <color rgb="FF001F5F"/>
        <rFont val="Calibri"/>
        <family val="2"/>
      </rPr>
      <t>7062-MP</t>
    </r>
  </si>
  <si>
    <r>
      <rPr>
        <sz val="8"/>
        <color rgb="FF001F5F"/>
        <rFont val="Calibri"/>
        <family val="2"/>
      </rPr>
      <t>2 PK, END CAPS FOR 8000 TOUGH TRAC</t>
    </r>
  </si>
  <si>
    <r>
      <rPr>
        <sz val="8"/>
        <color rgb="FF001F5F"/>
        <rFont val="Calibri"/>
        <family val="2"/>
      </rPr>
      <t>8000EC-2</t>
    </r>
  </si>
  <si>
    <r>
      <rPr>
        <sz val="8"/>
        <color rgb="FF001F5F"/>
        <rFont val="Calibri"/>
        <family val="2"/>
      </rPr>
      <t>2 PK, END CAPS FOR 7050 MINI DUAL</t>
    </r>
  </si>
  <si>
    <r>
      <rPr>
        <sz val="8"/>
        <color rgb="FF001F5F"/>
        <rFont val="Calibri"/>
        <family val="2"/>
      </rPr>
      <t>7050EC-2</t>
    </r>
  </si>
  <si>
    <r>
      <rPr>
        <b/>
        <u/>
        <sz val="8"/>
        <color rgb="FF001F5F"/>
        <rFont val="Calibri"/>
        <family val="2"/>
      </rPr>
      <t>2 PK, END CAPS FOR 2020 HD PAC STRUT</t>
    </r>
  </si>
  <si>
    <r>
      <rPr>
        <sz val="8"/>
        <color rgb="FF001F5F"/>
        <rFont val="Calibri"/>
        <family val="2"/>
      </rPr>
      <t>2020EC-2</t>
    </r>
  </si>
  <si>
    <r>
      <rPr>
        <b/>
        <u/>
        <sz val="8"/>
        <color rgb="FF001F5F"/>
        <rFont val="Calibri"/>
        <family val="2"/>
      </rPr>
      <t>2 PK, END CAPS FOR 2019 PAC STRUT</t>
    </r>
  </si>
  <si>
    <r>
      <rPr>
        <sz val="8"/>
        <color rgb="FF001F5F"/>
        <rFont val="Calibri"/>
        <family val="2"/>
      </rPr>
      <t>2019EC-2</t>
    </r>
  </si>
  <si>
    <r>
      <rPr>
        <b/>
        <u/>
        <sz val="8"/>
        <color rgb="FF001F5F"/>
        <rFont val="Calibri"/>
        <family val="2"/>
      </rPr>
      <t>PAC STRUT HD PER INCH (USE CHANNEL NUTS 2018)</t>
    </r>
  </si>
  <si>
    <r>
      <rPr>
        <b/>
        <sz val="8"/>
        <color rgb="FF001F5F"/>
        <rFont val="Calibri"/>
        <family val="2"/>
      </rPr>
      <t xml:space="preserve">BLACK PAC STRUT PER INCH </t>
    </r>
    <r>
      <rPr>
        <b/>
        <sz val="6"/>
        <color rgb="FF001F5F"/>
        <rFont val="Calibri"/>
        <family val="2"/>
      </rPr>
      <t>(USE CHANNEL NUTS 2104)</t>
    </r>
  </si>
  <si>
    <r>
      <rPr>
        <sz val="8"/>
        <color rgb="FF001F5F"/>
        <rFont val="Calibri"/>
        <family val="2"/>
      </rPr>
      <t>2019-B</t>
    </r>
  </si>
  <si>
    <r>
      <rPr>
        <b/>
        <sz val="8"/>
        <color rgb="FF001F5F"/>
        <rFont val="Calibri"/>
        <family val="2"/>
      </rPr>
      <t xml:space="preserve">PAC STRUT PER INCH </t>
    </r>
    <r>
      <rPr>
        <b/>
        <sz val="6"/>
        <color rgb="FF001F5F"/>
        <rFont val="Calibri"/>
        <family val="2"/>
      </rPr>
      <t>(USE CHANNEL NUTS 2104)</t>
    </r>
  </si>
  <si>
    <r>
      <rPr>
        <sz val="8"/>
        <color rgb="FF001F5F"/>
        <rFont val="Calibri"/>
        <family val="2"/>
      </rPr>
      <t>SAM SPACER</t>
    </r>
  </si>
  <si>
    <r>
      <rPr>
        <sz val="8"/>
        <color rgb="FF001F5F"/>
        <rFont val="Calibri"/>
        <family val="2"/>
      </rPr>
      <t>1006-4</t>
    </r>
  </si>
  <si>
    <r>
      <rPr>
        <sz val="8"/>
        <color rgb="FF001F5F"/>
        <rFont val="Calibri"/>
        <family val="2"/>
      </rPr>
      <t>CHANNEL CUSHION 8.5" LONG</t>
    </r>
  </si>
  <si>
    <r>
      <rPr>
        <sz val="8"/>
        <color rgb="FF001F5F"/>
        <rFont val="Calibri"/>
        <family val="2"/>
      </rPr>
      <t>RP1006-3</t>
    </r>
  </si>
  <si>
    <r>
      <rPr>
        <sz val="8"/>
        <color rgb="FF001F5F"/>
        <rFont val="Calibri"/>
        <family val="2"/>
      </rPr>
      <t xml:space="preserve">24" UNISTRUT - SHALLOW CHANNEL </t>
    </r>
    <r>
      <rPr>
        <sz val="4"/>
        <color rgb="FF001F5F"/>
        <rFont val="Calibri"/>
        <family val="2"/>
      </rPr>
      <t>(FOR 1006 &amp; 1050 - INCLUDES HARDWARE)</t>
    </r>
  </si>
  <si>
    <r>
      <rPr>
        <sz val="8"/>
        <color rgb="FF001F5F"/>
        <rFont val="Calibri"/>
        <family val="2"/>
      </rPr>
      <t>1006-2</t>
    </r>
  </si>
  <si>
    <r>
      <rPr>
        <sz val="8"/>
        <color rgb="FF001F5F"/>
        <rFont val="Calibri"/>
        <family val="2"/>
      </rPr>
      <t xml:space="preserve">12" UNISTRUT - SHALLOW CHANNEL </t>
    </r>
    <r>
      <rPr>
        <sz val="4"/>
        <color rgb="FF001F5F"/>
        <rFont val="Calibri"/>
        <family val="2"/>
      </rPr>
      <t>(FOR 1006 &amp; 1050 - INCLUDES HARDWARE)</t>
    </r>
  </si>
  <si>
    <r>
      <rPr>
        <sz val="8"/>
        <color rgb="FF001F5F"/>
        <rFont val="Calibri"/>
        <family val="2"/>
      </rPr>
      <t>1006-1</t>
    </r>
  </si>
  <si>
    <r>
      <rPr>
        <sz val="8"/>
        <color rgb="FF001F5F"/>
        <rFont val="Calibri"/>
        <family val="2"/>
      </rPr>
      <t>LABEL PLATE 10 PACK W/ PACTRAC HARDWARE</t>
    </r>
  </si>
  <si>
    <r>
      <rPr>
        <sz val="8"/>
        <color rgb="FF001F5F"/>
        <rFont val="Calibri"/>
        <family val="2"/>
      </rPr>
      <t>LP002PT-10</t>
    </r>
  </si>
  <si>
    <r>
      <rPr>
        <b/>
        <u/>
        <sz val="8"/>
        <color rgb="FF001F5F"/>
        <rFont val="Calibri"/>
        <family val="2"/>
      </rPr>
      <t>LABEL PLATE 10 PACK</t>
    </r>
  </si>
  <si>
    <r>
      <rPr>
        <sz val="8"/>
        <color rgb="FF001F5F"/>
        <rFont val="Calibri"/>
        <family val="2"/>
      </rPr>
      <t>LP002-10</t>
    </r>
  </si>
  <si>
    <r>
      <rPr>
        <sz val="8"/>
        <color rgb="FF001F5F"/>
        <rFont val="Calibri"/>
        <family val="2"/>
      </rPr>
      <t>WEDGE MOUNT KIT</t>
    </r>
  </si>
  <si>
    <r>
      <rPr>
        <sz val="8"/>
        <color rgb="FF001F5F"/>
        <rFont val="Calibri"/>
        <family val="2"/>
      </rPr>
      <t>K5020-BLOCKS</t>
    </r>
  </si>
  <si>
    <r>
      <rPr>
        <sz val="8"/>
        <color rgb="FF001F5F"/>
        <rFont val="Calibri"/>
        <family val="2"/>
      </rPr>
      <t xml:space="preserve">SHELF MOUNT BRACKETS/HARDWARE (for Mini Dual) </t>
    </r>
    <r>
      <rPr>
        <sz val="4"/>
        <color rgb="FF001F5F"/>
        <rFont val="Calibri"/>
        <family val="2"/>
      </rPr>
      <t>(ADDITIONAL MATERIAL REQ'D)</t>
    </r>
  </si>
  <si>
    <r>
      <rPr>
        <sz val="8"/>
        <color rgb="FF001F5F"/>
        <rFont val="Calibri"/>
        <family val="2"/>
      </rPr>
      <t>PSM75-901</t>
    </r>
  </si>
  <si>
    <r>
      <rPr>
        <sz val="8"/>
        <color rgb="FF001F5F"/>
        <rFont val="Calibri"/>
        <family val="2"/>
      </rPr>
      <t>SHELF MOUNT KIT, MINI DUAL (4 section wide)</t>
    </r>
  </si>
  <si>
    <r>
      <rPr>
        <sz val="8"/>
        <color rgb="FF001F5F"/>
        <rFont val="Calibri"/>
        <family val="2"/>
      </rPr>
      <t>PSM75-4</t>
    </r>
  </si>
  <si>
    <r>
      <rPr>
        <sz val="8"/>
        <color rgb="FF001F5F"/>
        <rFont val="Calibri"/>
        <family val="2"/>
      </rPr>
      <t>SHELF MOUNT KIT, MINI DUAL (3 section wide)</t>
    </r>
  </si>
  <si>
    <r>
      <rPr>
        <sz val="8"/>
        <color rgb="FF001F5F"/>
        <rFont val="Calibri"/>
        <family val="2"/>
      </rPr>
      <t>PSM75-3</t>
    </r>
  </si>
  <si>
    <r>
      <rPr>
        <sz val="8"/>
        <color rgb="FF001F5F"/>
        <rFont val="Calibri"/>
        <family val="2"/>
      </rPr>
      <t>SHELF MOUNT KIT, MINI DUAL (2 section wide)</t>
    </r>
  </si>
  <si>
    <r>
      <rPr>
        <sz val="8"/>
        <color rgb="FF001F5F"/>
        <rFont val="Calibri"/>
        <family val="2"/>
      </rPr>
      <t>PSM75-2</t>
    </r>
  </si>
  <si>
    <r>
      <rPr>
        <sz val="8"/>
        <color rgb="FF001F5F"/>
        <rFont val="Calibri"/>
        <family val="2"/>
      </rPr>
      <t xml:space="preserve">SHELF MOUNT BRACKETS/HARDWARE (For Dual Trac) </t>
    </r>
    <r>
      <rPr>
        <sz val="4"/>
        <color rgb="FF001F5F"/>
        <rFont val="Calibri"/>
        <family val="2"/>
      </rPr>
      <t>(ADDITIONAL MATERIAL REQ'D)</t>
    </r>
  </si>
  <si>
    <r>
      <rPr>
        <sz val="8"/>
        <color rgb="FF001F5F"/>
        <rFont val="Calibri"/>
        <family val="2"/>
      </rPr>
      <t>PSM72-901</t>
    </r>
  </si>
  <si>
    <r>
      <rPr>
        <sz val="8"/>
        <color rgb="FF001F5F"/>
        <rFont val="Calibri"/>
        <family val="2"/>
      </rPr>
      <t>SHELF MOUNT KIT, DUAL TRAC (4 section wide)</t>
    </r>
  </si>
  <si>
    <r>
      <rPr>
        <sz val="8"/>
        <color rgb="FF001F5F"/>
        <rFont val="Calibri"/>
        <family val="2"/>
      </rPr>
      <t>PSM72-4</t>
    </r>
  </si>
  <si>
    <r>
      <rPr>
        <sz val="8"/>
        <color rgb="FF001F5F"/>
        <rFont val="Calibri"/>
        <family val="2"/>
      </rPr>
      <t>SHELF MOUNT KIT, DUAL TRAC (3 section wide)</t>
    </r>
  </si>
  <si>
    <r>
      <rPr>
        <sz val="8"/>
        <color rgb="FF001F5F"/>
        <rFont val="Calibri"/>
        <family val="2"/>
      </rPr>
      <t>PSM72-3</t>
    </r>
  </si>
  <si>
    <r>
      <rPr>
        <sz val="8"/>
        <color rgb="FF001F5F"/>
        <rFont val="Calibri"/>
        <family val="2"/>
      </rPr>
      <t>SHELF MOUNT KIT, DUAL TRAC (2 section wide)</t>
    </r>
  </si>
  <si>
    <r>
      <rPr>
        <sz val="8"/>
        <color rgb="FF001F5F"/>
        <rFont val="Calibri"/>
        <family val="2"/>
      </rPr>
      <t>PSM72-2</t>
    </r>
  </si>
  <si>
    <r>
      <rPr>
        <sz val="8"/>
        <color rgb="FF001F5F"/>
        <rFont val="Calibri"/>
        <family val="2"/>
      </rPr>
      <t>SUPPORT POST FOR PIVOT MOUNT FRAME HD</t>
    </r>
  </si>
  <si>
    <r>
      <rPr>
        <sz val="8"/>
        <color rgb="FF001F5F"/>
        <rFont val="Calibri"/>
        <family val="2"/>
      </rPr>
      <t>PMF-SP</t>
    </r>
  </si>
  <si>
    <r>
      <rPr>
        <sz val="8"/>
        <color rgb="FF001F5F"/>
        <rFont val="Calibri"/>
        <family val="2"/>
      </rPr>
      <t>HD PIVOT MOUNT FRAME TO 121.75"</t>
    </r>
  </si>
  <si>
    <r>
      <rPr>
        <sz val="8"/>
        <color rgb="FF001F5F"/>
        <rFont val="Calibri"/>
        <family val="2"/>
      </rPr>
      <t>PMF-HD</t>
    </r>
  </si>
  <si>
    <r>
      <rPr>
        <sz val="8"/>
        <color rgb="FF001F5F"/>
        <rFont val="Calibri"/>
        <family val="2"/>
      </rPr>
      <t>PIVOT MOUNT FRAME TO 71.75"</t>
    </r>
  </si>
  <si>
    <r>
      <rPr>
        <sz val="8"/>
        <color rgb="FF001F5F"/>
        <rFont val="Calibri"/>
        <family val="2"/>
      </rPr>
      <t>PMF</t>
    </r>
  </si>
  <si>
    <r>
      <rPr>
        <sz val="8"/>
        <color rgb="FF001F5F"/>
        <rFont val="Calibri"/>
        <family val="2"/>
      </rPr>
      <t xml:space="preserve">HARDWARE - PIVOT MOUNT </t>
    </r>
    <r>
      <rPr>
        <sz val="4"/>
        <color rgb="FF001F5F"/>
        <rFont val="Calibri"/>
        <family val="2"/>
      </rPr>
      <t>(FOR SWING OUT TOOLBOARDS W/ DOUBLE FACE DUAL TRAC)</t>
    </r>
  </si>
  <si>
    <r>
      <rPr>
        <sz val="8"/>
        <color rgb="FF001F5F"/>
        <rFont val="Calibri"/>
        <family val="2"/>
      </rPr>
      <t>PM1000</t>
    </r>
  </si>
  <si>
    <r>
      <rPr>
        <sz val="8"/>
        <color rgb="FF001F5F"/>
        <rFont val="Calibri"/>
        <family val="2"/>
      </rPr>
      <t xml:space="preserve">HARDWARE - 24" RIGHT SIDE WALL SLIDE OUT DEEP </t>
    </r>
    <r>
      <rPr>
        <sz val="4"/>
        <color rgb="FF001F5F"/>
        <rFont val="Calibri"/>
        <family val="2"/>
      </rPr>
      <t>(ADDITIONAL MATERIAL REQ'D)</t>
    </r>
  </si>
  <si>
    <r>
      <rPr>
        <sz val="8"/>
        <color rgb="FF001F5F"/>
        <rFont val="Calibri"/>
        <family val="2"/>
      </rPr>
      <t>VSO24-RSW</t>
    </r>
  </si>
  <si>
    <r>
      <rPr>
        <sz val="8"/>
        <color rgb="FF001F5F"/>
        <rFont val="Calibri"/>
        <family val="2"/>
      </rPr>
      <t xml:space="preserve">HARDWARE - 24" LEFT SIDE WALL SLIDE OUT DEEP </t>
    </r>
    <r>
      <rPr>
        <sz val="4"/>
        <color rgb="FF001F5F"/>
        <rFont val="Calibri"/>
        <family val="2"/>
      </rPr>
      <t>(ADDITIONAL MATERIAL REQ'D)</t>
    </r>
  </si>
  <si>
    <r>
      <rPr>
        <sz val="8"/>
        <color rgb="FF001F5F"/>
        <rFont val="Calibri"/>
        <family val="2"/>
      </rPr>
      <t>VSO24-LSW</t>
    </r>
  </si>
  <si>
    <r>
      <rPr>
        <sz val="8"/>
        <color rgb="FF001F5F"/>
        <rFont val="Calibri"/>
        <family val="2"/>
      </rPr>
      <t xml:space="preserve">HARDWARE - 18" RIGHT SIDE WALL SLIDE OUT </t>
    </r>
    <r>
      <rPr>
        <sz val="4"/>
        <color rgb="FF001F5F"/>
        <rFont val="Calibri"/>
        <family val="2"/>
      </rPr>
      <t>(ADDITIONAL MATERIAL REQ'D)</t>
    </r>
  </si>
  <si>
    <r>
      <rPr>
        <sz val="8"/>
        <color rgb="FF001F5F"/>
        <rFont val="Calibri"/>
        <family val="2"/>
      </rPr>
      <t>VSO18-RSW</t>
    </r>
  </si>
  <si>
    <r>
      <rPr>
        <sz val="8"/>
        <color rgb="FF001F5F"/>
        <rFont val="Calibri"/>
        <family val="2"/>
      </rPr>
      <t xml:space="preserve">HARDWARE - 18" LEFT SIDE WALL SLIDE OUT </t>
    </r>
    <r>
      <rPr>
        <sz val="4"/>
        <color rgb="FF001F5F"/>
        <rFont val="Calibri"/>
        <family val="2"/>
      </rPr>
      <t>(ADDITIONAL MATERIAL REQ'D)</t>
    </r>
  </si>
  <si>
    <r>
      <rPr>
        <sz val="8"/>
        <color rgb="FF001F5F"/>
        <rFont val="Calibri"/>
        <family val="2"/>
      </rPr>
      <t>VSO18-LSW</t>
    </r>
  </si>
  <si>
    <r>
      <rPr>
        <sz val="8"/>
        <color rgb="FF001F5F"/>
        <rFont val="Calibri"/>
        <family val="2"/>
      </rPr>
      <t xml:space="preserve">HARDWARE - 24" HD VERTICAL SLIDE OUT DEEP </t>
    </r>
    <r>
      <rPr>
        <sz val="4"/>
        <color rgb="FF001F5F"/>
        <rFont val="Calibri"/>
        <family val="2"/>
      </rPr>
      <t>(ADDITIONAL MATERIAL REQ'D)</t>
    </r>
  </si>
  <si>
    <r>
      <rPr>
        <sz val="8"/>
        <color rgb="FF001F5F"/>
        <rFont val="Calibri"/>
        <family val="2"/>
      </rPr>
      <t>VSOHD-24</t>
    </r>
  </si>
  <si>
    <r>
      <rPr>
        <sz val="8"/>
        <color rgb="FF001F5F"/>
        <rFont val="Calibri"/>
        <family val="2"/>
      </rPr>
      <t xml:space="preserve">HARDWARE - 18" HD VERTICAL SLIDE OUT </t>
    </r>
    <r>
      <rPr>
        <sz val="4"/>
        <color rgb="FF001F5F"/>
        <rFont val="Calibri"/>
        <family val="2"/>
      </rPr>
      <t>(ADDITIONAL MATERIAL REQ'D)</t>
    </r>
  </si>
  <si>
    <r>
      <rPr>
        <sz val="8"/>
        <color rgb="FF001F5F"/>
        <rFont val="Calibri"/>
        <family val="2"/>
      </rPr>
      <t>VSOHD-18</t>
    </r>
  </si>
  <si>
    <r>
      <rPr>
        <sz val="7"/>
        <color rgb="FF001F5F"/>
        <rFont val="Calibri"/>
        <family val="2"/>
      </rPr>
      <t>TACTICAL MULTIMOUNT HD (SOLD IN PAIRS)</t>
    </r>
  </si>
  <si>
    <r>
      <rPr>
        <sz val="8"/>
        <color rgb="FF001F5F"/>
        <rFont val="Calibri"/>
        <family val="2"/>
      </rPr>
      <t>LE1024</t>
    </r>
  </si>
  <si>
    <r>
      <rPr>
        <sz val="7"/>
        <color rgb="FF001F5F"/>
        <rFont val="Calibri"/>
        <family val="2"/>
      </rPr>
      <t>MULTIMOUNT HD (SOLD IN PAIRS)</t>
    </r>
  </si>
  <si>
    <r>
      <rPr>
        <sz val="8"/>
        <color rgb="FF001F5F"/>
        <rFont val="Calibri"/>
        <family val="2"/>
      </rPr>
      <t>K1024</t>
    </r>
  </si>
  <si>
    <r>
      <rPr>
        <sz val="8"/>
        <color rgb="FF001F5F"/>
        <rFont val="Calibri"/>
        <family val="2"/>
      </rPr>
      <t xml:space="preserve">HARDWARE - 24" HORIZONTAL SLIDE OUT DEEP </t>
    </r>
    <r>
      <rPr>
        <sz val="4"/>
        <color rgb="FF001F5F"/>
        <rFont val="Calibri"/>
        <family val="2"/>
      </rPr>
      <t>(ADDITIONAL MATERIAL REQ'D)</t>
    </r>
  </si>
  <si>
    <r>
      <rPr>
        <sz val="8"/>
        <color rgb="FF001F5F"/>
        <rFont val="Calibri"/>
        <family val="2"/>
      </rPr>
      <t>HSO-24</t>
    </r>
  </si>
  <si>
    <r>
      <rPr>
        <sz val="8"/>
        <color rgb="FF001F5F"/>
        <rFont val="Calibri"/>
        <family val="2"/>
      </rPr>
      <t xml:space="preserve">HARDWARE - 18" HORIZONTAL SLIDE OUT </t>
    </r>
    <r>
      <rPr>
        <sz val="4"/>
        <color rgb="FF001F5F"/>
        <rFont val="Calibri"/>
        <family val="2"/>
      </rPr>
      <t>(ADDITIONAL MATERIAL REQ'D)</t>
    </r>
  </si>
  <si>
    <r>
      <rPr>
        <sz val="8"/>
        <color rgb="FF001F5F"/>
        <rFont val="Calibri"/>
        <family val="2"/>
      </rPr>
      <t>HSO-18</t>
    </r>
  </si>
  <si>
    <r>
      <rPr>
        <sz val="8"/>
        <color rgb="FF001F5F"/>
        <rFont val="Calibri"/>
        <family val="2"/>
      </rPr>
      <t>HANDLE FOR LIGHT DUTY, INCLUDES PAC TRAC MTG. HARDWARE</t>
    </r>
  </si>
  <si>
    <r>
      <rPr>
        <sz val="8"/>
        <color rgb="FF001F5F"/>
        <rFont val="Calibri"/>
        <family val="2"/>
      </rPr>
      <t>HANDLE-PT</t>
    </r>
  </si>
  <si>
    <r>
      <rPr>
        <sz val="8"/>
        <color rgb="FF001F5F"/>
        <rFont val="Calibri"/>
        <family val="2"/>
      </rPr>
      <t>HANDLE FOR HEAVY DUTY, INCLUDES DUAL TRAC MTG. HARDWARE</t>
    </r>
  </si>
  <si>
    <r>
      <rPr>
        <sz val="8"/>
        <color rgb="FF001F5F"/>
        <rFont val="Calibri"/>
        <family val="2"/>
      </rPr>
      <t>HANDLE-DT</t>
    </r>
  </si>
  <si>
    <r>
      <rPr>
        <b/>
        <sz val="10.5"/>
        <color rgb="FFFFFFFF"/>
        <rFont val="Calibri"/>
        <family val="2"/>
      </rPr>
      <t>ACCESSORIES</t>
    </r>
  </si>
  <si>
    <r>
      <rPr>
        <sz val="8"/>
        <color rgb="FF001F5F"/>
        <rFont val="Calibri"/>
        <family val="2"/>
      </rPr>
      <t>8 SEC. SWING OUT TOOL BOARD (51.8") H X (SPECIFY 20.1-25" W)</t>
    </r>
  </si>
  <si>
    <r>
      <rPr>
        <sz val="8"/>
        <color rgb="FF001F5F"/>
        <rFont val="Calibri"/>
        <family val="2"/>
      </rPr>
      <t>20.1-25" W</t>
    </r>
  </si>
  <si>
    <r>
      <rPr>
        <sz val="8"/>
        <color rgb="FF001F5F"/>
        <rFont val="Calibri"/>
        <family val="2"/>
      </rPr>
      <t>SO74-830</t>
    </r>
  </si>
  <si>
    <r>
      <rPr>
        <sz val="8"/>
        <color rgb="FF001F5F"/>
        <rFont val="Calibri"/>
        <family val="2"/>
      </rPr>
      <t>8 SEC. SWING OUT TOOL BOARD (51.8") H X (SPECIFY 15.0-20" W)</t>
    </r>
  </si>
  <si>
    <r>
      <rPr>
        <sz val="8"/>
        <color rgb="FF001F5F"/>
        <rFont val="Calibri"/>
        <family val="2"/>
      </rPr>
      <t>15.0-20" W</t>
    </r>
  </si>
  <si>
    <r>
      <rPr>
        <sz val="8"/>
        <color rgb="FF001F5F"/>
        <rFont val="Calibri"/>
        <family val="2"/>
      </rPr>
      <t>SO74-820</t>
    </r>
  </si>
  <si>
    <r>
      <rPr>
        <sz val="8"/>
        <color rgb="FF001F5F"/>
        <rFont val="Calibri"/>
        <family val="2"/>
      </rPr>
      <t>7 SEC. SWING OUT TOOL BOARD (40.3") H X (SPECIFY 20.1-30" W)</t>
    </r>
  </si>
  <si>
    <r>
      <rPr>
        <sz val="8"/>
        <color rgb="FF001F5F"/>
        <rFont val="Calibri"/>
        <family val="2"/>
      </rPr>
      <t>20.1-30" W</t>
    </r>
  </si>
  <si>
    <r>
      <rPr>
        <sz val="8"/>
        <color rgb="FF001F5F"/>
        <rFont val="Calibri"/>
        <family val="2"/>
      </rPr>
      <t>SO74-730</t>
    </r>
  </si>
  <si>
    <r>
      <rPr>
        <sz val="8"/>
        <color rgb="FF001F5F"/>
        <rFont val="Calibri"/>
        <family val="2"/>
      </rPr>
      <t>7 SEC. SWING OUT TOOL BOARD (40.3") H X (SPECIFY 15.0-20" W)</t>
    </r>
  </si>
  <si>
    <r>
      <rPr>
        <sz val="8"/>
        <color rgb="FF001F5F"/>
        <rFont val="Calibri"/>
        <family val="2"/>
      </rPr>
      <t>SO74-720</t>
    </r>
  </si>
  <si>
    <r>
      <rPr>
        <sz val="8"/>
        <color rgb="FF001F5F"/>
        <rFont val="Calibri"/>
        <family val="2"/>
      </rPr>
      <t>6 SEC. SWING OUT TOOL BOARD (34.5") H X (SPECIFY 30.1-35" W)</t>
    </r>
  </si>
  <si>
    <r>
      <rPr>
        <sz val="8"/>
        <color rgb="FF001F5F"/>
        <rFont val="Calibri"/>
        <family val="2"/>
      </rPr>
      <t>30.1-35" W</t>
    </r>
  </si>
  <si>
    <r>
      <rPr>
        <sz val="8"/>
        <color rgb="FF001F5F"/>
        <rFont val="Calibri"/>
        <family val="2"/>
      </rPr>
      <t>SO74-640</t>
    </r>
  </si>
  <si>
    <r>
      <rPr>
        <sz val="8"/>
        <color rgb="FF001F5F"/>
        <rFont val="Calibri"/>
        <family val="2"/>
      </rPr>
      <t>6 SEC. SWING OUT TOOL BOARD (34.5") H X (SPECIFY 20.1-30" W)</t>
    </r>
  </si>
  <si>
    <r>
      <rPr>
        <sz val="8"/>
        <color rgb="FF001F5F"/>
        <rFont val="Calibri"/>
        <family val="2"/>
      </rPr>
      <t>SO74-630</t>
    </r>
  </si>
  <si>
    <r>
      <rPr>
        <sz val="8"/>
        <color rgb="FF001F5F"/>
        <rFont val="Calibri"/>
        <family val="2"/>
      </rPr>
      <t>6 SEC. SWING OUT TOOL BOARD (34.5") H X (SPECIFY 15.0-20" W)</t>
    </r>
  </si>
  <si>
    <r>
      <rPr>
        <sz val="8"/>
        <color rgb="FF001F5F"/>
        <rFont val="Calibri"/>
        <family val="2"/>
      </rPr>
      <t>SO74-620</t>
    </r>
  </si>
  <si>
    <r>
      <rPr>
        <sz val="8"/>
        <color rgb="FF001F5F"/>
        <rFont val="Calibri"/>
        <family val="2"/>
      </rPr>
      <t>5 SEC. SWING OUT TOOL BOARD (28.8") H X (SPECIFY 30.1-40" W)</t>
    </r>
  </si>
  <si>
    <r>
      <rPr>
        <sz val="8"/>
        <color rgb="FF001F5F"/>
        <rFont val="Calibri"/>
        <family val="2"/>
      </rPr>
      <t>30.1-40" W</t>
    </r>
  </si>
  <si>
    <r>
      <rPr>
        <sz val="8"/>
        <color rgb="FF001F5F"/>
        <rFont val="Calibri"/>
        <family val="2"/>
      </rPr>
      <t>SO74-540</t>
    </r>
  </si>
  <si>
    <r>
      <rPr>
        <sz val="8"/>
        <color rgb="FF001F5F"/>
        <rFont val="Calibri"/>
        <family val="2"/>
      </rPr>
      <t>5 SEC. SWING OUT TOOL BOARD (28.8") H X (SPECIFY 20.1-30" W)</t>
    </r>
  </si>
  <si>
    <r>
      <rPr>
        <sz val="8"/>
        <color rgb="FF001F5F"/>
        <rFont val="Calibri"/>
        <family val="2"/>
      </rPr>
      <t>SO74-530</t>
    </r>
  </si>
  <si>
    <r>
      <rPr>
        <sz val="8"/>
        <color rgb="FF001F5F"/>
        <rFont val="Calibri"/>
        <family val="2"/>
      </rPr>
      <t>5 SEC. SWING OUT TOOL BOARD (28.8") H X (SPECIFY 15.0-20" W)</t>
    </r>
  </si>
  <si>
    <r>
      <rPr>
        <sz val="8"/>
        <color rgb="FF001F5F"/>
        <rFont val="Calibri"/>
        <family val="2"/>
      </rPr>
      <t>SO74-520</t>
    </r>
  </si>
  <si>
    <r>
      <rPr>
        <sz val="8"/>
        <color rgb="FF001F5F"/>
        <rFont val="Calibri"/>
        <family val="2"/>
      </rPr>
      <t>4 SEC. SWING OUT TOOL BOARD (23.0") H X (SPECIFY 40.1-45" W)</t>
    </r>
  </si>
  <si>
    <r>
      <rPr>
        <sz val="8"/>
        <color rgb="FF001F5F"/>
        <rFont val="Calibri"/>
        <family val="2"/>
      </rPr>
      <t>40.1-45" W</t>
    </r>
  </si>
  <si>
    <r>
      <rPr>
        <sz val="8"/>
        <color rgb="FF001F5F"/>
        <rFont val="Calibri"/>
        <family val="2"/>
      </rPr>
      <t>SO74-450</t>
    </r>
  </si>
  <si>
    <r>
      <rPr>
        <sz val="8"/>
        <color rgb="FF001F5F"/>
        <rFont val="Calibri"/>
        <family val="2"/>
      </rPr>
      <t>4 SEC. SWING OUT TOOL BOARD (23.0") H X (SPECIFY 30.1-40" W)</t>
    </r>
  </si>
  <si>
    <r>
      <rPr>
        <sz val="8"/>
        <color rgb="FF001F5F"/>
        <rFont val="Calibri"/>
        <family val="2"/>
      </rPr>
      <t>SO74-440</t>
    </r>
  </si>
  <si>
    <r>
      <rPr>
        <sz val="8"/>
        <color rgb="FF001F5F"/>
        <rFont val="Calibri"/>
        <family val="2"/>
      </rPr>
      <t>4 SEC. SWING OUT TOOL BOARD (23.0") H X (SPECIFY 20.1-30" W)</t>
    </r>
  </si>
  <si>
    <r>
      <rPr>
        <sz val="8"/>
        <color rgb="FF001F5F"/>
        <rFont val="Calibri"/>
        <family val="2"/>
      </rPr>
      <t>SO74-430</t>
    </r>
  </si>
  <si>
    <r>
      <rPr>
        <sz val="8"/>
        <color rgb="FF001F5F"/>
        <rFont val="Calibri"/>
        <family val="2"/>
      </rPr>
      <t>4 SEC. SWING OUT TOOL BOARD (23.0") H X (SPECIFY 15.0-20" W)</t>
    </r>
  </si>
  <si>
    <r>
      <rPr>
        <sz val="8"/>
        <color rgb="FF001F5F"/>
        <rFont val="Calibri"/>
        <family val="2"/>
      </rPr>
      <t>SO74-420</t>
    </r>
  </si>
  <si>
    <r>
      <rPr>
        <sz val="8"/>
        <color rgb="FF001F5F"/>
        <rFont val="Calibri"/>
        <family val="2"/>
      </rPr>
      <t>3 SEC. SWING OUT TOOL BOARD (17.3") H X (SPECIFY 50.1-60" W)</t>
    </r>
  </si>
  <si>
    <r>
      <rPr>
        <sz val="8"/>
        <color rgb="FF001F5F"/>
        <rFont val="Calibri"/>
        <family val="2"/>
      </rPr>
      <t>50.1-60" W</t>
    </r>
  </si>
  <si>
    <r>
      <rPr>
        <sz val="8"/>
        <color rgb="FF001F5F"/>
        <rFont val="Calibri"/>
        <family val="2"/>
      </rPr>
      <t>SO74-360</t>
    </r>
  </si>
  <si>
    <r>
      <rPr>
        <sz val="8"/>
        <color rgb="FF001F5F"/>
        <rFont val="Calibri"/>
        <family val="2"/>
      </rPr>
      <t>3 SEC. SWING OUT TOOL BOARD (17.3") H X (SPECIFY 40.1-50" W)</t>
    </r>
  </si>
  <si>
    <r>
      <rPr>
        <sz val="8"/>
        <color rgb="FF001F5F"/>
        <rFont val="Calibri"/>
        <family val="2"/>
      </rPr>
      <t>40.1-50" W</t>
    </r>
  </si>
  <si>
    <r>
      <rPr>
        <sz val="8"/>
        <color rgb="FF001F5F"/>
        <rFont val="Calibri"/>
        <family val="2"/>
      </rPr>
      <t>SO74-350</t>
    </r>
  </si>
  <si>
    <r>
      <rPr>
        <sz val="8"/>
        <color rgb="FF001F5F"/>
        <rFont val="Calibri"/>
        <family val="2"/>
      </rPr>
      <t>3 SEC. SWING OUT TOOL BOARD (17.3") H X (SPECIFY 30.1-40" W)</t>
    </r>
  </si>
  <si>
    <r>
      <rPr>
        <sz val="8"/>
        <color rgb="FF001F5F"/>
        <rFont val="Calibri"/>
        <family val="2"/>
      </rPr>
      <t>SO74-340</t>
    </r>
  </si>
  <si>
    <r>
      <rPr>
        <sz val="8"/>
        <color rgb="FF001F5F"/>
        <rFont val="Calibri"/>
        <family val="2"/>
      </rPr>
      <t>3 SEC. SWING OUT TOOL BOARD (17.3") H X (SPECIFY 20.1-30" W)</t>
    </r>
  </si>
  <si>
    <r>
      <rPr>
        <sz val="8"/>
        <color rgb="FF001F5F"/>
        <rFont val="Calibri"/>
        <family val="2"/>
      </rPr>
      <t>SO74-330</t>
    </r>
  </si>
  <si>
    <r>
      <rPr>
        <sz val="8"/>
        <color rgb="FF001F5F"/>
        <rFont val="Calibri"/>
        <family val="2"/>
      </rPr>
      <t>3 SEC. SWING OUT TOOL BOARD (17.3") H X (SPECIFY 15.0-20" W)</t>
    </r>
  </si>
  <si>
    <r>
      <rPr>
        <sz val="8"/>
        <color rgb="FF001F5F"/>
        <rFont val="Calibri"/>
        <family val="2"/>
      </rPr>
      <t>SO74-320</t>
    </r>
  </si>
  <si>
    <r>
      <rPr>
        <sz val="8"/>
        <color rgb="FF001F5F"/>
        <rFont val="Calibri"/>
        <family val="2"/>
      </rPr>
      <t>2 SEC. SWING OUT TOOL BOARD (11.5") H X (SPECIFY 50.1-60" W)</t>
    </r>
  </si>
  <si>
    <r>
      <rPr>
        <sz val="8"/>
        <color rgb="FF001F5F"/>
        <rFont val="Calibri"/>
        <family val="2"/>
      </rPr>
      <t>SO74-260</t>
    </r>
  </si>
  <si>
    <r>
      <rPr>
        <sz val="8"/>
        <color rgb="FF001F5F"/>
        <rFont val="Calibri"/>
        <family val="2"/>
      </rPr>
      <t>2 SEC. SWING OUT TOOL BOARD (11.5") H X (SPECIFY 40.1-50" W)</t>
    </r>
  </si>
  <si>
    <r>
      <rPr>
        <sz val="8"/>
        <color rgb="FF001F5F"/>
        <rFont val="Calibri"/>
        <family val="2"/>
      </rPr>
      <t>SO74-250</t>
    </r>
  </si>
  <si>
    <r>
      <rPr>
        <sz val="8"/>
        <color rgb="FF001F5F"/>
        <rFont val="Calibri"/>
        <family val="2"/>
      </rPr>
      <t>2 SEC. SWING OUT TOOL BOARD (11.5") H X (SPECIFY 30.1-40" W)</t>
    </r>
  </si>
  <si>
    <r>
      <rPr>
        <sz val="8"/>
        <color rgb="FF001F5F"/>
        <rFont val="Calibri"/>
        <family val="2"/>
      </rPr>
      <t>SO74-240</t>
    </r>
  </si>
  <si>
    <r>
      <rPr>
        <sz val="8"/>
        <color rgb="FF001F5F"/>
        <rFont val="Calibri"/>
        <family val="2"/>
      </rPr>
      <t>2 SEC. SWING OUT TOOL BOARD (11.5") H X (SPECIFY 20.1-30" W)</t>
    </r>
  </si>
  <si>
    <r>
      <rPr>
        <sz val="8"/>
        <color rgb="FF001F5F"/>
        <rFont val="Calibri"/>
        <family val="2"/>
      </rPr>
      <t>SO74-230</t>
    </r>
  </si>
  <si>
    <r>
      <rPr>
        <sz val="8"/>
        <color rgb="FF001F5F"/>
        <rFont val="Calibri"/>
        <family val="2"/>
      </rPr>
      <t>2 SEC. SWING OUT TOOL BOARD (11.5") H X (SPECIFY 15.0-20" W)</t>
    </r>
  </si>
  <si>
    <r>
      <rPr>
        <sz val="8"/>
        <color rgb="FF001F5F"/>
        <rFont val="Calibri"/>
        <family val="2"/>
      </rPr>
      <t>SO74-220</t>
    </r>
  </si>
  <si>
    <r>
      <rPr>
        <b/>
        <sz val="7"/>
        <color rgb="FF001F5F"/>
        <rFont val="Calibri"/>
        <family val="2"/>
      </rPr>
      <t>WIDTH AVAIL.</t>
    </r>
  </si>
  <si>
    <r>
      <rPr>
        <b/>
        <sz val="10.5"/>
        <rFont val="Calibri"/>
        <family val="2"/>
      </rPr>
      <t>SWING OUT TOOL BOARD KITS</t>
    </r>
  </si>
  <si>
    <r>
      <rPr>
        <sz val="8"/>
        <rFont val="Calibri"/>
        <family val="2"/>
      </rPr>
      <t>4 SEC. SIDE WALL VERT. SLIDE OUT (SPECIFY 50.1"-60" H)</t>
    </r>
  </si>
  <si>
    <r>
      <rPr>
        <sz val="8"/>
        <color rgb="FF001F5F"/>
        <rFont val="Calibri"/>
        <family val="2"/>
      </rPr>
      <t>50.1"-60" H</t>
    </r>
  </si>
  <si>
    <r>
      <rPr>
        <sz val="8"/>
        <rFont val="Calibri"/>
        <family val="2"/>
      </rPr>
      <t>V72-(R or L)-460</t>
    </r>
  </si>
  <si>
    <r>
      <rPr>
        <sz val="8"/>
        <rFont val="Calibri"/>
        <family val="2"/>
      </rPr>
      <t>4 SEC. SIDE WALL VERT. SLIDE OUT (SPECIFY 40.1"-50" H)</t>
    </r>
  </si>
  <si>
    <r>
      <rPr>
        <sz val="8"/>
        <color rgb="FF001F5F"/>
        <rFont val="Calibri"/>
        <family val="2"/>
      </rPr>
      <t>40.1"-50" H</t>
    </r>
  </si>
  <si>
    <r>
      <rPr>
        <sz val="8"/>
        <rFont val="Calibri"/>
        <family val="2"/>
      </rPr>
      <t>V72-(R or L)-450</t>
    </r>
  </si>
  <si>
    <r>
      <rPr>
        <sz val="8"/>
        <rFont val="Calibri"/>
        <family val="2"/>
      </rPr>
      <t>4 SEC. SIDE WALL VERT. SLIDE OUT (SPECIFY 30.1"-40" H)</t>
    </r>
  </si>
  <si>
    <r>
      <rPr>
        <sz val="8"/>
        <color rgb="FF001F5F"/>
        <rFont val="Calibri"/>
        <family val="2"/>
      </rPr>
      <t>30.1"-40" H</t>
    </r>
  </si>
  <si>
    <r>
      <rPr>
        <sz val="8"/>
        <rFont val="Calibri"/>
        <family val="2"/>
      </rPr>
      <t>V72-(R or L)-440</t>
    </r>
  </si>
  <si>
    <r>
      <rPr>
        <sz val="8"/>
        <rFont val="Calibri"/>
        <family val="2"/>
      </rPr>
      <t>4 SEC. SIDE WALL VERT. SLIDE OUT (SPECIFY 20.1"-30" H)</t>
    </r>
  </si>
  <si>
    <r>
      <rPr>
        <sz val="8"/>
        <color rgb="FF001F5F"/>
        <rFont val="Calibri"/>
        <family val="2"/>
      </rPr>
      <t>20.1"-30" H</t>
    </r>
  </si>
  <si>
    <r>
      <rPr>
        <sz val="8"/>
        <rFont val="Calibri"/>
        <family val="2"/>
      </rPr>
      <t>V72-(R or L)-430</t>
    </r>
  </si>
  <si>
    <r>
      <rPr>
        <sz val="8"/>
        <rFont val="Calibri"/>
        <family val="2"/>
      </rPr>
      <t>4 SEC. SIDE WALL VERT. SLIDE OUT (SPECIFY 18.0"-20" H)</t>
    </r>
  </si>
  <si>
    <r>
      <rPr>
        <sz val="8"/>
        <color rgb="FF001F5F"/>
        <rFont val="Calibri"/>
        <family val="2"/>
      </rPr>
      <t>18.0"-20" H</t>
    </r>
  </si>
  <si>
    <r>
      <rPr>
        <sz val="8"/>
        <rFont val="Calibri"/>
        <family val="2"/>
      </rPr>
      <t>V72-(R or L)-420</t>
    </r>
  </si>
  <si>
    <r>
      <rPr>
        <b/>
        <sz val="7"/>
        <color rgb="FF001F5F"/>
        <rFont val="Calibri"/>
        <family val="2"/>
      </rPr>
      <t>HEIGHT AVAIL.</t>
    </r>
  </si>
  <si>
    <r>
      <rPr>
        <b/>
        <sz val="10.5"/>
        <color rgb="FF001F5F"/>
        <rFont val="Calibri"/>
        <family val="2"/>
      </rPr>
      <t>DEEP COMPARTMENT VERSION</t>
    </r>
  </si>
  <si>
    <r>
      <rPr>
        <sz val="8"/>
        <rFont val="Calibri"/>
        <family val="2"/>
      </rPr>
      <t>3 SEC. SIDE WALL VERT. SLIDE OUT (SPECIFY 50.1"-60" H)</t>
    </r>
  </si>
  <si>
    <r>
      <rPr>
        <sz val="8"/>
        <rFont val="Calibri"/>
        <family val="2"/>
      </rPr>
      <t>V72-(R or L)-360</t>
    </r>
  </si>
  <si>
    <r>
      <rPr>
        <sz val="8"/>
        <rFont val="Calibri"/>
        <family val="2"/>
      </rPr>
      <t>3 SEC. SIDE WALL VERT. SLIDE OUT (SPECIFY 40.1"-50" H)</t>
    </r>
  </si>
  <si>
    <r>
      <rPr>
        <sz val="8"/>
        <rFont val="Calibri"/>
        <family val="2"/>
      </rPr>
      <t>V72-(R or L)-350</t>
    </r>
  </si>
  <si>
    <r>
      <rPr>
        <sz val="8"/>
        <rFont val="Calibri"/>
        <family val="2"/>
      </rPr>
      <t>3 SEC. SIDE WALL VERT. SLIDE OUT (SPECIFY 30.1"-40" H)</t>
    </r>
  </si>
  <si>
    <r>
      <rPr>
        <sz val="8"/>
        <rFont val="Calibri"/>
        <family val="2"/>
      </rPr>
      <t>V72-(R or L)-340</t>
    </r>
  </si>
  <si>
    <r>
      <rPr>
        <sz val="8"/>
        <rFont val="Calibri"/>
        <family val="2"/>
      </rPr>
      <t>3 SEC. SIDE WALL VERT. SLIDE OUT (SPECIFY 20.1"-30" H)</t>
    </r>
  </si>
  <si>
    <r>
      <rPr>
        <sz val="8"/>
        <rFont val="Calibri"/>
        <family val="2"/>
      </rPr>
      <t>V72-(R or L)-330</t>
    </r>
  </si>
  <si>
    <r>
      <rPr>
        <sz val="8"/>
        <rFont val="Calibri"/>
        <family val="2"/>
      </rPr>
      <t>3 SEC. SIDE WALL VERT. SLIDE OUT (SPECIFY 18.0"-20" H)</t>
    </r>
  </si>
  <si>
    <r>
      <rPr>
        <sz val="8"/>
        <rFont val="Calibri"/>
        <family val="2"/>
      </rPr>
      <t>V72-(R or L)-320</t>
    </r>
  </si>
  <si>
    <r>
      <rPr>
        <b/>
        <sz val="10.5"/>
        <rFont val="Calibri"/>
        <family val="2"/>
      </rPr>
      <t>SHALLOW COMPARTMENT VERSION</t>
    </r>
  </si>
  <si>
    <r>
      <rPr>
        <b/>
        <sz val="10.5"/>
        <rFont val="Calibri"/>
        <family val="2"/>
      </rPr>
      <t>SIDE WALL VERTICAL SLIDE OUT TOOLBOARD KITS</t>
    </r>
  </si>
  <si>
    <r>
      <rPr>
        <sz val="8"/>
        <rFont val="Calibri"/>
        <family val="2"/>
      </rPr>
      <t>4 SEC. HD VERT. SLIDE OUT (SPECIFY 50.1"-60" H)</t>
    </r>
  </si>
  <si>
    <r>
      <rPr>
        <sz val="8"/>
        <color rgb="FF001F5F"/>
        <rFont val="Calibri"/>
        <family val="2"/>
      </rPr>
      <t>V74HD-460</t>
    </r>
  </si>
  <si>
    <r>
      <rPr>
        <sz val="8"/>
        <rFont val="Calibri"/>
        <family val="2"/>
      </rPr>
      <t>4 SEC. HD VERT. SLIDE OUT (SPECIFY 40.1"-50" H)</t>
    </r>
  </si>
  <si>
    <r>
      <rPr>
        <sz val="8"/>
        <color rgb="FF001F5F"/>
        <rFont val="Calibri"/>
        <family val="2"/>
      </rPr>
      <t>V74HD-450</t>
    </r>
  </si>
  <si>
    <r>
      <rPr>
        <sz val="8"/>
        <rFont val="Calibri"/>
        <family val="2"/>
      </rPr>
      <t>4 SEC. HD VERT. SLIDE OUT (SPECIFY 30.1"-40" H)</t>
    </r>
  </si>
  <si>
    <r>
      <rPr>
        <sz val="8"/>
        <color rgb="FF001F5F"/>
        <rFont val="Calibri"/>
        <family val="2"/>
      </rPr>
      <t>V74HD-440</t>
    </r>
  </si>
  <si>
    <r>
      <rPr>
        <sz val="8"/>
        <rFont val="Calibri"/>
        <family val="2"/>
      </rPr>
      <t>4 SEC. HD VERT. SLIDE OUT (SPECIFY 20.1"-30" H)</t>
    </r>
  </si>
  <si>
    <r>
      <rPr>
        <sz val="8"/>
        <color rgb="FF001F5F"/>
        <rFont val="Calibri"/>
        <family val="2"/>
      </rPr>
      <t>V74HD-430</t>
    </r>
  </si>
  <si>
    <r>
      <rPr>
        <sz val="8"/>
        <rFont val="Calibri"/>
        <family val="2"/>
      </rPr>
      <t>4 SEC. HD VERT. SLIDE OUT (SPECIFY 18.0"-20" H)</t>
    </r>
  </si>
  <si>
    <r>
      <rPr>
        <sz val="8"/>
        <color rgb="FF001F5F"/>
        <rFont val="Calibri"/>
        <family val="2"/>
      </rPr>
      <t>V74HD-420</t>
    </r>
  </si>
  <si>
    <r>
      <rPr>
        <b/>
        <sz val="10.5"/>
        <rFont val="Calibri"/>
        <family val="2"/>
      </rPr>
      <t>DEEP COMPARTMENT VERSION</t>
    </r>
  </si>
  <si>
    <r>
      <rPr>
        <sz val="8"/>
        <rFont val="Calibri"/>
        <family val="2"/>
      </rPr>
      <t>3 SEC. HD VERT. SLIDE OUT (SPECIFY 50.1"-60" H)</t>
    </r>
  </si>
  <si>
    <r>
      <rPr>
        <sz val="8"/>
        <color rgb="FF001F5F"/>
        <rFont val="Calibri"/>
        <family val="2"/>
      </rPr>
      <t>V74HD-360</t>
    </r>
  </si>
  <si>
    <r>
      <rPr>
        <sz val="8"/>
        <rFont val="Calibri"/>
        <family val="2"/>
      </rPr>
      <t>3 SEC. HD VERT. SLIDE OUT (SPECIFY 40.1"-50" H)</t>
    </r>
  </si>
  <si>
    <r>
      <rPr>
        <sz val="8"/>
        <color rgb="FF001F5F"/>
        <rFont val="Calibri"/>
        <family val="2"/>
      </rPr>
      <t>V74HD-350</t>
    </r>
  </si>
  <si>
    <r>
      <rPr>
        <sz val="8"/>
        <rFont val="Calibri"/>
        <family val="2"/>
      </rPr>
      <t>3 SEC. HD VERT. SLIDE OUT (SPECIFY 30.1"-40" H)</t>
    </r>
  </si>
  <si>
    <r>
      <rPr>
        <sz val="8"/>
        <color rgb="FF001F5F"/>
        <rFont val="Calibri"/>
        <family val="2"/>
      </rPr>
      <t>V74HD-340</t>
    </r>
  </si>
  <si>
    <r>
      <rPr>
        <sz val="8"/>
        <rFont val="Calibri"/>
        <family val="2"/>
      </rPr>
      <t>3 SEC. HD VERT. SLIDE OUT (SPECIFY 20.1"-30" H)</t>
    </r>
  </si>
  <si>
    <r>
      <rPr>
        <sz val="8"/>
        <color rgb="FF001F5F"/>
        <rFont val="Calibri"/>
        <family val="2"/>
      </rPr>
      <t>V74HD-330</t>
    </r>
  </si>
  <si>
    <r>
      <rPr>
        <sz val="8"/>
        <rFont val="Calibri"/>
        <family val="2"/>
      </rPr>
      <t>3 SEC. HD VERT. SLIDE OUT (SPECIFY 18.0"-20" H)</t>
    </r>
  </si>
  <si>
    <r>
      <rPr>
        <sz val="8"/>
        <color rgb="FF001F5F"/>
        <rFont val="Calibri"/>
        <family val="2"/>
      </rPr>
      <t>V74HD-320</t>
    </r>
  </si>
  <si>
    <r>
      <rPr>
        <b/>
        <sz val="10.5"/>
        <rFont val="Calibri"/>
        <family val="2"/>
      </rPr>
      <t>HD VERTICAL SLIDE OUT TOOL BOARD KITS</t>
    </r>
  </si>
  <si>
    <r>
      <rPr>
        <sz val="8"/>
        <color rgb="FF001F5F"/>
        <rFont val="Calibri"/>
        <family val="2"/>
      </rPr>
      <t>4 SEC. DEEP HORIZ. SLIDE OUT (SPECIFY 40.1"-48" W)</t>
    </r>
  </si>
  <si>
    <r>
      <rPr>
        <sz val="8"/>
        <color rgb="FF001F5F"/>
        <rFont val="Calibri"/>
        <family val="2"/>
      </rPr>
      <t>40.1-48" W</t>
    </r>
  </si>
  <si>
    <r>
      <rPr>
        <sz val="8"/>
        <color rgb="FF001F5F"/>
        <rFont val="Calibri"/>
        <family val="2"/>
      </rPr>
      <t>H72-450</t>
    </r>
  </si>
  <si>
    <r>
      <rPr>
        <sz val="8"/>
        <color rgb="FF001F5F"/>
        <rFont val="Calibri"/>
        <family val="2"/>
      </rPr>
      <t>4 SEC. DEEP HORIZ. SLIDE OUT (SPECIFY 30.1"-40" W)</t>
    </r>
  </si>
  <si>
    <r>
      <rPr>
        <sz val="8"/>
        <color rgb="FF001F5F"/>
        <rFont val="Calibri"/>
        <family val="2"/>
      </rPr>
      <t>H72-440</t>
    </r>
  </si>
  <si>
    <r>
      <rPr>
        <sz val="8"/>
        <color rgb="FF001F5F"/>
        <rFont val="Calibri"/>
        <family val="2"/>
      </rPr>
      <t>4 SEC. DEEP HORIZ. SLIDE OUT (SPECIFY 20.1"-30" W)</t>
    </r>
  </si>
  <si>
    <r>
      <rPr>
        <sz val="8"/>
        <color rgb="FF001F5F"/>
        <rFont val="Calibri"/>
        <family val="2"/>
      </rPr>
      <t>H72-430</t>
    </r>
  </si>
  <si>
    <r>
      <rPr>
        <sz val="8"/>
        <color rgb="FF001F5F"/>
        <rFont val="Calibri"/>
        <family val="2"/>
      </rPr>
      <t>4 SEC. DEEP HORIZ. SLIDE OUT (SPECIFY 12.0"-20" W)</t>
    </r>
  </si>
  <si>
    <r>
      <rPr>
        <sz val="8"/>
        <color rgb="FF001F5F"/>
        <rFont val="Calibri"/>
        <family val="2"/>
      </rPr>
      <t>12.0-20" W</t>
    </r>
  </si>
  <si>
    <r>
      <rPr>
        <sz val="8"/>
        <color rgb="FF001F5F"/>
        <rFont val="Calibri"/>
        <family val="2"/>
      </rPr>
      <t>H72-420</t>
    </r>
  </si>
  <si>
    <r>
      <rPr>
        <sz val="8"/>
        <color rgb="FF001F5F"/>
        <rFont val="Calibri"/>
        <family val="2"/>
      </rPr>
      <t>3 SEC. DEEP HORIZ. SLIDE OUT (SPECIFY 30.1"-36" W)</t>
    </r>
  </si>
  <si>
    <r>
      <rPr>
        <sz val="8"/>
        <color rgb="FF001F5F"/>
        <rFont val="Calibri"/>
        <family val="2"/>
      </rPr>
      <t>30.1-36" W</t>
    </r>
  </si>
  <si>
    <r>
      <rPr>
        <sz val="8"/>
        <color rgb="FF001F5F"/>
        <rFont val="Calibri"/>
        <family val="2"/>
      </rPr>
      <t>H72-340</t>
    </r>
  </si>
  <si>
    <r>
      <rPr>
        <sz val="8"/>
        <color rgb="FF001F5F"/>
        <rFont val="Calibri"/>
        <family val="2"/>
      </rPr>
      <t>3 SEC. DEEP HORIZ. SLIDE OUT (SPECIFY 20.1"-30" W)</t>
    </r>
  </si>
  <si>
    <r>
      <rPr>
        <sz val="8"/>
        <color rgb="FF001F5F"/>
        <rFont val="Calibri"/>
        <family val="2"/>
      </rPr>
      <t>H72-330</t>
    </r>
  </si>
  <si>
    <r>
      <rPr>
        <sz val="8"/>
        <color rgb="FF001F5F"/>
        <rFont val="Calibri"/>
        <family val="2"/>
      </rPr>
      <t>3 SEC. DEEP HORIZ. SLIDE OUT (SPECIFY 12.0"-20" W)</t>
    </r>
  </si>
  <si>
    <r>
      <rPr>
        <sz val="8"/>
        <color rgb="FF001F5F"/>
        <rFont val="Calibri"/>
        <family val="2"/>
      </rPr>
      <t>H72-320</t>
    </r>
  </si>
  <si>
    <r>
      <rPr>
        <b/>
        <sz val="10.5"/>
        <rFont val="Calibri"/>
        <family val="2"/>
      </rPr>
      <t>HORIZONTAL SLIDE OUT TOOL BOARD KITS</t>
    </r>
  </si>
  <si>
    <r>
      <rPr>
        <sz val="8"/>
        <color rgb="FF001F5F"/>
        <rFont val="Calibri"/>
        <family val="2"/>
      </rPr>
      <t>1 SEC. SERIES Z75 TOOL BOARD (3.75")H X (SPECIFY 50.1-60" W)</t>
    </r>
  </si>
  <si>
    <r>
      <rPr>
        <sz val="8"/>
        <color rgb="FF001F5F"/>
        <rFont val="Calibri"/>
        <family val="2"/>
      </rPr>
      <t>Z75-160</t>
    </r>
  </si>
  <si>
    <r>
      <rPr>
        <sz val="8"/>
        <color rgb="FF001F5F"/>
        <rFont val="Calibri"/>
        <family val="2"/>
      </rPr>
      <t>1 SEC. SERIES Z75 TOOL BOARD (3.75")H X (SPECIFY 40.1-50" W)</t>
    </r>
  </si>
  <si>
    <r>
      <rPr>
        <sz val="8"/>
        <color rgb="FF001F5F"/>
        <rFont val="Calibri"/>
        <family val="2"/>
      </rPr>
      <t>Z75-150</t>
    </r>
  </si>
  <si>
    <r>
      <rPr>
        <sz val="8"/>
        <color rgb="FF001F5F"/>
        <rFont val="Calibri"/>
        <family val="2"/>
      </rPr>
      <t>1 SEC. SERIES Z75 TOOL BOARD (3.75")H X (SPECIFY 30.1-40" W)</t>
    </r>
  </si>
  <si>
    <r>
      <rPr>
        <sz val="8"/>
        <color rgb="FF001F5F"/>
        <rFont val="Calibri"/>
        <family val="2"/>
      </rPr>
      <t>Z75-140</t>
    </r>
  </si>
  <si>
    <r>
      <rPr>
        <sz val="8"/>
        <color rgb="FF001F5F"/>
        <rFont val="Calibri"/>
        <family val="2"/>
      </rPr>
      <t>1 SEC. SERIES Z75 TOOL BOARD (3.75")H X (SPECIFY 20.1-30" W)</t>
    </r>
  </si>
  <si>
    <r>
      <rPr>
        <sz val="8"/>
        <color rgb="FF001F5F"/>
        <rFont val="Calibri"/>
        <family val="2"/>
      </rPr>
      <t>Z75-130</t>
    </r>
  </si>
  <si>
    <r>
      <rPr>
        <sz val="8"/>
        <color rgb="FF001F5F"/>
        <rFont val="Calibri"/>
        <family val="2"/>
      </rPr>
      <t>1 SEC. SERIES Z75 TOOL BOARD (3.75")H X (SPECIFY 10.1-20" W)</t>
    </r>
  </si>
  <si>
    <r>
      <rPr>
        <sz val="8"/>
        <color rgb="FF001F5F"/>
        <rFont val="Calibri"/>
        <family val="2"/>
      </rPr>
      <t>10.1-20" W</t>
    </r>
  </si>
  <si>
    <r>
      <rPr>
        <sz val="8"/>
        <color rgb="FF001F5F"/>
        <rFont val="Calibri"/>
        <family val="2"/>
      </rPr>
      <t>Z75-120</t>
    </r>
  </si>
  <si>
    <r>
      <rPr>
        <sz val="8"/>
        <color rgb="FF001F5F"/>
        <rFont val="Calibri"/>
        <family val="2"/>
      </rPr>
      <t>1 SEC. SERIES Z75 TOOL BOARD (3.75")H X (SPECIFY UP TO 10" W)</t>
    </r>
  </si>
  <si>
    <r>
      <rPr>
        <sz val="8"/>
        <color rgb="FF001F5F"/>
        <rFont val="Calibri"/>
        <family val="2"/>
      </rPr>
      <t>UP TO 10" W</t>
    </r>
  </si>
  <si>
    <r>
      <rPr>
        <sz val="8"/>
        <color rgb="FF001F5F"/>
        <rFont val="Calibri"/>
        <family val="2"/>
      </rPr>
      <t>Z75-110</t>
    </r>
  </si>
  <si>
    <r>
      <rPr>
        <b/>
        <sz val="10.5"/>
        <rFont val="Calibri"/>
        <family val="2"/>
      </rPr>
      <t>MINI DUAL TRAC TOOL BOARD KITS (complete with Z-Mount)</t>
    </r>
  </si>
  <si>
    <r>
      <rPr>
        <sz val="8"/>
        <color rgb="FF001F5F"/>
        <rFont val="Calibri"/>
        <family val="2"/>
      </rPr>
      <t>10 SEC. SERIES Z72 TOOL BOARD (57.5") H X (SPECIFY 50.1-60" W)</t>
    </r>
  </si>
  <si>
    <r>
      <rPr>
        <sz val="8"/>
        <color rgb="FF001F5F"/>
        <rFont val="Calibri"/>
        <family val="2"/>
      </rPr>
      <t>Z72-1060</t>
    </r>
  </si>
  <si>
    <r>
      <rPr>
        <sz val="8"/>
        <color rgb="FF001F5F"/>
        <rFont val="Calibri"/>
        <family val="2"/>
      </rPr>
      <t>10 SEC. SERIES Z72 TOOL BOARD (57.5") H X (SPECIFY 40.1-50" W)</t>
    </r>
  </si>
  <si>
    <r>
      <rPr>
        <sz val="8"/>
        <color rgb="FF001F5F"/>
        <rFont val="Calibri"/>
        <family val="2"/>
      </rPr>
      <t>Z72-1050</t>
    </r>
  </si>
  <si>
    <r>
      <rPr>
        <sz val="8"/>
        <color rgb="FF001F5F"/>
        <rFont val="Calibri"/>
        <family val="2"/>
      </rPr>
      <t>10 SEC. SERIES Z72 TOOL BOARD (57.5") H X (SPECIFY 30.1-40" W)</t>
    </r>
  </si>
  <si>
    <r>
      <rPr>
        <sz val="8"/>
        <color rgb="FF001F5F"/>
        <rFont val="Calibri"/>
        <family val="2"/>
      </rPr>
      <t>Z72-1040</t>
    </r>
  </si>
  <si>
    <r>
      <rPr>
        <sz val="8"/>
        <color rgb="FF001F5F"/>
        <rFont val="Calibri"/>
        <family val="2"/>
      </rPr>
      <t>10 SEC. SERIES Z72 TOOL BOARD (57.5") H X (SPECIFY 20.1-30" W)</t>
    </r>
  </si>
  <si>
    <r>
      <rPr>
        <sz val="8"/>
        <color rgb="FF001F5F"/>
        <rFont val="Calibri"/>
        <family val="2"/>
      </rPr>
      <t>Z72-1030</t>
    </r>
  </si>
  <si>
    <r>
      <rPr>
        <sz val="8"/>
        <color rgb="FF001F5F"/>
        <rFont val="Calibri"/>
        <family val="2"/>
      </rPr>
      <t>10 SEC. SERIES Z72 TOOL BOARD (57.5") H X (SPECIFY 10.1-20" W)</t>
    </r>
  </si>
  <si>
    <r>
      <rPr>
        <sz val="8"/>
        <color rgb="FF001F5F"/>
        <rFont val="Calibri"/>
        <family val="2"/>
      </rPr>
      <t>Z72-1020</t>
    </r>
  </si>
  <si>
    <r>
      <rPr>
        <sz val="8"/>
        <color rgb="FF001F5F"/>
        <rFont val="Calibri"/>
        <family val="2"/>
      </rPr>
      <t>10 SEC. SERIES Z72 TOOL BOARD (57.5") H X (SPECIFY UP TO 10" W)</t>
    </r>
  </si>
  <si>
    <r>
      <rPr>
        <sz val="8"/>
        <color rgb="FF001F5F"/>
        <rFont val="Calibri"/>
        <family val="2"/>
      </rPr>
      <t>Z72-1010</t>
    </r>
  </si>
  <si>
    <r>
      <rPr>
        <sz val="8"/>
        <color rgb="FF001F5F"/>
        <rFont val="Calibri"/>
        <family val="2"/>
      </rPr>
      <t>9 SEC. SERIES Z72 TOOL BOARD (51.8") H X (SPECIFY 50.1-60" W)</t>
    </r>
  </si>
  <si>
    <r>
      <rPr>
        <sz val="8"/>
        <color rgb="FF001F5F"/>
        <rFont val="Calibri"/>
        <family val="2"/>
      </rPr>
      <t>Z72-960</t>
    </r>
  </si>
  <si>
    <r>
      <rPr>
        <sz val="8"/>
        <color rgb="FF001F5F"/>
        <rFont val="Calibri"/>
        <family val="2"/>
      </rPr>
      <t>9 SEC. SERIES Z72 TOOL BOARD (51.8") H X (SPECIFY 40.1-50" W)</t>
    </r>
  </si>
  <si>
    <r>
      <rPr>
        <sz val="8"/>
        <color rgb="FF001F5F"/>
        <rFont val="Calibri"/>
        <family val="2"/>
      </rPr>
      <t>Z72-950</t>
    </r>
  </si>
  <si>
    <r>
      <rPr>
        <sz val="8"/>
        <color rgb="FF001F5F"/>
        <rFont val="Calibri"/>
        <family val="2"/>
      </rPr>
      <t>9 SEC. SERIES Z72 TOOL BOARD (51.8") H X (SPECIFY 30.1-40" W)</t>
    </r>
  </si>
  <si>
    <r>
      <rPr>
        <sz val="8"/>
        <color rgb="FF001F5F"/>
        <rFont val="Calibri"/>
        <family val="2"/>
      </rPr>
      <t>Z72-940</t>
    </r>
  </si>
  <si>
    <r>
      <rPr>
        <sz val="8"/>
        <color rgb="FF001F5F"/>
        <rFont val="Calibri"/>
        <family val="2"/>
      </rPr>
      <t>9 SEC. SERIES Z72 TOOL BOARD (51.8") H X (SPECIFY 20.1-30" W)</t>
    </r>
  </si>
  <si>
    <r>
      <rPr>
        <sz val="8"/>
        <color rgb="FF001F5F"/>
        <rFont val="Calibri"/>
        <family val="2"/>
      </rPr>
      <t>Z72-930</t>
    </r>
  </si>
  <si>
    <r>
      <rPr>
        <sz val="8"/>
        <color rgb="FF001F5F"/>
        <rFont val="Calibri"/>
        <family val="2"/>
      </rPr>
      <t>9 SEC. SERIES Z72 TOOL BOARD (51.8") H X (SPECIFY 10.1-20" W)</t>
    </r>
  </si>
  <si>
    <r>
      <rPr>
        <sz val="8"/>
        <color rgb="FF001F5F"/>
        <rFont val="Calibri"/>
        <family val="2"/>
      </rPr>
      <t>Z72-920</t>
    </r>
  </si>
  <si>
    <r>
      <rPr>
        <sz val="8"/>
        <color rgb="FF001F5F"/>
        <rFont val="Calibri"/>
        <family val="2"/>
      </rPr>
      <t>9 SEC. SERIES Z72 TOOL BOARD (51.8") H X (SPECIFY UP TO 10" W)</t>
    </r>
  </si>
  <si>
    <r>
      <rPr>
        <sz val="8"/>
        <color rgb="FF001F5F"/>
        <rFont val="Calibri"/>
        <family val="2"/>
      </rPr>
      <t>Z72-910</t>
    </r>
  </si>
  <si>
    <r>
      <rPr>
        <sz val="8"/>
        <color rgb="FF001F5F"/>
        <rFont val="Calibri"/>
        <family val="2"/>
      </rPr>
      <t>8 SEC. SERIES Z72 TOOL BOARD (46.0") H X (SPECIFY 50.1-60" W)</t>
    </r>
  </si>
  <si>
    <r>
      <rPr>
        <sz val="8"/>
        <color rgb="FF001F5F"/>
        <rFont val="Calibri"/>
        <family val="2"/>
      </rPr>
      <t>Z72-860</t>
    </r>
  </si>
  <si>
    <r>
      <rPr>
        <sz val="8"/>
        <color rgb="FF001F5F"/>
        <rFont val="Calibri"/>
        <family val="2"/>
      </rPr>
      <t>8 SEC. SERIES Z72 TOOL BOARD (46.0") H X (SPECIFY 40.1-50" W)</t>
    </r>
  </si>
  <si>
    <r>
      <rPr>
        <sz val="8"/>
        <color rgb="FF001F5F"/>
        <rFont val="Calibri"/>
        <family val="2"/>
      </rPr>
      <t>Z72-850</t>
    </r>
  </si>
  <si>
    <r>
      <rPr>
        <sz val="8"/>
        <color rgb="FF001F5F"/>
        <rFont val="Calibri"/>
        <family val="2"/>
      </rPr>
      <t>8 SEC. SERIES Z72 TOOL BOARD (46.0") H X (SPECIFY 30.1-40" W)</t>
    </r>
  </si>
  <si>
    <r>
      <rPr>
        <sz val="8"/>
        <color rgb="FF001F5F"/>
        <rFont val="Calibri"/>
        <family val="2"/>
      </rPr>
      <t>Z72-840</t>
    </r>
  </si>
  <si>
    <r>
      <rPr>
        <sz val="8"/>
        <color rgb="FF001F5F"/>
        <rFont val="Calibri"/>
        <family val="2"/>
      </rPr>
      <t>8 SEC. SERIES Z72 TOOL BOARD (46.0") H X (SPECIFY 20.1-30" W)</t>
    </r>
  </si>
  <si>
    <r>
      <rPr>
        <sz val="8"/>
        <color rgb="FF001F5F"/>
        <rFont val="Calibri"/>
        <family val="2"/>
      </rPr>
      <t>Z72-830</t>
    </r>
  </si>
  <si>
    <r>
      <rPr>
        <sz val="8"/>
        <color rgb="FF001F5F"/>
        <rFont val="Calibri"/>
        <family val="2"/>
      </rPr>
      <t>8 SEC. SERIES Z72 TOOL BOARD (46.0") H X (SPECIFY 10.1-20" W)</t>
    </r>
  </si>
  <si>
    <r>
      <rPr>
        <sz val="8"/>
        <color rgb="FF001F5F"/>
        <rFont val="Calibri"/>
        <family val="2"/>
      </rPr>
      <t>Z72-820</t>
    </r>
  </si>
  <si>
    <r>
      <rPr>
        <sz val="8"/>
        <color rgb="FF001F5F"/>
        <rFont val="Calibri"/>
        <family val="2"/>
      </rPr>
      <t>8 SEC. SERIES Z72 TOOL BOARD (46.0") H X (SPECIFY UP TO 10" W)</t>
    </r>
  </si>
  <si>
    <r>
      <rPr>
        <sz val="8"/>
        <color rgb="FF001F5F"/>
        <rFont val="Calibri"/>
        <family val="2"/>
      </rPr>
      <t>Z72-810</t>
    </r>
  </si>
  <si>
    <r>
      <rPr>
        <sz val="8"/>
        <color rgb="FF001F5F"/>
        <rFont val="Calibri"/>
        <family val="2"/>
      </rPr>
      <t>7 SEC. SERIES Z72 TOOL BOARD (40.3") H X (SPECIFY 50.1-60" W)</t>
    </r>
  </si>
  <si>
    <r>
      <rPr>
        <sz val="8"/>
        <color rgb="FF001F5F"/>
        <rFont val="Calibri"/>
        <family val="2"/>
      </rPr>
      <t>Z72-760</t>
    </r>
  </si>
  <si>
    <r>
      <rPr>
        <sz val="8"/>
        <color rgb="FF001F5F"/>
        <rFont val="Calibri"/>
        <family val="2"/>
      </rPr>
      <t>7 SEC. SERIES Z72 TOOL BOARD (40.3") H X (SPECIFY 40.1-50" W)</t>
    </r>
  </si>
  <si>
    <r>
      <rPr>
        <sz val="8"/>
        <color rgb="FF001F5F"/>
        <rFont val="Calibri"/>
        <family val="2"/>
      </rPr>
      <t>Z72-750</t>
    </r>
  </si>
  <si>
    <r>
      <rPr>
        <sz val="8"/>
        <color rgb="FF001F5F"/>
        <rFont val="Calibri"/>
        <family val="2"/>
      </rPr>
      <t>7 SEC. SERIES Z72 TOOL BOARD (40.3") H X (SPECIFY 30.1-40" W)</t>
    </r>
  </si>
  <si>
    <r>
      <rPr>
        <sz val="8"/>
        <color rgb="FF001F5F"/>
        <rFont val="Calibri"/>
        <family val="2"/>
      </rPr>
      <t>Z72-740</t>
    </r>
  </si>
  <si>
    <r>
      <rPr>
        <sz val="8"/>
        <color rgb="FF001F5F"/>
        <rFont val="Calibri"/>
        <family val="2"/>
      </rPr>
      <t>7 SEC. SERIES Z72 TOOL BOARD (40.3") H X (SPECIFY 20.1-30" W)</t>
    </r>
  </si>
  <si>
    <r>
      <rPr>
        <sz val="8"/>
        <color rgb="FF001F5F"/>
        <rFont val="Calibri"/>
        <family val="2"/>
      </rPr>
      <t>Z72-730</t>
    </r>
  </si>
  <si>
    <r>
      <rPr>
        <sz val="8"/>
        <color rgb="FF001F5F"/>
        <rFont val="Calibri"/>
        <family val="2"/>
      </rPr>
      <t>7 SEC. SERIES Z72 TOOL BOARD (40.3") H X (SPECIFY 10.1-20" W)</t>
    </r>
  </si>
  <si>
    <r>
      <rPr>
        <sz val="8"/>
        <color rgb="FF001F5F"/>
        <rFont val="Calibri"/>
        <family val="2"/>
      </rPr>
      <t>Z72-720</t>
    </r>
  </si>
  <si>
    <r>
      <rPr>
        <sz val="8"/>
        <color rgb="FF001F5F"/>
        <rFont val="Calibri"/>
        <family val="2"/>
      </rPr>
      <t>7 SEC. SERIES Z72 TOOL BOARD (40.3") H X (SPECIFY UP TO 10" W)</t>
    </r>
  </si>
  <si>
    <r>
      <rPr>
        <sz val="8"/>
        <color rgb="FF001F5F"/>
        <rFont val="Calibri"/>
        <family val="2"/>
      </rPr>
      <t>Z72-710</t>
    </r>
  </si>
  <si>
    <r>
      <rPr>
        <sz val="8"/>
        <color rgb="FF001F5F"/>
        <rFont val="Calibri"/>
        <family val="2"/>
      </rPr>
      <t>6 SEC. SERIES Z72 TOOL BOARD (34.5") H X (SPECIFY 50.1-60" W)</t>
    </r>
  </si>
  <si>
    <r>
      <rPr>
        <sz val="8"/>
        <color rgb="FF001F5F"/>
        <rFont val="Calibri"/>
        <family val="2"/>
      </rPr>
      <t>Z72-660</t>
    </r>
  </si>
  <si>
    <r>
      <rPr>
        <sz val="8"/>
        <color rgb="FF001F5F"/>
        <rFont val="Calibri"/>
        <family val="2"/>
      </rPr>
      <t>6 SEC. SERIES Z72 TOOL BOARD (34.5") H X (SPECIFY 40.1-50" W)</t>
    </r>
  </si>
  <si>
    <r>
      <rPr>
        <sz val="8"/>
        <color rgb="FF001F5F"/>
        <rFont val="Calibri"/>
        <family val="2"/>
      </rPr>
      <t>Z72-650</t>
    </r>
  </si>
  <si>
    <r>
      <rPr>
        <sz val="8"/>
        <color rgb="FF001F5F"/>
        <rFont val="Calibri"/>
        <family val="2"/>
      </rPr>
      <t>6 SEC. SERIES Z72 TOOL BOARD (34.5") H X (SPECIFY 30.1-40" W)</t>
    </r>
  </si>
  <si>
    <r>
      <rPr>
        <sz val="8"/>
        <color rgb="FF001F5F"/>
        <rFont val="Calibri"/>
        <family val="2"/>
      </rPr>
      <t>Z72-640</t>
    </r>
  </si>
  <si>
    <r>
      <rPr>
        <sz val="8"/>
        <color rgb="FF001F5F"/>
        <rFont val="Calibri"/>
        <family val="2"/>
      </rPr>
      <t>6 SEC. SERIES Z72 TOOL BOARD (34.5") H X (SPECIFY 20.1-30" W)</t>
    </r>
  </si>
  <si>
    <r>
      <rPr>
        <sz val="8"/>
        <color rgb="FF001F5F"/>
        <rFont val="Calibri"/>
        <family val="2"/>
      </rPr>
      <t>Z72-630</t>
    </r>
  </si>
  <si>
    <r>
      <rPr>
        <sz val="8"/>
        <color rgb="FF001F5F"/>
        <rFont val="Calibri"/>
        <family val="2"/>
      </rPr>
      <t>6 SEC. SERIES Z72 TOOL BOARD (34.5") H X (SPECIFY 10.1-20" W)</t>
    </r>
  </si>
  <si>
    <r>
      <rPr>
        <sz val="8"/>
        <color rgb="FF001F5F"/>
        <rFont val="Calibri"/>
        <family val="2"/>
      </rPr>
      <t>Z72-620</t>
    </r>
  </si>
  <si>
    <r>
      <rPr>
        <sz val="8"/>
        <color rgb="FF001F5F"/>
        <rFont val="Calibri"/>
        <family val="2"/>
      </rPr>
      <t>6 SEC. SERIES Z72 TOOL BOARD (34.5") H X (SPECIFY UP TO 10" W)</t>
    </r>
  </si>
  <si>
    <r>
      <rPr>
        <sz val="8"/>
        <color rgb="FF001F5F"/>
        <rFont val="Calibri"/>
        <family val="2"/>
      </rPr>
      <t>Z72-610</t>
    </r>
  </si>
  <si>
    <r>
      <rPr>
        <sz val="8"/>
        <color rgb="FF001F5F"/>
        <rFont val="Calibri"/>
        <family val="2"/>
      </rPr>
      <t>5 SEC. SERIES Z72 TOOL BOARD (28.8") H X (SPECIFY 50.1-60" W)</t>
    </r>
  </si>
  <si>
    <r>
      <rPr>
        <sz val="8"/>
        <color rgb="FF001F5F"/>
        <rFont val="Calibri"/>
        <family val="2"/>
      </rPr>
      <t>Z72-560</t>
    </r>
  </si>
  <si>
    <r>
      <rPr>
        <sz val="8"/>
        <color rgb="FF001F5F"/>
        <rFont val="Calibri"/>
        <family val="2"/>
      </rPr>
      <t>5 SEC. SERIES Z72 TOOL BOARD (28.8") H X (SPECIFY 40.1-50" W)</t>
    </r>
  </si>
  <si>
    <r>
      <rPr>
        <sz val="8"/>
        <color rgb="FF001F5F"/>
        <rFont val="Calibri"/>
        <family val="2"/>
      </rPr>
      <t>Z72-550</t>
    </r>
  </si>
  <si>
    <r>
      <rPr>
        <sz val="8"/>
        <color rgb="FF001F5F"/>
        <rFont val="Calibri"/>
        <family val="2"/>
      </rPr>
      <t>5 SEC. SERIES Z72 TOOL BOARD (28.8") H X (SPECIFY 30.1-40" W)</t>
    </r>
  </si>
  <si>
    <r>
      <rPr>
        <sz val="8"/>
        <color rgb="FF001F5F"/>
        <rFont val="Calibri"/>
        <family val="2"/>
      </rPr>
      <t>Z72-540</t>
    </r>
  </si>
  <si>
    <r>
      <rPr>
        <sz val="8"/>
        <color rgb="FF001F5F"/>
        <rFont val="Calibri"/>
        <family val="2"/>
      </rPr>
      <t>5 SEC. SERIES Z72 TOOL BOARD (28.8") H X (SPECIFY 20.1-30" W)</t>
    </r>
  </si>
  <si>
    <r>
      <rPr>
        <sz val="8"/>
        <color rgb="FF001F5F"/>
        <rFont val="Calibri"/>
        <family val="2"/>
      </rPr>
      <t>Z72-530</t>
    </r>
  </si>
  <si>
    <r>
      <rPr>
        <sz val="8"/>
        <color rgb="FF001F5F"/>
        <rFont val="Calibri"/>
        <family val="2"/>
      </rPr>
      <t>5 SEC. SERIES Z72 TOOL BOARD (28.8") H X (SPECIFY 10.1-20" W)</t>
    </r>
  </si>
  <si>
    <r>
      <rPr>
        <sz val="8"/>
        <color rgb="FF001F5F"/>
        <rFont val="Calibri"/>
        <family val="2"/>
      </rPr>
      <t>Z72-520</t>
    </r>
  </si>
  <si>
    <r>
      <rPr>
        <sz val="8"/>
        <color rgb="FF001F5F"/>
        <rFont val="Calibri"/>
        <family val="2"/>
      </rPr>
      <t>5 SEC. SERIES Z72 TOOL BOARD (28.8") H X (SPECIFY UP TO 10" W)</t>
    </r>
  </si>
  <si>
    <r>
      <rPr>
        <sz val="8"/>
        <color rgb="FF001F5F"/>
        <rFont val="Calibri"/>
        <family val="2"/>
      </rPr>
      <t>Z72-510</t>
    </r>
  </si>
  <si>
    <r>
      <rPr>
        <sz val="8"/>
        <color rgb="FF001F5F"/>
        <rFont val="Calibri"/>
        <family val="2"/>
      </rPr>
      <t>4 SEC. SERIES Z72 TOOL BOARD (23.0") H X (SPECIFY 50.1-60" W)</t>
    </r>
  </si>
  <si>
    <r>
      <rPr>
        <sz val="8"/>
        <color rgb="FF001F5F"/>
        <rFont val="Calibri"/>
        <family val="2"/>
      </rPr>
      <t>Z72-460</t>
    </r>
  </si>
  <si>
    <r>
      <rPr>
        <sz val="8"/>
        <color rgb="FF001F5F"/>
        <rFont val="Calibri"/>
        <family val="2"/>
      </rPr>
      <t>4 SEC. SERIES Z72 TOOL BOARD (23.0") H X (SPECIFY 40.1-50" W)</t>
    </r>
  </si>
  <si>
    <r>
      <rPr>
        <sz val="8"/>
        <color rgb="FF001F5F"/>
        <rFont val="Calibri"/>
        <family val="2"/>
      </rPr>
      <t>Z72-450</t>
    </r>
  </si>
  <si>
    <r>
      <rPr>
        <sz val="8"/>
        <color rgb="FF001F5F"/>
        <rFont val="Calibri"/>
        <family val="2"/>
      </rPr>
      <t>4 SEC. SERIES Z72 TOOL BOARD (23.0") H X (SPECIFY 30.1-40" W)</t>
    </r>
  </si>
  <si>
    <r>
      <rPr>
        <sz val="8"/>
        <color rgb="FF001F5F"/>
        <rFont val="Calibri"/>
        <family val="2"/>
      </rPr>
      <t>Z72-440</t>
    </r>
  </si>
  <si>
    <r>
      <rPr>
        <sz val="8"/>
        <color rgb="FF001F5F"/>
        <rFont val="Calibri"/>
        <family val="2"/>
      </rPr>
      <t>4 SEC. SERIES Z72 TOOL BOARD (23.0") H X (SPECIFY 20.1-30" W)</t>
    </r>
  </si>
  <si>
    <r>
      <rPr>
        <sz val="8"/>
        <color rgb="FF001F5F"/>
        <rFont val="Calibri"/>
        <family val="2"/>
      </rPr>
      <t>Z72-430</t>
    </r>
  </si>
  <si>
    <r>
      <rPr>
        <sz val="8"/>
        <color rgb="FF001F5F"/>
        <rFont val="Calibri"/>
        <family val="2"/>
      </rPr>
      <t>4 SEC. SERIES Z72 TOOL BOARD (23.0") H X (SPECIFY 10.1-20" W)</t>
    </r>
  </si>
  <si>
    <r>
      <rPr>
        <sz val="8"/>
        <color rgb="FF001F5F"/>
        <rFont val="Calibri"/>
        <family val="2"/>
      </rPr>
      <t>Z72-420</t>
    </r>
  </si>
  <si>
    <r>
      <rPr>
        <sz val="8"/>
        <color rgb="FF001F5F"/>
        <rFont val="Calibri"/>
        <family val="2"/>
      </rPr>
      <t>4 SEC. SERIES Z72 TOOL BOARD (23.0") H X (SPECIFY UP TO 10" W)</t>
    </r>
  </si>
  <si>
    <r>
      <rPr>
        <sz val="8"/>
        <color rgb="FF001F5F"/>
        <rFont val="Calibri"/>
        <family val="2"/>
      </rPr>
      <t>Z72-410</t>
    </r>
  </si>
  <si>
    <r>
      <rPr>
        <sz val="8"/>
        <color rgb="FF001F5F"/>
        <rFont val="Calibri"/>
        <family val="2"/>
      </rPr>
      <t>3 SEC. SERIES Z72 TOOL BOARD (17.3") H X (SPECIFY 50.1-60" W)</t>
    </r>
  </si>
  <si>
    <r>
      <rPr>
        <sz val="8"/>
        <color rgb="FF001F5F"/>
        <rFont val="Calibri"/>
        <family val="2"/>
      </rPr>
      <t>Z72-360</t>
    </r>
  </si>
  <si>
    <r>
      <rPr>
        <sz val="8"/>
        <color rgb="FF001F5F"/>
        <rFont val="Calibri"/>
        <family val="2"/>
      </rPr>
      <t>3 SEC. SERIES Z72 TOOL BOARD (17.3") H X (SPECIFY 40.1-50" W)</t>
    </r>
  </si>
  <si>
    <r>
      <rPr>
        <sz val="8"/>
        <color rgb="FF001F5F"/>
        <rFont val="Calibri"/>
        <family val="2"/>
      </rPr>
      <t>Z72-350</t>
    </r>
  </si>
  <si>
    <r>
      <rPr>
        <sz val="8"/>
        <color rgb="FF001F5F"/>
        <rFont val="Calibri"/>
        <family val="2"/>
      </rPr>
      <t>3 SEC. SERIES Z72 TOOL BOARD (17.3") H X (SPECIFY 30.1-40" W)</t>
    </r>
  </si>
  <si>
    <r>
      <rPr>
        <sz val="8"/>
        <color rgb="FF001F5F"/>
        <rFont val="Calibri"/>
        <family val="2"/>
      </rPr>
      <t>Z72-340</t>
    </r>
  </si>
  <si>
    <r>
      <rPr>
        <sz val="8"/>
        <color rgb="FF001F5F"/>
        <rFont val="Calibri"/>
        <family val="2"/>
      </rPr>
      <t>3 SEC. SERIES Z72 TOOL BOARD (17.3") H X (SPECIFY 20.1-30" W)</t>
    </r>
  </si>
  <si>
    <r>
      <rPr>
        <sz val="8"/>
        <color rgb="FF001F5F"/>
        <rFont val="Calibri"/>
        <family val="2"/>
      </rPr>
      <t>Z72-330</t>
    </r>
  </si>
  <si>
    <r>
      <rPr>
        <sz val="8"/>
        <color rgb="FF001F5F"/>
        <rFont val="Calibri"/>
        <family val="2"/>
      </rPr>
      <t>3 SEC. SERIES Z72 TOOL BOARD (17.3") H X (SPECIFY 10.1-20" W)</t>
    </r>
  </si>
  <si>
    <r>
      <rPr>
        <sz val="8"/>
        <color rgb="FF001F5F"/>
        <rFont val="Calibri"/>
        <family val="2"/>
      </rPr>
      <t>Z72-320</t>
    </r>
  </si>
  <si>
    <r>
      <rPr>
        <sz val="8"/>
        <color rgb="FF001F5F"/>
        <rFont val="Calibri"/>
        <family val="2"/>
      </rPr>
      <t>3 SEC. SERIES Z72 TOOL BOARD (17.3") H X (SPECIFY UP TO 10" W)</t>
    </r>
  </si>
  <si>
    <r>
      <rPr>
        <sz val="8"/>
        <color rgb="FF001F5F"/>
        <rFont val="Calibri"/>
        <family val="2"/>
      </rPr>
      <t>Z72-310</t>
    </r>
  </si>
  <si>
    <r>
      <rPr>
        <sz val="8"/>
        <color rgb="FF001F5F"/>
        <rFont val="Calibri"/>
        <family val="2"/>
      </rPr>
      <t>2 SEC. SERIES Z72 TOOL BOARD (11.5") H X (SPECIFY 50.1-60" W)</t>
    </r>
  </si>
  <si>
    <r>
      <rPr>
        <sz val="8"/>
        <color rgb="FF001F5F"/>
        <rFont val="Calibri"/>
        <family val="2"/>
      </rPr>
      <t>Z72-260</t>
    </r>
  </si>
  <si>
    <r>
      <rPr>
        <sz val="8"/>
        <color rgb="FF001F5F"/>
        <rFont val="Calibri"/>
        <family val="2"/>
      </rPr>
      <t>2 SEC. SERIES Z72 TOOL BOARD (11.5") H X (SPECIFY 40.1-50" W)</t>
    </r>
  </si>
  <si>
    <r>
      <rPr>
        <sz val="8"/>
        <color rgb="FF001F5F"/>
        <rFont val="Calibri"/>
        <family val="2"/>
      </rPr>
      <t>Z72-250</t>
    </r>
  </si>
  <si>
    <r>
      <rPr>
        <sz val="8"/>
        <color rgb="FF001F5F"/>
        <rFont val="Calibri"/>
        <family val="2"/>
      </rPr>
      <t>2 SEC. SERIES Z72 TOOL BOARD (11.5") H X (SPECIFY 30.1-40" W)</t>
    </r>
  </si>
  <si>
    <r>
      <rPr>
        <sz val="8"/>
        <color rgb="FF001F5F"/>
        <rFont val="Calibri"/>
        <family val="2"/>
      </rPr>
      <t>Z72-240</t>
    </r>
  </si>
  <si>
    <r>
      <rPr>
        <sz val="8"/>
        <color rgb="FF001F5F"/>
        <rFont val="Calibri"/>
        <family val="2"/>
      </rPr>
      <t>2 SEC. SERIES Z72 TOOL BOARD (11.5") H X (SPECIFY 20.1-30" W)</t>
    </r>
  </si>
  <si>
    <r>
      <rPr>
        <sz val="8"/>
        <color rgb="FF001F5F"/>
        <rFont val="Calibri"/>
        <family val="2"/>
      </rPr>
      <t>Z72-230</t>
    </r>
  </si>
  <si>
    <r>
      <rPr>
        <sz val="8"/>
        <color rgb="FF001F5F"/>
        <rFont val="Calibri"/>
        <family val="2"/>
      </rPr>
      <t>2 SEC. SERIES Z72 TOOL BOARD (11.5") H X (SPECIFY 10.1-20" W)</t>
    </r>
  </si>
  <si>
    <r>
      <rPr>
        <sz val="8"/>
        <color rgb="FF001F5F"/>
        <rFont val="Calibri"/>
        <family val="2"/>
      </rPr>
      <t>Z72-220</t>
    </r>
  </si>
  <si>
    <r>
      <rPr>
        <sz val="8"/>
        <color rgb="FF001F5F"/>
        <rFont val="Calibri"/>
        <family val="2"/>
      </rPr>
      <t>2 SEC. SERIES Z72 TOOL BOARD (11.5") H X (SPECIFY UP TO 10" W)</t>
    </r>
  </si>
  <si>
    <r>
      <rPr>
        <sz val="8"/>
        <color rgb="FF001F5F"/>
        <rFont val="Calibri"/>
        <family val="2"/>
      </rPr>
      <t>Z72-210</t>
    </r>
  </si>
  <si>
    <r>
      <rPr>
        <sz val="8"/>
        <color rgb="FF001F5F"/>
        <rFont val="Calibri"/>
        <family val="2"/>
      </rPr>
      <t>1 SEC. SERIES Z72 TOOL BOARD (5.75") H X (SPECIFY 50.1-60" W)</t>
    </r>
  </si>
  <si>
    <r>
      <rPr>
        <sz val="8"/>
        <color rgb="FF001F5F"/>
        <rFont val="Calibri"/>
        <family val="2"/>
      </rPr>
      <t>Z72-160</t>
    </r>
  </si>
  <si>
    <r>
      <rPr>
        <sz val="8"/>
        <color rgb="FF001F5F"/>
        <rFont val="Calibri"/>
        <family val="2"/>
      </rPr>
      <t>1 SEC. SERIES Z72 TOOL BOARD (5.75") H X (SPECIFY 40.1-50" W)</t>
    </r>
  </si>
  <si>
    <r>
      <rPr>
        <sz val="8"/>
        <color rgb="FF001F5F"/>
        <rFont val="Calibri"/>
        <family val="2"/>
      </rPr>
      <t>Z72-150</t>
    </r>
  </si>
  <si>
    <r>
      <rPr>
        <sz val="8"/>
        <color rgb="FF001F5F"/>
        <rFont val="Calibri"/>
        <family val="2"/>
      </rPr>
      <t>1 SEC. SERIES Z72 TOOL BOARD (5.75") H X (SPECIFY 30.1-40" W)</t>
    </r>
  </si>
  <si>
    <r>
      <rPr>
        <sz val="8"/>
        <color rgb="FF001F5F"/>
        <rFont val="Calibri"/>
        <family val="2"/>
      </rPr>
      <t>Z72-140</t>
    </r>
  </si>
  <si>
    <r>
      <rPr>
        <sz val="8"/>
        <color rgb="FF001F5F"/>
        <rFont val="Calibri"/>
        <family val="2"/>
      </rPr>
      <t>1 SEC. SERIES Z72 TOOL BOARD (5.75") H X (SPECIFY 20.1-30" W)</t>
    </r>
  </si>
  <si>
    <r>
      <rPr>
        <sz val="8"/>
        <color rgb="FF001F5F"/>
        <rFont val="Calibri"/>
        <family val="2"/>
      </rPr>
      <t>Z72-130</t>
    </r>
  </si>
  <si>
    <r>
      <rPr>
        <sz val="8"/>
        <color rgb="FF001F5F"/>
        <rFont val="Calibri"/>
        <family val="2"/>
      </rPr>
      <t>1 SEC. SERIES Z72 TOOL BOARD (5.75") H X (SPECIFY 10.1-20" W)</t>
    </r>
  </si>
  <si>
    <r>
      <rPr>
        <sz val="8"/>
        <color rgb="FF001F5F"/>
        <rFont val="Calibri"/>
        <family val="2"/>
      </rPr>
      <t>Z72-120</t>
    </r>
  </si>
  <si>
    <r>
      <rPr>
        <sz val="8"/>
        <color rgb="FF001F5F"/>
        <rFont val="Calibri"/>
        <family val="2"/>
      </rPr>
      <t>1 SEC. SERIES Z72 TOOL BOARD (5.75") H X (SPECIFY UP TO 10" W)</t>
    </r>
  </si>
  <si>
    <r>
      <rPr>
        <sz val="8"/>
        <color rgb="FF001F5F"/>
        <rFont val="Calibri"/>
        <family val="2"/>
      </rPr>
      <t>Z72-110</t>
    </r>
  </si>
  <si>
    <r>
      <rPr>
        <b/>
        <sz val="8"/>
        <color rgb="FF001F5F"/>
        <rFont val="Calibri"/>
        <family val="2"/>
      </rPr>
      <t>PRODUCT DESCRIPTION</t>
    </r>
  </si>
  <si>
    <r>
      <rPr>
        <b/>
        <sz val="8"/>
        <color rgb="FF001F5F"/>
        <rFont val="Calibri"/>
        <family val="2"/>
      </rPr>
      <t>WIDTH AVAIL.</t>
    </r>
  </si>
  <si>
    <r>
      <rPr>
        <b/>
        <sz val="8"/>
        <color rgb="FF001F5F"/>
        <rFont val="Calibri"/>
        <family val="2"/>
      </rPr>
      <t>PART NO</t>
    </r>
  </si>
  <si>
    <r>
      <rPr>
        <b/>
        <sz val="8"/>
        <rFont val="Calibri"/>
        <family val="2"/>
      </rPr>
      <t>DUAL TRAC TOOL BOARD KITS (complete with Z-Mount)</t>
    </r>
  </si>
  <si>
    <r>
      <rPr>
        <sz val="8"/>
        <color rgb="FF001F5F"/>
        <rFont val="Calibri"/>
        <family val="2"/>
      </rPr>
      <t>8 SEC. SERIES Z70 TOOL BOARD (69") H X (SPECIFY UP TO 10" W)</t>
    </r>
  </si>
  <si>
    <r>
      <rPr>
        <sz val="8"/>
        <color rgb="FF001F5F"/>
        <rFont val="Calibri"/>
        <family val="2"/>
      </rPr>
      <t>Z70-860</t>
    </r>
  </si>
  <si>
    <r>
      <rPr>
        <sz val="8"/>
        <color rgb="FF001F5F"/>
        <rFont val="Calibri"/>
        <family val="2"/>
      </rPr>
      <t>Z70-850</t>
    </r>
  </si>
  <si>
    <r>
      <rPr>
        <sz val="8"/>
        <color rgb="FF001F5F"/>
        <rFont val="Calibri"/>
        <family val="2"/>
      </rPr>
      <t>Z70-840</t>
    </r>
  </si>
  <si>
    <r>
      <rPr>
        <sz val="8"/>
        <color rgb="FF001F5F"/>
        <rFont val="Calibri"/>
        <family val="2"/>
      </rPr>
      <t>Z70-830</t>
    </r>
  </si>
  <si>
    <r>
      <rPr>
        <sz val="8"/>
        <color rgb="FF001F5F"/>
        <rFont val="Calibri"/>
        <family val="2"/>
      </rPr>
      <t>Z70-820</t>
    </r>
  </si>
  <si>
    <r>
      <rPr>
        <sz val="8"/>
        <color rgb="FF001F5F"/>
        <rFont val="Calibri"/>
        <family val="2"/>
      </rPr>
      <t>Z70-810</t>
    </r>
  </si>
  <si>
    <r>
      <rPr>
        <sz val="8"/>
        <color rgb="FF001F5F"/>
        <rFont val="Calibri"/>
        <family val="2"/>
      </rPr>
      <t>7 SEC. SERIES Z70 TOOL BOARD (60.4") H X (SPECIFY 50.1-60" W)</t>
    </r>
  </si>
  <si>
    <r>
      <rPr>
        <sz val="8"/>
        <color rgb="FF001F5F"/>
        <rFont val="Calibri"/>
        <family val="2"/>
      </rPr>
      <t>Z70-760</t>
    </r>
  </si>
  <si>
    <r>
      <rPr>
        <sz val="8"/>
        <color rgb="FF001F5F"/>
        <rFont val="Calibri"/>
        <family val="2"/>
      </rPr>
      <t>7 SEC. SERIES Z70 TOOL BOARD (60.4") H X (SPECIFY 40.1-50" W)</t>
    </r>
  </si>
  <si>
    <r>
      <rPr>
        <sz val="8"/>
        <color rgb="FF001F5F"/>
        <rFont val="Calibri"/>
        <family val="2"/>
      </rPr>
      <t>Z70-750</t>
    </r>
  </si>
  <si>
    <r>
      <rPr>
        <sz val="8"/>
        <color rgb="FF001F5F"/>
        <rFont val="Calibri"/>
        <family val="2"/>
      </rPr>
      <t>7 SEC. SERIES Z70 TOOL BOARD (60.4") H X (SPECIFY 30.1-40" W)</t>
    </r>
  </si>
  <si>
    <r>
      <rPr>
        <sz val="8"/>
        <color rgb="FF001F5F"/>
        <rFont val="Calibri"/>
        <family val="2"/>
      </rPr>
      <t>Z70-740</t>
    </r>
  </si>
  <si>
    <r>
      <rPr>
        <sz val="8"/>
        <color rgb="FF001F5F"/>
        <rFont val="Calibri"/>
        <family val="2"/>
      </rPr>
      <t>7 SEC. SERIES Z70 TOOL BOARD (60.4") H X (SPECIFY 20.1-30" W)</t>
    </r>
  </si>
  <si>
    <r>
      <rPr>
        <sz val="8"/>
        <color rgb="FF001F5F"/>
        <rFont val="Calibri"/>
        <family val="2"/>
      </rPr>
      <t>Z70-730</t>
    </r>
  </si>
  <si>
    <r>
      <rPr>
        <sz val="8"/>
        <color rgb="FF001F5F"/>
        <rFont val="Calibri"/>
        <family val="2"/>
      </rPr>
      <t>7 SEC. SERIES Z70 TOOL BOARD (60.4") H X (SPECIFY 10.1-20" W)</t>
    </r>
  </si>
  <si>
    <r>
      <rPr>
        <sz val="8"/>
        <color rgb="FF001F5F"/>
        <rFont val="Calibri"/>
        <family val="2"/>
      </rPr>
      <t>Z70-720</t>
    </r>
  </si>
  <si>
    <r>
      <rPr>
        <sz val="8"/>
        <color rgb="FF001F5F"/>
        <rFont val="Calibri"/>
        <family val="2"/>
      </rPr>
      <t>7 SEC. SERIES Z70 TOOL BOARD (60.4") H X (SPECIFY UP TO 10" W)</t>
    </r>
  </si>
  <si>
    <r>
      <rPr>
        <sz val="8"/>
        <color rgb="FF001F5F"/>
        <rFont val="Calibri"/>
        <family val="2"/>
      </rPr>
      <t>Z70-710</t>
    </r>
  </si>
  <si>
    <r>
      <rPr>
        <sz val="8"/>
        <color rgb="FF001F5F"/>
        <rFont val="Calibri"/>
        <family val="2"/>
      </rPr>
      <t>6 SEC. SERIES Z70 TOOL BOARD (51.8") H X (SPECIFY 50.1-60" W)</t>
    </r>
  </si>
  <si>
    <r>
      <rPr>
        <sz val="8"/>
        <color rgb="FF001F5F"/>
        <rFont val="Calibri"/>
        <family val="2"/>
      </rPr>
      <t>Z70-660</t>
    </r>
  </si>
  <si>
    <r>
      <rPr>
        <sz val="8"/>
        <color rgb="FF001F5F"/>
        <rFont val="Calibri"/>
        <family val="2"/>
      </rPr>
      <t>6 SEC. SERIES Z70 TOOL BOARD (51.8") H X (SPECIFY 40.1-50" W)</t>
    </r>
  </si>
  <si>
    <r>
      <rPr>
        <sz val="8"/>
        <color rgb="FF001F5F"/>
        <rFont val="Calibri"/>
        <family val="2"/>
      </rPr>
      <t>Z70-650</t>
    </r>
  </si>
  <si>
    <r>
      <rPr>
        <sz val="8"/>
        <color rgb="FF001F5F"/>
        <rFont val="Calibri"/>
        <family val="2"/>
      </rPr>
      <t>6 SEC. SERIES Z70 TOOL BOARD (51.8") H X (SPECIFY 30.1-40" W)</t>
    </r>
  </si>
  <si>
    <r>
      <rPr>
        <sz val="8"/>
        <color rgb="FF001F5F"/>
        <rFont val="Calibri"/>
        <family val="2"/>
      </rPr>
      <t>Z70-640</t>
    </r>
  </si>
  <si>
    <r>
      <rPr>
        <sz val="8"/>
        <color rgb="FF001F5F"/>
        <rFont val="Calibri"/>
        <family val="2"/>
      </rPr>
      <t>6 SEC. SERIES Z70 TOOL BOARD (51.8") H X (SPECIFY 20.1-30" W)</t>
    </r>
  </si>
  <si>
    <r>
      <rPr>
        <sz val="8"/>
        <color rgb="FF001F5F"/>
        <rFont val="Calibri"/>
        <family val="2"/>
      </rPr>
      <t>Z70-630</t>
    </r>
  </si>
  <si>
    <r>
      <rPr>
        <sz val="8"/>
        <color rgb="FF001F5F"/>
        <rFont val="Calibri"/>
        <family val="2"/>
      </rPr>
      <t>6 SEC. SERIES Z70 TOOL BOARD (51.8") H X (SPECIFY 10.1-20" W)</t>
    </r>
  </si>
  <si>
    <r>
      <rPr>
        <sz val="8"/>
        <color rgb="FF001F5F"/>
        <rFont val="Calibri"/>
        <family val="2"/>
      </rPr>
      <t>Z70-620</t>
    </r>
  </si>
  <si>
    <r>
      <rPr>
        <sz val="8"/>
        <color rgb="FF001F5F"/>
        <rFont val="Calibri"/>
        <family val="2"/>
      </rPr>
      <t>6 SEC. SERIES Z70 TOOL BOARD (51.8") H X (SPECIFY UP TO 10" W)</t>
    </r>
  </si>
  <si>
    <r>
      <rPr>
        <sz val="8"/>
        <color rgb="FF001F5F"/>
        <rFont val="Calibri"/>
        <family val="2"/>
      </rPr>
      <t>Z70-610</t>
    </r>
  </si>
  <si>
    <r>
      <rPr>
        <sz val="8"/>
        <color rgb="FF001F5F"/>
        <rFont val="Calibri"/>
        <family val="2"/>
      </rPr>
      <t>5 SEC. SERIES Z70 TOOL BOARD (43.1") H X (SPECIFY 50.1-60" W)</t>
    </r>
  </si>
  <si>
    <r>
      <rPr>
        <sz val="8"/>
        <color rgb="FF001F5F"/>
        <rFont val="Calibri"/>
        <family val="2"/>
      </rPr>
      <t>Z70-560</t>
    </r>
  </si>
  <si>
    <r>
      <rPr>
        <sz val="8"/>
        <color rgb="FF001F5F"/>
        <rFont val="Calibri"/>
        <family val="2"/>
      </rPr>
      <t>5 SEC. SERIES Z70 TOOL BOARD (43.1") H X (SPECIFY 40.1-50" W)</t>
    </r>
  </si>
  <si>
    <r>
      <rPr>
        <sz val="8"/>
        <color rgb="FF001F5F"/>
        <rFont val="Calibri"/>
        <family val="2"/>
      </rPr>
      <t>Z70-550</t>
    </r>
  </si>
  <si>
    <r>
      <rPr>
        <sz val="8"/>
        <color rgb="FF001F5F"/>
        <rFont val="Calibri"/>
        <family val="2"/>
      </rPr>
      <t>5 SEC. SERIES Z70 TOOL BOARD (43.1") H X (SPECIFY 30.1-40" W)</t>
    </r>
  </si>
  <si>
    <r>
      <rPr>
        <sz val="8"/>
        <color rgb="FF001F5F"/>
        <rFont val="Calibri"/>
        <family val="2"/>
      </rPr>
      <t>Z70-540</t>
    </r>
  </si>
  <si>
    <r>
      <rPr>
        <sz val="8"/>
        <color rgb="FF001F5F"/>
        <rFont val="Calibri"/>
        <family val="2"/>
      </rPr>
      <t>5 SEC. SERIES Z70 TOOL BOARD (43.1") H X (SPECIFY 20.1-30" W)</t>
    </r>
  </si>
  <si>
    <r>
      <rPr>
        <sz val="8"/>
        <color rgb="FF001F5F"/>
        <rFont val="Calibri"/>
        <family val="2"/>
      </rPr>
      <t>Z70-530</t>
    </r>
  </si>
  <si>
    <r>
      <rPr>
        <sz val="8"/>
        <color rgb="FF001F5F"/>
        <rFont val="Calibri"/>
        <family val="2"/>
      </rPr>
      <t>5 SEC. SERIES Z70 TOOL BOARD (43.1") H X (SPECIFY 10.1-20" W)</t>
    </r>
  </si>
  <si>
    <r>
      <rPr>
        <sz val="8"/>
        <color rgb="FF001F5F"/>
        <rFont val="Calibri"/>
        <family val="2"/>
      </rPr>
      <t>Z70-520</t>
    </r>
  </si>
  <si>
    <r>
      <rPr>
        <sz val="8"/>
        <color rgb="FF001F5F"/>
        <rFont val="Calibri"/>
        <family val="2"/>
      </rPr>
      <t>5 SEC. SERIES Z70 TOOL BOARD (43.1") H X (SPECIFY UP TO 10" W)</t>
    </r>
  </si>
  <si>
    <r>
      <rPr>
        <sz val="8"/>
        <color rgb="FF001F5F"/>
        <rFont val="Calibri"/>
        <family val="2"/>
      </rPr>
      <t>Z70-510</t>
    </r>
  </si>
  <si>
    <r>
      <rPr>
        <sz val="8"/>
        <color rgb="FF001F5F"/>
        <rFont val="Calibri"/>
        <family val="2"/>
      </rPr>
      <t>4 SEC. SERIES Z70 TOOL BOARD (34.5") H X (SPECIFY 50.1-60" W)</t>
    </r>
  </si>
  <si>
    <r>
      <rPr>
        <sz val="8"/>
        <color rgb="FF001F5F"/>
        <rFont val="Calibri"/>
        <family val="2"/>
      </rPr>
      <t>Z70-460</t>
    </r>
  </si>
  <si>
    <r>
      <rPr>
        <sz val="8"/>
        <color rgb="FF001F5F"/>
        <rFont val="Calibri"/>
        <family val="2"/>
      </rPr>
      <t>4 SEC. SERIES Z70 TOOL BOARD (34.5") H X (SPECIFY 40.1-50" W)</t>
    </r>
  </si>
  <si>
    <r>
      <rPr>
        <sz val="8"/>
        <color rgb="FF001F5F"/>
        <rFont val="Calibri"/>
        <family val="2"/>
      </rPr>
      <t>Z70-450</t>
    </r>
  </si>
  <si>
    <r>
      <rPr>
        <sz val="8"/>
        <color rgb="FF001F5F"/>
        <rFont val="Calibri"/>
        <family val="2"/>
      </rPr>
      <t>4 SEC. SERIES Z70 TOOL BOARD (34.5") H X (SPECIFY 30.1-40" W)</t>
    </r>
  </si>
  <si>
    <r>
      <rPr>
        <sz val="8"/>
        <color rgb="FF001F5F"/>
        <rFont val="Calibri"/>
        <family val="2"/>
      </rPr>
      <t>Z70-440</t>
    </r>
  </si>
  <si>
    <r>
      <rPr>
        <sz val="8"/>
        <color rgb="FF001F5F"/>
        <rFont val="Calibri"/>
        <family val="2"/>
      </rPr>
      <t>4 SEC. SERIES Z70 TOOL BOARD (34.5") H X (SPECIFY 20.1-30" W)</t>
    </r>
  </si>
  <si>
    <r>
      <rPr>
        <sz val="8"/>
        <color rgb="FF001F5F"/>
        <rFont val="Calibri"/>
        <family val="2"/>
      </rPr>
      <t>Z70-430</t>
    </r>
  </si>
  <si>
    <r>
      <rPr>
        <sz val="8"/>
        <color rgb="FF001F5F"/>
        <rFont val="Calibri"/>
        <family val="2"/>
      </rPr>
      <t>4 SEC. SERIES Z70 TOOL BOARD (34.5") H X (SPECIFY 10.1-20" W)</t>
    </r>
  </si>
  <si>
    <r>
      <rPr>
        <sz val="8"/>
        <color rgb="FF001F5F"/>
        <rFont val="Calibri"/>
        <family val="2"/>
      </rPr>
      <t>Z70-420</t>
    </r>
  </si>
  <si>
    <r>
      <rPr>
        <sz val="8"/>
        <color rgb="FF001F5F"/>
        <rFont val="Calibri"/>
        <family val="2"/>
      </rPr>
      <t>4 SEC. SERIES Z70 TOOL BOARD (34.5") H X (SPECIFY UP TO 10" W)</t>
    </r>
  </si>
  <si>
    <r>
      <rPr>
        <sz val="8"/>
        <color rgb="FF001F5F"/>
        <rFont val="Calibri"/>
        <family val="2"/>
      </rPr>
      <t>Z70-410</t>
    </r>
  </si>
  <si>
    <r>
      <rPr>
        <sz val="8"/>
        <color rgb="FF001F5F"/>
        <rFont val="Calibri"/>
        <family val="2"/>
      </rPr>
      <t>3 SEC. SERIES Z70 TOOL BOARD (25.9") H X (SPECIFY 50.1-60" W)</t>
    </r>
  </si>
  <si>
    <r>
      <rPr>
        <sz val="8"/>
        <color rgb="FF001F5F"/>
        <rFont val="Calibri"/>
        <family val="2"/>
      </rPr>
      <t>Z70-360</t>
    </r>
  </si>
  <si>
    <r>
      <rPr>
        <sz val="8"/>
        <color rgb="FF001F5F"/>
        <rFont val="Calibri"/>
        <family val="2"/>
      </rPr>
      <t>3 SEC. SERIES Z70 TOOL BOARD (25.9") H X (SPECIFY 40.1-50" W)</t>
    </r>
  </si>
  <si>
    <r>
      <rPr>
        <sz val="8"/>
        <color rgb="FF001F5F"/>
        <rFont val="Calibri"/>
        <family val="2"/>
      </rPr>
      <t>Z70-350</t>
    </r>
  </si>
  <si>
    <r>
      <rPr>
        <sz val="8"/>
        <color rgb="FF001F5F"/>
        <rFont val="Calibri"/>
        <family val="2"/>
      </rPr>
      <t>3 SEC. SERIES Z70 TOOL BOARD (25.9") H X (SPECIFY 30.1-40" W)</t>
    </r>
  </si>
  <si>
    <r>
      <rPr>
        <sz val="8"/>
        <color rgb="FF001F5F"/>
        <rFont val="Calibri"/>
        <family val="2"/>
      </rPr>
      <t>Z70-340</t>
    </r>
  </si>
  <si>
    <r>
      <rPr>
        <sz val="8"/>
        <color rgb="FF001F5F"/>
        <rFont val="Calibri"/>
        <family val="2"/>
      </rPr>
      <t>3 SEC. SERIES Z70 TOOL BOARD (25.9") H X (SPECIFY 20.1-30" W)</t>
    </r>
  </si>
  <si>
    <r>
      <rPr>
        <sz val="8"/>
        <color rgb="FF001F5F"/>
        <rFont val="Calibri"/>
        <family val="2"/>
      </rPr>
      <t>Z70-330</t>
    </r>
  </si>
  <si>
    <r>
      <rPr>
        <sz val="8"/>
        <color rgb="FF001F5F"/>
        <rFont val="Calibri"/>
        <family val="2"/>
      </rPr>
      <t>3 SEC. SERIES Z70 TOOL BOARD (25.9") H X (SPECIFY 10.1-20" W)</t>
    </r>
  </si>
  <si>
    <r>
      <rPr>
        <sz val="8"/>
        <color rgb="FF001F5F"/>
        <rFont val="Calibri"/>
        <family val="2"/>
      </rPr>
      <t>Z70-320</t>
    </r>
  </si>
  <si>
    <r>
      <rPr>
        <sz val="8"/>
        <color rgb="FF001F5F"/>
        <rFont val="Calibri"/>
        <family val="2"/>
      </rPr>
      <t>3 SEC. SERIES Z70 TOOL BOARD (25.9") H X (SPECIFY UP TO 10" W)</t>
    </r>
  </si>
  <si>
    <r>
      <rPr>
        <sz val="8"/>
        <color rgb="FF001F5F"/>
        <rFont val="Calibri"/>
        <family val="2"/>
      </rPr>
      <t>Z70-310</t>
    </r>
  </si>
  <si>
    <r>
      <rPr>
        <sz val="8"/>
        <color rgb="FF001F5F"/>
        <rFont val="Calibri"/>
        <family val="2"/>
      </rPr>
      <t>2 SEC. SERIES Z70 TOOL BOARD (17.3") H X (SPECIFY 50.1-60" W)</t>
    </r>
  </si>
  <si>
    <r>
      <rPr>
        <sz val="8"/>
        <color rgb="FF001F5F"/>
        <rFont val="Calibri"/>
        <family val="2"/>
      </rPr>
      <t>Z70-260</t>
    </r>
  </si>
  <si>
    <r>
      <rPr>
        <sz val="8"/>
        <color rgb="FF001F5F"/>
        <rFont val="Calibri"/>
        <family val="2"/>
      </rPr>
      <t>2 SEC. SERIES Z70 TOOL BOARD (17.3") H X (SPECIFY 40.1-50" W)</t>
    </r>
  </si>
  <si>
    <r>
      <rPr>
        <sz val="8"/>
        <color rgb="FF001F5F"/>
        <rFont val="Calibri"/>
        <family val="2"/>
      </rPr>
      <t>Z70-250</t>
    </r>
  </si>
  <si>
    <r>
      <rPr>
        <sz val="8"/>
        <color rgb="FF001F5F"/>
        <rFont val="Calibri"/>
        <family val="2"/>
      </rPr>
      <t>2 SEC. SERIES Z70 TOOL BOARD (17.3") H X (SPECIFY 30.1-40" W)</t>
    </r>
  </si>
  <si>
    <r>
      <rPr>
        <sz val="8"/>
        <color rgb="FF001F5F"/>
        <rFont val="Calibri"/>
        <family val="2"/>
      </rPr>
      <t>Z70-240</t>
    </r>
  </si>
  <si>
    <r>
      <rPr>
        <sz val="8"/>
        <color rgb="FF001F5F"/>
        <rFont val="Calibri"/>
        <family val="2"/>
      </rPr>
      <t>2 SEC. SERIES Z70 TOOL BOARD (17.3") H X (SPECIFY 20.1-30" W)</t>
    </r>
  </si>
  <si>
    <r>
      <rPr>
        <sz val="8"/>
        <color rgb="FF001F5F"/>
        <rFont val="Calibri"/>
        <family val="2"/>
      </rPr>
      <t>Z70-230</t>
    </r>
  </si>
  <si>
    <r>
      <rPr>
        <sz val="8"/>
        <color rgb="FF001F5F"/>
        <rFont val="Calibri"/>
        <family val="2"/>
      </rPr>
      <t>2 SEC. SERIES Z70 TOOL BOARD (17.3") H X (SPECIFY 10.1-20" W)</t>
    </r>
  </si>
  <si>
    <r>
      <rPr>
        <sz val="8"/>
        <color rgb="FF001F5F"/>
        <rFont val="Calibri"/>
        <family val="2"/>
      </rPr>
      <t>Z70-220</t>
    </r>
  </si>
  <si>
    <r>
      <rPr>
        <sz val="8"/>
        <color rgb="FF001F5F"/>
        <rFont val="Calibri"/>
        <family val="2"/>
      </rPr>
      <t>2 SEC. SERIES Z70 TOOL BOARD (17.3") H X (SPECIFY UP TO 10" W)</t>
    </r>
  </si>
  <si>
    <r>
      <rPr>
        <sz val="8"/>
        <color rgb="FF001F5F"/>
        <rFont val="Calibri"/>
        <family val="2"/>
      </rPr>
      <t>Z70-210</t>
    </r>
  </si>
  <si>
    <r>
      <rPr>
        <sz val="8"/>
        <color rgb="FF001F5F"/>
        <rFont val="Calibri"/>
        <family val="2"/>
      </rPr>
      <t>1 SEC. SERIES Z70 TOOL BOARD (8.63") H X (SPECIFY 50.1-60" W)</t>
    </r>
  </si>
  <si>
    <r>
      <rPr>
        <sz val="8"/>
        <color rgb="FF001F5F"/>
        <rFont val="Calibri"/>
        <family val="2"/>
      </rPr>
      <t>Z70-160</t>
    </r>
  </si>
  <si>
    <r>
      <rPr>
        <sz val="8"/>
        <color rgb="FF001F5F"/>
        <rFont val="Calibri"/>
        <family val="2"/>
      </rPr>
      <t>1 SEC. SERIES Z70 TOOL BOARD (8.63") H X (SPECIFY 40.1-50" W)</t>
    </r>
  </si>
  <si>
    <r>
      <rPr>
        <sz val="8"/>
        <color rgb="FF001F5F"/>
        <rFont val="Calibri"/>
        <family val="2"/>
      </rPr>
      <t>Z70-150</t>
    </r>
  </si>
  <si>
    <r>
      <rPr>
        <sz val="8"/>
        <color rgb="FF001F5F"/>
        <rFont val="Calibri"/>
        <family val="2"/>
      </rPr>
      <t>1 SEC. SERIES Z70 TOOL BOARD (8.63") H X (SPECIFY 30.1-40" W)</t>
    </r>
  </si>
  <si>
    <r>
      <rPr>
        <sz val="8"/>
        <color rgb="FF001F5F"/>
        <rFont val="Calibri"/>
        <family val="2"/>
      </rPr>
      <t>Z70-140</t>
    </r>
  </si>
  <si>
    <r>
      <rPr>
        <sz val="8"/>
        <color rgb="FF001F5F"/>
        <rFont val="Calibri"/>
        <family val="2"/>
      </rPr>
      <t>1 SEC. SERIES Z70 TOOL BOARD (8.63") H X (SPECIFY 20.1-30" W)</t>
    </r>
  </si>
  <si>
    <r>
      <rPr>
        <sz val="8"/>
        <color rgb="FF001F5F"/>
        <rFont val="Calibri"/>
        <family val="2"/>
      </rPr>
      <t>Z70-130</t>
    </r>
  </si>
  <si>
    <r>
      <rPr>
        <sz val="8"/>
        <color rgb="FF001F5F"/>
        <rFont val="Calibri"/>
        <family val="2"/>
      </rPr>
      <t>1 SEC. SERIES Z70 TOOL BOARD (8.63") H X (SPECIFY 10.1-20" W)</t>
    </r>
  </si>
  <si>
    <r>
      <rPr>
        <sz val="8"/>
        <color rgb="FF001F5F"/>
        <rFont val="Calibri"/>
        <family val="2"/>
      </rPr>
      <t>Z70-120</t>
    </r>
  </si>
  <si>
    <r>
      <rPr>
        <sz val="8"/>
        <color rgb="FF001F5F"/>
        <rFont val="Calibri"/>
        <family val="2"/>
      </rPr>
      <t>1 SEC. SERIES Z70 TOOL BOARD (8.63") H X (SPECIFY UP TO 10" W)</t>
    </r>
  </si>
  <si>
    <r>
      <rPr>
        <sz val="8"/>
        <color rgb="FF001F5F"/>
        <rFont val="Calibri"/>
        <family val="2"/>
      </rPr>
      <t>Z70-110</t>
    </r>
  </si>
  <si>
    <r>
      <rPr>
        <b/>
        <sz val="10.5"/>
        <rFont val="Calibri"/>
        <family val="2"/>
      </rPr>
      <t>PAC TRAC TOOL BOARD KITS (complete with Z-Mount)</t>
    </r>
  </si>
  <si>
    <r>
      <rPr>
        <sz val="8"/>
        <color rgb="FF001F5F"/>
        <rFont val="Calibri"/>
        <family val="2"/>
      </rPr>
      <t>TACTICAL SUPER ADJUSTAMOUNT KIT- LONG</t>
    </r>
  </si>
  <si>
    <r>
      <rPr>
        <sz val="8"/>
        <color rgb="FF001F5F"/>
        <rFont val="Calibri"/>
        <family val="2"/>
      </rPr>
      <t>LE5050L</t>
    </r>
  </si>
  <si>
    <r>
      <rPr>
        <sz val="8"/>
        <color rgb="FF001F5F"/>
        <rFont val="Calibri"/>
        <family val="2"/>
      </rPr>
      <t>TACTICAL SUPER ADJUSTAMOUNT KIT</t>
    </r>
  </si>
  <si>
    <r>
      <rPr>
        <sz val="8"/>
        <color rgb="FF001F5F"/>
        <rFont val="Calibri"/>
        <family val="2"/>
      </rPr>
      <t>LE5050</t>
    </r>
  </si>
  <si>
    <r>
      <rPr>
        <sz val="8"/>
        <color rgb="FF001F5F"/>
        <rFont val="Calibri"/>
        <family val="2"/>
      </rPr>
      <t>TACTICAL SUPER ADJUSTAMOUNT KIT- SHORT</t>
    </r>
  </si>
  <si>
    <r>
      <rPr>
        <sz val="8"/>
        <color rgb="FF001F5F"/>
        <rFont val="Calibri"/>
        <family val="2"/>
      </rPr>
      <t>LE5050S</t>
    </r>
  </si>
  <si>
    <r>
      <rPr>
        <sz val="8"/>
        <color rgb="FF001F5F"/>
        <rFont val="Calibri"/>
        <family val="2"/>
      </rPr>
      <t>TACTICAL SAW MOUNT KIT</t>
    </r>
  </si>
  <si>
    <r>
      <rPr>
        <sz val="8"/>
        <color rgb="FF001F5F"/>
        <rFont val="Calibri"/>
        <family val="2"/>
      </rPr>
      <t>LE5030</t>
    </r>
  </si>
  <si>
    <r>
      <rPr>
        <sz val="8"/>
        <color rgb="FF001F5F"/>
        <rFont val="Calibri"/>
        <family val="2"/>
      </rPr>
      <t>TACTICAL FASTLOK KIT- LONG</t>
    </r>
  </si>
  <si>
    <r>
      <rPr>
        <sz val="8"/>
        <color rgb="FF001F5F"/>
        <rFont val="Calibri"/>
        <family val="2"/>
      </rPr>
      <t>LE5020L</t>
    </r>
  </si>
  <si>
    <r>
      <rPr>
        <sz val="8"/>
        <color rgb="FF001F5F"/>
        <rFont val="Calibri"/>
        <family val="2"/>
      </rPr>
      <t>TACTICAL FASTLOK KIT</t>
    </r>
  </si>
  <si>
    <r>
      <rPr>
        <sz val="8"/>
        <color rgb="FF001F5F"/>
        <rFont val="Calibri"/>
        <family val="2"/>
      </rPr>
      <t>LE5020</t>
    </r>
  </si>
  <si>
    <r>
      <rPr>
        <sz val="8"/>
        <color rgb="FF001F5F"/>
        <rFont val="Calibri"/>
        <family val="2"/>
      </rPr>
      <t>TACTICAL ADJUSTAMOUNT KIT- LONG</t>
    </r>
  </si>
  <si>
    <r>
      <rPr>
        <sz val="8"/>
        <color rgb="FF001F5F"/>
        <rFont val="Calibri"/>
        <family val="2"/>
      </rPr>
      <t>LE5006L</t>
    </r>
  </si>
  <si>
    <r>
      <rPr>
        <sz val="8"/>
        <color rgb="FF001F5F"/>
        <rFont val="Calibri"/>
        <family val="2"/>
      </rPr>
      <t>TACTICAL ADJUSTAMOUNT KIT</t>
    </r>
  </si>
  <si>
    <r>
      <rPr>
        <sz val="8"/>
        <color rgb="FF001F5F"/>
        <rFont val="Calibri"/>
        <family val="2"/>
      </rPr>
      <t>LE5006</t>
    </r>
  </si>
  <si>
    <r>
      <rPr>
        <sz val="8"/>
        <color rgb="FF001F5F"/>
        <rFont val="Calibri"/>
        <family val="2"/>
      </rPr>
      <t>TACTICAL ADJUSTAMOUNT KIT- SHORT</t>
    </r>
  </si>
  <si>
    <r>
      <rPr>
        <sz val="8"/>
        <color rgb="FF001F5F"/>
        <rFont val="Calibri"/>
        <family val="2"/>
      </rPr>
      <t>LE5006S</t>
    </r>
  </si>
  <si>
    <r>
      <rPr>
        <b/>
        <u/>
        <sz val="8"/>
        <color rgb="FF001F5F"/>
        <rFont val="Calibri"/>
        <family val="2"/>
      </rPr>
      <t>RIFLE/SHOTGUN VERTICAL MOUNTING KIT</t>
    </r>
  </si>
  <si>
    <r>
      <rPr>
        <sz val="8"/>
        <color rgb="FF001F5F"/>
        <rFont val="Calibri"/>
        <family val="2"/>
      </rPr>
      <t>LE1005</t>
    </r>
  </si>
  <si>
    <r>
      <rPr>
        <b/>
        <sz val="8"/>
        <color rgb="FFFF0000"/>
        <rFont val="Calibri"/>
        <family val="2"/>
      </rPr>
      <t xml:space="preserve">* </t>
    </r>
    <r>
      <rPr>
        <sz val="8"/>
        <color rgb="FF001F5F"/>
        <rFont val="Calibri"/>
        <family val="2"/>
      </rPr>
      <t>6" SUPER FLEX MOUNT (SOLD IN PAIRS)</t>
    </r>
  </si>
  <si>
    <r>
      <rPr>
        <sz val="8"/>
        <color rgb="FF001F5F"/>
        <rFont val="Calibri"/>
        <family val="2"/>
      </rPr>
      <t>-B / -Y</t>
    </r>
  </si>
  <si>
    <r>
      <rPr>
        <sz val="8"/>
        <color rgb="FF001F5F"/>
        <rFont val="Calibri"/>
        <family val="2"/>
      </rPr>
      <t>K5106</t>
    </r>
  </si>
  <si>
    <r>
      <rPr>
        <b/>
        <sz val="8"/>
        <color rgb="FFFF0000"/>
        <rFont val="Calibri"/>
        <family val="2"/>
      </rPr>
      <t xml:space="preserve">* </t>
    </r>
    <r>
      <rPr>
        <sz val="8"/>
        <color rgb="FF001F5F"/>
        <rFont val="Calibri"/>
        <family val="2"/>
      </rPr>
      <t>4" SUPER FLEX MOUNT (SOLD IN PAIRS)</t>
    </r>
  </si>
  <si>
    <r>
      <rPr>
        <sz val="8"/>
        <color rgb="FF001F5F"/>
        <rFont val="Calibri"/>
        <family val="2"/>
      </rPr>
      <t>K5104</t>
    </r>
  </si>
  <si>
    <r>
      <rPr>
        <b/>
        <sz val="8"/>
        <color rgb="FFFF0000"/>
        <rFont val="Calibri"/>
        <family val="2"/>
      </rPr>
      <t xml:space="preserve">* </t>
    </r>
    <r>
      <rPr>
        <sz val="8"/>
        <color rgb="FF001F5F"/>
        <rFont val="Calibri"/>
        <family val="2"/>
      </rPr>
      <t>3" SUPER FLEX MOUNT (SOLD IN PAIRS)</t>
    </r>
  </si>
  <si>
    <r>
      <rPr>
        <sz val="8"/>
        <color rgb="FF001F5F"/>
        <rFont val="Calibri"/>
        <family val="2"/>
      </rPr>
      <t>K5103</t>
    </r>
  </si>
  <si>
    <r>
      <rPr>
        <sz val="8"/>
        <color rgb="FF001F5F"/>
        <rFont val="Calibri"/>
        <family val="2"/>
      </rPr>
      <t>RECTANGULAR BASE SUPER ADJUSTAMOUNT KIT</t>
    </r>
  </si>
  <si>
    <r>
      <rPr>
        <sz val="8"/>
        <color rgb="FF001F5F"/>
        <rFont val="Calibri"/>
        <family val="2"/>
      </rPr>
      <t>-B / -Y / -OR</t>
    </r>
  </si>
  <si>
    <r>
      <rPr>
        <sz val="8"/>
        <color rgb="FF001F5F"/>
        <rFont val="Calibri"/>
        <family val="2"/>
      </rPr>
      <t>K5081-SA</t>
    </r>
  </si>
  <si>
    <r>
      <rPr>
        <sz val="8"/>
        <color rgb="FF001F5F"/>
        <rFont val="Calibri"/>
        <family val="2"/>
      </rPr>
      <t>RECTANGULAR BASE JUMBOLOK KIT</t>
    </r>
  </si>
  <si>
    <r>
      <rPr>
        <sz val="8"/>
        <color rgb="FF001F5F"/>
        <rFont val="Calibri"/>
        <family val="2"/>
      </rPr>
      <t>K5081-JL</t>
    </r>
  </si>
  <si>
    <r>
      <rPr>
        <sz val="8"/>
        <color rgb="FF001F5F"/>
        <rFont val="Calibri"/>
        <family val="2"/>
      </rPr>
      <t>RECTANGULAR BASE FASTLOK KIT</t>
    </r>
  </si>
  <si>
    <r>
      <rPr>
        <sz val="8"/>
        <color rgb="FF001F5F"/>
        <rFont val="Calibri"/>
        <family val="2"/>
      </rPr>
      <t>K5081-FL</t>
    </r>
  </si>
  <si>
    <r>
      <rPr>
        <b/>
        <sz val="8"/>
        <color rgb="FFFF0000"/>
        <rFont val="Calibri"/>
        <family val="2"/>
      </rPr>
      <t xml:space="preserve">* </t>
    </r>
    <r>
      <rPr>
        <sz val="8"/>
        <color rgb="FF001F5F"/>
        <rFont val="Calibri"/>
        <family val="2"/>
      </rPr>
      <t>PHOENIX RAM MOUNTING KIT</t>
    </r>
  </si>
  <si>
    <r>
      <rPr>
        <sz val="8"/>
        <color rgb="FF001F5F"/>
        <rFont val="Calibri"/>
        <family val="2"/>
      </rPr>
      <t>K5050-2PH</t>
    </r>
  </si>
  <si>
    <r>
      <rPr>
        <b/>
        <sz val="8"/>
        <color rgb="FFFF0000"/>
        <rFont val="Calibri"/>
        <family val="2"/>
      </rPr>
      <t xml:space="preserve">* </t>
    </r>
    <r>
      <rPr>
        <sz val="8"/>
        <color rgb="FF001F5F"/>
        <rFont val="Calibri"/>
        <family val="2"/>
      </rPr>
      <t>PHOENIX TOOL MOUNTING KIT</t>
    </r>
  </si>
  <si>
    <r>
      <rPr>
        <sz val="8"/>
        <color rgb="FF001F5F"/>
        <rFont val="Calibri"/>
        <family val="2"/>
      </rPr>
      <t>K5050-1PH</t>
    </r>
  </si>
  <si>
    <r>
      <rPr>
        <b/>
        <sz val="8"/>
        <color rgb="FFFF0000"/>
        <rFont val="Calibri"/>
        <family val="2"/>
      </rPr>
      <t xml:space="preserve">* </t>
    </r>
    <r>
      <rPr>
        <b/>
        <u/>
        <sz val="8"/>
        <color rgb="FF001F5F"/>
        <rFont val="Calibri"/>
        <family val="2"/>
      </rPr>
      <t>HD SUPER ADJUSTAMOUNT KIT - LONG</t>
    </r>
  </si>
  <si>
    <r>
      <rPr>
        <sz val="8"/>
        <color rgb="FF001F5F"/>
        <rFont val="Calibri"/>
        <family val="2"/>
      </rPr>
      <t>K5050HDL</t>
    </r>
  </si>
  <si>
    <r>
      <rPr>
        <b/>
        <sz val="8"/>
        <color rgb="FFFF0000"/>
        <rFont val="Calibri"/>
        <family val="2"/>
      </rPr>
      <t xml:space="preserve">* </t>
    </r>
    <r>
      <rPr>
        <b/>
        <u/>
        <sz val="8"/>
        <color rgb="FF001F5F"/>
        <rFont val="Calibri"/>
        <family val="2"/>
      </rPr>
      <t>HD SUPER ADJUSTAMOUNT KIT - STANDARD</t>
    </r>
  </si>
  <si>
    <r>
      <rPr>
        <sz val="8"/>
        <color rgb="FF001F5F"/>
        <rFont val="Calibri"/>
        <family val="2"/>
      </rPr>
      <t>K5050HD</t>
    </r>
  </si>
  <si>
    <r>
      <rPr>
        <b/>
        <sz val="8"/>
        <color rgb="FFFF0000"/>
        <rFont val="Calibri"/>
        <family val="2"/>
      </rPr>
      <t xml:space="preserve">* </t>
    </r>
    <r>
      <rPr>
        <b/>
        <u/>
        <sz val="8"/>
        <color rgb="FF001F5F"/>
        <rFont val="Calibri"/>
        <family val="2"/>
      </rPr>
      <t>HD SUPER ADJUSTAMOUNT KIT - SHORT</t>
    </r>
  </si>
  <si>
    <r>
      <rPr>
        <sz val="8"/>
        <color rgb="FF001F5F"/>
        <rFont val="Calibri"/>
        <family val="2"/>
      </rPr>
      <t>K5050HDS</t>
    </r>
  </si>
  <si>
    <r>
      <rPr>
        <b/>
        <sz val="8"/>
        <color rgb="FFFF0000"/>
        <rFont val="Calibri"/>
        <family val="2"/>
      </rPr>
      <t xml:space="preserve">* </t>
    </r>
    <r>
      <rPr>
        <b/>
        <u/>
        <sz val="8"/>
        <color rgb="FF001F5F"/>
        <rFont val="Calibri"/>
        <family val="2"/>
      </rPr>
      <t>EXTENDED SUPER ADJUSTAMOUNT KIT - LONG</t>
    </r>
  </si>
  <si>
    <r>
      <rPr>
        <sz val="8"/>
        <color rgb="FF001F5F"/>
        <rFont val="Calibri"/>
        <family val="2"/>
      </rPr>
      <t>K5050L</t>
    </r>
  </si>
  <si>
    <r>
      <rPr>
        <b/>
        <sz val="8"/>
        <color rgb="FFFF0000"/>
        <rFont val="Calibri"/>
        <family val="2"/>
      </rPr>
      <t xml:space="preserve">* </t>
    </r>
    <r>
      <rPr>
        <b/>
        <u/>
        <sz val="8"/>
        <color rgb="FF001F5F"/>
        <rFont val="Calibri"/>
        <family val="2"/>
      </rPr>
      <t>SUPER ADJUSTAMOUNT KIT - STANDARD</t>
    </r>
  </si>
  <si>
    <r>
      <rPr>
        <sz val="8"/>
        <color rgb="FF001F5F"/>
        <rFont val="Calibri"/>
        <family val="2"/>
      </rPr>
      <t>K5050</t>
    </r>
  </si>
  <si>
    <r>
      <rPr>
        <b/>
        <sz val="8"/>
        <color rgb="FFFF0000"/>
        <rFont val="Calibri"/>
        <family val="2"/>
      </rPr>
      <t xml:space="preserve">* </t>
    </r>
    <r>
      <rPr>
        <b/>
        <u/>
        <sz val="8"/>
        <color rgb="FF001F5F"/>
        <rFont val="Calibri"/>
        <family val="2"/>
      </rPr>
      <t>SUPER ADJUSTAMOUNT KIT - SHORT</t>
    </r>
  </si>
  <si>
    <r>
      <rPr>
        <sz val="8"/>
        <color rgb="FF001F5F"/>
        <rFont val="Calibri"/>
        <family val="2"/>
      </rPr>
      <t>K5050S</t>
    </r>
  </si>
  <si>
    <r>
      <rPr>
        <b/>
        <sz val="8"/>
        <color rgb="FFFF0000"/>
        <rFont val="Calibri"/>
        <family val="2"/>
      </rPr>
      <t xml:space="preserve">* </t>
    </r>
    <r>
      <rPr>
        <sz val="8"/>
        <color rgb="FF001F5F"/>
        <rFont val="Calibri"/>
        <family val="2"/>
      </rPr>
      <t>10# EXTINGUISHER / SCBA MOUNT</t>
    </r>
  </si>
  <si>
    <r>
      <rPr>
        <sz val="8"/>
        <color rgb="FF001F5F"/>
        <rFont val="Calibri"/>
        <family val="2"/>
      </rPr>
      <t>K5046</t>
    </r>
  </si>
  <si>
    <r>
      <rPr>
        <b/>
        <sz val="8"/>
        <color rgb="FFFF0000"/>
        <rFont val="Calibri"/>
        <family val="2"/>
      </rPr>
      <t xml:space="preserve">* </t>
    </r>
    <r>
      <rPr>
        <sz val="8"/>
        <color rgb="FF001F5F"/>
        <rFont val="Calibri"/>
        <family val="2"/>
      </rPr>
      <t>5# EXTINGUISHER / OXYGEN MOUNT</t>
    </r>
  </si>
  <si>
    <r>
      <rPr>
        <sz val="8"/>
        <color rgb="FF001F5F"/>
        <rFont val="Calibri"/>
        <family val="2"/>
      </rPr>
      <t>K5044</t>
    </r>
  </si>
  <si>
    <r>
      <rPr>
        <b/>
        <sz val="8"/>
        <color rgb="FFFF0000"/>
        <rFont val="Calibri"/>
        <family val="2"/>
      </rPr>
      <t xml:space="preserve">* </t>
    </r>
    <r>
      <rPr>
        <sz val="8"/>
        <color rgb="FF001F5F"/>
        <rFont val="Calibri"/>
        <family val="2"/>
      </rPr>
      <t>3# EXTINGUISHER MOUNT</t>
    </r>
  </si>
  <si>
    <r>
      <rPr>
        <sz val="8"/>
        <color rgb="FF001F5F"/>
        <rFont val="Calibri"/>
        <family val="2"/>
      </rPr>
      <t>K5043</t>
    </r>
  </si>
  <si>
    <r>
      <rPr>
        <b/>
        <sz val="8"/>
        <color rgb="FFFF0000"/>
        <rFont val="Calibri"/>
        <family val="2"/>
      </rPr>
      <t xml:space="preserve">* </t>
    </r>
    <r>
      <rPr>
        <b/>
        <u/>
        <sz val="8"/>
        <color rgb="FF001F5F"/>
        <rFont val="Calibri"/>
        <family val="2"/>
      </rPr>
      <t>HEAVY RESCUE BASE MOUNT KIT SUPER ADJUSTAMOUNT</t>
    </r>
  </si>
  <si>
    <r>
      <rPr>
        <sz val="8"/>
        <color rgb="FF001F5F"/>
        <rFont val="Calibri"/>
        <family val="2"/>
      </rPr>
      <t>K5035-SA</t>
    </r>
  </si>
  <si>
    <r>
      <rPr>
        <b/>
        <sz val="8"/>
        <color rgb="FFFF0000"/>
        <rFont val="Calibri"/>
        <family val="2"/>
      </rPr>
      <t xml:space="preserve">* </t>
    </r>
    <r>
      <rPr>
        <b/>
        <u/>
        <sz val="8"/>
        <color rgb="FF001F5F"/>
        <rFont val="Calibri"/>
        <family val="2"/>
      </rPr>
      <t>HEAVY RESCUE BASE MOUNT KIT JUMBO LOK</t>
    </r>
  </si>
  <si>
    <r>
      <rPr>
        <sz val="8"/>
        <color rgb="FF001F5F"/>
        <rFont val="Calibri"/>
        <family val="2"/>
      </rPr>
      <t>K5035-JL</t>
    </r>
  </si>
  <si>
    <r>
      <rPr>
        <b/>
        <sz val="8"/>
        <color rgb="FFFF0000"/>
        <rFont val="Calibri"/>
        <family val="2"/>
      </rPr>
      <t xml:space="preserve">* </t>
    </r>
    <r>
      <rPr>
        <b/>
        <u/>
        <sz val="8"/>
        <color rgb="FF001F5F"/>
        <rFont val="Calibri"/>
        <family val="2"/>
      </rPr>
      <t>HEAVY RESCUE BASE MOUNT KIT FASTLOK</t>
    </r>
  </si>
  <si>
    <r>
      <rPr>
        <sz val="8"/>
        <color rgb="FF001F5F"/>
        <rFont val="Calibri"/>
        <family val="2"/>
      </rPr>
      <t>K5035-FL</t>
    </r>
  </si>
  <si>
    <r>
      <rPr>
        <sz val="8"/>
        <color rgb="FF001F5F"/>
        <rFont val="Calibri"/>
        <family val="2"/>
      </rPr>
      <t>CUP MOUNT 4 PACK</t>
    </r>
  </si>
  <si>
    <r>
      <rPr>
        <sz val="8"/>
        <color rgb="FF001F5F"/>
        <rFont val="Calibri"/>
        <family val="2"/>
      </rPr>
      <t>K5033</t>
    </r>
  </si>
  <si>
    <r>
      <rPr>
        <b/>
        <sz val="8"/>
        <color rgb="FFFF0000"/>
        <rFont val="Calibri"/>
        <family val="2"/>
      </rPr>
      <t xml:space="preserve">* </t>
    </r>
    <r>
      <rPr>
        <b/>
        <u/>
        <sz val="8"/>
        <color rgb="FF001F5F"/>
        <rFont val="Calibri"/>
        <family val="2"/>
      </rPr>
      <t>HALLIGAN TOOL MOUNTING KIT</t>
    </r>
  </si>
  <si>
    <r>
      <rPr>
        <sz val="8"/>
        <color rgb="FF001F5F"/>
        <rFont val="Calibri"/>
        <family val="2"/>
      </rPr>
      <t>K5032</t>
    </r>
  </si>
  <si>
    <r>
      <rPr>
        <b/>
        <sz val="8"/>
        <color rgb="FFFF0000"/>
        <rFont val="Calibri"/>
        <family val="2"/>
      </rPr>
      <t xml:space="preserve">* </t>
    </r>
    <r>
      <rPr>
        <b/>
        <u/>
        <sz val="8"/>
        <color rgb="FF001F5F"/>
        <rFont val="Calibri"/>
        <family val="2"/>
      </rPr>
      <t>UNIVERSAL SAW KIT</t>
    </r>
  </si>
  <si>
    <r>
      <rPr>
        <sz val="8"/>
        <color rgb="FF001F5F"/>
        <rFont val="Calibri"/>
        <family val="2"/>
      </rPr>
      <t>K5030</t>
    </r>
  </si>
  <si>
    <r>
      <rPr>
        <b/>
        <u/>
        <sz val="8"/>
        <color rgb="FF001F5F"/>
        <rFont val="Calibri"/>
        <family val="2"/>
      </rPr>
      <t>BOLT CUTTERS MOUNTING KIT</t>
    </r>
  </si>
  <si>
    <r>
      <rPr>
        <sz val="8"/>
        <color rgb="FF001F5F"/>
        <rFont val="Calibri"/>
        <family val="2"/>
      </rPr>
      <t>K5029-1</t>
    </r>
  </si>
  <si>
    <r>
      <rPr>
        <b/>
        <sz val="8"/>
        <color rgb="FFFF0000"/>
        <rFont val="Calibri"/>
        <family val="2"/>
      </rPr>
      <t xml:space="preserve">* </t>
    </r>
    <r>
      <rPr>
        <b/>
        <u/>
        <sz val="8"/>
        <color rgb="FF001F5F"/>
        <rFont val="Calibri"/>
        <family val="2"/>
      </rPr>
      <t>SPREADER BASE SUPER ADJUSTAMOUNT KIT</t>
    </r>
  </si>
  <si>
    <r>
      <rPr>
        <sz val="8"/>
        <color rgb="FF001F5F"/>
        <rFont val="Calibri"/>
        <family val="2"/>
      </rPr>
      <t>K5026-SA</t>
    </r>
  </si>
  <si>
    <r>
      <rPr>
        <b/>
        <sz val="8"/>
        <color rgb="FFFF0000"/>
        <rFont val="Calibri"/>
        <family val="2"/>
      </rPr>
      <t xml:space="preserve">* </t>
    </r>
    <r>
      <rPr>
        <b/>
        <u/>
        <sz val="8"/>
        <color rgb="FF001F5F"/>
        <rFont val="Calibri"/>
        <family val="2"/>
      </rPr>
      <t>SPREADER BASE WITH JUMBOLOK KIT</t>
    </r>
  </si>
  <si>
    <r>
      <rPr>
        <sz val="8"/>
        <color rgb="FF001F5F"/>
        <rFont val="Calibri"/>
        <family val="2"/>
      </rPr>
      <t>K5026-JL</t>
    </r>
  </si>
  <si>
    <r>
      <rPr>
        <b/>
        <sz val="8"/>
        <color rgb="FFFF0000"/>
        <rFont val="Calibri"/>
        <family val="2"/>
      </rPr>
      <t xml:space="preserve">* </t>
    </r>
    <r>
      <rPr>
        <b/>
        <u/>
        <sz val="8"/>
        <color rgb="FF001F5F"/>
        <rFont val="Calibri"/>
        <family val="2"/>
      </rPr>
      <t>SPREADER BASE WITH FASTLOK KIT</t>
    </r>
  </si>
  <si>
    <r>
      <rPr>
        <sz val="8"/>
        <color rgb="FF001F5F"/>
        <rFont val="Calibri"/>
        <family val="2"/>
      </rPr>
      <t>K5026-FL</t>
    </r>
  </si>
  <si>
    <r>
      <rPr>
        <b/>
        <sz val="8"/>
        <color rgb="FFFF0000"/>
        <rFont val="Calibri"/>
        <family val="2"/>
      </rPr>
      <t xml:space="preserve">* </t>
    </r>
    <r>
      <rPr>
        <b/>
        <u/>
        <sz val="8"/>
        <color rgb="FF001F5F"/>
        <rFont val="Calibri"/>
        <family val="2"/>
      </rPr>
      <t>AMKUS SPREADER/COMBI MOUNTING KIT</t>
    </r>
  </si>
  <si>
    <r>
      <rPr>
        <sz val="8"/>
        <color rgb="FF001F5F"/>
        <rFont val="Calibri"/>
        <family val="2"/>
      </rPr>
      <t>K5024</t>
    </r>
  </si>
  <si>
    <r>
      <rPr>
        <b/>
        <sz val="8"/>
        <color rgb="FFFF0000"/>
        <rFont val="Calibri"/>
        <family val="2"/>
      </rPr>
      <t xml:space="preserve">* </t>
    </r>
    <r>
      <rPr>
        <b/>
        <u/>
        <sz val="8"/>
        <color rgb="FF001F5F"/>
        <rFont val="Calibri"/>
        <family val="2"/>
      </rPr>
      <t>AMKUS RAM MOUNTING KIT</t>
    </r>
  </si>
  <si>
    <r>
      <rPr>
        <sz val="8"/>
        <color rgb="FF001F5F"/>
        <rFont val="Calibri"/>
        <family val="2"/>
      </rPr>
      <t>K5023</t>
    </r>
  </si>
  <si>
    <r>
      <rPr>
        <b/>
        <sz val="8"/>
        <color rgb="FFFF0000"/>
        <rFont val="Calibri"/>
        <family val="2"/>
      </rPr>
      <t xml:space="preserve">* </t>
    </r>
    <r>
      <rPr>
        <b/>
        <u/>
        <sz val="8"/>
        <color rgb="FF001F5F"/>
        <rFont val="Calibri"/>
        <family val="2"/>
      </rPr>
      <t>AMKUS CUTTER/COMBI MOUNTING KIT</t>
    </r>
  </si>
  <si>
    <r>
      <rPr>
        <sz val="8"/>
        <color rgb="FF001F5F"/>
        <rFont val="Calibri"/>
        <family val="2"/>
      </rPr>
      <t>K5022</t>
    </r>
  </si>
  <si>
    <r>
      <rPr>
        <b/>
        <sz val="8"/>
        <color rgb="FFFF0000"/>
        <rFont val="Calibri"/>
        <family val="2"/>
      </rPr>
      <t xml:space="preserve">* </t>
    </r>
    <r>
      <rPr>
        <b/>
        <u/>
        <sz val="8"/>
        <color rgb="FF001F5F"/>
        <rFont val="Calibri"/>
        <family val="2"/>
      </rPr>
      <t>AMKUS CUTTER/SPREADER MOUNTING KIT</t>
    </r>
  </si>
  <si>
    <r>
      <rPr>
        <sz val="8"/>
        <color rgb="FF001F5F"/>
        <rFont val="Calibri"/>
        <family val="2"/>
      </rPr>
      <t>K5021</t>
    </r>
  </si>
  <si>
    <r>
      <rPr>
        <b/>
        <sz val="8"/>
        <color rgb="FFFF0000"/>
        <rFont val="Calibri"/>
        <family val="2"/>
      </rPr>
      <t xml:space="preserve">* </t>
    </r>
    <r>
      <rPr>
        <b/>
        <u/>
        <sz val="8"/>
        <color rgb="FF001F5F"/>
        <rFont val="Calibri"/>
        <family val="2"/>
      </rPr>
      <t>FASTLOK KIT - LONG</t>
    </r>
  </si>
  <si>
    <r>
      <rPr>
        <sz val="8"/>
        <color rgb="FF001F5F"/>
        <rFont val="Calibri"/>
        <family val="2"/>
      </rPr>
      <t>K5020L</t>
    </r>
  </si>
  <si>
    <r>
      <rPr>
        <b/>
        <sz val="8"/>
        <color rgb="FFFF0000"/>
        <rFont val="Calibri"/>
        <family val="2"/>
      </rPr>
      <t xml:space="preserve">* </t>
    </r>
    <r>
      <rPr>
        <b/>
        <u/>
        <sz val="8"/>
        <color rgb="FF001F5F"/>
        <rFont val="Calibri"/>
        <family val="2"/>
      </rPr>
      <t>FASTLOK KIT - STANDARD</t>
    </r>
  </si>
  <si>
    <r>
      <rPr>
        <sz val="8"/>
        <color rgb="FF001F5F"/>
        <rFont val="Calibri"/>
        <family val="2"/>
      </rPr>
      <t>K5020</t>
    </r>
  </si>
  <si>
    <r>
      <rPr>
        <b/>
        <u/>
        <sz val="8"/>
        <color rgb="FF001F5F"/>
        <rFont val="Calibri"/>
        <family val="2"/>
      </rPr>
      <t>SPANNER/HYDRANT WRENCH MOUNT</t>
    </r>
  </si>
  <si>
    <r>
      <rPr>
        <sz val="8"/>
        <color rgb="FF001F5F"/>
        <rFont val="Calibri"/>
        <family val="2"/>
      </rPr>
      <t>K5016</t>
    </r>
  </si>
  <si>
    <r>
      <rPr>
        <b/>
        <sz val="8"/>
        <color rgb="FFFF0000"/>
        <rFont val="Calibri"/>
        <family val="2"/>
      </rPr>
      <t xml:space="preserve">* </t>
    </r>
    <r>
      <rPr>
        <b/>
        <u/>
        <sz val="8"/>
        <color rgb="FF001F5F"/>
        <rFont val="Calibri"/>
        <family val="2"/>
      </rPr>
      <t>PICKHEAD AXE HANGER / POCKET KIT</t>
    </r>
  </si>
  <si>
    <r>
      <rPr>
        <sz val="8"/>
        <color rgb="FF001F5F"/>
        <rFont val="Calibri"/>
        <family val="2"/>
      </rPr>
      <t>K5012</t>
    </r>
  </si>
  <si>
    <r>
      <rPr>
        <b/>
        <sz val="8"/>
        <color rgb="FFFF0000"/>
        <rFont val="Calibri"/>
        <family val="2"/>
      </rPr>
      <t xml:space="preserve">* </t>
    </r>
    <r>
      <rPr>
        <b/>
        <u/>
        <sz val="8"/>
        <color rgb="FF001F5F"/>
        <rFont val="Calibri"/>
        <family val="2"/>
      </rPr>
      <t>FLATHEAD AXE HANGER / POCKET KIT</t>
    </r>
  </si>
  <si>
    <r>
      <rPr>
        <sz val="8"/>
        <color rgb="FF001F5F"/>
        <rFont val="Calibri"/>
        <family val="2"/>
      </rPr>
      <t>K5011</t>
    </r>
  </si>
  <si>
    <r>
      <rPr>
        <b/>
        <sz val="8"/>
        <color rgb="FFFF0000"/>
        <rFont val="Calibri"/>
        <family val="2"/>
      </rPr>
      <t xml:space="preserve">* </t>
    </r>
    <r>
      <rPr>
        <b/>
        <u/>
        <sz val="8"/>
        <color rgb="FF001F5F"/>
        <rFont val="Calibri"/>
        <family val="2"/>
      </rPr>
      <t>8 - 12# SLEDGE HANGER / POCKET KIT</t>
    </r>
  </si>
  <si>
    <r>
      <rPr>
        <sz val="8"/>
        <color rgb="FF001F5F"/>
        <rFont val="Calibri"/>
        <family val="2"/>
      </rPr>
      <t>K5010-12</t>
    </r>
  </si>
  <si>
    <r>
      <rPr>
        <b/>
        <sz val="8"/>
        <color rgb="FFFF0000"/>
        <rFont val="Calibri"/>
        <family val="2"/>
      </rPr>
      <t xml:space="preserve">* </t>
    </r>
    <r>
      <rPr>
        <b/>
        <u/>
        <sz val="8"/>
        <color rgb="FF001F5F"/>
        <rFont val="Calibri"/>
        <family val="2"/>
      </rPr>
      <t>TOOL HANGER KIT</t>
    </r>
  </si>
  <si>
    <r>
      <rPr>
        <sz val="8"/>
        <color rgb="FF001F5F"/>
        <rFont val="Calibri"/>
        <family val="2"/>
      </rPr>
      <t>K5009</t>
    </r>
  </si>
  <si>
    <r>
      <rPr>
        <b/>
        <sz val="8"/>
        <color rgb="FFFF0000"/>
        <rFont val="Calibri"/>
        <family val="2"/>
      </rPr>
      <t xml:space="preserve">* </t>
    </r>
    <r>
      <rPr>
        <b/>
        <u/>
        <sz val="8"/>
        <color rgb="FF001F5F"/>
        <rFont val="Calibri"/>
        <family val="2"/>
      </rPr>
      <t>HD ADJUSTAMOUNT KIT - LONG</t>
    </r>
  </si>
  <si>
    <r>
      <rPr>
        <sz val="8"/>
        <color rgb="FF001F5F"/>
        <rFont val="Calibri"/>
        <family val="2"/>
      </rPr>
      <t>K5006HDL</t>
    </r>
  </si>
  <si>
    <r>
      <rPr>
        <b/>
        <sz val="8"/>
        <color rgb="FFFF0000"/>
        <rFont val="Calibri"/>
        <family val="2"/>
      </rPr>
      <t xml:space="preserve">* </t>
    </r>
    <r>
      <rPr>
        <b/>
        <u/>
        <sz val="8"/>
        <color rgb="FF001F5F"/>
        <rFont val="Calibri"/>
        <family val="2"/>
      </rPr>
      <t>HD ADJUSTAMOUNT KIT - STANDARD </t>
    </r>
  </si>
  <si>
    <r>
      <rPr>
        <sz val="8"/>
        <color rgb="FF001F5F"/>
        <rFont val="Calibri"/>
        <family val="2"/>
      </rPr>
      <t>K5006HD</t>
    </r>
  </si>
  <si>
    <r>
      <rPr>
        <b/>
        <sz val="8"/>
        <color rgb="FFFF0000"/>
        <rFont val="Calibri"/>
        <family val="2"/>
      </rPr>
      <t xml:space="preserve">* </t>
    </r>
    <r>
      <rPr>
        <b/>
        <u/>
        <sz val="8"/>
        <color rgb="FF001F5F"/>
        <rFont val="Calibri"/>
        <family val="2"/>
      </rPr>
      <t>HD ADJUSTAMOUNT KIT - SHORT</t>
    </r>
  </si>
  <si>
    <r>
      <rPr>
        <sz val="8"/>
        <color rgb="FF001F5F"/>
        <rFont val="Calibri"/>
        <family val="2"/>
      </rPr>
      <t>K5006HDS</t>
    </r>
  </si>
  <si>
    <r>
      <rPr>
        <b/>
        <sz val="8"/>
        <color rgb="FFFF0000"/>
        <rFont val="Calibri"/>
        <family val="2"/>
      </rPr>
      <t xml:space="preserve">* </t>
    </r>
    <r>
      <rPr>
        <b/>
        <u/>
        <sz val="8"/>
        <color rgb="FF001F5F"/>
        <rFont val="Calibri"/>
        <family val="2"/>
      </rPr>
      <t>EXTENDED ADJUSTAMOUNT KIT - LONG</t>
    </r>
  </si>
  <si>
    <r>
      <rPr>
        <sz val="8"/>
        <color rgb="FF001F5F"/>
        <rFont val="Calibri"/>
        <family val="2"/>
      </rPr>
      <t>K5006L</t>
    </r>
  </si>
  <si>
    <r>
      <rPr>
        <b/>
        <sz val="8"/>
        <color rgb="FFFF0000"/>
        <rFont val="Calibri"/>
        <family val="2"/>
      </rPr>
      <t xml:space="preserve">* </t>
    </r>
    <r>
      <rPr>
        <b/>
        <u/>
        <sz val="8"/>
        <color rgb="FF001F5F"/>
        <rFont val="Calibri"/>
        <family val="2"/>
      </rPr>
      <t>ADJUSTAMOUNT KIT - STANDARD</t>
    </r>
  </si>
  <si>
    <r>
      <rPr>
        <sz val="8"/>
        <color rgb="FF001F5F"/>
        <rFont val="Calibri"/>
        <family val="2"/>
      </rPr>
      <t>K5006</t>
    </r>
  </si>
  <si>
    <r>
      <rPr>
        <b/>
        <sz val="8"/>
        <color rgb="FFFF0000"/>
        <rFont val="Calibri"/>
        <family val="2"/>
      </rPr>
      <t xml:space="preserve">* </t>
    </r>
    <r>
      <rPr>
        <b/>
        <u/>
        <sz val="8"/>
        <color rgb="FF001F5F"/>
        <rFont val="Calibri"/>
        <family val="2"/>
      </rPr>
      <t>ADJUSTAMOUNT KIT - SHORT </t>
    </r>
  </si>
  <si>
    <r>
      <rPr>
        <sz val="8"/>
        <color rgb="FF001F5F"/>
        <rFont val="Calibri"/>
        <family val="2"/>
      </rPr>
      <t>K5006S</t>
    </r>
  </si>
  <si>
    <r>
      <rPr>
        <b/>
        <sz val="8"/>
        <color rgb="FFFF0000"/>
        <rFont val="Calibri"/>
        <family val="2"/>
      </rPr>
      <t xml:space="preserve">* </t>
    </r>
    <r>
      <rPr>
        <b/>
        <u/>
        <sz val="8"/>
        <color rgb="FF001F5F"/>
        <rFont val="Calibri"/>
        <family val="2"/>
      </rPr>
      <t>IRONSLOK HD KIT</t>
    </r>
  </si>
  <si>
    <r>
      <rPr>
        <sz val="8"/>
        <color rgb="FF001F5F"/>
        <rFont val="Calibri"/>
        <family val="2"/>
      </rPr>
      <t>K5003-HD</t>
    </r>
  </si>
  <si>
    <r>
      <rPr>
        <b/>
        <sz val="8"/>
        <color rgb="FFFF0000"/>
        <rFont val="Calibri"/>
        <family val="2"/>
      </rPr>
      <t xml:space="preserve">* </t>
    </r>
    <r>
      <rPr>
        <b/>
        <u/>
        <sz val="8"/>
        <color rgb="FF001F5F"/>
        <rFont val="Calibri"/>
        <family val="2"/>
      </rPr>
      <t>IRONSLOK KIT</t>
    </r>
  </si>
  <si>
    <r>
      <rPr>
        <sz val="8"/>
        <color rgb="FF001F5F"/>
        <rFont val="Calibri"/>
        <family val="2"/>
      </rPr>
      <t>K5003</t>
    </r>
  </si>
  <si>
    <r>
      <rPr>
        <b/>
        <u/>
        <sz val="8"/>
        <color rgb="FF001F5F"/>
        <rFont val="Calibri"/>
        <family val="2"/>
      </rPr>
      <t>TIE DOWN MOUNT DOUBLE SHACKLE</t>
    </r>
  </si>
  <si>
    <r>
      <rPr>
        <sz val="8"/>
        <color rgb="FF001F5F"/>
        <rFont val="Calibri"/>
        <family val="2"/>
      </rPr>
      <t>K3021-D</t>
    </r>
  </si>
  <si>
    <r>
      <rPr>
        <b/>
        <u/>
        <sz val="8"/>
        <color rgb="FF001F5F"/>
        <rFont val="Calibri"/>
        <family val="2"/>
      </rPr>
      <t>TIE DOWN MOUNT KIT</t>
    </r>
  </si>
  <si>
    <r>
      <rPr>
        <sz val="8"/>
        <color rgb="FF001F5F"/>
        <rFont val="Calibri"/>
        <family val="2"/>
      </rPr>
      <t>K3021</t>
    </r>
  </si>
  <si>
    <r>
      <rPr>
        <b/>
        <u/>
        <sz val="8"/>
        <color rgb="FFFF0000"/>
        <rFont val="Calibri"/>
        <family val="2"/>
      </rPr>
      <t>* </t>
    </r>
    <r>
      <rPr>
        <b/>
        <u/>
        <sz val="8"/>
        <color rgb="FF001F5F"/>
        <rFont val="Calibri"/>
        <family val="2"/>
      </rPr>
      <t>RAM BASE MOUNT WITH SUPER ADJUSTAMOUNT KIT</t>
    </r>
  </si>
  <si>
    <r>
      <rPr>
        <sz val="8"/>
        <color rgb="FF001F5F"/>
        <rFont val="Calibri"/>
        <family val="2"/>
      </rPr>
      <t>K1022-SA</t>
    </r>
  </si>
  <si>
    <r>
      <rPr>
        <b/>
        <u/>
        <sz val="8"/>
        <color rgb="FFFF0000"/>
        <rFont val="Calibri"/>
        <family val="2"/>
      </rPr>
      <t>*</t>
    </r>
    <r>
      <rPr>
        <b/>
        <u/>
        <sz val="8"/>
        <color rgb="FF001F5F"/>
        <rFont val="Calibri"/>
        <family val="2"/>
      </rPr>
      <t> RAM BASE MOUNT WITH JUMBOLOK KIT</t>
    </r>
  </si>
  <si>
    <r>
      <rPr>
        <sz val="8"/>
        <color rgb="FF001F5F"/>
        <rFont val="Calibri"/>
        <family val="2"/>
      </rPr>
      <t>K1022-JL</t>
    </r>
  </si>
  <si>
    <r>
      <rPr>
        <b/>
        <sz val="8"/>
        <color rgb="FFFF0000"/>
        <rFont val="Calibri"/>
        <family val="2"/>
      </rPr>
      <t xml:space="preserve">* </t>
    </r>
    <r>
      <rPr>
        <b/>
        <u/>
        <sz val="8"/>
        <color rgb="FF001F5F"/>
        <rFont val="Calibri"/>
        <family val="2"/>
      </rPr>
      <t>RAM BASE MOUNT WITH FASTLOK KIT</t>
    </r>
  </si>
  <si>
    <r>
      <rPr>
        <sz val="8"/>
        <color rgb="FF001F5F"/>
        <rFont val="Calibri"/>
        <family val="2"/>
      </rPr>
      <t>K1022-FL</t>
    </r>
  </si>
  <si>
    <r>
      <rPr>
        <b/>
        <u/>
        <sz val="8"/>
        <color rgb="FF00AF50"/>
        <rFont val="Calibri"/>
        <family val="2"/>
      </rPr>
      <t>* </t>
    </r>
    <r>
      <rPr>
        <sz val="8"/>
        <color rgb="FF001F5F"/>
        <rFont val="Calibri"/>
        <family val="2"/>
      </rPr>
      <t>STRUT MOUNT KIT</t>
    </r>
  </si>
  <si>
    <r>
      <rPr>
        <sz val="8"/>
        <color rgb="FF001F5F"/>
        <rFont val="Calibri"/>
        <family val="2"/>
      </rPr>
      <t>K1022</t>
    </r>
  </si>
  <si>
    <r>
      <rPr>
        <sz val="8"/>
        <color rgb="FF001F5F"/>
        <rFont val="Calibri"/>
        <family val="2"/>
      </rPr>
      <t>BUCKET MOUNT KIT</t>
    </r>
  </si>
  <si>
    <r>
      <rPr>
        <sz val="8"/>
        <color rgb="FF001F5F"/>
        <rFont val="Calibri"/>
        <family val="2"/>
      </rPr>
      <t>BKM</t>
    </r>
  </si>
  <si>
    <r>
      <rPr>
        <b/>
        <sz val="7"/>
        <color rgb="FF001F5F"/>
        <rFont val="Calibri"/>
        <family val="2"/>
      </rPr>
      <t>STRAP COLOR</t>
    </r>
  </si>
  <si>
    <r>
      <rPr>
        <b/>
        <sz val="10.5"/>
        <color rgb="FFFFFFFF"/>
        <rFont val="Calibri"/>
        <family val="2"/>
      </rPr>
      <t>PAC TOOL MOUNTING KITS</t>
    </r>
  </si>
  <si>
    <r>
      <rPr>
        <sz val="8"/>
        <color rgb="FF001F5F"/>
        <rFont val="Calibri"/>
        <family val="2"/>
      </rPr>
      <t>PAC MAT (24 PACK)</t>
    </r>
  </si>
  <si>
    <r>
      <rPr>
        <sz val="8"/>
        <color rgb="FF001F5F"/>
        <rFont val="Calibri"/>
        <family val="2"/>
      </rPr>
      <t>-B / -GY</t>
    </r>
  </si>
  <si>
    <r>
      <rPr>
        <sz val="8"/>
        <color rgb="FF001F5F"/>
        <rFont val="Calibri"/>
        <family val="2"/>
      </rPr>
      <t>K8010-24</t>
    </r>
  </si>
  <si>
    <r>
      <rPr>
        <sz val="8"/>
        <color rgb="FF001F5F"/>
        <rFont val="Calibri"/>
        <family val="2"/>
      </rPr>
      <t>PAC MAT (12 PACK)</t>
    </r>
  </si>
  <si>
    <r>
      <rPr>
        <sz val="8"/>
        <color rgb="FF001F5F"/>
        <rFont val="Calibri"/>
        <family val="2"/>
      </rPr>
      <t>K8010-12</t>
    </r>
  </si>
  <si>
    <r>
      <rPr>
        <b/>
        <u/>
        <sz val="8"/>
        <color rgb="FF001F5F"/>
        <rFont val="Calibri"/>
        <family val="2"/>
      </rPr>
      <t>CYLINDER MATE - EXTENDED LENGTH MOBILE UNIT (16 PACK)</t>
    </r>
  </si>
  <si>
    <r>
      <rPr>
        <sz val="8"/>
        <color rgb="FF001F5F"/>
        <rFont val="Calibri"/>
        <family val="2"/>
      </rPr>
      <t>CM6060-16</t>
    </r>
  </si>
  <si>
    <r>
      <rPr>
        <b/>
        <u/>
        <sz val="8"/>
        <color rgb="FF001F5F"/>
        <rFont val="Calibri"/>
        <family val="2"/>
      </rPr>
      <t>CYLINDER MATE - EXTENDED LENGTH MOBILE UNIT (12 PACK)</t>
    </r>
  </si>
  <si>
    <r>
      <rPr>
        <sz val="8"/>
        <color rgb="FF001F5F"/>
        <rFont val="Calibri"/>
        <family val="2"/>
      </rPr>
      <t>CM6060-12</t>
    </r>
  </si>
  <si>
    <r>
      <rPr>
        <sz val="8"/>
        <color rgb="FF001F5F"/>
        <rFont val="Calibri"/>
        <family val="2"/>
      </rPr>
      <t>CYLINDER MATE COLLAR EXTENSION</t>
    </r>
  </si>
  <si>
    <r>
      <rPr>
        <sz val="8"/>
        <color rgb="FF001F5F"/>
        <rFont val="Calibri"/>
        <family val="2"/>
      </rPr>
      <t>CM6060-EK</t>
    </r>
  </si>
  <si>
    <r>
      <rPr>
        <b/>
        <u/>
        <sz val="8"/>
        <color rgb="FF001F5F"/>
        <rFont val="Calibri"/>
        <family val="2"/>
      </rPr>
      <t>CYLINDER MATE - EXTENDED LENGTH</t>
    </r>
  </si>
  <si>
    <r>
      <rPr>
        <sz val="8"/>
        <color rgb="FF001F5F"/>
        <rFont val="Calibri"/>
        <family val="2"/>
      </rPr>
      <t>CM6060</t>
    </r>
  </si>
  <si>
    <r>
      <rPr>
        <b/>
        <u/>
        <sz val="8"/>
        <color rgb="FF001F5F"/>
        <rFont val="Calibri"/>
        <family val="2"/>
      </rPr>
      <t>CYLINDER MATE - STANDARD LENGTHMOBILE UNIT (16 PACK)</t>
    </r>
  </si>
  <si>
    <r>
      <rPr>
        <sz val="8"/>
        <color rgb="FF001F5F"/>
        <rFont val="Calibri"/>
        <family val="2"/>
      </rPr>
      <t>CM6000-16</t>
    </r>
  </si>
  <si>
    <r>
      <rPr>
        <b/>
        <u/>
        <sz val="8"/>
        <color rgb="FF001F5F"/>
        <rFont val="Calibri"/>
        <family val="2"/>
      </rPr>
      <t>CYLINDER MATE - STANDARD LENGTH MOBILE UNIT (12 PACK)</t>
    </r>
  </si>
  <si>
    <r>
      <rPr>
        <sz val="8"/>
        <color rgb="FF001F5F"/>
        <rFont val="Calibri"/>
        <family val="2"/>
      </rPr>
      <t>CM6000-12</t>
    </r>
  </si>
  <si>
    <r>
      <rPr>
        <b/>
        <u/>
        <sz val="8"/>
        <color rgb="FF001F5F"/>
        <rFont val="Calibri"/>
        <family val="2"/>
      </rPr>
      <t>CYLINDER MATE - STANDARD LENGTH</t>
    </r>
  </si>
  <si>
    <r>
      <rPr>
        <sz val="8"/>
        <color rgb="FF001F5F"/>
        <rFont val="Calibri"/>
        <family val="2"/>
      </rPr>
      <t>CM6000</t>
    </r>
  </si>
  <si>
    <r>
      <rPr>
        <b/>
        <sz val="10.5"/>
        <color rgb="FFFFFFFF"/>
        <rFont val="Calibri"/>
        <family val="2"/>
      </rPr>
      <t>ADDITIONAL PAC PRODUCTS</t>
    </r>
  </si>
  <si>
    <r>
      <rPr>
        <b/>
        <u/>
        <sz val="8"/>
        <color rgb="FF001F5F"/>
        <rFont val="Calibri"/>
        <family val="2"/>
      </rPr>
      <t>STRUT BASE MOUNT</t>
    </r>
  </si>
  <si>
    <r>
      <rPr>
        <b/>
        <u/>
        <sz val="8"/>
        <color rgb="FF001F5F"/>
        <rFont val="Calibri"/>
        <family val="2"/>
      </rPr>
      <t>TOOL WALL POCKET</t>
    </r>
  </si>
  <si>
    <r>
      <rPr>
        <b/>
        <u/>
        <sz val="8"/>
        <color rgb="FF001F5F"/>
        <rFont val="Calibri"/>
        <family val="2"/>
      </rPr>
      <t>MINI HOOK (PAIR)</t>
    </r>
  </si>
  <si>
    <r>
      <rPr>
        <b/>
        <u/>
        <sz val="8"/>
        <color rgb="FF001F5F"/>
        <rFont val="Calibri"/>
        <family val="2"/>
      </rPr>
      <t>MINI LOKS 3/4" (PAIR)</t>
    </r>
  </si>
  <si>
    <r>
      <rPr>
        <b/>
        <u/>
        <sz val="8"/>
        <color rgb="FF001F5F"/>
        <rFont val="Calibri"/>
        <family val="2"/>
      </rPr>
      <t>MINI LOKS 3/8" (PAIR)</t>
    </r>
  </si>
  <si>
    <r>
      <rPr>
        <b/>
        <sz val="8"/>
        <color rgb="FFFF0000"/>
        <rFont val="Calibri"/>
        <family val="2"/>
      </rPr>
      <t xml:space="preserve">* </t>
    </r>
    <r>
      <rPr>
        <b/>
        <u/>
        <sz val="8"/>
        <color rgb="FF001F5F"/>
        <rFont val="Calibri"/>
        <family val="2"/>
      </rPr>
      <t>GRIP MOUNT</t>
    </r>
  </si>
  <si>
    <r>
      <rPr>
        <b/>
        <sz val="8"/>
        <color rgb="FF001F5F"/>
        <rFont val="Calibri"/>
        <family val="2"/>
      </rPr>
      <t>LARGE RECTANGULAR POCKET (3.1X7.5)</t>
    </r>
  </si>
  <si>
    <r>
      <rPr>
        <b/>
        <sz val="8"/>
        <color rgb="FFFF0000"/>
        <rFont val="Calibri"/>
        <family val="2"/>
      </rPr>
      <t xml:space="preserve">* </t>
    </r>
    <r>
      <rPr>
        <b/>
        <u/>
        <sz val="8"/>
        <color rgb="FF001F5F"/>
        <rFont val="Calibri"/>
        <family val="2"/>
      </rPr>
      <t>JUMBO LOK</t>
    </r>
  </si>
  <si>
    <r>
      <rPr>
        <b/>
        <sz val="8"/>
        <color rgb="FFFF0000"/>
        <rFont val="Calibri"/>
        <family val="2"/>
      </rPr>
      <t xml:space="preserve">* </t>
    </r>
    <r>
      <rPr>
        <b/>
        <u/>
        <sz val="8"/>
        <color rgb="FF001F5F"/>
        <rFont val="Calibri"/>
        <family val="2"/>
      </rPr>
      <t>SUPER ADJUSTAMOUNT - FOR UNISTRUT 7062P MOUNTING</t>
    </r>
  </si>
  <si>
    <r>
      <rPr>
        <b/>
        <sz val="8"/>
        <color rgb="FF001F5F"/>
        <rFont val="Calibri"/>
        <family val="2"/>
      </rPr>
      <t>HAND SANITIZER MOUNT (PRICING TBD)</t>
    </r>
  </si>
  <si>
    <r>
      <rPr>
        <sz val="8"/>
        <color rgb="FF001F5F"/>
        <rFont val="Calibri"/>
        <family val="2"/>
      </rPr>
      <t>1048-9</t>
    </r>
  </si>
  <si>
    <r>
      <rPr>
        <b/>
        <u/>
        <sz val="8"/>
        <color rgb="FF001F5F"/>
        <rFont val="Calibri"/>
        <family val="2"/>
      </rPr>
      <t>TRIPLE QUART CAN MOUNT</t>
    </r>
  </si>
  <si>
    <r>
      <rPr>
        <sz val="8"/>
        <color rgb="FF001F5F"/>
        <rFont val="Calibri"/>
        <family val="2"/>
      </rPr>
      <t>1048-5</t>
    </r>
  </si>
  <si>
    <r>
      <rPr>
        <b/>
        <u/>
        <sz val="8"/>
        <color rgb="FF001F5F"/>
        <rFont val="Calibri"/>
        <family val="2"/>
      </rPr>
      <t>TRIPLE AEROSOL CAN MOUNT</t>
    </r>
  </si>
  <si>
    <r>
      <rPr>
        <sz val="8"/>
        <color rgb="FF001F5F"/>
        <rFont val="Calibri"/>
        <family val="2"/>
      </rPr>
      <t>1048-4</t>
    </r>
  </si>
  <si>
    <r>
      <rPr>
        <b/>
        <u/>
        <sz val="8"/>
        <color rgb="FF001F5F"/>
        <rFont val="Calibri"/>
        <family val="2"/>
      </rPr>
      <t>WEDGE POLE GUIDE MOUNT            </t>
    </r>
  </si>
  <si>
    <r>
      <rPr>
        <sz val="8"/>
        <color rgb="FF001F5F"/>
        <rFont val="Calibri"/>
        <family val="2"/>
      </rPr>
      <t>1048-2</t>
    </r>
  </si>
  <si>
    <r>
      <rPr>
        <b/>
        <u/>
        <sz val="8"/>
        <color rgb="FF001F5F"/>
        <rFont val="Calibri"/>
        <family val="2"/>
      </rPr>
      <t>WEDGE POLE REST MOUNT</t>
    </r>
  </si>
  <si>
    <r>
      <rPr>
        <sz val="8"/>
        <color rgb="FF001F5F"/>
        <rFont val="Calibri"/>
        <family val="2"/>
      </rPr>
      <t>1048-1</t>
    </r>
  </si>
  <si>
    <r>
      <rPr>
        <b/>
        <u/>
        <sz val="8"/>
        <color rgb="FF001F5F"/>
        <rFont val="Calibri"/>
        <family val="2"/>
      </rPr>
      <t>RECTANGLE POCKET GALLON</t>
    </r>
  </si>
  <si>
    <r>
      <rPr>
        <sz val="8"/>
        <color rgb="FF001F5F"/>
        <rFont val="Calibri"/>
        <family val="2"/>
      </rPr>
      <t>1047-3</t>
    </r>
  </si>
  <si>
    <r>
      <rPr>
        <b/>
        <u/>
        <sz val="8"/>
        <color rgb="FF001F5F"/>
        <rFont val="Calibri"/>
        <family val="2"/>
      </rPr>
      <t>RECTANGLE POCKET QUART</t>
    </r>
  </si>
  <si>
    <r>
      <rPr>
        <sz val="8"/>
        <color rgb="FF001F5F"/>
        <rFont val="Calibri"/>
        <family val="2"/>
      </rPr>
      <t>1046-1</t>
    </r>
  </si>
  <si>
    <r>
      <rPr>
        <b/>
        <u/>
        <sz val="8"/>
        <color rgb="FF001F5F"/>
        <rFont val="Calibri"/>
        <family val="2"/>
      </rPr>
      <t>4.5 INCH CYLINDER POCKET TALL</t>
    </r>
  </si>
  <si>
    <r>
      <rPr>
        <sz val="8"/>
        <color rgb="FF001F5F"/>
        <rFont val="Calibri"/>
        <family val="2"/>
      </rPr>
      <t>1045-3</t>
    </r>
  </si>
  <si>
    <r>
      <rPr>
        <b/>
        <sz val="8"/>
        <color rgb="FF001F5F"/>
        <rFont val="Calibri"/>
        <family val="2"/>
      </rPr>
      <t>4.5 INCH CYLINDER POCKET MEDIUM</t>
    </r>
  </si>
  <si>
    <r>
      <rPr>
        <sz val="8"/>
        <color rgb="FF001F5F"/>
        <rFont val="Calibri"/>
        <family val="2"/>
      </rPr>
      <t>1045-2</t>
    </r>
  </si>
  <si>
    <r>
      <rPr>
        <b/>
        <u/>
        <sz val="8"/>
        <color rgb="FF001F5F"/>
        <rFont val="Calibri"/>
        <family val="2"/>
      </rPr>
      <t>3.5 INCH CYLINDER POCKET TALL</t>
    </r>
  </si>
  <si>
    <r>
      <rPr>
        <sz val="8"/>
        <color rgb="FF001F5F"/>
        <rFont val="Calibri"/>
        <family val="2"/>
      </rPr>
      <t>1044-3</t>
    </r>
  </si>
  <si>
    <r>
      <rPr>
        <b/>
        <u/>
        <sz val="8"/>
        <color rgb="FF001F5F"/>
        <rFont val="Calibri"/>
        <family val="2"/>
      </rPr>
      <t>3.5 INCH CYLINDER POCKET MED</t>
    </r>
  </si>
  <si>
    <r>
      <rPr>
        <sz val="8"/>
        <color rgb="FF001F5F"/>
        <rFont val="Calibri"/>
        <family val="2"/>
      </rPr>
      <t>1044-2</t>
    </r>
  </si>
  <si>
    <r>
      <rPr>
        <b/>
        <u/>
        <sz val="8"/>
        <color rgb="FF001F5F"/>
        <rFont val="Calibri"/>
        <family val="2"/>
      </rPr>
      <t>2.5 INCH CYLINDER POCKET TALL</t>
    </r>
  </si>
  <si>
    <r>
      <rPr>
        <sz val="8"/>
        <color rgb="FF001F5F"/>
        <rFont val="Calibri"/>
        <family val="2"/>
      </rPr>
      <t>1043-3</t>
    </r>
  </si>
  <si>
    <r>
      <rPr>
        <b/>
        <u/>
        <sz val="8"/>
        <color rgb="FF001F5F"/>
        <rFont val="Calibri"/>
        <family val="2"/>
      </rPr>
      <t>2.5" DUAL ADAPTER LOK (FOR 2 DOUBLE MALE &amp; DOUBLE FEMALE)</t>
    </r>
  </si>
  <si>
    <r>
      <rPr>
        <sz val="8"/>
        <color rgb="FF001F5F"/>
        <rFont val="Calibri"/>
        <family val="2"/>
      </rPr>
      <t>1042-2D</t>
    </r>
  </si>
  <si>
    <r>
      <rPr>
        <b/>
        <u/>
        <sz val="8"/>
        <color rgb="FF001F5F"/>
        <rFont val="Calibri"/>
        <family val="2"/>
      </rPr>
      <t>2.5" ADAPTER LOK (FOR DOUBLE MALE &amp; DOUBLE FEMALE MOUNTS)</t>
    </r>
  </si>
  <si>
    <r>
      <rPr>
        <sz val="8"/>
        <color rgb="FF001F5F"/>
        <rFont val="Calibri"/>
        <family val="2"/>
      </rPr>
      <t>1042-2</t>
    </r>
  </si>
  <si>
    <r>
      <rPr>
        <sz val="8"/>
        <color rgb="FF001F5F"/>
        <rFont val="Calibri"/>
        <family val="2"/>
      </rPr>
      <t>1.5" DUAL ADAPTER LOK (FOR 2 DOUBLE MALE &amp; DOUBLE FEMALE)</t>
    </r>
  </si>
  <si>
    <r>
      <rPr>
        <sz val="8"/>
        <color rgb="FF001F5F"/>
        <rFont val="Calibri"/>
        <family val="2"/>
      </rPr>
      <t>1042-1D</t>
    </r>
  </si>
  <si>
    <r>
      <rPr>
        <b/>
        <u/>
        <sz val="8"/>
        <color rgb="FF001F5F"/>
        <rFont val="Calibri"/>
        <family val="2"/>
      </rPr>
      <t>1.5" ADAPTER LOK (FOR DOUBLE MALE &amp; DOUBLE FEMALE MOUNTS)</t>
    </r>
  </si>
  <si>
    <r>
      <rPr>
        <sz val="8"/>
        <color rgb="FF001F5F"/>
        <rFont val="Calibri"/>
        <family val="2"/>
      </rPr>
      <t>1042-1</t>
    </r>
  </si>
  <si>
    <r>
      <rPr>
        <b/>
        <u/>
        <sz val="8"/>
        <color rgb="FF001F5F"/>
        <rFont val="Calibri"/>
        <family val="2"/>
      </rPr>
      <t>DUAL GAS/OIL POCKET MOUNT</t>
    </r>
  </si>
  <si>
    <r>
      <rPr>
        <sz val="8"/>
        <color rgb="FF001F5F"/>
        <rFont val="Calibri"/>
        <family val="2"/>
      </rPr>
      <t>1041-1</t>
    </r>
  </si>
  <si>
    <r>
      <rPr>
        <b/>
        <u/>
        <sz val="8"/>
        <color rgb="FF001F5F"/>
        <rFont val="Calibri"/>
        <family val="2"/>
      </rPr>
      <t>GAS/OIL POCKET MOUNT</t>
    </r>
  </si>
  <si>
    <r>
      <rPr>
        <b/>
        <u/>
        <sz val="8"/>
        <color rgb="FF001F5F"/>
        <rFont val="Calibri"/>
        <family val="2"/>
      </rPr>
      <t>STORZ LOK 6" MOUNT</t>
    </r>
  </si>
  <si>
    <r>
      <rPr>
        <sz val="8"/>
        <color rgb="FF001F5F"/>
        <rFont val="Calibri"/>
        <family val="2"/>
      </rPr>
      <t>1040-6</t>
    </r>
  </si>
  <si>
    <r>
      <rPr>
        <b/>
        <u/>
        <sz val="8"/>
        <color rgb="FF001F5F"/>
        <rFont val="Calibri"/>
        <family val="2"/>
      </rPr>
      <t>STORZ LOK 5" MOUNT</t>
    </r>
  </si>
  <si>
    <r>
      <rPr>
        <sz val="8"/>
        <color rgb="FF001F5F"/>
        <rFont val="Calibri"/>
        <family val="2"/>
      </rPr>
      <t>1040-5</t>
    </r>
  </si>
  <si>
    <r>
      <rPr>
        <b/>
        <u/>
        <sz val="8"/>
        <color rgb="FF001F5F"/>
        <rFont val="Calibri"/>
        <family val="2"/>
      </rPr>
      <t>STORZ LOK 4" MOUNT</t>
    </r>
  </si>
  <si>
    <r>
      <rPr>
        <sz val="8"/>
        <color rgb="FF001F5F"/>
        <rFont val="Calibri"/>
        <family val="2"/>
      </rPr>
      <t>1040-4</t>
    </r>
  </si>
  <si>
    <r>
      <rPr>
        <b/>
        <u/>
        <sz val="8"/>
        <color rgb="FF001F5F"/>
        <rFont val="Calibri"/>
        <family val="2"/>
      </rPr>
      <t>HEAVY RESCUE BASE MOUNT </t>
    </r>
  </si>
  <si>
    <r>
      <rPr>
        <sz val="8"/>
        <color rgb="FF001F5F"/>
        <rFont val="Calibri"/>
        <family val="2"/>
      </rPr>
      <t>CUP MOUNT</t>
    </r>
  </si>
  <si>
    <r>
      <rPr>
        <b/>
        <u/>
        <sz val="8"/>
        <color rgb="FF001F5F"/>
        <rFont val="Calibri"/>
        <family val="2"/>
      </rPr>
      <t>HOOK MOUNT</t>
    </r>
  </si>
  <si>
    <r>
      <rPr>
        <b/>
        <u/>
        <sz val="8"/>
        <color rgb="FF001F5F"/>
        <rFont val="Calibri"/>
        <family val="2"/>
      </rPr>
      <t>GM - HOOK GREEN</t>
    </r>
  </si>
  <si>
    <r>
      <rPr>
        <sz val="8"/>
        <color rgb="FF001F5F"/>
        <rFont val="Calibri"/>
        <family val="2"/>
      </rPr>
      <t>1028G</t>
    </r>
  </si>
  <si>
    <r>
      <rPr>
        <b/>
        <u/>
        <sz val="8"/>
        <color rgb="FF001F5F"/>
        <rFont val="Calibri"/>
        <family val="2"/>
      </rPr>
      <t>GM - HOOK BLACK</t>
    </r>
  </si>
  <si>
    <r>
      <rPr>
        <b/>
        <u/>
        <sz val="8"/>
        <color rgb="FF001F5F"/>
        <rFont val="Calibri"/>
        <family val="2"/>
      </rPr>
      <t>LOOP HOOK GREEN</t>
    </r>
  </si>
  <si>
    <r>
      <rPr>
        <sz val="8"/>
        <color rgb="FF001F5F"/>
        <rFont val="Calibri"/>
        <family val="2"/>
      </rPr>
      <t>1027G</t>
    </r>
  </si>
  <si>
    <r>
      <rPr>
        <b/>
        <u/>
        <sz val="8"/>
        <color rgb="FF001F5F"/>
        <rFont val="Calibri"/>
        <family val="2"/>
      </rPr>
      <t>LOOP HOOK</t>
    </r>
  </si>
  <si>
    <r>
      <rPr>
        <sz val="8"/>
        <color rgb="FF001F5F"/>
        <rFont val="Calibri"/>
        <family val="2"/>
      </rPr>
      <t>SPREADER BASE POCKET</t>
    </r>
  </si>
  <si>
    <r>
      <rPr>
        <sz val="8"/>
        <color rgb="FF001F5F"/>
        <rFont val="Calibri"/>
        <family val="2"/>
      </rPr>
      <t>TACTICAL PAC STRUT MOUNT KIT</t>
    </r>
  </si>
  <si>
    <r>
      <rPr>
        <sz val="8"/>
        <color rgb="FF001F5F"/>
        <rFont val="Calibri"/>
        <family val="2"/>
      </rPr>
      <t>LE1023</t>
    </r>
  </si>
  <si>
    <r>
      <rPr>
        <sz val="8"/>
        <color rgb="FF001F5F"/>
        <rFont val="Calibri"/>
        <family val="2"/>
      </rPr>
      <t>PAC STRUT MOUNT KIT</t>
    </r>
  </si>
  <si>
    <r>
      <rPr>
        <b/>
        <u/>
        <sz val="8"/>
        <color rgb="FF001F5F"/>
        <rFont val="Calibri"/>
        <family val="2"/>
      </rPr>
      <t>RAM STRUT BASE MOUNT </t>
    </r>
  </si>
  <si>
    <r>
      <rPr>
        <b/>
        <sz val="8"/>
        <color rgb="FFFF0000"/>
        <rFont val="Calibri"/>
        <family val="2"/>
      </rPr>
      <t xml:space="preserve">* </t>
    </r>
    <r>
      <rPr>
        <b/>
        <u/>
        <sz val="8"/>
        <color rgb="FF001F5F"/>
        <rFont val="Calibri"/>
        <family val="2"/>
      </rPr>
      <t>COIL-LOK</t>
    </r>
  </si>
  <si>
    <r>
      <rPr>
        <b/>
        <sz val="8"/>
        <color rgb="FFFF0000"/>
        <rFont val="Calibri"/>
        <family val="2"/>
      </rPr>
      <t xml:space="preserve">* </t>
    </r>
    <r>
      <rPr>
        <b/>
        <u/>
        <sz val="8"/>
        <color rgb="FF001F5F"/>
        <rFont val="Calibri"/>
        <family val="2"/>
      </rPr>
      <t>FAST LOK ADJUSTAMOUNT</t>
    </r>
  </si>
  <si>
    <r>
      <rPr>
        <b/>
        <u/>
        <sz val="8"/>
        <color rgb="FF001F5F"/>
        <rFont val="Calibri"/>
        <family val="2"/>
      </rPr>
      <t>UNIVERSAL HANGER</t>
    </r>
  </si>
  <si>
    <r>
      <rPr>
        <b/>
        <u/>
        <sz val="8"/>
        <color rgb="FF001F5F"/>
        <rFont val="Calibri"/>
        <family val="2"/>
      </rPr>
      <t>HYDRANT WRENCH MOUNT</t>
    </r>
  </si>
  <si>
    <r>
      <rPr>
        <b/>
        <u/>
        <sz val="8"/>
        <color rgb="FF001F5F"/>
        <rFont val="Calibri"/>
        <family val="2"/>
      </rPr>
      <t>SPANNER WRENCH MOUNT</t>
    </r>
  </si>
  <si>
    <r>
      <rPr>
        <b/>
        <u/>
        <sz val="8"/>
        <color rgb="FF001F5F"/>
        <rFont val="Calibri"/>
        <family val="2"/>
      </rPr>
      <t>PICKHEAD AXE HANGER / POCKET</t>
    </r>
  </si>
  <si>
    <r>
      <rPr>
        <b/>
        <u/>
        <sz val="8"/>
        <color rgb="FF001F5F"/>
        <rFont val="Calibri"/>
        <family val="2"/>
      </rPr>
      <t>FLATHEAD AXE HANGER / POCKET</t>
    </r>
  </si>
  <si>
    <r>
      <rPr>
        <b/>
        <u/>
        <sz val="8"/>
        <color rgb="FF001F5F"/>
        <rFont val="Calibri"/>
        <family val="2"/>
      </rPr>
      <t>8 - 12# SLEDGE HANGER / POCKET</t>
    </r>
  </si>
  <si>
    <r>
      <rPr>
        <sz val="8"/>
        <color rgb="FF001F5F"/>
        <rFont val="Calibri"/>
        <family val="2"/>
      </rPr>
      <t>1010-12</t>
    </r>
  </si>
  <si>
    <r>
      <rPr>
        <b/>
        <u/>
        <sz val="8"/>
        <color rgb="FF001F5F"/>
        <rFont val="Calibri"/>
        <family val="2"/>
      </rPr>
      <t>TOOL HANGER</t>
    </r>
  </si>
  <si>
    <r>
      <rPr>
        <b/>
        <u/>
        <sz val="8"/>
        <color rgb="FF16365C"/>
        <rFont val="Calibri"/>
        <family val="2"/>
      </rPr>
      <t>UNIVERSAL MOUNT (3 HOLES)</t>
    </r>
  </si>
  <si>
    <r>
      <rPr>
        <sz val="8"/>
        <color rgb="FF001F5F"/>
        <rFont val="Calibri"/>
        <family val="2"/>
      </rPr>
      <t>1007-3</t>
    </r>
  </si>
  <si>
    <r>
      <rPr>
        <b/>
        <sz val="8"/>
        <color rgb="FFFF0000"/>
        <rFont val="Calibri"/>
        <family val="2"/>
      </rPr>
      <t xml:space="preserve">* </t>
    </r>
    <r>
      <rPr>
        <b/>
        <u/>
        <sz val="8"/>
        <color rgb="FF001F5F"/>
        <rFont val="Calibri"/>
        <family val="2"/>
      </rPr>
      <t>ADJUSTAMOUNT - FOR UNISTRUT 7062P MOUNTING</t>
    </r>
  </si>
  <si>
    <r>
      <rPr>
        <b/>
        <sz val="8"/>
        <color rgb="FFFF0000"/>
        <rFont val="Calibri"/>
        <family val="2"/>
      </rPr>
      <t xml:space="preserve">* </t>
    </r>
    <r>
      <rPr>
        <b/>
        <u/>
        <sz val="8"/>
        <color rgb="FF001F5F"/>
        <rFont val="Calibri"/>
        <family val="2"/>
      </rPr>
      <t>STOW 'N LOK SHORT</t>
    </r>
  </si>
  <si>
    <r>
      <rPr>
        <sz val="8"/>
        <color rgb="FF001F5F"/>
        <rFont val="Calibri"/>
        <family val="2"/>
      </rPr>
      <t>1005S</t>
    </r>
  </si>
  <si>
    <r>
      <rPr>
        <b/>
        <sz val="8"/>
        <color rgb="FFFF0000"/>
        <rFont val="Calibri"/>
        <family val="2"/>
      </rPr>
      <t xml:space="preserve">* </t>
    </r>
    <r>
      <rPr>
        <b/>
        <u/>
        <sz val="8"/>
        <color rgb="FF001F5F"/>
        <rFont val="Calibri"/>
        <family val="2"/>
      </rPr>
      <t>STOW 'N LOK</t>
    </r>
  </si>
  <si>
    <r>
      <rPr>
        <sz val="8"/>
        <color rgb="FF001F5F"/>
        <rFont val="Calibri"/>
        <family val="2"/>
      </rPr>
      <t>OLIVE DRAB HANDLELOK</t>
    </r>
  </si>
  <si>
    <r>
      <rPr>
        <sz val="8"/>
        <color rgb="FF001F5F"/>
        <rFont val="Calibri"/>
        <family val="2"/>
      </rPr>
      <t>OLIVE DRAB</t>
    </r>
  </si>
  <si>
    <r>
      <rPr>
        <sz val="8"/>
        <color rgb="FF001F5F"/>
        <rFont val="Calibri"/>
        <family val="2"/>
      </rPr>
      <t>1004-OD</t>
    </r>
  </si>
  <si>
    <r>
      <rPr>
        <sz val="8"/>
        <color rgb="FF001F5F"/>
        <rFont val="Calibri"/>
        <family val="2"/>
      </rPr>
      <t>DESERT TAN HANDLELOK</t>
    </r>
  </si>
  <si>
    <r>
      <rPr>
        <sz val="8"/>
        <color rgb="FF001F5F"/>
        <rFont val="Calibri"/>
        <family val="2"/>
      </rPr>
      <t>DESERT TAN</t>
    </r>
  </si>
  <si>
    <r>
      <rPr>
        <sz val="8"/>
        <color rgb="FF001F5F"/>
        <rFont val="Calibri"/>
        <family val="2"/>
      </rPr>
      <t>1004-DT</t>
    </r>
  </si>
  <si>
    <r>
      <rPr>
        <b/>
        <sz val="8"/>
        <color rgb="FFFF0000"/>
        <rFont val="Calibri"/>
        <family val="2"/>
      </rPr>
      <t xml:space="preserve">* </t>
    </r>
    <r>
      <rPr>
        <b/>
        <u/>
        <sz val="8"/>
        <color rgb="FF001F5F"/>
        <rFont val="Calibri"/>
        <family val="2"/>
      </rPr>
      <t>HANDLELOK</t>
    </r>
  </si>
  <si>
    <r>
      <rPr>
        <b/>
        <sz val="8"/>
        <color rgb="FFFF0000"/>
        <rFont val="Calibri"/>
        <family val="2"/>
      </rPr>
      <t xml:space="preserve">* </t>
    </r>
    <r>
      <rPr>
        <b/>
        <u/>
        <sz val="8"/>
        <color rgb="FF001F5F"/>
        <rFont val="Calibri"/>
        <family val="2"/>
      </rPr>
      <t>TOOLOK - HEAVY DUTY</t>
    </r>
  </si>
  <si>
    <r>
      <rPr>
        <sz val="8"/>
        <color rgb="FF001F5F"/>
        <rFont val="Calibri"/>
        <family val="2"/>
      </rPr>
      <t>1003-HD</t>
    </r>
  </si>
  <si>
    <r>
      <rPr>
        <b/>
        <sz val="8"/>
        <color rgb="FFFF0000"/>
        <rFont val="Calibri"/>
        <family val="2"/>
      </rPr>
      <t>*</t>
    </r>
    <r>
      <rPr>
        <b/>
        <u/>
        <sz val="8"/>
        <color rgb="FF001F5F"/>
        <rFont val="Calibri"/>
        <family val="2"/>
      </rPr>
      <t> FLEXMOUNT - HD SHORT VERSION</t>
    </r>
  </si>
  <si>
    <r>
      <rPr>
        <sz val="8"/>
        <color rgb="FF001F5F"/>
        <rFont val="Calibri"/>
        <family val="2"/>
      </rPr>
      <t>1002S-HD</t>
    </r>
  </si>
  <si>
    <r>
      <rPr>
        <b/>
        <sz val="8"/>
        <color rgb="FFFF0000"/>
        <rFont val="Calibri"/>
        <family val="2"/>
      </rPr>
      <t xml:space="preserve">* </t>
    </r>
    <r>
      <rPr>
        <b/>
        <u/>
        <sz val="8"/>
        <color rgb="FF001F5F"/>
        <rFont val="Calibri"/>
        <family val="2"/>
      </rPr>
      <t>FLEXMOUNT - HD</t>
    </r>
  </si>
  <si>
    <r>
      <rPr>
        <sz val="8"/>
        <color rgb="FF001F5F"/>
        <rFont val="Calibri"/>
        <family val="2"/>
      </rPr>
      <t>1002-HD</t>
    </r>
  </si>
  <si>
    <r>
      <rPr>
        <b/>
        <u/>
        <sz val="8"/>
        <color rgb="FF001F5F"/>
        <rFont val="Calibri"/>
        <family val="2"/>
      </rPr>
      <t>HOOKLOKS (SOLD IN PAIRS)</t>
    </r>
  </si>
  <si>
    <r>
      <rPr>
        <b/>
        <sz val="10.5"/>
        <color rgb="FFFFFFFF"/>
        <rFont val="Calibri"/>
        <family val="2"/>
      </rPr>
      <t>PAC TOOL MOUNTING BRACKETS</t>
    </r>
  </si>
  <si>
    <t xml:space="preserve">
</t>
  </si>
  <si>
    <r>
      <rPr>
        <sz val="25"/>
        <color rgb="FF1F487C"/>
        <rFont val="Machine-Light"/>
      </rPr>
      <t>PERFORMANCE ADVANTAGE COMPANY</t>
    </r>
  </si>
  <si>
    <t>VALR51J-*****</t>
  </si>
  <si>
    <t>INTG51J-****</t>
  </si>
  <si>
    <t>ALGT53JX-****</t>
  </si>
  <si>
    <t>RLNT48J-****</t>
  </si>
  <si>
    <t>Whelen LINSV2 V-Series Super LED warning light with colored warning and white puddle lamp function. Use mirror housings listed above</t>
  </si>
  <si>
    <t xml:space="preserve">Federal Signal 51" INTEGRITY INTG51, Lightbar, 26 DUAL color LED modules, takedowns, alleys, FSJOIN for full customization,  includes hook kit, Signal Master Arrow functions, cruise, and low power functions.  </t>
  </si>
  <si>
    <t>Whelen Inner Edge DUO  WCX Pkg; FST, RST, Core C399, CCTL5,6 or 7 Control Head and SA315P/U Speaker w/ Bracket</t>
  </si>
  <si>
    <t>Whelen WCX DUO Inner Edge FST  Six 6 Super LED DUO™ Lamps, Upper Front Passenger Side Unit Only Model # BSFW**5</t>
  </si>
  <si>
    <t xml:space="preserve">Whelen WCX DUO Inner Edge FST Twelve Super LED DUO™ Lamps, Upper Front Two Piece Unit, Individual Driver and Passenger Side Units Model # BSFW**X </t>
  </si>
  <si>
    <t>Whelen Rear Hatch Outer Edge Model OEWS** (Specify Tahoe or Interceptor) Dual color, BLUE/Amber</t>
  </si>
  <si>
    <t>Whelen LED flat lighter series Blue &amp; Red, model # FLLEDBR</t>
  </si>
  <si>
    <t xml:space="preserve">Whelen RST WCX Series Dual Color Super LED Rear Facing Light Array, 8 DUO ISD* Lamp Model # BS# </t>
  </si>
  <si>
    <t>Whelen RST Series Dual Color Super LED Rear Facing Light Array, 10 Lamp model # BS#Z</t>
  </si>
  <si>
    <t>Whelen RST Series Dual Color Super LED Rear Facing Light Array, 12 Lamp model # BS#12</t>
  </si>
  <si>
    <t>Whelen Dominator series Super LED rear deck (6) lamp system model # DP6</t>
  </si>
  <si>
    <t>Whelen Dominator series Super LED rear deck (8) lamp system model # DP8</t>
  </si>
  <si>
    <t>CNSMJ8F/R-*</t>
  </si>
  <si>
    <t>CNSMJ4F/R-*</t>
  </si>
  <si>
    <t xml:space="preserve">Federal Signal (2) MPS63U-XXX Micro Pulse Ultra 6.  Ultra Low Profile TRI-color light head.  Can be used with internal or external flashing.  25 flash patterns, and multi unit sync or alternating.   Includes (2) light heads </t>
  </si>
  <si>
    <t>Price Discussion</t>
  </si>
  <si>
    <t>Whelen LED Vertex hideaway system Pair</t>
  </si>
  <si>
    <t>Whelen Pioneer Micro Bail Mount Black Pair</t>
  </si>
  <si>
    <t>Flashers, Interior Lights and Flashlights</t>
  </si>
  <si>
    <t>FL*</t>
  </si>
  <si>
    <t xml:space="preserve">CargoRAXX  2011-2023 Dodge Durango Pursuit - Large (43'' wide) </t>
  </si>
  <si>
    <t>CargoRAXX  2020-2025 Ford PIU - Large (43'' wide)</t>
  </si>
  <si>
    <t>CargoRAXX  2021-2025 Tahoe - Large (43'' wide)</t>
  </si>
  <si>
    <t>CargoRAXX  2025+  Ford Expedition - Large (43'' wide)</t>
  </si>
  <si>
    <t>CargoRAXX  Large or Standard halligan, 2 flare boxes, extinguisher, caution tape and reflective tape</t>
  </si>
  <si>
    <t xml:space="preserve">CargoRAXX Standalone Electronics Box and Door Panel </t>
  </si>
  <si>
    <t>CargoRAXX Flare / Glove Container (for large CargoRAXX) - Holds up to 12 flares or glove box</t>
  </si>
  <si>
    <t xml:space="preserve">CargoRAXX Two Flare / Glove Box Containers (for large CargoRAXX) </t>
  </si>
  <si>
    <t>CargoRAXX Fire Extinguisher Mount (5 and 10 lb)</t>
  </si>
  <si>
    <t>CargoRAXX Caution Tape Holder</t>
  </si>
  <si>
    <t xml:space="preserve">CargoRAXX Standard Entry Tool Mount - 5/8’’ – 1-3/8’’ handle thickness (stainless steel Halligan)  </t>
  </si>
  <si>
    <t>CargoRAXX Large Entry Tool Mount - 1’’-2.25’’ handle thickness (rubber handle mounts, sledgehammers, axes)</t>
  </si>
  <si>
    <t>CargoRAXX Universal Utility/Weapons Drawer - Mounts Under S3B, S4C, S4D and LB Series</t>
  </si>
  <si>
    <t>Blac-Rac - KIT-WRS 1082-E-AR, Electronic, 8-Second Delay, 18" T-Channel (25018), Cold Wire (29002),  with 2 MA209 keys</t>
  </si>
  <si>
    <t>Blac-Rac - KIT-WRS 4130-E, Electronic, 8 Second Delay, 18" T-Channel (25018), Cold Wire (29002) Upper Bracket (27600), Lower Bracket (27610), Buttstock Boot (27620), with 2 MA209 keys</t>
  </si>
  <si>
    <t>Federal Signal CN Signalmaster 4 Head Front or Rear Model Tri-Color</t>
  </si>
  <si>
    <t>Federal Signal CN Siglalmaster 8 Head Front or Rear Model Tri-Color</t>
  </si>
  <si>
    <t>SoundOff Signal 26" 4 Head Rear mPower Traffic Controller Dual Color</t>
  </si>
  <si>
    <t>SoundOff Signal 33" 5 Head Rear mPower Traffic Controller Dual Color</t>
  </si>
  <si>
    <t>SoundOff Signal 39" 6 Head Rear mPower Traffic Controller Dual Color</t>
  </si>
  <si>
    <t>SoundOff Signal 52" 8 Head Rear mPower Traffic Controller Dual Color</t>
  </si>
  <si>
    <t>SoundOff Signal 64" 10 Head Rear mPower Traffic Controller Dual Color</t>
  </si>
  <si>
    <t>Westin Push Bumper Elite Dodge Durango 2020+  Police Pursuit Vehicle  Black</t>
  </si>
  <si>
    <t>ADD (1) PF400S17BRK - Pathfiner 400 watt quad tone siren, 17 button multi-color w/rotary ctrl, includes TWO siren speakers (choice ES100C or AS124), and speaker bracket package - add Rumbler speakers without the need for secondary AMP</t>
  </si>
  <si>
    <t>ADD (1) PF400QS17BRK - Pathfiner 400 watt quad tone siren with Q-TONE built in, 17 button multi-color w/rotary ctrl, includes TWO siren speakers (choice ES100C or AS124), and speaker bracket package - Add Rumbler without the need for secondary AMP</t>
  </si>
  <si>
    <t>ADD (1) PF400H or R - Pathfiner 400 watt quad tone siren, hand-held or remote rotary ctrl, includes TWO siren speakers (choice ES100C or AS124), and speaker bracket package - add Rumbler speakers without the need for secondary AMP</t>
  </si>
  <si>
    <t xml:space="preserve">ADD (1) PF400QH or R- Pathfiner 400 watt quad tone siren with Q-TONE built in, Hand Held or remote rotary ctrl, includes TWO siren speakers (choice ES100C or AS124), and speaker bracket package - Add Rumbler without the need for secondary AMP </t>
  </si>
  <si>
    <t>807-0002-00</t>
  </si>
  <si>
    <t>806-0022-00</t>
  </si>
  <si>
    <t>805-0022-00</t>
  </si>
  <si>
    <t>Stalker DSR2X-I/F</t>
  </si>
  <si>
    <t>Stalker DSR2ka</t>
  </si>
  <si>
    <t>Stalker Dual 2ka</t>
  </si>
  <si>
    <t>803-0005-00</t>
  </si>
  <si>
    <t>803-0002-00</t>
  </si>
  <si>
    <t>Stalker SII-SDR</t>
  </si>
  <si>
    <t>Stalker SII-MDR</t>
  </si>
  <si>
    <t>Bid Price</t>
  </si>
  <si>
    <t>Tariff Increase 30%</t>
  </si>
  <si>
    <t>Tariff Increase 29%</t>
  </si>
  <si>
    <t>Tariff Increase 28%</t>
  </si>
  <si>
    <t>Tariff Increase 27%</t>
  </si>
  <si>
    <t>Tariff Increase 26%</t>
  </si>
  <si>
    <t>Tariff Increase 25%</t>
  </si>
  <si>
    <t>Tariff Increase 24%</t>
  </si>
  <si>
    <t>Tariff Increase 23%</t>
  </si>
  <si>
    <t>Tariff Increase 22%</t>
  </si>
  <si>
    <t>Tariff Increase 21%</t>
  </si>
  <si>
    <t>Tariff Increase 20%</t>
  </si>
  <si>
    <t>Tariff Increase 19%</t>
  </si>
  <si>
    <t>Tariff Increase 18%</t>
  </si>
  <si>
    <t>Tariff Increase 17%</t>
  </si>
  <si>
    <t>Tariff Increase 16%</t>
  </si>
  <si>
    <t>Tariff Increase 15%</t>
  </si>
  <si>
    <t>Tariff Increase 14%</t>
  </si>
  <si>
    <t>Tariff Increase 13%</t>
  </si>
  <si>
    <t>Tariff Increase 12%</t>
  </si>
  <si>
    <t>Tariff Increase 11%</t>
  </si>
  <si>
    <t>Tariff Increase 10%</t>
  </si>
  <si>
    <t>Tariff Increase 9%</t>
  </si>
  <si>
    <t>Tariff Increase 8%</t>
  </si>
  <si>
    <t>Tariff Increase 7%</t>
  </si>
  <si>
    <t>Tariff Increase 6%</t>
  </si>
  <si>
    <t>Tariff Increase 5%</t>
  </si>
  <si>
    <t>Tariff Increase 4%</t>
  </si>
  <si>
    <t>Tariff Increase 3%</t>
  </si>
  <si>
    <t>Tariff Increase 2%</t>
  </si>
  <si>
    <t>Tariff Increase 1%</t>
  </si>
  <si>
    <t>Unit Price</t>
  </si>
  <si>
    <t>Item #</t>
  </si>
  <si>
    <t xml:space="preserve">Tariff Increases </t>
  </si>
  <si>
    <t>Aftermarket Equipment - Public Safety</t>
  </si>
  <si>
    <t xml:space="preserve">Front bumper add-on winch tray; accommodates up to 9,500lbs </t>
  </si>
  <si>
    <t>PB-UNIV-UPRLRG-WTA</t>
  </si>
  <si>
    <t>Universal push bumper light bracket 45 degree placement on side of push bumpers to give it more of an angle. *Order in quantities of two. This item is not sold as a set*</t>
  </si>
  <si>
    <t>PB-UBKT-LT</t>
  </si>
  <si>
    <t>2021-25 Durango upright with mounting kit, wire covers and four light channel bracket</t>
  </si>
  <si>
    <t>PB-21DR-UPRSML-LT4</t>
  </si>
  <si>
    <t>2021-25 Durango upright with mounting kit, wire covers and two light channel bracket</t>
  </si>
  <si>
    <t>PB-21DR-UPRSML-LT2</t>
  </si>
  <si>
    <t>2023-25 Silverado 1500 upright with mounting kit, wire covers and four light channel bracket</t>
  </si>
  <si>
    <t>PB-23S1-UPRLRG-LT4</t>
  </si>
  <si>
    <t>2023-25 Silverado 1500 upright with mounting kit, wire covers and two light channel bracket</t>
  </si>
  <si>
    <t>PB-23S1-UPRLRG-LT2</t>
  </si>
  <si>
    <t>2021-25 Tahoe upright with mounting kit, wire covers and four light channel bracket</t>
  </si>
  <si>
    <t>PB-21TH-UPRLRG-LT4</t>
  </si>
  <si>
    <t>2021-25 Tahoe upright with mounting kit, wire covers and two light channel bracket</t>
  </si>
  <si>
    <t>PB-21TH-UPRLRG-LT2</t>
  </si>
  <si>
    <t>2021-25 F150 upright with mounting kit, wire covers and four light channel bracket</t>
  </si>
  <si>
    <t>PB-21F1-UPRLRG-LT4</t>
  </si>
  <si>
    <t>2021-25 F150 upright with mounting kit, wire covers and two light channel bracket</t>
  </si>
  <si>
    <t>PB-21F1-UPRLRG-LT2</t>
  </si>
  <si>
    <t>2018-25 Expedition upright with mounting kit, wire covers and four light channel bracket</t>
  </si>
  <si>
    <t>PB-18XP-UPRLRG-LT4</t>
  </si>
  <si>
    <t>2018-25 Expedition upright with mounting kit, wire covers and two light channel bracket</t>
  </si>
  <si>
    <t>PB-18XP-UPRLRG-LT2</t>
  </si>
  <si>
    <t>2020-25 PI Utility upright with mounting kit, wire covers and four light channel bracket</t>
  </si>
  <si>
    <t>PB-20UV-UPRSML-LT4</t>
  </si>
  <si>
    <t>2020-25 PI Utility upright with mounting kit, wire covers and two light channel bracket</t>
  </si>
  <si>
    <t>PB-20UV-UPRSML-LT2</t>
  </si>
  <si>
    <t>2021-25 Dodge Durango upright with mounting kit and solid top channel cover</t>
  </si>
  <si>
    <t>PB-21DR-UPRS</t>
  </si>
  <si>
    <t>2023-25 Chevy Silverado 1500 upright with mounting kit and solid top channel cover (Not compatiable with 2019-22 models)</t>
  </si>
  <si>
    <t>PB-23S1-UPRS</t>
  </si>
  <si>
    <t>2021-25 Chevy Tahoe upright with mounting kit and solid top channel cover</t>
  </si>
  <si>
    <t>PB-21TH-UPRS</t>
  </si>
  <si>
    <t>2021-25 Ford F150 upright with mounting kit and solid top channel cover</t>
  </si>
  <si>
    <t>PB-21F1-UPRS</t>
  </si>
  <si>
    <t>2018-25 Ford Expedition upright with mounting kit and solid top channel cover</t>
  </si>
  <si>
    <t>PB-18XP-UPRS</t>
  </si>
  <si>
    <t>2020-25 Ford PIU upright with mounting kit and solid top channel cover</t>
  </si>
  <si>
    <t>PB-20UV-UPRS</t>
  </si>
  <si>
    <t xml:space="preserve">2020-24 Charger trunk organizer with compartments and one lidded compartment. Backside bracket provided to secure the organizer in place. </t>
  </si>
  <si>
    <t>AC-CHG-MCTO</t>
  </si>
  <si>
    <t>2020-24 Charger passenger-side wheel-well flip-down electronics tray (21.75"W x 19"H)</t>
  </si>
  <si>
    <t>AC-CH11T-PS</t>
  </si>
  <si>
    <t>2020-24 Charger driver-side wheel-well flip-down electronics tray (21.7"W x 18.93"H)</t>
  </si>
  <si>
    <t>AC-CH11T-DS</t>
  </si>
  <si>
    <t>2020-24 Charger 4-piece height adjustible mounting brackets for AC-TRAY-38 full-size tray</t>
  </si>
  <si>
    <t>AC-CH11TT-38</t>
  </si>
  <si>
    <t>Sedan trunk full-width electronics tray.  Mounting surface: 35.4"W x 19.4"L</t>
  </si>
  <si>
    <t>AC-TRAY-38</t>
  </si>
  <si>
    <t>2020-24 Charger 3-piece height adjustible mounting brackets for AC-TRAY-CH50 half-size tray</t>
  </si>
  <si>
    <t>AC-CH11TT-50</t>
  </si>
  <si>
    <t>Half-size electronics tray. Mounting surface area: 14.5" x 19.5."</t>
  </si>
  <si>
    <t>AC-TRAY-CH50</t>
  </si>
  <si>
    <t>48"W x 56"L x 16"H;  two drawer weather resistant vault with push button lock, two locking T-handles and wood lining. For truck beds 5.5' to 6'</t>
  </si>
  <si>
    <t>CP-2D-485616-WRW-PB</t>
  </si>
  <si>
    <t>48"W x 56"L x 16"H; two drawer weather resistant vault with two locking T-handles, weatherproof trim seal, protective coating, built in heavy duty slides; mounts to OEM anchor points. For truck beds 5.5' to  6'</t>
  </si>
  <si>
    <t xml:space="preserve">CP-2D-485616-WR </t>
  </si>
  <si>
    <t>48"W x 40"L x 16"H; two drawer weather resistant vault with two locking T-handles, weatherproof trim seal, protective coating, built in heavy duty slides; mounts to OEM anchor points. For truck beds 5.5' to  6'</t>
  </si>
  <si>
    <t xml:space="preserve">CP-2D-484016-WR </t>
  </si>
  <si>
    <t>48"W x 36"L x 16"H; two drawer weather resistant vault with two locking T-handles, weatherproof trim seal, protective coating, built in heavy duty slides; mounts to OEM anchor points. For truck beds 5.5' to  6'</t>
  </si>
  <si>
    <t xml:space="preserve">CP-2D-483616-WR </t>
  </si>
  <si>
    <t>22"W x 72"L x 10"H; 72" full extension truck bed drawer with one lockable T-handle, insert foam pad; mounts to OEM anchor points used on F250 truck bed. For truck beds 5.5' to  6'</t>
  </si>
  <si>
    <t xml:space="preserve">CP-227210-TL </t>
  </si>
  <si>
    <t>Universal Cargo Accessory Molle Pan with Open Storage for Trucks</t>
  </si>
  <si>
    <t>CP-U-MOLLE-PAN</t>
  </si>
  <si>
    <t>40”W x 60”L universal bed slide accessory tray</t>
  </si>
  <si>
    <t xml:space="preserve">CP-U-4060-TRAY </t>
  </si>
  <si>
    <t>40”W x 30”L universal bed slide accessory tray</t>
  </si>
  <si>
    <t xml:space="preserve">CP-U-4030-TRAY </t>
  </si>
  <si>
    <t>2021-25 F250 | 2021-25 F350 Truck bed side custom cabinets; driver side features 5" of face plate mounting space, vertical side drawer, lidded compartment, and battery holder. Passenger side features 18" of face plate mounting space, lidded compartment, and battery holder</t>
  </si>
  <si>
    <t>CP-21F2-2C-307547-FP</t>
  </si>
  <si>
    <t>2021-25 Chevrolet Silverado 2500; Truck bed command post and cabinets; two side cabinets, one center command post with drawers, center shelf and top cover</t>
  </si>
  <si>
    <t xml:space="preserve">KIT-21S2-2C-CPTV </t>
  </si>
  <si>
    <t>2021-25 F250 | 2021-25 F350; Truck bed command post with two drawers, two side cabinets, center shelf with top cover</t>
  </si>
  <si>
    <t xml:space="preserve">KIT-21F2-2C-CPTV </t>
  </si>
  <si>
    <t xml:space="preserve">2021-25 F150 Truck bed center command post with drawers, TV mount, white board, two side cabinets and 40"x 30" bed slide tray </t>
  </si>
  <si>
    <t>KIT-21F1-2C-CPTV</t>
  </si>
  <si>
    <t>2021-25 Chevrolet Silverado 1500 5' Truck bed cargo heavy-duty slide and vehicle-specific side mounts. Includes universal bed slide and vehicle specific mounts.</t>
  </si>
  <si>
    <t xml:space="preserve">KT-21S1-BEDSLD </t>
  </si>
  <si>
    <t>2021-25 F150 5' Truck bed cargo heavy-duty slide and vehicle-specific side mounts. Includes universal bed slide and vehicle specific mounts.</t>
  </si>
  <si>
    <t>KT-21F1-BEDSLD</t>
  </si>
  <si>
    <t xml:space="preserve">22"W x 30"L  slide-out tray mounts to the top of TROY box with a minimum length of 32" and no top trim. </t>
  </si>
  <si>
    <t xml:space="preserve">CP-UNIV-SLTRAY </t>
  </si>
  <si>
    <t>28.5"W x 18"L x 2.4"H; full-size top-mounted, slides out and down in front of command post</t>
  </si>
  <si>
    <t xml:space="preserve">CP-2SUAC MS </t>
  </si>
  <si>
    <t>38.2"W x 18"L x 2.5"H; full-size top-mounted, slides out and down in front of command post</t>
  </si>
  <si>
    <t xml:space="preserve">CP-2SUAC </t>
  </si>
  <si>
    <t>36"W x 12"L, full-size low-profile pop-up whiteboard (use when command post sits on gun box)</t>
  </si>
  <si>
    <t xml:space="preserve">CP-FSWB-GS-SH </t>
  </si>
  <si>
    <t>36"W x 16"L, full-size pop-up whiteboard, mounts to top of full-size command post</t>
  </si>
  <si>
    <t>CP-FSWB-GS</t>
  </si>
  <si>
    <t>33 W x 16"L, full-size pop-up command post whiteboard accessory</t>
  </si>
  <si>
    <t xml:space="preserve">CP-FSWB-MFD </t>
  </si>
  <si>
    <t>23.5"W x 12 L, mid-size low-profile pop-up whiteboard (use when command post sits on gun box)</t>
  </si>
  <si>
    <t xml:space="preserve">CP-MSWB-GS-SH </t>
  </si>
  <si>
    <t>29"W x 12"L, mid-size pop-up whiteboard, mounts to top of command post</t>
  </si>
  <si>
    <t xml:space="preserve">CP-MSWB-GS </t>
  </si>
  <si>
    <t>22"W x 22"L x 6"H; map drawer module</t>
  </si>
  <si>
    <t xml:space="preserve">CP-MD-22 </t>
  </si>
  <si>
    <t>22"W x 22"L x 6"H; single whiteboard module</t>
  </si>
  <si>
    <t xml:space="preserve">CP-WB-22 </t>
  </si>
  <si>
    <t>44"W x 22"L x 7"H; command post module with computer tray and whiteboard</t>
  </si>
  <si>
    <t xml:space="preserve">CP-4422-CTRY-WB </t>
  </si>
  <si>
    <t>44"W x 22"L; full-size single whiteboard-drawer module (compatible with CP-2D-4422-MWFP)</t>
  </si>
  <si>
    <t xml:space="preserve">CP-WB-4422 </t>
  </si>
  <si>
    <t>44"W x 22"L x 5.25"H; full-size single map-drawer module</t>
  </si>
  <si>
    <t xml:space="preserve">CP-MD-4422 </t>
  </si>
  <si>
    <t>47"W x 23.46"L x 5.25"H; full-size lockout slide map drawer module</t>
  </si>
  <si>
    <t xml:space="preserve">CP-MD-4722 </t>
  </si>
  <si>
    <t>48.5"W x 22"L x 6.3"H; full-size slide out whiteboard-drawer module</t>
  </si>
  <si>
    <t xml:space="preserve">CP-2SU95-WBM </t>
  </si>
  <si>
    <t>48"W x 22"L x 5.25"H; single map-drawer module</t>
  </si>
  <si>
    <t xml:space="preserve">CP-MD-4822 </t>
  </si>
  <si>
    <t>44"W x 22"L x 12"H; three drawer module (two storage drawers, one file drawer, 10" face plate area). Face plates included.</t>
  </si>
  <si>
    <t xml:space="preserve">CP-3D-442212 </t>
  </si>
  <si>
    <t>44"W x 22"L x 12"H; single file drawer module, computer tray, and 10" FP area (Compatible with 2021 Tahoe)</t>
  </si>
  <si>
    <t xml:space="preserve">CP-1FD-4422-MWFP </t>
  </si>
  <si>
    <t>48.5"W x 22"L x 14"H; custom: two storage drawers, 12x12 open area; file drawer; 10" face plate area.  Face plates included.</t>
  </si>
  <si>
    <t xml:space="preserve">CP-FS-3D-22-RB </t>
  </si>
  <si>
    <t>48.5"W x 22"L x 12"H; computer slide-out tray, two stacked storage drawers, 10" face plate area. Face plates included.</t>
  </si>
  <si>
    <t xml:space="preserve">CP-FS-MW2D-22 </t>
  </si>
  <si>
    <t>48.5"W x 22"L x 13"H; three drawer module (two storage drawers, one file drawer with 10" face plate area). Face plates included.</t>
  </si>
  <si>
    <t xml:space="preserve">CP-FS-3D-22 </t>
  </si>
  <si>
    <t>39"W x 30"L x 5.25"H; mid-size single whiteboard-drawer module</t>
  </si>
  <si>
    <t xml:space="preserve">CP-MS-1MD-30 </t>
  </si>
  <si>
    <t>39"W x 22"L x 6.375"H; mid-size single whiteboard-drawer module</t>
  </si>
  <si>
    <t xml:space="preserve">CP-MS1-WB </t>
  </si>
  <si>
    <t>39"W x 30 L x 12"H; mid-size, three drawer module (two equal-size storage drawers, one file drawer)  No face plate area.</t>
  </si>
  <si>
    <t xml:space="preserve">CP-MS-3DNFP-30 </t>
  </si>
  <si>
    <t>39"W x 22"L x 12"H; mid-size three-drawer module (two storage and one file drawer)</t>
  </si>
  <si>
    <t xml:space="preserve">CP-MS-3D-22 </t>
  </si>
  <si>
    <t>39"W x 22"L x 7"H; mid-size two storage-drawer module, 5" face plate mounting area. Low-profile module.</t>
  </si>
  <si>
    <t xml:space="preserve">CP-MS-2D7-22 </t>
  </si>
  <si>
    <t>24"W x 22"L x 12"H; Tall box with T-handle locking draw latch, 1.5" trim and carpet on top</t>
  </si>
  <si>
    <t xml:space="preserve">CP-GB242212-T </t>
  </si>
  <si>
    <t>24"W x 22"L x 18"H; Bottom: File drawer, 10" face plate area; Top: Map drawer with poly lid</t>
  </si>
  <si>
    <t xml:space="preserve">CP-FS50 </t>
  </si>
  <si>
    <t xml:space="preserve">44"W x 28.5"L x 23"H; three drawer command post, top drawer, pop-up whiteboard, I-Key monitor and keyboard mount, middle storage drawer, bottom storage drawer with push button lock  </t>
  </si>
  <si>
    <t xml:space="preserve">CP-UNIV-442923-3DPB-IK </t>
  </si>
  <si>
    <t>44"W x 22"L x 18"H; Top: computer slide-out tray, one drawer, 10" face plate area; Bottom: one map drawer</t>
  </si>
  <si>
    <t xml:space="preserve">CP-1FD-4422-MWFP-MD </t>
  </si>
  <si>
    <t>48"W x 36"L x 26.5"H; two drawers, one slide-out 3-drawer module with whiteboard easel; computer tray, 15" face plate area</t>
  </si>
  <si>
    <t xml:space="preserve">CP-KC-COMMAND </t>
  </si>
  <si>
    <t>48"W x 33"L x 28.2"H; two storage drawers; 3-drawer slide-out; map drawer module; slide tray, 18" face plate area, trim</t>
  </si>
  <si>
    <t xml:space="preserve">CP-OC-COMMAND </t>
  </si>
  <si>
    <t>48"W x 30"L x 20.7"H; storage drawer, file drawer; 3-drawer slide-out module; 15" face plate area; access panel</t>
  </si>
  <si>
    <t xml:space="preserve">CP-SD-COMMAND </t>
  </si>
  <si>
    <t>48.5"W x 22"L x 18"H; dual map-drawer module, computer tray, file drawer with 10" face plate area</t>
  </si>
  <si>
    <t xml:space="preserve">CP-2SU95-MW </t>
  </si>
  <si>
    <t>48.5"W x 22"L x 17"H; Bottom: Computer Slide-out tray, two drawers, 10" face plate area; Top: one map drawer and one whiteboard drawer</t>
  </si>
  <si>
    <t xml:space="preserve">CP-FSMW-MDWB </t>
  </si>
  <si>
    <t>43"W x 43"L x 24"H; three drawer, 1.5" trim, T-handles and push button lock on each drawer, includes explosive compartment with wood divider and key override. Designed for SWAT.</t>
  </si>
  <si>
    <t xml:space="preserve">CP-434324-3DWR-EXPL </t>
  </si>
  <si>
    <t>44"W x 30"L x 12"H Full-size storage drawer featuring two modulars configured into one unit. Larger drawer includes two lockable T-handles and one punch button.  Smaller electronics drawer with one lockable T-handle, includes ventilation louvers. Compatible with Expedition and Tahoe.</t>
  </si>
  <si>
    <t>CP-2DE-443012-PB</t>
  </si>
  <si>
    <t>44"W x 36"L x 25.5"H; three file drawers, 12" face plate, slide-out module whiteboard easel and driver side diamond-plated open space. Compatible with 2021-25 Tahoe.</t>
  </si>
  <si>
    <t>CP-443625-WB</t>
  </si>
  <si>
    <t>44"W x 39"L x 21"H; three drawer box with push button lock</t>
  </si>
  <si>
    <t xml:space="preserve">CP-3D-443921-PB </t>
  </si>
  <si>
    <t>44"W x 22"L x 17"H; storage drawers, file drawer, 10" face plate mounting area. Compatible with Tahoe and Suburban.</t>
  </si>
  <si>
    <t xml:space="preserve">CP-3D-442217-MD </t>
  </si>
  <si>
    <t>44"W x 22"L x 17"H; two storage drawers, one file drawer, one map drawer on bottom, 10" face plate mounting area. Compatible with Tahoe and Suburban.</t>
  </si>
  <si>
    <t xml:space="preserve">CP-3D-442217-MD-B </t>
  </si>
  <si>
    <t>44"W x 22"L x 12"H; computer slide-out tray, two stacked storage drawers, 10" face plate area. Face plates included. Compatible with Tahoe.</t>
  </si>
  <si>
    <t xml:space="preserve">CP-2D-4422-MWFP </t>
  </si>
  <si>
    <t>46"W x 36"L x 25"H; command post with hinged drawer face whiteboard drawer. Compatible with Tahoe.</t>
  </si>
  <si>
    <t xml:space="preserve">CP-3D-463625-WB-MD </t>
  </si>
  <si>
    <t>46"W x 30"L x 23"H; three drawer command post, top drawer with push button lock, middle drawer with whiteboard and computer tray. Compatible with Tahoe and Suburban.</t>
  </si>
  <si>
    <t xml:space="preserve">CP-3D-443023-WB </t>
  </si>
  <si>
    <t>46"W x 37"L x 26"H; five drawer scale storage box, stows up to 8 scales, 1.5" trim on top. Compatible with Tahoe and Suburban.</t>
  </si>
  <si>
    <t xml:space="preserve">CP-5D-4737-SCALE </t>
  </si>
  <si>
    <t>47"W x 36"L x 22"H; Full-size command post with two bottom drawers, work surface/drawer, top drawer, file drawer, 6" face plate area for Ford Expedition</t>
  </si>
  <si>
    <t xml:space="preserve">CP-EXP18-VC-COMMAND </t>
  </si>
  <si>
    <t>47"W x 35"L x 12"H; Full-size dual storage drawer featuring two lockable T-handles, foam pad insert and carpet on top. Compatible with Expedition and Tahoe.</t>
  </si>
  <si>
    <t>CP-473512-2D-TL</t>
  </si>
  <si>
    <t>48"W x 36"L x 25.5"H; Full-size command post with storage drawers and large pop-up whiteboard in drawer. Only works in Expedition and trucks.</t>
  </si>
  <si>
    <t xml:space="preserve">CP-FS3D-WB1 </t>
  </si>
  <si>
    <t>48.5"W x 30"L x 18"H; three drawer module with 10" face plate area; whiteboard and map drawer modules. Only works in Expedition and Trucks.</t>
  </si>
  <si>
    <t xml:space="preserve">CP-FS-3DMWB-30 </t>
  </si>
  <si>
    <t>48.5"W x 30"L x 17"H; Bottom: large storage drawer, file drawer, 10" face plate area; Top: one map drawer, custom drawer. Only works in Expedition and Trucks.</t>
  </si>
  <si>
    <t xml:space="preserve">CP-FSMD1-3D-30 </t>
  </si>
  <si>
    <t>48.5"W x 22"L x 18"H; three drawer module with 10" face plate area, two map-drawer modules. Face plates included. Only works in Expedition and Trucks.</t>
  </si>
  <si>
    <t xml:space="preserve">CP-FS3DMD-WB </t>
  </si>
  <si>
    <t>48.5"W x 22"L x 17"H; map drawer module; two storage drawers with lock-out slides and 10" face plate area. Only works in Expedition and trucks.</t>
  </si>
  <si>
    <t xml:space="preserve">CP-FS-3D-17 </t>
  </si>
  <si>
    <t>48.5"W x 22"L x 18"H; Bottom: three drawer module with 10" face plate area; Top: single whiteboard module. Only works in Expedition and trucks.</t>
  </si>
  <si>
    <t xml:space="preserve">CP-CFS1-WB </t>
  </si>
  <si>
    <t>48.5"W x 22"L x 18"H; Full-size, storage drawers, file drawer, one map drawer, 10" face plate mounting area. Only works in Expedition and trucks.</t>
  </si>
  <si>
    <t xml:space="preserve">CP-2SU95-FS1 </t>
  </si>
  <si>
    <t>48.5"W x 22"L x 18"H; three drawer module. Two storage drawers, one file drawer, 10" face plate mounting area. Only works in Expedition and trucks.</t>
  </si>
  <si>
    <t xml:space="preserve">CP-2SU95 </t>
  </si>
  <si>
    <t>40"W x 30"L x 28"H; bottom whiteboard drawer with two storage drawers, and three 6" face plate areas</t>
  </si>
  <si>
    <t>CP-FQ-403021</t>
  </si>
  <si>
    <t>40"W x 36"L x 17.25"H; mid-size, storage drawers, face plate mounting, sliding computer tray</t>
  </si>
  <si>
    <t xml:space="preserve">CP-UV-COMMAND </t>
  </si>
  <si>
    <t>39"W x 30"L x 17.3"H; single map-drawer module, 3-drawer module with 10" face plate area</t>
  </si>
  <si>
    <t xml:space="preserve">CP-MS-3DMD-30 </t>
  </si>
  <si>
    <t>39"W x 30"L x 17.3"H; 3-drawer module, no face plate area and single map drawer module</t>
  </si>
  <si>
    <t xml:space="preserve">CP-3D-MS1-30 </t>
  </si>
  <si>
    <t>39"W x 22"L x 18"H; gun box with push buttonlock, storage drawer, 5" face plate area and single map-drawer module</t>
  </si>
  <si>
    <t>CP-UV-GB1DMS1</t>
  </si>
  <si>
    <t>39"W x 22"L x 17.3"H; whiteboard pop-up drawer with tray, storage drawer and 10" face plate area</t>
  </si>
  <si>
    <t xml:space="preserve">CP-MS-UV-1DWB </t>
  </si>
  <si>
    <t>39"W x 22"L x 18"H; 3-drawer module, 10" face plate area and single whiteboard module</t>
  </si>
  <si>
    <t xml:space="preserve">CP-CMS1-WB </t>
  </si>
  <si>
    <t>39"W x 22"L x 17.5"H; 3-drawer module, 10" face plate area and single map drawer module</t>
  </si>
  <si>
    <t xml:space="preserve">CP-2SU95-MS1 </t>
  </si>
  <si>
    <t xml:space="preserve">39"W x 22"L x 12"H with two storage drawers, 5" face plate area and single map-drawer module </t>
  </si>
  <si>
    <t xml:space="preserve">CP-MS12D-FP </t>
  </si>
  <si>
    <t>39"W x 30"L x 19.37"H weapon box on bottom, whiteboard module on top, trim pre-punched with holes</t>
  </si>
  <si>
    <t xml:space="preserve">CP-3930-MS1-WB </t>
  </si>
  <si>
    <t xml:space="preserve">40"W x 34"L x 24"H Single drawer drone box with white board storage unit, monitor cabinet and small electronics box </t>
  </si>
  <si>
    <t>CP-403424-DRN-WBTV</t>
  </si>
  <si>
    <t>44"W x 24"L x 14"H Drone Command Post storage drawer with 1" foam inside, one push button lock with key override, side box storage drawer with one T-handle, bottom pull out drawer fits up to a 40" TV and a working surface with rubber pad.</t>
  </si>
  <si>
    <t>CP-442414-TVDRN</t>
  </si>
  <si>
    <t>40"W x 34"L Single drawer drone box with one locking T-handle, 1.5" foam insert; bottom section features an electronics tray with ventilation louvers and one locking T-handle.  Features slide-out cabinet for a 32" TV and top mounted 22"W x 29"L storage box with locking slides. Police Interceptor Utility setup use with low profile cargo mount | Tahoe setup okay to use with tilt-up mount. Command Post assembly includes:  CP-302434-DRN, SB-22629-LS, CP-32TV-HSL.</t>
  </si>
  <si>
    <t xml:space="preserve">CP-4030-TVDRN </t>
  </si>
  <si>
    <t>22"W x 29"L x 6"H, Storage box includes one locking T-handle, 1.5" foam insert, slides lock into position to hold and secure in place when slide is at full extension.</t>
  </si>
  <si>
    <t xml:space="preserve">SB-22629-LS </t>
  </si>
  <si>
    <t xml:space="preserve">30"W x 34"L x 24"H, Drone box single drawer includes one locking T-handle, 1.5" foam insert; bottom section features an electronics tray with ventilation louvers and one locking T-handle   </t>
  </si>
  <si>
    <t xml:space="preserve">CP-302434-DRN </t>
  </si>
  <si>
    <t xml:space="preserve">10”W x 34”L x 24”H, Command post 32"TV slide-out cabinet, arm adjustability from 0-90º degrees, max articulation arm extension 28 ¼”. Due to the design mechanism, heavier TV’s may tilt down on the arm once extended. </t>
  </si>
  <si>
    <t xml:space="preserve">CP-32TV-HSL </t>
  </si>
  <si>
    <t>Laptop tray designed to mount to work surface of command post CP-GB4030-TV-WSWB</t>
  </si>
  <si>
    <t xml:space="preserve">AC-CP-WSWB-LT </t>
  </si>
  <si>
    <t>40"W x 30"L x 23"H; one TV drawer on top (currently designed to work with a Samsung 32" model #QN32Q50R), one storage drawer with 1" foam, drawer latch handles and cypher lock; bottom whiteboard pop-up drawer is recessed to allow work surface space. (Optional add-on AC-CP-WSWB-LT Laptop tray with carpet for work surface)</t>
  </si>
  <si>
    <t xml:space="preserve">CP-GB4030-TV-WSWB </t>
  </si>
  <si>
    <t xml:space="preserve">40"W x 30"L x 16"H; one TV drawer on top (currently designed to work with a Samsung 40",model #UN40N5200AF), two storage drawers each with a latch handle, bottom whiteboard pop-up drawer and three sections of 4" face plate mounting space </t>
  </si>
  <si>
    <t xml:space="preserve">CP-403016-2FD-MD-TV </t>
  </si>
  <si>
    <t>40"W x 30"L x 23"H; one TV drawer on top (currently designed to work with a Samsung 32" model #QN32Q50R), one storage drawer with 1" foam, drawer latch handles and cypher lock; bottom whiteboard pop-up drawer</t>
  </si>
  <si>
    <t xml:space="preserve">CP-GB4030-TV-WB </t>
  </si>
  <si>
    <t>40"W x 30"L x 12"H with two draw latch locking handles, slide-out tray with two handles and carpet top</t>
  </si>
  <si>
    <t xml:space="preserve">CP-TRAY-403012 </t>
  </si>
  <si>
    <t>48"W x 38"L x 24"H; one low-profile drawer, two tall drawers side by side, push button locks, trim piece and access panel</t>
  </si>
  <si>
    <t xml:space="preserve">CP-483824-PB3 </t>
  </si>
  <si>
    <t>48"W x 39"L x 21"H; one drawer at bottom; tow drawers side by side on top; push-button locks, 9 cargo rings</t>
  </si>
  <si>
    <t xml:space="preserve">CP-3DRWR-PB3 </t>
  </si>
  <si>
    <t>42"W x 28"L x 29"H with 3-drawers weapon box with push button lock in each drawer (compatible with 2021-25 Tahoe)</t>
  </si>
  <si>
    <t xml:space="preserve">CP-3D-422829-PB </t>
  </si>
  <si>
    <t>48.5"W x 22"L x 29.5"H with 3 drawers: one vest drawer (13") and two weapon drawers (6.5" each); 1" trim</t>
  </si>
  <si>
    <t xml:space="preserve">CP-SWAT-3DPB </t>
  </si>
  <si>
    <t>39"W x 22"L x 26"H with push button lock; three stacked drawers (bottom drawer 13", 2 drawers 6.5" each)</t>
  </si>
  <si>
    <t xml:space="preserve">CP-3926-3DPB </t>
  </si>
  <si>
    <t>36"W x 29.8"L x 28"H with push button lock; three stacked drawers (bottom drawer 12", 2 drawers 7" each)</t>
  </si>
  <si>
    <t xml:space="preserve">CP-SWAT-UV </t>
  </si>
  <si>
    <t>50"W x 61"L x 14.75"H for Expedition EL; Bottom box: 61"L x 9"H; Top box:  40"L x 14.75"H. 4-sided trim.</t>
  </si>
  <si>
    <t xml:space="preserve">CP-482D-SWAT </t>
  </si>
  <si>
    <t>48"W x 37"L x 10 H (driver side only), 2" trim on passenger side. Carpeted area includes four cargo rings. Milk crates.</t>
  </si>
  <si>
    <t xml:space="preserve">CP-2D-4837-LIP </t>
  </si>
  <si>
    <t>44"W x 30"L x 18"H with push button, draw latch and two stacked drawers</t>
  </si>
  <si>
    <t xml:space="preserve">CP-GB2D-4430PB2 </t>
  </si>
  <si>
    <t>30"W x 35 L x 22"H custom UV cabinet; 11" bottom drawer, 5"H top drawer, draw latch handles and 3-sided trim</t>
  </si>
  <si>
    <t xml:space="preserve">CP-2D-303517-L </t>
  </si>
  <si>
    <t xml:space="preserve">40"W x 22"L x 10"H; 2-drawer side by side weapon box, with T-handles and push button locks. Compatible with Durango cargo deck Part Number: EM-21DUR-CRGDCK-STRG </t>
  </si>
  <si>
    <t>CP-UNIV-402210-2DWR-PB2</t>
  </si>
  <si>
    <t>48"W x 42"L x 10"H with push button lock with key override and two drawers side by side</t>
  </si>
  <si>
    <t xml:space="preserve">CP-2D-484210PBK </t>
  </si>
  <si>
    <t>48"W x 35"L x 12"H with push button lock and two drawers side by side</t>
  </si>
  <si>
    <t xml:space="preserve">CP-483512-2D-PB </t>
  </si>
  <si>
    <t>48.75"W x 35"L x 9"H with two push button locks and two drawers side by side</t>
  </si>
  <si>
    <t>CP-48359-2D-PB2</t>
  </si>
  <si>
    <t>48"W x 33"L x 18"H with push button lock and two tall drawers side by side</t>
  </si>
  <si>
    <t xml:space="preserve">CP-2D-483318-PB </t>
  </si>
  <si>
    <t>48.5"W x 22"L x 11"H with push button lock with key override and two drawers side by side</t>
  </si>
  <si>
    <t xml:space="preserve">CP-2DRAWER-PBK </t>
  </si>
  <si>
    <t>48.5"W x 22"L x 11"H with T-handle lock and two drawers side by side</t>
  </si>
  <si>
    <t xml:space="preserve">CP-2DRAWER </t>
  </si>
  <si>
    <t>40"W x 38"L x 12"H with push button lock and two drawers side by side</t>
  </si>
  <si>
    <t xml:space="preserve">CP-2D-403812-PB </t>
  </si>
  <si>
    <t>40"W x 38"L x 10"H with push button lock and two drawers side by side</t>
  </si>
  <si>
    <t xml:space="preserve">CP-2DRWR-MS-PB2 </t>
  </si>
  <si>
    <t>40"W x 38"L x 10"H with two draw latch handles per drawer. Two drawers side by side</t>
  </si>
  <si>
    <t xml:space="preserve">CP-2DRWR-MS </t>
  </si>
  <si>
    <t>40"W x 34"L x 12"H with unequal-size drawers, large drawer for six (6) plano boxes and push button locks with key override</t>
  </si>
  <si>
    <t>CP-2D-403412-PBK2</t>
  </si>
  <si>
    <t>48.4"W x 56"L x 12"H with two cam locks and one draw latch locking handle</t>
  </si>
  <si>
    <t xml:space="preserve">CP-GB4856-12 </t>
  </si>
  <si>
    <t xml:space="preserve">48"W x 40"L x 12"H with push-button key override lock, T-handles and 1.5” lip </t>
  </si>
  <si>
    <t>CP-GB484012-T-PBK</t>
  </si>
  <si>
    <t>48"W x 40"L x 12"H with push-button lock, two draw latch locking handles and carpet top</t>
  </si>
  <si>
    <t xml:space="preserve">CP-GB484012-PB </t>
  </si>
  <si>
    <t>48"W x 40"L x 12"H with two draw latch locking handles and carpet top</t>
  </si>
  <si>
    <t xml:space="preserve">CP-GB4840-12 </t>
  </si>
  <si>
    <t>48"W x 35"L x 12"H with push-button lock, two draw latch locking handles and carpet top</t>
  </si>
  <si>
    <t xml:space="preserve">CP-483512-PB </t>
  </si>
  <si>
    <t>48"W x 35"L x 12"H with two draw latch locking handles and carpet top</t>
  </si>
  <si>
    <t>CP-483512-DL</t>
  </si>
  <si>
    <t>48"W x 33"L x 18"H with two draw latch locking handles and carpet top</t>
  </si>
  <si>
    <t>CP-GB4818-TL</t>
  </si>
  <si>
    <t>48"W x 33"L x 18"H with push-button lock, two draw latch locking handles and carpet top</t>
  </si>
  <si>
    <t xml:space="preserve">CP-GB4818-PB </t>
  </si>
  <si>
    <t>48"W x 33"L X 18"H with two draw latch locking handles, 1" trim and carpet top</t>
  </si>
  <si>
    <t xml:space="preserve">CP-483318-TL </t>
  </si>
  <si>
    <t xml:space="preserve">48"W x 32"L x 12"H with two draw latch locking handles and carpet top </t>
  </si>
  <si>
    <t>CP-GB483212-TL</t>
  </si>
  <si>
    <t>48.4"W x 27"L x 12 H with two draw latch locking handles and carpet top</t>
  </si>
  <si>
    <t xml:space="preserve">CP-GB482712-TL </t>
  </si>
  <si>
    <t>48.5"W x 22.75"L x 10"H with two draw latch locking handles</t>
  </si>
  <si>
    <t xml:space="preserve">CP-GUNBOX-10 </t>
  </si>
  <si>
    <t>48.5"W x 22"L x 65"H with two draw latch locking handles</t>
  </si>
  <si>
    <t xml:space="preserve">CP-GUNBOX </t>
  </si>
  <si>
    <t xml:space="preserve">48"W x 22"L x 65"H with push-button lock and two draw latch locking handles  </t>
  </si>
  <si>
    <t xml:space="preserve">CP-GB48-PB </t>
  </si>
  <si>
    <t>44"W x 32"L x 12"H with push button lock, two draw latch handles, carpet top, 1.5" trim and foam inside drawer (compatible with 2021-25 Tahoe)</t>
  </si>
  <si>
    <t>CP-GB443212-PB-T</t>
  </si>
  <si>
    <t>44"W x 32"L x 12"H with push button lock, two draw latch handles, carpet top and foam inside drawer (compatible with 2021-25 Tahoe)</t>
  </si>
  <si>
    <t>CP-GB443212-PB</t>
  </si>
  <si>
    <t>44"W x 34"L x 12"H with push button key override lock, two draw latch handles, 1.5" trim, lock-out slides, carpeted top and carpet inside drawer (compatible with 2021-25 Tahoe)</t>
  </si>
  <si>
    <t xml:space="preserve">CP-GB443412-C-PBK-T </t>
  </si>
  <si>
    <t>44"W x 40"L x 12"H with push button key override lock, two draw latch handles, 1.5" trim, lock-out slides, carpeted top and carpet inside drawer</t>
  </si>
  <si>
    <t xml:space="preserve">CP-GB444012-C-PBK-T </t>
  </si>
  <si>
    <t>44"W x 30"L x 11"H with push button lock and two draw latch locking handles</t>
  </si>
  <si>
    <t xml:space="preserve">CP-GB4430-PB </t>
  </si>
  <si>
    <t>44"W x 32"L x 12"H with two draw latch locking handles and carpet top</t>
  </si>
  <si>
    <t>CP-GB443212-TL</t>
  </si>
  <si>
    <t>44"W x 38"L x 11"H with two cam locks, one draw latch locking handle and carpet top</t>
  </si>
  <si>
    <t xml:space="preserve">CP-GB4438-TL </t>
  </si>
  <si>
    <t>44"W x 32"L x 12"H with two draw-tight locking handles and push-button lock (compatible with 2021-25 Tahoe)</t>
  </si>
  <si>
    <t>44"W x 29"L x 14.5"H with foam pad insert, two lockable T-handles and 1.5" trim around all four corners (compatible with 2021-25 Tahoe)</t>
  </si>
  <si>
    <t>CP-GB442914-LIP</t>
  </si>
  <si>
    <t>44"W x 29"L x 14.5"H with push button lock, two draw latch locking handles, 2" trim and carpet top</t>
  </si>
  <si>
    <t xml:space="preserve">CP-4429-PB-LIP </t>
  </si>
  <si>
    <t>44"W x 24"L x 8"H with 1.5" trim, two draw latch locking handles. Bolts to CP-UV20-MNT-EB/ CP-21TH-MNT-EB sold separately</t>
  </si>
  <si>
    <t>CP-GB44248-T3</t>
  </si>
  <si>
    <t>44"W x 24"L x 8"H with two draw latch locking handles, push button lock, 1" foam insert and 1.5" trim and carpet on top. Bolts to top of elevated frame: Ford PI &gt; CP-UV20-MNT-EB and Chevy Tahoe &gt; CP-21TH-MNT-EB sold separately</t>
  </si>
  <si>
    <t xml:space="preserve">CP-GB44248PB-T </t>
  </si>
  <si>
    <t>44"W x 24"L x 8"H with push button lock. Bolts to top of elevated frame: CP-UV20-MNT-EB/ CP-21TH-MNT-EB sold separately</t>
  </si>
  <si>
    <t>CP-GB44248-PB</t>
  </si>
  <si>
    <t>44"W x 24"L x 8"H with two draw latch locking handles. Bolts to top of elevated frame: CP-UV20-MNT-EB/ CP-21TH-MNT-EB sold separately</t>
  </si>
  <si>
    <t xml:space="preserve">CP-GB44248-TL </t>
  </si>
  <si>
    <t>44"W x 22.75"L x 65"H with push button lock, two draw latch handles and carpet top</t>
  </si>
  <si>
    <t xml:space="preserve">CP-GBCAB-44-PB </t>
  </si>
  <si>
    <t>44"W x 22.75"L x 65"H with two draw latch locking handles and carpet top</t>
  </si>
  <si>
    <t>CP-GBCAB-44</t>
  </si>
  <si>
    <t>40"W x 50"L x 18"H with push button lock, two draw latch handles, 4" trim, lock-out slides, carpeted top, carpet inside drawer</t>
  </si>
  <si>
    <t xml:space="preserve">CP-GB405018-PB-T </t>
  </si>
  <si>
    <t>40"W x 40"L x 15"H with push button lock, two draw latch locking handles and carpet top</t>
  </si>
  <si>
    <t xml:space="preserve">CP-GB404015-PB </t>
  </si>
  <si>
    <t>40"W x 32"L x 12"H with push button lock, two draw latch locking handles, two non-adjustable dividers, driver side storage length-wise and carpet top</t>
  </si>
  <si>
    <t>CP-403212TL-IPD</t>
  </si>
  <si>
    <t>40"W x 32"L x 12"H with two draw latch locking handles and carpet top</t>
  </si>
  <si>
    <t>CP-GB403212-TL</t>
  </si>
  <si>
    <t>40"W x 32"L x 12"H with push button lock with key override, two draw latch locking handles, 1.5" trim punched with bungee-cord holes and carpet top</t>
  </si>
  <si>
    <t>CP-GB403212-PBK-LIP</t>
  </si>
  <si>
    <t>40"W x 32"L x 12"H with push button lock with key override, two draw latch locking handles and carpet top</t>
  </si>
  <si>
    <t>CP-GB403212-PBK</t>
  </si>
  <si>
    <t>40"W x 32"L x 12"H with push button lock, two draw latch locking handles and carpet top</t>
  </si>
  <si>
    <t>CP-GB403212-PB</t>
  </si>
  <si>
    <t>40"W x 32"L x 12"H with two draw latch locking handles, 1.5" trim punched with bungee-cord holes and carpet top</t>
  </si>
  <si>
    <t>CP-GB403212-LIP</t>
  </si>
  <si>
    <t>40"W x 32"L x 6.5"H with push button lock, two draw latch locking handles and carpet top</t>
  </si>
  <si>
    <t xml:space="preserve">CP-GB403265-PB </t>
  </si>
  <si>
    <t>40"W x 30"L x 11"H with push button lock, two draw latch locking handles and carpet top</t>
  </si>
  <si>
    <t xml:space="preserve">CP-GB403011-PB </t>
  </si>
  <si>
    <t>40"W x 28"L x 12"H with two draw latch locking handles</t>
  </si>
  <si>
    <t>CP-GB402812-TL</t>
  </si>
  <si>
    <t>40"W x 22"L x 12"H with two draw latch locking handles, push button lock, locking drawer slides, foam insert, 1.5" trim and carpet on top</t>
  </si>
  <si>
    <t>CP-GB402212-PBK-LSD-T</t>
  </si>
  <si>
    <t>40"W x 22"L x 12"H with two draw latch locking handles and 1.5" trim on top</t>
  </si>
  <si>
    <t xml:space="preserve">CP-GB402212-T </t>
  </si>
  <si>
    <t>40"W x 22.75"L x 6.5"H with two draw latch locking handles</t>
  </si>
  <si>
    <t>CP-GBCAB-40</t>
  </si>
  <si>
    <t>40"W x 22"L x 6.5"H with push button lock, two draw latch locking handles and carpet top</t>
  </si>
  <si>
    <t xml:space="preserve">CP-GB40-PB </t>
  </si>
  <si>
    <t>39"W x 30"L x 11"H with two draw latch locking handles</t>
  </si>
  <si>
    <t>CP-GB3930-11</t>
  </si>
  <si>
    <t>39"W x 22.75"L x 8.5"H with push button lock and two draw latch locking handles</t>
  </si>
  <si>
    <t xml:space="preserve">CP-GB3985-PB </t>
  </si>
  <si>
    <t>39"W x 22.75"L x 6.5"H with push button lock and two draw latch locking handles</t>
  </si>
  <si>
    <t xml:space="preserve">CP-GB39-PB </t>
  </si>
  <si>
    <t xml:space="preserve">39"W x 22.75"L x 6.5"H with two draw latch locking handles         </t>
  </si>
  <si>
    <t>CP-GUNBOX-MS</t>
  </si>
  <si>
    <t>39"W x 22"L x 6.5"H with two draw latch locking handles. Made of aluminum.</t>
  </si>
  <si>
    <t xml:space="preserve">CP-AL-GUNBOX-MS </t>
  </si>
  <si>
    <t>39"W x 26"L x 12"H with two draw latch locking handles, 1.5" trim punched with bungee-cord holes</t>
  </si>
  <si>
    <t>CP-GB392612-LIP</t>
  </si>
  <si>
    <t>39"W x 22"L x 16.75"H with two draw latch locking handles</t>
  </si>
  <si>
    <t xml:space="preserve">CP-GB392216-TL </t>
  </si>
  <si>
    <t>37 W x 34"L x 11"H with push-button lock, two draw latch locking handles and carpet top</t>
  </si>
  <si>
    <t xml:space="preserve">CP-GB373411-PB </t>
  </si>
  <si>
    <t>37"W x 22.75"L x 95"H with two draw latch locking handles</t>
  </si>
  <si>
    <t xml:space="preserve">CP-GB3795-TL </t>
  </si>
  <si>
    <t>37"W x 22.75"L x 95"H with push-button lock and two draw latch locking handles</t>
  </si>
  <si>
    <t xml:space="preserve">CP-GB3795-PB </t>
  </si>
  <si>
    <t>37"W x 22.75"L x 65"H with push-button lock and two draw latch locking handles</t>
  </si>
  <si>
    <t xml:space="preserve">CP-GB37-PB </t>
  </si>
  <si>
    <t>13"W x 24"L x 10"H single drawer with draw latch handles and 2" lip</t>
  </si>
  <si>
    <t>CP-GB132410-T</t>
  </si>
  <si>
    <t>20"W x 22"L x 12"H with one draw-tight locking handle and one push-button lock. (compatible with 2020-25 Ford PIU)</t>
  </si>
  <si>
    <t xml:space="preserve">CP-GB202212-PB </t>
  </si>
  <si>
    <t>20"W x 34"L x 12"H with one push-button lock and two draw-latch handles. Features lock-out tabbed slides.</t>
  </si>
  <si>
    <t xml:space="preserve">CP-GB203412-PB </t>
  </si>
  <si>
    <t>20"W x 32"L x 12 H with one draw-latch handle</t>
  </si>
  <si>
    <t>CP-GB203212-TL</t>
  </si>
  <si>
    <t>40"W x 20"L x 20"H lidded box with two cam locks and two gas struts</t>
  </si>
  <si>
    <t xml:space="preserve">CP-40-2020-GS </t>
  </si>
  <si>
    <t>37.25"W x 14.12"L x 10.1"H lidded gun box with two cam locks, two gas struts and one slanted divider plate</t>
  </si>
  <si>
    <t xml:space="preserve">CP-GUNSAFE05 </t>
  </si>
  <si>
    <t>37.25"W x 15"L x 6"H lidded gun box with two cam locks and one gas strut</t>
  </si>
  <si>
    <t xml:space="preserve">CP-AR-37156-TL </t>
  </si>
  <si>
    <t>37.5"W x 14"L x 6"H with two cam locks and one gas strut</t>
  </si>
  <si>
    <t xml:space="preserve">CP-AR-37146-TL </t>
  </si>
  <si>
    <t>37"W x 14"L x 6"H with two cam locks, one push-button lock and two gas struts</t>
  </si>
  <si>
    <t xml:space="preserve">CP-AR-37146-PB </t>
  </si>
  <si>
    <t>36.25"W x 18"L x 10"H; Tall lidded gun box with two cam locks; gas strut. Cargo rings on side and rear walls</t>
  </si>
  <si>
    <t xml:space="preserve">CP-AR-361810-TL </t>
  </si>
  <si>
    <t>14.3"W x 37"L x 10"H cam lock; gas strut. Hinge at near center. Install length- or width-wise</t>
  </si>
  <si>
    <t xml:space="preserve">CP-GB1437 </t>
  </si>
  <si>
    <t>Eco Line Aluminum Storage Box 29"W x 13"H x 30"L three drawer box with open storage compartment on driver side</t>
  </si>
  <si>
    <t xml:space="preserve">CP-ECO-3D-291330 </t>
  </si>
  <si>
    <t>Eco Line Aluminum Storage Box 26"W x 35"H x 20"L dual drawer box with 1.5" trim on top, bottom drawer for electronics (compatible with 2021-25 Chevy Tahoe)</t>
  </si>
  <si>
    <t xml:space="preserve">SB-ECO-2D-2635 </t>
  </si>
  <si>
    <t>Eco Line Aluminum Storage Box 26"W x 35"L x 20"H dual drawer box with open storage compartment on driver side for Stop sticks, top 1.5" trim and bottom drawer (compatible with 2021-25 Chevy Tahoe)</t>
  </si>
  <si>
    <t>SB-ECO-2D-2635-GP</t>
  </si>
  <si>
    <t>Eco Line Aluminum Storage Box 26"W x 35"L x 20"H dual drawer box with tactical ballistic shield, with open storage compartment on driver side and 1.5" trim on top</t>
  </si>
  <si>
    <t>SB-ECO-2D-2635-T</t>
  </si>
  <si>
    <t>Eco Line Aluminum Storage Box 38"W x 24"L x 22"H dual drawer box with two draw-tight locking handles and combo lock, top 1.5" lip anf bottom drawer</t>
  </si>
  <si>
    <t>SB-ECO-2D-382422-CBL</t>
  </si>
  <si>
    <t>Eco Line Aluminum Storage Box 38"W x 24"L x 22"H dual drawer box with two draw-tight locking handles, top 1.5" lip and bottom drawer (compatible with 2020-25 Ford PIU)</t>
  </si>
  <si>
    <t>SB-ECO-2D-382422</t>
  </si>
  <si>
    <t>Eco Line Aluminum Storage Box 47"W x 37"L x 7"H with two lockable draw latches and rubber mat in drawer (fits in Tahoe, Suburban and Expedition)</t>
  </si>
  <si>
    <t>SB-ECO47377</t>
  </si>
  <si>
    <t>Eco Line Aluminum Storage Box 47"W x 36"L x 12"H with three-sided 1.5" trim, two lockable draw latches and rubber mat in drawer (fits in Tahoe, Suburban and Expedition)</t>
  </si>
  <si>
    <t>SB-ECO473612-T</t>
  </si>
  <si>
    <t>Eco Line Aluminum Storage Box 44"W x 24"L x 8"H with 1.5" 4-sided trim, two draw-tight locking handles, carpet top and rubber mat (compatible with 2020-25 Ford PIU and Tahoe)</t>
  </si>
  <si>
    <t>SB-ECO44248T-LIP</t>
  </si>
  <si>
    <t>Eco Line Aluminum Storage Box 44”W x 24”L x 8”H with 1.5” trim, two draw-tight locking handles, carpet top and rubber mat inside of drawer (compatible with 2020-25 Ford PIU)</t>
  </si>
  <si>
    <t xml:space="preserve">SB-ECO44248-T </t>
  </si>
  <si>
    <t>Eco Line Aluminum Storage Box 42"W x 20"L x 13"H with 3-sided 1.5" trim, two lockable draw latches and rubber mat in drawer (fits in Durango, PIU, Civilian)</t>
  </si>
  <si>
    <t>SB-ECO422013-T</t>
  </si>
  <si>
    <t>Eco Line Aluminum Storage Box 42"W x 19"L x 6"H with two dividers, two lockable draw latches and rubber mat in drawer (fits in Durango, PIU, Civilian)</t>
  </si>
  <si>
    <t>SB-ECO42196</t>
  </si>
  <si>
    <t xml:space="preserve">2021-25 Durango horizontal elevated deck with adjustable divider, bolts to Durango rear cages. </t>
  </si>
  <si>
    <t>CP-21DUR-R-DECK</t>
  </si>
  <si>
    <t xml:space="preserve">2021-25 Tahoe horizontal elevated deck with adjustable divider, bolts to Tahoe rear cages. </t>
  </si>
  <si>
    <t>CP-21TH-R-DECK</t>
  </si>
  <si>
    <t>2021-25 Tahoe cargo organizer; 35"W x 12"L x 47"H with divider walls</t>
  </si>
  <si>
    <t>CP-21TH-CO</t>
  </si>
  <si>
    <t>2020-25 PIU Utility three shelf system with top two height adjustable. Sliding trays include two black handles</t>
  </si>
  <si>
    <t>CP-20UV-2S-BCEHS</t>
  </si>
  <si>
    <t>2020-25 PIU Utility horizontal elevated deck with adjustable divider, bolts to PI Utility rear cages.</t>
  </si>
  <si>
    <t>CP-UV20-R-DECK</t>
  </si>
  <si>
    <t>Cargo organizer with lidded weapon compartment; 40"W x 27"L x 12"H. Additional lid sold separately (Part no. AC-CVTO-LID).</t>
  </si>
  <si>
    <t>AC-CVLTBOX</t>
  </si>
  <si>
    <t>Cargo organizer with three dividers to create maximum of four compartments; 28"W x 16"L x 12"H.  Dividers ship loose.</t>
  </si>
  <si>
    <t>CP-UV-CO</t>
  </si>
  <si>
    <t xml:space="preserve">36"W x 20"L x 6"H lidded electronics box with removable tray. Use in SUV cargo area. </t>
  </si>
  <si>
    <t xml:space="preserve">CP-EBOX-T </t>
  </si>
  <si>
    <t>40"W x 18"L x 6.5"H lidded electronics box with gas strut. Use in SUV cargo area.</t>
  </si>
  <si>
    <t>CP-EB-401865-L</t>
  </si>
  <si>
    <t xml:space="preserve">43"W x  6.5"L x 18"H with louvers on top and side walls. Equipment mounts to double wall lid. </t>
  </si>
  <si>
    <t>AC-TP-E-TRAY</t>
  </si>
  <si>
    <t xml:space="preserve">30.5"W x 6.1"L x 11.2"H electronics box with hinged lid and louvered sides. Bolts to any cargo partition.  </t>
  </si>
  <si>
    <t>AC-TP-TRAY</t>
  </si>
  <si>
    <t>2021-25 Durango SSV/PPV cargo mount, 5-piece system (compatible with prisoner plastic seat. Maximum depth is 27")</t>
  </si>
  <si>
    <t>CP-21DUR-CG-MNT</t>
  </si>
  <si>
    <t>2018-25 Durango SSV/PPV cargo mount, 5-piece system (compatible with OEM seat. Maximum depth is 31")</t>
  </si>
  <si>
    <t>CP-DG-CG-MNT</t>
  </si>
  <si>
    <t>2021-25 Durango Electronic Storage Tray (compatible with CP-21DURCG-MNT and CP-DG-CG-MNT)</t>
  </si>
  <si>
    <t>AC-21DUR-TRAY</t>
  </si>
  <si>
    <t>2021-25 Durango Cargo Deck System features a lidded storage tray and includes a pull-out electronics drawer with a compression latch and lift turn lock</t>
  </si>
  <si>
    <t>EM-21DUR-CRGDCK-STRG</t>
  </si>
  <si>
    <t>2021-24 Suburban command post mount, 4 piece system</t>
  </si>
  <si>
    <t>EM-21SB-CPTMNT</t>
  </si>
  <si>
    <t>2021-25 Tahoe Cargo Deck front storage compartment with lid. Features lift out storage tray, electronics drawer, weapon drawer and equipped with push button lock. Also features passenger and driver flare boxes and rubber mat on top for extra grip.</t>
  </si>
  <si>
    <t>EM-21TH-CRGDCK-2DWR-STRG</t>
  </si>
  <si>
    <t>2021-25 Tahoe Cargo Deck system with stop stick storage, electronics tray, and weapon drawer. Features a push-button lock, side flare boxes, lift-out tray, and rubber mat on the deck top for a non-slip surface. Designed to accommodate K9 transport boxes.</t>
  </si>
  <si>
    <t xml:space="preserve">EM-21TH-CRGDCK-SSTK-2DWR-K9 </t>
  </si>
  <si>
    <t>2021-25 Tahoe Cargo Deck Stop Stick Storage with electronics and weapon drawer push-button lock, flare boxes and rubber mat top.</t>
  </si>
  <si>
    <t xml:space="preserve">EM-21TH-CRGDCK-SSTK-2DWR </t>
  </si>
  <si>
    <t>2021-25 Tahoe Cargo Deck Stop Stick Storage with electronics and weapon drawer with draw latch handles, flare boxes and rubber mat top.</t>
  </si>
  <si>
    <t xml:space="preserve">EM-21TH-CRGDCK-SSTK-2DWR-TL </t>
  </si>
  <si>
    <t>2021-25  Tahoe elevated mounting platform for storage vaults (works with CP-GB44248-T3) Works with 44"W x 14"H / 40"W x 20"H; Any depth greater than 24” will have an overhang. Depths greater than 30” are not advised.</t>
  </si>
  <si>
    <t>CP-21TH-MNT-EB</t>
  </si>
  <si>
    <t>2021-25  Tahoe electronics cover with vents for elevated frame CP-21TH-MNT-EB. Does not work with AC-EB-SL-TRAY</t>
  </si>
  <si>
    <t>AC-21TH-EB-COVER</t>
  </si>
  <si>
    <t>2021-25  Tahoe elevated frame kit to include CP-21TH-MNT-EB, AC-EB-SL-TRAY, AC-EB-TRAY-FENCE.</t>
  </si>
  <si>
    <t>KIT-CP-21TH-EB-TRAY</t>
  </si>
  <si>
    <t>2021-25  Tahoe half-width cargo mount, moves vaults to the passenger-side for better battery access (works with ECO line SB-ECO-2D-2635-GP)</t>
  </si>
  <si>
    <t>SB-21TH-2635-MNT</t>
  </si>
  <si>
    <t xml:space="preserve">2021-25 Tahoe tilt-up cargo mount with electronics tray, 5-piece system; features 2" wire-pass through hole on the side wall of tilt mount making it easy to pass through a harness.  </t>
  </si>
  <si>
    <t>AC-21TH-CPMNT-T</t>
  </si>
  <si>
    <t>2021-25 Tahoe cargo mount, 4-piece system</t>
  </si>
  <si>
    <t>AC-21TH-CPMNT</t>
  </si>
  <si>
    <t>2019-25 Silverado 1500, under seat storage box mount brackets - Use box CP-T-US-D-BOX</t>
  </si>
  <si>
    <t>AC-SB-CHV19-MNT</t>
  </si>
  <si>
    <t>2021-25 F150 under-seat box (60% length of OEM seat) - Mounts to OEM anchor points.</t>
  </si>
  <si>
    <t>CP-21F1-36148-USBX</t>
  </si>
  <si>
    <t>2021-25 F150-250 | 2021-25 Chevy Silverado under-seat rear storage box; features sliding drawer on DS and electronics box with hinged lid on PS (Silverado requires mount bracket AC-SB-CHV19-MNT)</t>
  </si>
  <si>
    <t xml:space="preserve">CP-GB54713-US </t>
  </si>
  <si>
    <t>2020-25 F150 | 2021-25 F250 under seat lidded gun box mounts to OEM points | 2019-25 Chevy Silverado under seat lidded gun box. Requires mounting brackets AC-SB-CHV19-MNT only for Chevy Silverado. Item sold separately.</t>
  </si>
  <si>
    <t>CP-T-US-D-BOX</t>
  </si>
  <si>
    <t>2018-25 Expedition tilt-up cargo mount, 5-piece system.  Allows access to spare tire.</t>
  </si>
  <si>
    <t>AC-CP-EXP18-T-MNT</t>
  </si>
  <si>
    <t xml:space="preserve">2018-25 Expedition Max cargo mount, 5-piece system.  Does not allow access to spare tire. *DISCLAIMER: Vehicle must have third row seat for OEM mounting point. </t>
  </si>
  <si>
    <t>AC-CP-EXP18-MAX-MNT</t>
  </si>
  <si>
    <t>2018-25 Expedition cargo mount, 5-piece system. Does not allow acces to spare tire.</t>
  </si>
  <si>
    <t>AC-CP-EXP18-MNT</t>
  </si>
  <si>
    <t>2020-25 Explorer Civilian Eco line cargo mounting brackets</t>
  </si>
  <si>
    <t>SB-20-XPLR-BKT</t>
  </si>
  <si>
    <t>2020-25 Explorer Civilian cargo false floor designed to only work with the lightweight Eco Storage Box will not work with standard steel boxes. Pair with SB-20-XPLR-BKT brackets.</t>
  </si>
  <si>
    <t>CP-20-XPLR-FLR</t>
  </si>
  <si>
    <t>2020-25 Explorer Civilian filler panel set for CP-20-XPLR-FLR (no charge when ordered with false floor). Does not work with mounting brackets SB-20-XPLR-BKT.</t>
  </si>
  <si>
    <t>AC-CP-20XP-FLR-GP</t>
  </si>
  <si>
    <t>2020-25 PI Utility electronics tray fence Square-hole punch pattern, 37" wide x 5.6" tall for AC-EB-SL-TRAY only. Use at 6" clearance position.</t>
  </si>
  <si>
    <t>AC-EB-TRAY-FENCE</t>
  </si>
  <si>
    <t xml:space="preserve">2020-25 PI Utility electronics tray,  37.5" wide x 23.6" long. </t>
  </si>
  <si>
    <t>AC-EB-SL-TRAY</t>
  </si>
  <si>
    <t>2020-25 PI Utility electronics tray locking mechanism. Pair with AC-20-UV-TRAY and CP-UV20-CARGO</t>
  </si>
  <si>
    <t>AC-20UV-TRAY-LM</t>
  </si>
  <si>
    <t>2020-25 PI Utility electronics tray bolts to CP-UV20-CARGO</t>
  </si>
  <si>
    <t>AC-20-UV-TRAY</t>
  </si>
  <si>
    <t>2020-25 PI Utility Cargo Deck with storage compartment, one electronics box, two open storage compartments, rubber mat top and gap panel</t>
  </si>
  <si>
    <t xml:space="preserve">EM-20UV-CRGDCK-STRG </t>
  </si>
  <si>
    <t>2020-25 PI Utility Cargo Deck with electronics and weapon drawer push button lock, flare boxes, rubber mat on top and gap panel</t>
  </si>
  <si>
    <t xml:space="preserve">EM-20UV-CRGDCK-SSTK-2DWR </t>
  </si>
  <si>
    <t>2020-25 PI Utility Cargo Deck with front storage compartment with lid. Features lift out storage tray, electronics drawer, weapon drawer equipped with a push button lock system</t>
  </si>
  <si>
    <t>EM-20UV-CRGDCK-2DWR-STRG</t>
  </si>
  <si>
    <t>2020-25 PI Utility Cargo storage system with electronics sliding tray, rubber mat top and gap panel</t>
  </si>
  <si>
    <t>CP-20UV-CARGO-DECK</t>
  </si>
  <si>
    <t>2020-25 PI Utility driver side rear quarter panel locking compartment. Does not work with cargo deck storage systems</t>
  </si>
  <si>
    <t>CP-20UV-RD-LOCK</t>
  </si>
  <si>
    <t xml:space="preserve">2020-25 PI Utility ECO Line cargo mounting brackets </t>
  </si>
  <si>
    <t>SB-UV20-BKT</t>
  </si>
  <si>
    <t xml:space="preserve">2020-25 PI Utility horizontal elevated deck with adjustable divider, bolts to PI Utility rear cages. </t>
  </si>
  <si>
    <t>2020-25 PI Utility cargo elevated box mount (box can be bolted on top) &gt;  Works with 44"W x 6" H / 40"W x 14"H; Any depth greater than 24” will have an overhang. Depths greater than 30” are not advised</t>
  </si>
  <si>
    <t>CP-UV20-MNT-EB</t>
  </si>
  <si>
    <t>2020-25 PI Utility XL tilt-up cargo mount with gas shocks; 7" longer than the standard cargo mount. (Part number: CP-UV20-CARGO-XL-#gpbkt for support brackets needed when not ordering Troy Rear Partition)</t>
  </si>
  <si>
    <t>CP-UV20-CARGO-XL</t>
  </si>
  <si>
    <t>2020-25 PI Utility Low profile tilt-up cargo mount to access spare tire; flushed with rear tailgate plastic trim. Electronics tray will not work with this mount.</t>
  </si>
  <si>
    <t>CP-UV20-CARGO-LP</t>
  </si>
  <si>
    <t>2020-25 PI Utility Standard tilt-up cargo mount with gas shocks. (Part number: CP-UV20-CARGO-#gpbkt for support brackets needed when not ordering Troy Rear Partition)</t>
  </si>
  <si>
    <t>CP-UV20-CARGO</t>
  </si>
  <si>
    <t>2021-25 Dodge Durango Single Cell Kit with plastic seat with OS belts, TROY rear cage square hole punch design</t>
  </si>
  <si>
    <t>PS-21DUR-SC-OS-R</t>
  </si>
  <si>
    <t>2021-25 Dodge Durango Single Cell Kit with plastic seat with OS belts, TROY rear cage with driver side fire extinguisher cubby and square-hole passenger wall</t>
  </si>
  <si>
    <t>PS-21DUR-SC-OS-FX</t>
  </si>
  <si>
    <t>Universal 14"W x 24"L x 10"H Gun box with locking handle</t>
  </si>
  <si>
    <t xml:space="preserve">GB-UNIV-142410-TL  </t>
  </si>
  <si>
    <t>2021-25 Silverado 1500 Driver side lidded box (24"W x 11"L x 10"H) with single gas shock and t-handle lock.</t>
  </si>
  <si>
    <t xml:space="preserve">GB-21F1-241110-2ROW  </t>
  </si>
  <si>
    <t>2021-25 Silverado 1500 Floor plate to mount vault GB-UNIV-142410-TL</t>
  </si>
  <si>
    <t>EM-21S1-2032-2ROW  </t>
  </si>
  <si>
    <t xml:space="preserve">2021-25 Silverado 1500 Electronics cover mounts to driver side cab wall; features ventilation louvers </t>
  </si>
  <si>
    <t xml:space="preserve">EM-21S1-ECOVER-2ROW </t>
  </si>
  <si>
    <t>2022-25 Silverado 1500 Single cell with storage seat box, cab window screen and passenger side welded bars window guard (EM-21S1-ECOVER-2ROW sold separately)</t>
  </si>
  <si>
    <t>PS-22S1-SC-OS-WG</t>
  </si>
  <si>
    <t>2022-25 Silverado 1500 Single cell with storage seat box, cab window screen and passenger side diamond pattern window screen (EM-21S1-ECOVER-2ROW sold separately)</t>
  </si>
  <si>
    <t>PS-22S1-SC-OS-WS</t>
  </si>
  <si>
    <t>2021-25 Tahoe Single Cell with poly window; half cage, kick panel with foot pocket, emergency escape panel, replacement plastic seat with OS seatbelt system, replacement passenger side door panel and cargo side window guards.</t>
  </si>
  <si>
    <t>PS-21TH-SC-OS-RL</t>
  </si>
  <si>
    <t>2021-25 Tahoe Single Cell with poly window; half cage, kick panel with foot pocket, metal/poly divider with removable patent panel, replacement plastic seat with OS seatbelt system, TROY rear partition square-hole pattern with driver side fire extinguisher compartment and passenger side replacement metal door panel(DP-21TH-PS).</t>
  </si>
  <si>
    <t>PS-21TH-SC-OS-FX</t>
  </si>
  <si>
    <t>2021-25 Tahoe Single cell with poly window; half cage, kick panel with foot pocket, metal/poly divider with removable patent panel, replacement plastic seat with OS seatbelt system, TROY rear partition square-hole pattern with side panels and passenger side replacement metal door panel(DP-21TH-PS).</t>
  </si>
  <si>
    <t>PS-21TH-OS-SC</t>
  </si>
  <si>
    <t>2018-25 Expedition Single cell with poly window; half cage, kick panel with foot pocket, metal/poly divider with removable patent panel, center seat floor plate, replacement plastic seat with OS seatbelt system, TROY rear partition square-hole pattern with side panels</t>
  </si>
  <si>
    <t>PS-18XP-OS-SC</t>
  </si>
  <si>
    <t>GB-UNIV-142410-TL</t>
  </si>
  <si>
    <t>2021-25 F150 | 2021-25 Silverado 1500 Driver side lidded box (24"W x 11"L x 10"H) with single gas shock and T-handle lock.</t>
  </si>
  <si>
    <t>GB-21F1-241110-2ROW</t>
  </si>
  <si>
    <t>2021-25 F150 Floor plate to mount vault GB-UNIV-142410-TL</t>
  </si>
  <si>
    <t>EM-21F1-2032-2ROW</t>
  </si>
  <si>
    <t xml:space="preserve">2021-25 F150 Electronics cover mounts to driver side cab wall; features door out swings towards the left with gas shocks and ventilation louvers </t>
  </si>
  <si>
    <t>EM-21F1-EBX-RW</t>
  </si>
  <si>
    <t xml:space="preserve">2021-25 F150 Electronics cover mounts to driver side cab wall; features ventilation louvers </t>
  </si>
  <si>
    <t>EM-21F1-ECOVER-2ROW</t>
  </si>
  <si>
    <t xml:space="preserve">2021-25 F150 Driver side molle panel for storage gear and accessories. Works with single cell system. </t>
  </si>
  <si>
    <t>AC-21F1-MOL-DS</t>
  </si>
  <si>
    <t xml:space="preserve">2021-25 F150 Sliding electronics tray to mount behind plastic seat </t>
  </si>
  <si>
    <t>AC-21F1-SC-ETRAY</t>
  </si>
  <si>
    <t xml:space="preserve">2021-25 F150 Single cell with storage seat box, cab window screen and passenger side welded bars window guard- Electronics tray optional (PART NO: AC-21F1-SC-ETRAY) </t>
  </si>
  <si>
    <t>PS-21F1-SC-OS-WG</t>
  </si>
  <si>
    <t>2021-25 F150 Single cell with storage seat box, cab window screen and passenger side diamond pattern window screen- Electronics tray optional (PART NO: AC-21F1-SC-ETRAY)</t>
  </si>
  <si>
    <t>PS-21F1-SC-OS-WS</t>
  </si>
  <si>
    <t>2020-25 PI Utility second row driver side storage drawers with lockable T-handles, open storage area between the box and rear cage</t>
  </si>
  <si>
    <t>SB-20UV-2RWD-ST</t>
  </si>
  <si>
    <t>2020-25 PI Utility Single Cell with poly window; half cage, kick panel with foot pocket, metal/poly divider with removable patent panel, center seat floor plate, replacement plastic seat with OS seatbelt system, TROY rear partition square-hole pattern with driver side fire extinguisher compartment</t>
  </si>
  <si>
    <t>PS-20UV-SC-OS-FX</t>
  </si>
  <si>
    <t>2020-25 PI Utility Single Cell with poly window; half cage, kick panel with foot pocket, removable emergency escape panel, replacement plastic seat with OS seatbelt system and cargo side window guards</t>
  </si>
  <si>
    <t>PS-20UV-SC-OS-RL</t>
  </si>
  <si>
    <t xml:space="preserve">2020-25 PI Utility Single Cell with poly window; half cage, kick panel with foot pocket, metal/poly divider with removable patent panel, center seat floor plate, replacement plastic seat with OS seatbelt system, TROY rear partition square-hole pattern with side panels </t>
  </si>
  <si>
    <t>PS-20UV-SC-OS-R</t>
  </si>
  <si>
    <t>2021-25 Durango plastic set with OS belts, TROY rear cage poly window with driver side fire extinguisher cubby and square-hole passenger wall. Includes air bag corridor gap panels.</t>
  </si>
  <si>
    <t>PS-21DUR-OS-FX-RL</t>
  </si>
  <si>
    <t>2021-25 Durango plastic set with OS belts, TROY rear cage with driver side fire extinguisher cubby and square-hole passenger wall.</t>
  </si>
  <si>
    <t>PS-21DUR-OS-FX</t>
  </si>
  <si>
    <t>2021-25 Durango plastic seat with OS belts, TROY rear cage poly window with square-hole side walls. Includes air bag corridor gap panels.</t>
  </si>
  <si>
    <t>PS-21DUR-OS-RL</t>
  </si>
  <si>
    <t>2021-25 Durango plastic seat with OS belts, TROY rear cage with square-hole side walls</t>
  </si>
  <si>
    <t>PS-21DUR-OS-R</t>
  </si>
  <si>
    <t>2021-25 Silverado 1500 bench plastic seat with OS belt system, dual storage seat box and cab window screen.</t>
  </si>
  <si>
    <t>PS-21S1-OSPST-DBX-CWS</t>
  </si>
  <si>
    <t>2021-25 Silverado 1500 bench plastic seat with OS belt system and cab window screen.</t>
  </si>
  <si>
    <t>PS-21S1-OSPST-CWS</t>
  </si>
  <si>
    <t>2021-25 Tahoe poly center divider, full replacement plastic seat with OS seatbelt system, TROY rear partition poly window with square-hole pattern sides. Includes air bag corridor gap panels.</t>
  </si>
  <si>
    <t>PS-21TH-OS-DIV-RL</t>
  </si>
  <si>
    <t>2021-25 Tahoe poly center divider, full replacement plastic seat with OS seatbelt system, TROY rear partition square-hole pattern with driver side fire extinguisher compartment</t>
  </si>
  <si>
    <t>PS-21TH-OS-DIV-FX</t>
  </si>
  <si>
    <t>2021-25 Tahoe poly center divider, full replacement plastic seat with OS seatbelt system, TROY rear partition square-hole pattern with side panels</t>
  </si>
  <si>
    <t>PS-21TH-OS-DIV-R</t>
  </si>
  <si>
    <t>2021-25 Tahoe plastic seat with OS belts, rear partition polycarbonate window with fire extinguisher compartment.</t>
  </si>
  <si>
    <t>PS-21TH-OS-RL-FX</t>
  </si>
  <si>
    <t xml:space="preserve">2021-25 Tahoe plastic seat with OS belts, rear partition (square-hole) with fire extinguisher compartment. </t>
  </si>
  <si>
    <t>PS-21TH-OS-R-FX</t>
  </si>
  <si>
    <t>2021-25 Tahoe plastic seat with OS belts, rear partition polycarbonate window, square-hole side walls. Includes air bag corridor gap panels.</t>
  </si>
  <si>
    <t>PS-21TH-OS-RL</t>
  </si>
  <si>
    <t>2021-25 Tahoe plastic seat with OS belts, rear partition (square-hole), square-hole side walls</t>
  </si>
  <si>
    <t xml:space="preserve">PS-21TH-OS-R </t>
  </si>
  <si>
    <t>2021-25 F150 bench plastic seat with OS belt system, dual storage seat box and cab window screen.</t>
  </si>
  <si>
    <t>PS-21F1-OSPST-DBX-CWS</t>
  </si>
  <si>
    <t>2021-25 F150 bench plastic seat with OS belt system and cab window screen.</t>
  </si>
  <si>
    <t>PS-21F1-OSPST-CWS</t>
  </si>
  <si>
    <t xml:space="preserve">2018-25 Expedition Plastic seat with OS belts, rear partition (square-hole), with drive side fire extinguisher and passenger side locking compartment </t>
  </si>
  <si>
    <t>PS-18XP-OS-R-FX-LCP</t>
  </si>
  <si>
    <t>2018-25 Expedition plastic seat with OS belts and poly rear partition with square-hole side walls</t>
  </si>
  <si>
    <t>PS-18XP-OS-RL</t>
  </si>
  <si>
    <t>2018-25 Expedition plastic seat with OS belts and square-hole rear partition with square-hole side walls</t>
  </si>
  <si>
    <t>PS-18XP-OS-R</t>
  </si>
  <si>
    <t>2020-25 PI Utility plastic floor pan with v-drain</t>
  </si>
  <si>
    <t>PS-20-FDUV-PAN</t>
  </si>
  <si>
    <t>2020-25 PI Utility poly center divider, full replacement plastic seat with OS seatbelt system, TROY rear partition poly window with square-hole pattern sides. Includes air bag corridor gap panels.</t>
  </si>
  <si>
    <t>PS-20UV-OS-DIV-RL</t>
  </si>
  <si>
    <t>2020-25 PI Utility poly center divider, full replacement plastic seat with OS seatbelt system, TROY rear partition square-hole pattern with driver side fire extinguisher compartment</t>
  </si>
  <si>
    <t>PS-20UV-OS-DIV-FX</t>
  </si>
  <si>
    <t>2020-25 PI Utility poly center divider, full replacement plastic seat with OS seatbelt system, TROY rear partition square-hole pattern with side panels</t>
  </si>
  <si>
    <t>PS-20UV-OS-DIV-R</t>
  </si>
  <si>
    <t xml:space="preserve">2020-25 PI Utility plastic seat with OS belts, rear partition (square-hole) with hinged equipment tray, with driver side fire compartment. </t>
  </si>
  <si>
    <t>PS-20-UVFX-OS-R-H</t>
  </si>
  <si>
    <t>2020-25 PI Utility plastic seat with OS belts, rear partition (square-hole) with hinged equipment tray, square-hole side walls.</t>
  </si>
  <si>
    <t>PS-20-FDUV-OS-R-H</t>
  </si>
  <si>
    <t>2020-25 PI Utility plastic seat with OS belts, rear partition polycarbonate window, with fire compartment. Includes air bag corridor gap panels.</t>
  </si>
  <si>
    <t>PS-20-UVFX-OS-RL</t>
  </si>
  <si>
    <t xml:space="preserve">2020-25 PI Utility plastic seat with OS belts, rear partition (square-hole), with driver side fire compartment </t>
  </si>
  <si>
    <t>PS-20-UVFX-OS-R</t>
  </si>
  <si>
    <t>2020-25 PI Utility plastic seat with OS belts, rear partition polycarbonate window, square-hole side walls. Includes air bag corridor gap panels.</t>
  </si>
  <si>
    <t xml:space="preserve">PS-20-UV-OS-RL                 </t>
  </si>
  <si>
    <t>2020-25 PI Utility plastic seat with OS belts, rear partition (square-hole), square-hole side walls</t>
  </si>
  <si>
    <t xml:space="preserve">PS-20-UV-OS-R </t>
  </si>
  <si>
    <t xml:space="preserve">Universal fire extinguisher mounting bracket for rear partition </t>
  </si>
  <si>
    <t>RP-AC-UNIV-FX-BKT</t>
  </si>
  <si>
    <t xml:space="preserve">2021-25 Dodge Durango rear cage airbag corridor gap panels, set of driver and passenger sides                </t>
  </si>
  <si>
    <t>AC-21DUR-RGP2</t>
  </si>
  <si>
    <t>Universal fire extinguisher mounting bracket for rear partition</t>
  </si>
  <si>
    <t xml:space="preserve">2021-25 Tahoe rear cage airbag corridor gap panels, set of driver and passenger sides                </t>
  </si>
  <si>
    <t>AC-21TH-RGP2</t>
  </si>
  <si>
    <t>2020-25 PI Utility rear cage airbag corridor gap panels, set of driver and passenger sides (works with plastic seat)</t>
  </si>
  <si>
    <t>AC-20-UV-CGP2-PTS</t>
  </si>
  <si>
    <t>2020-25 PI Utility rear cage airbag corridor gap panels, set of driver and passenger sides (does not work with plastic seat)</t>
  </si>
  <si>
    <t>AC-20-UV-CGP2-OR</t>
  </si>
  <si>
    <t xml:space="preserve">2020-25 PI Utility bolt-on polycarbonate panel for TP-20-FDUV-R </t>
  </si>
  <si>
    <t>AC-PLS-TP-20-FDUV</t>
  </si>
  <si>
    <t>2021-24 Suburban third row partition with square-hole screen and flat lower panel.</t>
  </si>
  <si>
    <t>RP-21SB-SQRPCH-3ROW</t>
  </si>
  <si>
    <t>2021-25 Tahoe rear cage with polycarbonate window and driver side fire extinguisher panel</t>
  </si>
  <si>
    <t>RP-21TH-PL-FX-2</t>
  </si>
  <si>
    <t>2021-25 Tahoe rear cage with polycarbonate window</t>
  </si>
  <si>
    <t>RP-21TH-PL-2</t>
  </si>
  <si>
    <t>2021-25 Tahoe rear cage mount with driver-side fire ext. compartment</t>
  </si>
  <si>
    <t>RP-21TH-FX-2</t>
  </si>
  <si>
    <t xml:space="preserve">2021-25 Tahoe rear cage with square-hole window </t>
  </si>
  <si>
    <t>RP-21TH-SQ-2</t>
  </si>
  <si>
    <t xml:space="preserve">2018-25 Durango rear partition, square-hole window, driver-side fire extinguisher compartments </t>
  </si>
  <si>
    <t>TP-DUR18-FX</t>
  </si>
  <si>
    <t>2018-25 Durango rear partition with all-polycarbonate window, square-hole side walls</t>
  </si>
  <si>
    <t>TP-DUR18-RL</t>
  </si>
  <si>
    <t>2018-25 Durango rear partition three-sided design</t>
  </si>
  <si>
    <t>TP-DUR18-R</t>
  </si>
  <si>
    <t>2020-25 PI Utility | 2020-25 Explorer Civilian rear partition with hinged equipment tray, square-hole window, driver and passenger side fire extinguisher compartment</t>
  </si>
  <si>
    <t>TP-20-FDUV-H-FX2</t>
  </si>
  <si>
    <t>2020-25 PI Utility | 2020-25 Explorer Civilian rear partition with hinged equipment tray, square-hole window and square-hole side panels.</t>
  </si>
  <si>
    <t>TP-20-FDUV-H-R</t>
  </si>
  <si>
    <t>2018-25 Expedition rear partition, square-hole window, driver-side fire extinguisher compartments</t>
  </si>
  <si>
    <t>TP-EXP18-FX</t>
  </si>
  <si>
    <t>2020-25 PI Utility | 2020-25 Explorer Civilian rear partition, all-poly window, driver-side fire extinguisher compartment</t>
  </si>
  <si>
    <t>TP-20-FDUV-RL-FX</t>
  </si>
  <si>
    <t>2020-25 PI Utility | 2020-25 Explorer Civilian rear partition, square-hole window, driver-side fire extinguisher compartment</t>
  </si>
  <si>
    <t>TP-20-FDUV-FX</t>
  </si>
  <si>
    <t>2018-25 Expedition Max rear partition three-sided design</t>
  </si>
  <si>
    <t xml:space="preserve">TP-EXP18-MAX-R </t>
  </si>
  <si>
    <t>2018-25 Expedition rear partition with all-polycarbonate window, square-hole side walls</t>
  </si>
  <si>
    <t>TP-EXP18-RL</t>
  </si>
  <si>
    <t>2018-25 Expedition rear partition three-sided design</t>
  </si>
  <si>
    <t xml:space="preserve">TP-EXP18-R </t>
  </si>
  <si>
    <t xml:space="preserve">2020-25 PI Utility | 2020-25 Explorer Civilian rear partition with polycarbonate window, square-hole side panels.  </t>
  </si>
  <si>
    <t>TP-20-FDUV-RL</t>
  </si>
  <si>
    <t xml:space="preserve">2020-25 PI Utility | 2020-25 Explorer Civilian rear partition, square-hole window, square-hole side panels. </t>
  </si>
  <si>
    <t>TP-20-FDUV-R</t>
  </si>
  <si>
    <t>2018-25 Durango driver and passenger side plastic door covers</t>
  </si>
  <si>
    <t>DC-DUR18-SET</t>
  </si>
  <si>
    <t>2021-25 Tahoe driver and passenger side door covers; for passenger side only divide cost of full set in half for MSRP</t>
  </si>
  <si>
    <t>DC-21TH-SET</t>
  </si>
  <si>
    <t xml:space="preserve">2018-25 Durango SSV driver and passenger side door panel set </t>
  </si>
  <si>
    <t>DP-DUR18-SET</t>
  </si>
  <si>
    <t>2020-25 Ram driver and passenger side door panel set</t>
  </si>
  <si>
    <t>DP-DG2500-SET</t>
  </si>
  <si>
    <t>2020-24 Charger driver and passenger side door panel set</t>
  </si>
  <si>
    <t>DP-CH11-SET</t>
  </si>
  <si>
    <t>2019-25 Silverado driver and passenger side door panel set</t>
  </si>
  <si>
    <t>DP-CHV19-SET</t>
  </si>
  <si>
    <t>2021-24 Suburban driver and passenger side door panel set</t>
  </si>
  <si>
    <t>DP-21SB-SET</t>
  </si>
  <si>
    <t>2021-25 Tahoe driver and passenger side door panel set</t>
  </si>
  <si>
    <t>DP-21TH-SET</t>
  </si>
  <si>
    <t>2018-25 Expedition driver and passenger side steel door panel set</t>
  </si>
  <si>
    <t>DP-EXP18-SET</t>
  </si>
  <si>
    <t>2020-25 F150 | 2017-25 F250 driver and passenger side door panel set</t>
  </si>
  <si>
    <t>DP-F150-15-SET</t>
  </si>
  <si>
    <t>2020-25 PI Utility | 2020-25 Explorer Civilian driver and passenger side door handle cover set</t>
  </si>
  <si>
    <t>AC-UV20-D-PLT</t>
  </si>
  <si>
    <t>2020-25 PI Utility | 2020-25 Explorer Civilian driver and passenger side door panel set</t>
  </si>
  <si>
    <t>DP-UV20-SET</t>
  </si>
  <si>
    <t>2020-25 Ram driver and passenger side diamond-punched window guards</t>
  </si>
  <si>
    <t>AC-DG2500-SET</t>
  </si>
  <si>
    <t>2018-25 Durango driver and passenger side polycarbonate window guards</t>
  </si>
  <si>
    <t>WG-DUR18-PL-SET</t>
  </si>
  <si>
    <t xml:space="preserve">2018-25 Durango driver and passenger side vertical bar window guards  </t>
  </si>
  <si>
    <t>WG-DUR18-SET</t>
  </si>
  <si>
    <t xml:space="preserve">2018-25  Durango SSV driver and passenger side diamond-punch window guard set  </t>
  </si>
  <si>
    <t>AC-DUR18-SET</t>
  </si>
  <si>
    <t>2020-24 Charger driver and passenger side polycarbonate window guards</t>
  </si>
  <si>
    <t>WG-CHGR-POLY-SET</t>
  </si>
  <si>
    <t xml:space="preserve">2020-24 Charger driver and passenger side window guards, welded bars, horizontal design </t>
  </si>
  <si>
    <t>WG-CH11H-SET</t>
  </si>
  <si>
    <t>2020-24 Charger driver and passenger side window guards, welded bars, vertical design</t>
  </si>
  <si>
    <t>WG-CH11-SET</t>
  </si>
  <si>
    <t>2020-24 Charger driver and passenger side diamond-punched window guards</t>
  </si>
  <si>
    <t>AC-CH11-SET</t>
  </si>
  <si>
    <t>2019-25 Silverado 1500 driver and passenger side vertical welded window guards</t>
  </si>
  <si>
    <t>WG-19S1-SET</t>
  </si>
  <si>
    <t>2021-24 Suburban driver and passenger set window guards, vertical design</t>
  </si>
  <si>
    <t>WG-21SB-VERTBR</t>
  </si>
  <si>
    <t>2021-25  Tahoe passenger side polycarbonate window guard (ordered separately with TAHOE single cell kit)</t>
  </si>
  <si>
    <t>WG-21TH-PL-PS</t>
  </si>
  <si>
    <t>2021-25  Tahoe driver and passenger side polycarbonate window guards</t>
  </si>
  <si>
    <t>WG-21TH-PL-SET</t>
  </si>
  <si>
    <t>2021-25 Tahoe passenger side window guard, welded bars (ordered separately with TAHOE single cell kit)</t>
  </si>
  <si>
    <t>WG-21TH-PS</t>
  </si>
  <si>
    <t>2021-25 Tahoe driver and passenger side window guards, welded bars</t>
  </si>
  <si>
    <t>WG-21TH-SET</t>
  </si>
  <si>
    <t>2020-25 Transit XLT Van window guard, vertical bar; driver side rear door</t>
  </si>
  <si>
    <t>WG-FTV-RD-PS</t>
  </si>
  <si>
    <t>WG-FTV-RD-DS</t>
  </si>
  <si>
    <t>2020-25 Transit XLT Van window guard, vertical bar; passenger side rear window</t>
  </si>
  <si>
    <t>WG-FTV-P-RW</t>
  </si>
  <si>
    <t>2020-25 Transit XLT Van window guard, vertical bar; hinged rear side door</t>
  </si>
  <si>
    <t>WG-FTV-H-SD-RW</t>
  </si>
  <si>
    <t>2020-25 Transit XLT Van window guard, vertical bar; hinged front side door</t>
  </si>
  <si>
    <t>WG-FTV-H-SD-FW</t>
  </si>
  <si>
    <t>2020-25 Transit XLT Van window guard, vertical bar; driver rear side</t>
  </si>
  <si>
    <t>WG-FTV-D-RW</t>
  </si>
  <si>
    <t>2020-25 Transit XLT Van window guard, vertical bar; driver front side</t>
  </si>
  <si>
    <t>WG-FTV-D-FW</t>
  </si>
  <si>
    <t>2021-25 F150 | 2021-25 F250 passenger side polycarbonate window guards (ordered separately with F150 single cell kit)</t>
  </si>
  <si>
    <t>WG-21F150-POLY-PS</t>
  </si>
  <si>
    <t>2021-25 F150 | 2021-25 F250 driver and passenger side polycarbonate window guards</t>
  </si>
  <si>
    <t>WG-21F150-POLY</t>
  </si>
  <si>
    <t>2021-25 F150 | 2021-25 F250 passenger side window guards, welded bars, vertical design (ordered separately with F150 single cell kit)</t>
  </si>
  <si>
    <t>WG-21F150-PS</t>
  </si>
  <si>
    <t>2021-25 F150 | 2021-25 F250 driver and passenger side window guards, welded bars, vertical design</t>
  </si>
  <si>
    <t>WG-21F150-SET</t>
  </si>
  <si>
    <t>2018-25  Expedition driver and passenger side cargo area square-punch window guards</t>
  </si>
  <si>
    <t>AC-EXP18-R-SET</t>
  </si>
  <si>
    <t>2018-25 Expedition passenger side vertical bar window guard (ordered separately with EXPEDITION single cell kit)</t>
  </si>
  <si>
    <t>WG-EXP18-PS</t>
  </si>
  <si>
    <t>2018-25 Expedition driver and passenger side vertical bar window guards</t>
  </si>
  <si>
    <t>WG-EXP18-SET</t>
  </si>
  <si>
    <t>2018-25 Expedition driver and passenger side diamond-punch window guard set</t>
  </si>
  <si>
    <t>AC-EXP18-SET</t>
  </si>
  <si>
    <t>2020-25 PI Utility passenger side polycarbonate window guard (ordered separately with PIU single cell kit)</t>
  </si>
  <si>
    <t>WG-UV20-POLY-PS</t>
  </si>
  <si>
    <t>2020-25 PI Utility | 2020-25 Explorer Civilian driver and passenger side polycarbonate window guards</t>
  </si>
  <si>
    <t>WG-UV20-POLY-SET</t>
  </si>
  <si>
    <t>2020-25 PI Utility passenger side window guard; 2.25" spaced vertical welded bars (ordered separately with PIU single cell kit)</t>
  </si>
  <si>
    <t>WG-UV20-225-PS</t>
  </si>
  <si>
    <t>2020-25 PI Utility | 2020-25 Explorer Civilian driver and passenger side window guards; 2.25" spaced vertical welded bars.</t>
  </si>
  <si>
    <t>WG-UV20-225-SET</t>
  </si>
  <si>
    <t>2020-25 PI Utility passenger side window guard welded bars, horizontal design (ordered separately with PIU single cell kit)</t>
  </si>
  <si>
    <t>WG-20-FDUV-H-PS</t>
  </si>
  <si>
    <t xml:space="preserve">2020-25 PI Utility | 2020-25 Explorer Civilian driver and passenger side window guards; Horizontal welded bars design </t>
  </si>
  <si>
    <t>WG-20-FDUV-H-SET</t>
  </si>
  <si>
    <t>2020-25 PI Utility  passenger side window guard welded bars, vertical design  (ordered separately with PIU single cell kit)</t>
  </si>
  <si>
    <t>WG-20-FDUV-PS</t>
  </si>
  <si>
    <t>2020-25 PI Utility | 2020-25 Explorer Civilian driver and passenger side window guards, welded bars, vertical design</t>
  </si>
  <si>
    <t>WG-20-FDUV-SET</t>
  </si>
  <si>
    <t>2020-25 Ram rear cab window screen; diamond punched.</t>
  </si>
  <si>
    <t>AC-DG2500-RWS</t>
  </si>
  <si>
    <t>2021-25 Durango SSV detachable hatch window;  square-hole punch with fasteners for ease of cleaning window.</t>
  </si>
  <si>
    <t>WS-21DUR-HATCH-RP</t>
  </si>
  <si>
    <t>2021-25 Durango SSV hatch window screen; square-hole punched with notch to accommodate interior light bar</t>
  </si>
  <si>
    <t>WS-21DUR-HATCH-LED</t>
  </si>
  <si>
    <t>2018-25 Durango SSV hatch window screen; square-hole punched</t>
  </si>
  <si>
    <t>AC-DUR18-HATCH</t>
  </si>
  <si>
    <t>2020-25 Silverado 1500 rear cab window screen; square-hole punched.</t>
  </si>
  <si>
    <t>AC-CHV19-RWS</t>
  </si>
  <si>
    <t>2019-25 Silverado 1500 driver and passenger side diamond-punch window screens</t>
  </si>
  <si>
    <t>AC-CHV19-SET</t>
  </si>
  <si>
    <t>2021-24 Suburban rear driver and passenger side cargo window screens</t>
  </si>
  <si>
    <t>WS-21SB-SQRPCH-REAR</t>
  </si>
  <si>
    <t>2021-25 Tahoe detachable hatch window; square-hole punch with fasteners for ease of cleaning window</t>
  </si>
  <si>
    <t>WS-21TH-HATCH-RP</t>
  </si>
  <si>
    <t>2021-25 Tahoe | 2021-24 Suburban hatch window screen; square-hole punched</t>
  </si>
  <si>
    <t>WS-21TH-HATCH</t>
  </si>
  <si>
    <t>2021-25 Tahoe driver and passenger side cargo window screens</t>
  </si>
  <si>
    <t>WS-21TH-R-SET</t>
  </si>
  <si>
    <t>2021-25 Tahoe passenger side window screen, diamond-punched design (ordered separately with TAHOE single cell kit)</t>
  </si>
  <si>
    <t>WS-21TH-PS</t>
  </si>
  <si>
    <t xml:space="preserve">2021-25 Tahoe driver and passenger side window screens, diamond-punched design </t>
  </si>
  <si>
    <t>WS-21TH-SET</t>
  </si>
  <si>
    <t xml:space="preserve">2020-25 Transit XLT Van window screen; diamond punched; side sliding door </t>
  </si>
  <si>
    <t>AC-FTV-SL-DOOR</t>
  </si>
  <si>
    <t>2020-25 Transit XLT Van window screen; diamond punched; driver side rear door</t>
  </si>
  <si>
    <t>AC-FTV-RD-PS</t>
  </si>
  <si>
    <t>AC-FTV-RD-DS</t>
  </si>
  <si>
    <t>2020-25 Transit XLT Van window screen; diamond punched; passenger side rear window</t>
  </si>
  <si>
    <t>AC-FTV-P-RW</t>
  </si>
  <si>
    <t>2020-25 Transit XLT Van window screen; diamond punched; hinged rear side door</t>
  </si>
  <si>
    <t>AC-FTV-H-SD-RW</t>
  </si>
  <si>
    <t>2020-25 Transit XLT Van window screen; diamond punched; hinged front side door</t>
  </si>
  <si>
    <t>AC-FTV-H-SD-FW</t>
  </si>
  <si>
    <t>2020-25 Transit XLT Van window screen; diamond punched; driver rear side</t>
  </si>
  <si>
    <t>AC-FTV-D-RW</t>
  </si>
  <si>
    <t>2020-25 Transit XLT Van window screen; diamond punched; driver front side</t>
  </si>
  <si>
    <t>AC-FTV-D-FW</t>
  </si>
  <si>
    <t>2021-25 F150 | 2021-25 F250 Truck cab window screen; diamond-punched.</t>
  </si>
  <si>
    <t>AC-F150-15-RWS</t>
  </si>
  <si>
    <t>2021-25 F150 | 2021-25 F250 passenger side diamond-punched window screen (ordered separately with F150 single cell kit)</t>
  </si>
  <si>
    <t>WS-21F150-PS</t>
  </si>
  <si>
    <t>2021-25 F150 | 2021-25 F250 driver and passenger side set of diamond-punched window screens</t>
  </si>
  <si>
    <t>WS-21F150-SET</t>
  </si>
  <si>
    <t>2018-25  Expedition hatch window screen; square-hole punched</t>
  </si>
  <si>
    <t>AC-EXP18-HATCH</t>
  </si>
  <si>
    <t>2018-25 Expedition passenger side diamond-punched window screen (ordered separately with EXPEDITION single cell kit)</t>
  </si>
  <si>
    <t>AC-EXP18-PS</t>
  </si>
  <si>
    <t>2020-25 PI Utility | 2020-25 Explorer Civilian detachable hatch window; square-hole punch with fasteners for ease of cleaning window.</t>
  </si>
  <si>
    <t>WS-20UV-HATCH-RP</t>
  </si>
  <si>
    <t>2020-25 PI Utility | 2020-25 Explorer Civilian hatch window; square-hole punch with notch to accommodate the READY FOR ROAD PACKAGE</t>
  </si>
  <si>
    <t>WS-20UV-HATCH-LED</t>
  </si>
  <si>
    <t>2020-25 PI Utility | 2020-25 Explorer Civilian hatch window screen; square-hole punched</t>
  </si>
  <si>
    <t>AC-20-UV-HATCH</t>
  </si>
  <si>
    <t>2020-25 PI Utility | 2020-25 Explorer Civilian driver and passenger side cargo area square-punch window guards</t>
  </si>
  <si>
    <t>AC-UV20-R-SET</t>
  </si>
  <si>
    <t>2020-25 PI Utility passenger side diamond-punched window screen (ordered separately with PIU single cell kit)</t>
  </si>
  <si>
    <t>AC-20-UV-PS</t>
  </si>
  <si>
    <t>2020-25 PI Utility | 2020-25 Explorer Civilian driver and passenger side set of diamond-punched window screens</t>
  </si>
  <si>
    <t>AC-20-UV-SET</t>
  </si>
  <si>
    <t>2020-25 Ram kick panel 3 piece lower extension panel.</t>
  </si>
  <si>
    <t>KP-DG25-SS</t>
  </si>
  <si>
    <t>2020-25 Ram Crew Cab Truck partition mounting kit.</t>
  </si>
  <si>
    <t>2-SAB-DG-RAM</t>
  </si>
  <si>
    <t>2021-25  Durango 3 piece Bent-Frame kick panel assembly with foot pockets.</t>
  </si>
  <si>
    <t>KP-BFDUR-SS</t>
  </si>
  <si>
    <t>2021-25 Durango Bent-Frame Space-Maker partition mounting kit, 100% seal slide, extra seat-back recline, no holes-drilled design.</t>
  </si>
  <si>
    <t>PM-21DUR-BF</t>
  </si>
  <si>
    <t xml:space="preserve">2021-25  Durango 3 piece Straight-Frame space maker kick panel assembly with foot pockets. Works with 2-SAB-DUR-BB. </t>
  </si>
  <si>
    <t>KP-SM-DURBF-SS</t>
  </si>
  <si>
    <t>2021-25 Durango partition mounting kit, 100% seal slide, extra seat-back recline, no holes-drilled design.</t>
  </si>
  <si>
    <t>PM-21DUR</t>
  </si>
  <si>
    <t>2018-25 Durango 3 piece standard partition kick panel assembly with foot pockets. Works with 2-SAB-DUR-BB.</t>
  </si>
  <si>
    <t>KP-21DUR-SS</t>
  </si>
  <si>
    <t>2020-24 Charger 3 piece Straight-Frame space maker "big-boy" kick panel assembly with foot pockets.</t>
  </si>
  <si>
    <t>KP-SM-CHBB-SS</t>
  </si>
  <si>
    <t>2020-24 Charger 'Big-Boy' partition mounting kit for straight-frame space-maker partition.</t>
  </si>
  <si>
    <t>2-SAB-CH11-BB</t>
  </si>
  <si>
    <t>2020-24 Charger flat kick panel with foot pockets.</t>
  </si>
  <si>
    <t>KP-CH11BF-F</t>
  </si>
  <si>
    <t>2020-24 Charger 3 piece kick panel assembly with foot pockets.</t>
  </si>
  <si>
    <t>KP-CH11BF-SS</t>
  </si>
  <si>
    <t>2020-24 Charger standard partition mounting kit. Drilling required.</t>
  </si>
  <si>
    <t>2-SAB-CH11</t>
  </si>
  <si>
    <t>2019-25 Silverado 3 piece. Kick panel assembly. No foot pockets.</t>
  </si>
  <si>
    <t>KP-CHV19-SS</t>
  </si>
  <si>
    <t>2022-25 Chevy Silverado 1500 partition mount. Extra seat-back recline. 100% seat slide.</t>
  </si>
  <si>
    <t>PM-21TH</t>
  </si>
  <si>
    <t>2021-25 Tahoe | 2021-24 Suburban 3 piece Bent-Frame space maker kick panel assembly. Foot pocket behind driver only.</t>
  </si>
  <si>
    <t>KP-21TH-BF-SS</t>
  </si>
  <si>
    <t>2021-25 Tahoe | 2021-24 Suburban | 2022-25 Silverado Bent-Frame space maker partition mount. Limited seat slide.</t>
  </si>
  <si>
    <t>PM-21TH-BF</t>
  </si>
  <si>
    <t>2021-25 Tahoe | 2021-24 Suburban 3 piece kick panel with foot pockets.</t>
  </si>
  <si>
    <t>KP-21TH-SS</t>
  </si>
  <si>
    <t>2021-25 Tahoe | 2021-24 Suburban | 2022-25 Silverado 1500 partition mount. Extra seat-back recline. 100% seat slide.</t>
  </si>
  <si>
    <t xml:space="preserve">2015-25 F150 | 2021-25 F250 3 piece kick panel assembly. No foot pockets. </t>
  </si>
  <si>
    <t>KP-F150-15-SS</t>
  </si>
  <si>
    <t xml:space="preserve">2021-25 F150 | 2021-25 F250 truck standard partition mounting kit, no-holes-drilled design.  </t>
  </si>
  <si>
    <t>PM-21F150</t>
  </si>
  <si>
    <t xml:space="preserve">2018-25 Expedition 3 piece kick panel assembly. No foot pockets. </t>
  </si>
  <si>
    <t>2018-25 Expedition 100% seat slide, extra seat-back recline, no holes-drilled design</t>
  </si>
  <si>
    <t>2-SAB-EXP18</t>
  </si>
  <si>
    <t xml:space="preserve">2020-25 PI Utility | 2020-25 Explorer Civilian 3 piece kick panel with foot pockets. </t>
  </si>
  <si>
    <t>KP-20-FDUV-SS</t>
  </si>
  <si>
    <t>2020-25 PI Utility | 2020-25 Explorer Civilian partition mounting kit. 100% seat slide.</t>
  </si>
  <si>
    <t>SAB-20-FDUV</t>
  </si>
  <si>
    <t>2020-25 PI Utility bent-frame 3 piece kick panel with foot pocket on driver side only.</t>
  </si>
  <si>
    <t>KP-20-BFUV-SS</t>
  </si>
  <si>
    <t>2020-25 PI Utility bent-frame partition mounting kit</t>
  </si>
  <si>
    <t>SAB-20-UV-BF</t>
  </si>
  <si>
    <t xml:space="preserve">2020-25 PI Utility | 2020-25 Explorer Civilian 3 piece. Kick panel with foot pockets and notch to fit over wire harness cover.  </t>
  </si>
  <si>
    <t>KP-UV20-DAP-SS-N</t>
  </si>
  <si>
    <t>2020-25 PI Utility | 2020-25 Explorer Civilian 3 piece. Kick panel with foot pockets. Use with Big-Boy mount.</t>
  </si>
  <si>
    <t xml:space="preserve">KP-UV20-DAP-SS </t>
  </si>
  <si>
    <t xml:space="preserve">2020-25 PI Utility | 2020-25 Explorer Civilian Big-Boy partition mounting kit. Extra seat-back recline. </t>
  </si>
  <si>
    <t>SAB-20-FDUV-BB</t>
  </si>
  <si>
    <t>2020-25 Ram Partition Mounting Kit (TP-E-SL12-FS-SS, 2-SAB-DG-RAM, KP-DG25-SS)</t>
  </si>
  <si>
    <t>KIT-TP-SL12-DG25-SS</t>
  </si>
  <si>
    <t>2020-25 Ram Partition Mounting Kit (TP-E-SL1-FS-SS, 2-SAB-DG-RAM, KP-DG25-SS)</t>
  </si>
  <si>
    <t>KIT-TP-SL1-DG25-SS</t>
  </si>
  <si>
    <t>2020-25 Ram Partition Mounting Kit (TP-E-SL6-FS-SS, 2-SAB-DG-RAM, KP-DG25-SS)</t>
  </si>
  <si>
    <t>KIT-TP-SL6-DG25-SS</t>
  </si>
  <si>
    <t>2021-25 Durango Partition Kit (TP-E-SM12-US-SS, PM-21DUR-BF, KP-BFDUR-SS)</t>
  </si>
  <si>
    <t>KIT-TP-SM12-21DR-SS</t>
  </si>
  <si>
    <t>2021-25 Durango Partition Kit (TP-E-SM1-US-SS, PM-21DUR-BF, KP-BFDUR-SS)</t>
  </si>
  <si>
    <t>KIT-TP-SM1-21DR-SS</t>
  </si>
  <si>
    <t>2021-25 Durango Partition Kit (TP-E-SM6-US-SS, PM-21DUR-BF, KP-BFDUR-SS)</t>
  </si>
  <si>
    <t>KIT-TP-SM6-21DR-SS</t>
  </si>
  <si>
    <t>2021-25 Durango Partition Kit (TP-E-SL3-US-SS, PM-21DUR, KP-21DUR-SS)</t>
  </si>
  <si>
    <t>KIT-TP-SL3-21DR-SS</t>
  </si>
  <si>
    <t>2021-25 Durango Partition Kit (TP-E-SL12-US-SS, PM-21DUR, KP-21DUR-SS)</t>
  </si>
  <si>
    <t>KIT-TP-SL12-21DR-SS</t>
  </si>
  <si>
    <t>2021-25 Durango Partition Kit (TP-E-SL1-US-SS, PM-21DUR, KP-21DUR-SS)</t>
  </si>
  <si>
    <t>KIT-TP-SL1-21DR-SS</t>
  </si>
  <si>
    <t>2021-25 Durango Partition Kit (TP-E-SL6-US-SS, PM-21DUR, KP-21DUR-SS)</t>
  </si>
  <si>
    <t>KIT-TP-SL6-21DR-SS</t>
  </si>
  <si>
    <t>2020-24 Charger Partition Kit (TP-E-SL12-US-SS, 2-SAB-CH11, KP-CH11BF-SS)</t>
  </si>
  <si>
    <t>KIT-TP-SL12-11CH-SS</t>
  </si>
  <si>
    <t>2020-24 Charger Partition Kit (TP-E-SL1-US-SS, 2-SAB-CH11, KP-CH11BF-SS)</t>
  </si>
  <si>
    <t>KIT-TP-SL1-11CH-SS</t>
  </si>
  <si>
    <t>2020-24 Charger Partition Kit (TP-E-SL6-US-SS, 2-SAB-CH11, KP-CH11BF-SS)</t>
  </si>
  <si>
    <t>KIT-TP-SL6-11CH-SS</t>
  </si>
  <si>
    <t>2021-25 Silverado Partition Kit (TP-E-SL12-FS-SS, PM-21TH, KP-CHV19-SS)</t>
  </si>
  <si>
    <t>KIT-TP-SL12-21S1-SS</t>
  </si>
  <si>
    <t>2021-25 Silverado Partition Kit (TP-E-SL1-FS-SS, PM-21TH, KP-CHV19-SS)</t>
  </si>
  <si>
    <t>KIT-TP-SL1-21S1-SS</t>
  </si>
  <si>
    <t>2021-25 Silverado Partition Kit (TP-E-SL6-FS-SS, PM-21TH, KP-CHV19-SS)</t>
  </si>
  <si>
    <t>KIT-TP-SL6-21S1-SS</t>
  </si>
  <si>
    <t>2019-25 Silverado Partition Kit (TP-E-SL12-FS-SS, 2-SAB-CHV19, KP-CHV19-SS)</t>
  </si>
  <si>
    <t>KIT-TP-SL12-19S1-SS</t>
  </si>
  <si>
    <t xml:space="preserve">2019-25 Silverado Partition Kit (TP-E-SL1-FS-SS, 2-SAB-CHV19, KP-CHV19-SS)            </t>
  </si>
  <si>
    <t>KIT-TP-SL1-19S1-SS</t>
  </si>
  <si>
    <t>2019-25 Silverado Partition Kit (TP-E-SL6-FS-SS, 2-SAB-CHV19, KP-CHV19-SS)</t>
  </si>
  <si>
    <t>KIT-TP-SL6-19S1-SS</t>
  </si>
  <si>
    <t>2021-25 Tahoe | 2021-24 Suburban Bent Frame Partition Kit (TP-E-SM1-FS-SS, PM-21TH-BF, KP-21TH-BF-SS)</t>
  </si>
  <si>
    <t>KIT-TP-SM1-21TH-SS</t>
  </si>
  <si>
    <t>2021-25 Tahoe | 2021-24 Suburban Bent Frame Partition Kit (TP-E-SM6-FS-SS, PM-21TH-BF, KP-21TH-BF-SS)</t>
  </si>
  <si>
    <t>KIT-TP-SM6-21TH-SS</t>
  </si>
  <si>
    <t xml:space="preserve">2021-25 Tahoe | 2021-24 Suburban FS Partition Kit (TP-E-SL7-FS-SS, PM-21TH, KP-21TH-SS) </t>
  </si>
  <si>
    <t>KIT-TP-SL7-21TH-SS</t>
  </si>
  <si>
    <t>2021-25 Tahoe | 2021-24 Suburban FS Partition Kit (TP-E-SL1-FS-SS, PM-21TH, KP-21TH-SS)</t>
  </si>
  <si>
    <t>KIT-TP-SL1-21TH-SS</t>
  </si>
  <si>
    <t>2021-25 Tahoe | 2021-24 Suburban FS Partition Kit (TP-E-SL6-FS-SS, PM-21TH, KP-21TH-SS)</t>
  </si>
  <si>
    <t>KIT-TP-SL6-21TH-SS</t>
  </si>
  <si>
    <t>2021-25 F150 | 2021-25 F250 Flat Partition Kit (TP-E-SL6-FS-F, PM-21F150, KP-F150-15-F)</t>
  </si>
  <si>
    <t>KIT-TP-SL6-21F1-F</t>
  </si>
  <si>
    <t>2021-25 F150 | 2021-25 F250 Partition Kit (TP-E-SL12-FS-SS,  PM-21F150, KP-F150-15-SS)</t>
  </si>
  <si>
    <t>KIT-TP-SL12-21F1-SS</t>
  </si>
  <si>
    <t>2021-25 F150 | 2021-25 F250 Partition Kit (TP-E-SL1-FS-SS, PM-21F150 ,KP-F150-15-SS)</t>
  </si>
  <si>
    <t>KIT-TP-SL1-21F1-SS</t>
  </si>
  <si>
    <t>2021-25 F150 | 2021-25 F250 Partition Kit (TP-E-SL6-FS-SS, PM-21F150, KP-F150-15-SS)</t>
  </si>
  <si>
    <t>KIT-TP-SL6-21F1-SS</t>
  </si>
  <si>
    <t>2018-25 Expedition Partition Kit (TP-E-SL12-FS-SS,  2-SAB-EXP18, KP-F150-15-SS)</t>
  </si>
  <si>
    <t>KIT-TP-SL12-18XP-SS</t>
  </si>
  <si>
    <t>2018-25 Expedition Partition Kit (TP-E-SL1-FS-SS, 2-SAB-EXP18, KP-F150-15-SS)</t>
  </si>
  <si>
    <t>KIT-TP-SL1-18XP-SS</t>
  </si>
  <si>
    <t>2018-25 Expedition Partition Kit (TP-E-SL6-FS-SS, 2-SAB-EXP18, KP-F150-15-SS)</t>
  </si>
  <si>
    <t>KIT-TP-SL6-18XP-SS</t>
  </si>
  <si>
    <t>2020-25 PI Utility US Partition Kit (TP-E-SM12-US-SS, SAB-20-UV-BF, KP-20-BFUV-SS)</t>
  </si>
  <si>
    <t>KIT-TP-SM12U-BB-SS</t>
  </si>
  <si>
    <t>2020-25 PI Utility US Partition Kit (TP-E-SM1-US-SS, SAB-20-UV-BF, KP-20-BFUV-SS)</t>
  </si>
  <si>
    <t>KIT-TP-SM1U-BB-SS</t>
  </si>
  <si>
    <t>2020-25 PI Utility US Partition Kit (TP-E-SM6-US-SS, SAB-20-UV-BF, KP-20-BFUV-SS)</t>
  </si>
  <si>
    <t>KIT-TP-SM6U-BB-SS</t>
  </si>
  <si>
    <t xml:space="preserve">2020-25 PI Utility | 2020-25 Explorer Civilian US Partition Kit (TP-E-SL7-US-SS, SAB-20-FDUV-BB, KP-UV20-DAP-SS) </t>
  </si>
  <si>
    <t>KIT-TP-SL7U-BB-SS</t>
  </si>
  <si>
    <t>2020-25 PI Utility | 2020-25 Explorer Civilian US Partition Kit (TP-E-SL12-US-SS, SAB-20-FDUV-BB, KP-UV20-DAP-SS)</t>
  </si>
  <si>
    <t>KIT-TP-SL12U-BB-SS</t>
  </si>
  <si>
    <t>2020-25 PI Utility | 2020-25 Explorer Civilian US Partition Kit (TP-E-SL1-US-SS, SAB-20-FDUV-BB, KP-UV20-DAP-SS)</t>
  </si>
  <si>
    <t>KIT-TP-SL1U-BB-SS</t>
  </si>
  <si>
    <t>2020-25 PI Utility | 2020-25 Explorer Civilian US Partition Kit (TP-E-SL6-US-SS, SAB-20-FDUV-BB, KP-UV20-DAP-SS)</t>
  </si>
  <si>
    <t>KIT-TP-SL6U-BB-SS</t>
  </si>
  <si>
    <t>2020-25 Transit XLT Van Rear Cage; 15 passenger; Square hole punched.  Mount included in part no.</t>
  </si>
  <si>
    <t>TP-F-FTV-R</t>
  </si>
  <si>
    <t>2020-25 Transit XLT Van Middle Cage; 15 passenger; Square hole punched.  Mount included in part no.</t>
  </si>
  <si>
    <t>TP-FTV-MID-F</t>
  </si>
  <si>
    <t>2020-25 Transit XLT Van front cage lower flat kick panel</t>
  </si>
  <si>
    <t>KP-FTV-F</t>
  </si>
  <si>
    <t>2020-25 Transit XLT Van front Cage Mounting kit.</t>
  </si>
  <si>
    <t>2-SAB-FTV-H</t>
  </si>
  <si>
    <t>2020-25 Transit XLT Van front Cage; 10-15 passenger; Square hole punched.  Mount not included in part no.</t>
  </si>
  <si>
    <t>TP-SB-VAN-F</t>
  </si>
  <si>
    <t xml:space="preserve">Full size Bent Frame space maker; Low-Profile Sliding window; Poly window </t>
  </si>
  <si>
    <t>TP-E-SM12-FS-SS</t>
  </si>
  <si>
    <t>Full size Bent Frame space maker; Sliding window; Square hole punched</t>
  </si>
  <si>
    <t>TP-E-SM6-FS-SS</t>
  </si>
  <si>
    <t>Full size Bent Frame space maker; 50% Polycarbonate 50% Square hole punched</t>
  </si>
  <si>
    <t>TP-E-SM3-FS-SS</t>
  </si>
  <si>
    <t>Full size Bent Frame space maker; Sliding window; Vertical bar</t>
  </si>
  <si>
    <t>TP-E-SM1-FS-SS</t>
  </si>
  <si>
    <t>Full size Flat Panel; Fixed Window:  50% Polycarbonate 50% Square hole punched</t>
  </si>
  <si>
    <t>TP-E-SL3-FS-F</t>
  </si>
  <si>
    <t>Full size Flat Panel; Fixed Window:  All polycarbonate; Ventilation pre-punched holes</t>
  </si>
  <si>
    <t>TP-E-SL2-FS-F</t>
  </si>
  <si>
    <t>Full size Flat Panel; Sliding window; Square hole punched</t>
  </si>
  <si>
    <t>TP-E-SL6-FS-F</t>
  </si>
  <si>
    <t>Full size Flat Panel; Sliding window; Vertical bar</t>
  </si>
  <si>
    <t>TP-E-SL1-FS-F</t>
  </si>
  <si>
    <t>Full size Recessed Panel; Fixed window:  All polycarbonate; Ventilation pre-punched holes</t>
  </si>
  <si>
    <t>TP-E-SL2-FS-SS</t>
  </si>
  <si>
    <t xml:space="preserve">Full size Recessed Panel; Low-Profile Sliding window; Poly window </t>
  </si>
  <si>
    <t>TP-E-SL12-FS-SS</t>
  </si>
  <si>
    <t>Full size Recessed Panel; Sliding window; Square hole punched</t>
  </si>
  <si>
    <t>TP-E-SL6-FS-SS</t>
  </si>
  <si>
    <t>Full size Recessed Panel; Sliding window; Vertical bar</t>
  </si>
  <si>
    <t>TP-E-SL1-FS-SS</t>
  </si>
  <si>
    <t>US size Bent Frame space maker; Low-Profile Sliding Window; Poly window</t>
  </si>
  <si>
    <t>TP-E-SM12-US-SS</t>
  </si>
  <si>
    <t>US size Bent Frame space maker; Fixed Window:  50% Polycarbonate 50% Square hole punched</t>
  </si>
  <si>
    <t>TP-E-SM3-US-SS</t>
  </si>
  <si>
    <t>US size Bent Frame space maker; Sliding window; Square hole punched bracket</t>
  </si>
  <si>
    <t>TP-E-SM6-US-SS</t>
  </si>
  <si>
    <t>US size Bent Frame space maker; Sliding window; Vertical bar bracket</t>
  </si>
  <si>
    <t>TP-E-SM1-US-SS</t>
  </si>
  <si>
    <t>US size Recessed Panel; Straight-Frame Space-Maker; Sliding Window; Square hole punched bracket</t>
  </si>
  <si>
    <t>TP-E-SF6-US-SS</t>
  </si>
  <si>
    <t>US size Recessed Panel; Straight-Frame Space-Maker; Sliding Window; Vertical Bar Bracket</t>
  </si>
  <si>
    <t>TP-E-SF1-US-SS</t>
  </si>
  <si>
    <t>US size, Flat Panel; Fixed window; 50% Polycarbonate/50% Square-holed punched</t>
  </si>
  <si>
    <t>TP-E-SL3-US-F</t>
  </si>
  <si>
    <t>US size, Flat Panel; Fixed window; all polycarbonate with pre-punched ventilation holes</t>
  </si>
  <si>
    <t>TP-E-SL2-US-F</t>
  </si>
  <si>
    <t>US size, Flat Panel; Sliding window; Square-hole punched crawl-thru prevention bracket</t>
  </si>
  <si>
    <t>TP-E-SL6-US-F</t>
  </si>
  <si>
    <t>US size, Flat Panel, Sliding window; Vertical bar crawl-thru prevention bracket</t>
  </si>
  <si>
    <t>TP-E-SL1-US-F</t>
  </si>
  <si>
    <t>US size, Recessed Panel; Fixed window; 50% Polycarbonate/50% Square-hole punched</t>
  </si>
  <si>
    <t>TP-E-SL3-US-SS</t>
  </si>
  <si>
    <t>US size, Recessed Panel; Fixed window; all polycarbonate with pre-punched ventilation holes</t>
  </si>
  <si>
    <t>TP-E-SL2-US-SS</t>
  </si>
  <si>
    <t xml:space="preserve">US size, Recessed Panel; Low-Profile Sliding window; poly window </t>
  </si>
  <si>
    <t>TP-E-SL12-US-SS</t>
  </si>
  <si>
    <t>US size, Recessed Panel; Sliding window; Diamond-hole punched crawl-thru prevention bracket</t>
  </si>
  <si>
    <t>TP-E-SL10-US-SS</t>
  </si>
  <si>
    <t>US size, Recessed Panel; Sliding window; Square-hole punched crawl-thru prevention bracket</t>
  </si>
  <si>
    <t>TP-E-SL6-US-SS</t>
  </si>
  <si>
    <t>US size, Recessed Panel; Sliding window; Vertical bar crawl-thru prevention bracket</t>
  </si>
  <si>
    <t>TP-E-SL1-US-SS</t>
  </si>
  <si>
    <t>Weapon lock adjustable timer (7-40 seconds)</t>
  </si>
  <si>
    <t>GL-SC7009A</t>
  </si>
  <si>
    <t>Insert for GL-SC6 weapon lock (for barrel or muzzle down)</t>
  </si>
  <si>
    <t>GL-SC6060</t>
  </si>
  <si>
    <t>Gun lock barrel insert</t>
  </si>
  <si>
    <t>GL-SC1201-B</t>
  </si>
  <si>
    <t>Insert for GL-SC1 weapon lock (for barrel)</t>
  </si>
  <si>
    <t>GL-SC1201</t>
  </si>
  <si>
    <t>Universal weapon lock designed to work with handcuff key (key by others)</t>
  </si>
  <si>
    <t>GL-SC6/H</t>
  </si>
  <si>
    <t>Universal weapon lock</t>
  </si>
  <si>
    <t>GL-SC-6</t>
  </si>
  <si>
    <t>AR15 weapon lock designed to accommodate handcuff key (key by others)</t>
  </si>
  <si>
    <t>GL-SC1/ARH</t>
  </si>
  <si>
    <t>AR15 weapon lock with No. 2 key</t>
  </si>
  <si>
    <t>GL-SC1/AR</t>
  </si>
  <si>
    <t>Shotgun lock with special insert to grab weapon at barrel</t>
  </si>
  <si>
    <t>GL-SC1-B-RF</t>
  </si>
  <si>
    <t>Shotgun lock with No. 2 key</t>
  </si>
  <si>
    <t>GL-SC1</t>
  </si>
  <si>
    <t>Off-set bracket for universal hand-cuff style gun lock (Santa Cruz).  More room for optics on rifle.</t>
  </si>
  <si>
    <t>GM-B-OP-SC5-BKT</t>
  </si>
  <si>
    <t>Bracket for universal gun lock (SC-5-XL, SC-6 by Santa Cruz)</t>
  </si>
  <si>
    <t>GM-B-SC5-BKT</t>
  </si>
  <si>
    <t>Bracket for AR gun lock (Santa Cruz, Overland, Big Sky)</t>
  </si>
  <si>
    <t>GM-B-SC1AR-BKT</t>
  </si>
  <si>
    <t>Bracket for shotgun lock (Santa Cruz, Overland, Big Sky)</t>
  </si>
  <si>
    <t>GM-B-SC1-BKT</t>
  </si>
  <si>
    <t>Universal single weapon mount for single-cell Ford PIU, F150 and Tahoe</t>
  </si>
  <si>
    <t>GM-SGL-SC</t>
  </si>
  <si>
    <t>Universal dual weapon mount for single-cell Ford PIU, F150 and Tahoe</t>
  </si>
  <si>
    <t>GM-SGRF-SC</t>
  </si>
  <si>
    <t xml:space="preserve">2021-25 Tahoe | 2021-24 Suburban free standing dual weapon mount. Weapon locks sold separately. </t>
  </si>
  <si>
    <t>GM-21TH-SGRF</t>
  </si>
  <si>
    <t>2021-25 Tahoe | 2021-24 Suburban free standing single weapon mount. Weapon locks sold separately.</t>
  </si>
  <si>
    <t>GM-21TH-SGL</t>
  </si>
  <si>
    <t>2020-25 PI Utility free standing dual weapon mount. Weapon locks sold separately.</t>
  </si>
  <si>
    <t>GM-20UV-SGRF</t>
  </si>
  <si>
    <t>2020-25 PI Utility free standing single weapon mount. Weapon locks sold separately.</t>
  </si>
  <si>
    <t>GM-20UV-SGL</t>
  </si>
  <si>
    <t>Dual weapon mount with adjustability and no access to weapon lock wires. Weapon locks sold separately.</t>
  </si>
  <si>
    <t>GM-SGRF-MNT</t>
  </si>
  <si>
    <t xml:space="preserve">Single weapon mount with adjustability and no access to weapon lock wires. Weapon locks sold separately. </t>
  </si>
  <si>
    <t>GM-SGL-MNT</t>
  </si>
  <si>
    <t>Dual weapon mount includes: (2) SC6 universal locks, (1) universal gunlock bracket, (1) handcuff style bracket</t>
  </si>
  <si>
    <t>KT-GM-SGRF-SC6-OP</t>
  </si>
  <si>
    <t>Dual weapon mount with SC1 shotgun lock, SC1/AR AR15 lock with No. 2 Key and brackets</t>
  </si>
  <si>
    <t>KT-GM-SGRF-SC1-1AR</t>
  </si>
  <si>
    <t>Dual weapon mount with SC6 lock, SC1/AR AR15 lock with No. 2 Key and brackets</t>
  </si>
  <si>
    <t>KT-GM-SGRF-SC6-1AR</t>
  </si>
  <si>
    <t>Dual weapon mount with SC6 lock, SC1 shotgun lock with No. 2 key and brackets</t>
  </si>
  <si>
    <t>KT-GM-SGRF-SC6-1</t>
  </si>
  <si>
    <t>Single weapon mount with SC1/AR AR15 lock, No. 2 key and brackets</t>
  </si>
  <si>
    <t>KT-GM-SGL-SC1AR</t>
  </si>
  <si>
    <t>Single weapon mount with SC1 lock and brackets</t>
  </si>
  <si>
    <t>KT-GM-SGL-SC1</t>
  </si>
  <si>
    <t>Single weapon mount with SC6 lock and brackets</t>
  </si>
  <si>
    <t>KT-GM-SGL-SC6</t>
  </si>
  <si>
    <t>Console deck computer mount with swing arm for docking station. Works with computer deck consoles CC-20-UVLP-17, 14 and CC-21CH-DM-0707, 0709,0711</t>
  </si>
  <si>
    <t xml:space="preserve">CM-DH-SA-LED </t>
  </si>
  <si>
    <t>Console deck computer mount with slide arm for docking station. Works with computer deck consoles CC-20-UVLP-17, 14 and CC-21CH-DM-0707, 0709,0711</t>
  </si>
  <si>
    <t>CM-DH-SLDK-LED</t>
  </si>
  <si>
    <t>Short U bracket mount with slide arm and laptop tray up to 15" wide. Includes CM-LT1600.</t>
  </si>
  <si>
    <t>CM-UMSH-SL-LT16</t>
  </si>
  <si>
    <t>Short U bracket mount with slide arm and laptop tray up to 17" wide</t>
  </si>
  <si>
    <t>CM-UMSH-SL-LT17</t>
  </si>
  <si>
    <t>Short U bracket mount with slide arm for docking station. Pivot mounts to second hole (farther from user)</t>
  </si>
  <si>
    <t>CM-UMSH-SLS-LED</t>
  </si>
  <si>
    <t>Short U bracket mount with slide arm for docking station</t>
  </si>
  <si>
    <t>CM-UMSH-SL-LED</t>
  </si>
  <si>
    <t>Short U bracket mount with swing arm and laptop tray up to 15" wide. Includes CM-LT1600.</t>
  </si>
  <si>
    <t>CM-UMSH-SA-LT16</t>
  </si>
  <si>
    <t>Short U bracket mount with swing arm and laptop tray up to 17" wide</t>
  </si>
  <si>
    <t>CM-UMSH-SA-LT17</t>
  </si>
  <si>
    <t>Short U bracket mount with swing arm for dock.Pivot mount bolts to second hole (farther from user)</t>
  </si>
  <si>
    <t>CM-UMSH-SAS-LED</t>
  </si>
  <si>
    <t>Short U bracket mount with swing arm for docking station</t>
  </si>
  <si>
    <t>CM-UMSH-SA-LED</t>
  </si>
  <si>
    <t>U bracket mount with slide arm and laptop tray up to 15" wide. Includes CM-LT1600.</t>
  </si>
  <si>
    <t>CM-UMNT-SL-LT16</t>
  </si>
  <si>
    <t>U bracket mount with slide arm and laptop tray up to 17" wide</t>
  </si>
  <si>
    <t>CM-UMNT-SL-LT17</t>
  </si>
  <si>
    <t>U bracket mount with slide arm for docking station; pivot mount bolts to second hole (farther from user)</t>
  </si>
  <si>
    <t>CM-UMNT-SLS-LED</t>
  </si>
  <si>
    <t>U bracket mount with slide arm for docking station</t>
  </si>
  <si>
    <t>CM-UMNT-SL-LED</t>
  </si>
  <si>
    <t>U bracket mount with swing arm and laptop tray up to 15" wide. Includes CM-LT1600.</t>
  </si>
  <si>
    <t>CM-UMNT-SA-LT16</t>
  </si>
  <si>
    <t>U bracket mount with swing arm and laptop tray up to 17" wide</t>
  </si>
  <si>
    <t>CM-UMNT-SA-LT17</t>
  </si>
  <si>
    <t>U bracket mount with swing arm for docking station. Pivot mount bolts to second hole (farther from user)</t>
  </si>
  <si>
    <t>CM-UMNT-SAS-LED</t>
  </si>
  <si>
    <t xml:space="preserve">U bracket mount with swing arm for docking station </t>
  </si>
  <si>
    <t>CM-UMNT-SA-LED</t>
  </si>
  <si>
    <t>Console side dual-arm mount with swing arm for Havis tablet dock and slide arm for Ikey/Havis keyboard, IK Model# IK-TR-911-RED, Havis keyboard model# KB-106</t>
  </si>
  <si>
    <t>CM-SD2M-SL-703-IK20</t>
  </si>
  <si>
    <t>Console side dual-arm mount with swing arm for D911 and keyboard</t>
  </si>
  <si>
    <t>CM-SD2M-SA-D911</t>
  </si>
  <si>
    <t>Console side dual-arm mount with swing arm for PDRC and slide arm for keyboard</t>
  </si>
  <si>
    <t>CM-SD2M-SL-PDRC</t>
  </si>
  <si>
    <t>Console side dual-arm mount with swing arm for Patrol PC and slide arm for keyboard</t>
  </si>
  <si>
    <t>CM-SD2M-SL-PTPC</t>
  </si>
  <si>
    <t>Console side dual-arm mount with swing arm for Havis tablet dock and slide arm for iKey keyboard</t>
  </si>
  <si>
    <t>CM-SD2M-SL-703</t>
  </si>
  <si>
    <t>Console side height adjustable mount with ratchet handle and slide arm for docking station</t>
  </si>
  <si>
    <t>CM-SDLA-SL-LED</t>
  </si>
  <si>
    <t>Console side height adjustable mount with slide arm and laptop tray up to 15" wide.  Includes CM-LT1600.</t>
  </si>
  <si>
    <t>CM-SDMT-SL-LT16</t>
  </si>
  <si>
    <t>Console side height adjustable mount with slide arm and laptop tray up to 17" wide</t>
  </si>
  <si>
    <t>CM-SDMT-SL-LT17</t>
  </si>
  <si>
    <t>Console side height adjustable mount with slide arm for docking station</t>
  </si>
  <si>
    <t>CM-SDMT-SL-LED</t>
  </si>
  <si>
    <t>Console side height adjustable mount with swing arm and laptop tray up to 15" wide. Includes CM-LT1600.</t>
  </si>
  <si>
    <t>CM-SDMT-SA-LT16</t>
  </si>
  <si>
    <t>Console side height adjustable mount with swing arm and laptop tray up to 17" wide</t>
  </si>
  <si>
    <t>CM-SDMT-SA-LT17</t>
  </si>
  <si>
    <t>Console side height adjustable mount with swing arm for docking station</t>
  </si>
  <si>
    <t>CM-SDMT-SA-LED</t>
  </si>
  <si>
    <t>2020-25 Ram passenger seat mount with slide arm and laptop tray up to 15" wide. Includes CM-LT1600.</t>
  </si>
  <si>
    <t>CM-PSDR-SL-LT16</t>
  </si>
  <si>
    <t>2020-25 Ram passenger seat mount with slide arm and laptop tray up to 17" wide</t>
  </si>
  <si>
    <t>CM-PSDR-SL-LT17</t>
  </si>
  <si>
    <t xml:space="preserve">2020-25 Ram passenger seat mount with slide arm for docking station </t>
  </si>
  <si>
    <t>CM-PSDR-SL-LED</t>
  </si>
  <si>
    <t>2020-25 Ram passenger seat mount with swing arm and laptop tray up to 15" wide. Includes CM-LT1600.</t>
  </si>
  <si>
    <t>CM-PSDR-SA-LT16</t>
  </si>
  <si>
    <t>2020-25 Ram passenger seat mount with swing arm and laptop tray up to 17" wide</t>
  </si>
  <si>
    <t>CM-PSDR-SA-LT17</t>
  </si>
  <si>
    <t>2020-25 Ram passenger seat mount with swing arm for docking station</t>
  </si>
  <si>
    <t>CM-PSDR-SA-LED</t>
  </si>
  <si>
    <t>2020-24 Charger passenger seat with slide arm and laptop tray up to 15" wide. Includes CM-LT1600.</t>
  </si>
  <si>
    <t>CM-PSCH-SL-LT18</t>
  </si>
  <si>
    <t>2020-24 Charger passenger seat with slide arm and laptop tray up to 17" wide</t>
  </si>
  <si>
    <t>CM-PSCH-SL-LT17</t>
  </si>
  <si>
    <t>2020-24 Charger passenger seat with slide arm for docking station</t>
  </si>
  <si>
    <t>CM-PSCH-SL-LED</t>
  </si>
  <si>
    <t>2020-24 Charger passenger seat with swing arm and laptop tray up to 15" wide. Includes CM-LT1600.</t>
  </si>
  <si>
    <t>CM-PSCH-SA-LT16</t>
  </si>
  <si>
    <t>2020-24 Charger passenger seat with swing arm and laptop tray up to 17" wide</t>
  </si>
  <si>
    <t>CM-PSCH-SA-LT17</t>
  </si>
  <si>
    <t>2020-24 Charger passenger seat with swing arm for docking station</t>
  </si>
  <si>
    <t>CM-PSCH-SA-LED</t>
  </si>
  <si>
    <t>2019-25 Silverado passenger seat mount with sliding arm and docking station mount</t>
  </si>
  <si>
    <t>CM-CHV19-SL-LED</t>
  </si>
  <si>
    <t>2019-25 Silverado height adjustable seat mount with slide arm and laptop tray up to 15" wide. Includes CM-LT1600.</t>
  </si>
  <si>
    <t>CM-CHV19-SL-LT16</t>
  </si>
  <si>
    <t>2019-25 Silverado height adjustable seat mount with slide arm and laptop tray up to 17" wide</t>
  </si>
  <si>
    <t>CM-CHV19-SL-LT17</t>
  </si>
  <si>
    <t>2019-25 Silverado passenger seat mount with swing arm and laptop tray up to 15" wide. Includes CM-LT1600.</t>
  </si>
  <si>
    <t>CM-CHV19-SA-LT16</t>
  </si>
  <si>
    <t>2019-25 Silverado passenger seat mount with swing arm and laptop tray up to 17" wide</t>
  </si>
  <si>
    <t>CM-CHV19-SA-LT17</t>
  </si>
  <si>
    <t>2019-25 Silverado passenger seat mount with swing arm and docking station mount</t>
  </si>
  <si>
    <t>CM-CHV19-SA-LED</t>
  </si>
  <si>
    <t>2021-25 Tahoe | 2021-24 Suburban passenger seat mount with slide arm and laptop tray up to 15" wide. Includes CM-LT1600</t>
  </si>
  <si>
    <t>CM-21TH-SL-LT16</t>
  </si>
  <si>
    <t>2021-25 Tahoe | 2021-24 Suburban passenger seat mount with slide arm and laptop tray up to 17" wide</t>
  </si>
  <si>
    <t>CM-21TH-SL-LT17</t>
  </si>
  <si>
    <t>2021-25 Tahoe | 2021-24 Suburban passenger seat mount with slide arm for dock</t>
  </si>
  <si>
    <t>CM-21TH-SL-C</t>
  </si>
  <si>
    <t>2021-25 Tahoe | 2021-24 Suburban passenger seat mount with swing arm and laptop tray up to 15" wide. Includes CM-LT1600</t>
  </si>
  <si>
    <t>CM-21TH-SA-LT16</t>
  </si>
  <si>
    <t>2021-25 Tahoe | 2021-24 Suburban passenger seat mount with swing arm and laptop tray up to 17" wide</t>
  </si>
  <si>
    <t>CM-21TH-SA-LT17</t>
  </si>
  <si>
    <t>2021-25 Tahoe | 2021-24 Suburban passenger seat mount with swing arm and mount for dock</t>
  </si>
  <si>
    <t>CM-21TH-SA-C</t>
  </si>
  <si>
    <t>2020-25 Transit XLT Van - Height adjustable seat mount with slide arm for docking stations</t>
  </si>
  <si>
    <t>CM-FTV-SL-LED</t>
  </si>
  <si>
    <t>2020-25 F150 | 2020-25 F250 | 2018-25 Expedition - Height adjustable seat mount with slide arm and laptop tray up to 15" wide. Includes CM-LT1600</t>
  </si>
  <si>
    <t>CM-F15-SL-LT16</t>
  </si>
  <si>
    <t>2020-25 F150 | 2020-25 F250 | 2018-25 Expedition - Height adjustable seat mount with slide arm and laptop tray up to 17" wide</t>
  </si>
  <si>
    <t>CM-F15-SL-LT17</t>
  </si>
  <si>
    <t>2020-25 F150 | 2020-25 F250 | 2018-25 Expedition - Height adjustable seat mount with slide arm and docking station mount</t>
  </si>
  <si>
    <t>CM-F15-SL-LED</t>
  </si>
  <si>
    <t>2020-25 F150 | 2020-25 F250 | 2018-25 Expedition - Height adjustable seat mount with swing arm and laptop tray up to 15" wide. Includes CM-LT1600</t>
  </si>
  <si>
    <t>CM-F15-SA-LT16</t>
  </si>
  <si>
    <t>2020-25 F150 | 2020-25 F250 | 2018-25 Expedition - Height adjustable seat mount with swing arm and laptop tray up to 17" wide</t>
  </si>
  <si>
    <t>CM-F15-SA-LT17</t>
  </si>
  <si>
    <t>2020-25 F150 | 2020-25 F250 | 2018-25 Expedition - Height adjustable seat mount with swing arm and docking station mount</t>
  </si>
  <si>
    <t>CM-F15-SA-LED</t>
  </si>
  <si>
    <t>2020-25 PI Utility | 2020-25 Explorer Civilian passenger seat mount with slide arm and laptop tray up to 15" wide. Includes CM-LT1600</t>
  </si>
  <si>
    <t>CM-UV20-SL-LT16</t>
  </si>
  <si>
    <t>2020-25 PI Utility | 2020-25 Explorer Civilian passenger seat mount with slide arm and laptop tray up to 17" wide</t>
  </si>
  <si>
    <t>CM-UV20-SL-LT17</t>
  </si>
  <si>
    <t>2020-25 PI Utility | 2020-25 Explorer Civilian passenger seat mount with slide arm dock</t>
  </si>
  <si>
    <t>CM-UV20-SL-LED</t>
  </si>
  <si>
    <t>2020-25 PI Utility | 2020-25 Explorer Civilian passenger seat mount with swing arm and laptop tray up to 15" wide. Includes CM-LT1600</t>
  </si>
  <si>
    <t>CM-UV20-SA-LT16</t>
  </si>
  <si>
    <t>2020-25 PI Utility | 2020-25 Explorer Civilian passenger seat mount with swing arm and laptop tray up to 17" wide</t>
  </si>
  <si>
    <t>CM-UV20-SA-LT17</t>
  </si>
  <si>
    <t>2020-25 PI Utility | 2020-25 Explorer Civilian passenger seat mount with swing arm dock</t>
  </si>
  <si>
    <t>CM-UV20-SA-LED</t>
  </si>
  <si>
    <t xml:space="preserve">2020-25 PI Utility in-dash computer mount - Keyboard accommodated with separate mounts </t>
  </si>
  <si>
    <t>CM-20-UVDM</t>
  </si>
  <si>
    <t>Laptop tray finger clamp, vinyl cap</t>
  </si>
  <si>
    <t>AC-LT13-CLAMP</t>
  </si>
  <si>
    <t>Laptop screen holder. Compatible with TROY laptop trays.</t>
  </si>
  <si>
    <t>AC-LT-SCR</t>
  </si>
  <si>
    <t>3" face plate with six switch cut-outs *MINIMUM ORDER OF (5) IS REQUIRED*</t>
  </si>
  <si>
    <t>FP-BLNK3SW6</t>
  </si>
  <si>
    <t>2" face plate with six switch cut-outs *MINIMUM ORDER OF (5) IS REQUIRED*</t>
  </si>
  <si>
    <t>FP-BLNK2SW6</t>
  </si>
  <si>
    <t>2" (5) 1.48 x .85 rocker switch cut-outs *MINIMUM ORDER OF (5) IS REQUIRED*</t>
  </si>
  <si>
    <t>FP-BLNK2SW5</t>
  </si>
  <si>
    <t>2" (4) 1.48 x .85 rocker switch cut-outs *MINIMUM ORDER OF (5) IS REQUIRED*</t>
  </si>
  <si>
    <t>FP-BLNK2SW4</t>
  </si>
  <si>
    <t>2" (2) .5 x 1 rocker switch cut-outs, centered *MINIMUM ORDER OF (5) IS REQUIRED*</t>
  </si>
  <si>
    <t>FP-BLNK2SW2-S</t>
  </si>
  <si>
    <t>2" (1) 1.5 x .88 rocker switch cut-out *MINIMUM ORDER OF (5) IS REQUIRED*</t>
  </si>
  <si>
    <t>FP-BLNK2SW1</t>
  </si>
  <si>
    <t>2" face plate with three switch cut-outs *MINIMUM ORDER OF (5) IS REQUIRED*</t>
  </si>
  <si>
    <t>FP-BLNK2SW</t>
  </si>
  <si>
    <t>2" (3) 1.48 x .85 rocker switches, (2) DC outlets *MINIMUM ORDER OF (5) IS REQUIRED*</t>
  </si>
  <si>
    <t>FP-BL2SW3AP2</t>
  </si>
  <si>
    <t>2" (3) 1.48 x .85 rocker switches, (1) DC outlet *MINIMUM ORDER OF (5) IS REQUIRED*</t>
  </si>
  <si>
    <t>FP-BL2SW3AP1</t>
  </si>
  <si>
    <t>1" (1) .49 dia. toggle switch hole, centered *MINIMUM ORDER OF (5) IS REQUIRED*</t>
  </si>
  <si>
    <t>FP-BLNK1-TS</t>
  </si>
  <si>
    <t>1" face plate with three switch cut-out *MINIMUM ORDER OF (5) IS REQUIRED*</t>
  </si>
  <si>
    <t>FP-BLNK1SW3</t>
  </si>
  <si>
    <t>1" (1) 1 x .57 rocker switch *MINIMUM ORDER OF (5) IS REQUIRED*</t>
  </si>
  <si>
    <t>FP-BLNK1PA</t>
  </si>
  <si>
    <t>1" face plate with one switch cut-out *MINIMUM ORDER OF (5) IS REQUIRED*</t>
  </si>
  <si>
    <t>FP-BLNK1P</t>
  </si>
  <si>
    <t>8" Blank filler plate *MINIMUM ORDER OF (5) IS REQUIRED*</t>
  </si>
  <si>
    <t>FP-BLNK8</t>
  </si>
  <si>
    <t>7" Blank filler plate *MINIMUM ORDER OF (5) IS REQUIRED*</t>
  </si>
  <si>
    <t>FP-BLNK7</t>
  </si>
  <si>
    <t>6" Blank filler plate *MINIMUM ORDER OF (5) IS REQUIRED*</t>
  </si>
  <si>
    <t>FP-BLNK6</t>
  </si>
  <si>
    <t>5" Blank filler plate *MINIMUM ORDER OF (5) IS REQUIRED*</t>
  </si>
  <si>
    <t>FP-BLNK5</t>
  </si>
  <si>
    <t>4" Blank filler plate</t>
  </si>
  <si>
    <t>FP-BLNK4</t>
  </si>
  <si>
    <t>3" Blank filler plate</t>
  </si>
  <si>
    <t>FP-BLNK3</t>
  </si>
  <si>
    <t>2" Blank filler plate</t>
  </si>
  <si>
    <t>FP-BLNK2</t>
  </si>
  <si>
    <t>1" Blank filler plate</t>
  </si>
  <si>
    <t>FP-BLNK1</t>
  </si>
  <si>
    <t>2" face plate with 2 DC outlet holes &amp; map light slot</t>
  </si>
  <si>
    <t>FP-MLDC2</t>
  </si>
  <si>
    <t>2" face plate with map light slot</t>
  </si>
  <si>
    <t>FP-ML2</t>
  </si>
  <si>
    <t>1" face plate with map light slot</t>
  </si>
  <si>
    <t>FP-ML1</t>
  </si>
  <si>
    <t>18" Gooseneck map light (comes out from top of housing)</t>
  </si>
  <si>
    <t>AC-LL-L918</t>
  </si>
  <si>
    <t>12" Gooseneck map light (comes out from top of housing)</t>
  </si>
  <si>
    <t>AC-LL-L912</t>
  </si>
  <si>
    <t>18" LED gooseneck map light</t>
  </si>
  <si>
    <t>AC-LL18-LED</t>
  </si>
  <si>
    <t>18" Gooseneck map light (comes out from housing end)</t>
  </si>
  <si>
    <t>AC-LL18</t>
  </si>
  <si>
    <t>12" LED gooseneck map light</t>
  </si>
  <si>
    <t>AC-LL12-LED</t>
  </si>
  <si>
    <t>12" Gooseneck map light (comes out from housing end)</t>
  </si>
  <si>
    <t>AC-LL12</t>
  </si>
  <si>
    <t xml:space="preserve">2" face plate pre-punched with holes to fit Tahoe OEM USB &amp; 1 DC outlet </t>
  </si>
  <si>
    <t>FP-21TH-USBDC</t>
  </si>
  <si>
    <t xml:space="preserve">2" face plate pre-punched with holes to fit Ford Series trucks to relocate SYNC outlets (works  with CC-WBOS consoles) </t>
  </si>
  <si>
    <t>FP-UV20-USBDC</t>
  </si>
  <si>
    <t>2" face plate pre-punched with holes to fit Ram and  Dodge Charger. 2021 OEM USB &amp; 2 DC outlets (2018+ RAM models) *MINIMUM ORDER OF (5) IS REQUIRED*</t>
  </si>
  <si>
    <t>FP-RAM-USB2-AUX</t>
  </si>
  <si>
    <t>7" (3) USB holes, (1) AC outlet hole, recessed. Works with USBC outlets. *MINIMUM ORDER OF (5) IS REQUIRED*</t>
  </si>
  <si>
    <t>FP-SJ-PLUG</t>
  </si>
  <si>
    <t>6" Radio speaker cut-out (leave cover on) *MINIMUM ORDER OF (5) IS REQUIRED*</t>
  </si>
  <si>
    <t>FP-SPKRBKT-6</t>
  </si>
  <si>
    <t>5" Voltage meter cut-out *MINIMUM ORDER OF (5) IS REQUIRED*</t>
  </si>
  <si>
    <t>FP-BL5-VM</t>
  </si>
  <si>
    <t>4" (2) AC outlet holes, (3) DC, (3) aux., (1) inverter *MINIMUM ORDER OF (5) IS REQUIRED*</t>
  </si>
  <si>
    <t>FP-ACDC-INV-4</t>
  </si>
  <si>
    <t xml:space="preserve">4" American Aluminum K9 Cool Guard plus face plate </t>
  </si>
  <si>
    <t>FP-A-COOL-GP</t>
  </si>
  <si>
    <t>4" Hot-n-Pop K-9 Temp sensor *MINIMUM ORDER OF (5) IS REQUIRED*</t>
  </si>
  <si>
    <t>FP-ACE-K9</t>
  </si>
  <si>
    <t>4" Ray Allen K-9 Temp read-out *MINIMUM ORDER OF (5) IS REQUIRED*</t>
  </si>
  <si>
    <t>FP-RAK9TEMP</t>
  </si>
  <si>
    <t>Pyramid SVR-250 Repeater *MINIMUM ORDER OF (5) IS REQUIRED*</t>
  </si>
  <si>
    <t>FP-PYRSVR250</t>
  </si>
  <si>
    <t>Pyramid SVR-200 Repeater *MINIMUM ORDER OF (5) IS REQUIRED*</t>
  </si>
  <si>
    <t>FP-PYRSVR200</t>
  </si>
  <si>
    <t>ICOP 20/20W Video recorder *MINIMUM ORDER OF (5) IS REQUIRED*</t>
  </si>
  <si>
    <t>FP-ICOP-20/20W</t>
  </si>
  <si>
    <t>L-3 Flashback Model 2</t>
  </si>
  <si>
    <t>FP-L3FLASH</t>
  </si>
  <si>
    <t>4" L-3 Flashback 2 Monitor *MINIMUM ORDER OF (5) IS REQUIRED*</t>
  </si>
  <si>
    <t>FP-L3-FB2-MON</t>
  </si>
  <si>
    <t>4" L-3 Flashback Model 3 *MINIMUM ORDER OF (5) IS REQUIRED*</t>
  </si>
  <si>
    <t>FP-L3FLASH3</t>
  </si>
  <si>
    <t>3" WatchGuard 4RE</t>
  </si>
  <si>
    <t>FP-WG4RE</t>
  </si>
  <si>
    <t>3" Custom design for shallow consoles *MINIMUM ORDER OF (5) IS REQUIRED*</t>
  </si>
  <si>
    <t>FP-ARB360-ADP</t>
  </si>
  <si>
    <t>3" Panasonic Arbitrator 360</t>
  </si>
  <si>
    <t>FP-ARB360</t>
  </si>
  <si>
    <t>3" 350 scanner *MINIMUM ORDER OF (5) IS REQUIRED*</t>
  </si>
  <si>
    <t>FP-BC350</t>
  </si>
  <si>
    <t>3" 350A scanner *MINIMUM ORDER OF (5) IS REQUIRED*</t>
  </si>
  <si>
    <t>FP-UBC350A</t>
  </si>
  <si>
    <t>3" D996-T Scanner</t>
  </si>
  <si>
    <t>FP-UBCD996T</t>
  </si>
  <si>
    <t>3" Cobra 29 LTD scanner *MINIMUM ORDER OF (5) IS REQUIRED*</t>
  </si>
  <si>
    <t>FP-COBRA29LTD</t>
  </si>
  <si>
    <t>3" Cobra 25 LTD scanner *MINIMUM ORDER OF (5) IS REQUIRED*</t>
  </si>
  <si>
    <t>FP-COBRA25LTD</t>
  </si>
  <si>
    <t>3" Cobra 18 WXST2 scanner *MINIMUM ORDER OF (5) IS REQUIRED*</t>
  </si>
  <si>
    <t>FP-C18WXST2</t>
  </si>
  <si>
    <t>4" SC-411 Police/Fire siren remote head *MINIMUM ORDER OF (5) IS REQUIRED*</t>
  </si>
  <si>
    <t>FP-CARSC411</t>
  </si>
  <si>
    <t>4" SC-409 Commander siren remote head *MINIMUM ORDER OF (5) IS REQUIRED*</t>
  </si>
  <si>
    <t>FP-CARSC409</t>
  </si>
  <si>
    <t>4" 940 siren remote head *MINIMUM ORDER OF (5) IS REQUIRED*</t>
  </si>
  <si>
    <t>FP-TOMAR940(R)</t>
  </si>
  <si>
    <t>3" ETS-P990 Arrow stick *MINIMUM ORDER OF (5) IS REQUIRED*</t>
  </si>
  <si>
    <t>FP-SOETSP990</t>
  </si>
  <si>
    <t xml:space="preserve">4" Blueprint Knob Control Panel ENGCP18002 </t>
  </si>
  <si>
    <t>FP-FPI-SO380R</t>
  </si>
  <si>
    <t>4" ETSA481 one-piece lights/siren</t>
  </si>
  <si>
    <t>FP-ETSA481</t>
  </si>
  <si>
    <t>4" ETSA480 Blueprint remote head lights/siren</t>
  </si>
  <si>
    <t>FP-SO380R</t>
  </si>
  <si>
    <t>4" Soundoff 500 siren remote head</t>
  </si>
  <si>
    <t>FP-SO500-R</t>
  </si>
  <si>
    <t>5" Dual Arges face plate</t>
  </si>
  <si>
    <t>FP-ARGES-2</t>
  </si>
  <si>
    <t>4" FP, Whelen Arges Spotlight remote with 2-DC outlets and dual USB port. Works with USBC outlets.</t>
  </si>
  <si>
    <t xml:space="preserve">FP-W-ARGES-USBDC </t>
  </si>
  <si>
    <t>4” Whelen CCP9 Core-C Control Point and Switchbox</t>
  </si>
  <si>
    <t>FP-WCCP9</t>
  </si>
  <si>
    <t>4" Whelen Arges Series Super-LED Remote Control Spotlight</t>
  </si>
  <si>
    <t>FP-W-ARGES</t>
  </si>
  <si>
    <t xml:space="preserve">4" Tilted faceplate Whelen Control/Cencom </t>
  </si>
  <si>
    <t>FP-WCENCOMJD-T</t>
  </si>
  <si>
    <t>4" Control/Cencom (Sapphire, Carbide)/295 SA,DA</t>
  </si>
  <si>
    <t>FP-WCENCOM-JD</t>
  </si>
  <si>
    <t>4" Whelen remote head - 295 (SLS, HFS) 295 A9 Hands-free</t>
  </si>
  <si>
    <t>FP-WS295HFS9</t>
  </si>
  <si>
    <t>4" Whelen Cencom Core-S Remote Siren</t>
  </si>
  <si>
    <t>FP-WCORE-S</t>
  </si>
  <si>
    <t>3" Traffic Adviser</t>
  </si>
  <si>
    <t>FP-WTA-RAD</t>
  </si>
  <si>
    <t>3" PCCS-9N Switch Pack *MINIMUM ORDER OF (5) IS REQUIRED*</t>
  </si>
  <si>
    <t>FP-WSPCCS9N</t>
  </si>
  <si>
    <t>3" Epsilon EPSL1 Siren *MINIMUM ORDER OF (5) IS REQUIRED*</t>
  </si>
  <si>
    <t>FP-WSEPSL1</t>
  </si>
  <si>
    <t>3" WS-295 Siren *MINIMUM ORDER OF (5) IS REQUIRED*</t>
  </si>
  <si>
    <t>FP-WS295</t>
  </si>
  <si>
    <t>3" MCP03 Siren Controller *MINIMUM ORDER OF (5) IS REQUIRED*</t>
  </si>
  <si>
    <t>FP-WMPC03</t>
  </si>
  <si>
    <t>3" 10-Switch Control Center *MINIMUM ORDER OF (5) IS REQUIRED*</t>
  </si>
  <si>
    <t>FP-WSPCCS10N</t>
  </si>
  <si>
    <t>FP-WPCC10W</t>
  </si>
  <si>
    <t>3" 295 Hands-free siren *MINIMUM ORDER OF (5) IS REQUIRED*</t>
  </si>
  <si>
    <t>FP-WS295HF</t>
  </si>
  <si>
    <t>3"  Whelen Core WeCanX 6 Button/Knob Ctrl Head CCTL9</t>
  </si>
  <si>
    <t>FP-W-CANX</t>
  </si>
  <si>
    <t>2" PCCS-9RW 6-Button Switch Pack *MINIMUM ORDER OF (5) IS REQUIRED*</t>
  </si>
  <si>
    <t>FP-WSPCCS9RW</t>
  </si>
  <si>
    <t>4" Feniex lightbar/siren control head *MINIMUM ORDER OF (5) IS REQUIRED*</t>
  </si>
  <si>
    <t>FP-F-2200</t>
  </si>
  <si>
    <t>4" Siren Rumbler *MINIMUM ORDER OF (5) IS REQUIRED*</t>
  </si>
  <si>
    <t>FP-EQ2B-RJ</t>
  </si>
  <si>
    <t>4" Platinum remote lights/siren controller</t>
  </si>
  <si>
    <t>FP-PLATINUM</t>
  </si>
  <si>
    <t>4" SS2000 remote lights/siren controller</t>
  </si>
  <si>
    <t>FP-FEDSMRT1</t>
  </si>
  <si>
    <t>4" PA-640 one-pc. siren</t>
  </si>
  <si>
    <t>FP-FEDPA640</t>
  </si>
  <si>
    <t>4" Platinum remote lights/siren controller. Custom designed to tilt toward driver.</t>
  </si>
  <si>
    <t>FP-PLATINUM-T</t>
  </si>
  <si>
    <t>3" Fed-Signal Pathfinder remote head siren</t>
  </si>
  <si>
    <t>FP-FED-PATH-R</t>
  </si>
  <si>
    <t>3" Fed-Signal Pathfinder one-piece siren</t>
  </si>
  <si>
    <t>FP-PATHFINDER</t>
  </si>
  <si>
    <t>3" Switch Pack *MINIMUM ORDER OF (5) IS REQUIRED*</t>
  </si>
  <si>
    <t>FP-FEDSW300</t>
  </si>
  <si>
    <t>3" PA-300 siren</t>
  </si>
  <si>
    <t>FP-FEDPA300</t>
  </si>
  <si>
    <t>2" Signal Master siren *MINIMUM ORDER OF (5) IS REQUIRED*</t>
  </si>
  <si>
    <t>FP-FEDSMC2</t>
  </si>
  <si>
    <t>4" Mastercomm one-pc. lights/siren controller</t>
  </si>
  <si>
    <t>FP-C33892</t>
  </si>
  <si>
    <t>4" XCEL one-pc. lights/siren controller</t>
  </si>
  <si>
    <t>FP-C3-XCEL</t>
  </si>
  <si>
    <t>4" Z3 remote lights/siren controller</t>
  </si>
  <si>
    <t>FP-C3-Z3</t>
  </si>
  <si>
    <t>3" Custom 3” version of FP-C33892</t>
  </si>
  <si>
    <t>FP-C33892-3</t>
  </si>
  <si>
    <t>3" 3997RLS, remote lights/siren controller *MINIMUM ORDER OF (5) IS REQUIRED*</t>
  </si>
  <si>
    <t>FP-C3999</t>
  </si>
  <si>
    <t>3" Arrow stick 2009 remote head controller *MINIMUM ORDER OF (5) IS REQUIRED*</t>
  </si>
  <si>
    <t>FP-C3ASTK-09</t>
  </si>
  <si>
    <t>3" V-CON siren *MINIMUM ORDER OF (5) IS REQUIRED*</t>
  </si>
  <si>
    <t>FP-C3VCON</t>
  </si>
  <si>
    <t>2" Narrow stick controller *MINIMUM ORDER OF (5) IS REQUIRED*</t>
  </si>
  <si>
    <t>FP-C3NARROW</t>
  </si>
  <si>
    <t>3" Fire Apparatus Intercom System, 3025R *MINIMUM ORDER OF (5) IS REQUIRED*</t>
  </si>
  <si>
    <t>FP-FICM3025</t>
  </si>
  <si>
    <t>4" LCS-800 Light control switch panel *MINIMUM ORDER OF (5) IS REQUIRED*</t>
  </si>
  <si>
    <t>FP-SIGLCS800</t>
  </si>
  <si>
    <t>2" SRS-6 Radio Switcher, Ultrasound 67-D *MINIMUM ORDER OF (5) IS REQUIRED*</t>
  </si>
  <si>
    <t>FP-SIGUS-67D</t>
  </si>
  <si>
    <t>3" VX-6000 Radio *MINIMUM ORDER OF (5) IS REQUIRED*</t>
  </si>
  <si>
    <t>FP-VX6000</t>
  </si>
  <si>
    <t>3" VX-4600 Radio *MINIMUM ORDER OF (5) IS REQUIRED*</t>
  </si>
  <si>
    <t>FP-VX4600</t>
  </si>
  <si>
    <t>2" VX-2200 Radio *MINIMUM ORDER OF (5) IS REQUIRED*</t>
  </si>
  <si>
    <t>FP-VX2200</t>
  </si>
  <si>
    <t>2" 520 XL C.B. Radio *MINIMUM ORDER OF (5) IS REQUIRED*</t>
  </si>
  <si>
    <t>FP-UNIPRO520</t>
  </si>
  <si>
    <t>2" 510 XL C.B. Radio *MINIMUM ORDER OF (5) IS REQUIRED*</t>
  </si>
  <si>
    <t>FP-UPRO510XL</t>
  </si>
  <si>
    <t>3" Syntec II STM1050B dash/remote head *MINIMUM ORDER OF (5) IS REQUIRED*</t>
  </si>
  <si>
    <t>FP-MDSTM1050B</t>
  </si>
  <si>
    <t>3" 5000 ESL Radio *MINIMUM ORDER OF (5) IS REQUIRED*</t>
  </si>
  <si>
    <t>FP-EFJ5ESL</t>
  </si>
  <si>
    <t>3" 5300 ES Radio *MINIMUM ORDER OF (5) IS REQUIRED*</t>
  </si>
  <si>
    <t>FP-EFJ5300ES</t>
  </si>
  <si>
    <t>4" M8200 Radios, One-Piece *MINIMUM ORDER OF (5) IS REQUIRED*</t>
  </si>
  <si>
    <t>FP-TAITM8200(D)</t>
  </si>
  <si>
    <t>4" M8200 Radio, Remote *MINIMUM ORDER OF (5) IS REQUIRED*</t>
  </si>
  <si>
    <t>FP-TAITM8200</t>
  </si>
  <si>
    <t>3" 2000 Mobile Two-Way Radio *MINIMUM ORDER OF (5) IS REQUIRED*</t>
  </si>
  <si>
    <t>FP-TAIT2000</t>
  </si>
  <si>
    <t>4" XG-100M, CH100 one-piece *MINIMUM ORDER OF (5) IS REQUIRED*</t>
  </si>
  <si>
    <t>FP-H-UNITY</t>
  </si>
  <si>
    <t>4" XG-25M remote head *MINIMUM ORDER OF (5) IS REQUIRED*</t>
  </si>
  <si>
    <t>FP-H-XG25M-R</t>
  </si>
  <si>
    <t>4" XG-25M one-piece *MINIMUM ORDER OF (5) IS REQUIRED*</t>
  </si>
  <si>
    <t>FP-H-XG25M</t>
  </si>
  <si>
    <t xml:space="preserve">3" Harris XL-200M P25 Remote Head Mobile Radio </t>
  </si>
  <si>
    <t>FP-H-XL200M-R</t>
  </si>
  <si>
    <t>3" XG-100M, CH-721, M700 one-piece *MINIMUM ORDER OF (5) IS REQUIRED*</t>
  </si>
  <si>
    <t>FP-GEORION</t>
  </si>
  <si>
    <t>3" KRY, Harris CH-721, XG-75M, M7300 *MINIMUM ORDER OF (5) IS REQUIRED*</t>
  </si>
  <si>
    <t>FP-ERIC-KRY-RD</t>
  </si>
  <si>
    <t>3" Ericcson GE MDX radio *MINIMUM ORDER OF (5) IS REQUIRED*</t>
  </si>
  <si>
    <t>FP-GEMDX</t>
  </si>
  <si>
    <t>3" M7200, M7300 one-piece</t>
  </si>
  <si>
    <t>FP-MCM7200</t>
  </si>
  <si>
    <t>3" M7200, remote, tilted toward driver, custom</t>
  </si>
  <si>
    <t>FP-HARRIS-T</t>
  </si>
  <si>
    <t>3" XG-100M CH-721 XG-75M remote head</t>
  </si>
  <si>
    <t>FP-ORION(R)</t>
  </si>
  <si>
    <t>3" LA-A0355 radio charger *MINIMUM ORDER OF (5) IS REQUIRED*</t>
  </si>
  <si>
    <t>FP-BKLAA0355</t>
  </si>
  <si>
    <t>3" LA-A0340 radio charger *MINIMUM ORDER OF (5) IS REQUIRED*</t>
  </si>
  <si>
    <t>FP-BKLAA0340</t>
  </si>
  <si>
    <t>3" DMH5992R remote head radio</t>
  </si>
  <si>
    <t>FP-BKDMH5992R</t>
  </si>
  <si>
    <t>3" GMH5992R remote head radio</t>
  </si>
  <si>
    <t>FP-BKGMH5992R</t>
  </si>
  <si>
    <t>3" EM5992X one-piece radio</t>
  </si>
  <si>
    <t>FP-BKEM5992X</t>
  </si>
  <si>
    <t>3" Tilted faceplate BK-M150 remote radio</t>
  </si>
  <si>
    <t>FP-BKM150R-T</t>
  </si>
  <si>
    <t>3" KNG-M150-R digital remote radio</t>
  </si>
  <si>
    <t>FP-BKM150-R</t>
  </si>
  <si>
    <t>3" M150 one-piece radio</t>
  </si>
  <si>
    <t>FP-BK-KNGM150-D</t>
  </si>
  <si>
    <t>3" TK-730H(B) mobile radio *MINIMUM ORDER OF (5) IS REQUIRED*</t>
  </si>
  <si>
    <t>FP-KEN30(R)</t>
  </si>
  <si>
    <t>3" TK-7150/8150 mobile radio *MINIMUM ORDER OF (5) IS REQUIRED*</t>
  </si>
  <si>
    <t>FP-KENTK7150</t>
  </si>
  <si>
    <t>3" TK-6110 mobile radio *MINIMUM ORDER OF (5) IS REQUIRED*</t>
  </si>
  <si>
    <t>FP-KENTK6110</t>
  </si>
  <si>
    <t>3" TK-790 mobile radio</t>
  </si>
  <si>
    <t>FP-KENTK790</t>
  </si>
  <si>
    <t>3" TK-890 mobile radio</t>
  </si>
  <si>
    <t>FP-KENTK890</t>
  </si>
  <si>
    <t>3" TK-7160 H3 mobile radio</t>
  </si>
  <si>
    <t>FP-KENTK7160H3</t>
  </si>
  <si>
    <t>2" TK-7360 FM mobile radio</t>
  </si>
  <si>
    <t>FP-KENTK7360</t>
  </si>
  <si>
    <t>3" NX5000, remote head radio</t>
  </si>
  <si>
    <t>FP-KENNX5M-R</t>
  </si>
  <si>
    <t>3" NX5000, one-piece radio</t>
  </si>
  <si>
    <t>FP-KENNX5M-D</t>
  </si>
  <si>
    <t>3" CH20 remote head radio</t>
  </si>
  <si>
    <t>FP-KENKCH20R</t>
  </si>
  <si>
    <t>3" 790/890 remote head radio</t>
  </si>
  <si>
    <t>FP-KENTK790MR</t>
  </si>
  <si>
    <t>2" TK-7160 mobile radio *MINIMUM ORDER OF (5) IS REQUIRED*</t>
  </si>
  <si>
    <t>FP-KENTK7160HK</t>
  </si>
  <si>
    <t>2" TK-860 mobile radio *MINIMUM ORDER OF (5) IS REQUIRED*</t>
  </si>
  <si>
    <t>FP-KENTK860</t>
  </si>
  <si>
    <t>2" NX-3720HG/3820HG mobile radio</t>
  </si>
  <si>
    <t>FP-K-NX3720</t>
  </si>
  <si>
    <t>2" TK-7180H/8180H/8180 mobile radio</t>
  </si>
  <si>
    <t>FP-KTK7180-8180</t>
  </si>
  <si>
    <t>3" IC-F5061,-D, F6061,-D radios</t>
  </si>
  <si>
    <t>FP-ICF6061D</t>
  </si>
  <si>
    <t>3" IC-F1721D/F1821D radio</t>
  </si>
  <si>
    <t>FP-ICF1721D</t>
  </si>
  <si>
    <t>3" IC-A120 Aviation radio</t>
  </si>
  <si>
    <t>FP-ICOMA120</t>
  </si>
  <si>
    <t>3" IC-A110 Aviation radio</t>
  </si>
  <si>
    <t>FP-ICOMA110</t>
  </si>
  <si>
    <t>2" IC-F121/F221 radio</t>
  </si>
  <si>
    <t>FP-ICF121</t>
  </si>
  <si>
    <t>2" IC-A200 Aviation radio</t>
  </si>
  <si>
    <t>FP-ICOMA200</t>
  </si>
  <si>
    <t>4" NTN7618B dual chargers *MINIMUM ORDER OF (5) IS REQUIRED*</t>
  </si>
  <si>
    <t>FP-MNNTN7618B-D</t>
  </si>
  <si>
    <t>4" NTN9176B dual chargers *MINIMUM ORDER OF (5) IS REQUIRED*</t>
  </si>
  <si>
    <t>FP-NTN9176B-D</t>
  </si>
  <si>
    <t>4" NTN9176B single charger *MINIMUM ORDER OF (5) IS REQUIRED*</t>
  </si>
  <si>
    <t>FP-NTN9176B</t>
  </si>
  <si>
    <t>4" RLN4884B single charger *MINIMUM ORDER OF (5) IS REQUIRED*</t>
  </si>
  <si>
    <t>FP-MRLN4884B</t>
  </si>
  <si>
    <t>3" RLN4884B dual chargers *MINIMUM ORDER OF (5) IS REQUIRED*</t>
  </si>
  <si>
    <t>FP-MRLN4884B-2</t>
  </si>
  <si>
    <t>8" 09 Control Head *MINIMUM ORDER OF (5) IS REQUIRED*</t>
  </si>
  <si>
    <t>FP-MOTOROLA-09</t>
  </si>
  <si>
    <t>7” version of FP-MOTOROLA-09 *MINIMUM ORDER OF (5) IS REQUIRED*</t>
  </si>
  <si>
    <t>FP-MOTOROLA09-7</t>
  </si>
  <si>
    <t>5" Dual XTL5000 one-piece 05/07</t>
  </si>
  <si>
    <t>FP-XTL5000-D</t>
  </si>
  <si>
    <t>5" Dual XTL2500 remote head 05/07</t>
  </si>
  <si>
    <t>FP-XTL2500-D</t>
  </si>
  <si>
    <t>4" 9000, A9/C9/W9 control head, remote head. *MINIMUM ORDER OF (5) IS REQUIRED*</t>
  </si>
  <si>
    <t>FP-M9001</t>
  </si>
  <si>
    <t>4" XTL5000 one-piece, tilted for better view *MINIMUM ORDER OF (5) IS REQUIRED*</t>
  </si>
  <si>
    <t>FP-T-XTL5000-4</t>
  </si>
  <si>
    <t>4" XTL2500/DEK dual design *MINIMUM ORDER OF (5) IS REQUIRED*</t>
  </si>
  <si>
    <t>FP-MXTL25M9-4</t>
  </si>
  <si>
    <t>4" APX 6500 02, remote head</t>
  </si>
  <si>
    <t>FP-MAPX6500-02</t>
  </si>
  <si>
    <t>3" Spectra 07 head, replaced by XTL2500 *MINIMUM ORDER OF (5) IS REQUIRED*</t>
  </si>
  <si>
    <t>FP-SPCTR(S)</t>
  </si>
  <si>
    <t>3" CDM750/1250/1550, remote head *MINIMUM ORDER OF (5) IS REQUIRED*</t>
  </si>
  <si>
    <t>FP-CDM1250(R)</t>
  </si>
  <si>
    <t>3" CDM750/1250/1550, one-piece</t>
  </si>
  <si>
    <t>FP-CDM1250</t>
  </si>
  <si>
    <t>3" XPR 4500/4550/4580, remote head</t>
  </si>
  <si>
    <t>FP-MTURBO</t>
  </si>
  <si>
    <t>3" XPR 4500/4550/4580, one-piece</t>
  </si>
  <si>
    <t>FP-MXPR5550</t>
  </si>
  <si>
    <t>3" MCS 2000, Model 1, one-piece</t>
  </si>
  <si>
    <t>FP-MCS2001</t>
  </si>
  <si>
    <t>3" APX 6500 remote 07 head</t>
  </si>
  <si>
    <t>FP-MAPX6500-07-R</t>
  </si>
  <si>
    <t>3" XTL2500/5000/APX6500 One-piece, 05/07</t>
  </si>
  <si>
    <t>FP-MXTL5000</t>
  </si>
  <si>
    <t>3" XTL2500/5000/APX6500 remote 05/07</t>
  </si>
  <si>
    <t>FP-MXTL2500</t>
  </si>
  <si>
    <t>3" Dual DEK A9 face plate</t>
  </si>
  <si>
    <t>FP-M9005</t>
  </si>
  <si>
    <t>2" CM300 Radio</t>
  </si>
  <si>
    <t>FP-CM300</t>
  </si>
  <si>
    <t>2" DEK A9 (direct entry keypad)</t>
  </si>
  <si>
    <t>FP-M9004</t>
  </si>
  <si>
    <t>3" one hour meter hole *MINIMUM ORDER OF (5) IS REQUIRED*</t>
  </si>
  <si>
    <t>FP-HRMETER</t>
  </si>
  <si>
    <t>3" face plate with two DC outlet holes *MINIMUM ORDER OF (5) IS REQUIRED*</t>
  </si>
  <si>
    <t>FP-AP3</t>
  </si>
  <si>
    <t>2" one Kussmaul USB, three DC outlet holes. Works with USBC outlets *MINIMUM ORDER OF (5) IS REQUIRED*</t>
  </si>
  <si>
    <t>FP-KUSS-USB-3DC</t>
  </si>
  <si>
    <t>2" one Kussmaul USB cut-out (1.5 x .8) Works with USBC outlets *MINIMUM ORDER OF (5) IS REQUIRED*</t>
  </si>
  <si>
    <t>FP-KUSSMAUL-2</t>
  </si>
  <si>
    <t>2" two DC outlet holes, one AC outlet. AC includes 15 Amp-Black. Works with USBC outlets. *MINIMUM ORDER OF (5) IS REQUIRED*</t>
  </si>
  <si>
    <t>FP-2AC-2USB</t>
  </si>
  <si>
    <t>2" two DC outlet holes, three 1.4 x .8 cutouts. Works with USBC outlets. *MINIMUM ORDER OF (5) IS REQUIRED*</t>
  </si>
  <si>
    <t>FP-1DC2SWUSB-2</t>
  </si>
  <si>
    <t>2" face plate with one AC duplex outlet cut-out and two DC outlet holes</t>
  </si>
  <si>
    <t>FP-2AC2DC</t>
  </si>
  <si>
    <t>2" face plate with one AC duplex outlet cut-out (Includes 15 Amp -black duplex outlet) *MINIMUM ORDER OF (5) IS REQUIRED*</t>
  </si>
  <si>
    <t>FP-DECORA</t>
  </si>
  <si>
    <t>3" face plate with two DC outlet holes</t>
  </si>
  <si>
    <t>FP-AP2</t>
  </si>
  <si>
    <t>2" face plate with two DC outlet holes; (1) rocker switch hole</t>
  </si>
  <si>
    <t>FP-AP12CUS</t>
  </si>
  <si>
    <t>2" face plate with four DC outlet holes</t>
  </si>
  <si>
    <t>FP-AP12-4</t>
  </si>
  <si>
    <t>2" face plate with three DC outlet holes</t>
  </si>
  <si>
    <t>FP-AP12-3</t>
  </si>
  <si>
    <t>2" face plate with two DC outlet holes</t>
  </si>
  <si>
    <t>FP-AP12</t>
  </si>
  <si>
    <t>2" face plate with one DC outlet hole; centered on plate *MINIMUM ORDER OF (5) IS REQUIRED*</t>
  </si>
  <si>
    <t>FP-AP1</t>
  </si>
  <si>
    <t>2" face plate combo USB-C/USB port and two DC outlets</t>
  </si>
  <si>
    <t>FP-USBC-2DC</t>
  </si>
  <si>
    <t xml:space="preserve">2" face plate with two USB-C 4 amp and USB 3 amp port </t>
  </si>
  <si>
    <t>FP-USBC-2</t>
  </si>
  <si>
    <t>2" face plate with dual USB-C 4 amp and four DC outlets. Works with USBC outlets. (Includes electronics)</t>
  </si>
  <si>
    <t>FP-USB-4DC</t>
  </si>
  <si>
    <t xml:space="preserve">2" face plate to re-locate OEM USB and DC outlets to console </t>
  </si>
  <si>
    <t>FP-EXP18-USB-DC</t>
  </si>
  <si>
    <t>12 Volt DC power outlet plug with black captured cap</t>
  </si>
  <si>
    <t>L3-AP1SET</t>
  </si>
  <si>
    <t>External mounted L-bracket with three DC outlet holes pre-punched; includes three 12V DC outlets</t>
  </si>
  <si>
    <t>AC-AP3</t>
  </si>
  <si>
    <t>Black plastic cap cover</t>
  </si>
  <si>
    <t>AC-CC-875CAP</t>
  </si>
  <si>
    <t>Black plastic captured insert cap</t>
  </si>
  <si>
    <t>AC-AP1COVERS</t>
  </si>
  <si>
    <t>12 Volt DC power outlet plug only</t>
  </si>
  <si>
    <t>AC-AP1</t>
  </si>
  <si>
    <t>2" face plate with phone cradle and mount; one USB-C 4 amp and USB 3 amp port</t>
  </si>
  <si>
    <t>FP-PHNMNT</t>
  </si>
  <si>
    <t xml:space="preserve">Cradle magnetic phone mount; includes two mounting disc </t>
  </si>
  <si>
    <t>AC-PHMNT-MAG</t>
  </si>
  <si>
    <t xml:space="preserve">Magnetic phone mount; includes two mounting disc and two device plates </t>
  </si>
  <si>
    <t>AC-PHMAG</t>
  </si>
  <si>
    <t>Magnetic Mic holder quickly guides the microphone into place</t>
  </si>
  <si>
    <t>AC-MAG-MIC</t>
  </si>
  <si>
    <t>3" Face plate with two mic clips</t>
  </si>
  <si>
    <t>FP-MCP2-3</t>
  </si>
  <si>
    <t>2" Face plate with two mic clips</t>
  </si>
  <si>
    <t>FP-MCP2</t>
  </si>
  <si>
    <t>Mic bracket with clip. Bolts to computer mounts and keyboard trays</t>
  </si>
  <si>
    <t>L3-MCLBRKT</t>
  </si>
  <si>
    <t>Height adjustable, no-holes-drilled L-slot microphone clip plate assembly</t>
  </si>
  <si>
    <t>AC-MIC-Z-FPI</t>
  </si>
  <si>
    <t>L-shaped slotted bracket for microphone clip (mic clip not included)</t>
  </si>
  <si>
    <t>AC-MCLBKT</t>
  </si>
  <si>
    <t>Dog-ear type microphone clip plate and clip assembly</t>
  </si>
  <si>
    <t>AC-MCM1</t>
  </si>
  <si>
    <t>2025 Tahoe wide-body open-storage cover plate and notched rail kit. Use when mounting computer to the side of the console.</t>
  </si>
  <si>
    <t>KIT-CM-25TH-BL07-RAIL</t>
  </si>
  <si>
    <t>2025 Tahoe wide-body open-storage bulkhead wall, cover plate and notched rail kit. Use when mounting computer to console side for stability.</t>
  </si>
  <si>
    <t>KIT-CM-25TH-BL07-WALL-RAIL</t>
  </si>
  <si>
    <t>2021-25 Silverado cover plate and 7" face plate rail set for wide-body printer console; CC-22S1-0713OS-PRTR. Use when mounting computer to console side for stability.</t>
  </si>
  <si>
    <t>KIT-CM-BL7-RAIL</t>
  </si>
  <si>
    <t>2021-24 Tahoe | 2021-24 Suburban cover plate and 10" FP rail set for wide-body printer console; CC-21TH-1008-OS-L. Use when mounting computer to console side for stability.</t>
  </si>
  <si>
    <t>KIT-CM-BL10-RAIL</t>
  </si>
  <si>
    <t>2021-24 Tahoe | 2021-24 Suburban wide-body open-storage bulkhead wall and cover plate kit. Use when mounting computer to console side for stability.</t>
  </si>
  <si>
    <t>KIT-CM-BL10-WALL-RAIL</t>
  </si>
  <si>
    <t>Universal wide-body open storage bulkhead wall. Use when mounting computer to console side.</t>
  </si>
  <si>
    <t>AC-F-TH-WALL</t>
  </si>
  <si>
    <t>Driver side flip-up writing surface with paper pad clip; for consoles without open storage.</t>
  </si>
  <si>
    <t>AC-STOW-WS</t>
  </si>
  <si>
    <t>Driver side flip-up writing surface with paper pad clip; for open storage consoles.</t>
  </si>
  <si>
    <t>AC-STOW-878</t>
  </si>
  <si>
    <t xml:space="preserve">Printer insert compatible with Pocket Jet Printers and 2-3/8" paper roll for wide-body consoles with open storage.  Works with 11" on the console level section                                       </t>
  </si>
  <si>
    <t>FP-BPTX6-WBOS</t>
  </si>
  <si>
    <t>Lockable handgun box with cipher lock sized to fit under vehicle seat. (9"W x 11.1"L x 4.2"H)</t>
  </si>
  <si>
    <t>AC-GUNSAFE-2</t>
  </si>
  <si>
    <t>Rubber-glove box container. Can be bolted to any flat surface. (10.5"W x 5.1"L x 3.5"H)</t>
  </si>
  <si>
    <t>FD-DH-GLOVBOX</t>
  </si>
  <si>
    <t>Leather pad, 2" x 11" x 8.8" for AC-FILELOCK or AC-FILEBOX or other lid sizes</t>
  </si>
  <si>
    <t>AC-PENPAD</t>
  </si>
  <si>
    <t>Leather pad, 2" x 13.75" x 10.8" for AC-MAPFILE or other lid sizes</t>
  </si>
  <si>
    <t>AC-MAP-PAD</t>
  </si>
  <si>
    <t>Leather pad, 2" x 13" x 13" for AC-FHDFB file box or other lid sizes</t>
  </si>
  <si>
    <t>AC-FHDPAD</t>
  </si>
  <si>
    <t>External open-top storage box for wide-body console. (13.24"W x 11"L x 7.5"H)</t>
  </si>
  <si>
    <t>AC-WB-BOX11</t>
  </si>
  <si>
    <t>External lidded file box. (13.24"W x 11.25"L x 11.14"H)</t>
  </si>
  <si>
    <t>AC-OC-FILEBOX</t>
  </si>
  <si>
    <t>Hardware kit implements gas shock to box AC-FHDFB and AC-FHDFB-L</t>
  </si>
  <si>
    <t>HW-FHDFB-GS</t>
  </si>
  <si>
    <t>External lidded storage box with lock. (13.25"W x 13.8"L x 11"H. Includes leather pad AC-FHDPAD)</t>
  </si>
  <si>
    <t>AC-FHDFB-L</t>
  </si>
  <si>
    <t>External map book lidded storage box. (13.25"W x 13.8"L x 11"H. Includes leather pad AC-FHDPAD)</t>
  </si>
  <si>
    <t>AC-FHDFB</t>
  </si>
  <si>
    <t>External lidded and lockable storage box. (13.25"W x 75"L x 6"H)</t>
  </si>
  <si>
    <t>AC-FHDBOX-6</t>
  </si>
  <si>
    <t>External box for wide-body consoles to hang letter size hanging files. (13.24"W x 9"L x 10.8"H)</t>
  </si>
  <si>
    <t>AC-FILEBOX9-WB</t>
  </si>
  <si>
    <t>External holder for storing 3-ring binders; Open top container; bolts to console. (10.5"W x 4"L x 8.5"H)</t>
  </si>
  <si>
    <t>AC-3RBINDER</t>
  </si>
  <si>
    <t>External open-top three-sided clipboard storage box; bolts to console rear. (9.3"W x 6.5"L x 8.5"H)</t>
  </si>
  <si>
    <t>AC-NIDA-90</t>
  </si>
  <si>
    <t>External lidded box for map books. (10.8"W x 13.25"L x 10.6"H.  Non-locking)</t>
  </si>
  <si>
    <t>AC-MAPFILE</t>
  </si>
  <si>
    <t>External lidded box storing 3-ring binders. (9.75"W x 12"L x 12"H. Non-locking)</t>
  </si>
  <si>
    <t>AC-BINDERBX</t>
  </si>
  <si>
    <t xml:space="preserve">External lidded lock box with 2" arm pad. (8.5"W x 5"L x 8.25"H with 2x7 foam pad on lid) </t>
  </si>
  <si>
    <t>AC-MC-LOCK</t>
  </si>
  <si>
    <t>External non-locking lidded box for storage. (8.86"W x 9"L x 10.8"H)</t>
  </si>
  <si>
    <t>AC-FILEBOX-9</t>
  </si>
  <si>
    <t>External shortened storage box with hinged lid. (8.86"W x 7"L x 10.87"H with 5x8 foam pad on lid and lock with key)</t>
  </si>
  <si>
    <t>AC-FILE-L-7P</t>
  </si>
  <si>
    <t>External shortened storage box with hinged lid. (8.86"W x 7"L x 10.87"H with 5x8 foam pad on lid)</t>
  </si>
  <si>
    <t>AC-FILE-7P</t>
  </si>
  <si>
    <t>External lockable lidded box for storing letter size Penda flex hanging file folders. (8.8"W x 13.25"L x 10.8"H)</t>
  </si>
  <si>
    <t>AC-FILELOCK</t>
  </si>
  <si>
    <t>External lidded box for letter size Penda flex hanging folders. (8.86"W x 13.25"L x 10.8"H)</t>
  </si>
  <si>
    <t>AC-FILEBOX</t>
  </si>
  <si>
    <t>9" Lidded locking internal storage box. (7.5"W x 9"L x 5.6"H)</t>
  </si>
  <si>
    <t>AC-GUNBOX-9</t>
  </si>
  <si>
    <t>8" Lidded locking internal storage box. (7.5"W x 8"L x 5.6"H)</t>
  </si>
  <si>
    <t>AC-GUNBOX</t>
  </si>
  <si>
    <t>6" Lidded locking internal storage box. (7.5"W x 6"L x 5.25"H)</t>
  </si>
  <si>
    <t>AC-GUNBOX-6</t>
  </si>
  <si>
    <t>6" Internal lidded lock box with 2" leather arm pad. (7.5"W x 6"L x 5.25"H)</t>
  </si>
  <si>
    <t>FP-LOCKBOX6</t>
  </si>
  <si>
    <t>4" Internal lidded lock box with 2" leather arm pad. (7.5"W x 4"L x 5.25"H)</t>
  </si>
  <si>
    <t>FP-LOCKBOX4</t>
  </si>
  <si>
    <t>5" Open storage box for bolting inside long console. (uses 5" of face plate mounting area and is 5.35" tall)</t>
  </si>
  <si>
    <t>FP-BOX</t>
  </si>
  <si>
    <t>3" face plate pocket; for items such as ticket books. (7.25"W x 3"L x 5.2 H)</t>
  </si>
  <si>
    <t>FP-TICK</t>
  </si>
  <si>
    <t>10" internal lidded locking low-profile storage box with combination push button lock and key (can accommodate handgun).</t>
  </si>
  <si>
    <t>AC-GUNBOX-10-CL</t>
  </si>
  <si>
    <t>10" internal lidded locking low-profile storage box with CAM lock tab (can accommodate handgun)  3.6" H.</t>
  </si>
  <si>
    <t>AC-GUNBOX-10-LP</t>
  </si>
  <si>
    <t>8" internal lidded locking low-profile storage box (might accommodate handgun) 3.6" H.</t>
  </si>
  <si>
    <t>AC-GUNBOX-LP</t>
  </si>
  <si>
    <t>6" internal lidded locking low-profile internal storage box (may not accommodate handgun) 3.6" H.</t>
  </si>
  <si>
    <t>AC-GUNBOX-6-LP</t>
  </si>
  <si>
    <t>7" face plate shallow tray; holds smartphone, keys, wallet, sunglasses, etc. 3.4" H.</t>
  </si>
  <si>
    <t>AC-TICK7-LP</t>
  </si>
  <si>
    <t>4" face plate shallow tray with sloped floor; holds smartphone, keys, wallet, sunglasses, etc. 1.75" H.</t>
  </si>
  <si>
    <t>FP-SGTRAY</t>
  </si>
  <si>
    <t>3" face plate shallow tray; holds smartphone, keys, wallet, sunglasses, etc. 2" H.</t>
  </si>
  <si>
    <t>AC-TICK-2</t>
  </si>
  <si>
    <t>Externally mounted dual beverage holder/posse book combination.</t>
  </si>
  <si>
    <t>AC-MCBHPKT</t>
  </si>
  <si>
    <t>External dual beverage holder. Includes rubber fingers to keep cups stabilized.</t>
  </si>
  <si>
    <t>AC-BH95</t>
  </si>
  <si>
    <t>External single beverage holder. Includes rubber fingers to keep cup stabilized.</t>
  </si>
  <si>
    <t>AC-BH(S)95</t>
  </si>
  <si>
    <t>4" internal single beverage holder. Includes rubber fingers to keep cup stabilized. Features three (3) DC capped outlets.</t>
  </si>
  <si>
    <t>AC-INTSBH</t>
  </si>
  <si>
    <t>4" internal dual beverage holder. Includes rubber fingers to keep cup stabilized.</t>
  </si>
  <si>
    <t>AC-INBHG</t>
  </si>
  <si>
    <t>5" Durable high-impact polymer internal dual beverage holder; includes a larger size cup holder, for size water bottles or tumblers 18-32oz along with a standard size holder.</t>
  </si>
  <si>
    <t>AC-CCHY-BH</t>
  </si>
  <si>
    <t xml:space="preserve">4" face plate with 3" leather pad. Bolt to console on face plate rail. </t>
  </si>
  <si>
    <t>FP-ARM4</t>
  </si>
  <si>
    <t xml:space="preserve">3" face plate with 2" foam pad. Bolt to console on face plate rail. </t>
  </si>
  <si>
    <t>FP-ARM3</t>
  </si>
  <si>
    <t xml:space="preserve">2" face plate with 2" foam pad. Bolt to console on face plate rail. </t>
  </si>
  <si>
    <t>FP-ARM</t>
  </si>
  <si>
    <t xml:space="preserve">1" face plate with 2" foam pad. Bolt to console on face plate rail. </t>
  </si>
  <si>
    <t>FP-ARM1</t>
  </si>
  <si>
    <t>12" x 2" leather arm pad on 5" tall L bracket. Bolts to console side or rear wall of wide-body consoles.</t>
  </si>
  <si>
    <t>AC-SIDEARM-12</t>
  </si>
  <si>
    <t>9" x 3" molded foam arm pad on 5" tall L bracket. Bolts to console side or rear.</t>
  </si>
  <si>
    <t>AC-SIDEARM-9</t>
  </si>
  <si>
    <t>6" x 2" leather arm pad on 5" tall L bracket. Bolts to console side or rear.</t>
  </si>
  <si>
    <t>AC-SIDEARM-6</t>
  </si>
  <si>
    <t xml:space="preserve">Console mounted height adjustable arm rest with 5 x 10 pad.  </t>
  </si>
  <si>
    <t>AC-TB-ARMMNT-XL</t>
  </si>
  <si>
    <t xml:space="preserve">Console mounted height adjustable arm rest with 5 x 8 pad. </t>
  </si>
  <si>
    <t>AC-TB-ARMMNT-58</t>
  </si>
  <si>
    <t>Height-adjustable arm rest with 5 x 10 pad. Bolts to floor plate.</t>
  </si>
  <si>
    <t>AC-TB-ARM-XL</t>
  </si>
  <si>
    <t>Height-adjustable arm rest with 5 x 8 pad. Bolts to floor plate.</t>
  </si>
  <si>
    <t>AC-TB-ARM</t>
  </si>
  <si>
    <t>Printer mount with 5 x 10 pad and low-profile L-bracket (AC-PENPRTR-90, AC-FOAM-510)</t>
  </si>
  <si>
    <t>AC-PENPRTR-L-510</t>
  </si>
  <si>
    <t>Printer mount with 5 x 8 pad and low-profile L bracket (AC-PENPRTR-90, AC-FOAM-58)</t>
  </si>
  <si>
    <t>AC-PENPRTR-90</t>
  </si>
  <si>
    <t>Printer mount with 5 x 10 pad, bolts to console rear (AC-ARM-BKT, AC-ARM-PED-TB, AC-PENPRTR, AC-FOAM-510)</t>
  </si>
  <si>
    <t>AC-PENPRTR-510-CC</t>
  </si>
  <si>
    <t>Printer mount with 5 x 8 pad, bolts to console rear (AC-ARM-BKT, AC-ARM-PED-TB, AC-PENPRTR, AC-FOAM-58)</t>
  </si>
  <si>
    <t>AC-PENPRTR-58-CC</t>
  </si>
  <si>
    <t>Printer arm rest with 5 x 10 pad, bolts to floor plate (AC-ARM-BASE, AC-ARM-PED-TB, AC-PENPRTR, AC-FOAM-510)</t>
  </si>
  <si>
    <t>AC-PENPRTR-510-FP</t>
  </si>
  <si>
    <t>Printer arm rest with 5 x 8 pad, bolts to floor plate (AC-ARM-BASE, AC-ARM-PED-TB, AC-PENPRTR, AC-FOAM-58)</t>
  </si>
  <si>
    <t>AC-PENPRTR-58-FP</t>
  </si>
  <si>
    <t>2020-25 Ram truck console floor mount; for wide-body consoles only.</t>
  </si>
  <si>
    <t>AC-DG4500-WB</t>
  </si>
  <si>
    <t>2020-25 Ram truck console floor mount; notched to fit around 4x4 floor shifter; does not work with OEM beverage holder.</t>
  </si>
  <si>
    <t>AC-DG4500FS-MNT</t>
  </si>
  <si>
    <t>2020-25 Ram truck console floor mount; for bucket seat; wide floor plate; Use with any console.</t>
  </si>
  <si>
    <t>AC-DG4500MNT</t>
  </si>
  <si>
    <t>2019-25 Silverado 1500 | 2020-25 Silverado 2500 console floor mount. Works with wide-body and standard width consoles.</t>
  </si>
  <si>
    <t>AC-CHV19-MNT</t>
  </si>
  <si>
    <t>2021-25 Tahoe | 2021-24 Suburban floor mount compatible standard and wide-body consoles.</t>
  </si>
  <si>
    <t>FM-21TH</t>
  </si>
  <si>
    <t>2020-25 Transit XLT Van console floor mount.</t>
  </si>
  <si>
    <t>AC-F-FTV-MNT</t>
  </si>
  <si>
    <t>2020-25 F150 | 2020-25 F250 | 2020-25 F350 | 2018-25 Expedition console floor plate. For bucket seat trucks or factory console removed.</t>
  </si>
  <si>
    <t>AC-F150-15-MNT</t>
  </si>
  <si>
    <t>2020-25 F150 | 2020-25 F250 | 2020-25 F350 console floor mount. For applications where center seat is removed.</t>
  </si>
  <si>
    <t>AC-F150-15</t>
  </si>
  <si>
    <t>2020-25 PI Utility console floor mount used with universal consoles ONLY.</t>
  </si>
  <si>
    <t>AC-20-FDUV-MNT</t>
  </si>
  <si>
    <t>Universal 12" vertical console. 16.79" long. Console top pre-punched with four outlet holes. Outlets not included.</t>
  </si>
  <si>
    <t>CC-T-V12</t>
  </si>
  <si>
    <t>Universal 12" vertical console. 14.48" long. Good officer hip room. Use external beverage holder.</t>
  </si>
  <si>
    <t>CC-V12</t>
  </si>
  <si>
    <t>Universal 16"slope, 4" level (for beverage holder) and 12" built-in lidded box combination.</t>
  </si>
  <si>
    <t>CC-MC16BX12-S</t>
  </si>
  <si>
    <t>Universal MC 25" L-shape console; 7" slope, 18" level.</t>
  </si>
  <si>
    <t>CC-MC-25</t>
  </si>
  <si>
    <t>Universal MC 22" L-shape console; 7" slope, 15" level.</t>
  </si>
  <si>
    <t>CC-MC-22</t>
  </si>
  <si>
    <t>Universal MC 18" L-shape console; 7" slope, 11" level.</t>
  </si>
  <si>
    <t>CC-MC-18</t>
  </si>
  <si>
    <t>Universal MC 14" L-shape console; 7" slope, 7" level.</t>
  </si>
  <si>
    <t>CC-MC-14</t>
  </si>
  <si>
    <t>Universal SUV/truck 4x4 floor-shift truck 30" wide body console. Fits in Ram 4x4 shifter trucks. Side wall notched.</t>
  </si>
  <si>
    <t>CC-RAM30-FS</t>
  </si>
  <si>
    <t>Universal SUV/truck 4x4 floor-shift truck 20" wide body console. Fits in Ram, Ford, Silverado 4x4 shifter trucks.</t>
  </si>
  <si>
    <t>CC-RAM20-FS</t>
  </si>
  <si>
    <t>Universal SUV/truck 30" wide-body 4x4 floor shifter console; 8" slope, 22" level. May work in other trucks.</t>
  </si>
  <si>
    <t>CC-WBBP30-FS</t>
  </si>
  <si>
    <t>Universal SUV/truck 25" wide-body 4x4 floor shifter console; 8" slope, 17" level. May work in other 4x4 trucks.</t>
  </si>
  <si>
    <t>CC-WBBP25-FS</t>
  </si>
  <si>
    <t>Universal SUV/truck 20" wide-body 4x4 floor shifter console; 8" slope, 12" level. May work in other 4x4 trucks.</t>
  </si>
  <si>
    <t>CC-WBBP20-FS</t>
  </si>
  <si>
    <t>Universal 16" slope, 4" level, 12" lidded storage plus passenger-side open storage. Custom wide-body version</t>
  </si>
  <si>
    <t>CC-MC16BX12-WB</t>
  </si>
  <si>
    <t xml:space="preserve">Universal SUV/truck 30" wide-body console; open storage on driver side, 8" slope,  22" level </t>
  </si>
  <si>
    <t>CC-WBOS-30</t>
  </si>
  <si>
    <t>Universal SUV/truck 25" low profile wide-body open-storage console; 8" slope, 17" level. 2" shorter in height</t>
  </si>
  <si>
    <t>CC-WBOS-25-LP</t>
  </si>
  <si>
    <t>Universal SUV/truck 25" wide-body open-storage console; 8" slope, 17" level</t>
  </si>
  <si>
    <t>CC-WBOS-25</t>
  </si>
  <si>
    <t>Universal SUV/truck 20" wide-body console with lockable area; 8" slope, 12" level</t>
  </si>
  <si>
    <t>CC-WBOS-20-L</t>
  </si>
  <si>
    <t>Universal SUV/truck 20" wide-body open-storage console; 8" slope, 12" level</t>
  </si>
  <si>
    <t>CC-WBOS-20</t>
  </si>
  <si>
    <t>Universal SUV/truck 16" wide-body open-storage console; 8" slope, 8" level</t>
  </si>
  <si>
    <t>CC-WBOS-16</t>
  </si>
  <si>
    <t>Universal SUV/truck 30" wide-body console; 8" slope,  22" level. No open storage. Face plates centered</t>
  </si>
  <si>
    <t>CC-HDWB-30</t>
  </si>
  <si>
    <t>Universal SUV/truck 25" wide-body console; 8" slope,  17" level. No open storage. Face plates centered</t>
  </si>
  <si>
    <t>CC-HDWB-25</t>
  </si>
  <si>
    <t>Universal SUV/truck 20" wide-body console; 8" slope,  12" level. No open storage. Face plates centered</t>
  </si>
  <si>
    <t>CC-HDWB-20</t>
  </si>
  <si>
    <t>Universal 18" 2 piece height adjustable tall-profile console; can be angled to improve view of control heads</t>
  </si>
  <si>
    <t>CC-C18H</t>
  </si>
  <si>
    <t>Universal 14" 2-piece height adjustable tall-profile console; can be angled to improve view of control heads</t>
  </si>
  <si>
    <t>CC-C14H</t>
  </si>
  <si>
    <t>Universal 18" 2 piece height adjustable console; can be lifted and/or angled to accommodate various component sizes</t>
  </si>
  <si>
    <t>CC-C18</t>
  </si>
  <si>
    <t>Universal 14" 2 piece height adjustable console; can be lifted and/or angled to accommodate various component sizes</t>
  </si>
  <si>
    <t>CC-C14</t>
  </si>
  <si>
    <t>Universal 10" 2 piece height adjustable console; can be lifted and/or angled to accommodate various component sizes</t>
  </si>
  <si>
    <t>CC-C10</t>
  </si>
  <si>
    <t>Universal 12" 2 piece height adjustable sloped console; flat deck (top piece can be raised up to 3" higher)</t>
  </si>
  <si>
    <t>CC-A-S12</t>
  </si>
  <si>
    <t>Universal 9" sloped console. Small footprint (14.4" long). Good officer hip room.</t>
  </si>
  <si>
    <t>CC-MODCON-9</t>
  </si>
  <si>
    <t>Universal 14" sloped console; tall at dashboard and slopes down to low end. Rear wall now 90 degree angle</t>
  </si>
  <si>
    <t>CC-C06-90</t>
  </si>
  <si>
    <t>Universal SUV/truck 10" 2 piece height adjustable console; small foot spring.  No floor plate used for bench-seat vehicles</t>
  </si>
  <si>
    <t>Universal SUV/truck 7" bench-seat sloped console; small footprint. No floor plate used for bench-seat vehicles</t>
  </si>
  <si>
    <t>CC-C05</t>
  </si>
  <si>
    <t>Universal SUV/truck 10" bench-seat sloped console; small footprint. No floor plate used for bench-seat vehicles</t>
  </si>
  <si>
    <t>CC-C04</t>
  </si>
  <si>
    <t>Universal 15" L-shaped console with computer deck; 7" slope, 8" level. Rocker switch hole pre-punched on deck</t>
  </si>
  <si>
    <t>CC-LASD-15</t>
  </si>
  <si>
    <t>Universal 8" low profile accessory console. Works well with sunglass tray (FP-SGTRAY) and beverage holder (AC-INBHG)</t>
  </si>
  <si>
    <t>CC-LP-8</t>
  </si>
  <si>
    <t>Universal 15" low-profile L shaped console; 9" slope, 6" level with computer deck</t>
  </si>
  <si>
    <t>CC-BPD-15</t>
  </si>
  <si>
    <t>Universal 14" low-profile console; 3" slope, 11" level with computer deck</t>
  </si>
  <si>
    <t>CC-PCFX14</t>
  </si>
  <si>
    <t xml:space="preserve">2018-25 Durango overhead console, 7" for remote head radio and siren </t>
  </si>
  <si>
    <t>CC-OH-DUR18</t>
  </si>
  <si>
    <t>2021-25 Durango 14" printer console features 4" slope, 10" level of face plate space</t>
  </si>
  <si>
    <t>CC-21DUR-PRTR-14</t>
  </si>
  <si>
    <t>2021-25 Durango 22" level console with pre-punched holes for side computer mount</t>
  </si>
  <si>
    <t>CC-21DUR-22</t>
  </si>
  <si>
    <t>2021-25 Durango 22" vehicle specific console; 8" slope, 14" level. Relocates OEM USB ports</t>
  </si>
  <si>
    <t>CC-21DUR-0814</t>
  </si>
  <si>
    <t>2021-25 Durango 18" vehicle specific console; 8" slope, 10" level. Relocates OEM USB ports</t>
  </si>
  <si>
    <t>CC-21DUR-0810</t>
  </si>
  <si>
    <t>2021-24 Charger 18" dash-mount console; 7" angled slope, 11" level. Long components used in vertical area.</t>
  </si>
  <si>
    <t>CC-21CH-DM-0711</t>
  </si>
  <si>
    <t>2021-24 Charger 16" dash-mount console; 7" angled slope, 9" level. Long components used in slope area</t>
  </si>
  <si>
    <t>CC-21CH-DM-0709</t>
  </si>
  <si>
    <t>2021-24 Charger 22" level console. Can use long/short components</t>
  </si>
  <si>
    <t>CC-21CH-22</t>
  </si>
  <si>
    <t>2019-25 Silverado overhead console with option to mount 3" or 4" faceplate; Includes 4" and 3" faceplate rails</t>
  </si>
  <si>
    <t>CC-OH-CHV19</t>
  </si>
  <si>
    <t>2021-25 Silverado 1500 20" printer console 7" slope, 13" level. Open storage on the slope section of passenger side. Special cover plate and rails sold separately; AC-RAIL-7-LA and SP-F-TH-7N (recommended with computer side mount)</t>
  </si>
  <si>
    <t>CC-22S1-0713OS-PRTR</t>
  </si>
  <si>
    <t>2021-25 Silverado 1500 20" wide body console with lockable storage area, 7" slope, 13" level (no floor plate needed, mounts directly to floor)</t>
  </si>
  <si>
    <t>CC-22S1-0713-OS-L</t>
  </si>
  <si>
    <t>2021-25 Silverado 1500 20" wide-body console; open storage along passenger side; 7" slope, 13" level (no floor plate needed, mounts directly to floor)</t>
  </si>
  <si>
    <t>CC-22S1-0713-OS</t>
  </si>
  <si>
    <t>2021-24 Tahoe Civilian 10" console insert. Compatible with AC-GUNBOX-10-LP, low-profile box.</t>
  </si>
  <si>
    <t>CC-21TH-TRAY-10</t>
  </si>
  <si>
    <t>2021-25 Tahoe | 2021-24 Suburban 7" overhead console. Replaces OEM dome light module. Remote heads only.</t>
  </si>
  <si>
    <t>CC-21TH-OH-7</t>
  </si>
  <si>
    <t>2021-24 Tahoe | 2021-24 Suburban 18" printer console with open storage; 10" slope, 8" level</t>
  </si>
  <si>
    <t>CC-21TH-1008OS-PRTR</t>
  </si>
  <si>
    <t xml:space="preserve">2021-24 Tahoe | 2021-24 Suburban 25" wide body console with open storage; 7" slope, 18" level (works without partition) </t>
  </si>
  <si>
    <t>CC-21TH-0718-OS-DM</t>
  </si>
  <si>
    <t xml:space="preserve">2021-24 Tahoe | 2021-24 Suburban 22" wide body console with open storage; 7" slope, 15" level (works without partition) </t>
  </si>
  <si>
    <t>CC-21TH-0715-OS-DM</t>
  </si>
  <si>
    <t>2021-24 Tahoe | 2021-24 Suburban 20" wide body console with open storage; 7" slope, 13" level</t>
  </si>
  <si>
    <t>CC-21TH-0713-OS-DM</t>
  </si>
  <si>
    <t>2021-24 Tahoe | 2021-24 Suburban 18" wide body console with open storage; 7" slope, 11" level</t>
  </si>
  <si>
    <t>CC-21TH-0711-OS-DM</t>
  </si>
  <si>
    <t>2021-24 Tahoe | 2021-24 Suburban 20" dash-mount console 7" slope,  13" level</t>
  </si>
  <si>
    <t>CC-21TH-0713-DM</t>
  </si>
  <si>
    <t>2021-24 Tahoe | 2021-24 Suburban 18" dash-mount console 7" slope,  11" level</t>
  </si>
  <si>
    <t>CC-21TH-0711-DM</t>
  </si>
  <si>
    <t>2021-24 Tahoe | 2021-24 Suburban 18" wide body console with lockable storage area, 10" slope, 8" level</t>
  </si>
  <si>
    <t>CC-21TH-1008-OS-L</t>
  </si>
  <si>
    <t>2021-24 Tahoe | 2021-24 Suburban 25" wide body console with open storage; 10" slope,  15" level</t>
  </si>
  <si>
    <t>CC-21TH-1015-OS</t>
  </si>
  <si>
    <t>2021-24 Tahoe | 2021-24 Suburban 22" wide body console with open storage; 10" slope,  12" level</t>
  </si>
  <si>
    <t>CC-21TH-1012-OS</t>
  </si>
  <si>
    <t>2021-24 Tahoe | 2021-24 Suburban 18" wide body console with open storage; 10" slope,  8" level</t>
  </si>
  <si>
    <t>CC-21TH-1008-OS</t>
  </si>
  <si>
    <t xml:space="preserve">2021-24 Tahoe | 2021-24 Suburban 12" vertical console </t>
  </si>
  <si>
    <t>CC-21TH-V12</t>
  </si>
  <si>
    <t>2021-24 Tahoe | 2021-24 Suburban 25" standard console 10" slope, 15" level</t>
  </si>
  <si>
    <t>CC-21TH-1015</t>
  </si>
  <si>
    <t>2021-24 Tahoe | 2021-24 Suburban 22" standard console 10" slope, 12" level</t>
  </si>
  <si>
    <t>CC-21TH-1012</t>
  </si>
  <si>
    <t>2021-24 Tahoe | 2021-24 Suburban 8" standard console 10" slope, 8" level</t>
  </si>
  <si>
    <t>CC-21TH-1008</t>
  </si>
  <si>
    <t xml:space="preserve">2025 Tahoe 18" printer console with open storage; 9" slope, 9" level. </t>
  </si>
  <si>
    <t>CC-25TH-0909OS-PRTR</t>
  </si>
  <si>
    <t>2025 Tahoe 18" wide body console with lockable storage area, 9" slope, 9" level</t>
  </si>
  <si>
    <t>CC-25TH-0909-OS-L</t>
  </si>
  <si>
    <t>2025 Tahoe 25" wide body console with open storage; 9" slope, 16" level</t>
  </si>
  <si>
    <t>CC-25TH-0916-OS</t>
  </si>
  <si>
    <t>2025 Tahoe 21" wide body console with open storage; 9" slope, 12" level</t>
  </si>
  <si>
    <t>CC-25TH-0912-OS</t>
  </si>
  <si>
    <t>2025 Tahoe 18" wide body console with open storage; 9" slope, 9" level</t>
  </si>
  <si>
    <t>CC-25TH-0909-OS</t>
  </si>
  <si>
    <t>2025 Tahoe 12" vertical console</t>
  </si>
  <si>
    <t>CC-25TH-V12</t>
  </si>
  <si>
    <t>2025 Tahoe 25" standard console, 9" slope, 16" level</t>
  </si>
  <si>
    <t>CC-25TH-0916</t>
  </si>
  <si>
    <t>2025 Tahoe 21" standard console, 9" slope, 12" level</t>
  </si>
  <si>
    <t>CC-25TH-0912</t>
  </si>
  <si>
    <t>2025 Tahoe 18" standard console, 9" slope,  9" level</t>
  </si>
  <si>
    <t>CC-25TH-0909</t>
  </si>
  <si>
    <t xml:space="preserve">2021-25 F150 | 2023-25 F250 | 2023-25 F350 7" overhead console  </t>
  </si>
  <si>
    <t>CC-21F1-OH</t>
  </si>
  <si>
    <t>2021-25 F150 20" printer console 7" slope, 13" level; open storage on the slope section- special cover plate and rails sold separately</t>
  </si>
  <si>
    <t>CC-21F1-0713OS-PRTR</t>
  </si>
  <si>
    <t>2021-25 F150 16" printer console 7" slope, 9" level; open storage on the slope section- special cover plate and rails sold separately</t>
  </si>
  <si>
    <t>CC-21F1-0709OS-PRTR</t>
  </si>
  <si>
    <t>2021-25 F150 | 2023-25 F250 | 2023-25 F350 16" wide-body console; open storage along passenger side;  7" slope, 9" level (no floor plate needed, mounts directly to floor)</t>
  </si>
  <si>
    <t>CC-21F1-0709-OS</t>
  </si>
  <si>
    <t>2021-25 F150 | 2023-25 F250 | 2023-25 F350 20" wide-body console; open storage along passenger side; 7" slope, 13" level (no floor plate needed, mounts directly to floor)</t>
  </si>
  <si>
    <t>CC-21F1-0713-OS</t>
  </si>
  <si>
    <t>2021-25 F150 20" standard console; 7" slope, 13" level (no floor plate needed, mounts directly to floor)</t>
  </si>
  <si>
    <t>CC-21F1-0713</t>
  </si>
  <si>
    <t>2018-25 Ford Expedition 7” overhead console; face plates included with console *Important Disclaimer: Civilian Expedition model will require removal of the bluetooth microphone*</t>
  </si>
  <si>
    <t>CC-OH-EXP18-7</t>
  </si>
  <si>
    <t xml:space="preserve">2020-25 Ford Explorer Civilian 4" insert mount for dashboard </t>
  </si>
  <si>
    <t>SP-UV20-4</t>
  </si>
  <si>
    <t>2020-25 PI Utility | 2020-25 Explorer Civilian 4" overhead console - mounts siren control and radio remote head</t>
  </si>
  <si>
    <t>CC-UV20-OH</t>
  </si>
  <si>
    <t>2020-25 PI Utility 18" lightweight aluminum console, 10" slope, 8" level</t>
  </si>
  <si>
    <t>CC-ECO-UV20-18</t>
  </si>
  <si>
    <t>2024-25 PI Utility 18" printer console, 4" slope, 14" level faceplate area *New updated design*</t>
  </si>
  <si>
    <t>CC-25UV-0414-PRTR</t>
  </si>
  <si>
    <t>2024-25 PI Utility 12" printer console, 4" slope, 8" level faceplate area *New updated design*</t>
  </si>
  <si>
    <t>CC-25UV-PRTR</t>
  </si>
  <si>
    <t>2020-25 PI Utility 18" printer console, 4" slope, 14" level faceplate area</t>
  </si>
  <si>
    <t>CC-20UV-0414-PRTR</t>
  </si>
  <si>
    <t>2020-25 PI Utility 12" printer console, 4" slope, 8" level faceplate area</t>
  </si>
  <si>
    <t>CC-20UV-PRTR</t>
  </si>
  <si>
    <t>2020-25 PI Utility adjustable harness cover made for vehicle-specific consoles. Only for vehicles that includes the OEM wire harness cover.</t>
  </si>
  <si>
    <t>AC-UV20-HC</t>
  </si>
  <si>
    <t>2025 PI Utility 10" vertical console with built in dual cupholders and open storage (No ARMREST)</t>
  </si>
  <si>
    <t>CC-25UV-V10</t>
  </si>
  <si>
    <t>2020-24 PI Utility 10" vertical console with built in dual cupholders and open storage pocket L-Shape armrest with 5x8 foam pad</t>
  </si>
  <si>
    <t>CC-20UV-V10</t>
  </si>
  <si>
    <t xml:space="preserve">2020-25 PI Utility 22" level console pre-punched holes for U-mount (no floor plate needed, mounts directly to floor) </t>
  </si>
  <si>
    <t>CC-20FDUV-22</t>
  </si>
  <si>
    <t xml:space="preserve">2020-25 PI Utility 17" low-profile console, 8" slope, 9" level (no floor plate needed, mounts directly to floor) </t>
  </si>
  <si>
    <t>CC-20-UVLP-17</t>
  </si>
  <si>
    <t>2020-25 PI Utility 14" low-profile console, 8" slope, 6" level (no floor plate needed, mounts directly to floor)</t>
  </si>
  <si>
    <t>CC-20-UVLP-14</t>
  </si>
  <si>
    <t xml:space="preserve">2020-25 PI Utility 18" console, 10" slope, 8" level (no floor plate needed, mounts directly to floor) </t>
  </si>
  <si>
    <t>CC-20-UV10-L8</t>
  </si>
  <si>
    <t xml:space="preserve">2020-25 PI Utility 20" L-Shape console, 7" slope, 13" level (no floor plate needed, mounts directly to floor) </t>
  </si>
  <si>
    <t>CC-UV20-L-20</t>
  </si>
  <si>
    <t xml:space="preserve">2020-25 PI Utility 18" L-Shape console, 7" slope, 11" level (no floor plate needed, mounts directly to floor) </t>
  </si>
  <si>
    <t>CC-UV20-L-18</t>
  </si>
  <si>
    <t>ITEM DESCRIPTION</t>
  </si>
  <si>
    <t>TROY PART #</t>
  </si>
  <si>
    <t>% Off List</t>
  </si>
  <si>
    <t>SERVICE KIT, AUTO PUMP (091-9HP)</t>
  </si>
  <si>
    <t>091-SK668</t>
  </si>
  <si>
    <t>091-9-12V REBUILD KIT</t>
  </si>
  <si>
    <t>091-K770A</t>
  </si>
  <si>
    <t>091-9B-1 REBUILD KIT, 6 PORT HEAD</t>
  </si>
  <si>
    <t>091-K757</t>
  </si>
  <si>
    <t>091-9B-1 REBUILD KIT, 2 PORT HEAD</t>
  </si>
  <si>
    <t>091-K354</t>
  </si>
  <si>
    <t>PRESSURE SWI W/CIR. BREAKER HP PUMP</t>
  </si>
  <si>
    <t>3X684</t>
  </si>
  <si>
    <t>PRESSURE SWITCH WITH BRASS COUPLER</t>
  </si>
  <si>
    <t>3X683</t>
  </si>
  <si>
    <t>PRESSURE SWITCH WITH UNLOADER</t>
  </si>
  <si>
    <t>3X682</t>
  </si>
  <si>
    <t>PRESSURE SWITCH WITH CIR. BREAKER</t>
  </si>
  <si>
    <t>3X681-BRK</t>
  </si>
  <si>
    <t>PRESSURE SWITCH</t>
  </si>
  <si>
    <t>3X681</t>
  </si>
  <si>
    <t>ELECTRONIC UNLOADER VALVE KIT</t>
  </si>
  <si>
    <t>091-9-SOL-KIT</t>
  </si>
  <si>
    <t>UNLOADER KIT FOR AUTO PUMP 091-9B-1</t>
  </si>
  <si>
    <t>091-9-957</t>
  </si>
  <si>
    <t>BALL CHECK VALVE, FOR 120V PUMPS</t>
  </si>
  <si>
    <t>091-28-CVSS</t>
  </si>
  <si>
    <t>BRUSH CARD AND CIRC. BRKER ASSEMBLY</t>
  </si>
  <si>
    <t>91627076</t>
  </si>
  <si>
    <t>PLASTIC PROTECTOR FOR FEMALE COUPLER</t>
  </si>
  <si>
    <t>091-28-PRO</t>
  </si>
  <si>
    <t>MALE COUPLER</t>
  </si>
  <si>
    <t>091-28-MC</t>
  </si>
  <si>
    <t>AIR EJECT HP SOLENOID 24 VOLT DC</t>
  </si>
  <si>
    <t>091-28HP-24-SOL</t>
  </si>
  <si>
    <t>AIR EJECT HP SOLENOID 12 VOLT DC</t>
  </si>
  <si>
    <t>091-28HP-12-SOL</t>
  </si>
  <si>
    <t>FEMALE COUPLER</t>
  </si>
  <si>
    <t>091-28-FC</t>
  </si>
  <si>
    <t>CHECK VALVE, FOR AIR EJECT</t>
  </si>
  <si>
    <t>091-28-CV</t>
  </si>
  <si>
    <t>BEZEL AIR EJECT</t>
  </si>
  <si>
    <t>091-28-BEZEL</t>
  </si>
  <si>
    <t>MOUNTING PLATE FOR ADAPTER KIT</t>
  </si>
  <si>
    <t>091-28AK-PLATE</t>
  </si>
  <si>
    <t>WEATHERPROOF ADAPTER KIT, HARDWARE</t>
  </si>
  <si>
    <t>091-28AK HARDWARE PACK</t>
  </si>
  <si>
    <t>AIR EJECT SOLENOID 24 VOLT DC</t>
  </si>
  <si>
    <t>091-28-24-SOL</t>
  </si>
  <si>
    <t>AIR EJECT SOLENOID 12 VOLT DC</t>
  </si>
  <si>
    <t>091-28-12-SOL</t>
  </si>
  <si>
    <t>O RING KIT, AIR EJECT</t>
  </si>
  <si>
    <t>091-28-016</t>
  </si>
  <si>
    <t>250V.MALE CONNECTOR TO MAKE PIG TAIL</t>
  </si>
  <si>
    <t>700226FX</t>
  </si>
  <si>
    <t>MOUNTING PLATE FOR SUPER 30</t>
  </si>
  <si>
    <t>091-159-PLATE</t>
  </si>
  <si>
    <t>120V/20A TO 120V/30A,1 FOOT,PIG TAIL</t>
  </si>
  <si>
    <t>091-159-077</t>
  </si>
  <si>
    <t>SUPER 30 AE BACK COVER, BACK WIRE</t>
  </si>
  <si>
    <t>091-159-074</t>
  </si>
  <si>
    <t>120 TO 250 VOLT PIG TAIL</t>
  </si>
  <si>
    <t>091-159-073</t>
  </si>
  <si>
    <t>120 VOLT RECEPTACLE</t>
  </si>
  <si>
    <t>091-159-069</t>
  </si>
  <si>
    <t>COVER ASSY, REAR, STANDARD</t>
  </si>
  <si>
    <t>091-159-060</t>
  </si>
  <si>
    <t>CONE, 120 VOLT, YELLOW</t>
  </si>
  <si>
    <t>091-159-046-YW</t>
  </si>
  <si>
    <t>CONE, 250 VOLT, BLUE</t>
  </si>
  <si>
    <t>091-159-046-BL</t>
  </si>
  <si>
    <t>250 VOLT RECEPTACLE</t>
  </si>
  <si>
    <t>091-159-045</t>
  </si>
  <si>
    <t>MOTOR BRACKET, NYLON MOLDED</t>
  </si>
  <si>
    <t>091-159-037</t>
  </si>
  <si>
    <t>HOUSING MACHINED</t>
  </si>
  <si>
    <t>091-159-036</t>
  </si>
  <si>
    <t>CONE ASSY, WIRES AND PLUG SENSOR PIN</t>
  </si>
  <si>
    <t>091-159-028</t>
  </si>
  <si>
    <t>GROUND PIN ASSEMBLY</t>
  </si>
  <si>
    <t>091-159-025</t>
  </si>
  <si>
    <t>LINE PIN ASSEMBLY</t>
  </si>
  <si>
    <t>091-159-024</t>
  </si>
  <si>
    <t>NEUTRAL PIN ASSEMBLY</t>
  </si>
  <si>
    <t>091-159-023</t>
  </si>
  <si>
    <t>GEAR RACK SUPER 30</t>
  </si>
  <si>
    <t>091-159-021</t>
  </si>
  <si>
    <t>MOTOR/GEARBOX ASSEMBLY</t>
  </si>
  <si>
    <t>091-159-019</t>
  </si>
  <si>
    <t>K</t>
  </si>
  <si>
    <t>SUPER 30 COVER GASKET</t>
  </si>
  <si>
    <t>091-159-013</t>
  </si>
  <si>
    <t>GASKET, MOUNTING BRACKET</t>
  </si>
  <si>
    <t>091-159-011</t>
  </si>
  <si>
    <t>MOUNTING BRACKET (COMPLETE A.E.)</t>
  </si>
  <si>
    <t>091-159-010</t>
  </si>
  <si>
    <t>BRACKET TERMINAL STRIP</t>
  </si>
  <si>
    <t>091-159-009</t>
  </si>
  <si>
    <t>GEAR, PINION</t>
  </si>
  <si>
    <t>091-159-008</t>
  </si>
  <si>
    <t>GEAR RACK RETAINER</t>
  </si>
  <si>
    <t>091-159-007</t>
  </si>
  <si>
    <t>LINE PIN</t>
  </si>
  <si>
    <t>091-159-002</t>
  </si>
  <si>
    <t>GROUND PIN</t>
  </si>
  <si>
    <t>091-159-001</t>
  </si>
  <si>
    <t>N</t>
  </si>
  <si>
    <t>RECEPTACLE, REPLACEMENT 20AMP 120V</t>
  </si>
  <si>
    <t>091-55-139-20-120</t>
  </si>
  <si>
    <t>RECEPTACLE, REPLACEMENT 15AMP 120V</t>
  </si>
  <si>
    <t>091-55-139-15-120</t>
  </si>
  <si>
    <t>RECEPTACLE, REPLACEMENT 15A 12/250V</t>
  </si>
  <si>
    <t>091-55-139-15-DC</t>
  </si>
  <si>
    <t>COVER,REAR,FOR BACK-WIRE SUP A/E</t>
  </si>
  <si>
    <t>091-55-137</t>
  </si>
  <si>
    <t>GASKET, EURO COVER LID, ROUND</t>
  </si>
  <si>
    <t>091-55-122</t>
  </si>
  <si>
    <t>GASKET, EURO COVER BASE</t>
  </si>
  <si>
    <t>091-55-121</t>
  </si>
  <si>
    <t>FLAT PIN, NEUTRAL, SUPER AUTO EJECT</t>
  </si>
  <si>
    <t>091-55-106</t>
  </si>
  <si>
    <t>SOLENOID INPUT WIRE</t>
  </si>
  <si>
    <t>091-55-099</t>
  </si>
  <si>
    <t>FLAT PIN ASSY, 20 AMP, EURO WIRE</t>
  </si>
  <si>
    <t>091-55-091</t>
  </si>
  <si>
    <t>FLAT PIN ASSY, 15 AMP,120 VOLT, EURO</t>
  </si>
  <si>
    <t>091-55-090</t>
  </si>
  <si>
    <t>FLAT PIN ASSY, 15 AMP,250 VOLT, EURO</t>
  </si>
  <si>
    <t>091-55-089</t>
  </si>
  <si>
    <t>POWER CORD ASSEMBLY, EURO</t>
  </si>
  <si>
    <t>091-55-087</t>
  </si>
  <si>
    <t>POWER CORD ASSEMBLY, 15AMP</t>
  </si>
  <si>
    <t>091-55-082</t>
  </si>
  <si>
    <t>POWER CORD ASSEMBLY, 20AMP</t>
  </si>
  <si>
    <t>091-55-081</t>
  </si>
  <si>
    <t>EJECT BRACKET ASSY, SUPER AUTO EJECT</t>
  </si>
  <si>
    <t>091-55-075</t>
  </si>
  <si>
    <t>PLASTIC RECEPTACLE BOTTOM</t>
  </si>
  <si>
    <t>091-55-072</t>
  </si>
  <si>
    <t>GASKET</t>
  </si>
  <si>
    <t>091-55-068</t>
  </si>
  <si>
    <t>COVER, REAR, INJ. MOLDED FOR SUP A/E</t>
  </si>
  <si>
    <t>091-55-067</t>
  </si>
  <si>
    <t>PIN, GROUND, SUPER AUTO EJECT</t>
  </si>
  <si>
    <t>091-55-063</t>
  </si>
  <si>
    <t>FLAT PIN, POSITIVE, SUPER AUTO EJECT</t>
  </si>
  <si>
    <t>091-55-062</t>
  </si>
  <si>
    <t>240 VOLT, 15 AMP LABEL</t>
  </si>
  <si>
    <t>091-55-058</t>
  </si>
  <si>
    <t>BUMPER, RUBBER, UNDER ARM</t>
  </si>
  <si>
    <t>091-55-056</t>
  </si>
  <si>
    <t>EJECT SPRING KIT, SUPER AUTO EJECT</t>
  </si>
  <si>
    <t>091-55-048</t>
  </si>
  <si>
    <t>RECEPTACLE, UPGRADE KIT 20AMP 120V</t>
  </si>
  <si>
    <t>091-55-041-20-SLD</t>
  </si>
  <si>
    <t>RECEPTACLE, UPGRADE KIT 15A 120VOLT</t>
  </si>
  <si>
    <t>091-55-041-15-SLD</t>
  </si>
  <si>
    <t>RECEPTACLE, UPGRADE KIT, 15A 12/250V</t>
  </si>
  <si>
    <t>091-55-041-DC-SLD</t>
  </si>
  <si>
    <t>S. AUTO EJECT, MICRO SWITCH BRACKET</t>
  </si>
  <si>
    <t>091-55-039</t>
  </si>
  <si>
    <t>TRIGGER, SUPER AUTO EJECT</t>
  </si>
  <si>
    <t>091-55-028</t>
  </si>
  <si>
    <t>SPACER, RUBBER (TRIGGER)</t>
  </si>
  <si>
    <t>091-55-027</t>
  </si>
  <si>
    <t>SUPER AUTO EJECT, EJECTING ARM</t>
  </si>
  <si>
    <t>091-55-005</t>
  </si>
  <si>
    <t>MOLDED EJECTION PIN SUPER AUTO EJECT</t>
  </si>
  <si>
    <t>091-55-001</t>
  </si>
  <si>
    <t>MICRO SWITCH, SUPER AUTO EJECT</t>
  </si>
  <si>
    <t>V3L2913-D9</t>
  </si>
  <si>
    <t>SOLENOID SUPER AE 15 &amp; 20AMP 24 VOLT</t>
  </si>
  <si>
    <t>FS350-1-24</t>
  </si>
  <si>
    <t>SOLENOID SUPER AE 15 &amp; 20AMP 12 VOLT</t>
  </si>
  <si>
    <t>FS350-1-12</t>
  </si>
  <si>
    <t>SOLENOID, AUTO EJECT, 24 V DC</t>
  </si>
  <si>
    <t>53732-88</t>
  </si>
  <si>
    <t>SOLENOID, AUTO EJECT, 12 V DC</t>
  </si>
  <si>
    <t>53732-87</t>
  </si>
  <si>
    <t>GROUND PIN ASSY, AUTO EJECT WP</t>
  </si>
  <si>
    <t>091-18-116</t>
  </si>
  <si>
    <t>SOLID PIN 20AMP COMPLETE UPGRADE KIT</t>
  </si>
  <si>
    <t>091-18-108</t>
  </si>
  <si>
    <t>SOLID PIN 15AMP COMPLETE UPGRADE KIT</t>
  </si>
  <si>
    <t>091-18-107</t>
  </si>
  <si>
    <t>SOLID PIN MOLDED RECEPTACLE 20A 120V</t>
  </si>
  <si>
    <t>091-18-105</t>
  </si>
  <si>
    <t>SOLID PIN UPGRADE KIT, 15AMP 120V</t>
  </si>
  <si>
    <t>091-18-104</t>
  </si>
  <si>
    <t>SOLID PIN UPGRADE KIT, 20AMP 120V</t>
  </si>
  <si>
    <t>091-18-103</t>
  </si>
  <si>
    <t>SOLID PIN MOLDED RECEPTACLE 15A 120V</t>
  </si>
  <si>
    <t>091-18-102</t>
  </si>
  <si>
    <t>COVER SPRING, AUTO EJECT</t>
  </si>
  <si>
    <t>091-18-066</t>
  </si>
  <si>
    <t>GASKET, WP COVER, RECTANGULAR</t>
  </si>
  <si>
    <t>091-18-065-2</t>
  </si>
  <si>
    <t>GASKET, WP COVER, ROUND</t>
  </si>
  <si>
    <t>091-18-065-1</t>
  </si>
  <si>
    <t>EJECT PIN, AUTO EJECT</t>
  </si>
  <si>
    <t>091-18-057</t>
  </si>
  <si>
    <t>120V VOLT, 15 AMP LABEL</t>
  </si>
  <si>
    <t>091-18-046</t>
  </si>
  <si>
    <t>BRACKET ASSY, AUTO EJECT</t>
  </si>
  <si>
    <t>091-18-016</t>
  </si>
  <si>
    <t>EJECT SPRING, AUTO EJECT WP</t>
  </si>
  <si>
    <t>091-18-008</t>
  </si>
  <si>
    <t>SPRING, SOLENOID RETURN</t>
  </si>
  <si>
    <t>LC049HJ01M</t>
  </si>
  <si>
    <t>#8 RING LUG, 16-14 AWG INSULATED</t>
  </si>
  <si>
    <t>FVL1614-4R2</t>
  </si>
  <si>
    <t>#8 RING LUG, 10-12 AWG INSULATED</t>
  </si>
  <si>
    <t>FVL1210-4R2</t>
  </si>
  <si>
    <t>HOUSING, MOUNTING FLANGE</t>
  </si>
  <si>
    <t>C091-18-053</t>
  </si>
  <si>
    <t>POP RIVET, 1/8" STEEL</t>
  </si>
  <si>
    <t>ADS42</t>
  </si>
  <si>
    <t>Bluetooth Module, Optional Microphone</t>
  </si>
  <si>
    <t>091-226-007</t>
  </si>
  <si>
    <t>Bluetooth Module</t>
  </si>
  <si>
    <t>091-226</t>
  </si>
  <si>
    <t>Auto Level Alarm (12V)</t>
  </si>
  <si>
    <t>091-260-S</t>
  </si>
  <si>
    <t>Air Line Alarm, Eaton SVR</t>
  </si>
  <si>
    <t>091-248-S</t>
  </si>
  <si>
    <t>Air Line Alarm, Eaton NGR</t>
  </si>
  <si>
    <t>091-248-N</t>
  </si>
  <si>
    <t>Air Line Alarm, Eaton Euro</t>
  </si>
  <si>
    <t>091-248-E</t>
  </si>
  <si>
    <t>Shore Power Alarm, Eaton SVR</t>
  </si>
  <si>
    <t>091-231-S</t>
  </si>
  <si>
    <t>Shore Power Alarm, Eaton NGR</t>
  </si>
  <si>
    <t>091-231-N</t>
  </si>
  <si>
    <t>Shore Power Alarm, Eaton Euro</t>
  </si>
  <si>
    <t>091-231-E</t>
  </si>
  <si>
    <t>Mini Battery Voltage Meter, 24V</t>
  </si>
  <si>
    <t>091-250-24</t>
  </si>
  <si>
    <t>Mini Battery Voltage Meter, 12V</t>
  </si>
  <si>
    <t>091-250-12</t>
  </si>
  <si>
    <t>Temperature Monitor, °C</t>
  </si>
  <si>
    <t>091-224C</t>
  </si>
  <si>
    <t>Temperature Monitor, °F</t>
  </si>
  <si>
    <t>091-224</t>
  </si>
  <si>
    <t>Auto Touch, Times Delay</t>
  </si>
  <si>
    <t>091-222-TD-1</t>
  </si>
  <si>
    <t>Auto Touch, Momentary Switch</t>
  </si>
  <si>
    <t>091-222-MOM</t>
  </si>
  <si>
    <t>Auto Touch, Toggle Switch</t>
  </si>
  <si>
    <t>091-222</t>
  </si>
  <si>
    <t>Open Door Alarm - Relay Output</t>
  </si>
  <si>
    <t>091-178-9</t>
  </si>
  <si>
    <t>Open Door Alarm</t>
  </si>
  <si>
    <t>091-178-8</t>
  </si>
  <si>
    <t>7 Door Display - LED</t>
  </si>
  <si>
    <t>091-178-7A</t>
  </si>
  <si>
    <t>10 Door Display - LED</t>
  </si>
  <si>
    <t>091-178-10A</t>
  </si>
  <si>
    <t>Audio / USB Pass Through with weatherproof door</t>
  </si>
  <si>
    <t>091-249-WP</t>
  </si>
  <si>
    <t>Audio / USB Pass Through</t>
  </si>
  <si>
    <t>091-249</t>
  </si>
  <si>
    <t>Switch Enclosure</t>
  </si>
  <si>
    <t>091-255</t>
  </si>
  <si>
    <t>EZ Mount Assembly</t>
  </si>
  <si>
    <t>091-219-5-038-1</t>
  </si>
  <si>
    <t>Data Port, RJ11</t>
  </si>
  <si>
    <t>091-227-RJ11</t>
  </si>
  <si>
    <t>Data Port, RJ45</t>
  </si>
  <si>
    <t>091-227</t>
  </si>
  <si>
    <t>USB Dual Port USB-C</t>
  </si>
  <si>
    <t>091-280</t>
  </si>
  <si>
    <t>USB Dual Port USB-C &amp; USB - A, (NGR)</t>
  </si>
  <si>
    <t>091-264-N</t>
  </si>
  <si>
    <t>USB Dual Port USB-C &amp; USB - A</t>
  </si>
  <si>
    <t>091-264</t>
  </si>
  <si>
    <t>USB Dual Port,4.8A with weatherproof door</t>
  </si>
  <si>
    <t>091-219-5-WP</t>
  </si>
  <si>
    <t>USB Dual Port, 4.8A with pigtail</t>
  </si>
  <si>
    <t>091-219-5-010</t>
  </si>
  <si>
    <t>USB Dual Port, 4.8A with terminal connectors</t>
  </si>
  <si>
    <t>091-219-5</t>
  </si>
  <si>
    <t>Vehicle Only Charger- Four Unit Charger</t>
  </si>
  <si>
    <t>500-KVOAPX4</t>
  </si>
  <si>
    <t>Vehicle Only Charger- One Unit Charger</t>
  </si>
  <si>
    <t>500-KVOAPX1</t>
  </si>
  <si>
    <t>K-Line Twelve Unit Charger</t>
  </si>
  <si>
    <t>500-K12M-XX</t>
  </si>
  <si>
    <t>K-Line Six Unit Charger</t>
  </si>
  <si>
    <t>500-K6M-XX</t>
  </si>
  <si>
    <t>K-Line Two Unit Charger</t>
  </si>
  <si>
    <t>500-K2M-XX</t>
  </si>
  <si>
    <t>K-Line One Unit Charger</t>
  </si>
  <si>
    <t>500-K1M-XX</t>
  </si>
  <si>
    <t>High Idle - Auto-Throttle</t>
  </si>
  <si>
    <t>091-84</t>
  </si>
  <si>
    <t>Safety Lock D</t>
  </si>
  <si>
    <t>091-174</t>
  </si>
  <si>
    <t>Safety Lock 4</t>
  </si>
  <si>
    <t>091-160</t>
  </si>
  <si>
    <t>Safety Lock 3</t>
  </si>
  <si>
    <t>091-155</t>
  </si>
  <si>
    <t>Safety Lock</t>
  </si>
  <si>
    <t>091-148-12</t>
  </si>
  <si>
    <t>RF Receiver</t>
  </si>
  <si>
    <t>091-133-R</t>
  </si>
  <si>
    <t xml:space="preserve">RF Transmitter </t>
  </si>
  <si>
    <t>091-133-T</t>
  </si>
  <si>
    <t>Air Line Reel</t>
  </si>
  <si>
    <t>RT450-OLP</t>
  </si>
  <si>
    <t>Power Cord Reel</t>
  </si>
  <si>
    <t>L4545 12 3 3</t>
  </si>
  <si>
    <t>Auto Reel, w/ Auto Safe</t>
  </si>
  <si>
    <t>091-220-20-120-AS</t>
  </si>
  <si>
    <t>Auto Reel</t>
  </si>
  <si>
    <t>091-220-20-120</t>
  </si>
  <si>
    <t>Terminal Strip - 16 Terminal TS 2 x 8</t>
  </si>
  <si>
    <t>064-3589-2</t>
  </si>
  <si>
    <t>Terminal Strip - 8 Terminal TS- 2x4</t>
  </si>
  <si>
    <t>064-3589-1</t>
  </si>
  <si>
    <t>Bus Bar - BB-8 - 8 Studs</t>
  </si>
  <si>
    <t>002-3595-8</t>
  </si>
  <si>
    <t>Bus Bar - BB-5 - 5 Studs</t>
  </si>
  <si>
    <t>002-3595-5</t>
  </si>
  <si>
    <t>Bus Bar - BB-2/8 - 2 Studs/8 Screws</t>
  </si>
  <si>
    <t>002-3595-0</t>
  </si>
  <si>
    <t>Bus Bar - BB-2 - 2 Studs</t>
  </si>
  <si>
    <t>002-3595-2</t>
  </si>
  <si>
    <t>Waterproof Fitting, CCX Series - CCX-T</t>
  </si>
  <si>
    <t>007-2005-0</t>
  </si>
  <si>
    <t>Waterproof Fitting, CCX Series - CCX-S</t>
  </si>
  <si>
    <t>007-2004-0</t>
  </si>
  <si>
    <t>Waterproof Fitting, CCX Series - CCX-R</t>
  </si>
  <si>
    <t>007-2003-0</t>
  </si>
  <si>
    <t>Waterproof Fitting, Right Angle Series - RA-7</t>
  </si>
  <si>
    <t>007-2040-0</t>
  </si>
  <si>
    <t>Waterproof Fitting, Right Angle Series - RA-3</t>
  </si>
  <si>
    <t>007-2030-0</t>
  </si>
  <si>
    <t>Waterproof Fitting, Right Angle Series - RA-2</t>
  </si>
  <si>
    <t>007-2020-0</t>
  </si>
  <si>
    <t>Waterproof Fitting, Right Angle Series - RA-1</t>
  </si>
  <si>
    <t>007-2010-0</t>
  </si>
  <si>
    <t>BX-3 Weatherproof Junction Box - 11 Position</t>
  </si>
  <si>
    <t>007-6003-0</t>
  </si>
  <si>
    <t>BX-2 Weatherproof Junction Box - 12 Position</t>
  </si>
  <si>
    <t>007-6002-0</t>
  </si>
  <si>
    <t>BX-1 Weatherproof Junction Box - 6 Position</t>
  </si>
  <si>
    <t>007-6001-0</t>
  </si>
  <si>
    <t>PX-3 Waterproof Junction Box - 18 Terminals</t>
  </si>
  <si>
    <t>007-3003-0</t>
  </si>
  <si>
    <t>PX-2 Waterproof Junction Box - 12 Terminals</t>
  </si>
  <si>
    <t>007-3002-0</t>
  </si>
  <si>
    <t>PX-1 Waterproof Junction Box - 6 Terminals</t>
  </si>
  <si>
    <t>007-3001-0</t>
  </si>
  <si>
    <t>ANL Fuse, (80, 100, 150, 200, 250, 300, 350, 400 or 500)</t>
  </si>
  <si>
    <t>100-0XXX-0</t>
  </si>
  <si>
    <t>Fuse Block, AFB-500</t>
  </si>
  <si>
    <t>100-4407-5</t>
  </si>
  <si>
    <t>Waterproof Circuit Breakers - 150A, WBS-150</t>
  </si>
  <si>
    <t>090-0150-0</t>
  </si>
  <si>
    <t>Waterproof Circuit Breakers - 120A, WBS-120</t>
  </si>
  <si>
    <t>090-0120-0</t>
  </si>
  <si>
    <t>Waterproof Circuit Breakers - 100A, WBS-100</t>
  </si>
  <si>
    <t>090-0100-0</t>
  </si>
  <si>
    <t>Waterproof Circuit Breakers - 80A, WBS-80</t>
  </si>
  <si>
    <t>090-0080-0</t>
  </si>
  <si>
    <t>Waterproof Circuit Breakers - 60A, WBS-60</t>
  </si>
  <si>
    <t>090-0060-0</t>
  </si>
  <si>
    <t>Waterproof Circuit Breakers - 50A, WBS-50</t>
  </si>
  <si>
    <t>090-0050-0</t>
  </si>
  <si>
    <t>Waterproof Circuit Breakers - 40A, WBS-40</t>
  </si>
  <si>
    <t>090-0040-0</t>
  </si>
  <si>
    <t>Waterproof Circuit Breakers - 30A, WBS-30</t>
  </si>
  <si>
    <t>090-0030-0</t>
  </si>
  <si>
    <t>Mounting Plate - Auto Pump 12V</t>
  </si>
  <si>
    <t>091-9C-12V-HP-H</t>
  </si>
  <si>
    <t>Mounting Plate - Auto Pump 120V HP</t>
  </si>
  <si>
    <t>091-9HP-H</t>
  </si>
  <si>
    <t>Mounting Plate - Auto Pump 120V</t>
  </si>
  <si>
    <t>091-9H-1</t>
  </si>
  <si>
    <t>EZ Slide Mounting Plate</t>
  </si>
  <si>
    <t>091-200-EZM</t>
  </si>
  <si>
    <t>EZ Mounting Plate - Large Chargers</t>
  </si>
  <si>
    <t>091-185-008</t>
  </si>
  <si>
    <t>EZ Mounting Plate - Medium Chargers</t>
  </si>
  <si>
    <t>091-185-007</t>
  </si>
  <si>
    <t>EZ Mounting Plate - Small Chargers</t>
  </si>
  <si>
    <t>091-185-006</t>
  </si>
  <si>
    <t>EZ Mounting Plate - Indicator and Super Auto Eject, 240 Vac</t>
  </si>
  <si>
    <t>091-228-002-240</t>
  </si>
  <si>
    <t>EZ Mounting Plate - Indicator and Super Auto Eject, 120 Vac</t>
  </si>
  <si>
    <t>091-228-002-120</t>
  </si>
  <si>
    <t>EZ Mounting Plate - Air Eject, 24V</t>
  </si>
  <si>
    <t>091-185-013</t>
  </si>
  <si>
    <t>EZ Mounting Plate - Air Eject, 12V</t>
  </si>
  <si>
    <t>091-185-011</t>
  </si>
  <si>
    <t>EZ Mounting Plate - Super 30 Auto Eject, 240 Vac</t>
  </si>
  <si>
    <t>091-159-081-240</t>
  </si>
  <si>
    <t>EZ Mounting Plate - Super 30 Auto Eject, 120 Vac</t>
  </si>
  <si>
    <t>091-159-081-120</t>
  </si>
  <si>
    <t>EZ Mounting Plate - Super 16 Auto Eject, 240 Vac</t>
  </si>
  <si>
    <t>091-182-027-240</t>
  </si>
  <si>
    <t>EZ Mounting Plate - Super 16 Auto Eject, 120 Vac</t>
  </si>
  <si>
    <t>091-182-027-120</t>
  </si>
  <si>
    <t>EZ Mounting Plate - Super Auto Eject</t>
  </si>
  <si>
    <t>091-185-009</t>
  </si>
  <si>
    <t>EZ Mounting Plate - WP Auto Eject</t>
  </si>
  <si>
    <t>091-185-010</t>
  </si>
  <si>
    <t>Power Distribution System, PDS-100</t>
  </si>
  <si>
    <t>390-5711-0</t>
  </si>
  <si>
    <t>4 Relay Board</t>
  </si>
  <si>
    <t>091-32-024P-24</t>
  </si>
  <si>
    <t>091-32-024N-24</t>
  </si>
  <si>
    <t>091-32-024P-12</t>
  </si>
  <si>
    <t>091-32-024N-12</t>
  </si>
  <si>
    <t>2 Relay Board</t>
  </si>
  <si>
    <t>091-32-029P-24</t>
  </si>
  <si>
    <t>091-32-029N-24</t>
  </si>
  <si>
    <t>091-32-029P-12</t>
  </si>
  <si>
    <t>091-32-029N-12</t>
  </si>
  <si>
    <t>Time Delay Relay DODO</t>
  </si>
  <si>
    <t>091-103-012-F</t>
  </si>
  <si>
    <t>091-103-012-E</t>
  </si>
  <si>
    <t>091-103-012-D</t>
  </si>
  <si>
    <t>091-103-012-C</t>
  </si>
  <si>
    <t>091-103-012-B</t>
  </si>
  <si>
    <t>091-103-012-A</t>
  </si>
  <si>
    <t>Alternate Action Relay</t>
  </si>
  <si>
    <t>091-98-12</t>
  </si>
  <si>
    <t>Low Voltage Alarm, 12/24V</t>
  </si>
  <si>
    <t>091-85-12/24</t>
  </si>
  <si>
    <t>Low Voltage Alarm, 24V</t>
  </si>
  <si>
    <t>091-85-24</t>
  </si>
  <si>
    <t>Low Voltage Alarm</t>
  </si>
  <si>
    <t>091-85-12</t>
  </si>
  <si>
    <t>OV Relay</t>
  </si>
  <si>
    <t>091-108-012</t>
  </si>
  <si>
    <t>UV OV Relay</t>
  </si>
  <si>
    <t>091-45</t>
  </si>
  <si>
    <t>Auto Current F-A</t>
  </si>
  <si>
    <t>091-22F-A-6</t>
  </si>
  <si>
    <t>091-22F-A</t>
  </si>
  <si>
    <t>Auto Current F</t>
  </si>
  <si>
    <t>091-22-100-F</t>
  </si>
  <si>
    <t>091-22F-6</t>
  </si>
  <si>
    <t>091-22F-5</t>
  </si>
  <si>
    <t>091-22F-3</t>
  </si>
  <si>
    <t>091-22F-2</t>
  </si>
  <si>
    <t>Auto Current A</t>
  </si>
  <si>
    <t>091-22-A-6</t>
  </si>
  <si>
    <t>091-22-A</t>
  </si>
  <si>
    <t>Auto Current</t>
  </si>
  <si>
    <t>091-22-100</t>
  </si>
  <si>
    <t>091-22-6</t>
  </si>
  <si>
    <t>091-22-5</t>
  </si>
  <si>
    <t>091-22-3</t>
  </si>
  <si>
    <t>091-22-2</t>
  </si>
  <si>
    <t>120/240 Vac Adapter for Timer-X</t>
  </si>
  <si>
    <t>091-214-120/240</t>
  </si>
  <si>
    <t>Timer-X, 24V</t>
  </si>
  <si>
    <t>091-214-24</t>
  </si>
  <si>
    <t>Timer-X, 12V</t>
  </si>
  <si>
    <t>091-214-12</t>
  </si>
  <si>
    <t>Soft Start</t>
  </si>
  <si>
    <t>091-27</t>
  </si>
  <si>
    <t>Load Manager 2 (24V)</t>
  </si>
  <si>
    <t>091-79-24</t>
  </si>
  <si>
    <t>Load Manager 2</t>
  </si>
  <si>
    <t>091-79</t>
  </si>
  <si>
    <t>Load Manager</t>
  </si>
  <si>
    <t>091-32</t>
  </si>
  <si>
    <t>Load Manager - 1HP</t>
  </si>
  <si>
    <t>091-167-12</t>
  </si>
  <si>
    <t>Load Manager - 1H (24V)</t>
  </si>
  <si>
    <t>091-96-24</t>
  </si>
  <si>
    <t xml:space="preserve">Load Manager - 1H </t>
  </si>
  <si>
    <t>091-96-12</t>
  </si>
  <si>
    <t>Power Timer, Encapsulated</t>
  </si>
  <si>
    <t>390-0030-5</t>
  </si>
  <si>
    <t>Load Manager P (24V)</t>
  </si>
  <si>
    <t>091-141-24</t>
  </si>
  <si>
    <t>Load Manager P</t>
  </si>
  <si>
    <t>091-141</t>
  </si>
  <si>
    <t>Battery Isolator I &amp; 3 Solenoid</t>
  </si>
  <si>
    <t>091-139-SOL-12HO</t>
  </si>
  <si>
    <t>Battery Isolator 3 Controller</t>
  </si>
  <si>
    <t>091-208-CONT-12</t>
  </si>
  <si>
    <t>Battery Isolator I Controller</t>
  </si>
  <si>
    <t>091-139-CONT-12</t>
  </si>
  <si>
    <t>DC Converter, 32-12-50</t>
  </si>
  <si>
    <t>420-3536-0</t>
  </si>
  <si>
    <t>DC Converter, 32-12-35</t>
  </si>
  <si>
    <t>420-3545-0</t>
  </si>
  <si>
    <t>DC Converter, 32-12-25</t>
  </si>
  <si>
    <t>420-3544-0</t>
  </si>
  <si>
    <t>DC Converter, 32-12-15</t>
  </si>
  <si>
    <t>420-3535-0</t>
  </si>
  <si>
    <t>DC Converter, 32-12-10</t>
  </si>
  <si>
    <t>420-3550-0</t>
  </si>
  <si>
    <t>DC Converter, 32-12-6</t>
  </si>
  <si>
    <t>420-3826-0</t>
  </si>
  <si>
    <t>DC Converter, 24-12-3</t>
  </si>
  <si>
    <t>420-2403-0</t>
  </si>
  <si>
    <t>Noise Filter - PC-25</t>
  </si>
  <si>
    <t>380-1258-1</t>
  </si>
  <si>
    <t>Noise Filter - PC-10</t>
  </si>
  <si>
    <t>380-2010-1</t>
  </si>
  <si>
    <t>Battery Saver Filter</t>
  </si>
  <si>
    <t>091-137</t>
  </si>
  <si>
    <t>Voltage Stabilizing Converter, 12-12-35i</t>
  </si>
  <si>
    <t>460-0617-0</t>
  </si>
  <si>
    <t>Voltage Stabilizing Converter, 12-12-12i</t>
  </si>
  <si>
    <t>460-0610-0</t>
  </si>
  <si>
    <t>Voltage Stabilizing Converter, 12-12-6i</t>
  </si>
  <si>
    <t>460-1212-0</t>
  </si>
  <si>
    <t>Voltage Stabilizing Converter, 12-12-3i</t>
  </si>
  <si>
    <t>460-0123-0</t>
  </si>
  <si>
    <t>StartGuard, NS-12</t>
  </si>
  <si>
    <t>426-3222-0</t>
  </si>
  <si>
    <t>NAV-PAC Power Conditioner, NP-12</t>
  </si>
  <si>
    <t>425-2988-0</t>
  </si>
  <si>
    <t>Mobile Data Power - UPS, MDP-25</t>
  </si>
  <si>
    <t>425-5750-0</t>
  </si>
  <si>
    <t>Remote Freedom X/XC/XCP/BT</t>
  </si>
  <si>
    <t>808-0817-02</t>
  </si>
  <si>
    <t>Freedom XC Pro 3000</t>
  </si>
  <si>
    <t>818-3010</t>
  </si>
  <si>
    <t>Freedom XC Pro 2000</t>
  </si>
  <si>
    <t>818-2010</t>
  </si>
  <si>
    <t>Optional - Freedom X/XC Remote Panel with 25' Cable</t>
  </si>
  <si>
    <t>808-0817-01</t>
  </si>
  <si>
    <t>Freedom XC 2000</t>
  </si>
  <si>
    <t>817-2080</t>
  </si>
  <si>
    <t>Freedom XC 1000</t>
  </si>
  <si>
    <t>817-1050</t>
  </si>
  <si>
    <t>Freedom X 3000</t>
  </si>
  <si>
    <t>817-3000</t>
  </si>
  <si>
    <t>Freedom X 2000</t>
  </si>
  <si>
    <t>817-2000</t>
  </si>
  <si>
    <t>Freedom X 1000</t>
  </si>
  <si>
    <t>817-1000</t>
  </si>
  <si>
    <t>Auto Interlock IV</t>
  </si>
  <si>
    <t>091-197</t>
  </si>
  <si>
    <t>Auto Interlock III</t>
  </si>
  <si>
    <t>091-134A</t>
  </si>
  <si>
    <t>Auto Interlock II (240V)</t>
  </si>
  <si>
    <t>091-134-230</t>
  </si>
  <si>
    <t>Auto Interlock II</t>
  </si>
  <si>
    <t>091-134</t>
  </si>
  <si>
    <t xml:space="preserve">SOLAR FLEX MAX 345W EXPAND KIT </t>
  </si>
  <si>
    <t>784-9345-02</t>
  </si>
  <si>
    <t xml:space="preserve">SOLAR FLEX MAX 345W KIT W/MPPT     </t>
  </si>
  <si>
    <t>784-9345-01-MPPT</t>
  </si>
  <si>
    <t xml:space="preserve">SOLAR FLEX MAX 220W EXPAND KIT     </t>
  </si>
  <si>
    <t>784-9220-02</t>
  </si>
  <si>
    <t>SOLAR FLEX MAX 220W KIT W/MPPT</t>
  </si>
  <si>
    <t>784-9220-01-MPPT</t>
  </si>
  <si>
    <t>SOLAR FLEX MAX 115W SLIM KIT W/MPPT</t>
  </si>
  <si>
    <t>784-9115S-01-MPPT</t>
  </si>
  <si>
    <t>SOLAR FLEX MAX 115W KIT EXPAND</t>
  </si>
  <si>
    <t>784-9115-02</t>
  </si>
  <si>
    <t>SOLAR FLEX MAX 115W KIT W/MPPT</t>
  </si>
  <si>
    <t>784-9115-01-MPPT</t>
  </si>
  <si>
    <t>SOLAR DART, 50 WATT</t>
  </si>
  <si>
    <t>9103-0006-A-A-50</t>
  </si>
  <si>
    <t>SOLAR DASH, 50 WATT W/ MASTIC</t>
  </si>
  <si>
    <t>9103-0005-A-A-50</t>
  </si>
  <si>
    <t>SOLAR DASH, 20 WATT W/ MASTIC</t>
  </si>
  <si>
    <t>9204-0004-A-A-20</t>
  </si>
  <si>
    <t>SOLAR DASH, 20 WATT</t>
  </si>
  <si>
    <t>9204-0003-A-A-20</t>
  </si>
  <si>
    <t>Auto Charge 1000 PLC HP Pump 15A Super Kit, Red Cover</t>
  </si>
  <si>
    <t>51-15-1204</t>
  </si>
  <si>
    <t>Auto Charge 2000 PLC Pump Super Kit, Yellow Cover</t>
  </si>
  <si>
    <t>53-07-1106</t>
  </si>
  <si>
    <t>Auto Charge 1000 PLC HP Pump 15A WP Kit, Red Cover</t>
  </si>
  <si>
    <t>51-14-1204</t>
  </si>
  <si>
    <t>Auto Charge 2000 PLC Pump WP Kit, Yellow Cover</t>
  </si>
  <si>
    <t>53-06-1106</t>
  </si>
  <si>
    <t>Auto Charge 1000 PLC HP Pump Kit</t>
  </si>
  <si>
    <t>51-13-1100</t>
  </si>
  <si>
    <t>Auto Charge 2000 PLC Pump Kit</t>
  </si>
  <si>
    <t>53-05-1100</t>
  </si>
  <si>
    <t>Auto Charge 1000 PLC 15A Super Kit, Red Cover</t>
  </si>
  <si>
    <t>51-03-1204</t>
  </si>
  <si>
    <t>Auto Charge 2000 PLC Super Kit, Yellow Cover</t>
  </si>
  <si>
    <t>53-03-1106</t>
  </si>
  <si>
    <t>Auto Charge 1000 PLC 15A WP Kit, Red Cover</t>
  </si>
  <si>
    <t>51-02-1204</t>
  </si>
  <si>
    <t>Auto Charge 2000 PLC WP Kit, Yellow Cover</t>
  </si>
  <si>
    <t>53-02-1106</t>
  </si>
  <si>
    <t>Pump Plus 1000 PLC 15A Super Kit, Red Cover</t>
  </si>
  <si>
    <t>51-23-1204</t>
  </si>
  <si>
    <t>Pump Plus 2000 PLC Super Kit, Yellow Cover</t>
  </si>
  <si>
    <t>53-23-1106</t>
  </si>
  <si>
    <t>Pump Plus 1000 PLC 15A WP Kit, Red Cover</t>
  </si>
  <si>
    <t>51-22-1204</t>
  </si>
  <si>
    <t>Pump Plus 2000 PLC WP Kit, Yellow Cover</t>
  </si>
  <si>
    <t>53-22-1106</t>
  </si>
  <si>
    <t>LED Display</t>
  </si>
  <si>
    <t>IN-4</t>
  </si>
  <si>
    <t>Pump Plus HO Charger</t>
  </si>
  <si>
    <t>091-9C-HO-CHARGER</t>
  </si>
  <si>
    <t>Pump Plus HO System</t>
  </si>
  <si>
    <t>56-21-1100</t>
  </si>
  <si>
    <t>Pump Plus 2000 PLC Charger, w/ Bar Graph Display</t>
  </si>
  <si>
    <t>091-237-12-PP</t>
  </si>
  <si>
    <t>Pump Plus 2000 PLC System, w/ Bar Graph Display</t>
  </si>
  <si>
    <t>53-21-1100</t>
  </si>
  <si>
    <t>Pump Plus 1000 PLC Charger, w/ Watertight Status Center</t>
  </si>
  <si>
    <t>51-21-420X</t>
  </si>
  <si>
    <t>Pump Plus 1000 PLC Charger, w/ Status Center</t>
  </si>
  <si>
    <t>51-21-3200</t>
  </si>
  <si>
    <t>Pump Plus 1000 PLC Charger, w/ Bar Graph Display</t>
  </si>
  <si>
    <t>091-215-12-PP</t>
  </si>
  <si>
    <t>Pump Plus 1000 PLC System, w/ Watertight Status Center</t>
  </si>
  <si>
    <t>51-21-410X</t>
  </si>
  <si>
    <t>Pump Plus 1000 PLC System, w/ Status Center</t>
  </si>
  <si>
    <t>51-21-3100</t>
  </si>
  <si>
    <t>Pump Plus 1000 PLC System, w/ Bar Graph Display</t>
  </si>
  <si>
    <t>51-21-1100</t>
  </si>
  <si>
    <t>Auto Drain for 120V HP Pump</t>
  </si>
  <si>
    <t>091-9-090</t>
  </si>
  <si>
    <t>Auto Drain for 120V Pump</t>
  </si>
  <si>
    <t>091-9-089</t>
  </si>
  <si>
    <t>Auto Drain for 12V Pump</t>
  </si>
  <si>
    <t>091-9-131</t>
  </si>
  <si>
    <t>Auto Pump Tester</t>
  </si>
  <si>
    <t>091-205</t>
  </si>
  <si>
    <t>Auto Pump 12V - Auto Drain</t>
  </si>
  <si>
    <t>091-9C-12V-AD</t>
  </si>
  <si>
    <t>Auto Clean, Auto Pump AC</t>
  </si>
  <si>
    <t>091-9G-B1</t>
  </si>
  <si>
    <t>Auto Clean, Auto Pump 12V</t>
  </si>
  <si>
    <t>091-9G</t>
  </si>
  <si>
    <t>091-9-12V-HP-H</t>
  </si>
  <si>
    <t>Auto Pump Timer</t>
  </si>
  <si>
    <t>091-150-115</t>
  </si>
  <si>
    <t>091-150</t>
  </si>
  <si>
    <t>Auto Pump Status Center Display, PSI Only</t>
  </si>
  <si>
    <t>091-198-12-AP</t>
  </si>
  <si>
    <t>Auto Pump AC HP (240V)</t>
  </si>
  <si>
    <t>091-9HP-220</t>
  </si>
  <si>
    <t>Auto Pump AC HP - Auto Drain</t>
  </si>
  <si>
    <t>091-9HP-AD</t>
  </si>
  <si>
    <t>Auto Pump AC HP</t>
  </si>
  <si>
    <t>091-9HP</t>
  </si>
  <si>
    <t>Auto Pump AC (240V)</t>
  </si>
  <si>
    <t>091-9B-220</t>
  </si>
  <si>
    <t>Auto Pump AC - Auto Drain</t>
  </si>
  <si>
    <t>091-9B-4-AD</t>
  </si>
  <si>
    <t>Auto Pump AC</t>
  </si>
  <si>
    <t>091-9B-4</t>
  </si>
  <si>
    <t xml:space="preserve">AUTO PUMP,12VOLT HP, VER, GEN3 </t>
  </si>
  <si>
    <t>091-9C-12V-HP-VER</t>
  </si>
  <si>
    <t xml:space="preserve">AUTO PUMP,12VOLT HP, HOR, GEN3 </t>
  </si>
  <si>
    <t>091-9C-12V-HP-HOR</t>
  </si>
  <si>
    <t>Mounting Plate - Auto Pump 12V HP</t>
  </si>
  <si>
    <t xml:space="preserve">AUTO PUMP, 12 VOLT, WITH AD GEN3  </t>
  </si>
  <si>
    <t>091-9C-12-AD</t>
  </si>
  <si>
    <t xml:space="preserve">AUTO PUMP, 12 VOLT, GEN3  </t>
  </si>
  <si>
    <t>091-9C-12V</t>
  </si>
  <si>
    <t>Auto Clean</t>
  </si>
  <si>
    <t>AC Connector</t>
  </si>
  <si>
    <t>WPR-1</t>
  </si>
  <si>
    <t>DC Connector</t>
  </si>
  <si>
    <t>091-3-157</t>
  </si>
  <si>
    <t>Connector Protector</t>
  </si>
  <si>
    <t>091-55-069</t>
  </si>
  <si>
    <t>Connector, 15A - DC</t>
  </si>
  <si>
    <t>6-15P-H</t>
  </si>
  <si>
    <t>Connector, 20A</t>
  </si>
  <si>
    <t>5-20P-H</t>
  </si>
  <si>
    <t>Connector, 15A</t>
  </si>
  <si>
    <t>5-15P-H</t>
  </si>
  <si>
    <t>Male Receptacle, 15A - DC</t>
  </si>
  <si>
    <t>5678C</t>
  </si>
  <si>
    <t>Male Receptacle, 20A</t>
  </si>
  <si>
    <t>5378C</t>
  </si>
  <si>
    <t>Male Receptacle, 15A</t>
  </si>
  <si>
    <t>5278C</t>
  </si>
  <si>
    <t>Retractile Cord, 12 AWG, 20'</t>
  </si>
  <si>
    <t>091-18D-12</t>
  </si>
  <si>
    <t>Retractile Cord, 14 AWG, 20'</t>
  </si>
  <si>
    <t>091-18D-14</t>
  </si>
  <si>
    <t>30' Wire, 12 AWG</t>
  </si>
  <si>
    <t>VW-6</t>
  </si>
  <si>
    <t>30' Wire, 14 AWG</t>
  </si>
  <si>
    <t>VW-3</t>
  </si>
  <si>
    <t>Wiring Kit, 15A - DC</t>
  </si>
  <si>
    <t>VW-2</t>
  </si>
  <si>
    <t>Wiring Kit, 20A</t>
  </si>
  <si>
    <t>VW-5</t>
  </si>
  <si>
    <t>Wiring Kit, 15A</t>
  </si>
  <si>
    <t>VW-4</t>
  </si>
  <si>
    <t>VW-11</t>
  </si>
  <si>
    <t>VW-12</t>
  </si>
  <si>
    <t>VW-10</t>
  </si>
  <si>
    <t>VW-8</t>
  </si>
  <si>
    <t>VW-9</t>
  </si>
  <si>
    <t>VW-7</t>
  </si>
  <si>
    <t>091-55XX, Battery Charger, Air Compressor, Block Heater Nameplate</t>
  </si>
  <si>
    <t>091-55NP-07</t>
  </si>
  <si>
    <t>091-55XX, Battery Charger, Air Compressor Nameplate</t>
  </si>
  <si>
    <t>091-55NP-06</t>
  </si>
  <si>
    <t>091-55XX, Battery Charger, Block Heater Nameplate</t>
  </si>
  <si>
    <t>091-55NP-05</t>
  </si>
  <si>
    <t>091-55XX, Block Heater Nameplate</t>
  </si>
  <si>
    <t>091-55NP-04</t>
  </si>
  <si>
    <t>091-55XX, Battery Charger Nameplate</t>
  </si>
  <si>
    <t>091-55NP-03</t>
  </si>
  <si>
    <t>091-55XX, Air Compressor Nameplate</t>
  </si>
  <si>
    <t>091-55NP-02</t>
  </si>
  <si>
    <t>091-55XX, Air Eject Nameplate</t>
  </si>
  <si>
    <t>091-55NP-01</t>
  </si>
  <si>
    <t>091-55XX, Nameplate Kit, All 7 Nameplates</t>
  </si>
  <si>
    <t>091-55NP-KIT</t>
  </si>
  <si>
    <t>091-3XX, Nameplate Kit, All 7 Nameplates</t>
  </si>
  <si>
    <t>091-NP-KIT</t>
  </si>
  <si>
    <t>091-3XX, Battery Charger, Air Compressor, Block Heater Nameplate</t>
  </si>
  <si>
    <t>091-NP-07</t>
  </si>
  <si>
    <t>091-3XX, Battery Charger, Air Compressor Nameplate</t>
  </si>
  <si>
    <t>091-NP-06</t>
  </si>
  <si>
    <t>091-3XX, Battery Charger, Block Heater Nameplate</t>
  </si>
  <si>
    <t>091-NP-05</t>
  </si>
  <si>
    <t>091-3XX, Block Heater Nameplate</t>
  </si>
  <si>
    <t>091-NP-04</t>
  </si>
  <si>
    <t>091-3XX, Battery Charger Nameplate</t>
  </si>
  <si>
    <t>091-NP-03</t>
  </si>
  <si>
    <t>091-3XX, Air Compressor Nameplate</t>
  </si>
  <si>
    <t>091-NP-02</t>
  </si>
  <si>
    <t>091-3XX, Air Eject Nameplate</t>
  </si>
  <si>
    <t>091-NP-01</t>
  </si>
  <si>
    <t>Super 30 Auto Eject Cover, Yellow</t>
  </si>
  <si>
    <t>091-159YW</t>
  </si>
  <si>
    <t>Super 30 Auto Eject Cover, White</t>
  </si>
  <si>
    <t>091-159WH</t>
  </si>
  <si>
    <t>Super 30 Auto Eject Cover, Red</t>
  </si>
  <si>
    <t>091-159RD</t>
  </si>
  <si>
    <t>Super 30 Auto Eject Cover, Gray</t>
  </si>
  <si>
    <t>091-159GY</t>
  </si>
  <si>
    <t>Super 30 Auto Eject Cover, Black</t>
  </si>
  <si>
    <t>091-159BLK</t>
  </si>
  <si>
    <t>Super 30 Auto Eject Cover, Blue</t>
  </si>
  <si>
    <t>091-159BL</t>
  </si>
  <si>
    <t>Super 16 Auto Eject Cover, Yellow</t>
  </si>
  <si>
    <t>091-182YW</t>
  </si>
  <si>
    <t>Super 16 Auto Eject Cover, White</t>
  </si>
  <si>
    <t>091-182WH</t>
  </si>
  <si>
    <t>Super 16 Auto Eject Cover, Red</t>
  </si>
  <si>
    <t>091-182RD</t>
  </si>
  <si>
    <t>Super 16 Auto Eject Cover, Gray</t>
  </si>
  <si>
    <t>091-182GY</t>
  </si>
  <si>
    <t>Super 16 Auto Eject Cover, Black</t>
  </si>
  <si>
    <t>091-182BLK</t>
  </si>
  <si>
    <t>Super 16 Auto Eject Cover, Blue</t>
  </si>
  <si>
    <t>091-182BL</t>
  </si>
  <si>
    <t>Super Auto Eject Cover, Yellow</t>
  </si>
  <si>
    <t>091-55YW</t>
  </si>
  <si>
    <t>Super Auto Eject Cover, White</t>
  </si>
  <si>
    <t>091-55WH</t>
  </si>
  <si>
    <t>Super Auto Eject Cover, Red</t>
  </si>
  <si>
    <t>091-55RD</t>
  </si>
  <si>
    <t>Super Auto Eject Cover, Gray</t>
  </si>
  <si>
    <t>091-55GY</t>
  </si>
  <si>
    <t>Super Auto Eject Cover, Black</t>
  </si>
  <si>
    <t>091-55BLK</t>
  </si>
  <si>
    <t>Super Auto Eject Cover, Blue</t>
  </si>
  <si>
    <t>091-55BL</t>
  </si>
  <si>
    <t>WP Auto Eject Cover, Yellow</t>
  </si>
  <si>
    <t>091-3YW</t>
  </si>
  <si>
    <t>WP Auto Eject Cover, White</t>
  </si>
  <si>
    <t>091-3WH</t>
  </si>
  <si>
    <t>WP Auto Eject Cover, Red</t>
  </si>
  <si>
    <t>091-3RD</t>
  </si>
  <si>
    <t>WP Auto Eject Cover, Gray</t>
  </si>
  <si>
    <t>091-3GY</t>
  </si>
  <si>
    <t>WP Auto Eject Cover, Black</t>
  </si>
  <si>
    <t>091-3BLK</t>
  </si>
  <si>
    <t>WP Auto Eject Cover, Blue</t>
  </si>
  <si>
    <t>091-3BL</t>
  </si>
  <si>
    <t>Super Auto Eject Deluxe Cover, Digital Display, Yellow (80A)</t>
  </si>
  <si>
    <t>091-55-194C-YW</t>
  </si>
  <si>
    <t>Super Auto Eject Deluxe Cover, Digital Display, White (80A)</t>
  </si>
  <si>
    <t>091-55-194C-WH</t>
  </si>
  <si>
    <t>Super Auto Eject Deluxe Cover, Digital Display, Red (80A)</t>
  </si>
  <si>
    <t>091-55-194C-RD</t>
  </si>
  <si>
    <t>Super Auto Eject Deluxe Cover, Digital Display, Gray (80A)</t>
  </si>
  <si>
    <t>091-55-194C-GY</t>
  </si>
  <si>
    <t>Super Auto Eject Deluxe Cover, Digital Display, Blue (80A)</t>
  </si>
  <si>
    <t>091-55-194C-BL</t>
  </si>
  <si>
    <t>Super Auto Eject Deluxe Cover, Digital Display, Black (80A)</t>
  </si>
  <si>
    <t>091-55-194C-BLK</t>
  </si>
  <si>
    <t>Super Auto Eject Deluxe Cover, Digital Display, Yellow (20A)</t>
  </si>
  <si>
    <t>091-55-194B-YW</t>
  </si>
  <si>
    <t>Super Auto Eject Deluxe Cover, Digital Display, White (20A)</t>
  </si>
  <si>
    <t>091-55-194B-WH</t>
  </si>
  <si>
    <t>Super Auto Eject Deluxe Cover, Digital Display, Red (20A)</t>
  </si>
  <si>
    <t>091-55-194B-RD</t>
  </si>
  <si>
    <t>Super Auto Eject Deluxe Cover, Digital Display, Gray (20A)</t>
  </si>
  <si>
    <t>091-55-194B-GY</t>
  </si>
  <si>
    <t>Super Auto Eject Deluxe Cover, Digital Display, Blue (20A)</t>
  </si>
  <si>
    <t>091-55-194B-BL</t>
  </si>
  <si>
    <t>Super Auto Eject Deluxe Cover, Digital Display, Black (20A)</t>
  </si>
  <si>
    <t>091-55-194B-BLK</t>
  </si>
  <si>
    <t>Super Auto Eject Deluxe Cover, Digital Display, Yellow (15A)</t>
  </si>
  <si>
    <t>091-55-194A-YW</t>
  </si>
  <si>
    <t>Super Auto Eject Deluxe Cover, Digital Display, White (15A)</t>
  </si>
  <si>
    <t>091-55-194A-WH</t>
  </si>
  <si>
    <t>Super Auto Eject Deluxe Cover, Digital Display, Red (15A)</t>
  </si>
  <si>
    <t>091-55-194A-RD</t>
  </si>
  <si>
    <t>Super Auto Eject Deluxe Cover, Digital Display, Gray (15A)</t>
  </si>
  <si>
    <t>091-55-194A-GY</t>
  </si>
  <si>
    <t>Super Auto Eject Deluxe Cover, Digital Display, Blue (15A)</t>
  </si>
  <si>
    <t>091-55-194A-BL</t>
  </si>
  <si>
    <t>Super Auto Eject Deluxe Cover, Digital Display, Black (15A)</t>
  </si>
  <si>
    <t>091-55-194A-BLK</t>
  </si>
  <si>
    <t>Super Auto Eject Deluxe Cover, Digital Display, Yellow (40A)</t>
  </si>
  <si>
    <t>091-55-194-YW</t>
  </si>
  <si>
    <t>Super Auto Eject Deluxe Cover, Digital Display, White (40A)</t>
  </si>
  <si>
    <t>091-55-194-WH</t>
  </si>
  <si>
    <t>Super Auto Eject Deluxe Cover, Digital Display, Red (40A)</t>
  </si>
  <si>
    <t>091-55-194-RD</t>
  </si>
  <si>
    <t>Super Auto Eject Deluxe Cover, Digital Display, Gray (40A)</t>
  </si>
  <si>
    <t>091-55-194-GY</t>
  </si>
  <si>
    <t>Super Auto Eject Deluxe Cover, Digital Display, Blue (40A)</t>
  </si>
  <si>
    <t>091-55-194-BL</t>
  </si>
  <si>
    <t>Super Auto Eject Deluxe Cover, Digital Display, Black (40A)</t>
  </si>
  <si>
    <t>091-55-194-BLK</t>
  </si>
  <si>
    <t>Super Auto Eject Deluxe Cover, Dual Bar Graph, Yellow</t>
  </si>
  <si>
    <t>091-55-239-YW</t>
  </si>
  <si>
    <t>Super Auto Eject Deluxe Cover, Dual Bar Graph, White</t>
  </si>
  <si>
    <t>091-55-239-WH</t>
  </si>
  <si>
    <t>Super Auto Eject Deluxe Cover, Dual Bar Graph, Red</t>
  </si>
  <si>
    <t>091-55-239-RD</t>
  </si>
  <si>
    <t>Super Auto Eject Deluxe Cover, Dual Bar Graph, Gray</t>
  </si>
  <si>
    <t>091-55-239-GY</t>
  </si>
  <si>
    <t>Super Auto Eject Deluxe Cover, Dual Bar Graph, Blue</t>
  </si>
  <si>
    <t>091-55-239-BL</t>
  </si>
  <si>
    <t>Super Auto Eject Deluxe Cover, Dual Bar Graph, Black</t>
  </si>
  <si>
    <t>091-55-239-BLK</t>
  </si>
  <si>
    <t>Super Auto Eject Deluxe Cover, Bar Graph, Yellow</t>
  </si>
  <si>
    <t>091-55-234-YW</t>
  </si>
  <si>
    <t>Super Auto Eject Deluxe Cover, Bar Graph, White</t>
  </si>
  <si>
    <t>091-55-234-WH</t>
  </si>
  <si>
    <t>Super Auto Eject Deluxe Cover, Bar Graph, Red</t>
  </si>
  <si>
    <t>091-55-234-RD</t>
  </si>
  <si>
    <t>Super Auto Eject Deluxe Cover, Bar Graph, Gray</t>
  </si>
  <si>
    <t>091-55-234-GY</t>
  </si>
  <si>
    <t>Super Auto Eject Deluxe Cover, Bar Graph, Blue</t>
  </si>
  <si>
    <t>091-55-234-BL</t>
  </si>
  <si>
    <t>Super Auto Eject Deluxe Cover, Bar Graph, Black</t>
  </si>
  <si>
    <t>091-55-234-BLK</t>
  </si>
  <si>
    <t>Auto Pump Status Center</t>
  </si>
  <si>
    <t>091-9G-2</t>
  </si>
  <si>
    <t>EZ Mounting Plate</t>
  </si>
  <si>
    <t>Weatherproof Adapter Kit</t>
  </si>
  <si>
    <t>091-28AK-XX</t>
  </si>
  <si>
    <t>HP Air Eject (24V)</t>
  </si>
  <si>
    <t>091-28HP-24</t>
  </si>
  <si>
    <t>HP Air Eject</t>
  </si>
  <si>
    <t>091-28HP</t>
  </si>
  <si>
    <t>Air Eject (24V)</t>
  </si>
  <si>
    <t>091-28-24</t>
  </si>
  <si>
    <t>Air Eject</t>
  </si>
  <si>
    <t>091-28</t>
  </si>
  <si>
    <t>Super 20 Auto Eject with Dual Bar Graph (239), Yellow</t>
  </si>
  <si>
    <t>63-11-8106</t>
  </si>
  <si>
    <t>Super 15 Auto Eject with Dual Bar Graph (239), Yellow</t>
  </si>
  <si>
    <t>61-11-8106</t>
  </si>
  <si>
    <t>Super 20 Auto Eject with Digital Display (194C), Yellow</t>
  </si>
  <si>
    <t>63-11-6106</t>
  </si>
  <si>
    <t>Super 15 Auto Eject with Digital Display (194C), Yellow</t>
  </si>
  <si>
    <t>61-11-6106</t>
  </si>
  <si>
    <t>Super 20 Auto Eject with Digital Display (194), Yellow</t>
  </si>
  <si>
    <t>63-11-3106</t>
  </si>
  <si>
    <t>Super 15 Auto Eject with Digital Display (194), Yellow</t>
  </si>
  <si>
    <t>61-11-3106</t>
  </si>
  <si>
    <t>Super 20 Auto Eject with Digital Display (194B), Yellow</t>
  </si>
  <si>
    <t>63-11-5106</t>
  </si>
  <si>
    <t>Super 20 Auto Eject with Bar Graph (234), Yellow</t>
  </si>
  <si>
    <t>63-11-2106</t>
  </si>
  <si>
    <t>Super 15 Auto Eject with Bar Graph Display (234), Yellow</t>
  </si>
  <si>
    <t>61-11-2106</t>
  </si>
  <si>
    <t>EZ Mounting Plate, 240V</t>
  </si>
  <si>
    <t>EZ Mounting Plate, 120V</t>
  </si>
  <si>
    <t xml:space="preserve">Super 16 Mating Connector, 230V </t>
  </si>
  <si>
    <t>091-182-CON-3P-230</t>
  </si>
  <si>
    <t>Auto-ejects 10+ get 40% off</t>
  </si>
  <si>
    <t>Super 16 Auto Eject (24V)</t>
  </si>
  <si>
    <t>091-182-230-24-XX</t>
  </si>
  <si>
    <t>Super 16 Auto Eject</t>
  </si>
  <si>
    <t>091-182-230-12-XX</t>
  </si>
  <si>
    <t>Super 30 Air / Electric Mating Connector, 240V</t>
  </si>
  <si>
    <t>091-169-CON-4P-250-ASY</t>
  </si>
  <si>
    <t>Super 30 Air / Electric Mating Connector, 120V</t>
  </si>
  <si>
    <t>091-169-CON-4P-120-ASY</t>
  </si>
  <si>
    <t>Super 30 Auto Eject - Air / Electric, 240V</t>
  </si>
  <si>
    <t>091-169-30-250-XX</t>
  </si>
  <si>
    <t>Super 30 Auto Eject - Air / Electric, 120V</t>
  </si>
  <si>
    <t>091-169-30-120-XX</t>
  </si>
  <si>
    <t>Super 30 Mating Connector, 250V, 3 Pin</t>
  </si>
  <si>
    <t>091-159-CON-3P-250</t>
  </si>
  <si>
    <t>Super 30 Mating Connector, 120V, 3 Pin</t>
  </si>
  <si>
    <t>091-159-CON-3P-120</t>
  </si>
  <si>
    <t>Super 30 Auto Eject - 4 Pin</t>
  </si>
  <si>
    <t>091-159-430-250-XX</t>
  </si>
  <si>
    <t>Super 30 Auto Eject - 3 Pin</t>
  </si>
  <si>
    <t>091-159-30-250-XX</t>
  </si>
  <si>
    <t>091-159-30-120-XX</t>
  </si>
  <si>
    <t xml:space="preserve">DELUXE STATUS CENTER, 12V </t>
  </si>
  <si>
    <t>091-194B-IND</t>
  </si>
  <si>
    <t>AUTO CHARGE SINGLE BARGRAPH DISPLAY</t>
  </si>
  <si>
    <t>091-199-001</t>
  </si>
  <si>
    <t>Super 15 Auto Eject - DC, Trailer</t>
  </si>
  <si>
    <t>091-55-15-DCT-XX</t>
  </si>
  <si>
    <t>Super 20 Auto Eject, Trailer</t>
  </si>
  <si>
    <t>091-55-20-120T-XX</t>
  </si>
  <si>
    <t>Super 15 Auto Eject, Trailer</t>
  </si>
  <si>
    <t>091-55-15-120T-XX</t>
  </si>
  <si>
    <t>Super 15 Auto Eject - DC</t>
  </si>
  <si>
    <t>091-55-15-DC-XX</t>
  </si>
  <si>
    <t>Super 20 Auto Eject</t>
  </si>
  <si>
    <t>091-55-20-120-XX</t>
  </si>
  <si>
    <t>Super 15 Auto Eject</t>
  </si>
  <si>
    <t>091-55-15-120-XX</t>
  </si>
  <si>
    <t>Rear Enclosure</t>
  </si>
  <si>
    <t>091-18CP</t>
  </si>
  <si>
    <t>Dynamic Disconnect</t>
  </si>
  <si>
    <t>091-18-098</t>
  </si>
  <si>
    <t>WP Auto Eject (12V/240V), 15A</t>
  </si>
  <si>
    <t>091-18WP-012-XX</t>
  </si>
  <si>
    <t>WP Auto Eject, 20A</t>
  </si>
  <si>
    <t>091-20WP-120-XX</t>
  </si>
  <si>
    <t>WP Auto Eject, 15A</t>
  </si>
  <si>
    <t>091-18WP-120-XX</t>
  </si>
  <si>
    <t>DC Voltmeter Display, DCV</t>
  </si>
  <si>
    <t>023-4348-0</t>
  </si>
  <si>
    <t>DC Energy Display, DCE</t>
  </si>
  <si>
    <t>023-4346-0</t>
  </si>
  <si>
    <t>TG-3: Temperature Display</t>
  </si>
  <si>
    <t>023-4350-0</t>
  </si>
  <si>
    <t>Auto Level Alarm (24V)</t>
  </si>
  <si>
    <t>091-260-S-24</t>
  </si>
  <si>
    <t xml:space="preserve">091-260-S </t>
  </si>
  <si>
    <t>Auto Level</t>
  </si>
  <si>
    <t>091-251-12</t>
  </si>
  <si>
    <t>Display Panel Rear Seal</t>
  </si>
  <si>
    <t>091-39-109</t>
  </si>
  <si>
    <t>Vertical Display Mount</t>
  </si>
  <si>
    <t>091-91-013</t>
  </si>
  <si>
    <t>091-11-102-12</t>
  </si>
  <si>
    <t>DC Amps Gauge</t>
  </si>
  <si>
    <t>IN-3-25</t>
  </si>
  <si>
    <t>IN-3-20</t>
  </si>
  <si>
    <t>IN-3-15</t>
  </si>
  <si>
    <t>Super Auto Eject Deluxe Cover w/Digital Display</t>
  </si>
  <si>
    <t>091-55-194X-XX</t>
  </si>
  <si>
    <t>Super Auto Eject Deluxe Cover w/Bar Graph Display</t>
  </si>
  <si>
    <t>091-55-234-XX</t>
  </si>
  <si>
    <t>Mini Single Bar Graph Display</t>
  </si>
  <si>
    <t>091-234</t>
  </si>
  <si>
    <t>AC D, Dual Bar Graph Display</t>
  </si>
  <si>
    <t>091-66-IND</t>
  </si>
  <si>
    <t>Single Bar Graph Display</t>
  </si>
  <si>
    <t>091-200-IND</t>
  </si>
  <si>
    <t>AC D2, Triple Bar Graph Display</t>
  </si>
  <si>
    <t>091-74-IND</t>
  </si>
  <si>
    <t>Dual Bar Graph Display</t>
  </si>
  <si>
    <t>091-39-IND</t>
  </si>
  <si>
    <t>Triple Battery Bank Voltage Display</t>
  </si>
  <si>
    <t>091-118-022-12</t>
  </si>
  <si>
    <t>Dual Battery Bank Voltage Display</t>
  </si>
  <si>
    <t>091-76-12</t>
  </si>
  <si>
    <t>Single Battery Bank Voltage Display</t>
  </si>
  <si>
    <t>091-94-24E</t>
  </si>
  <si>
    <t>Auto Pump Status Center Display, Voltage  PSI</t>
  </si>
  <si>
    <t>091-198-12-PP</t>
  </si>
  <si>
    <t>Status Center, Dual Battery Display</t>
  </si>
  <si>
    <t>091-189-2-12-3.5D</t>
  </si>
  <si>
    <t>Status Center, Single Battery Display</t>
  </si>
  <si>
    <t>091-189-12-3.5D</t>
  </si>
  <si>
    <t>091-189-2-12</t>
  </si>
  <si>
    <t>091-189-12</t>
  </si>
  <si>
    <t>Status Center in Standard Housing</t>
  </si>
  <si>
    <t>091-194X-IND</t>
  </si>
  <si>
    <t>Status Center in Watertight Housing</t>
  </si>
  <si>
    <t>091-194X-IND-WT-XX</t>
  </si>
  <si>
    <t>Generator/AC System Monitor, VAAFH-AC/DC</t>
  </si>
  <si>
    <t>091-247</t>
  </si>
  <si>
    <t>Generator/AC System Monitor, VAAFH</t>
  </si>
  <si>
    <t>023-4500-0</t>
  </si>
  <si>
    <t>Engine Monitor, VOTT</t>
  </si>
  <si>
    <t>023-4400-0</t>
  </si>
  <si>
    <t>Battery Saver, 12V 20 AMP Low Ripple</t>
  </si>
  <si>
    <t>091-295-12</t>
  </si>
  <si>
    <t>Low Ripple Saver VHO</t>
  </si>
  <si>
    <t>091-256-12</t>
  </si>
  <si>
    <t>Euro Charger III, 24 Volt</t>
  </si>
  <si>
    <t>091-118-24</t>
  </si>
  <si>
    <t>Euro Charger III</t>
  </si>
  <si>
    <t>091-118-12</t>
  </si>
  <si>
    <t>091-94-12E</t>
  </si>
  <si>
    <t>Euro Charger I, 24 Volt</t>
  </si>
  <si>
    <t>091-90-24</t>
  </si>
  <si>
    <t>Euro Charger I</t>
  </si>
  <si>
    <t>091-90-12</t>
  </si>
  <si>
    <t>091-90-012-12</t>
  </si>
  <si>
    <t>Euro Charger I VHO, 24 Volt</t>
  </si>
  <si>
    <t>091-162-24</t>
  </si>
  <si>
    <t>Euro Charger I VHO</t>
  </si>
  <si>
    <t>091-162-12</t>
  </si>
  <si>
    <t>Euro Charger II VHO, 24 Volt</t>
  </si>
  <si>
    <t>091-143-24</t>
  </si>
  <si>
    <t>Euro Charger II VHO</t>
  </si>
  <si>
    <t>091-143-12</t>
  </si>
  <si>
    <t>Triple Bar Graph Display</t>
  </si>
  <si>
    <t>Euro Charger II, 24 Volt</t>
  </si>
  <si>
    <t>091-117-24</t>
  </si>
  <si>
    <t>Euro Charger II</t>
  </si>
  <si>
    <t>091-117-12</t>
  </si>
  <si>
    <t>LPC 45, w/Watertight Display</t>
  </si>
  <si>
    <t>091-206-24-194C-WT-XX</t>
  </si>
  <si>
    <t>LPC 45, w/Status Center</t>
  </si>
  <si>
    <t>091-206-24-194C</t>
  </si>
  <si>
    <t>LPC 45, w/Bar Graph Display</t>
  </si>
  <si>
    <t>091-206-24</t>
  </si>
  <si>
    <t>Auto Charge 20 DV</t>
  </si>
  <si>
    <t>091-10-DV-12</t>
  </si>
  <si>
    <t>Auto Charge 20, 24 Volt</t>
  </si>
  <si>
    <t>091-10-24</t>
  </si>
  <si>
    <t>Auto Charge 20</t>
  </si>
  <si>
    <t>091-10-12</t>
  </si>
  <si>
    <t>Auto Charge 2000 PLC, w/ Dual Bar Graph Display</t>
  </si>
  <si>
    <t>091-237-12</t>
  </si>
  <si>
    <t>Auto Charge 11 HO-DV</t>
  </si>
  <si>
    <t>091-11HO-DV-12</t>
  </si>
  <si>
    <t>Auto Charge 11 HO</t>
  </si>
  <si>
    <t>091-11HO-12</t>
  </si>
  <si>
    <t>Auto Charge 11 DV</t>
  </si>
  <si>
    <t>091-11DV-12</t>
  </si>
  <si>
    <t>091-11-127</t>
  </si>
  <si>
    <t>Auto Charge 11</t>
  </si>
  <si>
    <t>091-11-12</t>
  </si>
  <si>
    <t>EV-20, Charger &amp; Display</t>
  </si>
  <si>
    <t>445-5399-0</t>
  </si>
  <si>
    <t>EV-20, Charger</t>
  </si>
  <si>
    <t>445-5393-0</t>
  </si>
  <si>
    <t>EV-40, Charger &amp; Single Display</t>
  </si>
  <si>
    <t>445-5265-0</t>
  </si>
  <si>
    <t>EV-40, Charger &amp; Dual Display</t>
  </si>
  <si>
    <t>445-5264-0</t>
  </si>
  <si>
    <t>EV-40, Charger</t>
  </si>
  <si>
    <t>445-5262-0</t>
  </si>
  <si>
    <t>Kick Plate Guard, EV20/40</t>
  </si>
  <si>
    <t>444-5280-0</t>
  </si>
  <si>
    <t>Auto Charge 40/20, w/Watertight Display</t>
  </si>
  <si>
    <t>091-216-40/20-194-WT-XX</t>
  </si>
  <si>
    <t>Auto Charge 40/20, w/Status Center</t>
  </si>
  <si>
    <t>091-216-40/20-194</t>
  </si>
  <si>
    <t>Auto Charge 40/20, w/Bar Graph Display</t>
  </si>
  <si>
    <t>091-216-40/20</t>
  </si>
  <si>
    <t>Auto Charge 35/10, w/Bar Graph Display</t>
  </si>
  <si>
    <t>091-35/10</t>
  </si>
  <si>
    <t>Auto Charge 20/20</t>
  </si>
  <si>
    <t>091-216-20/20</t>
  </si>
  <si>
    <t>Auto Charge 1000 PLC, w/Bar Graph Display</t>
  </si>
  <si>
    <t>091-215-12</t>
  </si>
  <si>
    <t>Auto Charge 12 HO-DV</t>
  </si>
  <si>
    <t>091-170-DV-12</t>
  </si>
  <si>
    <t>Auto Charge 12 HO</t>
  </si>
  <si>
    <t>091-170-12</t>
  </si>
  <si>
    <t>Auto Charge 12 DV</t>
  </si>
  <si>
    <t>091-165-12-DV</t>
  </si>
  <si>
    <t>Auto Charge 12</t>
  </si>
  <si>
    <t>091-165-12</t>
  </si>
  <si>
    <t>091-165-016</t>
  </si>
  <si>
    <t>Status Center DIG OLEDChief Series</t>
  </si>
  <si>
    <t>091-55-266-XX</t>
  </si>
  <si>
    <t>Chief Series Remote Control Panel</t>
  </si>
  <si>
    <t>091-266-RCP</t>
  </si>
  <si>
    <t>Chief Series Charger, 60 AMP w/onboard &amp; Remote Control Display</t>
  </si>
  <si>
    <t>091-266-12-60-RCP</t>
  </si>
  <si>
    <t>Chief Series Charger, 60 AMP w/onboard Display</t>
  </si>
  <si>
    <t>091-266-12-60</t>
  </si>
  <si>
    <t>Chief Series Charger, 40 AMP w/onboard &amp; Remote Control Display</t>
  </si>
  <si>
    <t>091-266-12-40-RCP</t>
  </si>
  <si>
    <t>Chief Series Charger, 40 AMP w/onboard Display</t>
  </si>
  <si>
    <t>091-266-12-40</t>
  </si>
  <si>
    <t>LPC 20, w/Bar Graph Display</t>
  </si>
  <si>
    <t>091-207-12-IND</t>
  </si>
  <si>
    <t>LPC 20, w/Watertight Display</t>
  </si>
  <si>
    <t>091-207-12-194B-WT-XX</t>
  </si>
  <si>
    <t>LPC 20, w/Status Center</t>
  </si>
  <si>
    <t>091-207-12-194B</t>
  </si>
  <si>
    <t>LPC 80, w/Bar Graph Display</t>
  </si>
  <si>
    <t>091-206-12-IND</t>
  </si>
  <si>
    <t>LPC 80, w/Watertight Display</t>
  </si>
  <si>
    <t>091-206-12-194C-WT-XX</t>
  </si>
  <si>
    <t>LPC 80, w/Status Center</t>
  </si>
  <si>
    <t>091-206-12-194C</t>
  </si>
  <si>
    <t>LPC 7 Charger</t>
  </si>
  <si>
    <t>445-4290-5</t>
  </si>
  <si>
    <t>$879.00</t>
  </si>
  <si>
    <t>Angel Armor - DODGE RAM 2019+ 1500/2500/3500 IIIA PASS FRONT</t>
  </si>
  <si>
    <t>01-00252</t>
  </si>
  <si>
    <t>Angel Armor - DODGE RAM 2019+ 1500/2500/3500 IIIA DRIVER FRONT</t>
  </si>
  <si>
    <t>01-00251</t>
  </si>
  <si>
    <t>Angel Armor - DODGE RAM 2011-2024 CLASSIC IIIA PASS FRONT</t>
  </si>
  <si>
    <t>01-00079</t>
  </si>
  <si>
    <t>Angel Armor - DODGE RAM 2011-2024 CLASSIC IIIA DRIVER FRONT</t>
  </si>
  <si>
    <t>01-00078</t>
  </si>
  <si>
    <t>Angel Armor - DODGE DURANGO 2011+ IIIA PASS FRONT</t>
  </si>
  <si>
    <t>01-00153</t>
  </si>
  <si>
    <t>Angel Armor - DODGE DURANGO 2011+ IIIA DRIVER FRONT</t>
  </si>
  <si>
    <t>01-00152</t>
  </si>
  <si>
    <t>$1,549.00</t>
  </si>
  <si>
    <t>Angel Armor - DODGE CHARGER 2011+ III+ PASS FRONT</t>
  </si>
  <si>
    <t>01-00361</t>
  </si>
  <si>
    <t>Angel Armor - DODGE CHARGER 2011+ III+ DRIVER FRONT</t>
  </si>
  <si>
    <t>01-00360</t>
  </si>
  <si>
    <t>Angel Armor - DODGE CHARGER 2011+ IIIA PASS REAR</t>
  </si>
  <si>
    <t>01-00150</t>
  </si>
  <si>
    <t>Angel Armor - DODGE CHARGER 2011+ IIIA DRIVER REAR</t>
  </si>
  <si>
    <t>01-00149</t>
  </si>
  <si>
    <t>Angel Armor - DODGE CHARGER 2011+ IIIA PASS FRONT</t>
  </si>
  <si>
    <t>01-00004</t>
  </si>
  <si>
    <t>Angel Armor - DODGE CHARGER 2011+ IIIA DRIVER FRONT</t>
  </si>
  <si>
    <t>01-00003</t>
  </si>
  <si>
    <t>Angel Armor - CHEVROLET/GMC 1500/2500 2019+ IIIA PASS REAR</t>
  </si>
  <si>
    <t>01-00388</t>
  </si>
  <si>
    <t>Angel Armor - CHEVROLET/GMC 1500/2500 2019+ IIIA DRIVER REAR</t>
  </si>
  <si>
    <t>01-00387</t>
  </si>
  <si>
    <t>Angel Armor - CHEVROLET/GMC 1500/2500 2019+ IIIA PASS FRONT</t>
  </si>
  <si>
    <t>01-00194</t>
  </si>
  <si>
    <t>Angel Armor - CHEVROLET/GMC 1500/2500 2019+ IIIA DRIVER FRONT</t>
  </si>
  <si>
    <t>01-00193</t>
  </si>
  <si>
    <t>Angel Armor - CHEVROLET/ GMC 1500/2500  2014-2019 IIIA PASS FRONT</t>
  </si>
  <si>
    <t>01-00137</t>
  </si>
  <si>
    <t>Angel Armor - CHEVROLET/ GMC 1500/2500  2014-2019 IIIA DRIVER FRONT</t>
  </si>
  <si>
    <t>01-00136</t>
  </si>
  <si>
    <t>Angel Armor - CHEVROLET/ GMC TAHOE/SUBURBAN  2021+ III+ PASS FRONT</t>
  </si>
  <si>
    <t>01-00406</t>
  </si>
  <si>
    <t>Angel Armor - CHEVROLET/ GMC TAHOE/SUBURBAN  2021+ III+ DRIVER FRONT</t>
  </si>
  <si>
    <t>01-00405</t>
  </si>
  <si>
    <t>Angel Armor - CHEVROLET/ GMC TAHOE/SUBURBAN  2021+ IIIA PASS REAR</t>
  </si>
  <si>
    <t>Angel Armor - CHEVROLET/ GMC TAHOE/SUBURBAN  2021+ IIIA DRIVER REAR</t>
  </si>
  <si>
    <t>Angel Armor - CHEVROLET/ GMC TAHOE/SUBURBAN  2021+ IIIA PASS FRONT</t>
  </si>
  <si>
    <t>01-00355</t>
  </si>
  <si>
    <t>Angel Armor - CHEVROLET/ GMC TAHOE/SUBURBAN  2021+ IIIA DRIVER FRONT</t>
  </si>
  <si>
    <t>01-00354</t>
  </si>
  <si>
    <t>$1,649.00</t>
  </si>
  <si>
    <t xml:space="preserve">Angel Armor - FORD F250/350 2023 III+ PASS FRONT  </t>
  </si>
  <si>
    <t>01-00716</t>
  </si>
  <si>
    <t xml:space="preserve">Angel Armor - FORD F250/350 2023 III+ DRIVER FRONT  </t>
  </si>
  <si>
    <t>01-00715</t>
  </si>
  <si>
    <t xml:space="preserve">Angel Armor - FORD F250/350 2017-2022 III+ PASS FRONT  </t>
  </si>
  <si>
    <t>01-00422</t>
  </si>
  <si>
    <t xml:space="preserve">Angel Armor - FORD F250/350 2017-2022 III+ DRIVER FRONT  </t>
  </si>
  <si>
    <t>01-00421</t>
  </si>
  <si>
    <t>Angel Armor - FORD F250/350 2017+ IIIA PASS REAR</t>
  </si>
  <si>
    <t>01-00522</t>
  </si>
  <si>
    <t>Angel Armor - FORD F250/350 2017+ IIIA DRIVER REAR</t>
  </si>
  <si>
    <t>01-00521</t>
  </si>
  <si>
    <t xml:space="preserve">Angel Armor - FORD F250/350 2017+ IIIA PASS FRONT  </t>
  </si>
  <si>
    <t>01-00047</t>
  </si>
  <si>
    <t xml:space="preserve">Angel Armor - FORD F250/350 2017+ IIIA DRIVER FRONT  </t>
  </si>
  <si>
    <t>01-00046</t>
  </si>
  <si>
    <t>Angel Armor - FORD F250/350 2011-2016 IIIA PASS REAR</t>
  </si>
  <si>
    <t>01-00087</t>
  </si>
  <si>
    <t>Angel Armor - FORD F250/350 2011-2016 IIIA DRIVER REAR</t>
  </si>
  <si>
    <t>01-00086</t>
  </si>
  <si>
    <t xml:space="preserve">Angel Armor - FORD F250/350 2011-2016 IIIA PASS FRONT  </t>
  </si>
  <si>
    <t>01-00045</t>
  </si>
  <si>
    <t xml:space="preserve">Angel Armor - FORD F250/350 2011-2016 IIIA DRIVER FRONT  </t>
  </si>
  <si>
    <t>01-00044</t>
  </si>
  <si>
    <t>Angel Armor - FORD F150 2021+ III+ PASS FRONT</t>
  </si>
  <si>
    <t>Angel Armor - FORD F150 2021+ III+ DRIVER FRONT</t>
  </si>
  <si>
    <t>$1,499.00</t>
  </si>
  <si>
    <t>Angel Armor - FORD F150 2015-2020 III+ PASS FRONT</t>
  </si>
  <si>
    <t>01-00366</t>
  </si>
  <si>
    <t>Angel Armor - FORD F150 2015-2020 III+ DRIVER FRONT</t>
  </si>
  <si>
    <t>01-00365</t>
  </si>
  <si>
    <t>Angel Armor - FORD F150 2015+ IIIA PASS REAR</t>
  </si>
  <si>
    <t>Angel Armor - FORD F150 2015+ IIIA DRIVER REAR</t>
  </si>
  <si>
    <t>Angel Armor - FORD F150 2015+ IIIA PASS FRONT</t>
  </si>
  <si>
    <t>Angel Armor - FORD F150 2015+ IIIA DRIVER FRONT</t>
  </si>
  <si>
    <t xml:space="preserve">Angel Armor - FORD EXPEDITION 2018+ IIIA DRIVER FRONT </t>
  </si>
  <si>
    <t>01-00190</t>
  </si>
  <si>
    <t xml:space="preserve">Angel Armor - FORD EXPEDITION 2018+ IIIA PASS FRONT </t>
  </si>
  <si>
    <t>01-00189</t>
  </si>
  <si>
    <t xml:space="preserve">Angel Armor - FORD EXPEDITION 2007-2017 IIIA PASS FRONT </t>
  </si>
  <si>
    <t>01-00008</t>
  </si>
  <si>
    <t xml:space="preserve">Angel Armor - FORD EXPEDITION 2007-2017 IIIA DRIVER FRONT </t>
  </si>
  <si>
    <t>01-00007</t>
  </si>
  <si>
    <t>$1,399.00</t>
  </si>
  <si>
    <t xml:space="preserve">Angel Armor - FORD PIU/ EXPLORER 2020+ III+ PASS FRONT </t>
  </si>
  <si>
    <t>01-00359</t>
  </si>
  <si>
    <t xml:space="preserve">Angel Armor - FORD PIU/ EXPLORER 2020+ III+ DRIVER FRONT </t>
  </si>
  <si>
    <t>01-00358</t>
  </si>
  <si>
    <t xml:space="preserve">Angel Armor - FORD PIU/ EXPLORER 2020 IIIA PASS REAR </t>
  </si>
  <si>
    <t>01-00342</t>
  </si>
  <si>
    <t>Angel Armor - FORD PIU/ EXPLORER 2020 IIIA DRIVER REAR</t>
  </si>
  <si>
    <t>01-00341</t>
  </si>
  <si>
    <t xml:space="preserve">Angel Armor - FORD PIU/ EXPLORER 2020 IIIA PASS FRONT </t>
  </si>
  <si>
    <t>01-00340</t>
  </si>
  <si>
    <t xml:space="preserve">Angel Armor - FORD PIU/ EXPLORER 2020+ IIIA DRIVER FRONT </t>
  </si>
  <si>
    <t>01-00339</t>
  </si>
  <si>
    <t>$1,449.00</t>
  </si>
  <si>
    <t xml:space="preserve">Angel Armor - FORD PIU/ EXPLORER 2013-2019 III+ PASS FRONT </t>
  </si>
  <si>
    <t>01-00363</t>
  </si>
  <si>
    <t xml:space="preserve">Angel Armor - FORD PIU/ EXPLORER 2013-2019 III+ DRIVER FRONT </t>
  </si>
  <si>
    <t>01-00362</t>
  </si>
  <si>
    <t xml:space="preserve">Angel Armor - FORD PIU/ EXPLORER 2011-2019 IIIA PASS REAR </t>
  </si>
  <si>
    <t>01-00072</t>
  </si>
  <si>
    <t>Angel Armor - FORD PIU/ EXPLORER 2011-2019 IIIA DRIVER REAR</t>
  </si>
  <si>
    <t>01-00071</t>
  </si>
  <si>
    <t xml:space="preserve">Angel Armor - FORD PIU/ EXPLORER 2011-2019 IIIA PASS FRONT </t>
  </si>
  <si>
    <t>01-00002</t>
  </si>
  <si>
    <t xml:space="preserve">Angel Armor - FORD PIU/ EXPLORER 2011-2019 IIIA DRIVER FRONT </t>
  </si>
  <si>
    <t>01-00001</t>
  </si>
  <si>
    <t>MANU PART #</t>
  </si>
  <si>
    <t>Mounting Bracket, Wall Stud, 90 Deg - For 1070 or 4130 (can be used with T-Channels)</t>
  </si>
  <si>
    <t>Buttstock boot for 4130</t>
  </si>
  <si>
    <t>Bottom Bracket for 4130 buttstock boot</t>
  </si>
  <si>
    <t>Top Mounting Bracket for 4130 Lock head</t>
  </si>
  <si>
    <t>90° Metal Bracket, w/18" T-channel for 1070/1077  Incl. 3 T-channel nuts and 3 T-channel bolts</t>
  </si>
  <si>
    <t>27003-18</t>
  </si>
  <si>
    <t>90° Metal Bracket, w/10" T-channel for 1070/1077  Incl. 3 T-channel nuts and 3 T-channel bolts</t>
  </si>
  <si>
    <t>27003-10</t>
  </si>
  <si>
    <t>90° Metal Bracket 5" rise, w/18" T-channel for 1082  Incl. 3 T-channel nuts and 3 T-channel bolts.  5" rise allows more space between the lock lever and mounting surface.</t>
  </si>
  <si>
    <t>27002-18</t>
  </si>
  <si>
    <r>
      <t>90</t>
    </r>
    <r>
      <rPr>
        <sz val="11"/>
        <rFont val="Verdana"/>
        <family val="2"/>
      </rPr>
      <t xml:space="preserve">° </t>
    </r>
    <r>
      <rPr>
        <sz val="11"/>
        <rFont val="Calibri"/>
        <family val="2"/>
      </rPr>
      <t>Metal Bracket 5" rise, w/10" T-channel  Incl. 3 T-channel nuts and 3 T-channel bolts.  5" rise allows more space between the lock lever and mounting surface.</t>
    </r>
  </si>
  <si>
    <t>27002-10</t>
  </si>
  <si>
    <r>
      <t>90</t>
    </r>
    <r>
      <rPr>
        <sz val="11"/>
        <rFont val="Verdana"/>
        <family val="2"/>
      </rPr>
      <t xml:space="preserve">° </t>
    </r>
    <r>
      <rPr>
        <sz val="11"/>
        <rFont val="Calibri"/>
        <family val="2"/>
      </rPr>
      <t>Metal Bracket 5" rise, Incl 3 T-channel nuts and 3 T-channel bolts.  5" rise allows more space between the lock lever and mounting surface.</t>
    </r>
  </si>
  <si>
    <r>
      <t>90</t>
    </r>
    <r>
      <rPr>
        <sz val="11"/>
        <rFont val="Verdana"/>
        <family val="2"/>
      </rPr>
      <t xml:space="preserve">° </t>
    </r>
    <r>
      <rPr>
        <sz val="11"/>
        <rFont val="Calibri"/>
        <family val="2"/>
      </rPr>
      <t>Metal Bracket, w/18" T-channel for 1082  Incl. 3 T-channel nuts and 3 T-channel bolts</t>
    </r>
  </si>
  <si>
    <t>27001-18</t>
  </si>
  <si>
    <r>
      <t>90</t>
    </r>
    <r>
      <rPr>
        <sz val="11"/>
        <rFont val="Verdana"/>
        <family val="2"/>
      </rPr>
      <t xml:space="preserve">° </t>
    </r>
    <r>
      <rPr>
        <sz val="11"/>
        <rFont val="Calibri"/>
        <family val="2"/>
      </rPr>
      <t>Metal Bracket, w/10" T-channel for 1082  Incl. 3 T-channel nuts and 3 T-channel bolts</t>
    </r>
  </si>
  <si>
    <t>27001-10</t>
  </si>
  <si>
    <t>90° Metal Bracket, Incl. 3 T-channel nuts and 3 T-channel bolts</t>
  </si>
  <si>
    <t>3" Tube Mount</t>
  </si>
  <si>
    <t xml:space="preserve">2 1/4" Tube Mount </t>
  </si>
  <si>
    <t>2" Tube Mount</t>
  </si>
  <si>
    <t xml:space="preserve">1 7/8" Tube Mount </t>
  </si>
  <si>
    <t>1 3/4" Tube Mount</t>
  </si>
  <si>
    <t>1.71" Tube Mount</t>
  </si>
  <si>
    <t>1 5/8" Tube Mount</t>
  </si>
  <si>
    <t>1 1/2" Tube Mount</t>
  </si>
  <si>
    <t>1 1/4" Tube Mount</t>
  </si>
  <si>
    <t xml:space="preserve">1" Tube Mount </t>
  </si>
  <si>
    <t>7/8" Tube Mount</t>
  </si>
  <si>
    <t>3/4" Tube Mount</t>
  </si>
  <si>
    <t>1 5/8 Overhead Tube Mount, custom made - Pro-Gard</t>
  </si>
  <si>
    <t>1 5/8 Overhead Tube Mount - Setina Partition</t>
  </si>
  <si>
    <t>Wrench, Tamper Proof, Hex Key 5/32"</t>
  </si>
  <si>
    <t>Wrench Kit, includes 3/16' and 5/32" Allen Keys (1070/1082)</t>
  </si>
  <si>
    <t>18" X 9" Dual T-channel</t>
  </si>
  <si>
    <t>18" X 9" Dual T-channel with Rivnuts and Mounting Bolts</t>
  </si>
  <si>
    <t xml:space="preserve">10" X 3" T-channel, with 1/4-20 Rivnuts </t>
  </si>
  <si>
    <t xml:space="preserve">18" X 3" T-channel, with 1/4-20 Rivnuts </t>
  </si>
  <si>
    <t>18" X 3" T-channel (Does not include mounting hardware)</t>
  </si>
  <si>
    <t>Dual-T-Channel / Base Plate 9" X 12"</t>
  </si>
  <si>
    <t>10" X 3" T-channel (Does not include mounting hardware)</t>
  </si>
  <si>
    <t>AR Retention Post Upgrade, Undersize (1.875), B.A.D. Lever Colt / Non-Mil Spec Lower Receivers)</t>
  </si>
  <si>
    <t>25008+</t>
  </si>
  <si>
    <t>AR Retention Post, Undersized (1.847), B.A.D. Lever, Pad and Plug &amp; Hardware (Upgrade)</t>
  </si>
  <si>
    <t>25007+</t>
  </si>
  <si>
    <t>AR Retention Post, Undersized (1.847), B.A.D. Lever</t>
  </si>
  <si>
    <t>AR Retention Post, Standard (1.90), B.A.D. Lever (Magpul Only), Pad and Plug &amp; Hardware (Upgrade)</t>
  </si>
  <si>
    <t>25006+</t>
  </si>
  <si>
    <t>AR Retention Post, Standard (1.90), B.A.D. Lever (Magpul Only)</t>
  </si>
  <si>
    <t>AR Retention Post Upgrade, Undersize (1.875), Colt / Non-Mil Spec Lower Receivers) Pad and Plug &amp; Hardware (Upgrade)</t>
  </si>
  <si>
    <t>25005+</t>
  </si>
  <si>
    <t>AR Retention Post Upgrade, Undersize (1.875), Colt / Non-Mil Spec Lower Receivers)</t>
  </si>
  <si>
    <t>AR Retention Post, Standard (1.90),  Pad and Plug &amp; Hardware (Upgrade)</t>
  </si>
  <si>
    <t>25000+</t>
  </si>
  <si>
    <t xml:space="preserve">AR Retention Post Upgrade for Models 1082,  For use with Mil-Spec M4/AR rifles </t>
  </si>
  <si>
    <t>AR Retention Post, Standard (1.90), Fits Most Mil-Spec Lower Receivers)</t>
  </si>
  <si>
    <t>Key, Sequential Number, EACH (call customer service to verify)</t>
  </si>
  <si>
    <t>MA209 Key, EACH</t>
  </si>
  <si>
    <t xml:space="preserve">Pushbutton Switch, Momentary, 15 Amp "Normally Closed" for use with Cold-Wire </t>
  </si>
  <si>
    <t>Fuse, 3.13A 400 MS 500V</t>
  </si>
  <si>
    <t>Charger Stop for 1082- For M4/AR weapons (prevents the weapon from being charged while in the rack)</t>
  </si>
  <si>
    <t>Circuit Board, 20 second, V5 (replacement kit)</t>
  </si>
  <si>
    <t>Circuit Board, 8 second, V5 (replacement kit)</t>
  </si>
  <si>
    <t xml:space="preserve"> Cold-Wire Transmitter </t>
  </si>
  <si>
    <t>Cold-Wire Upgrade Kit, includes V5 receiver and transmitter (29004) 1082-E's version V3 or prior</t>
  </si>
  <si>
    <t>Yoke Assembly, includes hardware</t>
  </si>
  <si>
    <t>Conventional Stock Adapter for 1082, includes Trigger Post</t>
  </si>
  <si>
    <t xml:space="preserve">Conventional Stock Kit Adapter for 1082, For use with conventional stock rifles or shotguns </t>
  </si>
  <si>
    <t>Double Nut, 1.5", includes (2) Button Head, Tamper Proof Bolts 1/4-20 X 3/4" (used with Free Stands)</t>
  </si>
  <si>
    <t xml:space="preserve">Double Nut, 1.5" </t>
  </si>
  <si>
    <t xml:space="preserve">Double Nut, Yoke </t>
  </si>
  <si>
    <t>Alta trigger guard with .125 x 5/8 pin (Recommended with for use with the legacy Model 1082 with dual posts)</t>
  </si>
  <si>
    <t>Eccentric Post, (Legacy 1082)</t>
  </si>
  <si>
    <t>Standard Trigger and Eccentric Post, includes hardware (Legacy 1082)</t>
  </si>
  <si>
    <t>Standard Trigger Post, nylon cover (Legacy 1082)</t>
  </si>
  <si>
    <t>Labor, Saddlebag Installation</t>
  </si>
  <si>
    <t>Installation Kit, BMW, includes saddlebag bracket and hardware</t>
  </si>
  <si>
    <t>BMW Saddlebag bracket</t>
  </si>
  <si>
    <t>KIT-WRS 1082-E-AR, Electronic, 8 Second Delay, Cold Wire (29004), installation Kit (30071),  with 2 MA209 keys  Harley-Davidson left/low side saddlebag</t>
  </si>
  <si>
    <t>8211-00107</t>
  </si>
  <si>
    <r>
      <t>WRS 1082-E-</t>
    </r>
    <r>
      <rPr>
        <u/>
        <sz val="11"/>
        <rFont val="Calibri"/>
        <family val="2"/>
      </rPr>
      <t>AR</t>
    </r>
    <r>
      <rPr>
        <sz val="11"/>
        <rFont val="Calibri"/>
        <family val="2"/>
      </rPr>
      <t>, Electronic, 8-second delay - For AR/M4 w/Mil-Spec lower receiver with 2 MA209 keys</t>
    </r>
  </si>
  <si>
    <t>Security Hardware, includes (2) Security Nuts and (2) Bolts, for Harley-Davidson Saddlebag (requires 30051 to remove or install security bolt)</t>
  </si>
  <si>
    <t xml:space="preserve">Security Wrench, for Harley-Davidson Saddlebag </t>
  </si>
  <si>
    <t>Installation Kit, Harley Davidson Left side saddlebag - includes bracket, rivets and security hardware (Needed with the 1082-E-MTR if mounted in a Harley-Davidson Left/Low  side  Saddlebag)</t>
  </si>
  <si>
    <t>KIT-WRS 1082-E-AR-MTR, Electronic, 8 Second Delay, Cold Wire (29004), installation Kit (30050),  Momentary Switch (30202), with 2 MA209 keys  Harley-Davidson left/low side saddlebag</t>
  </si>
  <si>
    <t>8411-00104</t>
  </si>
  <si>
    <r>
      <t>WRS 1082-</t>
    </r>
    <r>
      <rPr>
        <u/>
        <sz val="11"/>
        <color theme="1"/>
        <rFont val="Calibri"/>
        <family val="2"/>
      </rPr>
      <t>AR</t>
    </r>
    <r>
      <rPr>
        <sz val="11"/>
        <color theme="1"/>
        <rFont val="Calibri"/>
        <family val="2"/>
      </rPr>
      <t>-MTR, Electronic, 8-second delay with 2 MA209 keys for installation in Harley-Davidson left/low side saddlebag (requires 30050 Installation kit)</t>
    </r>
  </si>
  <si>
    <t xml:space="preserve">19-21 CHEVY TRUCK 1500 (22")  </t>
  </si>
  <si>
    <t>26010-CHT19150019-21</t>
  </si>
  <si>
    <t>21-25 TAHOE (19")</t>
  </si>
  <si>
    <t>26010-TAH21-22</t>
  </si>
  <si>
    <t>20-25 INTERCEPTOR UTILITY (19")</t>
  </si>
  <si>
    <t>26010-INTU20-22</t>
  </si>
  <si>
    <t>15-25 F250/F350/F450 (22")</t>
  </si>
  <si>
    <t>26010-FDTF25015-22</t>
  </si>
  <si>
    <t>15-25 Ford F150 (22")</t>
  </si>
  <si>
    <t>26010-FDTF15015-22</t>
  </si>
  <si>
    <t>18-22 EXPEDITION (19")</t>
  </si>
  <si>
    <t>26010-EPD18-22</t>
  </si>
  <si>
    <t>05-22 Dodge 1500/2500/3500 (22")</t>
  </si>
  <si>
    <t>26010-DRT05-22</t>
  </si>
  <si>
    <t>11-25 DURANGO (19")</t>
  </si>
  <si>
    <t>26010-DUR11-21</t>
  </si>
  <si>
    <t>11-24 CHARGER (19")</t>
  </si>
  <si>
    <t>26010-CGR11-22</t>
  </si>
  <si>
    <t>22" Free Stand, with Top Cap (no base plate of hardware)</t>
  </si>
  <si>
    <t>19" Free Stand, with Top Cap (no base plate or hardware)</t>
  </si>
  <si>
    <t xml:space="preserve">22" Free Stand, 12" base plate and washer kit </t>
  </si>
  <si>
    <t>26010-22</t>
  </si>
  <si>
    <t>19" Free Stand, 12" base plate and washer kit</t>
  </si>
  <si>
    <t>26010-19</t>
  </si>
  <si>
    <t>Base Plate, 9"x12", includes washer plate (no stand)</t>
  </si>
  <si>
    <t>26010-00</t>
  </si>
  <si>
    <t xml:space="preserve">Dual KIT-WRS 1082-E-AR &amp; 1088-E, Electronic, 8-second delay, Two 10" X 3" T-Channels (25020),  Cold-Wire (290020, with 4 MA209 keys </t>
  </si>
  <si>
    <t>2811-11100</t>
  </si>
  <si>
    <t xml:space="preserve">Dual KIT-WRS 1082-E-AR &amp; 1088-E, Electronic, 8-second delay, Two 10" X 3" T-Channels (25020),  with 4 MA209 keys </t>
  </si>
  <si>
    <t>2811-11000</t>
  </si>
  <si>
    <t xml:space="preserve">Dual KIT-WRS 1082-E-AR &amp; 1088-E, Electronic, 8-second delay, Dual 18" X 9" T-Channel (25029), Cold-Wire (29004), with 4 MA209 keys </t>
  </si>
  <si>
    <t>2811-20100</t>
  </si>
  <si>
    <t xml:space="preserve">Dual KIT-WRS 1082-E-AR &amp; 1088-E, Electronic, 8-second delay, Dual 18" X 9" T-Channel (25029),  with 4 MA209 keys </t>
  </si>
  <si>
    <t>2811-20000</t>
  </si>
  <si>
    <t>Dual KIT-WRS 1082-E-AR &amp; 4130-E, Electronic, 8-second delay, Two 18" X 3" T-channels (25019), Cold-Wire (29004), Upper Bracket (27600), Lower bracket (27610), Buttstock Boot (27620),  with 4 MA209 keys</t>
  </si>
  <si>
    <t>4811-88103</t>
  </si>
  <si>
    <t xml:space="preserve">Dual KIT-WRS 1082-E-AR &amp; 4130-E, Electronic, 8-second delay, Two 18" X 3" T-channels (25019), Upper Bracket (27600), Lower bracket (27610), Buttstock Boot (27620),  with 4 MA209 keys </t>
  </si>
  <si>
    <t>4811-88003</t>
  </si>
  <si>
    <t xml:space="preserve">Dual KIT-WRS 1082-E-AR &amp; 4130-E, Electronic, 8-second delay, 10" X 3" T-Channel (25020), Cold-Wire (29004), 18" X 3" T-Channel (25019), Upper Bracket (27600), Lower bracket (27610), Buttstock Boot (27620),  with 4 MA209 keys </t>
  </si>
  <si>
    <t>4811-28103</t>
  </si>
  <si>
    <t xml:space="preserve">Dual KIT-WRS 1082-E-AR &amp; 4130-E, Electronic, 8-second delay, 10" X 3" T-Channel (25020), 18" X 3" T-channel (205018), Upper Bracket (27600), Lower bracket (27610), Buttstock Boot (27620),  with 4 MA209 keys </t>
  </si>
  <si>
    <t>4811-28003</t>
  </si>
  <si>
    <t xml:space="preserve">Dual KIT-WRS 1082-E-AR &amp; 4130-E, Electronic, 8-second delay, Dual 18" X 9" T-Channel (25029), Cold-Wire (29004), Upper Bracket (27600), Lower bracket (27610), Buttstock Boot (27620),  with 4 MA209 keys </t>
  </si>
  <si>
    <t>4811-20103</t>
  </si>
  <si>
    <t xml:space="preserve">Dual KIT-WRS 1082-E-AR &amp; 4130-E, Electronic, 8-second delay, Dual 18" X 9" T-Channel (25029), Upper Bracket (27600), Lower bracket (27610), Buttstock Boot (27620), with 4 MA209 keys </t>
  </si>
  <si>
    <t>4811-20003</t>
  </si>
  <si>
    <t xml:space="preserve">Dual KIT-WRS 1082-E-AR &amp; 1082-E-AR, Electronic, 8-second delay, Dual 18" X 9" T-Channel (25029), Cold-Wire (29004), with 4 MA209 keys </t>
  </si>
  <si>
    <t>2214-20100</t>
  </si>
  <si>
    <t xml:space="preserve">Dual KIT-WRS 1082-E-AR &amp; 1082-E-AR, Electronic, 8-second delay, Dual 18" X 9" T-Channel (25029), with 4 MA209 keys </t>
  </si>
  <si>
    <t>2214-20000</t>
  </si>
  <si>
    <r>
      <t xml:space="preserve">KIT-WRS 4130-M, Manual with Stainless Hardware </t>
    </r>
    <r>
      <rPr>
        <u/>
        <sz val="11"/>
        <color theme="1"/>
        <rFont val="Calibri"/>
        <family val="2"/>
        <scheme val="minor"/>
      </rPr>
      <t>Marinus</t>
    </r>
    <r>
      <rPr>
        <sz val="11"/>
        <color theme="1"/>
        <rFont val="Calibri"/>
        <family val="2"/>
        <scheme val="minor"/>
      </rPr>
      <t>, 18" T-Channel (25018), Upper Bracket (27600), Lower bracket (27610), Buttstock Boot (27620),  with 2 MA209 keys</t>
    </r>
  </si>
  <si>
    <t>4100-18003</t>
  </si>
  <si>
    <r>
      <t xml:space="preserve">WRS 1082-M-AR, Manual with Stainless Hardware </t>
    </r>
    <r>
      <rPr>
        <u/>
        <sz val="11"/>
        <color rgb="FF404040"/>
        <rFont val="Calibri"/>
        <family val="2"/>
      </rPr>
      <t>Marinus</t>
    </r>
    <r>
      <rPr>
        <sz val="11"/>
        <color rgb="FF404040"/>
        <rFont val="Calibri"/>
        <family val="2"/>
      </rPr>
      <t>, with 2 MA209 keys</t>
    </r>
  </si>
  <si>
    <r>
      <t xml:space="preserve">WRS 1082-E-AR, Electronic, 8 Second Delay with Stainless Hardware </t>
    </r>
    <r>
      <rPr>
        <u/>
        <sz val="11"/>
        <color rgb="FF404040"/>
        <rFont val="Calibri"/>
        <family val="2"/>
      </rPr>
      <t>Marinus</t>
    </r>
    <r>
      <rPr>
        <sz val="11"/>
        <color rgb="FF404040"/>
        <rFont val="Calibri"/>
        <family val="2"/>
      </rPr>
      <t>, with 2 MA209 keys</t>
    </r>
  </si>
  <si>
    <t xml:space="preserve">KIT-WRS 1088-M, Manual, 18" T-Channel (25019), 90° Bracket (27001) with 2 MA209 keys </t>
  </si>
  <si>
    <t>8800-18001</t>
  </si>
  <si>
    <t xml:space="preserve">KIT-WRS 1088-M, Manual, 18" T-Channel (25019), with 2 MA209 keys </t>
  </si>
  <si>
    <t>8800-18000</t>
  </si>
  <si>
    <t xml:space="preserve">KIT-WRS 1088-M, Manual, 10" T-Channel (25020), 90° Bracket (27001) with 2 MA209 keys </t>
  </si>
  <si>
    <t>8810-10001</t>
  </si>
  <si>
    <t xml:space="preserve">KIT-WRS 1088-M, Manual, 10" T-Channel (25020), with 2 MA209 keys </t>
  </si>
  <si>
    <t>8800-10000</t>
  </si>
  <si>
    <t>WRS 1088-M, Manual, for single shot LMT 37/40mm or similar, with 2 MA209 Keys</t>
  </si>
  <si>
    <r>
      <rPr>
        <u/>
        <sz val="11"/>
        <color theme="1"/>
        <rFont val="Calibri"/>
        <family val="2"/>
      </rPr>
      <t>Dual KIT</t>
    </r>
    <r>
      <rPr>
        <sz val="11"/>
        <color theme="1"/>
        <rFont val="Calibri"/>
        <family val="2"/>
      </rPr>
      <t>-WRS 1082-E-</t>
    </r>
    <r>
      <rPr>
        <u/>
        <sz val="11"/>
        <color theme="1"/>
        <rFont val="Calibri"/>
        <family val="2"/>
      </rPr>
      <t>AR</t>
    </r>
    <r>
      <rPr>
        <sz val="11"/>
        <color theme="1"/>
        <rFont val="Calibri"/>
        <family val="2"/>
      </rPr>
      <t xml:space="preserve"> &amp; 1088-E, Electronic, 8-second delay, Dual 18" T-Channel (25029), Cold-Wire (29004), with 4 MA209 keys </t>
    </r>
  </si>
  <si>
    <t>Dual KIT-WRS 1082-E-AR &amp; 4130-E, Electronic, 8-second delay, Two 18" T-channels (25019), Cold-Wire (29004), Upper Bracket (27600), Lower bracket (27610), Buttstock Boot (27620),  with 4 MA209 keys</t>
  </si>
  <si>
    <t xml:space="preserve">Dual KIT-WRS 1082-E-AR &amp; 4130-E, Electronic, 8-second delay, 10" T-Channel (25020), Cold-Wire (29004), 18" T-Channel (25019), Upper Bracket (27600), Lower bracket (27610), Buttstock Boot (27620),  with 4 MA209 keys </t>
  </si>
  <si>
    <t xml:space="preserve">Dual KIT-WRS 1082-E-AR &amp; 4130-E, Electronic, 8-second delay, Dual 18" T-Channel (25029), Cold-Wire (29004), Upper Bracket (27600), Lower bracket (27610), Buttstock Boot (27620),  with 4 MA209 keys </t>
  </si>
  <si>
    <t>KIT-WRS 4130-M, Manual, 18" T-Channel (25018), Upper Bracket (27600), Lower bracket (27610), Buttstock Boot (27620),  with 2 MA209 keys</t>
  </si>
  <si>
    <r>
      <rPr>
        <u/>
        <sz val="11"/>
        <color theme="1"/>
        <rFont val="Calibri"/>
        <family val="2"/>
        <scheme val="minor"/>
      </rPr>
      <t>KIT</t>
    </r>
    <r>
      <rPr>
        <sz val="11"/>
        <color theme="1"/>
        <rFont val="Calibri"/>
        <family val="2"/>
        <scheme val="minor"/>
      </rPr>
      <t>-WRS 4130-M, Manual, Upper Bracket (27600), Lower Bracket (27610), Buttstock Boot (27620),  with 2 MA209 keys</t>
    </r>
  </si>
  <si>
    <t>4100-00003</t>
  </si>
  <si>
    <t>WRS 4130-M, Manual, with 2 MA209 Keys</t>
  </si>
  <si>
    <t>KIT-WRS 4130-E, Electronic, 8-second Delay, 18" T-Channel (25019), Cold Wire (29004) Upper Bracket (27600), Lower Bracket (27610), Buttstock Boot (27620), with 2 MA209 keys</t>
  </si>
  <si>
    <t>KIT-WRS 4130-E,  Electronic, 8-second Delay, 18" T-Channel (25019), Upper Bracket (27600), Lower bracket (27610), Buttstock Boot (27620),  with 2 MA209 keys</t>
  </si>
  <si>
    <t>4110-18003</t>
  </si>
  <si>
    <t>KIT-WRS 4130-E,  Electronic, 8-second Delay, Cold-Wire (29004), Upper Bracket (27600), Lower Bracket (27610), Buttstock Boot (27620),  with 2 MA209 keys</t>
  </si>
  <si>
    <t>4110-00103</t>
  </si>
  <si>
    <t>KIT-WRS 4130-E,  Electronic, 8-second Delay, Upper Bracket (27600), Lower Bracket (27610), Buttstock Boot (27620),  with 2 MA209 keys</t>
  </si>
  <si>
    <t>4110-00003</t>
  </si>
  <si>
    <r>
      <t xml:space="preserve">WRS 4130-E, Electronic, 8-second delay, </t>
    </r>
    <r>
      <rPr>
        <b/>
        <sz val="11"/>
        <color theme="1"/>
        <rFont val="Calibri"/>
        <family val="2"/>
      </rPr>
      <t>(lock head only)</t>
    </r>
    <r>
      <rPr>
        <sz val="11"/>
        <color theme="1"/>
        <rFont val="Calibri"/>
        <family val="2"/>
      </rPr>
      <t>, with 2 MA209 Keys</t>
    </r>
  </si>
  <si>
    <r>
      <t xml:space="preserve">KIT-WRS 1082-E-AR, Electronic, 8-Second Delay, 18" T-Channel (25019), Cold Wire (29004),  90° Bracket (27001), with 2 MA209 keys </t>
    </r>
    <r>
      <rPr>
        <sz val="11"/>
        <color rgb="FFFF0000"/>
        <rFont val="Calibri"/>
        <family val="2"/>
        <scheme val="minor"/>
      </rPr>
      <t>(Recommended for K-9)</t>
    </r>
  </si>
  <si>
    <t>8211-18101</t>
  </si>
  <si>
    <t>KIT-WRS 1082-E-AR, Electronic, 8-Second Delay, 18" T-Channel (25019), Cold Wire (29004),  with 2 MA209 keys</t>
  </si>
  <si>
    <t>KIT-WRS 1082-E-AR, Electronic, 8-Second Delay, 18" T-Channel (25019),  with 2 MA209 keys</t>
  </si>
  <si>
    <t>8211-18000</t>
  </si>
  <si>
    <r>
      <t xml:space="preserve">KIT-WRS 1082-E-AR, Electronic, 8-Second Delay, 10" T-Channel (25020), Cold Wire (29004),  90° Bracket (27001), with 2 MA209 keys </t>
    </r>
    <r>
      <rPr>
        <sz val="11"/>
        <color rgb="FFFF0000"/>
        <rFont val="Calibri"/>
        <family val="2"/>
        <scheme val="minor"/>
      </rPr>
      <t>(Recommended for K-9)</t>
    </r>
  </si>
  <si>
    <t>8211-10101</t>
  </si>
  <si>
    <t>KIT-WRS 1082-E-AR, Electronic, 8-Second Delay, 10" T-Channel (25020), Cold Wire (29004),  with 2 MA209 keys</t>
  </si>
  <si>
    <t>KIT-WRS 1082-E-AR, Electronic, 8-second delay, 10" T-Channel (25020) with 2 MA209 keys</t>
  </si>
  <si>
    <t>8211-10000</t>
  </si>
  <si>
    <t>KIT-WRS 1082-E-AR, Electronic, 8-second delay, Cold-Wire (29004) with 2 MA209 keys</t>
  </si>
  <si>
    <t>8211-00100</t>
  </si>
  <si>
    <t>KIT-WRS 1082-E-AR, Electronic, 8-second delay, Cold-Wire (29004),  90° Bracket (27001), with 2 MA209 keys</t>
  </si>
  <si>
    <t>8211-00101</t>
  </si>
  <si>
    <t>WRS 1082-E-AR, Electronic, 8-second delay - For AR/M4 w/Mil-Spec lower receiver with 2 MA209 keys</t>
  </si>
  <si>
    <t xml:space="preserve">Description </t>
  </si>
  <si>
    <t xml:space="preserve">Part Number </t>
  </si>
  <si>
    <t>Blac-Rac</t>
  </si>
  <si>
    <t>Inventory</t>
  </si>
  <si>
    <t>Vehicle Hardware</t>
  </si>
  <si>
    <t>QK-B6T6G Kit Includes: Qty. 1: CTF-B6T6G Fuse Panel, Qty. 1: IK-B4T4G-120 Install Wire Kit Qty. 1: BTO-BC6GA170-22-125Battery Cable</t>
  </si>
  <si>
    <t>7300-0746</t>
  </si>
  <si>
    <t>Quick Kit P6-B2T4U2 Includes: Qty. 1: P6-B2T4U2 Fuse Panel Qty. 1: IK-P6-B2T4U2 Wire Kit Qty. 1:BTO-BC8GA170-22-80 Battery Cable Qty. 2: HW-UB1.75 Pole Mount, Clamping U Bolt for Fuse Panel</t>
  </si>
  <si>
    <t>7300-0543</t>
  </si>
  <si>
    <t>Freightliner Harness, 99" Battery Cable, (1) 50 Amp 8 Ga. Power &amp; Ground and (1) 30 Amp 10 Ga. Power &amp; Ground with 70 Amp Relay, 100 Amp Circuit Breaker at Battery with 12V Ignition Sense</t>
  </si>
  <si>
    <t>7300-0579</t>
  </si>
  <si>
    <t>Combined Timer Fuse Panel with Ground Studs, Voltage Monitoring Delay Timer, 75 Amp Load, 6 Fused Outputs, 30 Amp Max. Per Outout, Low Voltage Cut Off at 11 VDC or 11.75 VDC, Time Delay, and Over Voltage Cut-Off at 18 VDC, 3#10 Ground Studs.</t>
  </si>
  <si>
    <t>7300-0532</t>
  </si>
  <si>
    <t>Console Accessory Harness: Power Outlet Four-Position 12 VDC. Power Outlets Sold Separately.</t>
  </si>
  <si>
    <t>7300-0530</t>
  </si>
  <si>
    <t xml:space="preserve">The CTF-B6T6G Combined Timer and Fuse Panel provides six Battery Hot and six Timed Hot circuits with a two stud ground bus. 75A max output. </t>
  </si>
  <si>
    <t>7300-0624</t>
  </si>
  <si>
    <t>The CTF-B4T4g is a Dual Voltage Timer and Power Distribution Panel in one clean package. 4 Hot Outputs (30A max ea.) and 4 Timed Outputs (30A max ea.) with a 75A max output. The CTF Series allows the low voltage cut-off to be configured to either 11 VDC or 11.75 VDC to meet the IT and communication needs of your fleet.</t>
  </si>
  <si>
    <t>7300-0353</t>
  </si>
  <si>
    <t>Dual Voltage Timer w single 30A max load output, 32 timed 'intervals", programed for 12 or 24 volt applications, 2 diagnostic LEDs</t>
  </si>
  <si>
    <t>7300-0151</t>
  </si>
  <si>
    <t xml:space="preserve">Protector Fuse Panel, 100 Amp, 12 Outputs, Screw Term (PD-B12)  </t>
  </si>
  <si>
    <t>7300-0054</t>
  </si>
  <si>
    <t>The IK-82-SA is a stand alone, rugged, fully sealed, keyboard is fully mountable and it is compatible with many brands of tablets and terminals. This keyboard is IP65 rated, a full-size QWERTY keyboard that is easy to clean and disinfect with hospital-grade methods.</t>
  </si>
  <si>
    <t>7300-0725</t>
  </si>
  <si>
    <t>The SL-88 is a compact backlit industrial keyboard. 12 Function Keys, 88-Key Functionality, Polycarbonate Case with Mounting Holes, Red Backlit Keys. This keyboard is a waterproof and dustproof keyboard that is ideal for industrial, kiosk and mobile computing applications.</t>
  </si>
  <si>
    <t>7300-0724</t>
  </si>
  <si>
    <t xml:space="preserve">The SL-91 is a small footprint keyboard with Epoxy Keycaps by iKey. 24 Function Keys, Built-In Mounting Holes (AMPS), Integrated 10-Key Numeric Pad, Integrated Backlighting, Lightweight ABS Polycarbonate Case. Its unique epoxy-coated keys are arranged for convenient gloved-handed use. </t>
  </si>
  <si>
    <t>7300-0723</t>
  </si>
  <si>
    <t>The SL-910 is a small footprint keyboard by iKey. 24 Function Keys, Built-In Mounting Holes (AMPS), Integrated 10-Key Numeric Pad, Integrated Backlighting, Lightweight ABS Polycarbonate Case. Set apart by itss uniquely spaced layout and arranged for convenient gloved-hand use.</t>
  </si>
  <si>
    <t>7300-0722</t>
  </si>
  <si>
    <t>The DP-88 is a small-footprint keyboard by iKey®.  88 full-size keys with embedded notebook key functions. The DP-88’s small footprint and compact case allows for space saving and mobility, and a secondary legend can be accessed with a number lock key.</t>
  </si>
  <si>
    <t>7300-0497</t>
  </si>
  <si>
    <t xml:space="preserve">iKey Keyboard SL-80-TP, a compact, lightweight, and fully-rugged mobile keyboard. This keyboard is fully-sealed and designed to meet NEMA 4X specifications, meaning it is resistant to dirt, dust, water, ice and corrosives. </t>
  </si>
  <si>
    <t>7300-0332</t>
  </si>
  <si>
    <t>iKey Keyboard DP-72-USB</t>
  </si>
  <si>
    <t>7300-0312</t>
  </si>
  <si>
    <t>iKey Keyboard SK-101-M-USB</t>
  </si>
  <si>
    <t>7300-0301</t>
  </si>
  <si>
    <t>Mobile Backlit Keyboard with Force Sensing Resistor.  Designed for mobile applications with a small-footprint. Featuring an integrated Force Sensing Resistor pointing device with dual left-click capability, the SLK-79-FSR-M offers a large amount of functionality in an ultra-small package.</t>
  </si>
  <si>
    <t>7300-0171</t>
  </si>
  <si>
    <t>BT-870-TP-SLIM Dual Connectivity.   Dual connectivity keyboard, connect with USB or Bluetooth®. This keyboard has a built-in touchpad and is made of industrial silicone rubber. This keyboard is the thinner profile version of our new BT-870-TP keyboard.</t>
  </si>
  <si>
    <t>7300-0113</t>
  </si>
  <si>
    <t>Mobile Numeric Pad.  Integrated Backlighting. IP65 water resistance rating. AMPS mounting pattern. Small footprint (3.974" X 5.219" X .850")</t>
  </si>
  <si>
    <t>7300-0106</t>
  </si>
  <si>
    <t>Full Travel Keyboard with Attachment Versatility.  12 Function Keys,  88-Key Functionality,  Integrated Backlighting,  Integrated Touchpad,  Mobile Mounting Holes,  One-Touch Emergency Key.</t>
  </si>
  <si>
    <t>7300-0084</t>
  </si>
  <si>
    <t>7300-0083</t>
  </si>
  <si>
    <t>7300-0082</t>
  </si>
  <si>
    <t xml:space="preserve">iKey Industrial keyboard with Emergency Key. 12 Function Keys, 86-Key Functionality, Single-Cable USB Compatible with All Windows and Mac OS, Integrated Backlighting, Integrated HulaPoint II™ Pointing Device, One-Touch Emergency Key.  </t>
  </si>
  <si>
    <t>7300-0035</t>
  </si>
  <si>
    <t>Mountable Keyboard with Touchpad.  86-Key Functionality,  Function Key for Secondary Legend Flexibility,  Integrated Touchpad,  Meets NEMA 4X (IP65) Specifications,  One-Touch Emergency Key,  Red Backlit Keys.</t>
  </si>
  <si>
    <t>7300-0034</t>
  </si>
  <si>
    <t>SkinnyBoard™ Mobile Keyboard with Touchpad Measures only 0.5" Deep.   12 Function Keys,  Fully Sealed, IP65 Case,  Integrated Touchpad,  Silicone Rubber,  Red LED Backlit Keys,  USB Connectivity,  Ultra-Thin Design.</t>
  </si>
  <si>
    <t>7300-0033</t>
  </si>
  <si>
    <t>SkinnyBoard™ Mobile Keyboard with Touchpad.  12 Function Keys,  Red Backlit Keys,  Integrated Touchpad,  Silicone Rubber,  VESA Mounting Pattern,  Ultra-Thin Design.</t>
  </si>
  <si>
    <t>7300-0032</t>
  </si>
  <si>
    <t>Backlit Keyboard with Integrated Touchpad.  12 Function Keys,  88-Key Functionality,  Integrated Backlighting,  Integrated Touchpad,  Mobile Mounting Holes,  One-Touch Emergency Key.</t>
  </si>
  <si>
    <t>7300-0180</t>
  </si>
  <si>
    <t>Rechargeable Bluetooth® Keyboard for Windows/Android.  Fully Sealed, IP65 Case, Bluetooth® wireless technology, Red LED Backlit Keys, VESA Mounting Pattern.</t>
  </si>
  <si>
    <t>7300-0029</t>
  </si>
  <si>
    <t>Rechargeable Bluetooth® Keyboard for Windows 8.  Fully Sealed, IP68 Case, Bluetooth® wireless technology,  Windows 8 integrated hot keys,  VESA Mounting Pattern.</t>
  </si>
  <si>
    <t>7300-0028</t>
  </si>
  <si>
    <t>USB Cable - 6 foot for use with PocketJet 3, 3 Plus, 6, 6 Plus Printers</t>
  </si>
  <si>
    <t>USB Cable - 4 foot for use with PocketJet 3, 3 Plus, 6, 6 Plus Printers</t>
  </si>
  <si>
    <t>Car Adapter - wired 14 foot for use with PocketJet 3, 3 Plus, 6, 6 Plus Printers</t>
  </si>
  <si>
    <t>AUX / USB Pass-Through Module for Switch Knock-outs. REPLACES 16648.</t>
  </si>
  <si>
    <t>7300-0426</t>
  </si>
  <si>
    <t>Kussmaul Dual USB-C &amp; USB-A Port Module for Switch Knock-outs</t>
  </si>
  <si>
    <t>7300-0599</t>
  </si>
  <si>
    <t>Kussmaul Dual USB Power Port Module for Switch Knock-outs  (43.000)</t>
  </si>
  <si>
    <t>Magnetic Mic - Microphone Hang-Up Mount</t>
  </si>
  <si>
    <t>ANTENNA - PANAROMA C32T-5TJ - 5m CS32 CABLE ASSY TNC (m) - TNC (f)</t>
  </si>
  <si>
    <t>7300-0751</t>
  </si>
  <si>
    <t>DOUBLE SHIELDED SUPER LOW LOSS CABLE  5M   SMA (m) TO SMA (m)</t>
  </si>
  <si>
    <t>7300-0424</t>
  </si>
  <si>
    <t>DOUBLE SHIELDED SUPER LOW LOSS CABLE  5M   SMA (m) TO REV POLARITY SMA (m)</t>
  </si>
  <si>
    <t>7300-0188</t>
  </si>
  <si>
    <t>LOW LOSS COMMS CABLE ASSEMBLY  5M FME (f)  to TNC (m)</t>
  </si>
  <si>
    <t>7300-0304</t>
  </si>
  <si>
    <t xml:space="preserve">LOW LOSS COMMS CABLE ASSEMBLY  5M  FME (f) to MINI UHF (Motorola) </t>
  </si>
  <si>
    <t>7300-0275</t>
  </si>
  <si>
    <t>LOW LOSS COMMS CABLE ASSEMBLY  5M  FME (m) TO TNC (m)</t>
  </si>
  <si>
    <t>7300-0176</t>
  </si>
  <si>
    <t>DOUBLE SHIELD LOW LOSS CABLE 5m  TNC (m) TO SMA (f)</t>
  </si>
  <si>
    <t>7300-0175</t>
  </si>
  <si>
    <t>NMO PANEL MOUNT ANTENNA BASE    5M    FME (f)</t>
  </si>
  <si>
    <t>7300-0177</t>
  </si>
  <si>
    <t>UHF 1/4 WAVE WHIP ANTENNA, UHF 762-870 MHz</t>
  </si>
  <si>
    <t>7300-0183</t>
  </si>
  <si>
    <t>STAND ALONE WIFI ANTENNA KIT. KIT CONTAINS:
QTY (1) (7300-0494)  EASY FIT ADHESIVE MOUNT WIFI ANTENNA  2.4GHz  2m FME FTTD
QTY (1) (7300-0343) TNC(m) to FME (m) COAXIAL ADAPTER</t>
  </si>
  <si>
    <t>7300-0495</t>
  </si>
  <si>
    <t>LOW PROFILE PANEL/ROOF MOUNT WIFI ANTENNA KIT SMA  2.4/5.5GHz.  KIT CONTAINS:
•QTY (1) (7300-0401) WIFI ANTENNA 2.4/5.8GHz LOW PROF FIN ANT.3m SMA
•QTY (1) (7300-0402) DOUBLE SHIELDED SUPER LOW LOSS CABLE  3M   SMA(m) TO SMA(m)</t>
  </si>
  <si>
    <t>7300-0403</t>
  </si>
  <si>
    <t xml:space="preserve">LOW PROFILE PANEL/ROOF MOUNT WIFI ANTENNA KIT TNC  2.4/5.5GHz.  KIT CONTAINS:
•QTY (1) (7300-0401) WIFI ANTENNA  2.4/5.8GHz LOW PROF FIN ANT.3m SMA
•QTY (1) (7300-0404) CABLE  ASSY SMA(m) - TNC(m) </t>
  </si>
  <si>
    <t>7300-0400</t>
  </si>
  <si>
    <t>LOW PROFILE ANTENNA  2G/3G/4G LTE  WITH NMO BASE</t>
  </si>
  <si>
    <t>7300-0361</t>
  </si>
  <si>
    <t>ADHESIVE MOUNT ANTENNA  2G/3G/4G  LTE,  SMA</t>
  </si>
  <si>
    <t>7300-0351</t>
  </si>
  <si>
    <t>DASHBOARD/WINDSHIELD MOUNT ANTENNA    2G/3G/4G LTE + GPS/GNSS   + WIFI,  TNC</t>
  </si>
  <si>
    <t>7300-0170</t>
  </si>
  <si>
    <t>DASHBOARD/WINDSHIELD MOUNT ANTENNA    2G/3G/4G LTE + GPS/GNSS   + WIFI,  SMA</t>
  </si>
  <si>
    <t>7300-0169</t>
  </si>
  <si>
    <t xml:space="preserve">DASHBOARD/WINDSHIELD MOUNT ANTENNA    2G/3G/4G LTE +  GPS/GNSS,  TNC </t>
  </si>
  <si>
    <t>7300-0168</t>
  </si>
  <si>
    <t xml:space="preserve">DASHBOARD/WINDSHIELD MOUNT ANTENNA    2G/3G/4G LTE + GPS/GNSS,  SMA </t>
  </si>
  <si>
    <t>7300-0167</t>
  </si>
  <si>
    <t>LOW PROFILE 2G/3G/4G + GPS,  TNC</t>
  </si>
  <si>
    <t>7300-0166</t>
  </si>
  <si>
    <t>LOW PROFILE ANTENNA  2G/3G/4G LTE  + GPS,  SMA</t>
  </si>
  <si>
    <t>7300-0165</t>
  </si>
  <si>
    <t>SHARKFIN STYLE ANTENNA  GPS  + LTE  + WIFI,  SMA</t>
  </si>
  <si>
    <t>7300-0162</t>
  </si>
  <si>
    <t>SHARKFIN STYLE ANTENNA  GPS/GNSS + DUAL CELL  LTE,  SMA</t>
  </si>
  <si>
    <t>7300-0161</t>
  </si>
  <si>
    <t>SHARKFIN STYLE ANTENNA  GPS  + LTE,  TNC</t>
  </si>
  <si>
    <t>7300-0160</t>
  </si>
  <si>
    <t>SHARKFIN STYLE ANTENNA  GPS/GNSS + DUAL CELL  LTE + WIFI,  TNC</t>
  </si>
  <si>
    <t>7300-0159</t>
  </si>
  <si>
    <t>SHARKFIN STYLE ANTENNA  GPS  + LTE  + WIFI, TNC</t>
  </si>
  <si>
    <t>7300-0158</t>
  </si>
  <si>
    <t>ANTENNA - GPSD, BLK, 2 LTE, 2 WiFi, 1 GPS, 5M, SMA, +RADIO</t>
  </si>
  <si>
    <t>7300-0615</t>
  </si>
  <si>
    <t>HEAVY-DUTY EXTENDING WALL MOUNT  (Includes 7160-0977 Dual Articulating Arm w/LOW clevis and 7160-0863 Wall Mount Bracket)</t>
  </si>
  <si>
    <t>7170-0583-01</t>
  </si>
  <si>
    <t>HEAVY-DUTY EXTENDING WALL MOUNT  (Includes 7160-0976 Dual Articulating Arm w/STD clevis and 7160-0863 Wall Mount Bracket)</t>
  </si>
  <si>
    <t>7170-0583-00</t>
  </si>
  <si>
    <t>HEAVY-DUTY ROTATING WALL MOUNT  (includes 7160-0497 Articulating Arm and 7160-0863 Wall Mount)</t>
  </si>
  <si>
    <t>7170-0598</t>
  </si>
  <si>
    <t>HEIGHT-ADJUSTABLE EXTENDING WALL MOUNT   (Includes 7110-1246 Dual Articulating Arm, 7110-1259 Medium 2-Down joiner, 17246 Robust Wall Mount Bracket, 14140 Vesa 75/100 Adapter Plate)</t>
  </si>
  <si>
    <t>7170-0597</t>
  </si>
  <si>
    <t>TALL STATIONARY WALL MOUNT  (Includes 7110-1228 Wall Mount, 14145  Threaded Adapter, 14142 100mm Extension Tube, 7110-1234 Small Joiner, 14139  Vesa 75 Adapter Plate)</t>
  </si>
  <si>
    <t>7170-0596</t>
  </si>
  <si>
    <t>LIGHT-DUTY ROTATING WALL MOUNT  (Includes 7110-1227 Light-duty Wall Mount w/Swing Arm, 7110-1234 Small Joiner, 14139 Vesa 75 Adapter Plate)</t>
  </si>
  <si>
    <t>7170-0595</t>
  </si>
  <si>
    <t>SMALL POLE MOUNT  (Includes 7110-1231 Pipe Clamp, 7110-1234 Small Joiner Assembly, 14142 100mm extension, 14145 threaded adapter, 14139 Vesa Adapter Plate)</t>
  </si>
  <si>
    <t>7170-0594</t>
  </si>
  <si>
    <t>MEDIUM POLE MOUNT  (includes 7160-0440 Pole Mount, 7110-1235 Medium Joiner Assembly, 14142 100mm extension, 14145 threaded adapter, 14139 Vesa 75 adapter plate)</t>
  </si>
  <si>
    <t>7170-0593</t>
  </si>
  <si>
    <t xml:space="preserve">QUICK RELEASE WALL MOUNT  (Includes 7110-1225 Quick Release Round Plate, 14145 Threaded Adapter, 14139 Vesa 75 Adapter Plate) </t>
  </si>
  <si>
    <t>7170-0592</t>
  </si>
  <si>
    <t>WALL MOUNT WITH KEYBOARD TRAY  (Includes 7160-0454 Wall Mount and 7160-0799 Tablet Keyboard Mount)</t>
  </si>
  <si>
    <t>7170-0591</t>
  </si>
  <si>
    <t xml:space="preserve">QUICK RELEASE WALL MOUNT FOR GETAC F110.  Two-piece quick release adapter plate with power supply holder. </t>
  </si>
  <si>
    <t>7160-0879</t>
  </si>
  <si>
    <t>HEIGHT-ADJUSTABLE EXTENDING DESKTOP MOUNT  (Includes 7110-1246 Dual Articulating Arm, 7110-1259 Medium 2-Down joiner, 7110-1316 75 x75 Surface Base, 14140 Vesa 75/100 Adapter Plate)</t>
  </si>
  <si>
    <t>7170-0590</t>
  </si>
  <si>
    <t>HEIGHT-ADJUSTABLE SUCTION-CUP DESKTOP MOUNT  (Includes 7110-1232 Suction-cup Base, 7110-1230 Telescoping Pole, 14145 Threaded Adapter, 7110-1234 Small Joiner, 14139 Vesa 75 Adapter Plate)</t>
  </si>
  <si>
    <t>7170-0588</t>
  </si>
  <si>
    <t>HEIGHT-ADJUSTABLE DESKTOP MOUNT  (Includes 17238 Decorative Base, 14145 Threaded Adapter, 7110-1230 Telescoping Pole, 7110-1234 Small Joiner, 14139 Vesa 75 Adapter Plate)</t>
  </si>
  <si>
    <t>7170-0587</t>
  </si>
  <si>
    <t>LOW TILT/SWIVEL DESKTOP MOUNT  (Includes DS-56 Base, 7160-0775 Low Clevis)</t>
  </si>
  <si>
    <t>7170-0586</t>
  </si>
  <si>
    <t>TALL TILT/SWIVEL DESKTOP MOUNT  (Includes DS-56 Base, 7160-0776 Tall Clevis)</t>
  </si>
  <si>
    <t>7170-0585</t>
  </si>
  <si>
    <t>Dual Articulating Arm with Low Clevis.  FOR NON-VEHICLE APPLICATIONS ONLY.</t>
  </si>
  <si>
    <t>7160-0977</t>
  </si>
  <si>
    <t>Dual Articulating Arm with Standard Clevis.  FOR NON-VEHICLE APPLICATIONS ONLY.</t>
  </si>
  <si>
    <t>7160-0976</t>
  </si>
  <si>
    <t>Wall Mount Bracket (use with 7160-0976, 7160-0977, 7160-0497, 7160-0550)</t>
  </si>
  <si>
    <t>7160-0863</t>
  </si>
  <si>
    <t>Tablet Display Base. Universal base with GJ, Vesa 75, and AMPS hole patterns.</t>
  </si>
  <si>
    <t>Zirkona KIT - Small Clamp Phone Mount</t>
  </si>
  <si>
    <t>7170-0859</t>
  </si>
  <si>
    <t>Zirkona Kit: 3 MAG BASE, MED 2-DWN, RND AMPS</t>
  </si>
  <si>
    <t>7170-1116</t>
  </si>
  <si>
    <t>Zirkona Kit: SM SUCTION, MED 2-DWN, RND AMPS PLT</t>
  </si>
  <si>
    <t>7170-1115</t>
  </si>
  <si>
    <t>Zirkona KIT - Standard Clamp Phone Mount</t>
  </si>
  <si>
    <t>7170-0858</t>
  </si>
  <si>
    <t>Zirkona KIT - 6" Flat Surface Phone Mount</t>
  </si>
  <si>
    <t>7170-0857</t>
  </si>
  <si>
    <t>Zirkona KIT - Two-Down Medium Joiner Phone Mount with Suction Cup</t>
  </si>
  <si>
    <t>7170-0856</t>
  </si>
  <si>
    <t>Zirkona - Universal Heads Up mount W/ phone cradle</t>
  </si>
  <si>
    <t>7170-0758-01</t>
  </si>
  <si>
    <t>Zirkona - Universal Heads Up mount W/O phone cradle</t>
  </si>
  <si>
    <t>7170-0758-02</t>
  </si>
  <si>
    <t>Zirkona KIT - Medium Joiner, Diamond Plate, Epic Base</t>
  </si>
  <si>
    <t>7170-0741</t>
  </si>
  <si>
    <t>Zirkona KIT - Larger Joiner, 75-100 VESA, Round Plate, 100mm Extension</t>
  </si>
  <si>
    <t>7170-0740</t>
  </si>
  <si>
    <t>Zirkona KIT - Small Joiner, Diamond Plate, 100mm&amp;200mm extensions, threaded adaptor and sleeve</t>
  </si>
  <si>
    <t>7170-0723</t>
  </si>
  <si>
    <t>Zirkona KIT - Medium Joiner, Round Mounting Plate, and Female Threaded Adapter</t>
  </si>
  <si>
    <t>7170-0691</t>
  </si>
  <si>
    <t>Zirkona KIT - Medium Joiner, Beam Mount with M20 adaptor, Round Plate, and Small Pole</t>
  </si>
  <si>
    <t>7170-0661</t>
  </si>
  <si>
    <t>Zirkona KIT - Large Joiner, Med Joiner, Telescoping Pole, Large Cradle</t>
  </si>
  <si>
    <t>7170-0619</t>
  </si>
  <si>
    <t>Zirkona KIT - Medium Joiner, 100mm Tube and 2 Round Plates</t>
  </si>
  <si>
    <t>7170-0156</t>
  </si>
  <si>
    <t xml:space="preserve">New Zirkona DEMO Sample Case </t>
  </si>
  <si>
    <t>7160-1200</t>
  </si>
  <si>
    <t>HARDWARE BAG - AMPS BACK PLATE AND HARDWARE</t>
  </si>
  <si>
    <t>7120-0993</t>
  </si>
  <si>
    <t>VESA 75mm Cable Channel Adapter</t>
  </si>
  <si>
    <t>AMPS Cable Channel Adapter</t>
  </si>
  <si>
    <t>Zirkona Assembly: Screw Clamp, Large 2-Down Joiner, VESA 75mm</t>
  </si>
  <si>
    <t>7160-2083</t>
  </si>
  <si>
    <t>Zirkona Assembly: 7/8 Handlebar Base, Medium 2-Down Joiner, Phone Cradle</t>
  </si>
  <si>
    <t>7160-1744</t>
  </si>
  <si>
    <t>Zirkona Assembly: AMPS, Large 2-Down Joiner, VESA 75mm</t>
  </si>
  <si>
    <t>7160-1950</t>
  </si>
  <si>
    <t>Zirkona Large 2-down Joiner 4" Tablet Mount for GJ Consoles</t>
  </si>
  <si>
    <t>7160-1671</t>
  </si>
  <si>
    <t>Zirkona Assembly: AMPS, male threaded adapter, 2" extension, large 2 down joiner, Vesa 75mm plate</t>
  </si>
  <si>
    <t>7160-1616</t>
  </si>
  <si>
    <t>Zirkona Assembly: VESA 75mm base, male threaded adapter, 2" extension, medium 2 down joiner, AMPS device plate</t>
  </si>
  <si>
    <t>7160-1589</t>
  </si>
  <si>
    <t>Zirkona, Medium Joiner with Magnetic Base and AMPs Plate</t>
  </si>
  <si>
    <t>7160-1464</t>
  </si>
  <si>
    <t>Zirkona, Medium Joiner with Lite Diamond Plate and AMPs Plate</t>
  </si>
  <si>
    <t>7160-1463</t>
  </si>
  <si>
    <t>Zirkona Assembly: Medium Joiner, 2 VESA75, 50mm extension, &amp; backer plate</t>
  </si>
  <si>
    <t>7160-1454</t>
  </si>
  <si>
    <t>Zirkona - Large Joiner Assembly with 1 Round and 1 Vesa 75mm Mounting Plate</t>
  </si>
  <si>
    <t>7160-1390-01</t>
  </si>
  <si>
    <t>Zirkona - Large Joiner Assembly with 2 Round Mounting Plates</t>
  </si>
  <si>
    <t>7160-1390</t>
  </si>
  <si>
    <t>Zirkona Medium Joiner with (2) Round Mounting Plates (PN 14144)</t>
  </si>
  <si>
    <t>7160-0993</t>
  </si>
  <si>
    <t>Zirkona Medium Joiner with (2) VESA 75MM Mounting Plates</t>
  </si>
  <si>
    <t>7160-0865</t>
  </si>
  <si>
    <t>Zirkona Medium Joiner 50mm Kit, (Consists of Joiner, Round Mounting plate, Vesa 75 Mounting plate, 50mm extension, thread adapter, label and installation instructions)</t>
  </si>
  <si>
    <t>7160-0779</t>
  </si>
  <si>
    <t>Loctite EA9460 Epoxy 50mL cartridge</t>
  </si>
  <si>
    <t>7300-0510</t>
  </si>
  <si>
    <t>Joiner, Magnet and Screw</t>
  </si>
  <si>
    <t>7110-1460</t>
  </si>
  <si>
    <t>Long Zirkona Support Brace</t>
  </si>
  <si>
    <t>7160-1341</t>
  </si>
  <si>
    <t>Short Zirkona Support Brace</t>
  </si>
  <si>
    <t>7160-1340</t>
  </si>
  <si>
    <t>Zirkona Assembly - 3 Magnet Round Mounting Plate</t>
  </si>
  <si>
    <t>7160-1113</t>
  </si>
  <si>
    <t>Zirkona Pole/Surface Bracket</t>
  </si>
  <si>
    <t>7160-0440</t>
  </si>
  <si>
    <t>Visor Mount,  Camera Mount Only</t>
  </si>
  <si>
    <t>7160-0325</t>
  </si>
  <si>
    <t>Zirkona Screw Clamp Flat Jaw Adapters</t>
  </si>
  <si>
    <t>7120-1013</t>
  </si>
  <si>
    <t>Zirkona Large Short Joiner (Full Threads) - Requires use of M30 Components - Rated 30 lbs. Vibration</t>
  </si>
  <si>
    <t>7110-1416</t>
  </si>
  <si>
    <t>Zirkona 6" Swivel Joiner</t>
  </si>
  <si>
    <t>7110-1407</t>
  </si>
  <si>
    <t>Zirkona Medium Short Joiner (Full Threads)</t>
  </si>
  <si>
    <t>7110-1406</t>
  </si>
  <si>
    <t>Zirkona 8" Uni-Track</t>
  </si>
  <si>
    <t>7110-1386</t>
  </si>
  <si>
    <t>Zirkona Screw Clamp 7/8" - 1-3/4"</t>
  </si>
  <si>
    <t>7110-1378</t>
  </si>
  <si>
    <t>Zirkona 1" clamp</t>
  </si>
  <si>
    <t>7110-1365</t>
  </si>
  <si>
    <t>Zirkona 7/8" clamp</t>
  </si>
  <si>
    <t>7110-1364</t>
  </si>
  <si>
    <t>Zirkona to GJ Clevis Adapter</t>
  </si>
  <si>
    <t>7110-1343</t>
  </si>
  <si>
    <t>Zirkona Short Height-Adjustable Pole</t>
  </si>
  <si>
    <t>7110-1328</t>
  </si>
  <si>
    <t>Zirkona Welded Pole Mount with tube clamps</t>
  </si>
  <si>
    <t>7110-1326</t>
  </si>
  <si>
    <t>Zirkona - 20mm Pivot Joint</t>
  </si>
  <si>
    <t>7110-1327</t>
  </si>
  <si>
    <t>Zirkona Welded Pole Mount (4 bolt hole to vehicle base)</t>
  </si>
  <si>
    <t>7110-1325</t>
  </si>
  <si>
    <t>Zirkona Pipe Mount, Bikes</t>
  </si>
  <si>
    <t>7110-1317</t>
  </si>
  <si>
    <t>Zirkona Robust 75x75  Surface Mount - REPLACES PN 17240</t>
  </si>
  <si>
    <t>7110-1316</t>
  </si>
  <si>
    <t>Zirkona Double Mount</t>
  </si>
  <si>
    <t>7110-1312</t>
  </si>
  <si>
    <t>Zirkona Beam Mount with M20 adaptor</t>
  </si>
  <si>
    <t>7110-1274</t>
  </si>
  <si>
    <t>Zirkona Quick-Release 75mm Base</t>
  </si>
  <si>
    <t>7110-1263</t>
  </si>
  <si>
    <t>Zirkona Large Joiner, 2-Down with Brake</t>
  </si>
  <si>
    <t>7110-1260</t>
  </si>
  <si>
    <t>Zirkona Medium Joiner, 2-Down with Brake</t>
  </si>
  <si>
    <t>7110-1259</t>
  </si>
  <si>
    <t>Zirkona Dual Articulating Arm -  REPLACES PN 17241</t>
  </si>
  <si>
    <t>7110-1246</t>
  </si>
  <si>
    <t>Zirkona Computer Cradle - Small -  REPLACES PN 17453</t>
  </si>
  <si>
    <t>7110-1244</t>
  </si>
  <si>
    <t>Zirkona Computer Cradle - Large - REPLACES PN 17452</t>
  </si>
  <si>
    <t>7110-1243</t>
  </si>
  <si>
    <t>Zirkona Short - Medium Joiner w/VESA 75 Mounting Plate - REPLACES PN 17084</t>
  </si>
  <si>
    <t>7110-1240</t>
  </si>
  <si>
    <t>Zirkona Small Short Joiner with Small Handle -  REPLACES PN 17458</t>
  </si>
  <si>
    <t>7110-1239</t>
  </si>
  <si>
    <t>Zirkona Small Mega-Short Joiner</t>
  </si>
  <si>
    <t>7110-1237</t>
  </si>
  <si>
    <t xml:space="preserve">Zirkona  Large Joiner - REPLACES PN 7160-0288 </t>
  </si>
  <si>
    <t>7110-1236</t>
  </si>
  <si>
    <t xml:space="preserve">Zirkona Medium Joiner - REPLACES PN 7160-0287 </t>
  </si>
  <si>
    <t>7110-1235</t>
  </si>
  <si>
    <t xml:space="preserve">Zirkona Small Joiner - REPLACES PN 7160-0286 </t>
  </si>
  <si>
    <t>7110-1234</t>
  </si>
  <si>
    <t>Zirkona Suction Cup Mount - REPLACES PN 14649</t>
  </si>
  <si>
    <t>7110-1232</t>
  </si>
  <si>
    <t>Zirkona Small Pipe Clamp - REPLACES PN 17243</t>
  </si>
  <si>
    <t>7110-1231</t>
  </si>
  <si>
    <t>Zirkona Height-Adjustable Pole - REPLACES PN 17239</t>
  </si>
  <si>
    <t>7110-1230</t>
  </si>
  <si>
    <t>Zirkona Chair / Seat Rail Mount  - REPLACES PN 17355</t>
  </si>
  <si>
    <t>7110-1229</t>
  </si>
  <si>
    <t xml:space="preserve">Zirkona Universal Wall Mount - REPLACES PN 17245 </t>
  </si>
  <si>
    <t>7110-1228</t>
  </si>
  <si>
    <t>Zirkona Light-duty Rotating Wall Mount -   REPLACES PN 17244</t>
  </si>
  <si>
    <t>7110-1227</t>
  </si>
  <si>
    <t>Zirkona Joiner Diamond Plate - Small - REPLACES PN 17085</t>
  </si>
  <si>
    <t>7110-1226</t>
  </si>
  <si>
    <t>Zirkona Quick Release Round Plate - REPLACES PN 14146</t>
  </si>
  <si>
    <t>7110-1225</t>
  </si>
  <si>
    <t>Zirkona Pipe Clamp Mount - 50mm Bolts</t>
  </si>
  <si>
    <t>7110-1223</t>
  </si>
  <si>
    <t>Zirkona Medium Mega-Short Joiner</t>
  </si>
  <si>
    <t>7110-1222</t>
  </si>
  <si>
    <t>Zirkona M30 Male Threaded Adapter</t>
  </si>
  <si>
    <t>Zirkona Heavy Duty VESA 75mm M30 Base</t>
  </si>
  <si>
    <t>Zirkona M30 AMPS Plate</t>
  </si>
  <si>
    <t>Zirkona 50mm Extension M30 - Use only with 7110-1416 Zirkona Large Short Joiner and other M30 accessories</t>
  </si>
  <si>
    <t>Zirkona 3/8" Hex Base</t>
  </si>
  <si>
    <t>Zirkona VESA 75mm Cable Channel Adapter</t>
  </si>
  <si>
    <t>Zirkona AMPS Cable Channel Adapter</t>
  </si>
  <si>
    <t>Zirkona Small Suction Cup 3.5"</t>
  </si>
  <si>
    <t>Zirkona Threaded Pivot Pin</t>
  </si>
  <si>
    <t>Zirkona EPEC Mount Base Plate</t>
  </si>
  <si>
    <t>Zirkona Garmin Adapter</t>
  </si>
  <si>
    <t>Zirkona Tube/Sleeve Mount</t>
  </si>
  <si>
    <t>Zirkona Extension 75mm (about 3 Inches)</t>
  </si>
  <si>
    <t>Zirkona 300 mm Tube / Sleeve (about 12 Inches)</t>
  </si>
  <si>
    <t>Zirkona Female Threaded Base Adapter</t>
  </si>
  <si>
    <t>Zirkona Extension 200mm (about 8 Inches)</t>
  </si>
  <si>
    <t>Zirkona  Robust Wall Mounting Bracket</t>
  </si>
  <si>
    <t xml:space="preserve">Zirkona Decorative Base </t>
  </si>
  <si>
    <t>Zirkona Threaded Adapter</t>
  </si>
  <si>
    <t>Zirkona Round Plate</t>
  </si>
  <si>
    <t>Zirkona Extension 150mm  (about 6 Inches)</t>
  </si>
  <si>
    <t>Zirkona Extension 100mm  (about 4 Inches)</t>
  </si>
  <si>
    <t>Zirkona Extension 50mm (about 2 Inches)</t>
  </si>
  <si>
    <t>Zirkona 75/100mm VESA Plate</t>
  </si>
  <si>
    <t>Zirkona 75mm VESA Plate</t>
  </si>
  <si>
    <t xml:space="preserve">ZEBRA ET8X KEYBOARD BRACKET (OEM DOCK) </t>
  </si>
  <si>
    <t>7160-1864</t>
  </si>
  <si>
    <t>Mounting bracket for KEYBOARD3</t>
  </si>
  <si>
    <t>KEYBOARD-BRKT</t>
  </si>
  <si>
    <t>KIT:  Rugged Lite Backlit Keyboard and Quick Release Keyboard Cradle</t>
  </si>
  <si>
    <t>7170-0817-01</t>
  </si>
  <si>
    <t>Rugged Lite Backlit Keyboard French CA. Use with quick release keyboard tray (7160-1470-00)</t>
  </si>
  <si>
    <t>7160-1683-05</t>
  </si>
  <si>
    <t>Rugged Lite Backlit Keyboard Spanish. Use with quick release keyboard tray (7160-1470-00)</t>
  </si>
  <si>
    <t>7160-1683-04</t>
  </si>
  <si>
    <t>Rugged Lite Backlit Keyboard French. Use with quick release keyboard tray (7160-1470-00)</t>
  </si>
  <si>
    <t>7160-1683-03</t>
  </si>
  <si>
    <t>Rugged Lite Backlit Keyboard German. Use with quick release keyboard tray (7160-1470-00)</t>
  </si>
  <si>
    <t>7160-1683-02</t>
  </si>
  <si>
    <t>Rugged Lite Backlit Keyboard UK English. Use with quick release keyboard tray (7160-1470-00)</t>
  </si>
  <si>
    <t>7160-1683-01</t>
  </si>
  <si>
    <t>Rugged Lite Backlit Keyboard US English. Use with quick release keyboard tray (7160-1470-00)</t>
  </si>
  <si>
    <t>7160-1683-00</t>
  </si>
  <si>
    <t>KIT:  Rugged Lite Keyboard and Quick Release Keyboard Cradle</t>
  </si>
  <si>
    <t>7170-0817-00</t>
  </si>
  <si>
    <t>KIT - Tablet Keyboard Offset with 7160-1257 Keyboard Mount</t>
  </si>
  <si>
    <t>7170-0702</t>
  </si>
  <si>
    <t>KIT - Tablet Keyboard Offset with 7160-1157 Keyboard Mount</t>
  </si>
  <si>
    <t>7170-0701</t>
  </si>
  <si>
    <t>Kit - Honeywell MP Compact 4 Mark II Thermal Protective Cover</t>
  </si>
  <si>
    <t>7170-0605</t>
  </si>
  <si>
    <t>Quick Release Keyboard Cradle for the Rugged Lite Keyboard</t>
  </si>
  <si>
    <t>7160-1470-00</t>
  </si>
  <si>
    <t>Rugged Lite Keyboard Nordic. Use with quick release keyboard tray (7160-1470-00)</t>
  </si>
  <si>
    <t>7160-1449-08</t>
  </si>
  <si>
    <t>Rugged Lite Keyboard Arabic. Use with quick release keyboard tray (7160-1470-00)</t>
  </si>
  <si>
    <t>7160-1449-07</t>
  </si>
  <si>
    <t>Rugged Lite Keyboard Thai. Use with quick release keyboard tray (7160-1470-00)</t>
  </si>
  <si>
    <t>7160-1449-06</t>
  </si>
  <si>
    <t>Rugged Lite Keyboard US French CA. Use with quick release keyboard tray (7160-1470-00)</t>
  </si>
  <si>
    <t>7160-1449-05</t>
  </si>
  <si>
    <t>Rugged Lite Keyboard US Spanish. Use with quick release keyboard tray (7160-1470-00)</t>
  </si>
  <si>
    <t>7160-1449-04</t>
  </si>
  <si>
    <t>Rugged Lite Keyboard French. Use with quick release keyboard tray (7160-1470-00)</t>
  </si>
  <si>
    <t>7160-1449-03</t>
  </si>
  <si>
    <t>Rugged Lite Keyboard German. Use with quick release keyboard tray (7160-1470-00)</t>
  </si>
  <si>
    <t>7160-1449-02</t>
  </si>
  <si>
    <t>Rugged Lite Keyboard UK English. Use with quick release keyboard tray (7160-1470-00)</t>
  </si>
  <si>
    <t>7160-1449-01</t>
  </si>
  <si>
    <t>Rugged Lite Keyboard US English. Use with quick release keyboard tray (7160-1470-00)</t>
  </si>
  <si>
    <t>7160-1449-00</t>
  </si>
  <si>
    <t>Rugged Lite Keyboard Fixed Adapter Bracket</t>
  </si>
  <si>
    <t>7160-1474</t>
  </si>
  <si>
    <t>Zebra ZQ620 Printer Bracket</t>
  </si>
  <si>
    <t>7160-1473</t>
  </si>
  <si>
    <t>HONEYWELL 'VMU' vertical keyboard mount</t>
  </si>
  <si>
    <t>7160-1357</t>
  </si>
  <si>
    <t>HONEYWELL 'VMU' keyboard mount</t>
  </si>
  <si>
    <t>7160-1323</t>
  </si>
  <si>
    <t xml:space="preserve">Tall back plate - Vertical tablet keyboard mount.  AMPS, 2.5" square, 75 mm VESA and 2.7" hole pattern to attach keyboard </t>
  </si>
  <si>
    <t>7160-1257-01</t>
  </si>
  <si>
    <t xml:space="preserve">Vertical tablet keyboard mount.  AMPS, 2.5" square, 75 mm VESA and 2.7" hole pattern to attach keyboard </t>
  </si>
  <si>
    <t>7160-1257</t>
  </si>
  <si>
    <t xml:space="preserve">Zebra Numeric Keypad Bracket </t>
  </si>
  <si>
    <t>7160-1165</t>
  </si>
  <si>
    <t>Fixed Angled Keyboard Mount</t>
  </si>
  <si>
    <t>7160-1157</t>
  </si>
  <si>
    <t>Zebra ZQ520 Printer Mount</t>
  </si>
  <si>
    <t>7160-1053</t>
  </si>
  <si>
    <t>Datamax O'Neil RL4 Printer Mount</t>
  </si>
  <si>
    <t>7160-0888</t>
  </si>
  <si>
    <t>Icey Numeric Keypad Bracket</t>
  </si>
  <si>
    <t>7160-0859</t>
  </si>
  <si>
    <t>Low Profile Quick Release Keyboard Tray</t>
  </si>
  <si>
    <t>7160-0857</t>
  </si>
  <si>
    <t>Zebra QLn420 Printer Bracket. Attaches to any Clam Shell</t>
  </si>
  <si>
    <t>7160-0817</t>
  </si>
  <si>
    <t>Keyboard Arm (without attachments or brackets)</t>
  </si>
  <si>
    <t>7160-0810</t>
  </si>
  <si>
    <t>Tall back plate - Tablet keyboard Mount. Attaches to the back of any Gamber-Johnson Tablet Docking Station or Cradle using the 75mm  VESA pattern</t>
  </si>
  <si>
    <t>7160-0799-01</t>
  </si>
  <si>
    <t>Tablet keyboard Mount. Attaches to the back of any Gamber-Johnson Tablet Docking Station or Cradle using the 75mm  VESA pattern</t>
  </si>
  <si>
    <t>7160-0799</t>
  </si>
  <si>
    <t>Datamax O'Neil MP Compact 4 Mark II Printer Bracket.  Attaches to any Clam Shell</t>
  </si>
  <si>
    <t>7160-0785</t>
  </si>
  <si>
    <t>Assembly - Keyboard Arm 3 - For G1 with Overhead Guard Mount</t>
  </si>
  <si>
    <t>7160-0584</t>
  </si>
  <si>
    <t>Keyboard Arm with Mini-Clevis and Clam Shell attachment bracket</t>
  </si>
  <si>
    <t>7160-0550</t>
  </si>
  <si>
    <t>HP/Canon Printer Mount (Replaces GJ-HP and 7160-0199</t>
  </si>
  <si>
    <t>7160-0392</t>
  </si>
  <si>
    <t>Pentax Pocket Jet Printer Mount</t>
  </si>
  <si>
    <t>7160-0126</t>
  </si>
  <si>
    <t>LIND Shut Down Timer, Low Profile, Adjustable - 5 seconds to 4 hours.  REPLACES 13792</t>
  </si>
  <si>
    <t>7300-0410</t>
  </si>
  <si>
    <t>LIND Shut Down Timer, Rugged, 2 hour Pre-set.   REPLACES 13791</t>
  </si>
  <si>
    <t>7300-0409</t>
  </si>
  <si>
    <t>LIND AC Adapter w/MP20512Vdc output.</t>
  </si>
  <si>
    <t>7300-0435</t>
  </si>
  <si>
    <t>POWER SUPPLY 12-24 VDC 5V 3A CIG PLUG USB-C</t>
  </si>
  <si>
    <t>POWER SUPPLY 12-24 VDC 5V 3A BARE WIRE USB-C</t>
  </si>
  <si>
    <t>LIND Power Adapter Cable - Dell 7230 - Changes the output plug to the 7.4mm barrel plug</t>
  </si>
  <si>
    <t>7300-0662</t>
  </si>
  <si>
    <t>LIND 120W Auto Power Adapter with Bare Wire Lead</t>
  </si>
  <si>
    <t>7300-0714</t>
  </si>
  <si>
    <t>LIND USB-C 11-16V Auto Power Adapter with Cigarette Plug Input</t>
  </si>
  <si>
    <t>7300-0593</t>
  </si>
  <si>
    <t>LIND USB-C 100W Auto Power Adapter with Cigarette Plug Input for Dell 7230 and 7030 Cradles</t>
  </si>
  <si>
    <t>7300-0621</t>
  </si>
  <si>
    <t>LIND 11-16 VDC DC/DC Dell Power Barewire Adapter</t>
  </si>
  <si>
    <t>7300-0509</t>
  </si>
  <si>
    <t>LIND 12-32Vdc power adapter bare lead. USB-C output cable. 60W. For Dell XPS and others.</t>
  </si>
  <si>
    <t>7300-0498</t>
  </si>
  <si>
    <t>LIND 90W Power adapter for the Dell 12" 7220 Tablet dock. REPLACES 16710.</t>
  </si>
  <si>
    <t>7300-0469</t>
  </si>
  <si>
    <t>LIND 90W Power adapter for the Dell Laptop, 7030, and 7230 Docks. REPLACES 16709</t>
  </si>
  <si>
    <t>7300-0468</t>
  </si>
  <si>
    <t>LIND 2.1mm snap, 72" 2.5mm Straight Plug (Replacement cable for LIND Power Supply 7300-0458)</t>
  </si>
  <si>
    <t>7300-0677</t>
  </si>
  <si>
    <t>LIND 72-110V isolated material handling power adapter bare wire lead. Output voltage 19VDC. For Zebra L10</t>
  </si>
  <si>
    <t>7300-0346</t>
  </si>
  <si>
    <t>LIND 20-60Vdc isolated material handling power adapter bare wire lead. 19VDC. REPLACES 7400-0028. For Zebra L10</t>
  </si>
  <si>
    <t>7300-0458</t>
  </si>
  <si>
    <t>LIND 12-32Vdc isolated material handling power adapter bare wire lead. 19VDC. REPLACES 7400-0027. For Zebra L10</t>
  </si>
  <si>
    <t>7300-0457</t>
  </si>
  <si>
    <t>LIND 12-32V automotive power adapter bare wire lead. Output voltage 19VDC. For Zebra L10</t>
  </si>
  <si>
    <t>7300-0344</t>
  </si>
  <si>
    <t>LIND 12-16V automotive power adapter bare wire lead. Output voltage 19VDC. REPLACES 7400-0026. For Zebra L10</t>
  </si>
  <si>
    <t>7300-0484</t>
  </si>
  <si>
    <t>LIND 12-16V automotive power adapter cigarette lighter adapter. Output voltage 19VDC. For Zebra L10</t>
  </si>
  <si>
    <t>7300-0345</t>
  </si>
  <si>
    <t>AC Power Supply designed by LIND for the Zebra ET50/55 docking station or ET50/55 Powered Cradle. REPLACES 17146.</t>
  </si>
  <si>
    <t>7300-0472</t>
  </si>
  <si>
    <t>LIND 42W Power adapter for the Zebra ET50/55 Docking Stations and Powered Cradles. REPLACES 16410.</t>
  </si>
  <si>
    <t>7300-0415</t>
  </si>
  <si>
    <t xml:space="preserve">LIND POWER ADAPTER - GETAC 120W -19V 6.5A OUT - CIG ADAPTER END </t>
  </si>
  <si>
    <t>7300-0659</t>
  </si>
  <si>
    <t>LIND 12-32Vdc USB-C Power Adapter for K120 G3</t>
  </si>
  <si>
    <t>7300-0717</t>
  </si>
  <si>
    <t>Getac 120W Auto Power adapter with bare wire lead</t>
  </si>
  <si>
    <t>7300-0516</t>
  </si>
  <si>
    <t>LIND AC Power Adapter for Getac V110, F110, T800, or RX10.  Output voltage 19.5V, output power 90W. REPLACES 18514.</t>
  </si>
  <si>
    <t>7300-0442</t>
  </si>
  <si>
    <t>Getac 65W Auto Power Adapter for the zx80 with Cigarette Lighter Connector</t>
  </si>
  <si>
    <t>7300-0745</t>
  </si>
  <si>
    <t>Getac 65W Auto Power Adapter for the ZX80 with Bare Wire Lead</t>
  </si>
  <si>
    <t>7300-0744</t>
  </si>
  <si>
    <t>Getac 12V Auto power adapter for the ZX70 Charging Cradle (bare wire end). REPLACES 18427.</t>
  </si>
  <si>
    <t>7300-0474</t>
  </si>
  <si>
    <t>Getac 12V Auto power adapter for the ZX70 Charging Cradle (cigarette lighter adapter). REPLACES 18223.</t>
  </si>
  <si>
    <t>7300-0441</t>
  </si>
  <si>
    <t>Getac 120W Auto Power adapter with Cigarette lighter connector.  REPLACES 17057.</t>
  </si>
  <si>
    <t>7300-0471</t>
  </si>
  <si>
    <t>LIND 90W Power adapter w/cigarette lighter connector for Getac F110, S400, T800, and V110 Docking Stations. REPLACES 15110.</t>
  </si>
  <si>
    <t>7300-0463</t>
  </si>
  <si>
    <t>LIND 12-16V 90W Lind Automotive Power Adapter with bare wire leads and LED indicator light. For TB20</t>
  </si>
  <si>
    <t>7300-0194</t>
  </si>
  <si>
    <t>LIND 120W Power Adapter with LED light indicator bare wire leads.  Use with the Panasonic CF33 TRIMLINE docking station</t>
  </si>
  <si>
    <t>7300-0197</t>
  </si>
  <si>
    <t>LIND 12-32Vdc CIG LIGHTER power adapter for the Panasonic FZ-T1 computer. 5Vdc output voltage, 2 amps output current. Micro USB plug. REPLACES 18800.</t>
  </si>
  <si>
    <t>7300-0446</t>
  </si>
  <si>
    <t>LIND 12-32Vdc BARE WIRE power adapter for the Panasonic FZ-T1 computer. 5Vdc output voltage, 2 amps output current. Micro USB plug. REPLACES 18799.</t>
  </si>
  <si>
    <t>7300-0445</t>
  </si>
  <si>
    <t>LIND 12-32Vdc CIG LIGHTER power adapter for the Panasonic FZ-L1 computer.  5Vdc output voltage, 2 amps output current. Barrel input plug. REPLACES 18798.</t>
  </si>
  <si>
    <t>7300-0444</t>
  </si>
  <si>
    <t>LIND 12-32Vdc BARE WIRE power adapter for the Panasonic FZ-L1 computer. 5Vdc output voltage, 2 amps output current. Barrel input plug. REPLACES 18797.</t>
  </si>
  <si>
    <t>7300-0443</t>
  </si>
  <si>
    <t>(Mountable) LIND 120W power adapter for Panasonic Toughbook 19, 31, 51 (MK3), 52,53, 54 and Toughpad E1,G1,H2,M1,X1. REPLACES 14650.</t>
  </si>
  <si>
    <t>7300-0462</t>
  </si>
  <si>
    <t>LIND 120W Power Adapter with LED light indicator. Use with the Panasonic CF40 TRIMLINE docking station</t>
  </si>
  <si>
    <t>7300-0610</t>
  </si>
  <si>
    <t>LIND 120W Power Adapter for the Panasonic Toughbook 19/31/53/54/40 and Toughpad  E1, G1, H2, X1 docking station) (hard wired connection). REPLACES 14103.</t>
  </si>
  <si>
    <t>7300-0461</t>
  </si>
  <si>
    <t>LIND 90W power adapter for Panasonic Toughbook 18/ 19/ 27/ 28/ 29/ 30/ and Toughpad E1/ G1/ H2/ M1/ X1 Docking Stations and cradles (hard wired connection). REPLACES 11798.</t>
  </si>
  <si>
    <t>7300-0460</t>
  </si>
  <si>
    <t>LIND 90W power adapter for Panasonic Toughbook 18/19/27/28/29/30/D1 and Toughpad E1/G1/H2/M1/X1 Docking Stations and cradles (Cigarette lighter adapter). REPLACES 11634.</t>
  </si>
  <si>
    <t>7300-0459</t>
  </si>
  <si>
    <t>Gamber-Johnson Rugged USB Hub with Bare Wire Connection and USB-A Data Cable</t>
  </si>
  <si>
    <t>7160-1393-02</t>
  </si>
  <si>
    <t>Gamber-Johnson Rugged USB Hub with AC Power Adapter</t>
  </si>
  <si>
    <t>7160-1393-01</t>
  </si>
  <si>
    <t>Gamber-Johnson Rugged USB Hub with Bare Wire Connection</t>
  </si>
  <si>
    <t>7160-1393-00</t>
  </si>
  <si>
    <t>Gamber-Johnson 13.3" Capacitive Touch Screen</t>
  </si>
  <si>
    <t>7160-1451-00</t>
  </si>
  <si>
    <t xml:space="preserve">KIT - NOTEPAD VI CRADLE, SCREEN SUPPORT, ISOLATER PLATE, PWR SUPPLY BRACKET </t>
  </si>
  <si>
    <t>7170-1143</t>
  </si>
  <si>
    <t>KIT: NotePad™ V Universal Computer Cradle (7160-0250), Screen Support (7160-0251)</t>
  </si>
  <si>
    <t>7170-0960</t>
  </si>
  <si>
    <t>KIT: NotePad™ V Universal Cradle (7160-0250), Shock/vibration Isolator (7160-0351), Screen Support (7160-0251), Power Supply Mount (7160-0539)</t>
  </si>
  <si>
    <t>7170-0906</t>
  </si>
  <si>
    <t xml:space="preserve">Seatmount with 6" Articulating Arm and NotePad™ V </t>
  </si>
  <si>
    <t>7170-0193</t>
  </si>
  <si>
    <t xml:space="preserve">Seatmount with 6" Articulating Arm and NotePad™ V-LT </t>
  </si>
  <si>
    <t>7170-0192</t>
  </si>
  <si>
    <t>NotePad™ Touch XL - Universal Tablet Cradle -  Fits tablets: 10.0"-13.0" Length  x  7.0"-9.7" Height  x  .28"-1.1" Depth</t>
  </si>
  <si>
    <t>7160-1299-10</t>
  </si>
  <si>
    <t>NotePad™ Touch - Universal Tablet Cradle - STANDARD size. Fits tablets: 7.8"-10.9" Length  x  4.5"-7.3" Height  x  .28"-1.1" Depth</t>
  </si>
  <si>
    <t>7160-1299-00</t>
  </si>
  <si>
    <t>25" Flex Arm for TabCruzer™ Mini with VESA 75 adapter plate</t>
  </si>
  <si>
    <t>7160-0756</t>
  </si>
  <si>
    <t>Shock/Vibration Isolator</t>
  </si>
  <si>
    <t>7160-0351</t>
  </si>
  <si>
    <t>NotePad™ V  Mic Clip</t>
  </si>
  <si>
    <t>7160-0253</t>
  </si>
  <si>
    <t>LED Light assembly for the NotePad™ V universal cradle</t>
  </si>
  <si>
    <t>7160-0252</t>
  </si>
  <si>
    <t>NotePad™ V Screen Support Rugged Computers</t>
  </si>
  <si>
    <t>7160-0251-01</t>
  </si>
  <si>
    <t>NotePad™ V  Screen Support</t>
  </si>
  <si>
    <t>7160-0251</t>
  </si>
  <si>
    <t>NotePad™ V Universal Computer Cradle with CAM package (7120-0587)</t>
  </si>
  <si>
    <t>7160-0250-03</t>
  </si>
  <si>
    <t>NotePad V™ Universal Computer Cradle with zero edge side clips</t>
  </si>
  <si>
    <t>7160-0250-02</t>
  </si>
  <si>
    <t>NotePad™ V Universal Tall Computer Cradle</t>
  </si>
  <si>
    <t>7160-0250-01</t>
  </si>
  <si>
    <t>NotePad™ V Universal Computer Cradle</t>
  </si>
  <si>
    <t>7160-0250</t>
  </si>
  <si>
    <t xml:space="preserve">LED lite assembly for the NP-PAN-CRADLE </t>
  </si>
  <si>
    <t>7160-0095</t>
  </si>
  <si>
    <t>Hardware Bag - CAM Clips - NotePad™ V</t>
  </si>
  <si>
    <t>7120-0587</t>
  </si>
  <si>
    <t>Notepad™ V Tall clip package for use with Rugged Computer Laptops</t>
  </si>
  <si>
    <t>7120-0519</t>
  </si>
  <si>
    <t>Mic Clip for NotePad VI™ Universal Cradle</t>
  </si>
  <si>
    <t>7160-1998</t>
  </si>
  <si>
    <t>Wide Screen Support for NotePad VI™ Universal Cradle</t>
  </si>
  <si>
    <t>7160-1999-01</t>
  </si>
  <si>
    <t>Narrow Screen Support for NotePad VI™ Universal Cradle</t>
  </si>
  <si>
    <t>7160-1999-00</t>
  </si>
  <si>
    <t>LED Light Assembly for NotePad VI™ Universal Cradle</t>
  </si>
  <si>
    <t>7160-1996</t>
  </si>
  <si>
    <t>NotePad VI™ Universal Computer Cradle with zero edge side clips</t>
  </si>
  <si>
    <t>7160-1870-02</t>
  </si>
  <si>
    <t>NotePad™ VI Universal Tall Computer Cradle</t>
  </si>
  <si>
    <t>7160-1870-01</t>
  </si>
  <si>
    <t>NotePad™ VI Universal Computer Cradle</t>
  </si>
  <si>
    <t>7160-1870-00</t>
  </si>
  <si>
    <t xml:space="preserve">Lind USBC Power Supply and Timer Mount </t>
  </si>
  <si>
    <t>7160-1774</t>
  </si>
  <si>
    <t xml:space="preserve">Lind USBC Power Supply Mount </t>
  </si>
  <si>
    <t>7160-1771</t>
  </si>
  <si>
    <t xml:space="preserve">LINDY USB Port Blockers (10 Pack) - 10 pack port blockers only (Blue) </t>
  </si>
  <si>
    <t>7300-0108</t>
  </si>
  <si>
    <t xml:space="preserve">LINDY USB Port Blockers with Key - 4 pack port blockers, 1 Key. (Blue) </t>
  </si>
  <si>
    <t>7300-0107</t>
  </si>
  <si>
    <t>Getac Power Supply and Timer Pole Mount- Compatible with the Lind Low Profile Shutdown Timer (13792) and AFS DVT-01 Dual Voltage Timer (7300-0151)</t>
  </si>
  <si>
    <t>7160-1764</t>
  </si>
  <si>
    <t xml:space="preserve">Getac Power Supply Mount </t>
  </si>
  <si>
    <t>7160-1748</t>
  </si>
  <si>
    <t>Lind Power Supply and Timer Pole Mount- Compatible with the Lind Low Profile Shutdown Timer (13792) and AFS DVT-01 Dual Voltage Timer (7300-0151)</t>
  </si>
  <si>
    <t>7160-1655</t>
  </si>
  <si>
    <t>Pole Mounting Bracket, Lind Automotive Power Supply</t>
  </si>
  <si>
    <t>7160-1355</t>
  </si>
  <si>
    <t>Vertical wall mount brackets fro the Panasonic Toughbook CF-20</t>
  </si>
  <si>
    <t>7160-1294</t>
  </si>
  <si>
    <t>Zebra Stylus Holder Bracket</t>
  </si>
  <si>
    <t>7160-0829</t>
  </si>
  <si>
    <t>Magnetic Stripe Reader Mount - Attach MSR plate between the docking station and clevis. Accommodates an E-SEEK M200 or M250 card reader.</t>
  </si>
  <si>
    <t>7160-0546</t>
  </si>
  <si>
    <t>Power supply Mount - Attach this mount between the docking station and clevis. Accommodates most LIND power supplies and Panasonic docks: M1,G1/G2,Getac docks: S400, F110,V110,T800</t>
  </si>
  <si>
    <t>7160-0539</t>
  </si>
  <si>
    <t>Interface - GJ 2X4/VESA 75 to 2.125 Square</t>
  </si>
  <si>
    <t>7160-0764</t>
  </si>
  <si>
    <t>Samsung Tab Active 2/Tab Active 3 Replacement Screen</t>
  </si>
  <si>
    <t>7300-0512-3</t>
  </si>
  <si>
    <t>8" Thermal Cover Replacement Screen</t>
  </si>
  <si>
    <t>10" Thermal Cover Replacement Screen</t>
  </si>
  <si>
    <t xml:space="preserve">HONEYWELL COMPACT 4 MARK 2 THERMAL PROTECTIVE COVER </t>
  </si>
  <si>
    <t>7160-1014</t>
  </si>
  <si>
    <t>Thermal Pad Insert (For 7160-1606)</t>
  </si>
  <si>
    <t>7160-1607</t>
  </si>
  <si>
    <t>Samsung Tab Active 2/Tab Active 3 Protective Cover</t>
  </si>
  <si>
    <t>7160-1606</t>
  </si>
  <si>
    <t>10" Thermal Tablet Protective Cover</t>
  </si>
  <si>
    <t>7160-0982</t>
  </si>
  <si>
    <t>8" Thermal Tablet Protective Cover</t>
  </si>
  <si>
    <t>7160-0981</t>
  </si>
  <si>
    <t>Dell Tablet Protective Cover</t>
  </si>
  <si>
    <t>7160-0975</t>
  </si>
  <si>
    <t>10" Tablet Protective Cover</t>
  </si>
  <si>
    <t>7160-0950</t>
  </si>
  <si>
    <t>8" Tablet Protective Cover</t>
  </si>
  <si>
    <t>7160-0949</t>
  </si>
  <si>
    <t>LED Light assembly (Fits Panasonic Toughbook 54/55 Docking Stations)</t>
  </si>
  <si>
    <t>7160-0215</t>
  </si>
  <si>
    <t>Screen support (Fits Panasonic Toughbook 40 laptop)</t>
  </si>
  <si>
    <t>7110-1401</t>
  </si>
  <si>
    <t>Screen support for Getac B360 Laptop docking station or cradle</t>
  </si>
  <si>
    <t>7110-1332</t>
  </si>
  <si>
    <t>Screen support (Fits Panasonic Toughbook 20 laptop)</t>
  </si>
  <si>
    <t>7110-1275</t>
  </si>
  <si>
    <t>Screen support (Fits Getac K120 Laptop)</t>
  </si>
  <si>
    <t>7110-1270</t>
  </si>
  <si>
    <t>Screen support (Fits Panasonic Toughbook 33 Laptop)</t>
  </si>
  <si>
    <t>7110-1214</t>
  </si>
  <si>
    <t>Dell Latitude Rugged Laptop Docking Station Screen Support</t>
  </si>
  <si>
    <t>7110-1213</t>
  </si>
  <si>
    <t>Screen support (Fits Getac S410 docking stations)</t>
  </si>
  <si>
    <t>7110-1206</t>
  </si>
  <si>
    <t>Screen support (Fits Getac V110 and Panasonic Toughbook 54/55 docking stations)</t>
  </si>
  <si>
    <t>7110-1023</t>
  </si>
  <si>
    <t>PMT Desktop Wireless Charging Phone Cradle with USB Plug</t>
  </si>
  <si>
    <t>7300-0760-00</t>
  </si>
  <si>
    <t>PMT XL Wireless Cradle (No Electronics)</t>
  </si>
  <si>
    <t>7300-0759-10</t>
  </si>
  <si>
    <t>PMT XL Wireless Charging Phone Cradle with Bare Wire Lead</t>
  </si>
  <si>
    <t>7300-0759-05</t>
  </si>
  <si>
    <t>PMT XL Wireless Charging Phone Cradle with USB Plug</t>
  </si>
  <si>
    <t>7300-0759-00</t>
  </si>
  <si>
    <t>PMT Wireless Cradle (No Electronics)</t>
  </si>
  <si>
    <t>7300-0758-10</t>
  </si>
  <si>
    <t>PMT Wireless Charging Phone Cradle with Bare Wire Lead</t>
  </si>
  <si>
    <t>7300-0758-05</t>
  </si>
  <si>
    <t>PMT Wireless Charging Phone Cradle with USB Plug</t>
  </si>
  <si>
    <t>7300-0758-00</t>
  </si>
  <si>
    <t>KIT: Wireless Charging Universal Phone Cradle with Zirkona Joiner and Screw Clamp</t>
  </si>
  <si>
    <t>7170-0957</t>
  </si>
  <si>
    <t>KIT: Wireless Charging Universal Phone Cradle with Zirkona Mount and Magnetic Base</t>
  </si>
  <si>
    <t>7170-0956</t>
  </si>
  <si>
    <t>KIT: Wireless Charging Universal Phone Cradle with Zirkona Mount and Round Base</t>
  </si>
  <si>
    <t>7170-0955</t>
  </si>
  <si>
    <t>KIT: Wireless Charging Universal Phone Cradle with Zirkona Joiner and Small Suction Cup</t>
  </si>
  <si>
    <t>7170-0954</t>
  </si>
  <si>
    <t>KIT: Wireless Charging Universal Phone Cradle with Zirkona Joiner and 1" Round Clamp</t>
  </si>
  <si>
    <t>7170-0953</t>
  </si>
  <si>
    <t>KIT: Wireless Charging Universal Phone Cradle with Zirkona Joiner and 7/8" Round Clamp</t>
  </si>
  <si>
    <t>7170-0952</t>
  </si>
  <si>
    <t>Wireless Charging Universal Phone Cradle</t>
  </si>
  <si>
    <t>7160-1733-00</t>
  </si>
  <si>
    <t>KIT: Universal Phone Charging and Data Cradle with Zirkona Joiner and Mounting Bracket</t>
  </si>
  <si>
    <t>7170-0951</t>
  </si>
  <si>
    <t>KIT: Universal Phone Charging Cradle with Zirkona Joiner and Screw Clamp</t>
  </si>
  <si>
    <t>7170-0950</t>
  </si>
  <si>
    <t>KIT: Universal Phone Charging Cradle with Zirkona Joiner and Magnetic Base</t>
  </si>
  <si>
    <t>7170-0949</t>
  </si>
  <si>
    <t>KIT: Universal Phone Charging Cradle with Zirkona Joiner and Round Base</t>
  </si>
  <si>
    <t>7170-0948</t>
  </si>
  <si>
    <t>KIT: Universal Phone Charging Cradle with Zirkona Joiner and Small Suction Cup</t>
  </si>
  <si>
    <t>7170-0947</t>
  </si>
  <si>
    <t>KIT: Universal Phone Charging Cradle with Zirkona Joiner and 1" Round Clamp</t>
  </si>
  <si>
    <t>7170-0946</t>
  </si>
  <si>
    <t>KIT: Universal Phone Charging Cradle with Zirkona Joiner and 7/8" Round Clamp</t>
  </si>
  <si>
    <t>7170-0945</t>
  </si>
  <si>
    <t>Universal Phone Charging and Data Cradle</t>
  </si>
  <si>
    <t>7160-1659-10</t>
  </si>
  <si>
    <t xml:space="preserve">Universal Phone Charging Cradle </t>
  </si>
  <si>
    <t>7160-1659-00</t>
  </si>
  <si>
    <t>Zirkona Universal Phone Cradle with Silicone Strap (No Cord)</t>
  </si>
  <si>
    <t>7110-1400</t>
  </si>
  <si>
    <t>FIREHAWK RUGGED CELL PHONE CRADLE - for the FIREHAWK FP-600  Rugged Cell Phone.</t>
  </si>
  <si>
    <t>7160-1419-00</t>
  </si>
  <si>
    <t>FIREHAWK TABLET CHARGING CRADLE - for the FIREHAWK FT-810  8 Inch Tablet computer.</t>
  </si>
  <si>
    <t>7160-1424-10</t>
  </si>
  <si>
    <t>FIREHAWK TABLET CRADLE - for the FIREHAWK FT-810  8 Inch Tablet computer.</t>
  </si>
  <si>
    <t>7160-1424-00</t>
  </si>
  <si>
    <t>KIT: iPad Docking Station and InfoCase Rugged Docking Case for iPad Pro 12.9" (Gen 3-6)</t>
  </si>
  <si>
    <t>7170-1124</t>
  </si>
  <si>
    <t>KIT: iPad Docking Station and InfoCase Rugged Docking Case for iPad Pro 11" (Gen 1-4) and iPad Air (Gen 4-5)</t>
  </si>
  <si>
    <t>7170-1123</t>
  </si>
  <si>
    <t>KIT: iPad Docking Station and InfoCase Rugged Docking Case for iPad 10.9" (Gen10)</t>
  </si>
  <si>
    <t>7170-1122</t>
  </si>
  <si>
    <t>InfoCase Rugged Docking Case for iPad Pro 12.9" (Gen 3-6)</t>
  </si>
  <si>
    <t>7300-0720</t>
  </si>
  <si>
    <t>InfoCase Rugged Docking Case for iPad Pro 11" (Gen 1-4) and iPad Air (Gen 4-5)</t>
  </si>
  <si>
    <t>7300-0719</t>
  </si>
  <si>
    <t>InfoCase Rugged Docking Case for iPad 10.9" (Gen10)</t>
  </si>
  <si>
    <t>7300-0718</t>
  </si>
  <si>
    <t>iPad Cradle (no electronics)</t>
  </si>
  <si>
    <t>7160-2019-00</t>
  </si>
  <si>
    <t>iPad Dual USB Docking Station</t>
  </si>
  <si>
    <t>7160-1993-00</t>
  </si>
  <si>
    <t>KIT: Zebra ET51/56 10" SLIM Powered Cradle (7160-1576-10) and LIND 72-110VDC Isolated Power Adapter (7300-0418)</t>
  </si>
  <si>
    <t>7170-0873-70</t>
  </si>
  <si>
    <t>KIT: Zebra ET51/56  10" SLIM Powered Cradle (7160-1576-10) and LIND 20-60VDC Isolated Power Adapter (7300-0467)</t>
  </si>
  <si>
    <t>7170-0873-20</t>
  </si>
  <si>
    <t>KIT: Zebra ET51/56  10" SLIM Powered Cradle (7160-1576-10) and LIND 12-32V Isolated Power Adapter (7300-0466)</t>
  </si>
  <si>
    <t>7170-0873-12</t>
  </si>
  <si>
    <t>KIT: Zebra ET51/56  10" SLIM Powered Cradle (7160-1576-100) and LIND Auto Power Adapter (7300-0415)</t>
  </si>
  <si>
    <t>7170-0873-00</t>
  </si>
  <si>
    <t>KIT: Zebra ET51/56  10" SLIM NO RF Full port replication docking station (7160-1576-20) and LIND 72-110VDC Isolated Power Adapter (7300-0418)</t>
  </si>
  <si>
    <t>7170-0874-70</t>
  </si>
  <si>
    <t>KIT: Zebra ET51/56  10" SLIM NO RF Full port replication docking station (7160-1576-20) and LIND 20-60VDC Isolated Power Adapter (7300-0467)</t>
  </si>
  <si>
    <t>7170-0874-20</t>
  </si>
  <si>
    <t>KIT: Zebra ET51/56  10" SLIM NO RF Full port replication docking station (7160-1576-20) and LIND 12-32V Isolated Power Adapter (7300-0466)</t>
  </si>
  <si>
    <t>7170-0874-12</t>
  </si>
  <si>
    <t>KIT: Zebra ET51/56  10" SLIM NO RF Full port replication docking station (7160-1576-20) and LIND Auto Power Adapter (7300-0415)</t>
  </si>
  <si>
    <t>7170-0874-00</t>
  </si>
  <si>
    <t xml:space="preserve">KIT: Zebra ET50/51  55/56  10" Dual USB Docking Station w/MP205 connector (7160-1576-02) and LIND 70/110 VDC Isolated Power Adapter w/MP205 connector (7300-0448) </t>
  </si>
  <si>
    <t>7170-0891-70</t>
  </si>
  <si>
    <t xml:space="preserve">KIT: Zebra ET50/51  55/56  10" Dual USB Docking Station w/MP205 connector (7160-1576-02) and LIND 20/60 VDC Isolated Power Adapter w/MP205 connector (7300-0473) </t>
  </si>
  <si>
    <t>7170-0891-20</t>
  </si>
  <si>
    <t xml:space="preserve">KIT: Zebra ET50/51  55/56  10" Dual USB Docking Station w/MP205 connector (7160-1576-02) and LIND 12/32 VDC Isolated Power Adapter w/MP205 connector (7300-0447) </t>
  </si>
  <si>
    <t>7170-0891-12</t>
  </si>
  <si>
    <t>KIT: Zebra ET51/56  8" SLIM Powered Cradle (7160-1506-10) and LIND 72-110VDC Isolated Power Adapter (7300-0418)</t>
  </si>
  <si>
    <t>7170-0853-70</t>
  </si>
  <si>
    <t>KIT: Zebra ET51/56  8" SLIM Powered Cradle (7160-1506-10) and LIND 20-60VDC Isolated Power Adapter (7300-0467)</t>
  </si>
  <si>
    <t>7170-0853-20</t>
  </si>
  <si>
    <t>KIT: Zebra ET51/56  8" SLIM Powered Cradle (7160-1506-10) and LIND 12-32V Isolated Power Adapter (7300-0466)</t>
  </si>
  <si>
    <t>7170-0853-12</t>
  </si>
  <si>
    <t>KIT: Zebra ET51/56  8" SLIM Powered Cradle (7160-1506-100) and LIND Auto Power Adapter (7300-0415)</t>
  </si>
  <si>
    <t>7170-0853-00</t>
  </si>
  <si>
    <t>KIT: Zebra ET51/56  8" SLIM NO RF Full port replication docking station (7160-1506-20) and LIND 72-110VDC Isolated Power Adapter (7300-0418)</t>
  </si>
  <si>
    <t>7170-0854-70</t>
  </si>
  <si>
    <t>KIT: Zebra ET51/56  8" SLIM NO RF Full port replication docking station (7160-1506-20) and LIND 20-60VDC Isolated Power Adapter (7300-0467)</t>
  </si>
  <si>
    <t>7170-0854-20</t>
  </si>
  <si>
    <t>KIT: Zebra ET51/56  8" SLIM NO RF Full port replication docking station (7160-1506-20) and LIND 12-32V Isolated Power Adapter (7300-0466)</t>
  </si>
  <si>
    <t>7170-0854-12</t>
  </si>
  <si>
    <t>KIT: Zebra ET51/56  8" SLIM NO RF Full port replication docking station (7160-1506-20) and LIND Auto Power Adapter (7300-0415)</t>
  </si>
  <si>
    <t>7170-0854-00</t>
  </si>
  <si>
    <t xml:space="preserve">KIT: Zebra ET50/51  55/56  8" Dual USB Docking Station w/MP205 connector (7160-1506-02) and LIND 70/110 VDC Isolated Power Adapter w/MP205 connector (7300-0448) </t>
  </si>
  <si>
    <t>7170-0890-70</t>
  </si>
  <si>
    <t xml:space="preserve">KIT: Zebra ET50/51  55/56  8" Dual USB Docking Station w/MP205 connector (7160-1506-02) and LIND 20/60 VDC Isolated Power Adapter w/MP205 connector (7300-0473) </t>
  </si>
  <si>
    <t>7170-0890-20</t>
  </si>
  <si>
    <t xml:space="preserve">KIT: Zebra ET50/51  55/56  8" Dual USB Docking Station w/MP205 connector (7160-1506-02) and LIND 12-32 VDC Isolated Power Adapter w/MP205 connector (7300-0447) </t>
  </si>
  <si>
    <t>7170-0890-12</t>
  </si>
  <si>
    <t>KIT: Zebra ET50/51  55/56  8" powered Cradle (7160-0819-04) and LIND 20/60 VDC Isolated Power Adapter (#7300-0467)</t>
  </si>
  <si>
    <t>7170-0527</t>
  </si>
  <si>
    <t>KIT: Zebra ET50/51  55/56  8" Powered Cradle (7160-0819-04) and LIND 12/32 VDC Isolated Power Adapter (#7300-0466)</t>
  </si>
  <si>
    <t>7170-0526</t>
  </si>
  <si>
    <t>KIT: Zebra ET50/51  55/56  8" Powered Cradle (7160-0819-04) and LIND Auto Power Adapter (#7300-0415)</t>
  </si>
  <si>
    <t>7170-0531</t>
  </si>
  <si>
    <t>KIT: Zebra ET50/51  55/56  8" Docking Station (7160-0861-00) and LIND 20/60 VDC Isolated Power Adapter (#7300-0467)</t>
  </si>
  <si>
    <t>7170-0523</t>
  </si>
  <si>
    <t>KIT: Zebra ET50/51  55/56  8" Docking Station (7160-0861-00) and LIND 12/32 VDC Isolated Power Adapter (#7300-0466)</t>
  </si>
  <si>
    <t>7170-0522</t>
  </si>
  <si>
    <t>KIT: Zebra ET50/51  55/56  8" Docking Station (7160-0861-00) and LIND Auto Power Adapter (#7300-0415)</t>
  </si>
  <si>
    <t>7170-0529</t>
  </si>
  <si>
    <t>KIT: Zebra ET50/51  55/56  10" Powered Cradle (7160-0818-04) and LIND 20/60 VDC Isolated Power Adapter (#7300-0467)</t>
  </si>
  <si>
    <t>7170-0525</t>
  </si>
  <si>
    <t>KIT: Zebra ET50/51  55/56  10" Powered Cradle (7160-0818-04) and LIND 12/32 VDC Isolated Power Adapter (#7300-0466)</t>
  </si>
  <si>
    <t>7170-0524</t>
  </si>
  <si>
    <t>KIT: Zebra ET50/51  55/56  10" Powered Cradle (7160-0818-04)  and LIND Auto Power Adapter(#7300-0415)</t>
  </si>
  <si>
    <t>7170-0530</t>
  </si>
  <si>
    <t>KIT: Zebra ET50/51  55/56  10" Docking Station (716-0860-00) and LIND  72-110 VDC Isolated Power Adapter (#7300-0418)</t>
  </si>
  <si>
    <t>7170-0647</t>
  </si>
  <si>
    <t>KIT: Zebra ET50/51  55/56  10" Docking Station(7160-0860-00) and LIND 20/60 VDC Isolated Power Adapter (#7300-0467)</t>
  </si>
  <si>
    <t>7170-0521</t>
  </si>
  <si>
    <t>KIT: Zebra ET50/51  55/56  10" Docking Station (7160-0860-00) and LIND 12/32 VDC Isolated Power Adapter (#7300-0415)</t>
  </si>
  <si>
    <t>7170-0520</t>
  </si>
  <si>
    <t>KIT: Zebra ET50/51  55/56  10" Docking Station (7160-0860-00) and LIND Auto Power Adapter (#7300-0415)</t>
  </si>
  <si>
    <t>7170-0528</t>
  </si>
  <si>
    <t>Zebra ET80/85 SLIM Full Port Replication Docking Station (Tri RF)</t>
  </si>
  <si>
    <t>7160-1788-03</t>
  </si>
  <si>
    <t>Zebra ET80/85 SLIM Full Port Replication Docking Station (no RF)</t>
  </si>
  <si>
    <t>7160-1788-00</t>
  </si>
  <si>
    <t>Zebra ET80/85 SLIM Dual USB Docking Station (Tri RF)</t>
  </si>
  <si>
    <t>7160-1787-03</t>
  </si>
  <si>
    <t>Zebra ET80/85 SLIM Dual USB Docking Station (no RF)</t>
  </si>
  <si>
    <t>7160-1787-00</t>
  </si>
  <si>
    <t>Zebra ET60/65 SLIM Dual USB Docking Station (No RF)</t>
  </si>
  <si>
    <t>7160-1885-00</t>
  </si>
  <si>
    <t>Zebra ET60/65 SLIM Cradle</t>
  </si>
  <si>
    <t>7160-1886-00</t>
  </si>
  <si>
    <t>Zebra 2 in 1 attachable keyboard for the ETET40/45 SPANISH</t>
  </si>
  <si>
    <t>7160-1789-04</t>
  </si>
  <si>
    <t>Zebra 2 in 1 attachable keyboard for the ETET40/45 FRENCH</t>
  </si>
  <si>
    <t>7160-1789-03</t>
  </si>
  <si>
    <t>Zebra 2 in 1 attachable keyboard for the ETET40/45 GERMAN</t>
  </si>
  <si>
    <t>7160-1789-02</t>
  </si>
  <si>
    <t>Zebra 2 in 1 attachable keyboard for the ETET40/45 UK ENGLISH</t>
  </si>
  <si>
    <t>7160-1789-01</t>
  </si>
  <si>
    <t>Zebra 2 in 1 attachable keyboard for the ET40/45 US ENGLISH</t>
  </si>
  <si>
    <t>7160-1789-00</t>
  </si>
  <si>
    <t>Zebra ET4X 10” SLIM Dual USB Docking Station (2.5mm DC Power Jack)</t>
  </si>
  <si>
    <t>7160-1807-04</t>
  </si>
  <si>
    <t>Zebra ET4X 10” SLIM Cradle (no electronics)</t>
  </si>
  <si>
    <t>7160-1807-90</t>
  </si>
  <si>
    <t>Zebra ET4X 10" SLIM Full Port Replication Docking Station (Power adapter not included)</t>
  </si>
  <si>
    <t xml:space="preserve">7160-1807-20 </t>
  </si>
  <si>
    <t>Zebra ET4X 10" SLIM Dual USB Docking Station (Cigarette Adapter)</t>
  </si>
  <si>
    <t>7160-1807-02</t>
  </si>
  <si>
    <t>Zebra ET4X 10" SLIM Dual USB Docking Station (Bare Wire)</t>
  </si>
  <si>
    <t>7160-1807-00</t>
  </si>
  <si>
    <t>Zebra ET4X 8” SLIM Cradle (no electronics)</t>
  </si>
  <si>
    <t>7160-1801-90</t>
  </si>
  <si>
    <t>Zebra ET4X 8" SLIM Full Port Replication Docking Station (Power adapter not included)</t>
  </si>
  <si>
    <t xml:space="preserve">7160-1801-20 </t>
  </si>
  <si>
    <t>Zebra ET4X 8" SLIM Dual USB Docking Station (Cigarette Adapter)</t>
  </si>
  <si>
    <t>7160-1801-02</t>
  </si>
  <si>
    <t>Zebra ET4X 8” SLIM Dual USB Docking Station (2.5mm DC Power Jack)</t>
  </si>
  <si>
    <t>7160-1801-04</t>
  </si>
  <si>
    <t>Zebra ET4X 8" SLIM Dual USB Docking Station (Bare Wire)</t>
  </si>
  <si>
    <t>7160-1801-00</t>
  </si>
  <si>
    <t xml:space="preserve">ZEBRA TC7X POWERED CRADLE </t>
  </si>
  <si>
    <t>7160-1509-01</t>
  </si>
  <si>
    <t>Zebra TC7X Non-Powered Cradle</t>
  </si>
  <si>
    <t>7160-1509</t>
  </si>
  <si>
    <t>Zebra TC5X Powered Charging Cradle</t>
  </si>
  <si>
    <t>7160-1497-01</t>
  </si>
  <si>
    <t>Zebra TC5X Non-Powered Cradle</t>
  </si>
  <si>
    <t>7160-1497</t>
  </si>
  <si>
    <t>Zebra TC8000/TC8300 Powered Charging Cradle  LH Trigger</t>
  </si>
  <si>
    <t>7160-1277-04</t>
  </si>
  <si>
    <t>Zebra TC8000/TC8300 Non-Powered Cradle  LH Trigger</t>
  </si>
  <si>
    <t>7160-1277-03</t>
  </si>
  <si>
    <t>Zebra TC8000/TC8300 Powered Cradle  RH Trigger</t>
  </si>
  <si>
    <t>7160-1277-01</t>
  </si>
  <si>
    <t>Zebra TC8000/TC8300 Non-Powered Cradle RH Trigger</t>
  </si>
  <si>
    <t>7160-1277</t>
  </si>
  <si>
    <t>Zebra  2 in 1 attachable keyboard for the ET51/56  THAI</t>
  </si>
  <si>
    <t>7160-1585-06</t>
  </si>
  <si>
    <t>Zebra 2 in 1 attachable keyboard for the ET51/56  French CA</t>
  </si>
  <si>
    <t>7160-1585-05</t>
  </si>
  <si>
    <t>Zebra 2 in 1 attachable keyboard for the ET51/56  SPANISH</t>
  </si>
  <si>
    <t>7160-1585-04</t>
  </si>
  <si>
    <t>Zebra 2 in 1 attachable keyboard for the ET51/56 FRENCH</t>
  </si>
  <si>
    <t>7160-1585-03</t>
  </si>
  <si>
    <t>Zebra 2 in 1 attachable keyboard for the ET51/56  GERMAN</t>
  </si>
  <si>
    <t>7160-1585-02</t>
  </si>
  <si>
    <t>Zebra 2 in 1 attachable keyboard for the ET51/56 UK ENGLISH</t>
  </si>
  <si>
    <t>7160-1585-01</t>
  </si>
  <si>
    <t>Zebra 2 in 1 attachable keyboard for the ET51/56  US ENGLISH</t>
  </si>
  <si>
    <t>7160-1585-00</t>
  </si>
  <si>
    <t>Zebra ET51/56  10" SLIM Cradle (No electronics)</t>
  </si>
  <si>
    <t>7160-1576-90</t>
  </si>
  <si>
    <t>Zebra ET51/56  10" SLIM Powered Cradle</t>
  </si>
  <si>
    <t>7160-1576-10</t>
  </si>
  <si>
    <t>Zebra ET51/56  10" SLIM NO RF Full port replication docking station</t>
  </si>
  <si>
    <t>7160-1576-20</t>
  </si>
  <si>
    <t>Zebra ET51/56  10" SLIM Dual USB docking station with MP205 connector.  Use with LIND 20-60V isolated power adapter 7300-0473.</t>
  </si>
  <si>
    <t>7160-1576-02</t>
  </si>
  <si>
    <t>Zebra ET51/56  10" SLIM Dual USB docking station</t>
  </si>
  <si>
    <t>7160-1576-00</t>
  </si>
  <si>
    <t>Zebra ET51/56  8" SLIM Cradle (No electronics)</t>
  </si>
  <si>
    <t>7160-1506-90</t>
  </si>
  <si>
    <t>Zebra ET51/56  8" SLIM Powered Cradle (No port replication)</t>
  </si>
  <si>
    <t>7160-1506-10</t>
  </si>
  <si>
    <t>Zebra ET51/56  8" SLIM NO RF Full port replication docking station</t>
  </si>
  <si>
    <t>7160-1506-20</t>
  </si>
  <si>
    <t>Zebra ET51/56  8" SLIM Dual USB docking station with MP205 connector.  Use with LIND 20-60V isolated power adapter 7300-0473.</t>
  </si>
  <si>
    <t>7160-1506-02</t>
  </si>
  <si>
    <t>Zebra ET51/56  8" SLIM Dual USB docking station</t>
  </si>
  <si>
    <t>7160-1506-00</t>
  </si>
  <si>
    <t>Zebra ET50/51  55/56  10" Docking Station with powered RS232</t>
  </si>
  <si>
    <t>7160-0860-00</t>
  </si>
  <si>
    <t>Zebra ET50/51  55/56  10" Non-powered Cradle (No port replication)</t>
  </si>
  <si>
    <t>7160-0818-00</t>
  </si>
  <si>
    <t>Zebra ET50/51  55/56   10" Powered Cradle (No port replication)</t>
  </si>
  <si>
    <t>7160-0818-04</t>
  </si>
  <si>
    <t>Zebra ET50/51  55/56  8" Docking Station with powered RS232</t>
  </si>
  <si>
    <t>7160-0861-00</t>
  </si>
  <si>
    <t>Zebra ET50/51  55/56   8" Non-powered Cradle (No port replication)</t>
  </si>
  <si>
    <t>7160-0819-00</t>
  </si>
  <si>
    <t>Zebra ET50/51  55/56   8" Powered Cradle (No port replication)</t>
  </si>
  <si>
    <t>7160-0819-04</t>
  </si>
  <si>
    <t xml:space="preserve">KIT - ZEBRA TC22/27 CRADLE WITH ZIRKONA SUCTION CUP MOUNT </t>
  </si>
  <si>
    <t>7170-1017</t>
  </si>
  <si>
    <t xml:space="preserve">KIT - ZEBRA TC22/27 CRADLE WITH ZIRKONA DRILLED DASH MOUNT </t>
  </si>
  <si>
    <t>7170-1016</t>
  </si>
  <si>
    <t xml:space="preserve">CRADLE - ZEBRA TC22/TC27 (no electronics) </t>
  </si>
  <si>
    <t>7160-1856</t>
  </si>
  <si>
    <t>Retrofit Hook kit for the Dell Latitude Rugged Laptop docking station. Designed to modify docking stations from REV "A" to "N" to be compatible with the Dell Latitude 14 Rugged (model 5430) and 14 Rugged Extreme (model 7330).</t>
  </si>
  <si>
    <t>7110-1385</t>
  </si>
  <si>
    <t>KIT: Dell TRI RF Laptop Cradle + LIND 100W USB-C  Power Adapter (7300-0621)</t>
  </si>
  <si>
    <t>7170-0966-03</t>
  </si>
  <si>
    <t>KIT: Dell NO RF Laptop Cradle + LIND 100W USB-C  Power Adapter (7300-0621)</t>
  </si>
  <si>
    <t>7170-0966-00</t>
  </si>
  <si>
    <t>Dell TRI RF Laptop Cradle</t>
  </si>
  <si>
    <t>7160-0883-03</t>
  </si>
  <si>
    <t>Dell NO RF Laptop Cradle</t>
  </si>
  <si>
    <t>7160-0883-00</t>
  </si>
  <si>
    <t>KIT: Dell Laptop Dock, Full Port Replication, TRI RF + LIND 120W Power Adapter (7300-0714)</t>
  </si>
  <si>
    <t>7170-1090-13</t>
  </si>
  <si>
    <t>KIT: Dell Laptop Dock, Full Port Replication, NO RF + LIND 120W Power Adapter (7300-0714)</t>
  </si>
  <si>
    <t>7170-1090-10</t>
  </si>
  <si>
    <t>KIT: Dell Laptop Dock, Lite Port Replication, TRI RF + LIND 120W Power Adapter (7300-0714)</t>
  </si>
  <si>
    <t>7170-1090-03</t>
  </si>
  <si>
    <t>KIT: Dell Laptop Dock, Lite Port Replication, NO RF + LIND 120W Power Adapter (7300-0714)</t>
  </si>
  <si>
    <t>7170-1090-00</t>
  </si>
  <si>
    <t>Dell Laptop Dock, Full Port Replication, TRI RF</t>
  </si>
  <si>
    <t>7160-1982-13</t>
  </si>
  <si>
    <t>Dell Laptop Dock, Full Port Replication, NO RF</t>
  </si>
  <si>
    <t>7160-1982-10</t>
  </si>
  <si>
    <t>Dell Laptop Dock, Lite Port Replication, TRI RF</t>
  </si>
  <si>
    <t>7160-1982-03</t>
  </si>
  <si>
    <t>Dell Laptop Dock, Lite Port Replication, NO RF</t>
  </si>
  <si>
    <t>7160-1982-00</t>
  </si>
  <si>
    <t>KIT: Dell 7030 Tablet and Keyboard Cradle (No Electronics) with LIND 100W USB-C Auto Power Adapter (#7300-0621)</t>
  </si>
  <si>
    <t>7170-1056-00</t>
  </si>
  <si>
    <t>KIT: Dell 7030 Tablet Vehicle Cradle (No electronics) with LIND 100W USB-C Auto Power Adapter (#7300-0621)</t>
  </si>
  <si>
    <t>7170-1055-00</t>
  </si>
  <si>
    <t>KIT: Dell 7030 Tablet Vehicle Docking Station, Lite Port with LIND 72-110V Isolated Power Adapter (#7300-0622)</t>
  </si>
  <si>
    <t>7170-1054-20</t>
  </si>
  <si>
    <t>KIT: Dell 7030 10", FULL PORT, NO RF Tablet vehicle docking station with LIND Auto Power Adapter (#7300-0714)</t>
  </si>
  <si>
    <t>7170-1119-10</t>
  </si>
  <si>
    <t>KIT: Dell 7030 10", LITE PORT, NO RF Tablet vehicle docking station with LIND Auto Power Adapter (#7300-0714)</t>
  </si>
  <si>
    <t>7170-1119-00</t>
  </si>
  <si>
    <t>Dell 7030 10" Tablet and Keyboard Cradle (No electronics)</t>
  </si>
  <si>
    <t>7160-1884-00</t>
  </si>
  <si>
    <t>Dell 7030 10" Tablet Cradle (No electronics)</t>
  </si>
  <si>
    <t>7160-1883-00</t>
  </si>
  <si>
    <t>Dell 7030 10", FULL PORT, NO RF Tablet vehicle docking station</t>
  </si>
  <si>
    <t>7160-1882-10</t>
  </si>
  <si>
    <t>Dell 7030 10", LITE PORT, NO RF Tablet vehicle docking station</t>
  </si>
  <si>
    <t>7160-1882-00</t>
  </si>
  <si>
    <t>KIT: Dell 7230 12" NO RF Tablet and Keyboard Cradle (No electronics) and LIND Power Adapter (#7300-0621)</t>
  </si>
  <si>
    <t>7170-1002</t>
  </si>
  <si>
    <t>KIT: Dell 7230 12" QUAD RF Tablet Cradle (No electronics) and LIND Power Adapter (#7300-0621)</t>
  </si>
  <si>
    <t>7170-0992-04</t>
  </si>
  <si>
    <t>KIT: Dell 7230 12" NO RF Tablet Cradle (No electronics) and LIND Power Adapter (#7300-0621)</t>
  </si>
  <si>
    <t>7170-0992-00</t>
  </si>
  <si>
    <t>KIT: Dell 7230 12", FULL PORT, NO RF Tablet Dock and LIND Power Adapter (#7300-0714)</t>
  </si>
  <si>
    <t>7170-1118-10</t>
  </si>
  <si>
    <t>KIT: Dell 7230 12", FULL PORT, QUAD RF Tablet Dock and LIND Power Adapter (#7300-0714)</t>
  </si>
  <si>
    <t>7170-1118-14</t>
  </si>
  <si>
    <t>KIT: Dell 7230 12", LITE PORT, QUAD RF Tablet Dock and LIND Power Adapter (#7300-0714)</t>
  </si>
  <si>
    <t>7170-1118-04</t>
  </si>
  <si>
    <t>KIT: Dell 7230 12", LITE PORT, NO RF Tablet Dock and LIND Power Adapter (#7300-0714)</t>
  </si>
  <si>
    <t>7170-1118-00</t>
  </si>
  <si>
    <t>Dell 7230 12" NO RF Tablet and Keyboard Cradle (No electronics)</t>
  </si>
  <si>
    <t>7160-1811</t>
  </si>
  <si>
    <t>Dell 7230 12" QUAD RF Tablet Cradle (No electronics)</t>
  </si>
  <si>
    <t>7160-1773-04</t>
  </si>
  <si>
    <t>Dell 7230 12" NO RF Tablet Cradle (No electronics)</t>
  </si>
  <si>
    <t>7160-1773-00</t>
  </si>
  <si>
    <t>Dell 7230 12", FULL PORT, QUAD RF Tablet vehicle docking station</t>
  </si>
  <si>
    <t>7160-1772-14</t>
  </si>
  <si>
    <t>Dell 7230 12", FULL PORT, NO RF Tablet vehicle docking station</t>
  </si>
  <si>
    <t>7160-1772-10</t>
  </si>
  <si>
    <t>Dell 7230 12", LITE PORT, QUAD RF Tablet vehicle docking station</t>
  </si>
  <si>
    <t>7160-1772-04</t>
  </si>
  <si>
    <t>Dell 7230 12", LITE PORT, NO RF Tablet vehicle docking station</t>
  </si>
  <si>
    <t>7160-1772-00</t>
  </si>
  <si>
    <t>Dell 12" NO RF Tablet Cradle</t>
  </si>
  <si>
    <t>7160-0881-00</t>
  </si>
  <si>
    <t>S20 FE 5G Otterbox Symmetry Smartphone Case</t>
  </si>
  <si>
    <t>20210-13</t>
  </si>
  <si>
    <t>Note20 Smartphone Case</t>
  </si>
  <si>
    <t>18551-11</t>
  </si>
  <si>
    <t>S20 Ultra Smartphone Case</t>
  </si>
  <si>
    <t>18551-10</t>
  </si>
  <si>
    <t>S10e Smartphone Case</t>
  </si>
  <si>
    <t>18551-07</t>
  </si>
  <si>
    <t>Note10+ Smartphone Case</t>
  </si>
  <si>
    <t>18551-06</t>
  </si>
  <si>
    <t>Note10 Smartphone Case</t>
  </si>
  <si>
    <t>18551-05</t>
  </si>
  <si>
    <t>S10 Smartphone Case</t>
  </si>
  <si>
    <t>18551-04</t>
  </si>
  <si>
    <t>S10+ Smartphone Case</t>
  </si>
  <si>
    <t>18551-03</t>
  </si>
  <si>
    <t>S9 Smartphone Case</t>
  </si>
  <si>
    <t>18551-02</t>
  </si>
  <si>
    <t>S9+ Smartphone Case</t>
  </si>
  <si>
    <t>18551-01</t>
  </si>
  <si>
    <t>Note9 Smartphone Case</t>
  </si>
  <si>
    <t>18551-00</t>
  </si>
  <si>
    <t>S20 FE 5G Heads Up Smartphone Charging Cradle</t>
  </si>
  <si>
    <t>7160-1396-13</t>
  </si>
  <si>
    <t>Note20 Heads Up Smartphone Charging Cradle</t>
  </si>
  <si>
    <t>7160-1396-11</t>
  </si>
  <si>
    <t>S20 Ultra Heads Up Smartphone Charging Cradle</t>
  </si>
  <si>
    <t>7160-1396-10</t>
  </si>
  <si>
    <t>S10e Desktop Smartphone Charging Cradle without Phone Case</t>
  </si>
  <si>
    <t>7160-1396-07</t>
  </si>
  <si>
    <t>Note10+ Desktop Smartphone Charging Cradle without Phone Case</t>
  </si>
  <si>
    <t>7160-1396-06</t>
  </si>
  <si>
    <t>Note10 Desktop Smartphone Charging Cradle without Phone Case</t>
  </si>
  <si>
    <t>7160-1396-05</t>
  </si>
  <si>
    <t>S10 Desktop Smartphone Charging Cradle without Phone Case</t>
  </si>
  <si>
    <t>7160-1396-04</t>
  </si>
  <si>
    <t>S10+ Desktop Smartphone Charging Cradle without Phone Case</t>
  </si>
  <si>
    <t>7160-1396-03</t>
  </si>
  <si>
    <t>S9 Desktop Smartphone Charging Cradle without Phone Case</t>
  </si>
  <si>
    <t>7160-1396-02</t>
  </si>
  <si>
    <t>Note9 Desktop Smartphone Charging Cradle without Phone Case</t>
  </si>
  <si>
    <t>7160-1396-00</t>
  </si>
  <si>
    <t>Desktop Mount Kit. Kit includes Rugged USB Hub (7160-0393-00) and desktop dock mount(14141,14145, 7110-1232, 7110-1234).  Purchase Desktop smartphone Charging Cradle separately.</t>
  </si>
  <si>
    <t>7170-0759-00</t>
  </si>
  <si>
    <t>7160-1394-13</t>
  </si>
  <si>
    <t>7160-1394-11</t>
  </si>
  <si>
    <t>7160-1394-10</t>
  </si>
  <si>
    <t>S10e Heads Up Smartphone Charging Cradle</t>
  </si>
  <si>
    <t>7160-1394-07</t>
  </si>
  <si>
    <t>Note10+ Heads Up Smartphone Charging Cradle</t>
  </si>
  <si>
    <t>7160-1394-06</t>
  </si>
  <si>
    <t>Note10 Heads Up Smartphone Charging Cradle</t>
  </si>
  <si>
    <t>7160-1394-05</t>
  </si>
  <si>
    <t>S10 Heads Up Smartphone Charging Cradle</t>
  </si>
  <si>
    <t>7160-1394-04</t>
  </si>
  <si>
    <t>S10+ Heads Up Smartphone Charging Cradle</t>
  </si>
  <si>
    <t>7160-1394-03</t>
  </si>
  <si>
    <t>S9 Heads Up Smartphone Charging Cradle</t>
  </si>
  <si>
    <t>7160-1394-02</t>
  </si>
  <si>
    <t xml:space="preserve">Note9 Heads Up Smartphone Charging Cradle </t>
  </si>
  <si>
    <t>7160-1394-00</t>
  </si>
  <si>
    <t>Gamber-Johnson Heads Up Kit - No USB Hub. Kit Includes (18540) Heads Up Smartphone Cradle Bracket (7110-1237) Heads Up Articulating Mount (7160-1451-00) 13.3 inch Touch-screen (7160-1683-00) GJ Rugged Lite Backlit Keyboard (7160-1470-00) Lite Keyboard Cradle. Purchase Heads-Up Charging Cradle separately.</t>
  </si>
  <si>
    <t>7170-0757-05</t>
  </si>
  <si>
    <t>Gamber-Johnson Heads Up Kit w/GJ Touch Screen and Backlit Keyboard. KIT Includes 13.3" Touch Screen(7160-1451-00), Rugged USB Hub (7160-1393-00), Rugged Lite Backlit Keyboard (7160-1683-00) and Rugged Lite QR KB Cradle (7160-1470-00), smartphone cradle bracket (18540), and smartphone articulating mount (7110-1237).  Purchase Heads-Up Charging Cradle separately.</t>
  </si>
  <si>
    <t>7170-0757-04</t>
  </si>
  <si>
    <t>Gamber-Johnson Heads Up Kit - No USB Hub or Keyboard. Kit Includes (18540) Heads Up Smartphone Cradle Bracket (7110-1237) Heads Up Articulating Mount (7160-1451-00) 13.3 inch Touch-screen. Purchase Heads-Up Charging Cradle separately.</t>
  </si>
  <si>
    <t>7170-0757-03</t>
  </si>
  <si>
    <t>Gamber-Johnson Heads Up Kit - No USB Hub. Kit Includes (18540) Heads Up Smartphone Cradle Bracket (7110-1237) Heads Up Articulating Mount (7160-1451-00) 13.3 inch Touch-screen (7160-1449-00) GJ Rugged Lite Keyboard (7160-1470-00) Lite Keyboard Cradle. Purchase Heads-Up Charging Cradle separately.</t>
  </si>
  <si>
    <t>7170-0757-02</t>
  </si>
  <si>
    <t>Gamber-Johnson Heads Up Kit - No Keyboard. KIT Includes 13.3" Touch Screen(7160-1451-00), Rugged USB Hub (7160-1393-00), smartphone cradle bracket (18540), and smartphone articulating mount (7110-1237).  Purchase Heads-Up Charging Cradle separately.</t>
  </si>
  <si>
    <t>7170-0757-01</t>
  </si>
  <si>
    <t>Gamber-Johnson Heads Up Kit w/GJ Touch Screen and Keyboard. KIT Includes 13.3" Touch Screen(7160-1451-00), Rugged USB Hub (7160-1393-00), Rugged Lite Keyboard (7160-1449-00) and Rugged Lite QR KB Cradle (7160-1470-00), smartphone cradle bracket (18540), and smartphone articulating mount (7110-1237).  Purchase Heads-Up Charging Cradle separately.</t>
  </si>
  <si>
    <t>7170-0757-00</t>
  </si>
  <si>
    <t>Heads Up Mount Kit + Zirkona mount. Kit includes Rugged USB Hub (7160-1393-00), smartphone cradle bracket (18540), and smartphone articulating mount (7110-1237). Purchase Heads-Up Charging Cradle separately.</t>
  </si>
  <si>
    <t>7170-0758-00</t>
  </si>
  <si>
    <t>Heads Up Smartphone Dock Bracket</t>
  </si>
  <si>
    <t>KIT: Samsung Galaxy Xcover 5 Charging Cradle with Cigarette Lighter with Zirkona Suction Cup Mount</t>
  </si>
  <si>
    <t>7170-0910</t>
  </si>
  <si>
    <t>Samsung Galaxy Xcover 5 Cradle (no electronics)</t>
  </si>
  <si>
    <t>7160-1625-90</t>
  </si>
  <si>
    <t>Samsung Galaxy Xcover 5 Charging Cradle with Cigarette Lighter</t>
  </si>
  <si>
    <t>7160-1625-20</t>
  </si>
  <si>
    <t>Samsung Galaxy Xcover 5 Charging Cradle with Bare Wire</t>
  </si>
  <si>
    <t>7160-1625-10</t>
  </si>
  <si>
    <t>Samsung Galaxy Xcover Pro Cradle (no electronics)</t>
  </si>
  <si>
    <t>7160-1488-90</t>
  </si>
  <si>
    <t>Samsung Galaxy Xcover Pro Charging Cradle with Cigarette Lighter</t>
  </si>
  <si>
    <t>7160-1488-10</t>
  </si>
  <si>
    <t>Samsung Galaxy Xcover Pro Charging Cradle with Bare Wire</t>
  </si>
  <si>
    <t>7160-1488-00</t>
  </si>
  <si>
    <t>KIT: Carry Handle w/Shoulder Strap</t>
  </si>
  <si>
    <t>7170-0888-00</t>
  </si>
  <si>
    <t>Carry Handle for the Tab Active Pro/ACTIVE4 PRO 2 in 1 Attachable Keyboard</t>
  </si>
  <si>
    <t>7160-1615-00</t>
  </si>
  <si>
    <t>Samsung 2 in 1 backlit attachable keyboard for the Tab Active Pro/ACTIVE4 PRO Arabic</t>
  </si>
  <si>
    <t>7160-1869-07</t>
  </si>
  <si>
    <t>Samsung 2 in 1 backlit attachable keyboard for the Tab Active Pro/ACTIVE4 PRO SPANISH</t>
  </si>
  <si>
    <t>7160-1869-04</t>
  </si>
  <si>
    <t>Samsung 2 in 1 backlit attachable keyboard for the Tab Active Pro/ACTIVE4 PRO FRENCH</t>
  </si>
  <si>
    <t>7160-1869-03</t>
  </si>
  <si>
    <t>Samsung 2 in 1 backlit attachable keyboard for the Tab Active Pro/ACTIVE4 PRO GERMAN</t>
  </si>
  <si>
    <t>7160-1869-02</t>
  </si>
  <si>
    <t>Samsung 2 in 1 backlit attachable keyboard for the Tab Active Pro/ACTIVE4 PRO UK ENGLISH</t>
  </si>
  <si>
    <t>7160-1869-01</t>
  </si>
  <si>
    <t>Samsung 2 in 1 backlit attachable keyboard for the Tab Active Pro/ACTIVE4 PRO US ENGLISH</t>
  </si>
  <si>
    <t>7160-1869-00</t>
  </si>
  <si>
    <t>Samsung Slim Attachable Keyboard for the Tab Active Pro/Active4 Pro SPANISH</t>
  </si>
  <si>
    <t>7160-1872-04</t>
  </si>
  <si>
    <t>Samsung Slim Attachable Keyboard for the Tab Active Pro/Active4 Pro FRENCH</t>
  </si>
  <si>
    <t>7160-1872-03</t>
  </si>
  <si>
    <t>Samsung Slim Attachable Keyboard for the Tab Active Pro/Active4 Pro GERMAN</t>
  </si>
  <si>
    <t>7160-1872-02</t>
  </si>
  <si>
    <t>Samsung Slim Attachable Keyboard for the Tab Active Pro/Active4 Pro UK ENGLISH</t>
  </si>
  <si>
    <t>7160-1872-01</t>
  </si>
  <si>
    <t>Samsung Slim Attachable Keyboard for the Tab Active Pro/Active4 Pro US ENGLISH</t>
  </si>
  <si>
    <t>7160-1872-00</t>
  </si>
  <si>
    <t>KIT: Samsung Galaxy Tab Active Pro/ACTIVE4 PRO Docking Station (7160-1418-00) with Tab Active Pro Hand strap (7160-1465-00), Rugged Lite Backlit Keyboard (7160-1683-00), and Quick Release Keyboard Cradle(7160-1470-00)</t>
  </si>
  <si>
    <t>7170-0698-02</t>
  </si>
  <si>
    <t>KIT: Samsung Galaxy Tab Active Pro/ACTIVE4 PRO Docking Station (7160-1418-00) with Hand strap (7160-1465-00), Rugged Lite Keyboard (7160-1449-00), and Quick Release Keyboard Cradle(7160-1470-00)</t>
  </si>
  <si>
    <t>7170-0698-00</t>
  </si>
  <si>
    <t>KIT: Samsung Tab Active Pro/ACTIVE4 PRO Docking Station (7160-1418-00) with Hand strap (7160-1465-00)</t>
  </si>
  <si>
    <t>7170-0697-00</t>
  </si>
  <si>
    <t>KIT: KIT-SAMSUNG TA PRO w/2.5mm/70-110V ISOL PWR ADAPTER</t>
  </si>
  <si>
    <t>7170-0697-44</t>
  </si>
  <si>
    <t xml:space="preserve">KIT: Samsung Galaxy Tab Active Pro/Active4 Pro Docking Station w/20-60V Isolated Power Adapter (2.5mm DC Power Jack) </t>
  </si>
  <si>
    <t>7170-0697-43</t>
  </si>
  <si>
    <t xml:space="preserve">KIT: Samsung Galaxy Tab Active Pro/Active4 Pro Docking Station w/12-32V Isolated Power Adapter (2.5mm DC Power Jack) </t>
  </si>
  <si>
    <t>7170-0697-42</t>
  </si>
  <si>
    <t>KIT: Samsung Galaxy Tab Active Pro/ACTIVE4 PRO Vehicle Docking Station w/MP205 connector (7160-1418-30) and 72-110V Material Handling Isolated Power Adapter (7300-0448)</t>
  </si>
  <si>
    <t>7170-0697-34</t>
  </si>
  <si>
    <t>KIT: Samsung Galaxy Tab Active Pro/ACTIVE4 PRO Vehicle Docking Station w/MP205 connector (7160-1418-30) and 20-60V Material Handling Isolated Power Adapter (7300-0473)</t>
  </si>
  <si>
    <t>7170-0697-33</t>
  </si>
  <si>
    <t>KIT: Samsung Galaxy Tab Active Pro/ACTIVE4 PRO Vehicle Docking Station w/MP205 connector (7160-1418-30) and Material Handling 12-32V Isolated Power Adapter (7300-0447)</t>
  </si>
  <si>
    <t>7170-0697-32</t>
  </si>
  <si>
    <t xml:space="preserve">KIT: Samsung Galaxy Tab Active Pro/ACTIVE4 PRO Vehicle Docking Station w/MP205 connector (7160-1418-30) and AC Power Adapter (#7300-0435). </t>
  </si>
  <si>
    <t>7170-0697-31</t>
  </si>
  <si>
    <t>SAMSUNG GALAXY TAB ACTIVE PRO/ACTIVE4 PRO HANDSTRAP</t>
  </si>
  <si>
    <t>7160-1465-00</t>
  </si>
  <si>
    <t>SAMSUNG-TAB ACTIVE PRO/Active4 Pro DUAL USB 2.5mm LEAD</t>
  </si>
  <si>
    <t>7160-1418-50</t>
  </si>
  <si>
    <t>Samsung Galaxy Tab Active Pro/Active4 Pro Charging Cradle</t>
  </si>
  <si>
    <t>7160-1418-40</t>
  </si>
  <si>
    <t xml:space="preserve">Samsung Galaxy Tab Active Pro/ACTIVE4 PRO Vehicle Docking Station with MP205 connector. Dual powered USBs.  Connect to a power supply with mating MP205 connector jack. </t>
  </si>
  <si>
    <t>7160-1418-30</t>
  </si>
  <si>
    <t>Samsung Galaxy Tab Active Pro/ACTIVE4 PRO Vehicle Docking Station with cigarette lighter connector.  Dual powered USBs.</t>
  </si>
  <si>
    <t>7160-1418-20</t>
  </si>
  <si>
    <t>Samsung Galaxy Tab Active Pro/ACTIVE4 PRO Vehicle Docking Station with bare wire lead.  Dual powered USBs.</t>
  </si>
  <si>
    <t>7160-1418-00</t>
  </si>
  <si>
    <t xml:space="preserve">Samsung Galaxy Tab Active Pro/ACTIVE4 PRO Vehicle Cradle (No electronics) </t>
  </si>
  <si>
    <t>7160-1418-90</t>
  </si>
  <si>
    <t>KIT: Samsung Tab Active2/Active3/Active5 Dual USB Docking Station (7160-1368-00) with Mobility Bundle (7400-0020)</t>
  </si>
  <si>
    <t>7170-0765-40</t>
  </si>
  <si>
    <t>Samsung Galaxy Tab Active2/Active3/Active5 MOBILITY BUNDLE: Combined Hand Strap and Shoulder strap for the TA2. Attaches to the rugged case of the TA2 tablet.</t>
  </si>
  <si>
    <t>7170-0988</t>
  </si>
  <si>
    <t>Shoulder Strap</t>
  </si>
  <si>
    <t>7400-0020-01</t>
  </si>
  <si>
    <t>Quick Release Hand Strap</t>
  </si>
  <si>
    <t>7400-0020-02</t>
  </si>
  <si>
    <t>KIT: Samsung Galaxy Tab Active2/Active3/Active5 DUAL USB Dock w/MP205 connector (7160-1368-30) and  LIND 72-110 VDC Material Handling Isolated Power Adapter(#7300-0448)</t>
  </si>
  <si>
    <t>7170-0765-34</t>
  </si>
  <si>
    <t>KIT: Samsung Galaxy Tab Active2/Active3/Active5 DUAL USB Dock w/MP205 connector (7160-1368-30) and  LIND 20/60 VDC Material Handling Isolated Power Adapter(#7300-0473)</t>
  </si>
  <si>
    <t>7170-0765-33</t>
  </si>
  <si>
    <t xml:space="preserve">KIT: Samsung Tab Active2/3/5 DUAL USB Docking Station w/MP205 Connector (7160-1368-30) and LIND 12-32V Isolated Power Adapter (7300-0447) </t>
  </si>
  <si>
    <t>7170-0765-32</t>
  </si>
  <si>
    <t xml:space="preserve">KIT: Samsung Galaxy Tab Active2/Active3/Active5 DUAL USB Dock w/MP205 connector (7160-1368-30) and AC Power Supply (#7300-0435). </t>
  </si>
  <si>
    <t>7170-0765-31</t>
  </si>
  <si>
    <t>KIT: Samsung Galaxy Tab Active2/Active3/Active5 DUAL USB Dock w/ cigarette adapter (7160-1368-20) and Samsung Power Pass-Through Module Kit (7160-1023-00)</t>
  </si>
  <si>
    <t>7170-0765-29</t>
  </si>
  <si>
    <t>KIT: Samsung Galaxy Tab Active2/Active3/Active5 DUAL USB Dock w/ bare wire (7160-1368-00) and Samsung Power Pass-Through Module Kit (7160-1023-00)</t>
  </si>
  <si>
    <t>7170-0765-19</t>
  </si>
  <si>
    <t xml:space="preserve">Samsung Galaxy Tab Active2/Active3/Active5  DUAL USB Dock with MP205 connector.  Connect to a power supply with mating MP205 connector jack. </t>
  </si>
  <si>
    <t>7160-1368-30</t>
  </si>
  <si>
    <t>Samsung Galaxy Tab Active2/Active3/Active5  DUAL USB Dock with cigarette adapter</t>
  </si>
  <si>
    <t>7160-1368-20</t>
  </si>
  <si>
    <t>Samsung Galaxy Tab Active2/Active3/Active5  DUAL USB Dock with bare wire adapter</t>
  </si>
  <si>
    <t>7160-1368-00</t>
  </si>
  <si>
    <t>Samsung Tab Active2/Active3/Active5 Lite Charging cradle w/cig adapter</t>
  </si>
  <si>
    <t>7160-1148-00</t>
  </si>
  <si>
    <t>Samsung Tab Active2/Active3/Active5 Lite Charging cradle w/auto power adapter</t>
  </si>
  <si>
    <t>7160-1148-10</t>
  </si>
  <si>
    <t>Samsung Tab Active2/Active3/Active5 Living Hinge Cradle (no electronics)</t>
  </si>
  <si>
    <t>7160-1313-02</t>
  </si>
  <si>
    <t>Samsung Tab Active2/Active3/Active5 Living Hinge Charging Cradle w /pwr adapter &amp; cig lighter</t>
  </si>
  <si>
    <t>7160-1313-01</t>
  </si>
  <si>
    <t>Samsung Tab Active2/Active3/Active5 Living Hinge Charging Cradle w /pwr adapter &amp; bare wire lead</t>
  </si>
  <si>
    <t>7160-1313-00</t>
  </si>
  <si>
    <t>Samsung Galaxy Tab Active2 Power Pass-Through Module Kit</t>
  </si>
  <si>
    <t>7160-1023-00</t>
  </si>
  <si>
    <t>Samsung Galaxy Tab Active2/Active3/Active5 Lite Cradle</t>
  </si>
  <si>
    <t>7160-1002-00</t>
  </si>
  <si>
    <t>KIT: ZX80 Docking Station TRI RF with Getac 65W power adapter w/ bare wire lead (#7300-0744)</t>
  </si>
  <si>
    <t>7170-1136-03</t>
  </si>
  <si>
    <t>KIT: ZX80 Docking Station NO RF with Getac 65W power adapter w/ bare wire lead (#7300-0744)</t>
  </si>
  <si>
    <t>7170-1136-00</t>
  </si>
  <si>
    <t>KIT: ZX80 Docking Station TRI RF with Getac 65W power adapter (#7300-0745)</t>
  </si>
  <si>
    <t>7170-1135-03</t>
  </si>
  <si>
    <t>KIT: ZX80 Docking Station NO RF with Getac 65W power adapter (#7300-0745)</t>
  </si>
  <si>
    <t>7170-1135-00</t>
  </si>
  <si>
    <t>KIT: Getac ZX80 TRI RF Vehicle Cradle (no port replication) with LIND USB-C 11-16V Auto Power Adapter (#7300-0593)</t>
  </si>
  <si>
    <t>7170-1089-03</t>
  </si>
  <si>
    <t>KIT: Getac ZX80 NO RF Vehicle Cradle (no port replication) with LIND USB-C 11-16V Auto Power Adapter (#7300-0593)</t>
  </si>
  <si>
    <t>7170-1089-00</t>
  </si>
  <si>
    <t>KIT: Getac ZX80 TRI RF Vehicle Docking Station with Getac 120W Auto Power Adapter w/ Bare Wire Lead (#7300-0516)</t>
  </si>
  <si>
    <t>7170-1126-03</t>
  </si>
  <si>
    <t>KIT: Getac ZX80 NO RF Vehicle Docking Station with Getac 120W Auto Power Adapter w/ Bare Wire Lead (#7300-0516)</t>
  </si>
  <si>
    <t>7170-1126-00</t>
  </si>
  <si>
    <t>KIT: Getac ZX80 TRI RF Vehicle Docking Station with Getac 120W Auto Power Adapter w/ Cigarette Lighter (#7300-0471)</t>
  </si>
  <si>
    <t>7170-1088-03</t>
  </si>
  <si>
    <t>KIT: Getac ZX80 NO RF Vehicle Docking Station with Getac 120W Auto Power Adapter w/ Cigarette Lighter (#7300-0471)</t>
  </si>
  <si>
    <t>7170-1088-00</t>
  </si>
  <si>
    <t>KIT: Getac ZX70 Charging Cradle (7160-1135-01) and LIND 20-60V Material Handling Isolated power adapter (#7300-0467)</t>
  </si>
  <si>
    <t>7170-0686-21</t>
  </si>
  <si>
    <t xml:space="preserve">KIT: Getac ZX70 Charging Cradle (7160-1135-01) and LIND 12-32V Material Handling Isolated power adapter (#7300-0466) </t>
  </si>
  <si>
    <t>7170-0686-11</t>
  </si>
  <si>
    <t>KIT: Getac ZX70 Charging Cradle (7160-1135-01) and Getac power adapter - bares wire (#7300-0474)</t>
  </si>
  <si>
    <t>7170-0686-02</t>
  </si>
  <si>
    <t>KIT: Getac ZX70 Charging Cradle (7160-1135-01) and Getac power adapter w/cig adapter (#7300-0441)</t>
  </si>
  <si>
    <t>7170-0686-01</t>
  </si>
  <si>
    <t>GETAC ZX10 NON-RF DOCK w/ 75MM HOLE TO STUD ADAPTER</t>
  </si>
  <si>
    <t>7170-1071-00</t>
  </si>
  <si>
    <t>Kit: Getac ZX10 Tri RF Vehicle Docking Station (7160-1675-03) with Getac 120W Auto Power Adapter w/Cigarette Lighter Connector (7300-0471)</t>
  </si>
  <si>
    <t>7170-0961-03</t>
  </si>
  <si>
    <t>Kit: Getac ZX10 No RF Vehicle Docking Station (7160-1675-00) with Getac 120W Auto Power Adapter w/Cigarette Lighter Connector (7300-0471)</t>
  </si>
  <si>
    <t>7170-0961-00</t>
  </si>
  <si>
    <t>KIT: Getac ZX10 Tri RF Vehicle Docking Station with Getac 120W Auto Power Adapter with Bare Wire Lead (7300-0516)</t>
  </si>
  <si>
    <t>7170-0962-03</t>
  </si>
  <si>
    <t>KIT: Getac ZX10 No RF Vehicle Docking Station (7160-1675-00) with Getac 120W Auto Power Adapter with Bare Wire Lead (7300-0516)</t>
  </si>
  <si>
    <t>7170-0962-00</t>
  </si>
  <si>
    <t>Kit: Getac ZX10 TRI RF Cradle (7160-1676-03) with Getac 120W Auto Power Adapter w/Cigarette Lighter Connector (7300-0471)</t>
  </si>
  <si>
    <t>7170-0964-03</t>
  </si>
  <si>
    <t>Kit: Getac ZX10 No RF Cradle (7160-1676-00) with Getac 120W Auto Power Adapter w/Cigarette Lighter Connector (7300-0471)</t>
  </si>
  <si>
    <t>7170-0964-00</t>
  </si>
  <si>
    <t>KIT: Getac V110 TRI RF dock (7160-0515-03) and GETAC 120W power adapter w/bare wire lead (#7300-0516)</t>
  </si>
  <si>
    <t>7170-0879-03</t>
  </si>
  <si>
    <t>KIT: Getac V110 NO RF dock (7160-0515-00) and GETAC 120W power adapter w/bare wire lead  (#7300-0516)</t>
  </si>
  <si>
    <t>7170-0879-00</t>
  </si>
  <si>
    <t>KIT: Getac V110 TRI RF dock (7160-0515-03) and LIND 90W power adapter w/cigarette lighter connector (#7300-0463)</t>
  </si>
  <si>
    <t>7170-0243</t>
  </si>
  <si>
    <t>KIT: Getac V110 NO RF dock (7160-0515-00) and LIND 90W power adapter w/cigarette lighter connector (#7300-0463)</t>
  </si>
  <si>
    <t>7170-0242</t>
  </si>
  <si>
    <t>KIT: Getac V110 Cradle TRI RF (7160-0568-03) and LIND 90W power adapter w/cigarette lighter connector (#7300-0463)</t>
  </si>
  <si>
    <t>7160-0568-05</t>
  </si>
  <si>
    <t>KIT: Getac V110 Cradle NO RF (7160-0568-00) and LIND 90W power adapter w/cigarette lighter connector (#7300-0463)</t>
  </si>
  <si>
    <t>7160-0568-04</t>
  </si>
  <si>
    <t>GETAC UX10 NON-RF DOCK w/ 75MM HOLE TO STUD ADAPTER KIT</t>
  </si>
  <si>
    <t>7170-1070-00</t>
  </si>
  <si>
    <t>KIT: Getac UX10 TRI RF cradle (7160-1815-03) and Getac 120W power adapter w/ Cig lighter connector  (#7300-0471)  (was 7170-0738-03)</t>
  </si>
  <si>
    <t>7170-0998</t>
  </si>
  <si>
    <t>KIT: Getac UX10 NO RF cradle (7160-1815-00) and Getac 120W power adapter w/ Cig lighter connector  (#7300-0471)  (was 7170-0878-03)</t>
  </si>
  <si>
    <t>7170-0997</t>
  </si>
  <si>
    <t>KIT: Getac UX10 TRI RF dock (7160-1813-03) and Getac 120W power adapter w/ bare wire lead.  (#7300-0516)</t>
  </si>
  <si>
    <t>7170-1000</t>
  </si>
  <si>
    <t>KIT: Getac UX10 NO RF dock (7160-1813-00) and Getac 120W power adapter w/ bare wire lead. (#7300-0516)  (was 7170-0878-00)</t>
  </si>
  <si>
    <t>7170-0999</t>
  </si>
  <si>
    <t>KIT: Getac UX10 TRI RF dock (7160-1813-03) and Getac 120W power adapter w/ Cig lighter connector  (#7300-0471) (was 7170-0696-03)</t>
  </si>
  <si>
    <t>7170-0996</t>
  </si>
  <si>
    <t>KIT: Getac UX10 NO RF dock (7160-1813-00) and Getac 120W power adapter w/ Cig lighter connector  (#7300-0471)  (was 7170-0696-00)</t>
  </si>
  <si>
    <t>7170-0995</t>
  </si>
  <si>
    <t>KIT: Getac T800 TRI RF CRADLE (7160-0583-03) and LIND 90W power adapter w/cigarette lighter connector (#7300-0463)</t>
  </si>
  <si>
    <t>7170-0247</t>
  </si>
  <si>
    <t>KIT: Getac T800 N0 RF CRADLE (7160-0583-00) and LIND 90W power adapter w/cigarette lighter connector (#7300-0463)</t>
  </si>
  <si>
    <t>7170-0246</t>
  </si>
  <si>
    <t>KIT: Getac T800 TRI RF dock (7160-0565-03) and LIND 90W power adapter w/cigarette lighter connector (#7300-0463)</t>
  </si>
  <si>
    <t>7170-0245</t>
  </si>
  <si>
    <t>KIT: Getac T800 NO RF dock (7160-0565-00) and LIND 90W power adapter w/cigarette lighter connector (#7300-0463)</t>
  </si>
  <si>
    <t>7170-0244</t>
  </si>
  <si>
    <t>KIT: Getac S510 TRI RF dock (7160-1929-03) and 120W Getac power adapter w/ Bare wire lead ( (#7300-0516)</t>
  </si>
  <si>
    <t>7170-1110-03</t>
  </si>
  <si>
    <t>KIT: Getac S510 NO RF dock (7160-1929-00) and 120W Getac power adapter w/ Bare wire lead ( (#7300-0516)</t>
  </si>
  <si>
    <t>7170-1110-00</t>
  </si>
  <si>
    <t>KIT: Getac S510 TRI RF Cradle (7160-1931-03) and 120W Getac power adapter w/ Cig lighter connector(#7300-0471)</t>
  </si>
  <si>
    <t>7170-1109-03</t>
  </si>
  <si>
    <t>KIT: Getac S510 NO RF Cradle (7160-1931-00) and 120W Getac power adapter w/ Cig lighter connector(#7300-0471)</t>
  </si>
  <si>
    <t>7170-1109-00</t>
  </si>
  <si>
    <t>KIT: Getac S510 TRI RF dock (7160-1929-03) and 120W Getac power adapter w/ Cig lighter connector ( (#7300-0471)</t>
  </si>
  <si>
    <t>7170-1108-03</t>
  </si>
  <si>
    <t>KIT: Getac S510 NO RF dock (7160-1929-00) and 120W Getac power adapter w/ Cig lighter connector ( (#7300-0471)</t>
  </si>
  <si>
    <t>7170-1108-00</t>
  </si>
  <si>
    <t>KIT: Getac S410 TRI RF Cradle (7160-0791-03) and 120W Getac power adapter w/ Cig lighter connector  (#7300-0471)</t>
  </si>
  <si>
    <t>7170-0539</t>
  </si>
  <si>
    <t>KIT: Getac S410 NO RF Cradle (7160-0791-00) and 120W Getac power adapter w/ Cig lighter connector  (#7300-0471)</t>
  </si>
  <si>
    <t>7170-0538</t>
  </si>
  <si>
    <t>KIT: Getac S410 TRI RF dock (7160-0790-03) and 120W Getac power adapter w/ Bare wire lead  (#7300-0516)</t>
  </si>
  <si>
    <t>7170-0871-03</t>
  </si>
  <si>
    <t>KIT: Getac S410 NO RF dock (7160-0790-00) and 120W Getac power adapter w/ Bare wire lead  (#7300-0516)</t>
  </si>
  <si>
    <t>7170-0871-00</t>
  </si>
  <si>
    <t>KIT: Getac S410 TRI RF dock (7160-0790-03) and 120W Getac power adapter w/ Cig lighter connector  (#7300-0471)</t>
  </si>
  <si>
    <t>7170-0537</t>
  </si>
  <si>
    <t>KIT: Getac S410 NO RF dock (7160-0790-00) and 120W Getac power adapter w/ Cig lighter connector  (#7300-0471)</t>
  </si>
  <si>
    <t>7170-0536</t>
  </si>
  <si>
    <t>GETAC K120 NON-RF DOCK w/ 75MM HOLE TO STUD ADAPTER KIT</t>
  </si>
  <si>
    <t>7170-1069-00</t>
  </si>
  <si>
    <t>KIT: Getac K120 G3 TRI RF LAPTOP cradle (7160-1083-03) and LIND 12-32VDC USB-C power adapter (7300-0717)</t>
  </si>
  <si>
    <t>7170-1131-03</t>
  </si>
  <si>
    <t>KIT: Getac K120 G3 NO RF LAPTOP cradle (7160-1083-00) and LIND 12-32VDC USB-C power adapter (7300-0717)</t>
  </si>
  <si>
    <t>7170-1131-00</t>
  </si>
  <si>
    <t>KIT: Getac K120 G3 NO RF TABLET cradle (7160-1085-00) and LIND 12-32VDC USB-C power adapter (7300-0717)</t>
  </si>
  <si>
    <t>7170-1132-00</t>
  </si>
  <si>
    <t>KIT: Getac K120 G3 TRI RF TABLET cradle (7160-1085-03) and LIND 12-32VDC USB-C power adapter (7300-0717)</t>
  </si>
  <si>
    <t>7170-1132-03</t>
  </si>
  <si>
    <t>KIT: Getac K120 TRI RF TABLET cradle (7160-1085-03) and Getac 120W power adapter w/ Cig lighter connector  (#7300-0471)</t>
  </si>
  <si>
    <t>7170-0694-05</t>
  </si>
  <si>
    <t>KIT: Getac K120 NO RF TABLET cradle  (7160-1085-00) and Getac 120W power adapter w/ Cig lighter connector  (#7300-0471)</t>
  </si>
  <si>
    <t>7170-0694-04</t>
  </si>
  <si>
    <t>KIT: Getac K120 TRI RF TABLET docking station (7160-1084-03) and Getac 120W power adapter  w/ Bare Wire lead  (#7300-0516)</t>
  </si>
  <si>
    <t>7170-0867-03</t>
  </si>
  <si>
    <t>KIT: Getac K120 NO RF TABLET docking station (7160-1084-00) and Getac 120W power adapter  w/ Bare Wire lead  (#7300-0516)</t>
  </si>
  <si>
    <t>7170-0867-00</t>
  </si>
  <si>
    <t>KIT: Getac K120 TRI RF TABLET docking station (7160-1084-03) and Getac 120W power adapter  w/ Cig lighter connector (#7300-0471)</t>
  </si>
  <si>
    <t>7170-0694-03</t>
  </si>
  <si>
    <t>KIT: Getac K120 NO RF TABLET docking station (7160-1084-00) and Getac 120W power adapter  w/ Cig lighter connector (#7300-0471)</t>
  </si>
  <si>
    <t>7170-0694-00</t>
  </si>
  <si>
    <t>KIT: Getac K120 TRI RF LAPTOP CRADLE  (7160-1083-03) and Getac 120W power adapter w/ Cig lighter connector  (#7300-0471)</t>
  </si>
  <si>
    <t>7170-0693-05</t>
  </si>
  <si>
    <t>KIT: Getac K120 NO RF LAPTOP CRADLE (7160-1083-00) and Getac 120W power adapter w/ Cig lighter connector  (#7300-0471)</t>
  </si>
  <si>
    <t>7170-0693-04</t>
  </si>
  <si>
    <t>KIT: Getac K120 TRI RF LAPTOP docking station (7160-1082-03) and Getac 120W power adapter w/ Bare Wire lead  (#7300-0516)</t>
  </si>
  <si>
    <t>7170-0866-03</t>
  </si>
  <si>
    <t>KIT: Getac K120 NO RF LAPTOP docking station(7160-1082-00) and Getac 120W power adapter w/ Bare Wire lead  (#7300-0516)</t>
  </si>
  <si>
    <t>7170-0866-00</t>
  </si>
  <si>
    <t>KIT: Getac K120 TRI RF LAPTOP docking station (7160-1082-03) and Getac 120W power adapter w/ Cig lighter connector  (#7300-0471)</t>
  </si>
  <si>
    <t>7170-0693-03</t>
  </si>
  <si>
    <t>KIT: Getac K120 NO RF LAPTOP docking station(7160-1082-00) and Getac 120W power adapter w/ Cig lighter connector  (#7300-0471)</t>
  </si>
  <si>
    <t>7170-0693-00</t>
  </si>
  <si>
    <t>GETAC F110 NON-RF DOCK w/75MM HOLE TO STUD ADAPTER KIT</t>
  </si>
  <si>
    <t>7170-1068-00</t>
  </si>
  <si>
    <t>Kit: F110 G6 TRI RF VEHICLE DOCK (7160-1584-03) and GETAC 120W POWER ADAPTER W/CIGARETTE LIGHTER CONNECTOR  (#7300-0471)</t>
  </si>
  <si>
    <t>7170-0902-03</t>
  </si>
  <si>
    <t>Kit: F110 G6 NO RF VEHICLE DOCK (7160-1584-00) and GETAC 120W POWER ADAPTER W/CIGARETTE LIGHTER CONNECTOR  (#7300-0471)</t>
  </si>
  <si>
    <t>7170-0902-00</t>
  </si>
  <si>
    <t>Kit: F110 G6 TRI RF CRADLE (7160-1642-03) and GETAC 120W POWER ADAPTER W/CIGARETTE LIGHTER CONNECTOR  (#7300-0471)</t>
  </si>
  <si>
    <t>7170-0901-03</t>
  </si>
  <si>
    <t>Kit: F110 G6 NO RF CRADLE (7160-1642-00) and GETAC 120W POWER ADAPTER W/CIGARETTE LIGHTER CONNECTOR  (#7300-0471)</t>
  </si>
  <si>
    <t>7170-0901-00</t>
  </si>
  <si>
    <t>KIT: F110 G6 TRI RF VEHICLE DOCK (7160-1584-03) WITH GETAC 120W POWER ADAPTER WITH BARE WIRE LEAD (7300-0516)</t>
  </si>
  <si>
    <t>7170-0902-13</t>
  </si>
  <si>
    <t>KIT: F110 G6 NO RF VEHICLE DOCK (7160-1584-00) WITH GETAC 120W POWER ADAPTER WITH BARE WIRE LEAD (7300-0516)</t>
  </si>
  <si>
    <t>7170-0902-10</t>
  </si>
  <si>
    <t>KIT: F110 G6 TRI RF VEHICLE CRADLE (7160-1642-03) WITH GETAC 120W POWER ADAPTER WITH BARE WIRE LEAD (7300-0516)</t>
  </si>
  <si>
    <t>7170-0901-13</t>
  </si>
  <si>
    <t>KIT: F110 G6 NO RF VEHICLE CRADLE (7160-1642-00) WITH GETAC 120W POWER ADAPTER WITH BARE WIRE LEAD (7300-0516)</t>
  </si>
  <si>
    <t>7170-0901-10</t>
  </si>
  <si>
    <t>KIT: Getac B360 TRI RF Laptop Vehicle Cradle - no electronics (7160-1432-03) and Getac 120W auto power adapter w/ Cig lighter connector  (7300-0471)</t>
  </si>
  <si>
    <t>7170-0795-03</t>
  </si>
  <si>
    <t>KIT: Getac B360 NO RF Laptop Vehicle Cradle - no electronics  (7160-1432-00) and Getac 120W auto power adapter w/ Cig lighter connector  (7300-0471)</t>
  </si>
  <si>
    <t>7170-0795-00</t>
  </si>
  <si>
    <t>KIT: Getac B360 TRI RF Laptop Vehicle Docking Station (7160-1431-03) and Getac 120W auto power adapter w/ Bare wire lead (7300-0516)</t>
  </si>
  <si>
    <t>7170-0869-03</t>
  </si>
  <si>
    <t>KIT: Getac B360 NO RF Laptop Vehicle Docking Station (7160-1431-00) and Getac 120W auto power adapter w/ Bare wire lead  (7300-0516)</t>
  </si>
  <si>
    <t>7170-0869-00</t>
  </si>
  <si>
    <t>KIT: Getac B360 TRI RF Laptop Vehicle Docking Station (7160-1431-03) and Getac 120W auto power adapter w/ Cig lighter connector  (7300-0471)</t>
  </si>
  <si>
    <t>7170-0789-03</t>
  </si>
  <si>
    <t>KIT: Getac B360 NO RF Laptop Vehicle Docking Station (7160-1431-00) and Getac 120W auto power adapter w/ Cig lighter connector (7300-0471)</t>
  </si>
  <si>
    <t>7170-0789-00</t>
  </si>
  <si>
    <t>GETAC A140 NON-RF DOCK w/75MM HOLE TO STUD ADAPTER KIT</t>
  </si>
  <si>
    <t>7170-1067-00</t>
  </si>
  <si>
    <t>KIT: Getac A140 tablet cradle TRI RF (7160-1247-03) with Getac external 120W auto power adapter with cigarette plug  (7300-0471)</t>
  </si>
  <si>
    <t>7170-0695-05</t>
  </si>
  <si>
    <t>KIT: Getac A140 NO RF TABLET cradle  (7160-1247-00) with Getac external 120W auto power adapter with cigarette plug (7300-0471)</t>
  </si>
  <si>
    <t>7170-0695-04</t>
  </si>
  <si>
    <t>KIT: Getac A140 TRI RF TABLET docking station (7160-1246-03) and Getac 120W power adapter w/ Bare wire lead  (#7300-0516)</t>
  </si>
  <si>
    <t>7170-0870-03</t>
  </si>
  <si>
    <t>KIT: Getac A140 NO RF TABLET docking station(7160-1246-00) and Getac 120W power adapter w/ Bare wire lead  (#7300-0516)</t>
  </si>
  <si>
    <t>7170-0870-00</t>
  </si>
  <si>
    <t>KIT: Getac A140 TRI RF TABLET docking station (7160-1246-03) and Getac 120W power adapter w/ Cig lighter connector  (#7300-0471)</t>
  </si>
  <si>
    <t>7170-0695-03</t>
  </si>
  <si>
    <t>KIT: Getac A140 NO RF TABLET docking station(7160-1246-00) and Getac 120W power adapter w/ Cig lighter connector (#7300-0471)</t>
  </si>
  <si>
    <t>7170-0695-00</t>
  </si>
  <si>
    <t>Getac ZX80 Cradle NO RF (No port replication)</t>
  </si>
  <si>
    <t>7160-1937-00</t>
  </si>
  <si>
    <t>Getac ZX80 Cradle TRI RF (No port replication)</t>
  </si>
  <si>
    <t>7160-1937-03</t>
  </si>
  <si>
    <t>Getac ZX80 NO RF Vehicle Docking Station</t>
  </si>
  <si>
    <t>7160-1936-00</t>
  </si>
  <si>
    <t>Getac ZX80 TRI RF Vehicle Docking Station</t>
  </si>
  <si>
    <t>7160-1936-03</t>
  </si>
  <si>
    <t>Getac ZX70 Charging Cradle</t>
  </si>
  <si>
    <t>7160-1135-01</t>
  </si>
  <si>
    <t>Getac ZX70 Cradle (Non-charging)</t>
  </si>
  <si>
    <t>7160-1135-00</t>
  </si>
  <si>
    <t>Getac ZX10 No Tri Vehicle Cradle (No electronics)</t>
  </si>
  <si>
    <t>7160-1676-03</t>
  </si>
  <si>
    <t>Getac ZX10 No RF Vehicle Cradle (No electronics)</t>
  </si>
  <si>
    <t>7160-1676-00</t>
  </si>
  <si>
    <t>Getac ZX10 Tri RF Vehicle Docking Station</t>
  </si>
  <si>
    <t>7160-1675-03</t>
  </si>
  <si>
    <t>Getac ZX10 No RF Vehicle Docking Station</t>
  </si>
  <si>
    <t>7160-1675-00</t>
  </si>
  <si>
    <t>Getac V110 TRI RF Cradle (No port replication)</t>
  </si>
  <si>
    <t>7160-0568-03</t>
  </si>
  <si>
    <t>Getac V110 NO RF Cradle (No port replication)</t>
  </si>
  <si>
    <t>7160-0568-00</t>
  </si>
  <si>
    <t>Getac V110 TRI RF Vehicle Docking Station</t>
  </si>
  <si>
    <t>7160-0515-03</t>
  </si>
  <si>
    <t>Getac V110 NO RF Vehicle Docking Station</t>
  </si>
  <si>
    <t>7160-0515-00</t>
  </si>
  <si>
    <t>Getac UX10 TRI RF Cradle (No port replication)</t>
  </si>
  <si>
    <t>7160-1815-03</t>
  </si>
  <si>
    <t>Getac UX10 NO RF Cradle (No port replication)</t>
  </si>
  <si>
    <t>7160-1815-00</t>
  </si>
  <si>
    <t>Getac UX10 TRI RF vehicle docking station</t>
  </si>
  <si>
    <t>7160-1813-03</t>
  </si>
  <si>
    <t>Getac UX10 NO RF vehicle docking station</t>
  </si>
  <si>
    <t>7160-1813-00</t>
  </si>
  <si>
    <t>Getac T800 TRI RF Cradle (No port replication)</t>
  </si>
  <si>
    <t>7160-0583-03</t>
  </si>
  <si>
    <t>Getac T800 NO RF Cradle (No port replication)</t>
  </si>
  <si>
    <t>7160-0583-00</t>
  </si>
  <si>
    <t>Getac T800 TRI RF Vehicle Docking Station</t>
  </si>
  <si>
    <t>7160-0565-03</t>
  </si>
  <si>
    <t>Getac T800 NO RF Vehicle Docking Station</t>
  </si>
  <si>
    <t>7160-0565-00</t>
  </si>
  <si>
    <t>Getac S510 TRI RF Cradle  (No port replication)</t>
  </si>
  <si>
    <t>7160-1931-03</t>
  </si>
  <si>
    <t>Getac S510 NO RF Cradle (No port replication)</t>
  </si>
  <si>
    <t>7160-1931-00</t>
  </si>
  <si>
    <t>Getac S510 TRI RF vehicle docking station</t>
  </si>
  <si>
    <t>7160-1929-03</t>
  </si>
  <si>
    <t>Getac S510 NO RF vehicle docking station</t>
  </si>
  <si>
    <t>7160-1929-00</t>
  </si>
  <si>
    <t>Getac S410 TRI RF Cradle  (No port replication)</t>
  </si>
  <si>
    <t>7160-0791-03</t>
  </si>
  <si>
    <t>Getac S410 NO RF Cradle (No port replication)</t>
  </si>
  <si>
    <t>7160-0791-00</t>
  </si>
  <si>
    <t>Getac S410 TRI RF vehicle docking station</t>
  </si>
  <si>
    <t>7160-0790-03</t>
  </si>
  <si>
    <t>Getac K120 TRI RF Tablet Cradle (No port replication)</t>
  </si>
  <si>
    <t>7160-1085-03</t>
  </si>
  <si>
    <t>Getac K120 NO RF Tablet Cradle (No port replication)</t>
  </si>
  <si>
    <t>7160-1085-00</t>
  </si>
  <si>
    <t>Getac K120 TRI RF Tablet vehicle docking station</t>
  </si>
  <si>
    <t>7160-1084-03</t>
  </si>
  <si>
    <t xml:space="preserve">Getac K120 NO RF Tablet vehicle docking station </t>
  </si>
  <si>
    <t>7160-1084-00</t>
  </si>
  <si>
    <t>Getac K120 TRI RF LAPTOP Cradle (No port replication)</t>
  </si>
  <si>
    <t>7160-1083-03</t>
  </si>
  <si>
    <t>Getac K120 NO RF LAPTOP Cradle (No port replication)</t>
  </si>
  <si>
    <t>7160-1083-00</t>
  </si>
  <si>
    <t>Getac K120 TRI RF LAPTOP vehicle docking station</t>
  </si>
  <si>
    <t>7160-1082-03</t>
  </si>
  <si>
    <t>Getac K120 NO RF LAPTOP vehicle docking station</t>
  </si>
  <si>
    <t>7160-1082-00</t>
  </si>
  <si>
    <t>Getac F110 GEN 6 TRI RF CRADLE (No port replication)</t>
  </si>
  <si>
    <t>7160-1642-03</t>
  </si>
  <si>
    <t xml:space="preserve">Getac F110 GEN 6 NO RF CRADLE (No port replication) </t>
  </si>
  <si>
    <t>7160-1642-00</t>
  </si>
  <si>
    <t>Getac F110 GEN 6 TRI RF vehicle docking station</t>
  </si>
  <si>
    <t>7160-1584-03</t>
  </si>
  <si>
    <t>Getac F110 GEN 6 NO RF vehicle docking station</t>
  </si>
  <si>
    <t>7160-1584-00</t>
  </si>
  <si>
    <t>Getac B360 TRI RF Laptop Vehicle Cradle</t>
  </si>
  <si>
    <t>7160-1432-03</t>
  </si>
  <si>
    <t>Getac B360 NO RF Laptop Vehicle Cradle</t>
  </si>
  <si>
    <t>7160-1432-00</t>
  </si>
  <si>
    <t>Getac B360 TRI RF Laptop Vehicle Docking Station.</t>
  </si>
  <si>
    <t>7160-1431-03</t>
  </si>
  <si>
    <t>Getac B360 NO RF Laptop Vehicle Docking Station.</t>
  </si>
  <si>
    <t>7160-1431-00</t>
  </si>
  <si>
    <t>Getac A140 TRI RF TABLET Cradle (No port replication)</t>
  </si>
  <si>
    <t>7160-1247-03</t>
  </si>
  <si>
    <t>Getac A140 NO RF TABLET Cradle (No port replication)</t>
  </si>
  <si>
    <t>7160-1247-00</t>
  </si>
  <si>
    <t>Getac A140 TRI RF TABLET vehicle docking station</t>
  </si>
  <si>
    <t>7160-1246-03</t>
  </si>
  <si>
    <t>Getac A140 NO RF TABLET vehicle docking station</t>
  </si>
  <si>
    <t>7160-1246-00</t>
  </si>
  <si>
    <t>Panasonic Toughbook® 54/55 Trimline™ Laptop dock - SCREEN SUPPORT</t>
  </si>
  <si>
    <t>7300-0373-50</t>
  </si>
  <si>
    <t>Panasonic Toughbook® 54/55 Trimline™ Laptop Cradle (No electronics) with LIND auto power adapter (7300-0610)</t>
  </si>
  <si>
    <t>7300-0373-99</t>
  </si>
  <si>
    <t>Panasonic Toughbook® 54/55 Trimline™ Laptop Cradle (No electronics)</t>
  </si>
  <si>
    <t>7300-0373-90</t>
  </si>
  <si>
    <t>Panasonic Toughbook® 54/55 Trimline™ Laptop docking station, LITE Port, DUAL RF with LIND auto power adapter (7300-0610)</t>
  </si>
  <si>
    <t>7300-0595-06</t>
  </si>
  <si>
    <t>Panasonic Toughbook® 54/55 Trimline™ Laptop docking station DUAL RF with LIND auto power adapter (7300-0610)</t>
  </si>
  <si>
    <t>7300-0373-06</t>
  </si>
  <si>
    <t xml:space="preserve">Panasonic Toughbook® 54/55 Trimline™ Laptop docking station, LITE Port, DUAL RF </t>
  </si>
  <si>
    <t>7300-0595-02</t>
  </si>
  <si>
    <t xml:space="preserve">Panasonic Toughbook® 54/55 Trimline™ Laptop docking station DUAL RF </t>
  </si>
  <si>
    <t>7300-0373-02</t>
  </si>
  <si>
    <t>Panasonic Toughbook® 54/55 Trimline™ Laptop docking station, LITE Port, NO RF with LIND auto power adapter (7300-0610)</t>
  </si>
  <si>
    <t>7300-0595-04</t>
  </si>
  <si>
    <t>Panasonic Toughbook® 54/55 Trimline™ Laptop docking station NO RF with LIND auto power adapter (7300-0610)</t>
  </si>
  <si>
    <t>7300-0373-04</t>
  </si>
  <si>
    <t xml:space="preserve">Panasonic Toughbook® 54/55 Trimline™ Laptop docking station, LITE Port, NO RF </t>
  </si>
  <si>
    <t>7300-0595-00</t>
  </si>
  <si>
    <t xml:space="preserve">Panasonic Toughbook® 54/55 Trimline™ Laptop docking station NO RF </t>
  </si>
  <si>
    <t>7300-0373-00</t>
  </si>
  <si>
    <t>Screen support for Panasonic Toughbook® 40 Trimline docking station</t>
  </si>
  <si>
    <t>7300-0602</t>
  </si>
  <si>
    <t>Panasonic Toughbook ® 40 Trimline Laptop docking station, Lite Port Replication, Quad RF with LIND 120W auto power adapter (7300-0610)</t>
  </si>
  <si>
    <t>7300-0605-17</t>
  </si>
  <si>
    <t>Panasonic Toughbook ® 40 Trimline Laptop docking station, Lite Port Replication, Quad RF.</t>
  </si>
  <si>
    <t>7300-0605-07</t>
  </si>
  <si>
    <t>Panasonic Toughbook ® 40 Trimline Laptop docking station, Lite Port Replication, No RF with LIND 120W auto power adapter (7300-0610)</t>
  </si>
  <si>
    <t>7300-0605-16</t>
  </si>
  <si>
    <t>Panasonic Toughbook ® 40 Trimline Laptop docking station, Lite Port Replication, No RF.</t>
  </si>
  <si>
    <t>7300-0605-06</t>
  </si>
  <si>
    <t>Panasonic Toughbook ® 40 Trimline Cradle (No Electronics) with LIND 120W auto power adapte (7300-0610)</t>
  </si>
  <si>
    <t>7300-0604-10</t>
  </si>
  <si>
    <t>Panasonic Toughbook ® 40 Trimline Cradle (No Electronics).</t>
  </si>
  <si>
    <t>7300-0604-00</t>
  </si>
  <si>
    <t>Panasonic Toughbook ® 40 Trimline Laptop docking station, Full Port Replication, Quad RF with LIND 120W auto power adapter (7300-0610)</t>
  </si>
  <si>
    <t>7300-0605-12</t>
  </si>
  <si>
    <t>Panasonic Toughbook ® 40 Trimline Laptop docking station, Full Port Replication, Quad RF.</t>
  </si>
  <si>
    <t>7300-0605-02</t>
  </si>
  <si>
    <t>Panasonic Toughbook ® 40 Trimline Laptop docking station, Full Port Replication, No RF with LIND 120W auto power adapter (7300-0610)</t>
  </si>
  <si>
    <t>7300-0605-10</t>
  </si>
  <si>
    <t>Panasonic Toughbook ® 40 Trimline Laptop docking station, Full Port Replication, No RF.</t>
  </si>
  <si>
    <t>7300-0605-00</t>
  </si>
  <si>
    <t>Toughbook 33 Trimline™ Laptop dock SCREEN SUPPORT</t>
  </si>
  <si>
    <t>7300-0397</t>
  </si>
  <si>
    <t>Toughbook 33 Trimline™ Laptop dock SCREEN LOCK module</t>
  </si>
  <si>
    <t>7300-0388-00</t>
  </si>
  <si>
    <t>Panasonic Toughbook 33 Trimline™ Laptop Vehicle Docking station, LITE Port, DUAL RF with Screen Lock and LIND auto power adapter (7300-0197)</t>
  </si>
  <si>
    <t>7300-0596-32</t>
  </si>
  <si>
    <t>Panasonic Toughbook 33 Trimline™ Laptop Vehicle Docking station, LITE Port, DUAL RF with Screen Lock</t>
  </si>
  <si>
    <t>7300-0596-22</t>
  </si>
  <si>
    <t>Panasonic Toughbook 33 Trimline™ Laptop Vehicle Docking station, LITE Port, DUAL RF with LIND auto power adapter (7300-0197)</t>
  </si>
  <si>
    <t>7300-0596-12</t>
  </si>
  <si>
    <t xml:space="preserve">Panasonic Toughbook 33 Trimline™ Laptop Vehicle Docking station, LITE Port, DUAL RF </t>
  </si>
  <si>
    <t>7300-0596-02</t>
  </si>
  <si>
    <t>Panasonic Toughbook 33 Trimline™ Laptop Vehicle Docking station, Lite Port, NO RF with Screen Lock and LIND auto power adapter (7300-0197)</t>
  </si>
  <si>
    <t>7300-0596-30</t>
  </si>
  <si>
    <t>Panasonic Toughbook 33 Trimline™ Laptop Vehicle Docking station, LITE Port, NO RF with Screen Lock</t>
  </si>
  <si>
    <t>7300-0596-20</t>
  </si>
  <si>
    <t>Panasonic Toughbook 33 Trimline™ Laptop Vehicle Docking station, LITE Port, NO RF with LIND auto power adapter (7300-0197)</t>
  </si>
  <si>
    <t>7300-0596-10</t>
  </si>
  <si>
    <t xml:space="preserve">Panasonic Toughbook 33 Trimline™ Laptop Vehicle Docking station, LITE Port, NO RF </t>
  </si>
  <si>
    <t>7300-0596-00</t>
  </si>
  <si>
    <t>Panasonic Toughbook 33 Trimline™ Laptop Vehicle Docking station, Full Port Replication, DUAL RF with Screen Lock and LIND auto power adapter (7300-0197)</t>
  </si>
  <si>
    <t>7300-0387-32</t>
  </si>
  <si>
    <t>Panasonic Toughbook 33 Trimline™ Laptop Vehicle Docking station, Full Port Replication, DUAL RF with Screen Lock</t>
  </si>
  <si>
    <t>7300-0387-22</t>
  </si>
  <si>
    <t>Panasonic Toughbook 33 Trimline™ Laptop Vehicle Docking station, Full Port Replication, DUAL RF with LIND auto power adapter (7300-0197)</t>
  </si>
  <si>
    <t>7300-0387-12</t>
  </si>
  <si>
    <t xml:space="preserve">Panasonic Toughbook 33 Trimline™ Laptop Vehicle Docking station, Full Port Replication, DUAL RF </t>
  </si>
  <si>
    <t>7300-0387-02</t>
  </si>
  <si>
    <t>Panasonic Toughbook 33 Trimline™ Laptop Vehicle Docking station Full Port Replication, NO RF with Screen Lock and LIND auto power adapter (7300-0197)</t>
  </si>
  <si>
    <t>7300-0387-30</t>
  </si>
  <si>
    <t>Panasonic Toughbook 33 Trimline™ Laptop Vehicle Docking station Full Port Replication, NO RF with Screen Lock</t>
  </si>
  <si>
    <t>7300-0387-20</t>
  </si>
  <si>
    <t>Panasonic Toughbook 33 Trimline™ Laptop Vehicle Docking station, Full Port Replication, NO RF with LIND auto power adapter (7300-0197)</t>
  </si>
  <si>
    <t>7300-0387-10</t>
  </si>
  <si>
    <t xml:space="preserve">Panasonic Toughbook 33 Trimline™ Laptop Vehicle Docking station,  Full Port Replication, NO RF </t>
  </si>
  <si>
    <t>7300-0387-00</t>
  </si>
  <si>
    <t>Panasonic Toughbook 33 Trimline™ Laptop Vehicle Cradle (No electronics) with Screen Lock and LIND auto power adapter (7300-0197)</t>
  </si>
  <si>
    <t>7300-0386-30</t>
  </si>
  <si>
    <t>Panasonic Toughbook 33 Trimline™ Laptop Vehicle Cradle (No electronics) with Screen Lock</t>
  </si>
  <si>
    <t>7300-0386-20</t>
  </si>
  <si>
    <t>Panasonic Toughbook 33 Trimline™ Laptop Vehicle Cradle (No electronics) with LIND auto power adapter (7300-0197)</t>
  </si>
  <si>
    <t>7300-0386-10</t>
  </si>
  <si>
    <t>Panasonic Toughbook 33 Trimline™ Laptop Vehicle Cradle (No electronics)</t>
  </si>
  <si>
    <t>7300-0386-00</t>
  </si>
  <si>
    <t>KIT: Panasonic Toughbook 33 Trimline™ Tablet Docking Station. DUAL RF, FULL Port replication, w/ LIND auto power adapter (7300-0197)</t>
  </si>
  <si>
    <t>7300-0196-32</t>
  </si>
  <si>
    <t>KIT: Panasonic Toughbook 33 Trimline™ Tablet Docking Station. NO RF, FULL Port replication, w/ LIND auto power adapter (7300-0197)</t>
  </si>
  <si>
    <t>7300-0196-30</t>
  </si>
  <si>
    <t>Panasonic Toughbook 33 Trimline™ Tablet Docking Station. DUAL RF, FULL Port replication.</t>
  </si>
  <si>
    <t>7300-0196-22</t>
  </si>
  <si>
    <t>Panasonic Toughbook 33 Trimline™ Tablet Docking Station. NO RF, FULL Port replication.</t>
  </si>
  <si>
    <t>7300-0196-20</t>
  </si>
  <si>
    <t>KIT: Panasonic Toughbook 33 Trimline™ Tablet Docking Station. DUAL RF, LITE Port replication, w/ LIND auto power adapter (7300-0197)</t>
  </si>
  <si>
    <t>7300-0196-12</t>
  </si>
  <si>
    <t>KIT: Panasonic Toughbook 33 Trimline™ Tablet Docking Station. NO RF, LITE Port replication, w/ LIND auto power adapter (7300-0197)</t>
  </si>
  <si>
    <t>7300-0196-10</t>
  </si>
  <si>
    <t>Panasonic Toughbook 33 Trimline™ Tablet Docking Station. DUAL RF, LITE Port replication.</t>
  </si>
  <si>
    <t>7300-0196-02</t>
  </si>
  <si>
    <t>Panasonic Toughbook 33 Trimline™ Tablet Docking Station. NO RF, LITE Port replication.</t>
  </si>
  <si>
    <t>7300-0196-00</t>
  </si>
  <si>
    <t>KIT: Panasonic Toughbook 33 Trimline™ Tablet Cradle (no electronics)  w/LIND Auto power adapter (7300-0197)</t>
  </si>
  <si>
    <t>7300-0195-10</t>
  </si>
  <si>
    <t>Panasonic Toughbook 33 Trimline™ Tablet Cradle (no electronics)</t>
  </si>
  <si>
    <t>7300-0195-00</t>
  </si>
  <si>
    <t>Panasonic Toughbook 20 Trimline Vertical Wall Mount Bracket</t>
  </si>
  <si>
    <t>7300-0193</t>
  </si>
  <si>
    <t>Panasonic Toughbook 20 Trimline™ Screen Lock Arm</t>
  </si>
  <si>
    <t>7300-0192</t>
  </si>
  <si>
    <t>KIT: Panasonic Toughbook 20 Trimline™ Laptop Vehicle Docking Station, LITE Port, DUAL RF with Screen Lock Arm (7300-0192) and Lind Auto Power Adapter (7300-0194)</t>
  </si>
  <si>
    <t>7300-0597-32</t>
  </si>
  <si>
    <t>KIT: Panasonic Toughbook 20 Trimline™ Laptop Vehicle Docking Station, LITE Port, NO RF with Screen Lock Arm (7300-0192) and Lind Auto Power Adapter (7300-0194)</t>
  </si>
  <si>
    <t>7300-0597-30</t>
  </si>
  <si>
    <t>KIT: Panasonic Toughbook 20 Trimline™ Laptop Vehicle Docking Station DUAL RF with Screen Lock Arm (7300-0192) and Lind Auto Power Adapter (7300-0194)</t>
  </si>
  <si>
    <t>7300-0191-32</t>
  </si>
  <si>
    <t>KIT: Panasonic Toughbook 20 Trimline™ Laptop Vehicle Docking Station NO RF with Screen Lock Arm (7300-0192) and Lind Auto Power Adapter (7300-0194)</t>
  </si>
  <si>
    <t>7300-0191-30</t>
  </si>
  <si>
    <t>Panasonic Toughbook 20 Trimline™ Laptop Vehicle Docking Station, LITE Port, DUAL RF with Screen Lock Arm (7300-0192)</t>
  </si>
  <si>
    <t>7300-0597-22</t>
  </si>
  <si>
    <t>Panasonic Toughbook 20 Trimline™ Laptop Vehicle Docking Station, LITE Port, NO RF with Screen Lock Arm (7300-0192)</t>
  </si>
  <si>
    <t>7300-0597-20</t>
  </si>
  <si>
    <t>Panasonic Toughbook 20 Trimline™ Laptop Vehicle Docking Station DUAL RF with Screen Lock Arm (7300-0192)</t>
  </si>
  <si>
    <t>7300-0191-22</t>
  </si>
  <si>
    <t>Panasonic Toughbook 20 Trimline™ Laptop Vehicle Docking Station NO RF with Screen Lock Arm (7300-0192)</t>
  </si>
  <si>
    <t>7300-0191-20</t>
  </si>
  <si>
    <t>KIT: Panasonic Toughbook 20 Trimline™ Laptop Vehicle Docking Station, LITE Port, DUAL RF with Lind Auto Power Adapter (7300-0194)</t>
  </si>
  <si>
    <t>7300-0597-12</t>
  </si>
  <si>
    <t>KIT: Panasonic Toughbook 20 Trimline™ Laptop Vehicle Docking Station, LITE Port, NO RF with Lind Auto Power Adapter (7300-0194)</t>
  </si>
  <si>
    <t>7300-0597-10</t>
  </si>
  <si>
    <t>KIT: Panasonic Toughbook 20 Trimline™ Laptop Vehicle Docking Station DUAL RF with Lind Auto Power Adapter (7300-0194)</t>
  </si>
  <si>
    <t>7300-0191-12</t>
  </si>
  <si>
    <t>KIT: Panasonic Toughbook 20 Trimline™ Laptop Vehicle Docking Station NO RF with Lind Auto Power Adapter (7300-0194)</t>
  </si>
  <si>
    <t>7300-0191-10</t>
  </si>
  <si>
    <t>Panasonic Toughbook 20 Trimline™ Laptop Vehicle Docking Station, LITE Port, DUAL RF</t>
  </si>
  <si>
    <t>7300-0597-02</t>
  </si>
  <si>
    <t>Panasonic Toughbook 20 Trimline™ Laptop Vehicle Docking Station, LITE Port, NO RF</t>
  </si>
  <si>
    <t>7300-0597-00</t>
  </si>
  <si>
    <t>Panasonic Toughbook 20 Trimline™ Laptop Vehicle Docking Station DUAL RF</t>
  </si>
  <si>
    <t>7300-0191-02</t>
  </si>
  <si>
    <t>Panasonic Toughbook 20 Trimline™ Laptop Vehicle Docking Station NO RF</t>
  </si>
  <si>
    <t>7300-0191-00</t>
  </si>
  <si>
    <t>KIT: Panasonic Toughbook 20 Trimline™ Laptop Vehicle Cradle NO RF with Lind Auto Power Adapter (7300-0194)</t>
  </si>
  <si>
    <t>7300-0190-10</t>
  </si>
  <si>
    <t xml:space="preserve">Panasonic Toughbook 20 Trimline™ Laptop Vehicle Cradle NO RF </t>
  </si>
  <si>
    <t>7300-0190-00</t>
  </si>
  <si>
    <t>KIT: Panasonic Toughbook 40 QUAD RF LITE Port Replication laptop vehicle docking station  (7160-1728-07) and LIND 120W Auto Power Adapter with Bare Wire Lead (7300-0461)</t>
  </si>
  <si>
    <t>7170-0944-02</t>
  </si>
  <si>
    <t>KIT: Panasonic Toughbook 40 NO RF LITE Port Replication laptop vehicle docking station (7160-1728-06) and LIND 120W Auto Power Adapter with Bare Wire Lead (7300-0461)</t>
  </si>
  <si>
    <t>7170-0944-00</t>
  </si>
  <si>
    <t>KIT: Panasonic Toughbook 40 QUAD RF FULL Port Replication Laptop Dock (7160-1728-02) and LIND power adapter (#7300-0461)</t>
  </si>
  <si>
    <t>7170-0943-02</t>
  </si>
  <si>
    <t>KIT: Panasonic Toughbook 40 NO RF FULL Port Replication Laptop Dock (7160-1728-00) and LIND power adapter (#7300-0461)</t>
  </si>
  <si>
    <t>7170-0943-00</t>
  </si>
  <si>
    <t>KIT: Panasonic Toughbook 55 DUAL RF LITE Port Replication laptop vehicle docking station. Keyed alike (7160-0577-22) and LIND 120W Auto Power Adapter with Bare Wire Lead (7300-0461)</t>
  </si>
  <si>
    <t>7170-0971-02</t>
  </si>
  <si>
    <t>KIT: Panasonic Toughbook 55 NO RF LITE Port Replication laptop vehicle docking station. Keyed alike (7160-0577-20) and LIND 120W Auto Power Adapter with Bare Wire Lead (7300-0461)</t>
  </si>
  <si>
    <t>7170-0971-00</t>
  </si>
  <si>
    <t>KIT: Panasonic Toughbook 55 DUAL RF Laptop Dock (7160-0577-02) and LIND power adapter (#7300-0461)</t>
  </si>
  <si>
    <t>7170-0251</t>
  </si>
  <si>
    <t>KIT: Panasonic Toughbook 55 NO RF Laptop Dock (7160-0577-00) and LIND power adapter (#7300-0461)</t>
  </si>
  <si>
    <t>7170-0250</t>
  </si>
  <si>
    <t>KIT: Panasonic Toughbook T1 Charging Cradle (7160-1275-21) and LIND power adapter (#7300-0445)</t>
  </si>
  <si>
    <t>7170-0761-21</t>
  </si>
  <si>
    <t>KIT: Panasonic Toughbook 33 DUAL RF LITE tablet dock (7160-0907-07) and LIND power adapter (#7300-0461)</t>
  </si>
  <si>
    <t>7170-0685-02</t>
  </si>
  <si>
    <t>KIT: Panasonic Toughbook 33 NO RF LITE tablet dock (7160-0907-06) and LIND power adapter (#7300-0461)</t>
  </si>
  <si>
    <t>7170-0685-00</t>
  </si>
  <si>
    <t>KIT: Panasonic Toughbook 33 DUAL RF FULL port replication tablet dock (7160-0907-02) and LIND power adapter (#7300-0461)</t>
  </si>
  <si>
    <t>7170-0684-02</t>
  </si>
  <si>
    <t>KIT: Panasonic Toughbook 33 NO RF FULL port replication tablet dock (7160-0907-00) and LIND power adapter (#7300-0461)</t>
  </si>
  <si>
    <t>7170-0684-00</t>
  </si>
  <si>
    <t>KIT: Panasonic Toughbook 33 DUAL RF LITE Port Replication laptop vehicle docking station. Keyed alike (7160-0909-07) and LIND 120W Auto Power Adapter with Bare Wire Lead (7300-0461)</t>
  </si>
  <si>
    <t>7170-0972-02</t>
  </si>
  <si>
    <t>KIT: Panasonic Toughbook 33 NO RF LITE Port Replication laptop vehicle docking station. Keyed alike (7160-0909-06) and LIND 120W Auto Power Adapter with Bare Wire Lead (7300-0461)</t>
  </si>
  <si>
    <t>7170-0972-00</t>
  </si>
  <si>
    <t>KIT: Panasonic Toughbook 33 DUAL RF laptop dock (7160-0909-02) and LIND power adapter (#7300-0461)</t>
  </si>
  <si>
    <t>7170-0683-02</t>
  </si>
  <si>
    <t>KIT: Panasonic Toughbook 33 NO RF laptop dock (7160-0909-00) and LIND power adapter (#7300-0461)</t>
  </si>
  <si>
    <t>7170-0683-00</t>
  </si>
  <si>
    <t>KIT: Panasonic Toughbook G1/G2 Docking Station with LITE Port Replication, Dual RF, VESA Hole Pattern (7160-0487-20) with LIND 11-16V Auto Power Adapter with Bare Wire Lead (7300-0460)</t>
  </si>
  <si>
    <t>7170-0968-02</t>
  </si>
  <si>
    <t>KIT: Panasonic Toughbook G1/G2 Docking Station with LITE Port Replication, No RF, VESA Hole Pattern (7160-0487-20) with LIND 11-16V Auto Power Adapter with Bare Wire Lead (7300-0460)</t>
  </si>
  <si>
    <t>7170-0968-00</t>
  </si>
  <si>
    <t>KIT: Panasonic Toughbook G1 THIN Docking Station with LITE Port Replication, Dual RF, VESA Hole Pattern (7160-0487-20) with LIND 11-16V Auto Power Adapter with Bare Wire Lead (7300-0460)</t>
  </si>
  <si>
    <t>7170-0969-02</t>
  </si>
  <si>
    <t>KIT: Panasonic Toughbook G1 THIN Docking Station with LITE Port Replication, No RF, VESA Hole Pattern (7160-0487-20) with LIND 11-16V Auto Power Adapter with Bare Wire Lead (7300-0460)</t>
  </si>
  <si>
    <t>7170-0969-00</t>
  </si>
  <si>
    <t>KIT: Panasonic Toughpad FZ-G1/G2 Docking Station, Dual RF, VESA Hole Pattern with LIND 11-16V Auto Power Adapter with Bare Wire Lead</t>
  </si>
  <si>
    <t>7170-0930-02</t>
  </si>
  <si>
    <t>KIT: Panasonic Toughpad FZ-G1/G2 Docking Station, No RF, VESA Hole Pattern with LIND 11-16V Auto Power Adapter with Bare Wire Lead</t>
  </si>
  <si>
    <t>7170-0930-00</t>
  </si>
  <si>
    <t>KIT: Panasonic Toughpad FZ-G1 THIN Docking Station (Dual RF) with LIND 11-16V Auto Power Adapter with Bare Wire Lead</t>
  </si>
  <si>
    <t>7170-0931-02</t>
  </si>
  <si>
    <t>KIT: Panasonic Toughpad FZ-G1 THIN Docking Station (No RF) with LIND 11-16V Auto Power Adapter with Bare Wire Lead</t>
  </si>
  <si>
    <t>7170-0931-00</t>
  </si>
  <si>
    <t>KIT: Panasonic Toughbook 20 DUAL RF LITE Port Replication vehicle docking station. Keyed alike (7160-1265-22) with LIND 11-16V Auto Power Adapter with Bare Wire Lead (7300-0460)</t>
  </si>
  <si>
    <t>7170-0970-02</t>
  </si>
  <si>
    <t>KIT: Panasonic Toughbook 20 NO RF LITE Port Replication vehicle docking station. Keyed alike (7160-1265-20) with LIND 11-16V Auto Power Adapter with Bare Wire Lead (7300-0460)</t>
  </si>
  <si>
    <t>7170-0970-00</t>
  </si>
  <si>
    <t>KIT: Panasonic Toughbook 20 DUAL RF laptop dock (7160-1265-02) and LIND power adapter  (#7300-0460)</t>
  </si>
  <si>
    <t>7170-0681-02</t>
  </si>
  <si>
    <t>KIT: Panasonic Toughbook 20 NO RF laptop dock (7160-1265-00) and LIND power adapter (#7300-0460)</t>
  </si>
  <si>
    <t>7170-0681-00</t>
  </si>
  <si>
    <t>KIT: Panasonic Toughbook A3 Tablet Cradle (NO RF) with LIND 90W Auto Power Adapter (7300-0460)</t>
  </si>
  <si>
    <t>7170-0833-00</t>
  </si>
  <si>
    <t>KIT: Panasonic Toughbook A3 Tablet Docking Station (DUAL RF) with LIND 90W Auto Power Adapter (7300-0460)</t>
  </si>
  <si>
    <t>7170-0832-02</t>
  </si>
  <si>
    <t>KIT: Panasonic Toughbook A3 Tablet Docking Station (NO RF) with LIND 90W Auto Power Adapter (7300-0460)</t>
  </si>
  <si>
    <t>7170-0832-00</t>
  </si>
  <si>
    <t>Panasonic Toughbook 40 laptop Cradle (No port replication)</t>
  </si>
  <si>
    <t>7160-1729-00</t>
  </si>
  <si>
    <t>Panasonic Toughbook 40 QUAD RF LITE Port Replication laptop vehicle docking station</t>
  </si>
  <si>
    <t>7160-1728-07</t>
  </si>
  <si>
    <t>Panasonic Toughbook 40 NO RF LITE Port Replication laptop vehicle docking station</t>
  </si>
  <si>
    <t>7160-1728-06</t>
  </si>
  <si>
    <t>Panasonic Toughbook 40 QUAD RF FULL Port Replication laptop vehicle docking station</t>
  </si>
  <si>
    <t>7160-1728-02</t>
  </si>
  <si>
    <t>Panasonic Toughbook 40 NO RF FULL Port Replication laptop vehicle docking station</t>
  </si>
  <si>
    <t>7160-1728-00</t>
  </si>
  <si>
    <t>Panasonic Toughbook 55 laptop Cradle.  (No port replication)</t>
  </si>
  <si>
    <t>7160-0578-00</t>
  </si>
  <si>
    <t>Panasonic Toughbook 55 DUAL RF LITE Port Replication laptop vehicle docking station. Keyed alike</t>
  </si>
  <si>
    <t>7160-0577-22</t>
  </si>
  <si>
    <t>Panasonic Toughbook 55 NO RF LITE Port Replication laptop vehicle docking station. Keyed alike</t>
  </si>
  <si>
    <t>7160-0577-20</t>
  </si>
  <si>
    <t>Panasonic Toughbook 55 DUAL RF laptop vehicle docking station</t>
  </si>
  <si>
    <t>7160-0577-02</t>
  </si>
  <si>
    <t>Panasonic Toughbook 55 NO RF laptop vehicle docking station</t>
  </si>
  <si>
    <t>7160-0577-00</t>
  </si>
  <si>
    <t>Panasonic Toughbook 33 NO RF Laptop CRADLE  (No port replication)</t>
  </si>
  <si>
    <t>7160-0910-00</t>
  </si>
  <si>
    <t>Panasonic Toughbook 33 DUAL RF LITE Port Replication laptop vehicle docking station. Keyed alike</t>
  </si>
  <si>
    <t>7160-0909-07</t>
  </si>
  <si>
    <t>Panasonic Toughbook 33 NO RF LITE Port Replication laptop vehicle docking station. Keyed alike</t>
  </si>
  <si>
    <t>7160-0909-06</t>
  </si>
  <si>
    <t>Panasonic Toughbook 33 DUAL RF Laptop vehicle docking station</t>
  </si>
  <si>
    <t>7160-0909-02</t>
  </si>
  <si>
    <t>Panasonic Toughbook 33 NO RF Laptop vehicle docking station</t>
  </si>
  <si>
    <t>7160-0909-00</t>
  </si>
  <si>
    <t>Panasonic Toughbook 33 NO RF Tablet CRADLE  (No port replication)</t>
  </si>
  <si>
    <t>7160-0908-00</t>
  </si>
  <si>
    <t>Panasonic Toughbook 33 DUAL RF Tablet vehicle docking station LITE port replication</t>
  </si>
  <si>
    <t>7160-0907-07</t>
  </si>
  <si>
    <t>Panasonic Toughbook 33 NO RF Tablet vehicle docking station LITE port replication</t>
  </si>
  <si>
    <t>7160-0907-06</t>
  </si>
  <si>
    <t>Panasonic Toughbook 33 DUAL RF Tablet vehicle Docking station</t>
  </si>
  <si>
    <t>7160-0907-02</t>
  </si>
  <si>
    <t>Panasonic Toughbook 33 NO RF Tablet vehicle Docking station</t>
  </si>
  <si>
    <t>7160-0907-00</t>
  </si>
  <si>
    <t>Panasonic Toughbook 20 CRADLE.  (No port replication)  Keyed alike. (replaces part number 7160-0803-XX)</t>
  </si>
  <si>
    <t>7160-1265-10</t>
  </si>
  <si>
    <t>Panasonic Toughbook 20 DUAL RF LITE Port Replication vehicle docking station. Keyed alike</t>
  </si>
  <si>
    <t>7160-1265-22</t>
  </si>
  <si>
    <t>Panasonic Toughbook 20 NO RF LITE Port Replication vehicle docking station. Keyed alike</t>
  </si>
  <si>
    <t>7160-1265-20</t>
  </si>
  <si>
    <t>Panasonic Toughbook 20 DUAL RF vehicle docking station. Keyed alike.</t>
  </si>
  <si>
    <t>7160-1265-02</t>
  </si>
  <si>
    <t>Panasonic Toughbook 20 NO RF vehicle docking station. Keyed alike</t>
  </si>
  <si>
    <t>7160-1265-00</t>
  </si>
  <si>
    <t xml:space="preserve">Panasonic Toughbook® T1 Charging CRADLE </t>
  </si>
  <si>
    <t>7160-1275-21</t>
  </si>
  <si>
    <t>Panasonic Toughbook® T1 CRADLE (No electronics)</t>
  </si>
  <si>
    <t>7160-1275-20</t>
  </si>
  <si>
    <t>Panasonic Toughbook F1/N1  CRADLE. (No power port)</t>
  </si>
  <si>
    <t>7160-0901-00</t>
  </si>
  <si>
    <t>Panasonic Toughbook F1/N1  Powered CRADLE. (Power port)</t>
  </si>
  <si>
    <t>7160-0900-00</t>
  </si>
  <si>
    <t>Panasonic Toughbook G1 THIN CRADLE (No port replication)   VESA 75 mounting pattern.</t>
  </si>
  <si>
    <t>7160-0759-00</t>
  </si>
  <si>
    <t>Panasonic Toughbook G1 DUAL RF THIN LITE Port Replication vehicle docking station.  Keyed Alike lock.  VESA 75 mounting pattern.</t>
  </si>
  <si>
    <t>7160-0595-22</t>
  </si>
  <si>
    <t>Panasonic Toughbook G1 NO RF THIN LITE Port Replication vehicle docking station.  Keyed Alike lock.  VESA 75 mounting pattern.</t>
  </si>
  <si>
    <t>7160-0595-20</t>
  </si>
  <si>
    <t>Panasonic Toughbook G1 DUAL RF  THIN vehicle docking station.  Keyed Alike lock. VESA 75 mounting pattern.</t>
  </si>
  <si>
    <t>7160-0595-02</t>
  </si>
  <si>
    <t>Panasonic Toughbook G1 NO RF THIN vehicle docking station.  Keyed Alike lock.  VESA 75 mounting pattern.</t>
  </si>
  <si>
    <t>7160-0595-00</t>
  </si>
  <si>
    <t>Panasonic Toughbook G2/G1 CRADLE. (No port replication)  Keyed Differently lock.  VESA 75 mounting pattern.</t>
  </si>
  <si>
    <t>7160-0490-03</t>
  </si>
  <si>
    <t>Panasonic Toughbook G2/G1 CRADLE.  (No port replication)  Keyed Alike lock. VESA 75 mounting pattern.</t>
  </si>
  <si>
    <t>7160-0490-00</t>
  </si>
  <si>
    <t>Panasonic Toughbook G2/G1 DUAL RF LITE Port Replication vehicle docking station. Keyed Alike lock.  VESA 75 mounting pattern.</t>
  </si>
  <si>
    <t>7160-0487-22</t>
  </si>
  <si>
    <t>Panasonic Toughbook G2/G1 NO RF LITE Port Replication vehicle docking station. Keyed Alike lock.  VESA 75 mounting pattern.</t>
  </si>
  <si>
    <t>7160-0487-20</t>
  </si>
  <si>
    <t>Panasonic Toughbook G2/G1 DUAL RF vehicle docking station. Keyed differently lock.  VESA 75 mounting pattern.</t>
  </si>
  <si>
    <t>7160-0487-04</t>
  </si>
  <si>
    <t>Panasonic Toughbook G2/G1 NO RF vehicle docking station. Keyed differently lock.  VESA 75 mounting pattern.</t>
  </si>
  <si>
    <t>7160-0487-03</t>
  </si>
  <si>
    <t>Panasonic Toughbook G2/G1 DUAL RF vehicle docking station. Keyed Alike lock.  VESA 75 mounting pattern.</t>
  </si>
  <si>
    <t>7160-0487-02</t>
  </si>
  <si>
    <t>Panasonic Toughbook G2/G1 NO RF vehicle docking station. Keyed Alike lock.  VESA 75 mounting pattern.</t>
  </si>
  <si>
    <t>7160-0487-00</t>
  </si>
  <si>
    <t>Panasonic Toughbook A3 Tablet Cradle (No electronics, No RF)</t>
  </si>
  <si>
    <t>7160-1417-00</t>
  </si>
  <si>
    <t xml:space="preserve">Panasonic Toughbook A3 Tablet Vehicle Docking Station (Dual RF) </t>
  </si>
  <si>
    <t>7160-1416-02</t>
  </si>
  <si>
    <t xml:space="preserve">Panasonic Toughbook A3 Tablet Vehicle Docking Station (No RF) </t>
  </si>
  <si>
    <t>7160-1416-00</t>
  </si>
  <si>
    <t xml:space="preserve">ZIRKONA - MED SHORT JOINER W 3" EXT, RND BASE, 75MM VESA TOP </t>
  </si>
  <si>
    <t>7160-1984-01</t>
  </si>
  <si>
    <t xml:space="preserve">ZIRKONA - MED SHORT JOINER W 3" EXT, RND BASE, RND TOP </t>
  </si>
  <si>
    <t>7160-1984</t>
  </si>
  <si>
    <t>Zirkona - 6" Medium Dogbone Joiner with VESA 75mm Mounting Plate</t>
  </si>
  <si>
    <t>7160-1410-01</t>
  </si>
  <si>
    <t>Zirkona - 6" Medium Dogbone Joiner with AMPs Mounting Plate</t>
  </si>
  <si>
    <t>7160-1410</t>
  </si>
  <si>
    <t>Zirkona - Multi-Function Pivot Arm, 150mm Extension and VESA 75mm Plate</t>
  </si>
  <si>
    <t>7160-1385-05</t>
  </si>
  <si>
    <t>Zirkona - Multi-Function Pivot Arm, 150mm Extension and AMPs Plate</t>
  </si>
  <si>
    <t>7160-1385-04</t>
  </si>
  <si>
    <t>Zirkona - Multi-Function Pivot Arm, 100mm Extension and VESA 75mm Plate</t>
  </si>
  <si>
    <t>7160-1385-03</t>
  </si>
  <si>
    <t>Zirkona - Multi-Function Pivot Arm, 100mm Extension and AMPs Plate</t>
  </si>
  <si>
    <t>7160-1385-02</t>
  </si>
  <si>
    <t>Zirkona - Multi-Function Pivot Arm, 50mm Extension and VESA 75mm Plate</t>
  </si>
  <si>
    <t>7160-1385-01</t>
  </si>
  <si>
    <t>Zirkona - Multi-Function Pivot Arm, 50mm Extension and AMPs Plate</t>
  </si>
  <si>
    <t>7160-1385</t>
  </si>
  <si>
    <t>Zirkona medium joiner AMPS,  w/ back plate</t>
  </si>
  <si>
    <t>7160-1240-01</t>
  </si>
  <si>
    <t>Zirkona medium joiner AMPS, no BP</t>
  </si>
  <si>
    <t>7160-1240</t>
  </si>
  <si>
    <t>Zirkona medium Joiner, 2" Ext, AMPS w/ back plate</t>
  </si>
  <si>
    <t>7160-1239-01</t>
  </si>
  <si>
    <t>Zirkona medium joiner, 2"  Ext, AMPS No Back plate</t>
  </si>
  <si>
    <t>7160-1239</t>
  </si>
  <si>
    <t xml:space="preserve">ZIRKONA - RD BASE, 150MM EXT, LARGE 2D JOINER, 75MM VESA PLT </t>
  </si>
  <si>
    <t>7160-1806-01</t>
  </si>
  <si>
    <t xml:space="preserve">ZIKONA - RD BASE, 150MM EXT, LARGE 2D JOINER, RD MTG PLT </t>
  </si>
  <si>
    <t>7160-1806</t>
  </si>
  <si>
    <t>Zirkona Medium Joiner Vesa 75mm, 2 in Extender, w/ back plate</t>
  </si>
  <si>
    <t>7160-1180-01</t>
  </si>
  <si>
    <t>Zirkona Medium Joiner Vesa 75mm, 2 in Extender</t>
  </si>
  <si>
    <t>7160-1180</t>
  </si>
  <si>
    <t>Zirkona Medium joiner vesa 75mm w/ back plate</t>
  </si>
  <si>
    <t>7160-1179-01</t>
  </si>
  <si>
    <t>Zirkona Medium Joiner Vesa 75mm</t>
  </si>
  <si>
    <t>7160-1179</t>
  </si>
  <si>
    <t>Semi-Truck Pivot Mount, 6" Extension, VESA 100mm Hole Patterns with Back Plate</t>
  </si>
  <si>
    <t>7160-1132-08</t>
  </si>
  <si>
    <t>Semi-Truck Pivot Mount, 6" Extension, VESA 75mm Hole Patterns with Back Plate</t>
  </si>
  <si>
    <t>7160-1132-07</t>
  </si>
  <si>
    <t>Semi-Truck Pivot Mount, 6" Extension, AMPs &amp; NEC Hole Patterns with Back Plate</t>
  </si>
  <si>
    <t>7160-1132-06</t>
  </si>
  <si>
    <t>Semi-Truck Pivot Mount, 4" Extension, VESA 100mm Hole Patterns with Back Plate</t>
  </si>
  <si>
    <t>7160-1132-05</t>
  </si>
  <si>
    <t>Semi-Truck Pivot Mount, 2" Extension, VESA 100mm Hole Patterns with Back Plate</t>
  </si>
  <si>
    <t>7160-1132-04</t>
  </si>
  <si>
    <t>Semi-Truck Pivot Mount, 4" Extension, VESA 75mm Hole Patterns with Back Plate</t>
  </si>
  <si>
    <t>7160-1132-03</t>
  </si>
  <si>
    <t>Semi-Truck Pivot Mount, 4" Extension, AMPs &amp; NEC Hole Patterns with Back Plate</t>
  </si>
  <si>
    <t>7160-1132-02</t>
  </si>
  <si>
    <t>Semi-Truck Pivot Mount, 2" Extension, VESA 75mm Hole Patterns with Back Plate</t>
  </si>
  <si>
    <t>7160-1132-01</t>
  </si>
  <si>
    <t>Semi-Truck Pivot Mount, 2" Extension, AMPs &amp; NEC Hole Patterns with Back Plate</t>
  </si>
  <si>
    <t>7160-1132</t>
  </si>
  <si>
    <t>Freightliner M2 Plus Vehicle Headliner/Visor Bracket for Cameras</t>
  </si>
  <si>
    <t>7160-2071</t>
  </si>
  <si>
    <t>International LT Vehicle Headliner/Visor Bracket for Cameras</t>
  </si>
  <si>
    <t>7160-2070</t>
  </si>
  <si>
    <t>Volvo VNL/VNR Vehicle Headliner/Visor Bracket for Cameras</t>
  </si>
  <si>
    <t>7160-2069</t>
  </si>
  <si>
    <t>Kenworth T680/T880 Vehicle Headliner/Visor Bracket for Cameras</t>
  </si>
  <si>
    <t>7160-2068</t>
  </si>
  <si>
    <t>Freightliner New Cascadia Vehicle Headliner/Visor Bracket for Cameras</t>
  </si>
  <si>
    <t>7160-2067</t>
  </si>
  <si>
    <t>2019+ Chevrolet/GMC 1500 Vehicle Headliner/Visor Bracket for Cameras</t>
  </si>
  <si>
    <t>7160-2057</t>
  </si>
  <si>
    <t>2018+ Ford F-150 Vehicle Headliner/Visor Bracket for Cameras</t>
  </si>
  <si>
    <t>7160-2056</t>
  </si>
  <si>
    <t>Lytx ER-SF300 Camera Bracket</t>
  </si>
  <si>
    <t>7160-2064</t>
  </si>
  <si>
    <t>Samsara CM32 Camera Bracket</t>
  </si>
  <si>
    <t>7160-2063</t>
  </si>
  <si>
    <t>Universal Day Cab and Over the Road Sleeper, Semi-Truck Pedestal Kit</t>
  </si>
  <si>
    <t>7170-0580</t>
  </si>
  <si>
    <t>Tilting Dash Mount</t>
  </si>
  <si>
    <t>7160-1262</t>
  </si>
  <si>
    <t>Universal Day Cab and Over the Road Sleeper, Semi-Truck Base</t>
  </si>
  <si>
    <t>7170-1057</t>
  </si>
  <si>
    <t>Suction Cup with Dash Support and Dogbone with 75MM Mounting Plate</t>
  </si>
  <si>
    <t>7170-0942-01</t>
  </si>
  <si>
    <t>Suction Cup with Dash Support and Dogbone with Amps Plate</t>
  </si>
  <si>
    <t>7170-0942</t>
  </si>
  <si>
    <t>VNL Switch Pocket Dash Mount</t>
  </si>
  <si>
    <t>7160-1177</t>
  </si>
  <si>
    <t xml:space="preserve">Peterbilt 389 Semi Truck mount no Drill </t>
  </si>
  <si>
    <t>7160-1302</t>
  </si>
  <si>
    <t xml:space="preserve">Peterbilt 579 Semi Truck mount no Drill </t>
  </si>
  <si>
    <t>7160-1295</t>
  </si>
  <si>
    <t xml:space="preserve">Kenworth T680 / T880 Mount with Tilt Bracket </t>
  </si>
  <si>
    <t>7160-1283-01</t>
  </si>
  <si>
    <t>Kenworth T680 / T880 Mount</t>
  </si>
  <si>
    <t>7160-1283</t>
  </si>
  <si>
    <t>International LT Semi-Truck mount (plate)</t>
  </si>
  <si>
    <t>7160-1243-02</t>
  </si>
  <si>
    <t>International LT with Phone Holder</t>
  </si>
  <si>
    <t>7160-1243-01</t>
  </si>
  <si>
    <t>International LT</t>
  </si>
  <si>
    <t>7160-1243</t>
  </si>
  <si>
    <t>International ProStar</t>
  </si>
  <si>
    <t>7160-1168</t>
  </si>
  <si>
    <t>Freightliner Cascadia Mount 2018 / Plate Only</t>
  </si>
  <si>
    <t>7160-1124-01</t>
  </si>
  <si>
    <t>Freightliner Cascadia Mount 2018</t>
  </si>
  <si>
    <t>7160-1124</t>
  </si>
  <si>
    <t xml:space="preserve">KIT - FREIGHLINER M2 PLUS DASH MOUNT WITH 75MM VESA ZIRKONA MOUNT </t>
  </si>
  <si>
    <t>7170-1092-01</t>
  </si>
  <si>
    <t xml:space="preserve">KIT - FREIGHTLINER M2 PLUS DASH MOUNT W/AMPs ZIRKONA MOUNT </t>
  </si>
  <si>
    <t>7170-1092</t>
  </si>
  <si>
    <t xml:space="preserve">FREIGHTLINER M2 PLUS SEMI-TRUCK DASH PLATE </t>
  </si>
  <si>
    <t>7160-1963</t>
  </si>
  <si>
    <t xml:space="preserve">Freightliner M2 Semi-Truck no Drill </t>
  </si>
  <si>
    <t>7160-1301</t>
  </si>
  <si>
    <t>Wire harness - 2.5mm plug w/10 amp in-line fuse</t>
  </si>
  <si>
    <t>7160-1804</t>
  </si>
  <si>
    <t>Forklift Power Supply Clamp</t>
  </si>
  <si>
    <t>7160-1333</t>
  </si>
  <si>
    <t>Lind 72-100 VDC Lite Device Isolated Power Supply (Dual USB). REPLACES 7400-0012.</t>
  </si>
  <si>
    <t>7300-0454</t>
  </si>
  <si>
    <t>Lind 20-60 VDC Lite Device Isolated Power Supply (Dual USB). REPLACES 7400-0011.</t>
  </si>
  <si>
    <t>7300-0453</t>
  </si>
  <si>
    <t>Lind 12-32 VDC Lite Device Isolated Power Supply (Dual USB). REPLACES 7400-0010.</t>
  </si>
  <si>
    <t>7300-0452</t>
  </si>
  <si>
    <t>LIND 20-60VDC Isolated Power Supply for HP</t>
  </si>
  <si>
    <t>7300-0407</t>
  </si>
  <si>
    <t>Forklift Wiring Kit REPLACES 7400-0009</t>
  </si>
  <si>
    <t>7300-0482</t>
  </si>
  <si>
    <t>LIND 70-110Vdc power supply, 70-110VDC input, 12VDC 3.5A output. 72" bare wire input cable, 36" output cable with MP205 plug (Samsung). REPLACES 18869.</t>
  </si>
  <si>
    <t>7300-0448</t>
  </si>
  <si>
    <t>LIND 12-32Vdc power supply, 12-32VDC input, 12VDC 3.5A output. 72" bare wire input cable, 36" output cable with MP205 plug (Samsung). REPLACES 18868.</t>
  </si>
  <si>
    <t>7300-0447</t>
  </si>
  <si>
    <t>LIND 20-60Vdc power supply, 20-60VDC input, 12VDC 3.5A output. 72" bare wire input cable, 36" output cable with MP205 plug (Samsung). REPLACES 18035.</t>
  </si>
  <si>
    <t>7300-0473</t>
  </si>
  <si>
    <t>POWER SUPPLY - 72-100VdcLIND# DT1250i-4870 (DT313). REPLACES 17648.</t>
  </si>
  <si>
    <t>7300-0433</t>
  </si>
  <si>
    <t>POWER SUPPLY - 20-60VdcLIND# DT1250i-4868 (DT313). REPLACES 17646.</t>
  </si>
  <si>
    <t>7300-0432</t>
  </si>
  <si>
    <t>POWER SUPPLY - 12-32VdcLIND# DT1250i-4869 (DT313). REPLACES 17644.</t>
  </si>
  <si>
    <t>7300-0431</t>
  </si>
  <si>
    <t xml:space="preserve">DELL DONGLE ADAPTER - DELL 7.4MM BONDI TO USB-C </t>
  </si>
  <si>
    <t>7300-0673</t>
  </si>
  <si>
    <t>Zebra 72" output cable for LIND Isolated power adapters</t>
  </si>
  <si>
    <t>7300-0554</t>
  </si>
  <si>
    <t xml:space="preserve">Dell 120" Output Cable </t>
  </si>
  <si>
    <t>7300-0289</t>
  </si>
  <si>
    <t xml:space="preserve">Dell 96" Output Cable </t>
  </si>
  <si>
    <t>7300-0288</t>
  </si>
  <si>
    <t>Dell 72" Output Cable</t>
  </si>
  <si>
    <t>7300-0287</t>
  </si>
  <si>
    <t>Dell 41" Output Cable</t>
  </si>
  <si>
    <t>7300-0286</t>
  </si>
  <si>
    <t>LIND 72-110V Isolated Power Adapter for Dell Rugged Tablet, 7230, 7030 Docks</t>
  </si>
  <si>
    <t>7300-0622</t>
  </si>
  <si>
    <t>LIND 20-60 VDC isolated PWR Supply for Dell Rugged Laptop, 7230, 7030 Docks</t>
  </si>
  <si>
    <t>7300-0306</t>
  </si>
  <si>
    <t>LIND 12-32 VD isolated power supply for Dell Rugged Laptop, 7230, 7030 Docks</t>
  </si>
  <si>
    <t>7300-0305</t>
  </si>
  <si>
    <t>LIND 20-60 VDC isolated Power Supply with 72" removable output cable. For Dell Rugged Latitude tablet.</t>
  </si>
  <si>
    <t>7300-0291</t>
  </si>
  <si>
    <t>LIND 12-32 VDC Isolated Power Supply with 72" removable output cable. For Dell Rugged Latitude Tablet.</t>
  </si>
  <si>
    <t>7300-0290</t>
  </si>
  <si>
    <t>LIND-72-110 VDC Power supply for Dell, intended for material handling solutions. REPLACES 16795.</t>
  </si>
  <si>
    <t>7300-0430</t>
  </si>
  <si>
    <t>LIND-20-60 VDC Power supply for Dell, intended for material handling solutions. REPLACES 16794.</t>
  </si>
  <si>
    <t>7300-0429</t>
  </si>
  <si>
    <t>LIND-12-32 VDC Power supply for Dell, intended for material handling solutions. REPLACES 16793.</t>
  </si>
  <si>
    <t>7300-0470</t>
  </si>
  <si>
    <t>LIND-72-110V DC/DC Power adapter for Zebra ET50/55 Docking Stations  (Item No. 7160-0860-00, 7160-0861-00) and Powered Cradles (Item No. 7160-0818-04, 7160-0819-04); provides regulated power for forklifts or heavy equipment that have a 70-110 volt DC input power range. REPLACES 16515.</t>
  </si>
  <si>
    <t>7300-0418</t>
  </si>
  <si>
    <t>LIND DC/DC Power Adapter for Zebra ET50/55 Docking Stations (Item No. 7160-0860-00, 7160-0861-00) and Powered Cradles (Item No. 7160-0818-04, 7160-0819-04); Getac ZX70 Charging cradle (7160-1135-01); provides regulated power for forklifts or heavy equipment that have a 20 to 60 volt DC input power range. REPLACES 16412.</t>
  </si>
  <si>
    <t>7300-0467</t>
  </si>
  <si>
    <t>LIND DC/DC Power Adapter for Zebra ET50/55 Docking Stations  (Item No. 7160-0860-00, 7160-0861-00) and Powered Cradles (Item No. 7160-0818-04, 7160-0819-04); Getac ZX70 Charging cradle (7160-1135-01); provides regulated power for forklifts or heavy equipment that have a 12 - 32 volt DC input power range. REPLACES 16411.</t>
  </si>
  <si>
    <t>7300-0466</t>
  </si>
  <si>
    <t>LIND-72-110V Power adapter for Getac docking stations and cradles; provides regulated power for forklifts or heavy equipment that have a 70 to 110 volt DC input power range. REPLACES 16513.</t>
  </si>
  <si>
    <t>7300-0416</t>
  </si>
  <si>
    <t>LIND DC/DC Power Adapter for Getac docking stations and cradles; provides regulated power for forklifts or heavy equipment that have a 12 to32 volt DC input power range.  REPLACES 16079.</t>
  </si>
  <si>
    <t>7300-0413</t>
  </si>
  <si>
    <t>LIND DC/DC Power Adapter for Getac docking stations and cradles; provides regulated power for forklifts or heavy equipment that have a 20 to 60 volt DC input power range. REPLACES 16078</t>
  </si>
  <si>
    <t>7300-0412</t>
  </si>
  <si>
    <t>LIND 72-100V Material handling isolated power adapter with bare wire lead.  Output voltage 5Vdc, Output current 2 Amps to straight barrel connector plug  1.7 X 4.0 mm. (Panasonic FZ-L1, Samsung TC8000/TC8300) REPLACES 7400-0015</t>
  </si>
  <si>
    <t>7300-0483</t>
  </si>
  <si>
    <t>LIND 20-60V Material handling isolated power adapter with bare wire lead.  Output voltage 5Vdc, Output current 2 Amps to straight barrel connector plug  1.7 X 4.0 mm. (Panasonic FZ-L1, Samsung TC8000/TC8300). REPLACES REPLACES 7400-0014.</t>
  </si>
  <si>
    <t>7300-0456</t>
  </si>
  <si>
    <t>LIND 12-32V Material handling isolated power adapter with bare wire lead.  Output voltage 5Vdc, Output current 2 Amps to straight barrel connector plug.  (Panasonic FZ-L1, Samsung TC8000/TC8300). REPLACES 7400-0013.</t>
  </si>
  <si>
    <t>7300-0455</t>
  </si>
  <si>
    <t>LIND 72-110V Material handling isolated power adapter with bare wire lead. Output voltage 15.6Vdc, Output current 5.5 Amps to barrel connector plug.  Toughpad FZ-A2, G1, M1/B1, Toughbook A3, N1, 20.  REPLACES 16514.</t>
  </si>
  <si>
    <t>7300-0417</t>
  </si>
  <si>
    <t>LIND 20-60V Material handling isolated power adapter with bare wire lead.  Output voltage 15.6Vdc, Output current 5.5 Amps to barrel connector plug. Toughpad FZ-A2, G1, M1/B1, Toughbook A3, N1, 20.  REPLACES 15203.</t>
  </si>
  <si>
    <t>7300-0465</t>
  </si>
  <si>
    <t>LIND 12-32V Material handling isolated power adapter with bare wire lead.  Output voltage 15.6Vdc, Output current 5.5 Amps to barrel connector plug. Toughpad FZ-A2, G1, M1/B1, Toughbook A3, N1, 20.  REPLACES 15202.</t>
  </si>
  <si>
    <t>7300-0464</t>
  </si>
  <si>
    <t xml:space="preserve">75MM HOLES TO STUDS ADAPTER PLATE </t>
  </si>
  <si>
    <t>7160-1942</t>
  </si>
  <si>
    <t>Low Profile Tablet Keyboard Bracket</t>
  </si>
  <si>
    <t>7160-0984</t>
  </si>
  <si>
    <t>Zebra Tamper proof bracket</t>
  </si>
  <si>
    <t>7160-1146</t>
  </si>
  <si>
    <t>Dell Latitude 12 Rugged and Panasonic FZ-G1 Tamper Proof Bracket with Accelerometer</t>
  </si>
  <si>
    <t>7160-1111</t>
  </si>
  <si>
    <t>IPC VuLock distracted driving software. Combine with accelerometer (16379) to create a motion sensitive screen-blanking solution. REPLACES 17727.</t>
  </si>
  <si>
    <t>7300-0434</t>
  </si>
  <si>
    <t>Accelerometer with USB cable.  Combine with IPC VuLock driving software (7300-0434) to create a motion sensitive screen-blanking solution.  REPLACES 16379.</t>
  </si>
  <si>
    <t>7300-0414</t>
  </si>
  <si>
    <t>FORKLIFT SHRINK WRAP MOUNT - LARGE BACK PLATE</t>
  </si>
  <si>
    <t>7160-1810-01</t>
  </si>
  <si>
    <t>FORKLIFT SHRINK WRAP MOUNT - SMALL BACK PLATE</t>
  </si>
  <si>
    <t>7160-1810</t>
  </si>
  <si>
    <t xml:space="preserve">FORKLIFT LIGHT MOUNT WITH STROBE DEFLECTOR SHIELD </t>
  </si>
  <si>
    <t>7170-1060</t>
  </si>
  <si>
    <t xml:space="preserve">STROBE LIGHT DEFLECTOR, J.W. SPEAKER, MODEL 539 </t>
  </si>
  <si>
    <t>7160-1790</t>
  </si>
  <si>
    <t>Magnetic Redline Light Mount</t>
  </si>
  <si>
    <t>7160-0850</t>
  </si>
  <si>
    <t>Forklift Safety Light Bracket</t>
  </si>
  <si>
    <t>7160-1719</t>
  </si>
  <si>
    <t>Forklift Mount: Single Light Bracket</t>
  </si>
  <si>
    <t>7160-0610</t>
  </si>
  <si>
    <t xml:space="preserve">KIT - ZQ630 PRINTER MOUNT WITH 4" FAN FOLD LABEL MOUNT </t>
  </si>
  <si>
    <t>7170-1128</t>
  </si>
  <si>
    <t xml:space="preserve"> 4" FANFOLD LABEL HOLDER </t>
  </si>
  <si>
    <t>7160-2008</t>
  </si>
  <si>
    <t>PRINTER MOUNT - BROTHER RJ4250WB/RJ4230B</t>
  </si>
  <si>
    <t>7160-1964</t>
  </si>
  <si>
    <t xml:space="preserve">PRINTER MOUNT - ZEBRA ZD620, 75MM HP </t>
  </si>
  <si>
    <t>7160-1693</t>
  </si>
  <si>
    <t xml:space="preserve">HONEYWELL RP4 PRINTER MOUNT </t>
  </si>
  <si>
    <t>7160-1816</t>
  </si>
  <si>
    <t xml:space="preserve">HONEYWELL RP2 PRINTER MOUNT </t>
  </si>
  <si>
    <t>7160-1821</t>
  </si>
  <si>
    <t xml:space="preserve">KIT - TABLET PIVOTING AMP's MOUNT W/HONEYWELL GRANIT CRADLE ADAPTER </t>
  </si>
  <si>
    <t>7170-1051</t>
  </si>
  <si>
    <t>KIT - Zebra DS3678 Scanner Cradle Pivoting Mount Kit</t>
  </si>
  <si>
    <t>7170-1050</t>
  </si>
  <si>
    <t>KIT - Zebra DS3678 Scanner Cradle 2-3" Round Tube Mount Kit</t>
  </si>
  <si>
    <t>7170-1049</t>
  </si>
  <si>
    <t>KIT - Zebra DS3678 Scanner Cradle Rectangular Guard Leg Mount Kit</t>
  </si>
  <si>
    <t>7170-1048</t>
  </si>
  <si>
    <t xml:space="preserve">KIT - HONEYWELL GRANIT CRADLE ADAPTER WITH ZIRKONA DOGBONE 2" TO 3" ROUND TUBE MOUNT </t>
  </si>
  <si>
    <t>7170-1047</t>
  </si>
  <si>
    <t xml:space="preserve">KIT - HONEYWELL GRANIT CRADLE ADAPTER WITH ZIRKONA DOGBONE RECTANGULAR TUBE MOUNT </t>
  </si>
  <si>
    <t>7170-1014</t>
  </si>
  <si>
    <t>Kit - Scanner Pocket with Zirkona 2" to 3" Tube Mount</t>
  </si>
  <si>
    <t>7170-0796</t>
  </si>
  <si>
    <t>Kit - Scanner Pocket with Zirkona Diamond Plate Mount</t>
  </si>
  <si>
    <t>7170-0788</t>
  </si>
  <si>
    <t>Kit - Pistol Grip Scanner Mount with 4" Diamond Plate</t>
  </si>
  <si>
    <t>7170-0764</t>
  </si>
  <si>
    <t>Tablet Pivoting Amps Mount</t>
  </si>
  <si>
    <t>7160-1486</t>
  </si>
  <si>
    <t>Zebra DS3678 Scanner Cradle Adapter Bracket</t>
  </si>
  <si>
    <t>7160-1485</t>
  </si>
  <si>
    <t>Scanner Pocket with AMPs Adapter Plate</t>
  </si>
  <si>
    <t>7160-1433</t>
  </si>
  <si>
    <t>Tablet Mounted Pocket Scanner Holder</t>
  </si>
  <si>
    <t>7160-1389</t>
  </si>
  <si>
    <t>Pistol Grip Scanner Bracket</t>
  </si>
  <si>
    <t>7160-1380</t>
  </si>
  <si>
    <t>Cable Reel Hanger</t>
  </si>
  <si>
    <t>7160-1319</t>
  </si>
  <si>
    <t>Scanner Pocket Mount with Large Back Plate</t>
  </si>
  <si>
    <t>7160-1306-01</t>
  </si>
  <si>
    <t>Scanner Pocket Mount with Small Back Plate</t>
  </si>
  <si>
    <t>7160-1306</t>
  </si>
  <si>
    <t xml:space="preserve">MAGNETIC SCANNER POCKET - LARGE </t>
  </si>
  <si>
    <t>7160-1958</t>
  </si>
  <si>
    <t>Flat Surface Magnet Mount w/ Scanner Holder</t>
  </si>
  <si>
    <t>7160-1259</t>
  </si>
  <si>
    <t>Barcode scanner / mobile computer mount</t>
  </si>
  <si>
    <t>7160-0854</t>
  </si>
  <si>
    <t>Retractable Scanner Holder</t>
  </si>
  <si>
    <t>7300-0302</t>
  </si>
  <si>
    <t>Keyence BT-A700 Non-Powered Cradle</t>
  </si>
  <si>
    <t>7160-1695</t>
  </si>
  <si>
    <t xml:space="preserve">HONEYWELL GRANIT CRADLE ADAPTER </t>
  </si>
  <si>
    <t>7160-1694</t>
  </si>
  <si>
    <t>Zebra MC9300 Scanner Cradle</t>
  </si>
  <si>
    <t>7160-1686</t>
  </si>
  <si>
    <t>Kit - Forklift, Fan Mounting Bracket</t>
  </si>
  <si>
    <t>7170-0774</t>
  </si>
  <si>
    <t>Maradyne 4 Hole Fan Mount</t>
  </si>
  <si>
    <t>7160-1588</t>
  </si>
  <si>
    <t>Forklift, Fan Mounting Bracket</t>
  </si>
  <si>
    <t>7160-1342</t>
  </si>
  <si>
    <t>Fixed Fork truck Cup Holder Mount</t>
  </si>
  <si>
    <t>7160-1669</t>
  </si>
  <si>
    <t>Forklift Cupholder Bracket</t>
  </si>
  <si>
    <t>7160-1297</t>
  </si>
  <si>
    <t xml:space="preserve">ANTENNA MOUNT 1.50" DIA TUBE </t>
  </si>
  <si>
    <t>7160-1535</t>
  </si>
  <si>
    <t>Forklift Antenna Mount</t>
  </si>
  <si>
    <t>7160-1303</t>
  </si>
  <si>
    <t xml:space="preserve">DUAL DISPLAY CLEVIS MOUNT </t>
  </si>
  <si>
    <t>7160-1917</t>
  </si>
  <si>
    <t xml:space="preserve">ZIRKONA - 6" MED DOGBONE WITH LARGE HANDLES </t>
  </si>
  <si>
    <t>7110-1431</t>
  </si>
  <si>
    <t xml:space="preserve">4.50" LOCKING SWING ARM </t>
  </si>
  <si>
    <t>7110-1424</t>
  </si>
  <si>
    <t xml:space="preserve">ZEBRA VC8300/VC80 TO 75MM VESA ADAPTER PLATE </t>
  </si>
  <si>
    <t>7160-1285</t>
  </si>
  <si>
    <t>HD .75 TO 2" DIA. ROUND POLE MOUNT</t>
  </si>
  <si>
    <t>7160-1732</t>
  </si>
  <si>
    <t>Flat Surface Magnet Mount w/ Clevis</t>
  </si>
  <si>
    <t>7160-1258</t>
  </si>
  <si>
    <t>FLAT SURFACE MAGNET MOUNT WITH TALL CLEVIS</t>
  </si>
  <si>
    <t>7160-1258-01</t>
  </si>
  <si>
    <t>Flat Surface Mount</t>
  </si>
  <si>
    <t>7160-1105</t>
  </si>
  <si>
    <t>Quick Release Mount</t>
  </si>
  <si>
    <t>7160-0593</t>
  </si>
  <si>
    <t>2"  HD Clamp (Muffler Clamp)</t>
  </si>
  <si>
    <t>Pallet Rider Kit for Crown PE4500</t>
  </si>
  <si>
    <t>7170-0708</t>
  </si>
  <si>
    <t xml:space="preserve">CROWN PE4500 Pallet Rider Mount, 21" TUBE </t>
  </si>
  <si>
    <t>7160-1734</t>
  </si>
  <si>
    <t>Raymond Pallet Mount</t>
  </si>
  <si>
    <t>7160-1144</t>
  </si>
  <si>
    <t>Forklift Vertical Extension (7160-0856) with Dual Clam Shell with 3” Arm and Small Back Plate (7160-0420)</t>
  </si>
  <si>
    <t>7170-0704</t>
  </si>
  <si>
    <t>Forklift vertical extension bar</t>
  </si>
  <si>
    <t>7160-0856</t>
  </si>
  <si>
    <t>Forklift Horizontal Extension</t>
  </si>
  <si>
    <t>7160-0363</t>
  </si>
  <si>
    <t>Adjustable Overhead Guard Mount -TALL</t>
  </si>
  <si>
    <t>7160-1591-01</t>
  </si>
  <si>
    <t>Adjustable Overhead Guard Mount - SHORT</t>
  </si>
  <si>
    <t>7160-1591</t>
  </si>
  <si>
    <t>Tall Overhead Bar Mount</t>
  </si>
  <si>
    <t>7160-1156-01</t>
  </si>
  <si>
    <t>Overhead Bar Mount</t>
  </si>
  <si>
    <t>7160-1156</t>
  </si>
  <si>
    <t>Overhead Guard Mount with Dual Clam Shell</t>
  </si>
  <si>
    <t>7160-0586</t>
  </si>
  <si>
    <t>Overhead Guard Mount with Single Clam Shell</t>
  </si>
  <si>
    <t>7160-0585</t>
  </si>
  <si>
    <t xml:space="preserve">Forklift Roof Mount with Clam Shell </t>
  </si>
  <si>
    <t>7160-0368</t>
  </si>
  <si>
    <t>Sit Down Forklift mounting LINDe EV30 or EV40</t>
  </si>
  <si>
    <t>7170-0707</t>
  </si>
  <si>
    <t>Sit Down Forklift mounting Jungheinrich / CAT / Toyota</t>
  </si>
  <si>
    <t>7170-0706</t>
  </si>
  <si>
    <t>Sit Down Forklift mounting Yale and Hyster (also fits Crown C-5)</t>
  </si>
  <si>
    <t>7170-0705</t>
  </si>
  <si>
    <t>CLARK Roll Formed Pillar Bracket</t>
  </si>
  <si>
    <t>7160-1542</t>
  </si>
  <si>
    <t>LINDe Custom Roll Form Pillar Bracket.  Use with special LINDe forklift models EV-30 and EV-40</t>
  </si>
  <si>
    <t>7160-0815</t>
  </si>
  <si>
    <t>Jungheinrich / CAT custom Roll Form Pillar Bracket.  Use with special Jungheinrich models EFG 110K-115; EFG 213K-220; EFG 316K-320; EFG 425K-S30;EFG 535K-S50 or CAT models 2ET 2500-2ET 4000</t>
  </si>
  <si>
    <t>7160-0814</t>
  </si>
  <si>
    <t>Roll Formed Pillar Bracket - Yale  (also fits Hyster &amp; Crown’s C-5)</t>
  </si>
  <si>
    <t>7160-0418</t>
  </si>
  <si>
    <t>CLARK ROLL FORM BRACKET &amp; DUAL CLAM SHELL WITH 4" ARM</t>
  </si>
  <si>
    <t>7170-0939</t>
  </si>
  <si>
    <t>Zirkona - 4" Diamond Mount with 6" Medium Dog-Bone Joiner and VESA 75mm Plate</t>
  </si>
  <si>
    <t>7160-1466-01</t>
  </si>
  <si>
    <t>Zirkona - 4" Diamond Mount with 6" Medium Dog-Bone Joiner and AMPs Plate</t>
  </si>
  <si>
    <t>7160-1466</t>
  </si>
  <si>
    <t>4" Diamond Plate w/ Zirkona large joiner w/ Vesa 75mm plate</t>
  </si>
  <si>
    <t>7160-1261-01</t>
  </si>
  <si>
    <t>4" Diamond Plate w/ Zirkona large joiner w/ Amps plate</t>
  </si>
  <si>
    <t>7160-1261</t>
  </si>
  <si>
    <t>4" Diamond Mount</t>
  </si>
  <si>
    <t>7160-1235</t>
  </si>
  <si>
    <t xml:space="preserve">GUARD LEG MOUNT WITH DUAL ARMS </t>
  </si>
  <si>
    <t>7160-2020</t>
  </si>
  <si>
    <t xml:space="preserve">GUARD LEG MOUNT </t>
  </si>
  <si>
    <t>7160-1995</t>
  </si>
  <si>
    <t>UNIVERSAL FORKLIFT GUARD LEG LOCKING SWING ARM MOUNT</t>
  </si>
  <si>
    <t>7160-1841</t>
  </si>
  <si>
    <t>Fixed Base, Clam Shell with Articulating Arm</t>
  </si>
  <si>
    <t>7160-1505</t>
  </si>
  <si>
    <t>Dual Clam Shell with 3” Arm and Large Back Plate</t>
  </si>
  <si>
    <t>7160-0421</t>
  </si>
  <si>
    <t>Dual Clam Shell with 3” Arm and Small Back Plate</t>
  </si>
  <si>
    <t>7160-0420</t>
  </si>
  <si>
    <t>Forklift Secondary Clam Shell</t>
  </si>
  <si>
    <t>7160-0371</t>
  </si>
  <si>
    <t>Forklift Clam Shell with Large Plate</t>
  </si>
  <si>
    <t>7160-0370</t>
  </si>
  <si>
    <t>Forklift dual Clam Shell with Large Plate</t>
  </si>
  <si>
    <t>7160-0367</t>
  </si>
  <si>
    <t>Forklift Dual Clam Shell with Small Plate</t>
  </si>
  <si>
    <t>7160-0366</t>
  </si>
  <si>
    <t>Forklift Clam Shell with Small Plate</t>
  </si>
  <si>
    <t>7160-0357</t>
  </si>
  <si>
    <t>Forklift 0-90 Clevis</t>
  </si>
  <si>
    <t>7160-0356</t>
  </si>
  <si>
    <t xml:space="preserve">ZIRKONA - 2" - 3" ROUND POLE MOUNT CLAMP </t>
  </si>
  <si>
    <t>7110-1433</t>
  </si>
  <si>
    <t xml:space="preserve">ZIRKONA .75 -1.88 POLE MOUNT BASE </t>
  </si>
  <si>
    <t>7110-1430</t>
  </si>
  <si>
    <t>Zirkona, 3/4" to 1-7/8" Pole Mount with 6" Medium Dog-Bone and VESA 75mm Plate</t>
  </si>
  <si>
    <t>7160-1533-01</t>
  </si>
  <si>
    <t>Zirkona, 3/4" to 1-7/8" Pole Mount with 6" Medium Dog-Bone and AMP's Plate</t>
  </si>
  <si>
    <t>7160-1533</t>
  </si>
  <si>
    <t>Zirkona, 2" to 3" Pole Mount with 6" Medium Dog-Bone and VESA 75mm Plate</t>
  </si>
  <si>
    <t>7160-1531-01</t>
  </si>
  <si>
    <t>Zirkona, 2" to 3" Pole Mount with 6" Medium Dog-Bone and AMP's Plate</t>
  </si>
  <si>
    <t>7160-1531</t>
  </si>
  <si>
    <t>Zirkona 3/4" to 1-7/8" Pole Mount with Quick Release VESA 75mm Mounting Plate</t>
  </si>
  <si>
    <t>7160-1367-03</t>
  </si>
  <si>
    <t>Zirkona 3/4" to 1-7/8" Pole Mount with Quick Release AMPs Mounting Plate</t>
  </si>
  <si>
    <t>7160-1367-02</t>
  </si>
  <si>
    <t>Zirkona 3/4" to 1-7/8" Pole Mount w/ VESA 75mm Mounting Plate</t>
  </si>
  <si>
    <t>7160-1367-01</t>
  </si>
  <si>
    <t>Zirkona 3/4" to 1-7/8" Pole Mount w/ Round Mounting Plate</t>
  </si>
  <si>
    <t>7160-1367</t>
  </si>
  <si>
    <t>Zirkona 2" to 3" Pole Mount w/ VESA 75mm Mounting Plate</t>
  </si>
  <si>
    <t>7160-1356-01</t>
  </si>
  <si>
    <t>Zirkona 2" to 3" Pole Mount w/ Round Mounting Plate</t>
  </si>
  <si>
    <t>7160-1356</t>
  </si>
  <si>
    <t>Kit - Guard Leg 2" to 3" Tube Clamp (7160-0561) with Dual Clam Shell with 3” Arm and Small Back Plate (7160-0420-01)</t>
  </si>
  <si>
    <t>7170-0703</t>
  </si>
  <si>
    <t>Guard Leg 2" to 3" Tube Clamp</t>
  </si>
  <si>
    <t>7160-0561</t>
  </si>
  <si>
    <t>TRI-SUCTION CUP MOUNT WITH DUAL CLAM SHELL KIT</t>
  </si>
  <si>
    <t>7170-1085</t>
  </si>
  <si>
    <t>TRI-SUCTION CUP MOUNT WITH LARGE JOINER KIT</t>
  </si>
  <si>
    <t>7170-1079</t>
  </si>
  <si>
    <t xml:space="preserve">TRI-SUCTION CUP MOUNT </t>
  </si>
  <si>
    <t>7160-1954</t>
  </si>
  <si>
    <t xml:space="preserve">KIT - TOYOTA / RAYMOND REACH TRUCK / CAB MOUNT </t>
  </si>
  <si>
    <t>7170-1102</t>
  </si>
  <si>
    <t>CATERPILLAR GC55K CAB BRACKET</t>
  </si>
  <si>
    <t>7160-1386</t>
  </si>
  <si>
    <t xml:space="preserve">TALL CAB OVERHEAD GUARD MOUNT </t>
  </si>
  <si>
    <t>7160-1425-01</t>
  </si>
  <si>
    <t>Overhead Guard Cab Mount</t>
  </si>
  <si>
    <t>7160-1425</t>
  </si>
  <si>
    <t>Hyster / Yale 40-70 Cab Mount</t>
  </si>
  <si>
    <t>7160-1278</t>
  </si>
  <si>
    <t>Toyota Cab Mount</t>
  </si>
  <si>
    <t>7160-1233</t>
  </si>
  <si>
    <t>Toyota Cab Latch Mount for Electronic Hydraulics</t>
  </si>
  <si>
    <t>7160-1151</t>
  </si>
  <si>
    <t>Hyster / Yale Electric Bracket</t>
  </si>
  <si>
    <t>7160-1109</t>
  </si>
  <si>
    <t>LINDe E30 Latch Mounting Bracket</t>
  </si>
  <si>
    <t>7160-1103</t>
  </si>
  <si>
    <t>Cab Bracket Mount</t>
  </si>
  <si>
    <t>7160-1096</t>
  </si>
  <si>
    <t xml:space="preserve">9" Workstation Radio Platform with Cup Holder (Deep Angled) </t>
  </si>
  <si>
    <t>7160-1598-03</t>
  </si>
  <si>
    <t>9" Workstation (4WD Shifter) Radio Platform with Cup Holder (Deep Angled)</t>
  </si>
  <si>
    <t>7160-1598-02</t>
  </si>
  <si>
    <t>9" Workstation Radio Platform (Deep Angled)</t>
  </si>
  <si>
    <t>7160-1598-01</t>
  </si>
  <si>
    <t xml:space="preserve">9" Workstation (4WD Shifter) Radio Platform (Deep Angled) </t>
  </si>
  <si>
    <t>7160-1598</t>
  </si>
  <si>
    <t xml:space="preserve">Large Workstation Radio Platform with Cup Holder (Deep Angled) </t>
  </si>
  <si>
    <t>7160-1597</t>
  </si>
  <si>
    <t>REMOVABLE TRAY - LARGE WORKSTATION - was p/n 7160-1698</t>
  </si>
  <si>
    <t>7160-2016</t>
  </si>
  <si>
    <t>KIT - WORKSTATION BOX, SMALL, SHORT WITH FILE HANGER TRAY, WORKSTATION CONSOLE (3" &amp; 5" OPENINGS), 2 ADJUSTABLE ARMRESTS, EXTERNAL CUP HOLDER, AND TOP PLATE</t>
  </si>
  <si>
    <t>7170-1113-07</t>
  </si>
  <si>
    <t>KIT - WORKSTATION BOX, SMALL, SHORT WITH FILE HANGER TRAY, WORKSTATION CONSOLE, 2 ADJUSTABLE ARMRESTS, AND TOP PLATE</t>
  </si>
  <si>
    <t>7170-1113-06</t>
  </si>
  <si>
    <t>KIT - WORKSTATION BOX, SMALL, SHORT WITH FILE HANGER TRAY, ADJUSTABLE ARMREST AND 9" RADIO PLATFORM (CUPHOLDER VERSION)</t>
  </si>
  <si>
    <t>7170-1113-05</t>
  </si>
  <si>
    <t>KIT - WORKSTATION BOX, SMALL, SHORT WITH FILE HANGER TRAY, ADJUSTABLE ARMREST AND 9" RADIO PLATFORM (4WD SHIFTER/CUPHOLDER VERSION)</t>
  </si>
  <si>
    <t>7170-1113-04</t>
  </si>
  <si>
    <t>KIT - WORKSTATION BOX, SMALL, SHORT WITH FILE HANGER TRAY, ADJUSTABLE ARMREST AND 9" RADIO PLATFORM (BASE VERSION)</t>
  </si>
  <si>
    <t>7170-1113-03</t>
  </si>
  <si>
    <t>KIT - WORKSTATION BOX, SMALL, SHORT WITH FILE HANGER TRAY, ADJUSTABLE ARMREST AND 9" RADIO PLATFORM (4WD SHIFTER VERSION)</t>
  </si>
  <si>
    <t>7170-1113-02</t>
  </si>
  <si>
    <t>KIT - WORKSTATION BOX, SMALL, SHORT WITH FILE HANGER TRAY AND 2 ADJUSTABLE ARMRESTS - was p/n 7170-0922</t>
  </si>
  <si>
    <t>7170-1113-01</t>
  </si>
  <si>
    <t>KIT - WORKSTATION BOX, SMALL, SHORT WITH FILE HANGER TRAY</t>
  </si>
  <si>
    <t>7170-1113-00</t>
  </si>
  <si>
    <t>KIT - WORKSTATION BOX, LARGE WITH FLAT FLOOR MOUNTING PLATE - was p/n 7170-0581-05</t>
  </si>
  <si>
    <t>7170-1114-05</t>
  </si>
  <si>
    <t>KIT - WORKSTATION BOX, LARGE WITH WORKSTATION CONSOLE BOX AND CONSOLE BOX LEDGE - 7170-0581-04</t>
  </si>
  <si>
    <t>7170-1114-04</t>
  </si>
  <si>
    <t>KIT - WORKSTATION BOX, LARGE WITH MOUNTING LEGS, WORKSTATION CONSOLE BOX, AND CONSOLE LEDGE - was p.n 7170-0581-03</t>
  </si>
  <si>
    <t>7170-1114-03</t>
  </si>
  <si>
    <t>KIT - Larger Workstation with Mounting Legs and Computer Platform - was p/n 7170-0581-02</t>
  </si>
  <si>
    <t>7170-1114-02</t>
  </si>
  <si>
    <t>KIT - WORKSTATION BOX, LARGE WITH MOUNTING LEGS AND COMPUTER PLATFORM - was p/n 7170-0581-01</t>
  </si>
  <si>
    <t>7170-1114-01</t>
  </si>
  <si>
    <t>KIT - WORKSTATION BOX, LARGE WITH MOUNTING LEGS - was p/n 7170-0581-00</t>
  </si>
  <si>
    <t>7170-1114-00</t>
  </si>
  <si>
    <t>KIT - Small Workstation with Large Top Plate, Workstation Console Box, and 2 Armrests - was p/n 7170-0563-04</t>
  </si>
  <si>
    <t>7170-1112-03</t>
  </si>
  <si>
    <t>KIT - Workstation Box, Small-Tall with Mounting Legs and Radio Platform - was p/n 7170-0563-02</t>
  </si>
  <si>
    <t>7170-1112-02</t>
  </si>
  <si>
    <t>Kit - Workstation Box, Small, Tall with Mounting Legs and Computer Platform - was p/n 7170-0563-01</t>
  </si>
  <si>
    <t>7170-1112-01</t>
  </si>
  <si>
    <t>KIT - Workstation Box, Small-Tall with Mounting Legs - was p/n 7170-0563-00</t>
  </si>
  <si>
    <t>7170-1112-00</t>
  </si>
  <si>
    <t>KIT - WORKSTATION BOX, FILE BOX WITH 13" EPIC BOX, ARMREST, EXTERNAL CUPHOLDER, AND TOP PLATE - was 7170-0164</t>
  </si>
  <si>
    <t>7170-1111-02</t>
  </si>
  <si>
    <t>KIT - WORKSTATION BOX, FILE BOX WITH UNIVERSAL SLOPED FRONT CONSOLE, INTERNAL CUP HOLDER, AND TOP PLATE - was p/n 7170-0125-01</t>
  </si>
  <si>
    <t>7170-1111-01</t>
  </si>
  <si>
    <t>KIT - Workstation Box, File Box with Work Truck Console, Armrest, and Top Plate - was p/n 7170-0125</t>
  </si>
  <si>
    <t>7170-1111-00</t>
  </si>
  <si>
    <t>Support Leg - CONSOLE LEDGE Freightliner M2 Business Class 2012+</t>
  </si>
  <si>
    <t>7160-1349</t>
  </si>
  <si>
    <t>REMOVABLE TRAY - SMALL WORKSTATION - was p/n 7160-0986</t>
  </si>
  <si>
    <t>7160-2015</t>
  </si>
  <si>
    <t>Workstation 4 Inch LED Light Assembly</t>
  </si>
  <si>
    <t>7160-0978</t>
  </si>
  <si>
    <t>Radio Platform for 9 Inch Console Box with Manual 4x4 Lever Indent  and Single Cup Holder</t>
  </si>
  <si>
    <t>7160-0967-02</t>
  </si>
  <si>
    <t xml:space="preserve">Radio Platform for 9 Inch Console Box  </t>
  </si>
  <si>
    <t>7160-0967-01</t>
  </si>
  <si>
    <t xml:space="preserve">Radio Platform for 9 Inch Console Box with Manual 4x4 Lever Indent  </t>
  </si>
  <si>
    <t>7160-0967</t>
  </si>
  <si>
    <t>Workstation Box, Small, Short (Box Only) - was p/n 7160-0968</t>
  </si>
  <si>
    <t>7160-1922</t>
  </si>
  <si>
    <t>Small Workstation Computer Platform</t>
  </si>
  <si>
    <t>7160-0964</t>
  </si>
  <si>
    <t>Large Workstation Computer Platform</t>
  </si>
  <si>
    <t>7160-0963</t>
  </si>
  <si>
    <t>Workstation Box, Small, Tall (Box Only) -  was p/n 7160-0947</t>
  </si>
  <si>
    <t>7160-1921</t>
  </si>
  <si>
    <t>Workstation Box, Large (Box Only) - was p/n 7160-0941</t>
  </si>
  <si>
    <t>7160-1923</t>
  </si>
  <si>
    <t xml:space="preserve">LARGE WORKSTATION CONSOLE BOX LEDGE </t>
  </si>
  <si>
    <t>7160-0920</t>
  </si>
  <si>
    <t>Leg Kit - Chevy Express (GMC Savanna) Van to Larger Workstation</t>
  </si>
  <si>
    <t>7160-0923</t>
  </si>
  <si>
    <t>Hardware Bag - Second handle for inside Large Workstation</t>
  </si>
  <si>
    <t>7120-0788</t>
  </si>
  <si>
    <t xml:space="preserve">2021+ Chevrolet Tahoe Trunk Box Leg Kit </t>
  </si>
  <si>
    <t>7160-1604</t>
  </si>
  <si>
    <t xml:space="preserve">2020+ Ford PIU Trunk Box Leg Kit w/out partition </t>
  </si>
  <si>
    <t>7160-1575</t>
  </si>
  <si>
    <t>2020+ Ford PIU Trunk Box Leg Kit</t>
  </si>
  <si>
    <t>7160-1515</t>
  </si>
  <si>
    <t xml:space="preserve">Trunk Box </t>
  </si>
  <si>
    <t>7160-1498</t>
  </si>
  <si>
    <t xml:space="preserve">2020+ Ford PI Utility Trunk Flip Up Storage </t>
  </si>
  <si>
    <t>7160-1480</t>
  </si>
  <si>
    <t>Storage Box for Electronic Equipment in SUV's  18"H x 38"W x 6"D</t>
  </si>
  <si>
    <t>7160-1048</t>
  </si>
  <si>
    <t>Upper Trunk Shelf Dodge Charger (2011+)</t>
  </si>
  <si>
    <t>7160-0336</t>
  </si>
  <si>
    <t>Lower Trunk Shelf Dodge Charger (2011+)</t>
  </si>
  <si>
    <t>7160-0020</t>
  </si>
  <si>
    <t>Angled Mounting Plate</t>
  </si>
  <si>
    <t>SS-106</t>
  </si>
  <si>
    <t>Slide mount bracket that can be tilted at a fixed 25º angle</t>
  </si>
  <si>
    <t>SDI 570</t>
  </si>
  <si>
    <t>Slide mount bracket that can be tilted at a fixed 50º angle</t>
  </si>
  <si>
    <t>SDI 560</t>
  </si>
  <si>
    <t>Slide mount bracket that can be tilted at an angle of 0º - 50º</t>
  </si>
  <si>
    <t>SDI 500</t>
  </si>
  <si>
    <t>ShortStack 2-unit vertical mount</t>
  </si>
  <si>
    <t>SM-212</t>
  </si>
  <si>
    <t>5 X 6 set of radio brackets for MCS top plate</t>
  </si>
  <si>
    <t>MCS-BRKT</t>
  </si>
  <si>
    <t>7 X 4 set of radio brackets for MCS top plate</t>
  </si>
  <si>
    <t>MCS-7X4</t>
  </si>
  <si>
    <t xml:space="preserve">Add on bracket set for StackMaster, ShortStack, StackAbout, FloorMaster or FlexMaster </t>
  </si>
  <si>
    <t>7110-0161</t>
  </si>
  <si>
    <t>Additional radio bracket for StackMaster, ShortStack, StackAbout, FloorMaster, or FlexMaster</t>
  </si>
  <si>
    <t>3130-0030</t>
  </si>
  <si>
    <t>Extension bracket for StackMaster, ShortStack, StackAbout, FloorMaster, or FlexMaster</t>
  </si>
  <si>
    <t>3130-0029</t>
  </si>
  <si>
    <t>Side bracket for StackMaster, ShortStack, StackAbout, FloorMaster or FlexMaster</t>
  </si>
  <si>
    <t>3130-0026</t>
  </si>
  <si>
    <t xml:space="preserve">Plate- Motion Device Side Mount </t>
  </si>
  <si>
    <t>In Console Printer Mount for 4" RuggedJet Printer</t>
  </si>
  <si>
    <t>7160-1903</t>
  </si>
  <si>
    <t xml:space="preserve">Seiko MP-A40 Printer Mount </t>
  </si>
  <si>
    <t>7160-1540</t>
  </si>
  <si>
    <t xml:space="preserve">Printer Mount- In-Console Printer Mount for the 2021+ Dodge Durango Console </t>
  </si>
  <si>
    <t>7160-1661</t>
  </si>
  <si>
    <t xml:space="preserve">Printer Mount- In-Console Printer Mount for the 2021+ Chevy Tahoe Wide Body Console </t>
  </si>
  <si>
    <t>7160-1573</t>
  </si>
  <si>
    <t>Printer Mount- In-Console Printer Mount for 7160-1477</t>
  </si>
  <si>
    <t>7160-1543</t>
  </si>
  <si>
    <t>PIU Console TOP PLATE - 2025+ PIU REAR HVAC CONTROL (or see in-console Faceplate option 7160-2007) (NEW)</t>
  </si>
  <si>
    <t>7160-2066</t>
  </si>
  <si>
    <t>2020+ Ford PI Utility Full Depth Side Mount</t>
  </si>
  <si>
    <t>7160-1522</t>
  </si>
  <si>
    <t>Faceplate mic clip holder with three mounting positions</t>
  </si>
  <si>
    <t>MCS-MICPLT</t>
  </si>
  <si>
    <t>2020+ Ford Utility Rear Wire Chase (Standard Box ONLY)</t>
  </si>
  <si>
    <t>7160-1407</t>
  </si>
  <si>
    <t>Rail mounted microphone clip for any EPIC series console box</t>
  </si>
  <si>
    <t>MCS-EPICMIC</t>
  </si>
  <si>
    <t>Computer mounting bracket for the MCS-LOWBOX &amp; MCS-ERGOBOX12</t>
  </si>
  <si>
    <t>MCS-COMBRKT</t>
  </si>
  <si>
    <t>9.5 Inch Offset Adaptor Bracket</t>
  </si>
  <si>
    <t>7160-1015</t>
  </si>
  <si>
    <t>Cell Phone Holder - Magnetic Base for temporary mounting</t>
  </si>
  <si>
    <t>7160-0996-00</t>
  </si>
  <si>
    <t>Cell Phone Holder - Round base for permanent mounting</t>
  </si>
  <si>
    <t>7160-0995-00</t>
  </si>
  <si>
    <t>3-Inch Disposable Glove Dispenser</t>
  </si>
  <si>
    <t>7160-0952</t>
  </si>
  <si>
    <t>Mounting Bracket Assembly for the LIND Power Supply (to a flat surface)</t>
  </si>
  <si>
    <t>7160-0936</t>
  </si>
  <si>
    <t>Wiring Chase Cover Plate - Ford PI Utility (For use with 7160-0916 Short Console Box)</t>
  </si>
  <si>
    <t>7160-0933</t>
  </si>
  <si>
    <t>Seat Belt Deflector - Ford PI Console Boxes</t>
  </si>
  <si>
    <t>7160-1045</t>
  </si>
  <si>
    <t>VESA 75MM Extension Plate</t>
  </si>
  <si>
    <t>7160-1040</t>
  </si>
  <si>
    <t>Adapter Plate – GJ 3 Stud GJ to Zirkona</t>
  </si>
  <si>
    <t>7160-1035</t>
  </si>
  <si>
    <t>Upgrade Kit for Wide Body Console Box to add Brother Pocket Jet printer</t>
  </si>
  <si>
    <t>7160-0956</t>
  </si>
  <si>
    <t xml:space="preserve">Adjustable Mic Clip </t>
  </si>
  <si>
    <t>7160-0826</t>
  </si>
  <si>
    <t>MCS Accessory - 6 Inch Short Interior Pocket</t>
  </si>
  <si>
    <t>7160-0597</t>
  </si>
  <si>
    <t>Switch, Rocker, ON/OFF, SPST, 3 Contacts, 1 Red Lights, Black</t>
  </si>
  <si>
    <t>7160-0517</t>
  </si>
  <si>
    <t>Switch, Rocker, ON/OFF/ON, SPDT, 4 Contacts 2 Red Lights, Black</t>
  </si>
  <si>
    <t>7160-0516</t>
  </si>
  <si>
    <t>MCS Control Box Mounting Tray</t>
  </si>
  <si>
    <t>7160-0853</t>
  </si>
  <si>
    <t>Hardware Bag - 3 Inch Arm for CLOSE-TO-DASH Mounts</t>
  </si>
  <si>
    <t>7120-0799</t>
  </si>
  <si>
    <t>HARDWARE BAG - For Honeywell 3320G Handheld Scanner IR (Metal Plate for mounting to a magnetic base, like Magnetic Mic)</t>
  </si>
  <si>
    <t>7120-0763</t>
  </si>
  <si>
    <t xml:space="preserve">Mic Clip with Hardware Bag </t>
  </si>
  <si>
    <t>7120-0723</t>
  </si>
  <si>
    <t>Wings, Tahoe Console Box  MY2015-2020</t>
  </si>
  <si>
    <t>7110-1201</t>
  </si>
  <si>
    <t xml:space="preserve">Cable / Wire Chase Tahoe Console Box (Silverado Truck) </t>
  </si>
  <si>
    <t>7110-1024</t>
  </si>
  <si>
    <t>Power Distribution Block, 6 circuit w/ NEG Bus</t>
  </si>
  <si>
    <t>7300-0674</t>
  </si>
  <si>
    <t>Power Distribution Block, 6 circuit w/o NEG Bus</t>
  </si>
  <si>
    <t>7300-0675</t>
  </si>
  <si>
    <t>90 degree MCS Sidestep</t>
  </si>
  <si>
    <t>7160-0106</t>
  </si>
  <si>
    <t>Flexible panel-mounted LED task light for EPIC console box</t>
  </si>
  <si>
    <t>7160-0099</t>
  </si>
  <si>
    <t>Cigarette lighter adapter kit (includes RoHS compliant 12 volt receptacle and wire kit)</t>
  </si>
  <si>
    <t>7160-0063</t>
  </si>
  <si>
    <t>3" Storage pocket for EPIC console box</t>
  </si>
  <si>
    <t>MCS-POCKET3</t>
  </si>
  <si>
    <t xml:space="preserve">Locking Pocket with Slam Latch, 3" High and 6" Deep </t>
  </si>
  <si>
    <t>7160-1555</t>
  </si>
  <si>
    <t>Locking Console Pocket Low Profile</t>
  </si>
  <si>
    <t>7160-0389</t>
  </si>
  <si>
    <t>Locking Console Pocket Tall</t>
  </si>
  <si>
    <t>7160-0388</t>
  </si>
  <si>
    <t>Pocket - 2 inches X 1.5 Inches Deep</t>
  </si>
  <si>
    <t>7160-0924</t>
  </si>
  <si>
    <t>Pocket, 4.5" x 2 inches Deep with Knockout</t>
  </si>
  <si>
    <t>Workstation Box Storage Pocket (New APR 2024)</t>
  </si>
  <si>
    <t>7160-1859</t>
  </si>
  <si>
    <t>3" Console Pocket</t>
  </si>
  <si>
    <t>7160-0332</t>
  </si>
  <si>
    <t>2021+ F-150 Top of Dash Mount (Small devices)</t>
  </si>
  <si>
    <t>7160-1724</t>
  </si>
  <si>
    <t xml:space="preserve">Top of Dash Radio Mounting Bracket </t>
  </si>
  <si>
    <t>7160-1680</t>
  </si>
  <si>
    <t xml:space="preserve">2020+ RAM 1500 (New Body Style) and 2021+ RAM 2500-5500 (New Body Style) Top of Dash Mount (Small devices) </t>
  </si>
  <si>
    <t>7160-1657</t>
  </si>
  <si>
    <t>2015-2020 F-150 and 2017+ F-250-550 Top of Dash Mount (Small devices)</t>
  </si>
  <si>
    <t>7160-1587</t>
  </si>
  <si>
    <t xml:space="preserve">2020-2024 Ford Utility On-Dash with Extension Arm </t>
  </si>
  <si>
    <t>7160-1346-01</t>
  </si>
  <si>
    <t>7160-1346</t>
  </si>
  <si>
    <t>2025+ Ford Police Interceptor® Utility On-Dash Mount</t>
  </si>
  <si>
    <t>7160-1973-01</t>
  </si>
  <si>
    <t>7160-1973</t>
  </si>
  <si>
    <t xml:space="preserve">2025+ Ford Utility Top of Dash Mount </t>
  </si>
  <si>
    <t>7160-1980</t>
  </si>
  <si>
    <t>2020+ Ford Utility Close-To-Dash (with 3" Arm)</t>
  </si>
  <si>
    <t>7160-1337-01</t>
  </si>
  <si>
    <t>2020+ Ford Utility Close-To-Dash (without 3" Arm)</t>
  </si>
  <si>
    <t>7160-1337</t>
  </si>
  <si>
    <t xml:space="preserve">Close-To-Dash Mount, Chevy Tahoe (2015-2020) for use with GJ V.S. Consoles </t>
  </si>
  <si>
    <t>7160-0822</t>
  </si>
  <si>
    <t>Close-To-Dash Mount, Ford Police Interceptor Utility for use with GJ V.S. Consoles with extension arm</t>
  </si>
  <si>
    <t>7160-0821-01</t>
  </si>
  <si>
    <t xml:space="preserve">Close-To-Dash Mount, Ford Police Interceptor Utility for use with GJ V.S. Consoles </t>
  </si>
  <si>
    <t>7160-0821</t>
  </si>
  <si>
    <t xml:space="preserve">Close-To-Dash Mount, Dodge Charger for use with GJ V.S. Consoles </t>
  </si>
  <si>
    <t>7160-0820</t>
  </si>
  <si>
    <t>Close-To-Dash Ford F150 (MY2015+), Super Duty (MY2017+) Mount, and Chevrolet Tahoe (MY2021+)</t>
  </si>
  <si>
    <t>7160-1010</t>
  </si>
  <si>
    <t>Ford Utility ON-DASH Keyboard Mount</t>
  </si>
  <si>
    <t>7160-0884</t>
  </si>
  <si>
    <t>Ford PI Utility "On-Dash" Mount with Extension Arm</t>
  </si>
  <si>
    <t>7160-0878-01</t>
  </si>
  <si>
    <t>Ford PI Utility "ON-DASH" Mount</t>
  </si>
  <si>
    <t>7160-0878</t>
  </si>
  <si>
    <t>Close-To-Dash Ford PI Sedan Mount</t>
  </si>
  <si>
    <t>7160-0871</t>
  </si>
  <si>
    <t>OFFSET ADAPTOR BRACKET</t>
  </si>
  <si>
    <t>7160-0872</t>
  </si>
  <si>
    <t>MCS-External Cup Holder</t>
  </si>
  <si>
    <t>7160-0847</t>
  </si>
  <si>
    <t>MCS-Internal Cup Holder</t>
  </si>
  <si>
    <t>7160-0846</t>
  </si>
  <si>
    <t xml:space="preserve">Rear Mounted Breakaway Printer Armrest </t>
  </si>
  <si>
    <t>7160-1759</t>
  </si>
  <si>
    <t>Breakaway Printer Armrest (no mount, armrest only)</t>
  </si>
  <si>
    <t>7160-1861</t>
  </si>
  <si>
    <t>Printer Armrest with DS-LOWER-9</t>
  </si>
  <si>
    <t>7160-1403</t>
  </si>
  <si>
    <t>Breakaway Armrest with DS-LOWER-5</t>
  </si>
  <si>
    <t>7160-1710</t>
  </si>
  <si>
    <t xml:space="preserve">Internal Printer Armrest </t>
  </si>
  <si>
    <t>7160-1553</t>
  </si>
  <si>
    <t xml:space="preserve">Adjustable Height Armrest </t>
  </si>
  <si>
    <t>7160-1572</t>
  </si>
  <si>
    <t xml:space="preserve">Armrest- Breakaway no vertical mount </t>
  </si>
  <si>
    <t>7160-1487</t>
  </si>
  <si>
    <t>Printer Armrest Vehicle Specific Console</t>
  </si>
  <si>
    <t>7160-0430</t>
  </si>
  <si>
    <t>Armrest Vehicle Specific Console - Tall</t>
  </si>
  <si>
    <t>7160-1817</t>
  </si>
  <si>
    <t>Armrest Vehicle Specific Console</t>
  </si>
  <si>
    <t>7160-0429</t>
  </si>
  <si>
    <t xml:space="preserve">MCS - Breakaway Armrest   </t>
  </si>
  <si>
    <t>7160-0525</t>
  </si>
  <si>
    <t>Armrest - Breakaway, Vehicle Specific Console</t>
  </si>
  <si>
    <t>7160-0524</t>
  </si>
  <si>
    <t>Breakaway Armrest Lockbox</t>
  </si>
  <si>
    <t>7160-1017</t>
  </si>
  <si>
    <t>Armrest Printer Mount for Pentax Mobile Printers</t>
  </si>
  <si>
    <t>7160-0006</t>
  </si>
  <si>
    <t>Armrest – Chevy Tahoe Vehicle Specific Console (Driver Side)</t>
  </si>
  <si>
    <t>7110-1013</t>
  </si>
  <si>
    <t>Internal Armrest - dodge Charger Console Box</t>
  </si>
  <si>
    <t>7110-1001</t>
  </si>
  <si>
    <t>Armrest - Small Workstation Lid</t>
  </si>
  <si>
    <t>7160-0893</t>
  </si>
  <si>
    <t>Heavy duty pedestal armrest on a 5" pole</t>
  </si>
  <si>
    <t>MCS-ARMREST5</t>
  </si>
  <si>
    <t>Heavy duty pedestal armrest</t>
  </si>
  <si>
    <t>MCS-ARMREST</t>
  </si>
  <si>
    <t>KIT - Breakaway Armrest Lockbox and DS-LOWER-5 Pole</t>
  </si>
  <si>
    <t>7170-0608-03</t>
  </si>
  <si>
    <t>KIT - Breakaway Armrest Lockbox and DS-LOWER-7 Pole</t>
  </si>
  <si>
    <t>7170-0608-02</t>
  </si>
  <si>
    <t>KIT - Breakaway Armrest Lockbox and Vertical Surface Mount</t>
  </si>
  <si>
    <t>7170-0608-01</t>
  </si>
  <si>
    <t>KIT - Armrest Lockbox and DS-LOWER-5 Pole</t>
  </si>
  <si>
    <t>7170-0607-03</t>
  </si>
  <si>
    <t>KIT - Armrest Lockbox and DS-LOWER-7 Pole</t>
  </si>
  <si>
    <t>7170-0607-02</t>
  </si>
  <si>
    <t>KIT - Armrest Lockbox and Vertical Surface Mount</t>
  </si>
  <si>
    <t>7170-0607-01</t>
  </si>
  <si>
    <t>Armrest Lockbox</t>
  </si>
  <si>
    <t>7160-1000</t>
  </si>
  <si>
    <t xml:space="preserve">Faceplate Set- 2.50 x 6.12 SS </t>
  </si>
  <si>
    <t>7140-0314</t>
  </si>
  <si>
    <t xml:space="preserve">Faceplate Set- 3.00 x 6.12 SS </t>
  </si>
  <si>
    <t>7140-0310</t>
  </si>
  <si>
    <t>Faceplate- L3 Harris XG-25M (Full Radio)</t>
  </si>
  <si>
    <t>Faceplate- Watchguard 4RE</t>
  </si>
  <si>
    <t xml:space="preserve">Faceplate- Motorola M500 DVR System </t>
  </si>
  <si>
    <t xml:space="preserve">Faceplate- Premier Canine System (Setina K9 System) </t>
  </si>
  <si>
    <t>Faceplate- L3 Harris XG-25M Remote Head</t>
  </si>
  <si>
    <t xml:space="preserve">Faceplate- Harris (L3) XL185M/XL200M Remote Head </t>
  </si>
  <si>
    <t>Faceplate, 10-8 Video HD4SD-MDVR</t>
  </si>
  <si>
    <t>Faceplate, 10-8 Arsenal Video System (New APR 2024)</t>
  </si>
  <si>
    <t>7160-1990</t>
  </si>
  <si>
    <t>2021+ Chevy/GM Relocation Faceplate (New APR 2024)</t>
  </si>
  <si>
    <t>7160-1992</t>
  </si>
  <si>
    <t xml:space="preserve">2021+ Dodge Charger Relocation Faceplate </t>
  </si>
  <si>
    <t>FACEPLATE w/ hardware bag - 2025+ FORD PIU REAR HVAC CONTROL (NEW)</t>
  </si>
  <si>
    <t>7160-2007</t>
  </si>
  <si>
    <t xml:space="preserve">2"- 4 AUX 12v Power Outlet Filler Panel </t>
  </si>
  <si>
    <t xml:space="preserve">AXON Video Hub Faceplate </t>
  </si>
  <si>
    <t xml:space="preserve">ACE K9 Hot'n Pop Faceplate </t>
  </si>
  <si>
    <t>All 2-piece faceplates - Starting with  "7140-"  (full faceplates not included)</t>
  </si>
  <si>
    <t>FACEPLATES</t>
  </si>
  <si>
    <t>Faceplate, Kenwood KES-3</t>
  </si>
  <si>
    <t>Faceplate, Motorola APX Control - Adjustable Angle</t>
  </si>
  <si>
    <t>7160-1831</t>
  </si>
  <si>
    <t>Faceplate, Getac Veretos VR-X10 Video System Vault</t>
  </si>
  <si>
    <t>7160-0932</t>
  </si>
  <si>
    <t>Faceplate, Motorola XPR 5550 / XPR6550 Radio and Control Head</t>
  </si>
  <si>
    <t>7160-0587</t>
  </si>
  <si>
    <t>Faceplate, CODE3 XCEL Siren Controller</t>
  </si>
  <si>
    <t>7160-0569</t>
  </si>
  <si>
    <t>Switch, Rocker, Momentary ON/OFF, SPST, 2 Contacts, Black</t>
  </si>
  <si>
    <t>7160-0540</t>
  </si>
  <si>
    <t xml:space="preserve">Faceplate, Motorola PM1500 </t>
  </si>
  <si>
    <t>7160-0538</t>
  </si>
  <si>
    <t xml:space="preserve">Faceplate, Uniden Bearcat Mobile Scanner </t>
  </si>
  <si>
    <t>7160-0528</t>
  </si>
  <si>
    <t>Faceplate, Harris M7300 Radio</t>
  </si>
  <si>
    <t>7160-0523</t>
  </si>
  <si>
    <t>Faceplate, L3 Mobile Vision, Flashback3</t>
  </si>
  <si>
    <t>7160-0522</t>
  </si>
  <si>
    <t>Faceplate - Motorola CDM Series Radio</t>
  </si>
  <si>
    <t>7160-0467</t>
  </si>
  <si>
    <t>Kenwood TK-790 Full Faceplate</t>
  </si>
  <si>
    <t>7160-0466</t>
  </si>
  <si>
    <t>Kenwood TK-980 and TK-981 Full Faceplate</t>
  </si>
  <si>
    <t>7160-0465</t>
  </si>
  <si>
    <t>Faceplate - Motorola 8 Button DEK (Dual)</t>
  </si>
  <si>
    <t>7160-0462</t>
  </si>
  <si>
    <t>Carson SC-411 Full Faceplate (remote head)</t>
  </si>
  <si>
    <t>7160-0460</t>
  </si>
  <si>
    <t>Faceplate - Motorola 8 Button DEK (Single)</t>
  </si>
  <si>
    <t>7160-0459</t>
  </si>
  <si>
    <t>Motorola XTVA Vehicle Adapter-  Faceplate</t>
  </si>
  <si>
    <t>7160-0458</t>
  </si>
  <si>
    <t>Faceplate - Full Harris Unity 100 XGM</t>
  </si>
  <si>
    <t>7160-0432</t>
  </si>
  <si>
    <t>Faceplate - EF Johnson 5300 Radio and Lightening Control Head</t>
  </si>
  <si>
    <t>7160-0406</t>
  </si>
  <si>
    <t>Faceplate, Soundoff Signal 500 series 1 Piece device</t>
  </si>
  <si>
    <t>Faceplate, Whelen CenCom Gold and SoundOff 380</t>
  </si>
  <si>
    <t>7160-0339</t>
  </si>
  <si>
    <t>Faceplate , Full Federal Signal Smart Siren/Platinum</t>
  </si>
  <si>
    <t>7160-0338</t>
  </si>
  <si>
    <t>Faceplate, Code 3 MasterCom</t>
  </si>
  <si>
    <t>7160-0337</t>
  </si>
  <si>
    <t>Faceplate, Motorola XTL 5000 and 2500 Full Radio</t>
  </si>
  <si>
    <t>7160-0322</t>
  </si>
  <si>
    <t>Faceplate, Motorola XTL 5000 and 2500 Control Head</t>
  </si>
  <si>
    <t>7160-0321</t>
  </si>
  <si>
    <t>Motorola APX 09 Integrated Control Head Full Faceplate</t>
  </si>
  <si>
    <t>7160-0267</t>
  </si>
  <si>
    <t>Faceplate - Federal Premium Vision &amp; SS2000 (Smart Siren Controller)</t>
  </si>
  <si>
    <t>3130-0237</t>
  </si>
  <si>
    <t>2" Filler Panel w/ 4 Switch Knockouts</t>
  </si>
  <si>
    <t>1-1/2" Filler Panel w/ (2) 12V Knockouts + 2 Rocker Switch Knockouts</t>
  </si>
  <si>
    <t>2" Blank Knockout Plate w/ 3 Mounting Holes for Cigarette Power Receptacles (Item No. 7160-0063)</t>
  </si>
  <si>
    <t>3130-0361</t>
  </si>
  <si>
    <t xml:space="preserve">5" Blank Filler Panel </t>
  </si>
  <si>
    <t>4" Blank Filler Panel</t>
  </si>
  <si>
    <t>3130-0156</t>
  </si>
  <si>
    <t>3" Blank Filler Panel</t>
  </si>
  <si>
    <t>3130-0155</t>
  </si>
  <si>
    <t>2" Blank Filler Panel</t>
  </si>
  <si>
    <t>3130-0154</t>
  </si>
  <si>
    <t>1" Blank Filler Panel</t>
  </si>
  <si>
    <t>3130-0153</t>
  </si>
  <si>
    <t>1/2" Blank Filler Panel</t>
  </si>
  <si>
    <t>3130-0152</t>
  </si>
  <si>
    <t>2.5" Blank Filler Panel</t>
  </si>
  <si>
    <t>Faceplate, Federal Signal Pathfinder 200 Control Head Faceplate (NEW)</t>
  </si>
  <si>
    <t>Faceplate, Federal Signal Pathfinder 200 Full Faceplate (NEW)</t>
  </si>
  <si>
    <t>1.5" Blank Filler Panel</t>
  </si>
  <si>
    <t>Faceplate, Kenwood NX-3000 Series Radio</t>
  </si>
  <si>
    <t>Faceplate, TAIT TM-9400 Series Radio, Control Head Only</t>
  </si>
  <si>
    <t xml:space="preserve">Faceplate, ICOM IC-F5400D / IC-F6400D Series Full Radio </t>
  </si>
  <si>
    <t>Faceplate, ICOM IC-F5400D / IC-F6400D Control Head using RMK-5 or RMK-7 Kit</t>
  </si>
  <si>
    <t>Faceplate, Kenwood KCH-20R Enhanced Control Head for NX-5000 Series radios</t>
  </si>
  <si>
    <t>Faceplate, Kenwood NX-5000 Series Full Radio and Standard Control Head</t>
  </si>
  <si>
    <t>Faceplate, SoundOff Signal - nERGY 400 Series Full Sirens - both Buttons and Knobs versions</t>
  </si>
  <si>
    <t>Faceplate, Ford Transit Factory AUX Switch Relocation, with 1 Switch/Dual USB and 2 Power Port Knockouts (2015-2023)</t>
  </si>
  <si>
    <t>Ford Transit Upfitter Switches Relocation Faceplate (2024+)</t>
  </si>
  <si>
    <t>7160-2029</t>
  </si>
  <si>
    <t>Faceplate, Whelen 295SLSA6 Full Siren Controller with Switches</t>
  </si>
  <si>
    <t>Faceplate, Whelen, Core-S Series</t>
  </si>
  <si>
    <t>Faceplate, SoundOff Signal ETSWDAS01 - Directional Arrow Switch Control Head</t>
  </si>
  <si>
    <t>Faceplate, SoundOff Signal PSRN4CTRL4 - nERGY 400 Series Control head with Knobs</t>
  </si>
  <si>
    <t>Faceplate, ICOM A110 Radio (AIR Band)</t>
  </si>
  <si>
    <t>Faceplate, ICOM IC-7100 Control Head</t>
  </si>
  <si>
    <t>Faceplate, ICOM F9511 Control Head</t>
  </si>
  <si>
    <t>Faceplate, ICOM A120 Radio (AIR Band)</t>
  </si>
  <si>
    <t>Faceplate - SoundOff Signal ETSP990 Switch Panel</t>
  </si>
  <si>
    <t>Faceplate - Yaesu FT-7900, FT-8800R, FT-8900R, FTM-400DR-(Radio Body)</t>
  </si>
  <si>
    <t>Faceplate - ICOM ID-5100 Control Head</t>
  </si>
  <si>
    <t>Faceplate - PANASONIC ARBITRATOR MK3 VPU</t>
  </si>
  <si>
    <t>Faceplate - KENWOOD NX700/800 (TK-7180/8180, MPT)</t>
  </si>
  <si>
    <t>Faceplate, Whelen 295SLSA1 Siren Box</t>
  </si>
  <si>
    <t>Faceplate, Feniex Controller (Model 4200)</t>
  </si>
  <si>
    <t>Faceplate, Federal Signal SignalMaster Controller</t>
  </si>
  <si>
    <t>Faceplate, RELM-BK KNG-M Series Radio, Radio</t>
  </si>
  <si>
    <t xml:space="preserve">Faceplate, RELM-BK KNG-M Series Radio, Control Head </t>
  </si>
  <si>
    <t>Faceplate, TAIT TM8100/TM8200 Series Radio, Full Faceplate</t>
  </si>
  <si>
    <t>Chevy Tahoe (Silverado truck)  OEM Filler Panel (USD/MP3/SD Card Jack and 12VDC Power Port)  for 7160-0548-xx</t>
  </si>
  <si>
    <t>3/4" Blank Filler Panel</t>
  </si>
  <si>
    <t>Faceplate – Whelen PCC8R  8-Button Light Controller</t>
  </si>
  <si>
    <t>Filler Panel, 6 Switches</t>
  </si>
  <si>
    <t>Filler Panel, 3 Rocker Switches and 3 Knockouts</t>
  </si>
  <si>
    <t>Faceplate - Sound Off Signal 380 Control Head - Top Hat Style</t>
  </si>
  <si>
    <t>Dodge OEM Filler Panel for 7160-0326 and 7160-0327</t>
  </si>
  <si>
    <t>Faceplate - Tray Design  CODE 3 (3997, 3998, 3999, Z3)</t>
  </si>
  <si>
    <t>LEG KIT - M2 FREIGHTLINER 2012+ - was p/n 7160-0545</t>
  </si>
  <si>
    <t>7160-2021</t>
  </si>
  <si>
    <t>23" Long top plate (wide)</t>
  </si>
  <si>
    <t>7160-0086</t>
  </si>
  <si>
    <t>29" Long top plate (wide)</t>
  </si>
  <si>
    <t>7160-0085</t>
  </si>
  <si>
    <t>MCS universal leg kit</t>
  </si>
  <si>
    <t>7110-0350</t>
  </si>
  <si>
    <t>Leg Kit, Ford,  F150 (2015+) &amp; F250-F550 Super Duty (2017+) Trucks</t>
  </si>
  <si>
    <t>7160-0555</t>
  </si>
  <si>
    <t>Ford Transit Leg Kit</t>
  </si>
  <si>
    <t>7160-0552</t>
  </si>
  <si>
    <t>Ford Expedition MCS Leg Kit (2007 - 2014)</t>
  </si>
  <si>
    <t>7160-0084</t>
  </si>
  <si>
    <t>Ford F-150 Leg Kit (2009-2014)</t>
  </si>
  <si>
    <t>7160-0164</t>
  </si>
  <si>
    <t>Leg Kit - Ford -  Sedan/Utility (2011-2014)</t>
  </si>
  <si>
    <t>7160-0413</t>
  </si>
  <si>
    <t>Leg Kit, Ford, Super Duty F250 - F550 (2011-2014), F650/750 (2011-2017)</t>
  </si>
  <si>
    <t>7160-0301</t>
  </si>
  <si>
    <t>Dodge Ram Leg Kit - Model 2011+ (NOTE: For trucks with center seat can also use NEW 7160-0985)</t>
  </si>
  <si>
    <t>7160-0422</t>
  </si>
  <si>
    <t>MCS Leg Kit for the 2006 &amp; 2014 Dodge Charger and Magnum</t>
  </si>
  <si>
    <t>7160-0088</t>
  </si>
  <si>
    <t>Leg Kit, RAM Truck with Center Seat (NOTE: For trucks with no center seat (SSV's) use 7160-0422)</t>
  </si>
  <si>
    <t>7160-0985</t>
  </si>
  <si>
    <t>Leg Kit, RAM Truck 1500 (2019+)</t>
  </si>
  <si>
    <t>7160-1383</t>
  </si>
  <si>
    <t xml:space="preserve">Leg Kit for 2021+ Chevrolet Tahoe </t>
  </si>
  <si>
    <t>7160-1634</t>
  </si>
  <si>
    <t>2024+ Chevy Silverado EV Leg Kit with Top Plate &amp; Metal Trim Wiring Cover</t>
  </si>
  <si>
    <t>7160-1905</t>
  </si>
  <si>
    <t>Leg Kit for (2014 +) GMC Sierra (1500), Chevy Silverado (1500); (2015 +) Sierra &amp; Silverado 2500 -3500, HD, Suburban, Tahoe, Yukon</t>
  </si>
  <si>
    <t>7160-0509</t>
  </si>
  <si>
    <t>Leg Kit, Chevy Express Van &amp; GMC Savana</t>
  </si>
  <si>
    <t>7160-0575</t>
  </si>
  <si>
    <t>Leg Kit, Chevy Silverado 1500 (2019+) &amp; GMC Sierra 1500 (2019+)</t>
  </si>
  <si>
    <t>7160-1325</t>
  </si>
  <si>
    <t>MCS Leg Kit for GMC Sierra, Chevy Suburban, Tahoe, Yukon (2000-2013); Silverado (1999-2013) (2014 models all EXCEPT 1500 model - New Body Style)</t>
  </si>
  <si>
    <t>7160-0160</t>
  </si>
  <si>
    <t>Leg Kit for Chevrolet Caprice (1990-95), Ford Crown Vic (1991-2011)</t>
  </si>
  <si>
    <t>7160-0117</t>
  </si>
  <si>
    <t xml:space="preserve">CONSOLE BOX- WIDE BODY EXTENDED </t>
  </si>
  <si>
    <t>7160-1460</t>
  </si>
  <si>
    <t>KIT - Universal Wide Body Console Box with Locked Storage Pocket, Printer Mount, Cup Holder, Armrest and 9" Mongoose XLE; Includes 3 faceplates and 3 filler panels.</t>
  </si>
  <si>
    <t>7170-1006-05</t>
  </si>
  <si>
    <t>KIT - Universal Wide Body Console Box with Locked Storage Pocket, Printer Mount, Cup Holder and Armrest; Includes 3 faceplates and 3 filler panels.</t>
  </si>
  <si>
    <t>7170-1006-04</t>
  </si>
  <si>
    <t>KIT - Universal Wide Body Console Box with Locked Storage Pocket, Printer Mount and Cup Holder; Includes 3 faceplates and 3 filler panels.</t>
  </si>
  <si>
    <t>7170-1006-03</t>
  </si>
  <si>
    <t>KIT - Universal Wide Body Console Box with Locked Storage Pocket, Cup Holder, Armrest and 9" Mongoose XLE; Includes 3 faceplates and 3 filler panels.</t>
  </si>
  <si>
    <t>7170-1006-02</t>
  </si>
  <si>
    <t>KIT - Universal Wide Body Console Box with Locked Storage Pocket, Cup Holder and Armrest; Includes 3 faceplates and 3 filler panels.</t>
  </si>
  <si>
    <t>7170-1006-01</t>
  </si>
  <si>
    <t>KIT - Universal Wide Body Console Box with Locked Storage Pocket and Cup Holder; Includes 3 faceplates and 3 filler panels.</t>
  </si>
  <si>
    <t>7170-1006-00</t>
  </si>
  <si>
    <t>Universal Wide Body Console Box with Locked Storage Pocket &amp; Printer Mounting Space; Includes 3 faceplates and 3 filler panels.</t>
  </si>
  <si>
    <t>7160-1819-01</t>
  </si>
  <si>
    <t>Universal Wide Body Console Box with Locked Storage Pocket; Includes 3  faceplates and 3  filler panels.</t>
  </si>
  <si>
    <t>7160-1819-00</t>
  </si>
  <si>
    <t>KIT - Universal Sloped Front Console with Cup Holder, Printer Armrest, 7160-0220;  Includes 3  faceplates and 3  filler panels.</t>
  </si>
  <si>
    <t>7170-0579-06</t>
  </si>
  <si>
    <t>KIT - Universal Sloped Front Console with Cup Holder, Armrest and 7160-0500;  Includes 3  faceplates and 3  filler panels.</t>
  </si>
  <si>
    <t>7170-0579-05</t>
  </si>
  <si>
    <t>KIT - Universal Sloped Front Console with Cup Holder, Armrest and 7160-0220;  Includes 3  faceplates and 3  filler panels.</t>
  </si>
  <si>
    <t>7170-0579-04</t>
  </si>
  <si>
    <t>KIT - Universal Sloped Front Console with Cup Holder and Printer Armrest;  Includes 3  faceplates and 3  filler panels.</t>
  </si>
  <si>
    <t>7170-0579-02</t>
  </si>
  <si>
    <t>KIT - Universal Sloped Front Console with Cup Holder and Armrest;  Includes 3  faceplates and 3  filler panels.</t>
  </si>
  <si>
    <t>7170-0579-01</t>
  </si>
  <si>
    <t>KIT - Universal Sloped Front Console with Cup Holder;  Includes 3  faceplates and 3  filler panels.</t>
  </si>
  <si>
    <t>7170-0579-00</t>
  </si>
  <si>
    <t>KIT - SHORT UNIVERSAL SLOPED FRONT CONSOLE BOX WITH CUPHOLDER;  Includes 3  faceplates and 3  filler panels.</t>
  </si>
  <si>
    <t>7170-0578-00</t>
  </si>
  <si>
    <t>KIT - WIDE BODY CONSOLE, CUP HOLDER, POCKET, ARMREST, 6" LOCKING SLIDE ARM;  Includes 3  faceplates and 3  filler panels.</t>
  </si>
  <si>
    <t>7170-0567-05</t>
  </si>
  <si>
    <t>KIT - WIDE BODY CONSOLE, CUP HOLDER, POCKET, ARMREST, AND MONGOOSE;  Includes 3  faceplates and 3  filler panels.</t>
  </si>
  <si>
    <t>7170-0567-04</t>
  </si>
  <si>
    <t>KIT - WIDE BODY CONSOLE, CUP HOLDER, POCKET, VERTICAL SURFACE MOUNT  w/ HARDWARE;  Includes 3  faceplates and 3  filler panels.</t>
  </si>
  <si>
    <t>7170-0567-03</t>
  </si>
  <si>
    <t>KIT - WIDE BODY CONSOLE, CUP HOLDER, POCKET, PRINT ARMREST;  Includes 3  faceplates and 3  filler panels.</t>
  </si>
  <si>
    <t>7170-0567-02</t>
  </si>
  <si>
    <t>KIT - WIDE BODY CONSOLE, CUP HOLDER, POCKET, ARMREST;  Includes 3  faceplates and 3  filler panels.</t>
  </si>
  <si>
    <t>7170-0567-01</t>
  </si>
  <si>
    <t>KIT - WIDE BODY CONSOLE, CUP HOLDER, POCKET;  Includes 3  faceplates and 3  filler panels.</t>
  </si>
  <si>
    <t>7170-0567-00</t>
  </si>
  <si>
    <t>Low Profile Console Box.  Includes 3  faceplates and 3  filler panels.</t>
  </si>
  <si>
    <t>MCS-LOWBOX</t>
  </si>
  <si>
    <t>9" MCS EPIC Console Box without base.  Includes 2  faceplates and 2  filler panels.</t>
  </si>
  <si>
    <t>MCS-EPIC9</t>
  </si>
  <si>
    <t>17" MCS EPIC Console Box without base.  Includes 3  faceplates and 3  filler panels.</t>
  </si>
  <si>
    <t>MCS-EPIC17</t>
  </si>
  <si>
    <t>13" MCS EPIC Console Box without base.  Includes 3  faceplates and 3  filler panels.</t>
  </si>
  <si>
    <t>MCS-EPIC13</t>
  </si>
  <si>
    <t>Workstation Console Box with 3" and 5" Mounting Opening (wide body format);  Includes 3 faceplates and 3  filler panels.</t>
  </si>
  <si>
    <t>7160-0970</t>
  </si>
  <si>
    <t>Console Box, Wide Body with Bother Pocket Jet series Printer Mount; Includes 3  faceplates and 3  filler panels.</t>
  </si>
  <si>
    <t>7160-0958</t>
  </si>
  <si>
    <t>Workstation Console Box (wide body format);  Includes 2 faceplates and 2  filler panels.</t>
  </si>
  <si>
    <t>7160-0911</t>
  </si>
  <si>
    <t>CONSOLE BOX - SHORT UNIVERSAL SLOPED FRONT;  Includes 3  faceplates and 3  filler panels.</t>
  </si>
  <si>
    <t>7160-0899</t>
  </si>
  <si>
    <t>CONSOLE BOX - UNIVERSAL SLOPED FRONT;  Includes 3  faceplates and 3  filler panels.</t>
  </si>
  <si>
    <t>7160-0896</t>
  </si>
  <si>
    <t>Console Box - Wide Body;  Includes 3  faceplates and 3  filler panels.</t>
  </si>
  <si>
    <t>7160-0894</t>
  </si>
  <si>
    <t>25" Universal Console Box;  Includes 3  faceplates and 3  filler panels.</t>
  </si>
  <si>
    <t>7160-0770</t>
  </si>
  <si>
    <t>Utility Specific Console Box;  Includes 3  faceplates and 3  filler panels.</t>
  </si>
  <si>
    <t>7160-0548</t>
  </si>
  <si>
    <t>Workstation Box, Small File/Folder - was p/n 7160-0361</t>
  </si>
  <si>
    <t>7160-1920</t>
  </si>
  <si>
    <t>13" Console Box.  Includes 3  faceplates and 3  filler panels.</t>
  </si>
  <si>
    <t>7160-0333</t>
  </si>
  <si>
    <t>MCS Extension Box. Includes 2  faceplates and 2  filler panels.</t>
  </si>
  <si>
    <t>7160-0028</t>
  </si>
  <si>
    <t xml:space="preserve">2020+ NOSLO DPW Truck Rack </t>
  </si>
  <si>
    <t>7300-0556</t>
  </si>
  <si>
    <t xml:space="preserve">Push Bumper Side Light Bracket </t>
  </si>
  <si>
    <t>7160-1435</t>
  </si>
  <si>
    <t xml:space="preserve">Window Guard Light Mount Bracket </t>
  </si>
  <si>
    <t>7160-1594</t>
  </si>
  <si>
    <t xml:space="preserve">Gun Mount, Double, with both SC-6 locks </t>
  </si>
  <si>
    <t>7160-1097-03</t>
  </si>
  <si>
    <t xml:space="preserve">Gun Mount, Double, with shotgun style lock and SC-6 lock </t>
  </si>
  <si>
    <t>7160-1097-02</t>
  </si>
  <si>
    <t>Gun Mount, Single, with lock</t>
  </si>
  <si>
    <t>7160-1097-01</t>
  </si>
  <si>
    <t xml:space="preserve">SC-6 Gun Lock with Bracket </t>
  </si>
  <si>
    <t>7160-1578</t>
  </si>
  <si>
    <t xml:space="preserve">2015+ Ford F-150 Poly Window Guards </t>
  </si>
  <si>
    <t>7160-1713</t>
  </si>
  <si>
    <t xml:space="preserve">2020+ Ford PIU Poly Window Guards </t>
  </si>
  <si>
    <t>7160-1712</t>
  </si>
  <si>
    <t xml:space="preserve">2020+ Ford PIU Equipment Tray Kit </t>
  </si>
  <si>
    <t>7120-0867</t>
  </si>
  <si>
    <t>2021+ Ford F-150 Aluminum Push Bumper with Light Bar</t>
  </si>
  <si>
    <t>7170-0925-04</t>
  </si>
  <si>
    <t xml:space="preserve">2021+ Ford F-150 Aluminum Push Bumper with Standard Bar </t>
  </si>
  <si>
    <t>7170-0925-03</t>
  </si>
  <si>
    <t>2021+ Ford F-150 Steel Push Bumper with Light Bar</t>
  </si>
  <si>
    <t>7170-0925-02</t>
  </si>
  <si>
    <t>2021+ Ford F-150 Steel Push Bumper with Standard Bar</t>
  </si>
  <si>
    <t>7170-0925-01</t>
  </si>
  <si>
    <t>2020+ Utility PIU Aluminum Push Bumper with Light Bar and Side Light Bracket</t>
  </si>
  <si>
    <t>7170-0736-06</t>
  </si>
  <si>
    <t>2020+ Utility PIU Steel Push Bumper with Light Bar and Side Light Bracket</t>
  </si>
  <si>
    <t>7170-0736-05</t>
  </si>
  <si>
    <t>KIT - Light Bar Push Bumper 2020+ Ford Utility Aluminum</t>
  </si>
  <si>
    <t>7170-0736-04</t>
  </si>
  <si>
    <t>KIT - Standard Bar Push Bumper 2020+ Ford Utility Aluminum</t>
  </si>
  <si>
    <t>7170-0736-03</t>
  </si>
  <si>
    <t>KIT - Light Bar Push Bumper 2020+ Ford Utility</t>
  </si>
  <si>
    <t>7170-0736-02</t>
  </si>
  <si>
    <t>KIT - Standard Bar Push Bumper 2020+ Ford Utility</t>
  </si>
  <si>
    <t>7170-0736-01</t>
  </si>
  <si>
    <t>Gun Mounting Bracket for 2020+ Ford PIU Single Cell Passenger Partitions</t>
  </si>
  <si>
    <t>7160-1863</t>
  </si>
  <si>
    <t>2020+ Ford PIU Single Cell Passenger Partition with Steel Mesh Rear Cargo Partition</t>
  </si>
  <si>
    <t>7170-0982-02</t>
  </si>
  <si>
    <t>2020+ Ford PIU Single Cell Passenger Partition with Clear Poly Rear Cargo Partition</t>
  </si>
  <si>
    <t>7170-0982-01</t>
  </si>
  <si>
    <t xml:space="preserve">2020+ Ford Utility Passenger Partition, Large Mesh Window </t>
  </si>
  <si>
    <t>7170-0974</t>
  </si>
  <si>
    <t>2020+ Ford Utility Cargo Partition, Steel Mesh</t>
  </si>
  <si>
    <t>7160-1387-02</t>
  </si>
  <si>
    <t>2020+ Ford Utility Cargo Partition, Poly</t>
  </si>
  <si>
    <t>7160-1387-01</t>
  </si>
  <si>
    <t xml:space="preserve">2020+ Ford PIU Mesh Window Bars </t>
  </si>
  <si>
    <t>7160-1338</t>
  </si>
  <si>
    <t xml:space="preserve">2020+ Ford PIU Window Bars </t>
  </si>
  <si>
    <t>7160-1411</t>
  </si>
  <si>
    <t xml:space="preserve">2015+ Ford F-150 Passenger Partition </t>
  </si>
  <si>
    <t>7160-1402</t>
  </si>
  <si>
    <t xml:space="preserve">2015-2020 Ford F-150 Mesh Window Guards </t>
  </si>
  <si>
    <t>7160-1405</t>
  </si>
  <si>
    <t xml:space="preserve">2015-2020 Ford F-150 Window Bars </t>
  </si>
  <si>
    <t>7160-1415</t>
  </si>
  <si>
    <t>MESH WINDOW GUARD - FORD UTILITY 2013-2019</t>
  </si>
  <si>
    <t>7160-1087</t>
  </si>
  <si>
    <t xml:space="preserve">2018+ Dodge Durango Poly Window Guards </t>
  </si>
  <si>
    <t>7160-1708</t>
  </si>
  <si>
    <t xml:space="preserve">2018+ Dodge Durango Vertical Window Bars </t>
  </si>
  <si>
    <t>7160-1502</t>
  </si>
  <si>
    <t>2021+ Dodge Durango Push Bumper - Aluminum with Light Bar</t>
  </si>
  <si>
    <t>7170-0820-04</t>
  </si>
  <si>
    <t>2021+ Dodge Durango Push Bumper - Aluminum</t>
  </si>
  <si>
    <t>7170-0820-03</t>
  </si>
  <si>
    <t>2021+ Dodge Durango Push Bumper - Steel with Light Bar</t>
  </si>
  <si>
    <t>7170-0820-02</t>
  </si>
  <si>
    <t>2021+ Dodge Durango Push Bumper - Steel</t>
  </si>
  <si>
    <t>7170-0820-01</t>
  </si>
  <si>
    <t xml:space="preserve">2011+ Dodge Charger Passenger Partition </t>
  </si>
  <si>
    <t>7160-1138</t>
  </si>
  <si>
    <t xml:space="preserve">2011+ Dodge Charger Poly Window Guards </t>
  </si>
  <si>
    <t>7160-1691</t>
  </si>
  <si>
    <t>WINDOW BARS - CHARGER 2011+</t>
  </si>
  <si>
    <t>7160-1141</t>
  </si>
  <si>
    <t xml:space="preserve">MESH WINDOW GUARDS - CHARGER 2011+ </t>
  </si>
  <si>
    <t>7160-1139</t>
  </si>
  <si>
    <t xml:space="preserve">2021+ Chevrolet Tahoe Aluminum Push Bumper with Light Bar </t>
  </si>
  <si>
    <t>7170-0849-03</t>
  </si>
  <si>
    <t xml:space="preserve">2021+ Chevrolet Tahoe Aluminum Push Bumper with Standard Bar </t>
  </si>
  <si>
    <t>7170-0849-02</t>
  </si>
  <si>
    <t xml:space="preserve">2021+ Chevrolet Tahoe Steel Push Bumper with Light Bar </t>
  </si>
  <si>
    <t>7170-0849-01</t>
  </si>
  <si>
    <t xml:space="preserve">2021+ Chevrolet Tahoe Steel Push Bumper with Standard Bar </t>
  </si>
  <si>
    <t>7170-0849-00</t>
  </si>
  <si>
    <t xml:space="preserve">2021+ Chevrolet Tahoe Poly Window Guards </t>
  </si>
  <si>
    <t>7160-1560</t>
  </si>
  <si>
    <t xml:space="preserve">2021+ Chevrolet Tahoe Vertical Window Bars </t>
  </si>
  <si>
    <t>7160-1558</t>
  </si>
  <si>
    <t xml:space="preserve">2021+ Chevrolet Tahoe Cargo Partition </t>
  </si>
  <si>
    <t>7160-1557</t>
  </si>
  <si>
    <t xml:space="preserve">2021+ Chevrolet Tahoe Passenger Partition, Large Mesh Window </t>
  </si>
  <si>
    <t>7170-0975</t>
  </si>
  <si>
    <t>WINDOW BARS - TAHOE 2015-2020</t>
  </si>
  <si>
    <t>7160-1145</t>
  </si>
  <si>
    <t>KIT - 2022+ Ford F-150 Lightning Console Box with Cup Holder, Tall Rear Armrest and 9" Mongoose XLE</t>
  </si>
  <si>
    <t>7170-1046-02</t>
  </si>
  <si>
    <t>KIT - 2022+ Ford F-150 Lightning Console Box with Cup Holder and Tall Rear Armrest</t>
  </si>
  <si>
    <t>7170-1046-01</t>
  </si>
  <si>
    <t>KIT - 2022+ Ford F-150 Lightning Console Box with Cup Holder</t>
  </si>
  <si>
    <t>7170-1046-00</t>
  </si>
  <si>
    <t xml:space="preserve">KIT - 2021+ Ford F-150 Wide Body Console Box with Printer Mount, Cup Holder, Rear Armrest, and LSA with Short Clevis </t>
  </si>
  <si>
    <t>7170-0883-05</t>
  </si>
  <si>
    <t>KIT - 2021+ Ford F-150 Wide Body Console Box with Printer Mount, Cup Holder, Rear Armrest, and 9" XLE</t>
  </si>
  <si>
    <t>7170-0883-03</t>
  </si>
  <si>
    <t xml:space="preserve">KIT - 2021+ Ford F-150 Wide Body Console Box with Printer Mount, Cup Holder, and Side Armrest </t>
  </si>
  <si>
    <t>7170-0883-02</t>
  </si>
  <si>
    <t xml:space="preserve">KIT - 2021+ Ford F-150 Wide Body Console Box with Printer Mount, Cup Holder, and Rear Armrest </t>
  </si>
  <si>
    <t>7170-0883-01</t>
  </si>
  <si>
    <t>KIT - 2021+ Ford F-150 Wide Body Console Box with Printer Mount and Cup Holder</t>
  </si>
  <si>
    <t>7170-0883-00</t>
  </si>
  <si>
    <t xml:space="preserve">KIT - 2021+ Ford F-150 Wide Body Console Box with Cup Holder, Rear Armrest, and  LSA with Short Clevis </t>
  </si>
  <si>
    <t>7170-0882-05</t>
  </si>
  <si>
    <t xml:space="preserve">KIT - 2021+ Ford F-150 Wide Body Console Box with Cup Holder, Rear Armrest, and 9" XLE </t>
  </si>
  <si>
    <t>7170-0882-04</t>
  </si>
  <si>
    <t xml:space="preserve">KIT - 2021+ Ford F-150 Wide Body Console Box with Cup Holder and Side Armrest </t>
  </si>
  <si>
    <t>7170-0882-03</t>
  </si>
  <si>
    <t xml:space="preserve">KIT - 2021+ Ford F-150 Wide Body Console Box with Cup Holder and Printer Armrest </t>
  </si>
  <si>
    <t>7170-0882-02</t>
  </si>
  <si>
    <t xml:space="preserve">KIT - 2021+ Ford F-150 Wide Body Console Box with Cup Holder and Rear Armrest </t>
  </si>
  <si>
    <t>7170-0882-01</t>
  </si>
  <si>
    <t>KIT - 2021+ Ford F-150 Wide Body Console Box with Cup Holder</t>
  </si>
  <si>
    <t>7170-0882-00</t>
  </si>
  <si>
    <t>KIT - 2020+ Ford Utility Deep Console Kit with Internal PRNTR Armrest, Cup Holder, Side Mount, &amp; 9" Mongoose XLE</t>
  </si>
  <si>
    <t>7170-0963</t>
  </si>
  <si>
    <t xml:space="preserve">KIT - 2020+ Ford Utility Deep Console Kit with PRNTR Mount, Cup Holder, Rear Armrest, &amp; 9" Mongoose </t>
  </si>
  <si>
    <t>7170-0822-04</t>
  </si>
  <si>
    <t xml:space="preserve">KIT - 2020+ Ford Utility Deep Console Kit with PRNTR Mount, Side Armrest &amp; Cup Holder </t>
  </si>
  <si>
    <t>7170-0822-03</t>
  </si>
  <si>
    <t xml:space="preserve">KIT - 2020+ Ford Utility Deep Console Kit with PRNTR Mount, Mongoose, Side Armrest and Cup Holder </t>
  </si>
  <si>
    <t>7170-0822-02</t>
  </si>
  <si>
    <t xml:space="preserve">KIT - 2020+ Ford Utility Deep Console Kit with Center Mount, Side Armrest and Cup Holder </t>
  </si>
  <si>
    <t>7170-0822-01</t>
  </si>
  <si>
    <t xml:space="preserve">KIT - 2020+ Ford Utility Deep Console Kit with Side Mount, Side Armrest and Cup Holder </t>
  </si>
  <si>
    <t>7170-0822-00</t>
  </si>
  <si>
    <t xml:space="preserve">KIT - 2020+ Ford Utility Short Console Box with Cup Holder, 9" XLE, and Magnetic Phone Holder </t>
  </si>
  <si>
    <t>7170-0735-12</t>
  </si>
  <si>
    <t>KIT - 2020+ Ford Utility Short Console Box with Cup Holder, Printer Armrest, and 9" XE</t>
  </si>
  <si>
    <t>7170-0735-11</t>
  </si>
  <si>
    <t>KIT - 2020+ Ford Utility Short Console Box with Cup Holder, Printer Armrest, and 7" XE</t>
  </si>
  <si>
    <t>7170-0735-10</t>
  </si>
  <si>
    <t>KIT - 2020+ Ford Utility Short Console Box with Cup Holder, Pole Armrest, and 9" XE</t>
  </si>
  <si>
    <t>7170-0735-09</t>
  </si>
  <si>
    <t>KIT - 2020+ Ford Utility Short Console Box with Cup Holder, Pole Armrest, and 9" XLE</t>
  </si>
  <si>
    <t>7170-0735-08</t>
  </si>
  <si>
    <t>KIT - 2020+ Ford Utility Short Console Box with Cup Holder, Pole Armrest, and 7" XLE</t>
  </si>
  <si>
    <t>7170-0735-07</t>
  </si>
  <si>
    <t>KIT - 2020+ Ford Utility Short Console Box with Cup Holder, Pole Armrest, and 7" XE</t>
  </si>
  <si>
    <t>7170-0735-06</t>
  </si>
  <si>
    <t>KIT - 2020+ Ford Utility Short Console Box with Cup Holder, Pole Armrest, and 6" LSA</t>
  </si>
  <si>
    <t>7170-0735-05</t>
  </si>
  <si>
    <t>KIT - 2020+ Ford Utility Short Console Box with Cup Holder, Pole Armrest, and Mongoose motion attachment</t>
  </si>
  <si>
    <t>7170-0735-04</t>
  </si>
  <si>
    <t>KIT - 2020+ Ford Utility Short Console Box with Cup Holder and Printer Armrest</t>
  </si>
  <si>
    <t>7170-0735-02</t>
  </si>
  <si>
    <t>KIT - 2020+ Ford Utility Short Console Box with Cup Holder and Pole Armrest</t>
  </si>
  <si>
    <t>7170-0735-01</t>
  </si>
  <si>
    <t>KIT - 2020+ Ford Utility Short Console Box with Cup Holder</t>
  </si>
  <si>
    <t>7170-0735-00</t>
  </si>
  <si>
    <t xml:space="preserve">KIT - 2020+ Ford Utility Low Profile Console Kit with Cup Holder, Side Armrest, Slide Arm </t>
  </si>
  <si>
    <t>7170-0734-25</t>
  </si>
  <si>
    <t>KIT - 2020+ Ford Utility Low Profile Console Kit with Cup Holder, 9" XLE</t>
  </si>
  <si>
    <t>7170-0734-24</t>
  </si>
  <si>
    <t>KIT - 2020+ Ford Utility Low Profile Console Kit with Cup Holder, Rear Armrest, 7" XLE</t>
  </si>
  <si>
    <t>7170-0734-22</t>
  </si>
  <si>
    <t>KIT - 2020+ Ford Utility Low Profile Console Kit with Cup Holder, Rear Armrest, 7"XE</t>
  </si>
  <si>
    <t>7170-0734-21</t>
  </si>
  <si>
    <t>KIT - 2020+ Ford Utility Low Profile Console Kit with Cup Holder, PRNTR-ARM, 7" XLE</t>
  </si>
  <si>
    <t>7170-0734-20</t>
  </si>
  <si>
    <t>KIT - 2020+ Ford Utility Low Profile Console Kit with Cup Holder, PRNTR-ARM, 9"XE</t>
  </si>
  <si>
    <t>7170-0734-19</t>
  </si>
  <si>
    <t>KIT - 2020+ Ford Utility Low Profile Console Kit with Cup Holder, PRNTR-ARM, 9"XLE</t>
  </si>
  <si>
    <t>7170-0734-18</t>
  </si>
  <si>
    <t>KIT - 2020+ Ford Utility Low Profile Console Kit with Cup Holder, PRNTR-ARM, 7"XE</t>
  </si>
  <si>
    <t>7170-0734-17</t>
  </si>
  <si>
    <t>KIT - 2020+ Ford Utility Low Profile Console Kit with Cup Holder, Rear Armrest, TS5-Short</t>
  </si>
  <si>
    <t>7170-0734-16</t>
  </si>
  <si>
    <t>KIT - 2020+ Ford Utility Low Profile Console Kit with Cup Holder, Rear Armrest, 6" LSA-Short</t>
  </si>
  <si>
    <t>7170-0734-15</t>
  </si>
  <si>
    <t>KIT - 2020+ Ford Utility Low Profile Console Kit with Cup Holder, Rear Armrest, 9"XLE</t>
  </si>
  <si>
    <t>7170-0734-14</t>
  </si>
  <si>
    <t>KIT - 2020+ Ford Utility Low Profile Console Kit with Cup Holder, Rear Armrest, 9" XE</t>
  </si>
  <si>
    <t>7170-0734-13</t>
  </si>
  <si>
    <t>KIT - 2020+ Ford Utility Low Profile Console Kit with Cup Holder, Rear Armrest, 9"LSA-Short</t>
  </si>
  <si>
    <t>7170-0734-12</t>
  </si>
  <si>
    <t>KIT - 2020+ Ford Utility Low Profile Console Kit with Cup Holder, PRNTR ARM, 9"LSA-Short</t>
  </si>
  <si>
    <t>7170-0734-11</t>
  </si>
  <si>
    <t>KIT - 2020+ Ford Utility Low Profile Console Box with Cup Holder, Printer Armrest, and TS5 Motion Attachment</t>
  </si>
  <si>
    <t>7170-0734-10</t>
  </si>
  <si>
    <t>KIT - 2020+ Ford Utility Low Profile Console Box with Cup Holder, Printer Armrest, and Mongoose</t>
  </si>
  <si>
    <t>7170-0734-09</t>
  </si>
  <si>
    <t>KIT - 2020+ Ford Utility Low Profile Console Box with Cup Holder and Side Armrest</t>
  </si>
  <si>
    <t>7170-0734-08</t>
  </si>
  <si>
    <t>KIT - 2020+ Ford Utility Low Profile Console Box with Cup Holder, Rear Armrest, 15082 relocation panel</t>
  </si>
  <si>
    <t>7170-0734-07</t>
  </si>
  <si>
    <t>KIT - 2020+ Ford Utility Low Profile Console Box with Cup Holder, Rear Armrest, and TS5 Motion Attachment</t>
  </si>
  <si>
    <t>7170-0734-06</t>
  </si>
  <si>
    <t>KIT - 2020+ Ford Utility Low Profile Console Box with Cup Holder and 6" locking slide arm</t>
  </si>
  <si>
    <t>7170-0734-05</t>
  </si>
  <si>
    <t>KIT - 2020+ Ford Utility Low Profile Console Box with Cup Holder, Rear Armrest, and Mongoose motion attachment</t>
  </si>
  <si>
    <t>7170-0734-04</t>
  </si>
  <si>
    <t>KIT - 2020+ Ford Utility Low Profile Console Box with Cup Holder and Vertical Surface Mount</t>
  </si>
  <si>
    <t>7170-0734-03</t>
  </si>
  <si>
    <t>KIT - 2020+ Ford Utility Low Profile Console Box with Cup Holder and Printer Armrest</t>
  </si>
  <si>
    <t>7170-0734-02</t>
  </si>
  <si>
    <t>KIT - 2020+ Ford Utility Low Profile Console Box with Cup Holder and Rear Armrest</t>
  </si>
  <si>
    <t>7170-0734-01</t>
  </si>
  <si>
    <t>KIT - 2020+ Ford Utility Low Profile Console Box with Cup Holder</t>
  </si>
  <si>
    <t>7170-0734-00</t>
  </si>
  <si>
    <t>KIT- 2020+ Ford Utility Standard Console Kit with Cup Holder, Rear Armrest, and Mongoose LSA</t>
  </si>
  <si>
    <t>7170-0889-00</t>
  </si>
  <si>
    <t>KIT - 2021+ FORD F150 WIDE-TO-NARROW CONSOLE, PRINTER MOUNT W/ CUP HOLDER, TALL ARMREST, &amp; MONGOOSE XLE 9"</t>
  </si>
  <si>
    <t>7170-1078-02</t>
  </si>
  <si>
    <t xml:space="preserve">KIT - 2021+ FORD F150 WIDE-TO-NARROW CONSOLE, PRINTER MOUNT W/ CUP HOLDER &amp; TALL ARMREST 	</t>
  </si>
  <si>
    <t>7170-1078-01</t>
  </si>
  <si>
    <t xml:space="preserve">KIT - 2021+ FORD F150 WIDE-TO-NARROW CONSOLE, PRINTER MOUNT W/ CUP HOLDER </t>
  </si>
  <si>
    <t>7170-1078-00</t>
  </si>
  <si>
    <t xml:space="preserve">KIT - 2021+ FORD F150 WIDE-TO-NARROW CONSOLE W/ CUP HOLDER, TALL ARMREST, &amp; MONGOOSE XLE 9" </t>
  </si>
  <si>
    <t>7170-1077-02</t>
  </si>
  <si>
    <t xml:space="preserve">KIT - 2021+ FORD F150 WIDE-TO-NARROW CONSOLE W/ CUP HOLDER &amp; TALL ARMREST </t>
  </si>
  <si>
    <t>7170-1077-01</t>
  </si>
  <si>
    <t xml:space="preserve">KIT - 2021+ FORD F150 WIDE-TO-NARROW CONSOLE W/ CUP HOLDER </t>
  </si>
  <si>
    <t>7170-1077-00</t>
  </si>
  <si>
    <t>KIT- 2015-2020 F-150 Narrow Console Kit with Cup Holder and Side Armrest</t>
  </si>
  <si>
    <t>7170-0829-03</t>
  </si>
  <si>
    <t>KIT- 2015-2020 F-150 Narrow Console Kit with Cup Holder and Printer Armrest</t>
  </si>
  <si>
    <t>7170-0829-02</t>
  </si>
  <si>
    <t>KIT- 2015-2020 F-150 Narrow Console Kit with Cup Holder and Armrest</t>
  </si>
  <si>
    <t>7170-0829-01</t>
  </si>
  <si>
    <t>KIT- 2015-2020 F-150 Narrow Console Kit with Cup Holder</t>
  </si>
  <si>
    <t>7170-0829-00</t>
  </si>
  <si>
    <t>KIT - F150 (2015-2020) F250-F550 (2017+) F-Series 4X4 Shifter Console Box with Cup Holder and Side Armrest</t>
  </si>
  <si>
    <t>7170-0728-03</t>
  </si>
  <si>
    <t>KIT - F150 (2015-2020) F250-F550 (2017+) F-Series 4X4 Shifter Console Box with Cup Holder and Printer Armrest</t>
  </si>
  <si>
    <t>7170-0728-02</t>
  </si>
  <si>
    <t>KIT - F150 (2015-2020) F250-F550 (2017+) F-Series 4X4 Shifter Console Box with Cup Holder and Rear Armrest</t>
  </si>
  <si>
    <t>7170-0728-01</t>
  </si>
  <si>
    <t>KIT - F150 (2015-2020) F250-F550 (2017+) F-Series 4X4 Shifter Console Box with Cup Holder</t>
  </si>
  <si>
    <t>7170-0728-00</t>
  </si>
  <si>
    <t xml:space="preserve">KIT - F150 (2015-2020) F250-F550 (2017+) F-Series Console Box with Cup Holder, Side Armrest and Mongoose 9"- XLE </t>
  </si>
  <si>
    <t>7170-0727-04</t>
  </si>
  <si>
    <t>KIT - F150 (2015-2020) F250-F550 (2017+) F-Series Console Box with Cup Holder and Side Armrest</t>
  </si>
  <si>
    <t>7170-0727-03</t>
  </si>
  <si>
    <t>KIT - F150 (2015-2020) F250-F550 (2017+) F-Series Console Box with Cup Holder and Printer Armrest</t>
  </si>
  <si>
    <t>7170-0727-02</t>
  </si>
  <si>
    <t>KIT - F150 (2015-2020) F250-F550 (2017+) F-Series Console Box with Cup Holder and Rear Armrest</t>
  </si>
  <si>
    <t>7170-0727-01</t>
  </si>
  <si>
    <t>KIT - F150 (2015-2020) F250-F550 (2017+) F-Series Console Box with Cup Holder</t>
  </si>
  <si>
    <t>7170-0727-00</t>
  </si>
  <si>
    <t>KIT - 2012-2019 Ford PI Utility (2012+) Console Box, Cup Holder, Printer Arm Rest, and TS5 Motion Attachment.  Includes 3 faceplates and 3 filler panels.</t>
  </si>
  <si>
    <t>7170-0166-10</t>
  </si>
  <si>
    <t>KIT - 2012-2019 Ford PI Utility (2012+) Console Box, Cup Holder, Printer Arm Rest, and Mongoose. Includes 3 faceplates and 3 filler panels.</t>
  </si>
  <si>
    <t>7170-0166-09</t>
  </si>
  <si>
    <t xml:space="preserve">KIT - 2012-2019 UTILITY BOX, CUP HOLDER, SIDE ARMREST </t>
  </si>
  <si>
    <t>7170-0166-08</t>
  </si>
  <si>
    <t xml:space="preserve">Kit, 2012-2019 Ford PI UTILITY Console Box, Cup Holder, Armrest, Faceplate 15082.   Includes 3  faceplates and 3  filler panels.  </t>
  </si>
  <si>
    <t>7170-0166-07</t>
  </si>
  <si>
    <t xml:space="preserve">Kit, 2012-2019 Ford PI UTILITY Console Box, Cup Holder, Armrest, 7160-0285.   Includes 3  faceplates and 3  filler panels.  </t>
  </si>
  <si>
    <t>7170-0166-06</t>
  </si>
  <si>
    <t xml:space="preserve">Kit, 2012-2019 Ford PI UTILITY Console Box, Cup Holder, Armrest, 7160-0500.   Includes 3  faceplates and 3  filler panels.  </t>
  </si>
  <si>
    <t>7170-0166-05</t>
  </si>
  <si>
    <t>Kit, 2012-2019 Ford PI UTILITY Console Box, Cup Holder, Armrest, 7160-0220.   Includes 3  faceplates and 3  filler panels.   REPLACES PART # 7170-0166</t>
  </si>
  <si>
    <t>7170-0166-04</t>
  </si>
  <si>
    <t>Kit, 2012-2019 Ford PI UTILITY Console Box, Cup Holder and Vertical Surface Mount w/ hardware bag (for armrest).   Includes 3  faceplates and 3  filler panels.</t>
  </si>
  <si>
    <t>7170-0166-03</t>
  </si>
  <si>
    <t>Kit, 2012-2019 Ford PI UTILITY Console Box, Cup Holder and Printer Armrest.   Includes 3  faceplates and 3  filler panels.</t>
  </si>
  <si>
    <t>7170-0166-02</t>
  </si>
  <si>
    <t>Kit, 2012-2019 Ford PI UTILITY Console Box, Cup Holder and Armrest.   Includes 3  faceplates and 3  filler panels.   REPLACES PART # 7160-0411</t>
  </si>
  <si>
    <t>7170-0166-01</t>
  </si>
  <si>
    <t>Kit, 2012-2019 Ford PI UTILITY Console Box and Cup Holder.   Includes 3  faceplates and 3  filler panels.</t>
  </si>
  <si>
    <t>7170-0166-00</t>
  </si>
  <si>
    <t>Kit, Ford F150 2011 - 2014, MCS</t>
  </si>
  <si>
    <t>7170-0134</t>
  </si>
  <si>
    <t>Kit, Ford Super Duty F250-F750  2011-2015, MCS</t>
  </si>
  <si>
    <t>7170-0132</t>
  </si>
  <si>
    <t>Kit, 2021+ Dodge Durango Standard Console with PRNT Mount, Cup Holder, Armrest, and Mongoose 9" XLE</t>
  </si>
  <si>
    <t>7170-0885-04</t>
  </si>
  <si>
    <t xml:space="preserve">Kit, 2021+ Dodge Durango Standard Console with PRNT Mount, Cup Holder, Armrest, and LSA with Short Clevis </t>
  </si>
  <si>
    <t>7170-0885-03</t>
  </si>
  <si>
    <t xml:space="preserve">Kit, 2021+ Dodge Durango Standard Console with PRNT Mount, Cup Holder and Surface Mount </t>
  </si>
  <si>
    <t>7170-0885-02</t>
  </si>
  <si>
    <t xml:space="preserve">Kit, 2021+ Dodge Durango Standard Console with PRNT Mount, Cup Holder and Rear Armrest </t>
  </si>
  <si>
    <t>7170-0885-01</t>
  </si>
  <si>
    <t xml:space="preserve">Kit, 2021+ Dodge Durango Standard Console with PRNT Mount and Cup Holder </t>
  </si>
  <si>
    <t>7170-0885-00</t>
  </si>
  <si>
    <t>Kit, 2021+ Dodge Durango Standard Console with Cup Holder, Armrest, and Mongoose 9" XLE</t>
  </si>
  <si>
    <t>7170-0884-05</t>
  </si>
  <si>
    <t xml:space="preserve">Kit, 2021+ Dodge Durango Standard Console with Cup Holder, Armrest, and LSA with Short Clevis </t>
  </si>
  <si>
    <t>7170-0884-04</t>
  </si>
  <si>
    <t xml:space="preserve">Kit, 2021+ Dodge Durango Standard Console with Cup Holder and Surface Mount </t>
  </si>
  <si>
    <t>7170-0884-03</t>
  </si>
  <si>
    <t xml:space="preserve">Kit, 2021+ Dodge Durango Standard Console with Cup Holder and PRNT Armrest </t>
  </si>
  <si>
    <t>7170-0884-02</t>
  </si>
  <si>
    <t xml:space="preserve">Kit, 2021+ Dodge Durango Standard Console with Cup Holder and Rear Armrest </t>
  </si>
  <si>
    <t>7170-0884-01</t>
  </si>
  <si>
    <t xml:space="preserve">Kit, 2021+ Dodge Durango Standard Console with Cup Holder </t>
  </si>
  <si>
    <t>7170-0884-00</t>
  </si>
  <si>
    <t>Kit, 2018-2020 Dodge Durango Console 2018+ w/ cup holder and printer arm rest</t>
  </si>
  <si>
    <t>7170-0721-02</t>
  </si>
  <si>
    <t>Kit, 2018-2020 Dodge Durango Console 2018+ w/ cup holder and arm rest</t>
  </si>
  <si>
    <t>7170-0721-01</t>
  </si>
  <si>
    <t>Kit, 2018-2020 Dodge Durango Console 2018+ w/ cup holder</t>
  </si>
  <si>
    <t>7170-0721-00</t>
  </si>
  <si>
    <t xml:space="preserve">Kit, 2021+ Dodge Charger 8.5" Console with Cup Holder, Phone Mount, PRNT Armrest, and Mongoose 9" XLE </t>
  </si>
  <si>
    <t>7170-0927-03</t>
  </si>
  <si>
    <t xml:space="preserve">Kit, 2021+ Dodge Charger 8.5" Console with Cup Holder, Phone Mount, Rear Armrest, and Mongoose 9" XLE </t>
  </si>
  <si>
    <t>7170-0927-02</t>
  </si>
  <si>
    <t xml:space="preserve">Kit, 2021+ Dodge Charger 8.5" Console with Cup Holder, Phone Mount, and Rear Armrest </t>
  </si>
  <si>
    <t>7170-0927-01</t>
  </si>
  <si>
    <t xml:space="preserve">Kit, 2021+ Dodge Charger 8.5" Console with Cup Holder and Phone Mount </t>
  </si>
  <si>
    <t>7170-0927-00</t>
  </si>
  <si>
    <t>Kit, 2021+ Dodge Charger 10.5" Console with Cup Holder, and Mongoose 9" XE</t>
  </si>
  <si>
    <t>7170-0886-06</t>
  </si>
  <si>
    <t>Kit, 2021+ Dodge Charger 10.5" Console with Cup Holder, Armrest, and Mongoose 9" XLE</t>
  </si>
  <si>
    <t>7170-0886-05</t>
  </si>
  <si>
    <t xml:space="preserve">Kit, 2021+ Dodge Charger 10.5" Console with Cup Holder, Armrest, and LSA with Short Clevis </t>
  </si>
  <si>
    <t>7170-0886-04</t>
  </si>
  <si>
    <t xml:space="preserve">Kit, 2021+ Dodge Charger 10.5" Console with Cup Holder and Surface Mount </t>
  </si>
  <si>
    <t>7170-0886-03</t>
  </si>
  <si>
    <t xml:space="preserve">Kit, 2021+ Dodge Charger 10.5" Console with Cup Holder and PRNT Armrest </t>
  </si>
  <si>
    <t>7170-0886-02</t>
  </si>
  <si>
    <t xml:space="preserve">Kit, 2021+ Dodge Charger 10.5" Console with Cup Holder and Rear Armrest </t>
  </si>
  <si>
    <t>7170-0886-01</t>
  </si>
  <si>
    <t xml:space="preserve">Kit, 2021+ Dodge Charger 10.5" Console with Cup Holder </t>
  </si>
  <si>
    <t>7170-0886-00</t>
  </si>
  <si>
    <t>Kit, 2021+ Dodge Charger Standard Console with Cup Holder, and Mongoose 9" XE</t>
  </si>
  <si>
    <t>7170-0887-06</t>
  </si>
  <si>
    <t>Kit, 2021+ Dodge Charger Standard Console with Cup Holder, Armrest, and Mongoose 9" XLE</t>
  </si>
  <si>
    <t>7170-0887-05</t>
  </si>
  <si>
    <t xml:space="preserve">Kit, 2021+ Dodge Charger Standard Console with Cup Holder, Armrest, and LSA with Short Clevis </t>
  </si>
  <si>
    <t>7170-0887-04</t>
  </si>
  <si>
    <t xml:space="preserve">Kit, 2021+ Dodge Charger Standard Console with Cup Holder and Surface Mount </t>
  </si>
  <si>
    <t>7170-0887-03</t>
  </si>
  <si>
    <t xml:space="preserve">Kit, 2021+ Dodge Charger Standard Console with Cup Holder and PRNT Armrest </t>
  </si>
  <si>
    <t>7170-0887-02</t>
  </si>
  <si>
    <t xml:space="preserve">Kit, 2021+ Dodge Charger Standard Console with Cup Holder and Rear Armrest </t>
  </si>
  <si>
    <t>7170-0887-01</t>
  </si>
  <si>
    <t xml:space="preserve">Kit, 2021+ Dodge Charger Standard Console with Cup Holder </t>
  </si>
  <si>
    <t>7170-0887-00</t>
  </si>
  <si>
    <t xml:space="preserve">Kit, 2011-2020 Dodge Charger Console Box (Short), Cup Holder, Armrest, 7160-0500.   Includes 3  faceplates and 3  filler panels.  </t>
  </si>
  <si>
    <t>7170-0564-05</t>
  </si>
  <si>
    <t>Kit, 2011-2020 Dodge Charger Console Box (Short), Cup Holder, Armrest, 7160-0220.   Includes 3  faceplates and 3  filler panels.</t>
  </si>
  <si>
    <t>7170-0564-04</t>
  </si>
  <si>
    <t>Kit, 2011-2020 Dodge Charger Console Box (Short), Cup Holder and Vertical Surface Mount w/ hardware bag (for armrest).   Includes 3  faceplates and 3  filler panels.</t>
  </si>
  <si>
    <t>7170-0564-03</t>
  </si>
  <si>
    <t>Kit, 2011-2020 Dodge Charger Console Box (Short), Cup Holder and Printer Armrest.   Includes 3  faceplates and 3  filler panels.</t>
  </si>
  <si>
    <t>7170-0564-02</t>
  </si>
  <si>
    <t xml:space="preserve">Kit, 2011-2020 Dodge Charger Console Box (Short), Cup Holder and Armrest.   Includes 3  faceplates and 3  filler panels.   </t>
  </si>
  <si>
    <t>7170-0564-01</t>
  </si>
  <si>
    <t>Kit, 2011-2020 Dodge Charger Console Box (Short) and Cup Holder.   Includes 3  faceplates and 3  filler panels.</t>
  </si>
  <si>
    <t>7170-0564-00</t>
  </si>
  <si>
    <t>Kit, 2011-2020 Dodge Charger Console Box, Cup Holder, Armrest, 7160-0500.   Includes 3  faceplates and 3  filler panels.   REPLACES  PART # 7160-0137</t>
  </si>
  <si>
    <t>7170-0137-05</t>
  </si>
  <si>
    <t>Kit, 2011-2020 Dodge Charger Console Box, Cup Holder, Armrest, 7160-0220.   Includes 3  faceplates and 3  filler panels.</t>
  </si>
  <si>
    <t>7170-0137-04</t>
  </si>
  <si>
    <t>Kit, 2011-2020 Dodge Charger Console Box, Cup Holder and Vertical Surface Mount w/hardware bag (for armrest).   Includes 3  faceplates and 3  filler panels.</t>
  </si>
  <si>
    <t>7170-0137-03</t>
  </si>
  <si>
    <t>Kit, 2011-2020 Dodge Charger Console Box, Cup Holder and Printer Armrest.   Includes 3  faceplates and 3  filler panels.</t>
  </si>
  <si>
    <t>7170-0137-02</t>
  </si>
  <si>
    <t>Kit, 2011-2020 Dodge Charger Console Box, Cup Holder and Armrest.   Includes 3  faceplates and 3  filler panels.   REPLACES PART # 7160-0327</t>
  </si>
  <si>
    <t>7170-0137-01</t>
  </si>
  <si>
    <t>Kit, 2011-2020 Dodge Charger Console Box and Cup Holder.   Includes 3  faceplates and 3  filler panels.</t>
  </si>
  <si>
    <t>7170-0137-00</t>
  </si>
  <si>
    <t>KIT - 2019+ Chevy Silverado Wide Body Console with Printer Mount, Cup Holder, Tall Armrest &amp; Mongoose XLE 9" - NEW 12152025</t>
  </si>
  <si>
    <t>7170-1063-02</t>
  </si>
  <si>
    <t>KIT - 2019+ Chevy Silverado Wide Body Console with Printer Mount, Cup Holder &amp; Tall Armrest  - NEW 12152024</t>
  </si>
  <si>
    <t>7170-1063-01</t>
  </si>
  <si>
    <t>KIT - 2019+ Chevy Silverado Wide Body Console with Printer Mount &amp; Cup Holder - NEW 12152023</t>
  </si>
  <si>
    <t>7170-1063-00</t>
  </si>
  <si>
    <t>KIT - 2019+ Chevy Silverado Wide Body Console - with Cup Holder, Tall Armrest &amp; Mongoode XLE 9" - NEW 12152025</t>
  </si>
  <si>
    <t>7170-1062-02</t>
  </si>
  <si>
    <t>KIT - 2019+ Chevy Silverado Wide Body Console with Cup Holder &amp; Tall Armrest - NEW 12152024</t>
  </si>
  <si>
    <t>7170-1062-01</t>
  </si>
  <si>
    <t>KIT - 2019+ Chevy Silverado Wide Body Console with Cup Holder - NEW 12152023</t>
  </si>
  <si>
    <t>7170-1062-00</t>
  </si>
  <si>
    <t>KIT- 2021-2024 Chevy Tahoe Standard Width Console Kit with Leg Kit, Side Armrest, Cup Holder, Magnetic Phone Mount &amp; Mongoose 9" XLE</t>
  </si>
  <si>
    <t>7170-0893-04</t>
  </si>
  <si>
    <t xml:space="preserve">KIT- 2021-2024 Chevy Tahoe Standard Width Console Kit with Leg Kit, Side Armrest, Cup Holder, Magnetic Phone Mount &amp; LSA with Short Clevis </t>
  </si>
  <si>
    <t>7170-0893-03</t>
  </si>
  <si>
    <t xml:space="preserve">KIT- 2021-2024 Chevy Tahoe Standard Width Console Kit with Leg Kit, Rear Armrest, Cup Holder, and Magnetic Phone Mount </t>
  </si>
  <si>
    <t>7170-0893-02</t>
  </si>
  <si>
    <t xml:space="preserve">KIT- 2021-2024 Chevy Tahoe Standard Width Console Kit with Leg Kit, Side Armrest, Cup Holder, and Magnetic Phone Mount </t>
  </si>
  <si>
    <t>7170-0893-01</t>
  </si>
  <si>
    <t>KIT- 2021-2024 Chevy Tahoe Standard Width Console Kit with Leg Kit and Magnetic Phone Mount</t>
  </si>
  <si>
    <t>7170-0893-00</t>
  </si>
  <si>
    <t xml:space="preserve">KIT- 2021-2024 Chevy Tahoe Wide Body Console Kit with  Printer Mount &amp; Vertical Mount </t>
  </si>
  <si>
    <t>7170-0864-04</t>
  </si>
  <si>
    <t>KIT- 2021-2024 Chevy Tahoe Wide Body Console Kit with Printer Mount, Side Armrest, Cup Holder, &amp; Mongoose 9" XLE</t>
  </si>
  <si>
    <t>7170-0864-03</t>
  </si>
  <si>
    <t xml:space="preserve">KIT- 2021-2024 Chevy Tahoe Wide Body Console Kit with Printer Mount, Side Armrest, Cup Holder, &amp; LSA </t>
  </si>
  <si>
    <t>7170-0864-02</t>
  </si>
  <si>
    <t>KIT- 2021-2024 Chevy Tahoe Wide Body Console Kit with Printer Mount, Side Armrest, Cup Holder, and Mongoose 9" XE</t>
  </si>
  <si>
    <t>7170-0864-01</t>
  </si>
  <si>
    <t>KIT- 2021-2024 Chevy Tahoe Wide Body Console Kit with Printer Mount, Side Armrest and Cup Holder</t>
  </si>
  <si>
    <t>7170-0864-00</t>
  </si>
  <si>
    <t>KIT- 2021-2024 Chevy Tahoe Wide Body Console Kit with PRNT Armrest, Cup Holder, Magnetic Mic Clip, Phone Mount, and Mongoose 9" XLE</t>
  </si>
  <si>
    <t>7170-0848-07</t>
  </si>
  <si>
    <t xml:space="preserve">KIT- 2021-2024 Chevy Tahoe Wide Body Console Kit with Cup Holder and Vertical Mount </t>
  </si>
  <si>
    <t>7170-0848-05</t>
  </si>
  <si>
    <t>KIT- 2021-2024 Chevy Tahoe Wide Body Console Kit with Side Armrest, Cup Holder, and Mongoose 9" XLE</t>
  </si>
  <si>
    <t>7170-0848-04</t>
  </si>
  <si>
    <t xml:space="preserve">KIT- 20212024 Chevy Tahoe Wide Body Console Kit with Printer Armrest, Cup Holder, &amp; LSA with Short Clevis </t>
  </si>
  <si>
    <t>7170-0848-03</t>
  </si>
  <si>
    <t xml:space="preserve">KIT- 2021-2024 Chevy Tahoe Wide Body Console Kit with Side Armrest, Cup Holder, &amp; LSA with Short Clevis </t>
  </si>
  <si>
    <t>7170-0848-02</t>
  </si>
  <si>
    <t>KIT- 2021-2024 Chevy Tahoe Wide Body Console Kit with Side Armrest, Cup Holder, and Mongoose 9" XE</t>
  </si>
  <si>
    <t>7170-0848-01</t>
  </si>
  <si>
    <t>KIT- 2021-2024 Chevy Tahoe Wide Body Console Kit with Side Armrest and Cup Holder</t>
  </si>
  <si>
    <t>7170-0848-00</t>
  </si>
  <si>
    <t>KIT- 2021-2024 Chevy Tahoe Wide Body Console Kit with Cup Holder</t>
  </si>
  <si>
    <t>7170-0848-10</t>
  </si>
  <si>
    <t>KIT - 2019-2020 New Body Style Chevy and GM Trucks (Leg Kit, Console, Cup Holder)</t>
  </si>
  <si>
    <t>7170-0784-07</t>
  </si>
  <si>
    <t>KIT - 2019-2020 New Body Style Chevy and GM Trucks (Leg Kit, Console, Cup Holder, Side Armrest, 6" LSA)</t>
  </si>
  <si>
    <t>7170-0784-06</t>
  </si>
  <si>
    <t>KIT - 2019-2020 New Body Style Chevy and GM Trucks (Leg Kit, Console, Cup Holder, Side Armrest, Mongoose)</t>
  </si>
  <si>
    <t>7170-0784-05</t>
  </si>
  <si>
    <t>KIT - 2019-2020 New Body Style Chevy and GM Trucks (Leg Kit, Console, Cup Holder, Side Armrest, Wiring Chase, Mongoose)</t>
  </si>
  <si>
    <t>7170-0784-04</t>
  </si>
  <si>
    <t>KIT - 2019-2020 New Body Style Chevy and GM Trucks (Leg Kit, Console, Cup Holder, Side Armrest, Wiring Chase)</t>
  </si>
  <si>
    <t>7170-0784-03</t>
  </si>
  <si>
    <t>KIT - 2019-2020 New Body Style Chevy and GM Trucks (Leg Kit, Console, Wiring Chase)</t>
  </si>
  <si>
    <t>7170-0784-02</t>
  </si>
  <si>
    <t>KIT - 2019-2020 New Body Style Chevy and GM Trucks (Leg Kit, Console, Cup Holder, Side Armrest)</t>
  </si>
  <si>
    <t>7170-0784-01</t>
  </si>
  <si>
    <t>KIT - 2019-2020 New Body Style Chevy and GM Trucks (Leg Kit, Console)</t>
  </si>
  <si>
    <t>7170-0784-00</t>
  </si>
  <si>
    <t>Kit, 2015-2020 Tahoe Console Box (Silverado Truck) w/ Armrest, Cup Holder, Armrest, USB/AUX Input Faceplate, Wings.   Includes 3  faceplates and 3  filler panels.</t>
  </si>
  <si>
    <t>7170-0237-09</t>
  </si>
  <si>
    <t>Kit, 2015-2020 Tahoe Console Box (Silverado Truck) w/ Armrest, Cup Holder, Armrest, USB/AUX Input Faceplate, Side Pocket, Wings.   Includes 3  faceplates and 3  filler panels.</t>
  </si>
  <si>
    <t>7170-0237-08</t>
  </si>
  <si>
    <t>Kit, 2015-2020 Tahoe Console Box (Silverado Truck) w/ Armrest, Cup Holder, Vertical Surface Mount w/ Hardware Bag.   Includes 3  faceplates and 3  filler panels.</t>
  </si>
  <si>
    <t>7170-0237-07</t>
  </si>
  <si>
    <t>Kit, 2015-2020 Tahoe Console Box (Silverado Truck) w/ Armrest, Cup Holder and 7160-0500.   Includes 3  faceplates and 3  filler panels.</t>
  </si>
  <si>
    <t>7170-0237-06</t>
  </si>
  <si>
    <t>Kit, 2015-2020 Tahoe Console Box (Silverado Truck) w/ Armrest, Cup Holder and 7160-0220.   Includes 3  faceplates and 3  filler panels.</t>
  </si>
  <si>
    <t>7170-0237-05</t>
  </si>
  <si>
    <t>Kit, 2015-2020 Tahoe Console Box (Silverado Truck) w/ Armrest, Cup Holder, Wire /Cable Chase and 7160-0220.   Includes 3  faceplates and 3  filler panels.</t>
  </si>
  <si>
    <t>7170-0237-04</t>
  </si>
  <si>
    <t>Kit, 2015-2020 Tahoe Console Box (Silverado Truck) w/ Armrest, Cup Holder and Wire /Cable Chase.   Includes 3  faceplates and 3  filler panels.</t>
  </si>
  <si>
    <t>7170-0237-03</t>
  </si>
  <si>
    <t>Kit, 2015-2020 Tahoe Console Box (Silverado Truck) and Wire /Cable Chase.   Includes 3  faceplates and 3  filler panels.</t>
  </si>
  <si>
    <t>7170-0237-02</t>
  </si>
  <si>
    <t>Kit, 2015-2020 Tahoe Console Box (Silverado Truck) w/ Armrest, Cup Holder.   Includes 3  faceplates and 3  filler panels.</t>
  </si>
  <si>
    <t>7170-0237-01</t>
  </si>
  <si>
    <t>Kit, 2015-2020 Tahoe Console Box (Silverado Truck).   Includes 3  faceplates and 3  filler panels.</t>
  </si>
  <si>
    <t>7170-0237-00</t>
  </si>
  <si>
    <t>Console Box- 2021+ FORD F150 WIDE-TO-NARROW CONSOLE, PRINTER MOUNT (NEW FEB 2024)</t>
  </si>
  <si>
    <t>7160-1892-01</t>
  </si>
  <si>
    <t>Console Box- 2021+ FORD F150 WIDE-TO-NARROW CONSOLE (NEW FEB 2024)</t>
  </si>
  <si>
    <t>7160-1892</t>
  </si>
  <si>
    <t xml:space="preserve">Console Box- 2021+ Ford F-150 Wide Body Console </t>
  </si>
  <si>
    <t>7160-1626</t>
  </si>
  <si>
    <t>Console box - 2022+ Ford F-150 Lightning</t>
  </si>
  <si>
    <t>7160-1854</t>
  </si>
  <si>
    <t>Console box- 2015-2020 Ford F-150 Narrow Console</t>
  </si>
  <si>
    <t>7160-1452</t>
  </si>
  <si>
    <t>Console box- Ford Utility 2020+ Vehicle Specific Deep Console- Incomplete box (needs 7160-1543 printer mount, or see kits 7170-0822-XX)</t>
  </si>
  <si>
    <t>7160-1477</t>
  </si>
  <si>
    <t>Console box- Ford Utility 2020+ Vehicle Specific Low Profile Console</t>
  </si>
  <si>
    <t>7160-1446</t>
  </si>
  <si>
    <t xml:space="preserve">Console box - Ford Utility 2020+ Vehicle Specific SHORT Console </t>
  </si>
  <si>
    <t>7160-1335</t>
  </si>
  <si>
    <t xml:space="preserve">Console box - Ford Utility 2020+ Vehicle Specific Console </t>
  </si>
  <si>
    <t>7160-1334</t>
  </si>
  <si>
    <t>Console box - Floor 4X4 Shift Ford F-SERIES Aluminum Body</t>
  </si>
  <si>
    <t>7160-1326</t>
  </si>
  <si>
    <t>Console box - Ford F150 2015-2020, F250-F550 2017+, 2018+ Expedition</t>
  </si>
  <si>
    <t>7160-1256</t>
  </si>
  <si>
    <t>CONSOLE BOX - VERTICAL F150 (2015-2020) F250-F550 (2017-2021);  Includes 2  faceplates and 2  filler panels.</t>
  </si>
  <si>
    <t>7160-0875</t>
  </si>
  <si>
    <t>2012-2014 Console Box -Ford - Utility PI.  Includes 3  faceplates and 3  filler panels.</t>
  </si>
  <si>
    <t>7160-0412</t>
  </si>
  <si>
    <t xml:space="preserve">2021+ Dodge Durango Standard Console Box </t>
  </si>
  <si>
    <t>7160-1627</t>
  </si>
  <si>
    <t>Console Box - Dodge Durango 2018-2020</t>
  </si>
  <si>
    <t>7160-1047</t>
  </si>
  <si>
    <t xml:space="preserve">2021+ Dodge Charger 8.5" Console Box </t>
  </si>
  <si>
    <t>7160-1673</t>
  </si>
  <si>
    <t xml:space="preserve">2021+ Dodge Charger 10.5" Console Box </t>
  </si>
  <si>
    <t>7160-1623</t>
  </si>
  <si>
    <t xml:space="preserve">2021+ Dodge Charger Standard Console Box </t>
  </si>
  <si>
    <t>7160-1628</t>
  </si>
  <si>
    <t>2011-2020 Dodge Charger Police 10. 5" package Console Box.  Includes 3  faceplates and 3  filler panels.</t>
  </si>
  <si>
    <t>7160-0353</t>
  </si>
  <si>
    <t>2011-2020 Dodge Charger Police package Console Box.  Includes 3  faceplates and 3  filler panels.</t>
  </si>
  <si>
    <t>7160-0326</t>
  </si>
  <si>
    <t>Console Box- 2021-2024 Chevrolet Tahoe Standard Width Console</t>
  </si>
  <si>
    <t>7160-1633</t>
  </si>
  <si>
    <t>Console box- 2019+ Chevy Silverado Wide Body Console with Printer Mount</t>
  </si>
  <si>
    <t>7160-1896-01</t>
  </si>
  <si>
    <t xml:space="preserve">Console box- 2021-2024 Chevy Tahoe Wide Body Console with Printer Mount </t>
  </si>
  <si>
    <t>7160-1566-01</t>
  </si>
  <si>
    <t xml:space="preserve">Console box- 2019+ Chevy Silverado Wide Body Console </t>
  </si>
  <si>
    <t>7160-1896</t>
  </si>
  <si>
    <t xml:space="preserve">Console box- 2021-2024 Chevy Tahoe Wide Body Console </t>
  </si>
  <si>
    <t>7160-1566</t>
  </si>
  <si>
    <t xml:space="preserve">Console box- 2025+ Chevy Tahoe Wide Body Console with Printer Mount </t>
  </si>
  <si>
    <t>7160-2022-01</t>
  </si>
  <si>
    <t xml:space="preserve">Console box- 2025+ Chevy Tahoe Wide Body Console </t>
  </si>
  <si>
    <t>7160-2022</t>
  </si>
  <si>
    <t>Document Compartment for Tahoe Vehicle Specific Consoles (7160-0434 and 7160-0435)</t>
  </si>
  <si>
    <t>7160-0464</t>
  </si>
  <si>
    <t xml:space="preserve">KIT- Freightliner M2 106 and 112 Pedestal Kit with Mongoose XLE 9" </t>
  </si>
  <si>
    <t>7170-0973-03</t>
  </si>
  <si>
    <t>KIT- Freightliner M2 106 and 112 Pedestal Kit with Mongoose XE 9"</t>
  </si>
  <si>
    <t>7170-0973-02</t>
  </si>
  <si>
    <t xml:space="preserve">KIT- Freightliner M2 106 and 112 Pedestal Kit with Mongoose 9" Locking Slide Arm with Short Clevis </t>
  </si>
  <si>
    <t>7170-0973-01</t>
  </si>
  <si>
    <t xml:space="preserve">KIT- Freightliner M2 106 and 112 Pedestal Kit </t>
  </si>
  <si>
    <t>7170-0973-00</t>
  </si>
  <si>
    <t xml:space="preserve">KIT- 2017+ Tesla Model 3 Pedestal System with Mongoose XLE 9" </t>
  </si>
  <si>
    <t>7170-0965-03</t>
  </si>
  <si>
    <t>KIT- 2017+ Tesla Model 3 Pedestal System with Mongoose XE 9"</t>
  </si>
  <si>
    <t>7170-0965-02</t>
  </si>
  <si>
    <t xml:space="preserve">KIT- 2017+ Tesla Model 3 Pedestal System with Mongoose 9" Locking Slide Arm with Short Clevis </t>
  </si>
  <si>
    <t>7170-0965-01</t>
  </si>
  <si>
    <t>KIT- 2017+ Tesla Model 3 Pedestal System (No Motion Attachement)</t>
  </si>
  <si>
    <t>7170-0965-00</t>
  </si>
  <si>
    <t xml:space="preserve">KIT - 6" Articulating Arm with Support Brace and 13" Lower </t>
  </si>
  <si>
    <t>7170-0904-13</t>
  </si>
  <si>
    <t xml:space="preserve">KIT - 6" Articulating Arm with Support Brace and 9" Lower </t>
  </si>
  <si>
    <t>7170-0904-09</t>
  </si>
  <si>
    <t xml:space="preserve">KIT - 6" Articulating Arm with Support Brace and 7" Lower </t>
  </si>
  <si>
    <t>7170-0904-07</t>
  </si>
  <si>
    <t xml:space="preserve">KIT - Universal Adjustable Seat Base Pedestal Kit with Mongoose® XLE 9" </t>
  </si>
  <si>
    <t>7170-0892-03</t>
  </si>
  <si>
    <t xml:space="preserve">KIT - Universal Adjustable Seat Base Pedestal Kit with Mongoose® XE 9" </t>
  </si>
  <si>
    <t>7170-0892-02</t>
  </si>
  <si>
    <t xml:space="preserve">KIT - Universal Adjustable Seat Base Pedestal Kit with Mongoose® 9" Locking Slide Arm with Short Clevis </t>
  </si>
  <si>
    <t>7170-0892-01</t>
  </si>
  <si>
    <t xml:space="preserve">KIT - Universal Adjustable Seat Base Pedestal Kit </t>
  </si>
  <si>
    <t>7170-0892-00</t>
  </si>
  <si>
    <t xml:space="preserve">KIT- 2019+ Toyota RAV 4 Pedestal Kit with 6" Lock Slide Arm </t>
  </si>
  <si>
    <t>7170-0824-04</t>
  </si>
  <si>
    <t>KIT- 2019+ Toyota RAV 4 Pedestal Kit with Mongoose XE 9"</t>
  </si>
  <si>
    <t>7170-0824-03</t>
  </si>
  <si>
    <t xml:space="preserve">KIT- 2019+ Toyota RAV 4 Pedestal Kit with Short Clevis </t>
  </si>
  <si>
    <t>7170-0824-02</t>
  </si>
  <si>
    <t xml:space="preserve">KIT- 2019+ Toyota RAV 4 Pedestal Kit with Mongoose Slide Arm </t>
  </si>
  <si>
    <t>7170-0824-01</t>
  </si>
  <si>
    <t xml:space="preserve">KIT- 2019+ Toyota RAV 4 Pedestal Kit </t>
  </si>
  <si>
    <t>7170-0824-00</t>
  </si>
  <si>
    <t>Kit Nissan NV200 Van / Chevy City Express Van Vehicle Base - 7160-0557; DS-LOWER-9; 7160-0178; 7160-0230; 7160-0500</t>
  </si>
  <si>
    <t>7170-0503</t>
  </si>
  <si>
    <t>Kit, Nissan NV Van Vehicle Base  - 7160-0342, DS-LOWER-13, 7160-0178, 7160-0230, 7160-0220</t>
  </si>
  <si>
    <t>7170-0502</t>
  </si>
  <si>
    <t>KIT- 2020+ Ford PIU Pedestal Kit with 7160-1116-09</t>
  </si>
  <si>
    <t>7170-0814-03</t>
  </si>
  <si>
    <t>KIT- 2020+ Ford PIU Pedestal Kit with 7160-0928</t>
  </si>
  <si>
    <t>7170-0814-02</t>
  </si>
  <si>
    <t>KIT- 2020+ Ford PIU Pedestal Kit with 7160-0220</t>
  </si>
  <si>
    <t>7170-0814-01</t>
  </si>
  <si>
    <t xml:space="preserve">KIT- 2020+ Ford PIU Pedestal Kit </t>
  </si>
  <si>
    <t>7170-0814-00</t>
  </si>
  <si>
    <t>KIT- 2020+ Ford Escape Pedestal Kit with Mongoose XE 9"</t>
  </si>
  <si>
    <t>7170-0836-03</t>
  </si>
  <si>
    <t>KIT- 2020+ Ford Escape Pedestal Kit with Short Clevis</t>
  </si>
  <si>
    <t>7170-0836-02</t>
  </si>
  <si>
    <t>KIT- 2020+ Ford Escape Pedestal Kit with Mongoose Slide Arm</t>
  </si>
  <si>
    <t>7170-0836-01</t>
  </si>
  <si>
    <t>KIT- 2020+ Ford Escape Pedestal Kit</t>
  </si>
  <si>
    <t>7170-0836-00</t>
  </si>
  <si>
    <t>KIT - 2021+ Ford Mustang Mach-E Pedestal Kit with Mongoose XLE 9"</t>
  </si>
  <si>
    <t>7170-1052-03</t>
  </si>
  <si>
    <t>KIT - 2021+ Ford Mustang Mach-E Pedestal Kit with Mongoose XE 9"</t>
  </si>
  <si>
    <t>7170-1052-02</t>
  </si>
  <si>
    <t>KIT - 2021+ Ford Mustang Mach-E Pedestal Kit with 9" Locking Slide Arm with Short Clevis</t>
  </si>
  <si>
    <t>7170-1052-01</t>
  </si>
  <si>
    <t>KIT - 2021+ Ford Mustang Mach-E Pedestal Kit</t>
  </si>
  <si>
    <t>7170-1052-00</t>
  </si>
  <si>
    <t>KIT - Ranger 2019+ Pedestal Kit with 6" Locking Slide Arm with Short Clevis</t>
  </si>
  <si>
    <t>7170-0782-02</t>
  </si>
  <si>
    <t>KIT - Ranger 2019+ Pedestal Kit with 6" Locking Slide Arm</t>
  </si>
  <si>
    <t>7170-0782-01</t>
  </si>
  <si>
    <t>KIT - 2015+ Ford F150 Pedestal Kit with Mongoose XLE 9"</t>
  </si>
  <si>
    <t>7170-0236-03</t>
  </si>
  <si>
    <t>KIT - 2015+ Ford F150 Pedestal Kit with Mongoose Locking Slide Arm</t>
  </si>
  <si>
    <t>7170-0236</t>
  </si>
  <si>
    <t>KIT - Ford F150 (MY2004-2014) Pedestal Kit with Mongoose</t>
  </si>
  <si>
    <t>7170-0135</t>
  </si>
  <si>
    <t>KIT - Ford F150 (MY2015-2020), Super Duty F250-550 (MY2017+Transmission Hump Vehicle Base with Support Brace and DS-LOWER-13</t>
  </si>
  <si>
    <t>7170-0640-03</t>
  </si>
  <si>
    <t>KIT - Ford F150 (MY2015-2020), Super Duty F250-550 (MY2017+Transmission Hump Vehicle Base with Support Brace and DS-LOWER-9</t>
  </si>
  <si>
    <t>7170-0640-02</t>
  </si>
  <si>
    <t>KIT - Ford F150 (MY2015-2020), Super Duty F250-550 (MY2017+Transmission Hump Vehicle Base with Support Brace</t>
  </si>
  <si>
    <t>7170-0640-01</t>
  </si>
  <si>
    <t>Kit, Ford Super Duty F250-F750  2011-2015, Pedestal</t>
  </si>
  <si>
    <t>7170-0133</t>
  </si>
  <si>
    <t>Kit, Ford Transit Connect 2010 - 2013, Pedestal</t>
  </si>
  <si>
    <t>7170-0131</t>
  </si>
  <si>
    <t>Kit, Ford E-Series 2006 - 2014 Pedestal; 2015+ Ford E-Series Cut-away chassis</t>
  </si>
  <si>
    <t>7170-0130</t>
  </si>
  <si>
    <t>Kit, Ford Expedition 2007 - 2017, Pedestal</t>
  </si>
  <si>
    <t>7170-0129</t>
  </si>
  <si>
    <t>Kit, Ford Fusion 2013+, Vehicle Base, 7160-0260, DS-LOWER-9, 7160-0178, 7160-0500, 7160-0230</t>
  </si>
  <si>
    <t>7170-0234</t>
  </si>
  <si>
    <t>Kit, Ford Escape 2013-2019,  Vehicle Base, 7160-0451, DS-LOWER-13, 7160-0178, 7160-0500, 7160-0230</t>
  </si>
  <si>
    <t>7170-0233</t>
  </si>
  <si>
    <t>Kit, Ford Escape 2010-2012 - Vehicle Base, DS-140, DS-LOWER-9, 7160-0178, 7160-0500, 7160-0230</t>
  </si>
  <si>
    <t>7170-0232</t>
  </si>
  <si>
    <t>Kit, Ford Transit 2015+, Pedestal</t>
  </si>
  <si>
    <t>7170-0226</t>
  </si>
  <si>
    <t>Kit, Ford Transit Connect (2014+) Vehicle Base  - 7160-0536, DS-LOWER-9, 7160-0178, 7160-0230, 7160-0500</t>
  </si>
  <si>
    <t>7170-0238</t>
  </si>
  <si>
    <t>Kit, Ford Utility Police Interceptor 2011 - 2014, Pedestal</t>
  </si>
  <si>
    <t>7170-0148</t>
  </si>
  <si>
    <t>Kit, Ford Sedan Police Interceptor 2011 - 2014, Pedestal</t>
  </si>
  <si>
    <t>7170-0147</t>
  </si>
  <si>
    <t>KIT- 2011+ Dodge Durango Pedestal Kit with Mongoose XE 9"</t>
  </si>
  <si>
    <t>7170-0841-03</t>
  </si>
  <si>
    <t>KIT- 2011+ Dodge Durango Pedestal Kit with Short Clevis</t>
  </si>
  <si>
    <t>7170-0841-02</t>
  </si>
  <si>
    <t>KIT- 2011+ Dodge Durango Pedestal Kit with Mongoose Slide Arm</t>
  </si>
  <si>
    <t>7170-0841-01</t>
  </si>
  <si>
    <t>KIT- 2011+ Dodge Durango Pedestal Kit</t>
  </si>
  <si>
    <t>7170-0841-00</t>
  </si>
  <si>
    <t>KIT - RAM 1500, 2500, 3500 2019+ (New Body Style), Transmission Hump Pedestal</t>
  </si>
  <si>
    <t>7170-0771</t>
  </si>
  <si>
    <t xml:space="preserve">KIT - RAM 1500, 2500, 3500 2019+ (New Body Style), Pedestal </t>
  </si>
  <si>
    <t>7170-0770</t>
  </si>
  <si>
    <t>Kit, Mercedes Sprinter Van Vehicle Base - 7160-0013, DS-LOWER-5, 7160-0177, 7160-0230, 7160-0220</t>
  </si>
  <si>
    <t>7170-0501</t>
  </si>
  <si>
    <t>Kit, RAM Promaster City (2015+) Van Vehicle Base - 7160-0553, DS-LOWER-9, 7160-0178, 7160-0230, 7160-0500</t>
  </si>
  <si>
    <t>7170-0500</t>
  </si>
  <si>
    <t>Kit, RAM Promaster (2014+) Van Vehicle Base - 7160-0527,  DS-LOWER-7, 7160-0178, 7160-0230, 7160-0500</t>
  </si>
  <si>
    <t>7170-0239</t>
  </si>
  <si>
    <t>Kit, Dodge Charger 2011+, Pedestal</t>
  </si>
  <si>
    <t>7170-0138</t>
  </si>
  <si>
    <t>Kit, Dodge RAM 1500-5500 2002 - 2014, Pedestal</t>
  </si>
  <si>
    <t>7170-0136</t>
  </si>
  <si>
    <t xml:space="preserve">KIT- 2017+ Chevy Bolt Pedestal Kit with Mongoose XLE 9" </t>
  </si>
  <si>
    <t>7170-0913-03</t>
  </si>
  <si>
    <t>KIT- 2017+ Chevy Bolt Pedestal Kit with Mongoose XE 9"</t>
  </si>
  <si>
    <t>7170-0913-02</t>
  </si>
  <si>
    <t xml:space="preserve">KIT- 2017+ Chevy Bolt Pedestal Kit with Mongoose 9" Locking Slide Arm with Short Clevis </t>
  </si>
  <si>
    <t>7170-0913-01</t>
  </si>
  <si>
    <t>KIT- 2017+ Chevy Bolt Pedestal Kit (no Motion Attachment)</t>
  </si>
  <si>
    <t>7170-0913-00</t>
  </si>
  <si>
    <t xml:space="preserve">KIT- 2021+ Chevy Tahoe Pedestal Kit with Mongoose XLE 9" </t>
  </si>
  <si>
    <t>7170-0865-03</t>
  </si>
  <si>
    <t>KIT- 2021+ Chevy Tahoe Pedestal Kit with Mongoose XE 9"</t>
  </si>
  <si>
    <t>7170-0865-02</t>
  </si>
  <si>
    <t xml:space="preserve">KIT- 2021+ Chevy Tahoe Pedestal Kit with Mongoose 9" Locking Slide Arm </t>
  </si>
  <si>
    <t>7170-0865-01</t>
  </si>
  <si>
    <t xml:space="preserve">KIT- 2021+ Chevy Tahoe Pedestal Kit </t>
  </si>
  <si>
    <t>7170-0865-00</t>
  </si>
  <si>
    <t>KIT - 2019+ Chevy Silverado Pedestal Kit with 9" Mongoose XLE</t>
  </si>
  <si>
    <t>7170-0783-04</t>
  </si>
  <si>
    <t>KIT - 2019+ Chevy Silverado Pedestal Kit with 9" Mongoose XE</t>
  </si>
  <si>
    <t>7170-0783-03</t>
  </si>
  <si>
    <t>KIT - Chevy Silverado 2019+ 1500 w/ Short Clevis Mongoose</t>
  </si>
  <si>
    <t>7170-0783-02</t>
  </si>
  <si>
    <t>KIT - Chevy Silverado 2019+ 1500 w/ Mongoose</t>
  </si>
  <si>
    <t>7170-0783-01</t>
  </si>
  <si>
    <t>KIT - Chevy Silverado EV 2024+ with MOTION ATTACHMENT/0-120 X 360 LOCKING SLIDE ARM SHORT CLEVIS</t>
  </si>
  <si>
    <t>7170-1083-01</t>
  </si>
  <si>
    <t>KIT - Chevy Silverado EV 2024+ with MONGOOSE XLE 9 INCH</t>
  </si>
  <si>
    <t>7170-1083-00</t>
  </si>
  <si>
    <t xml:space="preserve">KIT- Chevy Equinox/GMC Terrain Pedestal Kit w/out Motion Device </t>
  </si>
  <si>
    <t>7170-0852-00</t>
  </si>
  <si>
    <t>KIT- 2015-2022 Chevy Colorado Pedestal Kit with 9" Locking Slide Arm with Short Clevis</t>
  </si>
  <si>
    <t>7170-0875</t>
  </si>
  <si>
    <t>KIT- 2015-2022 Chevy Colorado Pedestal Kit with MOTION ATTACHMENT/0-120 X 360 LOCKING SLIDE ARM SHORT CLEVIS</t>
  </si>
  <si>
    <t>7170-1082-01</t>
  </si>
  <si>
    <t>KIT- 2023+ Chevy Colorado Pedestal Kit with 7" Mongoose XLE</t>
  </si>
  <si>
    <t>7170-1082-00</t>
  </si>
  <si>
    <t xml:space="preserve">KIT- Chevy Equinox/GMC Terrain Pedestal Kit with 9" XE Device </t>
  </si>
  <si>
    <t>7170-0852-03</t>
  </si>
  <si>
    <t xml:space="preserve">KIT- Chevy Equinox/GMC Terrain Pedestal Kit with Short Clevis </t>
  </si>
  <si>
    <t>7170-0852-02</t>
  </si>
  <si>
    <t xml:space="preserve">KIT- Chevy Equinox/GMC Terrain Pedestal Kit with STD Mongoose </t>
  </si>
  <si>
    <t>7170-0852-01</t>
  </si>
  <si>
    <t>Kit, Chevy Caprice PPV 2014-2015, Pedestal</t>
  </si>
  <si>
    <t>7170-0220</t>
  </si>
  <si>
    <t xml:space="preserve">Kit, Chevy Silverado / GMC Sierra Truck 2014-2018,  Pedestal </t>
  </si>
  <si>
    <t>7170-0214</t>
  </si>
  <si>
    <t>Kit, Chevrolet Impala 2006 - 2013 &amp; 2014 Model PPV, Pedestal</t>
  </si>
  <si>
    <t>7170-0144</t>
  </si>
  <si>
    <t>Kit, Chevrolet Silverado2000 - 2013/Tahoe 2000 - 2014/Suburban 2000 - 2014, Pedestal</t>
  </si>
  <si>
    <t>7170-0142</t>
  </si>
  <si>
    <t>Kit, Chevrolet G-Series Van 2010 - 2014, Pedestal</t>
  </si>
  <si>
    <t>7170-0140</t>
  </si>
  <si>
    <t>Low profile swivel motion attachment, mounts to GJ smiley-face pattern. GJ and VESA 75 mounting pattern.</t>
  </si>
  <si>
    <t>LOWSWIVEL</t>
  </si>
  <si>
    <t>KIT: Short Clevis (7160-0783) and Friction Bearing Hardware - 3/8"</t>
  </si>
  <si>
    <t>7170-0941</t>
  </si>
  <si>
    <t>KIT: Standard Clevis (7110-1200) and Friction Bearing Hardware - 3/8"</t>
  </si>
  <si>
    <t>7170-0940</t>
  </si>
  <si>
    <t>Mongoose 9" XLE TALL Tablet Display KIT. Combines (Independent Display Bracket 7110-1305, VESA 75mm tablet display 7160-0764, Quick Release Keyboard Tray 7160-0857, and 7160-1216-09 Mongoose XLE 9")</t>
  </si>
  <si>
    <t>7170-0894-01</t>
  </si>
  <si>
    <t>Mongoose 9" XLE Tablet Display KIT. Combines (Independent Display Bracket 7110-1305, VESA 75mm tablet display 7160-0764, Quick Release Keyboard Tray 7160-0857, and 7160-1216-09 Mongoose XLE 9")</t>
  </si>
  <si>
    <t>7170-0894</t>
  </si>
  <si>
    <t xml:space="preserve">INDEPENDENT ROTATION KIT. Combines ( Independent Rotation Keyboard/Display Mount 7160-0758) , (Tall Tablet Display Mount for Independent Rotation 7160-0831),  (Mongoose w/stud 7160-0427), (Low Clevis 7160-0783) and (new Quick Release Keyboard Tray 7160-0757)  </t>
  </si>
  <si>
    <t>7170-0514-01</t>
  </si>
  <si>
    <t>INDEPENDENT ROTATION KIT. Combines ( Independent Rotation Keyboard/Display Mount 7160-0758) , (Tablet Display Mount for Independent Rotation 7160-0761),  (Mongoose w/stud 7160-0427), (Low Clevis 7160-0783) and (new Quick Release Keyboard Tray 7160-0757)  to form a solution where the Tablet computer and Keyboard  can be moved independently.</t>
  </si>
  <si>
    <t>7170-0514</t>
  </si>
  <si>
    <t>Tall Tablet Display Mount, 9" Locking Slide Arm, And Quick release keyboard tray</t>
  </si>
  <si>
    <t>7170-0512-01</t>
  </si>
  <si>
    <t>Tablet Display Mount, 9" Locking Slide Arm, and quick release Keyboard Tray</t>
  </si>
  <si>
    <t>7170-0512</t>
  </si>
  <si>
    <t>Mongoose XLE 12" with 3/8" Stud Independent Display Bracket - Assembled (Available 1/3/2025)</t>
  </si>
  <si>
    <t>7160-2004-12</t>
  </si>
  <si>
    <t>Mongoose XLE 12" with Zirkona Independent Display Bracket - Assembled (Available 1/3/2025)</t>
  </si>
  <si>
    <t>7160-2003-12</t>
  </si>
  <si>
    <t>Mongoose XLE 12" with 3/8" stud (Available 1/3/2025) REPLACES 7160-1220-12</t>
  </si>
  <si>
    <t>7160-2002-12</t>
  </si>
  <si>
    <t>Mongoose XE 15" REPLACES 7160-1116-15</t>
  </si>
  <si>
    <t>7160-2001-15</t>
  </si>
  <si>
    <t>Mongoose XE 12" REPLACES 7160-1116-12</t>
  </si>
  <si>
    <t>7160-2001-12</t>
  </si>
  <si>
    <t xml:space="preserve">Mongoose XLE 15" </t>
  </si>
  <si>
    <t>7160-1216-15</t>
  </si>
  <si>
    <t xml:space="preserve">Mongoose XLE 12" </t>
  </si>
  <si>
    <t>7160-1216-12</t>
  </si>
  <si>
    <t>Fold-Down Tablet Display Bracket</t>
  </si>
  <si>
    <t>7160-1865</t>
  </si>
  <si>
    <t>Tall Fold-Up Tablet and Keyboard Mount</t>
  </si>
  <si>
    <t>7160-1820</t>
  </si>
  <si>
    <t>Fold-Up Tablet and Keyboard Mount</t>
  </si>
  <si>
    <t>7160-1445</t>
  </si>
  <si>
    <t>Mongoose XLE 12" with 3/8" stud</t>
  </si>
  <si>
    <t>7160-1220-12</t>
  </si>
  <si>
    <t>Mongoose XLE 9" with 3/8" stud</t>
  </si>
  <si>
    <t>7160-1220-09</t>
  </si>
  <si>
    <t>Mongoose XLE 9"</t>
  </si>
  <si>
    <t>7160-1216-09</t>
  </si>
  <si>
    <t>Mongoose XLE 7"</t>
  </si>
  <si>
    <t>7160-1216-07</t>
  </si>
  <si>
    <t>Mongoose XE 9" REPLACING 7160-1116-09</t>
  </si>
  <si>
    <t>7160-2001-09</t>
  </si>
  <si>
    <t>Mongoose XE 7" REPLACING 7160-1116-07</t>
  </si>
  <si>
    <t>7160-2001-07</t>
  </si>
  <si>
    <t>6" Locking Slide Arm with Short Clevis</t>
  </si>
  <si>
    <t>7160-1160</t>
  </si>
  <si>
    <t>TS5 with Clevis and no anchor plate assembly</t>
  </si>
  <si>
    <t>7160-0992</t>
  </si>
  <si>
    <t>Mongoose™ 0-120 X 360 LOCKING SLIDE ARM with SHORT CLEVIS</t>
  </si>
  <si>
    <t>7160-0928</t>
  </si>
  <si>
    <t>MOUNT, TALL TABLET DISPLAY</t>
  </si>
  <si>
    <t>7160-0831</t>
  </si>
  <si>
    <t>Interface plate. VESA 75 studs to GJ 2 x 4 pattern. Use to mount a device with VESA 75 studs to a motion attachment with 2 x 4 hole pattern.</t>
  </si>
  <si>
    <t>7160-0794</t>
  </si>
  <si>
    <t xml:space="preserve">LOW CLEVIS. VESA 75 / GJ pattern.   Mount using 3/8" hardware. (VESA 75, GJ, AMPS, NEC mounting patterns) </t>
  </si>
  <si>
    <t>7160-0783</t>
  </si>
  <si>
    <t>TS5 without Clevis</t>
  </si>
  <si>
    <t>7160-0782</t>
  </si>
  <si>
    <t xml:space="preserve">TALL Clevis with 3-stud adapter plate for smiley-face mounting pattern, GJ, VESA 75, AMPS, NEC mounting patterns. </t>
  </si>
  <si>
    <t>7160-0776</t>
  </si>
  <si>
    <t xml:space="preserve">LOW Clevis with 3-stud adapter plate for smiley-face mounting pattern, GJ, VESA 75, AMPS, NEC mounting patterns. </t>
  </si>
  <si>
    <t>7160-0775</t>
  </si>
  <si>
    <t>Low Swivel with .38" Hole, mounts on 3/8" stud. GJ and VESA 75 mounting pattern.</t>
  </si>
  <si>
    <t>7160-0762</t>
  </si>
  <si>
    <t>TABLET DISPLAY MOUNT FOR INDEPENDANT ROTATION.  Accepts product with VESA hole pattern, Use with (7160-0758) Independent Rotation keyboard/Display Mount, (7160-0220) Mongoose, and new Quick Release Keyboard Tray (7160-0757) to form a solution where the Tablet computer and Keyboard  can be moved independently.</t>
  </si>
  <si>
    <t>7160-0761</t>
  </si>
  <si>
    <t>INDEPENDENT ROTATION KEYBOARD / DISPLAY MOUNT. Use this with the Universal Tablet Display Mount (7160-0761) , Mongoose 7160-0220 , and new Quick Release Keyboard Tray (7160-0757) to form a solution where the Tablet computer and Keyboard  can be moved independently.</t>
  </si>
  <si>
    <t>7160-0758</t>
  </si>
  <si>
    <t xml:space="preserve">VESA 75 / GJ Standard Clevis with 3-stud adapter plate for smiley-face mounting pattern. (VESA 75, GJ, AMPS, NEC mounting patterns) </t>
  </si>
  <si>
    <t>7160-0750</t>
  </si>
  <si>
    <t>6" Locking Slide Arm with 3/8" stud</t>
  </si>
  <si>
    <t>7160-0514</t>
  </si>
  <si>
    <t>6" Locking Slide Arm with Low Swivel</t>
  </si>
  <si>
    <t>7160-0502</t>
  </si>
  <si>
    <t>6" Locking Slide Arm with 360 Degree Clevis</t>
  </si>
  <si>
    <t>7160-0500</t>
  </si>
  <si>
    <t>6 Inch Articulating Arm with Clevis.  90 degree tilt, 360 degree rotation. REPLACES 7160-0396</t>
  </si>
  <si>
    <t>7160-0497</t>
  </si>
  <si>
    <t>Universal Adapter and Wall mount</t>
  </si>
  <si>
    <t>7160-0454</t>
  </si>
  <si>
    <t>10 degree Angled Lowswivel with .38" Hole, mounts on 3/8" stud. GJ and VESA 75 mounting pattern.</t>
  </si>
  <si>
    <t>7160-0436</t>
  </si>
  <si>
    <t>Locking Slide Arm w/o Clevis</t>
  </si>
  <si>
    <t>7160-0427</t>
  </si>
  <si>
    <t>Locking Swing Arm</t>
  </si>
  <si>
    <t>7160-0341</t>
  </si>
  <si>
    <t>Quad Motion TS5</t>
  </si>
  <si>
    <t>7160-0285</t>
  </si>
  <si>
    <t>Quad Motion TS3</t>
  </si>
  <si>
    <t>7160-0284</t>
  </si>
  <si>
    <t>10 degree Angled Lowswivel mounts to GJ smiley-face pattern. GJ and VESA 75 mounting pattern.</t>
  </si>
  <si>
    <t>7160-0268</t>
  </si>
  <si>
    <t>Mongoose 9" locking slide arm with 360 degree clevis</t>
  </si>
  <si>
    <t>7160-0220</t>
  </si>
  <si>
    <t>Mini-Clevis</t>
  </si>
  <si>
    <t>7160-0162</t>
  </si>
  <si>
    <t>Internal Cup Holder Phone Mount</t>
  </si>
  <si>
    <t>7110-1367</t>
  </si>
  <si>
    <t>Independent Tablet Rotation Bracket, Zirkona (For use with Mongoose XLE variations)</t>
  </si>
  <si>
    <t>7110-1306</t>
  </si>
  <si>
    <t>Independent Tablet Rotation Bracket, 3/8" Stud (For use with Mongoose XLE variations)</t>
  </si>
  <si>
    <t>7110-1305</t>
  </si>
  <si>
    <t xml:space="preserve">VESA 75 / GJ Clevis WITHOUT 3-stud adapter plate.  Mount using 3/8" hardware. (VESA 75, GJ, AMPS, NEC mounting patterns) </t>
  </si>
  <si>
    <t>7110-1200</t>
  </si>
  <si>
    <t>Mongoose XE/XLE Bump Stop - 1 - 1" piece</t>
  </si>
  <si>
    <t>Smart Phone Cradle</t>
  </si>
  <si>
    <t>Offset universal mounting step</t>
  </si>
  <si>
    <t>DS-STEP</t>
  </si>
  <si>
    <t>6"  long quick adjust upper tube assembly for DS-LOWER-9 or any vehicle base with a welded pole</t>
  </si>
  <si>
    <t>QADJ-UPPER-S</t>
  </si>
  <si>
    <t>8"  long quick adjust upper tube assembly for DS-LOWER-9 or any vehicle base with a welded pole</t>
  </si>
  <si>
    <t>QADJ-UPPER-M</t>
  </si>
  <si>
    <t>12" long quick adjust upper tube assembly for DS-LOWER-9 or any vehicle base with a welded pole (REPLACEMENT for QADJ-UPPER-L5)</t>
  </si>
  <si>
    <t>QADJ-UPPER-L</t>
  </si>
  <si>
    <t>8" upper tube assembly for DS-LOWER-9 or any vehicle base with a welded pole</t>
  </si>
  <si>
    <t>DS-UPPER-M</t>
  </si>
  <si>
    <t>12" upper tube assembly for DS-LOWER-9 or any vehicle base with a welded pole</t>
  </si>
  <si>
    <t>DS-UPPER-L</t>
  </si>
  <si>
    <t>5.8" upper tube assembly for DS-LOWER-9 or any vehicle base with a welded pole</t>
  </si>
  <si>
    <t>DS-UPPER</t>
  </si>
  <si>
    <t>3" pole with center mounted upper</t>
  </si>
  <si>
    <t>DS-POLE-CTR</t>
  </si>
  <si>
    <t>7" Center Upper Pole</t>
  </si>
  <si>
    <t>7160-0178</t>
  </si>
  <si>
    <t xml:space="preserve">5" Center Upper Pole </t>
  </si>
  <si>
    <t>7160-0177</t>
  </si>
  <si>
    <t>3" DS series pole assembly</t>
  </si>
  <si>
    <t>3INCH-DS-POLE</t>
  </si>
  <si>
    <t>9" lower pole assembly</t>
  </si>
  <si>
    <t>DS-LOWER-9</t>
  </si>
  <si>
    <t>7" lower pole assembly</t>
  </si>
  <si>
    <t>DS-LOWER-7</t>
  </si>
  <si>
    <t xml:space="preserve">5" lower pole assembly </t>
  </si>
  <si>
    <t>DS-LOWER-5</t>
  </si>
  <si>
    <t>13" lower pole assembly</t>
  </si>
  <si>
    <t>DS-LOWER-13</t>
  </si>
  <si>
    <t>Rack-to-Post 9.38" platform attachment</t>
  </si>
  <si>
    <t>DS-74-L</t>
  </si>
  <si>
    <t>Rack-to-Post 6" platform attachment</t>
  </si>
  <si>
    <t>DS-74</t>
  </si>
  <si>
    <t>Air bag friendly conversion bracket</t>
  </si>
  <si>
    <t>ABF-KIT</t>
  </si>
  <si>
    <t>KIT - Short Support Brace w/ 2019+ RAM Support Brace Bracket</t>
  </si>
  <si>
    <t>7170-0769-01</t>
  </si>
  <si>
    <t>Adjustable Support Brace - Long w/angled support bracket</t>
  </si>
  <si>
    <t>7170-0689-02</t>
  </si>
  <si>
    <t>Adjustable Support Brace - Short w/angled support bracket</t>
  </si>
  <si>
    <t>7170-0689-01</t>
  </si>
  <si>
    <t>Support Brace bracket - 2019+ RAM 1500-3500</t>
  </si>
  <si>
    <t>7160-1391</t>
  </si>
  <si>
    <t>Angled Support Bracket w/Hardware Bag</t>
  </si>
  <si>
    <t>7160-1266</t>
  </si>
  <si>
    <t>Adjustable Support Brace - Long</t>
  </si>
  <si>
    <t>7160-0231</t>
  </si>
  <si>
    <t>Adjustable Support Brace - Short</t>
  </si>
  <si>
    <t>7160-0230</t>
  </si>
  <si>
    <t>KIT - Long Support Brace w/ 2019+ RAM Support Brace Bracket</t>
  </si>
  <si>
    <t>7170-0769-02</t>
  </si>
  <si>
    <t xml:space="preserve">2017+ Tesla Model 3 Vehicle Base </t>
  </si>
  <si>
    <t>7160-1754</t>
  </si>
  <si>
    <t xml:space="preserve">Universal Adjustable Seat Base </t>
  </si>
  <si>
    <t>7160-1624</t>
  </si>
  <si>
    <t xml:space="preserve">2015+ Toyota Prius Vehicle Base </t>
  </si>
  <si>
    <t>7160-1611</t>
  </si>
  <si>
    <t>Base, Toyota RAV4, No Drill 2013-2018</t>
  </si>
  <si>
    <t>7160-0955</t>
  </si>
  <si>
    <t>Base, Nissan NV200 (2010+), Chevrolet City Express (2015+), and Chevrolet Volt (2010-2015)</t>
  </si>
  <si>
    <t>7160-0557</t>
  </si>
  <si>
    <t>Base, Freightliner M2 Business Class, 2012+</t>
  </si>
  <si>
    <t>7160-0544</t>
  </si>
  <si>
    <t>2019+ Nissan Frontier Vehicle Base</t>
  </si>
  <si>
    <t>7160-1412</t>
  </si>
  <si>
    <t>Universal vertical surface mount, small</t>
  </si>
  <si>
    <t>DS-138</t>
  </si>
  <si>
    <t xml:space="preserve">2019+ Toyota RAV 4 Vehicle Base </t>
  </si>
  <si>
    <t>7160-1514</t>
  </si>
  <si>
    <t>Flat floor base</t>
  </si>
  <si>
    <t>DS-57</t>
  </si>
  <si>
    <t>Horizontal surface base</t>
  </si>
  <si>
    <t>DS-56</t>
  </si>
  <si>
    <t>Vertical surface base</t>
  </si>
  <si>
    <t>DS-53</t>
  </si>
  <si>
    <t>Flat floor/high seat base</t>
  </si>
  <si>
    <t>DS-52</t>
  </si>
  <si>
    <t>No holes Toyota Tacoma vehicle base (2000-2014)</t>
  </si>
  <si>
    <t>DS-150</t>
  </si>
  <si>
    <t>Universal vehicle base for the International, Sterling and Freightliner trucks with bench seats</t>
  </si>
  <si>
    <t>DS-146</t>
  </si>
  <si>
    <t>Flat Floor Vehicle Base - International 4300</t>
  </si>
  <si>
    <t>7160-0403</t>
  </si>
  <si>
    <t>Nissan NV (Cargo Van) Vehicle Base</t>
  </si>
  <si>
    <t>7160-0342</t>
  </si>
  <si>
    <t>Universal Seatmount Base</t>
  </si>
  <si>
    <t>7160-0033</t>
  </si>
  <si>
    <t>DS-52 Under Body Support Plate</t>
  </si>
  <si>
    <t>7160-0190</t>
  </si>
  <si>
    <t>Universal Vehicle Base (Replaces DS-Silverado)</t>
  </si>
  <si>
    <t>7160-0185</t>
  </si>
  <si>
    <t>Ford F150 (MY2015+) / F250-F550 (MY2017+) Transmission Hump Vehicle Base</t>
  </si>
  <si>
    <t>7160-1046</t>
  </si>
  <si>
    <t xml:space="preserve">2020+ Ford Escape Vehicle Base </t>
  </si>
  <si>
    <t>7160-1493</t>
  </si>
  <si>
    <t>Ford Escape Vehicle Base  (2002-2012)</t>
  </si>
  <si>
    <t>DS-140</t>
  </si>
  <si>
    <t>2015+ Ford Transit Vehicle Base</t>
  </si>
  <si>
    <t>7160-0537</t>
  </si>
  <si>
    <t>2014-2015 Ford Transit Connect Vehicle Base</t>
  </si>
  <si>
    <t>7160-0536</t>
  </si>
  <si>
    <t>Base, Ford Ranger (2019+)</t>
  </si>
  <si>
    <t>7160-1379</t>
  </si>
  <si>
    <t>Base, Ford Utility (2020+)</t>
  </si>
  <si>
    <t>7160-1336</t>
  </si>
  <si>
    <t>2004-2014 Ford F-150 Vehicle Base</t>
  </si>
  <si>
    <t>DS-124</t>
  </si>
  <si>
    <t>No holes bored passenger side vehicle base for Ford Explorer (2002-2010)</t>
  </si>
  <si>
    <t>DS-114</t>
  </si>
  <si>
    <t>Vehicle Base, Ford,  F150 (2015+) &amp; F250-F550 Super Duty (2017+) Trucks</t>
  </si>
  <si>
    <t>7160-0554</t>
  </si>
  <si>
    <t>Ford F250 - F550 Super Duty Vehicle Base (2011-2016); F650-F750 (2011+)</t>
  </si>
  <si>
    <t>7160-0281</t>
  </si>
  <si>
    <t>Ford Escape Vehicle Base  (2013-2017)</t>
  </si>
  <si>
    <t>7160-0451</t>
  </si>
  <si>
    <t>Ford Fusion Vehicle Base (2013-2017)</t>
  </si>
  <si>
    <t>7160-0260</t>
  </si>
  <si>
    <t>Ford Econoline Vehicle Base 2007-2014</t>
  </si>
  <si>
    <t>7160-0090</t>
  </si>
  <si>
    <t>Ford Explorer Vehicle Base (2011-2014)</t>
  </si>
  <si>
    <t>7160-0350</t>
  </si>
  <si>
    <t>2021+ Ford Mustang Mach-E Vehicle Base</t>
  </si>
  <si>
    <t>7160-1911</t>
  </si>
  <si>
    <t>2007-2014 Ford Expedition Vehicle base (no drill)</t>
  </si>
  <si>
    <t>7160-0046</t>
  </si>
  <si>
    <t xml:space="preserve">1999-2010 Ford F-250 to F-750 Super Duty Vehicle base </t>
  </si>
  <si>
    <t>7160-0045</t>
  </si>
  <si>
    <t>Ford Transit Connect Vehicle Base</t>
  </si>
  <si>
    <t>7160-0245</t>
  </si>
  <si>
    <t>Vehicle Base Ford CVPI</t>
  </si>
  <si>
    <t>7160-0234</t>
  </si>
  <si>
    <t>Base, 2019+ RAM 1500-3500 Transmission Hump</t>
  </si>
  <si>
    <t>7160-1382</t>
  </si>
  <si>
    <t>Base, 2019+ RAM 1500 (New Body Style)</t>
  </si>
  <si>
    <t>7160-1324</t>
  </si>
  <si>
    <t>Base, Jeep Compas MY2017+</t>
  </si>
  <si>
    <t>7160-1028</t>
  </si>
  <si>
    <t>Vehicle Base, Ram ProMaster City (2015+) Van</t>
  </si>
  <si>
    <t>7160-0553</t>
  </si>
  <si>
    <t xml:space="preserve">RAM PROMASTER 2014+, Base - No Drill </t>
  </si>
  <si>
    <t>7160-0527</t>
  </si>
  <si>
    <t>Dodge Charger Vehicle Base 2011+</t>
  </si>
  <si>
    <t>7160-0329</t>
  </si>
  <si>
    <t>Dodge Durango/Grand Cherokee Vehicle Base 2011+</t>
  </si>
  <si>
    <t>7160-0323</t>
  </si>
  <si>
    <t>2007- 2010 Dodge Charger/Magnum no drill vehicle base</t>
  </si>
  <si>
    <t>7160-0008</t>
  </si>
  <si>
    <t>Base, Dodge Ram 1500 (2002-2019), 2019+ Dodge Ram 1500 Classic Body Style, Dodge Ram 2500-5500 (2002+) &amp; Sterling Bullet (2007-2009)</t>
  </si>
  <si>
    <t>7160-0182</t>
  </si>
  <si>
    <t>Dodge Sprinter No Drill Vehicle Base 2004-2008</t>
  </si>
  <si>
    <t>7160-0036</t>
  </si>
  <si>
    <t xml:space="preserve">Base, Chevrolet Bolt 2017+ No Drill </t>
  </si>
  <si>
    <t>7160-1541</t>
  </si>
  <si>
    <t>Base, Chevy Malibu 2017+ No Drill</t>
  </si>
  <si>
    <t>7160-0969</t>
  </si>
  <si>
    <t>Vehicle Base, 2015-2022 Chevy Colorado / GMC Canyon</t>
  </si>
  <si>
    <t>7160-0556</t>
  </si>
  <si>
    <t>Vehicle Base, 2023+ Chevy Colorado / GMC Canyon</t>
  </si>
  <si>
    <t>7160-1962</t>
  </si>
  <si>
    <t>No holes bored passenger side vehicle base for Chevrolet 1500/2500/3500 C/K (1999-2006 &amp; 2007 Classic Body Style); Chevrolet Avalanche (2002-2006); Tahoe (2000-2006); Silverado (1999-2006 &amp; 2007 Classic Body Style); Suburban (2000-2006); GMC Sierra (2000-2006 &amp; 2007 Classic Body Style)</t>
  </si>
  <si>
    <t>DS-122</t>
  </si>
  <si>
    <t>Base, Chevy Traverse/GMC Acadia 2018+</t>
  </si>
  <si>
    <t>7160-1397</t>
  </si>
  <si>
    <t>Base, Chevy Silverado 1500 (2019+), GMC Sierra 1500 (2019+), Chevy Tahoe (2021+)</t>
  </si>
  <si>
    <t>7160-1332</t>
  </si>
  <si>
    <t>Base, Chevy Silverado 1500 EV (2023+)</t>
  </si>
  <si>
    <t>7160-1945</t>
  </si>
  <si>
    <t>GMC/Chevrolet truck and SUV Vehicle Base (2007-2013 and 2014 all models EXCEPT 1500's)</t>
  </si>
  <si>
    <t>DS-144</t>
  </si>
  <si>
    <t>2014-2015 Chevy Caprice PPV, Vehicle Base</t>
  </si>
  <si>
    <t>7160-0532</t>
  </si>
  <si>
    <t xml:space="preserve">Vehicle Base for 2013 -2014 Chevy Malibu </t>
  </si>
  <si>
    <t>7160-0520</t>
  </si>
  <si>
    <t>Vehicle Base for (2014-2018) GMC Sierra (1500), Chevy Silverado (1500) 2019 Classic 1500 Sierra/Silverado; (2015-2019) Sierra &amp; Silverado 2500 -3500, HD, Suburban, Tahoe, Yukon</t>
  </si>
  <si>
    <t>7160-0510</t>
  </si>
  <si>
    <t>Base, Chevy Trax 2016+, no Drill</t>
  </si>
  <si>
    <t>7160-0855</t>
  </si>
  <si>
    <t>Base, Chevy Equinox / GMC Terrain (2018+)</t>
  </si>
  <si>
    <t>7160-1322</t>
  </si>
  <si>
    <t>Base, Chevy Equinox / GMC Terrain (2010-2017)</t>
  </si>
  <si>
    <t>7160-0572</t>
  </si>
  <si>
    <t xml:space="preserve">2021+ Chevrolet Tahoe Support Brace Bracket </t>
  </si>
  <si>
    <t>7160-1602</t>
  </si>
  <si>
    <t xml:space="preserve">2019+ Chevrolet Silverado Support Brace Bracket </t>
  </si>
  <si>
    <t>7160-1608</t>
  </si>
  <si>
    <t>2010 Chevy Express Van Vehicle Base</t>
  </si>
  <si>
    <t>7160-0248</t>
  </si>
  <si>
    <t>Chevy Express, GMC Savana, G-Series Van and Ford 05 and older E-Series vehicle base</t>
  </si>
  <si>
    <t>7160-0133</t>
  </si>
  <si>
    <t>Caravan, Sto&amp;Go, Swivel &amp; Go Vehicle Base (2007-2014)</t>
  </si>
  <si>
    <t>7160-0116</t>
  </si>
  <si>
    <t>2006-2007 Chevy Impala Vehicle Base</t>
  </si>
  <si>
    <t>7160-0055</t>
  </si>
  <si>
    <t>Type</t>
  </si>
  <si>
    <t>CW Class</t>
  </si>
  <si>
    <t>2025 List Price</t>
  </si>
  <si>
    <t>Product Description</t>
  </si>
  <si>
    <t>Item Number</t>
  </si>
  <si>
    <t>PAC Tools</t>
  </si>
  <si>
    <t>Cut-Sheet 8.5 x11 Thermal Paper, 100 pages per box</t>
  </si>
  <si>
    <t>Cut-Sheet 8.5 x11 Thermal Paper 25 boxes per case 100 pages per box</t>
  </si>
  <si>
    <t>Receipt Paper Premium 8.5" w/Perforation and Black Mark, 6 rolls (69 Linear feet per roll)</t>
  </si>
  <si>
    <t>Receipt Paper Premium 8.5" 6 rolls (69 Linear feet per roll)</t>
  </si>
  <si>
    <t>Printhead Cleaning Pen (12/box)</t>
  </si>
  <si>
    <t>USB 6' cable left angle FP530/I80</t>
  </si>
  <si>
    <t>USB 10' cable FP530/I80</t>
  </si>
  <si>
    <t>USB 6' cable FP530/I80</t>
  </si>
  <si>
    <t>I80 AC Adapter</t>
  </si>
  <si>
    <t>I80 In-Vehicle 10' Cigarette plug</t>
  </si>
  <si>
    <t>I80 In-Vehicle 6' Cigarette plug</t>
  </si>
  <si>
    <t>I80 In-Vehicle 14' Unterminated</t>
  </si>
  <si>
    <t>I80 USB Vehicle Kit - Includes 93860, 93863, 93877, and one roll of perforated paper w/black mark</t>
  </si>
  <si>
    <t>I80 BT Vehicle Kit - Includes 93861, 93863, 93882, and one roll of perforated paper w/black mark</t>
  </si>
  <si>
    <t>I80 USB Vehicle Kit - Includes 93860, 93863, 93882, and one roll of perforated paper w/black mark</t>
  </si>
  <si>
    <t>I80 Wi-Fi / USB printer, w/out battery</t>
  </si>
  <si>
    <t>I80 BT / USB printer, w/out battery</t>
  </si>
  <si>
    <t>I80 USB printer, w/out battery</t>
  </si>
  <si>
    <t>Vendor Part</t>
  </si>
  <si>
    <t>Printek</t>
  </si>
  <si>
    <t>Streamlight</t>
  </si>
  <si>
    <t>UNPKD 4 QTY. SHOULDER WASHERS</t>
  </si>
  <si>
    <t>RAP-WASHS2-4U</t>
  </si>
  <si>
    <t>RAM 4 QTY UN7 UN8 GRAY POST CAPS</t>
  </si>
  <si>
    <t>RAP-UN-CAP-G-4U</t>
  </si>
  <si>
    <t>UNPKD. RAM 4 QTY UN7 UN8 UN9 POST CAPS</t>
  </si>
  <si>
    <t>RAP-UN-CAP-4U</t>
  </si>
  <si>
    <t>UNPKD. RAM 4 QTY RED UN7 UN8 UN9 POST CAPS</t>
  </si>
  <si>
    <t>RAP-UN-CAP-4-REDU</t>
  </si>
  <si>
    <t>RAP-UN-CAP-4-RED</t>
  </si>
  <si>
    <t>UNPKD. RAM 4 QTY BLUE UN7 UN8 UN9 POST CAPS</t>
  </si>
  <si>
    <t>RAP-UN-CAP-4-BLUEU</t>
  </si>
  <si>
    <t>RAP-UN-CAP-4-BLUE</t>
  </si>
  <si>
    <t>RAM 4 QTY UN7 UN8 UN9 POST CAPS</t>
  </si>
  <si>
    <t>RAP-UN-CAP-4</t>
  </si>
  <si>
    <t>RAM BODY MOUNT FOR ARMS W/ FINGER GRIP</t>
  </si>
  <si>
    <t>RAP-UN4-BM-A1</t>
  </si>
  <si>
    <t xml:space="preserve">CENTER LOADER FOR EXTRUDED ALUM TRACK </t>
  </si>
  <si>
    <t>RAP-TRACK-EXA-CCU</t>
  </si>
  <si>
    <t>90 DEG CONNECTOR FOR EXTRUDED ALUM TRACK</t>
  </si>
  <si>
    <t>RAP-TRACK-EXA-CC90U</t>
  </si>
  <si>
    <t>UNPK 8" EXTRUDED COMPOSITE TOUGH-TRACK</t>
  </si>
  <si>
    <t>RAP-TRACK-DR-8U</t>
  </si>
  <si>
    <t>RAM 8" EXTRUDED COMPOSITE TOUGH-TRACK</t>
  </si>
  <si>
    <t>RAP-TRACK-DR-8</t>
  </si>
  <si>
    <t>UNPK 6" EXTRUDED COMPOSITE TOUGH-TRACK</t>
  </si>
  <si>
    <t>RAP-TRACK-DR-6U</t>
  </si>
  <si>
    <t>RAM 6" EXTRUDED COMPOSITE TOUGH-TRACK</t>
  </si>
  <si>
    <t>RAP-TRACK-DR-6</t>
  </si>
  <si>
    <t>UNPK 4" EXTRUDED COMPOSITE TOUGH-TRACK</t>
  </si>
  <si>
    <t>RAP-TRACK-DR-4U</t>
  </si>
  <si>
    <t>RAM 4" EXTRUDED COMPOSITE TOUGH-TRACK</t>
  </si>
  <si>
    <t>RAP-TRACK-DR-4</t>
  </si>
  <si>
    <t>UNPK 3" EXTRUDED COMPOSITE TOUGH-TRACK</t>
  </si>
  <si>
    <t>RAP-TRACK-DR-3U</t>
  </si>
  <si>
    <t>UNPK 38" EXTRUDED COMPOSITE TOUGH-TRACK</t>
  </si>
  <si>
    <t>RAP-TRACK-DR-38U</t>
  </si>
  <si>
    <t>UNPK 30" EXTRUDED COMPOSITE TOUGH-TRACK</t>
  </si>
  <si>
    <t>RAP-TRACK-DR-30U</t>
  </si>
  <si>
    <t>UNPK 24" EXTRUDED COMPOSITE TOUGH-TRACK</t>
  </si>
  <si>
    <t>RAP-TRACK-DR-24U</t>
  </si>
  <si>
    <t>RAM 24" EXTRUDED COMPOSITE TOUGH-TRACK</t>
  </si>
  <si>
    <t>RAP-TRACK-DR-24</t>
  </si>
  <si>
    <t>UNPK 20" EXTRUDED COMPOSITE TOUGH-TRACK</t>
  </si>
  <si>
    <t>RAP-TRACK-DR-20U</t>
  </si>
  <si>
    <t>RAM 20" EXTRUDED COMPOSITE TOUGH-TRACK</t>
  </si>
  <si>
    <t>RAP-TRACK-DR-20</t>
  </si>
  <si>
    <t>UNPK 16" EXTRUDED COMPOSITE TOUGH-TRACK</t>
  </si>
  <si>
    <t>RAP-TRACK-DR-16U</t>
  </si>
  <si>
    <t>RAM 16" EXTRUDED COMPOSITE TOUGH-TRACK</t>
  </si>
  <si>
    <t>RAP-TRACK-DR-16</t>
  </si>
  <si>
    <t>UNPK 12" EXTRUDED COMPOSITE TOUGH-TRACK</t>
  </si>
  <si>
    <t>RAP-TRACK-DR-12U</t>
  </si>
  <si>
    <t>RAM 12" EXTRUDED COMPOSITE TOUGH-TRACK</t>
  </si>
  <si>
    <t>RAP-TRACK-DR-12</t>
  </si>
  <si>
    <t>UNPKD RAM 7" TOUGH-TRACK FOR 5/8" - 1 1/4" TUBES</t>
  </si>
  <si>
    <t>RAP-TRACK-B7U</t>
  </si>
  <si>
    <t>UNPKD RAM 7" TOUGH-TRACK FOR 1 3/4" - 2" TUBES</t>
  </si>
  <si>
    <t>RAP-TRACK-B7HU</t>
  </si>
  <si>
    <t>UNPKD RAM 7" TOUGH-TRACK FOR 1 3/4" - 2" TUBES WITH NO HARDWARE</t>
  </si>
  <si>
    <t>RAP-TRACK-B7HNHU</t>
  </si>
  <si>
    <t>UNPKD RAM 7" TOUGH-TRACK FOR 1 1/4" - 1 1/2" TUBES</t>
  </si>
  <si>
    <t>RAP-TRACK-B7-15U</t>
  </si>
  <si>
    <t>UNPKD RAM 18" TOUGH-TRACK FOR 5/8" - 1 1/4" TUBES</t>
  </si>
  <si>
    <t>RAP-TRACK-B18U</t>
  </si>
  <si>
    <t>UNPKD RAM 18" TOUGH-TRACK FOR 1 3/4" - 2" TUBES</t>
  </si>
  <si>
    <t>RAP-TRACK-B18HU</t>
  </si>
  <si>
    <t>UNPKD RAM 18" TOUGH-TRACK FOR 1 3/4" - 2" TUBES WITH NO HARDWARE</t>
  </si>
  <si>
    <t>RAP-TRACK-B18HNHU</t>
  </si>
  <si>
    <t>UNPKD RAM 12" TOUGH-TRACK FOR 5/8" - 1 1/4" TUBES</t>
  </si>
  <si>
    <t>RAP-TRACK-B12U</t>
  </si>
  <si>
    <t>UNPKD RAM 12" TOUGH-TRACK FOR 1 3/4" - 2" TUBES</t>
  </si>
  <si>
    <t>RAP-TRACK-B12HU</t>
  </si>
  <si>
    <t>UNPKD RAM 12" TOUGH-TRACK FOR 1 1/2" - 2" TUBES WITH NO HARDWARE</t>
  </si>
  <si>
    <t>RAP-TRACK-B12HNHU</t>
  </si>
  <si>
    <t>UNPKD RAM 12" TOUGH-TRACK FOR 1 1/4" - 1 1/2" TUBES</t>
  </si>
  <si>
    <t>RAP-TRACK-B12-15U</t>
  </si>
  <si>
    <t>UNPKD RAM 9" TOUGH-TRACK</t>
  </si>
  <si>
    <t>RAP-TRACK-A9U</t>
  </si>
  <si>
    <t>RAM 9" TOUGH-TRACK</t>
  </si>
  <si>
    <t>RAP-TRACK-A9</t>
  </si>
  <si>
    <t>UNPKD RAM 5" TOUGH-TRACK</t>
  </si>
  <si>
    <t>RAP-TRACK-A5U</t>
  </si>
  <si>
    <t>RAM 5" TOUGH-TRACK</t>
  </si>
  <si>
    <t>RAP-TRACK-A5</t>
  </si>
  <si>
    <t>UNPKD RAM 3" TOUGH-TRACK</t>
  </si>
  <si>
    <t>RAP-TRACK-A3U</t>
  </si>
  <si>
    <t>RAM 3" TOUGH-TRACK</t>
  </si>
  <si>
    <t>RAP-TRACK-A3</t>
  </si>
  <si>
    <t>UNPKD RAM 2" TOUGH-TRACK</t>
  </si>
  <si>
    <t>RAP-TRACK-A2U</t>
  </si>
  <si>
    <t>RAM 2" TOUGH-TRACK</t>
  </si>
  <si>
    <t>RAP-TRACK-A2</t>
  </si>
  <si>
    <t>UNPKD RAM 16" TOUGH-TRACK</t>
  </si>
  <si>
    <t>RAP-TRACK-A16U</t>
  </si>
  <si>
    <t>RAM 16" TOUGH-TRACK</t>
  </si>
  <si>
    <t>RAP-TRACK-A16</t>
  </si>
  <si>
    <t>UNPKD RAM 12" TOUGH-TRACK</t>
  </si>
  <si>
    <t>RAP-TRACK-A12U</t>
  </si>
  <si>
    <t>RAM 12" TOUGH-TRACK</t>
  </si>
  <si>
    <t>RAP-TRACK-A12</t>
  </si>
  <si>
    <t>RAM UNIVERSAL TABLET KEYBOARD ADAPT MAG</t>
  </si>
  <si>
    <t>RAP-TAB-KB1-300U</t>
  </si>
  <si>
    <t>UNPKD RAM SECURITY NUT D SIZE MIX KEY</t>
  </si>
  <si>
    <t>RAP-S-NUT5U</t>
  </si>
  <si>
    <t>RAM SECURITY NUT D GIMBAL SIZE MIX KEY</t>
  </si>
  <si>
    <t>RAP-S-NUT5-GU</t>
  </si>
  <si>
    <t>RAP-S-NUT5-G</t>
  </si>
  <si>
    <t>UNPKD RAM SECURITY NUT D SIZE KEY 7</t>
  </si>
  <si>
    <t>RAP-S-NUT5-7U</t>
  </si>
  <si>
    <t>RAM SECURITY NUT D SIZE KEY 7</t>
  </si>
  <si>
    <t>RAP-S-NUT5-7</t>
  </si>
  <si>
    <t>UNKPD RAM SECURITY NUT D SIZE KEY 6</t>
  </si>
  <si>
    <t>RAP-S-NUT5-6U</t>
  </si>
  <si>
    <t>RAM SECURITY NUT D SIZE KEY 6</t>
  </si>
  <si>
    <t>RAP-S-NUT5-6</t>
  </si>
  <si>
    <t>UNKPD RAM SECURITY NUT D SIZE KEY 5</t>
  </si>
  <si>
    <t>RAP-S-NUT5-5U</t>
  </si>
  <si>
    <t>RAM SECURITY NUT D SIZE KEY 5</t>
  </si>
  <si>
    <t>RAP-S-NUT5-5</t>
  </si>
  <si>
    <t>UNPKD RAM SECURITY NUT D SIZE KEY 4</t>
  </si>
  <si>
    <t>RAP-S-NUT5-4U</t>
  </si>
  <si>
    <t>RAM SECURITY NUT D SIZE KEY 4</t>
  </si>
  <si>
    <t>RAP-S-NUT5-4</t>
  </si>
  <si>
    <t>RAM SECURITY NUT D SIZE MIX KEY</t>
  </si>
  <si>
    <t>RAP-S-NUT5</t>
  </si>
  <si>
    <t>RAM SECURITY KNOB KIT FOR SGL SWING ARM</t>
  </si>
  <si>
    <t>RAP-S-KNOB-VB-109U</t>
  </si>
  <si>
    <t>RAM SECURITY KNOB KIT FOR DBL SWING ARM</t>
  </si>
  <si>
    <t>RAP-S-KNOB-VB-109-1U</t>
  </si>
  <si>
    <t xml:space="preserve">RAM SECURITY NUT WITH STUD FOR GIMBAL </t>
  </si>
  <si>
    <t>RAP-S-KNOBGU</t>
  </si>
  <si>
    <t xml:space="preserve">RAM SECURITY KNOB WITH STUD FOR GIMBAL </t>
  </si>
  <si>
    <t>RAP-S-KNOBG-7U</t>
  </si>
  <si>
    <t>RAP-S-KNOBG-7</t>
  </si>
  <si>
    <t>RAP-S-KNOBG-6U</t>
  </si>
  <si>
    <t>RAP-S-KNOBG-6</t>
  </si>
  <si>
    <t>RAP-S-KNOBG-5U</t>
  </si>
  <si>
    <t>RAP-S-KNOBG-5</t>
  </si>
  <si>
    <t>RAP-S-KNOBG-4U</t>
  </si>
  <si>
    <t>RAP-S-KNOBG-4</t>
  </si>
  <si>
    <t>RAM SECURITY KNOB KIT SNG SWING ARM GIMB</t>
  </si>
  <si>
    <t>RAP-S-KNOBG-109U</t>
  </si>
  <si>
    <t>RAM SECURITY KNOB KIT DBL SWING ARM GIMB</t>
  </si>
  <si>
    <t>RAP-S-KNOBG-109-1U</t>
  </si>
  <si>
    <t>RAP-S-KNOBG-109-1</t>
  </si>
  <si>
    <t>RAP-S-KNOBG-109</t>
  </si>
  <si>
    <t>RAP-S-KNOBG</t>
  </si>
  <si>
    <t>UNPK RAM SECURITY KNOB 5/16 STUD MIX KEY</t>
  </si>
  <si>
    <t>RAP-S-KNOB7U</t>
  </si>
  <si>
    <t>RAM SECURITY KNOB 5/16 STUD SIZE KEY 7</t>
  </si>
  <si>
    <t>RAP-S-KNOB7-7U</t>
  </si>
  <si>
    <t>RAM SECURITY KNOB 5/16 STUD SIZE KEY 6</t>
  </si>
  <si>
    <t>RAP-S-KNOB7-6U</t>
  </si>
  <si>
    <t>RAP-S-KNOB7-6</t>
  </si>
  <si>
    <t>RAM SECURITY KNOB 5/16 STUD SIZE KEY 5</t>
  </si>
  <si>
    <t>RAP-S-KNOB7-5U</t>
  </si>
  <si>
    <t>RAP-S-KNOB7-5</t>
  </si>
  <si>
    <t>RAM SECURITY KNOB 5/16 STUD SIZE KEY 4</t>
  </si>
  <si>
    <t>RAP-S-KNOB7-4U</t>
  </si>
  <si>
    <t>RAP-S-KNOB7-4</t>
  </si>
  <si>
    <t>UNP RAM SECURITY SWING KNOB SIZE MIX KEY</t>
  </si>
  <si>
    <t>RAP-S-KNOB6U</t>
  </si>
  <si>
    <t>UNPKD RAM SECURITY SWING KNOB SIZE KEY 7</t>
  </si>
  <si>
    <t>RAP-S-KNOB6-7U</t>
  </si>
  <si>
    <t>RAM SECURITY SWING KNOB SIZE KEY 7</t>
  </si>
  <si>
    <t>RAP-S-KNOB6-7</t>
  </si>
  <si>
    <t>UNPKD RAM SECURITY SWING KNOB SIZE KEY 6</t>
  </si>
  <si>
    <t>RAP-S-KNOB6-6U</t>
  </si>
  <si>
    <t>RAM SECURITY SWING KNOB SIZE KEY 6</t>
  </si>
  <si>
    <t>RAP-S-KNOB6-6</t>
  </si>
  <si>
    <t>UNPKD RAM SECURITY SWING KNOB SIZE KEY 5</t>
  </si>
  <si>
    <t>RAP-S-KNOB6-5U</t>
  </si>
  <si>
    <t>RAM SECURITY SWING KNOB SIZE KEY 5</t>
  </si>
  <si>
    <t>RAP-S-KNOB6-5</t>
  </si>
  <si>
    <t>UNPKD RAM SECURITY SWING KNOB SIZE KEY 4</t>
  </si>
  <si>
    <t>RAP-S-KNOB6-4U</t>
  </si>
  <si>
    <t>RAM SECURITY SWING KNOB SIZE KEY 4</t>
  </si>
  <si>
    <t>RAP-S-KNOB6-4</t>
  </si>
  <si>
    <t>UNPKD RAM SECURITY KNOB C SIZE MIX KEYS</t>
  </si>
  <si>
    <t>RAP-S-KNOB5U</t>
  </si>
  <si>
    <t>RAM SECURITY KNOB C GIMB MIX KEYS</t>
  </si>
  <si>
    <t>RAP-S-KNOB5-GU</t>
  </si>
  <si>
    <t>RAP-S-KNOB5-G</t>
  </si>
  <si>
    <t>UNPKD RAM SECURITY KNOB C SIZE KEY 7</t>
  </si>
  <si>
    <t>RAP-S-KNOB5-7U</t>
  </si>
  <si>
    <t>RAM SECURITY KNOB C SIZE KEY 7</t>
  </si>
  <si>
    <t>RAP-S-KNOB5-7</t>
  </si>
  <si>
    <t>UNPKD RAM SECURITY KNOB C SIZE KEY 6</t>
  </si>
  <si>
    <t>RAP-S-KNOB5-6U</t>
  </si>
  <si>
    <t>RAM SECURITY KNOB C SIZE KEY 6</t>
  </si>
  <si>
    <t>RAP-S-KNOB5-6</t>
  </si>
  <si>
    <t>UNPKD RAM SECURITY KNOB C SIZE KEY 5</t>
  </si>
  <si>
    <t>RAP-S-KNOB5-5U</t>
  </si>
  <si>
    <t>RAM SECURITY KNOB C SIZE KEY 5</t>
  </si>
  <si>
    <t>RAP-S-KNOB5-5</t>
  </si>
  <si>
    <t>UNPKD RAM SECURITY KNOB C SIZE KEY 4</t>
  </si>
  <si>
    <t>RAP-S-KNOB5-4U</t>
  </si>
  <si>
    <t>RAM SECURITY KNOB C SIZE KEY 4</t>
  </si>
  <si>
    <t>RAP-S-KNOB5-4</t>
  </si>
  <si>
    <t>RAM SECURITY KNOB C SIZE MIX KEYS</t>
  </si>
  <si>
    <t>RAP-S-KNOB5</t>
  </si>
  <si>
    <t>UNPKD RAM SECURITY KNOB B SZE RANDOM KEY</t>
  </si>
  <si>
    <t>RAP-S-KNOB3U</t>
  </si>
  <si>
    <t>RAM SECURITY KNOB B GIMB MIX KEYS</t>
  </si>
  <si>
    <t>RAP-S-KNOB3-GU</t>
  </si>
  <si>
    <t>RAP-S-KNOB3-G</t>
  </si>
  <si>
    <t>UNPKD RAM SECURITY KNOB B SIZE KEY 7</t>
  </si>
  <si>
    <t>RAP-S-KNOB3-7U</t>
  </si>
  <si>
    <t>RAM SECURITY KNOB B SIZE KEY 7</t>
  </si>
  <si>
    <t>RAP-S-KNOB3-7</t>
  </si>
  <si>
    <t>UNPKD RAM SECURITY KNOB B SIZE KEY 6</t>
  </si>
  <si>
    <t>RAP-S-KNOB3-6U</t>
  </si>
  <si>
    <t>RAM SECURITY KNOB B SIZE KEY 6</t>
  </si>
  <si>
    <t>RAP-S-KNOB3-6</t>
  </si>
  <si>
    <t>UNPKD RAM SECURITY KNOB B SIZE KEY 5</t>
  </si>
  <si>
    <t>RAP-S-KNOB3-5U</t>
  </si>
  <si>
    <t>RAM SECURITY KNOB B SIZE KEY 5</t>
  </si>
  <si>
    <t>RAP-S-KNOB3-5</t>
  </si>
  <si>
    <t>UNKPD RAM SECURITY KNOB B SIZE KEY 4</t>
  </si>
  <si>
    <t>RAP-S-KNOB3-4U</t>
  </si>
  <si>
    <t>RAM SECURITY KNOB B SIZE KEY 4</t>
  </si>
  <si>
    <t>RAP-S-KNOB3-4</t>
  </si>
  <si>
    <t>RAM SECURITY KNOB KIT FOR RAM POD HD</t>
  </si>
  <si>
    <t>RAP-S-KNOB-316HD</t>
  </si>
  <si>
    <t>RAM SECURITY KNOB B SIZE RANDOM KEY</t>
  </si>
  <si>
    <t>RAP-S-KNOB3</t>
  </si>
  <si>
    <t>RAM SECURITY KNOB KIT FOR SING SWING ARM</t>
  </si>
  <si>
    <t>RAP-S-KNOB-109U</t>
  </si>
  <si>
    <t>RAP-S-KNOB-109-1U</t>
  </si>
  <si>
    <t>RAP-S-KNOB-109</t>
  </si>
  <si>
    <t>UNPKD RAM SECURITY NUT KEY 7</t>
  </si>
  <si>
    <t>RAP-S-KEYN5-7U</t>
  </si>
  <si>
    <t>UNPKD RAM SECURITY NUT KEY 6</t>
  </si>
  <si>
    <t>RAP-S-KEYN5-6U</t>
  </si>
  <si>
    <t>UNPKD RAM SECURITY NUT KEY 5</t>
  </si>
  <si>
    <t>RAP-S-KEYN5-5U</t>
  </si>
  <si>
    <t>UNPKD RAM SECURITY NUT KEY 4</t>
  </si>
  <si>
    <t>RAP-S-KEYN5-4U</t>
  </si>
  <si>
    <t>UNPKD RAM SECURITY KNOB KEY C SIZE KEY 7</t>
  </si>
  <si>
    <t>RAP-S-KEY5-7U</t>
  </si>
  <si>
    <t>UNPKD RAM SECURITY KNOB KEY C SIZE KEY 6</t>
  </si>
  <si>
    <t>RAP-S-KEY5-6U</t>
  </si>
  <si>
    <t>RAM SECURITY KNOB KEY C SIZE KEY 6</t>
  </si>
  <si>
    <t>RAP-S-KEY5-6</t>
  </si>
  <si>
    <t>UNPKD RAM SECURITY KNOB KEY C SIZE KEY 5</t>
  </si>
  <si>
    <t>RAP-S-KEY5-5U</t>
  </si>
  <si>
    <t>RAM SECURITY KNOB KEY C SIZE KEY 5</t>
  </si>
  <si>
    <t>RAP-S-KEY5-5</t>
  </si>
  <si>
    <t>UNPKD RAM SECURITY KNOB KEY C SIZE KEY 4</t>
  </si>
  <si>
    <t>RAP-S-KEY5-4U</t>
  </si>
  <si>
    <t>RAM SECURITY KNOB KEY C SIZE KEY 4</t>
  </si>
  <si>
    <t>RAP-S-KEY5-4</t>
  </si>
  <si>
    <t>UNPKD RAM SECURITY KNOB KEY B SIZE KEY 7</t>
  </si>
  <si>
    <t>RAP-S-KEY3-7U</t>
  </si>
  <si>
    <t xml:space="preserve"> RAM SECURITY KNOB KEY B SIZE KEY 7</t>
  </si>
  <si>
    <t>RAP-S-KEY3-7</t>
  </si>
  <si>
    <t>UNPKD RAM SECURITY KNOB KEY B SIZE KEY 6</t>
  </si>
  <si>
    <t>RAP-S-KEY3-6U</t>
  </si>
  <si>
    <t>UNPKD RAM SECURITY KNOB KEY B SIZE KEY 5</t>
  </si>
  <si>
    <t>RAP-S-KEY3-5U</t>
  </si>
  <si>
    <t>RAM SECURITY KNOB KEY B SIZE KEY 5</t>
  </si>
  <si>
    <t>RAP-S-KEY3-5</t>
  </si>
  <si>
    <t>UNPKD RAM SECURITY KNOB KEY B SIZE KEY 4</t>
  </si>
  <si>
    <t>RAP-S-KEY3-4U</t>
  </si>
  <si>
    <t>RAM SECURITY KNOB KEY B SIZE KEY 4</t>
  </si>
  <si>
    <t>RAP-S-KEY3-4</t>
  </si>
  <si>
    <t>RAM LIL' BUDDY ARM RAM TO RAM</t>
  </si>
  <si>
    <t>RAP-SBA-RRU</t>
  </si>
  <si>
    <t>RAM LIL' BUDDY ARM RAM TO RAM LONG</t>
  </si>
  <si>
    <t>RAP-SBA-RRLU</t>
  </si>
  <si>
    <t>RAM SNAP LINK ARM RAM TO GARMIN</t>
  </si>
  <si>
    <t>RAP-SBA-RGU</t>
  </si>
  <si>
    <t>RAM SNAP LINK ARM RAM TO GARMIN LONG</t>
  </si>
  <si>
    <t>RAP-SBA-RGLU</t>
  </si>
  <si>
    <t>UNPKD RAM TOUGH WEDGE SNAP LINK L RAM X-GRIP</t>
  </si>
  <si>
    <t>RAP-SB-407-UN8U</t>
  </si>
  <si>
    <t>UNPKD RAM TOUGH WEDGE SNAP LINK RAM X-GRIP</t>
  </si>
  <si>
    <t>RAP-SB-407-UN10U</t>
  </si>
  <si>
    <t>UNPKD RAM FLEX ADHESIVE MOUNTING SYSTEM</t>
  </si>
  <si>
    <t>RAP-SB-378U</t>
  </si>
  <si>
    <t>RAM SNAP LINK MALE-FEMALE UNPKD.</t>
  </si>
  <si>
    <t>RAP-SB-275-MFU</t>
  </si>
  <si>
    <t>RAM SNAP LINK FEMALE-FEMALE UNPKD.</t>
  </si>
  <si>
    <t>RAP-SB-275-FFU</t>
  </si>
  <si>
    <t>RAM SNAP LINK LONG FEMALE-FEMALE UNPKD.</t>
  </si>
  <si>
    <t>RAP-SB-275-FF1U</t>
  </si>
  <si>
    <t>RAM DIAMOND BASE W/45 FEM SNAP LINK UNPK</t>
  </si>
  <si>
    <t>RAP-SB-275-45U</t>
  </si>
  <si>
    <t>RAM DIAMOND BASE W/45DEG FEMAL SNAP LINK</t>
  </si>
  <si>
    <t>RAP-SB-275-45</t>
  </si>
  <si>
    <t>RAM DIAMOND BASE W/MALE SNAP LINK UNPKD</t>
  </si>
  <si>
    <t>RAP-SB-238U</t>
  </si>
  <si>
    <t>RAM DIAMOND BASE W/ FEMALE SNAP LINK</t>
  </si>
  <si>
    <t>RAP-SB-238FU</t>
  </si>
  <si>
    <t>RAM DIAMOND BASE W/MALE SNAP LINK</t>
  </si>
  <si>
    <t>RAP-SB-238</t>
  </si>
  <si>
    <t>UNPK RAM SUCTION CUP SNP LNK RAM X-GRIP SYST</t>
  </si>
  <si>
    <t>RAP-SB-224-2-UN7U</t>
  </si>
  <si>
    <t>RAM SUCTION CUP SNAP LINK RAM X-GRIP SYSTEM</t>
  </si>
  <si>
    <t>RAP-SB-224-2-UN7</t>
  </si>
  <si>
    <t>RAM 3" DIA. SUCT CUP W SNAP LINK BALL</t>
  </si>
  <si>
    <t>RAP-SB-224-2U</t>
  </si>
  <si>
    <t>RAM GARMIN DRIVE GPS SOLUTION</t>
  </si>
  <si>
    <t>RAP-SB-224-1-RGLU</t>
  </si>
  <si>
    <t>RAM 2.5" DIA. BASE W/MALE SNAP LINK UNPK</t>
  </si>
  <si>
    <t>RAP-SB-202U</t>
  </si>
  <si>
    <t>RAM 2.5" DIA. BASE W/ MALE SNAP LINK</t>
  </si>
  <si>
    <t>RAP-SB-202</t>
  </si>
  <si>
    <t>RAM SUCTION SNAP LINK WITH DIA BASE</t>
  </si>
  <si>
    <t>RAP-SB-193U</t>
  </si>
  <si>
    <t>RAM SNAP LINK MOUNT W/DBL. DIAMOND BASE</t>
  </si>
  <si>
    <t>RAP-SB-192U</t>
  </si>
  <si>
    <t>RAP-SB-192</t>
  </si>
  <si>
    <t>RAM 2.5"DIA &amp; 45° SNAP LINK MOUNT</t>
  </si>
  <si>
    <t>RAP-SB-190U</t>
  </si>
  <si>
    <t>UNPKD. RAM LIL' BUDDY SYSTEM DIA TO DIA</t>
  </si>
  <si>
    <t>RAP-SB-188U</t>
  </si>
  <si>
    <t>UNPKD. RAM LIL' BUDDY SYST DIA DIA LONG</t>
  </si>
  <si>
    <t>RAP-SB-188LU</t>
  </si>
  <si>
    <t>UNPKD. RAM REPLACEMENT EZ-STRAP BAND RUB</t>
  </si>
  <si>
    <t>RAP-SB-187ZRBU</t>
  </si>
  <si>
    <t>UNPKD. RAM EZ-STRAP SYSTEM WITH RAM X-GRIP</t>
  </si>
  <si>
    <t>RAP-SB-187-UN7U</t>
  </si>
  <si>
    <t>RAM EZ-STRAP SYSTEM WITH RAM X-GRIP</t>
  </si>
  <si>
    <t>RAP-SB-187-UN7</t>
  </si>
  <si>
    <t>RAM EZ-STRAP SYST FINGER GRIP</t>
  </si>
  <si>
    <t>RAP-SB-187-UN4</t>
  </si>
  <si>
    <t>UNPKD. RAM EZ-STRAP SYSTEM WITH DIAMOND</t>
  </si>
  <si>
    <t>RAP-SB-187U</t>
  </si>
  <si>
    <t>UNPKD. RAM EZ-STRAP SYST TOMTOM XXL</t>
  </si>
  <si>
    <t>RAP-SB-187-TO10U</t>
  </si>
  <si>
    <t>UNPKD. RAM EZ-STRAP SYSTEM RAM BALL</t>
  </si>
  <si>
    <t>RAP-SB-187RU</t>
  </si>
  <si>
    <t>RAM EZ-STRAP SYST MAGELLAN EXPLORIST 510</t>
  </si>
  <si>
    <t>RAP-SB-187-MA14</t>
  </si>
  <si>
    <t>UNPKD. RAM EZ-STRAP SYSTEM DIAMOND LONG</t>
  </si>
  <si>
    <t>RAP-SB-187LU</t>
  </si>
  <si>
    <t>RAM EZ-STRAP SYST LOWRANCE IFINDER H20</t>
  </si>
  <si>
    <t>RAP-SB-187-LO3</t>
  </si>
  <si>
    <t>RAM EZ-STRAP SYSTEM DIAMOND LONG</t>
  </si>
  <si>
    <t>RAP-SB-187L</t>
  </si>
  <si>
    <t>UNPKD. RAM EZ-STRAP SYSTEM GARMIN BALL</t>
  </si>
  <si>
    <t>RAP-SB-187GU</t>
  </si>
  <si>
    <t>UNPKD. RAM EZ-STRAP SYSTEM GARMIN LONG</t>
  </si>
  <si>
    <t>RAP-SB-187GLU</t>
  </si>
  <si>
    <t>RAM EZ-STRAP SYST GARMIN ETREX</t>
  </si>
  <si>
    <t>RAP-SB-187-GA5</t>
  </si>
  <si>
    <t>RAM EZ-STRAP SYST GARMIN ETREX 10 20 30</t>
  </si>
  <si>
    <t>RAP-SB-187-GA48</t>
  </si>
  <si>
    <t>RAM EZ-STRAP SYST GARMIN RINO 610 650</t>
  </si>
  <si>
    <t>RAP-SB-187-GA47</t>
  </si>
  <si>
    <t>RAM EZ-STRAP SYST GARMIN MONTANA</t>
  </si>
  <si>
    <t>RAP-SB-187-GA46</t>
  </si>
  <si>
    <t>RAM EZ-STRAP SYST GARMIN GPSMAP 62</t>
  </si>
  <si>
    <t>RAP-SB-187-GA41</t>
  </si>
  <si>
    <t>RAM EZ-STRAP SYST GARMIN GPSMAP 78</t>
  </si>
  <si>
    <t>RAP-SB-187-GA40</t>
  </si>
  <si>
    <t>RAM EZ-STRAP SYST GARMIN DAKOTA</t>
  </si>
  <si>
    <t>RAP-SB-187-GA36</t>
  </si>
  <si>
    <t>RAM EZ-STRAP SYST GARMIN OREGON</t>
  </si>
  <si>
    <t>RAP-SB-187-GA31</t>
  </si>
  <si>
    <t>RAM EZ-STRAP SYST GARMIN COLORADO</t>
  </si>
  <si>
    <t>RAP-SB-187-GA27</t>
  </si>
  <si>
    <t>RAM EZ-STRAP SYST GARMIN RINO 520 530</t>
  </si>
  <si>
    <t>RAP-SB-187-GA20</t>
  </si>
  <si>
    <t>RAM EZ-STRAP SYST GARMIN ETREX COLOR</t>
  </si>
  <si>
    <t>RAP-SB-187-GA16</t>
  </si>
  <si>
    <t>RAM EZ-STRAP SYST GARMIN 76C</t>
  </si>
  <si>
    <t>RAP-SB-187-GA14</t>
  </si>
  <si>
    <t>RAM EZ-STRAP SYST GARMIN 60 SERIES</t>
  </si>
  <si>
    <t>RAP-SB-187-GA12</t>
  </si>
  <si>
    <t>RAM EZ-STRAP SYST DELORME PN20</t>
  </si>
  <si>
    <t>RAP-SB-187-DEL1</t>
  </si>
  <si>
    <t>UNPKD. RAM EZ-STRAP MOUNTING BASE</t>
  </si>
  <si>
    <t>RAP-SB-187BU</t>
  </si>
  <si>
    <t>UNPKD. RAM EZ-STRAP SYST APPLE IPHONE 4G</t>
  </si>
  <si>
    <t>RAP-SB-187-AP9U</t>
  </si>
  <si>
    <t>UNPKD. RAM EZ-STRAP SYST APPLE TOUCH 4G</t>
  </si>
  <si>
    <t>RAP-SB-187-AP10U</t>
  </si>
  <si>
    <t>UNPKD. RAM EZ-STRAP WITH QUICK RELEASE</t>
  </si>
  <si>
    <t>RAP-SB-187-326U-TWI</t>
  </si>
  <si>
    <t>RAM EZ-STRAP SYSTEM WITH DIAMOND</t>
  </si>
  <si>
    <t>RAP-SB-187</t>
  </si>
  <si>
    <t>RAM DBL. SUCTION CUP W/SNAP LINK MOUNT</t>
  </si>
  <si>
    <t>RAP-SB-182U</t>
  </si>
  <si>
    <t>RAM LIL' BUDDY MOUNT RAM X-GRIP HOLDER</t>
  </si>
  <si>
    <t>RAP-SB-180-UN7U</t>
  </si>
  <si>
    <t>RAP-SB-180-UN7</t>
  </si>
  <si>
    <t>RAM LIL' BUDDY MOUNT FINGER GRIP</t>
  </si>
  <si>
    <t>RAP-SB-180-UN4</t>
  </si>
  <si>
    <t>RAM LIL' BUDDY MNT LG RAM X-GRIP HOLDER</t>
  </si>
  <si>
    <t>RAP-SB-180-UN10</t>
  </si>
  <si>
    <t>UNPKD. RAM LIL' BUDDY MOUNTING SYSTEM</t>
  </si>
  <si>
    <t>RAP-SB-180U</t>
  </si>
  <si>
    <t>RAM LIL' BUDDY MOUNT TOMTOM 330 SERIES</t>
  </si>
  <si>
    <t>RAP-SB-180-TO8U</t>
  </si>
  <si>
    <t>RAM LIL' BUDDY MOUNT TOMTOM XXL</t>
  </si>
  <si>
    <t>RAP-SB-180-TO10U</t>
  </si>
  <si>
    <t>UNPKD. RAM LIL' BUDDY MOUNT SPOT 2</t>
  </si>
  <si>
    <t>RAP-SB-180-SPO2U</t>
  </si>
  <si>
    <t>UNPKD RAM LIL' BUDDY MOUNT NO DIA BASE</t>
  </si>
  <si>
    <t>RAP-SB-180NBU</t>
  </si>
  <si>
    <t xml:space="preserve">RAM LIL' BUDDY MNT MAGELLAN EXPLORIST </t>
  </si>
  <si>
    <t>RAP-SB-180-MA14</t>
  </si>
  <si>
    <t>RAM LIL' BUDDY MNT LOWRANCE IFINDER H2O</t>
  </si>
  <si>
    <t>RAP-SB-180-LO3</t>
  </si>
  <si>
    <t>UNPKD RAM LIL BUDDY WITH GDS PHONE DOCK</t>
  </si>
  <si>
    <t>RAP-SB-180-GDS-DOCK-V1U</t>
  </si>
  <si>
    <t>UNPKD RAM LIL BUDDY WITH GDS TYPE C PHONE DOCK</t>
  </si>
  <si>
    <t>RAP-SB-180-GDS-DOCK-V1CU</t>
  </si>
  <si>
    <t>RAP-SB-180-GDS-DOCK-V1CPU</t>
  </si>
  <si>
    <t>RAM LIL' BUDDY MOUNT GARMIN ETREX</t>
  </si>
  <si>
    <t>RAP-SB-180-GA5</t>
  </si>
  <si>
    <t>RAM LIL' BUDDY MNT GARMIN ETREX 10 20 30</t>
  </si>
  <si>
    <t>RAP-SB-180-GA48</t>
  </si>
  <si>
    <t>RAM LIL' BUDDY MNT GARMIN RINO 610 650</t>
  </si>
  <si>
    <t>RAP-SB-180-GA47</t>
  </si>
  <si>
    <t>RAM LIL' BUDDY MNT GARMIN MONTANA</t>
  </si>
  <si>
    <t>RAP-SB-180-GA46</t>
  </si>
  <si>
    <t>RAM LIL' BUDDY MOUNT GARMIN GPSMAP 62</t>
  </si>
  <si>
    <t>RAP-SB-180-GA41U</t>
  </si>
  <si>
    <t>RAP-SB-180-GA41</t>
  </si>
  <si>
    <t>RAM LIL' BUDDY MOUNT GARMIN NUVI 1490</t>
  </si>
  <si>
    <t>RAP-SB-180-GA35</t>
  </si>
  <si>
    <t>RAM LIL' BUDDY MOUNT GARMIN NUVI 1300</t>
  </si>
  <si>
    <t>RAP-SB-180-GA34</t>
  </si>
  <si>
    <t>RAM LIL' BUDDY MOUNT GARMIN OREGON</t>
  </si>
  <si>
    <t>RAP-SB-180-GA31</t>
  </si>
  <si>
    <t>RAM LIL' BUDDY MOUNT GARMIN NUVI 200W</t>
  </si>
  <si>
    <t>RAP-SB-180-GA25</t>
  </si>
  <si>
    <t>RAM LIL' BUDDY MOUNT GARMIN 60 SERIES</t>
  </si>
  <si>
    <t>RAP-SB-180-GA12</t>
  </si>
  <si>
    <t>RAM LIL' BUDDY MOUNT FOR APPLE MAG SAFE BASE</t>
  </si>
  <si>
    <t>RAP-SB-180-AP-MAGU</t>
  </si>
  <si>
    <t>RAM LIL' BUDDY MOUNT FOR APPLE MAG SAFE BASE (2024)</t>
  </si>
  <si>
    <t>RAP-SB-180-AP-MAG-1U</t>
  </si>
  <si>
    <t>RAM LIL' BUDDY MOUNT IPHONE 4</t>
  </si>
  <si>
    <t>RAP-SB-180-AP9U</t>
  </si>
  <si>
    <t>RAM LIL' BUDDY MOUNT IPHONE</t>
  </si>
  <si>
    <t>RAP-SB-180-AP3U</t>
  </si>
  <si>
    <t>FLEX STICK ON BASE UNIVERSAL GRIP HLDER</t>
  </si>
  <si>
    <t>RAP-SB-178-UN4U</t>
  </si>
  <si>
    <t>FLEX STICK ON BASE UNIVERSAL HLDER SMALL</t>
  </si>
  <si>
    <t>RAP-SB-178-UN1U</t>
  </si>
  <si>
    <t>FLEX STICK ON BASE W/ SNAP LINK MOUNT</t>
  </si>
  <si>
    <t>RAP-SB-178U</t>
  </si>
  <si>
    <t>FLEX STICK ON BASE MAGELLAN TRITON 300</t>
  </si>
  <si>
    <t>RAP-SB-178-MA15U</t>
  </si>
  <si>
    <t>FLEX STICK ON BASE LOWRANCE I-FINDER</t>
  </si>
  <si>
    <t>RAP-SB-178-LO3</t>
  </si>
  <si>
    <t>FLEX STICK ON BASE GARMIN 396 495 496</t>
  </si>
  <si>
    <t>RAP-SB-178-GA7U</t>
  </si>
  <si>
    <t>FLEX STICK ON BASE GARMIN GPS 176, 276</t>
  </si>
  <si>
    <t>RAP-SB-178-GA7</t>
  </si>
  <si>
    <t>FLEX STICK ON BASE GARMIN GPSMAP 78</t>
  </si>
  <si>
    <t>RAP-SB-178-GA40</t>
  </si>
  <si>
    <t>FLEX STICK ON BASE GARMIN NUVI 3700</t>
  </si>
  <si>
    <t>RAP-SB-178-GA39U</t>
  </si>
  <si>
    <t>FLEX STICK ON BASE GARMIN OREGON</t>
  </si>
  <si>
    <t>RAP-SB-178-GA31</t>
  </si>
  <si>
    <t>FLEX STICK ON BASE GARMIN 60 SERIES</t>
  </si>
  <si>
    <t>RAP-SB-178-GA12</t>
  </si>
  <si>
    <t>UNK FLEX STICK ON BASE BELT CLIP ADAPTER</t>
  </si>
  <si>
    <t>RAP-SB-178-BC1U</t>
  </si>
  <si>
    <t>FLEX STICK ON BASE APPLE IPHONE 4</t>
  </si>
  <si>
    <t>RAP-SB-178-AP9U</t>
  </si>
  <si>
    <t>FLEX STICK ON BASE APPLE TOUCH 2ND</t>
  </si>
  <si>
    <t>RAP-SB-178-AP7U</t>
  </si>
  <si>
    <t>FLEX STICK ON BASE APPLE NANO 3RD GEN</t>
  </si>
  <si>
    <t>RAP-SB-178-AP5U</t>
  </si>
  <si>
    <t>FLEX STICK ON BASE APPLE TOUCH HOLDER</t>
  </si>
  <si>
    <t>RAP-SB-178-AP4U</t>
  </si>
  <si>
    <t>FLEX STICK ON BASE APPLE IPHONE HOLDER</t>
  </si>
  <si>
    <t>RAP-SB-178-AP3U</t>
  </si>
  <si>
    <t>FLEX STICK ON BASE APPLE NANO</t>
  </si>
  <si>
    <t>RAP-SB-178-AP2U</t>
  </si>
  <si>
    <t>FLEX STICK ON BASE APPLE IPOD</t>
  </si>
  <si>
    <t>RAP-SB-178-AP1U</t>
  </si>
  <si>
    <t>FLEX STICK ON BASE W/ MAGNETIC HOLDER</t>
  </si>
  <si>
    <t>RAP-SB-178-300U</t>
  </si>
  <si>
    <t>RAP-SB-178-300</t>
  </si>
  <si>
    <t>RAP-SB-178</t>
  </si>
  <si>
    <t>RAM PIPE ADAPT MALE RAM MALE 3/4" PIPE</t>
  </si>
  <si>
    <t>RAP-PPA-MRM75</t>
  </si>
  <si>
    <t>RAM PIPE ADAPT MALE RAM FEMALE 3/4" PIPE</t>
  </si>
  <si>
    <t>RAP-PPA-MRF75</t>
  </si>
  <si>
    <t>RAM PIPE ADAPT FEMALE RAM MALE 3/4" PIPE</t>
  </si>
  <si>
    <t>RAP-PPA-FRM75</t>
  </si>
  <si>
    <t>RAM PIPE ADA FEMALE RAM FEMALE 3/4" PIPE</t>
  </si>
  <si>
    <t>RAP-PPA-FRF75</t>
  </si>
  <si>
    <t>RAM 1.11 OD X 24" LONG BLACK PVC PIPE</t>
  </si>
  <si>
    <t>RAP-PP-1124</t>
  </si>
  <si>
    <t>RAM 1.11 OD X 18" LONG BLACK PVC PIPE</t>
  </si>
  <si>
    <t>RAP-PP-1118</t>
  </si>
  <si>
    <t>RAM 1.11 OD X 12" LONG BLACK PVC PIPE</t>
  </si>
  <si>
    <t>RAP-PP-1112</t>
  </si>
  <si>
    <t>RAM 1.11 OD X 8" LONG BLACK PVC PIPE</t>
  </si>
  <si>
    <t>RAP-PP-1108</t>
  </si>
  <si>
    <t>RAM 1.11 OD X 6" LONG BLACK PVC PIPE</t>
  </si>
  <si>
    <t>RAP-PP-1106</t>
  </si>
  <si>
    <t>RAM 1.11 OD X 4" LONG BLACK PVC PIPE</t>
  </si>
  <si>
    <t>RAP-PP-1104</t>
  </si>
  <si>
    <t>RAM 1.11 OD X 2" LONG BLACK PVC PIPE</t>
  </si>
  <si>
    <t>RAP-PP-1102</t>
  </si>
  <si>
    <t>RAM MOUNT COMPOSITE 1.5" BALL &amp; ARM FOR LOWRANCE HOOK2</t>
  </si>
  <si>
    <t>RAP-LO12-201</t>
  </si>
  <si>
    <t>INSERTS FOR RPR-182-ZE21B</t>
  </si>
  <si>
    <t>RAP-INSERT-ZE21U</t>
  </si>
  <si>
    <t>INSERTS FOR RPR-101-ZE21B</t>
  </si>
  <si>
    <t>RAP-INSERT-ZE21LU</t>
  </si>
  <si>
    <t>INSERTS FOR RPR-182-ZE20B</t>
  </si>
  <si>
    <t>RAP-INSERT-ZE20U</t>
  </si>
  <si>
    <t>INSERTS FOR RPR-101-ZE20B</t>
  </si>
  <si>
    <t>RAP-INSERT-ZE20LU</t>
  </si>
  <si>
    <t>UNPK RAM X-GRIP UNIVERSAL HOLDER TRACK BASE</t>
  </si>
  <si>
    <t>RAP-HOL-UN7B-354-TRA1U</t>
  </si>
  <si>
    <t>RAM X-GRIP UNIVERSAL HOLDER TRACK BASE FOR LUND SPORT TRAK</t>
  </si>
  <si>
    <t>RAP-HOL-UN7B-354-TRA1-LUN</t>
  </si>
  <si>
    <t>RAP-HOL-UN7B-354-TRA1</t>
  </si>
  <si>
    <t>UNPK RAM X-GRIP UNIVERSAL HOLDER W/ ARM</t>
  </si>
  <si>
    <t>RAP-HOL-UN7B-201U</t>
  </si>
  <si>
    <t>RAM X-GRIP UNIVERSAL HOLDER W/ ARM</t>
  </si>
  <si>
    <t>RAP-HOL-UN7B-201</t>
  </si>
  <si>
    <t>UNPKD UNIVERSAL FINGER GRIP HOLDER W ARM</t>
  </si>
  <si>
    <t>RAP-HOL-UN4-201U</t>
  </si>
  <si>
    <t>RAP-HOL-UN10B-201U</t>
  </si>
  <si>
    <t>UNPKD RAM TOUGH-TRACK HARDWARE PACK FOR 2 5/8" RAILS</t>
  </si>
  <si>
    <t>RAP-HAR-TRACK-BH-263U</t>
  </si>
  <si>
    <t>UNPKD RAM TOUGH-TRACK HARDWARE PACK FOR 2 1/4" RAILS</t>
  </si>
  <si>
    <t>RAP-HAR-TRACK-BH-225U</t>
  </si>
  <si>
    <t>UNPKD RAM TOUGH-TRACK HARDWARE PACK FOR 1 1/2" RAILS</t>
  </si>
  <si>
    <t>RAP-HAR-TRACK-B-15U</t>
  </si>
  <si>
    <t>RAM 1" FILLER FACE PLATE</t>
  </si>
  <si>
    <t>RAP-FP-1-FILLER</t>
  </si>
  <si>
    <t>UNPKD RAM LARGE SIDE ACCESSORY BRACKET FOR VEHICLE DOCKS</t>
  </si>
  <si>
    <t>RAP-DOCK-SBLU</t>
  </si>
  <si>
    <t>RAM SOCKET ARM W/ 1.5" AND 1" SOCKET 24"</t>
  </si>
  <si>
    <t>RAP-CB-201-24U</t>
  </si>
  <si>
    <t>RAM SOCKET ARM W/ 1.5" AND 1" SOCKET 18"</t>
  </si>
  <si>
    <t>RAP-CB-201-18U</t>
  </si>
  <si>
    <t>RAM SOC ARM W/ 1.5" AND 1" SOC 18"  ASSE</t>
  </si>
  <si>
    <t>RAP-CB-201-18AU</t>
  </si>
  <si>
    <t>RAM SOCKET ARM W/ 1.5" AND 1" SOCKET 14"</t>
  </si>
  <si>
    <t>RAP-CB-201-14U</t>
  </si>
  <si>
    <t>UNPKD RAM AUDIO ADAPTER CABLE USB TYPE A MALE TO 3.5MM AUDIO CONNECTOR FEMALE</t>
  </si>
  <si>
    <t>RAP-CAB-USBA-AUD35U</t>
  </si>
  <si>
    <t xml:space="preserve">SONIM AUDIO ADAPTER CABLE, 10 PIN TO 3.5MM </t>
  </si>
  <si>
    <t>RAP-CAB-SNM1U</t>
  </si>
  <si>
    <t>RAM FLEX ROD TRACK BASE</t>
  </si>
  <si>
    <t>RAP-B-TRA1U</t>
  </si>
  <si>
    <t>RAM FLEX ROD W 1" BALL TRACK BASE 18" LG</t>
  </si>
  <si>
    <t>RAP-B-TRA1-18U</t>
  </si>
  <si>
    <t>RAM MOUNT COMPOSITE 1" BALL &amp; ARM FOR LOWRANCE HOOK2</t>
  </si>
  <si>
    <t>RAP-B-LO12-201</t>
  </si>
  <si>
    <t>RAM BALL ADAPTER FOR GOPRO BASE W RAM X-GRIP</t>
  </si>
  <si>
    <t>RAP-B-GOP2-UN7U</t>
  </si>
  <si>
    <t>GOPRO BASE &amp; CAMERA ADAPTER W/ SHRT ARM</t>
  </si>
  <si>
    <t>RAP-B-GOP2-A-GOP1U</t>
  </si>
  <si>
    <t>RAP-B-GOP2-A-GOP1</t>
  </si>
  <si>
    <t>UNPKD RAM TOUGH-CLAW 1" AND 1.5 DIA BALL</t>
  </si>
  <si>
    <t>RAP-BC-400U</t>
  </si>
  <si>
    <t>RAM TOUGH-CLAW 1" AND 1.5 DIA BALL</t>
  </si>
  <si>
    <t>RAP-BC-400</t>
  </si>
  <si>
    <t>RAM SOCKET ARM W/ 1" AND 1.5" SOCKETS</t>
  </si>
  <si>
    <t>RAP-BC-201U</t>
  </si>
  <si>
    <t>RAP-BC-201</t>
  </si>
  <si>
    <t>RAM FLEX ROD1 &amp; 1.5" SOCKET 24" LNG</t>
  </si>
  <si>
    <t>RAP-BC-200-1-24U</t>
  </si>
  <si>
    <t>RAM FLEX ROD1 &amp; 1.5" SOCKET 18" LNG</t>
  </si>
  <si>
    <t>RAP-BC-200-1-18U</t>
  </si>
  <si>
    <t>RAM 1" TO 1" BALL EXT POLE  24" LG W ARM</t>
  </si>
  <si>
    <t>RAP-BB-230-24-201U</t>
  </si>
  <si>
    <t>RAM 1" BALL TO 1" BALL EXT. POLE  16.75" LG</t>
  </si>
  <si>
    <t>RAP-BB-230-18U</t>
  </si>
  <si>
    <t>RAM 1" TO 1" BALL EXT POLE  18" LG W ARM</t>
  </si>
  <si>
    <t>RAP-BB-230-18-201U</t>
  </si>
  <si>
    <t>RAM 1" BALL TO 1" BALL EXT. POLE  12.75" LG</t>
  </si>
  <si>
    <t>RAP-BB-230-14U</t>
  </si>
  <si>
    <t>RAM 1" TO 1" BALL EXT POLE  14" LG W ARM</t>
  </si>
  <si>
    <t>RAP-BB-230-14-201U</t>
  </si>
  <si>
    <t>RAM SOCKET ARM W/ 1" AND 1" SOCKET 18"</t>
  </si>
  <si>
    <t>RAP-BB-201-18U</t>
  </si>
  <si>
    <t>RAM SOCKET ARM W/ 1" AND 1" SOCKET 14"</t>
  </si>
  <si>
    <t>RAP-BB-201-14U</t>
  </si>
  <si>
    <t>UNPKD RAM HANDLEBAR BALL BASE</t>
  </si>
  <si>
    <t>RAP-B-460U</t>
  </si>
  <si>
    <t>UNPKD RAM HANDLEBAR MOUNT WITH QUICK-GRIP XL PHONE HOLDER SHORT ARM</t>
  </si>
  <si>
    <t>RAP-B-460-A-PD4U</t>
  </si>
  <si>
    <t>UNPKD RAM HANDLEBAR MOUNT WITH QUICK-GRIP PHONE HOLDER SHORT ARM</t>
  </si>
  <si>
    <t>RAP-B-460-A-PD3U</t>
  </si>
  <si>
    <t>UNPKD RAM HANDLEBAR MOUNT WITH ACTION CAMERA ADAPTER SHORT ARM</t>
  </si>
  <si>
    <t>RAP-B-460-A-GOP1U</t>
  </si>
  <si>
    <t>RETAIL RAM HANDLEBAR BALL BASE</t>
  </si>
  <si>
    <t>RAP-B-460</t>
  </si>
  <si>
    <t>RAM DOUBLE SOCKET ARM W/ SPLINE POST</t>
  </si>
  <si>
    <t>RAP-B-419-201-201U-C</t>
  </si>
  <si>
    <t>RAM LEVEL CUP XL HOLDER WITH 1" DIA BALL</t>
  </si>
  <si>
    <t>RAP-B-417BU</t>
  </si>
  <si>
    <t>RAP-B-417B</t>
  </si>
  <si>
    <t>LEVEL CUP XL W/ SMALL TOUGH CLAW</t>
  </si>
  <si>
    <t>RAP-B-417-400U</t>
  </si>
  <si>
    <t>RAP-B-417-400</t>
  </si>
  <si>
    <t xml:space="preserve">LEVEL CUP XL W/ 1" SINGLE SOCKET </t>
  </si>
  <si>
    <t>RAP-B-417-200-1U</t>
  </si>
  <si>
    <t>LEVEL CUP XL W/ STRAP BASE</t>
  </si>
  <si>
    <t>RAP-B-417-200-1-231Z-2NUBU</t>
  </si>
  <si>
    <t>UNPKD RAM HEX BASE POST W 1" DIA BALL</t>
  </si>
  <si>
    <t>RAP-B-409U</t>
  </si>
  <si>
    <t>UNPKD RAM TOUGH WEDGE RAM X-GRIP</t>
  </si>
  <si>
    <t>RAP-B-407-UN8U</t>
  </si>
  <si>
    <t>RAP-B-407-UN7U</t>
  </si>
  <si>
    <t>RAM TOUGH WEDGE RAM X-GRIP IN RAM BOX</t>
  </si>
  <si>
    <t>RAP-B-407-UN7</t>
  </si>
  <si>
    <t>RAP-B-407-UN10U</t>
  </si>
  <si>
    <t>RAP-B-407-UN10</t>
  </si>
  <si>
    <t>UNPKD RAM LEASH PLUG ADAPTER W 1" BALL</t>
  </si>
  <si>
    <t>RAP-B-405U</t>
  </si>
  <si>
    <t>UNPKD RAM MED TOUGH-CLAW W 1" DIA BALL</t>
  </si>
  <si>
    <t>RAP-B-404U</t>
  </si>
  <si>
    <t>UNPKD RAM TOUGH-CLAW W/ GO PRO BASE</t>
  </si>
  <si>
    <t>RAP-B-404-GOP1U</t>
  </si>
  <si>
    <t>UNPKD RAM TOUGH-CLAW W/ QUICK RELEASE</t>
  </si>
  <si>
    <t>RAP-B-404-326U</t>
  </si>
  <si>
    <t>UNPKD RAM MED TOUGH-CLAW W 1" DIA BASE</t>
  </si>
  <si>
    <t>RAP-B-404-238U</t>
  </si>
  <si>
    <t>UNPKD RAM MED TOUGH-CLAW W STD ARM</t>
  </si>
  <si>
    <t>RAP-B-404-201U</t>
  </si>
  <si>
    <t>RAM MED TOUGH-CLAW W 1" DIA BALL</t>
  </si>
  <si>
    <t>RAP-B-404</t>
  </si>
  <si>
    <t>UNPKD RAM LRG TOUGH-CLAW W 1" DIA BALL</t>
  </si>
  <si>
    <t>RAP-B-401U</t>
  </si>
  <si>
    <t>UNKD RAM LG LK TOUGHCLAW W 1" DIA BALL</t>
  </si>
  <si>
    <t>RAP-B-401LU</t>
  </si>
  <si>
    <t>RAM LRG TOUGH-CLAW W 1" DIA BALL</t>
  </si>
  <si>
    <t>RAP-B-401</t>
  </si>
  <si>
    <t>UNPKD RAM TOUGH-CLAW WITH 1" DIA BALL</t>
  </si>
  <si>
    <t>RAP-B-400U</t>
  </si>
  <si>
    <t>UNPKD RAM SM TOUGH-CLAW W/ GO PRO BASE</t>
  </si>
  <si>
    <t>RAP-B-400-GOP1U</t>
  </si>
  <si>
    <t>RAM SM TOUGH-CLAW GOPRO BASE FOR CANADA</t>
  </si>
  <si>
    <t>RAP-B-400-GOP1-CA</t>
  </si>
  <si>
    <t>RAM SM TOUGH-CLAW W/ GO PRO BASE</t>
  </si>
  <si>
    <t>RAP-B-400-GOP1</t>
  </si>
  <si>
    <t>UNPKD RAM TOUGH-CLAW FOR GARMIN VIRB</t>
  </si>
  <si>
    <t>RAP-B-400-GA63U</t>
  </si>
  <si>
    <t>UNPKD RAM TOUGH-CLAW MAG EXPLORIST GC</t>
  </si>
  <si>
    <t>RAP-B-400-A-MA15U</t>
  </si>
  <si>
    <t>UNPKD RAM SM TOUGH-CLAW GO PRO SHORT</t>
  </si>
  <si>
    <t>RAP-B-400-A-GOP1U</t>
  </si>
  <si>
    <t>UNPKD RAM TOUGH-CLAW WITH 1" DIA BASE</t>
  </si>
  <si>
    <t>RAP-B-400-347U</t>
  </si>
  <si>
    <t>RAP-B-400-238U</t>
  </si>
  <si>
    <t>UNPKD RAM TOUGH-CLAW W 1" BALL</t>
  </si>
  <si>
    <t>RAP-B-400-202U</t>
  </si>
  <si>
    <t>UNPKD RAM TOUGH-CLAW WITH STD ARM</t>
  </si>
  <si>
    <t>RAP-B-400-201U</t>
  </si>
  <si>
    <t>UNPKD RAM TOUGH-CLAW WITH STD ARM AND TRACK BALL</t>
  </si>
  <si>
    <t>RAP-B-400-201-TRA1U</t>
  </si>
  <si>
    <t>UNPKD RAM TOUGH-CLAW W SHORT ARM</t>
  </si>
  <si>
    <t>RAP-B-400-201-AU</t>
  </si>
  <si>
    <t>RAM TOUGH-CLAW WITH 1" DIA BALL</t>
  </si>
  <si>
    <t>RAP-B-400</t>
  </si>
  <si>
    <t>UNPKD RAM FLOAT TUBE ADAPTER W 1" BASE</t>
  </si>
  <si>
    <t>RAP-B-399U</t>
  </si>
  <si>
    <t>UNPK RAM 1" BALL FOR TOUGH CLAMP</t>
  </si>
  <si>
    <t>RAP-B-397BU</t>
  </si>
  <si>
    <t>UNPK RAM 1" BALL FOR TOUGH CLAMP NO HARD</t>
  </si>
  <si>
    <t>RAP-B-397BNHU</t>
  </si>
  <si>
    <t>UNPK RAM UNIVERSAL LARGE TOUGH CLAMP</t>
  </si>
  <si>
    <t>RAP-B-397-2U</t>
  </si>
  <si>
    <t>UNPK RAM MEDIUM TOUGH CLAMP DIA BASE</t>
  </si>
  <si>
    <t>RAP-B-397-2-238U</t>
  </si>
  <si>
    <t>UNPK RAM MEDIUM TOUGH CLAMP W/ ARM</t>
  </si>
  <si>
    <t>RAP-B-397-2-201U</t>
  </si>
  <si>
    <t>RAM UNIVERSAL MEDIUM TOUGH CLAMP</t>
  </si>
  <si>
    <t>RAP-B-397-2</t>
  </si>
  <si>
    <t>UNPK RAM UNIVERSAL SMALL TOUGH CLAMP</t>
  </si>
  <si>
    <t>RAP-B-397-1U</t>
  </si>
  <si>
    <t>UNPK RAM SMALL TOUGH CLAMP DIA BASE</t>
  </si>
  <si>
    <t>RAP-B-397-1-238U</t>
  </si>
  <si>
    <t>UNPK RAM SMALL TOUGH CLAMP W/ STD ARM</t>
  </si>
  <si>
    <t>RAP-B-397-1-201U</t>
  </si>
  <si>
    <t>RAM UNIVERSAL SMALL TOUGH CLAMP</t>
  </si>
  <si>
    <t>RAP-B-397-1</t>
  </si>
  <si>
    <t>RAM FLEX ROD W/ 1" BALL, BASE 18" LONG</t>
  </si>
  <si>
    <t>RAP-B-386-18U</t>
  </si>
  <si>
    <t>RAM PRESS-N-LOCK SYST 18" LONG W 1" BALL</t>
  </si>
  <si>
    <t>RAP-B-385-18U</t>
  </si>
  <si>
    <t>RAM PRESS-N-LOCK SYST 12" LONG W 1" BALL</t>
  </si>
  <si>
    <t>RAP-B-385-12U</t>
  </si>
  <si>
    <t>UNPKD RAM 1" BALL QUICK TRACK BASE</t>
  </si>
  <si>
    <t>RAP-B-383U</t>
  </si>
  <si>
    <t>UNPKD RAM QUICK TRACK BASE GARMIN VIRB</t>
  </si>
  <si>
    <t>RAP-B-383-GA63U</t>
  </si>
  <si>
    <t>RAM 1" BALL QUICK TRACK BASE</t>
  </si>
  <si>
    <t>RAP-B-383</t>
  </si>
  <si>
    <t>UNPD RAM TOUGH BALL M8-1.25 X 8MM LONG</t>
  </si>
  <si>
    <t>RAP-B-379U-M81208</t>
  </si>
  <si>
    <t>UNPD RAM TOUGH BALL M6-1 6MM LONG</t>
  </si>
  <si>
    <t>RAP-B-379U-M616</t>
  </si>
  <si>
    <t>UNPD RAM TOUGH BALL M10 X 1.5 THREAD</t>
  </si>
  <si>
    <t>RAP-B-379U-M10-JD1</t>
  </si>
  <si>
    <t>UNPD RAM TOUGH BALL M10 X 1.5 THREAD  X 19MM</t>
  </si>
  <si>
    <t>RAP-B-379U-M101519</t>
  </si>
  <si>
    <t>UNPD RAM SUCTION W 1/4"-20 TOUGH BALL</t>
  </si>
  <si>
    <t>RAP-B-379U-A-224-2-OPT1U</t>
  </si>
  <si>
    <t>UNPD RAM TOUGH BALL 3/8"-24 X .375" LONG</t>
  </si>
  <si>
    <t>RAP-B-379U-372437</t>
  </si>
  <si>
    <t>UNPD RAM TOUGH BALL 3/8"-16 X .375" LONG</t>
  </si>
  <si>
    <t>RAP-B-379U-371637</t>
  </si>
  <si>
    <t>UNPD RAM TOUGH BALL 5/16"-24 X .625" LNG</t>
  </si>
  <si>
    <t>RAP-B-379U-312462</t>
  </si>
  <si>
    <t>UNPD RAM TOUGH BALL 5/16"-24 X .375" LNG</t>
  </si>
  <si>
    <t>RAP-B-379U-312437</t>
  </si>
  <si>
    <t>UNPD RAM TOUGH BALL 5/16"-18 X .625" LNG</t>
  </si>
  <si>
    <t>RAP-B-379U-311862</t>
  </si>
  <si>
    <t>UNPD RAM TOUGH BALL 5/16"-18 X .375" LNG</t>
  </si>
  <si>
    <t>RAP-B-379U-311837</t>
  </si>
  <si>
    <t>UNPD RAM TOUGH BALL 1/4"-28 X .25" LONG</t>
  </si>
  <si>
    <t>RAP-B-379U-252825</t>
  </si>
  <si>
    <t>RAM TOUGH BALL 1/4"-20 X .625" LONG WITH LOCKWASHERS</t>
  </si>
  <si>
    <t>RAP-B-379U-252062-2SLW</t>
  </si>
  <si>
    <t>UNPD RAM TOUGH BALL 1/4"-20 X .625" LONG</t>
  </si>
  <si>
    <t>RAP-B-379U-252062</t>
  </si>
  <si>
    <t>UNPD RAM TOUGH BALL 1/4"-20 X .50" LONG FOR BRONCO DASH SYSTEM</t>
  </si>
  <si>
    <t>RAP-B-379U-252050-SLW</t>
  </si>
  <si>
    <t>UNPD RAM TOUGH BALL 1/4"-20 X .50" LONG</t>
  </si>
  <si>
    <t>RAP-B-379U-252050-KAY1</t>
  </si>
  <si>
    <t>RAP-B-379U-252050</t>
  </si>
  <si>
    <t>UNPD RAM TOUGH BALL 1/4"-20 X .375" LONG</t>
  </si>
  <si>
    <t>RAP-B-379U-252037</t>
  </si>
  <si>
    <t>UNPD RAM TOUGH BALL 1/4"-20 X .25" LONG WITH RUBBER WASHER</t>
  </si>
  <si>
    <t>RAP-B-379U-252025-RW</t>
  </si>
  <si>
    <t>UNPD RAM TOUGH BALL 1/4"-20 X .25" LONG</t>
  </si>
  <si>
    <t>RAP-B-379U-252025</t>
  </si>
  <si>
    <t>UNPD RAM TOUGH BALL 1/4"-20 X 1" LNG LAG</t>
  </si>
  <si>
    <t>RAP-B-379U-25201L</t>
  </si>
  <si>
    <t xml:space="preserve">UNPD RAM HARLEY MIRROR POST MOUNT </t>
  </si>
  <si>
    <t>RAP-B-379-HA1U</t>
  </si>
  <si>
    <t>RAM BOW-CAM MOUNT WITH RAM X-GRIP UN7</t>
  </si>
  <si>
    <t>RAP-B-379-312437-UN7</t>
  </si>
  <si>
    <t>RAM BOW-CAM MOUNT WITH GO PRO ADAPTER</t>
  </si>
  <si>
    <t>RAP-B-379-312437-GOP1</t>
  </si>
  <si>
    <t>GOPRO MOUNT WITH SHORT ARM AND TOUGH BALL</t>
  </si>
  <si>
    <t>RAP-B-379-252062-2SLW-A-GOP1U</t>
  </si>
  <si>
    <t>RAM TOUGH BALL 1/4"-20 X .50" LONG</t>
  </si>
  <si>
    <t>RAP-B-379-252050</t>
  </si>
  <si>
    <t>RAM TOUGH BALL 1/4"-20 X .25" LONG</t>
  </si>
  <si>
    <t>RAP-B-379-252025</t>
  </si>
  <si>
    <t>UNPD RAM 1/4"-20 X 1" LNG LAG SHRT 1/4-2</t>
  </si>
  <si>
    <t>RAP-B-379-25201L-A-2520</t>
  </si>
  <si>
    <t>UNPK RAM MNT ADHSV BASE 7" TABLET RAM X-GRIP</t>
  </si>
  <si>
    <t>RAP-B-378-UN8U</t>
  </si>
  <si>
    <t>RAM MNT ADHESIVE BASE 7" TABLET RAM X-GRIP</t>
  </si>
  <si>
    <t>RAP-B-378-UN8</t>
  </si>
  <si>
    <t>UNPKD RAM MNT ADHESIVE BASE RAM X-GRIP</t>
  </si>
  <si>
    <t>RAP-B-378-UN7U</t>
  </si>
  <si>
    <t>RAM MNT ADHESIVE BASE RAM X-GRIP</t>
  </si>
  <si>
    <t>RAP-B-378-UN7</t>
  </si>
  <si>
    <t>RAM MNT ADHESIVE BASE UNIVERSAL HOLDER</t>
  </si>
  <si>
    <t>RAP-B-378-UN4</t>
  </si>
  <si>
    <t xml:space="preserve">UNPKD RAM MNT ADHESIVE BASE RAM X-GRIP 5" </t>
  </si>
  <si>
    <t>RAP-B-378-UN10U</t>
  </si>
  <si>
    <t xml:space="preserve">UNPKD RAM MNT ADHESIVE BASE RAM ROTATING X-GRIP  </t>
  </si>
  <si>
    <t>RAP-B-378-UN10RU</t>
  </si>
  <si>
    <t>UNPD RAM FLEX ADHESIVE MNT SYST 1" BALL</t>
  </si>
  <si>
    <t>RAP-B-378U</t>
  </si>
  <si>
    <t>UNPKD RAM FLEX MOUNT WITH AMPS BASE</t>
  </si>
  <si>
    <t>RAP-B-378-TOM1U</t>
  </si>
  <si>
    <t>RAM MNT ADHESIVE BASE TAB-TITE LARGE</t>
  </si>
  <si>
    <t>RAP-B-378-TAB-LG</t>
  </si>
  <si>
    <t>RAM MNT ADHESIVE BASE GARMIN ETREX 10 20</t>
  </si>
  <si>
    <t>RAP-B-378-GA48</t>
  </si>
  <si>
    <t>RAM MNT ADHESIVE BASE GARMIN MONTANA</t>
  </si>
  <si>
    <t>RAP-B-378-GA46</t>
  </si>
  <si>
    <t>RAM MNT ADHESIVE BASE GARMIN GPSMAP 78</t>
  </si>
  <si>
    <t>RAP-B-378-GA40</t>
  </si>
  <si>
    <t xml:space="preserve">RAM MNT ADHESIVE BASE GARMIN 220  </t>
  </si>
  <si>
    <t>RAP-B-378-GA32</t>
  </si>
  <si>
    <t>RAM MNT ADHESIVE BASE GARMIN OREGON</t>
  </si>
  <si>
    <t>RAP-B-378-GA31</t>
  </si>
  <si>
    <t xml:space="preserve">RAM MNT ADHESIVE BASE GARMIN 60 SERIES  </t>
  </si>
  <si>
    <t>RAP-B-378-GA12</t>
  </si>
  <si>
    <t>UNPK RAM MNT ADHSV BASE RAM X-GRIP SHORT ARM</t>
  </si>
  <si>
    <t>RAP-B-378-A-UN7U</t>
  </si>
  <si>
    <t>RAM ADHSV BASE FOR AQUA BOX PRO20 I5 LEN</t>
  </si>
  <si>
    <t>RAP-B-378-AQ7-2-I5</t>
  </si>
  <si>
    <t>RAM ADHESIVE BASE FOR AQUA BOX PRO 20</t>
  </si>
  <si>
    <t>RAP-B-378-AQ7-2</t>
  </si>
  <si>
    <t>UNPKD RAM MNT ADHESIVE BASE FOR APPLE MAG SAFE</t>
  </si>
  <si>
    <t>RAP-B-378-AP-MAGU</t>
  </si>
  <si>
    <t>UNPKD RAM MNT ADHESIVE BASE FOR APPLE MAG SAFE (2024)</t>
  </si>
  <si>
    <t>RAP-B-378-AP-MAG-1U</t>
  </si>
  <si>
    <t>UNPKD. RAM MNT ADHESIVE BASE IPHONE 4</t>
  </si>
  <si>
    <t>RAP-B-378-AP9U</t>
  </si>
  <si>
    <t>UNPKD. RAM MNT SHORT ADHESIVE BASE &amp; AMP</t>
  </si>
  <si>
    <t>RAP-B-378-A-347U</t>
  </si>
  <si>
    <t>UNPKD. RAM SHORT MNT ADHESIVE BASE &amp; DIA</t>
  </si>
  <si>
    <t>RAP-B-378-A-238U</t>
  </si>
  <si>
    <t>UNPKD. RAM MNT WITH ADHESIVE BASE &amp; DIA</t>
  </si>
  <si>
    <t>RAP-B-378-238U</t>
  </si>
  <si>
    <t>UNPKD RAM FLEX ADHESIVE MNT GOPRO CAMERA</t>
  </si>
  <si>
    <t>RAP-B-378-202U-GOP1</t>
  </si>
  <si>
    <t>RAM FLEX ADHESIVE MNT SYST 1" BALL</t>
  </si>
  <si>
    <t>RAP-B-378</t>
  </si>
  <si>
    <t>UNPKD RAM SCREW ON BASE FOR FLAT PANELS</t>
  </si>
  <si>
    <t>RAP-B-375U</t>
  </si>
  <si>
    <t>UND RAM SM UNIVERSAL MNT HANDI CASE BASE</t>
  </si>
  <si>
    <t>RAP-B-371U-UN1</t>
  </si>
  <si>
    <t>UNPKD. RAM MIRROR BASE DODGE SPRINTER</t>
  </si>
  <si>
    <t>RAP-B-369C-UN10BU</t>
  </si>
  <si>
    <t>RAP-B-369CU</t>
  </si>
  <si>
    <t>UNPKD. RAM MIRROR BASE GM</t>
  </si>
  <si>
    <t>RAP-B-369B-UN10BU</t>
  </si>
  <si>
    <t>RAP-B-369BU</t>
  </si>
  <si>
    <t>UNPKD. RAM MIRROR SYST GM W/ 1/4"-20</t>
  </si>
  <si>
    <t>RAP-B-369B-366U</t>
  </si>
  <si>
    <t>UNPKD. RAM MIRROR BASE FORD TOYOTA CHRYS</t>
  </si>
  <si>
    <t>RAP-B-369AU</t>
  </si>
  <si>
    <t>UNPKD. RAM MIRROR SYST FORD W/ 1/4"-20</t>
  </si>
  <si>
    <t>RAP-B-369A-366U</t>
  </si>
  <si>
    <t>UNPD RAM SMALL ROUND BASE 1/4"-20 THR</t>
  </si>
  <si>
    <t>RAP-B-366U</t>
  </si>
  <si>
    <t>UNPK RAM 1/4"-20 STUD MNT W/ TRACK BASE</t>
  </si>
  <si>
    <t>RAP-B-366-153-354-TRA1U</t>
  </si>
  <si>
    <t>RAM 1/4"-20 STUD MNT W/ TRACK BASE</t>
  </si>
  <si>
    <t>RAP-B-366-153-354-TRA1</t>
  </si>
  <si>
    <t>RAM SMALL ROUND BASE 1/4"-20 THR</t>
  </si>
  <si>
    <t>RAP-B-366</t>
  </si>
  <si>
    <t xml:space="preserve">RAM TRIPLE SUCTION CUP BASE W/ 1/4"-20 </t>
  </si>
  <si>
    <t>RAP-B-365-224-237U</t>
  </si>
  <si>
    <t>RAM TRIPLE SUCTION CUP BASE W/ 1/4"-20</t>
  </si>
  <si>
    <t>RAP-B-365-224-202AU</t>
  </si>
  <si>
    <t>RAM TRIPLE SUCTION CUP BASE W/ 1" BALL</t>
  </si>
  <si>
    <t>RAP-B-365-224-1U</t>
  </si>
  <si>
    <t>RAM TRIPLE MAGNETIC BASE W/ 1" BALL</t>
  </si>
  <si>
    <t>RAP-B-365-1-339U</t>
  </si>
  <si>
    <t>RAM 1" TRACK BALL WITH T-BOLT ATTACHMENT</t>
  </si>
  <si>
    <t>RAP-B-354U-TRA1</t>
  </si>
  <si>
    <t>UNPKD 1" RAM WEDGE MOUNT HOBIE SCOTTY</t>
  </si>
  <si>
    <t>RAP-B-354U</t>
  </si>
  <si>
    <t>RAM 1" TRACK BALL WITH T-BOLT ATTACHMENT FOR LUND SPORT TRAK</t>
  </si>
  <si>
    <t>RAP-B-354-TRA1-LUN</t>
  </si>
  <si>
    <t>RAP-B-354-TRA1</t>
  </si>
  <si>
    <t>UNPKD RAM WEDGE MT RAM ATWOOD FISHON</t>
  </si>
  <si>
    <t>RAP-B-354-75U</t>
  </si>
  <si>
    <t xml:space="preserve">RAM WEDGE MT RAM ATWOOD FISHON </t>
  </si>
  <si>
    <t>RAP-B-354-75</t>
  </si>
  <si>
    <t>UNKD SPLINE POST W/ B SIZE PIN-LOCK BALL</t>
  </si>
  <si>
    <t>RAP-B-354-419U</t>
  </si>
  <si>
    <t>UNPKD RAM WEDGE MOUNT LARGE 1" BALL</t>
  </si>
  <si>
    <t>RAP-B-354-162U</t>
  </si>
  <si>
    <t>RAM 1" BALL WEDGE MOUNT HOBIE SCOTTY</t>
  </si>
  <si>
    <t>RAP-B-354</t>
  </si>
  <si>
    <t>UNPK B PIN LOCK ATTACHMENT 1.5-2" TORQUE</t>
  </si>
  <si>
    <t>RAP-B-351-1U</t>
  </si>
  <si>
    <t>B PIN LOCK ATTACHMENT 1.5-2" TORQUE</t>
  </si>
  <si>
    <t>RAP-B-351-1</t>
  </si>
  <si>
    <t>UNPKD. RAM 2" X 1.7" BASE AMPS HOLE PAT</t>
  </si>
  <si>
    <t>RAP-B-347U</t>
  </si>
  <si>
    <t>UNPKD EZY-MOUNT QUICK RELEASE MALE WBALL</t>
  </si>
  <si>
    <t>RAP-B-326MU</t>
  </si>
  <si>
    <t>UNPKD EZY-MOUNT QUICK RELEASE FMLE WBALL</t>
  </si>
  <si>
    <t>RAP-B-326FU</t>
  </si>
  <si>
    <t>RAM SUCTION CUP W/ SHRT ARM 047-0089-00</t>
  </si>
  <si>
    <t>RAP-B-322U</t>
  </si>
  <si>
    <t>RAP-B-322</t>
  </si>
  <si>
    <t>UNPKD RAM FLEX SUCTION SYST GARMIN 2610</t>
  </si>
  <si>
    <t>RAP-B-312-GA9U</t>
  </si>
  <si>
    <t>UNPD RAM SMALL TRACK BASE W 1" BALL</t>
  </si>
  <si>
    <t>RAP-B-304U-TRA1</t>
  </si>
  <si>
    <t>UNPD RAM BELT CLIP HLD ATTACH TO 1" BALL</t>
  </si>
  <si>
    <t>RAP-B-304U</t>
  </si>
  <si>
    <t>RAM STUBBY DRINK CUP BASE W/ RAM X-GRIP</t>
  </si>
  <si>
    <t>RAP-B-299-4-UN8U</t>
  </si>
  <si>
    <t>RAP-B-299-4-UN7U</t>
  </si>
  <si>
    <t>RAM STUBBY DRINK CUP BASE W/ RAM X-GRIP IN RAM BOX</t>
  </si>
  <si>
    <t>RAP-B-299-4-UN7</t>
  </si>
  <si>
    <t>RAP-B-299-4-UN10U</t>
  </si>
  <si>
    <t>RAP-B-299-4-UN10</t>
  </si>
  <si>
    <t>RAM STUBBY DRINK CUP BASE W/ 1" BALL</t>
  </si>
  <si>
    <t>RAP-B-299-4U</t>
  </si>
  <si>
    <t>UNPKD RAM QUICK-GRIP XL PHONE HOLDER FOR LARGER DEVICES WITH MEDIUM ARM AND STUBBY CUP</t>
  </si>
  <si>
    <t>RAP-B-299-4-PD4U</t>
  </si>
  <si>
    <t>RAM QUICK-GRIP XL PHONE HOLDER FOR LARGER DEVICES WITH MEDIUM ARM AND STUBBY CUP IN RAM BOX</t>
  </si>
  <si>
    <t>RAP-B-299-4-PD4</t>
  </si>
  <si>
    <t>UNPKD RAM STUBBY DRINK CUP BASE FOR APPLE MAG SAFE</t>
  </si>
  <si>
    <t>RAP-B-299-4-AP-MAGU</t>
  </si>
  <si>
    <t>UNPKD RAM STUBBY DRINK CUP BASE FOR APPLE MAG SAFE (2024)</t>
  </si>
  <si>
    <t>RAP-B-299-4-AP-MAG-1U</t>
  </si>
  <si>
    <t>RAM STUBBY DRINK CUP BASE W DIA BASE</t>
  </si>
  <si>
    <t>RAP-B-299-4-238U</t>
  </si>
  <si>
    <t>RAM STUBBY DRINK CUP BASE W RND BASE</t>
  </si>
  <si>
    <t>RAP-B-299-4-202U</t>
  </si>
  <si>
    <t>RAM STUBBY DRINK CUP BASE W LONG ARM</t>
  </si>
  <si>
    <t>RAP-B-299-4-201U-C</t>
  </si>
  <si>
    <t>RAM STUBBY DRINK CUP BASE W/ ARM</t>
  </si>
  <si>
    <t>RAP-B-299-4-201U</t>
  </si>
  <si>
    <t>RAM 1" BALL W/ FEMALE SLIP PIPE SOCKET</t>
  </si>
  <si>
    <t>RAP-B-294U</t>
  </si>
  <si>
    <t>RAM 6" DIA. SUPPORT BASE W/DIAMOND</t>
  </si>
  <si>
    <t>RAP-B-291-A-238U</t>
  </si>
  <si>
    <t>RAM 6" DIA. SUPPORT BASE W/ROUND AMPS</t>
  </si>
  <si>
    <t>RAP-B-291-A-202U</t>
  </si>
  <si>
    <t>RAM MOUNT W/ 272 BASE RAM X-GRIP SHORT COMPOSITE ARM</t>
  </si>
  <si>
    <t>RAP-B-272-A-UN7U</t>
  </si>
  <si>
    <t>UNPKD. RAM MNT SHORT ANGLED BASE &amp; AMP</t>
  </si>
  <si>
    <t>RAP-B-272-A-347U</t>
  </si>
  <si>
    <t>UNPKD. RAM MNT SHORT FLAT BASE &amp; AMP</t>
  </si>
  <si>
    <t>RAP-B-252-A-347U</t>
  </si>
  <si>
    <t>UNPKD RAM 2.5" X 1 5/16" BASE W/ BALL</t>
  </si>
  <si>
    <t>RAP-B-238U</t>
  </si>
  <si>
    <t>UNPKD RAM 2.5" X 1 5/16" BASE W/ HARDWAR</t>
  </si>
  <si>
    <t>RAP-B-238-SKY1U</t>
  </si>
  <si>
    <t>UNPKD RAM 2.5" X 1 5/16" BASE W BACKING</t>
  </si>
  <si>
    <t>RAP-B-238-BU</t>
  </si>
  <si>
    <t>UNPD RAM MNT DIAMOND, SHRT ARM, 347</t>
  </si>
  <si>
    <t>RAP-B-238-A-347U</t>
  </si>
  <si>
    <t>RAM 2.5" X 1 5/16" BASE WITH BALL</t>
  </si>
  <si>
    <t>RAP-B-238</t>
  </si>
  <si>
    <t>UNK RAM MNT W/ 3/8"-16 STUD RAM X-GRIP SHORT</t>
  </si>
  <si>
    <t>RAP-B-236-A-UN7U</t>
  </si>
  <si>
    <t>RAM MOUNT W/ 3/8"-16 STUD RAM X-GRIP SHORT</t>
  </si>
  <si>
    <t>RAP-B-236-A-UN7</t>
  </si>
  <si>
    <t>UNPK RAM BASE FOR 1" DIA. RAILS</t>
  </si>
  <si>
    <t>RAP-B-231U</t>
  </si>
  <si>
    <t>FLASH LIGHT BASE 3/4" TO 1" DIA. LIGHTS</t>
  </si>
  <si>
    <t>RAP-B-231-FL1U</t>
  </si>
  <si>
    <t>RAM U-BOLT &amp; UTV BSE &amp; 1/4"-20 TOUGH BAL</t>
  </si>
  <si>
    <t>RAP-B-231-2-A-379-252025U</t>
  </si>
  <si>
    <t>RAP-B-231-2-A-379-252025</t>
  </si>
  <si>
    <t>RAM BASE FOR 3/4" TO 1" DIA. RAILS</t>
  </si>
  <si>
    <t>RAP-B-231</t>
  </si>
  <si>
    <t>UNPKD RAM ADJ DOUBLE 1" BALL ADAPTER</t>
  </si>
  <si>
    <t>RAP-B-230-1U</t>
  </si>
  <si>
    <t>RAM SUCTION  BSE &amp; 1/4"-20 TOUGH BAL</t>
  </si>
  <si>
    <t>RAP-B-224-A-379-252025U</t>
  </si>
  <si>
    <t>RAP-B-224-A-379-252025</t>
  </si>
  <si>
    <t>RAM 2.75" DIA. SUCT CUP W 1" PLAS BALL</t>
  </si>
  <si>
    <t>RAP-B-224-2U</t>
  </si>
  <si>
    <t>RAM 2.75" DIA. SUCT CUP W 5" PHAB RAM X-GRIP</t>
  </si>
  <si>
    <t>RAP-B-224-2-A-UN10U</t>
  </si>
  <si>
    <t>RAP-B-224-2-A-379-252025U</t>
  </si>
  <si>
    <t>RAP-B-224-2</t>
  </si>
  <si>
    <t>UNPKD 3.3" DIA. SUCT CUP W 1" PLAS BALL</t>
  </si>
  <si>
    <t>RAP-B-224-1U</t>
  </si>
  <si>
    <t>RAM 3.3" DIA. SUC CUP W 1/4"-20 BALL</t>
  </si>
  <si>
    <t>RAP-B-224-1-366</t>
  </si>
  <si>
    <t>RAM 3.3" DIA. SUCT CUP W 1" PLAS BALL</t>
  </si>
  <si>
    <t>RAP-B-224-1</t>
  </si>
  <si>
    <t>UNPKD RAM TELE-MOUNT FOR GOPRO CAMERA</t>
  </si>
  <si>
    <t>RAP-B-218-1-GOP1U</t>
  </si>
  <si>
    <t>UNPKD RAM TELE-MOUNT WITH 1/4"-20 BALL</t>
  </si>
  <si>
    <t>RAP-B-218-1-366U</t>
  </si>
  <si>
    <t>RAM TRIPLE SUCTION CUP BASE W/ DOUBLE 1" BALLS</t>
  </si>
  <si>
    <t>RAP-B-217-365-224-1U</t>
  </si>
  <si>
    <t>UNPKD. RAM HONEYWELL MNT BASE 1" DIA BA</t>
  </si>
  <si>
    <t>RAP-B-202U-HON2</t>
  </si>
  <si>
    <t>UNPKD. GOPRO BASE ADAPTER W/ 1" BALL</t>
  </si>
  <si>
    <t>RAP-B-202U-GOP2</t>
  </si>
  <si>
    <t>100 QT RAM GOPRO MNTING BASE 1" DIA BA</t>
  </si>
  <si>
    <t>RAP-B-202U-GOP1-100</t>
  </si>
  <si>
    <t>UNPKD. RAM GOPRO MOUNTING BASE 1" DIA BA</t>
  </si>
  <si>
    <t>RAP-B-202U-GOP1</t>
  </si>
  <si>
    <t>RAM ADAPTER WITH B  BALL STEREO ACTIVE</t>
  </si>
  <si>
    <t>RAP-B-202U-GA71</t>
  </si>
  <si>
    <t>UNPKD. 2" X 2.5" DIA BASE WITH 1" BALL</t>
  </si>
  <si>
    <t>RAP-B-202U-225</t>
  </si>
  <si>
    <t>UNPKD. RAM 2.5" DIA.BASE WITH 1" BALL</t>
  </si>
  <si>
    <t>RAP-B-202U</t>
  </si>
  <si>
    <t>RAM LOWRANCE MARK ELITE STD ARM TRK MNT</t>
  </si>
  <si>
    <t>RAP-B-202-LO11-354-TRA1U</t>
  </si>
  <si>
    <t>RAP-B-202-LO11-354-TRA1</t>
  </si>
  <si>
    <t>RAM GOPRO BASE ADAPTER W/ 1" BALL WITH BILINGUAL PACKAIGN</t>
  </si>
  <si>
    <t>RAP-B-202-GOP2-CA</t>
  </si>
  <si>
    <t>RAM GOPRO MOUNTING BASE 1" DIA BALL WITH BILINGUAL PACKAGING</t>
  </si>
  <si>
    <t>RAP-B-202-GOP1-CA</t>
  </si>
  <si>
    <t>UNPKD. RAM GOPRO BASE SHRT DUAL 18" PIPE</t>
  </si>
  <si>
    <t>RAP-B-202-GOP1-A-420-424-18U</t>
  </si>
  <si>
    <t>UNPKD. RAM GOPRO BASE SHRT PIPE FEMALE</t>
  </si>
  <si>
    <t>RAP-B-202-GOP1-A-294U</t>
  </si>
  <si>
    <t>UNPKD. RAM GOPRO BASE SHRT 18" PIPE</t>
  </si>
  <si>
    <t>RAP-B-202-GOP1-A-294-18U</t>
  </si>
  <si>
    <t>UNPKD. RAM GOPRO MOUNTING W/ TRACK BASE</t>
  </si>
  <si>
    <t>RAP-B-202-GOP1-354-TRA1U</t>
  </si>
  <si>
    <t>RAM GOPRO MOUNTING W/ TRACK BASE</t>
  </si>
  <si>
    <t>RAP-B-202-GOP1-354-TRA1</t>
  </si>
  <si>
    <t>RAM GOPRO MOUNTING BASE 1" DIA BA</t>
  </si>
  <si>
    <t>RAP-B-202-GOP1</t>
  </si>
  <si>
    <t>RAM MOUNT TRACK BASE GARMIN SPINE CLIP HOLDER</t>
  </si>
  <si>
    <t>RAP-B-202-GA76-TRA1U</t>
  </si>
  <si>
    <t>UNPKD RAM BASE W/BALL MOUNTING HARDWARE</t>
  </si>
  <si>
    <t>RAP-B-202-G1U</t>
  </si>
  <si>
    <t>RAM BASE &amp; BALL W/ MOUNTING HARDWARE</t>
  </si>
  <si>
    <t>RAP-B-202-G1</t>
  </si>
  <si>
    <t>UNPKD RAM BASE W/ 1/4"-20 STST STUD</t>
  </si>
  <si>
    <t>RAP-B-202AU</t>
  </si>
  <si>
    <t>UNPKD RAM APPLE MAG SAFE 1" DIA BALL BASE</t>
  </si>
  <si>
    <t>RAP-B-202-AP-MAGU</t>
  </si>
  <si>
    <t>UNPKD RAM APPLE MAG SAFE (2024) 1" DIA BALL BASE</t>
  </si>
  <si>
    <t>RAP-B-202-AP-MAG-1U</t>
  </si>
  <si>
    <t>RAM 2 1/2 DIA. BASE W/ 1/4" 20 STST STUD</t>
  </si>
  <si>
    <t>RAP-B-202A</t>
  </si>
  <si>
    <t>UNPKD RAM RAM 2.5" DIA.BASE WITH 1" BALL AND 1" BALL WITH 1/4"-20 THREAD</t>
  </si>
  <si>
    <t>RAP-B-202-366U</t>
  </si>
  <si>
    <t>UNPK RAM 1.5" X 3" MNT W/ TRACK BASE</t>
  </si>
  <si>
    <t>RAP-B-202-153-354-TRA1U</t>
  </si>
  <si>
    <t>RAM 1.5" X 3" MNT W/ TRACK BASE</t>
  </si>
  <si>
    <t>RAP-B-202-153-354-TRA1</t>
  </si>
  <si>
    <t>RAM 2 1/2" DIA. BASE WITH 1" BALL</t>
  </si>
  <si>
    <t>RAP-B-202</t>
  </si>
  <si>
    <t>RAM PLASTIC DBL SOCKET ARM B BALL A LNG</t>
  </si>
  <si>
    <t>RAP-B-201U-A</t>
  </si>
  <si>
    <t>UNPKD RAM DOUBLE SOCKET ARM FOR 1" BALL</t>
  </si>
  <si>
    <t>RAP-B-201U</t>
  </si>
  <si>
    <t>RAM DOUBLE SOCKET ARM FOR 1" BALLS FOR CANADA</t>
  </si>
  <si>
    <t>RAP-B-201-CA</t>
  </si>
  <si>
    <t>RAP-B-201-A</t>
  </si>
  <si>
    <t>UNPKD RAM DOUBLE SOCKET ARM LITE SERIES</t>
  </si>
  <si>
    <t>RAP-B-201-1U</t>
  </si>
  <si>
    <t>RAM DOUBLE SOCKET ARM FOR 1" BALLS</t>
  </si>
  <si>
    <t>RAP-B-201</t>
  </si>
  <si>
    <t>UNPK RAM ADJUSTABLE SOCKET W/OCT SOCKETS</t>
  </si>
  <si>
    <t>RAP-B-200-2U</t>
  </si>
  <si>
    <t>RAM ADJ SOCKET ARM W/OCT SOCKETS NO KNOB</t>
  </si>
  <si>
    <t>RAP-B-200-2NKU</t>
  </si>
  <si>
    <t>RAM ADJUSTABLE SOCKET W/OCT SOCKETS</t>
  </si>
  <si>
    <t>RAP-B-200-2</t>
  </si>
  <si>
    <t>RAM SING.SOCKET ARM W/OCTAGON SCKET UNPK</t>
  </si>
  <si>
    <t>RAP-B-200-1U</t>
  </si>
  <si>
    <t xml:space="preserve">RAM FLEX ROD W 1" SOCKET TRACK BASE 18" </t>
  </si>
  <si>
    <t>RAP-B-200-1-TRA1-18U</t>
  </si>
  <si>
    <t>RAM FLEX ROD W 1" SOCKET, BASE 18" LONG</t>
  </si>
  <si>
    <t>RAP-B-200-1-386-18U</t>
  </si>
  <si>
    <t>UNPKD RAM VARIABLE SWIVEL ARM</t>
  </si>
  <si>
    <t>RAP-B-200-12U</t>
  </si>
  <si>
    <t>RAM SING.SOCKET ARM W/OCTAGON SCKET ROUN</t>
  </si>
  <si>
    <t>RAP-B-200-1-293U</t>
  </si>
  <si>
    <t xml:space="preserve">RAM FLEX ROD W 1" SOCKET BOTH ENDS 18" </t>
  </si>
  <si>
    <t>RAP-B-200-1-18U</t>
  </si>
  <si>
    <t>RAM FLEX ROD W 1" SOCK FISH POST 18" LNG</t>
  </si>
  <si>
    <t>RAP-B-200-1-114P-18U</t>
  </si>
  <si>
    <t>RAM SINGLE SOCKET ARM W/ OCTAGON SOCKET</t>
  </si>
  <si>
    <t>RAP-B-200-1</t>
  </si>
  <si>
    <t>UNPKD RAM MIRROR MOUNT SYSTEM SPRINTER</t>
  </si>
  <si>
    <t>RAP-B-191CU</t>
  </si>
  <si>
    <t>UNPKD RAM MIRROR MOUNT SYSTEM GM</t>
  </si>
  <si>
    <t>RAP-B-191BU</t>
  </si>
  <si>
    <t>UNPKD RAM MIRROR MOUNT SYSTEM FORD TOY</t>
  </si>
  <si>
    <t>RAP-B-191AU</t>
  </si>
  <si>
    <t>UNPKD RAM MIRROR MOUNT SYSTEM FLAT PANEL</t>
  </si>
  <si>
    <t>RAP-B-191A-FP2U</t>
  </si>
  <si>
    <t>NO LABOR W/ SUCTION BASE DBL ARM DIA</t>
  </si>
  <si>
    <t>RAP-B-166UU</t>
  </si>
  <si>
    <t>UNPKD RAM SUCTION MOUNT RAM X-GRIP</t>
  </si>
  <si>
    <t>RAP-B-166-UN7U</t>
  </si>
  <si>
    <t>RAM SUCTION MOUNT RAM X-GRIP</t>
  </si>
  <si>
    <t>RAP-B-166-UN7</t>
  </si>
  <si>
    <t>RAM SUCTION CUP UNIVERSAL FINGER GRIP</t>
  </si>
  <si>
    <t>RAP-B-166-UN4</t>
  </si>
  <si>
    <t>UNPD RAM MNT W/ SUCTION BASE LNG ARM</t>
  </si>
  <si>
    <t>RAP-B-166U-C</t>
  </si>
  <si>
    <t>UNPD RAM MNT W/ SUCTION BASE DBL ARM DIA</t>
  </si>
  <si>
    <t>RAP-B-166U-A</t>
  </si>
  <si>
    <t>RAP-B-166U</t>
  </si>
  <si>
    <t>UNPD RAM MNT W/ SUCTION BASE METAL BASES</t>
  </si>
  <si>
    <t>RAP-B-166-RA2U</t>
  </si>
  <si>
    <t>UNPD RAM MNT W/ SUCTION BASE METAL DIAMO</t>
  </si>
  <si>
    <t>RAP-B-166-RA1U</t>
  </si>
  <si>
    <t>RAM SUCTION SYSTEM UNIVERSAL PDA SERIES</t>
  </si>
  <si>
    <t>RAP-B-166-PD3U</t>
  </si>
  <si>
    <t>RAM SUCTION SYSTEM PDA W/ FEET</t>
  </si>
  <si>
    <t>RAP-B-166-PD2U</t>
  </si>
  <si>
    <t>RAM SUCTION MOUNT MAGELLAN EXPLORIST</t>
  </si>
  <si>
    <t>RAP-B-166-MA14</t>
  </si>
  <si>
    <t>RAM SUCTION CUP LOWRANCE XOG</t>
  </si>
  <si>
    <t>RAP-B-166-LO8</t>
  </si>
  <si>
    <t>RAM SUCTION CUP LOWRANCE IFINDER H20</t>
  </si>
  <si>
    <t>RAP-B-166-LO3</t>
  </si>
  <si>
    <t>RAM MNT GOPRO SUCTION BASE PLASTIC</t>
  </si>
  <si>
    <t>RAP-B-166-GOP1</t>
  </si>
  <si>
    <t>RAM SUCTION CUP GARMIN 2610 SYSTEM</t>
  </si>
  <si>
    <t>RAP-B-166-GA9U</t>
  </si>
  <si>
    <t>RAM SUCTION MOUNT FOR GARMIN ETREX 10 20</t>
  </si>
  <si>
    <t>RAP-B-166-GA48</t>
  </si>
  <si>
    <t>RAM SUCTION MOUNT FOR GARMIN RINO 610</t>
  </si>
  <si>
    <t>RAP-B-166-GA47</t>
  </si>
  <si>
    <t>RAM SUCTION MOUNT FOR GARMIN MONTANA</t>
  </si>
  <si>
    <t>RAP-B-166-GA46</t>
  </si>
  <si>
    <t>RAM SUCTION MOUNT GARMIN GPSMAP 62</t>
  </si>
  <si>
    <t>RAP-B-166-GA41</t>
  </si>
  <si>
    <t>RAM SUCTION MOUNT GARMIN GPSMAP 78</t>
  </si>
  <si>
    <t>RAP-B-166-GA40</t>
  </si>
  <si>
    <t>RAM SUCTION CUP GARMIN OREGON</t>
  </si>
  <si>
    <t>RAP-B-166-GA31</t>
  </si>
  <si>
    <t>RAM SUCTION CUP GARMIN RINO 500 SERIES</t>
  </si>
  <si>
    <t>RAP-B-166-GA20</t>
  </si>
  <si>
    <t>UNPD RAM MNT W/ SUCTION, LONG ARM, 202</t>
  </si>
  <si>
    <t>RAP-B-166-C-202U</t>
  </si>
  <si>
    <t>RAP-B-166AU</t>
  </si>
  <si>
    <t>UNPD RAM MNT W/ SUCTION, SHRT ARM</t>
  </si>
  <si>
    <t>RAP-B-166-A-DU1</t>
  </si>
  <si>
    <t>UNPD RAM MNT W/ SUCTION, SHRT ARM, 202</t>
  </si>
  <si>
    <t>RAP-B-166-A-202U</t>
  </si>
  <si>
    <t>UNPD RAM MNT W/ SUCTION BASE AMPS</t>
  </si>
  <si>
    <t>RAP-B-166-347U</t>
  </si>
  <si>
    <t>UNPD RAM MNT W SUCTION RAM X-GRIP</t>
  </si>
  <si>
    <t>RAP-B-166-2-UN7U</t>
  </si>
  <si>
    <t>RAM X-GRIP MOUNT WITH SUCTION CUP</t>
  </si>
  <si>
    <t>RAP-B-166-2-UN7</t>
  </si>
  <si>
    <t>UNPK RAM LG RAM X-GRIP MOUNT WITH SUCTION CUP</t>
  </si>
  <si>
    <t>RAP-B-166-2-UN10U</t>
  </si>
  <si>
    <t>RAM LG RAM X-GRIP MOUNT WITH SUCTION CUP</t>
  </si>
  <si>
    <t>RAP-B-166-2-UN10</t>
  </si>
  <si>
    <t>UNPD RAM MNT W SUCTION BASE DIAMOND BASE</t>
  </si>
  <si>
    <t>RAP-B-166-2U</t>
  </si>
  <si>
    <t>UNPD RAM MNT W SUCTION TOMTOM 330 SERIES</t>
  </si>
  <si>
    <t>RAP-B-166-2-TO8U</t>
  </si>
  <si>
    <t>RAM MNT W SUCTION TOMTOM XXL</t>
  </si>
  <si>
    <t>RAP-B-166-2-TO10U</t>
  </si>
  <si>
    <t>RAM SUCTION MOUNT SPOT GEN 3</t>
  </si>
  <si>
    <t>RAP-B-166-2-SPO4U</t>
  </si>
  <si>
    <t>RAM SUCTION MOUNT SPOT 2 SATELLITE UNIT</t>
  </si>
  <si>
    <t>RAP-B-166-2-SPO2U</t>
  </si>
  <si>
    <t>RAM MNT W SUCTION GARMIN GPS 72</t>
  </si>
  <si>
    <t>RAP-B-166-2-GA6</t>
  </si>
  <si>
    <t>UNPD RAM MNT W SUCTION GARMIN GPSMAP 62</t>
  </si>
  <si>
    <t>RAP-B-166-2-GA41U</t>
  </si>
  <si>
    <t>RAM MNT W SUCTION GARMIN GPSMAP 78</t>
  </si>
  <si>
    <t>RAP-B-166-2-GA40</t>
  </si>
  <si>
    <t>UNPD RAM MNT W SUCTION GARMIN NUVI 3700</t>
  </si>
  <si>
    <t>RAP-B-166-2-GA39U</t>
  </si>
  <si>
    <t>RAM MNT W SUCTION GARMIN NUVI 1490</t>
  </si>
  <si>
    <t>RAP-B-166-2-GA35</t>
  </si>
  <si>
    <t>RAM MNT W SUCTION GARMIN NUVI 1300</t>
  </si>
  <si>
    <t>RAP-B-166-2-GA34</t>
  </si>
  <si>
    <t>RAM MNT W SUCTION GARMIN NUVI 500</t>
  </si>
  <si>
    <t>RAP-B-166-2-GA32</t>
  </si>
  <si>
    <t>RAM MNT W SUCTION GARMIN OREGON</t>
  </si>
  <si>
    <t>RAP-B-166-2-GA31</t>
  </si>
  <si>
    <t>RAM MNT W SUCTION GARMIN 200W 250W</t>
  </si>
  <si>
    <t>RAP-B-166-2-GA25U</t>
  </si>
  <si>
    <t>RAM MNT W SUCTION GARMIN 200 250</t>
  </si>
  <si>
    <t>RAP-B-166-2-GA24</t>
  </si>
  <si>
    <t>RAM MNT W SUCTION GARMIN 60 SERIES</t>
  </si>
  <si>
    <t>RAP-B-166-2-GA12U</t>
  </si>
  <si>
    <t>UNPD RAM MNT W SHORT ARM  SUCTION RAM X-GRIP</t>
  </si>
  <si>
    <t>RAP-B-166-2-A-UN7U</t>
  </si>
  <si>
    <t>RAM SUCTION MOUNT AQUA BOX PRO 20</t>
  </si>
  <si>
    <t>RAP-B-166-2-AQ7-2</t>
  </si>
  <si>
    <t>RAM MNT W SUCTION APPLE IPHONE 4</t>
  </si>
  <si>
    <t>RAP-B-166-2-AP9U</t>
  </si>
  <si>
    <t>RAM MNT W SUCTION APPLE TOUCH 2ND</t>
  </si>
  <si>
    <t>RAP-B-166-2-AP7U</t>
  </si>
  <si>
    <t>RAM MNT W SUCTION APPLE NANO 3RD G</t>
  </si>
  <si>
    <t>RAP-B-166-2-AP5U</t>
  </si>
  <si>
    <t>RAM MNT W SUCTION APPLE TOUCH</t>
  </si>
  <si>
    <t>RAP-B-166-2-AP4U</t>
  </si>
  <si>
    <t>RAM MNT W SUCTION APPLE IPHONE</t>
  </si>
  <si>
    <t>RAP-B-166-2-AP3U</t>
  </si>
  <si>
    <t>RAM MNT W SUCTION APPLE NANO</t>
  </si>
  <si>
    <t>RAP-B-166-2-AP2U</t>
  </si>
  <si>
    <t>RAM MNT W SUCTION APPLE IPOD</t>
  </si>
  <si>
    <t>RAP-B-166-2-AP1U</t>
  </si>
  <si>
    <t>RAM MNT W SUCTION APPLE TOUCH 4G</t>
  </si>
  <si>
    <t>RAP-B-166-2-AP10U</t>
  </si>
  <si>
    <t>UNPKD RAM MNT W/ SUCTION BASE W/ 1/4"-20</t>
  </si>
  <si>
    <t>RAP-B-166-237U</t>
  </si>
  <si>
    <t>UNPD RAM MNT W/ SUCTION BASE DBL ARM RND</t>
  </si>
  <si>
    <t>RAP-B-166-202U</t>
  </si>
  <si>
    <t>UNPKD RAM SUCTION MOUNT 1/4"-20 MALE</t>
  </si>
  <si>
    <t>RAP-B-166-202AU</t>
  </si>
  <si>
    <t>RAM MNT W SUCTION BASE DIAMOND BASE</t>
  </si>
  <si>
    <t>RAP-B-166-2</t>
  </si>
  <si>
    <t>UNPD RAM MNT W/ SUCTION BASE AMPS PLATE</t>
  </si>
  <si>
    <t>RAP-B-166-1U</t>
  </si>
  <si>
    <t>NO LABOR W/ SUCTION BASE RAW PARTS</t>
  </si>
  <si>
    <t>RAP-B-166-1-TH1UU</t>
  </si>
  <si>
    <t>UNPK W/ SUCTION BASE FOR APPLE IPHONE</t>
  </si>
  <si>
    <t>RAP-B-166-1-AP3U</t>
  </si>
  <si>
    <t>UNPD RAM MNT W/ SUCTION BASE W/ 1/4"-20</t>
  </si>
  <si>
    <t>RAP-B-166-1-237U</t>
  </si>
  <si>
    <t>RAM MOUNT W/ SUCTION BASE DBL ARM DIA</t>
  </si>
  <si>
    <t>RAP-B-166</t>
  </si>
  <si>
    <t>UNPKD RAM RAIL MNT W/2.47DIA. X 2.47X1</t>
  </si>
  <si>
    <t>RAP-B-149U</t>
  </si>
  <si>
    <t>UNPKD RAM U-BOLT MOUNT MAGELLAN MERIDIAN</t>
  </si>
  <si>
    <t>RAP-B-149-MA2U</t>
  </si>
  <si>
    <t>UNPKD RAM RAIL GARMIN 176, 276, 296,</t>
  </si>
  <si>
    <t>RAP-B-149-GA7U</t>
  </si>
  <si>
    <t>RAM RAIL MOUNT GARMIN GPS 176, 276, 296,</t>
  </si>
  <si>
    <t>RAP-B-149-GA7</t>
  </si>
  <si>
    <t>UNPKD RAM RAIL FOR GARMIN GPS 76 SERIE</t>
  </si>
  <si>
    <t>RAP-B-149-GA6U</t>
  </si>
  <si>
    <t>UNPKD RAM MOUNT W/RAIL GARMIN E-TREX</t>
  </si>
  <si>
    <t>RAP-B-149-GA5U</t>
  </si>
  <si>
    <t>RAM RAIL MOUNT FOR GARMIN GPS II &amp; III</t>
  </si>
  <si>
    <t>RAP-B-149-GA2</t>
  </si>
  <si>
    <t>UNPKD RAM RAIL FOR GARMIN GPS 12 SERIE</t>
  </si>
  <si>
    <t>RAP-B-149-GA1U</t>
  </si>
  <si>
    <t>RAM RAIL MOUNT FOR GARMIN GPS 12 SERIE</t>
  </si>
  <si>
    <t>RAP-B-149-GA1</t>
  </si>
  <si>
    <t>UNPKD RAM U-BOLT MOUNT COMPAQ IPAQ</t>
  </si>
  <si>
    <t>RAP-B-149-CO1U</t>
  </si>
  <si>
    <t>UNPKD RAM W/ RAIL, BELT CLIP HOLDER HA</t>
  </si>
  <si>
    <t>RAP-B-149-BC1U</t>
  </si>
  <si>
    <t>RAM W/ RAIL, BELT CLIP HOLDER HAND-HEL</t>
  </si>
  <si>
    <t>RAP-B-149-BC1</t>
  </si>
  <si>
    <t>UNPKD RAM SUCTION MNT W/2.47DIA. X 2.47X</t>
  </si>
  <si>
    <t>RAP-B-148U</t>
  </si>
  <si>
    <t>UNPKD RAM SUCTION FOR GARMIN GPS 76 SERI</t>
  </si>
  <si>
    <t>RAP-B-148-GA6U</t>
  </si>
  <si>
    <t>RAM SUCTION MOUNT FOR GARMIN GPS II &amp; II</t>
  </si>
  <si>
    <t>RAP-B-148-GA2</t>
  </si>
  <si>
    <t>UNPKD RAM MOUNT W/ AMPS C LENGH</t>
  </si>
  <si>
    <t>RAP-B-141U-C</t>
  </si>
  <si>
    <t>UNPKD RAM COMPOSITE MOUNT SHORT ARM, AMPS BASES</t>
  </si>
  <si>
    <t>RAP-B-141U-A</t>
  </si>
  <si>
    <t>UNPKD RAM MOUNT W/ AMPS</t>
  </si>
  <si>
    <t>RAP-B-141U</t>
  </si>
  <si>
    <t>UNPKD RAM MNT GARMIN GPSMAP 78</t>
  </si>
  <si>
    <t>RAP-B-140-GA40U</t>
  </si>
  <si>
    <t>RAM FOR AQUA BOX SQ MED W 2" X 2.5" BASE</t>
  </si>
  <si>
    <t>RAP-B-140-AQ6U</t>
  </si>
  <si>
    <t>UNPKD RAM AQUA BOX MED W 2" X 2.5" BASE</t>
  </si>
  <si>
    <t>RAP-B-140-AQ2U</t>
  </si>
  <si>
    <t>UNPKD RAM MAGNETIC MNT W/ FINGER GRIP</t>
  </si>
  <si>
    <t>RAP-B-139-UN4MU</t>
  </si>
  <si>
    <t>RAM BODY MOUNT FOR LEGS W/ FINGER GRIP</t>
  </si>
  <si>
    <t>RAP-B-139-UN4-BM-L1</t>
  </si>
  <si>
    <t>UNPKD PLA RAM MNT W/ ROUND AND AMPS BASE</t>
  </si>
  <si>
    <t>RAP-B-139U</t>
  </si>
  <si>
    <t>PLA RAM MNT ROUND, AMPS BASE &amp; DRAGONFLY</t>
  </si>
  <si>
    <t>RAP-B-139-RYM1</t>
  </si>
  <si>
    <t>UNPKD RAM STD MOUNT RAM X-GRIP</t>
  </si>
  <si>
    <t>RAP-B-138-UN7U</t>
  </si>
  <si>
    <t>RAM STD MOUNT RAM X-GRIP</t>
  </si>
  <si>
    <t>RAP-B-138-UN7</t>
  </si>
  <si>
    <t>RAM MOUNT W/ UNIVERSAL FINGER GRIP HOLD</t>
  </si>
  <si>
    <t>RAP-B-138-UN4</t>
  </si>
  <si>
    <t>UNPKD RAM MNT W/2.47DIA. X 2.47X1.31 BAS</t>
  </si>
  <si>
    <t>RAP-B-138U</t>
  </si>
  <si>
    <t>UNPKD RAM MOUNT FOR MAGELLAN SPORTRAK</t>
  </si>
  <si>
    <t>RAP-B-138-MA3U</t>
  </si>
  <si>
    <t>RAM MOUNT MAGELLAN EXPLORIST</t>
  </si>
  <si>
    <t>RAP-B-138-MA14</t>
  </si>
  <si>
    <t>RAM MOUNT LOWRANCE XOG</t>
  </si>
  <si>
    <t>RAP-B-138-LO8</t>
  </si>
  <si>
    <t>RAM MNT LOWRANCE IFINDER H2O MB-11</t>
  </si>
  <si>
    <t>RAP-B-138-LO3</t>
  </si>
  <si>
    <t>RAM MOUNT ROUND BASE GOPRO</t>
  </si>
  <si>
    <t>RAP-B-138-GOP1</t>
  </si>
  <si>
    <t>UNPKD RAM FOR GARMIN GPS 176, 276</t>
  </si>
  <si>
    <t>RAP-B-138-GA7U</t>
  </si>
  <si>
    <t>UNPKD RAM MOUNT FOR GARMIN E-TREX SERIES</t>
  </si>
  <si>
    <t>RAP-B-138-GA5U</t>
  </si>
  <si>
    <t>UNPKD RAM FOR GARMIN E-MAP</t>
  </si>
  <si>
    <t>RAP-B-138-GA4U</t>
  </si>
  <si>
    <t>RAM MOUNT GARMIN ETREX 10 20 30</t>
  </si>
  <si>
    <t>RAP-B-138-GA48</t>
  </si>
  <si>
    <t>RAM MOUNT GARMIN RINO 610 650</t>
  </si>
  <si>
    <t>RAP-B-138-GA47</t>
  </si>
  <si>
    <t>RAM MOUNT GARMIN MONTANA</t>
  </si>
  <si>
    <t>RAP-B-138-GA46</t>
  </si>
  <si>
    <t>RAM MOUNT GARMIN GPSMAP 62</t>
  </si>
  <si>
    <t>RAP-B-138-GA41</t>
  </si>
  <si>
    <t>RAM MNT GARMIN GPSMAP 78</t>
  </si>
  <si>
    <t>RAP-B-138-GA40</t>
  </si>
  <si>
    <t>RAM MOUNT GARMIN DAKOTA</t>
  </si>
  <si>
    <t>RAP-B-138-GA36</t>
  </si>
  <si>
    <t>RAM MOUNT GARMIN OREGON</t>
  </si>
  <si>
    <t>RAP-B-138-GA31</t>
  </si>
  <si>
    <t>RAM MOUNT GARMIN COLORADO</t>
  </si>
  <si>
    <t>RAP-B-138-GA27</t>
  </si>
  <si>
    <t>RAM FOR GARMIN RINO 530 520</t>
  </si>
  <si>
    <t>RAP-B-138-GA20</t>
  </si>
  <si>
    <t>RAM MOUNT FOR GARMIN GPS II &amp; III SERIES</t>
  </si>
  <si>
    <t>RAP-B-138-GA2</t>
  </si>
  <si>
    <t>UNPKD RAM FOR GARMIN GPS 12 SERIES</t>
  </si>
  <si>
    <t>RAP-B-138-GA1U</t>
  </si>
  <si>
    <t>RAM FOR GARMIN COLOR ETREX</t>
  </si>
  <si>
    <t>RAP-B-138-GA16</t>
  </si>
  <si>
    <t>RAM FOR GARMIN GPS 76C &amp; 76CS SERIES</t>
  </si>
  <si>
    <t>RAP-B-138-GA14</t>
  </si>
  <si>
    <t>UNPKD RAM MOUNT FOR GARMIN 60 SERIES</t>
  </si>
  <si>
    <t>RAP-B-138-GA12U</t>
  </si>
  <si>
    <t>UNPKD RAM W/ BELT CLIP HOLDER HAND-HELD</t>
  </si>
  <si>
    <t>RAP-B-138-BC1U</t>
  </si>
  <si>
    <t>RAM MOUNT W/ BELT CLIP HOLDER HAND-HELD</t>
  </si>
  <si>
    <t>RAP-B-138-BC1</t>
  </si>
  <si>
    <t>UNPKD RAM MNT W/2.47DIA. X 2.47X1.31 SHR</t>
  </si>
  <si>
    <t>RAP-B-138-AU</t>
  </si>
  <si>
    <t>RAM DRILL-DOWN AQUA BOX PRO 20 W I5 LENS</t>
  </si>
  <si>
    <t>RAP-B-138-AQ7-2-I5</t>
  </si>
  <si>
    <t>RAM DRILL-DOWN BASE AQUA BOX PRO 20</t>
  </si>
  <si>
    <t>RAP-B-138-AQ7-2</t>
  </si>
  <si>
    <t>RAM FOR AQUA BOX SQUARE MED</t>
  </si>
  <si>
    <t>RAP-B-138-AQ6</t>
  </si>
  <si>
    <t>RAM FOR AQUA BOX MED</t>
  </si>
  <si>
    <t>RAP-B-138-AQ2</t>
  </si>
  <si>
    <t>UNPKD COMP RAM MOUNT APPLE IPHONE 4</t>
  </si>
  <si>
    <t>RAP-B-138-AP9U</t>
  </si>
  <si>
    <t>UNPKD COMP RAM MOUNT APPLE TOUCH 2ND</t>
  </si>
  <si>
    <t>RAP-B-138-AP7U</t>
  </si>
  <si>
    <t>UNPKD COMP RAM MOUNT APPLE NANO 3RD</t>
  </si>
  <si>
    <t>RAP-B-138-AP5U</t>
  </si>
  <si>
    <t>UNPKD COMP RAM MOUNT APPLE TOUCH</t>
  </si>
  <si>
    <t>RAP-B-138-AP4U</t>
  </si>
  <si>
    <t>UNPKD COMP RAM MOUNT APPLE IPHONE</t>
  </si>
  <si>
    <t>RAP-B-138-AP3U</t>
  </si>
  <si>
    <t>UNPKD COMP RAM MOUNT APPLE NANO</t>
  </si>
  <si>
    <t>RAP-B-138-AP2U</t>
  </si>
  <si>
    <t>UNPKD COMP RAM MOUNT APPLE IPOD</t>
  </si>
  <si>
    <t>RAP-B-138-AP1U</t>
  </si>
  <si>
    <t>RAM MNT. W/2.43DIA. &amp; 2.43 X 1.31 BASES</t>
  </si>
  <si>
    <t>RAP-B-138</t>
  </si>
  <si>
    <t>RAM PEDESTAL SYSTEM WITH RAM-B-202 END</t>
  </si>
  <si>
    <t>RAP-B-134U</t>
  </si>
  <si>
    <t>UNPKD RAM DRINK CUP HOLDER W CLAMP BASE</t>
  </si>
  <si>
    <t>RAP-B-132CU</t>
  </si>
  <si>
    <t>UNPKD RAM DRINK CUP HOLDER ARM KOOZIE</t>
  </si>
  <si>
    <t>RAP-B-132BNK-201U</t>
  </si>
  <si>
    <t>RETAIL RAM DRINK CUP HOLDER WITH ARM AND TRACK BASE FOR LUND SPORT TRAK</t>
  </si>
  <si>
    <t>RAP-B-132B-354-TRA1-LUN</t>
  </si>
  <si>
    <t>UNPKD RAM DRINK CUP HOLDER W/ ARM</t>
  </si>
  <si>
    <t>RAP-B-132B-201U</t>
  </si>
  <si>
    <t>RAM DRINK CUP HOLDER W/ ARM</t>
  </si>
  <si>
    <t>RAP-B-132B-201</t>
  </si>
  <si>
    <t>UNPKD. RAM DRINK CUP HOLDER 5 SPOT BASE</t>
  </si>
  <si>
    <t>RAP-B-132-5</t>
  </si>
  <si>
    <t>UNPKD RAM COMP YOKE MOUNT ANGLED PLATE</t>
  </si>
  <si>
    <t>RAP-B-125U</t>
  </si>
  <si>
    <t>RAM YOKE GLARE MNT RAM X-GRIP</t>
  </si>
  <si>
    <t>RAP-B-121-UN7U</t>
  </si>
  <si>
    <t>RAM YOKE GLARE MNT UNIVERSAL GRIP HLD</t>
  </si>
  <si>
    <t>RAP-B-121-UN4U</t>
  </si>
  <si>
    <t>UNPKD RAM YOKE MOUNT W/ PLASTIC ARM/BASE</t>
  </si>
  <si>
    <t>RAP-B-121U</t>
  </si>
  <si>
    <t>RAM YOKE GLARE MNT TDS RANGER</t>
  </si>
  <si>
    <t>RAP-B-121-TD2U</t>
  </si>
  <si>
    <t>RAM YOKE MNT FOR TDS RECON</t>
  </si>
  <si>
    <t>RAP-B-121-TD1U</t>
  </si>
  <si>
    <t>RAM YOKE MOUNT W/BALL &amp; ARM ASSEM. UNPKD</t>
  </si>
  <si>
    <t>RAP-B-121-OT1U</t>
  </si>
  <si>
    <t>UNPKD RAM YOKE MOUNT W/ MULTI PAD</t>
  </si>
  <si>
    <t>RAP-B-121-MP1U</t>
  </si>
  <si>
    <t>RAM YOKE GLARE MNT GARMIN 396 495 496</t>
  </si>
  <si>
    <t>RAP-B-121-GA7U</t>
  </si>
  <si>
    <t>RAM YOKE GLARE MNT GARMIN APPROACH G5</t>
  </si>
  <si>
    <t>RAP-B-121-GA31U</t>
  </si>
  <si>
    <t>RAM YOKE GLARE MNT GARMIN 96 96C</t>
  </si>
  <si>
    <t>RAP-B-121-GA14U</t>
  </si>
  <si>
    <t>RAM YOKE GLARE MNT W/ MOUNTING HARDWARE</t>
  </si>
  <si>
    <t>RAP-B-121-G1U</t>
  </si>
  <si>
    <t>UNPKGD RAM UNIVERSAL CLAMP</t>
  </si>
  <si>
    <t>RAP-B-121BU</t>
  </si>
  <si>
    <t>RAM YOKE GLARE MNT W/ BELT CLIP ADAPTER</t>
  </si>
  <si>
    <t>RAP-B-121-BC1U</t>
  </si>
  <si>
    <t>UNPKGD RAM EXTRA BALL UNIVERSAL CLAMP</t>
  </si>
  <si>
    <t>RAP-B-121BBU</t>
  </si>
  <si>
    <t>UNPKGD RAM UNIVERSAL CLAMP ARMS</t>
  </si>
  <si>
    <t>RAP-B-121BBAU</t>
  </si>
  <si>
    <t>RAM EXTRA BALL UNIVERSAL CLAMP</t>
  </si>
  <si>
    <t>RAP-B-121BB</t>
  </si>
  <si>
    <t>RAM UNIVERSAL CLAMP W/ 1" DIA BALL</t>
  </si>
  <si>
    <t>RAP-B-121B</t>
  </si>
  <si>
    <t>RAM YOKE MOUNT WITH SHORT ARM DIA BASE</t>
  </si>
  <si>
    <t>RAP-B-121-A-238U</t>
  </si>
  <si>
    <t>UNPKD RAM YOKE MOUNT W/ PLASTIC DIA BASE</t>
  </si>
  <si>
    <t>RAP-B-121-238U</t>
  </si>
  <si>
    <t>UNPKD RAM YOKE MOUNT WITH SUCTION CUP</t>
  </si>
  <si>
    <t>RAP-B-121-224-1U</t>
  </si>
  <si>
    <t>RAM YOKE MOUNT W/ PLASTIC ARM/BASE</t>
  </si>
  <si>
    <t>RAP-B-121</t>
  </si>
  <si>
    <t>UNPK RAM FEMAL TELE MOUNT HOLE W/1" BALL</t>
  </si>
  <si>
    <t>RAP-B-114-TMBBU</t>
  </si>
  <si>
    <t>RAM FLEX ROD W 1" BALL FISH POST 18" LNG</t>
  </si>
  <si>
    <t>RAP-B-114P-18U</t>
  </si>
  <si>
    <t>UNPK RAM ROD FEMAL FLX ROD HOLE W1" BALL</t>
  </si>
  <si>
    <t>RAP-B-114-FRBBU</t>
  </si>
  <si>
    <t>UNPKD RAM 5 PLACE ROD HOLDER MNTING BALL</t>
  </si>
  <si>
    <t>RAP-B-114-5BU</t>
  </si>
  <si>
    <t>RAM 5 PLACE ROD HOLDER MOUNTING BALL</t>
  </si>
  <si>
    <t>RAP-B-114-5B</t>
  </si>
  <si>
    <t>UNPKD UNIVERSAL ELECT. MOUNT 6 1/4" X 2"</t>
  </si>
  <si>
    <t>RAP-B-111U</t>
  </si>
  <si>
    <t>UNPK RAM HUMMINBIRD MNT W/ TRACK BASE</t>
  </si>
  <si>
    <t>RAP-B-111B-354-TRA1U</t>
  </si>
  <si>
    <t>RAM HUMMINBIRD MNT W/ TRACK BASE</t>
  </si>
  <si>
    <t>RAP-B-111B-354-TRA1</t>
  </si>
  <si>
    <t>RAM UNIVERSAL ELECT MNT 6 1/4" X 2" SHRT</t>
  </si>
  <si>
    <t>RAP-B-111-A</t>
  </si>
  <si>
    <t>RAM UNIVERSAL ELECT. MOUNT 6 1/4" X 2"</t>
  </si>
  <si>
    <t>RAP-B-111</t>
  </si>
  <si>
    <t>UNPKD RAM MNT 1" PLSTC HUMMINBIRD/APELCO</t>
  </si>
  <si>
    <t>RAP-B-107U</t>
  </si>
  <si>
    <t>RAP-B-107B-354-TRA1U</t>
  </si>
  <si>
    <t>RAP-B-107B-354-TRA1</t>
  </si>
  <si>
    <t>UNPK RAM MNT PLASTIC HUMMINBIRD PIRANHA</t>
  </si>
  <si>
    <t>RAP-B-107-1U</t>
  </si>
  <si>
    <t>UNPK RAM HUMMINBIRD PIRANHA MNT W/ TRACK</t>
  </si>
  <si>
    <t>RAP-B-107-1B-354-TRA1U</t>
  </si>
  <si>
    <t>RAP-B-107-1B-354-TRA1</t>
  </si>
  <si>
    <t>RAM MNT 1" PLSTC HUMMINBIRD/APELCO</t>
  </si>
  <si>
    <t>RAP-B-107</t>
  </si>
  <si>
    <t>RAM SING BALL MNT W/ DIAMOND BASE</t>
  </si>
  <si>
    <t>RAP-B-106</t>
  </si>
  <si>
    <t>RAP-B-104-UN4-BM-A1</t>
  </si>
  <si>
    <t>RAM MOUNT BRUNTON SINGLE ARM W/SUCTION</t>
  </si>
  <si>
    <t>RAP-B-104U-BR1</t>
  </si>
  <si>
    <t>SINGLE SOCKET BALL MOUNT WITH RND BASE</t>
  </si>
  <si>
    <t>RAP-B-104U</t>
  </si>
  <si>
    <t>SINGLE SOCKET BALL MOUNT SUCT. BASE</t>
  </si>
  <si>
    <t>RAP-B-104SU-CS1</t>
  </si>
  <si>
    <t>RAM DIA BASE, SINGL SOCKET, 3/8" STUD</t>
  </si>
  <si>
    <t>RAP-B-104-RA1</t>
  </si>
  <si>
    <t>RAM SGL BALL MNT MAGELLAN MERIDIAN PROMO</t>
  </si>
  <si>
    <t>RAP-B-104-MA2UU</t>
  </si>
  <si>
    <t>RAM SNGLE BALL LOWRANCE H20 PROMO</t>
  </si>
  <si>
    <t>RAP-B-104-LO3UU</t>
  </si>
  <si>
    <t>RAM SNGLE BALL GARMIN 76C, 76CS PROMO</t>
  </si>
  <si>
    <t>RAP-B-104-GA14UU</t>
  </si>
  <si>
    <t>SINGLE SOCKET BALL MOUNT WITH DIA BASE</t>
  </si>
  <si>
    <t>RAP-B-104-2U</t>
  </si>
  <si>
    <t>UNKP RAM SING SOCKET SYS DIA SUCT BASE</t>
  </si>
  <si>
    <t>RAP-B-104-224U-UK1</t>
  </si>
  <si>
    <t>UNKP RAM SING SOCKET W/O 238</t>
  </si>
  <si>
    <t>RAP-B-104-224U-QU1</t>
  </si>
  <si>
    <t>UNPKD RAM PIVOT SUCTION MOUNT X-GRIP</t>
  </si>
  <si>
    <t>RAP-B-104-224-UN7U</t>
  </si>
  <si>
    <t>RAM PIVOT SUCTION MOUNT X-GRIP</t>
  </si>
  <si>
    <t>RAP-B-104-224-UN7</t>
  </si>
  <si>
    <t>RAM PIVOT SUCTION MNT UNIVERSAL SIDE HLD</t>
  </si>
  <si>
    <t>RAP-B-104-224-UN4U</t>
  </si>
  <si>
    <t>UNKP RAM SING SOCKET SYS W/O SUCTION</t>
  </si>
  <si>
    <t>RAP-B-104-224U-AGR1</t>
  </si>
  <si>
    <t>RAP-B-104-224U</t>
  </si>
  <si>
    <t>UNKP RAM SING SOCKET SYS DIA SUCT MET BA</t>
  </si>
  <si>
    <t>RAP-B-104-224-RA1U</t>
  </si>
  <si>
    <t>RAM PIVOT SUCTION MNT UNIVERSAL HOLDER</t>
  </si>
  <si>
    <t>RAP-B-104-224-PD3U</t>
  </si>
  <si>
    <t>RAM PIVOT SUCTION MNT UNIVERSAL 3 FINGER</t>
  </si>
  <si>
    <t>RAP-B-104-224-PD2U</t>
  </si>
  <si>
    <t>RAM SING SOCKET SYS DIA SUCT BASE</t>
  </si>
  <si>
    <t>RAP-B-104-224-HEM1</t>
  </si>
  <si>
    <t>RAM PIVOT SUCTION MOUNT GARMIN 196 176</t>
  </si>
  <si>
    <t>RAP-B-104-224-GA7U</t>
  </si>
  <si>
    <t>RAM PIVOT SUCTION MOUNT GARMIN NUVI 660</t>
  </si>
  <si>
    <t>RAP-B-104-224-GA23U</t>
  </si>
  <si>
    <t>RAM PIVOT SUCTION MOUNT GARMIN RINO 520</t>
  </si>
  <si>
    <t>RAP-B-104-224-GA20U</t>
  </si>
  <si>
    <t>RAM PIVOT SUCTION MOUNT GARMIN ETREX COL</t>
  </si>
  <si>
    <t>RAP-B-104-224-GA16U</t>
  </si>
  <si>
    <t>RAM PIVOT SUCTION MOUNT GARMIN 76 96</t>
  </si>
  <si>
    <t>RAP-B-104-224-GA14U</t>
  </si>
  <si>
    <t>RAM PIVOT SUCTION MOUNT GARMIN 60</t>
  </si>
  <si>
    <t>RAP-B-104-224-GA12U</t>
  </si>
  <si>
    <t>UNKP RAM SING SOCKET SUCT SYS W QUICK RE</t>
  </si>
  <si>
    <t>RAP-B-104-224-326U</t>
  </si>
  <si>
    <t>RAM PIVOT SUCTION MOUNT TWIST LOCK</t>
  </si>
  <si>
    <t>RAP-B-104-224</t>
  </si>
  <si>
    <t>UNPKD RAM MOUNT W/ 1 RAP-B-202U SHORT</t>
  </si>
  <si>
    <t>RAP-B-103U-A</t>
  </si>
  <si>
    <t>UNPKD RAM X-GRIP HOLDER W DBL DIAMOND BASE</t>
  </si>
  <si>
    <t>RAP-B-102-UN7U</t>
  </si>
  <si>
    <t>UNPKD RAM-B-102 EVERYTHING MOUNT</t>
  </si>
  <si>
    <t>RAP-B-102U-A</t>
  </si>
  <si>
    <t>RAP-B-102U</t>
  </si>
  <si>
    <t>UNPD RAM MNT W/ ALUM &amp; COMP DIAMOND BASE</t>
  </si>
  <si>
    <t>RAP-B-102-RA1U</t>
  </si>
  <si>
    <t>RAM AQUA BOX PRO 20 WITH DIAMOND BASE</t>
  </si>
  <si>
    <t>RAP-B-102-AQ7-2CU</t>
  </si>
  <si>
    <t>UNPKD EVERYTHING MOUNT W ROUND KNOB</t>
  </si>
  <si>
    <t>RAP-B-102-2U</t>
  </si>
  <si>
    <t>UNPKD RAM DIAMOND BASE MOUNT W BACKING</t>
  </si>
  <si>
    <t>RAP-B-102-238BU</t>
  </si>
  <si>
    <t>UNPKD. RAM MNT W/ B-102 &amp; XTRA B-231Z</t>
  </si>
  <si>
    <t>RAP-B-102-231ZU</t>
  </si>
  <si>
    <t>UNPKD. RAM MNT W/ B-102 &amp; XTRA B-121B</t>
  </si>
  <si>
    <t>RAP-B-102-121BU</t>
  </si>
  <si>
    <t>RAM DBL. BALL MNT W/ DIAMOND BASES</t>
  </si>
  <si>
    <t>RAP-B-102</t>
  </si>
  <si>
    <t>RAM MNT 1" LOWRANCE MARK ELITE COMPOSITE</t>
  </si>
  <si>
    <t>RAP-B-101U-LO11</t>
  </si>
  <si>
    <t>RAM MNT 1" PLASTIC GARMIN ECHO 100 150</t>
  </si>
  <si>
    <t>RAP-B-101U-G4</t>
  </si>
  <si>
    <t>UNPKD. RAM MOUNT CONNECT BLUE W/ PSA</t>
  </si>
  <si>
    <t>RAP-B-101U-CB1</t>
  </si>
  <si>
    <t>UNPKD. RAM MOUNT W/2 RAP-B-202 BASES</t>
  </si>
  <si>
    <t>RAP-B-101U</t>
  </si>
  <si>
    <t>UNPKD. RAM MOUNT W/2 RAM-B-202 BASES</t>
  </si>
  <si>
    <t>RAP-B-101-OT1U</t>
  </si>
  <si>
    <t>RAM COMPOSITE MNT 1" BALL LOWRANCE HOOK2</t>
  </si>
  <si>
    <t>RAP-B-101-LO12</t>
  </si>
  <si>
    <t>RAP-B-101-LO11</t>
  </si>
  <si>
    <t>RAM MOUNT W/ HARDWARE FOR GARMIN</t>
  </si>
  <si>
    <t>RAP-B-101-G1U</t>
  </si>
  <si>
    <t>RAM MOUNT W/ MOUNTING HARDWARE</t>
  </si>
  <si>
    <t>RAP-B-101-G1</t>
  </si>
  <si>
    <t>UPKD RAM 1" MNT W/2 BASES 1-W/1/4-20 STD</t>
  </si>
  <si>
    <t>RAP-B-101AU</t>
  </si>
  <si>
    <t>RAM 1" MOUNT W/2 BASES ONE W/1/4-20 STUD</t>
  </si>
  <si>
    <t>RAP-B-101A</t>
  </si>
  <si>
    <t>UNPKD.PLASTIC RAM MNT W/ U-BOLT BASE</t>
  </si>
  <si>
    <t>RAP-B-101-231-OT1U</t>
  </si>
  <si>
    <t>UNPKD. RAM MOUNT W/ TWIST LOCK CUP</t>
  </si>
  <si>
    <t>RAP-B-101-2241-OT1U</t>
  </si>
  <si>
    <t>RAM MOUNT W/2 RAM-B-202 BASES 2 1/2" DIA</t>
  </si>
  <si>
    <t>RAP-B-101</t>
  </si>
  <si>
    <t>UNPKD RAM UNIVERSAL ADAPT-A-POST TRACK MOUNT</t>
  </si>
  <si>
    <t>RAP-AAPUTU</t>
  </si>
  <si>
    <t>UNPKD RAM UNIVERSAL ADAPT-A-POST H-RAIL MOUNT</t>
  </si>
  <si>
    <t>RAP-AAPUH-1U</t>
  </si>
  <si>
    <t>UNPKD RAM UNIVERSAL ADAPT-A-POST 4 HOLE DECK MOUNT</t>
  </si>
  <si>
    <t>RAP-AAPUDU</t>
  </si>
  <si>
    <t>UNPKD RAM UNIVERSAL ADAPT-A-POST 2 HOLE DECK/TRACK MOUNT</t>
  </si>
  <si>
    <t>RAP-AAPUDTU</t>
  </si>
  <si>
    <t>UNPKD RAM UNIVERSAL ADAPT-A-POST 2 HOLE DECK/TRACK MOUNT WITH KNOBS AND T-BOLTS</t>
  </si>
  <si>
    <t>RAP-AAPUDT-1U</t>
  </si>
  <si>
    <t>UNPKD RAM UNIVERSAL ADAPT-A-POST BULKHEAD MOUNT</t>
  </si>
  <si>
    <t>RAP-AAPUBU</t>
  </si>
  <si>
    <t>UNPD RAM ADAPT-A-POST TRACK MOUNT</t>
  </si>
  <si>
    <t>RAP-AAPU</t>
  </si>
  <si>
    <t>UNPD RAM ADAPT-A-POST UNIVERSAL TRACK MOUNT</t>
  </si>
  <si>
    <t>RAP-AAPTU</t>
  </si>
  <si>
    <t>RAM ADAPT-A-POST WHEELCHAIR MOUNT W/ X-GRIP PHONE HOLDER</t>
  </si>
  <si>
    <t>RAP-AAPR-WCT-419-UN7U</t>
  </si>
  <si>
    <t>RAM RUGGED MOUNT FOR WHEELCHAIR ARMREST TRACK</t>
  </si>
  <si>
    <t>RAP-AAPR-WCT-2-30BU</t>
  </si>
  <si>
    <t>RAM ADAPT-A-POST WHEELCHAIR MOUNT W/ X-GRIP TABLET HOLDER</t>
  </si>
  <si>
    <t>RAP-AAPR-WCT-114P-18-UN9U</t>
  </si>
  <si>
    <t>RAM ADAPT-A-POST WHEELCHAIR BASE</t>
  </si>
  <si>
    <t>RAP-AAPR-WCT</t>
  </si>
  <si>
    <t>RAM SIDE TRACK MOUNT W/ ADAPT-A-POST</t>
  </si>
  <si>
    <t>RAP-AAPRU</t>
  </si>
  <si>
    <t>RAM SIDE TRACK MOUNT W/ ADAPT-A-POST FOR LUND SPORT TRAK</t>
  </si>
  <si>
    <t>RAP-AAPR-LUN</t>
  </si>
  <si>
    <t>ADAPT-A-POST BASE WITH RATCHET</t>
  </si>
  <si>
    <t>RAP-AAP-PRU</t>
  </si>
  <si>
    <t>ADAPT-A-POST BASE FOR BLACK PVC PIPE</t>
  </si>
  <si>
    <t>RAP-AAP-PPU</t>
  </si>
  <si>
    <t>UNPKD RAM WEDGE MOUNT W/ FEMALE</t>
  </si>
  <si>
    <t>RAP-AAP-162U</t>
  </si>
  <si>
    <t xml:space="preserve">RAM SUCTION CUP W/ SNAP LINK BALL </t>
  </si>
  <si>
    <t>RAP-AA-224-1</t>
  </si>
  <si>
    <t>UNPKD RAM SNAP LINK SUCT SYS</t>
  </si>
  <si>
    <t>RAP-AA-167U</t>
  </si>
  <si>
    <t>UNPKD RAM SNAP LINK SUCT SYS SHRT ARM</t>
  </si>
  <si>
    <t>RAP-AA-167-AU</t>
  </si>
  <si>
    <t>UNPKD RAM SNAP LINK SUCT SYS RND BASE</t>
  </si>
  <si>
    <t>RAP-AA-167-202U</t>
  </si>
  <si>
    <t>RAP-AA-167-202-AU</t>
  </si>
  <si>
    <t>RAM HEAD REST MOUNT</t>
  </si>
  <si>
    <t>RAP-469U</t>
  </si>
  <si>
    <t>RAM HEAD REST MOUNT WITH TETHER FOR UNIVERSAL USE</t>
  </si>
  <si>
    <t>RAP-469-TU</t>
  </si>
  <si>
    <t>RAM HEAD REST MOUNT WITH TETHER FOR UNIVERSAL USE BOXED</t>
  </si>
  <si>
    <t>RAP-469-T</t>
  </si>
  <si>
    <t>RAM HEAD REST MOUNT PLATES + HARDWARE ONLY</t>
  </si>
  <si>
    <t>RAP-469-NBU</t>
  </si>
  <si>
    <t>RAM DASH MOUNT FOR FREIGHTLINER CASCADIA 2018 - 20XX</t>
  </si>
  <si>
    <t>RAP-467U</t>
  </si>
  <si>
    <t>RAM MIRROR ASSEMBLIE RH WITHOUT BALL</t>
  </si>
  <si>
    <t>RAP-465RU</t>
  </si>
  <si>
    <t>RAM MIRROR ASSEMBLIES LH AND RH WITHOUT BALLS</t>
  </si>
  <si>
    <t>RAP-465RL</t>
  </si>
  <si>
    <t>RAM MIRROR ASSEMBLIE LH WITHOUT BALL</t>
  </si>
  <si>
    <t>RAP-465LU</t>
  </si>
  <si>
    <t>RAM VIBE-SAFE MODULE - NPT NO BALL</t>
  </si>
  <si>
    <t>RAP-462NPT</t>
  </si>
  <si>
    <t>UNPKD RAM LOW PROFILE HANDLEBAR MOUNT WITH SM X-GRIP PHONE HOLDER WITH ZIP TIE WRAP SLOTS AND MALE PIN LOCK</t>
  </si>
  <si>
    <t>RAP-460Z-UN7U</t>
  </si>
  <si>
    <t>UNPKD RAM LOW PROFILE HANDLEBAR MOUNT WITH LG X-GRIP PHONE HOLDER WITH ZIP TIE WRAP SLOTS AND MALE PIN LOCK</t>
  </si>
  <si>
    <t>RAP-460Z-UN10U</t>
  </si>
  <si>
    <t>UNPKD RAM HANDLEBAR MOUNT WITH X-GRIP PHONE HOLDER</t>
  </si>
  <si>
    <t>RAP-460-UN7U</t>
  </si>
  <si>
    <t>RAM HANDLEBAR MOUNT WITH X-GRIP PHONE HOLDER</t>
  </si>
  <si>
    <t>RAP-460-UN7</t>
  </si>
  <si>
    <t>UNPKD RAM HANDLEBAR MOUNT WITH X-GRIP LARGE PHONE HOLDER</t>
  </si>
  <si>
    <t>RAP-460-UN10U</t>
  </si>
  <si>
    <t>RAM HANDLEBAR MOUNT WITH X-GRIP LARGE PHONE HOLDER</t>
  </si>
  <si>
    <t>RAP-460-UN10</t>
  </si>
  <si>
    <t>UNPKD RAM POWER GRIP XL SCANNER GUN CRADLE</t>
  </si>
  <si>
    <t>RAP-450U</t>
  </si>
  <si>
    <t>UNPKD RAM POWER GRIP XL SCANNER GUN FINS 2 QTY.</t>
  </si>
  <si>
    <t>RAP-450F-2U</t>
  </si>
  <si>
    <t>RAM-ROD JR W REVOLUTION ARM &amp; TRACK BALL</t>
  </si>
  <si>
    <t>RAP-434-RB-TRA1</t>
  </si>
  <si>
    <t>RAM-ROD JR W REVOLUTION ARM NO BASE</t>
  </si>
  <si>
    <t>RAP-434-RBNB</t>
  </si>
  <si>
    <t>RAM TRACK-NODE BASE WITH SPLINE RATCHET EXTENSION AND RAM ROD JR</t>
  </si>
  <si>
    <t>RAP-434-PA-411</t>
  </si>
  <si>
    <t>RAM-ROD JR W 4" SPLINE POST</t>
  </si>
  <si>
    <t>RAP-434-NB</t>
  </si>
  <si>
    <t>RAM-ROD JR W 4" SPLINE POST &amp; COMBO BASE</t>
  </si>
  <si>
    <t>RAP-434-BMP</t>
  </si>
  <si>
    <t>RAM-ROD JR W SPLINE POST &amp; 421 BASE</t>
  </si>
  <si>
    <t>RAP-434-421</t>
  </si>
  <si>
    <t>RAM TRACK-NODE BASE WITH SPLINE RATCHET EXTENSION AND RAM ROD HD</t>
  </si>
  <si>
    <t>RAP-433-PA-411</t>
  </si>
  <si>
    <t>RAM-ROD HD W 6" SPLINE POST</t>
  </si>
  <si>
    <t>RAP-433-NB</t>
  </si>
  <si>
    <t>RAM-ROD HD W 6" SPLINE POST &amp; COMBO BASE</t>
  </si>
  <si>
    <t>RAP-433-BMP</t>
  </si>
  <si>
    <t>RAM-ROD HD W 6" SPLINE POST &amp; 421 BASE</t>
  </si>
  <si>
    <t>RAP-433-421</t>
  </si>
  <si>
    <t>UNPKD RAM TOUGH-CLEAT FOR TOUGH-TRACK</t>
  </si>
  <si>
    <t>RAP-432U</t>
  </si>
  <si>
    <t>RETAIL RAM TOUGH-CLEAT FOR TOUGH-TRACK</t>
  </si>
  <si>
    <t>RAP-432</t>
  </si>
  <si>
    <t>UNPKD RAM VERTICAL TIE DOWN (2 QTY)</t>
  </si>
  <si>
    <t>RAP-431U</t>
  </si>
  <si>
    <t>RETAIL RAM VERTICAL TIE DOWN (2 QTY) FOR LUND SPORT TRAK</t>
  </si>
  <si>
    <t>RAP-431-LUN</t>
  </si>
  <si>
    <t>RAM 2-PACK VERTICAL TIE DOWN TRACK ACCESSORY FOR HOBIE</t>
  </si>
  <si>
    <t>RAP-431</t>
  </si>
  <si>
    <t>UNPK TOUGH-CLIP W/ T-NUT DRILL DOWN HAR</t>
  </si>
  <si>
    <t>RAP-430TDU</t>
  </si>
  <si>
    <t>TOUGH-CLIP W/ T-NUT AND DRILL DOWN HAR</t>
  </si>
  <si>
    <t>RAP-430TD</t>
  </si>
  <si>
    <t>UNPK TOUGH-CLIP W/ SMALL TOUGH-CLAW</t>
  </si>
  <si>
    <t>RAP-430-400U</t>
  </si>
  <si>
    <t>TOUGH-CLIP W/ SMALL TOUGH-CLAW</t>
  </si>
  <si>
    <t>RAP-430-400</t>
  </si>
  <si>
    <t>UNPK TOUGH-CLIP W/ DOUBLE SUCTION CUP</t>
  </si>
  <si>
    <t>RAP-430-224U</t>
  </si>
  <si>
    <t>TOUGH-CLIP W/ DOUBLE SUCTION CUP</t>
  </si>
  <si>
    <t>RAP-430-224</t>
  </si>
  <si>
    <t>UNPKD RAM DRINK CUP HOLDER</t>
  </si>
  <si>
    <t>RAP-429TU</t>
  </si>
  <si>
    <t>RETAIL RAM DRINK CUP HOLDER FOR LUND SPORT TRAK</t>
  </si>
  <si>
    <t>RAP-429T-LUN</t>
  </si>
  <si>
    <t>RETAIL RAM DRINK CUP HOLDER</t>
  </si>
  <si>
    <t>RAP-429T</t>
  </si>
  <si>
    <t>RAM SUP CUP HOLDER 1/4"-20 STUD MOUNT</t>
  </si>
  <si>
    <t>RAP-429-252037</t>
  </si>
  <si>
    <t>RAM 4" LNG CAMERA ARM W/ GOPRO ADAPT</t>
  </si>
  <si>
    <t>RAP-425-4-A-GOP1</t>
  </si>
  <si>
    <t>RAM 4 &amp; 18 LNG CAMERA ARM W/ GOPRO ADAPT</t>
  </si>
  <si>
    <t>RAP-425-4-18-A-GOP1</t>
  </si>
  <si>
    <t>RAM 18" LNG CAMERA ARM W/ GOPRO ADAPT</t>
  </si>
  <si>
    <t>RAP-425-18-A-GOP1</t>
  </si>
  <si>
    <t>RAM DBL 18 LNG CAMERA ARM W/ GOPRO ADAPT</t>
  </si>
  <si>
    <t>RAP-425-18-18-A-GOP1</t>
  </si>
  <si>
    <t>TRACK BASE W/ 18" PIPE SHRT ARM GOP1</t>
  </si>
  <si>
    <t>RAP-422-18-A-GOP1</t>
  </si>
  <si>
    <t>TRACK BASE W/ 2 18" PIPES SHRT ARM GPO1</t>
  </si>
  <si>
    <t>RAP-422-18-18-A-GOP1</t>
  </si>
  <si>
    <t>TRACK BASE WITH SPLINE HOLE</t>
  </si>
  <si>
    <t>RAP-421</t>
  </si>
  <si>
    <t>RAM RATCHET CONNECTOR FOR PIPES</t>
  </si>
  <si>
    <t>RAP-420-424U</t>
  </si>
  <si>
    <t>UNPKD TRACK BASE TNUT RATCHET ATTACHMENT</t>
  </si>
  <si>
    <t>RAP-418U</t>
  </si>
  <si>
    <t>TOUGH-CLAW RATCHET ARM SHORT ARM BALL</t>
  </si>
  <si>
    <t>RAP-418-400-PA-202U</t>
  </si>
  <si>
    <t>TRACK BASE T-NUT RATCHET ATTACHMENT</t>
  </si>
  <si>
    <t>RAP-418</t>
  </si>
  <si>
    <t>UNPKD. RAM 3 QTY FIN CAPS FOR RAM LEVEL CUP XL</t>
  </si>
  <si>
    <t>RAP-417-CAP-3U</t>
  </si>
  <si>
    <t>RAM RETAIL LEVELCUP XL W/ 1.5" DIA BALL</t>
  </si>
  <si>
    <t>RAP-417B</t>
  </si>
  <si>
    <t>UNPACKED RAM ROLLER-BALL PADDLE AND ACCESSORY HOLDER</t>
  </si>
  <si>
    <t>RAP-412U</t>
  </si>
  <si>
    <t>RETAIL RAM 2 PACK ROLLER-BALL PADDLE AND ACCESSORY HOLDER</t>
  </si>
  <si>
    <t>RAP-412-2</t>
  </si>
  <si>
    <t>RETAIL RAM ROLLER-BALL PADDLE AND ACCESSORY HOLDER</t>
  </si>
  <si>
    <t>RAP-412</t>
  </si>
  <si>
    <t>RAM TOUGH POLE 48" CAMERA MOUNT W/ DOUBLE PIPE ARTICULATION</t>
  </si>
  <si>
    <t>RAP-411-PSP-18-18-AU</t>
  </si>
  <si>
    <t>RAM TRACK-NODE BASE WITH ADAPT-A-POST</t>
  </si>
  <si>
    <t>RAP-411-AAPU</t>
  </si>
  <si>
    <t>RAM TOUGH POLE CAMERA MOUNT W/ SINGLE PIPE &amp; RAM TRACK NODE BASE</t>
  </si>
  <si>
    <t>RAP-411-18-AU</t>
  </si>
  <si>
    <t>RAM TRACK BASE DIRECT TO TRACK WITH 18" PIPE, SHORT ARM AND GO PRO ADAPTER</t>
  </si>
  <si>
    <t>RAP-411-18-A-GOP1-1</t>
  </si>
  <si>
    <t>RAM TRACK BASE WITH 18" PIPE, SHORT ARM AND GO PRO ADAPTER</t>
  </si>
  <si>
    <t>RAP-411-18-A-GOP1</t>
  </si>
  <si>
    <t>RAM TRACK BASE DIRECT TO TRACK WITH 2 18" PIPES, SHORT ARM AND GO PRO ADAPTER</t>
  </si>
  <si>
    <t>RAP-411-18-18-A-GOP1-1</t>
  </si>
  <si>
    <t>RAM TRACK BASE WITH 2 18" PIPES, SHORT ARM AND GO PRO ADAPTER</t>
  </si>
  <si>
    <t>RAP-411-18-18-A-GOP1</t>
  </si>
  <si>
    <t xml:space="preserve">RAM TRACK-NODE BASE </t>
  </si>
  <si>
    <t>RAP-411</t>
  </si>
  <si>
    <t>UNPKD RAM HEX BASE POST W 1.5" DIA BALL</t>
  </si>
  <si>
    <t>RAP-409U</t>
  </si>
  <si>
    <t>UNPKD RAM TOUGH WEDGE PUMP INSERT</t>
  </si>
  <si>
    <t>RAP-407-PUMPU</t>
  </si>
  <si>
    <t>UNPKD RAM TOUGH WEDGE</t>
  </si>
  <si>
    <t>RAP-407BU</t>
  </si>
  <si>
    <t>UNPKD RAM TOUGH WEDGE WITH PUMP</t>
  </si>
  <si>
    <t>RAP-407B-PUMPU</t>
  </si>
  <si>
    <t>UNPKD RAM LEASH CUP</t>
  </si>
  <si>
    <t>RAP-406U</t>
  </si>
  <si>
    <t>UNPKD RAM LEASH PLUG ADAPTER W 1.5" BALL</t>
  </si>
  <si>
    <t>RAP-405U</t>
  </si>
  <si>
    <t>RAM SUP LEASH PLUG CUP HOLDER MOUNT</t>
  </si>
  <si>
    <t>RAP-405-429</t>
  </si>
  <si>
    <t>UNPKD RAM MED TOUGH-CLAW W 1.5" DIA BALL</t>
  </si>
  <si>
    <t>RAP-404U</t>
  </si>
  <si>
    <t>UNPKD RAM MEDIUM TOUGH-CLAW WITH TOUGH-TRACK</t>
  </si>
  <si>
    <t>RAP-404-TRACKU</t>
  </si>
  <si>
    <t>UNPKD RAM MED TOUGH-CLAW FOR 10" TABLET</t>
  </si>
  <si>
    <t>RAP-404-TAB17U</t>
  </si>
  <si>
    <t>RAM 18" LONG W/ TOUGH CLAW GO PRO BASE</t>
  </si>
  <si>
    <t>RAP-404-PP12-GOP1U</t>
  </si>
  <si>
    <t>RAP-404-PP12-GOP1</t>
  </si>
  <si>
    <t>UNPKD RAM MED TOUGH-CLAW W 1.5" DIA BASE</t>
  </si>
  <si>
    <t>RAP-404-202U</t>
  </si>
  <si>
    <t>RAM TROLLING MOTOR STABILIZER - MED TOUGH CLAW 1" - 1.6"</t>
  </si>
  <si>
    <t>RAP-404-202</t>
  </si>
  <si>
    <t>UNPKD RAM 2 5/8" DIA. RISER PLATE</t>
  </si>
  <si>
    <t>RAP-403U</t>
  </si>
  <si>
    <t>UNPKD RAM 2 5/8" DIA. SPACER PLATE FOR FLUSH MOUNTING</t>
  </si>
  <si>
    <t>RAP-403FU</t>
  </si>
  <si>
    <t>UNPKD RAM 2 5/8" DIA. RISER PLATE WITH FORKLIFT HARDWARE</t>
  </si>
  <si>
    <t>RAP-403BPU</t>
  </si>
  <si>
    <t>RAM 2 5/8" DIA. RISER PLATE</t>
  </si>
  <si>
    <t>RAP-403</t>
  </si>
  <si>
    <t>UNPKD RAM 4" DIA. RISER PLATE</t>
  </si>
  <si>
    <t>RAP-402U</t>
  </si>
  <si>
    <t>RAM 4" DIA. RISER PLATE</t>
  </si>
  <si>
    <t>RAP-402</t>
  </si>
  <si>
    <t>UNPKD RAM LRG TOUGH-CLAW W 1.5" DIA BALL</t>
  </si>
  <si>
    <t>RAP-401U</t>
  </si>
  <si>
    <t>UNPKD RAM LARGE TOUGH-CLAW WITH TOUGH-TRACK</t>
  </si>
  <si>
    <t>RAP-401-TRACKU</t>
  </si>
  <si>
    <t>UNKD RAM LG LK TOUGHCLAW W 1.5" DIA BALL</t>
  </si>
  <si>
    <t>RAP-401LU</t>
  </si>
  <si>
    <t>RAM TOUGH CLAW PIPE MOUNT WITH LARGE X-GRIP TABLET HOLDER</t>
  </si>
  <si>
    <t>RAP-401-9-BC-UN9U</t>
  </si>
  <si>
    <t>RAM TOUGH CLAW PIPE MOUNT WITH SMALL X-GRIP TABLET HOLDER</t>
  </si>
  <si>
    <t>RAP-401-9-BC-UN8U</t>
  </si>
  <si>
    <t>RAM TOUGH CLAW PIPE MOUNT WITH ROUND PLATE</t>
  </si>
  <si>
    <t>RAP-401-9-BC-202U</t>
  </si>
  <si>
    <t>UNPKD RAM LRG TOUGH-CLAW W 1.5" DIA BASE</t>
  </si>
  <si>
    <t>RAP-401-202U</t>
  </si>
  <si>
    <t>UNPKD RAM TOUGH-CLAW WITH 1.5" DIA BALL</t>
  </si>
  <si>
    <t>RAP-400U</t>
  </si>
  <si>
    <t>UNPKD RAM SMALL TOUGH-CLAW WITH TOUGH-TRACK</t>
  </si>
  <si>
    <t>RAP-400-TRACKU</t>
  </si>
  <si>
    <t>UNPKD RAM TOUGH-CLAW WITHOUT BALL</t>
  </si>
  <si>
    <t>RAP-400NBU</t>
  </si>
  <si>
    <t>UNPKD RAM LONG TOUGH-CLAW W/ ROUND BASE</t>
  </si>
  <si>
    <t>RAP-400-D-202U</t>
  </si>
  <si>
    <t>RAM VIBE-SAFE MODULE (NPT) WITH TOUGH CLAW</t>
  </si>
  <si>
    <t>RAP-400-462NPT</t>
  </si>
  <si>
    <t>RAM TOUGH-CLAW MOUNT FOR XBOX ADAPTIVE CONTROLLER</t>
  </si>
  <si>
    <t>RAP-400-2-238-MS2</t>
  </si>
  <si>
    <t>UNPKD RAM TOUGH-CLAW W/ ROUND BASE</t>
  </si>
  <si>
    <t>RAP-400-202U</t>
  </si>
  <si>
    <t>RAM TOUGH-CLAW W/ ROUND BASE</t>
  </si>
  <si>
    <t>RAP-400-202</t>
  </si>
  <si>
    <t>RAM TOUGH-CLAW X 2 WITH MED ARM AND CUSTOM HEADER CARD</t>
  </si>
  <si>
    <t>RAP-400-201</t>
  </si>
  <si>
    <t>UNPKD RAM TOUGH CLAW</t>
  </si>
  <si>
    <t>RAP-400-1U</t>
  </si>
  <si>
    <t>RAM LEG RAIL SMALL TABLET MOUNT</t>
  </si>
  <si>
    <t>RAP-400-18-B-UN8</t>
  </si>
  <si>
    <t>RAM TOUGH-CLAW FLEX ROD WITH B SIZE SOCKET ARM</t>
  </si>
  <si>
    <t>RAP-400-18-B-201</t>
  </si>
  <si>
    <t>RAM TOUGH-CLAW WITH 1.5" DIA BALL</t>
  </si>
  <si>
    <t>RAP-400</t>
  </si>
  <si>
    <t>UNPKD RAM FLOAT TUBE ADAPTER W 1.5" BASE</t>
  </si>
  <si>
    <t>RAP-399U</t>
  </si>
  <si>
    <t>UNPKD RAM FLOAT TUBE ADAPTER BASE</t>
  </si>
  <si>
    <t>RAP-399BU</t>
  </si>
  <si>
    <t>UNPKD RAM BOND-A-BASE GREY</t>
  </si>
  <si>
    <t>RAP-398-GRYU</t>
  </si>
  <si>
    <t>UNPKD GRY BOND-A-BASE W TOUGH-TRACK</t>
  </si>
  <si>
    <t>RAP-398-GRY-TRACK-AU</t>
  </si>
  <si>
    <t>RETAIL GRY BOND-A-BASE W TOUGH-TRACK</t>
  </si>
  <si>
    <t>RAP-398-GRY-TRACK-A</t>
  </si>
  <si>
    <t>UNPKD RAM BOND-A-BASE GREY W ROUND BASE</t>
  </si>
  <si>
    <t>RAP-398-GRY-202U</t>
  </si>
  <si>
    <t>UNPKD RAM BOND-A-BASE BLACK W/ BULKHEAD</t>
  </si>
  <si>
    <t>RAP-398-GRY-114BMPU</t>
  </si>
  <si>
    <t>UNPKD RAM BOND-A-BASE BLACK</t>
  </si>
  <si>
    <t>RAP-398-BLKU</t>
  </si>
  <si>
    <t>UNPKD BLACK BOND-A-BASE W TOUGH-TRACK</t>
  </si>
  <si>
    <t>RAP-398-BLK-TRACK-AU</t>
  </si>
  <si>
    <t>RETAIL BLACK BOND-A-BASE W TOUGH-TRACK</t>
  </si>
  <si>
    <t>RAP-398-BLK-TRACK-A</t>
  </si>
  <si>
    <t>UNPKD RAM BOND-A-BASE BLACK W ROUND BASE</t>
  </si>
  <si>
    <t>RAP-398-BLK-202U</t>
  </si>
  <si>
    <t>RAP-398-BLK-114BMPU</t>
  </si>
  <si>
    <t>RAM POWER GRIP SCANNER GUN CRADLE</t>
  </si>
  <si>
    <t>RAP-396U</t>
  </si>
  <si>
    <t>UNPKD RAM 88MM MAG BASE WITH MIRROR MATE</t>
  </si>
  <si>
    <t>RAP-396-MAG88U</t>
  </si>
  <si>
    <t>RAM POWER GRIP SCANNER GUN FINS 2 QTY.</t>
  </si>
  <si>
    <t>RAP-396F-2U</t>
  </si>
  <si>
    <t>RAM STACK-N-STOW BAIT BOARD WEDGE-LOCK</t>
  </si>
  <si>
    <t>RAP-395WU</t>
  </si>
  <si>
    <t>RAM STACK-N-STOW WEDGE-LOCK W/ 1" BALL</t>
  </si>
  <si>
    <t>RAP-395W-BBU</t>
  </si>
  <si>
    <t>RAM STACK-N-STOW BAIT BD SIDE CUP HOLDER</t>
  </si>
  <si>
    <t>RAP-395W-132U</t>
  </si>
  <si>
    <t>RAM STACK-N-STOW BAIT BOARD</t>
  </si>
  <si>
    <t>RAP-395U</t>
  </si>
  <si>
    <t>RAM STACK-N-STOW TOPSIDE W/ 1.5" BALL</t>
  </si>
  <si>
    <t>RAP-395T-BCU</t>
  </si>
  <si>
    <t>RAM STACK-N-STOW TOPSIDE W/ 1" BALL</t>
  </si>
  <si>
    <t>RAP-395T-BBU</t>
  </si>
  <si>
    <t>RAM STACK-N-STOW BAIT BOARD W RAIL MOUNT</t>
  </si>
  <si>
    <t>RAP-395-RMU</t>
  </si>
  <si>
    <t xml:space="preserve">RAM STACK-N-STOW BAIT BOARD MALE POST  </t>
  </si>
  <si>
    <t>RAP-395-PU</t>
  </si>
  <si>
    <t>RAM STACK-N-STOW BAIT BOARD 18" LONG PIP</t>
  </si>
  <si>
    <t>RAP-395-PSP-18U</t>
  </si>
  <si>
    <t>RAM STACK-N-STOW BAIT BOARD W MOUNT BASE</t>
  </si>
  <si>
    <t>RAP-395-BMPU</t>
  </si>
  <si>
    <t>UNPKD RAM TOUGH-TUBE W SHRT POST NO BASE</t>
  </si>
  <si>
    <t>RAP-394-SSTU</t>
  </si>
  <si>
    <t>RAM TOUGH-TUBE W/ SHORT POST NO BASE</t>
  </si>
  <si>
    <t>RAP-394-SST</t>
  </si>
  <si>
    <t>UNPKD RAM TOUGH-TUBE W/ SHORT FLUSH</t>
  </si>
  <si>
    <t>RAP-394-SSFU</t>
  </si>
  <si>
    <t>UNPKD RAM TOUGH-TUBE W SHT ROUND FLUS</t>
  </si>
  <si>
    <t>RAP-394-SSFMTU</t>
  </si>
  <si>
    <t>RAM TOUGH-TUBE W/ SHORT FLUSH</t>
  </si>
  <si>
    <t>RAP-394-SSF</t>
  </si>
  <si>
    <t>UNPKD RAM TOUGH-TUBE W SHRT PLUNGER MNT</t>
  </si>
  <si>
    <t>RAP-394-SSBMPU</t>
  </si>
  <si>
    <t>RAM TOUGH-TUBE W SHRT PLUN BULK</t>
  </si>
  <si>
    <t>RAP-394-SSBMP</t>
  </si>
  <si>
    <t>UNPACKAGED TRACK BASE W/ 394 TOUGH-TUBE</t>
  </si>
  <si>
    <t>RAP-394-418U</t>
  </si>
  <si>
    <t>TRACK BASE W/ 394 TOUGH-TUBE</t>
  </si>
  <si>
    <t>RAP-394-418</t>
  </si>
  <si>
    <t>UNPKD VISOR 50% TINT GREEN</t>
  </si>
  <si>
    <t>RAP-393-G1U</t>
  </si>
  <si>
    <t>UNPKD VISOR BASE WITH HARDWARE</t>
  </si>
  <si>
    <t>RAP-393BU</t>
  </si>
  <si>
    <t>RAM TUBE JR W/ STANDARD POST NO BASE</t>
  </si>
  <si>
    <t>RAP-390U</t>
  </si>
  <si>
    <t>RAM TUBE JR W/ SHORT POST NO BASE</t>
  </si>
  <si>
    <t>RAP-390-STU</t>
  </si>
  <si>
    <t>RAM TUBE JR ROD HOLDER W/ SHORT FLUSH</t>
  </si>
  <si>
    <t>RAP-390-SFU</t>
  </si>
  <si>
    <t>RAM TUBE JR ROD HOLDER W SHT ROUND FLUSH</t>
  </si>
  <si>
    <t>RAP-390-SFMTU</t>
  </si>
  <si>
    <t>RAP-390-SF</t>
  </si>
  <si>
    <t>RAM TUBE JR ROD HOLDER W/ SHORT BULK</t>
  </si>
  <si>
    <t>RAP-390-SBU</t>
  </si>
  <si>
    <t>RAM TUBE JR ROD HOLDER W SHRT PLUNG BULK</t>
  </si>
  <si>
    <t>RAP-390-SBMPU</t>
  </si>
  <si>
    <t>RAP-390-SBMP</t>
  </si>
  <si>
    <t>RAM TUBE JR ROD HOLD W SHRT ADAPT-A-POST UNIVERSAL</t>
  </si>
  <si>
    <t>RAP-390-SAAPUTU</t>
  </si>
  <si>
    <t>RAM TUBE JR ROD HOLD W SHRT ADAPT-A-POST</t>
  </si>
  <si>
    <t>RAP-390-SAAPU</t>
  </si>
  <si>
    <t>UNPK RAM TUBE JR REVOLUTION ROD HOLDER</t>
  </si>
  <si>
    <t>RAP-390-RBU</t>
  </si>
  <si>
    <t>RAM TUBE JR REVOLUTION ROD HOLD TRK BASE</t>
  </si>
  <si>
    <t>RAP-390-RB-TRA1U</t>
  </si>
  <si>
    <t>RAP-390-RB-TRA1</t>
  </si>
  <si>
    <t>RAM TUBE JR REVOLUTION ROD HOLD NO BASE</t>
  </si>
  <si>
    <t>RAP-390-RB-NBU</t>
  </si>
  <si>
    <t>RAP-390-RB-NB</t>
  </si>
  <si>
    <t>UNPK RAM TUBE JR REV ROD HOLD TOUGH CLAW</t>
  </si>
  <si>
    <t>RAP-390-RB-404U</t>
  </si>
  <si>
    <t>RAM TUBE JR REV ROD HOLD TOUGH CLAW</t>
  </si>
  <si>
    <t>RAP-390-RB-404</t>
  </si>
  <si>
    <t>RAM TUBE JR REVOLUTION ROD HOLDER</t>
  </si>
  <si>
    <t>RAP-390-RB</t>
  </si>
  <si>
    <t>TRACK BASE W/ SPLINE RATCHET EXT 390 ROD</t>
  </si>
  <si>
    <t>RAP-390-PA-421</t>
  </si>
  <si>
    <t>TRACK BASE W/ EXTENSION ARM 390 TUBE JR</t>
  </si>
  <si>
    <t>RAP-390-PA-418</t>
  </si>
  <si>
    <t>RAM TRACK-NODE BASE WITH SPLINE RATCHET EXTENSION AND TUBE JR ROD HOLDER</t>
  </si>
  <si>
    <t>RAP-390-PA-411</t>
  </si>
  <si>
    <t>RAM TUBE JR NO POST OR HARDWARE</t>
  </si>
  <si>
    <t>RAP-390-NPU</t>
  </si>
  <si>
    <t>UNPK RAM TUBE JR ROD HOLDER W/ FLUSH MNT</t>
  </si>
  <si>
    <t>RAP-390-FU</t>
  </si>
  <si>
    <t>UNPK RAM TUBE JR ROD HLDR W/ ROUND FLUSH</t>
  </si>
  <si>
    <t>RAP-390-FMTU</t>
  </si>
  <si>
    <t>RAM TUBE JR ROD HOLDER W/ FLUSH MNT</t>
  </si>
  <si>
    <t>RAP-390-F</t>
  </si>
  <si>
    <t>RAM TUBE JR ROD HOLDER W/ BULK HEAD</t>
  </si>
  <si>
    <t>RAP-390-BU</t>
  </si>
  <si>
    <t>UNPK RAM TUBE JR ROD HLD W BLK HEAD PLUN</t>
  </si>
  <si>
    <t>RAP-390-BMPU</t>
  </si>
  <si>
    <t>RAM TUBE JR ROD HOLDER W BULK HEAD PLUNG</t>
  </si>
  <si>
    <t>RAP-390-BMP</t>
  </si>
  <si>
    <t>UNPK RAM TUBE JR ROD HLDR W ADAPT-A-POST UNIVERSAL</t>
  </si>
  <si>
    <t>RAP-390-AAPUTU</t>
  </si>
  <si>
    <t>RAM TUBE JR ROD HOLDER W ADAPT-A-POST UNIVERSAL</t>
  </si>
  <si>
    <t>RAP-390-AAPUT</t>
  </si>
  <si>
    <t>UNPK RAM TUBE JR ROD HLDR ADAPT-A-POST DECK/TRACK MOUNTS</t>
  </si>
  <si>
    <t>RAP-390-AAPUDT-1U</t>
  </si>
  <si>
    <t>UNPK RAM TUBE JR ROD HLDR ADAPT-A-POST BULKHEAD MOUNTS</t>
  </si>
  <si>
    <t>RAP-390-AAPUBU</t>
  </si>
  <si>
    <t>UNPK RAM TUBE JR ROD HLDR W ADAPT-A-POST</t>
  </si>
  <si>
    <t>RAP-390-AAPU</t>
  </si>
  <si>
    <t>RAM TUBE JR ROD HOLDER W ADAPT-A-POST</t>
  </si>
  <si>
    <t>RAP-390-AAP</t>
  </si>
  <si>
    <t xml:space="preserve">RAM TUBE JR ROD HOLDER WITH 6" SPLINE POST AND DUAL T-BOLT TRACK BASE </t>
  </si>
  <si>
    <t>RAP-390-421</t>
  </si>
  <si>
    <t>UNPK RAM TUBE JR ROD HLDR W/ 2 ADAPT-A-POST DECK/TRACK MOUNTS</t>
  </si>
  <si>
    <t>RAP-390-2AAPUDT-1U</t>
  </si>
  <si>
    <t>UNPK RAM TUBE JR ROD HLDR W/ 2 ADAPT-A-POST BULKHEAD MOUNTS</t>
  </si>
  <si>
    <t>RAP-390-2AAPUBU</t>
  </si>
  <si>
    <t>RAP-390</t>
  </si>
  <si>
    <t>UNPKD RAM ADAPT-A-POST WITH THREE BASES</t>
  </si>
  <si>
    <t>RAP-387BU</t>
  </si>
  <si>
    <t>UNPK RAM ROD FLX ROD HOLE W/PIN LCK MALE</t>
  </si>
  <si>
    <t>RAP-386BU</t>
  </si>
  <si>
    <t>UNPK RAM ADAPT-A-POST WITH FLEX ROD BASE</t>
  </si>
  <si>
    <t>RAP-386B-AAPU</t>
  </si>
  <si>
    <t>RAM PRESS-N-LOCK 18" LONG W 1.5" BALL</t>
  </si>
  <si>
    <t>RAP-385-18U</t>
  </si>
  <si>
    <t>RAM PRESS-N-LOCK 12" LONG W 1.5" BALL</t>
  </si>
  <si>
    <t>RAP-385-12U</t>
  </si>
  <si>
    <t>RAM 12" LG PRESS-N-LOCK W/ TOUGH-TUBE</t>
  </si>
  <si>
    <t>RAP-385-12-394</t>
  </si>
  <si>
    <t>RAM 12" 18" LNG PRESS-N-LOCK W/ GOPRO</t>
  </si>
  <si>
    <t>RAP-385-12-18-A-GOP1</t>
  </si>
  <si>
    <t>RAM 18" 18" LG RAT PRESS-N-LOCK W/ GOPRO</t>
  </si>
  <si>
    <t>RAP-385-12-18-18-A-GOP1</t>
  </si>
  <si>
    <t>UNPKD RAM 1 1/2" BALL QUICK TRACK BASE</t>
  </si>
  <si>
    <t>RAP-383U</t>
  </si>
  <si>
    <t>UNPD RAM 1.5" QUICK RELEASE RAIL NO BALL</t>
  </si>
  <si>
    <t>RAP-383-NBU</t>
  </si>
  <si>
    <t>UNPD RAM ADAPT-A-POST QUICK RAIL MOUNT</t>
  </si>
  <si>
    <t>RAP-383-AAPU</t>
  </si>
  <si>
    <t>RAM 1 1/2" BALL QUICK TRACK BASE</t>
  </si>
  <si>
    <t>RAP-383</t>
  </si>
  <si>
    <t>UNPKD RAM BELT CLIP FOR INTELLISKIN HD</t>
  </si>
  <si>
    <t>RAP-382-CLIP1U</t>
  </si>
  <si>
    <t>UNPD RAM TOUGH BALL M8-1.25 10MM LONG</t>
  </si>
  <si>
    <t>RAP-379U-M812510</t>
  </si>
  <si>
    <t>RAP-379U-M616</t>
  </si>
  <si>
    <t>UNPD RAM TOUGH BALL M12-1.75X 12MM LONG</t>
  </si>
  <si>
    <t>RAP-379U-M1217512</t>
  </si>
  <si>
    <t>UNPD JD RAM TOUGHBALL M10-1.5X 25MM LONG</t>
  </si>
  <si>
    <t>RAP-379U-M101525</t>
  </si>
  <si>
    <t>UNPD JD RAM TOUGHBALL M10-1.5X 19MM LONG</t>
  </si>
  <si>
    <t>RAP-379U-M101519</t>
  </si>
  <si>
    <t>UNPD RAM TOUGH BALL 1/2"-20 X .5" LONG</t>
  </si>
  <si>
    <t>RAP-379U-502050</t>
  </si>
  <si>
    <t>UNPD RAM TOUGH BALL 1/2"-13 X .5" LONG</t>
  </si>
  <si>
    <t>RAP-379U-501350</t>
  </si>
  <si>
    <t>UNPD RAM TOUGH BALL 3/8"-24 X .375" LONG WITH COUPLING NUT</t>
  </si>
  <si>
    <t>RAP-379U-372437-CN</t>
  </si>
  <si>
    <t>RAP-379U-372437</t>
  </si>
  <si>
    <t>RAP-379U-371637</t>
  </si>
  <si>
    <t>RAP-379U-312437</t>
  </si>
  <si>
    <t>UNPD RAM TOUGH BALL 5/16"-18 X .75" LNG</t>
  </si>
  <si>
    <t>RAP-379U-311875</t>
  </si>
  <si>
    <t>RAP-379U-311837</t>
  </si>
  <si>
    <t>RAP-379U-252825</t>
  </si>
  <si>
    <t>RAP-379U-252062</t>
  </si>
  <si>
    <t>RAP-379U-252050-KAY1</t>
  </si>
  <si>
    <t>RAP-379U-252050</t>
  </si>
  <si>
    <t>RAP-379U-252037</t>
  </si>
  <si>
    <t>RAP-379U-252025</t>
  </si>
  <si>
    <t>RAP-375U</t>
  </si>
  <si>
    <t>UNPKD RAM ROD LIGHT SPEED REVOLUTION</t>
  </si>
  <si>
    <t>RAP-370-RBU</t>
  </si>
  <si>
    <t>UNPD RAM ROD LIGHT SPEED REVOLUTION SALT</t>
  </si>
  <si>
    <t>RAP-370-RBSWU</t>
  </si>
  <si>
    <t>RAM ROD LIGHT SPEED REVOLUTION SALT WAT</t>
  </si>
  <si>
    <t>RAP-370-RBSW</t>
  </si>
  <si>
    <t>UNPKD RAM ROD LS REVOLUTION NO BASE</t>
  </si>
  <si>
    <t>RAP-370-RB-NBU</t>
  </si>
  <si>
    <t>RAM ROD LIGHT SPEED REVOLUTION</t>
  </si>
  <si>
    <t>RAP-370-RB</t>
  </si>
  <si>
    <t>RAM ROD LIGHT SPEED WITH RAIL MOUNT</t>
  </si>
  <si>
    <t>RAP-370-R</t>
  </si>
  <si>
    <t>RAM ROD LIGHT SPEED NO BASE</t>
  </si>
  <si>
    <t>RAP-370-NBU</t>
  </si>
  <si>
    <t>RAM ROD LIGHT SPEED WITH FLUSH MOUNT</t>
  </si>
  <si>
    <t>RAP-370-F</t>
  </si>
  <si>
    <t>RAM ROD  LIGHT SPEED W/ DECK TRACK MOUNT</t>
  </si>
  <si>
    <t>RAP-370-D</t>
  </si>
  <si>
    <t>RAM ROD  LIGHT SPEED W/ BULK HEAD MOUNT</t>
  </si>
  <si>
    <t>RAP-370-BU</t>
  </si>
  <si>
    <t>RAP-366U</t>
  </si>
  <si>
    <t>RAM TRIPLE SUCTION CUP BASE W/O CUPS</t>
  </si>
  <si>
    <t>RAP-365NSU</t>
  </si>
  <si>
    <t>RAM ADJ TRIPLE MAGNETIC BASE</t>
  </si>
  <si>
    <t>RAP-365B-1-339U</t>
  </si>
  <si>
    <t>RAM TRIPLE SUCTION CUP BASE WITH AMPS</t>
  </si>
  <si>
    <t>RAP-365-2461U</t>
  </si>
  <si>
    <t>RAM TRIPLE SUCTION CUP BASE W/ 1.5" BALL</t>
  </si>
  <si>
    <t>RAP-365-224-1U</t>
  </si>
  <si>
    <t>RAM TRIPLE SUCTION CUP BASE W/O BALL</t>
  </si>
  <si>
    <t>RAP-365-224-1BU</t>
  </si>
  <si>
    <t>RAP-365-101U</t>
  </si>
  <si>
    <t>RAM TRIPLE SUCTION CUP BASE WITH VESA</t>
  </si>
  <si>
    <t>RAP-365-101-246U</t>
  </si>
  <si>
    <t>RAP-365-101-2461U</t>
  </si>
  <si>
    <t>RAM ANCHOR LINE LOCK CHOCK</t>
  </si>
  <si>
    <t>RAP-357U</t>
  </si>
  <si>
    <t>RAM ANCHOR LINE LOCK CHOCK WITH POST</t>
  </si>
  <si>
    <t>RAP-357PU</t>
  </si>
  <si>
    <t>RAM ANCHOR LINE LOCK CHOCK DECK BULK</t>
  </si>
  <si>
    <t>RAP-357P-B</t>
  </si>
  <si>
    <t>RAP-357P</t>
  </si>
  <si>
    <t>RAM ADAPTER PLATE W AMPS 75 VESA 120 DEG</t>
  </si>
  <si>
    <t>RAP-356U</t>
  </si>
  <si>
    <t>RAM 1.5" TRACK BALL WITH T-BOLT ATTACH</t>
  </si>
  <si>
    <t>RAP-354U-TRA1</t>
  </si>
  <si>
    <t>UNPKD 1.5" RAM PIN-LOCK BALL FOR ORCA</t>
  </si>
  <si>
    <t>RAP-354U-ORC1</t>
  </si>
  <si>
    <t>UNPKD RAM WEDGE MOUNT HOBIE SCOTTY</t>
  </si>
  <si>
    <t>RAP-354U</t>
  </si>
  <si>
    <t>HARDWARE PACK T-BOLT 1/4"-20 X 7/8" LONG</t>
  </si>
  <si>
    <t>RAP-354TU</t>
  </si>
  <si>
    <t>RAM 12 LNG ARM TRACK MOUNT W/ GOPRO</t>
  </si>
  <si>
    <t>RAP-354-TRA1-12-A-GOP1</t>
  </si>
  <si>
    <t>RAM 4 &amp; 12 LNG ARM C TRACK BALL W/ GOPRO</t>
  </si>
  <si>
    <t>RAP-354-TRA1-12-4-A-GOP1</t>
  </si>
  <si>
    <t>RAM 1.5" TRACK BALL W T-BOLT ATTACHMENT</t>
  </si>
  <si>
    <t>RAP-354-TRA1</t>
  </si>
  <si>
    <t>RAM SIDE TRACK MOUNT W/ 1.5" BALL</t>
  </si>
  <si>
    <t>RAP-354-AAPRU</t>
  </si>
  <si>
    <t>RAP-354-75U</t>
  </si>
  <si>
    <t xml:space="preserve">RAM WEDGE MOUNT RAM ATWOOD FISHON </t>
  </si>
  <si>
    <t>RAP-354-75</t>
  </si>
  <si>
    <t>UNKD SPLINE POST W/ C SIZE PIN-LOCK BALL</t>
  </si>
  <si>
    <t>RAP-354-419U</t>
  </si>
  <si>
    <t>UNPKD RAM WEDGE MOUNT LARGE 1.5" BALL</t>
  </si>
  <si>
    <t>RAP-354-162U</t>
  </si>
  <si>
    <t>RAM WEDGE MOUNT HOBIE SCOTTY</t>
  </si>
  <si>
    <t>RAP-354</t>
  </si>
  <si>
    <t>UNPK RAM C SIZED BALL FOR TOUGH CLAW</t>
  </si>
  <si>
    <t>RAP-351-2U</t>
  </si>
  <si>
    <t>RAM ROSE ADHESIVE SUCTION CUP CLEAR BASE</t>
  </si>
  <si>
    <t>RAP-350U</t>
  </si>
  <si>
    <t>RAM ROSE ADHESIVE SUCTION CUP BLACK BASE</t>
  </si>
  <si>
    <t>RAP-350BU</t>
  </si>
  <si>
    <t>RAP-350B</t>
  </si>
  <si>
    <t>RAM 3"  ADHESIVE SUCTION CUP CLEAR BASE</t>
  </si>
  <si>
    <t>RAP-350-3U</t>
  </si>
  <si>
    <t>RAM 3"  ADHESIVE SUCTION CUP BLACK BASE</t>
  </si>
  <si>
    <t>RAP-350-3BU</t>
  </si>
  <si>
    <t>RAP-350-3B</t>
  </si>
  <si>
    <t>RAM 3.5"  ADHESIVE SUCTION CUP CLEAR BSE</t>
  </si>
  <si>
    <t>RAP-350-35U</t>
  </si>
  <si>
    <t>RAM 3.5"  ADHESIVE PAD ONLY</t>
  </si>
  <si>
    <t>RAP-350-35PSAU</t>
  </si>
  <si>
    <t>RAM 3.5"  ADHESIVE SUCTION CUP BLACK BSE</t>
  </si>
  <si>
    <t>RAP-350-35BU</t>
  </si>
  <si>
    <t>RAP-350-35B</t>
  </si>
  <si>
    <t>RAP-350-35</t>
  </si>
  <si>
    <t>RAP-350-3</t>
  </si>
  <si>
    <t>RAP-350</t>
  </si>
  <si>
    <t>RAM ROD 2007 JR. HOLDER KAYAK TRK BASE</t>
  </si>
  <si>
    <t>RAP-341-TRA1U</t>
  </si>
  <si>
    <t>RAP-341-TRA1</t>
  </si>
  <si>
    <t>40 RAM ROD 2007 JR. HOLDER KAYAK NO BASE</t>
  </si>
  <si>
    <t>RAP-341NB-40U</t>
  </si>
  <si>
    <t>RAM ROD 2007 JR. HOLDER KAYAK NO BASE</t>
  </si>
  <si>
    <t>RAP-341NB</t>
  </si>
  <si>
    <t>RAM ROD 2007 JR. KAYAK FLY ROD 5 SPOT BA</t>
  </si>
  <si>
    <t>RAP-341-5</t>
  </si>
  <si>
    <t>RAM ROD 2007 JR. HOLDER KAYAK FLY ROD</t>
  </si>
  <si>
    <t>RAP-341</t>
  </si>
  <si>
    <t>RAM ROD 2007 HOLDER TRACK BASE</t>
  </si>
  <si>
    <t>RAP-340-TRA1U</t>
  </si>
  <si>
    <t>RAP-340-TRA1</t>
  </si>
  <si>
    <t>RAM ROD 2007 HOLDER NO BASE</t>
  </si>
  <si>
    <t>RAP-340NB</t>
  </si>
  <si>
    <t>RAM ROD 2007 HOLDER W/ 5 SPOT BASE</t>
  </si>
  <si>
    <t>RAP-340-5</t>
  </si>
  <si>
    <t>RAM ROD 2007 HOLDER W/ BASE</t>
  </si>
  <si>
    <t>RAP-340</t>
  </si>
  <si>
    <t>UNPKD. RAM 2.5" DIA TRIPLE MAGNETIC BASE</t>
  </si>
  <si>
    <t>RAP-339U</t>
  </si>
  <si>
    <t>RAM 2.5" DIA TRIPLE MAGNETIC BASE</t>
  </si>
  <si>
    <t>RAP-339</t>
  </si>
  <si>
    <t>UNPKD RAM TRIPLE BASE ADAPTER</t>
  </si>
  <si>
    <t>RAP-333U</t>
  </si>
  <si>
    <t>RAM TRIPLE BASE ADAPTER</t>
  </si>
  <si>
    <t>RAP-333</t>
  </si>
  <si>
    <t>RAM EZY-MOUNT QUICK RELEASE ADAPTER SYST</t>
  </si>
  <si>
    <t>RAP-326U</t>
  </si>
  <si>
    <t>UNPKD RAM EZY-MOUNT QUICK RECESSED MALE</t>
  </si>
  <si>
    <t>RAP-326RMU</t>
  </si>
  <si>
    <t>UNPKD RAM EZY-MOUNT QUICK RELEASE MALE</t>
  </si>
  <si>
    <t>RAP-326MU</t>
  </si>
  <si>
    <t>UNPKD RAM EZY-MOUNT QUICK RELEASE FEMALE</t>
  </si>
  <si>
    <t>RAP-326FU</t>
  </si>
  <si>
    <t>RAP-326</t>
  </si>
  <si>
    <t>UNPKD. RAM LEVEL-BASE</t>
  </si>
  <si>
    <t>RAP-323U</t>
  </si>
  <si>
    <t>RAM LEVEL-BASE</t>
  </si>
  <si>
    <t>RAP-323</t>
  </si>
  <si>
    <t>MALE OCT BUTTON W/ 1/2" FLEX ROD CLEVIS</t>
  </si>
  <si>
    <t>RAP-321U</t>
  </si>
  <si>
    <t>UNPKD RAM-U-BOLT ADAPTER FOR HANDLEBARS</t>
  </si>
  <si>
    <t>RAP-319U</t>
  </si>
  <si>
    <t>UNPKD RAM-A-SNACK ROUND STYLE CONTAINER</t>
  </si>
  <si>
    <t>RAP-318U</t>
  </si>
  <si>
    <t>UNPKD RAM UNIVERSAL SCANNER GUN HOLDER</t>
  </si>
  <si>
    <t>RAP-317U</t>
  </si>
  <si>
    <t>UNPKD RAM SCANNER GUN HOLDER W BELT CLIP</t>
  </si>
  <si>
    <t>RAP-317-271U</t>
  </si>
  <si>
    <t>UNPKD SLIDE-N-LOCK UNIVERSL DOCK PLATE</t>
  </si>
  <si>
    <t>RAP-315U</t>
  </si>
  <si>
    <t>RAM LOCKING BELT CLIP BASE</t>
  </si>
  <si>
    <t>RAP-304U</t>
  </si>
  <si>
    <t>RAP-304</t>
  </si>
  <si>
    <t>UNPKD RAM POWER GRIP II</t>
  </si>
  <si>
    <t>RAP-303U</t>
  </si>
  <si>
    <t>UNPKD RAM POWER PLATE II</t>
  </si>
  <si>
    <t>RAP-300U</t>
  </si>
  <si>
    <t>UNPKD RAM POWER PLATE III (RADAR DETECT)</t>
  </si>
  <si>
    <t>RAP-300-1U</t>
  </si>
  <si>
    <t>RAM MAGNETIC POWER PLATE RECTANGLE STEEL</t>
  </si>
  <si>
    <t>RAP-300-1SU</t>
  </si>
  <si>
    <t>RAM MAGNETIC POWER PLATE ROUND STEEL</t>
  </si>
  <si>
    <t>RAP-300-1RU</t>
  </si>
  <si>
    <t>RAM MAGNETIC POWER PLATE III</t>
  </si>
  <si>
    <t>RAP-300-1</t>
  </si>
  <si>
    <t>RAM POWER PLATE II</t>
  </si>
  <si>
    <t>RAP-300</t>
  </si>
  <si>
    <t>RAM-A-CAN UNPKD UNIVERSL CUP HOLDER BASE</t>
  </si>
  <si>
    <t>RAP-299U</t>
  </si>
  <si>
    <t>RAM STUBBY + LEVEL CUP HOLDER EXPANDER</t>
  </si>
  <si>
    <t>RAP-299-4-417U</t>
  </si>
  <si>
    <t>RAM-A-CAN 2 UNIVERSAL HOLDER 10" RAM X-GRIP</t>
  </si>
  <si>
    <t>RAP-299-3-UN9U</t>
  </si>
  <si>
    <t>RAM-A-CAN 2 UNVRSL HLDR 7" TABLET RAM X-GRIP</t>
  </si>
  <si>
    <t>RAP-299-3-UN8U</t>
  </si>
  <si>
    <t>RAP-299-3-UN8</t>
  </si>
  <si>
    <t>UNPK RAM-A-CAN 2 UNVRSL CUP HOLDR RAM X-GRIP</t>
  </si>
  <si>
    <t>RAP-299-3-UN7BU</t>
  </si>
  <si>
    <t>RAM-A-CAN 2 UNIVERSAL CUP HOLDER RAM X-GRIP</t>
  </si>
  <si>
    <t>RAP-299-3-UN7B</t>
  </si>
  <si>
    <t>RAM-A-CAN 2 UNVRSL CUP HOLDER RAM X-GRIP 12"</t>
  </si>
  <si>
    <t>RAP-299-3-UN11U</t>
  </si>
  <si>
    <t>RAM-A-CAN 2 UNVRSL CUP HOLDER RAM X-GRIP 5"</t>
  </si>
  <si>
    <t>RAP-299-3-UN10U</t>
  </si>
  <si>
    <t>RAP-299-3-UN10</t>
  </si>
  <si>
    <t>RAM-A-CAN 2 UNIVERSAL CUP HOLDER</t>
  </si>
  <si>
    <t>RAP-299-3U</t>
  </si>
  <si>
    <t>RAM-A-CAN 2 UNIVRSL CUP HLDR 10" TABTITE</t>
  </si>
  <si>
    <t>RAP-299-3-C-TAB8U</t>
  </si>
  <si>
    <t>RAM-A-CAN 2 UNIVERSAL CUP HOLDER TABTITE</t>
  </si>
  <si>
    <t>RAP-299-3-C-TAB3U</t>
  </si>
  <si>
    <t>RAM-A-CAN 2 UNIVERSAL CUP HOLDER SM TRAY</t>
  </si>
  <si>
    <t>RAP-299-3-C-234-6U</t>
  </si>
  <si>
    <t>RAM-A-CAN 2 UNIVERSAL CUP HOLDER W/ DIA</t>
  </si>
  <si>
    <t>RAP-299-3-B-102U</t>
  </si>
  <si>
    <t>RAM-A-CAN 2 UNIVRSAL HLDR SMALL TAB-TITE</t>
  </si>
  <si>
    <t>RAP-299-3-B-102-TAB-SM</t>
  </si>
  <si>
    <t>RAM-A-CAN 2 UNIVRSAL HLDR LARGE TAB-TITE</t>
  </si>
  <si>
    <t>RAP-299-3-B-102-TAB-LG</t>
  </si>
  <si>
    <t>UNPK RAM-A-CAN 2 UNIVERSAL 10" TAB-TITE</t>
  </si>
  <si>
    <t>RAP-299-3-B-102-TAB8U</t>
  </si>
  <si>
    <t>RAM-A-CAN 2 UNIVERSAL HLDR 10" TAB-TITE</t>
  </si>
  <si>
    <t>RAP-299-3-B-102-TAB8</t>
  </si>
  <si>
    <t>RAM-A-CAN 2 UNIVERSAL CUP HOLDER ASSEM</t>
  </si>
  <si>
    <t>RAP-299-3-B-102AU</t>
  </si>
  <si>
    <t>RAP-299-3</t>
  </si>
  <si>
    <t>RAM-A-CAN FLEX ARM SYST SML UNI HOLDER</t>
  </si>
  <si>
    <t>RAP-299-2-UN1U</t>
  </si>
  <si>
    <t>RAM-A-CAN 2 UNIVERSAL CUP HOLDER W/ FLEX</t>
  </si>
  <si>
    <t>RAP-299-2U</t>
  </si>
  <si>
    <t>RAM-A-CAN FLEX ARM SYST TOMTOM 720 920</t>
  </si>
  <si>
    <t>RAP-299-2-TO6U</t>
  </si>
  <si>
    <t>RAM-A-CAN FLEX ARM SYST TOMTOM XXL</t>
  </si>
  <si>
    <t>RAP-299-2-TO10U</t>
  </si>
  <si>
    <t>RAM-A-CAN FLEX ARM APPLE LARGE TABTITE</t>
  </si>
  <si>
    <t>RAP-299-2-TAB3U</t>
  </si>
  <si>
    <t>RAM-A-CAN FLEX ARM SYST GARMIN NUVI 1490</t>
  </si>
  <si>
    <t>RAP-299-2-GA35</t>
  </si>
  <si>
    <t>RAM-A-CAN FLEX ARM SYST GARMIN 200 250</t>
  </si>
  <si>
    <t>RAP-299-2-GA24</t>
  </si>
  <si>
    <t>RAM-A-CAN FLEX ARM SYST APPLE IPHONE 4</t>
  </si>
  <si>
    <t>RAP-299-2-AP9U</t>
  </si>
  <si>
    <t>RAM-A-CAN FLEX ARM SYST APPLE TOUCH 2ND</t>
  </si>
  <si>
    <t>RAP-299-2-AP7U</t>
  </si>
  <si>
    <t>RAM-A-CAN FLEX ARM SYST APPLE NANO 3RD G</t>
  </si>
  <si>
    <t>RAP-299-2-AP5U</t>
  </si>
  <si>
    <t>RAM-A-CAN FLEX ARM SYST APPLE TOUCH</t>
  </si>
  <si>
    <t>RAP-299-2-AP4U</t>
  </si>
  <si>
    <t>RAM-A-CAN FLEX ARM SYST APPLE IPHONE</t>
  </si>
  <si>
    <t>RAP-299-2-AP3U</t>
  </si>
  <si>
    <t>RAM-A-CAN FLEX ARM SYST APPLE NANO</t>
  </si>
  <si>
    <t>RAP-299-2-AP2U</t>
  </si>
  <si>
    <t>RAM-A-CAN FLEX ARM SYST APPLE IPOD</t>
  </si>
  <si>
    <t>RAP-299-2-AP1U</t>
  </si>
  <si>
    <t>RAM-A-CAN FLEX ARM SYST APPLE TOUCH 4G</t>
  </si>
  <si>
    <t>RAP-299-2-AP10U</t>
  </si>
  <si>
    <t>RAM-A-CAN 2 CUP HOLDER BASE W FLEX RND</t>
  </si>
  <si>
    <t>RAP-299-2-202U</t>
  </si>
  <si>
    <t>RAM-A-CAN 2 CUP HOLDER BASE W FLEX ROUND</t>
  </si>
  <si>
    <t>RAP-299-2-202</t>
  </si>
  <si>
    <t>RAP-299-2</t>
  </si>
  <si>
    <t>RAM-A-CAN FLEX ARM SYST FOR APPLE IPHONE</t>
  </si>
  <si>
    <t>RAP-299-105-AP3U</t>
  </si>
  <si>
    <t>RAM-A-CAN UNIVERSAL CUP HOLDER BASE</t>
  </si>
  <si>
    <t>RAP-299</t>
  </si>
  <si>
    <t>RAM UNPKD SHOCK BUSTER ELECTRONICS MOUNT</t>
  </si>
  <si>
    <t>RAP-298U</t>
  </si>
  <si>
    <t>RAM SHOCK BUSTER ELECTRONICS MOUNT</t>
  </si>
  <si>
    <t>RAP-298-F</t>
  </si>
  <si>
    <t>RAP-298</t>
  </si>
  <si>
    <t>RAM SCREEN SUPPORT W/ SNAP LINK ONLY</t>
  </si>
  <si>
    <t>RAP-297U</t>
  </si>
  <si>
    <t>RAM SING. WALL PLATE W/FEMALE SLIP PIPE</t>
  </si>
  <si>
    <t>RAP-296U</t>
  </si>
  <si>
    <t>RAM DBL. SNAP LINK W/ OCTAGON BUTTON</t>
  </si>
  <si>
    <t>RAP-295U</t>
  </si>
  <si>
    <t>RAM 1.5" BALL W/ FEMALE SLIP PIPE SOCKET</t>
  </si>
  <si>
    <t>RAP-294U</t>
  </si>
  <si>
    <t>RAM 2-1/2" DIA. BASE W/ OCTAGON BUTTON</t>
  </si>
  <si>
    <t>RAP-293U</t>
  </si>
  <si>
    <t>2" X 6 1/4" BASE W/ OCTAGON BUTTON</t>
  </si>
  <si>
    <t>RAP-292U</t>
  </si>
  <si>
    <t>RAM 6" DIA. SUPPORT BASE FOR AMPS BASE</t>
  </si>
  <si>
    <t>RAP-291U</t>
  </si>
  <si>
    <t>RAM 45 DEG ADJ BASE W/ FEMALE FOR PIPE</t>
  </si>
  <si>
    <t>RAP-288U</t>
  </si>
  <si>
    <t>RAM 45 DEG. ADJ. BASE W/FEMALES FOR PIPE</t>
  </si>
  <si>
    <t>RAP-288PU</t>
  </si>
  <si>
    <t>RAM 45 DEG. ADJ. BASE W/ FLANGES</t>
  </si>
  <si>
    <t>RAP-288FU</t>
  </si>
  <si>
    <t>RAM DOUBLE THICK OCTAGON BUTTON</t>
  </si>
  <si>
    <t>RAP-280U</t>
  </si>
  <si>
    <t>RAM WEIGHTED DASH BASE CLAMSHELL</t>
  </si>
  <si>
    <t>RAP-279C</t>
  </si>
  <si>
    <t>RAM WEIGHTED DASH BASE BOXED</t>
  </si>
  <si>
    <t>RAP-279B</t>
  </si>
  <si>
    <t>RAM 2.5 DIA BASE W/FEMALE PIPE SCKT UNPK</t>
  </si>
  <si>
    <t>RAP-278U</t>
  </si>
  <si>
    <t>RAM 2.5" DIA. BASE W/FEMALE PIPE SOCKET</t>
  </si>
  <si>
    <t>RAP-278</t>
  </si>
  <si>
    <t>RAM OCTAGON BUTTON W NO PSA &amp; HOLE UNPKD</t>
  </si>
  <si>
    <t>RAP-277U-NP</t>
  </si>
  <si>
    <t>RAM OCTAGON BUTTON W/ PSA &amp; HOLE UNPKD</t>
  </si>
  <si>
    <t>RAP-277U</t>
  </si>
  <si>
    <t>RAM OCTAGON BUTTON W/PSA &amp; HOLE</t>
  </si>
  <si>
    <t>RAP-277</t>
  </si>
  <si>
    <t>RAM FEMALE PIPE SCKT W/OCTAGON BTTN UNPK</t>
  </si>
  <si>
    <t>RAP-276U</t>
  </si>
  <si>
    <t>RAM FEMALE PIPE SOCKET W/OCTAGON BUTTON</t>
  </si>
  <si>
    <t>RAP-276</t>
  </si>
  <si>
    <t>RAM RAIL MNT BASE W/SWIVEL FEATURE UNPKD</t>
  </si>
  <si>
    <t>RAP-274U</t>
  </si>
  <si>
    <t>UNPK RAM RAIL MNT W/SWIVEL FEAT DELORME</t>
  </si>
  <si>
    <t>RAP-274-DEL1U</t>
  </si>
  <si>
    <t xml:space="preserve">UNPKD RAM X-GRIP RAIL EZ-ON W/SWIVEL </t>
  </si>
  <si>
    <t>RAP-274-1-UN7U</t>
  </si>
  <si>
    <t>RAM X-GRIP RAIL EZ-ON W/SWIVEL FEATURE</t>
  </si>
  <si>
    <t>RAP-274-1-UN7</t>
  </si>
  <si>
    <t>UNPKD RAM LG RAM X-GRIP RAIL EZ-ON W/SWIVEL FEAT</t>
  </si>
  <si>
    <t>RAP-274-1-UN10U</t>
  </si>
  <si>
    <t>RAM LG RAM X-GRIP RAIL EZ-ON W/SWIVEL FEAT</t>
  </si>
  <si>
    <t>RAP-274-1-UN10</t>
  </si>
  <si>
    <t>RAM RAIL EZ-ON W/SWIVEL FEATURE UNPKD</t>
  </si>
  <si>
    <t>RAP-274-1U</t>
  </si>
  <si>
    <t xml:space="preserve">UNPKD RAM RAIL EZ-ON FOR SPOT 2 </t>
  </si>
  <si>
    <t>RAP-274-1-SPO2U</t>
  </si>
  <si>
    <t>RAM RAIL EZ-ON FOR SPOT 2</t>
  </si>
  <si>
    <t>RAP-274-1-SPO2</t>
  </si>
  <si>
    <t>RAM RAIL EZ-ON DIAMOND ADAPTER MALE</t>
  </si>
  <si>
    <t>RAP-274-1MU</t>
  </si>
  <si>
    <t>RAM RAIL EZ-ON W/SWIVEL MAGELLAN EXP GC</t>
  </si>
  <si>
    <t>RAP-274-1-MA15U</t>
  </si>
  <si>
    <t xml:space="preserve">RAM RAIL EZ-ON W/SWIVEL MAGELLAN EXP </t>
  </si>
  <si>
    <t>RAP-274-1-MA14U</t>
  </si>
  <si>
    <t>RAM RAIL EZ-ON W/SWIVEL W/ HARDWARE</t>
  </si>
  <si>
    <t>RAP-274-1HU</t>
  </si>
  <si>
    <t>RAM RAIL EZ-ON FOR GARMIN ETREX</t>
  </si>
  <si>
    <t>RAP-274-1-GA5</t>
  </si>
  <si>
    <t>UNPKD RAM RAIL EZ-ON FOR GPSMAP 62</t>
  </si>
  <si>
    <t>RAP-274-1-GA41U</t>
  </si>
  <si>
    <t>RAM RAIL EZ-ON FOR GARMIN GPSMAP 78</t>
  </si>
  <si>
    <t>RAP-274-1-GA40</t>
  </si>
  <si>
    <t>RAM RAIL EZ-ON FOR GARMIN NUVI 3750</t>
  </si>
  <si>
    <t>RAP-274-1-GA39</t>
  </si>
  <si>
    <t>RAM RAIL EZ-ON FOR GARMIN DAKOTA</t>
  </si>
  <si>
    <t>RAP-274-1-GA36</t>
  </si>
  <si>
    <t>RAM RAIL EZ-ON FOR GARMIN NUVI 1300</t>
  </si>
  <si>
    <t>RAP-274-1-GA34</t>
  </si>
  <si>
    <t>RAM RAIL EZ-ON FOR GARMIN NUVI 500</t>
  </si>
  <si>
    <t>RAP-274-1-GA32</t>
  </si>
  <si>
    <t>UNPKD RAM RAIL EZ-ON FOR OREGON</t>
  </si>
  <si>
    <t>RAP-274-1-GA31U</t>
  </si>
  <si>
    <t>RAM RAIL EZ-ON FOR GARMIN OREGON</t>
  </si>
  <si>
    <t>RAP-274-1-GA31</t>
  </si>
  <si>
    <t>RAM RAIL EZ-ON FOR GARMIN COLORADO</t>
  </si>
  <si>
    <t>RAP-274-1-GA27</t>
  </si>
  <si>
    <t>RAM RAIL EZ-ON FOR GARMIN ETREX COLOR</t>
  </si>
  <si>
    <t>RAP-274-1-GA16</t>
  </si>
  <si>
    <t>RAM RAIL EZ-ON FOR GARMIN GPSMAP 60C</t>
  </si>
  <si>
    <t>RAP-274-1-GA12</t>
  </si>
  <si>
    <t>RAM RAIL EZ-ON DIAMOND ADAPTER BASE</t>
  </si>
  <si>
    <t>RAP-274-1BU</t>
  </si>
  <si>
    <t>RAM RAIL EZ-ON ADAPTER RUBBER AND TIES</t>
  </si>
  <si>
    <t>RAP-274-1BFU</t>
  </si>
  <si>
    <t xml:space="preserve">RAM BICYCLE MNT AQUA BOX PRO 20 I5 LENS </t>
  </si>
  <si>
    <t>RAP-274-1-AQ7-2-I5</t>
  </si>
  <si>
    <t>RAM BICYCLE MOUNT AQUA BOX PRO 20</t>
  </si>
  <si>
    <t>RAP-274-1-AQ7-2</t>
  </si>
  <si>
    <t>RAM RAIL EZ-ON FOR APPLE IPHONE 4</t>
  </si>
  <si>
    <t>RAP-274-1-AP9U</t>
  </si>
  <si>
    <t>RAM RAIL EZ-ON APPLE IPHONE TOUCH 2ND</t>
  </si>
  <si>
    <t>RAP-274-1-AP7U</t>
  </si>
  <si>
    <t>RAM RAIL EZ-ON FOR APPLE NANO 3RD</t>
  </si>
  <si>
    <t>RAP-274-1-AP5U</t>
  </si>
  <si>
    <t>RAM RAIL EZ-ON FOR APPLE TOUCH</t>
  </si>
  <si>
    <t>RAP-274-1-AP4U</t>
  </si>
  <si>
    <t>RAM RAIL EZ-ON FOR APPLE IPHONE</t>
  </si>
  <si>
    <t>RAP-274-1-AP3U</t>
  </si>
  <si>
    <t>RAM RAIL EZ-ON FOR APPLE NANO</t>
  </si>
  <si>
    <t>RAP-274-1-AP2U</t>
  </si>
  <si>
    <t>RAM RAIL EZ-ON FOR APPLE IPOD</t>
  </si>
  <si>
    <t>RAP-274-1-AP1U</t>
  </si>
  <si>
    <t>RAM RAIL EZ-ON W/SWIVEL FEATURE</t>
  </si>
  <si>
    <t>RAP-274-1</t>
  </si>
  <si>
    <t>RAM RAIL MOUNT BASE W/SWIVEL FEATURE</t>
  </si>
  <si>
    <t>RAP-274</t>
  </si>
  <si>
    <t>RAM FLEX BASE W/STICK ON PSA PAD UNPKD</t>
  </si>
  <si>
    <t>RAP-273U</t>
  </si>
  <si>
    <t>RAM FLEX BASE W/STICK ON PSA PAD</t>
  </si>
  <si>
    <t>RAP-273</t>
  </si>
  <si>
    <t>RAM DIAMOND BASE W/OCTAGON BUTTON UNPKD</t>
  </si>
  <si>
    <t>RAP-272U</t>
  </si>
  <si>
    <t>RAM SURFACE BASE W/ QUICK SNAP UNPKD</t>
  </si>
  <si>
    <t>RAP-271-STU</t>
  </si>
  <si>
    <t>RAM RUBBER BELT CLIP QUICK SNP INTERMEC</t>
  </si>
  <si>
    <t>RAP-271-IN1U</t>
  </si>
  <si>
    <t>RAM RUBBER BELT CLIP W/ QUICK SNAP UNPKD</t>
  </si>
  <si>
    <t>RAP-271-BCU</t>
  </si>
  <si>
    <t>FINGER PACK FOR RAM-269A-F</t>
  </si>
  <si>
    <t>RAP-269AU</t>
  </si>
  <si>
    <t>RAM 9" X 9" PLASTIC BASE</t>
  </si>
  <si>
    <t>RAP-251U</t>
  </si>
  <si>
    <t>RAM 9" X 9" WEIGHTED PLASTIC BASE W/ 4 HOLES</t>
  </si>
  <si>
    <t>RAP-251-1U</t>
  </si>
  <si>
    <t>UNPKD RAM EZY PIVOT DIAMOND BASE</t>
  </si>
  <si>
    <t>RAP-238-PIV1U</t>
  </si>
  <si>
    <t>UNPKD RAIL MNT ADAPTER KIT RAP-202-225</t>
  </si>
  <si>
    <t>RAP-233U</t>
  </si>
  <si>
    <t>RAM CUP HOLDER AND SUCTION APPLE IPHONE</t>
  </si>
  <si>
    <t>RAP-229-224-AP3U</t>
  </si>
  <si>
    <t>UNPKD DOUBLE SUCTION CUP BASE W/O BALL</t>
  </si>
  <si>
    <t>RAP-224U</t>
  </si>
  <si>
    <t>RAM SUP CUP HOLDER SUCTION CUP MOUNT</t>
  </si>
  <si>
    <t>RAP-224-429</t>
  </si>
  <si>
    <t>RAM UNPKD 3.3" DIA. SUCT CUP W/TWIST LCK</t>
  </si>
  <si>
    <t>RAP-224-1U</t>
  </si>
  <si>
    <t>RAM 18 LNG ARM SNGL SUCT W/ RAM X-GRIP</t>
  </si>
  <si>
    <t>RAP-224-18-A-UN7</t>
  </si>
  <si>
    <t>RAM 18 LNG ARM SNGL SUCT W/ LRG RAM X-GRIP</t>
  </si>
  <si>
    <t>RAP-224-18-A-UN10</t>
  </si>
  <si>
    <t>RAM 18 LNG ARM SNGL SUCT W/ GOPRO ADAPT</t>
  </si>
  <si>
    <t>RAP-224-18-A-GOP1</t>
  </si>
  <si>
    <t>RAM 3.3" DIA. SUCTION CUP W/ TWIST LOCK</t>
  </si>
  <si>
    <t>RAP-224-1</t>
  </si>
  <si>
    <t>DOUBLE SUCTION CUP BASE W/O BALL</t>
  </si>
  <si>
    <t>RAP-224</t>
  </si>
  <si>
    <t>UNPKD. RAM HONEYWELL BASE 1.5" DIA BA</t>
  </si>
  <si>
    <t>RAP-202U-HON2</t>
  </si>
  <si>
    <t>RAM ADAPTER WITH C  BALL STEREO ACTIVE</t>
  </si>
  <si>
    <t>RAP-202U-GA71</t>
  </si>
  <si>
    <t>UNPKD. 2" X 2.5" DIA BASE WITH 1.5" BALL</t>
  </si>
  <si>
    <t>RAP-202U-225</t>
  </si>
  <si>
    <t>UNPKD. RAM 2.5" DIA.BASE W 1 1/2" BALL</t>
  </si>
  <si>
    <t>RAP-202U</t>
  </si>
  <si>
    <t>RAM TRANSDUCER BASE 1/2" FEMALE FLEX ROD</t>
  </si>
  <si>
    <t>RAP-202-TRA1U</t>
  </si>
  <si>
    <t>UNPKD RAM 2 X 2.5" BACKING PLATE W/ HARD</t>
  </si>
  <si>
    <t>RAP-202-225BU</t>
  </si>
  <si>
    <t>RAM 2" X 2.5" DIA BASE WITH 1.5" BALL</t>
  </si>
  <si>
    <t>RAP-202-225</t>
  </si>
  <si>
    <t>RAM SYSTEM WITH ROUND BASE AND 1.5" X 3"</t>
  </si>
  <si>
    <t>RAP-202-153-202</t>
  </si>
  <si>
    <t>RAM 2.5" DIA.BASE W 1 1/2" BALL</t>
  </si>
  <si>
    <t>RAP-202</t>
  </si>
  <si>
    <t>UNPKGRAM DBL SOCKET ARM C BALL B PLASTIC</t>
  </si>
  <si>
    <t>RAP-201U-B</t>
  </si>
  <si>
    <t>UNPKD RAM DBL BALL SOCKET ARM PLASTIC</t>
  </si>
  <si>
    <t>RAP-201U</t>
  </si>
  <si>
    <t>UNPKD RAM SECURITY DBL COMPOSITE ARM KEY 5</t>
  </si>
  <si>
    <t>RAP-201-S-KEY5U</t>
  </si>
  <si>
    <t>RAM 12" LNG ARM C SOCKET W/ GOPRO</t>
  </si>
  <si>
    <t>RAP-201-B-12-A-GOP1</t>
  </si>
  <si>
    <t>RAM 4" 12" LNG ARM C SOCKET W/ GOPRO</t>
  </si>
  <si>
    <t>RAP-201-B-12-4-A-GOP1</t>
  </si>
  <si>
    <t xml:space="preserve">UNPK RAM ADJ SOCKET W/OCT SOCKETS 1.5" </t>
  </si>
  <si>
    <t>RAP-200-2U</t>
  </si>
  <si>
    <t>RAM SING. SOCKET ARM W/ OCTAGON FEMALE</t>
  </si>
  <si>
    <t>RAP-200-1U</t>
  </si>
  <si>
    <t>UNPKD RAM VARIABLE SWIVEL ARM 1.5" BALLS</t>
  </si>
  <si>
    <t>RAP-200-12U</t>
  </si>
  <si>
    <t>RAP-200-1-293U</t>
  </si>
  <si>
    <t>UNPKD. RAM LIL' BUDDY W/ GARMIN BALL</t>
  </si>
  <si>
    <t>RAP-180-G1U</t>
  </si>
  <si>
    <t>RAM UNIVERSAL BELT/VISOR CLIP W/O CRADLE</t>
  </si>
  <si>
    <t>RAP-170U</t>
  </si>
  <si>
    <t>UNPKD RAM HOLDER FOR SPOT GEN 4 W/ UNIVERSAL BELT/VISOR CLIP</t>
  </si>
  <si>
    <t>RAP-170-SPO6U</t>
  </si>
  <si>
    <t>UNPKD RAM SPINE MOUNT CRADLE ONLY FOR GARMIN HANDHELDS W/ UNIVERSAL BELT/VISOR CLIP</t>
  </si>
  <si>
    <t>RAP-170-GA76U</t>
  </si>
  <si>
    <t>RAM CLAMP WITH 2461 PLATE GLUCOTEC</t>
  </si>
  <si>
    <t>RAP-121-GLU1U</t>
  </si>
  <si>
    <t>UNPKD RAM TUBE 2008 FISHING ROD HOLDER</t>
  </si>
  <si>
    <t>RAP-119U</t>
  </si>
  <si>
    <t>RAM TUBE 2008 FISHING ROD HOLD TRK BASE</t>
  </si>
  <si>
    <t>RAP-119-TRA1U</t>
  </si>
  <si>
    <t>RAP-119-TRA1</t>
  </si>
  <si>
    <t>RAM TUBE 2008 SALT WATER FISHING ROD HLD</t>
  </si>
  <si>
    <t>RAP-119SW</t>
  </si>
  <si>
    <t xml:space="preserve">RAM TUBE 2008 FISHING W KNOB UV BLOCKER </t>
  </si>
  <si>
    <t>RAP-119NB-UV1U</t>
  </si>
  <si>
    <t>RAM TUBE 2008 FISHING ROD HOLDER NO BASE</t>
  </si>
  <si>
    <t>RAP-119NBU</t>
  </si>
  <si>
    <t>RAM TUBE 2008 FISHING ROD HOLDER NO BALL</t>
  </si>
  <si>
    <t>RAP-119NB</t>
  </si>
  <si>
    <t>MACHIINING FOR RAP-119BT</t>
  </si>
  <si>
    <t>RAP-119BTSM</t>
  </si>
  <si>
    <t>RAM TUBE FISHING ROD HOLDER TOUGH CLAW</t>
  </si>
  <si>
    <t>RAP-119-404U</t>
  </si>
  <si>
    <t>RAP-119-404</t>
  </si>
  <si>
    <t>RAM TUBE 2008 FISHING ROD HOLDER</t>
  </si>
  <si>
    <t>RAP-119</t>
  </si>
  <si>
    <t>RAM-ROD FISHING ROD HOLDER 5 SPOT BASE</t>
  </si>
  <si>
    <t>RAP-117-5</t>
  </si>
  <si>
    <t xml:space="preserve">RAM ROD REVOLUTION ARM WITH KNOB </t>
  </si>
  <si>
    <t>RAP-114-RBU</t>
  </si>
  <si>
    <t>RAM ROD HOLDER POST WITH AMPS HOLE</t>
  </si>
  <si>
    <t>RAP-114-PU</t>
  </si>
  <si>
    <t>UNPK RAM ROD POST FOR PIPE</t>
  </si>
  <si>
    <t>RAP-114-PSPU</t>
  </si>
  <si>
    <t>RAM 4" LNG ARM POST SPLINE W/ GOPRO</t>
  </si>
  <si>
    <t>RAP-114-PSP-4-A-GOP1</t>
  </si>
  <si>
    <t>RAM 4 &amp; 12 LNG ARM POST SPLINE W/ GOPRO</t>
  </si>
  <si>
    <t>RAP-114-PSP-4-12-A-GOP1</t>
  </si>
  <si>
    <t>RAM 4, 4 12 LNG ARM POST SPLINE W/ GOPRO</t>
  </si>
  <si>
    <t>RAP-114-PSP-4-12-4-A-GOP1</t>
  </si>
  <si>
    <t>RAM TOUGH-POLE 48" ACTION CAMERA SYSTEM WITH SPLINE POST</t>
  </si>
  <si>
    <t>RAP-114-PSP-18-18-AU</t>
  </si>
  <si>
    <t>RAM ROD HOLDER POST 8" EXTENSION ARM</t>
  </si>
  <si>
    <t>RAP-114-PAU</t>
  </si>
  <si>
    <t>TRACK BASE W/ SPLINE RATCHET EXT 114 ROD</t>
  </si>
  <si>
    <t>RAP-114-PA-421</t>
  </si>
  <si>
    <t>RAM TRACK-NODE BASE WITH SPLINE RATCHET EXTENSION AND RAM ROD 2000</t>
  </si>
  <si>
    <t>RAP-114-PA-411</t>
  </si>
  <si>
    <t>RAM ROD HOLDER 5" LONG POST</t>
  </si>
  <si>
    <t>RAP-114-P6U</t>
  </si>
  <si>
    <t>RAM ROD HOLDER 4" LONG POST</t>
  </si>
  <si>
    <t>RAP-114-P4U</t>
  </si>
  <si>
    <t>RAP-114-P4</t>
  </si>
  <si>
    <t>RAM ROD 2" LONG SPLINE POST WITH KNOB</t>
  </si>
  <si>
    <t>RAP-114-P2U</t>
  </si>
  <si>
    <t>RAM ROD POST SPLINE W/ FEMALE FLEX ROD</t>
  </si>
  <si>
    <t>RAP-114FFRU</t>
  </si>
  <si>
    <t>RAM ADAPT-A-POST 11" EXTENSION</t>
  </si>
  <si>
    <t>RAP-114-EX8</t>
  </si>
  <si>
    <t>RAM ADAPT-A-POST 9" EXTENSION</t>
  </si>
  <si>
    <t>RAP-114-EX6</t>
  </si>
  <si>
    <t>RAM ADAPT-A-POST 15" EXTENSION</t>
  </si>
  <si>
    <t>RAP-114-EX12</t>
  </si>
  <si>
    <t>RAM 4 &amp; 12 LNG ARM BULK HEAD W/ GOPRO</t>
  </si>
  <si>
    <t>RAP-114BD-4-12-A-GOP1</t>
  </si>
  <si>
    <t>RAM 4, 4 12 LNG ARM BULK HEAD W/ GOPRO</t>
  </si>
  <si>
    <t>RAP-114BD-4-12-4-A-GOP1</t>
  </si>
  <si>
    <t>RAM ADAPT-A-POST W/ 1.5" BALL SOCKET</t>
  </si>
  <si>
    <t>RAP-114-AP-RBU</t>
  </si>
  <si>
    <t>RAM ADAPT-A-POST RTCHT 8" EXT STD POST</t>
  </si>
  <si>
    <t>RAP-114-APB3U</t>
  </si>
  <si>
    <t>RAM ADAPT-A-POST RTCHT 8" EXT SHORT POST</t>
  </si>
  <si>
    <t>RAP-114-APB2U</t>
  </si>
  <si>
    <t>RAP-114-APB2</t>
  </si>
  <si>
    <t>RAM ADAPT-A-POST RATCHET 8" EXTENSION</t>
  </si>
  <si>
    <t>RAP-114-APB1U</t>
  </si>
  <si>
    <t>RAM 5 SPOT ROD MOUNTING BASE</t>
  </si>
  <si>
    <t>RAP-114-5U</t>
  </si>
  <si>
    <t>RAM 5 SPOT ROD MOUNTING BASE WITH POST</t>
  </si>
  <si>
    <t>RAP-114-5PU</t>
  </si>
  <si>
    <t>RAP-114-5P</t>
  </si>
  <si>
    <t>UNPKD RAM 5 SPOT ROD HOLDER MNTING BALL</t>
  </si>
  <si>
    <t>RAP-114-5BU</t>
  </si>
  <si>
    <t>RAM 5 SPOT ROD HOLDER MOUNTING BALL</t>
  </si>
  <si>
    <t>RAP-114-5B</t>
  </si>
  <si>
    <t>TRACK BASE W/ 114 ROD HOLDER</t>
  </si>
  <si>
    <t>RAP-114-421</t>
  </si>
  <si>
    <t>UNPKD RAM SINGLE BALL ELECT MOUNT PLASTI</t>
  </si>
  <si>
    <t>RAP-112-2U</t>
  </si>
  <si>
    <t xml:space="preserve">UNPKD RAM UNVRSL ELECT MNT 6 1/4" X 2" </t>
  </si>
  <si>
    <t>RAP-111U</t>
  </si>
  <si>
    <t>UNPKD RAM MARINE ELETRONICS BASE 6 1/4</t>
  </si>
  <si>
    <t>RAP-111BU</t>
  </si>
  <si>
    <t>RAP-111-B</t>
  </si>
  <si>
    <t>RAP-111</t>
  </si>
  <si>
    <t>UNPKD RAM MNT PLASTIC HUMMINBIRD/APELCO</t>
  </si>
  <si>
    <t>RAP-107U</t>
  </si>
  <si>
    <t>UNPK RAM SOLID CORE FLEX W/ ROUND ROUND</t>
  </si>
  <si>
    <t>RAP-105-6RRU</t>
  </si>
  <si>
    <t>RAM 6" FLEX ARM W/ ROUND BASES</t>
  </si>
  <si>
    <t>RAP-105-6RR</t>
  </si>
  <si>
    <t>UNKP RAM FLEX ARM W/ 6" SUCT ROUND BASE</t>
  </si>
  <si>
    <t>RAP-105-6R224U</t>
  </si>
  <si>
    <t>UNPK RAM SOLID CORE FLEX 6" W/ DIA ROUND</t>
  </si>
  <si>
    <t>RAP-105-6DRU</t>
  </si>
  <si>
    <t>RAM 6" FLEX ARM W/ ROUND &amp; DIAMOND BASE</t>
  </si>
  <si>
    <t>RAP-105-6DR</t>
  </si>
  <si>
    <t>UNKP RAM SOLID CORE FLEX 6" DIA DIA BASE</t>
  </si>
  <si>
    <t>RAP-105-6DDU</t>
  </si>
  <si>
    <t>RAM 6" SOLID CORE FLEX WITH DIA DIA BASE</t>
  </si>
  <si>
    <t>RAP-105-6DD</t>
  </si>
  <si>
    <t>UNKP RAM 6" FLEX ARM W SUCT BASE</t>
  </si>
  <si>
    <t>RAP-105-6D224U</t>
  </si>
  <si>
    <t>RAP-105-6D224-GO1UU</t>
  </si>
  <si>
    <t>RAM 6" FLEX ARM W/ SUCTION CUP BASE</t>
  </si>
  <si>
    <t>RAP-105-6D224</t>
  </si>
  <si>
    <t>RAM FLEXIBLE SUCT UNIVERSAL PDA SERIES</t>
  </si>
  <si>
    <t>RAP-105-6224-PD3U</t>
  </si>
  <si>
    <t>RAM FLEXIBLE SUCTION GARMIN 196, 176, 29</t>
  </si>
  <si>
    <t>RAP-105-6224-GA7U</t>
  </si>
  <si>
    <t>RAM FLEXIBLE SUCTION GARMIN ETREX COLOR</t>
  </si>
  <si>
    <t>RAP-105-6224-GA16U</t>
  </si>
  <si>
    <t>RAM FLEXIBLE SUCT GARMIN 76C SERIES</t>
  </si>
  <si>
    <t>RAP-105-6224-GA14U</t>
  </si>
  <si>
    <t>RAM FLEXIBLE SUCTION GARMIN 60</t>
  </si>
  <si>
    <t>RAP-105-6224-GA12U</t>
  </si>
  <si>
    <t>RAM FLEXIBLE SUCTION APPLE IPHONE 4</t>
  </si>
  <si>
    <t>RAP-105-6224-AP9U</t>
  </si>
  <si>
    <t>RAM FLEXIBLE SUCTION APPLE IPHONE</t>
  </si>
  <si>
    <t>RAP-105-6224-AP3U</t>
  </si>
  <si>
    <t>RAM 4"FLEX ARM W/ SMALL SUCT BASE ROUND</t>
  </si>
  <si>
    <t>RAP-105-4RA224U</t>
  </si>
  <si>
    <t>UNPK RAM FLEX ARM W 4" DIA SML SUCT BASE</t>
  </si>
  <si>
    <t>RAP-105-4DA224U</t>
  </si>
  <si>
    <t>RAM 4"FLEX ARM W/ SMALL SUCT BASE</t>
  </si>
  <si>
    <t>RAP-105-4DA224</t>
  </si>
  <si>
    <t>UNKP RAM 12" FLEX ARM W SUCT BASE</t>
  </si>
  <si>
    <t>RAP-105-12D224U</t>
  </si>
  <si>
    <t>RAM MNT LOWRANCE MARK &amp; ELITE COMPOSITE</t>
  </si>
  <si>
    <t>RAP-101U-LO11</t>
  </si>
  <si>
    <t>RAM MNT PLASTIC FOR GARMIN ECHO 100 150</t>
  </si>
  <si>
    <t>RAP-101U-G4</t>
  </si>
  <si>
    <t>RAM MOUNT W/ TWO ROUND BASES SHRT ARM</t>
  </si>
  <si>
    <t>RAP-101U-B</t>
  </si>
  <si>
    <t>UNPKD RAM MOUNT W/ 2 RAM-202 &amp; 1 RAM-201</t>
  </si>
  <si>
    <t>RAP-101U</t>
  </si>
  <si>
    <t>UNPKD RAM PIVOT MOUNT WITH AMPS HOLE PATTERN</t>
  </si>
  <si>
    <t>RAP-101-PV3U</t>
  </si>
  <si>
    <t>RAM COMPOSITE MNT 1.5" LOWRANCE HOOK2</t>
  </si>
  <si>
    <t>RAP-101-LO12</t>
  </si>
  <si>
    <t>RAM TOUGH-BOX VERTICAL RADIO RACK 9"</t>
  </si>
  <si>
    <t>RAM-VRR-9</t>
  </si>
  <si>
    <t>RAM TOUGH-BOX VERTICAL RADIO RACK 13"</t>
  </si>
  <si>
    <t>RAM-VRR-13</t>
  </si>
  <si>
    <t>RAM TELE-POLE MALE LONG FLANGE 8" LNG</t>
  </si>
  <si>
    <t>RAM-VP-TTMLF8U</t>
  </si>
  <si>
    <t>RAM TELE-POLE MALE DUAL FLANGE, 8" LNG</t>
  </si>
  <si>
    <t>RAM-VP-TTMFD8U</t>
  </si>
  <si>
    <t>RAM TELE-POLE BASE MALE W FLANGE 8" LNG</t>
  </si>
  <si>
    <t>RAM-VP-TTMF8U</t>
  </si>
  <si>
    <t>RAM 8" TELE-POLE BASE MALE W FLANGE ARM AND VESA MOUNT</t>
  </si>
  <si>
    <t>RAM-VP-TTMF8-D-101-2461U</t>
  </si>
  <si>
    <t>RAM TELE-POLE BASE MALE W FLANGE &amp; ARM</t>
  </si>
  <si>
    <t>RAM-VP-TTMF8-1U</t>
  </si>
  <si>
    <t>8" UPPER FLANGE POLE WITH RAM-101U-D; NO SWING ARM</t>
  </si>
  <si>
    <t>RAM-VP-TTMF8-101U-D</t>
  </si>
  <si>
    <t>RAM TELE-POLE BASE MALE W FLANGE 4" LNG</t>
  </si>
  <si>
    <t>RAM-VP-TTMF4U</t>
  </si>
  <si>
    <t>RAM TELE-POLE BASE MALE W FLANGE 12" LNG</t>
  </si>
  <si>
    <t>RAM-VP-TTMF12U</t>
  </si>
  <si>
    <t>RAM 12" TELE-POLE BASE MALE W FLANGE ARM AND VESA MOUNT</t>
  </si>
  <si>
    <t>RAM-VP-TTMF12-D-101-2461U</t>
  </si>
  <si>
    <t>RAM 12" UPPER FLANGE POLE WITH RAM-101U-D; NO SWING ARM</t>
  </si>
  <si>
    <t>RAM-VP-TTMF12-101U-D</t>
  </si>
  <si>
    <t>RAM TELE-POLE TOP MALE 8" LONG</t>
  </si>
  <si>
    <t>RAM-VP-TTM8U</t>
  </si>
  <si>
    <t xml:space="preserve">RAM TELE-POLE TOP MALE 8" LNG METAL WED </t>
  </si>
  <si>
    <t>RAM-VP-TTM8MWU</t>
  </si>
  <si>
    <t>RAM TELE-POLE TOP MALE 8" LONG LOCKING</t>
  </si>
  <si>
    <t>RAM-VP-TTM8LU</t>
  </si>
  <si>
    <t>RAM TELE-POLE BASE MALE POST &amp; ARM</t>
  </si>
  <si>
    <t>RAM-VP-TTM8-1U</t>
  </si>
  <si>
    <t>RAM TELE-POLE TOP MALE 4" LONG</t>
  </si>
  <si>
    <t>RAM-VP-TTM4U</t>
  </si>
  <si>
    <t>RAM TELE-POLE TOP MALE 12" LONG</t>
  </si>
  <si>
    <t>RAM-VP-TTM12U</t>
  </si>
  <si>
    <t>RAM TELE-POLE TOP MALE 12" LONG SQUARE</t>
  </si>
  <si>
    <t>RAM-VP-TTM12SU</t>
  </si>
  <si>
    <t>RAM TELE-POLE BASE FEMALE 9" LONG</t>
  </si>
  <si>
    <t>RAM-VP-TBF9U</t>
  </si>
  <si>
    <t>RAM TELE-POLE BASE FEMALE 7" LONG</t>
  </si>
  <si>
    <t>RAM-VP-TBF7U</t>
  </si>
  <si>
    <t>RAM TELE-POLE BASE FEMALE 5" LONG</t>
  </si>
  <si>
    <t>RAM-VP-TBF5U</t>
  </si>
  <si>
    <t>RAM TELE-POLE BASE FEMALE 18" LONG</t>
  </si>
  <si>
    <t>RAM-VP-TBF18U</t>
  </si>
  <si>
    <t>RAM TELE-POLE BASE FEMALE 12" LONG</t>
  </si>
  <si>
    <t>RAM-VP-TBF12U</t>
  </si>
  <si>
    <t>RAM 8" UPPER 9" LOWER TELE-POLE WITH FLANGE, SWING ARM AND RAM-101-D-2461 MOUNT</t>
  </si>
  <si>
    <t>RAM-VP-SW2F-89-2461</t>
  </si>
  <si>
    <t>RAM 8" UPPER 9" LOWER TELE-POLE WITH FLANGE, SWING ARM AND RAM-101U-D MOUNT</t>
  </si>
  <si>
    <t>RAM-VP-SW2F-89</t>
  </si>
  <si>
    <t>RAM 8" UPPER TELE-POLE WITH FLANGE, SWING ARM AND RAM-101-D-2461 MOUNT</t>
  </si>
  <si>
    <t>RAM-VP-SW2F-8-2461</t>
  </si>
  <si>
    <t>RAM 8" UPPER TELE-POLE WITH FLANGE, SWING ARM AND RAM-101U-D MOUNT</t>
  </si>
  <si>
    <t>RAM-VP-SW2F-8</t>
  </si>
  <si>
    <t>RAM 4" UPPER 5" LOWER TELE-POLE WITH FLANGE, SWING ARM AND RAM-101-D-2461 MOUNT</t>
  </si>
  <si>
    <t>RAM-VP-SW2F-45-2461</t>
  </si>
  <si>
    <t>RAM 4" UPPER 5" LOWER TELE-POLE WITH FLANGE, SWING ARM AND RAM-101U-D MOUNT</t>
  </si>
  <si>
    <t>RAM-VP-SW2F-45</t>
  </si>
  <si>
    <t>RAM SGL SWING ARM 8" MALE 9" FEMALE TUBE</t>
  </si>
  <si>
    <t>RAM-VP-SW2-89-2461</t>
  </si>
  <si>
    <t>RAM-VP-SW2-89-240</t>
  </si>
  <si>
    <t>RAM-VP-SW2-89</t>
  </si>
  <si>
    <t xml:space="preserve">RAM SGL SWING ARM 8" MALE </t>
  </si>
  <si>
    <t>RAM-VP-SW2-8-2461</t>
  </si>
  <si>
    <t>RAM SGL SWING ARM 8" MALE</t>
  </si>
  <si>
    <t>RAM-VP-SW2-8-240</t>
  </si>
  <si>
    <t>RAM-VP-SW2-8</t>
  </si>
  <si>
    <t>RAM DBL SWING ARM 8" MALE TUBE LOCKING</t>
  </si>
  <si>
    <t>RAM-VP-SW1L-8-240</t>
  </si>
  <si>
    <t>RAM DBL SWING ARM 8" MALE NO BALL</t>
  </si>
  <si>
    <t>RAM-VP-SW1-8NB</t>
  </si>
  <si>
    <t>RAM DBL SWING ARM 8" MALE 9" FEM NO BALL</t>
  </si>
  <si>
    <t>RAM-VP-SW1-89NB</t>
  </si>
  <si>
    <t>RAM DBL SWING ARM 8" MALE 9" FEMALE TUBE</t>
  </si>
  <si>
    <t>RAM-VP-SW1-89-2461</t>
  </si>
  <si>
    <t>RAM-VP-SW1-89-240</t>
  </si>
  <si>
    <t>RAM-VP-SW1-89</t>
  </si>
  <si>
    <t>RAM DBL SWING ARM 8" MALE W VESA PLATE</t>
  </si>
  <si>
    <t>RAM-VP-SW1-8-2461</t>
  </si>
  <si>
    <t>RAM DBL SWING ARM 8" MALE W 3.68" DIA</t>
  </si>
  <si>
    <t>RAM-VP-SW1-8-240</t>
  </si>
  <si>
    <t>RAM DBL SWING ARM 8" MALE NO FEMALE</t>
  </si>
  <si>
    <t>RAM-VP-SW1-8</t>
  </si>
  <si>
    <t>RAM DBL SWING ARM 4" MALE 7" FEMALE 2461</t>
  </si>
  <si>
    <t>RAM-VP-SW1-47-2461</t>
  </si>
  <si>
    <t>RAM DBL SWING ARM 4" MALE 7" FEMALE 240</t>
  </si>
  <si>
    <t>RAM-VP-SW1-47-240</t>
  </si>
  <si>
    <t>RAM DBL SWING ARM 4" MALE 7" FEMALE TUBE</t>
  </si>
  <si>
    <t>RAM-VP-SW1-47</t>
  </si>
  <si>
    <t>RAM DBL SWING ARM 4" MALE 5" FEMALE 2461</t>
  </si>
  <si>
    <t>RAM-VP-SW1-45-2461</t>
  </si>
  <si>
    <t>RAM DBL SWING ARM 4" MALE 5" FEMALE 240</t>
  </si>
  <si>
    <t>RAM-VP-SW1-45-240</t>
  </si>
  <si>
    <t>RAM DBL SWING ARM 4" MALE 5" FEMALE</t>
  </si>
  <si>
    <t>RAM-VP-SW1-45</t>
  </si>
  <si>
    <t>RAM DBL SWING ARM 4" MALE NO FEMALE</t>
  </si>
  <si>
    <t>RAM-VP-SW1-4-2461</t>
  </si>
  <si>
    <t>RAM DBL SWING ARM 4" MALE WITH TRAY</t>
  </si>
  <si>
    <t>RAM-VP-SW1-4-234-3</t>
  </si>
  <si>
    <t>RAM-VP-SW1-4</t>
  </si>
  <si>
    <t>RAM DBL SWNG ARM 12" MALE 9" FEMALE 2461</t>
  </si>
  <si>
    <t>RAM-VP-SW1-129-2461</t>
  </si>
  <si>
    <t>RAM DBL SWING ARM 12" MALE 9" FEMALE 240</t>
  </si>
  <si>
    <t>RAM-VP-SW1-129-240</t>
  </si>
  <si>
    <t>RAM DBL SWING ARM 12" MALE 9" FEMALE</t>
  </si>
  <si>
    <t>RAM-VP-SW1-129</t>
  </si>
  <si>
    <t>RAM DBL SWING ARM 12" MALE WITH 2461</t>
  </si>
  <si>
    <t>RAM-VP-SW1-12-2461</t>
  </si>
  <si>
    <t>RAM DBL SWING ARM 12" MALE WITH 240</t>
  </si>
  <si>
    <t>RAM-VP-SW1-12-240</t>
  </si>
  <si>
    <t>RAM DBL SWNG ARM 12" MALE 18" FEMLE 2461</t>
  </si>
  <si>
    <t>RAM-VP-SW1-1218-2461</t>
  </si>
  <si>
    <t>RAM DBL SWNG ARM 12" MALE 18" FEMALE 240</t>
  </si>
  <si>
    <t>RAM-VP-SW1-1218-240</t>
  </si>
  <si>
    <t>RAM DBL SWING ARM 12" MALE 18" FEMALE</t>
  </si>
  <si>
    <t>RAM-VP-SW1-1218</t>
  </si>
  <si>
    <t>RAM DBL SWING ARM 12" MALE</t>
  </si>
  <si>
    <t>RAM-VP-SW1-12</t>
  </si>
  <si>
    <t>VEHICLE PRINTER SYSTEM FOR MOBILE PRINTERS WITH REAR FEED</t>
  </si>
  <si>
    <t>RAM-VPR-107-1</t>
  </si>
  <si>
    <t>VEHICLE PRINTER MNT CITIZEN SYSTEMS</t>
  </si>
  <si>
    <t>RAM-VPR-107</t>
  </si>
  <si>
    <t>VEHICLE PRINTER SYS BROTHER RUGGED JET 4</t>
  </si>
  <si>
    <t>RAM-VPR-106-1</t>
  </si>
  <si>
    <t>VEHICLE PRINTER MNT BROTHER RUGGED JET 4</t>
  </si>
  <si>
    <t>RAM-VPR-106</t>
  </si>
  <si>
    <t>VEHICLE PRINTER BASE FOR SMALL PRINTERS</t>
  </si>
  <si>
    <t>RAM-VPR-105TU</t>
  </si>
  <si>
    <t>VEHICLE PRINTER TOSHIBA 4" W/ SHORT AR</t>
  </si>
  <si>
    <t>RAM-VPR-105T-B-1</t>
  </si>
  <si>
    <t>RAM-VPR-105T-1</t>
  </si>
  <si>
    <t>VEHICLE PRINTER SYSTEM FOR SMALL PRINTER</t>
  </si>
  <si>
    <t>RAM-VPR-105-1</t>
  </si>
  <si>
    <t>RAM-VPR-105</t>
  </si>
  <si>
    <t>RAM-VPR-104-1</t>
  </si>
  <si>
    <t>RAM-VPR-104</t>
  </si>
  <si>
    <t>VEHICLE PRINTER SYSTEM FOR HP-450/470</t>
  </si>
  <si>
    <t>RAM-VPR-103-1</t>
  </si>
  <si>
    <t>VEHICLE PRINTER BASE FOR HP-450/470 PRIN</t>
  </si>
  <si>
    <t>RAM-VPR-103</t>
  </si>
  <si>
    <t xml:space="preserve">VEHICLE PRINTER SYSTEM FOR CANON BJC-85 </t>
  </si>
  <si>
    <t>RAM-VPR-102-1</t>
  </si>
  <si>
    <t xml:space="preserve">VEHICLE PRINTER BASE FOR CANON BJC-85 </t>
  </si>
  <si>
    <t>RAM-VPR-102</t>
  </si>
  <si>
    <t xml:space="preserve">VEHICLE PRINTER BROTHER PK JET LNG RAIL </t>
  </si>
  <si>
    <t>RAM-VPR-101-D-235U</t>
  </si>
  <si>
    <t>VEHICLE PRINTER SYSTEM BROTHER POCKET</t>
  </si>
  <si>
    <t>RAM-VPR-101-1</t>
  </si>
  <si>
    <t>VEHICLE PRINTER BASE BROTHER POCKET JET</t>
  </si>
  <si>
    <t>RAM-VPR-101</t>
  </si>
  <si>
    <t>RAM DBL D SIZE SWING ARM 12" MALE TUBE</t>
  </si>
  <si>
    <t>RAM-VP-D-SW1-12-246</t>
  </si>
  <si>
    <t>RAM TELE-POLE RUBBER END CAP</t>
  </si>
  <si>
    <t>RAM-VP-CAP1</t>
  </si>
  <si>
    <t>RAM 9" TELE-POLE BASE MALE W FLANGE ARM AND VESA MOUNT</t>
  </si>
  <si>
    <t>RAM-VP-89F-D-101-2461U</t>
  </si>
  <si>
    <t>RAM TELE-POLE BASE MALE W FLANGE ARM AND VESA PLATE</t>
  </si>
  <si>
    <t>RAM-VP-1218F-D-101-2461U</t>
  </si>
  <si>
    <t>RAM ROUND VENT ATTACHMENT</t>
  </si>
  <si>
    <t>RAM-VENT-RNDU</t>
  </si>
  <si>
    <t>RAM RECTANGULAR VENT ATTACHMENT</t>
  </si>
  <si>
    <t>RAM-VENT-RCTU</t>
  </si>
  <si>
    <t>RAM VENT-TEMP FRONT CONNECTION ROUND VENT 50" HOSE</t>
  </si>
  <si>
    <t>RAM-VENT2-RND-50U</t>
  </si>
  <si>
    <t>RAM VENT-TEMP FRONT CONNECTION RECTANGULAR VENT 50" HOSE</t>
  </si>
  <si>
    <t>RAM-VENT2-RCT-50U</t>
  </si>
  <si>
    <t>RAM VENT-TEMP BACK CONNECTION ROUND VENT 50" HOSE</t>
  </si>
  <si>
    <t>RAM-VENT1-RND-50U</t>
  </si>
  <si>
    <t>RAM VENT-TEMP BACK CONNECTION RECTANGULAR VENT 50" HOSE</t>
  </si>
  <si>
    <t>RAM-VENT1-RCT-50U</t>
  </si>
  <si>
    <t>RAM TOUGH-BOX 29" LONG TOP PLATE</t>
  </si>
  <si>
    <t>RAM-VC-TP-29</t>
  </si>
  <si>
    <t>RAM TOUGH-BOX 23" LONG TOP PLATE</t>
  </si>
  <si>
    <t>RAM-VC-TP-23</t>
  </si>
  <si>
    <t>RAM 90 DEG. TILT-N-TURN W/ 4" MALE POLE</t>
  </si>
  <si>
    <t>RAM-VC-TNT90-4</t>
  </si>
  <si>
    <t>RAM 45 DEG. TILT-N-TURN W/ 4" MALE POLE</t>
  </si>
  <si>
    <t>RAM-VC-TNT45-4</t>
  </si>
  <si>
    <t>RAM 8.5" FEMALE POLE FOR CONSOLE BOX</t>
  </si>
  <si>
    <t>RAM-VC-PF-85</t>
  </si>
  <si>
    <t>RAM 6" FEMALE POLE FOR CONSOLE BOX</t>
  </si>
  <si>
    <t>RAM-VC-PF-6</t>
  </si>
  <si>
    <t>RAM TRIPLE 90 DEGREE MIC CLIP</t>
  </si>
  <si>
    <t>RAM-VC-MC3</t>
  </si>
  <si>
    <t>RAM DOUBLE 90 DEGREE MIC CLIP</t>
  </si>
  <si>
    <t>RAM-VC-MC2</t>
  </si>
  <si>
    <t>RAM MAGNETIC SINGLE 90 DEGREE MIC CLIP</t>
  </si>
  <si>
    <t>RAM-VC-MC1M</t>
  </si>
  <si>
    <t>RAM SINGLE 90 DEGREE MIC CLIP</t>
  </si>
  <si>
    <t>RAM-VC-MC1</t>
  </si>
  <si>
    <t>RAM SINGLE MIC CLIP FOR FACEPLATES</t>
  </si>
  <si>
    <t>RAM-VC-MC</t>
  </si>
  <si>
    <t>CONSOLE LEG KIT FORD F-150 2015-16</t>
  </si>
  <si>
    <t>RAM-VC-LEG-118</t>
  </si>
  <si>
    <t>CONSOLE LEG KIT CHEVY GMC TAHOE &amp; TRUCK</t>
  </si>
  <si>
    <t>RAM-VC-LEG-117</t>
  </si>
  <si>
    <t>CONSOLE LEG KIT FORD F-150 2015-2016</t>
  </si>
  <si>
    <t>RAM-VC-LEG-116</t>
  </si>
  <si>
    <t>CONSOLE LEG KIT 2011- CHEVY IMPALA</t>
  </si>
  <si>
    <t>RAM-VC-LEG-113</t>
  </si>
  <si>
    <t>CONSOLE LEG KIT DODGE CHARGER 2012</t>
  </si>
  <si>
    <t>RAM-VC-LEG-112</t>
  </si>
  <si>
    <t>CONSOLE LEG KIT 2011-12 DODGE CHARGER</t>
  </si>
  <si>
    <t>RAM-VC-LEG-111</t>
  </si>
  <si>
    <t>CONSOLE LEG KIT CHEVY GMC SUBURBAN TAHOE</t>
  </si>
  <si>
    <t>RAM-VC-LEG-110</t>
  </si>
  <si>
    <t>CONSOLE LEG KIT DODGE CHARGER, MAGNUM</t>
  </si>
  <si>
    <t>RAM-VC-LEG-109</t>
  </si>
  <si>
    <t>CONSOLE LEG KIT FORD EXCURSION, F250-750</t>
  </si>
  <si>
    <t>RAM-VC-LEG-108</t>
  </si>
  <si>
    <t>CONSOLE LEG KIT 2006- CHEVY IMPALA</t>
  </si>
  <si>
    <t>RAM-VC-LEG-107</t>
  </si>
  <si>
    <t>CONSOLE LEG KIT FORD F-150 2004-</t>
  </si>
  <si>
    <t>RAM-VC-LEG-106</t>
  </si>
  <si>
    <t>UNIVERSAL CONSOLE LEG KIT BUCKET SEATS</t>
  </si>
  <si>
    <t>RAM-VC-LEG-104</t>
  </si>
  <si>
    <t>CONSOLE LEG KIT CHEVY 1500, 2500, 3500</t>
  </si>
  <si>
    <t>RAM-VC-LEG-103</t>
  </si>
  <si>
    <t>CONSOLE LEG KIT FORD F150, F250 EXPEDIT</t>
  </si>
  <si>
    <t>RAM-VC-LEG-102</t>
  </si>
  <si>
    <t>CONSOLE LEG KIT FORD CROWN VIC 1991-</t>
  </si>
  <si>
    <t>RAM-VC-LEG-101</t>
  </si>
  <si>
    <t>UNPKD RAM FAN FOR TOUGH BOX CONSOLES</t>
  </si>
  <si>
    <t>RAM-VC-FAN1U</t>
  </si>
  <si>
    <t>CONSOLE FEMALE CIGARETTE PLUG</t>
  </si>
  <si>
    <t>RAM-VC-CIG1FU</t>
  </si>
  <si>
    <t>CONSOLE 6" LONG BROTHER PRINT ARMREST</t>
  </si>
  <si>
    <t>RAM-VC-ARM6-PEN1</t>
  </si>
  <si>
    <t>CONSOLE TELESCOPIC ARM REST UBOLT STYLE</t>
  </si>
  <si>
    <t>RAM-VC-ARM6</t>
  </si>
  <si>
    <t>RAM CONSOLE ARM REST</t>
  </si>
  <si>
    <t>RAM-VC-ARM3</t>
  </si>
  <si>
    <t>RAM SIDE OR REAR CONSOLE ARM REST</t>
  </si>
  <si>
    <t>RAM-VC-ARM2</t>
  </si>
  <si>
    <t>CONSOLE TELESCOPIC BROTHER PRINT ARMREST</t>
  </si>
  <si>
    <t>RAM-VC-ARM1-PEN1</t>
  </si>
  <si>
    <t>CONSOLE TELESCOPIC ARM REST 7"</t>
  </si>
  <si>
    <t>RAM-VC-ARM1-7</t>
  </si>
  <si>
    <t>CONSOLE TELESCOPIC ARM REST</t>
  </si>
  <si>
    <t>RAM-VC-ARM1</t>
  </si>
  <si>
    <t>RAM ANGLE CONSOLE FAIRING IMPALA</t>
  </si>
  <si>
    <t>RAM-VCAF-103</t>
  </si>
  <si>
    <t>RAM ANGLE CONSOLE FAIRING CROWN VIC</t>
  </si>
  <si>
    <t>RAM-VCAF-102</t>
  </si>
  <si>
    <t>RAM TOUGH-BOX COMP CONSOLE CHEVY TAHOE</t>
  </si>
  <si>
    <t>RAM-VCA-117</t>
  </si>
  <si>
    <t>RAM-VCA-116</t>
  </si>
  <si>
    <t>RAM TOUGH-BOX ANGLE CONSOLE IMPALA</t>
  </si>
  <si>
    <t>RAM-VCA-115</t>
  </si>
  <si>
    <t>RAM TOUGH-BOX ANGLE CONSOLE FPI SEDAN</t>
  </si>
  <si>
    <t>RAM-VCA-113</t>
  </si>
  <si>
    <t>RAM TOUGH-BOX ANGLE CONSOLE CHARGER</t>
  </si>
  <si>
    <t>RAM-VCA-112</t>
  </si>
  <si>
    <t>RAM TOUGH-BOX ANGLE IMPALA NO POLE</t>
  </si>
  <si>
    <t>RAM-VCA-103NP</t>
  </si>
  <si>
    <t>RAM-VCA-103</t>
  </si>
  <si>
    <t>RAM TOUGHBOX ANGLE CON CROWN VIC NO POLE</t>
  </si>
  <si>
    <t>RAM-VCA-102NP</t>
  </si>
  <si>
    <t>RAM TOUGH-BOX ANGLE CONSOLE CROWN VIC</t>
  </si>
  <si>
    <t>RAM-VCA-102</t>
  </si>
  <si>
    <t>RAM TOUGH-BOX ANGLE CONSOLE NO POLES</t>
  </si>
  <si>
    <t>RAM-VCA-101NP</t>
  </si>
  <si>
    <t>RAM TOUGH-BOX ANGLE CONSOLE W/O BACK</t>
  </si>
  <si>
    <t>RAM-VCA-101</t>
  </si>
  <si>
    <t>RAM TOUGH-BOX CONSOLE 9" LONG NO BASE</t>
  </si>
  <si>
    <t>RAM-VC-9NB</t>
  </si>
  <si>
    <t>RAM TOUGH-BOX VEHICLE CONSOLE 9" LONG</t>
  </si>
  <si>
    <t>RAM-VC-9</t>
  </si>
  <si>
    <t>RAM TOUGH-BOX CONSOLE 21" LONG NO BASE</t>
  </si>
  <si>
    <t>RAM-VC-21NB</t>
  </si>
  <si>
    <t>RAM TOUGH-BOX VEHICLE CONSOLE 21" LONG</t>
  </si>
  <si>
    <t>RAM-VC-21</t>
  </si>
  <si>
    <t>RAM TOUGH-BOX CONSOLE 17" LONG NO BASE</t>
  </si>
  <si>
    <t>RAM-VC-17NB</t>
  </si>
  <si>
    <t>RAM TOUGH-BOX VEHICLE CONSOLE 17" LONG</t>
  </si>
  <si>
    <t>RAM-VC-17</t>
  </si>
  <si>
    <t>RAM TOUGH-BOX CONSOLE 13" LONG NO BASE</t>
  </si>
  <si>
    <t>RAM-VC-13NB</t>
  </si>
  <si>
    <t>RAM TOUGH-BOX VEHICLE CONSOLE 13" LONG</t>
  </si>
  <si>
    <t>RAM-VC-13</t>
  </si>
  <si>
    <t>RAM TOP PLATE FLASHLIGHT HOLDER</t>
  </si>
  <si>
    <t>RAM-VC-119TP</t>
  </si>
  <si>
    <t>RAM CONSOLE FLASHLIGHT HOLDER</t>
  </si>
  <si>
    <t>RAM-VC-119C</t>
  </si>
  <si>
    <t>RAM TOUGH-BOX VEHICLE CONSOLE FPI SUV</t>
  </si>
  <si>
    <t>RAM-VC-114</t>
  </si>
  <si>
    <t>RAM TILT-N-TURN  DEG. ATTACHMENT HEAD</t>
  </si>
  <si>
    <t>RAM-VB-TNT90-TRU1</t>
  </si>
  <si>
    <t>RAM TILT-N-TURN  DEG. ATTACH HEAD W ARM</t>
  </si>
  <si>
    <t>RAM-VB-TNT90-1</t>
  </si>
  <si>
    <t>RAM-VB-TNT90</t>
  </si>
  <si>
    <t>RAM TILT-N-TURN 45 DEG. ATTACHMENT MDT</t>
  </si>
  <si>
    <t>RAM-VB-TNT45-MDT</t>
  </si>
  <si>
    <t>RAM TILT-N-TURN 45 DEG ATTACH HEAD W ARM</t>
  </si>
  <si>
    <t>RAM-VB-TNT45-1</t>
  </si>
  <si>
    <t>RAM TILT-N-TURN 45 DEG. ATTACHMENT HEAD</t>
  </si>
  <si>
    <t>RAM-VB-TNT45</t>
  </si>
  <si>
    <t>RAM 24" SUPPORT LEG</t>
  </si>
  <si>
    <t>RAM-VB-SL24</t>
  </si>
  <si>
    <t>RAM 7" VEHICLE BASE RISER</t>
  </si>
  <si>
    <t>RAM-VB-SB7</t>
  </si>
  <si>
    <t>RAM 4" VEHICLE BASE RISER</t>
  </si>
  <si>
    <t>RAM-VB-SB4</t>
  </si>
  <si>
    <t>RAM VEHICLE REMOVE-A-POLE BASE MALE</t>
  </si>
  <si>
    <t>RAM-VB-REM1M</t>
  </si>
  <si>
    <t>RAM VEHICLE REMOVE-A-POLE BASE FEMALE</t>
  </si>
  <si>
    <t>RAM-VB-REM1F</t>
  </si>
  <si>
    <t>RAM VEHICLE REMOVE-A-POLE BASE</t>
  </si>
  <si>
    <t>RAM-VB-REM1</t>
  </si>
  <si>
    <t>VEHICLE DBL SOCKET ARM SYSTEM OF AES</t>
  </si>
  <si>
    <t>RAM-VBD-SW1-AES1</t>
  </si>
  <si>
    <t>VEHICLE BASE POLICE MAG CHAR TRACK W/TRA</t>
  </si>
  <si>
    <t>RAM-VB-D-145-1</t>
  </si>
  <si>
    <t>RAM UNI DRILL TYPE FLAT VERT. BASE TIMEW</t>
  </si>
  <si>
    <t>RAM-VBD-128-TIM1</t>
  </si>
  <si>
    <t>RAM UNIVERSAL DRILL TYPE FLAT VERT. BASE</t>
  </si>
  <si>
    <t>RAM-VBD-128-SW1</t>
  </si>
  <si>
    <t>RAM-VBD-128</t>
  </si>
  <si>
    <t>RAM DRILL TYPE SPECIFIC TRANS HUMP BASE</t>
  </si>
  <si>
    <t>RAM-VBD-126-SW1</t>
  </si>
  <si>
    <t>RAM-VBD-126</t>
  </si>
  <si>
    <t>VEHICLE SYSTEM CHEVY PICK UP FLAT ARM</t>
  </si>
  <si>
    <t>RAM-VBD-125-SW1-FL</t>
  </si>
  <si>
    <t>VEHICLE SYSTEM CHEVY PICK UP</t>
  </si>
  <si>
    <t>RAM-VBD-125-SW1</t>
  </si>
  <si>
    <t>VEHICLE MOUNT FOR AES</t>
  </si>
  <si>
    <t>RAM-VBD-125-AES1</t>
  </si>
  <si>
    <t>VEHICLE BASE CHEVY PICKUP</t>
  </si>
  <si>
    <t>RAM-VBD-125</t>
  </si>
  <si>
    <t>VEHICLE DRILL BASE WESTERN CASCADE</t>
  </si>
  <si>
    <t>RAM-VBD-122-WEST1</t>
  </si>
  <si>
    <t>VEHICLE SYSTEM UNIVERSAL SQUARE BASE</t>
  </si>
  <si>
    <t>RAM-VBD-122-SW1</t>
  </si>
  <si>
    <t>VEHICLE SYSTEM UNIVERSAL SQ BASE PIVOT</t>
  </si>
  <si>
    <t>RAM-VBD-122-PV1</t>
  </si>
  <si>
    <t>VEHICLE DRILL BASE UNIVERSAL NO TRAY</t>
  </si>
  <si>
    <t>RAM-VBD-122-NT</t>
  </si>
  <si>
    <t>RAM-VBD-122-MOT8</t>
  </si>
  <si>
    <t>VEHICLE SYST UNIVERSAL SQ BASE LOCK SCR</t>
  </si>
  <si>
    <t>RAM-VBD-122-KEY1</t>
  </si>
  <si>
    <t>VEHICLE DRILL BASE UNIVERSAL SQUARE LOCK</t>
  </si>
  <si>
    <t>RAM-VBD-122-GWA1</t>
  </si>
  <si>
    <t>RAM-MNT-DISH BASE UNIVERSAL SQUARE</t>
  </si>
  <si>
    <t>RAM-VBD-122-DAT1</t>
  </si>
  <si>
    <t>VEHICLE DRILL BASE UNIVERSAL SQUARE</t>
  </si>
  <si>
    <t>RAM-VBD-122</t>
  </si>
  <si>
    <t>UNPKD RAM SWG ARM W/ OCT SOCKET ARM</t>
  </si>
  <si>
    <t>RAM-VB-D-110-2U</t>
  </si>
  <si>
    <t>UNPKD RAM DBL SWING ARM W OCT SOCKET ARM</t>
  </si>
  <si>
    <t>RAM-VB-D-110-1U</t>
  </si>
  <si>
    <t xml:space="preserve">UNPKD RAM DBL SWING ARM W OCT SOCKET NO </t>
  </si>
  <si>
    <t>RAM-VB-D-110-1NBU</t>
  </si>
  <si>
    <t>UNPKD RAM DBL SWING ARM OCT SOCKET D-254</t>
  </si>
  <si>
    <t>RAM-VB-D-110-1-254U</t>
  </si>
  <si>
    <t>DRILL TYPE SYSTEM DBL SWING ARM</t>
  </si>
  <si>
    <t>RAM-VBD-101-SW1</t>
  </si>
  <si>
    <t>RAM-VBD-101-DIE1</t>
  </si>
  <si>
    <t>DRILL TYPE SYSTEM DBL SWING ARM GEOSYS</t>
  </si>
  <si>
    <t>RAM-VBD-101-2461-GEO1</t>
  </si>
  <si>
    <t xml:space="preserve">DRILL TYPE VEHICLE BASE </t>
  </si>
  <si>
    <t>RAM-VBD-101</t>
  </si>
  <si>
    <t>RAM VEHICLE ADJUST-A-POLE- BASE</t>
  </si>
  <si>
    <t>RAM-VB-ADJ1</t>
  </si>
  <si>
    <t>VEHICLE SYSTEM WITH BALL BASE AND SWING ARM FOR 2021 FORD INTERCEPTOR</t>
  </si>
  <si>
    <t>RAM-VB-206-SW2</t>
  </si>
  <si>
    <t>VEHICLE SYSTEM 2021 FORD INTERCEPTOR</t>
  </si>
  <si>
    <t>RAM-VB-206-SW1</t>
  </si>
  <si>
    <t>RAM NO-DRILL VEHICLE BASE FOR 2021 FORD INTERCEPTOR</t>
  </si>
  <si>
    <t>RAM-VB-206</t>
  </si>
  <si>
    <t>RAM NO-DRILL MOUNT WITH BALL BASE AND SWING ARM FOR 2019 CHEVY ALL NEW SILVERADO AND GMC NEXT GENERATION SIERRA 1500</t>
  </si>
  <si>
    <t>RAM-VB-203-SW2</t>
  </si>
  <si>
    <t>RAM NO-DRILL LAPTOP MOUNT WITH SWING ARM FOR 2019 CHEVY ALL NEW SILVERADO AND GMC NEXT GENERATION SIERRA 1500</t>
  </si>
  <si>
    <t>RAM-VB-203-SW1</t>
  </si>
  <si>
    <t>TELE-POLE + DOUBLE BALL MOUNT FOR CHEVY SILVERADO NO SWING ARM</t>
  </si>
  <si>
    <t>RAM-VB-203-DB2</t>
  </si>
  <si>
    <t>RAM NO-DRILL VEHICLE BASE FOR 2019 CHEVY ALL NEW SILVERADO AND GMC NEXT GENERATION SIERRA 1500</t>
  </si>
  <si>
    <t>RAM-VB-203</t>
  </si>
  <si>
    <t>RAM NO-DRILL MOUNT WITH BALL BASE AND SWING ARM FOR 2019-2020 FORD RANGER</t>
  </si>
  <si>
    <t>RAM-VB-202-SW2</t>
  </si>
  <si>
    <t>RAM NO-DRILL LAPTOP MOUNT WITH SWING ARM FOR 2019-2020 FORD RANGER</t>
  </si>
  <si>
    <t>RAM-VB-202-SW1</t>
  </si>
  <si>
    <t>RAM NO-DRILL LAPTOP MOUNT WITH SWING ARM FOR 2020 FORD EXPLORER</t>
  </si>
  <si>
    <t>RAM-VB-202-A-SW1</t>
  </si>
  <si>
    <t>RAM NO-DRILL VEHICLE BASE FOR 2020 FORD EXPLORER</t>
  </si>
  <si>
    <t>RAM-VB-202-A</t>
  </si>
  <si>
    <t>RAM NO-DRILL VEHICLE BASE FOR 2019-2020 FORD RANGER</t>
  </si>
  <si>
    <t>RAM-VB-202</t>
  </si>
  <si>
    <t>ISUZU NPR VEHICLE SYST W/ SWING ARM</t>
  </si>
  <si>
    <t>RAM-VB-197-SW2NT</t>
  </si>
  <si>
    <t>ISUZU NPR VEHICLE SYST W/ SWING ARM TRAY</t>
  </si>
  <si>
    <t>RAM-VB-197-SW2</t>
  </si>
  <si>
    <t>RAM UNIVERSAL VEHICLE BASE WITH X-GRIP FOR 10" TABLETS</t>
  </si>
  <si>
    <t>RAM-VB-196-UN9</t>
  </si>
  <si>
    <t>RAM UNIVERSAL VEHICLE BASE WITH X-GRIP FOR 12" TABLETS</t>
  </si>
  <si>
    <t>RAM-VB-196-UN11</t>
  </si>
  <si>
    <t>VEHICLE SYSTEM UNIVERSAL WITH BALL BASE AND SWING ARM</t>
  </si>
  <si>
    <t>RAM-VB-196-SW2</t>
  </si>
  <si>
    <t>VEHICLE SYSTEM UNIVERSAL</t>
  </si>
  <si>
    <t>RAM-VB-196-SW1</t>
  </si>
  <si>
    <t>DEX COMPATIBLE MONITOR &amp; KEYBOARD VEHICLE SYSTEM UNIVERSAL</t>
  </si>
  <si>
    <t>RAM-VB-196-GDS-ECO1</t>
  </si>
  <si>
    <t>UNIVERSAL VB MOUNT + DOUBLE BALL MOUNT NO SWING ARM</t>
  </si>
  <si>
    <t>RAM-VB-196-DB2</t>
  </si>
  <si>
    <t>VEHICLE SYST UNIVERSAL KIT</t>
  </si>
  <si>
    <t>RAM-VB-196-1-SW1</t>
  </si>
  <si>
    <t>VEHICLE BASE UNIVERSAL SYSTEM</t>
  </si>
  <si>
    <t>RAM-VB-196-1</t>
  </si>
  <si>
    <t>VEHICLE BASE UNIVERSAL</t>
  </si>
  <si>
    <t>RAM-VB-196</t>
  </si>
  <si>
    <t>RAM VEHICLE BASE 2015 - 2021 FORD F-150 WITH X-GRIP FOR 9-10" TABLETS</t>
  </si>
  <si>
    <t>RAM-VB-195-UN9</t>
  </si>
  <si>
    <t>RAM VEHICLE BASE 2015 - 2021 FORD F-150 WITH X-GRIP FOR 12" TABLETS</t>
  </si>
  <si>
    <t>RAM-VB-195-UN11</t>
  </si>
  <si>
    <t>RAM VEHICLE BASE 2015 - 2021 FORD F-150 WITH TAB-TITE FOR 9-10.5" TABLETS</t>
  </si>
  <si>
    <t>RAM-VB-195-TAB20</t>
  </si>
  <si>
    <t>VEHICLE SYSTEM WITH BALL BASE AND SWING ARM FOR 2015 - 2021 FORD F-150</t>
  </si>
  <si>
    <t>RAM-VB-195-SW2</t>
  </si>
  <si>
    <t>VEHICLE SYSTEM 2015 - 2021 FORD F-150</t>
  </si>
  <si>
    <t>RAM-VB-195-SW1</t>
  </si>
  <si>
    <t>TELE-POLE + DOUBLE BALL MOUNT FOR FORD F-150</t>
  </si>
  <si>
    <t>RAM-VB-195-DB2</t>
  </si>
  <si>
    <t>VEHICLE BASE 2015 - 2021 FORD F-150</t>
  </si>
  <si>
    <t>RAM-VB-195</t>
  </si>
  <si>
    <t>VEHICLE SYSTEM FOR FORD TRASIT WITH BALL BASE AND SWING ARM</t>
  </si>
  <si>
    <t>RAM-VB-194-SW2</t>
  </si>
  <si>
    <t>VEHICLE SYSTEM FOR FORD TRASIT</t>
  </si>
  <si>
    <t>RAM-VB-194-SW1</t>
  </si>
  <si>
    <t>RAM NO DRILL BASE FOR FORD TRANSIT</t>
  </si>
  <si>
    <t>RAM-VB-194</t>
  </si>
  <si>
    <t>VEHICLE SYST WITH BALL BASE AND SWING ARM FOR 2014 CHEVY SILVERADO SIERRA</t>
  </si>
  <si>
    <t>RAM-VB-193-SW2</t>
  </si>
  <si>
    <t>VEHICLE SYST 2014 CHEVY SILVERADO SIERRA</t>
  </si>
  <si>
    <t>RAM-VB-193-SW1</t>
  </si>
  <si>
    <t>VEHICLE BASE 2014 CHEVY SILVERADO SIERRA</t>
  </si>
  <si>
    <t>RAM-VB-193NR</t>
  </si>
  <si>
    <t>RAM-VB-193</t>
  </si>
  <si>
    <t>VEHICLE SYSTEM NISSAN NV200</t>
  </si>
  <si>
    <t>RAM-VB-192-SW1</t>
  </si>
  <si>
    <t>VEHICLE SYSTEM CHEVROLET SILVERADO</t>
  </si>
  <si>
    <t>RAM-VB-191-SW1</t>
  </si>
  <si>
    <t>VEHICLE BASE CHEVROLET SILVERADO</t>
  </si>
  <si>
    <t>RAM-VB-191</t>
  </si>
  <si>
    <t>VEHICLE SYST 2013 FORD POLICE INT SEDAN</t>
  </si>
  <si>
    <t>RAM-VB-190-SW1</t>
  </si>
  <si>
    <t>VEHICLE BASE 2013 FORD POLICE INT SEDAN</t>
  </si>
  <si>
    <t>RAM-VB-190</t>
  </si>
  <si>
    <t>VEHICLE SYSTEM 2011-2012 CHEVY CAPRICE</t>
  </si>
  <si>
    <t>RAM-VB-189-SW1</t>
  </si>
  <si>
    <t>VEHICLE BASE 2011-2012 CHEVY CAPRICE</t>
  </si>
  <si>
    <t>RAM-VB-189</t>
  </si>
  <si>
    <t>VEHICLE SYSTEM 2012 FORD FOCUS</t>
  </si>
  <si>
    <t>RAM-VB-188-SW1</t>
  </si>
  <si>
    <t>VEHICLE SYST 2011 FORD EXPLORER</t>
  </si>
  <si>
    <t>RAM-VB-187-SW1</t>
  </si>
  <si>
    <t>VEHICLE BASE 2011 FORD EXPLORER</t>
  </si>
  <si>
    <t>RAM-VB-187</t>
  </si>
  <si>
    <t>VEHICLE SYST 2011, GRAND CHEROKEE DURANG</t>
  </si>
  <si>
    <t>RAM-VB-186-SW1</t>
  </si>
  <si>
    <t>VEHICLE SYST WITH BALL BASE AND SWING ARM FOR 2019-21 DODGE RAM 1500</t>
  </si>
  <si>
    <t>RAM-VB-186ST1-SW2</t>
  </si>
  <si>
    <t>VEHICLE SYST 2019 - 2021 DODGE RAM 1500</t>
  </si>
  <si>
    <t>RAM-VB-186ST1-SW1</t>
  </si>
  <si>
    <t>VEHICLE BASE 2019 - 2021 DODGE RAM 1500</t>
  </si>
  <si>
    <t>RAM-VB-186ST1</t>
  </si>
  <si>
    <t>VEHICLE BASE 2011 GRAND CHEROKEE DURANGO</t>
  </si>
  <si>
    <t>RAM-VB-186</t>
  </si>
  <si>
    <t>VEHICLE BASE F-250, 350, 450 TAB SECURE</t>
  </si>
  <si>
    <t>RAM-VB-185-TABL3-SK</t>
  </si>
  <si>
    <t>VEHICLE BASE F-250, 350, 450 TAB SING AR</t>
  </si>
  <si>
    <t>RAM-VB-185-TAB3</t>
  </si>
  <si>
    <t>VEHICLE SYST WITH BALL BASE AND SWING ARM 99-2016, F250, 350, 450</t>
  </si>
  <si>
    <t>RAM-VB-185-SW2</t>
  </si>
  <si>
    <t>VEHICLE SYST 99-2016, F250, 350, 450 SEC</t>
  </si>
  <si>
    <t>RAM-VB-185-SW1-SK</t>
  </si>
  <si>
    <t>VEHICLE SYST 99-2016, F250, 350, 450</t>
  </si>
  <si>
    <t>RAM-VB-185-SW1</t>
  </si>
  <si>
    <t>VEHICLE BASE 99-2016 F-250, 350, 450</t>
  </si>
  <si>
    <t>RAM-VB-185</t>
  </si>
  <si>
    <t>RAM MULTI FUNCTION VERT. SYSTEM</t>
  </si>
  <si>
    <t>RAM-VB-184T-SW1</t>
  </si>
  <si>
    <t>RAM MULTI FUNCTION VERT. BASE W TELEPOLE</t>
  </si>
  <si>
    <t>RAM-VB-184T</t>
  </si>
  <si>
    <t>RAM MULTI FUNCTION VERT. BASE</t>
  </si>
  <si>
    <t>RAM-VB-184</t>
  </si>
  <si>
    <t>VEHICLE SYSTEM 2006- CHEVY IMPALA</t>
  </si>
  <si>
    <t>RAM-VB-182-SW1</t>
  </si>
  <si>
    <t>VEHICLE BASE 2006- CHEVY IMPALA</t>
  </si>
  <si>
    <t>RAM-VB-182</t>
  </si>
  <si>
    <t xml:space="preserve">RAM SMALL DRILL TYPE FLAT VERT WESTERN </t>
  </si>
  <si>
    <t>RAM-VB-181-WEST1</t>
  </si>
  <si>
    <t>RAM SMALL DRILL TYPE FLAT VERT. BASE</t>
  </si>
  <si>
    <t>RAM-VB-181-SW1</t>
  </si>
  <si>
    <t>RAM-VB-181</t>
  </si>
  <si>
    <t>RAM VEHICLE BASE FOR TOYOTA TUNDRA 2007 AND NEWER WITH X-GRIP FOR 10" TABLETS</t>
  </si>
  <si>
    <t>RAM-VB-180-UN9</t>
  </si>
  <si>
    <t>RAM VEHICLE BASE FOR TOYOTA TUNDRA 2007 AND NEWER WITH X-GRIP FOR 12" TABLETS</t>
  </si>
  <si>
    <t>RAM-VB-180-UN11</t>
  </si>
  <si>
    <t>VEHICLE SYSTEM 2007 NEWER TOYOTA TUNDRA</t>
  </si>
  <si>
    <t>RAM-VB-180-SW1</t>
  </si>
  <si>
    <t>VEHICLE BASE 2007 NEWER TUNDRA BASE ONLY</t>
  </si>
  <si>
    <t>RAM-VB-180B</t>
  </si>
  <si>
    <t>VEHICLE BASE 2007 NEWER TUNDRA</t>
  </si>
  <si>
    <t>RAM-VB-180</t>
  </si>
  <si>
    <t>VEHICLE SYSTEM 2007 NEWER TOYOTA YARIS</t>
  </si>
  <si>
    <t>RAM-VB-179-SW1</t>
  </si>
  <si>
    <t>VEHICLE BASE 2007 NEWER YARIS</t>
  </si>
  <si>
    <t>RAM-VB-179</t>
  </si>
  <si>
    <t>VEHICLE SYST 08-11 DODGE RAM 1500-5500</t>
  </si>
  <si>
    <t>RAM-VB-178-SW1</t>
  </si>
  <si>
    <t>VEHICLE BASE 2008- DODGE RAM 1500-5500</t>
  </si>
  <si>
    <t>RAM-VB-178NR</t>
  </si>
  <si>
    <t>VEHICLE SYST WITH BALL BASE AND SWING ARM FOR 2012 DODGE RAM 1500-5500</t>
  </si>
  <si>
    <t>RAM-VB-178A-SW2</t>
  </si>
  <si>
    <t>VEHICLE SYST 2012 DODGE RAM 1500-5500</t>
  </si>
  <si>
    <t>RAM-VB-178A-SW1-FL</t>
  </si>
  <si>
    <t>RAM-VB-178A-SW1</t>
  </si>
  <si>
    <t>TELE-POLE + DOUBLE BALL MOUNT FOR RAM 1500/2500 NO SWING ARM</t>
  </si>
  <si>
    <t>RAM-VB-178A-DB2</t>
  </si>
  <si>
    <t>VEHICLE BASE 2012 RAM 1500-5500</t>
  </si>
  <si>
    <t>RAM-VB-178A</t>
  </si>
  <si>
    <t>VEHICLE BASE 08-11 DODGE RAM 1500-5500</t>
  </si>
  <si>
    <t>RAM-VB-178</t>
  </si>
  <si>
    <t>VEHICLE SYST 2007- DODGE CALIBER AVENGER</t>
  </si>
  <si>
    <t>RAM-VB-177-SW1</t>
  </si>
  <si>
    <t>VEHICLE BASE 2007- DODGE CALIBER AVENGER</t>
  </si>
  <si>
    <t>RAM-VB-177</t>
  </si>
  <si>
    <t>VEHICLE SYSTEM FORD TRANSIT 2008-NEWER</t>
  </si>
  <si>
    <t>RAM-VB-175-SW1</t>
  </si>
  <si>
    <t>VEHICLE BASE DODGE GR CARAVAN 2008-NEWER</t>
  </si>
  <si>
    <t>RAM-VB-175</t>
  </si>
  <si>
    <t>VEHICLE SYSTEM 1998- NEWER BEETLE JETTA</t>
  </si>
  <si>
    <t>RAM-VB-174-SW1</t>
  </si>
  <si>
    <t>VEHICLE BASE VW 1998- NEWER BEETLE JETTA</t>
  </si>
  <si>
    <t>RAM-VB-174</t>
  </si>
  <si>
    <t>VEHICLE SYSTEM 2007- FORD EDGE</t>
  </si>
  <si>
    <t>RAM-VB-172-SW1</t>
  </si>
  <si>
    <t>VEHICLE BASE 2007- FORD EDGE</t>
  </si>
  <si>
    <t>RAM-VB-172</t>
  </si>
  <si>
    <t>VEHICLE SYSTEM 2007- TOYOTA PRIUS</t>
  </si>
  <si>
    <t>RAM-VB-171-SW1</t>
  </si>
  <si>
    <t>VEHICLE BASE 2007- TOYOTA PRIUS</t>
  </si>
  <si>
    <t>RAM-VB-171</t>
  </si>
  <si>
    <t>VEHICLE SYSTEM 2007- JEEP WRANGLER SAHAR</t>
  </si>
  <si>
    <t>RAM-VB-170-SW1</t>
  </si>
  <si>
    <t>VEHICLE BASE 2007- JEEP WRANGLER SAHARA</t>
  </si>
  <si>
    <t>RAM-VB-170</t>
  </si>
  <si>
    <t>VEHICLE SYSTEM 2006- SUBARU IMPREZA, LEG</t>
  </si>
  <si>
    <t>RAM-VB-169-SW1</t>
  </si>
  <si>
    <t>VEHICLE BASE 2006- SUBARU IMPREZA, LEGAC</t>
  </si>
  <si>
    <t>RAM-VB-169</t>
  </si>
  <si>
    <t>RAM UNIVERSAL TRUCK SYSTEM FOR TRIMBLE</t>
  </si>
  <si>
    <t>RAM-VB-168-TRI1</t>
  </si>
  <si>
    <t>RAM UNIVERSAL SYSTEM FOR SEMI TRUCKS WITH BALL BASE AND SWING ARM</t>
  </si>
  <si>
    <t>RAM-VB-168-SW2</t>
  </si>
  <si>
    <t>RAM UNIVERSAL SYSTEM FOR SEMI TRUCKS</t>
  </si>
  <si>
    <t>RAM-VB-168-SW1</t>
  </si>
  <si>
    <t>RAM UNIVERSAL TABLET SYSTEM SEMI TRUCKS</t>
  </si>
  <si>
    <t>RAM-VB-168-RO1-TAB-SM</t>
  </si>
  <si>
    <t>RAM-VB-168-RO1</t>
  </si>
  <si>
    <t>RAM UNIVERSAL BASE SEMI TRUCKS SNGLE ARM</t>
  </si>
  <si>
    <t>RAM-VB-168-ITR1</t>
  </si>
  <si>
    <t>RAM UNIVERSAL SYSTEM SEMI TRUCKS W VESA</t>
  </si>
  <si>
    <t>RAM-VB-168-2461</t>
  </si>
  <si>
    <t>RAM-VB-168-246</t>
  </si>
  <si>
    <t>RAM UNI SYST DBL SWING FOR SEMI TRUCKS</t>
  </si>
  <si>
    <t>RAM-VB-168-1-D-246</t>
  </si>
  <si>
    <t>RAM UNIVERSAL BASE FOR SEMI TRUCKS</t>
  </si>
  <si>
    <t>RAM-VB-168</t>
  </si>
  <si>
    <t>RAM UNIVERSAL SYSTEM FORD FUSION MERC MI</t>
  </si>
  <si>
    <t>RAM-VB-167-SW1</t>
  </si>
  <si>
    <t>RAM BASE FOR FORD FUSION MERC MILAN</t>
  </si>
  <si>
    <t>RAM-VB-167</t>
  </si>
  <si>
    <t>RAM SYSTEM FORD EXPEDITION/ NAVIGATOR</t>
  </si>
  <si>
    <t>RAM-VB-166-SW1</t>
  </si>
  <si>
    <t>RAM BASE FOR FORD EXPEDITION/ NAVIGATOR</t>
  </si>
  <si>
    <t>RAM-VB-166</t>
  </si>
  <si>
    <t>VEHICLE SYSTEM 2006- SEARS SEATING</t>
  </si>
  <si>
    <t>RAM-VB-164-SW1</t>
  </si>
  <si>
    <t>VEHICLE BASE 2006- SEARS SEATING</t>
  </si>
  <si>
    <t>RAM-VB-164</t>
  </si>
  <si>
    <t>RAM NO DRILL SYSTEM FOR HONDA PILOT</t>
  </si>
  <si>
    <t>RAM-VB-163-SW1</t>
  </si>
  <si>
    <t>RAM NO DRILL BASE FOR HONDA PILOT NO RIS</t>
  </si>
  <si>
    <t>RAM-VB-163NR</t>
  </si>
  <si>
    <t>RAM NO DRILL BASE FOR HONDA PILOT</t>
  </si>
  <si>
    <t>RAM-VB-163</t>
  </si>
  <si>
    <t>RAM NO DRILL SYSTEM FOR PT CRUISER</t>
  </si>
  <si>
    <t>RAM-VB-162-SW1</t>
  </si>
  <si>
    <t>RAM NO DRILL BASE FOR PT CRUISER</t>
  </si>
  <si>
    <t>RAM-VB-162</t>
  </si>
  <si>
    <t>VEHICLE SYSTEM 2006- FORD 500 FREESTYLE</t>
  </si>
  <si>
    <t>RAM-VB-161-SW1</t>
  </si>
  <si>
    <t>VEHICLE SYSTEM FORD FLEX</t>
  </si>
  <si>
    <t>RAM-VB-161R-SW1</t>
  </si>
  <si>
    <t>VEHICLE BASE FORD FLEX</t>
  </si>
  <si>
    <t>RAM-VB-161R</t>
  </si>
  <si>
    <t>VEHICLE BASE 2006- FORD 500 FREESTYLE</t>
  </si>
  <si>
    <t>RAM-VB-161</t>
  </si>
  <si>
    <t>VEHICLE SYSTEM 2007- CHEVY TAHOE</t>
  </si>
  <si>
    <t>RAM-VB-159-SW1</t>
  </si>
  <si>
    <t>VEHICLE SYSTEM 2007- CHEVY TAHOE PIVOT</t>
  </si>
  <si>
    <t>RAM-VB-159-PV1</t>
  </si>
  <si>
    <t>RAM-VB-159NR-SW1</t>
  </si>
  <si>
    <t>VEHICLE BASE 2007- CHEVY TAHOE, NO RISER</t>
  </si>
  <si>
    <t>RAM-VB-159NR</t>
  </si>
  <si>
    <t>RAM-MNT-DISH BASE 2007- CHEVY TAHOE</t>
  </si>
  <si>
    <t>RAM-VB-159-DAT1</t>
  </si>
  <si>
    <t>VEHICLE BASE 2007- CHEVY TAHOE</t>
  </si>
  <si>
    <t>RAM-VB-159</t>
  </si>
  <si>
    <t>VEHICLE SYSTEM 2005- JEEP WRANGLER</t>
  </si>
  <si>
    <t>RAM-VB-158-SW1</t>
  </si>
  <si>
    <t>VEHICLE BASE 2005- JEEP WRANGLER</t>
  </si>
  <si>
    <t>RAM-VB-158</t>
  </si>
  <si>
    <t>VEHICLE SYSTEM 2006- CHEVY MALIBU</t>
  </si>
  <si>
    <t>RAM-VB-157-SW1</t>
  </si>
  <si>
    <t>VEHICLE BASE 2006- CHEVY MALIBU</t>
  </si>
  <si>
    <t>RAM-VB-157</t>
  </si>
  <si>
    <t xml:space="preserve">VEHICLE SYSTEM 2005- KIA OPTIMA HYUNDIA </t>
  </si>
  <si>
    <t>RAM-VB-156-SW1</t>
  </si>
  <si>
    <t>VEHICLE SYSTEM 2009 NISSAN ALTIMA</t>
  </si>
  <si>
    <t>RAM-VB-156ST-SW1</t>
  </si>
  <si>
    <t>VEHICLE BASE 2009 NISSAN ALTIMA</t>
  </si>
  <si>
    <t>RAM-VB-156ST</t>
  </si>
  <si>
    <t>VEHICLE BASE 2005- KIA OPTIMA HYUNDIA SO</t>
  </si>
  <si>
    <t>RAM-VB-156</t>
  </si>
  <si>
    <t xml:space="preserve">VEHICLE SYSTEM 2004- NISSAN PATH XTERRA </t>
  </si>
  <si>
    <t>RAM-VB-154-SW1</t>
  </si>
  <si>
    <t>VEHICLE BASE 2004 - NISSAN PATH, XTERRA</t>
  </si>
  <si>
    <t>RAM-VB-154</t>
  </si>
  <si>
    <t>VEHICLE SYSTEM 2000- TOYOTA SIENNA</t>
  </si>
  <si>
    <t>RAM-VB-153-SW1</t>
  </si>
  <si>
    <t>VEHICLE BASE 2005- TOYOTA SIENNA</t>
  </si>
  <si>
    <t>RAM-VB-153</t>
  </si>
  <si>
    <t>VEHICLE SYSTEM 2000- FORD ESCAPE</t>
  </si>
  <si>
    <t>RAM-VB-152-SW1</t>
  </si>
  <si>
    <t>VEHICLE BASE 2000- FORD ESCAPE</t>
  </si>
  <si>
    <t>RAM-VB-152</t>
  </si>
  <si>
    <t>VEHICLE SYSTEM  SEATS INC.</t>
  </si>
  <si>
    <t>RAM-VB-151-SW1</t>
  </si>
  <si>
    <t>VEHICLE BASE SEATS INC.</t>
  </si>
  <si>
    <t>RAM-VB-151</t>
  </si>
  <si>
    <t>VEHICLE SYSTEM SCION XB 2005-NEWER</t>
  </si>
  <si>
    <t>RAM-VB-150-SW1</t>
  </si>
  <si>
    <t>VEHICLE BASE SCION XB 2005-NEWER</t>
  </si>
  <si>
    <t>RAM-VB-150</t>
  </si>
  <si>
    <t>VEHICLE SYSTEM TOYOTA HIGHLANDER 2005-</t>
  </si>
  <si>
    <t>RAM-VB-149-SW1</t>
  </si>
  <si>
    <t>VEHICLE BASE TOYOTA HIGHLANDER 2005-</t>
  </si>
  <si>
    <t>RAM-VB-149</t>
  </si>
  <si>
    <t>VEHICLE SYSTEM FORD FOCUS 2003-NEWER</t>
  </si>
  <si>
    <t>RAM-VB-148-SW1</t>
  </si>
  <si>
    <t>VEHICLE BASE FORD FOCUS 2003-NEWER</t>
  </si>
  <si>
    <t>RAM-VB-148</t>
  </si>
  <si>
    <t>VEHICLE SYSTEM W/TALL TELEPOLE</t>
  </si>
  <si>
    <t>RAM-VB-146T-SW1</t>
  </si>
  <si>
    <t>VEHICLE SYSTEM DODGE CARAVAN 1996-2007</t>
  </si>
  <si>
    <t>RAM-VB-146-SW1</t>
  </si>
  <si>
    <t>VEHICLE BASE DODGE CARAVAN 1996-2007</t>
  </si>
  <si>
    <t>RAM-VB-146</t>
  </si>
  <si>
    <t>VEHICLE SYSTEM CHRYSLER 300 2006- NEWER</t>
  </si>
  <si>
    <t>RAM-VB-145-SW1</t>
  </si>
  <si>
    <t>VEHICLE SYS POLICE MAG CHAR 2005-NEWER</t>
  </si>
  <si>
    <t>RAM-VB-145P-SW1</t>
  </si>
  <si>
    <t>VEHICLE BASE CHRYSLER 300 2006- NEWER</t>
  </si>
  <si>
    <t>RAM-VB-145</t>
  </si>
  <si>
    <t>VEHICLE SYSTEM KIA SORENTO 2006- NEWER</t>
  </si>
  <si>
    <t>RAM-VB-144-SW1</t>
  </si>
  <si>
    <t>VEHICLE BASE KIA SORENTO 2006- NEWER</t>
  </si>
  <si>
    <t>RAM-VB-144</t>
  </si>
  <si>
    <t>VEHICLE SYSTEM 2001- EXPRESS SAVANA VAN</t>
  </si>
  <si>
    <t>RAM-VB-143-SW1</t>
  </si>
  <si>
    <t>SUPPORT LEG 2001 - EXPRESS SAVANA VAN</t>
  </si>
  <si>
    <t>RAM-VB-143SL</t>
  </si>
  <si>
    <t>VEHICLE SYSTEM 2001- EXPRESS SAVANA Q1</t>
  </si>
  <si>
    <t>RAM-VB-143-SAM1</t>
  </si>
  <si>
    <t>RAM-VB-143-MOT8</t>
  </si>
  <si>
    <t>RAM-MNT-DISH 2001 - EXPRESS SAVANA VAN</t>
  </si>
  <si>
    <t>RAM-VB-143-DAT1</t>
  </si>
  <si>
    <t>VEHICLE BASE 2001 - EXPRESS SAVANA VAN</t>
  </si>
  <si>
    <t>RAM-VB-143</t>
  </si>
  <si>
    <t>VEHICLE SYSTEM 2005- GRAND CHEROKEE</t>
  </si>
  <si>
    <t>RAM-VB-142-SW1</t>
  </si>
  <si>
    <t>VEHICLE BASE 2005 - GRAND CHEROKEE</t>
  </si>
  <si>
    <t>RAM-VB-142</t>
  </si>
  <si>
    <t>VEHICLE SYSTEM 2003- JEEP LIBERTY</t>
  </si>
  <si>
    <t>RAM-VB-141-SW1</t>
  </si>
  <si>
    <t>VEHICLE BASE 2003 - JEEP LIBERTY</t>
  </si>
  <si>
    <t>RAM-VB-141</t>
  </si>
  <si>
    <t>VEHICLE SYSTEM  NATIONAL SEATING</t>
  </si>
  <si>
    <t>RAM-VB-140-SW1</t>
  </si>
  <si>
    <t>VEHICLE BASE NATIONAL SEATING</t>
  </si>
  <si>
    <t>RAM-VB-140</t>
  </si>
  <si>
    <t>VEHICLE SYSTEM 2004 - HONDA ACCORD</t>
  </si>
  <si>
    <t>RAM-VB-139-SW1</t>
  </si>
  <si>
    <t>VEHICLE BASE 2004 - HONDA ACCORD</t>
  </si>
  <si>
    <t>RAM-VB-139</t>
  </si>
  <si>
    <t>RAM VEHICLE BASE FOR TOYOTA 4-RUNNER AND TACOMA 2006 AND NEWER WITH X-GRIP FOR 10" TABLETS</t>
  </si>
  <si>
    <t>RAM-VB-138-UN9</t>
  </si>
  <si>
    <t>RAM VEHICLE BASE FOR TOYOTA 4-RUNNER AND TACOMA 2006 AND NEWER WITH X-GRIP FOR 12" TABLETS</t>
  </si>
  <si>
    <t>RAM-VB-138-UN11</t>
  </si>
  <si>
    <t>RAM SYSTEM NO TRAY 2006 - NEWER TOYOTA 4-RUNNER &amp; TACOMA</t>
  </si>
  <si>
    <t>RAM-VB-138-SW2</t>
  </si>
  <si>
    <t>VEHICLE SYSTEM 2006- TOYOTA 4-RUNNER</t>
  </si>
  <si>
    <t>RAM-VB-138-SW1</t>
  </si>
  <si>
    <t>VEHICLE SYSTEM TOYOTA HILANDER 2008</t>
  </si>
  <si>
    <t>RAM-VB-138ST2-SW1</t>
  </si>
  <si>
    <t>VEHICLE BASE TOYOTA HILANDER 2008</t>
  </si>
  <si>
    <t>RAM-VB-138ST2</t>
  </si>
  <si>
    <t>VEHICLE SYSTEM 2006- TOYOTA FJ</t>
  </si>
  <si>
    <t>RAM-VB-138ST1-SW1</t>
  </si>
  <si>
    <t>VEHICLE BASE 2006- TOYOTA FJ</t>
  </si>
  <si>
    <t>RAM-VB-138ST1</t>
  </si>
  <si>
    <t>VEHICLE BASE 2006- TOYOTA 4-RUNNER</t>
  </si>
  <si>
    <t>RAM-VB-138</t>
  </si>
  <si>
    <t>VEHICLE SYSTEM 2006 - HONDA CRV</t>
  </si>
  <si>
    <t>RAM-VB-135-SW1</t>
  </si>
  <si>
    <t>VEHICLE SYSTEM 2006 - HONDA ELEMENT</t>
  </si>
  <si>
    <t>RAM-VB-135MH1-SW1</t>
  </si>
  <si>
    <t>VEHICLE BASE 2006 - HONDA ELEMENT</t>
  </si>
  <si>
    <t>RAM-VB-135MH1</t>
  </si>
  <si>
    <t>VEHICLE BASE 2006 - HONDA CRV</t>
  </si>
  <si>
    <t>RAM-VB-135</t>
  </si>
  <si>
    <t>VEHICLE SYSTEM 2006- NISSAN TITAN</t>
  </si>
  <si>
    <t>RAM-VB-134-SW1</t>
  </si>
  <si>
    <t>VEHICLE BASE 2006- NISSAN TITAN</t>
  </si>
  <si>
    <t>RAM-VB-134</t>
  </si>
  <si>
    <t>VEHICLE SYSTEM 2006 - TOYOTA TUNDRA</t>
  </si>
  <si>
    <t>RAM-VB-133-SW1</t>
  </si>
  <si>
    <t>VEHICLE BASE 2006 - TOYOTA TUNDRA</t>
  </si>
  <si>
    <t>RAM-VB-133</t>
  </si>
  <si>
    <t>VEHICLE SYSTEM 2006 - HONDA RIDGELINE</t>
  </si>
  <si>
    <t>RAM-VB-132-SW1</t>
  </si>
  <si>
    <t>VEHICLE BASE 2006 - HONDA RIDGELINE</t>
  </si>
  <si>
    <t>RAM-VB-132</t>
  </si>
  <si>
    <t>VEHICLE SYSTEM 2000- 2500, 3500 SU POWER</t>
  </si>
  <si>
    <t>RAM-VB-131-SW1</t>
  </si>
  <si>
    <t>RAM-VB-131R4-SW1</t>
  </si>
  <si>
    <t>VEHICLE BASE 2000- 2500, 3500 SU POWER</t>
  </si>
  <si>
    <t>RAM-VB-131R4</t>
  </si>
  <si>
    <t>RAM-VB-131-MOT8</t>
  </si>
  <si>
    <t>VEHICLE SYSTEM 2000- HUMMER H2 POWER</t>
  </si>
  <si>
    <t>RAM-VB-131A-SW1</t>
  </si>
  <si>
    <t>RAM-MNT-DISH VEHICLE BASE 2000 HUMMER H2</t>
  </si>
  <si>
    <t>RAM-VB-131A-DAT1</t>
  </si>
  <si>
    <t>VEHICLE BASE 2000- HUMMER H2</t>
  </si>
  <si>
    <t>RAM-VB-131A</t>
  </si>
  <si>
    <t>RAM-VB-131</t>
  </si>
  <si>
    <t>RAM SYSTEM NO TRAY 04 &amp; NEWER - DURANGO</t>
  </si>
  <si>
    <t>RAM-VB-130-SW2</t>
  </si>
  <si>
    <t>VEHICLE SYSTEM 2004 &amp; NEWER - DURANGO</t>
  </si>
  <si>
    <t>RAM-VB-130-SW1</t>
  </si>
  <si>
    <t>VEHICLE BASE 2004-2010 - DURANGO</t>
  </si>
  <si>
    <t>RAM-VB-130</t>
  </si>
  <si>
    <t>VEHICLE SYSTEM 2005 - MAGNUM CHARGER</t>
  </si>
  <si>
    <t>RAM-VB-129-SW1</t>
  </si>
  <si>
    <t>VEHICLE SYSTEM 2014-21  RAM PROMASTER</t>
  </si>
  <si>
    <t>RAM-VB-129-A-SW1</t>
  </si>
  <si>
    <t xml:space="preserve">VEHICLE BASE 2005 - MAGNUM CHARGER  </t>
  </si>
  <si>
    <t>RAM-VB-129</t>
  </si>
  <si>
    <t>VEHICLE SYSTEM DODGE RAM 2500 3500</t>
  </si>
  <si>
    <t>RAM-VB-127-SW1</t>
  </si>
  <si>
    <t>VEHICLE BASE DODGE RAM 2500 3500 1994-02</t>
  </si>
  <si>
    <t>RAM-VB-127</t>
  </si>
  <si>
    <t>VEHICLE SYSTEM 1996-NEWER CARAVAN</t>
  </si>
  <si>
    <t>RAM-VB-121-SW1</t>
  </si>
  <si>
    <t>VEHICLE BASE 1996-NEWER CARAVAN</t>
  </si>
  <si>
    <t>RAM-VB-121</t>
  </si>
  <si>
    <t>VEHICLE SYSTEM 2004-NEWER FREESTAR</t>
  </si>
  <si>
    <t>RAM-VB-120-SW1</t>
  </si>
  <si>
    <t>VEHICLE SYSTEM 1995-NEWER ECONOLINE VAN</t>
  </si>
  <si>
    <t>RAM-VB-119-SW1</t>
  </si>
  <si>
    <t>VEHICLE SYSTEM ECONOLINE SECURE</t>
  </si>
  <si>
    <t>RAM-VB-119-R1-SNMU</t>
  </si>
  <si>
    <t>RAM-VB-119-MOT8</t>
  </si>
  <si>
    <t>VEHICLE 1995-NEWER ECONOLINE VAN NO TRAY</t>
  </si>
  <si>
    <t>RAM-VB-119-INC1</t>
  </si>
  <si>
    <t>RAM-MNT-DISH 1995-NEWER ECONOLINE VAN</t>
  </si>
  <si>
    <t>RAM-VB-119-DAT1</t>
  </si>
  <si>
    <t>VEHICLE BASE 1995-NEWER ECONOLINE VAN</t>
  </si>
  <si>
    <t>RAM-VB-119</t>
  </si>
  <si>
    <t>VEHICLE SYST 1998-2001 JEEP SE, CLASSIC</t>
  </si>
  <si>
    <t>RAM-VB-118-SW1</t>
  </si>
  <si>
    <t>VEHICLE BASE 1998-2001 JEEP SE, CLASSIC</t>
  </si>
  <si>
    <t>RAM-VB-118</t>
  </si>
  <si>
    <t>VEHICLE SYST 1993- CAMARO 1991-CROWN VIC</t>
  </si>
  <si>
    <t>RAM-VB-117-SW1</t>
  </si>
  <si>
    <t>VEHICLE SYST 1993- CAMARO 1991- W/ 243</t>
  </si>
  <si>
    <t>RAM-VB-117-243</t>
  </si>
  <si>
    <t>VEHICLE BASE 1993- CAMARO 1991-CROWN VIC</t>
  </si>
  <si>
    <t>RAM-VB-117</t>
  </si>
  <si>
    <t>VEHICLE SYSTEM 2004 &amp; NEWER COLORADO</t>
  </si>
  <si>
    <t>RAM-VB-116-SW1</t>
  </si>
  <si>
    <t>VEHICLE BASE 2004 &amp; NEW COLORADO NO RISE</t>
  </si>
  <si>
    <t>RAM-VB-116NR</t>
  </si>
  <si>
    <t>VEH SYS 2004 NEWER COLORADO CANYON CREW</t>
  </si>
  <si>
    <t>RAM-VB-116A-SW1</t>
  </si>
  <si>
    <t>VEH BASE 2004 NEWER CANYON COLORADO CREW</t>
  </si>
  <si>
    <t>RAM-VB-116A</t>
  </si>
  <si>
    <t>VEHICLE BASE 2004 &amp; NEWER COLORADO</t>
  </si>
  <si>
    <t>RAM-VB-116</t>
  </si>
  <si>
    <t>VEHICLE SYSTEM 1995-NEWER TAURUS</t>
  </si>
  <si>
    <t>RAM-VB-115-SW1</t>
  </si>
  <si>
    <t>VEHICLE BASE 1995-NEWER TAURUS</t>
  </si>
  <si>
    <t>RAM-VB-115</t>
  </si>
  <si>
    <t>VEHICLE SYSTEM 2002- TRAIL BLAZER, ENVOY</t>
  </si>
  <si>
    <t>RAM-VB-114-SW1</t>
  </si>
  <si>
    <t>VEHICLE BASE 2002- TRAIL BLAZER, ENVOY</t>
  </si>
  <si>
    <t>RAM-VB-114</t>
  </si>
  <si>
    <t>VEHICLE SYSTEM 1994-NEWER RANGER</t>
  </si>
  <si>
    <t>RAM-VB-113-SW1</t>
  </si>
  <si>
    <t>VEHICLE SYSTEM 1994-NEWER RANGER PIVOT</t>
  </si>
  <si>
    <t>RAM-VB-113-PV1</t>
  </si>
  <si>
    <t>VEHICLE BASE 1994-NEWER RANGER NO RISER</t>
  </si>
  <si>
    <t>RAM-VB-113NR</t>
  </si>
  <si>
    <t>RAM-MNT-DISH BASE 1994-NEWER RANGER</t>
  </si>
  <si>
    <t>RAM-VB-113-DAT1</t>
  </si>
  <si>
    <t>VEHICLE BASE 1994-NEWER RANGER</t>
  </si>
  <si>
    <t>RAM-VB-113</t>
  </si>
  <si>
    <t>VEHICLE SYSTEM 2002-2010 EXPLORER</t>
  </si>
  <si>
    <t>RAM-VB-112-SW1</t>
  </si>
  <si>
    <t>VEHICLE BASE 2002-2010 EXPLORER</t>
  </si>
  <si>
    <t>RAM-VB-112</t>
  </si>
  <si>
    <t>VEHICLE SYSTEM 2000-2005 IMPALA</t>
  </si>
  <si>
    <t>RAM-VB-111-SW1</t>
  </si>
  <si>
    <t>VEHICLE BASE 2000-2005 IMPALA</t>
  </si>
  <si>
    <t>RAM-VB-111</t>
  </si>
  <si>
    <t>UNPKD RAM SING SWG ARM TELE POLE BASE</t>
  </si>
  <si>
    <t>RAM-VB-110V-2U</t>
  </si>
  <si>
    <t>UNPKD RAM DBL SWING ARM TELEPOLE BASE</t>
  </si>
  <si>
    <t>RAM-VB-110V-1U</t>
  </si>
  <si>
    <t>SYSTEM NO TRAY 1997-03 EXPEDITION, F150</t>
  </si>
  <si>
    <t>RAM-VB-110-SW2</t>
  </si>
  <si>
    <t>VEHICLE SYSTEM 1997-03 EXPEDITION, F150</t>
  </si>
  <si>
    <t>RAM-VB-110-SW1</t>
  </si>
  <si>
    <t>UNPKD RAM DBL SWING ARM W/ CURVED ARM</t>
  </si>
  <si>
    <t>RAM-VB-110-6U</t>
  </si>
  <si>
    <t>UNPKD RAM SING SWNG ARM W/BALL TELE-POLE</t>
  </si>
  <si>
    <t>RAM-VB-110-5U</t>
  </si>
  <si>
    <t>UNPKD RAM SING SWNG ARM W/NO BALL BASE</t>
  </si>
  <si>
    <t>RAM-VB-110-5NBU</t>
  </si>
  <si>
    <t>RAM-VB-110-5-DIS1U</t>
  </si>
  <si>
    <t>UNPKD RAM DBL SWNG ARM NO BALL TELE-POLE</t>
  </si>
  <si>
    <t>RAM-VB-110-4U</t>
  </si>
  <si>
    <t>UNPKD RAM DBL SWNG ARM NO BALL LOCKING</t>
  </si>
  <si>
    <t>RAM-VB-110-4LU</t>
  </si>
  <si>
    <t>VEHICLE SYSTEM 1997-03 EXPEDITION W/ 243</t>
  </si>
  <si>
    <t>RAM-VB-110-243</t>
  </si>
  <si>
    <t>RAM-VB-110-1U</t>
  </si>
  <si>
    <t>UNPK RAM DBL SWING ARM W OCT SOCKET ARM</t>
  </si>
  <si>
    <t>RAM-VB-110-1NBU</t>
  </si>
  <si>
    <t>UNPKD RAM DBL SWING ARM OCT SOCKET LOCK</t>
  </si>
  <si>
    <t>RAM-VB-110-1LU</t>
  </si>
  <si>
    <t>UNPKD RAM DBL SWING ARM W DBL FLANGE HAR</t>
  </si>
  <si>
    <t>RAM-VB-110-1DFU</t>
  </si>
  <si>
    <t>VEHICLE BASE 1997-03 EXPEDITION, F150</t>
  </si>
  <si>
    <t>RAM-VB-110</t>
  </si>
  <si>
    <t>VEHICLE SYSTEM 2004-NEWER F150</t>
  </si>
  <si>
    <t>RAM-VB-109-SW1</t>
  </si>
  <si>
    <t>VEHICLE SYSTEM FORD F150 BASE PIVOT</t>
  </si>
  <si>
    <t>RAM-VB-109-PV1</t>
  </si>
  <si>
    <t>VEHICLE BASE 2004-NEWER F150 NO RISER</t>
  </si>
  <si>
    <t>RAM-VB-109NR</t>
  </si>
  <si>
    <t>VEHICLE SYSTEM FORD F-150</t>
  </si>
  <si>
    <t>RAM-VB-109-MOT8</t>
  </si>
  <si>
    <t>RAM-VB-109A-SW1</t>
  </si>
  <si>
    <t>VEHICLE BASE 2004-NEWER F150</t>
  </si>
  <si>
    <t>RAM-VB-109A</t>
  </si>
  <si>
    <t>RAM® 12" Curved Double Swing Arm with Socket Arm &amp; Round PlateUNPKD RAM DBL SWING ARM W/ CURVED ARM</t>
  </si>
  <si>
    <t>RAM-VB-109-6U</t>
  </si>
  <si>
    <t>RAM-VB-109-5U</t>
  </si>
  <si>
    <t>RAM-VB-109-4U</t>
  </si>
  <si>
    <t>UNPKD RAM EXT. SWING ARM FOR TELE-POLE</t>
  </si>
  <si>
    <t>RAM-VB-109-3U</t>
  </si>
  <si>
    <t>UNPKD RAM SWG ARM W/ SOCKET TELE-POLE</t>
  </si>
  <si>
    <t>RAM-VB-109-2U</t>
  </si>
  <si>
    <t>VEHICLE SYSTEM 2004-NEWER F150 W/ 243</t>
  </si>
  <si>
    <t>RAM-VB-109-243</t>
  </si>
  <si>
    <t>UNPKD RAM DBL SWING ARM W FOR TELE-POLE</t>
  </si>
  <si>
    <t>RAM-VB-109-1U</t>
  </si>
  <si>
    <t>RAM-VB-109</t>
  </si>
  <si>
    <t>VEHICLE SYST 1990-95 CAPRICE 1991-CROWN</t>
  </si>
  <si>
    <t>RAM-VB-107-SW1</t>
  </si>
  <si>
    <t>VEHICLE BASE 1990-95 CAPRICE 1991-CROWN</t>
  </si>
  <si>
    <t>RAM-VB-107</t>
  </si>
  <si>
    <t>SYSTEM NO TRAY 93- CAMARO 1991-CROWN VIC</t>
  </si>
  <si>
    <t>RAM-VB-106-SW2</t>
  </si>
  <si>
    <t>RAM-VB-106-SW1</t>
  </si>
  <si>
    <t>VEHICLE SYSTEM DODGE SPRINTER VAN</t>
  </si>
  <si>
    <t>RAM-VB-106R4-SW1</t>
  </si>
  <si>
    <t>VEHICLE BASE DODGE SPRINTER VAN</t>
  </si>
  <si>
    <t>RAM-VB-106R4</t>
  </si>
  <si>
    <t>VEHICLE SYST 1993- CAMARO W/ TOUGH DOCK</t>
  </si>
  <si>
    <t>RAM-VB-106-PAN1P</t>
  </si>
  <si>
    <t>RAM-VB-106</t>
  </si>
  <si>
    <t>VEHICLE SYSTEM 1997- DAKOTA, DURANGO</t>
  </si>
  <si>
    <t>RAM-VB-105-SW1</t>
  </si>
  <si>
    <t>RAM-VB-105-MOT8</t>
  </si>
  <si>
    <t>VEHICLE BASE 1997- DAKOTA, DURANGO</t>
  </si>
  <si>
    <t>RAM-VB-105</t>
  </si>
  <si>
    <t>VEHICLE SYSTEM RAM 1500, RAM 2500/3500</t>
  </si>
  <si>
    <t>RAM-VB-104-SW1</t>
  </si>
  <si>
    <t>VEHICLE BASE RAM 1500, RAM 2500 NO RISER</t>
  </si>
  <si>
    <t>RAM-VB-104NR</t>
  </si>
  <si>
    <t>RAM-VB-104-MOT8</t>
  </si>
  <si>
    <t>RAM-MNT-DISH BASE RAM 1500 RAM 2500/3500</t>
  </si>
  <si>
    <t>RAM-VB-104-DAT1</t>
  </si>
  <si>
    <t>VEHICLE BASE RAM 1500, RAM 2500/3500</t>
  </si>
  <si>
    <t>RAM-VB-104</t>
  </si>
  <si>
    <t>VEHICLE SYST 1500, 2500, 3500, SILVERADO</t>
  </si>
  <si>
    <t>RAM-VB-103-SW1</t>
  </si>
  <si>
    <t>VEHICLE BASE 1500, 2500, 3500, SILVERADO</t>
  </si>
  <si>
    <t>RAM-VB-103</t>
  </si>
  <si>
    <t>VEHICLE SYSTEM 2000- 2500, 3500</t>
  </si>
  <si>
    <t>RAM-VB-102-SW1</t>
  </si>
  <si>
    <t>VEHICLE BASE 2000- 2500, 3500 NO RISER</t>
  </si>
  <si>
    <t>RAM-VB-102NR</t>
  </si>
  <si>
    <t>VEHICLE BASE 2000- 2500, 3500 SUBURB</t>
  </si>
  <si>
    <t>RAM-VB-102</t>
  </si>
  <si>
    <t>VEHICLE SYST 1995- SONOMA BLAZ S10 JIMMY</t>
  </si>
  <si>
    <t>RAM-VB-101-SW1</t>
  </si>
  <si>
    <t>VEHICLE BASE 1995- SONOMA BLAZ S10 JIMMY</t>
  </si>
  <si>
    <t>RAM-VB-101</t>
  </si>
  <si>
    <t>PROFESSIONAL BLACK TRIPOD W HANDI-CASE</t>
  </si>
  <si>
    <t>RAM-TRIPOD1-HC1U</t>
  </si>
  <si>
    <t>PROFESSIONAL BLACK TRIPOD W IPAD HOLDER</t>
  </si>
  <si>
    <t>RAM-TRIPOD1-AP8</t>
  </si>
  <si>
    <t>PROFESSIONAL BLACK TRIPOD TOUGH TRAY II</t>
  </si>
  <si>
    <t>RAM-TRIPOD1-234-6</t>
  </si>
  <si>
    <t>PROFESSIONAL BLACK TRIPOD W TOUGH TRAY</t>
  </si>
  <si>
    <t>RAM-TRIPOD1-234-3</t>
  </si>
  <si>
    <t>PROFESSIONAL BLACK METAL TRIPOD 21"-58"</t>
  </si>
  <si>
    <t>RAM-TRIPOD1</t>
  </si>
  <si>
    <t>UNPKD RAM 8" HAND-TRACK W CENTER CONNECT</t>
  </si>
  <si>
    <t>RAM-TRACK-HC-8U</t>
  </si>
  <si>
    <t>RAM 8" HAND-TRACK W CENTER CONNECT</t>
  </si>
  <si>
    <t>RAM-TRACK-HC-8</t>
  </si>
  <si>
    <t>UNPKD RAM 6" HAND-TRACK W CENTER CONNECT</t>
  </si>
  <si>
    <t>RAM-TRACK-HC-6U</t>
  </si>
  <si>
    <t>RAM 6" HAND-TRACK W CENTER CONNECT</t>
  </si>
  <si>
    <t>RAM-TRACK-HC-6</t>
  </si>
  <si>
    <t>UNPKD RAM 4" HAND-TRACK W CENTER CONNECT</t>
  </si>
  <si>
    <t>RAM-TRACK-HC-4U</t>
  </si>
  <si>
    <t>RAM 4" HAND-TRACK W CENTER CONNECT</t>
  </si>
  <si>
    <t>RAM-TRACK-HC-4</t>
  </si>
  <si>
    <t>UNPK RAM 30" HAND-TRACK W CENTER CONNECT</t>
  </si>
  <si>
    <t>RAM-TRACK-HC-30U</t>
  </si>
  <si>
    <t>UNPK RAM 18" HAND-TRACK W CENTER CONNECT</t>
  </si>
  <si>
    <t>RAM-TRACK-HC-18U</t>
  </si>
  <si>
    <t>UNPK RAM 15" HAND-TRACK W CENTER CONNECT</t>
  </si>
  <si>
    <t>RAM-TRACK-HC-15U</t>
  </si>
  <si>
    <t>UNPK RAM 12" HAND-TRACK W CENTER CONNECT</t>
  </si>
  <si>
    <t>RAM-TRACK-HC-12U</t>
  </si>
  <si>
    <t>UNPK RAM 10" HAND-TRACK W CENTER CONNECT</t>
  </si>
  <si>
    <t>RAM-TRACK-HC-10U</t>
  </si>
  <si>
    <t>UNPKD RAM 8" HAND-TRACK W END CAPS</t>
  </si>
  <si>
    <t>RAM-TRACK-H8U</t>
  </si>
  <si>
    <t>RETAIL RAM 8" HAND-TRACK W END CAPS</t>
  </si>
  <si>
    <t>RAM-TRACK-H8</t>
  </si>
  <si>
    <t>UNPKD RAM 6" HAND-TRACK W END CAPS</t>
  </si>
  <si>
    <t>RAM-TRACK-H6U</t>
  </si>
  <si>
    <t>RAM 6" HAND-TRACK W END CAPS</t>
  </si>
  <si>
    <t>RAM-TRACK-H6</t>
  </si>
  <si>
    <t>UNPKD RAM 4" HAND-TRACK W END CAPS</t>
  </si>
  <si>
    <t>RAM-TRACK-H4U</t>
  </si>
  <si>
    <t>RETAIL RAM 4" HAND-TRACK W END CAPS</t>
  </si>
  <si>
    <t>RAM-TRACK-H4</t>
  </si>
  <si>
    <t>UNPKD RAM 3.39" HAND-TRACK W END CAPS</t>
  </si>
  <si>
    <t>RAM-TRACK-H339U</t>
  </si>
  <si>
    <t>UNPKD RAM 30" HAND-TRACK W END CAPS</t>
  </si>
  <si>
    <t>RAM-TRACK-H30U</t>
  </si>
  <si>
    <t>UNPKD RAM 18" HAND-TRACK W END CAPS</t>
  </si>
  <si>
    <t>RAM-TRACK-H18U</t>
  </si>
  <si>
    <t>RETAIL RAM 18" HAND-TRACK W END CAPS</t>
  </si>
  <si>
    <t>RAM-TRACK-H18</t>
  </si>
  <si>
    <t>UNPKD RAM 15" HAND-TRACK W END CAPS</t>
  </si>
  <si>
    <t>RAM-TRACK-H15U</t>
  </si>
  <si>
    <t>RETAIL RAM 15" HAND-TRACK W END CAPS</t>
  </si>
  <si>
    <t>RAM-TRACK-H15</t>
  </si>
  <si>
    <t>UNPKD RAM 12" HAND-TRACK W END CAPS</t>
  </si>
  <si>
    <t>RAM-TRACK-H12U</t>
  </si>
  <si>
    <t>RETAIL RAM 12" HAND-TRACK W END CAPS</t>
  </si>
  <si>
    <t>RAM-TRACK-H12</t>
  </si>
  <si>
    <t>UNPKD RAM 10" HAND-TRACK W END CAPS</t>
  </si>
  <si>
    <t>RAM-TRACK-H10U</t>
  </si>
  <si>
    <t>RETAIL RAM 10" HAND-TRACK W END CAPS</t>
  </si>
  <si>
    <t>RAM-TRACK-H10</t>
  </si>
  <si>
    <t>UNPKD 9" EXTRUDED ALUM TRACK W/ END CAPS</t>
  </si>
  <si>
    <t>RAM-TRACK-EXA-9U</t>
  </si>
  <si>
    <t>UNPKD 9" BLACK EXTRUDED ALUM TRACK W/ END CAPS</t>
  </si>
  <si>
    <t>RAM-TRACK-EXA-9BU</t>
  </si>
  <si>
    <t xml:space="preserve">UNPKD 9" BLACK EXTRUDED ALUM TRACK W/ END CAPS AND TOUGH MAG FOR </t>
  </si>
  <si>
    <t>RAM-TRACK-EXA-9B-MAG88U</t>
  </si>
  <si>
    <t>9" EXTRUDED ALUMINUM TRACK W/ END CAPS</t>
  </si>
  <si>
    <t>RAM-TRACK-EXA-9</t>
  </si>
  <si>
    <t>UNPKD 5" EXTRUDED ALUM TRACK W/ END CAPS</t>
  </si>
  <si>
    <t>RAM-TRACK-EXA-5U</t>
  </si>
  <si>
    <t>UNPKD 5" BLACK EXTRUDED ALUM TRACK W/ END CAPS</t>
  </si>
  <si>
    <t>RAM-TRACK-EXA-5BU</t>
  </si>
  <si>
    <t>5" EXTRUDED ALUMINUM TRACK W/ END CAPS</t>
  </si>
  <si>
    <t>RAM-TRACK-EXA-5</t>
  </si>
  <si>
    <t>UNPKD 3" EXTRUDED ALUM TRACK W/ END CAPS</t>
  </si>
  <si>
    <t>RAM-TRACK-EXA-3U</t>
  </si>
  <si>
    <t>UNPKD 3" BLACK EXTRUDED ALUM TRACK W/ END CAPS</t>
  </si>
  <si>
    <t>RAM-TRACK-EXA-3BU</t>
  </si>
  <si>
    <t>3" EXTRUDED ALUMINUM TRACK W/ END CAPS</t>
  </si>
  <si>
    <t>RAM-TRACK-EXA-3</t>
  </si>
  <si>
    <t>UNPKD 17" EXTRUDED ALUM TRACK W END CAPS</t>
  </si>
  <si>
    <t>RAM-TRACK-EXA-17U</t>
  </si>
  <si>
    <t>UNPKD 17" BLACK EXTRUDED ALUM TRACK W END CAPS</t>
  </si>
  <si>
    <t>RAM-TRACK-EXA-17BU</t>
  </si>
  <si>
    <t>17" EXTRUDED ALUMINUM TRACK W END CAPS</t>
  </si>
  <si>
    <t>RAM-TRACK-EXA-17</t>
  </si>
  <si>
    <t>UNPKD 13" EXTRUDED ALUM TRACK W END CAPS</t>
  </si>
  <si>
    <t>RAM-TRACK-EXA-13U</t>
  </si>
  <si>
    <t>UNPKD 13" BLACK EXTRUDED ALUM TRACK W END CAPS</t>
  </si>
  <si>
    <t>RAM-TRACK-EXA-13BU</t>
  </si>
  <si>
    <t>13" EXTRUDED ALUMINUM TRACK W/ END CAPS</t>
  </si>
  <si>
    <t>RAM-TRACK-EXA-13</t>
  </si>
  <si>
    <t>RAM X-GRIP TETHER FOR UN7 AND UN10</t>
  </si>
  <si>
    <t>RAM-TETHER1U</t>
  </si>
  <si>
    <t>RAM-TETHER1</t>
  </si>
  <si>
    <t>UNPKD RAM TOUGH-CASE WITH COILED CABLE FOR TAB A 8.0 2018 SM-T387</t>
  </si>
  <si>
    <t>RAM-TC-SAM67-387U</t>
  </si>
  <si>
    <t>UNPKD RAM TOUGH-CASE WITH COILED CABLE FOR TAB A 8.4 2020 SM-T307</t>
  </si>
  <si>
    <t>RAM-TC-SAM67-307U</t>
  </si>
  <si>
    <t>UNPKD RAM TOUGH-CASE WITH 90 DEGREE CABLE FOR TAB A 8.4 2020 SM-T307</t>
  </si>
  <si>
    <t>RAM-TC-SAM67-307SU</t>
  </si>
  <si>
    <t>UNPKD RAM TOUGH-CASE WITH COILED CABLE FOR TAB A 8.0 2019 SM-T290</t>
  </si>
  <si>
    <t>RAM-TC-SAM67-290U</t>
  </si>
  <si>
    <t>UNPKD RAM TOUGH-CASE WITH 90 DEGREE CABLE FOR TAB A 8.0 2019 SM-T290</t>
  </si>
  <si>
    <t>RAM-TC-SAM67-290SU</t>
  </si>
  <si>
    <t>UNPKD RAM TOUGH-CASE WITH COILED CABLE FOR TAB ACTIVE PRO</t>
  </si>
  <si>
    <t>RAM-TC-SAM54U</t>
  </si>
  <si>
    <t>RAM-TC-SAM54CU</t>
  </si>
  <si>
    <t>UNPKD RAM TOUGH-CASE HARD WIRED FOR SAMSUNG TAB A 10.1 SM-T510, A7 10.4 SM-T500, S6 LITE 10.4 SM-P615</t>
  </si>
  <si>
    <t>RAM-TC-SAM50U</t>
  </si>
  <si>
    <t>UNPKD RAM TOUGH-CASE 90 DEGREE CABLE FOR SAMSUNG TAB A 10.1 SM-T510, A7 10.4 SM-T500, S6 LITE 10.4 SM-P615</t>
  </si>
  <si>
    <t>RAM-TC-SAM50SU</t>
  </si>
  <si>
    <t>UNPKD RAM TOUGH-CASE WITH COILED CABLE USB TYPE C TO TYPE A FOR TAB ACTIVE2 &amp; TAB ACTIVE3</t>
  </si>
  <si>
    <t>RAM-TC-SAM29U</t>
  </si>
  <si>
    <t>UNPKD RAM TOUGH-CASE WITH COILED CABLE TYPE-C TO TYPE-C FOR TAB ACTIVE2 &amp; TAB ACTIVE3</t>
  </si>
  <si>
    <t>RAM-TC-SAM29CU</t>
  </si>
  <si>
    <t>UNPKD RAM TOUGH-CASE WITH 90 DEGREE CABLE TYPE-C TO TYPE-C FOR TAB ACTIVE2 &amp; TAB ACTIVE3</t>
  </si>
  <si>
    <t>RAM-TC-SAM29CSU</t>
  </si>
  <si>
    <t>RAM HARDWARE FOR XM RADIO</t>
  </si>
  <si>
    <t>RAM-S-XM1U</t>
  </si>
  <si>
    <t>RAM DPST ROCKER SWITCH WITH LIGHT</t>
  </si>
  <si>
    <t>RAM-SWITCH-DPSTL</t>
  </si>
  <si>
    <t>1/4-20 X 1 1/4" ID X 2 1/2" STST U-BOLT</t>
  </si>
  <si>
    <t>RAM-SU2512U</t>
  </si>
  <si>
    <t>RAM SS WORM DRIVE STRAP NORTHROP GRUMMAN</t>
  </si>
  <si>
    <t>RAM-STRAP-NO2</t>
  </si>
  <si>
    <t>RAM SS WORM DRIVE STRAP CLAMP- BONANZA</t>
  </si>
  <si>
    <t>RAM-STRAP40</t>
  </si>
  <si>
    <t>RAM GDS SPEAKER WITH SOUND AMPLIFICATION AND PTT CAPABILITIES WITH SAE  CONNECTOR</t>
  </si>
  <si>
    <t>RAM-SPEAK-A03</t>
  </si>
  <si>
    <t>RAM GDS HARDWIRED SPEAKER WITH SOUND AMPLIFICATION AND PTT CAPABILITIES</t>
  </si>
  <si>
    <t>RAM-SPEAK-A02</t>
  </si>
  <si>
    <t>RAM GDS HARDWIRED SPEAKER WITH SOUND AMPLIFICATION</t>
  </si>
  <si>
    <t>RAM-SPEAK-A01</t>
  </si>
  <si>
    <t>RAM SEAT-MATE SYSTEM IN NO BAG</t>
  </si>
  <si>
    <t>RAM-SM1NB</t>
  </si>
  <si>
    <t>RAM SEAT-MATE SYSTEM W/ TRAY ASSEMBLED</t>
  </si>
  <si>
    <t>RAM-SM1-D-234-3A</t>
  </si>
  <si>
    <t>RAM SEAT-MATE SYSTEM W/ TOUGH TRAY</t>
  </si>
  <si>
    <t>RAM-SM1-D-234-3</t>
  </si>
  <si>
    <t>RAM SEAT-MATE SYSTEM W/ TOUGH TRAY II</t>
  </si>
  <si>
    <t>RAM-SM1-234-6</t>
  </si>
  <si>
    <t>RAM-SM1-234-3</t>
  </si>
  <si>
    <t>RAM SEAT-MATE SYSTEM W VESA MOUNT</t>
  </si>
  <si>
    <t>RAM-SM1-101-2461</t>
  </si>
  <si>
    <t>RAM SEAT-MATE SYSTEM W AMPS MOUNT</t>
  </si>
  <si>
    <t>RAM-SM1-101</t>
  </si>
  <si>
    <t>RAM SEAT-MATE SYSTEM IN FABRIC BAG</t>
  </si>
  <si>
    <t>RAM-SM1</t>
  </si>
  <si>
    <t>RAM SKIN FOR SAMSUNG GALAXY XCOVER7</t>
  </si>
  <si>
    <t>RAM-SKIN-SAM94</t>
  </si>
  <si>
    <t xml:space="preserve">RAM SKIN FOR SAMSUNG GALAXY TAB ACTIVE 5 </t>
  </si>
  <si>
    <t>RAM-SKIN-SAM91</t>
  </si>
  <si>
    <t>RAM SKIN FOR SAMSUNG GALAXY XCOVER 6 PRO</t>
  </si>
  <si>
    <t>RAM-SKIN-SAM84</t>
  </si>
  <si>
    <t>RAM SKIN FOR SAMSUNG GALAXY XCOVER 5</t>
  </si>
  <si>
    <t>RAM-SKIN-SAM79</t>
  </si>
  <si>
    <t>RAM SKIN FOR SAMSUNG GALAXY TAB ACTIVE</t>
  </si>
  <si>
    <t>RAM-SKIN-SAM73</t>
  </si>
  <si>
    <t>RAM SKIN FOR SAMSUNG GALAXY TAB ACTIVE PRO AND TAB ACTIVE 4 PRO</t>
  </si>
  <si>
    <t>RAM-SKIN-SAM52-1</t>
  </si>
  <si>
    <t>RAM SKIN FOR SAMSUNG GALAXY TAB ACTIVE 2</t>
  </si>
  <si>
    <t>RAM-SKIN-SAM29</t>
  </si>
  <si>
    <t>UNPKD RAM SHOCK BUSTER 75MM VESA</t>
  </si>
  <si>
    <t>RAM-SHOCK-75U</t>
  </si>
  <si>
    <t>UNPK RAM SEC GIMB SHORT W/ 11" X 3" BASE</t>
  </si>
  <si>
    <t>RAM-SG-D-111U-C</t>
  </si>
  <si>
    <t>UNPK RAM SEC GIMB MOUNT W/ 11" X 3" BASE</t>
  </si>
  <si>
    <t>RAM-SG-D-111U</t>
  </si>
  <si>
    <t>RAM SEC GIMB MOUNT W/ 11" X 3" BASE</t>
  </si>
  <si>
    <t>RAM-SG-D-111</t>
  </si>
  <si>
    <t>RAM SECURE GIM ELECTRONICS MOUNT 6 1/4</t>
  </si>
  <si>
    <t>RAM-SG-B-111U</t>
  </si>
  <si>
    <t>RAM HARDWARE FOR GARMIN 7200</t>
  </si>
  <si>
    <t>RAM-S-G3U</t>
  </si>
  <si>
    <t>RAM HARDWARE FOR GARMIN 195,295, SPIII</t>
  </si>
  <si>
    <t>RAM-S-G1U</t>
  </si>
  <si>
    <t>UNPKD RAM SECURE GIM ELECTRONIC MOUNT</t>
  </si>
  <si>
    <t>RAM-SG-111U</t>
  </si>
  <si>
    <t>RAM SECURE GIM ELECTRONIC MOUNT</t>
  </si>
  <si>
    <t>RAM-SG-111</t>
  </si>
  <si>
    <t>UNPK RAM SECURITY SHORT W/ 11" X 3" BASE</t>
  </si>
  <si>
    <t>RAM-S-D-111U-C</t>
  </si>
  <si>
    <t>UNPK RAM SECURITY MOUNT W/ 11" X 3" BASE</t>
  </si>
  <si>
    <t>RAM-S-D-111U</t>
  </si>
  <si>
    <t>RAM SECURITY MOUNT W/ 11" X 3" BASE</t>
  </si>
  <si>
    <t>RAM-S-D-111</t>
  </si>
  <si>
    <t>UNPKD RAM SECURE ELECTRONICS MOUNT 6 1/4</t>
  </si>
  <si>
    <t>RAM-S-B-111U</t>
  </si>
  <si>
    <t>RAM SECURE ELECTRONICS MOUNT 6 1/4</t>
  </si>
  <si>
    <t>RAM-S-B-111</t>
  </si>
  <si>
    <t>UNPKD RAM SECURE ELECTRONIC MOUNT</t>
  </si>
  <si>
    <t>RAM-S-111U</t>
  </si>
  <si>
    <t>RAM SECURE ELECTRONIC MOUNT</t>
  </si>
  <si>
    <t>RAM-S-111</t>
  </si>
  <si>
    <t>RAIL MOUNT RUBBER CAP FOR 1/4" U-BOLT</t>
  </si>
  <si>
    <t>RAM-RUBCAP1UU-100</t>
  </si>
  <si>
    <t>UNPKD METAL LOCK FOR RAM TOUGH DOCK</t>
  </si>
  <si>
    <t>RAM-REP-LK-777</t>
  </si>
  <si>
    <t>RAM MALE CIGARETTE PLUG, 3M CABLE 5.5 PL</t>
  </si>
  <si>
    <t>RAM-POW-CIG-M55</t>
  </si>
  <si>
    <t>UNPKD RAM PRINTER MOUNT FOR ZEBRA ZQ630 PRINTER AND PAPER</t>
  </si>
  <si>
    <t>RAM-PM1-ZE31U</t>
  </si>
  <si>
    <t>RAM 9" FLEX ARM WITH 1/4" NPT ENDS</t>
  </si>
  <si>
    <t>RAM-PF-585-9</t>
  </si>
  <si>
    <t>RAM 6" FLEX ARM WITH 1/4" NPT ENDS</t>
  </si>
  <si>
    <t>RAM-PF-585-6</t>
  </si>
  <si>
    <t>RAM 24" FLEX ARM WITH 1/4" NPT ENDS</t>
  </si>
  <si>
    <t>RAM-PF-585-24</t>
  </si>
  <si>
    <t>RAM 18" FLEX ARM WITH 1/4" NPT ENDS</t>
  </si>
  <si>
    <t>RAM-PF-585-18</t>
  </si>
  <si>
    <t>RAM 12" FLEX ARM WITH 1/4" NPT ENDS</t>
  </si>
  <si>
    <t>RAM-PF-585-12</t>
  </si>
  <si>
    <t>UNPKD. RAM METAL PEN W/ LOGO</t>
  </si>
  <si>
    <t>RAM-PEN1U</t>
  </si>
  <si>
    <t>UNPKD REPLACEMENT SYM1 PCB SET</t>
  </si>
  <si>
    <t>RAM-PCB-SYM1P</t>
  </si>
  <si>
    <t>UNPKD LOCK FOR RAM TOUGH DOCK</t>
  </si>
  <si>
    <t>RAM-PAN1-LOCK</t>
  </si>
  <si>
    <t>1/2" X 24" LONG PIPE NIPPLE ALUMINUM</t>
  </si>
  <si>
    <t>RAM-PA8224</t>
  </si>
  <si>
    <t>1/2" X 18" LONG PIPE NIPPLE ALUMINUM</t>
  </si>
  <si>
    <t>RAM-PA8218</t>
  </si>
  <si>
    <t>1/2" X 12" LONG PIPE NIPPLE ALUMINUM</t>
  </si>
  <si>
    <t>RAM-PA8212</t>
  </si>
  <si>
    <t>1/2" X 9" LONG PIPE NIPPLE ALUMINUM</t>
  </si>
  <si>
    <t>RAM-PA8209</t>
  </si>
  <si>
    <t>1/2" X 6" LONG PIPE NIPPLE ALUMINUM</t>
  </si>
  <si>
    <t>RAM-PA8206</t>
  </si>
  <si>
    <t>1/2" X 4" LONG PIPE NIPPLE ALUMINUM</t>
  </si>
  <si>
    <t>RAM-PA8204</t>
  </si>
  <si>
    <t>1/4" X 24" LONG PIPE NIPPLE ALUMINUM</t>
  </si>
  <si>
    <t>RAM-PA5424</t>
  </si>
  <si>
    <t>1/4" X 18" LONG PIPE NIPPLE ALUMINUM</t>
  </si>
  <si>
    <t>RAM-PA5418</t>
  </si>
  <si>
    <t>1/4" X 12" LONG PIPE NIPPLE ALUMINUM</t>
  </si>
  <si>
    <t>RAM-PA5412</t>
  </si>
  <si>
    <t>1/4" X 9" LONG PIPE NIPPLE ALUMINIUM</t>
  </si>
  <si>
    <t>RAM-PA5409</t>
  </si>
  <si>
    <t>1/4" X 6" LONG PIPE NIPPLE ALUMINUM</t>
  </si>
  <si>
    <t>RAM-PA5406</t>
  </si>
  <si>
    <t>1/4" X 4" LONG PIPE NIPPLE ALUMINUM</t>
  </si>
  <si>
    <t>RAM-PA5404</t>
  </si>
  <si>
    <t>RAM 1" NPT END CAP</t>
  </si>
  <si>
    <t>RAM-PA131CAP</t>
  </si>
  <si>
    <t>1" NPT PIPE NIPPLE 24" LONG</t>
  </si>
  <si>
    <t>RAM-PA13124</t>
  </si>
  <si>
    <t>RAIL MOUNT NUT 1/4"-20 ZINC NYLOCK NUTS</t>
  </si>
  <si>
    <t>RAM-NUT25ZUU-100</t>
  </si>
  <si>
    <t>RAM MICROPHONE WITH COILED CORD 3.5MM MALE PLUG</t>
  </si>
  <si>
    <t>RAM-MIC-A01</t>
  </si>
  <si>
    <t>RAM MARI-RIVET ALUMINUM POP RIVET 4 QTY.</t>
  </si>
  <si>
    <t>RAM-MARI-RIVET-4U</t>
  </si>
  <si>
    <t>RAM-MARI-RIVET-4</t>
  </si>
  <si>
    <t>RAM MARI-NUT RUBBER EXPANSION BRASS NUT</t>
  </si>
  <si>
    <t>RAM-MARI-NUT-4U</t>
  </si>
  <si>
    <t>RAM-MARI-NUT-4</t>
  </si>
  <si>
    <t>UNPKD RAM 88MM DIA BASE ONLY</t>
  </si>
  <si>
    <t>RAM-MAG88DU</t>
  </si>
  <si>
    <t>UNPKD RAM 66MM DIA BASE WITH C SIZED BALL</t>
  </si>
  <si>
    <t>RAM-MAG66U</t>
  </si>
  <si>
    <t xml:space="preserve">RAM MAGNETIC BASE X WITH 8 MAGNETS FOR C OR D SIZE BALL 75X75 VESA </t>
  </si>
  <si>
    <t>RAM-MAG48-4U</t>
  </si>
  <si>
    <t>UNPKD RAM BIG SCREEN GPS MAGNIFR 2 X4 2X</t>
  </si>
  <si>
    <t>RAM-MAG-1U</t>
  </si>
  <si>
    <t>RAM BIG SCREEN GPS MAGNIFIER 2" X 4" 2X</t>
  </si>
  <si>
    <t>RAM-MAG-1</t>
  </si>
  <si>
    <t>UNPKD RAM THREAD EXTENDER</t>
  </si>
  <si>
    <t>RAM-M10125-TE</t>
  </si>
  <si>
    <t>UNPKD RAM REVERSE THREAD ADAPTER</t>
  </si>
  <si>
    <t>RAM-M10125-RTA</t>
  </si>
  <si>
    <t>UNPKD RAM 1.25 TO 1.5 THREAD ADAPTER</t>
  </si>
  <si>
    <t>RAM-M10125-M1015</t>
  </si>
  <si>
    <t>UNPKD UNI-CONN LEVER STOP WITH RIGHT LOCK</t>
  </si>
  <si>
    <t>RAM-LOCK-U1LRU</t>
  </si>
  <si>
    <t>UNPKD UNI-CONN LEVER STOP WITH LEFT LOCK</t>
  </si>
  <si>
    <t>RAM-LOCK-U1LLU</t>
  </si>
  <si>
    <t>3-3/4" ALUM T-KNOB FOR D SIZE HO HARDWAR</t>
  </si>
  <si>
    <t>RAM-KNOB9NHU</t>
  </si>
  <si>
    <t>UNPKD RAM ENLARGED HANDLE-WRENCH D SIZE</t>
  </si>
  <si>
    <t>RAM-KNOB9HU</t>
  </si>
  <si>
    <t>RAM ENLARGED HANDLE-WRENCH D SIZE</t>
  </si>
  <si>
    <t>RAM-KNOB9H</t>
  </si>
  <si>
    <t>KNOB W/ 3/8"-16 BRASS HOLE</t>
  </si>
  <si>
    <t>RAM-KNOB6U</t>
  </si>
  <si>
    <t>UNPKD KNOB W/ KEYED LOCK &amp; 3/8"-16 HOLE</t>
  </si>
  <si>
    <t>RAM-KNOB6LU</t>
  </si>
  <si>
    <t>UNPD KNOB W/ KEYED LOCK 3/8"-16 HOLE STE</t>
  </si>
  <si>
    <t>RAM-KNOB6LSU</t>
  </si>
  <si>
    <t>KNOB W/ KEYED LOCK &amp; 3/8"-16 BRASS HOLE</t>
  </si>
  <si>
    <t>RAM-KNOB6L</t>
  </si>
  <si>
    <t>KNOB W LOCK &amp; 5/16"-18 BRASS HOLE C SIZE</t>
  </si>
  <si>
    <t>RAM-KNOB5LU</t>
  </si>
  <si>
    <t>UNPD KNOB LOCK 5/16"-18 HOLE STEEL C SIZ</t>
  </si>
  <si>
    <t>RAM-KNOB5LSU</t>
  </si>
  <si>
    <t>RAM-KNOB5L</t>
  </si>
  <si>
    <t>KNOB ADAPTERS FOR TRACK SYSTEM</t>
  </si>
  <si>
    <t>RAM-KNOB3T-2U</t>
  </si>
  <si>
    <t>KNOB W/ LOCK &amp; 1/4"-20 BRASS HOLE B SIZE</t>
  </si>
  <si>
    <t>RAM-KNOB3LU</t>
  </si>
  <si>
    <t>KNOB W LOCK 1/4"-20 STEEL INSERT B SIZE</t>
  </si>
  <si>
    <t>RAM-KNOB3LSU</t>
  </si>
  <si>
    <t>RAM-KNOB3L</t>
  </si>
  <si>
    <t>2 1/2" LONG ALUMINUM T-KNOB</t>
  </si>
  <si>
    <t>RAM-KNOB11U</t>
  </si>
  <si>
    <t>RAM RUGGED USB KEYBOARD WITH NUMBER PAD</t>
  </si>
  <si>
    <t>RAM-KB4-USB</t>
  </si>
  <si>
    <t>RAM RUGGED USB KEYBOARD WITH TRACK PAD</t>
  </si>
  <si>
    <t>RAM-KB2-USB</t>
  </si>
  <si>
    <t>UNPKD RAM UNIVERSAL HAND STAND WITH HAND STRAP FOR 10" TABLETS</t>
  </si>
  <si>
    <t>RAM-HS2U</t>
  </si>
  <si>
    <t>RAM TETHER FOR UNIVERSAL HAND STRAND FOR 10" TABLETS</t>
  </si>
  <si>
    <t>RAM-HS2-TETHERU</t>
  </si>
  <si>
    <t>UNPKD RAM UNIVERSAL HAND STAND WITH MAGNETIC HAND STRAP FOR 10" TABLETS</t>
  </si>
  <si>
    <t>RAM-HS2MU</t>
  </si>
  <si>
    <t>UNPKD RAM UNIVERSAL HAND STAND WITH HAND STRAP FOR 8" TABLETS</t>
  </si>
  <si>
    <t>RAM-HS1U</t>
  </si>
  <si>
    <t>RAM HAND STAND OTTER UNIVERSE TABLET</t>
  </si>
  <si>
    <t>RAM-HS1-OT3U</t>
  </si>
  <si>
    <t>UNKD RAM OTTER UNIVERSE ADAPTER AND HANDSTAND</t>
  </si>
  <si>
    <t>RAM-HS1-OT3BU</t>
  </si>
  <si>
    <t>UNPKD RAM UNIVERSAL HAND STAND WITH MAGNETIC HAND STRAP FOR 8" TABLETS</t>
  </si>
  <si>
    <t>RAM-HS1MU</t>
  </si>
  <si>
    <t>UNPKD RAM QUICK DRAW SCANNER GUN HOLDER FOR ZEBRA TC8000 AND TC8300</t>
  </si>
  <si>
    <t>RAM-HOL-ZE9U</t>
  </si>
  <si>
    <t>RAM POWER ONLY SPRING LOADED CRADLE FOR ZEBRA TC70, 72, 75 &amp; 77</t>
  </si>
  <si>
    <t>RAM-HOL-ZE7U</t>
  </si>
  <si>
    <t>RAM SPRING LOADED CRADLE, NO POWER, FOR ZEBRA TC70 &amp; TC75</t>
  </si>
  <si>
    <t>RAM-HOL-ZE7-NPU</t>
  </si>
  <si>
    <t>RAM-HOL-ZE7-NP-2U</t>
  </si>
  <si>
    <t>RAM KEYED LOCKING POWER ONLY SPRING LOADED CRADLE FOR ZEBRA TC70 &amp; TC75</t>
  </si>
  <si>
    <t>RAM-HOL-ZE7LU</t>
  </si>
  <si>
    <t>RAM KEYED LOCKING POWER ONLY SPRING LOADED CRADLE FOR ZEBRA TC70 &amp; TC75 WITH CIGARETTE PLUG</t>
  </si>
  <si>
    <t>RAM-HOL-ZE7L-CIGU</t>
  </si>
  <si>
    <t>RAM COMBO LOCKING POWER ONLY SPRING LOADED CRADLE FOR ZEBRA TC70 &amp; TC75</t>
  </si>
  <si>
    <t>RAM-HOL-ZE7CLU</t>
  </si>
  <si>
    <t>RAM POWER ONLY SPRING LOADED COMBO LOCK CRADLE FOR ZEBRA TC70 &amp; TC75 NO CABLE</t>
  </si>
  <si>
    <t>RAM-HOL-ZE7CL-NCU</t>
  </si>
  <si>
    <t>RAM COMBO LOCKING POWER ONLY SPRING LOADED CRADLE FOR ZEBRA TC70 &amp; TC75 WITH HARDWIRE CHARGER</t>
  </si>
  <si>
    <t>RAM-HOL-ZE7CL-HARU</t>
  </si>
  <si>
    <t>RAM COMBO LOCKING POWER ONLY SPRING LOADED CRADLE FOR ZEBRA TC70 &amp; TC75 WITH CIGARETTE PLUG</t>
  </si>
  <si>
    <t>RAM-HOL-ZE7CL-CIGU</t>
  </si>
  <si>
    <t>RAM POWER ONLY SPRING LOADED CRADLE FOR ZEBRA TC70 &amp; TC75 WITH CIGARETTE PLUG</t>
  </si>
  <si>
    <t>RAM-HOL-ZE7-CIGU</t>
  </si>
  <si>
    <t xml:space="preserve">RAM POWER ONLY SPRING LOADED V2 CRADLE ZEBRA TC70, 72, 75 &amp; 77 </t>
  </si>
  <si>
    <t>RAM-HOL-ZE7-2U</t>
  </si>
  <si>
    <t>RAM POWER ONLY SPRING LOADED CRADLE FOR ZEBRA TC 51, 52, 56 &amp; 57</t>
  </si>
  <si>
    <t>RAM-HOL-ZE6U</t>
  </si>
  <si>
    <t>RAM SPRING LOADED CRADLE FOR ZEBRA TC 51, 52, 56 &amp; 57</t>
  </si>
  <si>
    <t>RAM-HOL-ZE6-NPU</t>
  </si>
  <si>
    <t>UNPKD RAM SPRING LOADED CRADLE FOR ZEBRA MC9300 SCANNER</t>
  </si>
  <si>
    <t>RAM-HOL-ZE32U</t>
  </si>
  <si>
    <t>UNPKD POWER ONLY RAM SPRING LOADED CRADLE FOR ZEBRA MC9300 SCANNER</t>
  </si>
  <si>
    <t>RAM-HOL-ZE32PU</t>
  </si>
  <si>
    <t>UNPKD LOCKING POWER ONLY RAM SPRING LOADED CRADLE FOR ZEBRA MC9300 SCANNER</t>
  </si>
  <si>
    <t>RAM-HOL-ZE32PLU</t>
  </si>
  <si>
    <t>UNPKD POWER + HEATED PCB RAM SPRING LOADED CRADLE FOR ZEBRA MC9300 SCANNER</t>
  </si>
  <si>
    <t>RAM-HOL-ZE32PHU</t>
  </si>
  <si>
    <t>UNPKD LOCKING POWER ONLY WITH HEATED PCB RAM SPRING LOADED CRADLE FOR ZEBRA MC9300 SCANNER</t>
  </si>
  <si>
    <t>RAM-HOL-ZE32PHLU</t>
  </si>
  <si>
    <t>UNPKD POWER + DATA RAM SPRING LOADED CRADLE FOR ZEBRA MC9300 SCANNER</t>
  </si>
  <si>
    <t>RAM-HOL-ZE32PDU</t>
  </si>
  <si>
    <t>UNPKD LOCKING POWER + DATA RAM SPRING LOADED CRADLE FOR ZEBRA MC9300 SCANNER</t>
  </si>
  <si>
    <t>RAM-HOL-ZE32PDLU</t>
  </si>
  <si>
    <t>UNPKD POWER + DATA WITH HEATED PCB RAM SPRING LOADED CRADLE FOR ZEBRA MC9300 SCANNER</t>
  </si>
  <si>
    <t>RAM-HOL-ZE32PDHU</t>
  </si>
  <si>
    <t>UNPKD LOCKING POWER + DATA WITH HEATED PCB RAM SPRING LOADED CRADLE FOR ZEBRA MC9300 SCANNER</t>
  </si>
  <si>
    <t>RAM-HOL-ZE32PDHLU</t>
  </si>
  <si>
    <t>UNPKD RAM CRADLE FOR ZEBRA ZQ630 PRINTER</t>
  </si>
  <si>
    <t>RAM-HOL-ZE31U</t>
  </si>
  <si>
    <t>UNPKD RAM CRADLE FOR ZEBRA ZQ521 PRINTER</t>
  </si>
  <si>
    <t>RAM-HOL-ZE30U</t>
  </si>
  <si>
    <t>UNPKD RAM CRADLE FOR ZEBRA ZQ511 PRINTER</t>
  </si>
  <si>
    <t>RAM-HOL-ZE29U</t>
  </si>
  <si>
    <t>UNPKD RAM CRADLE FOR ZEBRA ZQ310 PRINTER</t>
  </si>
  <si>
    <t>RAM-HOL-ZE28U</t>
  </si>
  <si>
    <t>UNPKD RAM CRADLE FOR ZEBRA ZQ320 PRINTER</t>
  </si>
  <si>
    <t>RAM-HOL-ZE27U</t>
  </si>
  <si>
    <t>UNPKD POWER ONLY RAM SPRING LOADED CRADLE FOR ZEBRA TC8XXX SCANNER</t>
  </si>
  <si>
    <t>RAM-HOL-ZE26PU</t>
  </si>
  <si>
    <t>UNPKD POWER ONLY RAM SPRING LOADED LOCKING CRADLE FOR ZEBRA TC8XXX SCANNER</t>
  </si>
  <si>
    <t>RAM-HOL-ZE26PLU</t>
  </si>
  <si>
    <t>RAM-HOL-ZE26PHU</t>
  </si>
  <si>
    <t>RAM-HOL-ZE26PHLU</t>
  </si>
  <si>
    <t>UNPKD POWER + DATA RAM SPRING LOADED CRADLE FOR ZEBRA TC8XXX SCANNER</t>
  </si>
  <si>
    <t>RAM-HOL-ZE26PDU</t>
  </si>
  <si>
    <t>UNPKD POWER + DATA RAM SPRING LOADED LOCKING CRADLE FOR ZEBRA TC8XXX SCANNER</t>
  </si>
  <si>
    <t>RAM-HOL-ZE26PDLU</t>
  </si>
  <si>
    <t>UNPKD POWER + DATA RAM SPRING LOADED CRADLE FOR ZEBRA TC8XXX SCANNER WITH HEATED POGO PINS</t>
  </si>
  <si>
    <t>RAM-HOL-ZE26PDHU</t>
  </si>
  <si>
    <t>UNPKD POWER + DATA RAM SPRING LOADED LOCKING CRADLE FOR ZEBRA TC8XXX SCANNER WITH HEATED POGO PINS</t>
  </si>
  <si>
    <t>RAM-HOL-ZE26PDHLU</t>
  </si>
  <si>
    <t>RAM UNPOWERED CRADLE FOR ZEBRA ET6X TABLETS</t>
  </si>
  <si>
    <t>RAM-HOL-ZE25U</t>
  </si>
  <si>
    <t>RAM POWER ONLY CRADLE FOR ZEBRA ET6X TABLETS</t>
  </si>
  <si>
    <t>RAM-HOL-ZE25PU</t>
  </si>
  <si>
    <t>RAM POWER ONLY LOCKING CRADLE FOR ZEBRA ET6X TABLETS</t>
  </si>
  <si>
    <t>RAM-HOL-ZE25PLU</t>
  </si>
  <si>
    <t>RAM POWER ONLY CRADLE FOR ZEBRA ET6X TABLETS WITH HEATED PCB</t>
  </si>
  <si>
    <t>RAM-HOL-ZE25PHU</t>
  </si>
  <si>
    <t>RAM POWER ONLY LOCKING CRADLE FOR ZEBRA ET6X TABLETS WITH HEATED PCB</t>
  </si>
  <si>
    <t>RAM-HOL-ZE25PHLU</t>
  </si>
  <si>
    <t>RAM POWER + DATA CRADLE FOR ZEBRA ET6X TABLETS</t>
  </si>
  <si>
    <t>RAM-HOL-ZE25PDU</t>
  </si>
  <si>
    <t>RAM POWER + DATA LOCKING CRADLE FOR ZEBRA ET6X TABLETS</t>
  </si>
  <si>
    <t>RAM-HOL-ZE25PDLU</t>
  </si>
  <si>
    <t>RAM POWER + DATA CRADLE FOR ZEBRA ET6X TABLETS WITH HEATED PCB</t>
  </si>
  <si>
    <t>RAM-HOL-ZE25PDHU</t>
  </si>
  <si>
    <t>RAM POWER + DATA LOCKING CRADLE FOR ZEBRA ET6X TABLETS WITH HEATED PCB</t>
  </si>
  <si>
    <t>RAM-HOL-ZE25PDHLU</t>
  </si>
  <si>
    <t>RAM POWER + DUAL DATA CRADLE FOR ZEBRA ET6X TABLETS</t>
  </si>
  <si>
    <t>RAM-HOL-ZE25PD2U</t>
  </si>
  <si>
    <t>RAM POWER + DUAL DATA LOCKING CRADLE FOR ZEBRA ET6X TABLETS</t>
  </si>
  <si>
    <t>RAM-HOL-ZE25PD2LU</t>
  </si>
  <si>
    <t>RAM POWER + DUAL DATA CRADLE FOR ZEBRA ET6X TABLETS WITH HEATED PCB</t>
  </si>
  <si>
    <t>RAM-HOL-ZE25PD2HU</t>
  </si>
  <si>
    <t>RAM POWER + DUAL DATA LOCKING CRADLE FOR ZEBRA ET6X TABLETS WITH HEATED PCB</t>
  </si>
  <si>
    <t>RAM-HOL-ZE25PD2HLU</t>
  </si>
  <si>
    <t>RAM UNPOWERED LOCKING CRADLE FOR ZEBRA ET6X TABLETS</t>
  </si>
  <si>
    <t>RAM-HOL-ZE25LU</t>
  </si>
  <si>
    <t>RAM NON-POWERED NON-LOCKING CRADLE FOR ZEBRA TC22/27 WITH BOOT</t>
  </si>
  <si>
    <t>RAM-HOL-ZE24U</t>
  </si>
  <si>
    <t>RAM POWERED NON-LOCKING CRADLE FOR ZEBRA TC22/27 WITH BOOT</t>
  </si>
  <si>
    <t>RAM-HOL-ZE24PU</t>
  </si>
  <si>
    <t>RAM POWERED LOCKING CRADLE FOR ZEBRA TC22/27 WITH BOOT</t>
  </si>
  <si>
    <t>RAM-HOL-ZE24PLU</t>
  </si>
  <si>
    <t>RAM POWERED LOCKING CRADLE FOR ZEBRA TC22/27 WITHOUT BOOT</t>
  </si>
  <si>
    <t>RAM-HOL-ZE24PL-1U</t>
  </si>
  <si>
    <t>RAM POWERED NON-LOCKING CRADLE FOR ZEBRA TC22/27 WITHOUT BOOT</t>
  </si>
  <si>
    <t>RAM-HOL-ZE24P-1U</t>
  </si>
  <si>
    <t>RAM NON-POWERED LOCKING CRADLE FOR ZEBRA TC22/27 WITH BOOT</t>
  </si>
  <si>
    <t>RAM-HOL-ZE24LU</t>
  </si>
  <si>
    <t>RAM NON-POWERED LOCKING CRADLE FOR ZEBRA TC22/27 WITHOUT BOOT</t>
  </si>
  <si>
    <t>RAM-HOL-ZE24L-1U</t>
  </si>
  <si>
    <t>RAM NON-POWERED NON-LOCKING CRADLE FOR ZEBRA TC22/27 WITHOUT BOOT</t>
  </si>
  <si>
    <t>RAM-HOL-ZE24-1U</t>
  </si>
  <si>
    <t>RAM UNPOWERED CRADLE FOR ZEBRA ET8X TABLETS</t>
  </si>
  <si>
    <t>RAM-HOL-ZE22U</t>
  </si>
  <si>
    <t>RAM POWER ONLY CRADLE FOR ZEBRA ET8X TABLETS</t>
  </si>
  <si>
    <t>RAM-HOL-ZE22PU</t>
  </si>
  <si>
    <t>RAM POWER ONLY LOCKING CRADLE FOR ZEBRA ET8X TABLETS</t>
  </si>
  <si>
    <t>RAM-HOL-ZE22PLU</t>
  </si>
  <si>
    <t>RAM POWER + DATA CRADLE FOR ZEBRA ET8X TABLETS</t>
  </si>
  <si>
    <t>RAM-HOL-ZE22PDU</t>
  </si>
  <si>
    <t>RAM POWER + DATA LOCKING CRADLE FOR ZEBRA ET8X TABLETS</t>
  </si>
  <si>
    <t>RAM-HOL-ZE22PDLU</t>
  </si>
  <si>
    <t>RAM POWER + DUAL DATA CRADLE FOR ZEBRA ET8X TABLETS</t>
  </si>
  <si>
    <t>RAM-HOL-ZE22PD2U</t>
  </si>
  <si>
    <t>RAM POWER + DUAL DATA LOCKING CRADLE FOR ZEBRA ET8X TABLETS</t>
  </si>
  <si>
    <t>RAM-HOL-ZE22PD2LU</t>
  </si>
  <si>
    <t>RAM UNPOWERED LOCKING CRADLE FOR ZEBRA ET8X TABLETS</t>
  </si>
  <si>
    <t>RAM-HOL-ZE22LU</t>
  </si>
  <si>
    <t>UNPKD EZ-ROLL'R DOCK FOR ZEBRA ET40/45 10" TABLET WITH ZEBRA EXOSKELETON</t>
  </si>
  <si>
    <t>RAM-HOL-ZE21U</t>
  </si>
  <si>
    <t>UNPKD EZ-ROLL'R DOCK POWER ONLY FOR ZEBRA ET40/45 10" TABLET WITH ZEBRA EXOSKELETON</t>
  </si>
  <si>
    <t>RAM-HOL-ZE21PU</t>
  </si>
  <si>
    <t>UNPKD NON-LOCKING LATCH DOCK POWER ONLY FOR ZEBRA ET40/45 10" TABLET WITH ZEBRA EXOSKELETON</t>
  </si>
  <si>
    <t>RAM-HOL-ZE21PNLLU</t>
  </si>
  <si>
    <t>UNPKD RAM POWER ONLY KEYED LOCKING CRADLE FOR ZEBRA ET40/45 10" WITH ZEBRA EXOSKELETON</t>
  </si>
  <si>
    <t>RAM-HOL-ZE21PKLU</t>
  </si>
  <si>
    <t>UNPKD RAM POWER + 1 X USB-A 1 X USB-C DATA KEYED LOCKING CRADLE FOR ZEBRA ET40/45 10" WITH ZEBRA EXOSKELETON</t>
  </si>
  <si>
    <t>RAM-HOL-ZE21PKL-CAU</t>
  </si>
  <si>
    <t>UNPKD EZ-ROLL'R DOCK POWER + DATA FOR ZEBRA ET40/45 10" TABLET WITH ZEBRA EXOSKELETON</t>
  </si>
  <si>
    <t>RAM-HOL-ZE21PDU</t>
  </si>
  <si>
    <t>UNPKD NON-LOCKING LATCH DOCK POWER DATA FOR ZEBRA ET40/45 10" TABLET WITH ZEBRA EXOSKELETON</t>
  </si>
  <si>
    <t>RAM-HOL-ZE21PDNLLU</t>
  </si>
  <si>
    <t>UNPKD RAM POWER + DATA KEYED LOCKING CRADLE FOR ZEBRA ET40/45 10" WITH ZEBRA EXOSKELETON</t>
  </si>
  <si>
    <t>RAM-HOL-ZE21PDKLU</t>
  </si>
  <si>
    <t>UNPKD EZ-ROLL'R DOCK POWER + DUAL DATA FOR ZEBRA ET40/45 10" TABLET WITH ZEBRA EXOSKELETON</t>
  </si>
  <si>
    <t>RAM-HOL-ZE21PD2U</t>
  </si>
  <si>
    <t>UNPKD NON-LOCKING LATCH DOCK POWER DUAL DATA FOR ZEBRA ET40/45 10" TABLET WITH ZEBRA EXOSKELETON</t>
  </si>
  <si>
    <t>RAM-HOL-ZE21PD2NLLU</t>
  </si>
  <si>
    <t>UNPKD RAM POWER + DUAL DATA KEYED LOCKING CRADLE FOR ZEBRA ET40/45 10" WITH ZEBRA EXOSKELETON</t>
  </si>
  <si>
    <t>RAM-HOL-ZE21PD2KLU</t>
  </si>
  <si>
    <t>UNPKD EZ-ROLL'R DOCK POWER + 1 X USB-A 1 X USB-C DATA FOR ZEBRA ET40/45 10" TABLET WITH ZEBRA EXOSKELETON</t>
  </si>
  <si>
    <t>RAM-HOL-ZE21P-CAU</t>
  </si>
  <si>
    <t>UNPKD RAM NON-POWERED KEYED LOCKING CRADLE FOR ZEBRA ET40/45 10" WITH ZEBRA EXOSKELETON</t>
  </si>
  <si>
    <t>RAM-HOL-ZE21KL-NPU</t>
  </si>
  <si>
    <t>UNPKD EZ-ROLL'R DOCK FOR ZEBRA ET40/45 8" TABLET  WITH ZEBRA EXOSKELETON</t>
  </si>
  <si>
    <t>RAM-HOL-ZE20U</t>
  </si>
  <si>
    <t>UNPKD EZ-ROLL'R DOCK POWER ONLY FOR ZEBRA ET40/45 8" TABLET  WITH ZEBRA EXOSKELETON</t>
  </si>
  <si>
    <t>RAM-HOL-ZE20PU</t>
  </si>
  <si>
    <t>UNPKD NON-LOCKING LATCH DOCK POWER ONLY FOR ZEBRA ET40/45 8" TABLET  WITH ZEBRA EXOSKELETON</t>
  </si>
  <si>
    <t>RAM-HOL-ZE20PNLLU</t>
  </si>
  <si>
    <t>UNPKD RAM POWER ONLY KEYED LOCKING CRADLE FOR ZEBRA ET40/45 8" WITH ZEBRA EXOSKELETON</t>
  </si>
  <si>
    <t>RAM-HOL-ZE20PKLU</t>
  </si>
  <si>
    <t>UNPKD RAM POWER +  1 X USB-A 1 X USB-C DATA KEYED LOCKING CRADLE FOR ZEBRA ET40/45 8" WITH ZEBRA EXOSKELETON</t>
  </si>
  <si>
    <t>RAM-HOL-ZE20PKL-CAU</t>
  </si>
  <si>
    <t>UNPKD EZ-ROLL'R DOCK POWER + DATA FOR ZEBRA ET40/45 8" TABLET WITH ZEBRA EXOSKELETON</t>
  </si>
  <si>
    <t>RAM-HOL-ZE20PDU</t>
  </si>
  <si>
    <t>UNPKD NON-LOCKING LATCH DOCK POWER DATA FOR ZEBRA ET40/45 8" TABLET  WITH ZEBRA EXOSKELETON</t>
  </si>
  <si>
    <t>RAM-HOL-ZE20PDNLLU</t>
  </si>
  <si>
    <t>UNPKD RAM POWER + DATA KEYED LOCKING CRADLE FOR ZEBRA ET40/45 8" WITH ZEBRA EXOSKELETON</t>
  </si>
  <si>
    <t>RAM-HOL-ZE20PDKLU</t>
  </si>
  <si>
    <t>UNPKD EZ-ROLL'R DOCK POWER + DUAL DATA FOR ZEBRA ET40/45 8" TABLET WITH ZEBRA EXOSKELETON</t>
  </si>
  <si>
    <t>RAM-HOL-ZE20PD2U</t>
  </si>
  <si>
    <t>UNPKD NON-LOCKING LATCH DOCK POWER DUAL DATA FOR ZEBRA ET40/45 8" TABLET  WITH ZEBRA EXOSKELETON</t>
  </si>
  <si>
    <t>RAM-HOL-ZE20PD2NLLU</t>
  </si>
  <si>
    <t>UNPKD RAM POWER + DUAL DATA KEYED LOCKING CRADLE FOR ZEBRA ET40/45 8" WITH ZEBRA EXOSKELETON</t>
  </si>
  <si>
    <t>RAM-HOL-ZE20PD2KLU</t>
  </si>
  <si>
    <t>UNPKD EZ-ROLL'R DOCK POWER +  1 X USB-A 1 X USB-C DATA FOR ZEBRA ET40/45 8" TABLET WITH ZEBRA EXOSKELETON</t>
  </si>
  <si>
    <t>RAM-HOL-ZE20P-CAU</t>
  </si>
  <si>
    <t>RAM SPRING LOADED CRADLE FOR ZEBRA TC58 WITH OR WITHOUT BOOT</t>
  </si>
  <si>
    <t>RAM-HOL-ZE17-NP-2U</t>
  </si>
  <si>
    <t>RAM SPRING LOADED CRADLE FOR ZEBRA TC78</t>
  </si>
  <si>
    <t>RAM-HOL-ZE17-NP-1U</t>
  </si>
  <si>
    <t>RAM LOCKING SPRING LOADED CRADLE FOR ZEBRA TC58 WITH OR WITHOUT BOOT</t>
  </si>
  <si>
    <t>RAM-HOL-ZE17L-NP-2U</t>
  </si>
  <si>
    <t>RAM LOCKING SPRING LOADED CRADLE FOR ZEBRA TC78</t>
  </si>
  <si>
    <t>RAM-HOL-ZE17L-NP-1U</t>
  </si>
  <si>
    <t>RAM POWER ONLY LOCKING SPRING LOADED CRADLE FOR ZEBRA TC58 WITH OR WITHOUT BOOT</t>
  </si>
  <si>
    <t>RAM-HOL-ZE17L-2U</t>
  </si>
  <si>
    <t>RAM POWER ONLY LOCKING SPRING LOADED CRADLE FOR ZEBRA TC78</t>
  </si>
  <si>
    <t>RAM-HOL-ZE17L-1U</t>
  </si>
  <si>
    <t>RAM POWER ONLY COMBO LOCKING SPRING LOADED CRADLE FOR ZEBRA TC58 WITH OR WITHOUT BOOT</t>
  </si>
  <si>
    <t>RAM-HOL-ZE17CL-2U</t>
  </si>
  <si>
    <t>RAM POWER ONLY COMBO LOCKING SPRING LOADED CRADLE FOR ZEBRA TC78</t>
  </si>
  <si>
    <t>RAM-HOL-ZE17CL-1U</t>
  </si>
  <si>
    <t>RAM POWER ONLY SPRING LOADED CRADLE FOR ZEBRA TC58 WITH OR WITHOUT BOOT</t>
  </si>
  <si>
    <t>RAM-HOL-ZE17-2U</t>
  </si>
  <si>
    <t>RAM POWER ONLY SPRING LOADED CRADLE FOR ZEBRA TC78</t>
  </si>
  <si>
    <t>RAM-HOL-ZE17-1U</t>
  </si>
  <si>
    <t>RAM POWER ONLY SPRING LOADED CRADLE FOR ZEBRA EC5X</t>
  </si>
  <si>
    <t>RAM-HOL-ZE16U</t>
  </si>
  <si>
    <t>RAM UNPOWERED SPRING LOADED CRADLE FOR ZEBRA L10 SERIES TABLETS</t>
  </si>
  <si>
    <t>RAM-HOL-ZE15U</t>
  </si>
  <si>
    <t>RAM POWER ONLY SPRING LOADED CRADLE FOR ZEBRA L10 SERIES TABLETS</t>
  </si>
  <si>
    <t>RAM-HOL-ZE15PU</t>
  </si>
  <si>
    <t>RAM POWER ONLY KEYED LOCK SPRING LOADED CRADLE FOR ZEBRA L10 SERIES TABLETS</t>
  </si>
  <si>
    <t>RAM-HOL-ZE15PKLU</t>
  </si>
  <si>
    <t>RAM POWER &amp; DATA SPRING LOADED CRADLE FOR ZEBRA L10 SERIES TABLETS</t>
  </si>
  <si>
    <t>RAM-HOL-ZE15PDU</t>
  </si>
  <si>
    <t>RAM POWER &amp; DATA SPRING LOADED KEYED LOCK CRADLE FOR ZEBRA L10 SERIES TABLETS</t>
  </si>
  <si>
    <t>RAM-HOL-ZE15PDKLU</t>
  </si>
  <si>
    <t>RAM POWER &amp; DATA SPRING LOADED COMBO LOCK CRADLE FOR ZEBRA L10 SERIES TABLETS</t>
  </si>
  <si>
    <t>RAM-HOL-ZE15PDCLU</t>
  </si>
  <si>
    <t>UNPKD RAM POWER AND DATA W/ 2 USB-A FEMALE SOCKETS CRADLE FOR ZEBRA L10 SERIES TABLETS</t>
  </si>
  <si>
    <t>RAM-HOL-ZE15PD2U</t>
  </si>
  <si>
    <t>UNPKD RAM POWER AND DATA W/ 2 USB-A FEMALE SOCKETS KEYED LOCKING CRADLE FOR ZEBRA L10 SERIES TABLETS</t>
  </si>
  <si>
    <t>RAM-HOL-ZE15PD2KLU</t>
  </si>
  <si>
    <t>UNPKD RAM POWER AND DATA W/ 2 USB-A FEMALE SOCKETS COMBO LOCKING CRADLE FOR ZEBRA L10 SERIES TABLETS</t>
  </si>
  <si>
    <t>RAM-HOL-ZE15PD2CLU</t>
  </si>
  <si>
    <t>RAM POWER ONLY COMBO LOCK SPRING LOADED CRADLE FOR ZEBRA L10 SERIES TABLETS</t>
  </si>
  <si>
    <t>RAM-HOL-ZE15PCLU</t>
  </si>
  <si>
    <t>RAM UNPOWERED KEYED LOCK SPRING LOADED CRADLE FOR ZEBRA L10 SERIES TABLETS</t>
  </si>
  <si>
    <t>RAM-HOL-ZE15KLU</t>
  </si>
  <si>
    <t>RAM UNPOWERED COMBO LOCK SPRING LOADED CRADLE FOR ZEBRA L10 SERIES TABLETS</t>
  </si>
  <si>
    <t>RAM-HOL-ZE15CLU</t>
  </si>
  <si>
    <t>RAM POWER ONLY SPRING-LOADED CRADLE FOR ZEBRA TC 21 &amp; 26</t>
  </si>
  <si>
    <t>RAM-HOL-ZE14U</t>
  </si>
  <si>
    <t>RAM UNPOWERED SPRING LOADED CRADLE FOR ZEBRA ET5X 10.1" SERIES TABLETS</t>
  </si>
  <si>
    <t>RAM-HOL-ZE11U</t>
  </si>
  <si>
    <t>RAM POWER ONLY SPRING LOADED CRADLE FOR ZEBRA ET5X 10.1" SERIES TABLETS</t>
  </si>
  <si>
    <t>RAM-HOL-ZE11PU</t>
  </si>
  <si>
    <t>RAM POWER ONLY SPRING LOADED KEYED LOCK CRADLE FOR ZEBRA ET5X 10.1" SERIES TABLETS</t>
  </si>
  <si>
    <t>RAM-HOL-ZE11PKLU</t>
  </si>
  <si>
    <t>RAM POWER &amp; DATA SPRING LOADED CRADLE FOR ZEBRA ET5X 10.1" SERIES TABLETS</t>
  </si>
  <si>
    <t>RAM-HOL-ZE11PDU</t>
  </si>
  <si>
    <t>RAM POWER &amp; DATA SPRING LOADED KEYED LOCK CRADLE FOR ZEBRA ET5X 10.1" SERIES TABLETS</t>
  </si>
  <si>
    <t>RAM-HOL-ZE11PDKLU</t>
  </si>
  <si>
    <t>RAM POWER &amp; DATA SPRING LOADED KEY LOCK CRADLE FOR ZEBRA ET5X 10.1" SERIES TABLETS WITH 5.5MM FEM, RJ-45, &amp; USB A F</t>
  </si>
  <si>
    <t>RAM-HOL-ZE11PDKL-RJ45AU</t>
  </si>
  <si>
    <t>RAM POWER &amp; DATA SPRING LOADED KEY LOCK CRADLE FOR ZEBRA ET5X 10.1" SERIES TABLETS WITH 5.5MM FEM, DB9 MALE, &amp; USB A F</t>
  </si>
  <si>
    <t>RAM-HOL-ZE11PDKL-DB9U</t>
  </si>
  <si>
    <t>RAM POWER &amp; DATA SPRING LOADED CRADLE FOR ZEBRA ET5X 10.1" SERIES TABLETS WITH 5.5MM FEM, DB9 MALE, &amp; USB A FEM</t>
  </si>
  <si>
    <t>RAM-HOL-ZE11PD-DB9U</t>
  </si>
  <si>
    <t>RAM POWER &amp; DATA SPRING LOADED COMBO LOCK CRADLE FOR ZEBRA ET5X 10.1" SERIES TABLETS</t>
  </si>
  <si>
    <t>RAM-HOL-ZE11PDCLU</t>
  </si>
  <si>
    <t>RAM POWER &amp; DATA SPRING LOADED COMBO LOCK CRADLE FOR ZEBRA ET5X 10.1" SERIES TABLETS WITH 5.5MM FEM, DB9 MALE, &amp; USB A F</t>
  </si>
  <si>
    <t>RAM-HOL-ZE11PDCL-DB9U</t>
  </si>
  <si>
    <t>UNPKD RAM POWER AND DATA W/ 2 USB-A FEMALE SOCKETS  CRADLE FOR  ZEBRA ET5X 10.1" SERIES TABLETS</t>
  </si>
  <si>
    <t>RAM-HOL-ZE11PD2U</t>
  </si>
  <si>
    <t>UNPKD RAM POWER AND DATA W/ 2 USB-A FEMALE SOCKETS KEYED LOCKING CRADLE FOR  ZEBRA ET5X 10.1" SERIES TABLETS</t>
  </si>
  <si>
    <t>RAM-HOL-ZE11PD2KLU</t>
  </si>
  <si>
    <t>UNPKD RAM POWER AND DATA W/ 2 USB-A FEMALE SOCKETS COMBO LOCKING CRADLE FOR  ZEBRA ET5X 10.1" SERIES TABLETS</t>
  </si>
  <si>
    <t>RAM-HOL-ZE11PD2CLU</t>
  </si>
  <si>
    <t>RAM POWER ONLY SPRING LOADED COMBO LOCK CRADLE FOR ZEBRA ET5X 10.1" SERIES TABLETS</t>
  </si>
  <si>
    <t>RAM-HOL-ZE11PCLU</t>
  </si>
  <si>
    <t>RAM UNPOWERED SPRING LOADED KEYED LOCK CRADLE FOR ZEBRA ET5X 10.1" SERIES TABLETS</t>
  </si>
  <si>
    <t>RAM-HOL-ZE11KLU</t>
  </si>
  <si>
    <t>RAM UNPOWERED SPRING LOADED COMBO LOCK CRADLE FOR ZEBRA ET5X 10.1" SERIES TABLETS</t>
  </si>
  <si>
    <t>RAM-HOL-ZE11CLU</t>
  </si>
  <si>
    <t>RAM UNPOWERED SPRING LOADED CRADLE FOR ZEBRA ET5X 8.3" SERIES TABLETS</t>
  </si>
  <si>
    <t>RAM-HOL-ZE10U</t>
  </si>
  <si>
    <t>RAM POWER ONLY SPRING LOADED CRADLE FOR ZEBRA ET5X 8.3" SERIES TABLETS</t>
  </si>
  <si>
    <t>RAM-HOL-ZE10PU</t>
  </si>
  <si>
    <t>RAM POWER ONLY KEYED LOCK SPRING LOADED CRADLE FOR ZEBRA ET5X 8.3" SERIES TABLETS</t>
  </si>
  <si>
    <t>RAM-HOL-ZE10PKLU</t>
  </si>
  <si>
    <t>RAM POWER &amp; DATA SPRING LOADED CRADLE FOR ZEBRA ET5X 8.3" SERIES TABLETS</t>
  </si>
  <si>
    <t>RAM-HOL-ZE10PDU</t>
  </si>
  <si>
    <t>RAM POWER &amp; DATA SPRING LOADED KEYED LOCK CRADLE FOR ZEBRA ET5X 8.3" SERIES TABLETS</t>
  </si>
  <si>
    <t>RAM-HOL-ZE10PDKLU</t>
  </si>
  <si>
    <t>RAM POWER &amp; DATA SPRING LOADED KEY LOCK CRADLE FOR ZEBRA ET5X 8.3" SERIES TABLETS WITH 5.5MM FEM DC, RJ-45, &amp; USB A</t>
  </si>
  <si>
    <t>RAM-HOL-ZE10PDKL-RJ45AU</t>
  </si>
  <si>
    <t>RAM POWER &amp; DATA SPRING LOADED KEY LOCK CRADLE FOR ZEBRA ET5X 8.3" SERIES TABLETS WITH 5.5MM FEM DC, DB9 MALE, &amp; USB A</t>
  </si>
  <si>
    <t>RAM-HOL-ZE10PDKL-DB9U</t>
  </si>
  <si>
    <t>RAM POWER &amp; DATA SPRING LOADED CRADLE FOR ZEBRA ET5X 8.3" SERIES TABLETS WITH 5.5MM FEMALE DC, DB9 MALE, &amp; USB A FEMALE</t>
  </si>
  <si>
    <t>RAM-HOL-ZE10PD-DB9U</t>
  </si>
  <si>
    <t>RAM POWER &amp; DATA SPRING LOADED COMBO LOCK CRADLE FOR ZEBRA ET5X 8.3" SERIES TABLETS</t>
  </si>
  <si>
    <t>RAM-HOL-ZE10PDCLU</t>
  </si>
  <si>
    <t>RAM POWER &amp; DATA SPRING LOADED COMBO LOCK CRADLE FOR ZEBRA ET5X 8.3" SERIES TABLETS WITH 5.5MM FEM DC, DB9 MALE, &amp; USB A</t>
  </si>
  <si>
    <t>RAM-HOL-ZE10PDCL-DB9U</t>
  </si>
  <si>
    <t>UNPKD RAM POWER AND DATA W/ 2 USB-A FEMALE SOCKETS CRADLE FOR  ZEBRA ET5X 8.3" SERIES TABLETS</t>
  </si>
  <si>
    <t>RAM-HOL-ZE10PD2U</t>
  </si>
  <si>
    <t>UNPKD RAM POWER AND DATA W/ 2 USB-A FEMALE SOCKETS KEYED LOCKING CRADLE FOR  ZEBRA ET5X 8.3" SERIES TABLETS</t>
  </si>
  <si>
    <t>RAM-HOL-ZE10PD2KLU</t>
  </si>
  <si>
    <t>UNPKD RAM POWER AND DATA W/ 2 USB-A FEMALE SOCKETS COMBO LOCKING CRADLE FOR  ZEBRA ET5X 8.3" SERIES TABLETS</t>
  </si>
  <si>
    <t>RAM-HOL-ZE10PD2CLU</t>
  </si>
  <si>
    <t>RAM POWER ONLY COMBO LOCK SPRING LOADED CRADLE FOR ZEBRA ET5X 8.3" SERIES TABLETS</t>
  </si>
  <si>
    <t>RAM-HOL-ZE10PCLU</t>
  </si>
  <si>
    <t>RAM UNPOWERED KEYED LOCK SPRING LOADED CRADLE FOR ZEBRA ET5X 8.3" SERIES TABLETS</t>
  </si>
  <si>
    <t>RAM-HOL-ZE10KLU</t>
  </si>
  <si>
    <t>RAM UNPOWERED COMBO LOCK SPRING LOADED CRADLE FOR ZEBRA ET5X 8.3" SERIES TABLETS</t>
  </si>
  <si>
    <t>RAM-HOL-ZE10CLU</t>
  </si>
  <si>
    <t xml:space="preserve"> RAM X-GRIP UNIVERSAL 10" TABLET HOLDER</t>
  </si>
  <si>
    <t>RAM-HOL-UN9U</t>
  </si>
  <si>
    <t xml:space="preserve"> RAM X-GRIP UNIVERSAL 10" WITH U-BOLT RAIL </t>
  </si>
  <si>
    <t>RAM-HOL-UN9-235U</t>
  </si>
  <si>
    <t xml:space="preserve"> RAM X-GRIP UNIVERSAL 10" WITH DOUBLE SOCKET ARM</t>
  </si>
  <si>
    <t>RAM-HOL-UN9-103U</t>
  </si>
  <si>
    <t xml:space="preserve"> RAM X-GRIP UN8 TETHER</t>
  </si>
  <si>
    <t>RAM-HOL-UN8TU</t>
  </si>
  <si>
    <t xml:space="preserve"> RAM X-GRIP UNIVERSAL TABLET HLDER W 1" BALL</t>
  </si>
  <si>
    <t>RAM-HOL-UN8BU</t>
  </si>
  <si>
    <t xml:space="preserve"> RAM X-GRIP UNIVERSAL TABLET HLDER W 1.5" B</t>
  </si>
  <si>
    <t>RAM-HOL-UN8BCU</t>
  </si>
  <si>
    <t xml:space="preserve"> RAM X-GRIP UNIVERSAL TABLET HLDER W ARM</t>
  </si>
  <si>
    <t>RAM-HOL-UN8B-201U</t>
  </si>
  <si>
    <t>RAM-HOL-UN8B</t>
  </si>
  <si>
    <t>UNPKD RAM X-GRIP UNIVERSAL HOLDER</t>
  </si>
  <si>
    <t>RAM-HOL-UN7U</t>
  </si>
  <si>
    <t>UNPKD RAM X-GRIP UNIVERSAL HOLDER STRAP BASE</t>
  </si>
  <si>
    <t>RAM-HOL-UN7SBU</t>
  </si>
  <si>
    <t>UNPKD RAM X-GRIP UNIVERSAL HOLDER W/ 1" BALL</t>
  </si>
  <si>
    <t>RAM-HOL-UN7BU</t>
  </si>
  <si>
    <t>UNPKD RAM X-GRIP UNIVERSAL HOLDER W/ 1" BALL WITH ROTATING FEATURE</t>
  </si>
  <si>
    <t>RAM-HOL-UN7BRU</t>
  </si>
  <si>
    <t>UNPKD POWER MICRO USB RAM X-GRIP HOLDER</t>
  </si>
  <si>
    <t>RAM-HOL-UN7BPV1U</t>
  </si>
  <si>
    <t>RAM X-GRIP UNIVERSAL HOLDER W/ 1" BALL</t>
  </si>
  <si>
    <t>RAM-HOL-UN7B-PK2</t>
  </si>
  <si>
    <t>UNPKD RAM X-GRIP UNIVERSAL HOLD W/ 1.5" BALL</t>
  </si>
  <si>
    <t>RAM-HOL-UN7BCU</t>
  </si>
  <si>
    <t>RAM-HOL-UN7B-C-354-TRA1U</t>
  </si>
  <si>
    <t>UNPKD RAM X-GRIP 1" ADAPTER BALL</t>
  </si>
  <si>
    <t>RAM-HOL-UN7-BALLU</t>
  </si>
  <si>
    <t>UNPKD RAM X-GRIP 1.5" ADAPTER BALL</t>
  </si>
  <si>
    <t>RAM-HOL-UN7-BALL-CU</t>
  </si>
  <si>
    <t>UNPK RAM MNT RAM X-GRIP WITH M6 TOUGHBALL</t>
  </si>
  <si>
    <t>RAM-HOL-UN7B-A-379-M616U</t>
  </si>
  <si>
    <t>UNPKD RAM X-GRIP WITH MALE PIN LOCK AND ANTI-VIBRATION MOUNT</t>
  </si>
  <si>
    <t>RAM-HOL-UN7B-462</t>
  </si>
  <si>
    <t>UNPKD RAM X-GRIP WITH DBL UBOLT RAIL MNT</t>
  </si>
  <si>
    <t>RAM-HOL-UN7B-235U</t>
  </si>
  <si>
    <t>RAM-HOL-UN7B</t>
  </si>
  <si>
    <t>RAM X-GRIP W/ RAIL MOUNT</t>
  </si>
  <si>
    <t>RAM-HOL-UN7-A-309-5U</t>
  </si>
  <si>
    <t>RAM X-GRIP WITH VIBE SAFE AND TOUGH CLAW</t>
  </si>
  <si>
    <t>RAM-HOL-UN7-462-400</t>
  </si>
  <si>
    <t>UNPKD RAM HANDLEBAR MOUNT WITH X-GRIP AND MED TOUGHCLAW</t>
  </si>
  <si>
    <t>RAM-HOL-UN7-404-2U</t>
  </si>
  <si>
    <t>RAM X-GRIP W/TOUGHCLAW</t>
  </si>
  <si>
    <t>RAM-HOL-UN7-400U</t>
  </si>
  <si>
    <t>RAM X-GRIP UN7 W/TOUGHCLAW FOR CANADA</t>
  </si>
  <si>
    <t>RAM-HOL-UN7-400-CA</t>
  </si>
  <si>
    <t>UNPKD RAM HANDLEBAR MOUNT WITH X-GRIP AND TOUGHCLAW</t>
  </si>
  <si>
    <t>RAM-HOL-UN7-400-2U</t>
  </si>
  <si>
    <t>RAM X-GRIP PIN LOCK WASHER W/TOUGHCLAW</t>
  </si>
  <si>
    <t>RAM-HOL-UN7-400-1U</t>
  </si>
  <si>
    <t>RAM X-GRIP CONVERSION KIT FROM RAM-HOL-UN7-400U</t>
  </si>
  <si>
    <t>RAM-HOL-UN7-400-1-CONVU</t>
  </si>
  <si>
    <t>RAM-HOL-UN7-400</t>
  </si>
  <si>
    <t xml:space="preserve"> RAM X-GRIP UNIVERSAL HOLDER</t>
  </si>
  <si>
    <t>RAM-HOL-UN7</t>
  </si>
  <si>
    <t>UNPKD RAM UNIVERSAL DEVICE HOLDER</t>
  </si>
  <si>
    <t>RAM-HOL-UN5U</t>
  </si>
  <si>
    <t>RAM UNIVERSAL DEVICE HOLDER</t>
  </si>
  <si>
    <t>RAM-HOL-UN5</t>
  </si>
  <si>
    <t>UNPKD RAM UNIVERSAL PLASTIC ATV HOLDER</t>
  </si>
  <si>
    <t>RAM-HOL-UN4U</t>
  </si>
  <si>
    <t>UNPK RAM FINGER-GRIP TRACK BASE</t>
  </si>
  <si>
    <t>RAM-HOL-UN4-C-354-TRA1U</t>
  </si>
  <si>
    <t>RAM UNIVERSAL PLASTIC ATV HOLDER</t>
  </si>
  <si>
    <t>RAM-HOL-UN4</t>
  </si>
  <si>
    <t>UNPKD SMALL BLACK MOBILE PHONE HOLDER</t>
  </si>
  <si>
    <t>RAM-HOL-UN1U</t>
  </si>
  <si>
    <t>UNPKD RAM QUICK-GRIP CRADLE BASE FOR APPLE MAG SAFE PUCK NO BALL</t>
  </si>
  <si>
    <t>RAM-HOL-UN15WU</t>
  </si>
  <si>
    <t>UNPKD RAM QUICK-GRIP CRADLE BASE FOR APPLE MAG SAFE PUCK</t>
  </si>
  <si>
    <t>RAM-HOL-UN15WBU</t>
  </si>
  <si>
    <t>RAM QUICK-GRIP CRADLE BASE FOR APPLE MAG SAFE PUCK WITH BILINGUAL PACKAGING</t>
  </si>
  <si>
    <t>RAM-HOL-UN15WB-CA</t>
  </si>
  <si>
    <t>RAM QUICK-GRIP 15W WIRELESS WITH B BALL AND MOTORCYCLE HARDWIRE CHARGER</t>
  </si>
  <si>
    <t>RAM-HOL-UN14WB-V7M-1</t>
  </si>
  <si>
    <t>RAM QUICK-GRIP 15W WIRELESS WITH C BALL AND MOTORCYCLE HARDWIRE CHARGER</t>
  </si>
  <si>
    <t>RAM-HOL-UN14WBC-V7M-1U</t>
  </si>
  <si>
    <t>RAM QUICK-GRIP 15W WIRELESS WITH B BALL</t>
  </si>
  <si>
    <t>RAM-HOL-UN14WB-1</t>
  </si>
  <si>
    <t>RAM TOUGH-CHARGE 15W WIRELESS WITH X-GRIP TECHNOLOGY WITH B BALL</t>
  </si>
  <si>
    <t>RAM-HOL-UN12WB-V7M-1</t>
  </si>
  <si>
    <t>RAM TOUGH-CHARGE WIRELESS WITH X-GRIP TECHNOLOGY WITH B BALL</t>
  </si>
  <si>
    <t>RAM-HOL-UN12WB-V7M</t>
  </si>
  <si>
    <t>RAM TOUGH-CHARGE WIRELESS WITH X-GRIP TECHNOLOGY WITH C BALL</t>
  </si>
  <si>
    <t>RAM-HOL-UN12WBC-V7M</t>
  </si>
  <si>
    <t>RAM-HOL-UN12WB-1</t>
  </si>
  <si>
    <t>RAM-HOL-UN12WB</t>
  </si>
  <si>
    <t>RAM X-GRIP UNIVERSAL 12" CLASS TABLET HOLDR</t>
  </si>
  <si>
    <t>RAM-HOL-UN11U</t>
  </si>
  <si>
    <t xml:space="preserve"> RAM X-GRIP UNIVERSAL 5" PHABLETS</t>
  </si>
  <si>
    <t>RAM-HOL-UN10U</t>
  </si>
  <si>
    <t xml:space="preserve"> RAM X-GRIP UNIVERSAL 5" PHABLETS W 1" BALL</t>
  </si>
  <si>
    <t>RAM-HOL-UN10BU</t>
  </si>
  <si>
    <t>UNPKD RAM X-GRIP UNIVERSAL HOLDER FOR LARGE PHONES W/ 1" BALL WITH ROTATING FEATURE</t>
  </si>
  <si>
    <t>RAM-HOL-UN10BRU</t>
  </si>
  <si>
    <t xml:space="preserve"> RAM X-GRIP UNIVERSAL 5" PHABLET HLDR W 1.5"</t>
  </si>
  <si>
    <t>RAM-HOL-UN10BCU</t>
  </si>
  <si>
    <t>RAM-HOL-UN10B-C-354-TRA1U</t>
  </si>
  <si>
    <t>RAM-HOL-UN10B-A-379-M616U</t>
  </si>
  <si>
    <t>UNPKD RAM LG X-GRIP WITH MALE PIN LOCK AND ANTI-VIBRATION MOUNT</t>
  </si>
  <si>
    <t>RAM-HOL-UN10B-462</t>
  </si>
  <si>
    <t>RAM-HOL-UN10B</t>
  </si>
  <si>
    <t>RAM X-GRIP LG WITH VIBE SAFE AND TOUGH CLAW</t>
  </si>
  <si>
    <t>RAM-HOL-UN10-462-400</t>
  </si>
  <si>
    <t>UNPKD RAM HANDLEBAR MOUNT WITH LARGE X-GRIP AND MED TOUGHCLAW</t>
  </si>
  <si>
    <t>RAM-HOL-UN10-404-2U</t>
  </si>
  <si>
    <t>RAM PHABLET RAM X-GRIP W/TOUGHCLAW</t>
  </si>
  <si>
    <t>RAM-HOL-UN10-400U</t>
  </si>
  <si>
    <t>UNPKD RAM HANDLEBAR MOUNT WITH LARGE X-GRIP AND TOUGHCLAW</t>
  </si>
  <si>
    <t>RAM-HOL-UN10-400-2U</t>
  </si>
  <si>
    <t>RAM PHABLET X-GRIP PIN LOCK WASHER W/TOUGHCLAW</t>
  </si>
  <si>
    <t>RAM-HOL-UN10-400-1U</t>
  </si>
  <si>
    <t>RAM-HOL-UN10-400</t>
  </si>
  <si>
    <t>RAM SMALL BLACK MOBILE PHONE HOLDER</t>
  </si>
  <si>
    <t>RAM-HOL-UN1</t>
  </si>
  <si>
    <t>RAM UNI-CONN SNAP IN HOLDER FOR OCTAGON BUTTON</t>
  </si>
  <si>
    <t>RAM-HOL-U1U</t>
  </si>
  <si>
    <t>RAM UNI-CONN SNAP IN HOLDER FOR OCTAGON BUTTON WITH RIGHT LOCK</t>
  </si>
  <si>
    <t>RAM-HOL-U1LRU</t>
  </si>
  <si>
    <t>RAM UNI-CONN SNAP IN HOLDER FOR OCTAGON BUTTON WITH LEFT LOCK</t>
  </si>
  <si>
    <t>RAM-HOL-U1LLU</t>
  </si>
  <si>
    <t>UNPKD RAM HOLDER TOMTOM 740</t>
  </si>
  <si>
    <t>RAM-HOL-TO9U</t>
  </si>
  <si>
    <t>UNPKD RAM HOLDER TOMTOM 330 SERIES</t>
  </si>
  <si>
    <t>RAM-HOL-TO8U</t>
  </si>
  <si>
    <t>RAM HOLDER TOMTOM 330 SERIES</t>
  </si>
  <si>
    <t>RAM-HOL-TO8</t>
  </si>
  <si>
    <t>UNPKD RAM HOLDER TOMTOM 130</t>
  </si>
  <si>
    <t>RAM-HOL-TO7U</t>
  </si>
  <si>
    <t>UNPKD RAM HOLDER TOMTOM 720 920</t>
  </si>
  <si>
    <t>RAM-HOL-TO6U</t>
  </si>
  <si>
    <t>RAM HOLDER TOMTOM 720 920</t>
  </si>
  <si>
    <t>RAM-HOL-TO6</t>
  </si>
  <si>
    <t>UNPKD RAM HOLDER TOMTOM ONE XL</t>
  </si>
  <si>
    <t>RAM-HOL-TO5U</t>
  </si>
  <si>
    <t>RAM HOLDER TOMTOM ONE XL</t>
  </si>
  <si>
    <t>RAM-HOL-TO5</t>
  </si>
  <si>
    <t>UNPKD RAM HOLDER TOMTOM ONE V2 V3</t>
  </si>
  <si>
    <t>RAM-HOL-TO4U</t>
  </si>
  <si>
    <t>RAM HOLDER TOMTOM ONE V2 V3</t>
  </si>
  <si>
    <t>RAM-HOL-TO4</t>
  </si>
  <si>
    <t>UNPKD RAM HOLDER TOMTOM 510 710 910</t>
  </si>
  <si>
    <t>RAM-HOL-TO3U</t>
  </si>
  <si>
    <t>UNPKD RAM HOLDER TOMTOM GO 2535</t>
  </si>
  <si>
    <t>RAM-HOL-TO11U</t>
  </si>
  <si>
    <t>UNPKD RAM HOLDER TOMTOM XXL SERIES</t>
  </si>
  <si>
    <t>RAM-HOL-TO10U</t>
  </si>
  <si>
    <t>UNPKD RAM HOLDER TDS NOMAD &amp; NOMAD X</t>
  </si>
  <si>
    <t>RAM-HOL-TD4U</t>
  </si>
  <si>
    <t>UNPKD RAM HOLDER TDS NOMAD</t>
  </si>
  <si>
    <t>RAM-HOL-TD3U</t>
  </si>
  <si>
    <t>UNPKD RAM HOLDER TDS RANGER</t>
  </si>
  <si>
    <t>RAM-HOL-TD2U</t>
  </si>
  <si>
    <t>UNPKD RAM HOLDER TDS RECON</t>
  </si>
  <si>
    <t>RAM-HOL-TD1U</t>
  </si>
  <si>
    <t>UPKD RAM EZ ROLL'R CRADLE FOR TAB ACTIVE PRO TOUGH-CASE</t>
  </si>
  <si>
    <t>RAM-HOL-TC-SAM54U</t>
  </si>
  <si>
    <t>UPKD RAM EZ ROLL'R CRADLE WITH FAN FOR TAB ACTIVE PRO TOUGH-CASE</t>
  </si>
  <si>
    <t>RAM-HOL-TC-SAM54FU</t>
  </si>
  <si>
    <t>UPKD RAM EZ ROLL'R CRADLE FOR TAB ACTIVE 2 &amp; 3 AND TAB A 8" TOUGH-CASE</t>
  </si>
  <si>
    <t>RAM-HOL-TC-SAM29U</t>
  </si>
  <si>
    <t>UPKD RAM EZ ROLL'R CRADLE WITH FAN FOR TAB ACTIVE 2 &amp; 3 AND TAB A 8" TOUGH-CASE</t>
  </si>
  <si>
    <t>RAM-HOL-TC-SAM29FU</t>
  </si>
  <si>
    <t>UNPKD RAM TAB-TITE KIT SMALL TABLETS</t>
  </si>
  <si>
    <t>RAM-HOL-TAB-SMU</t>
  </si>
  <si>
    <t>UNPKD RAM TAB-TITE KIT 2 SMALL TABLETS</t>
  </si>
  <si>
    <t>RAM-HOL-TAB-SM2U</t>
  </si>
  <si>
    <t>UNPKD RAM TAB-TITE SAMSUNG TAB ACTIVE</t>
  </si>
  <si>
    <t>RAM-HOL-TAB-SAM29U</t>
  </si>
  <si>
    <t>UNPKD RAM TAB-TITE RISER 2 SETS</t>
  </si>
  <si>
    <t>RAM-HOL-TAB-RISER2U</t>
  </si>
  <si>
    <t>UNPKD RAM TAB-TITE RISER</t>
  </si>
  <si>
    <t>RAM-HOL-TAB-RISER1U</t>
  </si>
  <si>
    <t>UNPKD RAM TAB-LOCK KIT SMALL TABLETS</t>
  </si>
  <si>
    <t>RAM-HOL-TABL-SMU</t>
  </si>
  <si>
    <t>UNPKD RAM TAB-LOCK KIT 2 SMALL TABLETS</t>
  </si>
  <si>
    <t>RAM-HOL-TABL-SM2U</t>
  </si>
  <si>
    <t>UNPKD RAM TAB-LOCK SIDE ARM ONLY</t>
  </si>
  <si>
    <t>RAM-HOL-TABLSAU</t>
  </si>
  <si>
    <t>UNPKD RAM TAB-LOCK SAMSUNG TAB ACTIVE</t>
  </si>
  <si>
    <t>RAM-HOL-TABL-SAM29U</t>
  </si>
  <si>
    <t>UNPKD RAM TAB-LOCK KIT LARGE TABLETS</t>
  </si>
  <si>
    <t>RAM-HOL-TABL-LGU</t>
  </si>
  <si>
    <t>UNPKD RAM TAB-LOCK FOR KEYBOARDS</t>
  </si>
  <si>
    <t>RAM-HOL-TABL-KBU</t>
  </si>
  <si>
    <t>UNPKD RAM TAB-TITE KIT LARGE TABLETS</t>
  </si>
  <si>
    <t>RAM-HOL-TAB-LGU</t>
  </si>
  <si>
    <t>RAM TAB-TITE KIT LARGE TABLETS</t>
  </si>
  <si>
    <t>RAM-HOL-TAB-LG</t>
  </si>
  <si>
    <t>UNPKD RAM TAB-LOCK BODY ONLY</t>
  </si>
  <si>
    <t>RAM-HOL-TABLBU</t>
  </si>
  <si>
    <t>UNPKD RAM TAB-TITE PAN TOUGHPAD W/ CASE</t>
  </si>
  <si>
    <t>RAM-HOL-TABL9U</t>
  </si>
  <si>
    <t>UNPKD RAM TAB-LOCK 10" TAB W/ CASE V0 FLAME RATED MATERIAL</t>
  </si>
  <si>
    <t>RAM-HOL-TABL8-V0U</t>
  </si>
  <si>
    <t>UNPKD RAM TAB-LOCK 10" TAB W/ CASE</t>
  </si>
  <si>
    <t>RAM-HOL-TABL8U</t>
  </si>
  <si>
    <t>UNPKD RAM TAB-LOCK FOR TABLETS UP TO 6.8" WIDE</t>
  </si>
  <si>
    <t>RAM-HOL-TABL6U</t>
  </si>
  <si>
    <t>UNPKD RAM TAB-LOCK THICK TABS</t>
  </si>
  <si>
    <t>RAM-HOL-TABL4U</t>
  </si>
  <si>
    <t>UNPKD RAM TAB-LOCK IPAD MID TABLETS</t>
  </si>
  <si>
    <t>RAM-HOL-TABL3U</t>
  </si>
  <si>
    <t>UNPKD RAM TAB-LOCK FOR SAMSUNG S8+ WITH SM-X8000 PROTECTIVE RUGGED CASE</t>
  </si>
  <si>
    <t>RAM-HOL-TABL36U</t>
  </si>
  <si>
    <t>UNPKD RAM TAB-LOCK FOR PANASONIC FZ-G2 &amp; FZ-A3</t>
  </si>
  <si>
    <t>RAM-HOL-TABL34U</t>
  </si>
  <si>
    <t>UNPKD RAM TAB-LOCK FOR 9" - 10" DEVICES</t>
  </si>
  <si>
    <t>RAM-HOL-TABL33U</t>
  </si>
  <si>
    <t>UNPD RAM TAB-TITE LOCK SAMSUNG E 9.6"</t>
  </si>
  <si>
    <t>RAM-HOL-TABL31U</t>
  </si>
  <si>
    <t>UNPD RAM TAB-TITE LOCK SAMSUNG S2 8"</t>
  </si>
  <si>
    <t>RAM-HOL-TABL30U</t>
  </si>
  <si>
    <t>UNPKD RAM TAB-LOCK SMALL TABLETS</t>
  </si>
  <si>
    <t>RAM-HOL-TABL2U</t>
  </si>
  <si>
    <t>UNPKD RAM TAB-LOCK SAMSUNG TAB A 8" CASE</t>
  </si>
  <si>
    <t>RAM-HOL-TABL29U</t>
  </si>
  <si>
    <t>UNPKD RAM TAB-LOCK SAMSUNG TAB A 9.7</t>
  </si>
  <si>
    <t>RAM-HOL-TABL28U</t>
  </si>
  <si>
    <t>UND RAM TAB-LOCK SAMSUNG TAB A 8.0</t>
  </si>
  <si>
    <t>RAM-HOL-TABL27U</t>
  </si>
  <si>
    <t>UND RAM TAB-LOCK FOR SELECT 9" &amp; 10" TABLETS</t>
  </si>
  <si>
    <t>RAM-HOL-TABL26U</t>
  </si>
  <si>
    <t>UND RAM TAB-LOCK SAMSUNG TAB 4 10.1 5 CA</t>
  </si>
  <si>
    <t>RAM-HOL-TABL25U</t>
  </si>
  <si>
    <t>UNPKD RAM TAB-LOCK SAMSUNG TAB 4 8.4"</t>
  </si>
  <si>
    <t>RAM-HOL-TABL24U</t>
  </si>
  <si>
    <t>UNPKD RAM TAB-LOCK SAMSUNG TAB 4 8.4" CA</t>
  </si>
  <si>
    <t>RAM-HOL-TABL23U</t>
  </si>
  <si>
    <t>UNPKD RAM TAB-LOCK SAMSUNG TAB 4 7"</t>
  </si>
  <si>
    <t>RAM-HOL-TABL22U</t>
  </si>
  <si>
    <t>UNPKD RAM TAB-LOCK SAMSUNG TAB 4 7" CASE</t>
  </si>
  <si>
    <t>RAM-HOL-TABL21U</t>
  </si>
  <si>
    <t>UNPKD RAM TAB-LOCK IPAD AIR W/ CASE</t>
  </si>
  <si>
    <t>RAM-HOL-TABL20U</t>
  </si>
  <si>
    <t>UNPKD RAM TAB-LOCK PANASONIC FZ-G1</t>
  </si>
  <si>
    <t>RAM-HOL-TABL19U</t>
  </si>
  <si>
    <t>UNPKD RAM TAB-LOCK 7" WITH CASE</t>
  </si>
  <si>
    <t>RAM-HOL-TABL18U</t>
  </si>
  <si>
    <t>RAM-HOL-TABL17U</t>
  </si>
  <si>
    <t>UNPKD RAM TAB-LOCK 7" TAB W/ CASE</t>
  </si>
  <si>
    <t>RAM-HOL-TABL16U</t>
  </si>
  <si>
    <t>UNPKD RAM TAB-LOCK FOR 8" TABLETS WITH CASE</t>
  </si>
  <si>
    <t>RAM-HOL-TABL12U</t>
  </si>
  <si>
    <t>UNPKD RAM TAB-LOCK IPAD MINI</t>
  </si>
  <si>
    <t>RAM-HOL-TABL11U</t>
  </si>
  <si>
    <t>UNPD RAM TAB-TITE LOCK TOUGHPAD W/O CASE</t>
  </si>
  <si>
    <t>RAM-HOL-TABL10U</t>
  </si>
  <si>
    <t>UNPKD RAM TAB-TITE FOR KEYBOARDS</t>
  </si>
  <si>
    <t>RAM-HOL-TAB-KBU</t>
  </si>
  <si>
    <t>UNPKD RAM TAB-TITE FOR JOHN DEERE</t>
  </si>
  <si>
    <t>RAM-HOL-TAB-JD2U</t>
  </si>
  <si>
    <t>UNPKD RAM TAB-TITE 10"</t>
  </si>
  <si>
    <t>RAM-HOL-TAB-JD1U</t>
  </si>
  <si>
    <t>UNPKD RAM TAB-TITE KIT IPAD &amp; IPAD MINI</t>
  </si>
  <si>
    <t>RAM-HOL-TAB-IPADU</t>
  </si>
  <si>
    <t>UNPKD RAM TAB-DOCK LOCK IPAD 2 IPAD 3</t>
  </si>
  <si>
    <t>RAM-HOL-TABDL7U</t>
  </si>
  <si>
    <t>UNPKD RAM TAB-DOCK LOCK IPAD 4 LIGHTNING</t>
  </si>
  <si>
    <t>RAM-HOL-TABDL14U</t>
  </si>
  <si>
    <t>UNPKD RAM TAB-DOCK IPAD 2 IPAD 3</t>
  </si>
  <si>
    <t>RAM-HOL-TABD7U</t>
  </si>
  <si>
    <t>UNPKD RAM TAB-DOCK IPAD 4 LIGHTNING</t>
  </si>
  <si>
    <t>RAM-HOL-TABD14U</t>
  </si>
  <si>
    <t>UNPKD RAM TAB-TITE PANASONIC TOUGHPAD</t>
  </si>
  <si>
    <t>RAM-HOL-TAB9U</t>
  </si>
  <si>
    <t>UNPKD RAM TAB-TITE CUPS TOUGHPAD</t>
  </si>
  <si>
    <t>RAM-HOL-TAB9-CUPSU</t>
  </si>
  <si>
    <t>UNPKD RAM TAB-TITE 10" TAB WITH CASE</t>
  </si>
  <si>
    <t>RAM-HOL-TAB8U</t>
  </si>
  <si>
    <t>UNPKD RAM TAB8 END CUPS 2 QTY.</t>
  </si>
  <si>
    <t>RAM-HOL-TAB8-CUPSU</t>
  </si>
  <si>
    <t>UNPKD RAM TAB-TITE FOR TABLETS UP TO 6.8" WIDE</t>
  </si>
  <si>
    <t>RAM-HOL-TAB6U</t>
  </si>
  <si>
    <t>UNPKD RAM TAB-TITE CUPS FOR TABLETS UP TO 6.8" WIDE</t>
  </si>
  <si>
    <t>RAM-HOL-TAB6-CUPSU</t>
  </si>
  <si>
    <t>RAM TAB-TITE FOR TABLETS UP TO 6.8" WIDE</t>
  </si>
  <si>
    <t>RAM-HOL-TAB6</t>
  </si>
  <si>
    <t>UNPKD RAM TAB-TITE GALAXY TAB STREAK</t>
  </si>
  <si>
    <t>RAM-HOL-TAB5U</t>
  </si>
  <si>
    <t>UNPKD RAM TAB-TITE CUP GALAXY TAB STREAK</t>
  </si>
  <si>
    <t>RAM-HOL-TAB5-CUPSU</t>
  </si>
  <si>
    <t>UNPKD RAM TAB-TITE THICK TABS</t>
  </si>
  <si>
    <t>RAM-HOL-TAB4U</t>
  </si>
  <si>
    <t>UNPKD RAM TAB-TITE CUPS THICK TABS</t>
  </si>
  <si>
    <t>RAM-HOL-TAB4-CUPSU</t>
  </si>
  <si>
    <t>RAM TAB-TITE THICK TABS</t>
  </si>
  <si>
    <t>RAM-HOL-TAB4</t>
  </si>
  <si>
    <t>UNPKD RAM TAB-TITE IPAD MID TABLETS</t>
  </si>
  <si>
    <t>RAM-HOL-TAB3U</t>
  </si>
  <si>
    <t>UNPKD RAM TAB-TITE CUPS IPAD MID TABS</t>
  </si>
  <si>
    <t>RAM-HOL-TAB3-CUPSU</t>
  </si>
  <si>
    <t>UNPKD RAM TAB-TITE FOR SAMSUNG S8+ WITH SM-X8000 PROTECTIVE RUGGED CASE</t>
  </si>
  <si>
    <t>RAM-HOL-TAB36U</t>
  </si>
  <si>
    <t xml:space="preserve">UNPKD RAM TAB-TITE CUP </t>
  </si>
  <si>
    <t>RAM-HOL-TAB36-CUPSU</t>
  </si>
  <si>
    <t>UNPKD RAM TAB-TITE FOR PANASONIC FZ-G2 &amp; FZ-A3</t>
  </si>
  <si>
    <t>RAM-HOL-TAB34U</t>
  </si>
  <si>
    <t>RAM-HOL-TAB34-CUPSU</t>
  </si>
  <si>
    <t>UNPKD RAM TAB-TITE FOR 9" - 10" DEVICES</t>
  </si>
  <si>
    <t>RAM-HOL-TAB33U</t>
  </si>
  <si>
    <t>RAM-HOL-TAB33-CUPSU</t>
  </si>
  <si>
    <t>UNPKD RAM TAB-TITE SAMSUNG E 9.6"</t>
  </si>
  <si>
    <t>RAM-HOL-TAB31U</t>
  </si>
  <si>
    <t>UNPKD RAM TAB-TITE CUP SAMSUNG E 9.6"</t>
  </si>
  <si>
    <t>RAM-HOL-TAB31-CUPSU</t>
  </si>
  <si>
    <t>UNPKD RAM TAB-TITE SAMSUNG S2 8</t>
  </si>
  <si>
    <t>RAM-HOL-TAB30U</t>
  </si>
  <si>
    <t>UNPKD RAM TAB-TITE CUP SAMSUNG S2 8"</t>
  </si>
  <si>
    <t>RAM-HOL-TAB30-CUPSU</t>
  </si>
  <si>
    <t>RAM TAB-TITE IPAD MID TABLETS</t>
  </si>
  <si>
    <t>RAM-HOL-TAB3</t>
  </si>
  <si>
    <t>UNPKD RAM TAB-TITE SMALL TABLETS</t>
  </si>
  <si>
    <t>RAM-HOL-TAB2U</t>
  </si>
  <si>
    <t>UNPKD RAM TAB-TITE CUPS SMALL TABLETS</t>
  </si>
  <si>
    <t>RAM-HOL-TAB2-CUPSU</t>
  </si>
  <si>
    <t>UNPKD RAM TAB-TITE SAMSUNG TAB A 8" CASE</t>
  </si>
  <si>
    <t>RAM-HOL-TAB29U</t>
  </si>
  <si>
    <t>UNPKD RAM TAB-TITE CUP SAMSUNG TAB A 8.0</t>
  </si>
  <si>
    <t>RAM-HOL-TAB29-CUPSU</t>
  </si>
  <si>
    <t>UNPKD RAM TAB-TITE SAMSUNG TAB A 9.7</t>
  </si>
  <si>
    <t>RAM-HOL-TAB28U</t>
  </si>
  <si>
    <t>UNPKD RAM TAB-TITE CUP SAMSUNG TAB A 9.7</t>
  </si>
  <si>
    <t>RAM-HOL-TAB28-CUPSU</t>
  </si>
  <si>
    <t>UNP RAM TAB-TITE SAMSUNG TAB A 8.0</t>
  </si>
  <si>
    <t>RAM-HOL-TAB27U</t>
  </si>
  <si>
    <t>UNPKD RAM TAB-TITE CUPS SAMSUNG TAB A 8</t>
  </si>
  <si>
    <t>RAM-HOL-TAB27-CUPSU</t>
  </si>
  <si>
    <t>UNP RAM TAB-TITE FOR SELECT 9” &amp; 10” TABLETS</t>
  </si>
  <si>
    <t>RAM-HOL-TAB26U</t>
  </si>
  <si>
    <t>UNPKD RAM TAB-TITE CUPS 10" TAB W/O CASE</t>
  </si>
  <si>
    <t>RAM-HOL-TAB26-CUPSU</t>
  </si>
  <si>
    <t>UNP RAM TAB-TITE SAMSUNG TAB 4 10.1 5  C</t>
  </si>
  <si>
    <t>RAM-HOL-TAB25U</t>
  </si>
  <si>
    <t>UNPKD RAM TAB-TITE CUPS 10" TAB W/ CASE</t>
  </si>
  <si>
    <t>RAM-HOL-TAB25-CUPSU</t>
  </si>
  <si>
    <t xml:space="preserve">UNPKD RAM TAB-TITE SAMSUNG TAB 4 8" </t>
  </si>
  <si>
    <t>RAM-HOL-TAB24U</t>
  </si>
  <si>
    <t>UNPKD RAM TAB-TITE CUPS 8" TAB W/O CASE</t>
  </si>
  <si>
    <t>RAM-HOL-TAB24-CUPSU</t>
  </si>
  <si>
    <t>UNPKD RAM TAB-TITE SAMSUNG TAB 4 8" CASE</t>
  </si>
  <si>
    <t>RAM-HOL-TAB23U</t>
  </si>
  <si>
    <t>UNPKD RAM TAB-TITE CUPS 8" TAB W/ CASE</t>
  </si>
  <si>
    <t>RAM-HOL-TAB23-CUPSU</t>
  </si>
  <si>
    <t>UNPKD RAM TAB-TITE SAMSUNG TAB 4 7"</t>
  </si>
  <si>
    <t>RAM-HOL-TAB22U</t>
  </si>
  <si>
    <t>UNPKD RAM TAB-TITE CUPS 7" TAB W/O CASE</t>
  </si>
  <si>
    <t>RAM-HOL-TAB22-CUPSU</t>
  </si>
  <si>
    <t>UNPKD RAM TAB-TITE SAMSUNG TAB 4 7" CASE</t>
  </si>
  <si>
    <t>RAM-HOL-TAB21U</t>
  </si>
  <si>
    <t>UNPKD RAM TAB-TITE CUPS 7" TAB W/ CASE</t>
  </si>
  <si>
    <t>RAM-HOL-TAB21-CUPSU</t>
  </si>
  <si>
    <t>UNPKD RAM TAB-TITE IPAD AIR W CASE</t>
  </si>
  <si>
    <t>RAM-HOL-TAB20U</t>
  </si>
  <si>
    <t>UNPKD RAM TAB-TITE CUPS IPAD AIR</t>
  </si>
  <si>
    <t>RAM-HOL-TAB20-CUPSU</t>
  </si>
  <si>
    <t>RAM TAB-TITE SMALL TABLETS</t>
  </si>
  <si>
    <t>RAM-HOL-TAB2</t>
  </si>
  <si>
    <t>UNPKD RAM TAB-TITE PANASONIC FZ-G1</t>
  </si>
  <si>
    <t>RAM-HOL-TAB19U</t>
  </si>
  <si>
    <t>UNPKD RAM TAB-TITE CUPS PANASONIC FZ-G1</t>
  </si>
  <si>
    <t>RAM-HOL-TAB19-CUPSU</t>
  </si>
  <si>
    <t>UNPKD RAM TAB-TITE 7" TABLET WITH SLEEVE</t>
  </si>
  <si>
    <t>RAM-HOL-TAB18U</t>
  </si>
  <si>
    <t>UNPKD RAM TAB-TITE CUPS 7" TABLETS</t>
  </si>
  <si>
    <t>RAM-HOL-TAB18-CUPSU</t>
  </si>
  <si>
    <t>RAM-HOL-TAB17U</t>
  </si>
  <si>
    <t>UNPKD RAM TAB-TITE CUPS 10" TAB W CASE</t>
  </si>
  <si>
    <t>RAM-HOL-TAB17-CUPSU</t>
  </si>
  <si>
    <t>UNPKD RAM TAB-TITE 10" DBL SUCITON C SIZ</t>
  </si>
  <si>
    <t>RAM-HOL-TAB17-189BU</t>
  </si>
  <si>
    <t>UNPKD RAM TAB-TITE 7" TAB WITH CASE</t>
  </si>
  <si>
    <t>RAM-HOL-TAB16U</t>
  </si>
  <si>
    <t>UNPKD RAM TAB-TITE CUPS 7" WITH CASE</t>
  </si>
  <si>
    <t>RAM-HOL-TAB16-CUPSU</t>
  </si>
  <si>
    <t>UNPKD RAM TAB-TITE FOR 8" TABLETS WITH CASES</t>
  </si>
  <si>
    <t>RAM-HOL-TAB12U</t>
  </si>
  <si>
    <t>UNPKD RAM TAB-TITE CUPS IPAD MINI W SLEE</t>
  </si>
  <si>
    <t>RAM-HOL-TAB12-CUPSU</t>
  </si>
  <si>
    <t>UNPKD RAM TAB-TITE IPAD MINI W/ 1" BALL</t>
  </si>
  <si>
    <t>RAM-HOL-TAB12BU</t>
  </si>
  <si>
    <t>RAM-HOL-TAB12BAU</t>
  </si>
  <si>
    <t>UNPKD RAM ASSEM TAB-TITE IPAD MIN SLEEVE</t>
  </si>
  <si>
    <t>RAM-HOL-TAB12AU</t>
  </si>
  <si>
    <t>UNPKD RAM TAB-TITE IPAD MINI</t>
  </si>
  <si>
    <t>RAM-HOL-TAB11U</t>
  </si>
  <si>
    <t>UNPKD RAM TAB-TITE CUPS IPAD MINI</t>
  </si>
  <si>
    <t>RAM-HOL-TAB11-CUPSU</t>
  </si>
  <si>
    <t>UNPKD RAM TAB-TITE TOUGHPAD W/O  CASE</t>
  </si>
  <si>
    <t>RAM-HOL-TAB10U</t>
  </si>
  <si>
    <t>UNPKD RAM TAB-TITE CUPS TOUGHPAD WO CASE</t>
  </si>
  <si>
    <t>RAM-HOL-TAB10-CUPSU</t>
  </si>
  <si>
    <t>UNPKD RAM HOLDER MOTO MC5574 90</t>
  </si>
  <si>
    <t>RAM-HOL-SYM3U</t>
  </si>
  <si>
    <t>UNPKD RAM POWERED HOLDER MOTO MC5574 90</t>
  </si>
  <si>
    <t>RAM-HOL-SYM3PU</t>
  </si>
  <si>
    <t>UNPKD RAM POWERED SYMBOL MC55 RAYONNANCE</t>
  </si>
  <si>
    <t>RAM-HOL-SYM3PE-RAY1U</t>
  </si>
  <si>
    <t>UNPKD RAM POWERED SYMBOL MC55 EXT CIG</t>
  </si>
  <si>
    <t>RAM-HOL-SYM3PECU</t>
  </si>
  <si>
    <t>RAM-HOL-SYM3PEC-NOUSBU</t>
  </si>
  <si>
    <t>UNPKD RAM POW DB9 SYMBOL MC55 EXT CIG</t>
  </si>
  <si>
    <t>RAM-HOL-SYM3PEC-1U</t>
  </si>
  <si>
    <t>UNPKD RAM HOLDER SOMEWEAR LABS GLOBAL HOTSPOT WITH HARDWARE</t>
  </si>
  <si>
    <t>RAM-HOL-SW1U</t>
  </si>
  <si>
    <t>UNPKD RAM HOLDER INTERMEC CK3 SURGICOUNT</t>
  </si>
  <si>
    <t>RAM-HOL-SUR1U</t>
  </si>
  <si>
    <t>UNPKD RAM HOLDER SPOT GEN 4</t>
  </si>
  <si>
    <t>RAM-HOL-SPO6U</t>
  </si>
  <si>
    <t>RAM HOLDER SPOT GEN 4</t>
  </si>
  <si>
    <t>RAM-HOL-SPO6</t>
  </si>
  <si>
    <t>UNPKD RAM HOLDER SPOT X</t>
  </si>
  <si>
    <t>RAM-HOL-SPO5U</t>
  </si>
  <si>
    <t>UNPKD RAM HOLDER SPOT GEN 3</t>
  </si>
  <si>
    <t>RAM-HOL-SPO4U</t>
  </si>
  <si>
    <t>RAM HOLDER SPOT GEN 3</t>
  </si>
  <si>
    <t>RAM-HOL-SPO4</t>
  </si>
  <si>
    <t>UNPKD RAM HOLDER SPOT 2 SATELLITE UNIT</t>
  </si>
  <si>
    <t>RAM-HOL-SPO2U</t>
  </si>
  <si>
    <t>RAM HOLDER SPOT 2 SATELLITE UNIT W/ BALL</t>
  </si>
  <si>
    <t>RAM-HOL-SPO2B</t>
  </si>
  <si>
    <t>RAM HOLDER SPOT 2 SATELLITE UNIT</t>
  </si>
  <si>
    <t>RAM-HOL-SPO2</t>
  </si>
  <si>
    <t>UNPK HOLDER SPORTY'S E6B</t>
  </si>
  <si>
    <t>RAM-HOL-SP1U</t>
  </si>
  <si>
    <t>UNPKD RAM HOLDER FOR SONIM XP10</t>
  </si>
  <si>
    <t>RAM-HOL-SNM4U</t>
  </si>
  <si>
    <t>UNPKD RAM POWERED DOCK FOR SONIM XP10</t>
  </si>
  <si>
    <t>RAM-HOL-SNM4PU</t>
  </si>
  <si>
    <t>UNPKD RAM POWERED LOCKING DOCK FOR SONIM XP10</t>
  </si>
  <si>
    <t>RAM-HOL-SNM4PLU</t>
  </si>
  <si>
    <t>UNPKD RAM LOCKING DOCK FOR SONIM XP10</t>
  </si>
  <si>
    <t>RAM-HOL-SNM4LU</t>
  </si>
  <si>
    <t>UNPKD RAM HOLDER FOR SONIM XP5 PLUS</t>
  </si>
  <si>
    <t>RAM-HOL-SNM3U</t>
  </si>
  <si>
    <t>UNPKD RAM POWERED DOCK FOR SONIM XP5 PLUS</t>
  </si>
  <si>
    <t>RAM-HOL-SNM3PU</t>
  </si>
  <si>
    <t>UNPKD RAM POWERED LOCKING DOCK FOR SONIM XP5 PLUS</t>
  </si>
  <si>
    <t>RAM-HOL-SNM3PLU</t>
  </si>
  <si>
    <t>UNPKD RAM LOCKING DOCK FOR SONIM XP5 PLUS</t>
  </si>
  <si>
    <t>RAM-HOL-SNM3LU</t>
  </si>
  <si>
    <t>UNPKD RAM HOLDER FOR SONIM XP8</t>
  </si>
  <si>
    <t>RAM-HOL-SNM2U</t>
  </si>
  <si>
    <t>UNPKD RAM POWERED DOCK FOR SONIM XP8</t>
  </si>
  <si>
    <t>RAM-HOL-SNM2PU</t>
  </si>
  <si>
    <t>UNPKD RAM POWERED LOCKING DOCK FOR SONIM XP8</t>
  </si>
  <si>
    <t>RAM-HOL-SNM2PLU</t>
  </si>
  <si>
    <t>UNPKD RAM LOCKING DOCK FOR SONIM XP8</t>
  </si>
  <si>
    <t>RAM-HOL-SNM2LU</t>
  </si>
  <si>
    <t>UNPKD RAM HOLDER FOR SONIM XP5S</t>
  </si>
  <si>
    <t>RAM-HOL-SNM1U</t>
  </si>
  <si>
    <t>UNPKD RAM POWERED DOCK FOR SONIM XP5S</t>
  </si>
  <si>
    <t>RAM-HOL-SNM1PU</t>
  </si>
  <si>
    <t>UNPKD RAM POWERED LOCKING DOCK FOR SONIM XP5S</t>
  </si>
  <si>
    <t>RAM-HOL-SNM1PLU</t>
  </si>
  <si>
    <t>UNPKD RAM LOCKING DOCK FOR SONIM XP5S</t>
  </si>
  <si>
    <t>RAM-HOL-SNM1LU</t>
  </si>
  <si>
    <t>UNPKD RAM EZ-ROLL'R POWERED DOCK FOR SAMSUNG XCOVER PRO</t>
  </si>
  <si>
    <t>RAM-HOL-SAM9PU</t>
  </si>
  <si>
    <t>UNPKD RAM EZ-ROLL'R POWERED DOCK FOR SAMSUNG XCOVER PRO W/ OTTERBOX UNIVERSE</t>
  </si>
  <si>
    <t>RAM-HOL-SAM9P-OT2U</t>
  </si>
  <si>
    <t>UNPKD RAM EZ-ROLL'R POWERED DOCK FOR SAMSUNG XCOVER7 WITHOUT CASE</t>
  </si>
  <si>
    <t>RAM-HOL-SAM94PU</t>
  </si>
  <si>
    <t>UNPKD RAM HLDR FOR SAMSUNG TAB 4 7"</t>
  </si>
  <si>
    <t>RAM-HOL-SAM8U</t>
  </si>
  <si>
    <t>UNPKD RAM EZ-ROLL'R POWERED DOCK FOR SAMSUNG XCOVER6 PRO</t>
  </si>
  <si>
    <t>RAM-HOL-SAM84PU</t>
  </si>
  <si>
    <t>UNPKD RAM EZ-ROLL'R POWERED DOCK FOR SAMSUNG XCOVER6 PRO WITH OEM SKIN</t>
  </si>
  <si>
    <t>RAM-HOL-SAM84CP-1U</t>
  </si>
  <si>
    <t>UNPKD RAM EZ-ROLL'R POWERED DOCK FOR SAMSUNG XCOVER 5</t>
  </si>
  <si>
    <t>RAM-HOL-SAM79PU</t>
  </si>
  <si>
    <t>UNPKD RAM EZ-ROLL'R POWERED DOCK FOR SAMSUNG XCOVER FIELD PRO</t>
  </si>
  <si>
    <t>RAM-HOL-SAM72PU</t>
  </si>
  <si>
    <t>UNPKD RAM HOLDER SAMSUNG GALAXY 7.0 PLUS</t>
  </si>
  <si>
    <t>RAM-HOL-SAM6U</t>
  </si>
  <si>
    <t>UNPKD EZ-ROLL'R DOCK POWER ONLY FOR SAMSUNG TAB ACTIVE2 &amp; TAB ACTIVE3 W/ SPEAKER BOX</t>
  </si>
  <si>
    <t>RAM-HOL-SAM61PU</t>
  </si>
  <si>
    <t>UNPKD EZ-ROLL'R DOCK POWER DATA FOR SAMSUNG TAB ACTIVE2 &amp; TAB ACTIVE3 W/ SPEAKER BOX</t>
  </si>
  <si>
    <t>RAM-HOL-SAM61PDU</t>
  </si>
  <si>
    <t>UNPKD EZ-ROLL'R DOCK POWER &amp; DATA W/ 2 USB-A FEMALE SOCKETS FOR SAMSUNG TAB ACTIVE2 &amp; TAB ACTIVE3 W/ SPEAKER BOX</t>
  </si>
  <si>
    <t>RAM-HOL-SAM61PD2U</t>
  </si>
  <si>
    <t>UNPKD EZ-ROLL'R DOCK POWER &amp; DATA W/ 2 USB-A FEMALE SOCKETS FOR SAMSUNG TAB ACTIVE2 &amp; TAB ACTIVE3</t>
  </si>
  <si>
    <t>RAM-HOL-SAM60PD2U</t>
  </si>
  <si>
    <t>UNPKD EZ-ROLL'R DOCK POWER &amp; DATA W/ 2 USB-A FEMALE SOCKETS FOR SAMSUNG TAB ACTIVE3 WITH OTTERBOX UNIVERSE CASE</t>
  </si>
  <si>
    <t>RAM-HOL-SAM60PD2-OT1U</t>
  </si>
  <si>
    <t>UNPKD EZ-ROLL'R POWER AND DUAL DATA DOCK WITH NFC FOR SAMSUNG TAB ACTIVE2 &amp; TAB ACTIVE3</t>
  </si>
  <si>
    <t>RAM-HOL-SAM60PD2NU</t>
  </si>
  <si>
    <t>UNPKD EZ-ROLL'R TYPE-C DOCK SAMSUNG TAB ACTIVE2 &amp; TAB ACTIVE3 WITH HARDWIRE CHARGER</t>
  </si>
  <si>
    <t>RAM-HOL-SAM60CP-V7CU</t>
  </si>
  <si>
    <t xml:space="preserve">UNPKD EZ-ROLL'R DOCK USB-C POWER ONLY FOR SAMSUNG TAB ACTIVE2 &amp; TAB ACTIVE3 </t>
  </si>
  <si>
    <t>RAM-HOL-SAM60CPU</t>
  </si>
  <si>
    <t>UNPKD EZ-ROLL'R DOCK USB-C POWER &amp; 1 RJ45 + 1 USB-A FEMALE SOCKETS FOR SAMSUNG TAB ACTIVE2 &amp; TAB ACTIVE3</t>
  </si>
  <si>
    <t>RAM-HOL-SAM60CP-RJ45AU</t>
  </si>
  <si>
    <t>UNPKD EZ-ROLL'R DOCK USB-C POWER ONLY FOR SAMSUNG TAB ACTIVE3/5 WITH OTTERBOX UNIVERSE CASE</t>
  </si>
  <si>
    <t>RAM-HOL-SAM60CP-OT1U</t>
  </si>
  <si>
    <t>UNPKD EZ-ROLL'R USB-C POWER ONLY DOCK WITH NFC FOR SAMSUNG TAB ACTIVE5 + 3</t>
  </si>
  <si>
    <t>RAM-HOL-SAM60CPNU</t>
  </si>
  <si>
    <t>UNPKD EZ-ROLL'R DOCK USB-C POWER ONLY FOR SAMSUNG TAB ACTIVE2 &amp; TAB ACTIVE3 WITH NFC</t>
  </si>
  <si>
    <t>RAM-HOL-SAM60CP-NFCU</t>
  </si>
  <si>
    <t xml:space="preserve">SUB USB-C POWER ONLY RAM CRADLE SAMSUNG TAB ACTIVE3/2 NFC AND HEATER MODULE CAPABLE </t>
  </si>
  <si>
    <t>RAM-HOL-SAM60CPN-CU</t>
  </si>
  <si>
    <t xml:space="preserve">UNPKD EZ-ROLL'R USB-C POWER AND DUAL DATA DOCK WITH NFC FOR SAMSUNG TAB ACTIVE2 &amp; TAB ACTIVE3 </t>
  </si>
  <si>
    <t>RAM-HOL-SAM60CPN-CAU</t>
  </si>
  <si>
    <t>UNPKD EZ-ROLL'R POWER AND DUAL DATA DOCK WITH NFC FOR SAMSUNG TAB ACTIVE5 + 3</t>
  </si>
  <si>
    <t>RAM-HOL-SAM60CPN-2AU</t>
  </si>
  <si>
    <t xml:space="preserve">UNPKD EZ-ROLL'R POWER AND DATA DOCK WITH NFC FOR SAMSUNG TAB ACTIVE5 + 3 </t>
  </si>
  <si>
    <t>RAM-HOL-SAM60CPN-1AU</t>
  </si>
  <si>
    <t>UNPKD EZ-ROLL'R DOCK POWER WITH USB-C FEMALE PERIPHERAL FOR SAMSUNG TAB ACTIVE2 &amp; TAB ACTIVE3</t>
  </si>
  <si>
    <t>RAM-HOL-SAM60CP-CU</t>
  </si>
  <si>
    <t>UNPKD EZ-ROLL'R TYPE-C DOCK SAMSUNG TAB ACTIVE2 &amp; TAB ACTIVE3 WITH CLA WITH SAE CONNECTOR</t>
  </si>
  <si>
    <t>RAM-HOL-SAM60CP-CIGM-SAEU</t>
  </si>
  <si>
    <t>UNPKD EZ-ROLL'R DOCK USB-C POWER &amp; DATA W/ 2 USB-A FEMALE SOCKETS FOR SAMSUNG TAB ACTIVE2 &amp; TAB ACTIVE3</t>
  </si>
  <si>
    <t>RAM-HOL-SAM60CP-CAU</t>
  </si>
  <si>
    <t>UNPKD EZ-ROLL'R DOCK POWER WITH USB-C POWER + USB-A FEMALE PERIPHERAL FOR SAMSUNG TAB ACTIVE2 &amp; TAB ACTIVE3</t>
  </si>
  <si>
    <t>RAM-HOL-SAM60CP-AU</t>
  </si>
  <si>
    <t>UNPKD EZ-ROLL'R DOCK POWER &amp; DATA W/ 2 USB-A FEMALE SOCKETS FOR SAMSUNG TAB ACTIVE5 + 3</t>
  </si>
  <si>
    <t>RAM-HOL-SAM60CP-2AU</t>
  </si>
  <si>
    <t>RAM-HOL-SAM60CP-2A-OT1U</t>
  </si>
  <si>
    <t>UNPKD EZ-ROLL'R POWER AND DATA DOCK SAMSUNG TAB ACTIVE5 + 3 WITH HARDWIRE CHARGER</t>
  </si>
  <si>
    <t>RAM-HOL-SAM60CP-1A-V7CU</t>
  </si>
  <si>
    <t>UNPKD EZ-ROLL'R DOCK POWER DATA FOR SAMSUNG TAB ACTIVE5 &amp; TAB ACTIVE3</t>
  </si>
  <si>
    <t>RAM-HOL-SAM60CP-1AU</t>
  </si>
  <si>
    <t>UNPKD EZ-ROLL'R DOCK POWER DATA FOR SAMSUNG TAB ACTIVE3 WITH OTTERBOX UNIVERSE CASE</t>
  </si>
  <si>
    <t>RAM-HOL-SAM60CP-1A-OT1U</t>
  </si>
  <si>
    <t>UNPKD RAM HOLDER FOR SAMSUNG GALAXY 10.1</t>
  </si>
  <si>
    <t>RAM-HOL-SAM5U</t>
  </si>
  <si>
    <t>UNPKD RAM EZ-ROLL'R CRADLE FOR SAMSUNG XCOVER PRO</t>
  </si>
  <si>
    <t>RAM-HOL-SAM59U</t>
  </si>
  <si>
    <t>UNPKD RAM POWER AND DUAL DATA THIN DOCK WITH NFC FOR TAB ACTIVE2 AND TAB ACTIVE3</t>
  </si>
  <si>
    <t>RAM-HOL-SAM58PD2TU</t>
  </si>
  <si>
    <t>UNPKD RAM POWER &amp; DATA W/ 2 USB-A FEMALE SOCKETS KEYED LOCKING CRADLE FOR TAB ACTIVE2 &amp; TAB ACTIVE3 SUPPORTS HANDSTAND</t>
  </si>
  <si>
    <t>RAM-HOL-SAM58PD2KLU</t>
  </si>
  <si>
    <t>UNPKD RAM POWER AND DUAL DATA KEYED LOCKING THIN DOCK WITH NFC FOR TAB ACTIVE2 AND TAB ACTIVE3</t>
  </si>
  <si>
    <t>RAM-HOL-SAM58PD2KLTU</t>
  </si>
  <si>
    <t>UNPKD RAM POWER AND DUAL DATA KEYED LOCKING CRADLE WITH NFC FOR TAB ACTIVE2 AND TAB ACTIVE3</t>
  </si>
  <si>
    <t>RAM-HOL-SAM58PD2KLNU</t>
  </si>
  <si>
    <t>UNPKD RAM POWER &amp; DATA W/ 2 USB-A FEMALE SOCKETS COMBO LOCKING CRADLE FOR TAB ACTIVE 2 &amp; TAB ACTIVE3 SUPPORTS HANDSTAND</t>
  </si>
  <si>
    <t>RAM-HOL-SAM58PD2CLU</t>
  </si>
  <si>
    <t>UNPKD RAM USB-C POWER ONLY THIN DOCK WITH NFC FOR TA5 AND TA3</t>
  </si>
  <si>
    <t>RAM-HOL-SAM58CPTU</t>
  </si>
  <si>
    <t>UNPKD RAM USB-C POWER AND USB-A AND USB-C PERIPHERAL THIN DOCK WITH NFC FOR TAB ACTIVE2 AND TAB ACTIVE3</t>
  </si>
  <si>
    <t>RAM-HOL-SAM58CPT-CAU</t>
  </si>
  <si>
    <t>RAM-HOL-SAM58CPT-2AU</t>
  </si>
  <si>
    <t>UNPKD RAM POWER AND DATA THIN DOCK WITH NFC FOR TA2 AND TA3</t>
  </si>
  <si>
    <t>RAM-HOL-SAM58CPT-1AU</t>
  </si>
  <si>
    <t>UNPKD RAM POWER ONLY KEYED LOCKING CRADLE FOR TAB ACTIVE5 AND TAB ACTIVE3 SUPPORTS HANDSTAND</t>
  </si>
  <si>
    <t>RAM-HOL-SAM58CPKLU</t>
  </si>
  <si>
    <t>UNPKD RAM POWER ONLY KEYED LOCKING THIN DOCK WITH NFC FOR TA5 AND TA3</t>
  </si>
  <si>
    <t>RAM-HOL-SAM58CPKLTU</t>
  </si>
  <si>
    <t>UNPKD RAM USB-C POWER WITH RJ45 AND USB-A PERIPHERAL THIN DOCK WITH NFC FOR TAB ACTIVE2 AND TAB ACTIVE3</t>
  </si>
  <si>
    <t>RAM-HOL-SAM58CPKLT-RJ45AU</t>
  </si>
  <si>
    <t>UNPKD RAM USB-C POWER &amp; USB-A FEMALE PERIPHERAL KEY LOCKING THIN DOCK  FOR TAB ACTIVE2 &amp; TAB ACTIVE3</t>
  </si>
  <si>
    <t>RAM-HOL-SAM58CPKLT-AU</t>
  </si>
  <si>
    <t>UNPKD RAM POWER AND DUAL DATA KEYED LOCKING THIN DOCK WITH NFC FOR TAB ACTIVE5 AND TAB ACTIVE3</t>
  </si>
  <si>
    <t>RAM-HOL-SAM58CPKLT-2AU</t>
  </si>
  <si>
    <t>UNPKD RAM USB-C POWER ONLY KEYED LOCKING CRADLE FOR TAB ACTIVE2 &amp; TAB ACTIVE3 SUPPORTS HANDSTAND</t>
  </si>
  <si>
    <t>RAM-HOL-SAM58CPKLNU</t>
  </si>
  <si>
    <t>UNPKD RAM POWER ONLY KEYED LOCKING CRADLE FOR TAB ACTIVE5 &amp; TAB ACTIVE3 WITH NFC</t>
  </si>
  <si>
    <t>RAM-HOL-SAM58CPKL-NFCU</t>
  </si>
  <si>
    <t>UNPKD RAM POWER &amp; USB-C FEMALE PERIPHERAL KEYED LOCKING CRADLE FOR TAB ACTIVE2 &amp; TAB ACTIVE3 SUPPORTS HANDSTAND</t>
  </si>
  <si>
    <t>RAM-HOL-SAM58CPKLN-CU</t>
  </si>
  <si>
    <t>UNPKD RAM POWER AND DUAL DATA 1 USB-A 1 USB-C KEYED LOCKING CRADLE WITH NFC FOR TAB ACTIVE2 AND TAB ACTIVE3</t>
  </si>
  <si>
    <t>RAM-HOL-SAM58CPKLN-CAU</t>
  </si>
  <si>
    <t>UNPKD RAM POWER AND DUAL DATA KEYED LOCKING CRADLE WITH NFC FOR TAB ACTIVE5 AND TAB ACTIVE3</t>
  </si>
  <si>
    <t>RAM-HOL-SAM58CPKLN-2AU</t>
  </si>
  <si>
    <t>UNPKD RAM POWER AND DATA KEYED LOCKING CRADLE WITH NFC FOR TAB ACTIVE5/3/2</t>
  </si>
  <si>
    <t>RAM-HOL-SAM58CPKLN-1AU</t>
  </si>
  <si>
    <t>UNPKD RAM POWER &amp; DATA W/ 2 USB-A FEMALE SOCKETS KEYED LOCKING CRADLE FOR TAB ACTIVE5 &amp; TAB ACTIVE3 SUPPORTS HANDSTAND</t>
  </si>
  <si>
    <t>RAM-HOL-SAM58CPKL-2AU</t>
  </si>
  <si>
    <t>UNPKD RAM POWER &amp; DATA KEYED LOCKING CRADLE FOR TAB ACTIVE5 &amp; TAB ACTIVE3 SUPPORTS HANDSTAND</t>
  </si>
  <si>
    <t>RAM-HOL-SAM58CPKL-1AU</t>
  </si>
  <si>
    <t>UNPKD RAM POWER ONLY COMBO LOCKING CRADLE FOR TAB ACTIVE5 AND TAB ACTIVE3 SUPPORTS HANDSTAND</t>
  </si>
  <si>
    <t>RAM-HOL-SAM58CPCLU</t>
  </si>
  <si>
    <t>UNPKD RAM POWER &amp; DATA W/ 2 USB-A FEMALE SOCKETS COMBO LOCKING CRADLE FOR TAB ACTIVE5 &amp; TAB ACTIVE3 SUPPORTS HANDSTAND</t>
  </si>
  <si>
    <t>RAM-HOL-SAM58CPCL-2AU</t>
  </si>
  <si>
    <t>UNPKD RAM POWER &amp; DATA COMBO LOCKING CRADLE FOR TAB ACTIVE5 &amp; TAB ACTIVE3 SUPPORTS HANDSTAND</t>
  </si>
  <si>
    <t>RAM-HOL-SAM58CPCL-1AU</t>
  </si>
  <si>
    <t>UNPKD RAM UNPOWERED CRADLE FOR TAB ACTIVE PRO SUPPORTS HANDSTAND</t>
  </si>
  <si>
    <t>RAM-HOL-SAM57U</t>
  </si>
  <si>
    <t>UNPKD RAM POWER AND USB-C FEMALE PERIPHERAL KEYED LOCKING CRADLE FOR TAB ACTIVE PRO SUPPORTS HANDSTAND</t>
  </si>
  <si>
    <t>RAM-HOL-SAM57PKLNC-CU</t>
  </si>
  <si>
    <t>UNPKD RAM POWER AND DATA W/ 2 USB-A FEMALE SOCKETS KEYED LOCKING CRADLE FOR TAB ACTIVE PRO SUPPORTS HANDSTAND</t>
  </si>
  <si>
    <t>RAM-HOL-SAM57PD2KLU</t>
  </si>
  <si>
    <t>UNPKD RAM POWER AND DATA W/ 2 USB-A FEMALE SOCKETS COMBO LOCKING CRADLE FOR TAB ACTIVE PRO SUPPORTS HANDSTAND</t>
  </si>
  <si>
    <t>RAM-HOL-SAM57PD2CLU</t>
  </si>
  <si>
    <t>UNPKD RAM UNPOWERED KEYED LOCKING CRADLE FOR TAB ACTIVE PRO SUPPORTS HANDSTAND</t>
  </si>
  <si>
    <t>RAM-HOL-SAM57KLU</t>
  </si>
  <si>
    <t>UNPKD RAM POWER ONLY CRADLE FOR TAB ACTIVE 4PRO SUPPORTS HANDSTAND</t>
  </si>
  <si>
    <t>RAM-HOL-SAM57CPU</t>
  </si>
  <si>
    <t>UNPKD RAM POWER ONLY KEYED LOCKING CRADLE FOR TAB ACTIVE 4 PRO SUPPORTS HANDSTAND</t>
  </si>
  <si>
    <t>RAM-HOL-SAM57CPKLU</t>
  </si>
  <si>
    <t>UNPKD RAM USB-C POWER AND DATA KEYED LOCKING CRADLE FOR TAB ACTIVE PRO SUPPORTS HANDSTAND</t>
  </si>
  <si>
    <t>RAM-HOL-SAM57CPKL-CU</t>
  </si>
  <si>
    <t>UNPKD RAM USB-C POWER AND DATA W/ 2 USB-A FEMALE SOCKETS KEYED LOCKING CRADLE FOR TAB ACTIVE PRO SUPPORTS HANDSTAND</t>
  </si>
  <si>
    <t>RAM-HOL-SAM57CPKL-CAU</t>
  </si>
  <si>
    <t>UNPKD RAM POWER AND DATA W/ 2 USB-A FEMALE SOCKETS KEYED LOCKING CRADLE FOR TAB ACTIVE 4 PRO SUPPORTS HANDSTAND</t>
  </si>
  <si>
    <t>RAM-HOL-SAM57CPKL-2AU</t>
  </si>
  <si>
    <t>UNPKD RAM POWER AND DATA KEYED LOCKING CRADLE FOR TAB ACTIVE 4 PRO SUPPORTS HANDSTAND</t>
  </si>
  <si>
    <t>RAM-HOL-SAM57CPKL-1AU</t>
  </si>
  <si>
    <t>UNPKD RAM POWER ONLY COMBO LOCKING CRADLE FOR TAB ACTIVE 4 PRO SUPPORTS HANDSTAND</t>
  </si>
  <si>
    <t>RAM-HOL-SAM57CPCLU</t>
  </si>
  <si>
    <t>UNPKD RAM POWER AND DATA W/ 2 USB-A FEMALE SOCKETS COMBO LOCKING CRADLE FOR TAB ACTIVE 4 PRO SUPPORTS HANDSTAND</t>
  </si>
  <si>
    <t>RAM-HOL-SAM57CPCL-2AU</t>
  </si>
  <si>
    <t>UNPKD RAM POWER AND DATA COMBO LOCKING CRADLE FOR TAB ACTIVE 4 PRO SUPPORTS HANDSTAND</t>
  </si>
  <si>
    <t>RAM-HOL-SAM57CPCL-1AU</t>
  </si>
  <si>
    <t>UNPKD EZ-ROLL'R DOCK POWER AND DATA W/ 2 USB-A FEMALE SOCKETS FOR SAMSUNG TAB ACTIVE PRO</t>
  </si>
  <si>
    <t>RAM-HOL-SAM52PD2U</t>
  </si>
  <si>
    <t>UNPKD EZ-ROLL'R DOCK FOR SAMSUNG TAB ACTIVE PRO</t>
  </si>
  <si>
    <t>RAM-HOL-SAM52-NPU</t>
  </si>
  <si>
    <t>UNPKD EZ-ROLL'R DOCK TYPE-C POWER ONLY FOR SAMSUNG TAB ACTIVE PRO</t>
  </si>
  <si>
    <t>RAM-HOL-SAM52CPU</t>
  </si>
  <si>
    <t>UNPKD EZ-ROLL'R DOCK POWER AND DATA W/ 2 USB-A FEMALE SOCKETS FOR SAMSUNG TAB ACTIVE 4 PRO</t>
  </si>
  <si>
    <t>RAM-HOL-SAM52CP-2AU</t>
  </si>
  <si>
    <t>UNPKD EZ-ROLL'R DOCK POWER AND DATA FOR SAMSUNG TAB ACTIVE PRO</t>
  </si>
  <si>
    <t>RAM-HOL-SAM52CP-1AU</t>
  </si>
  <si>
    <t>UNPKD RAM TAB-TITE CUP SAMSUNG TAB ACTIVE</t>
  </si>
  <si>
    <t>RAM-HOL-SAM29-CUPSU</t>
  </si>
  <si>
    <t>UNPKD RAM HOLDER SAMSUNG Q1 TABLET</t>
  </si>
  <si>
    <t>RAM-HOL-SAM1U</t>
  </si>
  <si>
    <t>UNPKD RAM EZ-ROLL'R NON-POWERED DOCK FOR SAMSUNG XCOVER 5</t>
  </si>
  <si>
    <t>RAM-HOL-SAM10U</t>
  </si>
  <si>
    <t>RAM-HOL-SAM10PU</t>
  </si>
  <si>
    <t>UNPKD RAM ROTO-VIEW ADAPTER</t>
  </si>
  <si>
    <t>RAM-HOL-ROTO1U</t>
  </si>
  <si>
    <t>RAM QUICK DRAW JUNIOR BODY</t>
  </si>
  <si>
    <t>RAM-HOL-QDJRBU</t>
  </si>
  <si>
    <t>UNPKD RAM QUICK DRAW SCANNER GUN HOLDER</t>
  </si>
  <si>
    <t>RAM-HOL-QD1U</t>
  </si>
  <si>
    <t>UNPKD RAM QUICK DRAW BODY ONLY</t>
  </si>
  <si>
    <t>RAM-HOL-QD1BU</t>
  </si>
  <si>
    <t>RAM QUICK-GRIP PHONE HOLDER FOR LARGER DEVICES</t>
  </si>
  <si>
    <t>RAM-HOL-PD4U</t>
  </si>
  <si>
    <t>UNPKD RAM 88MM MAG BASE PD4 UNIVERSAL HOLDER</t>
  </si>
  <si>
    <t>RAM-HOL-PD4-MAG88U</t>
  </si>
  <si>
    <t>UNPK RAM QUICK-GRIP HOLDER TRACK BASE</t>
  </si>
  <si>
    <t>RAM-HOL-PD4-C-354-TRA1U</t>
  </si>
  <si>
    <t>UNPKD RAM QUICK GRIP HOLDER FOR LARGE PHONES WITH VIBE-SAFE MODULE</t>
  </si>
  <si>
    <t>RAM-HOL-PD4-462B</t>
  </si>
  <si>
    <t>RAM QUICK GRIP PHONE HOLDER FOR LARGER DEVICES LOW PROFILE</t>
  </si>
  <si>
    <t>RAM-HOL-PD4-400-1U</t>
  </si>
  <si>
    <t>UNPKG RAM QUICK GRIP PHONE HOLDER FOR LARGER DEVICES W/ DIAMOND BASE</t>
  </si>
  <si>
    <t>RAM-HOL-PD4-238AU</t>
  </si>
  <si>
    <t>RAM QUICK GRIP PHONE HOLDER FOR LARGER DEVICES W/ DIAMOND BASE</t>
  </si>
  <si>
    <t>RAM-HOL-PD4-238A</t>
  </si>
  <si>
    <t>RAM UNIVERSAL PDA HOLDER</t>
  </si>
  <si>
    <t>RAM-HOL-PD3U</t>
  </si>
  <si>
    <t>RAM UNIVERSAL PDA HOLDER W/ DIA ASSEM</t>
  </si>
  <si>
    <t>RAM-HOL-PD3-238AU</t>
  </si>
  <si>
    <t>RAM-HOL-PD3-238A</t>
  </si>
  <si>
    <t>RAM-HOL-PD3</t>
  </si>
  <si>
    <t>UNPKD RAM UNIVERSAL 3 FINGER PDA HOLDER</t>
  </si>
  <si>
    <t>RAM-HOL-PD2U</t>
  </si>
  <si>
    <t>RAM UNIVERSAL 3 FINGER PDA HOLDER</t>
  </si>
  <si>
    <t>RAM-HOL-PD2</t>
  </si>
  <si>
    <t>RAM UNIVERSAL PDA HOLDER UNPKD</t>
  </si>
  <si>
    <t>RAM-HOL-PD1U</t>
  </si>
  <si>
    <t>RAM-HOL-PD1</t>
  </si>
  <si>
    <t>RAM UNPOWERED DOCK FOR PANASONIC CF-H1</t>
  </si>
  <si>
    <t>RAM-HOL-PAN5U</t>
  </si>
  <si>
    <t>RAM POWERED DOCK FOR PANASONIC CF-H1</t>
  </si>
  <si>
    <t>RAM-HOL-PAN5PU</t>
  </si>
  <si>
    <t>RAM UNPOWERED DOCK FOR PANASONIC CF-U1</t>
  </si>
  <si>
    <t>RAM-HOL-PAN4U</t>
  </si>
  <si>
    <t>RAM POWERED DOCK FOR PANASONIC CF-U1</t>
  </si>
  <si>
    <t>RAM-HOL-PAN4PU</t>
  </si>
  <si>
    <t>UNPKD RAM POWERED FORM FIT CRADLE FOR PANASONIC FZ-A3</t>
  </si>
  <si>
    <t>RAM-HOL-PAN16PU</t>
  </si>
  <si>
    <t>UNPKD RAM POWERED KEY LOCKING FORM FIT CRADLE FOR PANASONIC FZ-A3</t>
  </si>
  <si>
    <t>RAM-HOL-PAN16PLU</t>
  </si>
  <si>
    <t>UNPKD RAM FORM FIT CRADLE FOR PANASONIC FZ-S1 &amp; FZ-L1</t>
  </si>
  <si>
    <t>RAM-HOL-PAN15U</t>
  </si>
  <si>
    <t>UNPKD RAM POWERED FORM FIT CRADLE FOR PANASONIC FZ-S1 &amp; FZ-L1</t>
  </si>
  <si>
    <t>RAM-HOL-PAN15PU</t>
  </si>
  <si>
    <t>UNPKD RAM POWERED KEY LOCKING FORM FIT CRADLE FOR PANASONIC FZ-S1 &amp; FZ-L1</t>
  </si>
  <si>
    <t>RAM-HOL-PAN15PKLU</t>
  </si>
  <si>
    <t>UNPKD RAM POWER AND DATA CRADLE FOR PANASONIC FZ-S1 &amp; FZ-L1</t>
  </si>
  <si>
    <t>RAM-HOL-PAN15PDU</t>
  </si>
  <si>
    <t>UNPKD RAM KEY LOCKING POWER AND DATA CRADLE FOR PANASONIC FZ-S1 &amp; FZ-L1</t>
  </si>
  <si>
    <t>RAM-HOL-PAN15PDKLU</t>
  </si>
  <si>
    <t>UNPKD RAM EZ-ROLL'R CRADLE FOR PANASONIC FZ-T1</t>
  </si>
  <si>
    <t>RAM-HOL-PAN14U</t>
  </si>
  <si>
    <t>RAM POWERED SPRING LOADED CRADLE FOR PANASONIC FZ-N1</t>
  </si>
  <si>
    <t>RAM-HOL-PAN11PU</t>
  </si>
  <si>
    <t>RAM POWERED SPRING LOADED CRADLE FOR PANASONIC FZ-N1 NO CABLE</t>
  </si>
  <si>
    <t>RAM-HOL-PAN11P-NCU</t>
  </si>
  <si>
    <t>RAM POWERED SPRING LOADED CRADLE WITH KEYED LOCK FOR PANASONIC FZ-N1</t>
  </si>
  <si>
    <t>RAM-HOL-PAN11PKLU</t>
  </si>
  <si>
    <t>RAM POWERED SPRING LOADED CRADLE WITH KEYED LOCK FOR PANASONIC FZ-N1 NO CABLE</t>
  </si>
  <si>
    <t>RAM-HOL-PAN11PKL-NCU</t>
  </si>
  <si>
    <t>RAM POWERED SPRING LOADED CRADLE WITH COMBO LOCK FOR PANASONIC FZ-N1</t>
  </si>
  <si>
    <t>RAM-HOL-PAN11PCLU</t>
  </si>
  <si>
    <t>UNPKD RAM EZ-ROLL'R CRADLE FOR PANASONIC FZ-N1</t>
  </si>
  <si>
    <t>RAM-HOL-PAN10U</t>
  </si>
  <si>
    <t>UNPKD RAM OTTER UNIVERSE SNAP ON ADAPTER</t>
  </si>
  <si>
    <t>RAM-HOL-OT3U</t>
  </si>
  <si>
    <t>UNPKD RAM OTTER UNIVERSE ADAPTER BASE</t>
  </si>
  <si>
    <t>RAM-HOL-OT3BU</t>
  </si>
  <si>
    <t>UNPKD RAM OTTER UNIVERSE PHONE WITH BALL</t>
  </si>
  <si>
    <t>RAM-HOL-OT2-238AU</t>
  </si>
  <si>
    <t>UNPKD RAM MULTI PAD</t>
  </si>
  <si>
    <t>RAM-HOL-MP1U</t>
  </si>
  <si>
    <t>UNPKD RAM HOLDER FOR MOTOROLA XOOM</t>
  </si>
  <si>
    <t>RAM-HOL-MOTO3U</t>
  </si>
  <si>
    <t>UNPKD PASSIVE RAM CRADLE MOTION C5</t>
  </si>
  <si>
    <t>RAM-HOL-MOT9U</t>
  </si>
  <si>
    <t>UNPKD POWERED RAM MOTION C5 EXTERNAL USB</t>
  </si>
  <si>
    <t>RAM-HOL-MOT9PU-USB</t>
  </si>
  <si>
    <t>UNPKD POWERED RAM CRADLE MOTION C5</t>
  </si>
  <si>
    <t>RAM-HOL-MOT9PU</t>
  </si>
  <si>
    <t>RAM CRADLE MOTION C5 W B-202 BALL ATTACH</t>
  </si>
  <si>
    <t>RAM-HOL-MOT9P-B-202U</t>
  </si>
  <si>
    <t>UNPKD RAM HLDER MOTION 1700 W/ MAG READ</t>
  </si>
  <si>
    <t>RAM-HOL-MOT8U</t>
  </si>
  <si>
    <t>UNPKD RAM HLDR MOTION 1700 KEYBOARD ADAP</t>
  </si>
  <si>
    <t>RAM-HOL-MOT8-FI1U</t>
  </si>
  <si>
    <t>UNPK RAM HOLDER MAGELLAN XL</t>
  </si>
  <si>
    <t>RAM-HOL-MA6U</t>
  </si>
  <si>
    <t>UNPK RAM HOLDER MAGELLAN EXPLORIST</t>
  </si>
  <si>
    <t>RAM-HOL-MA5U</t>
  </si>
  <si>
    <t>RAM HOLDER MAGELLAN EXPLORIST</t>
  </si>
  <si>
    <t>RAM-HOL-MA5</t>
  </si>
  <si>
    <t>UNPK RAM CRADLE FOR MEGALLAN SPORTRAK</t>
  </si>
  <si>
    <t>RAM-HOL-MA3U</t>
  </si>
  <si>
    <t>UNPKD RAM MAGELLAN MERIDIAN CRADLE</t>
  </si>
  <si>
    <t>RAM-HOL-MA2U</t>
  </si>
  <si>
    <t>RAM HOLDER MAGELLAN MERIDIAN CRADLE</t>
  </si>
  <si>
    <t>RAM-HOL-MA2</t>
  </si>
  <si>
    <t>UNPD RAM HOLD MAGELLAN EXPLORIST GC</t>
  </si>
  <si>
    <t>RAM-HOL-MA15U</t>
  </si>
  <si>
    <t>UNPD RAM HOLD MAGELLAN EXPLORIST 510 610</t>
  </si>
  <si>
    <t>RAM-HOL-MA14U</t>
  </si>
  <si>
    <t>UNPKD RAM HOLDER MAGELLAN 4200 4210 4220</t>
  </si>
  <si>
    <t>RAM-HOL-MA12U</t>
  </si>
  <si>
    <t>UNK RAM HOLDER MAGELLAN TRITON 1500 2000</t>
  </si>
  <si>
    <t>RAM-HOL-MA10U</t>
  </si>
  <si>
    <t>RAM HOLDER MAGELLAN TRITON 1500 2000</t>
  </si>
  <si>
    <t>RAM-HOL-MA10</t>
  </si>
  <si>
    <t>UNPKD RAM HOLDER FOR LOWRANCE XOG</t>
  </si>
  <si>
    <t>RAM-HOL-LO8U</t>
  </si>
  <si>
    <t xml:space="preserve">LO3 I-FINDER H20 CRADLE WITH HARDWARE </t>
  </si>
  <si>
    <t>RAM-HOL-LO3U</t>
  </si>
  <si>
    <t>RAM-HOL-LO3</t>
  </si>
  <si>
    <t>UNPKD RAM HOLDER FOR KYOCERA ULTRA</t>
  </si>
  <si>
    <t>RAM-HOL-KYO1U</t>
  </si>
  <si>
    <t>UNPKD RAM POWERED DOCK FOR KYOCERA ULTRA</t>
  </si>
  <si>
    <t>RAM-HOL-KYO1PU</t>
  </si>
  <si>
    <t>UNPKD RAM POWERED LOCKING DOCK FOR KYOCERA ULTRA</t>
  </si>
  <si>
    <t>RAM-HOL-KYO1PLU</t>
  </si>
  <si>
    <t>UNPKD RAM LOCKING DOCK FOR KYOCERA ULTRA</t>
  </si>
  <si>
    <t>RAM-HOL-KYO1LU</t>
  </si>
  <si>
    <t>UNPKD RAM HLDR ITRONIX DUO TOUCH AND II</t>
  </si>
  <si>
    <t>RAM-HOL-ITR1U</t>
  </si>
  <si>
    <t>UNPKD RAM HOLDER INTERMEC CN3</t>
  </si>
  <si>
    <t>RAM-HOL-IN11U</t>
  </si>
  <si>
    <t>UNPKD RAM POWERED HOLDER INTERMEC CN3</t>
  </si>
  <si>
    <t>RAM-HOL-IN11PU</t>
  </si>
  <si>
    <t>UNPKD RAM DOCK INTERMEC CN3 EXT POW BARE</t>
  </si>
  <si>
    <t>RAM-HOL-IN11PEBU</t>
  </si>
  <si>
    <t>RAM UNPOWERED SPRING LOADED CRADLE FOR HONEYWELL RT10 SERIES TABLETS</t>
  </si>
  <si>
    <t>RAM-HOL-HON9U</t>
  </si>
  <si>
    <t>RAM POWER ONLY SPRING LOADED CRADLE FOR HONEYWELL RT10 SERIES TABLETS</t>
  </si>
  <si>
    <t>RAM-HOL-HON9PU</t>
  </si>
  <si>
    <t>RAM POWER ONLY KEYED LOCK SPRING LOADED CRADLE FOR HONEYWELL RT10 SERIES TABLETS</t>
  </si>
  <si>
    <t>RAM-HOL-HON9PKLU</t>
  </si>
  <si>
    <t>RAM POWER &amp; DATA SPRING LOADED CRADLE FOR HONEYWELL RT10 SERIES TABLETS</t>
  </si>
  <si>
    <t>RAM-HOL-HON9PDU</t>
  </si>
  <si>
    <t>RAM POWER &amp; DATA SPRING LOADED KEYED LOCK CRADLE FOR HONEYWELL RT10 SERIES TABLETS</t>
  </si>
  <si>
    <t>RAM-HOL-HON9PDKLU</t>
  </si>
  <si>
    <t>RAM POWER &amp; DATA SPRING LOADED KEY LOCK CRADLE FOR HONEYWELL RT10 TABLETS WITH 5.5MM FEM DC, RJ-45, &amp; USB A</t>
  </si>
  <si>
    <t>RAM-HOL-HON9PDKL-RJ45AU</t>
  </si>
  <si>
    <t>RAM POWER &amp; DATA SPRING LOADED KEY LOCK CRADLE FOR HONEYWELL RT10 TABLETS WITH 5.5MM FEM DC, DB9 MALE, &amp; USB A</t>
  </si>
  <si>
    <t>RAM-HOL-HON9PDKL-DB9U</t>
  </si>
  <si>
    <t>RAM POWER &amp; DATA SPRING LOADED COMBO LOCK CRADLE FOR HONEYWELL RT10 SERIES TABLETS</t>
  </si>
  <si>
    <t>RAM-HOL-HON9PDCLU</t>
  </si>
  <si>
    <t>UNPKD RAM POWER AND DATA W/ 2 USB-A FEMALE SOCKETS CRADLE FOR HONEYWELL RT10 SERIES TABLETS</t>
  </si>
  <si>
    <t>RAM-HOL-HON9PD2U</t>
  </si>
  <si>
    <t>UNPKD RAM POWER AND DATA W/ 2 USB-A FEMALE SOCKETS KEYED LOCKING CRADLE FOR HONEYWELL RT10 SERIES TABLETS</t>
  </si>
  <si>
    <t>RAM-HOL-HON9PD2KLU</t>
  </si>
  <si>
    <t>UNPKD RAM POWER AND DATA W/ 2 USB-A FEMALE SOCKETS COMBO LOCKING CRADLE FOR HONEYWELL RT10 SERIES TABLETS</t>
  </si>
  <si>
    <t>RAM-HOL-HON9PD2CLU</t>
  </si>
  <si>
    <t>RAM POWER ONLY COMBO LOCK SPRING LOADED CRADLE FOR HONEYWELL RT10 SERIES TABLETS</t>
  </si>
  <si>
    <t>RAM-HOL-HON9PCLU</t>
  </si>
  <si>
    <t>RAM UNPOWERED KEYED LOCK SPRING LOADED CRADLE FOR HONEYWELL RT10 SERIES TABLETS</t>
  </si>
  <si>
    <t>RAM-HOL-HON9KLU</t>
  </si>
  <si>
    <t>RAM UNPOWERED COMBO LOCK SPRING LOADED CRADLE FOR HONEYWELL RT10 SERIES TABLETS</t>
  </si>
  <si>
    <t>RAM-HOL-HON9CLU</t>
  </si>
  <si>
    <t>RAM POWERED NON-LOCKING SPRING LOADED CRADLE FOR HONEYWELL CT50 &amp; CT60</t>
  </si>
  <si>
    <t>RAM-HOL-HON7U</t>
  </si>
  <si>
    <t>RAM NON-LOCKING SPRING LOADED CRADLE FOR HONEYWELL CT50 &amp; CT60</t>
  </si>
  <si>
    <t>RAM-HOL-HON7NPU</t>
  </si>
  <si>
    <t>RAM POWERED KEYED LOCKING SPRING LOADED CRADLE FOR HONEYWELL CT50 &amp; CT60</t>
  </si>
  <si>
    <t>RAM-HOL-HON7KLU</t>
  </si>
  <si>
    <t>RAM POWERED COMBO LOCKING SPRING LOADED CRADLE FOR HONEYWELL CT50 &amp; CT60</t>
  </si>
  <si>
    <t>RAM-HOL-HON7CLU</t>
  </si>
  <si>
    <t>RAM CRADLE FOR HONEYWELL CT40, 45, &amp; 47</t>
  </si>
  <si>
    <t>RAM-HOL-HON12U</t>
  </si>
  <si>
    <t>RAM POWERED CRADLE FOR HONEYWELL CT40, 45, &amp; 47</t>
  </si>
  <si>
    <t>RAM-HOL-HON12PU</t>
  </si>
  <si>
    <t>RAM POWERED LOCKING CRADLE FOR HONEYWELL CT40, 45, &amp; 47</t>
  </si>
  <si>
    <t>RAM-HOL-HON12PLU</t>
  </si>
  <si>
    <t>RAM POWERED CRADLE FOR HONEYWELL CT40, 45, &amp; 47 WITH HEATED PINS</t>
  </si>
  <si>
    <t>RAM-HOL-HON12PHU</t>
  </si>
  <si>
    <t>RAM POWERED LOCKING CRADLE FOR HONEYWELL CT40, 45, &amp; 47 WITH HEATED PINS</t>
  </si>
  <si>
    <t>RAM-HOL-HON12PHLU</t>
  </si>
  <si>
    <t>RAM POWERED CRADLE FOR HONEYWELL CT40, 45, &amp; 47 WITH PERIPHERAL</t>
  </si>
  <si>
    <t>RAM-HOL-HON12PDU</t>
  </si>
  <si>
    <t>RAM POWERED LOCKING CRADLE FOR HONEYWELL CT40, 45, &amp; 47 WITH PERIPHERAL</t>
  </si>
  <si>
    <t>RAM-HOL-HON12PDLU</t>
  </si>
  <si>
    <t>RAM POWERED CRADLE FOR HONEYWELL CT40, 45, &amp; 47 WITH PERIPHERAL AND HEATED PINS</t>
  </si>
  <si>
    <t>RAM-HOL-HON12PDHU</t>
  </si>
  <si>
    <t>RAM POWERED LOCKING CRADLE FOR HONEYWELL CT40, 45, &amp; 47 WITH PERIPHERAL AND HEATED PINS</t>
  </si>
  <si>
    <t>RAM-HOL-HON12PDHLU</t>
  </si>
  <si>
    <t>RAM NO-POWER CRADLE FOR HONEYWELL EDA10A TABLETS</t>
  </si>
  <si>
    <t>RAM-HOL-HON11U</t>
  </si>
  <si>
    <t>RAM POWER ONLY CRADLE FOR HONEYWELL EDA10A TABLETS</t>
  </si>
  <si>
    <t>RAM-HOL-HON11PU</t>
  </si>
  <si>
    <t>RAM POWER ONLY KEY LOCKING CRADLE FOR HONEYWELL EDA10A TABLETS</t>
  </si>
  <si>
    <t>RAM-HOL-HON11PKLU</t>
  </si>
  <si>
    <t>RAM POWER + DATA CRADLE FOR HONEYWELL EDA10A TABLETS</t>
  </si>
  <si>
    <t>RAM-HOL-HON11PDU</t>
  </si>
  <si>
    <t>RAM POWER + DATA KEY LOCKING CRADLE FOR HONEYWELL EDA10A TABLETS</t>
  </si>
  <si>
    <t>RAM-HOL-HON11PDKLU</t>
  </si>
  <si>
    <t>RAM POWER + DUAL USB-A DATA CRADLE FOR HONEYWELL EDA10A TABLETS</t>
  </si>
  <si>
    <t>RAM-HOL-HON11PD2U</t>
  </si>
  <si>
    <t>RAM POWER + DUAL USB-A DATA KEY LOCKING CRADLE FOR HONEYWELL EDA10A TABLETS</t>
  </si>
  <si>
    <t>RAM-HOL-HON11PD2KLU</t>
  </si>
  <si>
    <t>RAM POWER + DUAL USB-A AND SINGLE DB9 DATA CRADLE FOR HONEYWELL EDA10A TABLETS</t>
  </si>
  <si>
    <t>RAM-HOL-HON11PD2-DB9U</t>
  </si>
  <si>
    <t>RAM POWER + DUAL USB-A AND SINGLE DB9 DATA KEY LOCKING CRADLE FOR HONEYWELL EDA10A TABLETS</t>
  </si>
  <si>
    <t>RAM-HOL-HON11PD2-DB9KLU</t>
  </si>
  <si>
    <t>UNPKD RAM GUN HOLSTER HOLDER</t>
  </si>
  <si>
    <t>RAM-HOL-GUN1U</t>
  </si>
  <si>
    <t>UNPKD RAM HOLDER FOR GETAC E100 TABLET</t>
  </si>
  <si>
    <t>RAM-HOL-GET1U</t>
  </si>
  <si>
    <t xml:space="preserve">RAM UNPOWERED CRADLE FOR GETAC ZX80 </t>
  </si>
  <si>
    <t>RAM-HOL-GE5U</t>
  </si>
  <si>
    <t xml:space="preserve">RAM POWER ONLY CRADLE FOR GETAC ZX80 </t>
  </si>
  <si>
    <t>RAM-HOL-GE5PU</t>
  </si>
  <si>
    <t xml:space="preserve">RAM POWER ONLY KEYED LOCKING CRADLE FOR GETAC ZX80 </t>
  </si>
  <si>
    <t>RAM-HOL-GE5PKLU</t>
  </si>
  <si>
    <t xml:space="preserve">RAM POWER DATA CRADLE FOR GETAC ZX80 </t>
  </si>
  <si>
    <t>RAM-HOL-GE5PDU</t>
  </si>
  <si>
    <t xml:space="preserve">RAM POWER DATA KEYED LOCKING CRADLE FOR GETAC ZX80 </t>
  </si>
  <si>
    <t>RAM-HOL-GE5PDKLU</t>
  </si>
  <si>
    <t xml:space="preserve">RAM POWER DUAL DATA CRADLE FOR GETAC ZX80 </t>
  </si>
  <si>
    <t>RAM-HOL-GE5PD2U</t>
  </si>
  <si>
    <t xml:space="preserve">RAM POWER DUAL DATA KEYED LOCKING CRADLE FOR GETAC ZX80 </t>
  </si>
  <si>
    <t>RAM-HOL-GE5PD2KLU</t>
  </si>
  <si>
    <t xml:space="preserve">RAM KEYED LOCKING UNPOWERED CRADLE FOR GETAC ZX80 </t>
  </si>
  <si>
    <t>RAM-HOL-GE5KLU</t>
  </si>
  <si>
    <t xml:space="preserve">RAM UNPOWERED CRADLE FOR GETAC ZX10 </t>
  </si>
  <si>
    <t>RAM-HOL-GE4U</t>
  </si>
  <si>
    <t xml:space="preserve">RAM POWER ONLY CRADLE FOR GETAC ZX10 </t>
  </si>
  <si>
    <t>RAM-HOL-GE4PU</t>
  </si>
  <si>
    <t xml:space="preserve">RAM POWER ONLY KEYED LOCKING CRADLE FOR GETAC ZX10 </t>
  </si>
  <si>
    <t>RAM-HOL-GE4PKLU</t>
  </si>
  <si>
    <t xml:space="preserve">RAM POWER DATA CRADLE FOR GETAC ZX10 </t>
  </si>
  <si>
    <t>RAM-HOL-GE4PDU</t>
  </si>
  <si>
    <t xml:space="preserve">RAM POWER DATA KEYED LOCKING CRADLE FOR GETAC ZX10 </t>
  </si>
  <si>
    <t>RAM-HOL-GE4PDKLU</t>
  </si>
  <si>
    <t xml:space="preserve">RAM POWER DUAL DATA CRADLE FOR GETAC ZX10 </t>
  </si>
  <si>
    <t>RAM-HOL-GE4PD2U</t>
  </si>
  <si>
    <t xml:space="preserve">RAM POWER DUAL DATA KEYED LOCKING CRADLE FOR GETAC ZX10 </t>
  </si>
  <si>
    <t>RAM-HOL-GE4PD2KLU</t>
  </si>
  <si>
    <t xml:space="preserve">RAM KEYED LOCKING UNPOWERED CRADLE FOR GETAC ZX10 </t>
  </si>
  <si>
    <t>RAM-HOL-GE4KLU</t>
  </si>
  <si>
    <t>RAM CRADLE FOR GETAC ZX70 WITH NFC MODULE</t>
  </si>
  <si>
    <t>RAM-HOL-GE3NU</t>
  </si>
  <si>
    <t>RAM KEYED LOCKING CRADLE FOR GETAC ZX70 WITH NFC MODULE</t>
  </si>
  <si>
    <t>RAM-HOL-GE3NKLU</t>
  </si>
  <si>
    <t>RAM CRADLE FOR GETAC ZX70 WITH TEMP MODULE</t>
  </si>
  <si>
    <t>RAM-HOL-GE3FU</t>
  </si>
  <si>
    <t>RAM CRADLE FOR GETAC ZX70 KEYED LOCK WITH TEMP MODULE</t>
  </si>
  <si>
    <t>RAM-HOL-GE3FKLU</t>
  </si>
  <si>
    <t>RAM CUSTOM HOLDER GARMIN 2610,</t>
  </si>
  <si>
    <t>RAM-HOL-GA9U</t>
  </si>
  <si>
    <t>UNPKD RAM HOLDER GARMIN GPSMAP 176,</t>
  </si>
  <si>
    <t>RAM-HOL-GA7U</t>
  </si>
  <si>
    <t>UNPKD RAM HOLDER GARMIN DEZL OTR 700</t>
  </si>
  <si>
    <t>RAM-HOL-GA77LU</t>
  </si>
  <si>
    <t>UNPKD RAM SPINE MOUNT CRADLE ONLY FOR GARMIN HANDHELD DEVICES</t>
  </si>
  <si>
    <t>RAM-HOL-GA76U</t>
  </si>
  <si>
    <t>UNPKD RAM HOLDER GARMIN FLEET 7X0 SERIES AND OTHER DEVICES</t>
  </si>
  <si>
    <t>RAM-HOL-GA75LU</t>
  </si>
  <si>
    <t>UNPKD RAM EZ-ROLL'R GARMIN NUVI 2589LMT</t>
  </si>
  <si>
    <t>RAM-HOL-GA73U</t>
  </si>
  <si>
    <t>UNPKD RAM EZ-ROLL'R GARMIN NUVI 2689LMT</t>
  </si>
  <si>
    <t>RAM-HOL-GA72U</t>
  </si>
  <si>
    <t>UNPKD RAM LOCKING GARMIN DEZL 570</t>
  </si>
  <si>
    <t>RAM-HOL-GA71LU</t>
  </si>
  <si>
    <t>UNPKD RAM LOCKING GARMIN DEZL 770</t>
  </si>
  <si>
    <t>RAM-HOL-GA70LU</t>
  </si>
  <si>
    <t>RAM HOLDER FOR GARMIN GPSMAP 176,</t>
  </si>
  <si>
    <t>RAM-HOL-GA7</t>
  </si>
  <si>
    <t>UNPKD RAM HOLDER GARMIN GPS 76 SERIES</t>
  </si>
  <si>
    <t>RAM-HOL-GA6U</t>
  </si>
  <si>
    <t>UNPKD RAM HOLDER GARMIN NUVI 65, 66, 67,</t>
  </si>
  <si>
    <t>RAM-HOL-GA67U</t>
  </si>
  <si>
    <t>RAM HOLDER GARMIN NUVI 65, 66, 67,</t>
  </si>
  <si>
    <t>RAM-HOL-GA67</t>
  </si>
  <si>
    <t>UNPKD RAM LOCKING GARMIN FLEET 660 670</t>
  </si>
  <si>
    <t>RAM-HOL-GA66LU</t>
  </si>
  <si>
    <t>UNPKD RAM HOLDER GARMIN MONTERRA</t>
  </si>
  <si>
    <t>RAM-HOL-GA64U</t>
  </si>
  <si>
    <t>UNPKD RAM LOCKING GARMIN DEZL 760</t>
  </si>
  <si>
    <t>RAM-HOL-GA61LU</t>
  </si>
  <si>
    <t>RAM HOLDER FOR GARMIN GPS 76 SERIES</t>
  </si>
  <si>
    <t>RAM-HOL-GA6</t>
  </si>
  <si>
    <t>UNPKD. RAM HOLDER FOR GARMIN E-TREX</t>
  </si>
  <si>
    <t>RAM-HOL-GA5U</t>
  </si>
  <si>
    <t>UNPKD RAM HOLDER GARMIN NUVI 2595</t>
  </si>
  <si>
    <t>RAM-HOL-GA59U</t>
  </si>
  <si>
    <t>UNPKD RAM HOLDER GARMIN NUVI 2497</t>
  </si>
  <si>
    <t>RAM-HOL-GA58U</t>
  </si>
  <si>
    <t>UNPKD RAM HOLDER GARMIN NUVI 2597</t>
  </si>
  <si>
    <t>RAM-HOL-GA57U</t>
  </si>
  <si>
    <t>UNPKD RAM HOLDER GARMIN GO 42 44</t>
  </si>
  <si>
    <t>RAM-HOL-GA56U</t>
  </si>
  <si>
    <t>UNPKD RAM HOLDER GARMIN GO 52 54</t>
  </si>
  <si>
    <t>RAM-HOL-GA55U</t>
  </si>
  <si>
    <t>UNPKD RAM HOLDER GARMIN DEZL 760</t>
  </si>
  <si>
    <t>RAM-HOL-GA54U</t>
  </si>
  <si>
    <t>UNPKD RAM HOLDER GARMIN NUVI 3590 SERIES</t>
  </si>
  <si>
    <t>RAM-HOL-GA53U</t>
  </si>
  <si>
    <t>UNPKD RAM HOLDER GARMIN NUVI 2595, 2450</t>
  </si>
  <si>
    <t>RAM-HOL-GA52U</t>
  </si>
  <si>
    <t>UNPKD RAM HOLDER GARMIN NUVI 30</t>
  </si>
  <si>
    <t>RAM-HOL-GA51U</t>
  </si>
  <si>
    <t>UNPKD RAM HOLDER GARMIN NUVI 50</t>
  </si>
  <si>
    <t>RAM-HOL-GA50U</t>
  </si>
  <si>
    <t>RAM-HOL-GA50</t>
  </si>
  <si>
    <t>RAM HOLDER GARMIN E-TREX</t>
  </si>
  <si>
    <t>RAM-HOL-GA5</t>
  </si>
  <si>
    <t>UNPKD RAM HOLDER GARMIN E-MAP</t>
  </si>
  <si>
    <t>RAM-HOL-GA4U</t>
  </si>
  <si>
    <t>UNPKD RAM HOLDER GARMIN NUVI 40</t>
  </si>
  <si>
    <t>RAM-HOL-GA49U</t>
  </si>
  <si>
    <t xml:space="preserve">UNPKD RAM HOLDER GARMIN ETREX 10 20 30 </t>
  </si>
  <si>
    <t>RAM-HOL-GA48U</t>
  </si>
  <si>
    <t>UNPKD RAM HOLDER GARMIN RINO 610 650</t>
  </si>
  <si>
    <t>RAM-HOL-GA47U</t>
  </si>
  <si>
    <t>UNPKD RAM HOLDER GARMIN MONTANA</t>
  </si>
  <si>
    <t>RAM-HOL-GA46U</t>
  </si>
  <si>
    <t>UNPKD RAM HOLDER GARMIN 2300 SERIES</t>
  </si>
  <si>
    <t>RAM-HOL-GA44U</t>
  </si>
  <si>
    <t>UNPKD RAM HOLDER GARMIN DEZL SERIES</t>
  </si>
  <si>
    <t>RAM-HOL-GA43U</t>
  </si>
  <si>
    <t>UNPKD RAM HOLDER GARMIN NUVI 2200 SERIES</t>
  </si>
  <si>
    <t>RAM-HOL-GA42U</t>
  </si>
  <si>
    <t>RAM HOLDER GARMIN NUVI 2200 SERIES</t>
  </si>
  <si>
    <t>RAM-HOL-GA42</t>
  </si>
  <si>
    <t>UNPKD RAM HOLDER  GARMIN GPSMAP 62</t>
  </si>
  <si>
    <t>RAM-HOL-GA41U</t>
  </si>
  <si>
    <t>RAM HOLDER  GARMIN GPSMAP 62</t>
  </si>
  <si>
    <t>RAM-HOL-GA41</t>
  </si>
  <si>
    <t>UNPKD RAM HOLDER GARMIN GPSMAP 78</t>
  </si>
  <si>
    <t>RAM-HOL-GA40U</t>
  </si>
  <si>
    <t>RAM HOLDER GARMIN GPSMAP 78</t>
  </si>
  <si>
    <t>RAM-HOL-GA40</t>
  </si>
  <si>
    <t>RAM HOLDER GARMIN E-MAP</t>
  </si>
  <si>
    <t>RAM-HOL-GA4</t>
  </si>
  <si>
    <t>UNPKD RAM HOLDER GARMIN 3700 SERIES</t>
  </si>
  <si>
    <t>RAM-HOL-GA39U</t>
  </si>
  <si>
    <t>RAM HOLDER GARMIN 3700 SERIES</t>
  </si>
  <si>
    <t>RAM-HOL-GA39</t>
  </si>
  <si>
    <t>UNPKD RAM HOLDER GARMIN 695 696</t>
  </si>
  <si>
    <t>RAM-HOL-GA38U</t>
  </si>
  <si>
    <t>UNPKD RAM HOLDER GARMIN NUVI 1690</t>
  </si>
  <si>
    <t>RAM-HOL-GA37U</t>
  </si>
  <si>
    <t>RAM HOLDER GARMIN NUVI 1690</t>
  </si>
  <si>
    <t>RAM-HOL-GA37</t>
  </si>
  <si>
    <t>UNPKD RAM HOLDER GARMIN DAKOTA</t>
  </si>
  <si>
    <t>RAM-HOL-GA36U</t>
  </si>
  <si>
    <t>RAM HOLDER GARMIN DAKOTA</t>
  </si>
  <si>
    <t>RAM-HOL-GA36</t>
  </si>
  <si>
    <t>UNPKD RAM HOLDER GARMIN NUVI 1490</t>
  </si>
  <si>
    <t>RAM-HOL-GA35U</t>
  </si>
  <si>
    <t>RAM-HOL-GA35</t>
  </si>
  <si>
    <t>UNPKD RAM HOLDER GARMIN NUVI 1300</t>
  </si>
  <si>
    <t>RAM-HOL-GA34U</t>
  </si>
  <si>
    <t>RAM HOLDER GARMIN NUVI 1300</t>
  </si>
  <si>
    <t>RAM-HOL-GA34</t>
  </si>
  <si>
    <t>UNPKD RAM HOLDER GARMIN NUVI 1200</t>
  </si>
  <si>
    <t>RAM-HOL-GA33U</t>
  </si>
  <si>
    <t>RAM HOLDER GARMIN NUVI 1200</t>
  </si>
  <si>
    <t>RAM-HOL-GA33</t>
  </si>
  <si>
    <t>UNPKD RAM HOLDER GARMIN NUVI 500</t>
  </si>
  <si>
    <t>RAM-HOL-GA32U</t>
  </si>
  <si>
    <t>RAM HOLDER GARMIN NUVI 500</t>
  </si>
  <si>
    <t>RAM-HOL-GA32</t>
  </si>
  <si>
    <t>UNPKD RAM HOLDER GARMIN OREGON</t>
  </si>
  <si>
    <t>RAM-HOL-GA31U</t>
  </si>
  <si>
    <t>RAM HOLDER GARMIN OREGON</t>
  </si>
  <si>
    <t>RAM-HOL-GA31</t>
  </si>
  <si>
    <t>UNPKD RAM HOLDER GARMIN NUVI 880 850</t>
  </si>
  <si>
    <t>RAM-HOL-GA30U</t>
  </si>
  <si>
    <t>RAM HOLDER GARMIN NUVI 880 850</t>
  </si>
  <si>
    <t>RAM-HOL-GA30</t>
  </si>
  <si>
    <t>UNPKD RAM HOLDER GARMIN NUVI 5000</t>
  </si>
  <si>
    <t>RAM-HOL-GA28U</t>
  </si>
  <si>
    <t>RAM HOLDER GARMIN NUVI 5000</t>
  </si>
  <si>
    <t>RAM-HOL-GA28</t>
  </si>
  <si>
    <t>UNPKD RAM HOLDER  GARMIN COLORADO SERIES</t>
  </si>
  <si>
    <t>RAM-HOL-GA27U</t>
  </si>
  <si>
    <t>RAM HOLDER GARMIN COLORADO SERIES</t>
  </si>
  <si>
    <t>RAM-HOL-GA27</t>
  </si>
  <si>
    <t>UNPKD RAM HOLDER GARMIN NUVI 750 760 770</t>
  </si>
  <si>
    <t>RAM-HOL-GA26U</t>
  </si>
  <si>
    <t>RAM HOLDER GARMIN NUVI 750 760 770 780</t>
  </si>
  <si>
    <t>RAM-HOL-GA26</t>
  </si>
  <si>
    <t>UNPKD RAM HOLDER GARMIN NUVI 200W 250W</t>
  </si>
  <si>
    <t>RAM-HOL-GA25U</t>
  </si>
  <si>
    <t>UNPKD RAM LOCKING GARMIN NUVI 200W 250W</t>
  </si>
  <si>
    <t>RAM-HOL-GA25LU</t>
  </si>
  <si>
    <t>RAM HOLDER GARMIN NUVI 200W 250W</t>
  </si>
  <si>
    <t>RAM-HOL-GA25</t>
  </si>
  <si>
    <t>UNPKD RAM HOLDER GARMIN NUVI 200 250</t>
  </si>
  <si>
    <t>RAM-HOL-GA24U</t>
  </si>
  <si>
    <t>RAM HOLDER GARMIN NUVI 200 250</t>
  </si>
  <si>
    <t>RAM-HOL-GA24</t>
  </si>
  <si>
    <t>UNPKD RAM HOLDER GARMIN NUVI 660</t>
  </si>
  <si>
    <t>RAM-HOL-GA23U</t>
  </si>
  <si>
    <t>RAM HOLDER GARMIN NUVI 660</t>
  </si>
  <si>
    <t>RAM-HOL-GA23</t>
  </si>
  <si>
    <t>RAM HOLDER GARMIN I SERIES NUVI 200, 700</t>
  </si>
  <si>
    <t>RAM-HOL-GA22U</t>
  </si>
  <si>
    <t>RAM-HOL-GA22</t>
  </si>
  <si>
    <t>RAM HOLDER GARMIN NUVI</t>
  </si>
  <si>
    <t>RAM-HOL-GA21U</t>
  </si>
  <si>
    <t>RAM-HOL-GA21</t>
  </si>
  <si>
    <t>UNPKD RAM HOLDER GARMIN RINO 530 520</t>
  </si>
  <si>
    <t>RAM-HOL-GA20U</t>
  </si>
  <si>
    <t>RAM HOLDER GARMIN RINO 530 520</t>
  </si>
  <si>
    <t>RAM-HOL-GA20</t>
  </si>
  <si>
    <t>UNPKD RAM HOLDER GARMIN 12 SERIES</t>
  </si>
  <si>
    <t>RAM-HOL-GA1U</t>
  </si>
  <si>
    <t>UNPKD RAM HOLDER GARMIN ETREX COLOR</t>
  </si>
  <si>
    <t>RAM-HOL-GA16U</t>
  </si>
  <si>
    <t>RAM HOLDER GARMIN ETREX COLOR</t>
  </si>
  <si>
    <t>RAM-HOL-GA16</t>
  </si>
  <si>
    <t>UNPKD RAM HOLDER GARMIN QUEST</t>
  </si>
  <si>
    <t>RAM-HOL-GA15U</t>
  </si>
  <si>
    <t>UNPKD RAM HOLDER GARMIN GPSMAP 76C</t>
  </si>
  <si>
    <t>RAM-HOL-GA14U</t>
  </si>
  <si>
    <t>RAM HOLDER GARMIN 76C SERIES</t>
  </si>
  <si>
    <t>RAM-HOL-GA14</t>
  </si>
  <si>
    <t>RAM GARMIN 60 SERIES HOLDER</t>
  </si>
  <si>
    <t>RAM-HOL-GA12U</t>
  </si>
  <si>
    <t>RAM HOLDER GARMIN 60 SERIES</t>
  </si>
  <si>
    <t>RAM-HOL-GA12</t>
  </si>
  <si>
    <t>RAM UNPKD HOLDER GARMIN IQUE</t>
  </si>
  <si>
    <t>RAM-HOL-GA10U</t>
  </si>
  <si>
    <t>RAM HOLDER GARMIN IQUE</t>
  </si>
  <si>
    <t>RAM-HOL-GA10</t>
  </si>
  <si>
    <t>RAM HOLDER FOR GARMIN GPS 12 SERIES</t>
  </si>
  <si>
    <t>RAM-HOL-GA1</t>
  </si>
  <si>
    <t>UNPKD RAM HOLDER FUJITSU LIFEBOOK P SER.</t>
  </si>
  <si>
    <t>RAM-HOL-FUJ1U</t>
  </si>
  <si>
    <t>RAM HOLDER DELORME PN 20</t>
  </si>
  <si>
    <t>RAM-HOL-DEL1U</t>
  </si>
  <si>
    <t>RAM-HOL-DEL1</t>
  </si>
  <si>
    <t>UNPKD RAM HOLDER FOR ELEC. W/ BELT CLIPS</t>
  </si>
  <si>
    <t>RAM-HOL-BC1U</t>
  </si>
  <si>
    <t>RAM HOLDER FOR ELECTRONICS W/ BELT CLIPS</t>
  </si>
  <si>
    <t>RAM-HOL-BC1</t>
  </si>
  <si>
    <t>UNPKD RAM HOLDER SOMEWEAR LABS GLOBAL HOTSPOT WITH DIA BASE</t>
  </si>
  <si>
    <t>RAM-HOL-B-238-SW1U</t>
  </si>
  <si>
    <t>RAM AQUA BOX PRO MOUNTING CLIP</t>
  </si>
  <si>
    <t>RAM-HOL-AQ7CU</t>
  </si>
  <si>
    <t>UNPKD RAM AQUA BOX PRO 20 WITH BELT CLIP</t>
  </si>
  <si>
    <t>RAM-HOL-AQ7-2U</t>
  </si>
  <si>
    <t>UNPKD RAM AQUA BOX PRO 20 NO LANYARD</t>
  </si>
  <si>
    <t>RAM-HOL-AQ7-2NLU</t>
  </si>
  <si>
    <t>UNPKD RAM AQUA BOX PRO 20 NO CLIP</t>
  </si>
  <si>
    <t>RAM-HOL-AQ7-2LU</t>
  </si>
  <si>
    <t>UNPKD RAM AQUA BOX PRO 20 LENS</t>
  </si>
  <si>
    <t>RAM-HOL-AQ7-2LENSU</t>
  </si>
  <si>
    <t>UNPKD RAM AQUA BOX PRO 20 NO CLIP I5 LEN</t>
  </si>
  <si>
    <t>RAM-HOL-AQ7-2-I5LU</t>
  </si>
  <si>
    <t>UNPKD RAM AQUA BOX PRO 20 I5 LENS</t>
  </si>
  <si>
    <t>RAM-HOL-AQ7-2-I5LENSU</t>
  </si>
  <si>
    <t>UNPKD RAM AQUA BOX PRO 20 W/ CRDL I5 LEN</t>
  </si>
  <si>
    <t>RAM-HOL-AQ7-2-I5CU</t>
  </si>
  <si>
    <t>UNPKD RAM AQUA BOX PRO 20 W/ CRADLE ONLY</t>
  </si>
  <si>
    <t>RAM-HOL-AQ7-2-I5COU</t>
  </si>
  <si>
    <t>RAM AQUA BOX PRO 20 W/ CRADLE &amp; I5 LENS</t>
  </si>
  <si>
    <t>RAM-HOL-AQ7-2-I5C</t>
  </si>
  <si>
    <t>UNPKD RAM AQUA BOX PRO 20 WITH CRADLE</t>
  </si>
  <si>
    <t>RAM-HOL-AQ7-2CU</t>
  </si>
  <si>
    <t>RAM-HOL-AQ7-2COU</t>
  </si>
  <si>
    <t xml:space="preserve">RAM AQUA BOX PRO 20 WITH CRADLE </t>
  </si>
  <si>
    <t>RAM-HOL-AQ7-2C</t>
  </si>
  <si>
    <t>RAM AQUA BOX PRO 20 WITH BELT CLIP</t>
  </si>
  <si>
    <t>RAM-HOL-AQ7-2</t>
  </si>
  <si>
    <t>UNPKD RAM MED SQ. SIZE AQUA BOX</t>
  </si>
  <si>
    <t>RAM-HOL-AQ6U</t>
  </si>
  <si>
    <t>RAM MED SQ SIZE AQUA LENS REPLACEMENT</t>
  </si>
  <si>
    <t>RAM-HOL-AQ6LU</t>
  </si>
  <si>
    <t>RAM MED SQ. SIZE AQUA BOX</t>
  </si>
  <si>
    <t>RAM-HOL-AQ6</t>
  </si>
  <si>
    <t>UNPKD RAM SMALL SIZE AQUA BOX</t>
  </si>
  <si>
    <t>RAM-HOL-AQ3U</t>
  </si>
  <si>
    <t>RAM SMALL SIZE AQUA LENS REPLACEMENT</t>
  </si>
  <si>
    <t>RAM-HOL-AQ3LU</t>
  </si>
  <si>
    <t>RAM SMALL SIZE AQUA BOX</t>
  </si>
  <si>
    <t>RAM-HOL-AQ3</t>
  </si>
  <si>
    <t>UNPKD RAM MEDIUM SIZE AQUA BOX</t>
  </si>
  <si>
    <t>RAM-HOL-AQ2U</t>
  </si>
  <si>
    <t>RAM MED SIZE AQUA BOX REPLACEMENT LENS</t>
  </si>
  <si>
    <t>RAM-HOL-AQ2LU</t>
  </si>
  <si>
    <t>RAM MEDIUM SIZE AQUA BOX</t>
  </si>
  <si>
    <t>RAM-HOL-AQ2</t>
  </si>
  <si>
    <t>UNPKD RAM LARGE SIZE AQUA BOX</t>
  </si>
  <si>
    <t>RAM-HOL-AQ1U</t>
  </si>
  <si>
    <t>RAM LARGE SIZE AQUA BOX REPLACEMENT LENS</t>
  </si>
  <si>
    <t>RAM-HOL-AQ1LU</t>
  </si>
  <si>
    <t>UNPKD RAM HOLDER FOR APPLE IPHONE 4</t>
  </si>
  <si>
    <t>RAM-HOL-AP9U</t>
  </si>
  <si>
    <t>RAM HOLDER FOR APPLE IPHONE 4</t>
  </si>
  <si>
    <t>RAM-HOL-AP9</t>
  </si>
  <si>
    <t>UNPD RAM LOCK HOLDER APPLE IPAD &amp; IPAD 2</t>
  </si>
  <si>
    <t>RAM-HOL-AP8LU</t>
  </si>
  <si>
    <t>UNPKD RAM DOCK FOR APPLE IPAD</t>
  </si>
  <si>
    <t>RAM-HOL-AP8DU</t>
  </si>
  <si>
    <t>UNPKD RAM LOCKING DOCK FOR APPLE IPAD</t>
  </si>
  <si>
    <t>RAM-HOL-AP8DLU</t>
  </si>
  <si>
    <t>UNPKD RAM HOLDER FOR APPLE TOUCH 2ND GEN</t>
  </si>
  <si>
    <t>RAM-HOL-AP7U</t>
  </si>
  <si>
    <t>RAM HOLDER FOR APPLE TOUCH 2ND GEN</t>
  </si>
  <si>
    <t>RAM-HOL-AP7</t>
  </si>
  <si>
    <t>UNPKD RAM HOLDER FOR APPLE IPOD NANO 3RD</t>
  </si>
  <si>
    <t>RAM-HOL-AP5U</t>
  </si>
  <si>
    <t>RAM HOLDER FOR APPLE IPOD NANO 3RD</t>
  </si>
  <si>
    <t>RAM-HOL-AP5</t>
  </si>
  <si>
    <t>UNPKD RAM HOLDER FOR APPLE IPOD TOUCH</t>
  </si>
  <si>
    <t>RAM-HOL-AP4U</t>
  </si>
  <si>
    <t>RAM HOLDER FOR APPLE IPOD TOUCH</t>
  </si>
  <si>
    <t>RAM-HOL-AP4</t>
  </si>
  <si>
    <t>UNPKD RAM HOLDER FOR APPLE IPHONE</t>
  </si>
  <si>
    <t>RAM-HOL-AP3U</t>
  </si>
  <si>
    <t>UNPKD RAM HOLDER FOR  APPLE IPHONE 13 PRO MAX, 14 PLUS, 14 PRO MAX</t>
  </si>
  <si>
    <t>RAM-HOL-AP39U</t>
  </si>
  <si>
    <t>UNPKD RAM HOLDER APPLE IPHONE 13 PRO MAX, 14 PLUS, 14 PRO MAX WITH BALL</t>
  </si>
  <si>
    <t>RAM-HOL-AP39BU</t>
  </si>
  <si>
    <t>UNPKD RAM HOLDER FOR  APPLE IPHONE 15 PRO MAX</t>
  </si>
  <si>
    <t>RAM-HOL-AP39-1U</t>
  </si>
  <si>
    <t>UNPKD RAM HOLDER FOR  APPLE IPHONE 13, 13 PRO, 14, 14 PRO</t>
  </si>
  <si>
    <t>RAM-HOL-AP38U</t>
  </si>
  <si>
    <t>UNPKD RAM HOLDER APPLE IPHONE 13, 13 PRO, 14, 14 PRO WITH BALL</t>
  </si>
  <si>
    <t>RAM-HOL-AP38BU</t>
  </si>
  <si>
    <t>UNPKD RAM HOLDER FOR  APPLE IPHONE 15 PRO</t>
  </si>
  <si>
    <t>RAM-HOL-AP38-1U</t>
  </si>
  <si>
    <t>UNPKD RAM EZ-ROLL'R CRADLE FOR APPLE IPAD MINI 6</t>
  </si>
  <si>
    <t>RAM-HOL-AP36U</t>
  </si>
  <si>
    <t>UNPKD RAM HOLDER APPLE IPHONE 12 MAX</t>
  </si>
  <si>
    <t>RAM-HOL-AP35U</t>
  </si>
  <si>
    <t>UNPKD RAM HOLDER APPLE IPHONE 12 MAX WITH BALL</t>
  </si>
  <si>
    <t>RAM-HOL-AP35BU</t>
  </si>
  <si>
    <t>UNPKD RAM HOLDER APPLE IPHONE 12 MINI</t>
  </si>
  <si>
    <t>RAM-HOL-AP34U</t>
  </si>
  <si>
    <t>UNPKD RAM HOLDER APPLE IPHONE 12 &amp; 12 PRO</t>
  </si>
  <si>
    <t>RAM-HOL-AP33U</t>
  </si>
  <si>
    <t>UNPKD RAM HOLDER FOR APPLE IPAD 7TH GENERATION</t>
  </si>
  <si>
    <t>RAM-HOL-AP31U</t>
  </si>
  <si>
    <t>UNPKD RAM KEYED LOCKING CRADLE FOR APPLE IPAD 7TH GENERATION, PRO 10.5 AND AIR 3</t>
  </si>
  <si>
    <t>RAM-HOL-AP31KLU</t>
  </si>
  <si>
    <t>UNPKD RAM COMBO LOCKING CRADLE FOR APPLE IPAD 7TH GENERATION, PRO 10.5 AND AIR 3</t>
  </si>
  <si>
    <t>RAM-HOL-AP31CLU</t>
  </si>
  <si>
    <t>UNPKD RAM HOLDER APPLE IPHONE 11 PRO MAX</t>
  </si>
  <si>
    <t>RAM-HOL-AP30U</t>
  </si>
  <si>
    <t>RAM HOLDER APPLE IPHONE 11 PRO MAX</t>
  </si>
  <si>
    <t>RAM-HOL-AP30</t>
  </si>
  <si>
    <t>RAM HOLDER FOR APPLE IPHONE</t>
  </si>
  <si>
    <t>RAM-HOL-AP3</t>
  </si>
  <si>
    <t>RAM HOLDER FOR I-POD NANO UNPACKAGED</t>
  </si>
  <si>
    <t>RAM-HOL-AP2U</t>
  </si>
  <si>
    <t>UNPKD RAM HOLDER APPLE IPHONE 11 PRO</t>
  </si>
  <si>
    <t>RAM-HOL-AP29U</t>
  </si>
  <si>
    <t>RAM HOLDER APPLE IPHONE 11 PRO</t>
  </si>
  <si>
    <t>RAM-HOL-AP29</t>
  </si>
  <si>
    <t>UNPKD RAM HOLDER APPLE IPHONE 11</t>
  </si>
  <si>
    <t>RAM-HOL-AP28U</t>
  </si>
  <si>
    <t>RAM HOLDER APPLE IPHONE 11</t>
  </si>
  <si>
    <t>RAM-HOL-AP28</t>
  </si>
  <si>
    <t>UNPKD RAM HOLDER APPLE IPHONE XR</t>
  </si>
  <si>
    <t>RAM-HOL-AP26U</t>
  </si>
  <si>
    <t>RAM-HOL-AP26</t>
  </si>
  <si>
    <t>UNPKD RAM HOLDER APPLE IPHONE X &amp; XS</t>
  </si>
  <si>
    <t>RAM-HOL-AP25U</t>
  </si>
  <si>
    <t>RAM HOLDER APPLE IPHONE X &amp; XS</t>
  </si>
  <si>
    <t>RAM-HOL-AP25</t>
  </si>
  <si>
    <t>UNPKD RAM HOLDER FOR APPLE IPAD PRO 12.9" 3RD GENERATION</t>
  </si>
  <si>
    <t>RAM-HOL-AP24U</t>
  </si>
  <si>
    <t>UNPKD RAM KEYED LOCKING CRADLE FOR APPLE IPAD PRO 12.9"</t>
  </si>
  <si>
    <t>RAM-HOL-AP24KLU</t>
  </si>
  <si>
    <t>UNPKD RAM COMBO LOCKING CRADLE FOR APPLE IPAD PRO 12.9"</t>
  </si>
  <si>
    <t>RAM-HOL-AP24CLU</t>
  </si>
  <si>
    <t>UNPKD RAM HOLDER FOR 2024 APPLE IPAD AIR 13" AND PRO 13" &amp; 12.9 3RD GEN</t>
  </si>
  <si>
    <t>RAM-HOL-AP24-1U</t>
  </si>
  <si>
    <t xml:space="preserve">UNPKD RAM HOLDER FOR APPLE IPAD PRO 11" </t>
  </si>
  <si>
    <t>RAM-HOL-AP23U</t>
  </si>
  <si>
    <t>UNPKD RAM KEYED LOCKING CRADLE FOR APPLE IPAD PRO 11"</t>
  </si>
  <si>
    <t>RAM-HOL-AP23KLU</t>
  </si>
  <si>
    <t>UNPKD RAM COMBO LOCKING CRADLE FOR APPLE IPAD PRO 11"</t>
  </si>
  <si>
    <t>RAM-HOL-AP23CLU</t>
  </si>
  <si>
    <t>UNPKD RAM TRACK MOUNT EZ-ROLL'R CRADLE FOR IPAD PRO 11" &amp; IPAD AIR 4 &amp; 5</t>
  </si>
  <si>
    <t>RAM-HOL-AP23-354-TRA1U</t>
  </si>
  <si>
    <t>UNPKD RAM HOLDER FOR APPLE IPAD PRO 10.5</t>
  </si>
  <si>
    <t>RAM-HOL-AP22U</t>
  </si>
  <si>
    <t>UNPKD RAM HOLDER FOR APPLE IPAD PRO</t>
  </si>
  <si>
    <t>RAM-HOL-AP21U</t>
  </si>
  <si>
    <t>UNPKD RAM HOLDER FOR APPLE IPAD MINI 4</t>
  </si>
  <si>
    <t>RAM-HOL-AP20U</t>
  </si>
  <si>
    <t>RAM HOLDER FOR I-POD NANO</t>
  </si>
  <si>
    <t>RAM-HOL-AP2</t>
  </si>
  <si>
    <t>UNPKD RAM MOUNT FOR APPLE IPOD</t>
  </si>
  <si>
    <t>RAM-HOL-AP1U</t>
  </si>
  <si>
    <t>UNPKD RAM HOLDER APPLE IPHONE XS MAX, 7 PLUS &amp; 6 PLUS</t>
  </si>
  <si>
    <t>RAM-HOL-AP19U</t>
  </si>
  <si>
    <t>RAM HOLDER APPLE IPHONE MS MAX, 7 PLUS &amp; 6 PLUS</t>
  </si>
  <si>
    <t>RAM-HOL-AP19</t>
  </si>
  <si>
    <t>UNPKD RAM HOLDER FOR APPLE IPHONE 6</t>
  </si>
  <si>
    <t>RAM-HOL-AP18U</t>
  </si>
  <si>
    <t>RAM HOLDER FOR APPLE IPHONE 6</t>
  </si>
  <si>
    <t>RAM-HOL-AP18</t>
  </si>
  <si>
    <t>UNPKD RAM HOLDER FOR APPLE IPAD AIR</t>
  </si>
  <si>
    <t>RAM-HOL-AP17U</t>
  </si>
  <si>
    <t>UNPKD RAM HOLDER FOR APPLE IPAD 2, 3, 4</t>
  </si>
  <si>
    <t>RAM-HOL-AP15U</t>
  </si>
  <si>
    <t>UNPKD RAM KEYED LOCKING CRADLE FOR APPLE IPAD AIR 1 &amp; 2, IPAD 5TH &amp; 6TH GEN AND PRO 9.7</t>
  </si>
  <si>
    <t>RAM-HOL-AP15KLU</t>
  </si>
  <si>
    <t>UNPKD RAM COMBO LOCKING CRADLE FOR APPLE IPAD AIR 1 &amp; 2, IPAD 5TH &amp; 6TH GEN AND PRO 9.7</t>
  </si>
  <si>
    <t>RAM-HOL-AP15CLU</t>
  </si>
  <si>
    <t>UNPKD RAM HOLDER FOR APPLE IPAD MINI</t>
  </si>
  <si>
    <t>RAM-HOL-AP14U</t>
  </si>
  <si>
    <t>UNPKD RAM HOLDER FOR APPLE IPHONE 5/5S</t>
  </si>
  <si>
    <t>RAM-HOL-AP11U</t>
  </si>
  <si>
    <t>RAM HOLDER FOR APPLE NEW IPHONE 5</t>
  </si>
  <si>
    <t>RAM-HOL-AP11</t>
  </si>
  <si>
    <t>UNPKD RAM HOLDER FOR APPLE TOUCH 4TH GEN</t>
  </si>
  <si>
    <t>RAM-HOL-AP10U</t>
  </si>
  <si>
    <t>RAM HOLDER FOR APPLE TOUCH 4TH GEN</t>
  </si>
  <si>
    <t>RAM-HOL-AP10</t>
  </si>
  <si>
    <t>UNPKD RAM TAB-TITE ADAPT A CRADLE BODY</t>
  </si>
  <si>
    <t>RAM-HOL-ACU</t>
  </si>
  <si>
    <t>UNPKD TAB-TITE ADAPT A CRADLE BOD W  NUT</t>
  </si>
  <si>
    <t>RAM-HOL-ACNU</t>
  </si>
  <si>
    <t>UNPKD TAB-TITE ADAPT A CRADLE BODY  ONLY</t>
  </si>
  <si>
    <t>RAM-HOL-ACNHU</t>
  </si>
  <si>
    <t>UNPKD RAM TAB-TITE CRADLE BODY AND BASE</t>
  </si>
  <si>
    <t>RAM-HOL-AC-202U</t>
  </si>
  <si>
    <t>UNPKD RAM HANDI-CASE SYSTEM</t>
  </si>
  <si>
    <t>RAM-HC1U</t>
  </si>
  <si>
    <t>UNPKD RAM HANDI-CASE SYSTEM W SLIDE LOCK</t>
  </si>
  <si>
    <t>RAM-HC1-SL1U</t>
  </si>
  <si>
    <t>UNPKD RAM HANDI-CASE MAGNETS 2 QTY.</t>
  </si>
  <si>
    <t>RAM-HC1-MAGU</t>
  </si>
  <si>
    <t>UNPKD RAM HANDI-CASE 1.5" BALL BASE</t>
  </si>
  <si>
    <t>RAM-HC1-BALL-CU</t>
  </si>
  <si>
    <t>UNPKD RAM HANDI-CASE 1" BALL BASE</t>
  </si>
  <si>
    <t>RAM-HC1-BALL-BU</t>
  </si>
  <si>
    <t xml:space="preserve">RAM ZE1 HARDWARE </t>
  </si>
  <si>
    <t>RAM-HAR-ZE1U</t>
  </si>
  <si>
    <t>X-GRIP REPLACEMENT HARDWARE &amp; SIDE SUPPORT PACK</t>
  </si>
  <si>
    <t>RAM-HAR-XG1U</t>
  </si>
  <si>
    <t>HARDWARE PACK W/ ELEVATOR BOLT</t>
  </si>
  <si>
    <t>RAM-HAR-VB-ELEV</t>
  </si>
  <si>
    <t>HARDWARE PACK VBD-122-PV1</t>
  </si>
  <si>
    <t>RAM-HAR-VBD-122-PV1</t>
  </si>
  <si>
    <t>HARDWARE PACK UNITED RENTALS</t>
  </si>
  <si>
    <t>RAM-HAR-VB-184-UR1</t>
  </si>
  <si>
    <t>UNPKD HARDWARE PACK FOR VB-154</t>
  </si>
  <si>
    <t>RAM-HAR-VB-154U</t>
  </si>
  <si>
    <t>HARDWARE PACK FOR VB-138ST2</t>
  </si>
  <si>
    <t>RAM-HAR-VB-138ST2</t>
  </si>
  <si>
    <t>HARDWARE PACK FOR VB-138ST1</t>
  </si>
  <si>
    <t>RAM-HAR-VB-138ST1</t>
  </si>
  <si>
    <t>HARDWARE KIT FOR RAM-VB-135MH1</t>
  </si>
  <si>
    <t>RAM-HAR-VB-135MH1U</t>
  </si>
  <si>
    <t>HARDWARE KIT FOR RAM-VB-118</t>
  </si>
  <si>
    <t>RAM-HAR-VB-118U</t>
  </si>
  <si>
    <t>HARDWARE PACK FOR RAM BALL BASES</t>
  </si>
  <si>
    <t>RAM-HAR-UTL1</t>
  </si>
  <si>
    <t>HARDWARE PACK TAB TITE</t>
  </si>
  <si>
    <t>RAM-HAR-TT1</t>
  </si>
  <si>
    <t>POWER CORD RETAINING HARDWARE PACK</t>
  </si>
  <si>
    <t>RAM-HAR-SYM1PR</t>
  </si>
  <si>
    <t>ZINC U-BOLT HARDWARE PACK</t>
  </si>
  <si>
    <t>RAM-HAR-SU251Z</t>
  </si>
  <si>
    <t>STAINLESS U-BOLT HARDWARE PACK</t>
  </si>
  <si>
    <t>RAM-HAR-SU251</t>
  </si>
  <si>
    <t>RAM HARDWARE KIT PV1</t>
  </si>
  <si>
    <t>RAM-HAR-PV1</t>
  </si>
  <si>
    <t>UNPKD HARDWARE PACK PD3 AND PD4</t>
  </si>
  <si>
    <t>RAM-HAR-PDXU</t>
  </si>
  <si>
    <t>HARDWARE PACK METAL BASE 4 QTY HARDWARE</t>
  </si>
  <si>
    <t>RAM-HAR-MET-TAB1U</t>
  </si>
  <si>
    <t>SECURITY HARDWARE PACK FOR METAL BASES</t>
  </si>
  <si>
    <t>RAM-HAR-MET-SEC-TAB1</t>
  </si>
  <si>
    <t>HARDWARE PACK FOR METAL 4 HOLE BASES</t>
  </si>
  <si>
    <t>RAM-HAR-MET-NCB-1</t>
  </si>
  <si>
    <t>HARDWARE PACK FOR METAL 2 HOLE BASES</t>
  </si>
  <si>
    <t>RAM-HAR-MET-NCB</t>
  </si>
  <si>
    <t>CUSTOM HARDWARE PACK FOR INTERMEC</t>
  </si>
  <si>
    <t>RAM-HAR-IN1U</t>
  </si>
  <si>
    <t>UNIVERSAL HARDWARE PACK - #8-32 SCREWS &amp; NYLOCK NUTS</t>
  </si>
  <si>
    <t>RAM-HAR-COM-NCU</t>
  </si>
  <si>
    <t>UNPKD STEM MOUNT HARDWARE W RUBBER EXPAN</t>
  </si>
  <si>
    <t>RAM-HAR-B-342U</t>
  </si>
  <si>
    <t>STEM MOUNT HARDWARE PACK W/ RUBBER EXPAN</t>
  </si>
  <si>
    <t>RAM-HAR-B-342</t>
  </si>
  <si>
    <t>BASE TO BASE HARDWARE PACK</t>
  </si>
  <si>
    <t>RAM-HAR-B2BU</t>
  </si>
  <si>
    <t>RPR-HAR-B-166-1-TOM1 HARDWARE PACK</t>
  </si>
  <si>
    <t>RAM-HAR-B-166-1-TOM1</t>
  </si>
  <si>
    <t>RAM HARDWARE PACK ADAPT A CRADLE HD LITE</t>
  </si>
  <si>
    <t>RAM-HAR-ACHDL</t>
  </si>
  <si>
    <t>HARDWARE &amp; SPACER PACK FOR TORQUE MEDIUM RAIL BASE</t>
  </si>
  <si>
    <t>RAM-HAR-408-75-1U</t>
  </si>
  <si>
    <t>HARDWARE &amp; SPACER PACK FOR TORQUE SMALL RAIL BASE</t>
  </si>
  <si>
    <t>RAM-HAR-408-37-62U</t>
  </si>
  <si>
    <t>HARDWARE &amp; SPACER PACK FOR TORQUE LARGE RAIL BASE</t>
  </si>
  <si>
    <t>RAM-HAR-408-112-15U</t>
  </si>
  <si>
    <t>HARDWARE PACK RAM POD I NO ROD</t>
  </si>
  <si>
    <t>RAM-HAR-316-GPSU</t>
  </si>
  <si>
    <t>STAINLESS U-BOLT HARDWARE PACK 1 1/4"</t>
  </si>
  <si>
    <t>RAM-HAR-235</t>
  </si>
  <si>
    <t>UNPKD GDS UNI-CONN BUTTON ADAPTER FOR INTELLISKIN GREY</t>
  </si>
  <si>
    <t>RAM-GDS-U1U-GRY</t>
  </si>
  <si>
    <t>UNPKD GDS UNI-CONN BUTTON ADAPTER FOR INTELLISKIN</t>
  </si>
  <si>
    <t>RAM-GDS-U1U</t>
  </si>
  <si>
    <t>UNPKD RAM GDS USB-C UNICONN DOCK BUNDLE FOR SAMSUNG TA5 WITH BACKING PLATE &amp; CHARGER</t>
  </si>
  <si>
    <t>RAM-GDS-U1-SAM90-KIT5</t>
  </si>
  <si>
    <t>KLEIN PTT KIT FOR SAMSUNG TAB ACTIVE5</t>
  </si>
  <si>
    <t>RAM-GDS-U1-SAM90-KIT4</t>
  </si>
  <si>
    <t>PTT KIT FOR SAMSUNG TAB ACTIVE 5</t>
  </si>
  <si>
    <t>RAM-GDS-U1-SAM90-KIT3</t>
  </si>
  <si>
    <t>KLEIN PTT KIT FOR SAMSUNG A9+</t>
  </si>
  <si>
    <t>RAM-GDS-U1-SAM88-KIT4</t>
  </si>
  <si>
    <t>UNPKD RAM GDS USBC UNICONN DOCK BUNDLE FOR SAMSUNG A9+ WITH BACKING PLATE &amp; USB-C CHARGER</t>
  </si>
  <si>
    <t>RAM-GDS-U1-SAM88-KIT2</t>
  </si>
  <si>
    <t>UNPKD RAM GDS USB-C UNICONN DOCK BUNDLE FOR SAMSUNG A9+ WITH BACKING PLATE &amp; CHARGER</t>
  </si>
  <si>
    <t>RAM-GDS-U1-SAM88-KIT1</t>
  </si>
  <si>
    <t>UNPKD RAM GDS USB-C UNICONN DOCK BUNDLE FOR SAMSUNG TA3 WITH BACKING PLATE &amp; CHARGER</t>
  </si>
  <si>
    <t>RAM-GDS-U1-SAM74-KIT3</t>
  </si>
  <si>
    <t>UNPKD GDS UNI-CONN HAND STRAP ADAPTER FOR INTELLISKIN</t>
  </si>
  <si>
    <t>RAM-GDS-U1HSU</t>
  </si>
  <si>
    <t>UNPKD GDS UNI-CONN ADJUSTABLE BUTTON ADAPTER FOR INTELLISKIN</t>
  </si>
  <si>
    <t>RAM-GDS-U1AU</t>
  </si>
  <si>
    <t>UNPKD RAM GDS USB-C UNICONN DOCK BUNDLE FOR IPAD 10TH GEN WITH BACKING PLATE &amp; CHARGER</t>
  </si>
  <si>
    <t>RAM-GDS-U1-AP40-KIT1</t>
  </si>
  <si>
    <t>RAM THIN CASE TOOL</t>
  </si>
  <si>
    <t>RAM-GDS-TOOL-1U</t>
  </si>
  <si>
    <t>UNPKD RAM GDS HAND STRAP FOR THIN CASES WITH CLIPS 150MM</t>
  </si>
  <si>
    <t>RAM-GDS-TC-HS2U</t>
  </si>
  <si>
    <t>UNPKD RAM GDS HAND STRAP FOR THIN CASES WITH CLIPS 120MM</t>
  </si>
  <si>
    <t>RAM-GDS-TC-HS1U</t>
  </si>
  <si>
    <t>UNPKD RAM GDS STYLUS TETHER AND WRIST STRAP</t>
  </si>
  <si>
    <t>RAM-GDS-STU</t>
  </si>
  <si>
    <t>RAM-GDS-ST13U</t>
  </si>
  <si>
    <t>UNPKD RAM GDS SHOULDER STRAP</t>
  </si>
  <si>
    <t>RAM-GDS-SS1U</t>
  </si>
  <si>
    <t>UNPKD RAM GDS SHOULDER STRAP FOR THIN CASES</t>
  </si>
  <si>
    <t>RAM-GDS-SS1-TCU</t>
  </si>
  <si>
    <t>RAM GDS INTELLISKIN NG FOR ZEBRA TC73/78</t>
  </si>
  <si>
    <t>RAM-GDS-SKIN-ZE35-NG</t>
  </si>
  <si>
    <t>RAM GDS INTELLISKIN FOR ZEBRA TC53/58 GREY</t>
  </si>
  <si>
    <t>RAM-GDS-SKIN-ZE34-GRY</t>
  </si>
  <si>
    <t>RAM GDS INTELLISKIN FOR ZEBRA TC53/58</t>
  </si>
  <si>
    <t>RAM-GDS-SKIN-ZE34</t>
  </si>
  <si>
    <t>RAM GDS INTELLISKIN FOR ZEBRA TC22 GREY</t>
  </si>
  <si>
    <t>RAM-GDS-SKIN-ZE24-GRY</t>
  </si>
  <si>
    <t>RAM GDS INTELLISKIN FOR ZEBRA TC22</t>
  </si>
  <si>
    <t>RAM-GDS-SKIN-ZE24</t>
  </si>
  <si>
    <t>RAM GDS INTELLISKIN FOR ZEBRA ET40/45 10" TABLETS</t>
  </si>
  <si>
    <t>RAM-GDS-SKIN-ZE21C-NG</t>
  </si>
  <si>
    <t>RAM GDS INTELLISKIN FOR ZEBRA ET40/45 8" TABLETS</t>
  </si>
  <si>
    <t>RAM-GDS-SKIN-ZE20C-NG</t>
  </si>
  <si>
    <t>RAM GDS INTELLISKIN FOR ZEBRA EC5X</t>
  </si>
  <si>
    <t>RAM-GDS-SKIN-ZE16-NG</t>
  </si>
  <si>
    <t>RAM GDS SKIN SAMSUNG GALAXY TAB 8.4</t>
  </si>
  <si>
    <t>RAM-GDS-SKIN-SAM9U</t>
  </si>
  <si>
    <t>RAM GDS INTELLISKIN FOR SAMSUNG A9</t>
  </si>
  <si>
    <t>RAM-GDS-SKIN-SAM95-NG</t>
  </si>
  <si>
    <t>RAM GDS INTELLISKIN FOR SAMSUNG XCOVER7</t>
  </si>
  <si>
    <t>RAM-GDS-SKIN-SAM94</t>
  </si>
  <si>
    <t>RAM GDS INTELLISKIN THIN CASE FOR SAMSUNG TAB ACTIVE 5 WITH D SHAPE</t>
  </si>
  <si>
    <t>RAM-GDS-SKIN-SAM93-TCD</t>
  </si>
  <si>
    <t>RAM GDS INTELLISKIN THIN CASE FOR SAMSUNG TAB ACTIVE 5 WITH POWERED BUTTON</t>
  </si>
  <si>
    <t>RAM-GDS-SKIN-SAM93-TCB</t>
  </si>
  <si>
    <t>RAM GDS INTELLISKIN FOR SAMSUNG TAB ACTIVE 5 WITH UNI-CONN BUTTON INSTALLED</t>
  </si>
  <si>
    <t>RAM-GDS-SKIN-SAM90-NG-U1U</t>
  </si>
  <si>
    <t>RAM GDS INTELLISKIN FOR SAMSUNG TAB ACTIVE 5</t>
  </si>
  <si>
    <t>RAM-GDS-SKIN-SAM90-NG</t>
  </si>
  <si>
    <t>RAM GDS INTELLISKIN HD FOR SAMSUNG TAB ACTIVE 2 + 3</t>
  </si>
  <si>
    <t>RAM-GDS-SKIN-SAM89-HC</t>
  </si>
  <si>
    <t>RAM GDS INTELLISKIN THIN CASE FOR SAMSUNG TAB A9+ 11" (SM-X) WITH D SHAPE</t>
  </si>
  <si>
    <t>RAM-GDS-SKIN-SAM88-TCD</t>
  </si>
  <si>
    <t>RAM GDS INTELLISKIN THIN CASE FOR SAMSUNG TAB A9+ 11" (SM-X) WITH POWERED BUTTON</t>
  </si>
  <si>
    <t>RAM-GDS-SKIN-SAM88-TCB</t>
  </si>
  <si>
    <t>RAM GDS INTELLISKIN FOR SAMSUNG TAB A9+ 11" (SM-X) WITH UNI-CONN BUTTON INSTALLED</t>
  </si>
  <si>
    <t>RAM-GDS-SKIN-SAM88-NG-U1U</t>
  </si>
  <si>
    <t>RAM GDS INTELLISKIN WITH LED FOR SAMSUNG TAB A9+ 11" (SM-X)</t>
  </si>
  <si>
    <t>RAM-GDS-SKIN-SAM88-NG-LED</t>
  </si>
  <si>
    <t>RAM GDS INTELLISKIN GREY FOR SAMSUNG TAB A9+ 11" (SM-X)</t>
  </si>
  <si>
    <t>RAM-GDS-SKIN-SAM88-NG-GRY</t>
  </si>
  <si>
    <t>RAM GDS INTELLISKIN FOR SAMSUNG TAB A9+ 11" (SM-X)</t>
  </si>
  <si>
    <t>RAM-GDS-SKIN-SAM88-NG</t>
  </si>
  <si>
    <t>RAM GDS INTELLISKIN FOR SAMSUNG TAB S9 FE + 12.4" (SM-X610)</t>
  </si>
  <si>
    <t>RAM-GDS-SKIN-SAM87-NG</t>
  </si>
  <si>
    <t>RAM GDS INTELLISKIN FOR SAMSUNG TAB S9 FE 10.9" (SM-X510)</t>
  </si>
  <si>
    <t>RAM-GDS-SKIN-SAM86-NG</t>
  </si>
  <si>
    <t>RAM GDS INTELLISKIN FOR SAMSUNG XCOVER6 PRO GREY</t>
  </si>
  <si>
    <t>RAM-GDS-SKIN-SAM84-GRY</t>
  </si>
  <si>
    <t>RAM GDS INTELLISKIN FOR SAMSUNG XCOVER6 PRO</t>
  </si>
  <si>
    <t>RAM-GDS-SKIN-SAM84</t>
  </si>
  <si>
    <t>RAM GDS INTELLISKIN WITH LED FOR SAMSUNG GALAXY TAB A8 10.5 SM-X200</t>
  </si>
  <si>
    <t>RAM-GDS-SKIN-SAM83-NG-LED</t>
  </si>
  <si>
    <t>RAM GDS INTELLISKIN FOR SAMSUNG GALAXY TAB A8 10.5 SM-X200</t>
  </si>
  <si>
    <t>RAM-GDS-SKIN-SAM83-NG</t>
  </si>
  <si>
    <t>RAM GDS INTELLISKIN WITH LED FOR SAMSUNG GALAXY TAB A7 8.7 SM-T220 &amp; SM-T225</t>
  </si>
  <si>
    <t>RAM-GDS-SKIN-SAM80-NG-LED</t>
  </si>
  <si>
    <t>RAM GDS INTELLISKIN FOR SAMSUNG GALAXY TAB A7 8.7 SM-T220 &amp; SM-T225</t>
  </si>
  <si>
    <t>RAM-GDS-SKIN-SAM80-NG</t>
  </si>
  <si>
    <t>RAM GDS INTELLISKIN FOR SAMSUNG TAB S7+ 12.4" SM-T970 GREY</t>
  </si>
  <si>
    <t>RAM-GDS-SKIN-SAM78-NG-GRY</t>
  </si>
  <si>
    <t>RAM GDS INTELLISKIN FOR SAMSUNG TAB S7+ 12.4" SM-T970</t>
  </si>
  <si>
    <t>RAM-GDS-SKIN-SAM78-NG</t>
  </si>
  <si>
    <t>RAM GDS INTELLISKIN SAMSUNG S20 FE 5G SM-G781</t>
  </si>
  <si>
    <t>RAM-GDS-SKIN-SAM77</t>
  </si>
  <si>
    <t>RAM GDS INTELLISKIN FOR SAMSUNG TAB S7 11.0" SM-T870</t>
  </si>
  <si>
    <t>RAM-GDS-SKIN-SAM76-NG</t>
  </si>
  <si>
    <t>RAM GDS INTELLISKIN WITH LED FOR SAMSUNG GALAXY TAB A7 10.4 SM-T500</t>
  </si>
  <si>
    <t>RAM-GDS-SKIN-SAM75-NG-LED</t>
  </si>
  <si>
    <t>RAM GDS INTELLISKIN FOR SAMSUNG GALAXY TAB A7 10.4 SM-T500</t>
  </si>
  <si>
    <t>RAM-GDS-SKIN-SAM75-NG</t>
  </si>
  <si>
    <t xml:space="preserve">RAM GDS INTELLISKIN FOR SAMSUNG GALAXY TAB ACTIVE </t>
  </si>
  <si>
    <t>RAM-GDS-SKIN-SAM74-NG</t>
  </si>
  <si>
    <t>RAM GDS INTELLISKIN SAMSUNG S20 ULTRA</t>
  </si>
  <si>
    <t>RAM-GDS-SKIN-SAM71</t>
  </si>
  <si>
    <t>RAM GDS INTELLISKIN SAMSUNG S20+</t>
  </si>
  <si>
    <t>RAM-GDS-SKIN-SAM70</t>
  </si>
  <si>
    <t>RAM GDS INTELLISKIN SAMSUNG S20</t>
  </si>
  <si>
    <t>RAM-GDS-SKIN-SAM69</t>
  </si>
  <si>
    <t>RAM GDS INTELLISKIN WITH LED FOR SAMSUNG GALAXY TAB A 8.4 SM-T307</t>
  </si>
  <si>
    <t>RAM-GDS-SKIN-SAM67-NG-LED</t>
  </si>
  <si>
    <t>RAM GDS INTELLISKIN FOR SAMSUNG GALAXY TAB A 8.4 SM-T307</t>
  </si>
  <si>
    <t>RAM-GDS-SKIN-SAM67-NG</t>
  </si>
  <si>
    <t>RAM GDS INTELLISKIN FOR SAMSUNG GALAXY TAB A 10.5 SM-T590, T597</t>
  </si>
  <si>
    <t>RAM-GDS-SKIN-SAM66-NG</t>
  </si>
  <si>
    <t>RAM GDS INTELLISKIN FOR SAMSUNG GALAXY TAB A 10.1 SM-T510</t>
  </si>
  <si>
    <t>RAM-GDS-SKIN-SAM65-NG</t>
  </si>
  <si>
    <t>RAM GDS INTELLISKIN FOR SAMSUNG GALAXY TAB E 8.0 SM-T377</t>
  </si>
  <si>
    <t>RAM-GDS-SKIN-SAM64-NG</t>
  </si>
  <si>
    <t>RAM GDS INTELLISKIN WITH LED FOR SAMSUNG GALAXY TAB A 8.0 SM-T387</t>
  </si>
  <si>
    <t>RAM-GDS-SKIN-SAM63-NG-LED</t>
  </si>
  <si>
    <t>RAM GDS INTELLISKIN FOR SAMSUNG GALAXY TAB A 8.0 SM-T387</t>
  </si>
  <si>
    <t>RAM-GDS-SKIN-SAM63-NG</t>
  </si>
  <si>
    <t>RAM GDS INTELLISKIN FOR SAMSUNG GALAXY TAB ACTIVE 2</t>
  </si>
  <si>
    <t>RAM-GDS-SKIN-SAM62-NG</t>
  </si>
  <si>
    <t>RAM GDS INTELLISKIN FOR SAMSUNG GALAXY A20</t>
  </si>
  <si>
    <t>RAM-GDS-SKIN-SAM61</t>
  </si>
  <si>
    <t>RAM GDS INTELLISKIN FOR SAMSUNG XCOVER PRO</t>
  </si>
  <si>
    <t>RAM-GDS-SKIN-SAM59</t>
  </si>
  <si>
    <t>RAM GDS INTELLISKIN FOR SAMSUNG GALAXY A10 (SM-A105)</t>
  </si>
  <si>
    <t>RAM-GDS-SKIN-SAM56</t>
  </si>
  <si>
    <t>RAM GDS INTELLISKIN FOR SAMSUNG GALAXY TAB A 8.0 SM-T290, T295</t>
  </si>
  <si>
    <t>RAM-GDS-SKIN-SAM55-NG</t>
  </si>
  <si>
    <t>RAM GDS INTELLISKIN FOR SAMSUNG GALAXY TAB ACTIVE PRO AND TAB ACTIVE 4 PRO</t>
  </si>
  <si>
    <t>RAM-GDS-SKIN-SAM54-NG-1</t>
  </si>
  <si>
    <t>RAM GDS INTELLISKIN FOR SAMSUNG GALAXY XCOVER 4S</t>
  </si>
  <si>
    <t>RAM-GDS-SKIN-SAM51</t>
  </si>
  <si>
    <t>RAM GDS INTELLISKIN FOR SAMSUNG GALAXY TAB A 10.1 2019 SM-T510 &amp; SM-T515</t>
  </si>
  <si>
    <t>RAM-GDS-SKIN-SAM50</t>
  </si>
  <si>
    <t>RAM GDS INTELLISKIN FOR SAMSUNG GALAXY TAB S5e SM-T720 &amp; SM-T725</t>
  </si>
  <si>
    <t>RAM-GDS-SKIN-SAM49</t>
  </si>
  <si>
    <t>RAM GDS INTELLISKIN FOR SAMSUNG GALAXY S10+</t>
  </si>
  <si>
    <t>RAM-GDS-SKIN-SAM48</t>
  </si>
  <si>
    <t>RAM GDS INTELLISKIN FOR SAMSUNG GALAXY S10e</t>
  </si>
  <si>
    <t>RAM-GDS-SKIN-SAM47</t>
  </si>
  <si>
    <t>RAM GDS INTELLISKIN FOR SAMSUNG GALAXY S10</t>
  </si>
  <si>
    <t>RAM-GDS-SKIN-SAM46</t>
  </si>
  <si>
    <t>RAM GDS INTELLISKIN FOR SAMSUNG J7 2018 SM-J737</t>
  </si>
  <si>
    <t>RAM-GDS-SKIN-SAM45</t>
  </si>
  <si>
    <t>RAM GDS INTELLISKIN FOR SAMSUNG J3 2018 SM-J337</t>
  </si>
  <si>
    <t>RAM-GDS-SKIN-SAM44</t>
  </si>
  <si>
    <t>RAM GDS INTELLISKIN FOR SAMSUNG GALAXY TAB A 10.5 2018 SM-T590 &amp; SM-T597</t>
  </si>
  <si>
    <t>RAM-GDS-SKIN-SAM43</t>
  </si>
  <si>
    <t>RAM GDS INTELLISKIN FOR SAMSUNG GALAXY NOTE 9</t>
  </si>
  <si>
    <t>RAM-GDS-SKIN-SAM42</t>
  </si>
  <si>
    <t xml:space="preserve">RAM GDS INTELLISKIN FOR SAMSUNG TAB S4 10.5 SM-T830, SM-T835 AND SM-T837 </t>
  </si>
  <si>
    <t>RAM-GDS-SKIN-SAM41</t>
  </si>
  <si>
    <t>RAM GDS INTELLISKIN FOR SAMSUNG TAB A 8.0 SM-T387</t>
  </si>
  <si>
    <t>RAM-GDS-SKIN-SAM40</t>
  </si>
  <si>
    <t>RAM GDS INTELLISKIN HD FOR SAMSUNG GALAXY S9</t>
  </si>
  <si>
    <t>RAM-GDS-SKIN-SAM39HD</t>
  </si>
  <si>
    <t>RAM GDS INTELLISKIN FOR SAMSUNG GALAXY S9</t>
  </si>
  <si>
    <t>RAM-GDS-SKIN-SAM39</t>
  </si>
  <si>
    <t>RAM GDS INTELLISKIN FOR SAMSUNG GALAXY XCOVER 4</t>
  </si>
  <si>
    <t>RAM-GDS-SKIN-SAM37</t>
  </si>
  <si>
    <t>RAM GDS SKIN SAMSUNG TAB A 8.0 2017</t>
  </si>
  <si>
    <t>RAM-GDS-SKIN-SAM35</t>
  </si>
  <si>
    <t>RAM GDS SKIN SAMSUNG J3 2017</t>
  </si>
  <si>
    <t>RAM-GDS-SKIN-SAM31</t>
  </si>
  <si>
    <t>RAM GDS SKIN SAMSUNG S8 PLUS</t>
  </si>
  <si>
    <t>RAM-GDS-SKIN-SAM30</t>
  </si>
  <si>
    <t>RAM GDS INTELLISKIN HANDSTAND AND SHOULDER STRAP COMPATIBLE FOR SAMSUNG TAB ACTIVE2</t>
  </si>
  <si>
    <t>RAM-GDS-SKIN-SAM29H</t>
  </si>
  <si>
    <t>RAM GDS SKIN SAMSUNG TAB ACTIVE2</t>
  </si>
  <si>
    <t>RAM-GDS-SKIN-SAM29</t>
  </si>
  <si>
    <t>RAM GDS SKIN SAMSUNG S8</t>
  </si>
  <si>
    <t>RAM-GDS-SKIN-SAM28</t>
  </si>
  <si>
    <t>RAM GDS SKIN SAMSUNG TAB S3 9.7</t>
  </si>
  <si>
    <t>RAM-GDS-SKIN-SAM27</t>
  </si>
  <si>
    <t>RAM GDS SKIN SAMSUNG TAB A 10.1 W/ S PEN</t>
  </si>
  <si>
    <t>RAM-GDS-SKIN-SAM26</t>
  </si>
  <si>
    <t>RAM GDS SKIN SAMSUNG J3 2016</t>
  </si>
  <si>
    <t>RAM-GDS-SKIN-SAM25</t>
  </si>
  <si>
    <t>RAM GDS SKIN SAMSUNG TAB A 7.0</t>
  </si>
  <si>
    <t>RAM-GDS-SKIN-SAM24</t>
  </si>
  <si>
    <t>RAM GDS SKIN SAMSUNG TAB A 10.1</t>
  </si>
  <si>
    <t>RAM-GDS-SKIN-SAM23</t>
  </si>
  <si>
    <t xml:space="preserve">RAM GDS SKIN SAMSUNG TAB E 8.0" </t>
  </si>
  <si>
    <t>RAM-GDS-SKIN-SAM21</t>
  </si>
  <si>
    <t>RAM GDS SKIN SAMSUNG TAB E 9.6</t>
  </si>
  <si>
    <t>RAM-GDS-SKIN-SAM20U</t>
  </si>
  <si>
    <t>RAM GDS SKIN SAMSUNG S2 9.7</t>
  </si>
  <si>
    <t>RAM-GDS-SKIN-SAM19U</t>
  </si>
  <si>
    <t>RAM GDS SKIN SAMSUNG S2 8"</t>
  </si>
  <si>
    <t>RAM-GDS-SKIN-SAM18U</t>
  </si>
  <si>
    <t>RAM GDS SKIN SAMSUNG GALAXY TAB A 8</t>
  </si>
  <si>
    <t>RAM-GDS-SKIN-SAM16U</t>
  </si>
  <si>
    <t>RAM GDS SKIN SAMSUNG GAL TAB A 9.7</t>
  </si>
  <si>
    <t>RAM-GDS-SKIN-SAM15U</t>
  </si>
  <si>
    <t>RAM GDS SKIN SAMSUNG GALAXY S6</t>
  </si>
  <si>
    <t>RAM-GDS-SKIN-SAM14U</t>
  </si>
  <si>
    <t>RAM GDS SKIN SAMSUNG GALAXY 10.1</t>
  </si>
  <si>
    <t>RAM-GDS-SKIN-SAM13U</t>
  </si>
  <si>
    <t>RAM GDS SKIN SAMSUNG TAB 4 8.0"</t>
  </si>
  <si>
    <t>RAM-GDS-SKIN-SAM12U</t>
  </si>
  <si>
    <t>RAM GDS SKIN SAMSUNG GALAXY  TAB 4  7</t>
  </si>
  <si>
    <t>RAM-GDS-SKIN-SAM11U</t>
  </si>
  <si>
    <t>RAM GDS SKIN SAMSUNG GALAXY 10.5</t>
  </si>
  <si>
    <t>RAM-GDS-SKIN-SAM10U</t>
  </si>
  <si>
    <t>RAM GDS SKIN LG G PAD F 8.0</t>
  </si>
  <si>
    <t>RAM-GDS-SKIN-LG2</t>
  </si>
  <si>
    <t>RAM GDS SKIN SAMSUNG S2 9.7" W/ HANDSTAN</t>
  </si>
  <si>
    <t>RAM-GDS-SKIN-HS-SAM19U</t>
  </si>
  <si>
    <t>RAM GDS SKIN APPLE IPAD AIR 2</t>
  </si>
  <si>
    <t>RAM-GDS-SKIN-AP8</t>
  </si>
  <si>
    <t>RAM GDS SKIN APPLE IPAD MINI 4</t>
  </si>
  <si>
    <t>RAM-GDS-SKIN-AP7</t>
  </si>
  <si>
    <t>RAM GDS INTELLISKIN FOR IPAD AIR 13" M2 2024 + IPAD PRO 12.9 3-6TH GEN</t>
  </si>
  <si>
    <t>RAM-GDS-SKIN-AP47-NG</t>
  </si>
  <si>
    <t>RAM GDS INTELLISKIN FOR IPAD PRO 11" M4 2024</t>
  </si>
  <si>
    <t>RAM-GDS-SKIN-AP46-NG</t>
  </si>
  <si>
    <t>RAM GDS INTELLISKIN THIN-CASE FOR IPAD PRO 11" M4 WITH D SHAPE AND POWERED BUTTON</t>
  </si>
  <si>
    <t>RAM-GDS-SKIN-AP45-M4-TCDB</t>
  </si>
  <si>
    <t>RAM GDS INTELLISKIN THIN-CASE FOR IPAD PRO 11" M4 WITH D SHAPE</t>
  </si>
  <si>
    <t>RAM-GDS-SKIN-AP45-M4-TCD</t>
  </si>
  <si>
    <t>RAM GDS INTELLISKIN THIN-CASE FOR IPAD PRO 11" M4 WITH POWERED BUTTON</t>
  </si>
  <si>
    <t>RAM-GDS-SKIN-AP45-M4-TCB</t>
  </si>
  <si>
    <t>RAM GDS INTELLISKIN THIN-CASE FOR IPAD AIR 11" M2 WITH D SHAPE AND POWERED BUTTON</t>
  </si>
  <si>
    <t>RAM-GDS-SKIN-AP45-M2-TCDB</t>
  </si>
  <si>
    <t>RAM GDS INTELLISKIN THIN-CASE FOR IPAD AIR 11" M2 WITH D SHAPE</t>
  </si>
  <si>
    <t>RAM-GDS-SKIN-AP45-M2-TCD</t>
  </si>
  <si>
    <t>RAM GDS INTELLISKIN THIN-CASE FOR IPAD AIR 11" M2 WITH POWERED BUTTON</t>
  </si>
  <si>
    <t>RAM-GDS-SKIN-AP45-M2-TCB</t>
  </si>
  <si>
    <t>RAM GDS INTELLISKIN FOR APPLE IPHONE 15 PRO MAX</t>
  </si>
  <si>
    <t>RAM-GDS-SKIN-AP44</t>
  </si>
  <si>
    <t>RAM GDS INTELLISKIN FOR APPLE IPHONE 15 PLUS</t>
  </si>
  <si>
    <t>RAM-GDS-SKIN-AP43</t>
  </si>
  <si>
    <t>RAM GDS INTELLISKIN FOR APPLE IPHONE 15 PRO</t>
  </si>
  <si>
    <t>RAM-GDS-SKIN-AP42</t>
  </si>
  <si>
    <t>RAM GDS INTELLISKIN FOR APPLE IPHONE 15</t>
  </si>
  <si>
    <t>RAM-GDS-SKIN-AP41</t>
  </si>
  <si>
    <t>RAM GDS INTELLISKIN THIN-CASE FOR IPAD 10TH GEN WITH D SHAPE</t>
  </si>
  <si>
    <t>RAM-GDS-SKIN-AP40-TCD</t>
  </si>
  <si>
    <t>RAM GDS INTELLISKIN THIN-CASE FOR IPAD 10TH GEN WITH POWERED BUTTON</t>
  </si>
  <si>
    <t>RAM-GDS-SKIN-AP40-TCB</t>
  </si>
  <si>
    <t>RAM GDS INTELLISKIN WITH LED FOR IPAD 10TH GEN</t>
  </si>
  <si>
    <t>RAM-GDS-SKIN-AP40-NG-LED</t>
  </si>
  <si>
    <t>RAM GDS INTELLISKIN FOR IPAD 10TH GEN</t>
  </si>
  <si>
    <t>RAM-GDS-SKIN-AP40-NG</t>
  </si>
  <si>
    <t>RAM GDS INTELLISKIN THIN-CASE FOR APPLE IPAD PRO 12.9 5TH GEN WITH D SHAPE</t>
  </si>
  <si>
    <t>RAM-GDS-SKIN-AP37-TCD</t>
  </si>
  <si>
    <t>RAM GDS INTELLISKIN THIN-CASE FOR APPLE IPAD PRO 12.9 5TH GEN WITH POWERED BUTTON</t>
  </si>
  <si>
    <t>RAM-GDS-SKIN-AP37-TCB</t>
  </si>
  <si>
    <t>RAM GDS INTELLISKIN FOR APPLE IPAD PRO 12.9 5TH GEN GREY</t>
  </si>
  <si>
    <t>RAM-GDS-SKIN-AP37-NG-GRY</t>
  </si>
  <si>
    <t>RAM GDS INTELLISKIN FOR APPLE IPAD PRO 12.9 5TH GEN</t>
  </si>
  <si>
    <t>RAM-GDS-SKIN-AP37-NG</t>
  </si>
  <si>
    <t>RAM GDS INTELLISKIN THIN-CASE FOR APPLE IPAD MINI 6TH GEN WITH D SHAPE</t>
  </si>
  <si>
    <t>RAM-GDS-SKIN-AP36-TCD</t>
  </si>
  <si>
    <t>RAM GDS INTELLISKIN THIN-CASE FOR APPLE IPAD MINI 6TH GEN WITH POWERED BUTTON</t>
  </si>
  <si>
    <t>RAM-GDS-SKIN-AP36-TCB</t>
  </si>
  <si>
    <t>RAM GDS INTELLISKIN FOR APPLE IPAD MINI 6TH GEN</t>
  </si>
  <si>
    <t>RAM-GDS-SKIN-AP36-NG-GRY</t>
  </si>
  <si>
    <t>RAM-GDS-SKIN-AP36-NG</t>
  </si>
  <si>
    <t>RAM GDS INTELLISKIN WITH LED FOR IPAD AIR 4TH GEN, IPAD PRO 2ND GEN, IPAD PRO 1ST GEN</t>
  </si>
  <si>
    <t>RAM-GDS-SKIN-AP32-NG-LED</t>
  </si>
  <si>
    <t>RAM GDS INTELLISKIN FOR IPAD AIR 4TH GEN, IPAD PRO 2ND GEN, IPAD PRO 1ST GEN</t>
  </si>
  <si>
    <t>RAM-GDS-SKIN-AP32-NG</t>
  </si>
  <si>
    <t>RAM GDS INTELLISKIN FOR APPLE IPAD MINI 5</t>
  </si>
  <si>
    <t>RAM-GDS-SKIN-AP27</t>
  </si>
  <si>
    <t>RAM GDS INTELLISKIN FOR APPLE IPAD PRO 12.9" 4TH GENERATION</t>
  </si>
  <si>
    <t>RAM-GDS-SKIN-AP24-A</t>
  </si>
  <si>
    <t>RAM GDS INTELLISKIN FOR APPLE IPAD PRO 11" 2nd GEN</t>
  </si>
  <si>
    <t>RAM-GDS-SKIN-AP23-A</t>
  </si>
  <si>
    <t>RAM GDS INTELLISKIN FOR APPLE IPAD PRO 11"</t>
  </si>
  <si>
    <t>RAM-GDS-SKIN-AP23</t>
  </si>
  <si>
    <t>RAM ELASTIC STRAP FOR ROTO MAG</t>
  </si>
  <si>
    <t>RAM-GDS-ROTO-STU</t>
  </si>
  <si>
    <t>UNPKD RAM BACK PLATE BASE FOR ROTO MAG KICK STAND FOR ZEBRA ET6 TABLET</t>
  </si>
  <si>
    <t>RAM-GDS-ROTO2-ZE25U</t>
  </si>
  <si>
    <t>UNPKD RAM BACK PLATE BASE FOR ROTO MAG KICK STAND FOR ZEBRA ET8 TABLET</t>
  </si>
  <si>
    <t>RAM-GDS-ROTO2-ZE22U</t>
  </si>
  <si>
    <t>UNPKD RAM ROTO-MAG WITH BACKING PLATE FOR ZEBRA ET4X 10"</t>
  </si>
  <si>
    <t>RAM-GDS-ROTO2-ZE21U</t>
  </si>
  <si>
    <t>UNPKD RAM ROTO-MAG WITH BACKING PLATE FOR ZEBRA ET4X 8"</t>
  </si>
  <si>
    <t>RAM-GDS-ROTO2-ZE20U</t>
  </si>
  <si>
    <t>UNPKD RAM ROTO-MAG</t>
  </si>
  <si>
    <t>RAM-GDS-ROTO2U</t>
  </si>
  <si>
    <t>RAM ADAPTER FOR PANASONIC A3 WITH ROTO MAG</t>
  </si>
  <si>
    <t>RAM-GDS-ROTO2-PAN16U</t>
  </si>
  <si>
    <t>GDS ADPTR OTTERBOX UNIVERSE CASES FOR SAMSUNG S9, S10 AND S10e</t>
  </si>
  <si>
    <t>RAM-GDS-OT2U</t>
  </si>
  <si>
    <t>GDS ADPTR OTTERBOX UNIVERSE APPLE TABLET CASES</t>
  </si>
  <si>
    <t>RAM-GDS-OT1U</t>
  </si>
  <si>
    <t>RAM GDS 13.3" TOUCH SCREEN MONITOR WITHOUT BRACKET</t>
  </si>
  <si>
    <t>RAM-GDS-MON-13-1</t>
  </si>
  <si>
    <t>RAM GDS TYPE C HUB</t>
  </si>
  <si>
    <t>RAM-GDS-HUB-TYPEC-02-A</t>
  </si>
  <si>
    <t>RAM GDS TYPE C RUGGED HUB FOR VEHICLES</t>
  </si>
  <si>
    <t>RAM-GDS-HUB-TYPEC-01-A</t>
  </si>
  <si>
    <t>UNPKD RAM GDS HAND STAND FOR PHONES WITH HAND STRAP</t>
  </si>
  <si>
    <t>RAM-GDS-HS4U</t>
  </si>
  <si>
    <t>UNPKD RAM GDS HAND STAND FOR PHONES WITH MAGNETIC HAND STRAP</t>
  </si>
  <si>
    <t>RAM-GDS-HS4MU</t>
  </si>
  <si>
    <t>UNPKD RAM GDS VELCRO STRAP ONLY</t>
  </si>
  <si>
    <t>RAM-GDS-HS3U</t>
  </si>
  <si>
    <t xml:space="preserve"> 1 1/4" WIDE ELASTIC STRAP WITH VELCRO AND MAGNET</t>
  </si>
  <si>
    <t>RAM-GDS-HS3MU</t>
  </si>
  <si>
    <t>UNPKD RAM HAND STRAP NO STAND WITH BACKING PLATE FOR ZEBRA ET4X 10"</t>
  </si>
  <si>
    <t>RAM-GDS-HS2-ZE21U</t>
  </si>
  <si>
    <t>UNPKD RAM GDS HAND STRAP NO STAND</t>
  </si>
  <si>
    <t>RAM-GDS-HS2U</t>
  </si>
  <si>
    <t>UNPKD RAM HAND-STAND WITH BACKING PLATE FOR ZEBRA ET4X 10"</t>
  </si>
  <si>
    <t>RAM-GDS-HS1-ZE21U</t>
  </si>
  <si>
    <t>UNPKD RAM GDS HAND STAND</t>
  </si>
  <si>
    <t>RAM-GDS-HS1U</t>
  </si>
  <si>
    <t>UNPKD RAM GDS HAND STAND W/ RISERS</t>
  </si>
  <si>
    <t>RAM-GDS-HS1-RISER2U</t>
  </si>
  <si>
    <t>RAM ADAPTER FOR PANASONIC A3 WITH HAND STAND</t>
  </si>
  <si>
    <t>RAM-GDS-HS1-PAN16U</t>
  </si>
  <si>
    <t>UNPKD RAM GDS HAND STAND NO STRAP</t>
  </si>
  <si>
    <t>RAM-GDS-HS1-NSU</t>
  </si>
  <si>
    <t>UNPKD RAM MAGNETIC HAND-STAND WITH BACKING PLATE FOR ZEBRA ET4X 10"</t>
  </si>
  <si>
    <t>RAM-GDS-HS1M-ZE21U</t>
  </si>
  <si>
    <t>UNPKD RAM GDS HAND STAND WITH MAGNETIC HAND STRAP</t>
  </si>
  <si>
    <t>RAM-GDS-HS1MU</t>
  </si>
  <si>
    <t>UNPKD 40MM X 40MM USB COOLING FAN ADD ON FOR TOUGH DOCK</t>
  </si>
  <si>
    <t>RAM-GDS-FAN1U</t>
  </si>
  <si>
    <t>GDS POWER ONLY VEHICLE DOCK FOR ZEBRA ET40/45 10" TABLETS WITH INTELLISKIN</t>
  </si>
  <si>
    <t>RAM-GDS-DOCK-ZE21PU</t>
  </si>
  <si>
    <t>GDS POWER + DATA VEHICLE DOCK FOR ZEBRA ET40/45 10" TABLETS WITH INTELLISKIN</t>
  </si>
  <si>
    <t>RAM-GDS-DOCK-ZE21PDU</t>
  </si>
  <si>
    <t>GDS POWER + DUAL DATA VEHICLE DOCK FOR ZEBRA ET40/45 10" TABLETS WITH INTELLISKIN</t>
  </si>
  <si>
    <t>RAM-GDS-DOCK-ZE21PD2U</t>
  </si>
  <si>
    <t>GDS POWER + USB-A + RJ45 DATA VEHICLE DOCK FOR ZEBRA ET40/45 8" TABLETS WITH INTELLISKIN</t>
  </si>
  <si>
    <t>RAM-GDS-DOCK-ZE20-RJ45AU</t>
  </si>
  <si>
    <t>GDS POWER ONLY VEHICLE DOCK FOR ZEBRA ET40/45 8" TABLETS WITH INTELLISKIN</t>
  </si>
  <si>
    <t>RAM-GDS-DOCK-ZE20PU</t>
  </si>
  <si>
    <t>GDS POWER + DATA VEHICLE DOCK FOR ZEBRA ET40/45 8" TABLETS WITH INTELLISKIN</t>
  </si>
  <si>
    <t>RAM-GDS-DOCK-ZE20PDU</t>
  </si>
  <si>
    <t>GDS POWER + DUAL DATA VEHICLE DOCK FOR ZEBRA ET40/45 8" TABLETS WITH INTELLISKIN</t>
  </si>
  <si>
    <t>RAM-GDS-DOCK-ZE20PD2U</t>
  </si>
  <si>
    <t xml:space="preserve">UNPKD RAM GDS UNICONN POE WALL DOCK </t>
  </si>
  <si>
    <t>RAM-GDS-DOCK-W4-POEU</t>
  </si>
  <si>
    <t xml:space="preserve">UNPKD RAM GDS UNICONN TYPE-C WALL DOCK </t>
  </si>
  <si>
    <t>RAM-GDS-DOCK-W4-CU</t>
  </si>
  <si>
    <t>RAM WALL DOCK WITH POWER OVER ETHERNET</t>
  </si>
  <si>
    <t>RAM-GDS-DOCK-W3-POE</t>
  </si>
  <si>
    <t>UNPKD RAM GDS VEHICLE DOCK BASE ONLY WITH MUSB FOR INTELLISKIN NEXT GENERATION</t>
  </si>
  <si>
    <t>RAM-GDS-DOCK-V9BU</t>
  </si>
  <si>
    <t>UNPKD RAM GDS VEHICLE DOCK BASE ONLY WITH TYPE-C FOR INTELLISKIN NEXT GENERATION</t>
  </si>
  <si>
    <t>RAM-GDS-DOCK-V9BCU</t>
  </si>
  <si>
    <t>UNPKD RAM GDS USB C VEHICLE DOCK BASE</t>
  </si>
  <si>
    <t>RAM-GDS-DOCK-V5BU</t>
  </si>
  <si>
    <t>UNPKD VEHICLE GDS DOCK FOR PHONES</t>
  </si>
  <si>
    <t>RAM-GDS-DOCK-V3CU</t>
  </si>
  <si>
    <t>UNPKD ENLARGED VEHICLE GDS DOCK FOR PHONES 8-PIN PCB</t>
  </si>
  <si>
    <t>RAM-GDS-DOCK-V3CPAU</t>
  </si>
  <si>
    <t>UNPKD ENLARGED VEHICLE GDS DOCK FOR PHONES</t>
  </si>
  <si>
    <t>RAM-GDS-DOCK-V3CAU</t>
  </si>
  <si>
    <t>UNPKD  RAM GDS VEHICLE DOCK BASE ONLY</t>
  </si>
  <si>
    <t>RAM-GDS-DOCK-V3BU</t>
  </si>
  <si>
    <t>UNPKD RAM VEHICLE GDS DOCK TAB 8.4</t>
  </si>
  <si>
    <t>RAM-GDS-DOCK-V2-SAM9U</t>
  </si>
  <si>
    <t>UNPKD RAM GDS VEHICLE DOCK FOR SAMSUNG TAB S5E AND A 10.1</t>
  </si>
  <si>
    <t>RAM-GDS-DOCK-V2-SAM49U</t>
  </si>
  <si>
    <t>UNPKD RAM GDS VEHICLE DOCK FOR SAMSUNG TAB A 8.0 (2017)</t>
  </si>
  <si>
    <t>RAM-GDS-DOCK-V2-SAM35U</t>
  </si>
  <si>
    <t>UNPKD RAM GDS VEHICLE DOCK WITH AUDIO JUMPER CABLE FOR SAMSUNG TAB A 8.0 (2017)</t>
  </si>
  <si>
    <t>RAM-GDS-DOCK-V2-SAM35-AUD1U</t>
  </si>
  <si>
    <t>UNPKD RAM VEHICLE GDS DOCK TAB ACTIVE 2</t>
  </si>
  <si>
    <t>RAM-GDS-DOCK-V2-SAM29U</t>
  </si>
  <si>
    <t>UNPKD MUSB RAM VEH GDS DOCK TAB S3 9.7</t>
  </si>
  <si>
    <t>RAM-GDS-DOCK-V2-SAM27U</t>
  </si>
  <si>
    <t>UNPKD RAM VEH GDS DOCK SAMSUNG TAB A 7.0</t>
  </si>
  <si>
    <t>RAM-GDS-DOCK-V2-SAM24U</t>
  </si>
  <si>
    <t>UNPKD RAM VEH GDS DOCK TAB A 10.1</t>
  </si>
  <si>
    <t>RAM-GDS-DOCK-V2-SAM23U</t>
  </si>
  <si>
    <t>UNPKD RAM VEH GDS DOCK SAMSUNG TAB E 8.0</t>
  </si>
  <si>
    <t>RAM-GDS-DOCK-V2-SAM21U</t>
  </si>
  <si>
    <t>UNPKD RAM VEH GDS DOCK SAMSUNG TAB E 9.6</t>
  </si>
  <si>
    <t>RAM-GDS-DOCK-V2-SAM20U</t>
  </si>
  <si>
    <t>UNPKD RAM VEHICLE GDS DOCK S2 9.7</t>
  </si>
  <si>
    <t>RAM-GDS-DOCK-V2-SAM19U</t>
  </si>
  <si>
    <t>UNPKD RAM VEHICLE GDS DOCK S2 8.0</t>
  </si>
  <si>
    <t>RAM-GDS-DOCK-V2-SAM18U</t>
  </si>
  <si>
    <t>UNPKD RAM VEHICLE GDS DOCK TAB ACTIVE 8</t>
  </si>
  <si>
    <t>RAM-GDS-DOCK-V2-SAM17U</t>
  </si>
  <si>
    <t>UNPKD RAM VEHICLE GDS DOCK TAB A 8.0</t>
  </si>
  <si>
    <t>RAM-GDS-DOCK-V2-SAM16U</t>
  </si>
  <si>
    <t>UNPKD RAM VEHICLE GDS DOCK TAB A 9.7</t>
  </si>
  <si>
    <t>RAM-GDS-DOCK-V2-SAM15U</t>
  </si>
  <si>
    <t>UNPKD RAM VEHICLE GDS DOCK TAB 4 10.1"</t>
  </si>
  <si>
    <t>RAM-GDS-DOCK-V2-SAM13U</t>
  </si>
  <si>
    <t>UNPKD RAM VEH GDS DOCK SAMSUNG TAB 4 8.0</t>
  </si>
  <si>
    <t>RAM-GDS-DOCK-V2-SAM12U</t>
  </si>
  <si>
    <t>UNPKD RAM VEH GDS DOCK SAM TAB 4 8.0 AUD</t>
  </si>
  <si>
    <t>RAM-GDS-DOCK-V2-SAM12-AUD1U</t>
  </si>
  <si>
    <t>UNPKD RAM VEHICLE GDS DOCK TAB 4 7</t>
  </si>
  <si>
    <t>RAM-GDS-DOCK-V2-SAM11U</t>
  </si>
  <si>
    <t>UNPKD RAM VEHICLE GDS DOCK TAB 10.5</t>
  </si>
  <si>
    <t>RAM-GDS-DOCK-V2-SAM10U</t>
  </si>
  <si>
    <t>UNPKD RAM VEH GDS DOCK LG G Pad F 8.0</t>
  </si>
  <si>
    <t>RAM-GDS-DOCK-V2-LG2U</t>
  </si>
  <si>
    <t>UNPKD RAM VEH GDS DOCK APPLE IPAD AIR 2, PRO 9.7 AND 9.7 5TH/6TH GEN</t>
  </si>
  <si>
    <t>RAM-GDS-DOCK-V2-AP8U</t>
  </si>
  <si>
    <t>UNPKD RAM VEH GDS DOCK APPLE IPAD MINI 4</t>
  </si>
  <si>
    <t>RAM-GDS-DOCK-V2-AP7U</t>
  </si>
  <si>
    <t>UNPKD RAM VEH GDS DOCK APPLE IPAD MINI</t>
  </si>
  <si>
    <t>RAM-GDS-DOCK-V2-AP2U</t>
  </si>
  <si>
    <t>UNPKD RAM VEH GDS DOCK IPAD PRO 10.5</t>
  </si>
  <si>
    <t>RAM-GDS-DOCK-V2-AP16U</t>
  </si>
  <si>
    <t>UNPKD RAM VEHICLE GDS DOCK PHONES</t>
  </si>
  <si>
    <t>RAM-GDS-DOCK-V1U</t>
  </si>
  <si>
    <t>UNPKD RAM VEHICLE GDS DOCK USB TYPE C</t>
  </si>
  <si>
    <t>RAM-GDS-DOCK-V1CU</t>
  </si>
  <si>
    <t>RAM-GDS-DOCK-V1CPU</t>
  </si>
  <si>
    <t>UNPKD RAM GDS VEHICLE DOCK BASE FOR INTELLISKIN NEXT GEN POWER OVER ETHERNET</t>
  </si>
  <si>
    <t>RAM-GDS-DOCK-V14PU</t>
  </si>
  <si>
    <t>UNPKD RAM GDS VEHICLE DOCK BASE FOR INTELLISKIN NEXT GEN POWER OVER ETHERNET AND SINGLE USB-A PERIPHERAL</t>
  </si>
  <si>
    <t>RAM-GDS-DOCK-V14PDU</t>
  </si>
  <si>
    <t>UNPKD RAM GDS VEHICLE DOCK BASE FOR INTELLISKIN NEXT GEN POWER OVER ETHERNET AND DUAL PERIPHERAL</t>
  </si>
  <si>
    <t>RAM-GDS-DOCK-V14PD2U</t>
  </si>
  <si>
    <t>GDS VEHICLE USBC DOCK FOR ZEBRA TC73/78 IN INTELLISKIN 8 PIN</t>
  </si>
  <si>
    <t>RAM-GDS-DOCK-V12-ZE35CPU</t>
  </si>
  <si>
    <t>GDS VEHICLE USBC DOCK FOR ZEBRA TC73/78 IN INTELLISKIN 8 PIN WITH PERIPHERAL</t>
  </si>
  <si>
    <t>RAM-GDS-DOCK-V12-ZE35CPDU</t>
  </si>
  <si>
    <t>GDS VEHICLE USBC DOCK FOR ZEBRA TC22/27/53/58 IN INTELLISKIN 8 PIN</t>
  </si>
  <si>
    <t>RAM-GDS-DOCK-V12-ZE2434CPU</t>
  </si>
  <si>
    <t>GDS VEHICLE USBC DOCK FOR ZEBRA TC22/27/53/58 IN INTELLISKIN 8 PIN POWER WITH PERIPHERAL</t>
  </si>
  <si>
    <t>RAM-GDS-DOCK-V12-ZE2434CPDU</t>
  </si>
  <si>
    <t>GDS VEHICLE USBC DOCK FOR ZEBRA EC50/55 IN INTELLISKIN 8 PIN</t>
  </si>
  <si>
    <t>RAM-GDS-DOCK-V12-ZE16CPU</t>
  </si>
  <si>
    <t>GDS VEHICLE USBC DOCK FOR ZEBRA EC50/55 IN INTELLISKIN 8 PIN WITH PERIPHERAL</t>
  </si>
  <si>
    <t>RAM-GDS-DOCK-V12-ZE16CPDU</t>
  </si>
  <si>
    <t xml:space="preserve">GDS VEHICLE USBC DOCK POWER ONLY, NON-LOCKING, LOW PROFILE DOCK FOR OCTAGON BUTTON </t>
  </si>
  <si>
    <t>RAM-GDS-DOCK-V12-U1CPU</t>
  </si>
  <si>
    <t xml:space="preserve">GDS VEHICLE USBC DOCK POWER + HEATED POGO PINS, LOCKING, LOW PROFILE DOCK FOR OCTAGON BUTTON </t>
  </si>
  <si>
    <t>RAM-GDS-DOCK-V12-U1CPHU</t>
  </si>
  <si>
    <t xml:space="preserve">GDS VEHICLE USBC DOCK POWER + USB-A DATA, NON-LOCKING, LOW PROFILE DOCK FOR OCTAGON BUTTON </t>
  </si>
  <si>
    <t>RAM-GDS-DOCK-V12-U1CPDU</t>
  </si>
  <si>
    <t xml:space="preserve">GDS VEHICLE USBC DOCK POWER WITH HEATED POGO PINS + USB-A DATA , NON-LOCKING, LOW PROFILE DOCK FOR OCTAGON BUTTON </t>
  </si>
  <si>
    <t>RAM-GDS-DOCK-V12-U1CPDHU</t>
  </si>
  <si>
    <t xml:space="preserve">GDS VEHICLE USBC DOCK POWER + USB-C DATA , NON-LOCKING, LOW PROFILE DOCK FOR OCTAGON BUTTON </t>
  </si>
  <si>
    <t>RAM-GDS-DOCK-V12-U1CP-CU</t>
  </si>
  <si>
    <t xml:space="preserve">GDS VEHICLE USBC DOCK FOR HAND HELD TERMINAL </t>
  </si>
  <si>
    <t>RAM-GDS-DOCK-V11CU</t>
  </si>
  <si>
    <t>UNPKD RAM GDS VEHICLE DOCK BASE FOR INTELLISKIN NEXT GEN POWER ONLY</t>
  </si>
  <si>
    <t>RAM-GDS-DOCK-V10PU</t>
  </si>
  <si>
    <t>UNPKD RAM GDS VEHICLE DOCK BASE FOR INTELLISKIN NEXT GEN POWER AND SINGLE PERIPHERAL</t>
  </si>
  <si>
    <t>RAM-GDS-DOCK-V10PDU</t>
  </si>
  <si>
    <t>UNPKD RAM GDS VEHICLE DOCK BASE FOR INTELLISKIN NEXT GEN POWER AND SINGLE PERIPHERAL - MULTIPLE MODE</t>
  </si>
  <si>
    <t>RAM-GDS-DOCK-V10PD-MMU</t>
  </si>
  <si>
    <t>UNPKD RAM GDS VEHICLE DOCK BASE FOR INTELLISKIN NEXT GEN POWER AND DUAL PERIPHERAL</t>
  </si>
  <si>
    <t>RAM-GDS-DOCK-V10PD2U</t>
  </si>
  <si>
    <t>UNPKD RAM GDS VEHICLE DOCK BASE FOR INTELLISKIN NEXT GEN POWER AND DUAL PERIPHERAL SUPPORTS 2024 APPLE PERIPHERALS</t>
  </si>
  <si>
    <t>RAM-GDS-DOCK-V10PD2-1U</t>
  </si>
  <si>
    <t>UNPKD RAM GDS VEHICLE DOCK BASE FOR INTELLISKIN NEXT GEN POWER AND SINGLE PERIPHERAL SUPPORTS 2024 APPLE PERIPHERALS</t>
  </si>
  <si>
    <t>RAM-GDS-DOCK-V10PD-1U</t>
  </si>
  <si>
    <t>UNPKD RAM GDS VEHICLE DOCK BASE FOR INTELLISKIN NEXT GEN POWER AND RJ45 + USB-A FEMALE PERIPHERAL</t>
  </si>
  <si>
    <t>RAM-GDS-DOCK-V10C-RJ45AU</t>
  </si>
  <si>
    <t>UNPKD RAM GDS VEHICLE DOCK BASE FOR INTELLISKIN NEXT GEN POWER AND USB-C FEMALE PERIPHERAL</t>
  </si>
  <si>
    <t>RAM-GDS-DOCK-V10C-CU</t>
  </si>
  <si>
    <t>UNPKD RAM GDS VEHICLE DOCK BASE FOR INTELLISKIN NEXT GEN POWER AND USB-C + USB-A FEMALE PERIPHERAL</t>
  </si>
  <si>
    <t>RAM-GDS-DOCK-V10C-CAU</t>
  </si>
  <si>
    <t>RAM GDS SNAP IN VEHICLE DOCK WITH 8 POGO PINS FOR POWERED OCTAGON BUTTON WITH JST</t>
  </si>
  <si>
    <t>RAM-GDS-DOCK-U3JPU</t>
  </si>
  <si>
    <t>RAM GDS SNAP IN VEHICLE DOCK WITH 8 POGO PINS FOR POWERED OCTAGON BUTTON WITH POE BOX</t>
  </si>
  <si>
    <t>RAM-GDS-DOCK-U3EU</t>
  </si>
  <si>
    <t>RAM GDS SNAP IN VEHICLE DOCK WITH 8 POGO PINS FOR POWERED OCTAGON BUTTON WITH USB-C</t>
  </si>
  <si>
    <t>RAM-GDS-DOCK-U3CPU</t>
  </si>
  <si>
    <t xml:space="preserve">GDS POWER + USBA + RJ45 DATA SNAP IN VEHICLE DOCK FOR OCTAGON BUTTON </t>
  </si>
  <si>
    <t>RAM-GDS-DOCK-U1CP-RJ45AU</t>
  </si>
  <si>
    <t xml:space="preserve">GDS POWER + USB-C DATA SNAP IN VEHICLE DOCK FOR OCTAGON BUTTON </t>
  </si>
  <si>
    <t>RAM-GDS-DOCK-U1CP-CU</t>
  </si>
  <si>
    <t xml:space="preserve">GDS POWER + USBA + USBC DATA SNAP IN VEHICLE DOCK FOR OCTAGON BUTTON </t>
  </si>
  <si>
    <t>RAM-GDS-DOCK-U1CP-CAU</t>
  </si>
  <si>
    <t xml:space="preserve">GDS POWER + USB-A DATA SNAP IN VEHICLE DOCK FOR OCTAGON BUTTON </t>
  </si>
  <si>
    <t>RAM-GDS-DOCK-U1CD-V7CU</t>
  </si>
  <si>
    <t>RAM-GDS-DOCK-U1CDU</t>
  </si>
  <si>
    <t xml:space="preserve">GDS POWER + DUAL USB-A DATA SNAP IN VEHICLE DOCK FOR OCTAGON BUTTON </t>
  </si>
  <si>
    <t>RAM-GDS-DOCK-U1CD2U</t>
  </si>
  <si>
    <t>UNPKD RAM GDS TOP CUP SAMSUNG 8.4</t>
  </si>
  <si>
    <t>RAM-GDS-DOCKT-SAM9U</t>
  </si>
  <si>
    <t xml:space="preserve">UNPKD RAM GDS TOP CUP FOR SAMSUNG TAB A 8.0 SM-T290, T295 &amp; 8.4 SM-T307 </t>
  </si>
  <si>
    <t>RAM-GDS-DOCKT-SAM67U</t>
  </si>
  <si>
    <t>UNPKD RAM GDS TOP CUP SAMSUNG TAB S5e &amp; TAB A 10.1 INTELLISKIN SM-T720, T725, T510 &amp; T515</t>
  </si>
  <si>
    <t>RAM-GDS-DOCKT-SAM49U</t>
  </si>
  <si>
    <t>UNPKD RAM GDS VEHICLE TOP CUP FOR SAMSUNG TAB A 10.5 SM-T590 &amp; SM-T597</t>
  </si>
  <si>
    <t>RAM-GDS-DOCKT-SAM43U</t>
  </si>
  <si>
    <t>UNPKD RAM GDS VEHICLE TOP CUP WITH AUDIO JUMPER CABLE FOR SAMSUNG TAB A 10.5 SM-T590 &amp; SM-T597</t>
  </si>
  <si>
    <t>RAM-GDS-DOCKT-SAM43-AUD1U</t>
  </si>
  <si>
    <t>UNPKD RAM GDS VEHICLE TOP CUP FOR SAMSUNG TAB S4 10.5 SM-T830, SM-T835 AND SM-T837</t>
  </si>
  <si>
    <t>RAM-GDS-DOCKT-SAM41U</t>
  </si>
  <si>
    <t>UNPKD RAM GDS VEHICLE TOP CUP FOR SAMSUNG TAB A 8.0 SM-T387</t>
  </si>
  <si>
    <t>RAM-GDS-DOCKT-SAM40U</t>
  </si>
  <si>
    <t>UNPKD RAM GDS VEHICLE DOCK TOP CUP WITH AUDIO JUMPER CABLE FOR SAMSUNG TAB A 8.0 SM-T387</t>
  </si>
  <si>
    <t>RAM-GDS-DOCKT-SAM40-AUD1U</t>
  </si>
  <si>
    <t>UNPKD RAM GDS VEHICLE TOP CUP FOR SAMSUNG TAB A 8.0 (2017)</t>
  </si>
  <si>
    <t>RAM-GDS-DOCKT-SAM35U</t>
  </si>
  <si>
    <t>UNPKD RAM GDS VEHICLE DOCK TOP CUP WITH AUDIO JUMPER CABLE FOR SAMSUNG TAB A 8.0 (2017)</t>
  </si>
  <si>
    <t>RAM-GDS-DOCKT-SAM35-AUD1U</t>
  </si>
  <si>
    <t>UNPKD RAM GDS VEHICLE TOP CUP FOR SAMSUNG TAB ACTIVE2</t>
  </si>
  <si>
    <t>RAM-GDS-DOCKT-SAM29U</t>
  </si>
  <si>
    <t>UNPKD RAM GDS TOP CP SAMSUNG TAB S3</t>
  </si>
  <si>
    <t>RAM-GDS-DOCKT-SAM27U</t>
  </si>
  <si>
    <t>UNPKD RAM GDS TOP CP SAMSUNG TAB A 7.0</t>
  </si>
  <si>
    <t>RAM-GDS-DOCKT-SAM24U</t>
  </si>
  <si>
    <t>UNPKD RAM GDS TOP CUP SAMSUNG TAB A 10.1"</t>
  </si>
  <si>
    <t>RAM-GDS-DOCKT-SAM23U</t>
  </si>
  <si>
    <t>UNPKD RAM GDS TOP CP SAMSUNG TAB E 8.0</t>
  </si>
  <si>
    <t>RAM-GDS-DOCKT-SAM21U</t>
  </si>
  <si>
    <t>UNPKD RAM GDS TOP CP SAMSUNG TAB E 9.6</t>
  </si>
  <si>
    <t>RAM-GDS-DOCKT-SAM20U</t>
  </si>
  <si>
    <t>UNPKD RAM GDS TOP CP SAMSUNG TAB S2 9.7</t>
  </si>
  <si>
    <t>RAM-GDS-DOCKT-SAM19U</t>
  </si>
  <si>
    <t>UNPKD RAM GDS TOP CP SAMSUNG TAB S2 8.0</t>
  </si>
  <si>
    <t>RAM-GDS-DOCKT-SAM18U</t>
  </si>
  <si>
    <t>UNPKD RAM GDS TOP CP SAMSUNG TAB ACTIVE8</t>
  </si>
  <si>
    <t>RAM-GDS-DOCKT-SAM17U</t>
  </si>
  <si>
    <t>UNPKD RAM GDS TOP CUP SAMSUNG TAB A 8.0</t>
  </si>
  <si>
    <t>RAM-GDS-DOCKT-SAM16U</t>
  </si>
  <si>
    <t>UNPKD RAM GDS TOP CUP SAMSUNG TAB A 9.7</t>
  </si>
  <si>
    <t>RAM-GDS-DOCKT-SAM15U</t>
  </si>
  <si>
    <t>UNPKD RAM GDS TOP CUP SAMSUNG TAB 4 10.1</t>
  </si>
  <si>
    <t>RAM-GDS-DOCKT-SAM13U</t>
  </si>
  <si>
    <t>UNPKD RAM GDS TOP CUP SAMSUNG TAB 4 8</t>
  </si>
  <si>
    <t>RAM-GDS-DOCKT-SAM12U</t>
  </si>
  <si>
    <t>UNPKD RAM GDS TOP CUP SAMSUNG TAB 4 7</t>
  </si>
  <si>
    <t>RAM-GDS-DOCKT-SAM11U</t>
  </si>
  <si>
    <t>UNPKD RAM GDS TOP CUP SAMSUNG 10.5</t>
  </si>
  <si>
    <t>RAM-GDS-DOCKT-SAM10U</t>
  </si>
  <si>
    <t>UNPKD RAM GDS SHORT TOP CUP FOR INTELLISKIN NEXT GENERATION</t>
  </si>
  <si>
    <t>RAM-GDS-DOCKT-OMT3U</t>
  </si>
  <si>
    <t>UNPKD RAM GDS TOP CUP FOR INTELLISKIN NEXT GENERATION</t>
  </si>
  <si>
    <t>RAM-GDS-DOCKT-OMT1U</t>
  </si>
  <si>
    <t>UNPKD RAM GDS TOP CUP APPLE IPAD AIR 2, PRO 9.7 AND 9.7 5TH/6TH GEN</t>
  </si>
  <si>
    <t>RAM-GDS-DOCKT-AP8U</t>
  </si>
  <si>
    <t>UNPKD RAM GDS TOP CUP APPLE IPAD MINI 4</t>
  </si>
  <si>
    <t>RAM-GDS-DOCKT-AP7U</t>
  </si>
  <si>
    <t>UNPKD RAM GDS TOP CUP APPLE IPAD MINI 2</t>
  </si>
  <si>
    <t>RAM-GDS-DOCKT-AP6U</t>
  </si>
  <si>
    <t>UNPKD RAM GDS TOP CUP APPLE IPAD MINI 4 &amp; 5</t>
  </si>
  <si>
    <t>RAM-GDS-DOCKT-AP27U</t>
  </si>
  <si>
    <t>UNPKD RAM GDS TOP CUP APPLE IPAD PRO 12.9" 3RD GENERATION</t>
  </si>
  <si>
    <t>RAM-GDS-DOCKT-AP24U</t>
  </si>
  <si>
    <t>UNPKD RAM GDS TOP CUP APPLE IPAD PRO 11"</t>
  </si>
  <si>
    <t>RAM-GDS-DOCKT-AP23U</t>
  </si>
  <si>
    <t>UNPKD RAM GDS TOP CUP APPLE IPAD PRO 10.5</t>
  </si>
  <si>
    <t>RAM-GDS-DOCKT-AP16U</t>
  </si>
  <si>
    <t>GDS VEHICLE DOCK POWER OVER ETHERNET FOR SAMSUNG TAB A9+ 11"</t>
  </si>
  <si>
    <t>RAM-GDS-DOCK-SAM88EU</t>
  </si>
  <si>
    <t>GDS VEHICLE DOCK USBC POWER FOR SAMSUNG TAB A9+ 11"</t>
  </si>
  <si>
    <t>RAM-GDS-DOCK-SAM88CPU</t>
  </si>
  <si>
    <t>GDS VEHICLE DOCK USBC POWER + USB-C DATA FOR SAMSUNG TAB A9+ 11"</t>
  </si>
  <si>
    <t>RAM-GDS-DOCK-SAM88CP-CU</t>
  </si>
  <si>
    <t>GDS VEHICLE DOCK USBC POWER + USB-A FOR SAMSUNG TAB A9+ 11"</t>
  </si>
  <si>
    <t>RAM-GDS-DOCK-SAM88CDU</t>
  </si>
  <si>
    <t>GDS VEHICLE DOCK USBC POWER + DUAL USB-A FOR SAMSUNG TAB A9+ 11"</t>
  </si>
  <si>
    <t>RAM-GDS-DOCK-SAM88CD2U</t>
  </si>
  <si>
    <t>GDS VEHICLE USBC HIGH SPEED DOCK FOR SAMSUNG TAB A8 10.5" SM-X200</t>
  </si>
  <si>
    <t>RAM-GDS-DOCK-SAM83CPU</t>
  </si>
  <si>
    <t>UNPKD GDS VEHICLE DOCK USBC AND PERIPHERAL DATA FOR SAMSUNG TAB A8 10.5" SM-X200</t>
  </si>
  <si>
    <t>RAM-GDS-DOCK-SAM83CDU</t>
  </si>
  <si>
    <t>GDS VEHICLE MUSB DOCK FOR SAMSUNG TAB A7 8.7 SM-T220 &amp; SM-T225</t>
  </si>
  <si>
    <t>RAM-GDS-DOCK-SAM80U</t>
  </si>
  <si>
    <t>UNPKD GDS VEHICLE DOCK USBC WITH MULTIPLE MODE FOR SAMSUNG TAB A7 SM-T220 &amp; SM-T225</t>
  </si>
  <si>
    <t>RAM-GDS-DOCK-SAM80-MMU</t>
  </si>
  <si>
    <t>UNPKD GDS VEHICLE DOCK USBC HIGH SPEED FOR SAMSUNG TAB A7 SM-T220 &amp; SM-T225</t>
  </si>
  <si>
    <t>RAM-GDS-DOCK-SAM80CPU</t>
  </si>
  <si>
    <t>UNPKD GDS VEHICLE DOCK USBC AND PERIPHERAL DATA FOR SAMSUNG TAB A7 8.7 SM-T220 &amp; SM-T225</t>
  </si>
  <si>
    <t>RAM-GDS-DOCK-SAM80CDU</t>
  </si>
  <si>
    <t>UNPKD GDS VEHICLE DOCK USBC AND DUAL PERIPHERAL DATA FOR SAMSUNG TAB A7 SM-T220 &amp; SM-T225</t>
  </si>
  <si>
    <t>RAM-GDS-DOCK-SAM80CD2U</t>
  </si>
  <si>
    <t>GDS VEHICLE MUSB DOCK FOR SAMSUNG TAB S7+ 12.4" SM-T970</t>
  </si>
  <si>
    <t>RAM-GDS-DOCK-SAM78U</t>
  </si>
  <si>
    <t>GDS VEHICLE USBC DOCK FOR SAMSUNG TAB S7+ 12.4" SM-T970</t>
  </si>
  <si>
    <t>RAM-GDS-DOCK-SAM78CU</t>
  </si>
  <si>
    <t>GDS VEHICLE USBC HIGH SPEED DOCK FOR SAMSUNG TAB S7+ 12.4" SM-T970</t>
  </si>
  <si>
    <t>RAM-GDS-DOCK-SAM78CPU</t>
  </si>
  <si>
    <t>GDS VEHICLE MUSB DOCK FOR SAMSUNG TAB S7 11.0" SM-T870</t>
  </si>
  <si>
    <t>RAM-GDS-DOCK-SAM76U</t>
  </si>
  <si>
    <t>GDS VEHICLE USBC DOCK FOR SAMSUNG TAB S7 11.0" SM-T870</t>
  </si>
  <si>
    <t>RAM-GDS-DOCK-SAM76CU</t>
  </si>
  <si>
    <t>GDS VEHICLE USBC HIGH SPEED DOCK FOR SAMSUNG TAB S7 11.0" SM-T870</t>
  </si>
  <si>
    <t>RAM-GDS-DOCK-SAM76CPU</t>
  </si>
  <si>
    <t>GDS VEHICLE DOCK MUSB FOR SAMSUNG GALAXY TAB A7 10.4 SM-T500</t>
  </si>
  <si>
    <t>RAM-GDS-DOCK-SAM75U</t>
  </si>
  <si>
    <t>GDS VEHICLE DOCK USBC HIGH SPEED FOR SAMSUNG GALAXY TAB A7 10.4 SM-T500</t>
  </si>
  <si>
    <t>RAM-GDS-DOCK-SAM75CPU</t>
  </si>
  <si>
    <t>GDS VEHICLE MUSB DOCK FOR SAMSUNG TAB A 8.4 SM-T307</t>
  </si>
  <si>
    <t>RAM-GDS-DOCK-SAM67U</t>
  </si>
  <si>
    <t>GDS VEHICLE USBC DOCK FOR SAMSUNG TAB A 8.4 SM-T307</t>
  </si>
  <si>
    <t>RAM-GDS-DOCK-SAM67CU</t>
  </si>
  <si>
    <t>GDS VEHICLE USBC HIGH SPEED DOCK FOR SAMSUNG TAB A 8.4 SM-T307</t>
  </si>
  <si>
    <t>RAM-GDS-DOCK-SAM67CPU</t>
  </si>
  <si>
    <t>GDS VEHICLE USBC HIGH SPEED DOCK FOR SAMSUNG TAB A 8.4 SM-T307 WITHOUT AMCM CABLE</t>
  </si>
  <si>
    <t>RAM-GDS-DOCK-SAM67CP-NCU</t>
  </si>
  <si>
    <t>GDS VEHICLE USBC HIGH SPEED POWER AND DATA DOCK FOR SAMSUNG TAB A 8.4 SM-T307</t>
  </si>
  <si>
    <t>RAM-GDS-DOCK-SAM67CDU</t>
  </si>
  <si>
    <t>GDS VEHICLE DOCK MUSB FOR SAMSUNG TAB A 10.5 SM-T590, T597</t>
  </si>
  <si>
    <t>RAM-GDS-DOCK-SAM66U</t>
  </si>
  <si>
    <t>GDS VEHICLE DOCK USBC FOR SAMSUNG TAB A 10.5 SM-T590, T597</t>
  </si>
  <si>
    <t>RAM-GDS-DOCK-SAM66CU</t>
  </si>
  <si>
    <t>GDS VEHICLE DOCK USBC HIGH SPEED FOR SAMSUNG TAB A 10.5 SM-T590, T597</t>
  </si>
  <si>
    <t>RAM-GDS-DOCK-SAM66CPU</t>
  </si>
  <si>
    <t>GDS VEHICLE DOCK MUSB FOR SAMSUNG TAB A 10.1 SM-T510</t>
  </si>
  <si>
    <t>RAM-GDS-DOCK-SAM65U</t>
  </si>
  <si>
    <t>GDS VEHICLE DOCK USBC FOR SAMSUNG TAB A 10.1 SM-T510</t>
  </si>
  <si>
    <t>RAM-GDS-DOCK-SAM65CU</t>
  </si>
  <si>
    <t>GDS VEHICLE DOCK USBC HIGH SPEED FOR SAMSUNG TAB A 10.1 SM-T510</t>
  </si>
  <si>
    <t>RAM-GDS-DOCK-SAM65CPU</t>
  </si>
  <si>
    <t>GDS VEHICLE DOCK MUSB FOR SAMSUNG TAB A 8.0 2018 SM-T387</t>
  </si>
  <si>
    <t>RAM-GDS-DOCK-SAM63U</t>
  </si>
  <si>
    <t>RAM-GDS-DOCK-SAM63CPU</t>
  </si>
  <si>
    <t>UNPKD GDS VEHICLE DOCK MUSB FOR SAMSUNG TAB ACTIVE2 &amp; TAB ACTIVE3</t>
  </si>
  <si>
    <t>RAM-GDS-DOCK-SAM62U</t>
  </si>
  <si>
    <t>UNPKD GDS VEHICLE DOCK USBC WITH MULTIPLE MODE FOR SAMSUNG TAB ACTIVE2 &amp; TAB ACTIVE3</t>
  </si>
  <si>
    <t>RAM-GDS-DOCK-SAM62-MMU</t>
  </si>
  <si>
    <t>UNPKD GDS VEHICLE DOCK USBC FOR SAMSUNG TAB ACTIVE2 &amp; TAB ACTIVE3</t>
  </si>
  <si>
    <t>RAM-GDS-DOCK-SAM62CU</t>
  </si>
  <si>
    <t>UNPKD GDS VEHICLE DOCK USBC HIGH SPEED FOR SAMSUNG TAB ACTIVE2 &amp; TAB ACTIVE3</t>
  </si>
  <si>
    <t>RAM-GDS-DOCK-SAM62CPU</t>
  </si>
  <si>
    <t>UNPKD GDS VEHICLE DOCK USBC HIGH SPEED FOR SAMSUNG TAB ACTIVE2 &amp; TAB ACTIVE3 WITH NFC</t>
  </si>
  <si>
    <t>RAM-GDS-DOCK-SAM62CP-NFCU</t>
  </si>
  <si>
    <t>UNPKD GDS VEHICLE DOCK USBC AND PERIPHERAL DATA FOR SAMSUNG TAB ACTIVE2 &amp; TAB ACTIVE3</t>
  </si>
  <si>
    <t>RAM-GDS-DOCK-SAM62CDU</t>
  </si>
  <si>
    <t>UNPKD GDS VEHICLE DOCK USBC AND DUAL PERIPHERAL DATA FOR SAMSUNG TAB ACTIVE2 &amp; TAB ACTIVE3</t>
  </si>
  <si>
    <t>RAM-GDS-DOCK-SAM62CD2U</t>
  </si>
  <si>
    <t>UNPKD GDS VEHICLE DOCK USBC AND USB-C FEMALE PERIPHERAL FOR SAMSUNG TAB ACTIVE2 &amp; TAB ACTIVE3</t>
  </si>
  <si>
    <t>RAM-GDS-DOCK-SAM62C-CU</t>
  </si>
  <si>
    <t>UNPKD GDS VEHICLE DOCK USBC WITH USB-C AND USB-A FEMALE PERIPHERAL FOR SAMSUNG TAB ACTIVE2, TAB ACTIVE3 &amp; TAB ACTIVE5</t>
  </si>
  <si>
    <t>RAM-GDS-DOCK-SAM62C-CAU</t>
  </si>
  <si>
    <t>GDS VEHICLE DOCK MUSB FOR SAMSUNG TAB A 8.0 2019 SM-T290, T295</t>
  </si>
  <si>
    <t>RAM-GDS-DOCK-SAM55U</t>
  </si>
  <si>
    <t>GDS VEHICLE DOCK USBC FOR SAMSUNG TAB A 8.0 2019 SM-T290, T295</t>
  </si>
  <si>
    <t>RAM-GDS-DOCK-SAM55CPU</t>
  </si>
  <si>
    <t>GDS VEHICLE USBC HIGH SPEED POWER AND DATA DOCK FOR SAMSUNG TAB A 8.0 2019 SM-T290, T295</t>
  </si>
  <si>
    <t>RAM-GDS-DOCK-SAM55CDU</t>
  </si>
  <si>
    <t>GDS VEHICLE DOCK USBC WITH MULTIPLE MODE FOR SAMSUNG TAB ACTIVE 4 PRO SUPPORTS NFC</t>
  </si>
  <si>
    <t>RAM-GDS-DOCK-SAM54N-MMU</t>
  </si>
  <si>
    <t>GDS VEHICLE DOCK USBC FOR SAMSUNG TAB ACTIVE 4 PRO SUPPORTS NFC</t>
  </si>
  <si>
    <t>RAM-GDS-DOCK-SAM54NCU</t>
  </si>
  <si>
    <t>GDS VEHICLE DOCK HIGH SPEED USBC FOR SAMSUNG TAB ACTIVE 4 PRO SUPPORTS NFC</t>
  </si>
  <si>
    <t>RAM-GDS-DOCK-SAM54NCPU</t>
  </si>
  <si>
    <t>GDS VEHICLE DOCK USBC POWER WITH USBA PERIPHERAL FOR SAMSUNG TAB ACTIVE 4 PRO SUPPORTS NFC</t>
  </si>
  <si>
    <t>RAM-GDS-DOCK-SAM54NCDU</t>
  </si>
  <si>
    <t>UNPKD GDS VEHICLE DOCK USBC AND PERIPHERAL DATA FOR SAMSUNG TAB ACTIVE 4 PRO SUPPORTS NFC</t>
  </si>
  <si>
    <t>RAM-GDS-DOCK-SAM54NCD2U</t>
  </si>
  <si>
    <t>UNPKD GDS VEHICLE DOCK USBC AND USB-C PERIPHERAL DATA FOR SAMSUNG TAB ACTIVE 4 PRO SUPPORTS NFC</t>
  </si>
  <si>
    <t>RAM-GDS-DOCK-SAM54NC-CU</t>
  </si>
  <si>
    <t>GDS POWER DATA NON-LOCKING LATCH VEHICLE DOCK FOR ZEBRA ET40/45 10" TABLETS WITH INTELLISKIN</t>
  </si>
  <si>
    <t>RAM-GDS-DOCKNLL-ZE21PU</t>
  </si>
  <si>
    <t>RAM-GDS-DOCKNLL-ZE21PDU</t>
  </si>
  <si>
    <t>GDS POWER DUAL DATA NON-LOCKING LATCH VEHICLE DOCK FOR ZEBRA ET40/45 10" TABLETS WITH INTELLISKIN</t>
  </si>
  <si>
    <t>RAM-GDS-DOCKNLL-ZE21PD2U</t>
  </si>
  <si>
    <t>GDS POWER ONLY NON-LOCKING LATCH VEHICLE DOCK FOR ZEBRA ET40/45 8" TABLETS WITH INTELLISKIN</t>
  </si>
  <si>
    <t>RAM-GDS-DOCKNLL-ZE20PU</t>
  </si>
  <si>
    <t>GDS POWER DATA NON-LOCKING LATCH VEHICLE DOCK FOR ZEBRA ET40/45 8" TABLETS WITH INTELLISKIN</t>
  </si>
  <si>
    <t>RAM-GDS-DOCKNLL-ZE20PDU</t>
  </si>
  <si>
    <t>GDS POWER DUAL DATA NON-LOCKING LATCH VEHICLE DOCK FOR ZEBRA ET40/45 8" TABLETS WITH INTELLISKIN</t>
  </si>
  <si>
    <t>RAM-GDS-DOCKNLL-ZE20PD2U</t>
  </si>
  <si>
    <t>GDS POWER + DATA + ETHERNET VEHICLE LOCKING DOCK FOR ZEBRA ET40/45 10" TABLET IN INTELLISKIN</t>
  </si>
  <si>
    <t>RAM-GDS-DOCKL-ZE21-RJ45AU</t>
  </si>
  <si>
    <t>GDS VEHICLE LOCKING DOCK FOR ZEBRA ET40/45 10" TABLET IN INTELLISKIN</t>
  </si>
  <si>
    <t>RAM-GDS-DOCKL-ZE21PU</t>
  </si>
  <si>
    <t>GDS POWER + DATA VEHICLE LOCKING DOCK FOR ZEBRA ET40/45 10" TABLET IN INTELLISKIN</t>
  </si>
  <si>
    <t>RAM-GDS-DOCKL-ZE21PDU</t>
  </si>
  <si>
    <t>GDS POWER + DUAL DATA VEHICLE LOCKING DOCK FOR ZEBRA ET40/45 10" TABLET IN INTELLISKIN</t>
  </si>
  <si>
    <t>RAM-GDS-DOCKL-ZE21PD2U</t>
  </si>
  <si>
    <t>GDS POWER + DATA + ETHERNET VEHICLE LOCKING DOCK FOR ZEBRA ET40/45 8" TABLET IN INTELLISKIN</t>
  </si>
  <si>
    <t>RAM-GDS-DOCKL-ZE20-RJ45AU</t>
  </si>
  <si>
    <t>GDS VEHICLE LOCKING DOCK FOR ZEBRA ET40/45 8" TABLET IN INTELLISKIN</t>
  </si>
  <si>
    <t>RAM-GDS-DOCKL-ZE20PU</t>
  </si>
  <si>
    <t>GDS POWER + DATA VEHICLE LOCKING DOCK FOR ZEBRA ET40/45 8" TABLET IN INTELLISKIN</t>
  </si>
  <si>
    <t>RAM-GDS-DOCKL-ZE20PDU</t>
  </si>
  <si>
    <t>GDS POWER + DUAL DATA VEHICLE LOCKING DOCK FOR ZEBRA ET40/45 8" TABLET IN INTELLISKIN</t>
  </si>
  <si>
    <t>RAM-GDS-DOCKL-ZE20PD2U</t>
  </si>
  <si>
    <t>UNPKD RAM VEH GDS MUSB LOCKING DOCK FOR SAMSUNG TAB A 8.0 SM-T290, T295 &amp; 8.4 SM-T307</t>
  </si>
  <si>
    <t>RAM-GDS-DOCKL-V9-SAM67U</t>
  </si>
  <si>
    <t>UNPKD RAM VEH GDS MUSB LOCKING DOCK FOR SAMSUNG TAB A 8.0 SM-T290, T295 &amp; 8.4 SM-T307 NO CABLE, NO BASE</t>
  </si>
  <si>
    <t>RAM-GDS-DOCKL-V9-SAM67-NCU</t>
  </si>
  <si>
    <t>UNPKD RAM VEH GDS TYPE-C LOCKING DOCK FOR SAMSUNG TAB A 8.0 SM-T290, T295 &amp; 8.4 SM-T307</t>
  </si>
  <si>
    <t>RAM-GDS-DOCKL-V9-SAM67CU</t>
  </si>
  <si>
    <t>UNPKD RAM VEH GDS MUSB LOCKING DOCK FOR INTELLISKIN NEXT GENERATION</t>
  </si>
  <si>
    <t>RAM-GDS-DOCKL-V9-OMT2U</t>
  </si>
  <si>
    <t>UNPKD RAM VEH GDS TYPE-C LOCKING DOCK FOR INTELLISKIN NEXT GENERATION</t>
  </si>
  <si>
    <t>RAM-GDS-DOCKL-V9-OMT1U</t>
  </si>
  <si>
    <t>UNPKD VEHICLE GDS MUSB LOCKING DOCK FOR PHONES</t>
  </si>
  <si>
    <t>RAM-GDS-DOCKL-V3U</t>
  </si>
  <si>
    <t>UNPKD VEHICLE GDS LOCKING DOCK FOR PHONES</t>
  </si>
  <si>
    <t>RAM-GDS-DOCKL-V3CU</t>
  </si>
  <si>
    <t>RAM-GDS-DOCKL-V3CPU</t>
  </si>
  <si>
    <t>UNPKD RAM VEH GDS LOCK DOCK TAB 8.4</t>
  </si>
  <si>
    <t>RAM-GDS-DOCKL-V2-SAM9U</t>
  </si>
  <si>
    <t>UNPKD RAM GDS LOCKING VEHICLE DOCK FOR SAMSUNG GALAXY TAB S5e &amp; TAB A 10.1 INTELLISKIN SM-T720, T725, T510 &amp; T515</t>
  </si>
  <si>
    <t>RAM-GDS-DOCKL-V2-SAM49U</t>
  </si>
  <si>
    <t>UNPKD RAM GDS LOCKING VEHICLE DOCK FOR SAMSUNG TAB A 10.5 2018 SM-T590 &amp; SM-T597</t>
  </si>
  <si>
    <t>RAM-GDS-DOCKL-V2-SAM43U</t>
  </si>
  <si>
    <t>UNPKD RAM GDS LOCKING VEHICLE DOCK WITH AUDIO JUMPER CABLE FOR SAMSUNG TAB A 10.5 2018 SM-T590 &amp; SM-T597</t>
  </si>
  <si>
    <t>RAM-GDS-DOCKL-V2-SAM43-AUD1U</t>
  </si>
  <si>
    <t>UNPKD RAM GDS LOCKING VEHICLE DOCK FOR SAMSUNG TAB S4 10.5 SM-T830, SM-T835 AND SM-T837</t>
  </si>
  <si>
    <t>RAM-GDS-DOCKL-V2-SAM41U</t>
  </si>
  <si>
    <t>UNPKD RAM GDS LOCKING VEHICLE DOCK FOR SAMSUNG TAB A 8.0 SM-T387</t>
  </si>
  <si>
    <t>RAM-GDS-DOCKL-V2-SAM40U</t>
  </si>
  <si>
    <t>UNPKD RAM GDS USBC LOCKING VEHICLE DOCK FOR SAMSUNG TAB A 8.0 SM-T387</t>
  </si>
  <si>
    <t>RAM-GDS-DOCKL-V2-SAM40CU</t>
  </si>
  <si>
    <t>UNPKD RAM GDS USBC LOCKING VEHICLE DOCK WITH AUDIO JUMPER CABLE FOR SAMSUNG TAB A 8.0 SM-T387</t>
  </si>
  <si>
    <t>RAM-GDS-DOCKL-V2-SAM40C-AUD1U</t>
  </si>
  <si>
    <t>UNPKD RAM GDS LOCKING VEHICLE DOCK WITH AUDIO JUMPER CABLE FOR SAMSUNG TAB A 8.0 SM-T387</t>
  </si>
  <si>
    <t>RAM-GDS-DOCKL-V2-SAM40-AUD1U</t>
  </si>
  <si>
    <t>UNPKD RAM GDS LOCKING VEHICLE DOCK FOR SAMSUNG TAB A 8.0 (2017)</t>
  </si>
  <si>
    <t>RAM-GDS-DOCKL-V2-SAM35U</t>
  </si>
  <si>
    <t>UNPKD RAM GDS LOCKING VEHICLE DOCK WITH AUDIO JUMPER CABLE FOR SAMSUNG TAB A 8.0 (2017)</t>
  </si>
  <si>
    <t>RAM-GDS-DOCKL-V2-SAM35-AUD1U</t>
  </si>
  <si>
    <t>UNPKD RAM VEH GDS LOCK DOCK TAB ACTIVE 2</t>
  </si>
  <si>
    <t>RAM-GDS-DOCKL-V2-SAM29U</t>
  </si>
  <si>
    <t>UNPKD RAM TYPE C VEH GDS LOCK DOCK TAB ACTIVE 2</t>
  </si>
  <si>
    <t>RAM-GDS-DOCKL-V2-SAM29CU</t>
  </si>
  <si>
    <t>UNPKD MUSB LOCKING GDS DOCK TAB S3 9.7</t>
  </si>
  <si>
    <t>RAM-GDS-DOCKL-V2-SAM27U</t>
  </si>
  <si>
    <t>UNPKD RAM VEH GDS LOCK SAMSUNG TAB A 7.0</t>
  </si>
  <si>
    <t>RAM-GDS-DOCKL-V2-SAM24U</t>
  </si>
  <si>
    <t>UNPKD RAM VEH GDS LOCK TAB A 10.1</t>
  </si>
  <si>
    <t>RAM-GDS-DOCKL-V2-SAM23U</t>
  </si>
  <si>
    <t>UNPKD RAM VEH GDS LOCK SAMSUNG TAB E 8.0</t>
  </si>
  <si>
    <t>RAM-GDS-DOCKL-V2-SAM21U</t>
  </si>
  <si>
    <t>UNPKD RAM VEH GDS LOCK SAMSUNG TAB E 9.6</t>
  </si>
  <si>
    <t>RAM-GDS-DOCKL-V2-SAM20U</t>
  </si>
  <si>
    <t>UNPKD RAM VEH GDS LOCK DOCK S2 9.7</t>
  </si>
  <si>
    <t>RAM-GDS-DOCKL-V2-SAM19U</t>
  </si>
  <si>
    <t>UNPKD RAM VEH GDS LOCK DOCK S2 8.0"</t>
  </si>
  <si>
    <t>RAM-GDS-DOCKL-V2-SAM18U</t>
  </si>
  <si>
    <t>UNPKD RAM VEH GDS LOCK DOCK TAB ACTIVE 8</t>
  </si>
  <si>
    <t>RAM-GDS-DOCKL-V2-SAM17U</t>
  </si>
  <si>
    <t>UNPKD RAM VEH GDS LOCK DOCK TAB A 8.0</t>
  </si>
  <si>
    <t>RAM-GDS-DOCKL-V2-SAM16U</t>
  </si>
  <si>
    <t>UNPKD RAM VEH GDS LOCK DOCK TAB A 9.7</t>
  </si>
  <si>
    <t>RAM-GDS-DOCKL-V2-SAM15U</t>
  </si>
  <si>
    <t>UNPKD RAM VEH GDS LOCK DOCK TAB 4 10.1</t>
  </si>
  <si>
    <t>RAM-GDS-DOCKL-V2-SAM13U</t>
  </si>
  <si>
    <t>UNPKD RAM VEH GDS LOCK SAMSUNG TAB 4 8.0</t>
  </si>
  <si>
    <t>RAM-GDS-DOCKL-V2-SAM12U</t>
  </si>
  <si>
    <t>UNPKD RAM VEH GDS LOCK DOCK TAB 4 7</t>
  </si>
  <si>
    <t>RAM-GDS-DOCKL-V2-SAM11U</t>
  </si>
  <si>
    <t>UNPKD RAM VEH GDS LOCK DOCK TAB 10.5</t>
  </si>
  <si>
    <t>RAM-GDS-DOCKL-V2-SAM10U</t>
  </si>
  <si>
    <t>UNPKD RAM VEH GDS LOCK LG G Pad F 8.0</t>
  </si>
  <si>
    <t>RAM-GDS-DOCKL-V2-LG2U</t>
  </si>
  <si>
    <t>UNPKD RAM VEH GDS LOCK APPLE IPAD AIR 2, PRO 9.7 AND 9.7 5TH/6TH GEN</t>
  </si>
  <si>
    <t>RAM-GDS-DOCKL-V2-AP8U</t>
  </si>
  <si>
    <t>UNPKD RAM VEH GDS LOCK APPLE IPAD MINI 4</t>
  </si>
  <si>
    <t>RAM-GDS-DOCKL-V2-AP7U</t>
  </si>
  <si>
    <t>UNPKD RAM VEH GDS LOCK APPLE IPAD MINI 3</t>
  </si>
  <si>
    <t>RAM-GDS-DOCKL-V2-AP2U</t>
  </si>
  <si>
    <t>UNPKD RAM VEH GDS LOCK APPLE IPAD MINI 4 &amp; 5</t>
  </si>
  <si>
    <t>RAM-GDS-DOCKL-V2-AP27U</t>
  </si>
  <si>
    <t>UNPKD RAM GDS USBC LOCKING VEHICLE DOCK FOR APPLE IPAD MINI 4 &amp; 5</t>
  </si>
  <si>
    <t>RAM-GDS-DOCKL-V2-AP27CU</t>
  </si>
  <si>
    <t>UNPKD RAM VEH GDS LOCK APPLE IPAD PRO 12.9" 3RD GENERATION</t>
  </si>
  <si>
    <t>RAM-GDS-DOCKL-V2-AP24U</t>
  </si>
  <si>
    <t>RAM-GDS-DOCKL-V2-AP24CPU</t>
  </si>
  <si>
    <t>UNPKD RAM VEH GDS LOCK APPLE IPAD PRO 11"</t>
  </si>
  <si>
    <t>RAM-GDS-DOCKL-V2-AP23U</t>
  </si>
  <si>
    <t>RAM-GDS-DOCKL-V2-AP23CPU</t>
  </si>
  <si>
    <t>UNPKD RAM VEH GDS LOCK IPAD PRO 10.5</t>
  </si>
  <si>
    <t>RAM-GDS-DOCKL-V2-AP16U</t>
  </si>
  <si>
    <t>GDS LOCKING VEHICLE USBC DOCK FOR ZEBRA TC73/78 IN INTELLISKIN 8 PIN</t>
  </si>
  <si>
    <t>RAM-GDS-DOCKL-V12-ZE35CPU</t>
  </si>
  <si>
    <t>GDS VEHICLE USBC DOCK FOR ZEBRA TC73/78 IN INTELLISKIN 8 PIN LOCKING WITH PERIPHERAL</t>
  </si>
  <si>
    <t>RAM-GDS-DOCKL-V12-ZE35CPDU</t>
  </si>
  <si>
    <t>GDS VEHICLE USBC DOCK FOR ZEBRA TC73/78 IN INTELLISKIN 8 PIN LOCKING WITH PERIPHERAL AND HEAT</t>
  </si>
  <si>
    <t>RAM-GDS-DOCKL-V12-ZE35CPDHU</t>
  </si>
  <si>
    <t>GDS LOCKING VEHICLE USBC DOCK FOR ZEBRA TC22/27/53/58 IN INTELLISKIN 8 PIN</t>
  </si>
  <si>
    <t>RAM-GDS-DOCKL-V12-ZE2434CPU</t>
  </si>
  <si>
    <t>GDS VEHICLE USBC DOCK FOR ZEBRA TC22/27/53/58 IN INTELLISKIN 8 PIN LOCKING WITH PERIPHERAL</t>
  </si>
  <si>
    <t>RAM-GDS-DOCKL-V12-ZE2434CPDU</t>
  </si>
  <si>
    <t>GDS VEHICLE USBC DOCK FOR ZEBRA TC22/27/53/58 IN INTELLISKIN 8 PIN LOCKING WITH PERIPHERAL AND HEAT</t>
  </si>
  <si>
    <t>RAM-GDS-DOCKL-V12-ZE2434CPDHU</t>
  </si>
  <si>
    <t>GDS LOCKING VEHICLE USBC DOCK FOR ZEBRA EC50/55 IN INTELLISKIN 8 PIN</t>
  </si>
  <si>
    <t>RAM-GDS-DOCKL-V12-ZE16CPU</t>
  </si>
  <si>
    <t>GDS VEHICLE USBC DOCK FOR ZEBRA EC50/55 IN INTELLISKIN 8 PIN LOCKING WITH PERIPHERAL</t>
  </si>
  <si>
    <t>RAM-GDS-DOCKL-V12-ZE16CPDU</t>
  </si>
  <si>
    <t>GDS VEHICLE USBC DOCK FOR ZEBRA EC50/55 IN INTELLISKIN 8 PIN LOCKING WITH PERIPHERAL AND HEAT</t>
  </si>
  <si>
    <t>RAM-GDS-DOCKL-V12-ZE16CPDHU</t>
  </si>
  <si>
    <t xml:space="preserve">GDS VEHICLE USBC DOCK POWER ONLY, LOCKING, LOW PROFILE DOCK FOR OCTAGON BUTTON </t>
  </si>
  <si>
    <t>RAM-GDS-DOCKL-V12-U1CPU</t>
  </si>
  <si>
    <t xml:space="preserve">GDS VEHICLE USBC DOCK POWER WITH HEATED POGO PINS, LOCKING, LOW PROFILE DOCK FOR OCTAGON BUTTON </t>
  </si>
  <si>
    <t>RAM-GDS-DOCKL-V12-U1CPHU</t>
  </si>
  <si>
    <t xml:space="preserve">GDS VEHICLE USBC DOCK POWER + USB-A DATA, LOCKING, LOW PROFILE DOCK FOR OCTAGON BUTTON </t>
  </si>
  <si>
    <t>RAM-GDS-DOCKL-V12-U1CPDU</t>
  </si>
  <si>
    <t xml:space="preserve">GDS VEHICLE USBC DOCK POWER WITH HEATED POGO PINS + USB-A DATA , LOCKING, LOW PROFILE DOCK FOR OCTAGON BUTTON </t>
  </si>
  <si>
    <t>RAM-GDS-DOCKL-V12-U1CPDHU</t>
  </si>
  <si>
    <t xml:space="preserve">GDS VEHICLE USBC DOCK POWER + USB-C DATA , LOCKING, LOW PROFILE DOCK FOR OCTAGON BUTTON </t>
  </si>
  <si>
    <t>RAM-GDS-DOCKL-V12-U1CP-CU</t>
  </si>
  <si>
    <t>GDS VEHICLE LOCKING DOCK USBC HIGH SPEED FOR SAMSUNG TAB A 8.4 SM-T307</t>
  </si>
  <si>
    <t>RAM-GDS-DOCKL-V10-SAM67CPU</t>
  </si>
  <si>
    <t>UNPKD RAM VEH GDS HIGH SPEED TYPE-C LOCKING DOCK FOR INTELLISKIN NEXT GENERATION WITH SHORT TOP CUP</t>
  </si>
  <si>
    <t>RAM-GDS-DOCKL-V10-OMT3U</t>
  </si>
  <si>
    <t>UNPKD RAM VEH GDS HIGH SPEED TYPE-C LOCKING DOCK FOR INTELLISKIN NEXT GENERATION WITH SHORT TOP CUP POWER + SINGLE USB</t>
  </si>
  <si>
    <t>RAM-GDS-DOCKL-V10-OMT3CDU</t>
  </si>
  <si>
    <t>UNPKD RAM VEH GDS HIGH SPEED TYPE-C LOCKING DOCK FOR INTELLISKIN NEXT GENERATION WITH SHORT TOP CUP POWER + DUAL USB</t>
  </si>
  <si>
    <t>RAM-GDS-DOCKL-V10-OMT3CD2U</t>
  </si>
  <si>
    <t>UNPKD RAM VEH GDS HIGH SPEED TYPE-C LOCKING DOCK FOR INTELLISKIN NEXT GENERATION</t>
  </si>
  <si>
    <t>RAM-GDS-DOCKL-V10-OMT1U</t>
  </si>
  <si>
    <t>GDS LOCKING VEHICLE DOCK USBC POWER FOR SAMSUNG TAB A9+ 11"</t>
  </si>
  <si>
    <t>RAM-GDS-DOCKL-SAM88CPU</t>
  </si>
  <si>
    <t>GDS LOCKING VEHICLE DOCK USBC POWER + USB-A DATA FOR SAMSUNG TAB A9+ 11"</t>
  </si>
  <si>
    <t>RAM-GDS-DOCKL-SAM88CDU</t>
  </si>
  <si>
    <t>GDS LOCKING VEHICLE DOCK USBC POWER + DUAL USB-A DATA FOR SAMSUNG TAB A9+ 11"</t>
  </si>
  <si>
    <t>RAM-GDS-DOCKL-SAM88CD2U</t>
  </si>
  <si>
    <t>GDS VEHICLE LOCKING DOCK USBC HIGH SPEED FOR SAMSUNG TAB A8 10.5" SM-X200</t>
  </si>
  <si>
    <t>RAM-GDS-DOCKL-SAM83CPU</t>
  </si>
  <si>
    <t>UNPKD GDS VEHICLE LOCKING DOCK USBC AND PERIPHERAL DATA FOR SAMSUNG TAB A8 10.5" SM-X200</t>
  </si>
  <si>
    <t>RAM-GDS-DOCKL-SAM83CDU</t>
  </si>
  <si>
    <t>GDS VEHICLE LOCKING DOCK MUSB FOR SAMSUNG TAB A7 8.7 SM-T220 &amp; SM-T225</t>
  </si>
  <si>
    <t>RAM-GDS-DOCKL-SAM80U</t>
  </si>
  <si>
    <t>UNPKD GDS VEHICLE LOCKING DOCK USBC HIGH SPEED FOR SAMSUNG TAB A7 8.7 SM-T220 &amp; SM-T225</t>
  </si>
  <si>
    <t>RAM-GDS-DOCKL-SAM80CPU</t>
  </si>
  <si>
    <t>UNPKD GDS VEHICLE LOCKING DOCK USBC AND PERIPHERAL DATA FOR SAMSUNG TAB A7 8.7 SM-T220 &amp; SM-T225</t>
  </si>
  <si>
    <t>RAM-GDS-DOCKL-SAM80CDU</t>
  </si>
  <si>
    <t>UNPKD GDS VEHICLE LOCKING DOCK USBC AND DUAL PERIPHERAL DATA FOR SAMSUNG TAB A7 8.7 SM-T220 &amp; SM-T225</t>
  </si>
  <si>
    <t>RAM-GDS-DOCKL-SAM80CD2U</t>
  </si>
  <si>
    <t>GDS VEHICLE LOCKING DOCK MUSB FOR SAMSUNG TAB S7+ 12.4" SM-T970</t>
  </si>
  <si>
    <t>RAM-GDS-DOCKL-SAM78U</t>
  </si>
  <si>
    <t>GDS VEHICLE LOCKING DOCK USBC FOR SAMSUNG TAB S7+ 12.4" SM-T970</t>
  </si>
  <si>
    <t>RAM-GDS-DOCKL-SAM78CU</t>
  </si>
  <si>
    <t>GDS VEHICLE LOCKING DOCK USBC HIGH SPEED FOR SAMSUNG TAB S7+ 12.4" SM-T970</t>
  </si>
  <si>
    <t>RAM-GDS-DOCKL-SAM78CPU</t>
  </si>
  <si>
    <t>GDS VEHICLE LOCKING DOCK MUSB FOR SAMSUNG TAB S7 11.0" SM-T870</t>
  </si>
  <si>
    <t>RAM-GDS-DOCKL-SAM76U</t>
  </si>
  <si>
    <t>GDS VEHICLE LOCKING DOCK USBC FOR SAMSUNG TAB S7 11.0" SM-T870</t>
  </si>
  <si>
    <t>RAM-GDS-DOCKL-SAM76CU</t>
  </si>
  <si>
    <t>GDS VEHICLE LOCKING DOCK USBC HIGH SPEED FOR SAMSUNG TAB S7 11.0" SM-T870</t>
  </si>
  <si>
    <t>RAM-GDS-DOCKL-SAM76CPU</t>
  </si>
  <si>
    <t>GDS VEHICLE LOCKING DOCK MUSB FOR SAMSUNG GALAXY TAB A7 10.4 SM-T500</t>
  </si>
  <si>
    <t>RAM-GDS-DOCKL-SAM75U</t>
  </si>
  <si>
    <t>GDS VEHICLE LOCKING DOCK USBC HIGH SPEED FOR SAMSUNG GALAXY TAB A7 10.4 SM-T500</t>
  </si>
  <si>
    <t>RAM-GDS-DOCKL-SAM75CPU</t>
  </si>
  <si>
    <t>GDS VEHICLE LOCKING DOCK MUSB FOR SAMSUNG TAB A 8.4 SM-T307</t>
  </si>
  <si>
    <t>RAM-GDS-DOCKL-SAM67U</t>
  </si>
  <si>
    <t>GDS VEHICLE LOCKING DOCK USBC FOR SAMSUNG TAB A 8.4 SM-T307</t>
  </si>
  <si>
    <t>RAM-GDS-DOCKL-SAM67CU</t>
  </si>
  <si>
    <t>RAM-GDS-DOCKL-SAM67CPU</t>
  </si>
  <si>
    <t>GDS VEHICLE LOCKING DOCK MUSB FOR SAMSUNG TAB A 10.5 SM-T590, T597</t>
  </si>
  <si>
    <t>RAM-GDS-DOCKL-SAM66U</t>
  </si>
  <si>
    <t>GDS VEHICLE LOCKING DOCK USBC FOR SAMSUNG TAB A 10.5 SM-T590, T597</t>
  </si>
  <si>
    <t>RAM-GDS-DOCKL-SAM66CU</t>
  </si>
  <si>
    <t>GDS VEHICLE LOCKING DOCK USBC HIGH SPEED FOR SAMSUNG TAB A 10.5 SM-T590, T597</t>
  </si>
  <si>
    <t>RAM-GDS-DOCKL-SAM66CPU</t>
  </si>
  <si>
    <t>GDS VEHICLE LOCKING DOCK MUSB FOR SAMSUNG TAB A 10.1 SM-T510</t>
  </si>
  <si>
    <t>RAM-GDS-DOCKL-SAM65U</t>
  </si>
  <si>
    <t>GDS VEHICLE LOCKING DOCK USBC FOR SAMSUNG TAB A 10.1 SM-T510</t>
  </si>
  <si>
    <t>RAM-GDS-DOCKL-SAM65CU</t>
  </si>
  <si>
    <t>GDS VEHICLE LOCKING DOCK USBC HIGH SPEED FOR SAMSUNG TAB A 10.1 SM-T510</t>
  </si>
  <si>
    <t>RAM-GDS-DOCKL-SAM65CPU</t>
  </si>
  <si>
    <t>GDS VEHICLE LOCKING DOCK MUSB FOR SAMSUNG TAB A 8.0 2018 SM-T387</t>
  </si>
  <si>
    <t>RAM-GDS-DOCKL-SAM63U</t>
  </si>
  <si>
    <t>GDS VEHICLE LOCKING DOCK USBC FOR SAMSUNG TAB A 8.0 2018 SM-T387</t>
  </si>
  <si>
    <t>RAM-GDS-DOCKL-SAM63CPU</t>
  </si>
  <si>
    <t>UNPKD GDS VEHICLE LOCKING DOCK MUSB FOR SAMSUNG TAB ACTIVE2 &amp; TAB ACTIVE3</t>
  </si>
  <si>
    <t>RAM-GDS-DOCKL-SAM62U</t>
  </si>
  <si>
    <t>UNPKD GDS VEHICLE LOCKING DOCK USBC FOR SAMSUNG TAB ACTIVE2 &amp; TAB ACTIVE3</t>
  </si>
  <si>
    <t>RAM-GDS-DOCKL-SAM62CU</t>
  </si>
  <si>
    <t>UNPKD GDS VEHICLE LOCKING DOCK USBC HIGH SPEED FOR SAMSUNG TAB ACTIVE2 &amp; TAB ACTIVE3</t>
  </si>
  <si>
    <t>RAM-GDS-DOCKL-SAM62CPU</t>
  </si>
  <si>
    <t>UNPKD GDS LOCKING VEHICLE DOCK USBC HIGH SPEED FOR SAMSUNG TAB ACTIVE2 &amp; TAB ACTIVE3 WITH NFC</t>
  </si>
  <si>
    <t>RAM-GDS-DOCKL-SAM62CP-NFCU</t>
  </si>
  <si>
    <t>UNPKD GDS VEHICLE LOCKING DOCK USBC AND PERIPHERAL DATA FOR SAMSUNG TAB ACTIVE2 &amp; TAB ACTIVE3</t>
  </si>
  <si>
    <t>RAM-GDS-DOCKL-SAM62CDU</t>
  </si>
  <si>
    <t>UNPKD GDS VEHICLE LOCKING DOCK USBC AND DUAL PERIPHERAL DATA FOR SAMSUNG TAB ACTIVE2 &amp; TAB ACTIVE3</t>
  </si>
  <si>
    <t>RAM-GDS-DOCKL-SAM62CD2U</t>
  </si>
  <si>
    <t>GDS VEHICLE LOCKING DOCK MUSB FOR SAMSUNG TAB A 8.0 2019 SM-T290, T295</t>
  </si>
  <si>
    <t>RAM-GDS-DOCKL-SAM55U</t>
  </si>
  <si>
    <t>GDS VEHICLE LOCKING DOCK USBC FOR SAMSUNG TAB A 8.0 2019 SM-T290, T295</t>
  </si>
  <si>
    <t>RAM-GDS-DOCKL-SAM55CPU</t>
  </si>
  <si>
    <t>GDS VEHICLE LOCKING DOCK USBC FOR SAMSUNG TAB ACTIVE 4 PRO SUPPORTS NFC</t>
  </si>
  <si>
    <t>RAM-GDS-DOCKL-SAM54NCU</t>
  </si>
  <si>
    <t>GDS VEHICLE LOCKING DOCK USBC HIGH SPEED FOR SAMSUNG TAB ACTIVE 4 PRO SUPPORTS NFC</t>
  </si>
  <si>
    <t>RAM-GDS-DOCKL-SAM54NCPU</t>
  </si>
  <si>
    <t>UNPKD GDS VEHICLE LOCKING DOCK USBC AND PERIPHERAL DATA FOR SAMSUNG TAB ACTIVE 4 PRO WITH NFC</t>
  </si>
  <si>
    <t>RAM-GDS-DOCKL-SAM54NCD2U</t>
  </si>
  <si>
    <t>RAM GDS RIGHT LOCKING SNAP IN VEHICLE DOCK WITH 8 POGO PINS FOR POWERED OCTAGON BUTTON WITH USB-C</t>
  </si>
  <si>
    <t>RAM-GDS-DOCKLR-U3CPU</t>
  </si>
  <si>
    <t>GDS UNI-CONN POWERED SNAP IN VEHICLE DOCK WITH RIGHT HAND LOCK</t>
  </si>
  <si>
    <t>RAM-GDS-DOCKLR-U1CPU</t>
  </si>
  <si>
    <t>GDS UNI-CONN POWER + USB-A + RJ45 DATA SNAP IN VEHICLE DOCK WITH RIGHT HAND LOCK</t>
  </si>
  <si>
    <t>RAM-GDS-DOCKLR-U1CP-RJ45AU</t>
  </si>
  <si>
    <t>GDS UNI-CONN POWER + USB-C DATA SNAP IN VEHICLE DOCK WITH RIGHT HAND LOCK</t>
  </si>
  <si>
    <t>RAM-GDS-DOCKLR-U1CP-CU</t>
  </si>
  <si>
    <t>GDS UNI-CONN POWER + USB-A DATA SNAP IN VEHICLE DOCK WITH RIGHT HAND LOCK</t>
  </si>
  <si>
    <t>RAM-GDS-DOCKLR-U1CDU</t>
  </si>
  <si>
    <t>GDS UNI-CONN POWER + DUAL USB-A DATA SNAP IN VEHICLE DOCK WITH RIGHT HAND LOCK</t>
  </si>
  <si>
    <t>RAM-GDS-DOCKLR-U1CD2U</t>
  </si>
  <si>
    <t>RAM GDS LEFT LOCKING SNAP IN VEHICLE DOCK WITH 8 POGO PINS FOR POWERED OCTAGON BUTTON WITH USB-C</t>
  </si>
  <si>
    <t>RAM-GDS-DOCKLL-U3CPU</t>
  </si>
  <si>
    <t>GDS UNI-CONN POWERED SNAP IN VEHICLE DOCK WITH LEFT HAND LOCK</t>
  </si>
  <si>
    <t>RAM-GDS-DOCKLL-U1CPU</t>
  </si>
  <si>
    <t>GDS UNI-CONN POWER + USB-A + RJ45 DATA SNAP IN VEHICLE DOCK WITH LEFT HAND LOCK</t>
  </si>
  <si>
    <t>RAM-GDS-DOCKLL-U1CP-RJ45AU</t>
  </si>
  <si>
    <t>GDS UNI-CONN POWER + USB-C DATA SNAP IN VEHICLE DOCK WITH LEFT HAND LOCK</t>
  </si>
  <si>
    <t>RAM-GDS-DOCKLL-U1CP-CU</t>
  </si>
  <si>
    <t>GDS UNI-CONN POWER + USB-A DATA SNAP IN VEHICLE DOCK WITH LEFT HAND LOCK</t>
  </si>
  <si>
    <t>RAM-GDS-DOCKLL-U1CDU</t>
  </si>
  <si>
    <t>GDS UNI-CONN POWER + DUAL USB-A DATA SNAP IN VEHICLE DOCK WITH LEFT HAND LOCK</t>
  </si>
  <si>
    <t>RAM-GDS-DOCKLL-U1CD2U</t>
  </si>
  <si>
    <t>UNPKD GDS TOUGH DOCK LOCKING TOP ASSEMBLY</t>
  </si>
  <si>
    <t>RAM-GDS-DOCKLHU</t>
  </si>
  <si>
    <t>UNPKD GDS VEHICLE LOCKING DOCK USBC AND DUAL PERIPHERAL DATA FOR APPLE IPAD AIR 4 AND IPAD PRO 11 TEMP RIGHT COMP</t>
  </si>
  <si>
    <t>RAM-GDS-DOCKL-H-AP32CD2U</t>
  </si>
  <si>
    <t>UNPKD GDS TOUGH DOCK LOCKING TOP ASSEMBLY V2</t>
  </si>
  <si>
    <t>RAM-GDS-DOCKLH2U</t>
  </si>
  <si>
    <t>GDS VEHICLE LOCKING DOCK MUSB W/ FAN FOR SAMSUNG TAB S7+ 12.4" SM-T970</t>
  </si>
  <si>
    <t>RAM-GDS-DOCKLF-SAM78U</t>
  </si>
  <si>
    <t>GDS VEHICLE LOCKING DOCK USBC W/ FAN FOR SAMSUNG TAB S7+ 12.4" SM-T970</t>
  </si>
  <si>
    <t>RAM-GDS-DOCKLF-SAM78CU</t>
  </si>
  <si>
    <t>GDS VEHICLE LOCKING DOCK USBC HIGH SPEED W/ FAN FOR SAMSUNG TAB S7+ 12.4" SM-T970</t>
  </si>
  <si>
    <t>RAM-GDS-DOCKLF-SAM78CPU</t>
  </si>
  <si>
    <t>GDS VEHICLE LOCKING DOCK MUSB W/ FAN FOR SAMSUNG TAB S7 11.0" SM-T870</t>
  </si>
  <si>
    <t>RAM-GDS-DOCKLF-SAM76U</t>
  </si>
  <si>
    <t>qGDS VEHICLE LOCKING DOCK USBC W/ FAN FOR SAMSUNG TAB S7 11.0" SM-T870</t>
  </si>
  <si>
    <t>RAM-GDS-DOCKLF-SAM76CU</t>
  </si>
  <si>
    <t>GDS VEHICLE LOCKING DOCK USBC HIGH SPEED W/ FAN FOR SAMSUNG TAB S7 11.0" SM-T870</t>
  </si>
  <si>
    <t>RAM-GDS-DOCKLF-SAM76CPU</t>
  </si>
  <si>
    <t>GDS VEHICLE LOCKING DOCK MUSB W/ FAN FOR SAMSUNG GALAXY TAB A7 10.4 SM-T500</t>
  </si>
  <si>
    <t>RAM-GDS-DOCKLF-SAM75U</t>
  </si>
  <si>
    <t>GDS VEHICLE LOCKING DOCK USBC HIGH SPEEDW/ FAN FOR SAMSUNG GALAXY TAB A7 10.4 SM-T500</t>
  </si>
  <si>
    <t>RAM-GDS-DOCKLF-SAM75CPU</t>
  </si>
  <si>
    <t>GDS VEHICLE LOCKING DOCK MUSB W/ FAN FOR SAMSUNG TAB A 8.4 SM-T307</t>
  </si>
  <si>
    <t>RAM-GDS-DOCKLF-SAM67U</t>
  </si>
  <si>
    <t>GDS VEHICLE LOCKING DOCK USBC W/ FAN FOR SAMSUNG TAB A 8.4 SM-T307</t>
  </si>
  <si>
    <t>RAM-GDS-DOCKLF-SAM67CU</t>
  </si>
  <si>
    <t>GDS VEHICLE LOCKING DOCK USBC HIGH SPEED W/ FAN FOR SAMSUNG TAB A 8.4 SM-T307</t>
  </si>
  <si>
    <t>RAM-GDS-DOCKLF-SAM67CPU</t>
  </si>
  <si>
    <t>GDS VEHICLE LOCKING DOCK USBC W/ FAN FOR SAMSUNG TAB A 10.5 SM-T590, T597</t>
  </si>
  <si>
    <t>RAM-GDS-DOCKLF-SAM66CU</t>
  </si>
  <si>
    <t>GDS VEHICLE LOCKING DOCK USBC HIGH SPEED W/ FAN FOR SAMSUNG TAB A 10.5 SM-T590, T597</t>
  </si>
  <si>
    <t>RAM-GDS-DOCKLF-SAM66CPU</t>
  </si>
  <si>
    <t>GDS VEHICLE LOCKING DOCK USBC W/ FAN FOR SAMSUNG TAB A 10.1 SM-T510</t>
  </si>
  <si>
    <t>RAM-GDS-DOCKLF-SAM65CU</t>
  </si>
  <si>
    <t>GDS VEHICLE LOCKING DOCK USBC HIGH SPEED W/ FAN FOR SAMSUNG TAB A 10.1 SM-T510</t>
  </si>
  <si>
    <t>RAM-GDS-DOCKLF-SAM65CPU</t>
  </si>
  <si>
    <t>UNPKD GDS VEHICLE LOCKING DOCK MUSB W/ FAN FOR SAMSUNG TAB ACTIVE2 &amp; TAB ACTIVE3</t>
  </si>
  <si>
    <t>RAM-GDS-DOCKLF-SAM62U</t>
  </si>
  <si>
    <t>UNPKD GDS VEHICLE LOCKING DOCK USBC W/ FAN FOR SAMSUNG TAB ACTIVE2 &amp; TAB ACTIVE3</t>
  </si>
  <si>
    <t>RAM-GDS-DOCKLF-SAM62CU</t>
  </si>
  <si>
    <t>UNPKD GDS VEHICLE LOCKING DOCK USBC HIGH SPEED W/ FAN FOR SAMSUNG TAB ACTIVE2 &amp; TAB ACTIVE3</t>
  </si>
  <si>
    <t>RAM-GDS-DOCKLF-SAM62CPU</t>
  </si>
  <si>
    <t>UNPKD GDS VEHICLE LOCKING DOCK W/ FAN USBC AND PERIPHERAL DATA FOR SAMSUNG TAB ACTIVE2 &amp; TAB ACTIVE3</t>
  </si>
  <si>
    <t>RAM-GDS-DOCKLF-SAM62CDU</t>
  </si>
  <si>
    <t>UNPKD GDS VEHICLE LOCKING DOCK W/ FAN USBC AND DUAL PERIPHERAL DATA FOR SAMSUNG TAB ACTIVE2 &amp; TAB ACTIVE3</t>
  </si>
  <si>
    <t>RAM-GDS-DOCKLF-SAM62CD2U</t>
  </si>
  <si>
    <t>GDS VEHICLE LOCKING DOCK USBC W/ FAN FOR SAMSUNG TAB ACTIVE 4 PRO SUPPORTS NFC</t>
  </si>
  <si>
    <t>RAM-GDS-DOCKLF-SAM54NCU</t>
  </si>
  <si>
    <t>GDS VEHICLE LOCKING DOCK USBC HIGH SPEED W/ FAN FOR SAMSUNG TAB ACTIVE 4 PRO SUPPORTS NFC</t>
  </si>
  <si>
    <t>RAM-GDS-DOCKLF-SAM54NCPU</t>
  </si>
  <si>
    <t>GDS VEHICLE LOCKING DOCK USBC W/ FAN FOR INTELLISKIN NG FOR APPLE IPAD PRO 12.9" 5TH GEN</t>
  </si>
  <si>
    <t>RAM-GDS-DOCKLF-AP37CPU</t>
  </si>
  <si>
    <t>GDS VEHICLE LOCKING DOCK MUSB W/ FAN FOR INTELLISKIN NG FOR APPLE IPAD 11" 1ST - 4TH &amp; 10TH GEN &amp; AIR 4TH GEN</t>
  </si>
  <si>
    <t>RAM-GDS-DOCKLF-AP32U</t>
  </si>
  <si>
    <t>GDS VEHICLE LOCKING DOCK USBC W/ FAN FOR INTELLISKIN NG FOR APPLE IPAD 11" 1ST - 4TH &amp; 10TH GEN &amp; AIR 4TH GEN</t>
  </si>
  <si>
    <t>RAM-GDS-DOCKLF-AP32CU</t>
  </si>
  <si>
    <t>GDS VEHICLE LOCKING DOCK USBC HIGH SPEED W/ FAN FOR INTELLISKIN NG FOR APPLE IPAD 11" 1ST - 4TH &amp; 10TH &amp; AIR 4TH GEN</t>
  </si>
  <si>
    <t>RAM-GDS-DOCKLF-AP32CPU</t>
  </si>
  <si>
    <t>GDS VEHICLE LOCKING DOCK USBC FOR INTELLISKIN NG FOR INTELLISKIN NG FOR APPLE IPAD PRO 12.9" 5TH GEN</t>
  </si>
  <si>
    <t>RAM-GDS-DOCKL-AP37CPU</t>
  </si>
  <si>
    <t xml:space="preserve">GDS VEHICLE LOCKING DOCK MUSB FOR INTELLISKIN NG FOR APPLE IPAD 11" 1ST - 4TH &amp; 10TH GEN &amp; AIR 4TH GEN </t>
  </si>
  <si>
    <t>RAM-GDS-DOCKL-AP32U</t>
  </si>
  <si>
    <t xml:space="preserve">GDS VEHICLE LOCKING DOCK USBC FOR INTELLISKIN NG FOR APPLE IPAD 11" 1ST - 4TH &amp; 10TH GEN &amp; AIR 4TH GEN </t>
  </si>
  <si>
    <t>RAM-GDS-DOCKL-AP32CU</t>
  </si>
  <si>
    <t xml:space="preserve">GDS VEHICLE LOCKING DOCK USBC HIGH SPEED FOR INTELLISKIN NG FOR APPLE IPAD 11" 1ST - 4TH &amp; 10TH GEN &amp; AIR 4TH GEN </t>
  </si>
  <si>
    <t>RAM-GDS-DOCKL-AP32CPU</t>
  </si>
  <si>
    <t>UNPKD GDS VEHICLE LOCKING DOCK USBC AND PERIPHERAL DATA FOR APPLE IPAD AIR 4 AND IPAD PRO 11" 1ST - 4TH &amp; 10TH GEN</t>
  </si>
  <si>
    <t>RAM-GDS-DOCKL-AP32CDU</t>
  </si>
  <si>
    <t>UNPKD GDS VEHICLE LOCKING DOCK USBC AND DUAL PERIPHERAL DATA FOR APPLE IPAD AIR 4 AND IPAD PRO 11 1ST - 4TH &amp; 10TH GEN</t>
  </si>
  <si>
    <t>RAM-GDS-DOCKL-AP32CD2U</t>
  </si>
  <si>
    <t>GDS VEHICLE LOCKING DOCK USBC POWER + USB-C DATA FOR INTELLISKIN NG FOR APPLE IPAD 11" 1ST - 4TH &amp; 10TH GEN &amp; AIR 4TH</t>
  </si>
  <si>
    <t>RAM-GDS-DOCKL-AP32C-CU</t>
  </si>
  <si>
    <t>GDS VEHICLE DOCK USBC WITH MULTIPLE MODE FOR SAMSUNG TAB ACTIVE 4 PRO SUPPORTS NFC &amp; TEMP-RIGHT</t>
  </si>
  <si>
    <t>RAM-GDS-DOCK-H-SAM54N-MMU</t>
  </si>
  <si>
    <t>GDS VEHICLE DOCK HIGH SPEED USBC FOR SAMSUNG TAB ACTIVE 4 PRO SUPPORTS NFC AND TEMP-RIGHT</t>
  </si>
  <si>
    <t>RAM-GDS-DOCK-H-SAM54NCPU</t>
  </si>
  <si>
    <t>GDS VEHICLE DOCK USBC POWER WITH USBA PERIPHERAL FOR SAMSUNG TAB ACTIVE 4 PRO SUPPORTS NFC AND TEMP RIGHT</t>
  </si>
  <si>
    <t>RAM-GDS-DOCK-H-SAM54NCPDU</t>
  </si>
  <si>
    <t>UNPKD GDS TOUGH DOCK NON-LOCKING TOP ASSEMBLY V2</t>
  </si>
  <si>
    <t>RAM-GDS-DOCKH2U</t>
  </si>
  <si>
    <t>UNPKD RAM SLIDE DOCK L BRACKT SCREW DOWN</t>
  </si>
  <si>
    <t>RAM-GDS-DOCK-G7U</t>
  </si>
  <si>
    <t>UNPKD RAM SLIDE DOCK FOR INTELLISKIN NEXT GEN L BRACKT SCREW DOWN</t>
  </si>
  <si>
    <t>RAM-GDS-DOCK-G7-NGU</t>
  </si>
  <si>
    <t>UNPKD RAM SLIDE DOCK L BRACKT MAGNETIC</t>
  </si>
  <si>
    <t>RAM-GDS-DOCK-G7MU</t>
  </si>
  <si>
    <t>UNPKD RAM SLIDE DOCK FOR INTELLISKIN NEXT GEN L BRACKT MAGNETIC</t>
  </si>
  <si>
    <t>RAM-GDS-DOCK-G7M-NGU</t>
  </si>
  <si>
    <t>UNPKD RAM SLIDE DOCK FOR INTELLISKIN NEXT GEN WITH USB-C L BRACKT MAGNETIC</t>
  </si>
  <si>
    <t>RAM-GDS-DOCK-G7M-8-NGU</t>
  </si>
  <si>
    <t>UNPKD RAM SLIDE ADJUSTABLE DOCKING CUP</t>
  </si>
  <si>
    <t>RAM-GDS-DOCK-G7BU</t>
  </si>
  <si>
    <t>UNPKD RAM SLIDE ADJUSTABLE DOCKING CUP FOR INTELLISKIN NEXT GEN</t>
  </si>
  <si>
    <t>RAM-GDS-DOCK-G7B-NGU</t>
  </si>
  <si>
    <t>UNPKD RAM SLIDE ADJUSTABLE DOCKING CUP FOR INTELLISKIN NEXT GEN USB-C</t>
  </si>
  <si>
    <t>RAM-GDS-DOCK-G7B-8-NGU</t>
  </si>
  <si>
    <t>UNPKD RAM SLIDE DOCK FOR INTELLISKIN NEXT GEN WITH USB-C L BRACKT SCREW DOWN</t>
  </si>
  <si>
    <t>RAM-GDS-DOCK-G7-8-NGU</t>
  </si>
  <si>
    <t>GDS VEHICLE DOCK MUSB W/ FAN FOR SAMSUNG TAB S7+ 12.4" SM-T970</t>
  </si>
  <si>
    <t>RAM-GDS-DOCKF-SAM78U</t>
  </si>
  <si>
    <t>GDS VEHICLE DOCK USBC W/ FAN FOR SAMSUNG TAB S7 12.4" SM-T970</t>
  </si>
  <si>
    <t>RAM-GDS-DOCKF-SAM78CU</t>
  </si>
  <si>
    <t>GDS VEHICLE DOCK USBC HIGH SPEED W/ FAN FOR SAMSUNG TAB S7 12.4" SM-T970</t>
  </si>
  <si>
    <t>RAM-GDS-DOCKF-SAM78CPU</t>
  </si>
  <si>
    <t>GDS VEHICLE DOCK MUSB W/ FAN FOR SAMSUNG TAB S 11.0" SM-T870</t>
  </si>
  <si>
    <t>RAM-GDS-DOCKF-SAM76U</t>
  </si>
  <si>
    <t>GDS VEHICLE DOCK USBC W/ FAN FOR SAMSUNG TAB S7 11.0" SM-T870</t>
  </si>
  <si>
    <t>RAM-GDS-DOCKF-SAM76CU</t>
  </si>
  <si>
    <t>GDS VEHICLE DOCK USBC HIGH SPEED W/ FAN FOR SAMSUNG TAB S7 11.0" SM-T870</t>
  </si>
  <si>
    <t>RAM-GDS-DOCKF-SAM76CPU</t>
  </si>
  <si>
    <t>GDS VEHICLE DOCK MUSB W/ FAN FOR SAMSUNG GALAXY TAB A7 10.4 SM-T500</t>
  </si>
  <si>
    <t>RAM-GDS-DOCKF-SAM75U</t>
  </si>
  <si>
    <t>GDS VEHICLE DOCK USBC HIGH SPEED W/ FAN FOR SAMSUNG GALAXY TAB A7 10.4 SM-T500</t>
  </si>
  <si>
    <t>RAM-GDS-DOCKF-SAM75CPU</t>
  </si>
  <si>
    <t>GDS VEHICLE DOCK MUSB W/ FAN FOR SAMSUNG TAB A 8.4 SM-T307</t>
  </si>
  <si>
    <t>RAM-GDS-DOCKF-SAM67U</t>
  </si>
  <si>
    <t>GDS VEHICLE DOCK USBC W/ FAN FOR SAMSUNG TAB A 8.4 SM-T307</t>
  </si>
  <si>
    <t>RAM-GDS-DOCKF-SAM67CU</t>
  </si>
  <si>
    <t>GDS VEHICLE DOCK USBC HIGH SPEED W/ FAN FOR SAMSUNG TAB A 8.4 SM-T307</t>
  </si>
  <si>
    <t>RAM-GDS-DOCKF-SAM67CPU</t>
  </si>
  <si>
    <t>GDS VEHICLE DOCK MUSB W/ FAN FOR SAMSUNG TAB A 10.5 SM-T590, T597</t>
  </si>
  <si>
    <t>RAM-GDS-DOCKF-SAM66U</t>
  </si>
  <si>
    <t>GDS VEHICLE DOCK USBC W/ FAN FOR SAMSUNG TAB A 10.5 SM-T590, T597</t>
  </si>
  <si>
    <t>RAM-GDS-DOCKF-SAM66CU</t>
  </si>
  <si>
    <t>GDS VEHICLE DOCK USBC HIGH SPEED W/ FAN FOR SAMSUNG TAB A 10.5 SM-T590, T597</t>
  </si>
  <si>
    <t>RAM-GDS-DOCKF-SAM66CPU</t>
  </si>
  <si>
    <t>GDS VEHICLE DOCK MUSB W/ FAN FOR SAMSUNG TAB A 10.1 SM-T510</t>
  </si>
  <si>
    <t>RAM-GDS-DOCKF-SAM65U</t>
  </si>
  <si>
    <t>GDS VEHICLE DOCK USBC W/ FAN FOR SAMSUNG TAB A 10.1 SM-T510</t>
  </si>
  <si>
    <t>RAM-GDS-DOCKF-SAM65CU</t>
  </si>
  <si>
    <t>GDS VEHICLE DOCK USBC HIGH SPEED W/ FAN FOR SAMSUNG TAB A 10.1 SM-T510</t>
  </si>
  <si>
    <t>RAM-GDS-DOCKF-SAM65CPU</t>
  </si>
  <si>
    <t>GDS VEHICLE DOCK MUSB W/ FAN FOR SAMSUNG TAB A 8.0 2018 SM-T387</t>
  </si>
  <si>
    <t>RAM-GDS-DOCKF-SAM63U</t>
  </si>
  <si>
    <t>UNPKD GDS VEHICLE DOCK MUSB W/ FAN FOR SAMSUNG TAB ACTIVE2 &amp; TAB ACTIVE3</t>
  </si>
  <si>
    <t>RAM-GDS-DOCKF-SAM62U</t>
  </si>
  <si>
    <t>UNPKD GDS VEHICLE DOCK USBC W/ FAN FOR SAMSUNG TAB ACTIVE2 &amp; TAB ACTIVE3</t>
  </si>
  <si>
    <t>RAM-GDS-DOCKF-SAM62CU</t>
  </si>
  <si>
    <t>UNPKD GDS VEHICLE DOCK USBC HIGH SPEED W/ FAN FOR SAMSUNG TAB ACTIVE2 &amp; TAB ACTIVE3</t>
  </si>
  <si>
    <t>RAM-GDS-DOCKF-SAM62CPU</t>
  </si>
  <si>
    <t>UNPKD GDS VEHICLE DOCK W/ FAN USBC AND PERIPHERAL DATA FOR SAMSUNG TAB ACTIVE2 &amp; TAB ACTIVE3</t>
  </si>
  <si>
    <t>RAM-GDS-DOCKF-SAM62CDU</t>
  </si>
  <si>
    <t>UNPKD GDS VEHICLE DOCK W/ FAN USBC AND DUAL PERIPHERAL DATA FOR SAMSUNG TAB ACTIVE2 &amp; TAB ACTIVE3</t>
  </si>
  <si>
    <t>RAM-GDS-DOCKF-SAM62CD2U</t>
  </si>
  <si>
    <t>GDS VEHICLE DOCK MUSB W/ FAN FOR SAMSUNG TAB A 8.0 2019 SM-T290, T295</t>
  </si>
  <si>
    <t>RAM-GDS-DOCKF-SAM55U</t>
  </si>
  <si>
    <t>GDS VEHICLE DOCK USBC W/ FAN FOR SAMSUNG TAB ACTIVE 4 PRO SUPPORTS NFC</t>
  </si>
  <si>
    <t>RAM-GDS-DOCKF-SAM54NCU</t>
  </si>
  <si>
    <t xml:space="preserve">GDS VEHICLE DOCK USBC W/ FAN  FOR INTELLISKIN NG FOR APPLE IPAD PRO 12.9" 5TH GEN </t>
  </si>
  <si>
    <t>RAM-GDS-DOCKF-AP37CPU</t>
  </si>
  <si>
    <t>GDS VEHICLE DOCK MUSB W/ FAN FOR INTELLISKIN NG FOR APPLE IPAD 11" 1ST - 4TH &amp; 10TH GEN &amp; AIR 4TH GEN</t>
  </si>
  <si>
    <t>RAM-GDS-DOCKF-AP32U</t>
  </si>
  <si>
    <t>GDS VEHICLE DOCK USBC W/ FAN FOR INTELLISKIN NG FOR APPLE IPAD 11" 1ST - 4TH &amp; 10TH GEN &amp; AIR 4TH GEN</t>
  </si>
  <si>
    <t>RAM-GDS-DOCKF-AP32CU</t>
  </si>
  <si>
    <t>GDS VEHICLE DOCK USBC HIGH SPEED W/ FAN FOR INTELLISKIN NG FOR APPLE IPAD 11" 1ST - 4TH &amp; 10TH GEN &amp; AIR 4TH GEN</t>
  </si>
  <si>
    <t>RAM-GDS-DOCKF-AP32CPU</t>
  </si>
  <si>
    <t xml:space="preserve">UNPKD RAM GDS DESKTOP DOCK </t>
  </si>
  <si>
    <t>RAM-GDS-DOCK-D9U</t>
  </si>
  <si>
    <t>UNPKD RAM SMALL DESKTOP 8-PIN GDS DOCK  GREY</t>
  </si>
  <si>
    <t>RAM-GDS-DOCK-D7U-GRY</t>
  </si>
  <si>
    <t xml:space="preserve">UNPKD RAM SMALL DESKTOP 8-PIN GDS DOCK </t>
  </si>
  <si>
    <t>RAM-GDS-DOCK-D7U</t>
  </si>
  <si>
    <t>UNPKD RAM SMALL DESKTOP 8-PIN GDS DOCK WITH TYPE-A PERIPHERAL PORT</t>
  </si>
  <si>
    <t>RAM-GDS-DOCK-D7AU</t>
  </si>
  <si>
    <t xml:space="preserve">UNPKD RAM SMALL DESKTOP GDS DOCK </t>
  </si>
  <si>
    <t>RAM-GDS-DOCK-D2U</t>
  </si>
  <si>
    <t>UNPKD RAM SMALL DESKTOP GDS DOCK NO DECAL</t>
  </si>
  <si>
    <t>RAM-GDS-DOCK-D2-NDU</t>
  </si>
  <si>
    <t>UNPKD RAM DESKTOP GDS DOCK USB C IN GREY</t>
  </si>
  <si>
    <t>RAM-GDS-DOCK-D2CU-GRY</t>
  </si>
  <si>
    <t>UNPKD RAM DESKTOP GDS DOCK USB C</t>
  </si>
  <si>
    <t>RAM-GDS-DOCK-D2CU</t>
  </si>
  <si>
    <t>RAM DESKTOP GDS USB C DOCK WITHOUT DECAL FOR INTELLISKIN HD</t>
  </si>
  <si>
    <t>RAM-GDS-DOCK-D2C-NDU</t>
  </si>
  <si>
    <t>RAM DESKTOP GDS USB C DOCK WITHOUT DECAL OR CABLE FOR INTELLISKIN HD</t>
  </si>
  <si>
    <t>RAM-GDS-DOCK-D2C-NDCU</t>
  </si>
  <si>
    <t>UNPKD RAM DESKTOP GDS DOCK USB C POWER DELIVERY GREY</t>
  </si>
  <si>
    <t>RAM-GDS-DOCK-D2CMU-GRY</t>
  </si>
  <si>
    <t>UNPKD RAM DESKTOP GDS DOCK USB C POWER DELIVERY</t>
  </si>
  <si>
    <t>RAM-GDS-DOCK-D2CMU</t>
  </si>
  <si>
    <t>UNPKD RAM DESKTOP GDS NO DECAL DOCK USB C POWER DELIVERY GREY</t>
  </si>
  <si>
    <t>RAM-GDS-DOCK-D2CM-NDU-GRY</t>
  </si>
  <si>
    <t>UNPKD RAM DESKTOP GDS NO DECAL DOCK USB C POWER DELIVERY</t>
  </si>
  <si>
    <t>RAM-GDS-DOCK-D2CM-NDU</t>
  </si>
  <si>
    <t>UNPKD RAM DESKTOP GDS NO DECAL DOCK USB C POWER DELIVERY 1.0M CABLE</t>
  </si>
  <si>
    <t>RAM-GDS-DOCK-D2CM-20-10-NDU</t>
  </si>
  <si>
    <t xml:space="preserve">UNPKD RAM DESKTOP GDS DOCK </t>
  </si>
  <si>
    <t>RAM-GDS-DOCK-D1U</t>
  </si>
  <si>
    <t>UNPKD RAM DESKTOP GDS DOCK ADJ BACK</t>
  </si>
  <si>
    <t>RAM-GDS-DOCK-D1AU</t>
  </si>
  <si>
    <t>RAM VESA DOCK WITH USB-C GREY</t>
  </si>
  <si>
    <t>RAM-GDS-DOCK-D10V-C-GRY</t>
  </si>
  <si>
    <t>RAM VESA DOCK WITH USB-C</t>
  </si>
  <si>
    <t>RAM-GDS-DOCK-D10V-C</t>
  </si>
  <si>
    <t>GDS VEHICLE DOCK BASE FOR SAMSUNG TAB A9+ 11" SM-X</t>
  </si>
  <si>
    <t>RAM-GDS-DOCKB-SAM88U</t>
  </si>
  <si>
    <t>GDS VEHICLE DOCK BASE FOR SAMSUNG TAB A8 10.5" SM-X200</t>
  </si>
  <si>
    <t>RAM-GDS-DOCKB-SAM83U</t>
  </si>
  <si>
    <t>GDS VEHICLE DOCK BASE FOR SAMSUNG TAB A7 8.7 SM-T220 &amp; SM-T-225</t>
  </si>
  <si>
    <t>RAM-GDS-DOCKB-SAM80U</t>
  </si>
  <si>
    <t>GDS VEHICLE DOCK BASE FOR SAMSUNG TAB S7+ 12.4 SM-T970</t>
  </si>
  <si>
    <t>RAM-GDS-DOCKB-SAM78U</t>
  </si>
  <si>
    <t>GDS VEHICLE DOCK BASE FOR SAMSUNG TAB S7 11.0 SM-T870</t>
  </si>
  <si>
    <t>RAM-GDS-DOCKB-SAM76U</t>
  </si>
  <si>
    <t>GDS VEHICLE DOCK BASE FOR SAMSUNG TAB A7 10.4 SM-T500</t>
  </si>
  <si>
    <t>RAM-GDS-DOCKB-SAM75U</t>
  </si>
  <si>
    <t>GDS VEHICLE DOCK BASE FOR SAMSUNG TAB A 8.4 SM-T307</t>
  </si>
  <si>
    <t>RAM-GDS-DOCKB-SAM67U</t>
  </si>
  <si>
    <t>GDS VEHICLE DOCK BASE FOR SAMSUNG TAB A 10.5 SM-T590, T597</t>
  </si>
  <si>
    <t>RAM-GDS-DOCKB-SAM66U</t>
  </si>
  <si>
    <t>GDS VEHICLE DOCK BASE FOR SAMSUNG TAB A 10.1 SM-T510</t>
  </si>
  <si>
    <t>RAM-GDS-DOCKB-SAM65U</t>
  </si>
  <si>
    <t>GDS VEHICLE DOCK BASE FOR SAMSUNG TAB A 8.0 2018 SM-T387</t>
  </si>
  <si>
    <t>RAM-GDS-DOCKB-SAM63U</t>
  </si>
  <si>
    <t>GDS VEHICLE DOCK BASE FOR SAMSUNG TAB ACTIVE 2 &amp; ACTIVE 3</t>
  </si>
  <si>
    <t>RAM-GDS-DOCKB-SAM62U</t>
  </si>
  <si>
    <t>GDS VEHICLE DOCK BASE FOR SAMSUNG TAB ACTIVE 2 &amp; ACTIVE 3 FOR NFC EXTENDER</t>
  </si>
  <si>
    <t>RAM-GDS-DOCKB-SAM62-NFCU</t>
  </si>
  <si>
    <t>GDS VEHICLE DOCK BASE FOR SAMSUNG TAB A 8.0 SM-T290, T295</t>
  </si>
  <si>
    <t>RAM-GDS-DOCKB-SAM55U</t>
  </si>
  <si>
    <t>GDS VEHICLE DOCK BASE FOR SAMSUNG TAB ACTIVE 4 PRO SUPPORTS NFC</t>
  </si>
  <si>
    <t>RAM-GDS-DOCKB-SAM54NU</t>
  </si>
  <si>
    <t>GDS VEHICLE DOCK BASE FOR APPLE IPAD 11" 1ST - 4TH &amp; 10TH GEN &amp; AIR 4TH GEN TEMP RIGHT COMPATIBLE</t>
  </si>
  <si>
    <t>RAM-GDS-DOCKB-H-AP32U</t>
  </si>
  <si>
    <t>GDS VEHICLE DOCK BASE FOR APPLE IPAD PRO 12.9 3RD - 5TH GEN</t>
  </si>
  <si>
    <t>RAM-GDS-DOCKB-AP37U</t>
  </si>
  <si>
    <t>GDS VEHICLE DOCK BASE FOR APPLE IPAD 11" 1ST - 4TH &amp; 10TH GEN &amp; AIR 4TH GEN</t>
  </si>
  <si>
    <t>RAM-GDS-DOCKB-AP32U</t>
  </si>
  <si>
    <t>UNPKD RAM AUDIO JACK KIT</t>
  </si>
  <si>
    <t>RAM-GDS-DOCK-AUD1U</t>
  </si>
  <si>
    <t>GDS VEHICLE USBC DOCK FOR INTELLISKIN NG FOR APPLE IPAD PRO 12.9" 5TH GEN WITH HIGH SPEED DATA</t>
  </si>
  <si>
    <t>RAM-GDS-DOCK-AP37CU</t>
  </si>
  <si>
    <t xml:space="preserve">GDS VEHICLE USBC DOCK FOR INTELLISKIN NG FOR APPLE IPAD PRO 12.9" 5TH GEN </t>
  </si>
  <si>
    <t>RAM-GDS-DOCK-AP37CPU</t>
  </si>
  <si>
    <t>UNPKD GDS VEHICLE DOCK USBC AND DUAL PERIPHERAL DATA FOR INTELLISKIN NG FOR APPLE IPAD PRO 12.9" 5TH GEN</t>
  </si>
  <si>
    <t>RAM-GDS-DOCK-AP37CD2U</t>
  </si>
  <si>
    <t>GDS VEHICLE MUSB DOCK FOR INTELLISKIN NG FOR APPLE IPAD 11" 1ST - 4TH &amp; 10TH GEN &amp; AIR 4TH GEN</t>
  </si>
  <si>
    <t>RAM-GDS-DOCK-AP32U</t>
  </si>
  <si>
    <t>GDS VEHICLE USBC DOCK FOR INTELLISKIN NG FOR APPLE IPAD 11" 1ST - 4TH &amp; 10TH GEN &amp; AIR 4TH GEN</t>
  </si>
  <si>
    <t>RAM-GDS-DOCK-AP32CU</t>
  </si>
  <si>
    <t>GDS VEHICLE USBC HIGH SPEED DOCK FOR INTELLISKIN NG FOR APPLE IPAD 11" 1ST - 4TH &amp; 10TH GEN &amp; AIR 4TH GEN</t>
  </si>
  <si>
    <t>RAM-GDS-DOCK-AP32CPU</t>
  </si>
  <si>
    <t>UNPKD GDS VEHICLE DOCK USBC AND PERIPHERAL DATA FOR APPLE IPAD AIR 4 AND IPAD PRO 11' 1ST - 4TH &amp; 10TH GEN</t>
  </si>
  <si>
    <t>RAM-GDS-DOCK-AP32CDU</t>
  </si>
  <si>
    <t>UNPKD GDS VEHICLE DOCK USBC AND DUAL PERIPHERAL DATA FOR APPLE IPAD AIR 4 AND IPAD PRO 11 1ST - 4TH &amp; 10TH GEN</t>
  </si>
  <si>
    <t>RAM-GDS-DOCK-AP32CD2U</t>
  </si>
  <si>
    <t>GDS TOUGH DOCK USBC POWER + 1 USB-C 1 USBA DATA FOR INTELLISKIN NG FOR IPAD 11" 1ST-4TH &amp; 10TH GEN &amp; AIR 4TH GEN</t>
  </si>
  <si>
    <t>RAM-GDS-DOCK-AP32C-CAU</t>
  </si>
  <si>
    <t>UNPKD GDS SNAP CON STAND</t>
  </si>
  <si>
    <t>RAM-GDS-DOCK-AD2U</t>
  </si>
  <si>
    <t>UNPKD RAM DESKTOP POWERED GDS 6 GANG DOCK FOR INTELLISKIN PHONE</t>
  </si>
  <si>
    <t>RAM-GDS-DOCK-6G9PU</t>
  </si>
  <si>
    <t xml:space="preserve">UNPKD RAM DESK POWERED GDS 6 GANG DOCK </t>
  </si>
  <si>
    <t>RAM-GDS-DOCK-6G1PU</t>
  </si>
  <si>
    <t xml:space="preserve">UNPKD GDS 6 GANG DESKTOP DOCK NEXT GEN </t>
  </si>
  <si>
    <t>RAM-GDS-DOCK-6G1P-NGU</t>
  </si>
  <si>
    <t>UNPKD GDS 6 GANG PD DESKTOP DOCK</t>
  </si>
  <si>
    <t>RAM-GDS-DOCK-6G1PD-NGU</t>
  </si>
  <si>
    <t xml:space="preserve">RAM GDS POWER + ETHERNET VIA SWITCH- 6 GANG DOCK FOR TABLETS IN INTELLISKIN </t>
  </si>
  <si>
    <t>RAM-GDS-DOCK-6G16-SW1</t>
  </si>
  <si>
    <t xml:space="preserve">RAM GDS POWER + ETHERNET - 6 GANG DOCK FOR TABLETS IN INTELLISKIN </t>
  </si>
  <si>
    <t>RAM-GDS-DOCK-6G16P-RJ45</t>
  </si>
  <si>
    <t xml:space="preserve">RAM GDS POWER ONLY 6 GANG DOCK FOR TABLETS IN INTELLISKIN </t>
  </si>
  <si>
    <t>RAM-GDS-DOCK-6G16P</t>
  </si>
  <si>
    <t xml:space="preserve">RAM GDS POWER + ETHERNET - 6 GANG DOCK FOR HANDHELDS IN INTELLISKIN </t>
  </si>
  <si>
    <t>RAM-GDS-DOCK-6G15P-RJ45</t>
  </si>
  <si>
    <t xml:space="preserve">RAM GDS POWER ONLY 6 GANG DOCK FOR HANDHELDS IN INTELLISKIN </t>
  </si>
  <si>
    <t>RAM-GDS-DOCK-6G15P</t>
  </si>
  <si>
    <t>UNPKD RAM ELECTRICAL RACK POWERED GDS 6 GANG DOCK FOR INTELLISKIN PHONES</t>
  </si>
  <si>
    <t>RAM-GDS-DOCK-6G10PU</t>
  </si>
  <si>
    <t>UNPKD RAM ELECTRICAL RACK POWERED GDS 6 GANG DOCK FOR INTELLISKIN PHONES WITH LED CHARGE STATUS</t>
  </si>
  <si>
    <t>RAM-GDS-DOCK-6G10P-1U</t>
  </si>
  <si>
    <t xml:space="preserve">UNPKD RAM DESK POWERED GDS 4 GANG DOCK </t>
  </si>
  <si>
    <t>RAM-GDS-DOCK-4G1PU</t>
  </si>
  <si>
    <t>RAM HARDWIRE CHARGER 20-60VDC IN 12VDC OUT WITH DC PLUG &amp; DC INPUT WIRE HARNESS</t>
  </si>
  <si>
    <t>RAM-GDS-CHARGE-V9U</t>
  </si>
  <si>
    <t>30-64VDC IN 5.42-9.0VDC OUT TYPE C MALE HARDWIRE CHARGER</t>
  </si>
  <si>
    <t>RAM-GDS-CHARGE-V8CU</t>
  </si>
  <si>
    <t>GDS MODULAR HARDWIRED 30-64V CHARGER WITH TYPE A FEMALE</t>
  </si>
  <si>
    <t>RAM-GDS-CHARGE-V8BU</t>
  </si>
  <si>
    <t>10-30VDC IN 5.42VDC-9.0VDC OUT TYPE C MALE HARDWIRE CHARGER</t>
  </si>
  <si>
    <t>RAM-GDS-CHARGE-V7CU</t>
  </si>
  <si>
    <t>10-30VDC IN 5.42VDC-9.0VDC OUT TYPE C MALE HARDWIRE CHARGER WITH 2-PIN CONNECTOR FOR TRIMBLE</t>
  </si>
  <si>
    <t>RAM-GDS-CHARGE-V7C-TRI1U</t>
  </si>
  <si>
    <t>GDS MODULAR HARDWIRED 10-30V CAR CHARGER WITH TYPE A FEMALE</t>
  </si>
  <si>
    <t>RAM-GDS-CHARGE-V7B1U</t>
  </si>
  <si>
    <t>RAM GDS PD HARDWIRE CHARGER WITH TYPE C FEMALE CONNECTOR NO CABLE</t>
  </si>
  <si>
    <t>RAM-GDS-CHARGE-V3FC-1U-NC</t>
  </si>
  <si>
    <t>RAM GDS PD HARDWIRE CHARGER WITH TYPE C FEMALE CONNECTOR</t>
  </si>
  <si>
    <t>RAM-GDS-CHARGE-V3FC-1U</t>
  </si>
  <si>
    <t>GDS USB TYPE C HARDWIRE CAR CHARGER</t>
  </si>
  <si>
    <t>RAM-GDS-CHARGE-V3CU</t>
  </si>
  <si>
    <t>30-60VDC IN 5-15VDC OUT TYPE C MALE PD HARDWIRE CHARGER</t>
  </si>
  <si>
    <t>RAM-GDS-CHARGE-V3CH-2U</t>
  </si>
  <si>
    <t>GDS USB TYPE C CIG PLUG CAR CHARGER</t>
  </si>
  <si>
    <t>RAM-GDS-CHARGE-V3C-CIGU</t>
  </si>
  <si>
    <t>RAM GDS TYPE C CIG PLUG CHARGER WITH TYPE A PORT</t>
  </si>
  <si>
    <t>RAM-GDS-CHARGE-V3CA-CIGU</t>
  </si>
  <si>
    <t>10-30VDC IN 5-15VDC OUT TYPE C MALE PD HARDWIRE CHARGER</t>
  </si>
  <si>
    <t>RAM-GDS-CHARGE-V3C-2U</t>
  </si>
  <si>
    <t>GDS USB TYPE C PD HARDWIRE CAR CHARGER</t>
  </si>
  <si>
    <t>RAM-GDS-CHARGE-V3C-1U</t>
  </si>
  <si>
    <t>RAM HARDWIRE CHARGER 20-60VDC IN 14VDC OUT WITH MALE DC PLUG &amp; DC INPUT WIRE HARNESS</t>
  </si>
  <si>
    <t>RAM-GDS-CHARGE-V20U</t>
  </si>
  <si>
    <t>RAM HARDWIRE CHARGER 10-32VDC IN 14VDC OUT WITH MALE DC PLUG &amp; DC INPUT WIRE HARNESS</t>
  </si>
  <si>
    <t>RAM-GDS-CHARGE-V19U</t>
  </si>
  <si>
    <t>RAM HARDWIRE CHARGER 30-64VDC IN 9VDC OUT WITH MALE DC PULG AND DC INPUT</t>
  </si>
  <si>
    <t>RAM-GDS-CHARGE-V18U</t>
  </si>
  <si>
    <t>RAM HARDWIRE CHARGER 10-32VDC IN 9VDC OUT WITH DC PLUG &amp; DC INPUT WIRE HARNESS</t>
  </si>
  <si>
    <t>RAM-GDS-CHARGE-V17U</t>
  </si>
  <si>
    <t>RAM HARDWIRE CHARGER 24VDC - 60VDC IN 12VDC OUT FOR HIGH VOLTAGE HEATER</t>
  </si>
  <si>
    <t>RAM-GDS-CHARGE-V16U</t>
  </si>
  <si>
    <t>RAM HARDWIRE CHARGER 28-60VDC IN 16VDC OUT WITH MALE DC PULG AND DC INPUT</t>
  </si>
  <si>
    <t>RAM-GDS-CHARGE-V15U</t>
  </si>
  <si>
    <t>RAM HARDWIRE CHARGER 10-28VDC IN 16VDC OUT WITH MALE DC PULG AND DC INPUT</t>
  </si>
  <si>
    <t>RAM-GDS-CHARGE-V14U</t>
  </si>
  <si>
    <t>RAM HARDWIRE CHARGER 20-60VDC IN 19VDC OUT WITH MALE DC PULG AND DC INPUT</t>
  </si>
  <si>
    <t>RAM-GDS-CHARGE-V12U</t>
  </si>
  <si>
    <t>RAM HARDWIRE CHARGE 10-32VDC IN 19VDC OUT WITH MALE DC PLUG AND DC INPUT</t>
  </si>
  <si>
    <t>RAM-GDS-CHARGE-V11U</t>
  </si>
  <si>
    <t>RAM HARDWIRE CHARGER 10-32VDC IN 12VDC OUT WITH DC PLUG &amp; DC INPUT WIRE HARNESS</t>
  </si>
  <si>
    <t>RAM-GDS-CHARGE-V10U</t>
  </si>
  <si>
    <t>RAM-GDS-CHARGE-V10-1U</t>
  </si>
  <si>
    <t>GDS MODULAR HARDWIRED CAR CHARGER WITH TYPE C CABLE</t>
  </si>
  <si>
    <t>RAM-GDS-CHARGE-USBC-V8BU</t>
  </si>
  <si>
    <t xml:space="preserve">RAM-GDS-CHARGE-USBC-V7B1U </t>
  </si>
  <si>
    <t>GDS MODULAR HARDWIRED CAR CHARGER WITH USB 2.0 TYPE C CABLE AND CABLE CLAMP</t>
  </si>
  <si>
    <t>RAM-GDS-CHARGE-USBC-V7B1-1U</t>
  </si>
  <si>
    <t>RAM GDS 12 PORT USB-C CHARGER - 5-12VDC, MAX. 2A, USB-PD 3.0</t>
  </si>
  <si>
    <t>RAM-GDS-CHARGE-USBC-12</t>
  </si>
  <si>
    <t>GDS 6 PORT USB CHARGER 60W 110V-240V</t>
  </si>
  <si>
    <t>RAM-GDS-CHARGE-USB6</t>
  </si>
  <si>
    <t>GDS 2 PORT USB WALL CHARGER</t>
  </si>
  <si>
    <t>RAM-GDS-CHARGE-USB2W</t>
  </si>
  <si>
    <t>GDS CIGARETTE CHARGER DUAL USB W QC PORT</t>
  </si>
  <si>
    <t>RAM-GDS-CHARGE-USB2QCCIG</t>
  </si>
  <si>
    <t>GDS RS232 HARDWIRED CAR CHARGER</t>
  </si>
  <si>
    <t>RAM-GDS-CHARGE-RS232U</t>
  </si>
  <si>
    <t>GDS 30W USB-C PD 3.0 &amp; 18W USB-A QC 3.0</t>
  </si>
  <si>
    <t>RAM-GDS-CHARGE-PPS-CIGC</t>
  </si>
  <si>
    <t>RAM GDS 33W 2 PORT USB TYPE-C AND TYPE-A WALL CHARGER</t>
  </si>
  <si>
    <t>RAM-GDS-CHARGE-PPS-C2W</t>
  </si>
  <si>
    <t>GDS OTG HARDWIRED CAR CHARGER</t>
  </si>
  <si>
    <t>RAM-GDS-CHARGE-OTGAU</t>
  </si>
  <si>
    <t>GDS MODULAR HARDWIRED CAR CHARGER WITH MUSB CABLE</t>
  </si>
  <si>
    <t>RAM-GDS-CHARGE-MUSB-V7B1U</t>
  </si>
  <si>
    <t>GDS MODULAR HARDWIRED CAR CHARGER WITH DC CABLE</t>
  </si>
  <si>
    <t>RAM-GDS-CHARGE-M55-V8BU</t>
  </si>
  <si>
    <t>RAM-GDS-CHARGE-M55-V7B1U</t>
  </si>
  <si>
    <t>RAM GDS 60 WATT AC/DC POWER SUPPLY 12V 5A</t>
  </si>
  <si>
    <t>RAM-GDS-CHARGE-ACDC-60</t>
  </si>
  <si>
    <t>UNPKD. RAM 10 QTY USB-C CAPS FOR NG INTELLISKIN</t>
  </si>
  <si>
    <t>RAM-GDS-CAP1-10U</t>
  </si>
  <si>
    <t xml:space="preserve">RAM GDS CANBUS + POWER SUPPLY WITH FMS CONNECTOR </t>
  </si>
  <si>
    <t>RAM-GDS-CAN-FMSU</t>
  </si>
  <si>
    <t xml:space="preserve">RAM GDS CANBUS + POWER SUPPLY WITH DEUTSCH 9-PIN CONNECTOR </t>
  </si>
  <si>
    <t>RAM-GDS-CAN-9PU</t>
  </si>
  <si>
    <t>RAM GDS USB TYPE-C 3.1 MALE TO MALE CABLE .5M LONG</t>
  </si>
  <si>
    <t>RAM-GDS-CAB-USBC-CMCMU</t>
  </si>
  <si>
    <t>GDS USB TYPE C 2.0 CABLE 1M LONG</t>
  </si>
  <si>
    <t>RAM-GDS-CAB-USBC-CMCM-20-10</t>
  </si>
  <si>
    <t>GDS USB TYPE C 3.1 MALE TO FEMALE CABLEL 0.8M LONG</t>
  </si>
  <si>
    <t>RAM-GDS-CAB-USBC-CMCFU</t>
  </si>
  <si>
    <t>GDS USB TYPE A TO TYPE C 2.0 CABLE 1M LONG</t>
  </si>
  <si>
    <t>RAM-GDS-CAB-USBC-AMCMU-1</t>
  </si>
  <si>
    <t>GDS USB TYPE A TO TYPE C 3.0 CABLE 1M LONG</t>
  </si>
  <si>
    <t>RAM-GDS-CAB-USBC-AMCMU</t>
  </si>
  <si>
    <t>GDS USB TYPE A TO 90 DEGREE DC CABLE</t>
  </si>
  <si>
    <t>RAM-GDS-CAB-USBA-DC90-1U</t>
  </si>
  <si>
    <t>BARE WIRE TO 2 QTY SAE CONNECTOR CABLE WITH DUST CAPS, 3 METERS LONG</t>
  </si>
  <si>
    <t>RAM-GDS-CAB-SAE-SPLIT</t>
  </si>
  <si>
    <t>RAM NFC REPEATER</t>
  </si>
  <si>
    <t>RAM-GDS-CAB-NFCU</t>
  </si>
  <si>
    <t>GDS MICRO USB 3.0 CABLE 1.2M LONG</t>
  </si>
  <si>
    <t>RAM-GDS-CAB-MUSB3-1</t>
  </si>
  <si>
    <t>GDS 90 DEG. MICRO USB 2.0 CABLE 1.2M LNG</t>
  </si>
  <si>
    <t>RAM-GDS-CAB-MUSB290-1</t>
  </si>
  <si>
    <t>GDS MICRO USB 2.0 CABLE .75M LONG</t>
  </si>
  <si>
    <t>RAM-GDS-CAB-MUSB2-2U</t>
  </si>
  <si>
    <t>GDS MICRO USB 2.0 CABLE 1.2M LONG</t>
  </si>
  <si>
    <t>RAM-GDS-CAB-MUSB2-1</t>
  </si>
  <si>
    <t xml:space="preserve">RAM GDS CABLE CLAMP FOR KLEIN PTT MIC WITH 90 DEGREE ANGLE </t>
  </si>
  <si>
    <t>RAM-GDS-CAB-CLAMP-KL1U</t>
  </si>
  <si>
    <t>RAM GDS CABLE CLAMP FOR DC BARREL CONNECTOR CABLES</t>
  </si>
  <si>
    <t>RAM-GDS-CAB-CLAMP4U</t>
  </si>
  <si>
    <t>RAM GDS CABLE CLAMP FOR USB A MALE METAL PLUG &amp; USB A FEMALE SOCKET CABLES</t>
  </si>
  <si>
    <t>RAM-GDS-CAB-CLAMP3U</t>
  </si>
  <si>
    <t>RAM GDS CABLE CLAMP FOR USB A MALE PLUG &amp; USB A FEMALE SOCKET CABLES</t>
  </si>
  <si>
    <t>RAM-GDS-CAB-CLAMP2U</t>
  </si>
  <si>
    <t>RAM GDS CABLE CLAMP FOR MUSB AND TYPE C CABLES</t>
  </si>
  <si>
    <t>RAM-GDS-CAB-CLAMP1U</t>
  </si>
  <si>
    <t>GDS MALE CLA TO SAE CONNECTOR CABLE 2M LONG</t>
  </si>
  <si>
    <t>RAM-GDS-CAB-CIGM-SAE</t>
  </si>
  <si>
    <t>RAM GDS INTELLISKIN CONTACT CLEANING BRUSH</t>
  </si>
  <si>
    <t>RAM-GDS-BRUSH-01U</t>
  </si>
  <si>
    <t>UNPKD RAM VEH GDS LOCK SAMSUNG E 8.0 BUNDLE</t>
  </si>
  <si>
    <t>RAM-GDS-B-101L-SAM21-V7B1U</t>
  </si>
  <si>
    <t>UNPKD RAM SNAP-CON W TYPE C FEMALE</t>
  </si>
  <si>
    <t>RAM-GDS-AD3CU</t>
  </si>
  <si>
    <t>RAM-GDS-AD3C-NCU</t>
  </si>
  <si>
    <t>UNPKD RAM SNAP-CON W TYPE C FEMALE 1.0M USBC CABLE</t>
  </si>
  <si>
    <t>RAM-GDS-AD3CMU</t>
  </si>
  <si>
    <t>UNPKD RAM SNAP-CON 2 MICRO USB TO GDS</t>
  </si>
  <si>
    <t>RAM-GDS-AD2U</t>
  </si>
  <si>
    <t>UNPKD RAM SNAP-CON MICRO USB TO GDS</t>
  </si>
  <si>
    <t>RAM-GDS-AD1U</t>
  </si>
  <si>
    <t>UNPKD RAM GDS USBC LOCKING DOCK BUNDLE FOR SAMSUNG TAB A7 8.7 SM-T220 &amp; SM-T225 WITH BACKING PLATE &amp; USB-C CHARGER</t>
  </si>
  <si>
    <t>RAM-GDS-101LB2-SAM80CP-V7CU</t>
  </si>
  <si>
    <t>UNPKD RAM GDS USBC LOCKING DOCK BUNDLE FOR SAMSUNG TAB A7 8.7 SM-T220 &amp; SM-T225 WITH BACKING PLATE</t>
  </si>
  <si>
    <t>RAM-GDS-101LB2-SAM80CP-V7B1U</t>
  </si>
  <si>
    <t>UNPKD RAM GDS LOCKING DOCK BUNDLE INTELLISKIN FOR SAMSUNG TAB A7 8.7 SM-T220 &amp; SM-T225 W/ BACKING PLATE</t>
  </si>
  <si>
    <t>RAM-GDS-101LB2-OMT2-SAM80-V7U</t>
  </si>
  <si>
    <t>RAM-GDS-101B2-SAM90-PTT1U</t>
  </si>
  <si>
    <t>RAM-GDS-101B2-SAM90C-C-V7CU</t>
  </si>
  <si>
    <t>UNPKD RAM GDS USBC DOCK BUNDLE FOR SAMSUNG TAB A9+ WITH BACKING PLATE &amp; USB-C CHARGER</t>
  </si>
  <si>
    <t>RAM-GDS-101B2-SAM88CP-V7CU</t>
  </si>
  <si>
    <t>UNPKD RAM GDS MUSB DOCK BUNDLE FOR SAMSUNG TAB A7 8.7 SM-T220 &amp; SM-T225 WITH BACKING PLATE</t>
  </si>
  <si>
    <t>RAM-GDS-101B2-SAM80-V7B1U</t>
  </si>
  <si>
    <t xml:space="preserve">PTT KIT FOR SAMSUNG TAB A7 LITE </t>
  </si>
  <si>
    <t>RAM-GDS-101B2-SAM80-PTT1U</t>
  </si>
  <si>
    <t>UNPKD RAM GDS USBC DOCK BUNDLE FOR SAMSUNG TAB A7 8.7 SM-T220 &amp; SM-T225 WITH BACKING PLATE &amp; USB-C CHARGER</t>
  </si>
  <si>
    <t>RAM-GDS-101B2-SAM80CP-V7CU</t>
  </si>
  <si>
    <t>UNPKD RAM GDS USBC DOCK BUNDLE FOR SAMSUNG TAB A7 8.7 SM-T220 &amp; SM-T225 WITH BACKING PLATE</t>
  </si>
  <si>
    <t>RAM-GDS-101B2-SAM80CP-V7B1U</t>
  </si>
  <si>
    <t xml:space="preserve">tacKLEIN PTT KIT FOR SAMSUNG TAB A7 LITE </t>
  </si>
  <si>
    <t>RAM-GDS-101B2-SAM80C-C-V7CU</t>
  </si>
  <si>
    <t xml:space="preserve">PTT KIT FOR SAMSUNG TAB ACTIVE 3 </t>
  </si>
  <si>
    <t>RAM-GDS-101B2-SAM62-PTT1U</t>
  </si>
  <si>
    <t>KLEIN PTT KIT FOR SAMSUNG TAB ACTIVE3</t>
  </si>
  <si>
    <t>RAM-GDS-101B2-SAM62C-C-V7CU</t>
  </si>
  <si>
    <t>UNPKD RAM GDS DOCK USBC BUNDLE FOR SAMSUNG TAB A 8.0 SM-T290, T295 WITH BACKING PLATE WITH USB-C CHARGER</t>
  </si>
  <si>
    <t>RAM-GDS-101B2-SAM55CP-V7CU</t>
  </si>
  <si>
    <t>UNPKD RAM GDS DOCK USBC BUNDLE FOR SAMSUNG TAB A 8.0 SM-T290, T295 WITH BACKING PLATE</t>
  </si>
  <si>
    <t>RAM-GDS-101B2-SAM55CP-V7B1U</t>
  </si>
  <si>
    <t>RAM BOX END DUAL CUP HOLDER</t>
  </si>
  <si>
    <t>RAM-FP-CUP2</t>
  </si>
  <si>
    <t>RAM 4" FACE PLATE DUAL CUP HOLDER</t>
  </si>
  <si>
    <t>RAM-FP-CUP1F</t>
  </si>
  <si>
    <t>RAM 6" FACEPLATE NO CUT NO POWDER</t>
  </si>
  <si>
    <t>RAM-FP6-NOPC</t>
  </si>
  <si>
    <t>RAM 6" FILLER FACE PLATE</t>
  </si>
  <si>
    <t>RAM-FP-6-FILLER</t>
  </si>
  <si>
    <t>RAM 6" WIDE ACCESSORY POCKET W/ TRAY</t>
  </si>
  <si>
    <t>RAM-FP6-AP</t>
  </si>
  <si>
    <t>B52 RAM CUSTOM FACEPLATE FOR CONSOLE</t>
  </si>
  <si>
    <t>RAM-FP6-7030-4770</t>
  </si>
  <si>
    <t>RAM 5" FILLER FACE PLATE</t>
  </si>
  <si>
    <t>RAM-FP-5-FILLER</t>
  </si>
  <si>
    <t>RAM 5" WIDE ACCESSORY POCKET W/ TRAY</t>
  </si>
  <si>
    <t>RAM-FP5-AP</t>
  </si>
  <si>
    <t>B40 RAM CUSTOM FACEPLATE FOR CONSOLE</t>
  </si>
  <si>
    <t>RAM-FP5-6500-4500</t>
  </si>
  <si>
    <t>RAM 4" FILLER FACE PLATE</t>
  </si>
  <si>
    <t>RAM-FP-4-FILLER</t>
  </si>
  <si>
    <t>RAM 4" WIDE ACCESSORY POCKET W/ TRAY</t>
  </si>
  <si>
    <t>RAM-FP4-AP</t>
  </si>
  <si>
    <t>A58 RAM CUSTOM FACEPLATE FOR CONSOLE</t>
  </si>
  <si>
    <t>RAM-FP4-7250-2750</t>
  </si>
  <si>
    <t>B14 RAM CUSTOM FACEPLATE FOR CONSOLE</t>
  </si>
  <si>
    <t>RAM-FP4-7200-3620</t>
  </si>
  <si>
    <t>B41 RAM CUSTOM FACEPLATE FOR CONSOLE</t>
  </si>
  <si>
    <t>RAM-FP4-7200-2560</t>
  </si>
  <si>
    <t>B93 RAM CUSTOM FACEPLATE FOR CONSOLE</t>
  </si>
  <si>
    <t>RAM-FP4-7100-2720</t>
  </si>
  <si>
    <t>B88 RAM CUSTOM FACEPLATE FOR CONSOLE</t>
  </si>
  <si>
    <t>RAM-FP4-7090-2830</t>
  </si>
  <si>
    <t>A75 RAM CUSTOM FACEPLATE FOR CONSOLE</t>
  </si>
  <si>
    <t>RAM-FP4-7000-3600</t>
  </si>
  <si>
    <t>B26 RAM CUSTOM FACEPLATE FOR CONSOLE</t>
  </si>
  <si>
    <t>RAM-FP4-7000-3000</t>
  </si>
  <si>
    <t>A70 RAM CUSTOM FACEPLATE FOR CONSOLE</t>
  </si>
  <si>
    <t>RAM-FP4-7000-2750</t>
  </si>
  <si>
    <t>B90 RAM CUSTOM FACEPLATE FOR CONSOLE</t>
  </si>
  <si>
    <t>RAM-FP4-7000-2620</t>
  </si>
  <si>
    <t>X18 RAM CUSTOM FACEPLATE FOR CONSOLE</t>
  </si>
  <si>
    <t>RAM-FP4-6930-3480</t>
  </si>
  <si>
    <t>A98 RAM CUSTOM FACEPLATE FOR CONSOLE</t>
  </si>
  <si>
    <t>RAM-FP4-6880-3500</t>
  </si>
  <si>
    <t>A24 RAM CUSTOM FACEPLATE FOR CONSOLE</t>
  </si>
  <si>
    <t>RAM-FP4-6880-3380</t>
  </si>
  <si>
    <t>B83 RAM CUSTOM FACEPLATE FOR CONSOLE</t>
  </si>
  <si>
    <t>RAM-FP4-6850-3580</t>
  </si>
  <si>
    <t>B62 RAM CUSTOM FACEPLATE FOR CONSOLE</t>
  </si>
  <si>
    <t>RAM-FP4-6840-3500</t>
  </si>
  <si>
    <t>B15 RAM CUSTOM FACEPLATE FOR CONSOLE</t>
  </si>
  <si>
    <t>RAM-FP4-6810-3260</t>
  </si>
  <si>
    <t>B50 RAM CUSTOM FACEPLATE FOR CONSOLE</t>
  </si>
  <si>
    <t>RAM-FP4-6800-3400</t>
  </si>
  <si>
    <t>A25 RAM CUSTOM FACEPLATE FOR CONSOLE</t>
  </si>
  <si>
    <t>RAM-FP4-6800-3000</t>
  </si>
  <si>
    <t>X06 RAM CUSTOM FACEPLATE FOR CONSOLE</t>
  </si>
  <si>
    <t>RAM-FP4-6790-3290</t>
  </si>
  <si>
    <t>A69 RAM CUSTOM FACEPLATE FOR CONSOLE</t>
  </si>
  <si>
    <t>RAM-FP4-6750-3375</t>
  </si>
  <si>
    <t>A29 RAM CUSTOM FACEPLATE FOR CONSOLE</t>
  </si>
  <si>
    <t>RAM-FP4-6750-2750</t>
  </si>
  <si>
    <t>X02 RAM CUSTOM FACEPLATE FOR CONSOLE</t>
  </si>
  <si>
    <t>RAM-FP4-6721-2851</t>
  </si>
  <si>
    <t>B92 RAM CUSTOM FACEPLATE FOR CONSOLE</t>
  </si>
  <si>
    <t>RAM-FP4-6630-2750</t>
  </si>
  <si>
    <t>B66 RAM CUSTOM FACEPLATE FOR CONSOLE</t>
  </si>
  <si>
    <t>RAM-FP4-6610-3350</t>
  </si>
  <si>
    <t>B64 RAM CUSTOM FACEPLATE FOR CONSOLE</t>
  </si>
  <si>
    <t>RAM-FP4-6600-2610</t>
  </si>
  <si>
    <t>X05 RAM CUSTOM FACEPLATE FOR CONSOLE</t>
  </si>
  <si>
    <t>RAM-FP4-6540-3440</t>
  </si>
  <si>
    <t>B39 RAM CUSTOM FACEPLATE FOR CONSOLE</t>
  </si>
  <si>
    <t>RAM-FP4-6500-3500</t>
  </si>
  <si>
    <t>B09 RAM CUSTOM FACEPLATE FOR CONSOLE</t>
  </si>
  <si>
    <t>RAM-FP4-6500-3400</t>
  </si>
  <si>
    <t>B91 RAM CUSTOM FACEPLATE FOR CONSOLE</t>
  </si>
  <si>
    <t>RAM-FP4-6500-2750</t>
  </si>
  <si>
    <t>X13 RAM CUSTOM FACEPLATE FOR CONSOLE</t>
  </si>
  <si>
    <t>RAM-FP4-6483-3250</t>
  </si>
  <si>
    <t>A39 RAM CUSTOM FACEPLATE FOR CONSOLE</t>
  </si>
  <si>
    <t>RAM-FP4-6250-2880</t>
  </si>
  <si>
    <t>A68 RAM CUSTOM FACEPLATE FOR CONSOLE</t>
  </si>
  <si>
    <t>RAM-FP4-6250-2750</t>
  </si>
  <si>
    <t>B53 RAM CUSTOM FACEPLATE FOR CONSOLE</t>
  </si>
  <si>
    <t>RAM-FP4-6200-2600</t>
  </si>
  <si>
    <t>A41 RAM CUSTOM FACEPLATE FOR CONSOLE</t>
  </si>
  <si>
    <t>RAM-FP4-6130-2750</t>
  </si>
  <si>
    <t>A32 RAM CUSTOM FACEPLATE FOR CONSOLE</t>
  </si>
  <si>
    <t>RAM-FP4-6060-3300</t>
  </si>
  <si>
    <t>B44 RAM CUSTOM FACEPLATE FOR CONSOLE</t>
  </si>
  <si>
    <t>RAM-FP4-6000-3380</t>
  </si>
  <si>
    <t>B10 RAM CUSTOM FACEPLATE FOR CONSOLE</t>
  </si>
  <si>
    <t>RAM-FP4-6000-3310</t>
  </si>
  <si>
    <t>A67 RAM CUSTOM FACEPLATE FOR CONSOLE</t>
  </si>
  <si>
    <t>RAM-FP4-6000-3000</t>
  </si>
  <si>
    <t>A97 RAM CUSTOM FACEPLATE FOR CONSOLE</t>
  </si>
  <si>
    <t>RAM-FP4-5900-3140</t>
  </si>
  <si>
    <t>RAM 3" FILLER FACE PLATE</t>
  </si>
  <si>
    <t>RAM-FP-3-FILLER</t>
  </si>
  <si>
    <t>RAM 3" WIDE ACCESSORY POCKET W/ TRAY</t>
  </si>
  <si>
    <t>RAM-FP3-AP</t>
  </si>
  <si>
    <t>A36 RAM CUSTOM FACEPLATE FOR CONSOLE</t>
  </si>
  <si>
    <t>RAM-FP3-7290-2250</t>
  </si>
  <si>
    <t>A18 RAM CUSTOM FACEPLATE FOR CONSOLE</t>
  </si>
  <si>
    <t>RAM-FP3-7280-2210</t>
  </si>
  <si>
    <t>A77 RAM CUSTOM FACEPLATE FOR CONSOLE</t>
  </si>
  <si>
    <t>RAM-FP3-7280-2200</t>
  </si>
  <si>
    <t>A44 RAM CUSTOM FACEPLATE FOR CONSOLE</t>
  </si>
  <si>
    <t>RAM-FP3-7250-2500</t>
  </si>
  <si>
    <t>B85 RAM CUSTOM FACEPLATE FOR CONSOLE</t>
  </si>
  <si>
    <t>RAM-FP3-7250-2250</t>
  </si>
  <si>
    <t>B61 RAM CUSTOM FACEPLATE FOR CONSOLE</t>
  </si>
  <si>
    <t>RAM-FP3-7250-2200</t>
  </si>
  <si>
    <t>B02 RAM CUSTOM FACEPLATE FOR CONSOLE</t>
  </si>
  <si>
    <t>RAM-FP3-7200-2200</t>
  </si>
  <si>
    <t>A10 RAM CUSTOM FACEPLATE FOR CONSOLE</t>
  </si>
  <si>
    <t>RAM-FP3-7200-2100</t>
  </si>
  <si>
    <t>B25 RAM CUSTOM FACEPLATE FOR CONSOLE</t>
  </si>
  <si>
    <t>RAM-FP3-7130-2380</t>
  </si>
  <si>
    <t>A21 RAM CUSTOM FACEPLATE FOR CONSOLE</t>
  </si>
  <si>
    <t>RAM-FP3-7100-2350</t>
  </si>
  <si>
    <t>A02 RAM CUSTOM FACEPLATE FOR CONSOLE</t>
  </si>
  <si>
    <t>RAM-FP3-7100-2000</t>
  </si>
  <si>
    <t>X03 RAM CUSTOM FACEPLATE FOR CONSOLE</t>
  </si>
  <si>
    <t>RAM-FP3-7090-2390</t>
  </si>
  <si>
    <t>B51 RAM CUSTOM FACEPLATE FOR CONSOLE</t>
  </si>
  <si>
    <t>RAM-FP3-7050-2340</t>
  </si>
  <si>
    <t>B17 RAM CUSTOM FACEPLATE FOR CONSOLE</t>
  </si>
  <si>
    <t>RAM-FP3-7030-2010</t>
  </si>
  <si>
    <t>A84 RAM CUSTOM FACEPLATE FOR CONSOLE</t>
  </si>
  <si>
    <t>RAM-FP3-7000-2400</t>
  </si>
  <si>
    <t>A01 RAM CUSTOM FACEPLATE FOR CONSOLE</t>
  </si>
  <si>
    <t>RAM-FP3-7000-2250</t>
  </si>
  <si>
    <t>B13 RAM CUSTOM FACEPLATE FOR CONSOLE</t>
  </si>
  <si>
    <t>RAM-FP3-7000-2200</t>
  </si>
  <si>
    <t>A11 RAM CUSTOM FACEPLATE FOR CONSOLE</t>
  </si>
  <si>
    <t>RAM-FP3-7000-2000</t>
  </si>
  <si>
    <t>B01 RAM CUSTOM FACEPLATE FOR CONSOLE</t>
  </si>
  <si>
    <t>RAM-FP3-6940-2380</t>
  </si>
  <si>
    <t>B34 RAM CUSTOM FACEPLATE FOR CONSOLE</t>
  </si>
  <si>
    <t>RAM-FP3-6930-1780</t>
  </si>
  <si>
    <t>A96 RAM CUSTOM FACEPLATE FOR CONSOLE</t>
  </si>
  <si>
    <t>RAM-FP3-6910-2380</t>
  </si>
  <si>
    <t>B73 RAM CUSTOM FACEPLATE FOR CONSOLE</t>
  </si>
  <si>
    <t>RAM-FP3-6900-2100</t>
  </si>
  <si>
    <t>B58 RAM CUSTOM FACEPLATE FOR CONSOLE</t>
  </si>
  <si>
    <t>RAM-FP3-6890-2010</t>
  </si>
  <si>
    <t>B32 RAM CUSTOM FACEPLATE FOR CONSOLE</t>
  </si>
  <si>
    <t>RAM-FP3-6850-1770</t>
  </si>
  <si>
    <t>B60 RAM CUSTOM FACEPLATE FOR CONSOLE</t>
  </si>
  <si>
    <t>RAM-FP3-6810-2010</t>
  </si>
  <si>
    <t>B65 RAM CUSTOM FACEPLATE FOR CONSOLE</t>
  </si>
  <si>
    <t>RAM-FP3-6750-2260</t>
  </si>
  <si>
    <t>B95 RAM CUSTOM FACEPLATE FOR CONSOLE</t>
  </si>
  <si>
    <t>RAM-FP3-6750-1900</t>
  </si>
  <si>
    <t>B89 RAM CUSTOM FACEPLATE FOR CONSOLE</t>
  </si>
  <si>
    <t>RAM-FP3-6750-1750</t>
  </si>
  <si>
    <t>B21 RAM CUSTOM FACEPLATE FOR CONSOLE</t>
  </si>
  <si>
    <t>RAM-FP3-6700-2330</t>
  </si>
  <si>
    <t>B94 RAM CUSTOM FACEPLATE FOR CONSOLE</t>
  </si>
  <si>
    <t>RAM-FP3-6680-1880</t>
  </si>
  <si>
    <t>A13 RAM CUSTOM FACEPLATE FOR CONSOLE</t>
  </si>
  <si>
    <t>RAM-FP3-6670-1730</t>
  </si>
  <si>
    <t>A46 RAM CUSTOM FACEPLATE FOR CONSOLE</t>
  </si>
  <si>
    <t>RAM-FP3-6660-2450</t>
  </si>
  <si>
    <t>B48 RAM CUSTOM FACEPLATE FOR CONSOLE</t>
  </si>
  <si>
    <t>RAM-FP3-6630-2500</t>
  </si>
  <si>
    <t>A64 RAM CUSTOM FACEPLATE FOR CONSOLE</t>
  </si>
  <si>
    <t>RAM-FP3-6630-1880</t>
  </si>
  <si>
    <t>A15 RAM CUSTOM FACEPLATE FOR CONSOLE</t>
  </si>
  <si>
    <t>RAM-FP3-6610-1730</t>
  </si>
  <si>
    <t>B35 RAM CUSTOM FACEPLATE FOR CONSOLE</t>
  </si>
  <si>
    <t>RAM-FP3-6580-2290</t>
  </si>
  <si>
    <t>B03 RAM CUSTOM FACEPLATE FOR CONSOLE</t>
  </si>
  <si>
    <t>RAM-FP3-6560-2000</t>
  </si>
  <si>
    <t>B81 RAM CUSTOM FACEPLATE FOR CONSOLE</t>
  </si>
  <si>
    <t>RAM-FP3-6560-1810</t>
  </si>
  <si>
    <t>A03 RAM CUSTOM FACEPLATE FOR CONSOLE</t>
  </si>
  <si>
    <t>RAM-FP3-6500-2500</t>
  </si>
  <si>
    <t>A66 RAM CUSTOM FACEPLATE FOR CONSOLE</t>
  </si>
  <si>
    <t>RAM-FP3-6500-2440</t>
  </si>
  <si>
    <t>B71 RAM CUSTOM FACEPLATE FOR CONSOLE</t>
  </si>
  <si>
    <t>RAM-FP3-6500-2000</t>
  </si>
  <si>
    <t>B54 RAM CUSTOM FACEPLATE FOR CONSOLE</t>
  </si>
  <si>
    <t>RAM-FP3-6500-1880</t>
  </si>
  <si>
    <t>A85 RAM CUSTOM FACEPLATE FOR CONSOLE</t>
  </si>
  <si>
    <t>RAM-FP3-6500-1770</t>
  </si>
  <si>
    <t>A83 RAM CUSTOM FACEPLATE FOR CONSOLE</t>
  </si>
  <si>
    <t>RAM-FP3-6500-1700</t>
  </si>
  <si>
    <t>B47 RAM CUSTOM FACEPLATE FOR CONSOLE</t>
  </si>
  <si>
    <t>RAM-FP3-6500-1500</t>
  </si>
  <si>
    <t>B06 RAM CUSTOM FACEPLATE FOR CONSOLE</t>
  </si>
  <si>
    <t>RAM-FP3-6375-1813</t>
  </si>
  <si>
    <t>A50 RAM CUSTOM FACEPLATE FOR CONSOLE</t>
  </si>
  <si>
    <t>RAM-FP3-6310-1780</t>
  </si>
  <si>
    <t>A22 RAM CUSTOM FACEPLATE FOR CONSOLE</t>
  </si>
  <si>
    <t>RAM-FP3-6310-1750</t>
  </si>
  <si>
    <t>A55 RAM CUSTOM FACEPLATE FOR CONSOLE</t>
  </si>
  <si>
    <t>RAM-FP3-6310-1690</t>
  </si>
  <si>
    <t>A23 RAM CUSTOM FACEPLATE FOR CONSOLE</t>
  </si>
  <si>
    <t>RAM-FP3-6300-2100</t>
  </si>
  <si>
    <t>A73 RAM CUSTOM FACEPLATE FOR CONSOLE</t>
  </si>
  <si>
    <t>RAM-FP3-6300-2000</t>
  </si>
  <si>
    <t>B77 RAM CUSTOM FACEPLATE FOR CONSOLE</t>
  </si>
  <si>
    <t>RAM-FP3-6300-1850</t>
  </si>
  <si>
    <t>A56 RAM CUSTOM FACEPLATE FOR CONSOLE</t>
  </si>
  <si>
    <t>RAM-FP3-6300-1770</t>
  </si>
  <si>
    <t>B33 RAM CUSTOM FACEPLATE FOR CONSOLE</t>
  </si>
  <si>
    <t>RAM-FP3-6300-1690</t>
  </si>
  <si>
    <t>A45 RAM CUSTOM FACEPLATE FOR CONSOLE</t>
  </si>
  <si>
    <t>RAM-FP3-6250-2500</t>
  </si>
  <si>
    <t>A81 RAM CUSTOM FACEPLATE FOR CONSOLE</t>
  </si>
  <si>
    <t>RAM-FP3-6250-2200</t>
  </si>
  <si>
    <t>A34 RAM CUSTOM FACEPLATE FOR CONSOLE</t>
  </si>
  <si>
    <t>RAM-FP3-6250-2130</t>
  </si>
  <si>
    <t>A04 RAM CUSTOM FACEPLATE FOR CONSOLE</t>
  </si>
  <si>
    <t>RAM-FP3-6250-2000</t>
  </si>
  <si>
    <t>A30 RAM CUSTOM FACEPLATE FOR CONSOLE</t>
  </si>
  <si>
    <t>RAM-FP3-6250-1630</t>
  </si>
  <si>
    <t>B23 RAM CUSTOM FACEPLATE FOR CONSOLE</t>
  </si>
  <si>
    <t>RAM-FP3-6220-2140</t>
  </si>
  <si>
    <t>B75 RAM CUSTOM FACEPLATE FOR CONSOLE</t>
  </si>
  <si>
    <t>RAM-FP3-6200-2130</t>
  </si>
  <si>
    <t>B20 RAM CUSTOM FACEPLATE FOR CONSOLE</t>
  </si>
  <si>
    <t>RAM-FP3-6170-2330</t>
  </si>
  <si>
    <t>A38 RAM CUSTOM FACEPLATE FOR CONSOLE</t>
  </si>
  <si>
    <t>RAM-FP3-6130-2500</t>
  </si>
  <si>
    <t>A40 RAM CUSTOM FACEPLATE FOR CONSOLE</t>
  </si>
  <si>
    <t>RAM-FP3-6130-2130</t>
  </si>
  <si>
    <t>B57 RAM CUSTOM FACEPLATE FOR CONSOLE</t>
  </si>
  <si>
    <t>RAM-FP3-6130-2000</t>
  </si>
  <si>
    <t>A06 RAM CUSTOM FACEPLATE FOR CONSOLE</t>
  </si>
  <si>
    <t>RAM-FP3-6100-2300</t>
  </si>
  <si>
    <t>A19 RAM CUSTOM FACEPLATE FOR CONSOLE</t>
  </si>
  <si>
    <t>RAM-FP3-6100-2200</t>
  </si>
  <si>
    <t>B31 RAM CUSTOM FACEPLATE FOR CONSOLE</t>
  </si>
  <si>
    <t>RAM-FP3-6060-2060</t>
  </si>
  <si>
    <t>B43 RAM CUSTOM FACEPLATE FOR CONSOLE</t>
  </si>
  <si>
    <t>RAM-FP3-6000-2600</t>
  </si>
  <si>
    <t>B11 RAM CUSTOM FACEPLATE FOR CONSOLE</t>
  </si>
  <si>
    <t>RAM-FP3-6000-2500</t>
  </si>
  <si>
    <t>B24 RAM CUSTOM FACEPLATE FOR CONSOLE</t>
  </si>
  <si>
    <t>RAM-FP3-6000-2300</t>
  </si>
  <si>
    <t>A31 RAM CUSTOM FACEPLATE FOR CONSOLE</t>
  </si>
  <si>
    <t>RAM-FP3-6000-2250</t>
  </si>
  <si>
    <t>A60 RAM CUSTOM FACEPLATE FOR CONSOLE</t>
  </si>
  <si>
    <t>RAM-FP3-6000-2120</t>
  </si>
  <si>
    <t>A37 RAM CUSTOM FACEPLATE FOR CONSOLE</t>
  </si>
  <si>
    <t>RAM-FP3-6000-2000</t>
  </si>
  <si>
    <t>B36 RAM CUSTOM FACEPLATE FOR CONSOLE</t>
  </si>
  <si>
    <t>RAM-FP3-6000-1630</t>
  </si>
  <si>
    <t>X17 RAM CUSTOM FACEPLATE BK DMA5992R</t>
  </si>
  <si>
    <t>RAM-FP3-5990-2120</t>
  </si>
  <si>
    <t>B76 RAM CUSTOM FACEPLATE FOR CONSOLE</t>
  </si>
  <si>
    <t>RAM-FP3-5980-2080</t>
  </si>
  <si>
    <t>A28 RAM CUSTOM FACEPLATE FOR CONSOLE</t>
  </si>
  <si>
    <t>RAM-FP3-5910-1970</t>
  </si>
  <si>
    <t>A09 RAM CUSTOM FACEPLATE FOR CONSOLE</t>
  </si>
  <si>
    <t>RAM-FP3-5910-1890</t>
  </si>
  <si>
    <t>A49 RAM CUSTOM FACEPLATE FOR CONSOLE</t>
  </si>
  <si>
    <t>RAM-FP3-5910-1560</t>
  </si>
  <si>
    <t>B38 RAM CUSTOM FACEPLATE FOR CONSOLE</t>
  </si>
  <si>
    <t>RAM-FP3-5880-2500</t>
  </si>
  <si>
    <t>A54 RAM CUSTOM FACEPLATE FOR CONSOLE</t>
  </si>
  <si>
    <t>RAM-FP3-5880-2000</t>
  </si>
  <si>
    <t>A48 RAM CUSTOM FACEPLATE FOR CONSOLE</t>
  </si>
  <si>
    <t>RAM-FP3-5750-2000</t>
  </si>
  <si>
    <t>B68 RAM CUSTOM FACEPLATE FOR CONSOLE</t>
  </si>
  <si>
    <t>RAM-FP3-5700-1850</t>
  </si>
  <si>
    <t>A16 RAM CUSTOM FACEPLATE FOR CONSOLE</t>
  </si>
  <si>
    <t>RAM-FP3-5600-1660</t>
  </si>
  <si>
    <t>A52 RAM CUSTOM FACEPLATE FOR CONSOLE</t>
  </si>
  <si>
    <t>RAM-FP3-5520-1580</t>
  </si>
  <si>
    <t>A59 RAM CUSTOM FACEPLATE FOR CONSOLE</t>
  </si>
  <si>
    <t>RAM-FP3-5500-2500</t>
  </si>
  <si>
    <t>A72 RAM CUSTOM FACEPLATE FOR CONSOLE</t>
  </si>
  <si>
    <t>RAM-FP3-5500-2000</t>
  </si>
  <si>
    <t>B05 RAM CUSTOM FACEPLATE FOR CONSOLE</t>
  </si>
  <si>
    <t>RAM-FP3-5500-1750</t>
  </si>
  <si>
    <t>B08 RAM CUSTOM FACEPLATE FOR CONSOLE</t>
  </si>
  <si>
    <t>RAM-FP3-5500-1600</t>
  </si>
  <si>
    <t>A51 RAM CUSTOM FACEPLATE FOR CONSOLE</t>
  </si>
  <si>
    <t>RAM-FP3-5500-1560</t>
  </si>
  <si>
    <t>A47 RAM CUSTOM FACEPLATE FOR CONSOLE</t>
  </si>
  <si>
    <t>RAM-FP3-5400-2400</t>
  </si>
  <si>
    <t>A76 RAM CUSTOM FACEPLATE FOR CONSOLE</t>
  </si>
  <si>
    <t>RAM-FP3-5200-1630</t>
  </si>
  <si>
    <t>B42 RAM CUSTOM FACEPLATE FOR CONSOLE</t>
  </si>
  <si>
    <t>RAM-FP3-5190-1630</t>
  </si>
  <si>
    <t>A14 RAM CUSTOM FACEPLATE FOR CONSOLE</t>
  </si>
  <si>
    <t>RAM-FP3-5000-2480</t>
  </si>
  <si>
    <t>B78 RAM CUSTOM FACEPLATE FOR CONSOLE</t>
  </si>
  <si>
    <t>RAM-FP3-4900-1830</t>
  </si>
  <si>
    <t>B04 RAM CUSTOM FACEPLATE FOR CONSOLE</t>
  </si>
  <si>
    <t>RAM-FP3-4875-2188</t>
  </si>
  <si>
    <t>B72 RAM CUSTOM FACEPLATE FOR CONSOLE</t>
  </si>
  <si>
    <t>RAM-FP3-4500-2000</t>
  </si>
  <si>
    <t>S05 RAM FIVE SWITCH FACEPLATE LH</t>
  </si>
  <si>
    <t>RAM-FP2-S5-0830-1450</t>
  </si>
  <si>
    <t>S04 RAM QUAD SWITCH FACEPLATE LH</t>
  </si>
  <si>
    <t>RAM-FP2-S4L-0830-1450</t>
  </si>
  <si>
    <t>S01 RAM TRIPLE SWITCH FACEPLATE LH</t>
  </si>
  <si>
    <t>RAM-FP2-S3L-0830-1450</t>
  </si>
  <si>
    <t>C04 RAM DOUBLE SWITCH FACEPLATE LH</t>
  </si>
  <si>
    <t>RAM-FP2-S2L-0830-1450-CIG2</t>
  </si>
  <si>
    <t>S02 RAM DOUBLE SWITCH FACEPLATE LH</t>
  </si>
  <si>
    <t>RAM-FP2-S2L-0830-1450</t>
  </si>
  <si>
    <t>S03 RAM SINGLE SWITCH FACEPLATE LH</t>
  </si>
  <si>
    <t>RAM-FP2-S1L-0830-1450</t>
  </si>
  <si>
    <t>RAM 2" FILLER FACE PLATE</t>
  </si>
  <si>
    <t>RAM-FP-2-FILLER</t>
  </si>
  <si>
    <t>C03 RAM QUAD FEMALE CIGARETTE PLATE</t>
  </si>
  <si>
    <t>RAM-FP2-CIG4</t>
  </si>
  <si>
    <t>C02 RAM TRIPLE FEMALE CIGARETTE PLATE</t>
  </si>
  <si>
    <t>RAM-FP2-CIG3</t>
  </si>
  <si>
    <t>X15 RAM DOUBLE FEMALE CIG POWER BLOCK</t>
  </si>
  <si>
    <t>RAM-FP2-CIG2-BLOCK</t>
  </si>
  <si>
    <t>C01 RAM DOUBLE FEMALE CIGARETTE PLATE</t>
  </si>
  <si>
    <t>RAM-FP2-CIG2</t>
  </si>
  <si>
    <t>B56 RAM CUSTOM FACEPLATE FOR CONSOLE</t>
  </si>
  <si>
    <t>RAM-FP2-6600-1260</t>
  </si>
  <si>
    <t>X04 RAM CUSTOM FACEPLATE FOR CONSOLE</t>
  </si>
  <si>
    <t>RAM-FP2-6540-1260</t>
  </si>
  <si>
    <t>A33 RAM CUSTOM FACEPLATE FOR CONSOLE</t>
  </si>
  <si>
    <t>RAM-FP2-6300-1580</t>
  </si>
  <si>
    <t>A07 RAM CUSTOM FACEPLATE FOR CONSOLE</t>
  </si>
  <si>
    <t>RAM-FP2-6300-1300</t>
  </si>
  <si>
    <t>A12 RAM CUSTOM FACEPLATE FOR CONSOLE</t>
  </si>
  <si>
    <t>RAM-FP2-6100-1500</t>
  </si>
  <si>
    <t>B27 RAM CUSTOM FACEPLATE FOR CONSOLE</t>
  </si>
  <si>
    <t>RAM-FP2-6000-1500</t>
  </si>
  <si>
    <t>A17 RAM CUSTOM FACEPLATE FOR CONSOLE</t>
  </si>
  <si>
    <t>RAM-FP2-5580-1580</t>
  </si>
  <si>
    <t>A53 RAM CUSTOM FACEPLATE FOR CONSOLE</t>
  </si>
  <si>
    <t>RAM-FP2-5500-1500</t>
  </si>
  <si>
    <t>A79 RAM CUSTOM FACEPLATE FOR CONSOLE</t>
  </si>
  <si>
    <t>RAM-FP2-4500-1380</t>
  </si>
  <si>
    <t>RAM-FP-1-FILLER</t>
  </si>
  <si>
    <t>RAM ADJUSTABLE STABILIZATION FEET 2" DIA</t>
  </si>
  <si>
    <t>RAM-FOOT2-2</t>
  </si>
  <si>
    <t>RAM ADJUSTABLE STABILIZATION FOOT 2" DIA</t>
  </si>
  <si>
    <t>RAM-FOOT2</t>
  </si>
  <si>
    <t>RAM 12-28V POWER ADAPTER CLA SYM1 IN11</t>
  </si>
  <si>
    <t>RAM-EXT-POW2</t>
  </si>
  <si>
    <t>UNPK RAM CLAMP BASE W/BALL 2.5 MAX WIDTH</t>
  </si>
  <si>
    <t>RAM-E-247U-25</t>
  </si>
  <si>
    <t>RAM 4.75 SQ.BASE 100 &amp; 75 MIL. W/STUD</t>
  </si>
  <si>
    <t>RAM-E-246U-IN1</t>
  </si>
  <si>
    <t>UNK RAM 4.75 SQ. VESA BASE 100 &amp; 75 MIL.</t>
  </si>
  <si>
    <t>RAM-E-246U</t>
  </si>
  <si>
    <t>3.68 DIA BASE W/ 3 3/8" BALL 6 HOLES</t>
  </si>
  <si>
    <t>RAM-E-202U-SYM1</t>
  </si>
  <si>
    <t>RAM 3.68 DIA BASE WITH 3 3/8" BALLW/STUD</t>
  </si>
  <si>
    <t>RAM-E-202U-IN1</t>
  </si>
  <si>
    <t>UNPKD RAM 3.68 DIA BASE WITH 3 3/8" BALL</t>
  </si>
  <si>
    <t>RAM-E-202U</t>
  </si>
  <si>
    <t>UNPK. RAM E SIZE DBL SOCKET D SHORT ARM</t>
  </si>
  <si>
    <t>RAM-E-201U-D</t>
  </si>
  <si>
    <t>UNPKD RAM DOUBLE SOCKET ARM E BALLS</t>
  </si>
  <si>
    <t>RAM-E-201U</t>
  </si>
  <si>
    <t>RAM MNT VESA PLATE &amp; 3" X 11" BASE SHORT</t>
  </si>
  <si>
    <t>RAM-E-111U-D-246</t>
  </si>
  <si>
    <t>RAM MOUNT W/ 3" X 11" BASE &amp; SHORT ARMS</t>
  </si>
  <si>
    <t>RAM-E-111U-D</t>
  </si>
  <si>
    <t>RAM MOUNT W/ 3" X 11" BASE &amp; 3 3/4" BASE</t>
  </si>
  <si>
    <t>RAM-E-111U</t>
  </si>
  <si>
    <t>RAM BASE 11" X 3" W/ 3 3/8" BALL W/STUD</t>
  </si>
  <si>
    <t>RAM-E-111BU-IN1</t>
  </si>
  <si>
    <t>RAM BASE 11" X 3" W/ 3 3/8" BALL UNPKD.</t>
  </si>
  <si>
    <t>RAM-E-111BU</t>
  </si>
  <si>
    <t>RAM BASE 11" X 3" W/ 4 EXTRA HOLES</t>
  </si>
  <si>
    <t>RAM-E-111B-JOH1U</t>
  </si>
  <si>
    <t>RAM MOUNT W/2 3.68 BASES &amp; SHORT STEEL</t>
  </si>
  <si>
    <t>RAM-E-101U-D-IN1</t>
  </si>
  <si>
    <t>RAM MOUNT W/2 3.68 BASES &amp; SHORT ARMS</t>
  </si>
  <si>
    <t>RAM-E-101U-D</t>
  </si>
  <si>
    <t>RAM MOUNT VESA PLATE &amp; 3.68 BASE W/ BALL</t>
  </si>
  <si>
    <t>RAM-E-101U-246</t>
  </si>
  <si>
    <t>RAM MOUNT WITH 2-3.68 BASES WITH BALLS</t>
  </si>
  <si>
    <t>RAM-E-101U</t>
  </si>
  <si>
    <t>RAM MOUNT VESA PLATE &amp; 3.68 BASE LIFT TR</t>
  </si>
  <si>
    <t>RAM-E-101-335</t>
  </si>
  <si>
    <t xml:space="preserve">RAM VEHICLE DASH MOUNT WITH 29" TRACK FOR FORD BRONCO </t>
  </si>
  <si>
    <t>RAM-DT-207-TRACK-EXA-29BU</t>
  </si>
  <si>
    <t>RAM-DT-207-TRACK-EXA-29B</t>
  </si>
  <si>
    <t>RAM VEHICLE DASH MOUNT WITH 12" TRACK FOR JEEP JL 18-21</t>
  </si>
  <si>
    <t>RAM-DT-204-TRACK-A12U</t>
  </si>
  <si>
    <t>RAM-DT-204-TRACK-A12</t>
  </si>
  <si>
    <t>TEMP RIGHT HEATER MODULE FOR ZEBRA ET6 (ZE25)  DOCK</t>
  </si>
  <si>
    <t>RAM-DOCK-HEATER1-EU</t>
  </si>
  <si>
    <t>TEMP RIGHT HEATER MODULE FOR ZEBRA ET4X DOCK</t>
  </si>
  <si>
    <t>RAM-DOCK-HEATER1-DU</t>
  </si>
  <si>
    <t>TEMP RIGHT HEATER MODULE FOR TAB ACTIVE 2 &amp; 3</t>
  </si>
  <si>
    <t>RAM-DOCK-HEATER1-CU</t>
  </si>
  <si>
    <t>TEMP RIGHT HEATER MODULE FOR TOUGH DOCK</t>
  </si>
  <si>
    <t>RAM-DOCK-HEATER1-BU</t>
  </si>
  <si>
    <t>TEMP RIGHT HEATER MODULE FOR ZEBRA ET8X DOCK</t>
  </si>
  <si>
    <t>RAM-DOCK-HEATER1-AU</t>
  </si>
  <si>
    <t>UNPKD RAM SAMSUNG XCOVER6 PRO POWERED 6 GANG DOCK</t>
  </si>
  <si>
    <t>RAM-DOCK-6G-SAM84PU</t>
  </si>
  <si>
    <t>UNPKD RAM SAMSUNG XCOVER6 PRO WITH OEM SKIN POWERED 6 GANG DOCK GREY</t>
  </si>
  <si>
    <t>RAM-DOCK-6G-SAM84CPU-GRY</t>
  </si>
  <si>
    <t>UNPKD RAM SAMSUNG XCOVER6 PRO WITH OEM SKIN POWERED 6 GANG DOCK</t>
  </si>
  <si>
    <t>RAM-DOCK-6G-SAM84CPU</t>
  </si>
  <si>
    <t xml:space="preserve">UNPKD RAM SAMSUNG XCOVER FIELD PRO POWERED 6 GANG DOCK </t>
  </si>
  <si>
    <t>RAM-DOCK-6G-SAM72PU</t>
  </si>
  <si>
    <t xml:space="preserve">UNPKD RAM SAMSUNG XCOVER POWERED 6 GANG DOCK </t>
  </si>
  <si>
    <t>RAM-DOCK-6G-SAM59PU</t>
  </si>
  <si>
    <t xml:space="preserve">UNPKD RAM SAMSUNG XCOVER PRO POWERED 6 GANG DOCK FOR OTTERBOX UNIVERSE CASE </t>
  </si>
  <si>
    <t>RAM-DOCK-6G-SAM59P-OT1U</t>
  </si>
  <si>
    <t xml:space="preserve">UNPKD RAM SAMSUNG XCOVER 5 POWERED 6 GANG DOCK </t>
  </si>
  <si>
    <t>RAM-DOCK-6G-SAM10PU</t>
  </si>
  <si>
    <t>RAM 6 GANG DESKTOP DOCK FOR KYOCERA PHONE</t>
  </si>
  <si>
    <t>RAM-DOCK-6G-KYO1PU</t>
  </si>
  <si>
    <t xml:space="preserve">UNPKD RAM SAMSUNG TAB ACTIVE2, TAB ACTIVE3,  AND TAB ACTIVE PRO POWERED 6 GANG DOCK </t>
  </si>
  <si>
    <t>RAM-DOCK-6G8PU</t>
  </si>
  <si>
    <t xml:space="preserve">UNPKD RAM SAMSUNG TAB ACTIVE2, TAB ACTIVE3, &amp; TAB ACTIVE PRO W/ OTTER BOX UNIVERSE POWERED 6 GANG DOCK </t>
  </si>
  <si>
    <t>RAM-DOCK-6G8P-OT1U</t>
  </si>
  <si>
    <t>RAM MODULAR STANDING DISPLAY</t>
  </si>
  <si>
    <t>RAM-DISPLAY-MODULAR1-GENERIC</t>
  </si>
  <si>
    <t>LARGE STANDING DISPLAY</t>
  </si>
  <si>
    <t>RAM-DISPLAY-LARGE1-GENERIC</t>
  </si>
  <si>
    <t>LIVE COUNTER/SLAT DISPLAY</t>
  </si>
  <si>
    <t>RAM-DISPLAY-COUNTER1-GENERIC</t>
  </si>
  <si>
    <t>RAM MDT DISPLAY MNT W/ FLANGE DBL SWING</t>
  </si>
  <si>
    <t>RAM-DIS-MDT2-8-SW2</t>
  </si>
  <si>
    <t>RAM MDT DISPLAY MNT W/ FLANGE SING SWING</t>
  </si>
  <si>
    <t>RAM-DIS-MDT2-8-SW1</t>
  </si>
  <si>
    <t>RAM MDT DISPLAY MNT W FLANGE BALL SOCKET</t>
  </si>
  <si>
    <t>RAM-DIS-MDT2-8-101</t>
  </si>
  <si>
    <t>RAM MDT DISPLAY MOUNT W/ 8" LONG FLANGE</t>
  </si>
  <si>
    <t>RAM-DIS-MDT2-8</t>
  </si>
  <si>
    <t>RAM MDT DISPLAY MOUNT W DOUBLE SWING 8"</t>
  </si>
  <si>
    <t>RAM-DIS-MDT1-8-SW2</t>
  </si>
  <si>
    <t>RAM MDT DISPLAY MOUNT W SINGLE SWING, 8"</t>
  </si>
  <si>
    <t>RAM-DIS-MDT1-8-SW1</t>
  </si>
  <si>
    <t>RAM MDT DISPLAY MOUNT</t>
  </si>
  <si>
    <t>RAM-DIS-MDT1</t>
  </si>
  <si>
    <t>UNPKD RAM KEYBOARD/ DISPLAY 12.16" BRACKET WITH RIBS</t>
  </si>
  <si>
    <t>RAM-DIS-103-2AU</t>
  </si>
  <si>
    <t>UNPKD RAM KEYBOARD/ DISPLAY 10.79" BRACKET WITH RIBS</t>
  </si>
  <si>
    <t>RAM-DIS-103-1AU</t>
  </si>
  <si>
    <t>RAM MOUNT VESA PLATE WITH 4" CLAMP</t>
  </si>
  <si>
    <t>RAM-D-377U-4-E</t>
  </si>
  <si>
    <t>UNPD RAM 1" RAIL BASE W/ 2 1/4" DIA BALL</t>
  </si>
  <si>
    <t>RAM-D-330-DU</t>
  </si>
  <si>
    <t>RAM D SIZE OCTAGON BUTTON W/ 2 3/4" BASE</t>
  </si>
  <si>
    <t>RAM-D-324-OFU</t>
  </si>
  <si>
    <t>UNPD RAM BASE 2-1/4" DIA BALL W/ 1" RAIL</t>
  </si>
  <si>
    <t>RAM-D-313-DU</t>
  </si>
  <si>
    <t>RAM VERTICAL BASE W/ POST</t>
  </si>
  <si>
    <t>RAM-D-304B-VP</t>
  </si>
  <si>
    <t>RAM HORIZONTAL BASE W/ POST</t>
  </si>
  <si>
    <t>RAM-D-304B-HP</t>
  </si>
  <si>
    <t>RAM 5" X 5" BASE W/ 1" PIPE FEMALE</t>
  </si>
  <si>
    <t>RAM-D-299U</t>
  </si>
  <si>
    <t>RAM 3.5" X 3.5" BASE W/ 1" PIPE FEMALE</t>
  </si>
  <si>
    <t>RAM-D-299-SBU</t>
  </si>
  <si>
    <t>RAM 1" MALE PIPE W/ F TEETH ADJ. DESIGN</t>
  </si>
  <si>
    <t>RAM-D-285U</t>
  </si>
  <si>
    <t>RAM F 1" PIPE W/ MALE TEETH ADJ. DESIGN</t>
  </si>
  <si>
    <t>RAM-D-284U</t>
  </si>
  <si>
    <t>RAM-D-280U</t>
  </si>
  <si>
    <t>RAM 2" - 2 1/2" DIA. RAIL BASE W/ BALL</t>
  </si>
  <si>
    <t>RAM-D-271U-2</t>
  </si>
  <si>
    <t>RAM 1 1/4"-1 7/8" DIA. RAIL BASE W/ BALL</t>
  </si>
  <si>
    <t>RAM-D-271U-12</t>
  </si>
  <si>
    <t>RAM TRI &amp; BI-POD LEG CONNECTOR 1" PIPE</t>
  </si>
  <si>
    <t>RAM-D-264U</t>
  </si>
  <si>
    <t>RAM SINGLE SWING ARM BALL SOCKET 1" PIPE</t>
  </si>
  <si>
    <t>RAM-D-261U</t>
  </si>
  <si>
    <t>RAM 1" PIPE HOLE W/ OCTAGON BUTTON</t>
  </si>
  <si>
    <t>RAM-D-261-DHOBU</t>
  </si>
  <si>
    <t>SWING ARM WITH 1" HOLE AT EACH END</t>
  </si>
  <si>
    <t>RAM-D-261-DHDHU</t>
  </si>
  <si>
    <t>RAM ARM W/ 1" PIPE FEMALE 1/2" POST</t>
  </si>
  <si>
    <t>RAM-D-261-DHCPU</t>
  </si>
  <si>
    <t>RAM EXTENSION SWING ARM FOR 1" PIPE</t>
  </si>
  <si>
    <t>RAM-D-261-1U</t>
  </si>
  <si>
    <t>2 7/16" DIA BASE WITH 2 1/4" BALL 7 HOLE</t>
  </si>
  <si>
    <t>RAM-D-254-WD1U</t>
  </si>
  <si>
    <t>2 7/16" DIA BASE WITH 2 1/4" BALL (AMPS) WITH STEEL REINFORCED POST</t>
  </si>
  <si>
    <t>RAM-D-254U-IN1</t>
  </si>
  <si>
    <t>2 7/16" DIA BASE WITH 2 1/4" BALL (AMPS)</t>
  </si>
  <si>
    <t>RAM-D-254U</t>
  </si>
  <si>
    <t>2 7/16" DIA BASE SHORT ARM RAIL MOUNT</t>
  </si>
  <si>
    <t>RAM-D-254-C-235U</t>
  </si>
  <si>
    <t>RAM 2 7/16" DIA. BRONZE BASE W/ BALL</t>
  </si>
  <si>
    <t>RAM-D-254BU</t>
  </si>
  <si>
    <t>UNPK RAM CLAMP BASE W/BALL 5 MAX WIDTH</t>
  </si>
  <si>
    <t>RAM-D-247U-5</t>
  </si>
  <si>
    <t>4" FORK LIFT BASE W/ 1" POST RATCHET</t>
  </si>
  <si>
    <t>RAM-D-247U-4P1</t>
  </si>
  <si>
    <t>RAM CLAMP BASE W/BALL 4" WIDE NO HARDWAR</t>
  </si>
  <si>
    <t>RAM-D-247U-4NH</t>
  </si>
  <si>
    <t>UNPK RAM CLAMP BASE W/ REINFORCED BALL 4 MAX WIDTH</t>
  </si>
  <si>
    <t>RAM-D-247U-4-IN1</t>
  </si>
  <si>
    <t>UNPK RAM CLAMP BASE W/BALL 4 MAX WIDTH</t>
  </si>
  <si>
    <t>RAM-D-247U-4</t>
  </si>
  <si>
    <t>UNPK RAM CLAMP BASE W/BALL 3 MAX WIDTH</t>
  </si>
  <si>
    <t>RAM-D-247U-3</t>
  </si>
  <si>
    <t>UNPK RAM CLAMP BASE W/BALL 2 MAX GRD 8</t>
  </si>
  <si>
    <t>RAM-D-247U-2GL1</t>
  </si>
  <si>
    <t>RAM-D-247U-25</t>
  </si>
  <si>
    <t>UNPK RAM CLAMP BASE W/BALL 2 MAX WIDTH</t>
  </si>
  <si>
    <t>RAM-D-247U-2</t>
  </si>
  <si>
    <t>UNPK RAM CLAMP BASE W/BALL 1.7 MAX WIDTH</t>
  </si>
  <si>
    <t>RAM-D-247U-17</t>
  </si>
  <si>
    <t>UNPK RAM CLAMP BASE W/BALL 1.5 MAX WIDTH</t>
  </si>
  <si>
    <t>RAM-D-247U-15</t>
  </si>
  <si>
    <t>UNPK RAM CLAMP BASE W/ 2.25" BALL 1.75" - 4" WIDTH</t>
  </si>
  <si>
    <t>RAM-D-247U</t>
  </si>
  <si>
    <t xml:space="preserve">UNPKD RAM KEYBOARD/ DISPLAY 10.79" BRACKET WITH RIBS AND SHORT ARM FORKLIFT MOUNT </t>
  </si>
  <si>
    <t>RAM-D-247-C-254-DIS1U</t>
  </si>
  <si>
    <t>RAM 100 75 VESA BASE W/ STEEL REINFORCE</t>
  </si>
  <si>
    <t>RAM-D-246U-IN1</t>
  </si>
  <si>
    <t>RAM-D-246U</t>
  </si>
  <si>
    <t>VESA PLATE WITH 1" POST</t>
  </si>
  <si>
    <t>RAM-D-246PU</t>
  </si>
  <si>
    <t>UNPKD VESA BRACKET W/ 1" HOLE</t>
  </si>
  <si>
    <t>RAM-D-246HU</t>
  </si>
  <si>
    <t>UNK RAM 4.75 SQ. VESA BASE  NO WASHS2</t>
  </si>
  <si>
    <t>RAM-D-246-AD1U</t>
  </si>
  <si>
    <t>UNPKD RAM 35MM X 75MM VESA MIS-C W/ BALL</t>
  </si>
  <si>
    <t>RAM-D-2462U</t>
  </si>
  <si>
    <t>RAM MOUNT 75MIL VESA BASE WITH 4" CLAMP</t>
  </si>
  <si>
    <t>RAM-D-2461U-C-247-4</t>
  </si>
  <si>
    <t>RAM 3 5/8" SQ. 75 MIL. VESA BASE W/ BALL</t>
  </si>
  <si>
    <t>RAM-D-2461U</t>
  </si>
  <si>
    <t>RAM VESA 75MM W/ 1" PIPE HOLE</t>
  </si>
  <si>
    <t>RAM-D-246-1HU</t>
  </si>
  <si>
    <t>UNPKD 2-13/16" X 5" PLATE BALL HALF VESA</t>
  </si>
  <si>
    <t>RAM-D-243U</t>
  </si>
  <si>
    <t>UNPK RAM W/ 2 U-BOLTS FOR 3/4 TO 1 1/4</t>
  </si>
  <si>
    <t>RAM-D-235U</t>
  </si>
  <si>
    <t>UNPK RAM W/U-BOLTS FOR 1 1/2" DIA</t>
  </si>
  <si>
    <t>RAM-D-235-1U</t>
  </si>
  <si>
    <t>UNPKD RAM SQ. BASE W/ 1" NPT 90 DEG HOLE</t>
  </si>
  <si>
    <t>RAM-D-232S-90U</t>
  </si>
  <si>
    <t>UNPKD RAM DOUBLE 2 1/4" BALL ADAPTER</t>
  </si>
  <si>
    <t>RAM-D-230U</t>
  </si>
  <si>
    <t>TRACK PLATE W/POST FOR TITE-LOK</t>
  </si>
  <si>
    <t>RAM-D-228U</t>
  </si>
  <si>
    <t>RAM SINGLE BALL W/ 1" NPT HOLE</t>
  </si>
  <si>
    <t>RAM-D-218-1</t>
  </si>
  <si>
    <t>3.68 DIA BASE W/ 1" DIA POST 6 HOLES</t>
  </si>
  <si>
    <t>RAM-D-202U-SYM1</t>
  </si>
  <si>
    <t>UNPKD RAM 3.68 DIA. BASE RAYMARINE</t>
  </si>
  <si>
    <t>RAM-D-202U-RM1</t>
  </si>
  <si>
    <t>CC UND RAM BASE NORTHROP GRUMMAN C161110</t>
  </si>
  <si>
    <t>RAM-D-202U-NO1</t>
  </si>
  <si>
    <t>RAM 3.68 DIA. BASE W/ STEEL REINFORCE</t>
  </si>
  <si>
    <t>RAM-D-202U-IN1</t>
  </si>
  <si>
    <t>PAINTED RAM BASE CROWN LIFT TRUCKS 2.25" BALL</t>
  </si>
  <si>
    <t>RAM-D-202U-CRO1P</t>
  </si>
  <si>
    <t>RAM BASE CROWN LIFT TRUCKS 2.25" BALL</t>
  </si>
  <si>
    <t>RAM-D-202U-CRO1</t>
  </si>
  <si>
    <t>UNPKD RAM 2" X 5" BASE WITH BALL</t>
  </si>
  <si>
    <t>RAM-D-202U-25</t>
  </si>
  <si>
    <t>RAM BASE 2" X 4" W/ 2 1/4" DIA. BALL</t>
  </si>
  <si>
    <t>RAM-D-202U-24</t>
  </si>
  <si>
    <t>RAM BASE 2" X 3" W/ 2 1/4" DIA. BALL WITH STEEL REINFORCED POST</t>
  </si>
  <si>
    <t>RAM-D-202U-23-IN1</t>
  </si>
  <si>
    <t>RAM BASE 2" X 3" W/ 2 1/4" DIA. BALL</t>
  </si>
  <si>
    <t>RAM-D-202U-23</t>
  </si>
  <si>
    <t>UNPKD RAM 2" X 2.5" BASE WITH BALL</t>
  </si>
  <si>
    <t>RAM-D-202U-225</t>
  </si>
  <si>
    <t>UNPKD RAM 2" X 2" BASE WITH BALL</t>
  </si>
  <si>
    <t>RAM-D-202U-22</t>
  </si>
  <si>
    <t>UNPKD RAM 3.68 DIA. BASE WITH BALL</t>
  </si>
  <si>
    <t>RAM-D-202U</t>
  </si>
  <si>
    <t>UNPKD RAM 3.68 DIA. BASE WITH 1/2" POST</t>
  </si>
  <si>
    <t>RAM-D-202PU</t>
  </si>
  <si>
    <t>UNPKD RAM 2" X 5" SHORT ARM ROUND BASE</t>
  </si>
  <si>
    <t>RAM-D-202-25-C-202U</t>
  </si>
  <si>
    <t>UNPKD RAM 2" X 5" SHORT ARM AND HIGH TORQUE WRENCH ROUND BASE</t>
  </si>
  <si>
    <t>RAM-D-202-25-C-202-KNOB9HU</t>
  </si>
  <si>
    <t>RAM 2" X 5" SHORT ARM ROUND BASE</t>
  </si>
  <si>
    <t>RAM-D-202-25-C-202</t>
  </si>
  <si>
    <t>RAM 3.68 DIA. BASE WITH BALL</t>
  </si>
  <si>
    <t>RAM-D-202</t>
  </si>
  <si>
    <t>UNPKD DOUBLE SOCKET ARM D BALLS NO KNOB</t>
  </si>
  <si>
    <t>RAM-D-201U-NK</t>
  </si>
  <si>
    <t>RAM DOUBLE SOCKET ARM WITH JAM NUT</t>
  </si>
  <si>
    <t>RAM-D-201U-MI1</t>
  </si>
  <si>
    <t>RAM DOUBLE SOCKET ARM LONG JAM NUT</t>
  </si>
  <si>
    <t>RAM-D-201U-E-MI1</t>
  </si>
  <si>
    <t>RAM D SIZE LONG LENGTH ARM</t>
  </si>
  <si>
    <t>RAM-D-201U-E</t>
  </si>
  <si>
    <t>UNPK. RAM DOUBLE SOCKET D SHORT ARM WITH E SIZED KNOB</t>
  </si>
  <si>
    <t>RAM-D-201U-C-NEC2</t>
  </si>
  <si>
    <t>RAM DOUBLE SOCKET ARM C LENGTH JAM NUT</t>
  </si>
  <si>
    <t>RAM-D-201U-C-MI1</t>
  </si>
  <si>
    <t>UNPK. RAM DBL SOCKET D SHORT ARM</t>
  </si>
  <si>
    <t>RAM-D-201U-C</t>
  </si>
  <si>
    <t>UNPKD RAM DOUBLE SOCKET ARM D BALLS</t>
  </si>
  <si>
    <t>RAM-D-201U</t>
  </si>
  <si>
    <t>UNPKD RAM SEC DOUBLE SOCKET ARM D BALLS</t>
  </si>
  <si>
    <t>RAM-D-201-SU</t>
  </si>
  <si>
    <t>RAM SING SOC ARM W/ 1" NPT HOLE NO KNOB</t>
  </si>
  <si>
    <t>RAM-D-200-1-VE1</t>
  </si>
  <si>
    <t>RAM 2 1/4"  S SOCKET ARM W/ OCT FEMALE</t>
  </si>
  <si>
    <t>RAM-D-200-1OFU</t>
  </si>
  <si>
    <t>RAM SINGLE SOCKET ARM W/ 1" NPT HOLE</t>
  </si>
  <si>
    <t>RAM-D-200-1</t>
  </si>
  <si>
    <t>RAM 90 DEG. BASE W/ TELE PED NO KNOBS</t>
  </si>
  <si>
    <t>RAM-D-164B-VE1</t>
  </si>
  <si>
    <t>RAM 90 DEG. BASE W/ TELESCOPING PEDESTAL</t>
  </si>
  <si>
    <t>RAM-D-164BU</t>
  </si>
  <si>
    <t>RAM VERTICAL/POLE RATCHET SWING ARM BASE</t>
  </si>
  <si>
    <t>RAM-D-162VU</t>
  </si>
  <si>
    <t>RAM RATCHET ARM W/ 2 1/4" BALL</t>
  </si>
  <si>
    <t>RAM-D-162V-MC4</t>
  </si>
  <si>
    <t>RAM VERT. SWING ARM SYSTEM W/O BALL BASE</t>
  </si>
  <si>
    <t>RAM-D-162V-MC3</t>
  </si>
  <si>
    <t>RAM SWING ARM VERT. BASE</t>
  </si>
  <si>
    <t>RAM-D-162V-MC2</t>
  </si>
  <si>
    <t>RAM RUGGED SWING ARM VERT SYSTEM W/ 246</t>
  </si>
  <si>
    <t>RAM-D-162V-246U</t>
  </si>
  <si>
    <t>RAM VERT. BOSCH RATCHET SWING ARM BASE</t>
  </si>
  <si>
    <t>RAM-D-162V1U</t>
  </si>
  <si>
    <t>RAM-D-162V-1-246U</t>
  </si>
  <si>
    <t>RAM SWIVEL BASE WITH RATCHET FEATURE</t>
  </si>
  <si>
    <t>RAM-D-162SU</t>
  </si>
  <si>
    <t>RAM SWIVEL RATCHET SYSTEM FOR 1" PIPE</t>
  </si>
  <si>
    <t>RAM-D-162SPU</t>
  </si>
  <si>
    <t>RAM SWIVEL BASE W/ SINGLE SOCKET ARM</t>
  </si>
  <si>
    <t>RAM-D-162SAU</t>
  </si>
  <si>
    <t>RAM RATCHET FEATURE W/ 1" M POST</t>
  </si>
  <si>
    <t>RAM-D-162PU</t>
  </si>
  <si>
    <t>RAM HORIZONTAL RATCHET SWING ARM BASE</t>
  </si>
  <si>
    <t>RAM-D-162HU</t>
  </si>
  <si>
    <t>RAM RATCHET SWING ARM HOR. SYSTEM</t>
  </si>
  <si>
    <t>RAM-D-162H-MC5</t>
  </si>
  <si>
    <t>RAM RATCHET SWING ARM WITH 2 1/4" BALL</t>
  </si>
  <si>
    <t>RAM-D-162H-MC4</t>
  </si>
  <si>
    <t>RAM HORZ. SWING ARM SYSTEM W/O BALL BASE</t>
  </si>
  <si>
    <t>RAM-D-162H-MC3</t>
  </si>
  <si>
    <t>RAM SWING ARM HORIZ. BASE</t>
  </si>
  <si>
    <t>RAM-D-162H-MC2</t>
  </si>
  <si>
    <t>RAM SWING ARM HOR. SYSTEM</t>
  </si>
  <si>
    <t>RAM-D-162H-MC1</t>
  </si>
  <si>
    <t>RAM RATCHET BASE WITH 2 1/4" BALL</t>
  </si>
  <si>
    <t>RAM-D-162B-DU</t>
  </si>
  <si>
    <t>RAM RATCHET BASE WITH SINGLE SOCKET ARM</t>
  </si>
  <si>
    <t>RAM-D-162BAU</t>
  </si>
  <si>
    <t>RAM 12" LONG RATCHET SWING ARM</t>
  </si>
  <si>
    <t>RAM-D-162AU</t>
  </si>
  <si>
    <t>RAM UNPKD. 3" X 11" BASE WITH 1" HOLE</t>
  </si>
  <si>
    <t>RAM-D-137BHU</t>
  </si>
  <si>
    <t>UNPKD RAM MOUNT W/ 2 QTY D-111B</t>
  </si>
  <si>
    <t>RAM-D-133U</t>
  </si>
  <si>
    <t>RAM TUBE FISHING ROD HOLDR W/2 1/4" BALL</t>
  </si>
  <si>
    <t>RAM-D-119</t>
  </si>
  <si>
    <t>RAM 6.25X2 PLATE W D BALL LONG ARM BASE</t>
  </si>
  <si>
    <t>RAM-D-115-E</t>
  </si>
  <si>
    <t>RAM 6.25X2 PLATE D BALL SHRT ARM WRENCH</t>
  </si>
  <si>
    <t>RAM-D-115-C-KNOB9H</t>
  </si>
  <si>
    <t>UNPKD RAM 6.25 X 2 PLATE D BALL SHORT ARM BASE &amp; CABLE MANAGER</t>
  </si>
  <si>
    <t>RAM-D-115-C-402U</t>
  </si>
  <si>
    <t>RAM 6.25X2 PLATE W D BALL SHORT ARM BASE</t>
  </si>
  <si>
    <t>RAM-D-115-C</t>
  </si>
  <si>
    <t>UNPKD RAM D SIZE MARINE ELETRONICS BASE 6.25" X 2"</t>
  </si>
  <si>
    <t>RAM-D-115BU</t>
  </si>
  <si>
    <t>RAM 6.25X2 PLATE W D BALL, ARM &amp; BASE</t>
  </si>
  <si>
    <t>RAM-D-115</t>
  </si>
  <si>
    <t>RAM MOUNT SING SOCK W/PLATE STEEL REINFO</t>
  </si>
  <si>
    <t>RAM-D-112-D-IN1</t>
  </si>
  <si>
    <t>RAM MOUNT W/PLATE FOR DOWNRIGGERS</t>
  </si>
  <si>
    <t>RAM-D-112-D</t>
  </si>
  <si>
    <t>RAM-D-111U-E</t>
  </si>
  <si>
    <t>RAM MOUNT W/ 3" X 11" BASE SHRT JAM NUT</t>
  </si>
  <si>
    <t>RAM-D-111U-C-MI1</t>
  </si>
  <si>
    <t>RAM MOUNT W/ 3" X 11" BASE SHRT ARM</t>
  </si>
  <si>
    <t>RAM-D-111U-C</t>
  </si>
  <si>
    <t>RAM-D-111U</t>
  </si>
  <si>
    <t>RAM W/ 3" X 11" BASE &amp; 3 3/4" BASE MILIT</t>
  </si>
  <si>
    <t>RAM-D-111-MIU</t>
  </si>
  <si>
    <t>RAM MOUNT W/ 3" X 11" BASE &amp; WRENCH</t>
  </si>
  <si>
    <t>RAM-D-111-KNOB9HU</t>
  </si>
  <si>
    <t>RAM-D-111-KNOB9H</t>
  </si>
  <si>
    <t>RAM-D-111-C-KNOB9H</t>
  </si>
  <si>
    <t>UNPKD RAM MOUNT W/ 3" X 11" BASE SHRT ARM &amp; CABLE MANAGER</t>
  </si>
  <si>
    <t>RAM-D-111-C-402U</t>
  </si>
  <si>
    <t>RAM-D-111-C</t>
  </si>
  <si>
    <t>RAM BASE 11" X 3" W/ 2 1/4" BALL UNPKD.</t>
  </si>
  <si>
    <t>RAM-D-111BU</t>
  </si>
  <si>
    <t>RAM 11" X 3" BASE W/ STEEL REINFORCE</t>
  </si>
  <si>
    <t>RAM-D-111B-IN1U</t>
  </si>
  <si>
    <t>RAM-D-111</t>
  </si>
  <si>
    <t>UNPKD. RAM VERT BRACKET W/ 1" POST</t>
  </si>
  <si>
    <t>RAM-D-109V-BP1U</t>
  </si>
  <si>
    <t>UNPKD. RAM STR SWING ARM W/ HOR BASE</t>
  </si>
  <si>
    <t>RAM-D-109HS-4U</t>
  </si>
  <si>
    <t>RAM MOUNT WITH 2 QTY. VESA PLATE 100 MM</t>
  </si>
  <si>
    <t>RAM-D-102U-246</t>
  </si>
  <si>
    <t>RAM MOUNT WITH 2 QTY 2.5 BASE</t>
  </si>
  <si>
    <t>RAM-D-102U</t>
  </si>
  <si>
    <t>RAM MOUNT WITH 75X75 MM VESA PLATE</t>
  </si>
  <si>
    <t>RAM-D-101U-MI1-2461</t>
  </si>
  <si>
    <t>RAM MOUNT W/ ROUND BASE &amp; 2.5" PLATE</t>
  </si>
  <si>
    <t>RAM-D-101U-HY2</t>
  </si>
  <si>
    <t>RAM MOUNT W/ 2" RAIL &amp; 2.5" PLATE</t>
  </si>
  <si>
    <t>RAM-D-101U-HY1</t>
  </si>
  <si>
    <t>RAM VERT RATCH ARM DBL BALL AND SOCKET</t>
  </si>
  <si>
    <t>RAM-D-101U-GE1</t>
  </si>
  <si>
    <t>RAM MNT. D-243, D-201, D-254</t>
  </si>
  <si>
    <t>RAM-D-101U-GAM1</t>
  </si>
  <si>
    <t>RAM MOUNT LONG LENGTH ARM</t>
  </si>
  <si>
    <t>RAM-D-101U-E</t>
  </si>
  <si>
    <t>DOUBLE VESA SYSTEM SHORT ARM RAYTHEON</t>
  </si>
  <si>
    <t>RAM-D-101U-C-RAY1</t>
  </si>
  <si>
    <t>RAM MOUNT W 246 &amp; 202 PLATE LARGE KNOB</t>
  </si>
  <si>
    <t>RAM-D-101U-C-NEC2</t>
  </si>
  <si>
    <t>RAM MOUNT SHORT 75X75 MM VESA PLATE</t>
  </si>
  <si>
    <t>RAM-D-101U-C-MI1-2461-TIG1</t>
  </si>
  <si>
    <t>RAM-D-101U-C-MI1-2461</t>
  </si>
  <si>
    <t>UNPKD. RAM MNT. W/2 3.68 BASES &amp; C REINF</t>
  </si>
  <si>
    <t>RAM-D-101U-C-IN1</t>
  </si>
  <si>
    <t>RAM MOUNT 2 7/16" AMPS BASE WITH 4" CLAMP</t>
  </si>
  <si>
    <t>RAM-D-101U-C-247-4</t>
  </si>
  <si>
    <t>RAM MNT. D-243, D-201-C, D-254 SHORT ARM</t>
  </si>
  <si>
    <t>RAM-D-101U-C-243</t>
  </si>
  <si>
    <t>UNPKD. RAM MNT. W/2 3.68 BASES &amp; C ARM</t>
  </si>
  <si>
    <t>RAM-D-101U-C</t>
  </si>
  <si>
    <t>RAM MOUNT WITH VESA PLATE STEEL REINFORC</t>
  </si>
  <si>
    <t>RAM-D-101U-246-IN1</t>
  </si>
  <si>
    <t>RAM-D-101U-2461</t>
  </si>
  <si>
    <t>RAM MOUNT WITH VESA PLATE</t>
  </si>
  <si>
    <t>RAM-D-101U-246</t>
  </si>
  <si>
    <t>RAM-D-101U-243</t>
  </si>
  <si>
    <t>RAM-D-101U</t>
  </si>
  <si>
    <t>UNPKD RAM MOUNT RAYMARINE ELECT</t>
  </si>
  <si>
    <t>RAM-D-101-RM1U</t>
  </si>
  <si>
    <t>RAM-D-101-NEC2U</t>
  </si>
  <si>
    <t>RAM MOUNT W/2 246 PLATE &amp; LARGE KNOB</t>
  </si>
  <si>
    <t>RAM-D-101-NEC1U</t>
  </si>
  <si>
    <t>RAM W/ 2 EA 3 3/4" BASE MILITARY</t>
  </si>
  <si>
    <t>RAM-D-101-MIU</t>
  </si>
  <si>
    <t>RAM MOUNT WITH 1 VESA &amp; 1- 3" STRAP BASE</t>
  </si>
  <si>
    <t>RAM-D-101-ID2U</t>
  </si>
  <si>
    <t>RAM MOUNT WITH 1-3.68 BASE &amp; VESA BASE</t>
  </si>
  <si>
    <t>RAM-D-101-ID1U</t>
  </si>
  <si>
    <t>RAM MOUNT WITH 3.68 BASE &amp; VESA SHRT ARM</t>
  </si>
  <si>
    <t>RAM-D-101-C-ID1U</t>
  </si>
  <si>
    <t>RAM MOUNT  W/ 3.68 BASE &amp; 2.5 BASE</t>
  </si>
  <si>
    <t>RAM-D-101-C-254U</t>
  </si>
  <si>
    <t>RAM MOUNT WITH 3.68 BASE &amp; 2.5 BASE</t>
  </si>
  <si>
    <t>RAM-D-101-254U</t>
  </si>
  <si>
    <t>10' POWER CORD W/FEMALE CIGARETTE PLUG</t>
  </si>
  <si>
    <t>RAM-CIG-F-10</t>
  </si>
  <si>
    <t>UNPKD RAM HARDWIRE CHARGER FOR MOTORCYCLES</t>
  </si>
  <si>
    <t>RAM-CHARGE-V7MU</t>
  </si>
  <si>
    <t>RAM 1.2 M TYPE-A MALE TO TYPE-A FEMALE EXTENSION CABLE</t>
  </si>
  <si>
    <t>RAM-CAB-USB-AMAFU</t>
  </si>
  <si>
    <t>RAM ADATPER CABLE MOLEX TO SAE</t>
  </si>
  <si>
    <t>RAM-CAB-MOL-SAEU</t>
  </si>
  <si>
    <t>RAM GDS FEMALE DC BARREL CONNECTOR TO MICROB MALE ADAPTER CABLE</t>
  </si>
  <si>
    <t>RAM-CAB-DCF-MICROBM</t>
  </si>
  <si>
    <t>UNPD RAM BODY MOUNT ARMS LEGS RADIO CLIP</t>
  </si>
  <si>
    <t>RAM-BM-LA-304U</t>
  </si>
  <si>
    <t>UNPKD RAM BODY MOUNT FOR ARMS AND LEGS</t>
  </si>
  <si>
    <t>RAM-BM-LA1U</t>
  </si>
  <si>
    <t>RAM BODY MOUNT FOR LEGS W/ SNAP LINK</t>
  </si>
  <si>
    <t>RAM-BM-L1-SBU</t>
  </si>
  <si>
    <t>RAM BODY MOUNT LEGS FOR TABLETS</t>
  </si>
  <si>
    <t>RAM-BM-L1-SB1U</t>
  </si>
  <si>
    <t xml:space="preserve">RAM BODY MOUNT LEGS WITH TAB-TITE FOR 7" TABLETS </t>
  </si>
  <si>
    <t>RAM-BM-L1-SB1-TAB2U</t>
  </si>
  <si>
    <t xml:space="preserve">RAM BODY MOUNT LEGS WITH TAB-TITE FOR 8" TABLETS </t>
  </si>
  <si>
    <t>RAM-BM-L1-SB1-TAB12U</t>
  </si>
  <si>
    <t>RAM BODY MOUNT LEGS FOR MOTOROLA XOOM</t>
  </si>
  <si>
    <t>RAM-BM-L1-SB1-MOTO3U</t>
  </si>
  <si>
    <t>RAM BODY MOUNT LEGS FOR APPLE IPHONE 4</t>
  </si>
  <si>
    <t>RAM-BM-L1-AP9U</t>
  </si>
  <si>
    <t>RAM BODY MOUNT LEG KIT FOR XBOX ADAPTIVE CONTROLLER</t>
  </si>
  <si>
    <t>RAM-BM-L1-293-MS2</t>
  </si>
  <si>
    <t>RAM BODY MOUNT FOR LEGS</t>
  </si>
  <si>
    <t>RAM-BM-L1</t>
  </si>
  <si>
    <t>UNPKD RAM 66MM DIA BASE WITH B SIZED BALL</t>
  </si>
  <si>
    <t>RAM-B-MAG66U</t>
  </si>
  <si>
    <t>UNPKD RAM MAG BASE SYSTEM EZ-ROLL'R POWERED DOCK FOR SAMSUNG XCOVER PRO</t>
  </si>
  <si>
    <t>RAM-B-MAG66-SAM9PU</t>
  </si>
  <si>
    <t>RAM-B-MAG66PU</t>
  </si>
  <si>
    <t>UNPKD RAM 66MM DIA BASE AND TOUGH BALL 1/4"-20 X .25" LONG WITH RUBBER WASHER</t>
  </si>
  <si>
    <t>RAM-B-MAG66-379-252025-RWU</t>
  </si>
  <si>
    <t>RAM BODY MOUNT FOR ARMS WITH QUICK RELEASE HOLDER FOR OTTERBOX UNIVERSE</t>
  </si>
  <si>
    <t>RAM-BM-A1-OT2U</t>
  </si>
  <si>
    <t>RAM BODY MOUNT FOR ARMS</t>
  </si>
  <si>
    <t>RAM-BM-A1</t>
  </si>
  <si>
    <t>RAM QUICK DISCONNECT ARM MOUNT FOR INTELLISKIN HD</t>
  </si>
  <si>
    <t>RAM-BM-451U</t>
  </si>
  <si>
    <t>RAM MOUNT TRACK BASE FOR LOWRANCE HOOK2</t>
  </si>
  <si>
    <t>RAM-B-LO12-354-TRA1</t>
  </si>
  <si>
    <t>UNPKD RAM HLDER GARMIN DEZL NUVI W/ BALL</t>
  </si>
  <si>
    <t>RAM-B-HOL-GA68LU</t>
  </si>
  <si>
    <t>UNPKD RAM NON SLIP BEARING KIT</t>
  </si>
  <si>
    <t>RAM-BEARING1U</t>
  </si>
  <si>
    <t>RAM NON SLIP BEARING KIT</t>
  </si>
  <si>
    <t>RAM-BEARING1</t>
  </si>
  <si>
    <t>RAM BELT CLIP LEVER ACCESSORY</t>
  </si>
  <si>
    <t>RAM-BC1LU</t>
  </si>
  <si>
    <t>RAM BELT CLIP LEVER WITH EZ-ROLL'R HOLDER FOR XCOVER6 PRO AND XCOVER7 WITH INTELLISKIN AND RAM SKIN</t>
  </si>
  <si>
    <t>RAM-BC1L-SAM84U</t>
  </si>
  <si>
    <t>RAM-BB-230-18-201U</t>
  </si>
  <si>
    <t>RAM-BB-230-14-201U</t>
  </si>
  <si>
    <t>RAM HEAD REST MOUNT WITH DIAMOND BALL</t>
  </si>
  <si>
    <t>RAM-B-469U</t>
  </si>
  <si>
    <t>RAM TOUGH-MIRROR RIGHT WITH BALL</t>
  </si>
  <si>
    <t>RAM-B-465RU</t>
  </si>
  <si>
    <t xml:space="preserve">RAM MIRROR ASSEMBLIES LH AND RH WITH BALLS  </t>
  </si>
  <si>
    <t>RAM-B-465RL</t>
  </si>
  <si>
    <t>RAM TOUGH-MIRROR LEFT WITH BALL</t>
  </si>
  <si>
    <t>RAM-B-465LU</t>
  </si>
  <si>
    <t>RAM BASE WITH 1" BALL WITH PIN-LOCK AND 1/4-20" THREADED HOLE</t>
  </si>
  <si>
    <t>RAM-B-463U</t>
  </si>
  <si>
    <t>RAM BASE WITH 1" BALL WITH PIN-LOCK AND 1/4-20" THREADED HOLE WITH T-BOLT</t>
  </si>
  <si>
    <t>RAM-B-463-TRA1U</t>
  </si>
  <si>
    <t>RAM GIM-BALL WITH 1" BALL WITH PIN-LOCK AND 1/4-20" THREADED HOLE</t>
  </si>
  <si>
    <t>RAM-B-463-GU</t>
  </si>
  <si>
    <t>LEVEL CUP XL W/ LONG ARM TRACK BASE</t>
  </si>
  <si>
    <t>RAM-B-417B-C-354-TRA1U</t>
  </si>
  <si>
    <t>RAM-B-417B-C-354-TRA1</t>
  </si>
  <si>
    <t>LEVEL CUP XL W/ LONG ARM</t>
  </si>
  <si>
    <t>RAM-B-417B-C-201U</t>
  </si>
  <si>
    <t>RAM-B-417B-C-201</t>
  </si>
  <si>
    <t>UNPK TORQUE FOR 1.5-2 RAILS W B HEX BALL</t>
  </si>
  <si>
    <t>RAM-B-415-15-2U</t>
  </si>
  <si>
    <t>TORQUE FOR 1.5-2 RAILS W B HEX BALL</t>
  </si>
  <si>
    <t>RAM-B-415-15-2</t>
  </si>
  <si>
    <t>RAM GAS TANK BRACKET BMW KAWASAKI 1</t>
  </si>
  <si>
    <t>RAM-B-411U</t>
  </si>
  <si>
    <t>RAM GAS TANK BMW KAWASAKI SHT RAM X-GRIP</t>
  </si>
  <si>
    <t>RAM-B-411-A-UN7BU</t>
  </si>
  <si>
    <t>RAM-B-411-A-UN7B</t>
  </si>
  <si>
    <t>RAM-B-411-A-UN10BU</t>
  </si>
  <si>
    <t>RAM GAS TANK BMW KAWASAKI SHT GOPRO</t>
  </si>
  <si>
    <t>RAM-B-411-A-GOP1U</t>
  </si>
  <si>
    <t>RAM GAS TANK BMW KAWASAKI SHT DIAM</t>
  </si>
  <si>
    <t>RAM-B-411-A-238U</t>
  </si>
  <si>
    <t>RAM GAS TANK BRACK HONDA, SUZUKI, YAM 1</t>
  </si>
  <si>
    <t>RAM-B-410U</t>
  </si>
  <si>
    <t>RAM GAS TANK HONDA, SUZUKI, YAM ST RAM X-GRIP</t>
  </si>
  <si>
    <t>RAM-B-410-A-UN7BU</t>
  </si>
  <si>
    <t>RAM-B-410-A-UN7B</t>
  </si>
  <si>
    <t>RAM-B-410-A-UN10BU</t>
  </si>
  <si>
    <t>RAM GAS TANK HONDA, SUZUKI, YAM ST GOPRO</t>
  </si>
  <si>
    <t>RAM-B-410-A-GOP1U</t>
  </si>
  <si>
    <t>RAM GAS TANK HONDA, SUZUKI, YAM ST DIAM</t>
  </si>
  <si>
    <t>RAM-B-410-A-238U</t>
  </si>
  <si>
    <t>UNPK RAM BAR MNT 3/4"-1" W/ RAM X-GRIP</t>
  </si>
  <si>
    <t>RAM-B-408-75-1-UN8U</t>
  </si>
  <si>
    <t>RAM-B-408-75-1-UN7U</t>
  </si>
  <si>
    <t>RAM-B-408-75-1-UN10U</t>
  </si>
  <si>
    <t>UNPK RAM HANDLEBAR MNT 3/4"-1" 1" BALL</t>
  </si>
  <si>
    <t>RAM-B-408-75-1U</t>
  </si>
  <si>
    <t>UNPK RAM BAR MNT 3/4"-1" SHORT W/ RAM X-GRIP</t>
  </si>
  <si>
    <t>RAM-B-408-75-1-A-UN7U</t>
  </si>
  <si>
    <t>RAM BAR MNT 3/4"-1" SHORT W/ RAM X-GRIP</t>
  </si>
  <si>
    <t>RAM-B-408-75-1-A-UN7</t>
  </si>
  <si>
    <t>RAM BAR MNT3/4" -1" RAM X-GRIP UN10 SHT</t>
  </si>
  <si>
    <t>RAM-B-408-75-1-A-UN10</t>
  </si>
  <si>
    <t>UNPK RAM BAR MNT 3/4"-1" SHORT GOPRO</t>
  </si>
  <si>
    <t>RAM-B-408-75-1-A-GOP1U</t>
  </si>
  <si>
    <t>LEVEL CUP XL W/ .75"-1" TORQUE BASE SHRT</t>
  </si>
  <si>
    <t>RAM-B-408-75-1-A-417U</t>
  </si>
  <si>
    <t>RAM-B-408-75-1-A-417</t>
  </si>
  <si>
    <t>UNPK RAM BAR MNT 3/4"-1" SHORT DIAMOND</t>
  </si>
  <si>
    <t>RAM-B-408-75-1-A-238U</t>
  </si>
  <si>
    <t>UNPK RAM BAR MNT 3/4"-1" SHORT CUP HLD</t>
  </si>
  <si>
    <t>RAM-B-408-75-1-A-132U</t>
  </si>
  <si>
    <t>UNPK RAM BAR MNT 3/4"-1" W DIA. BASE</t>
  </si>
  <si>
    <t>RAM-B-408-75-1-238U</t>
  </si>
  <si>
    <t>RAM HANDLEBAR MNT 3/4"-1" 1" BALL</t>
  </si>
  <si>
    <t>RAM-B-408-75-1</t>
  </si>
  <si>
    <t>UNPK RAM BAR MNT 3/8"-5/8" W/ RAM X-GRIP</t>
  </si>
  <si>
    <t>RAM-B-408-37-62-UN8U</t>
  </si>
  <si>
    <t>RAM-B-408-37-62-UN7U</t>
  </si>
  <si>
    <t>RAM-B-408-37-62-UN10U</t>
  </si>
  <si>
    <t>UNPK RAM HANDLEBAR MNT 3/8"-5/8" 1" BALL</t>
  </si>
  <si>
    <t>RAM-B-408-37-62U</t>
  </si>
  <si>
    <t>UNPK RAM HANDLEBAR MNT 3/8"-5/8" RAM X-GRIP</t>
  </si>
  <si>
    <t>RAM-B-408-37-62-A-UN7U</t>
  </si>
  <si>
    <t>RAM HANDLEBAR MNT 3/8"-5/8" RAM X-GRIP</t>
  </si>
  <si>
    <t>RAM-B-408-37-62-A-UN7</t>
  </si>
  <si>
    <t>RAM BAR MNT 3/8"- 5/8" RAM X-GRIP UN10 SHT</t>
  </si>
  <si>
    <t>RAM-B-408-37-62-A-UN10</t>
  </si>
  <si>
    <t>UNPK RAM BAR MNT 3/8"-5/8" W DIA BASE</t>
  </si>
  <si>
    <t>RAM-B-408-37-62-238U</t>
  </si>
  <si>
    <t>RAM HANDLEBAR MNT 3/8"-5/8" 1" BALL</t>
  </si>
  <si>
    <t>RAM-B-408-37-62</t>
  </si>
  <si>
    <t>UNPK RAM BAR MNT 1 1/8"-1 1/2" W/ RAM X-GRIP</t>
  </si>
  <si>
    <t>RAM-B-408-112-15-UN8U</t>
  </si>
  <si>
    <t>RAM-B-408-112-15-UN7U</t>
  </si>
  <si>
    <t>RAM-B-408-112-15-UN10U</t>
  </si>
  <si>
    <t xml:space="preserve">UNPK RAM HANDLEBAR MNT 1 1/8"-1 1/2" </t>
  </si>
  <si>
    <t>RAM-B-408-112-15U</t>
  </si>
  <si>
    <t>UNPKD RAM BAR MNT GDS DOCK PHONES</t>
  </si>
  <si>
    <t>RAM-B-408-112-15-GDS-DOCK-V1U</t>
  </si>
  <si>
    <t>UNPK RAM BAR MNT 1 1/8"-1 1/2" RAM X-GRIP SHT</t>
  </si>
  <si>
    <t>RAM-B-408-112-15-A-UN7U</t>
  </si>
  <si>
    <t>RAM BAR MNT 1 1/8"-1 1/2" RAM X-GRIP SHT</t>
  </si>
  <si>
    <t>RAM-B-408-112-15-A-UN7</t>
  </si>
  <si>
    <t>RAM BAR MNT 1 1/8"-1 1/2" RAM X-GRIP UN10 SHT</t>
  </si>
  <si>
    <t>RAM-B-408-112-15-A-UN10</t>
  </si>
  <si>
    <t>RAM-B-408-112-15-A-GOP1U</t>
  </si>
  <si>
    <t>UNK RAM BAR MNT 3/4"-1" SHORT W/ DIAMOND</t>
  </si>
  <si>
    <t>RAM-B-408-112-15-A-238U</t>
  </si>
  <si>
    <t>RAM-B-408-112-15-A-132U</t>
  </si>
  <si>
    <t>UNPK RAM BAR MT 1 1/8"-1 1/2" W DIA BASE</t>
  </si>
  <si>
    <t>RAM-B-408-112-15-238U</t>
  </si>
  <si>
    <t xml:space="preserve">RAM HANDLEBAR MNT 1 1/8"-1 1/2" </t>
  </si>
  <si>
    <t>RAM-B-408-112-15</t>
  </si>
  <si>
    <t xml:space="preserve">UNPKD RAM FINGER GRIP + TOUGH WEDGE (RADIO MOUNT) </t>
  </si>
  <si>
    <t>RAM-B-407-UN4U</t>
  </si>
  <si>
    <t>RAM FINGER GRIP + TOUGH WEDGE (RADIO MOUNT)  IN RAM BOX</t>
  </si>
  <si>
    <t>RAM-B-407-UN4</t>
  </si>
  <si>
    <t>UNPKD RAM TOUGH WEDGE BASE 1" BALL</t>
  </si>
  <si>
    <t>RAM-B-407U</t>
  </si>
  <si>
    <t>RAM-B-407-PUMPU</t>
  </si>
  <si>
    <t>UNPKD RAM QUICK-GRIP XL PHONE HOLDER FOR LARGER DEVICES WITH MEDIUM ARM AND TOUGH WEDGE</t>
  </si>
  <si>
    <t>RAM-B-407-PD4U</t>
  </si>
  <si>
    <t>RAM QUICK-GRIP XL PHONE HOLDER FOR LARGER DEVICES WITH MEDIUM ARM AND TOUGH WEDGE IN RAM BOX</t>
  </si>
  <si>
    <t>RAM-B-407-PD4</t>
  </si>
  <si>
    <t>RAM TOUGH WEDGE LNG ARM RAM X-GRIP FOR TABLETS</t>
  </si>
  <si>
    <t>RAM-B-407-C-UN8U</t>
  </si>
  <si>
    <t>UNPKD RAM TOUGH WEDGE LNG ARM ROUND BASE</t>
  </si>
  <si>
    <t>RAM-B-407-C-202U</t>
  </si>
  <si>
    <t>UNPKD RAM TOUGH WEDGE PUMP LNG ARM BASE</t>
  </si>
  <si>
    <t>RAM-B-407-C-202-PUMPU</t>
  </si>
  <si>
    <t>UNPKD RAM TOUGH WEDGE LNG ARM</t>
  </si>
  <si>
    <t>RAM-B-407-201U-C</t>
  </si>
  <si>
    <t>UNPKD RAM TOUGH WEDGE STD ARM</t>
  </si>
  <si>
    <t>RAM-B-407-201U</t>
  </si>
  <si>
    <t>UNPKD RAM TOUGH WEDGE LNG ARM TAB</t>
  </si>
  <si>
    <t>RAM-B-407-201-C-TAB3U</t>
  </si>
  <si>
    <t>UNPKD RAM TOUGH WEDGE PUMP LONG ARM</t>
  </si>
  <si>
    <t>RAM-B-407-201-C-PUMPU</t>
  </si>
  <si>
    <t>UNPKD RAM TOUGH-CLAW W 1/4"-20 SHORT</t>
  </si>
  <si>
    <t>RAM-B-404-A-366U</t>
  </si>
  <si>
    <t>UNPKD RAM MED TOUGH-CLAW W 1/4"-20</t>
  </si>
  <si>
    <t>RAM-B-404-366U</t>
  </si>
  <si>
    <t>RAM-B-404-238U</t>
  </si>
  <si>
    <t>UNPK RAM TOUGH-CLAW 1" BALL W/ RAM X-GRIP 7"</t>
  </si>
  <si>
    <t>RAM-B-400-UN8U</t>
  </si>
  <si>
    <t xml:space="preserve">RAM TOUGH-CLAW 1" BALL W/ RAM X-GRIP </t>
  </si>
  <si>
    <t>RAM-B-400-UN7</t>
  </si>
  <si>
    <t>VEHICLE PRINTER SMALL PRINT &amp; TOUGH CLAW</t>
  </si>
  <si>
    <t>RAM-B-400U-C-VPR-105</t>
  </si>
  <si>
    <t>RAM-B-400U-C-VPR-104</t>
  </si>
  <si>
    <t>VEHICLE PRINTER HP-450/470 &amp; TOUGH CLAW</t>
  </si>
  <si>
    <t>RAM-B-400U-C-VPR-103</t>
  </si>
  <si>
    <t>VEHICLE PRINTR CANON BJC-85 &amp; TOUGH CLAW</t>
  </si>
  <si>
    <t>RAM-B-400U-C-VPR-102</t>
  </si>
  <si>
    <t>UNPK RAM TOUGH-CLAW FOR SPOT GEN4 GPS UNIT</t>
  </si>
  <si>
    <t>RAM-B-400-SPO6U</t>
  </si>
  <si>
    <t>UNPKD RAM TOUGH CLAW SYSTEM EZ-ROLL'R POWERED DOCK FOR SAMSUNG XCOVER PRO</t>
  </si>
  <si>
    <t>RAM-B-400-SAM9PU</t>
  </si>
  <si>
    <t>UNPK RAM TOUGH-CLAW SYST OTTER UNIVERSE PHONE</t>
  </si>
  <si>
    <t>RAM-B-400-OT2U</t>
  </si>
  <si>
    <t>RAM-B-400-HOL-UN7BU</t>
  </si>
  <si>
    <t>UNPKD RAM TOUGH CLAW MNT GDS DOCK PHONES</t>
  </si>
  <si>
    <t>RAM-B-400-GDS-DOCK-V1U</t>
  </si>
  <si>
    <t>UNPK RAM TOUGH-CLAW SYST GARMIN SPINE CLIP</t>
  </si>
  <si>
    <t>RAM-B-400-GA76U</t>
  </si>
  <si>
    <t>79344UNPK RAM TOUGH-CLAW GARMIN GO 52 54</t>
  </si>
  <si>
    <t>RAM-B-400-GA55U</t>
  </si>
  <si>
    <t>UNPK RAM TOUGH-CLAW W/10" RAM X-GRIP &amp; ROTO</t>
  </si>
  <si>
    <t>RAM-B-400-C-UN9-ROTO1U</t>
  </si>
  <si>
    <t>RAM-B-400-C-UN8U</t>
  </si>
  <si>
    <t xml:space="preserve">UNPK RAM TOUGH-CLAW 1" BALL W/ RAM X-GRIP </t>
  </si>
  <si>
    <t>RAM-B-400-C-UN7U</t>
  </si>
  <si>
    <t>UNPK RAM TOUGH-CLAW W/ ATV HOLDER &amp; ROTO</t>
  </si>
  <si>
    <t>RAM-B-400-C-UN4-ROTO1U</t>
  </si>
  <si>
    <t>UNPK RAM TOUGH-CLAW 1" BALL W/ RAM X-GRIP 5"</t>
  </si>
  <si>
    <t>RAM-B-400-C-UN10U</t>
  </si>
  <si>
    <t>RAM QUICK-GRIP 15W WIRELESS WITH TOUGH CLAW MOUNT AND MOTORCYCLE HARDWIRE CHARGER</t>
  </si>
  <si>
    <t>RAM-B-400-A-UN14W-V7M-1</t>
  </si>
  <si>
    <t>RAM TOUGH-CHARGE 15W WIRELESS WITH X-GRIP TECHNOLOGY WITH TOUGH CLAW MOUNT AND MOTORCYCLE HARDWIRE CHARGER</t>
  </si>
  <si>
    <t>RAM-B-400-A-UN12W-V7M-1</t>
  </si>
  <si>
    <t>RAM TOUGH-CHARGE WIRELESS WITH X-GRIP TECHNOLOGY WITH TOUGH CLAW MOUNT AND MOTORCYCLE HARDWIRE CHARGER</t>
  </si>
  <si>
    <t>RAM-B-400-A-UN12W-V7M</t>
  </si>
  <si>
    <t>RAM X-GRIP W/TOUGHCLAW SHORT ARM</t>
  </si>
  <si>
    <t>RAM-B-400-A-HOL-UN7BU</t>
  </si>
  <si>
    <t>RAM-B-400-A-HOL-UN10BU</t>
  </si>
  <si>
    <t>RAM-B-400-A-GOP1U</t>
  </si>
  <si>
    <t>RAM-B-400-A-366U</t>
  </si>
  <si>
    <t>UNPKD RAM TOUGH-CLAW WITH 1" DIA BASE AND SHORT ARM</t>
  </si>
  <si>
    <t>RAM-B-400-A-238U</t>
  </si>
  <si>
    <t>UNPKD RAM RAYMARINE MNT W/ CLAMP BASE</t>
  </si>
  <si>
    <t>RAM-B-400-379-M616U</t>
  </si>
  <si>
    <t>RAM RAYMARINE MNT W/ CLAMP BASE</t>
  </si>
  <si>
    <t>RAM-B-400-379-M616</t>
  </si>
  <si>
    <t>UNPKD RAM MNT W/ CLAMP BASE TOUGH BALL 1/4"-20 X .25" LONG AND RUBBER WASHER</t>
  </si>
  <si>
    <t>RAM-B-400-379-252025-RWU</t>
  </si>
  <si>
    <t>RAM-B-400-238U</t>
  </si>
  <si>
    <t>RAM-B-400-201-AU</t>
  </si>
  <si>
    <t>RAM PILATUS CLAMP BASE WITH 1" BALL</t>
  </si>
  <si>
    <t>RAM-B-380U</t>
  </si>
  <si>
    <t>RAM PILATUS CLAMP SYS SHORT W 1" DIA BAL</t>
  </si>
  <si>
    <t>RAM-B-380-A-125BU</t>
  </si>
  <si>
    <t>RAM 1" DIA BALL AND TALLON FEMALE BASE</t>
  </si>
  <si>
    <t>RAM-B-376-TAL3</t>
  </si>
  <si>
    <t>RAM SUCTION &amp; PANEL MNT GARMIN ETREX</t>
  </si>
  <si>
    <t>RAM-B-372-GA5</t>
  </si>
  <si>
    <t>RAM SUCTION &amp; PANEL MNT GARMIN OREGON</t>
  </si>
  <si>
    <t>RAM-B-372-GA31</t>
  </si>
  <si>
    <t>RAM SUCTION &amp; PANEL MNT GARMIN ETREX COL</t>
  </si>
  <si>
    <t>RAM-B-372-GA16</t>
  </si>
  <si>
    <t>RAM M8 MOTORCYCLE BASE W/ RAM X-GRIP</t>
  </si>
  <si>
    <t>RAM-B-367-UN8U</t>
  </si>
  <si>
    <t>RAM-B-367-UN7U</t>
  </si>
  <si>
    <t>RAM-B-367-UN10U</t>
  </si>
  <si>
    <t>RAM MOTORCYCLE BASE W HOLE M8 SCREW</t>
  </si>
  <si>
    <t>RAM-B-367U</t>
  </si>
  <si>
    <t>RAM MOTORCYCLE BASE W HOLE NO HARDWARE</t>
  </si>
  <si>
    <t>RAM-B-367BU</t>
  </si>
  <si>
    <t>UNPKD RAM GRAB HANDLE MOUNT FOR 2022 TOYOTA TUNDRA</t>
  </si>
  <si>
    <t>RAM-B-367B-M6U</t>
  </si>
  <si>
    <t>RAM GRAB HANDLE MOUNT FOR 2022 TOYOTA TUNDRA</t>
  </si>
  <si>
    <t>RAM-B-367B-M6</t>
  </si>
  <si>
    <t>RAM-B-367</t>
  </si>
  <si>
    <t>UNPD RAM SMALL RND BASE 1/4"-20 W/ ARM</t>
  </si>
  <si>
    <t>RAM-B-366-201U</t>
  </si>
  <si>
    <t>RAM SMALL RND BASE 1/4"-20 W/ ARM</t>
  </si>
  <si>
    <t>RAM-B-366-201</t>
  </si>
  <si>
    <t>UNPKD RAM CYCLE PIVOT BASE W/ STUD</t>
  </si>
  <si>
    <t>RAM-B-360U</t>
  </si>
  <si>
    <t>RAM CYCLE PIVOT BASE W/ STUD</t>
  </si>
  <si>
    <t>RAM-B-360</t>
  </si>
  <si>
    <t>UNPKD. RAM 1" BALL W/ 5/16"-24 FEMALE</t>
  </si>
  <si>
    <t>RAM-B-358U</t>
  </si>
  <si>
    <t>UNPK TORQUE 1.5-2 RAILS B PIN LOCK BALL</t>
  </si>
  <si>
    <t>RAM-B-351-415-15-2U</t>
  </si>
  <si>
    <t>TORQUE FOR 1.5-2 RAILS W B PIN LOCK BALL</t>
  </si>
  <si>
    <t>RAM-B-351-415-15-2</t>
  </si>
  <si>
    <t>RAM BASE W/ M10 X 1.25 PITCH &amp; 1" BALL</t>
  </si>
  <si>
    <t>RAM-B-349U</t>
  </si>
  <si>
    <t>RAM LEFT AND RIGHT TOUGH-MIRROR KIT WITH LONG ARMS M10 X 1.25 BASES AND THREAD ADAPTERS</t>
  </si>
  <si>
    <t>RAM-B-349-RTA-C-465RL</t>
  </si>
  <si>
    <t>RAM LEFT AND RIGHT TOUGH-MIRROR KIT WITH LONG ARMS M10 X 1.25 BASES AND THREAD PITCH ADAPTER</t>
  </si>
  <si>
    <t>RAM-B-349-M1015-C-465RL</t>
  </si>
  <si>
    <t>RAM LEFT AND RIGHT TOUGH-MIRROR KIT WITH LONG ARMS M10 X 1.25 BASES</t>
  </si>
  <si>
    <t>RAM-B-349-C-465RL</t>
  </si>
  <si>
    <t>RAM LEFT AND RIGHT TOUGH-MIRROR KIT WITH STD LENGTH ARMS AND M10 X 1.25 BASES</t>
  </si>
  <si>
    <t>RAM-B-349-465RL</t>
  </si>
  <si>
    <t>RAM BASE W/ M10 X 1.5 PITCH &amp; 1" BALL</t>
  </si>
  <si>
    <t>RAM-B-349-1U</t>
  </si>
  <si>
    <t>RAM-B-349</t>
  </si>
  <si>
    <t>RAM BASE W/1/4"-20 SS STUD &amp; 1" BALL</t>
  </si>
  <si>
    <t>RAM-B-348U-GP1</t>
  </si>
  <si>
    <t>RAM BASE W/1/4"-20 HOLE &amp; 1" BALL</t>
  </si>
  <si>
    <t>RAM-B-348U</t>
  </si>
  <si>
    <t>RAM SYST W/1/4"-20 HOLE &amp; 1/4"-20 STUD</t>
  </si>
  <si>
    <t>RAM-B-348-A-237U</t>
  </si>
  <si>
    <t>RAM-B-347U-TOM1</t>
  </si>
  <si>
    <t>UNPKD. 2" X 1.7" BASE AMPS W/ 7MM HOLES</t>
  </si>
  <si>
    <t>RAM-B-347U-BT</t>
  </si>
  <si>
    <t>RAM-B-347U</t>
  </si>
  <si>
    <t>UNPKD. RAM 2" X 1.7" BASE GPSMAP 600</t>
  </si>
  <si>
    <t>RAM-B-347-G4U</t>
  </si>
  <si>
    <t>RAM 2" X 1.7" BASE AMPS HOLE PAT WITH BILINGUAL PACKAGING</t>
  </si>
  <si>
    <t>RAM-B-347-CA</t>
  </si>
  <si>
    <t>UNPKD RAM MNT W/ AMPS BASE AND 1/4"-20</t>
  </si>
  <si>
    <t>RAM-B-347-366U</t>
  </si>
  <si>
    <t>RAM 2" X 1.7" BASE AMPS HOLE PAT</t>
  </si>
  <si>
    <t>RAM-B-347</t>
  </si>
  <si>
    <t>UNPKD RAM RESERVOIR COVER SIDE BALL</t>
  </si>
  <si>
    <t>RAM-B-346U</t>
  </si>
  <si>
    <t>RAM RESERVOIR COVER SIDE BALL</t>
  </si>
  <si>
    <t>RAM-B-346</t>
  </si>
  <si>
    <t>UNPKD RAM RESERVOIR COVER CENTER BALL</t>
  </si>
  <si>
    <t>RAM-B-345U</t>
  </si>
  <si>
    <t>RAM RESERVOIR COVER CENTER BALL</t>
  </si>
  <si>
    <t>RAM-B-345</t>
  </si>
  <si>
    <t>UNPKD RAM CYCLE STEM BASE W/ 1" DIA BALL</t>
  </si>
  <si>
    <t>RAM-B-342U</t>
  </si>
  <si>
    <t>UNPKD RAM STEM MNT FOR CAMERAS</t>
  </si>
  <si>
    <t>RAM-B-342-366U</t>
  </si>
  <si>
    <t>RAM CYCLE STEM BASE W/ 1" DIA BALL</t>
  </si>
  <si>
    <t>RAM-B-342</t>
  </si>
  <si>
    <t>UNPKD RAM MNT W/ MAG BASE W/ 1/4"-20</t>
  </si>
  <si>
    <t>RAM-B-339-A-237U</t>
  </si>
  <si>
    <t>RAM BASE W/1/4"-20 HOLE HEX &amp; 1" BALL</t>
  </si>
  <si>
    <t>RAM-B-337U</t>
  </si>
  <si>
    <t>UNPK B HEX BALL ATTACHMENT 1.5-2" TORQUE</t>
  </si>
  <si>
    <t>RAM-B-337-1U</t>
  </si>
  <si>
    <t>B HEX BALL ATTACHMENT FOR 1.5-2" TORQUE</t>
  </si>
  <si>
    <t>RAM-B-337-1</t>
  </si>
  <si>
    <t>UNPKD RAM MNT W 2 QTY 1/4"-20 BASES</t>
  </si>
  <si>
    <t>RAM-B-323-AU</t>
  </si>
  <si>
    <t>UNPKD RAM CYCLE BASE W/ 9" FLEX ROD</t>
  </si>
  <si>
    <t>RAM-B-318-1U</t>
  </si>
  <si>
    <t>RAM TRANSDUCER MNT NO ROD NO BASE</t>
  </si>
  <si>
    <t>RAM-B-316-TRA1-NRU</t>
  </si>
  <si>
    <t>RAM 18" FLEXIBLE SEAT CLAW MOUNT AMPS</t>
  </si>
  <si>
    <t>RAM-B-316-400-202U</t>
  </si>
  <si>
    <t>RAM POD I W HOLDER 10" RAM X-GRIP</t>
  </si>
  <si>
    <t>RAM-B-316-1-UN9</t>
  </si>
  <si>
    <t>RAM POD I W HOLDER 7" TABLET RAM X-GRIP</t>
  </si>
  <si>
    <t>RAM-B-316-1-UN8B</t>
  </si>
  <si>
    <t>UNPK RAM POD I W HOLDR 12" TABLET RAM X-GRIP</t>
  </si>
  <si>
    <t>RAM-B-316-1-UN11U</t>
  </si>
  <si>
    <t>UNPK RAM POD I W HOLDR 5" PHABLET RAM X-GRIP</t>
  </si>
  <si>
    <t>RAM-B-316-1-UN10U</t>
  </si>
  <si>
    <t>RAM POD I WITH 1" SINGLE SOCKET ARM</t>
  </si>
  <si>
    <t>RAM-B-316-1U</t>
  </si>
  <si>
    <t>RAM POD I WITH TAB-TITE KIT SMALL</t>
  </si>
  <si>
    <t>RAM-B-316-1-TAB-SM</t>
  </si>
  <si>
    <t>RAM POD I WITH TAB-TITE KIT LARGE</t>
  </si>
  <si>
    <t>RAM-B-316-1-TAB-LG</t>
  </si>
  <si>
    <t>RAM POD I WITH 10" TAB-TITE</t>
  </si>
  <si>
    <t>RAM-B-316-1-TAB8</t>
  </si>
  <si>
    <t>RAM POD I WITH MID TAB-TITE</t>
  </si>
  <si>
    <t>RAM-B-316-1-TAB3</t>
  </si>
  <si>
    <t>79RAM POD I LOCK 1" SINGLE SOCKET W/ 202</t>
  </si>
  <si>
    <t>RAM-B-316-1L-30-202U</t>
  </si>
  <si>
    <t>RAM POD I LOCK 1" SINGLE SOCKET W/ 202</t>
  </si>
  <si>
    <t>RAM-B-316-1L-202U</t>
  </si>
  <si>
    <t>RAM POD I WITH HOLDER FUJITSU W WARN</t>
  </si>
  <si>
    <t>RAM-B-316-1-FUJI1</t>
  </si>
  <si>
    <t>RAM POD I WITH LOCKING HOLDER APPLE IPAD</t>
  </si>
  <si>
    <t>RAM-B-316-1-AP8L</t>
  </si>
  <si>
    <t>RAM POD 18" LONG TRANSDUCER MOUNT</t>
  </si>
  <si>
    <t>RAM-B-316-18-TRA3U</t>
  </si>
  <si>
    <t>RAM POD 18" LONG TRANSDUCER NO BASE</t>
  </si>
  <si>
    <t>RAM-B-316-18-TRA3-NB</t>
  </si>
  <si>
    <t>RAM POD 18" LONG TRANSDUCER TRACK BASE</t>
  </si>
  <si>
    <t>RAM-B-316-18-TRA3-383</t>
  </si>
  <si>
    <t>RAM-B-316-18-TRA3</t>
  </si>
  <si>
    <t xml:space="preserve">RAM POD 18" LONG TRANSDUCER HYDROWAVE </t>
  </si>
  <si>
    <t>RAM-B-316-18-TRA2-NB</t>
  </si>
  <si>
    <t>RAM POD 18" LONG TRANSDUCER MT TRACK BAS</t>
  </si>
  <si>
    <t>RAM-B-316-18-TRA2-383</t>
  </si>
  <si>
    <t>RAM POD 18" LONG TRANSDUCER MT HYDROWAVE</t>
  </si>
  <si>
    <t>RAM-B-316-18-TRA2</t>
  </si>
  <si>
    <t>RAM-B-316-18-TRA1U</t>
  </si>
  <si>
    <t>RAM POD 18" LONG TRANSDUCER MNT TRACK</t>
  </si>
  <si>
    <t>RAM-B-316-18-TRA1-TRA1U</t>
  </si>
  <si>
    <t>RAM-B-316-18-TRA1-TRA1</t>
  </si>
  <si>
    <t>RAM POD 18" LONG TRANSDUCER MNT NO BASE</t>
  </si>
  <si>
    <t>RAM-B-316-18-TRA1-NB</t>
  </si>
  <si>
    <t>RAM POD 18" LONG TRANSDUCER MT WEDGE  LK</t>
  </si>
  <si>
    <t>RAM-B-316-18-TRA1-354-75</t>
  </si>
  <si>
    <t>RAM-B-316-18-TRA1-354</t>
  </si>
  <si>
    <t>RAM POD 18" LONG TRANSDUCER MT RECT BASE</t>
  </si>
  <si>
    <t>RAM-B-316-18-TRA1-202-225</t>
  </si>
  <si>
    <t>RAM-B-316-18-TRA1</t>
  </si>
  <si>
    <t>RAM POD I 30" 1" SINGLE SOCKET W/ 238</t>
  </si>
  <si>
    <t>RAM-B-316-1-30-238U</t>
  </si>
  <si>
    <t>RAM POD I WITH 1" SINGLE SOCKET 24" LG</t>
  </si>
  <si>
    <t>RAM-B-316-1-24-202U</t>
  </si>
  <si>
    <t>RAM POD I WITH 1" SOCKET W/ 238 3 PACK</t>
  </si>
  <si>
    <t>RAM-B-316-1-238U-3</t>
  </si>
  <si>
    <t>RAM POD I WITH 1" SOCKET W/ 238 15 PACK</t>
  </si>
  <si>
    <t>RAM-B-316-1-238U-15</t>
  </si>
  <si>
    <t>RAM POD I WITH 1" SINGLE SOCKET W/ 238</t>
  </si>
  <si>
    <t>RAM-B-316-1-238U</t>
  </si>
  <si>
    <t>RAM POD I WITH 1" BALL &amp; TOUGH TRAY 2</t>
  </si>
  <si>
    <t>RAM-B-316-1-234-6U</t>
  </si>
  <si>
    <t>RAM 18" FLEXIBLE SEAT CLAMP MOUNT</t>
  </si>
  <si>
    <t>RAM-B-316-121BU</t>
  </si>
  <si>
    <t>RAM 18" FLEXIBLE SEAT CLAMP MOUNT DIA</t>
  </si>
  <si>
    <t>RAM-B-316-121B-238U</t>
  </si>
  <si>
    <t>RAM 18"  SEAT CLAMP MOUNT AMPS 3 PAC</t>
  </si>
  <si>
    <t>RAM-B-316-121B-202U-3</t>
  </si>
  <si>
    <t>RAM POD I WITH 1" SOCKET W/ 202 3 PACK</t>
  </si>
  <si>
    <t>RAM-B-316-1-202U-3</t>
  </si>
  <si>
    <t>RAM POD I WITH 1" SOCKET W/ 202 15 PACK</t>
  </si>
  <si>
    <t>RAM-B-316-1-202U-15</t>
  </si>
  <si>
    <t>RAM POD I WITH 1" SINGLE SOCKET W/ 202</t>
  </si>
  <si>
    <t>RAM-B-316-1-202U</t>
  </si>
  <si>
    <t>047-0077-00   SUCTION MOUNT W/O CRADLE</t>
  </si>
  <si>
    <t>RAM-B-311BU-LO2</t>
  </si>
  <si>
    <t>CLUTCH,BRAKE,UBOLT COMBO 2 BALL KIT</t>
  </si>
  <si>
    <t>RAM-B-309-8U</t>
  </si>
  <si>
    <t>CLUTCH,BRAKE,UBOLT COMBO HANDLEBAR KIT</t>
  </si>
  <si>
    <t>RAM-B-309-7U</t>
  </si>
  <si>
    <t>CLUTCH,BRAKE,UBOLT COMBO CASTING NO HARD</t>
  </si>
  <si>
    <t>RAM-B-309-7NHU</t>
  </si>
  <si>
    <t>RAM VIDEO CAMERA MOUNT XTRA LONG</t>
  </si>
  <si>
    <t>RAM-B-309-7-C2</t>
  </si>
  <si>
    <t>UNPK UBOLT COMBO HANDLEBAR W/ EZY-MOUNT</t>
  </si>
  <si>
    <t>RAM-B-309-7-A-326U</t>
  </si>
  <si>
    <t>RAM-B-309-7</t>
  </si>
  <si>
    <t xml:space="preserve">UNPKD RAM MODULAR MOTO BASE W/DBL BALL </t>
  </si>
  <si>
    <t>RAM-B-309-6U</t>
  </si>
  <si>
    <t>UNPKD RAM 1/2" ID RAIL BASE W/ 1" BALL</t>
  </si>
  <si>
    <t>RAM-B-309-5U</t>
  </si>
  <si>
    <t>UNPKD 2 QTY. RAM BASES W/26" FLEX ROD</t>
  </si>
  <si>
    <t>RAM-B-309-4-26U</t>
  </si>
  <si>
    <t>UNPKD RAM BASE W/12" FLEX ROD</t>
  </si>
  <si>
    <t>RAM-B-309-4-12U</t>
  </si>
  <si>
    <t>UNPKD RAM CYCLE HANDLEBAR BALL</t>
  </si>
  <si>
    <t>RAM-B-309-3U</t>
  </si>
  <si>
    <t>RAM CYCLE HANDLEBAR BALL</t>
  </si>
  <si>
    <t>RAM-B-309-3</t>
  </si>
  <si>
    <t>UNPKD RAM CYCLE HANDLEBAR BASE W 2 BALLS</t>
  </si>
  <si>
    <t>RAM-B-309-2U</t>
  </si>
  <si>
    <t>CHROME CYCLE HANDLEBAR BASE W/ 2 BALLS</t>
  </si>
  <si>
    <t>RAM-B-309-2CHU</t>
  </si>
  <si>
    <t>RAM-B-309-2CH</t>
  </si>
  <si>
    <t>RAM MOTORCYCLE HANDLEBAR BASE W/ 2 BALLS</t>
  </si>
  <si>
    <t>RAM-B-309-2</t>
  </si>
  <si>
    <t>UNPKD RAM CYCLE HANDLEBAR BASE W/ 1 BALL</t>
  </si>
  <si>
    <t>RAM-B-309-1U</t>
  </si>
  <si>
    <t>CHROME RAM CYCLE HANDLEBAR BASE W/1 BALL</t>
  </si>
  <si>
    <t>RAM-B-309-1CHU</t>
  </si>
  <si>
    <t>RAM-B-309-1CH</t>
  </si>
  <si>
    <t>RAM MOTORCYCLE HANDLEBAR BASE W/ 1 BALL</t>
  </si>
  <si>
    <t>RAM-B-309-1</t>
  </si>
  <si>
    <t>RAM-B-299-4-238U</t>
  </si>
  <si>
    <t>UNPKD RAM CUP HOLDER TAB TITE KIT</t>
  </si>
  <si>
    <t>RAM-B-299-3-TAB30U</t>
  </si>
  <si>
    <t>RAM TRIPLE 1" BALL BASE</t>
  </si>
  <si>
    <t>RAM-B-289U</t>
  </si>
  <si>
    <t>RAM-B-273U</t>
  </si>
  <si>
    <t xml:space="preserve">RAM BASE SS W/ M6 HOLE HEX &amp; 1" BALL </t>
  </si>
  <si>
    <t>RAM-B-273SS-M6U</t>
  </si>
  <si>
    <t>RAM BASE W/ M6 HOLE HEX &amp; 1" BALL</t>
  </si>
  <si>
    <t>RAM-B-273-M6U</t>
  </si>
  <si>
    <t>RAM BASE W/1/4"-20 X 1/2" LNG STUD</t>
  </si>
  <si>
    <t>RAM-B-273-1U</t>
  </si>
  <si>
    <t>RAM-B-273</t>
  </si>
  <si>
    <t>RAM BASE W/ 9 MM HOLE AND 1" BALL</t>
  </si>
  <si>
    <t>RAM-B-272U</t>
  </si>
  <si>
    <t>RAM MOUNT W/ 272 BASE RAM X-GRIP SHORT</t>
  </si>
  <si>
    <t>RAM-B-272-A-UN7</t>
  </si>
  <si>
    <t>UNPKD RAM SHORT ANGLED BASE &amp; EZY MOUNT</t>
  </si>
  <si>
    <t>RAM-B-272-A-326U-TWI</t>
  </si>
  <si>
    <t>RAM-B-272</t>
  </si>
  <si>
    <t>UNPK RAM 1" BALL W/ #10-24 HOLE FOR ORCA</t>
  </si>
  <si>
    <t>RAM-B-260U-ORC1</t>
  </si>
  <si>
    <t>RAM 1" BALL W/ #10-24 THREADED HOLE</t>
  </si>
  <si>
    <t>RAM-B-260U</t>
  </si>
  <si>
    <t>RAM 1" X 1" U-CHANNEL CLAMP W/ 1" BALL</t>
  </si>
  <si>
    <t>RAM-B-259U</t>
  </si>
  <si>
    <t>RAM 1" X 1" U-CHANNEL CLAMP W/ SET SCREW</t>
  </si>
  <si>
    <t>RAM-B-259NKU</t>
  </si>
  <si>
    <t>RAM .87 X 2.25 W/ 11 MM HOLE &amp; 1" BALL</t>
  </si>
  <si>
    <t>RAM-B-252U</t>
  </si>
  <si>
    <t>RAM .87 X 2.25 W/ 11 MM HOLE &amp; EZY-MOUNT</t>
  </si>
  <si>
    <t>RAM-B-252-A-326U</t>
  </si>
  <si>
    <t>RAM BASE FOR PANASONIC ARBITRATOR CAMERA</t>
  </si>
  <si>
    <t>RAM-B-252-1U</t>
  </si>
  <si>
    <t>RAM-B-252</t>
  </si>
  <si>
    <t>RAM-B-247U-4</t>
  </si>
  <si>
    <t>UNPK RAM CLAMP BASE 3 MAX WIDTH UNIVERSA</t>
  </si>
  <si>
    <t>RAM-B-247U-3-UN4</t>
  </si>
  <si>
    <t>UNPK RAM CLAMP 3" NO HARDWARE</t>
  </si>
  <si>
    <t>RAM-B-247U-3NH</t>
  </si>
  <si>
    <t>UNPK RAM CLAMP BASE W/BALL 3 WIDTH</t>
  </si>
  <si>
    <t>RAM-B-247U-3KE1</t>
  </si>
  <si>
    <t>RAM-B-247U-3</t>
  </si>
  <si>
    <t>UNPK RAM CLAMP BASE 2" NO HRDWR BASEONLY</t>
  </si>
  <si>
    <t>RAM-B-247U-2NHB</t>
  </si>
  <si>
    <t>UNPK RAM CLAMP BASE 2" NO HARDWARE</t>
  </si>
  <si>
    <t>RAM-B-247U-2NH</t>
  </si>
  <si>
    <t>RAM-B-247U-25</t>
  </si>
  <si>
    <t>RAM-B-247U-2</t>
  </si>
  <si>
    <t>RAM-B-247U-17</t>
  </si>
  <si>
    <t>RAM-B-247U-15</t>
  </si>
  <si>
    <t>UNPK RAM CLAMP BASE W/ 1" BALL 1.75" - 4" WIDTH</t>
  </si>
  <si>
    <t>RAM-B-247U</t>
  </si>
  <si>
    <t>UNPK RAM CLAMP 3" WITH UNIVERSAL HOLDER</t>
  </si>
  <si>
    <t>RAM-B-247-3-UN4U</t>
  </si>
  <si>
    <t>RAM SINGLE U-BOLT BASE W/ 1/4" NPT HOLE</t>
  </si>
  <si>
    <t>RAM-B-241U</t>
  </si>
  <si>
    <t>UNPKD. RAM BALL WITH 5/16"-18 POST</t>
  </si>
  <si>
    <t>RAM-B-239U</t>
  </si>
  <si>
    <t>UNPKD RAM BASE &amp; BALL W/ MNTING HARDWARE</t>
  </si>
  <si>
    <t>RAM-B-238-XM1U</t>
  </si>
  <si>
    <t>RAM SEAT TRACK PHONE MOUNT</t>
  </si>
  <si>
    <t>RAM-B-238-WCT-9-UN7</t>
  </si>
  <si>
    <t>RAM ARMREST TRACK PHONE MOUNT</t>
  </si>
  <si>
    <t>RAM-B-238-WCT-2-UN7</t>
  </si>
  <si>
    <t>RAM B SIZE ARM/SEAT TRACK BASE</t>
  </si>
  <si>
    <t>RAM-B-238-WCT</t>
  </si>
  <si>
    <t>UNPKD RAM BASE W/ HARDWARE FOR VENOM CAM</t>
  </si>
  <si>
    <t>RAM-B-238-VEN1U</t>
  </si>
  <si>
    <t>UNPKD RAM 2 7/16" X 1 5/16" BASE W/ HARD</t>
  </si>
  <si>
    <t>RAM-B-238U-INT1</t>
  </si>
  <si>
    <t>UNPKD RAM 2 7/16" X 1 5/16" BASE W/ BALL</t>
  </si>
  <si>
    <t>RAM-B-238U</t>
  </si>
  <si>
    <t>UNPKD RAM 2 7/16" X 1 5/16" BASE TOM TOM</t>
  </si>
  <si>
    <t>RAM-B-238-TO2U</t>
  </si>
  <si>
    <t>UNKD RAM OTTER UNIVERSE ADAPTER B BALL</t>
  </si>
  <si>
    <t>RAM-B-238-OT3U</t>
  </si>
  <si>
    <t>UNPKD RAM 88MM DIA BASE WITH B SIZED BALL BASE</t>
  </si>
  <si>
    <t>RAM-B-238-MAG88U</t>
  </si>
  <si>
    <t>UNPKD RAM BASE FOR FLAT PANELS SHRT SCRW</t>
  </si>
  <si>
    <t>RAM-B-238-FP2U</t>
  </si>
  <si>
    <t>UNPKD RAM BASE FOR FLAT PANELS</t>
  </si>
  <si>
    <t>RAM-B-238-FP1U</t>
  </si>
  <si>
    <t>CHROME RAM 2 7/16" X 1 5/16" BASE W BALL</t>
  </si>
  <si>
    <t>RAM-B-238CHU</t>
  </si>
  <si>
    <t>RAM 2 7/16" X 1 5/16" BASE WITH BALL BI-LINGUAL PACKAGING</t>
  </si>
  <si>
    <t>RAM-B-238-CA</t>
  </si>
  <si>
    <t>RAM DIAMOND BASE &amp; 1/4"-20 TOUGH BAL</t>
  </si>
  <si>
    <t>RAM-B-238-379U-252025</t>
  </si>
  <si>
    <t>RAM 2 7/16" X 1 5/16" BASE WITH BALL</t>
  </si>
  <si>
    <t>RAM-B-238</t>
  </si>
  <si>
    <t>UNPKD. RAM 1" BALL W/ 1/4"-20 ALUM STUD</t>
  </si>
  <si>
    <t>RAM-B-237U</t>
  </si>
  <si>
    <t>RAM 1" BALL W/ 1/4"-20 ALUM. STUD</t>
  </si>
  <si>
    <t>RAM-B-237</t>
  </si>
  <si>
    <t>RAM BALL W/ 3/8-16 THREAD POST FLAT SIDE</t>
  </si>
  <si>
    <t>RAM-B-236U</t>
  </si>
  <si>
    <t>RAM BALL W/ 3/8-16 THREAD POST</t>
  </si>
  <si>
    <t>RAM-B-236-SEC1U</t>
  </si>
  <si>
    <t>RAM-B-236</t>
  </si>
  <si>
    <t>RAM DBL U-BOLT BASE W/ 1" BALL</t>
  </si>
  <si>
    <t>RAM-B-235U</t>
  </si>
  <si>
    <t>UNPKD RAM 2.5" DIA BS W/1/4"NPT HOLE 90D</t>
  </si>
  <si>
    <t>RAM-B-232-90U</t>
  </si>
  <si>
    <t>RAM 2 1/2" DIA. BASE W/1/4"NPT HOLE 90D</t>
  </si>
  <si>
    <t>RAM-B-232-90</t>
  </si>
  <si>
    <t>UNPKD RAM 2.5 DIA. BS W/1/4"NPT HOLE 45D</t>
  </si>
  <si>
    <t>RAM-B-232-45U</t>
  </si>
  <si>
    <t>RAM 2 1/2" DIA. BASE W/1/4"NPT HOLE 45D</t>
  </si>
  <si>
    <t>RAM-B-232-45</t>
  </si>
  <si>
    <t>UNPKD RAM 2.5 DIA. BS W/1/4"NPT HOLE 0D</t>
  </si>
  <si>
    <t>RAM-B-232-0U</t>
  </si>
  <si>
    <t>RAM 2.5 DIA. BASE W/1/4"NPT HOLE 0 DG</t>
  </si>
  <si>
    <t>RAM-B-232-0</t>
  </si>
  <si>
    <t>UNPKD RAM RAIL BASE W/BALL &amp; ZINC U-BOLT</t>
  </si>
  <si>
    <t>RAM-B-231ZU</t>
  </si>
  <si>
    <t>UNPKD RAM RAIL BASE W/BALL FOR REAR VIEW</t>
  </si>
  <si>
    <t>RAM-B-231Z-RVMU</t>
  </si>
  <si>
    <t>UNPKD RAM REAR VIEW BASE WITH AMPS BASE</t>
  </si>
  <si>
    <t>RAM-B-231Z-RVM-347-TOM1U</t>
  </si>
  <si>
    <t>RAM RAIL BASE W/ BALL &amp; ZINC U-BOLT</t>
  </si>
  <si>
    <t>RAM-B-231Z-LO4</t>
  </si>
  <si>
    <t>UNPKD RAM RAIL BASE W/ 1/4"-20 BALL</t>
  </si>
  <si>
    <t>RAM-B-231Z-A-366U</t>
  </si>
  <si>
    <t>UNPKD RAM VIDEO MOUNT FOR RAILS</t>
  </si>
  <si>
    <t>RAM-B-231Z-366U</t>
  </si>
  <si>
    <t>RAM VIDEO MOUNT FOR RAILS</t>
  </si>
  <si>
    <t>RAM-B-231Z-366</t>
  </si>
  <si>
    <t>UNPKD RAM RAIL BASE W/ SCOOTER ADAPTER</t>
  </si>
  <si>
    <t>RAM-B-231Z-319U</t>
  </si>
  <si>
    <t>RAM BASE W/ U-BOLT &amp; UTV STRAP BASE</t>
  </si>
  <si>
    <t>RAM-B-231Z-2U</t>
  </si>
  <si>
    <t>UNPK RAM BASE W/UTV STRAP BASE NO U-BOLT</t>
  </si>
  <si>
    <t>RAM-B-231Z-2NUBU</t>
  </si>
  <si>
    <t>RAM BASE W/UTV STRAP BASE NO U-BOLT</t>
  </si>
  <si>
    <t>RAM-B-231Z-2NUB</t>
  </si>
  <si>
    <t>UNPKD RAM UBOLT &amp; UTV BASE GARMIN VIRB</t>
  </si>
  <si>
    <t>RAM-B-231Z-2-GA63U</t>
  </si>
  <si>
    <t>UNPKD RAM UBOLT &amp; UTV STRAP BASE DELORME</t>
  </si>
  <si>
    <t>RAM-B-231Z-2-DEL1U</t>
  </si>
  <si>
    <t>UNPKD RAM UTV RAILBASE W 1/4-20 BAL SHOR</t>
  </si>
  <si>
    <t>RAM-B-231Z-2-A-366U</t>
  </si>
  <si>
    <t>UNPKD RAM UTV RAIL BASE W/ 1/4"-20 BALL</t>
  </si>
  <si>
    <t>RAM-B-231Z-2-366U</t>
  </si>
  <si>
    <t>RAM UTV RAIL BASE W/ 1/4"-20 BALL</t>
  </si>
  <si>
    <t>RAM-B-231Z-2-366</t>
  </si>
  <si>
    <t>RAM-B-231Z-2</t>
  </si>
  <si>
    <t>RAM-B-231Z</t>
  </si>
  <si>
    <t>UNPK RAM W/ U-BOLT FOR 1/2" TO 1" DIA.</t>
  </si>
  <si>
    <t>RAM-B-231U</t>
  </si>
  <si>
    <t>UNPKD RAM RAIL BASE W/BALL NO HARDWARE</t>
  </si>
  <si>
    <t>RAM-B-231NHU</t>
  </si>
  <si>
    <t>CHROME RAM W/ U-BOLT FOR 3/4" TO 1" DIA.</t>
  </si>
  <si>
    <t>RAM-B-231CHU</t>
  </si>
  <si>
    <t>RAM-B-231CH</t>
  </si>
  <si>
    <t>UNPK RAM U-BOLT &amp; UTV STRP BASE &amp; RAM X-GRIP</t>
  </si>
  <si>
    <t>RAM-B-231-2-UN7U</t>
  </si>
  <si>
    <t>RAM W/ U-BOLT &amp; UTV STRAP BASE &amp; RAM X-GRIP</t>
  </si>
  <si>
    <t>RAM-B-231-2-UN7</t>
  </si>
  <si>
    <t>RAM W/ U-BOLT &amp; UTV STRAP BASE LG RAM X-GRIP</t>
  </si>
  <si>
    <t>RAM-B-231-2-UN10</t>
  </si>
  <si>
    <t>RAM U-BOLT &amp; UTV BSE FOR AQUA BOX PRO 20</t>
  </si>
  <si>
    <t>RAM-B-231-2-AQ7-2</t>
  </si>
  <si>
    <t>RAM-B-231-2-252025</t>
  </si>
  <si>
    <t>RAM-B-231-2</t>
  </si>
  <si>
    <t>UNPK RAM W/ U-BOLT FOR UP TO 1.25" DIA.</t>
  </si>
  <si>
    <t>RAM-B-231-1U</t>
  </si>
  <si>
    <t>CHROME RAM W/ U-BOLT FOR 1" TO 1.25" DIA</t>
  </si>
  <si>
    <t>RAM-B-231-1CHU</t>
  </si>
  <si>
    <t>RAM BASE W/ U-BOLT FOR 1/2" TO 1" DIA.</t>
  </si>
  <si>
    <t>RAM-B-231</t>
  </si>
  <si>
    <t>UNPKD RAM DOUBLE 1" BALL ADAPTER</t>
  </si>
  <si>
    <t>RAM-B-230U</t>
  </si>
  <si>
    <t>RAM DOUBLE 1" BALL ADAPTER</t>
  </si>
  <si>
    <t>RAM-B-230</t>
  </si>
  <si>
    <t>UNPKD RAM SUCTION CUP BASE W/ 1" BALL</t>
  </si>
  <si>
    <t>RAM-B-224U</t>
  </si>
  <si>
    <t>RAM 3.3" DIA. SUCT CUP W 1" BALL</t>
  </si>
  <si>
    <t>RAM-B-224-1U</t>
  </si>
  <si>
    <t xml:space="preserve">RAM 3.3" DIA. SUCT CUP W 1" METAL BALL WITH BILINGUAL PACKAGING </t>
  </si>
  <si>
    <t>RAM-B-224-1-CA</t>
  </si>
  <si>
    <t>UNPK RAM 3.3" SUC CUP W 1/4"-20 BAL SHOR</t>
  </si>
  <si>
    <t>RAM-B-224-1-A-366U</t>
  </si>
  <si>
    <t>RAM-B-224-1-A-366</t>
  </si>
  <si>
    <t>UNPKD RAM RAYMARINE MNT W/ SUCTION BASE</t>
  </si>
  <si>
    <t>RAM-B-224-1-379-M616U</t>
  </si>
  <si>
    <t>RAM RAYMARINE MNT W/ SUCTION BASE</t>
  </si>
  <si>
    <t>RAM-B-224-1-379-M616</t>
  </si>
  <si>
    <t>UNPKD RAM MNT W/ SUCTION BASE RAM TOUGH BALL 1/4"-20 X .25" LONG WITH WASHER</t>
  </si>
  <si>
    <t>RAM-B-224-1-379-252025-RWU</t>
  </si>
  <si>
    <t>UNPK RAM 3.3" DIA. SUC CUP W 1/4"-20 BAL</t>
  </si>
  <si>
    <t>RAM-B-224-1-366U</t>
  </si>
  <si>
    <t>RAM-B-224-1-366</t>
  </si>
  <si>
    <t>RAM 3.3" DIA. SUCT CUP W 1" METAL BALL</t>
  </si>
  <si>
    <t>RAM-B-224-1</t>
  </si>
  <si>
    <t>RAM 1" BALL WITH 4" SUCTION CUP BASE</t>
  </si>
  <si>
    <t>RAM-B-224</t>
  </si>
  <si>
    <t>UNPK RAM BASE W 1/4" NPT HOLE &amp; 12" PIPE</t>
  </si>
  <si>
    <t>RAM-B-218-5412U</t>
  </si>
  <si>
    <t>RAM BASE WITH 1/4" NPT THREADED HOLE</t>
  </si>
  <si>
    <t>RAM-B-218-1U</t>
  </si>
  <si>
    <t>RAM SINGLE BALL W/ 1/4" NPT. HOLE</t>
  </si>
  <si>
    <t>RAM-B-218-1</t>
  </si>
  <si>
    <t>RAM 2 1/2" DIA BASE WITH DOUBLE 1" BALLS</t>
  </si>
  <si>
    <t>RAM-B-217U</t>
  </si>
  <si>
    <t>RAM DBL BALL BASE W/ 1/4" NPT-NO FLANGE</t>
  </si>
  <si>
    <t>RAM-B-217-1U</t>
  </si>
  <si>
    <t>RAM DOUBLE BALL "B" W/2 1/2" DIA. BASE</t>
  </si>
  <si>
    <t>RAM-B-217</t>
  </si>
  <si>
    <t>RAM T-KNOB, BOLT, WASHERS &amp; SPRING</t>
  </si>
  <si>
    <t>RAM-B-2-1</t>
  </si>
  <si>
    <t>UNPKD TRI-POD WITH 1" BALL</t>
  </si>
  <si>
    <t>RAM-B-205U</t>
  </si>
  <si>
    <t>RAM TOM TOM GO BASE</t>
  </si>
  <si>
    <t>RAM-B-202U-TO1</t>
  </si>
  <si>
    <t>UNPKD. RAM 1" BASE &amp; RAYMARINE DRAGONFLY</t>
  </si>
  <si>
    <t>RAM-B-202U-RYM1</t>
  </si>
  <si>
    <t xml:space="preserve"> RAM X-GRIP UNIVERSAL 10" TAB HOLDER W/ BALL</t>
  </si>
  <si>
    <t>RAM-B-202-UN9U</t>
  </si>
  <si>
    <t>UNPKD. RAM THREADED BALL FOR MOTO ES400</t>
  </si>
  <si>
    <t>RAM-B-202U-MOTO2</t>
  </si>
  <si>
    <t>RAM 1" BASE FOR LOWRANCE MARK AND ELITE</t>
  </si>
  <si>
    <t>RAM-B-202U-LO11</t>
  </si>
  <si>
    <t>UNPKD GARMIN VIRB WATERPROOF CASE ADAPT</t>
  </si>
  <si>
    <t>RAM-B-202U-GA65</t>
  </si>
  <si>
    <t>UNPKD GARMIN VIRB CAMERA ADAPTER 1" BALL</t>
  </si>
  <si>
    <t>RAM-B-202U-GA63</t>
  </si>
  <si>
    <t>UNPKD GARMIN VIRB MOUNT ADAPTER 1" BALL</t>
  </si>
  <si>
    <t>RAM-B-202U-GA62</t>
  </si>
  <si>
    <t>RAM 83MM X 75MM BASE W/ .432" DIA POST &amp; 70MM X 40MM HOLES</t>
  </si>
  <si>
    <t>RAM-B-202U-7040</t>
  </si>
  <si>
    <t>RAM BASE 2.5" X 2.5" W/ 1" BALL</t>
  </si>
  <si>
    <t>RAM-B-202U-2525</t>
  </si>
  <si>
    <t>RAM BASE 2" X 5" W/ 1" BALL</t>
  </si>
  <si>
    <t>RAM-B-202U-25</t>
  </si>
  <si>
    <t>RAM BASE 2" X 4" W/ 1" BALL</t>
  </si>
  <si>
    <t>RAM-B-202U-24</t>
  </si>
  <si>
    <t>RAM BASE 2" X 3" W/ 1" BALL</t>
  </si>
  <si>
    <t>RAM-B-202U-23</t>
  </si>
  <si>
    <t>RAM BASE 2" X 2.5" W/ 1" BALL</t>
  </si>
  <si>
    <t>RAM-B-202U-225</t>
  </si>
  <si>
    <t>RAM BASE 2" X 2" W/ 1" BALL</t>
  </si>
  <si>
    <t>RAM-B-202U-22</t>
  </si>
  <si>
    <t>RAM BASE 1.5" X 3" W/ 1" BALL</t>
  </si>
  <si>
    <t>RAM-B-202U-153</t>
  </si>
  <si>
    <t>RAM BASE 1.5" X 2.5" W/ 1" BALL</t>
  </si>
  <si>
    <t>RAM-B-202U-1525</t>
  </si>
  <si>
    <t>RAM BASE 1.5" X 2" W/ 1" BALL</t>
  </si>
  <si>
    <t>RAM-B-202U-152</t>
  </si>
  <si>
    <t>RAM BASE 1" X 2" W/ 1" BALL</t>
  </si>
  <si>
    <t>RAM-B-202U-12</t>
  </si>
  <si>
    <t>UNPKD. RAM 2 7/16" DIA.BASE WITH 1" BALL</t>
  </si>
  <si>
    <t>RAM-B-202U</t>
  </si>
  <si>
    <t>RAM 1" BASE &amp; RAYMARINE DRAGONFLY</t>
  </si>
  <si>
    <t>RAM-B-202-RYM1</t>
  </si>
  <si>
    <t>RAM RECTANGLE BASE MAGELLAN ROAD MATE</t>
  </si>
  <si>
    <t>RAM-B-202-MA4U</t>
  </si>
  <si>
    <t xml:space="preserve">RAM BASE FOR MAGELLAN ROAD MATE </t>
  </si>
  <si>
    <t>RAM-B-202-MA4</t>
  </si>
  <si>
    <t>RAM 1" BASE FOR LOWRANCE HOOK2</t>
  </si>
  <si>
    <t>RAM-B-202-LO12</t>
  </si>
  <si>
    <t>RAM-B-202-LO11</t>
  </si>
  <si>
    <t>UNPKD. RAM GOPRO MOUNTING BASE WITH ARM</t>
  </si>
  <si>
    <t>RAM-B-202-GOP1-201U</t>
  </si>
  <si>
    <t>RAM GOPRO MOUNTING BASE WITH ARM</t>
  </si>
  <si>
    <t>RAM-B-202-GOP1-201</t>
  </si>
  <si>
    <t>UNPKD RAM SPINE MOUNT WITH BALL FOR GARMIN HANDHELD DEVICES</t>
  </si>
  <si>
    <t>RAM-B-202-GA76U</t>
  </si>
  <si>
    <t>RAM SPINE MOUNT WITH BALL FOR GARMIN HANDHELD DEVICES</t>
  </si>
  <si>
    <t>RAM-B-202-GA76</t>
  </si>
  <si>
    <t>GARMIN VIRB CAMERA ADAPTER 1" BALL</t>
  </si>
  <si>
    <t>RAM-B-202-GA63</t>
  </si>
  <si>
    <t>RAM BASE &amp; BALL FOR GARMIN ECHO 100 150</t>
  </si>
  <si>
    <t>RAM-B-202-G4U</t>
  </si>
  <si>
    <t>RAM 1" TRACK BALL WITH T-BOLT ATTACHMENT AND 1' BALL AND SOCKET ARM</t>
  </si>
  <si>
    <t>RAM-B-202-G4-TRA1U</t>
  </si>
  <si>
    <t>RAM BASE &amp; BALL W/ GARMIN MNTING HDWARE</t>
  </si>
  <si>
    <t>RAM-B-202-G3U</t>
  </si>
  <si>
    <t>UNPKD RAM BASE &amp; BALL W/ GARMIN HDWARE</t>
  </si>
  <si>
    <t>RAM-B-202-G2U</t>
  </si>
  <si>
    <t>RAM-B-202-G2</t>
  </si>
  <si>
    <t>RAM-B-202-G1U</t>
  </si>
  <si>
    <t>RAM-B-202-G1</t>
  </si>
  <si>
    <t>CHROME RAM 2 1/2" DIA. BASE W BALL</t>
  </si>
  <si>
    <t>RAM-B-202CHU</t>
  </si>
  <si>
    <t>RAM-B-202AU</t>
  </si>
  <si>
    <t>UNPKD RAM EZ-ROLL'R CRADLE FOR APPLE IPAD MINI 6 WITH 1" BALL</t>
  </si>
  <si>
    <t>RAM-B-202-AP36U</t>
  </si>
  <si>
    <t>RAM APPLE IPAD MINI 4 HOLDER W/ BALL</t>
  </si>
  <si>
    <t>RAM-B-202-AP20U</t>
  </si>
  <si>
    <t>RAM APPLE IPAD AIR HOLDER W/ BALL</t>
  </si>
  <si>
    <t>RAM-B-202-AP17U</t>
  </si>
  <si>
    <t>RAM APPLE IPAD MINI HOLDER W/ BALL</t>
  </si>
  <si>
    <t>RAM-B-202-AP14U</t>
  </si>
  <si>
    <t xml:space="preserve">UNPKD. RAM 2 7/16" DIA BASE W/ 1/4"-20 </t>
  </si>
  <si>
    <t>RAM-B-202-A-366U</t>
  </si>
  <si>
    <t>RAM-B-202A</t>
  </si>
  <si>
    <t>UNPKD RAM RAYMARINE MNT W/ ROUND BASE</t>
  </si>
  <si>
    <t>RAM-B-202-379-M616U</t>
  </si>
  <si>
    <t>RAM RAYMARINE MNT W/ ROUND BASE</t>
  </si>
  <si>
    <t>RAM-B-202-379-M616</t>
  </si>
  <si>
    <t>UNPK RAM BASE W/ 1" BALL W/  MAG BASE</t>
  </si>
  <si>
    <t>RAM-B-202-339U</t>
  </si>
  <si>
    <t>UNPKD. RAM BALL W/ BACKING PLATE AND HARDWARE</t>
  </si>
  <si>
    <t>RAM-B-202-225-2U</t>
  </si>
  <si>
    <t>RAM-B-202-153</t>
  </si>
  <si>
    <t>RAM-B-202</t>
  </si>
  <si>
    <t>RAM DOUBLE SOCKET ARM W/O BOLT,KNOB,SPNG</t>
  </si>
  <si>
    <t>RAM-B-201U-WD1</t>
  </si>
  <si>
    <t>UNPKD RAM DOUBLE SOCKET LONG EXT KNOB</t>
  </si>
  <si>
    <t>RAM-B-201U-C-ALA1</t>
  </si>
  <si>
    <t>UNPKG RAM DBL SOCKET ARM B BALL C LENGTH</t>
  </si>
  <si>
    <t>RAM-B-201U-C</t>
  </si>
  <si>
    <t>UNPKG RAM DBL SOCKET ARM B BALL A LENGTH</t>
  </si>
  <si>
    <t>RAM-B-201U-A</t>
  </si>
  <si>
    <t>RAM-B-201U</t>
  </si>
  <si>
    <t>UNPKD RAM SEC DBL SOCKET ARM FOR 1" BALL</t>
  </si>
  <si>
    <t>RAM-B-201-SU</t>
  </si>
  <si>
    <t>UNPKD RAM DOUBLE SOCKET ARM NO KNOB</t>
  </si>
  <si>
    <t>RAM-B-201NKU</t>
  </si>
  <si>
    <t>RAM-B-201NK-1U</t>
  </si>
  <si>
    <t>UNPKD RAM DBL SOCKET ARM W/ LOCK KNOB</t>
  </si>
  <si>
    <t>RAM-B-201LU</t>
  </si>
  <si>
    <t>UNPKD RAM LONG ARM W KNOB RETENTION</t>
  </si>
  <si>
    <t>RAM-B-201-C-KRU</t>
  </si>
  <si>
    <t>CHROME RAM DOUBLE SOCKET ARM FOR 1" BALL</t>
  </si>
  <si>
    <t>RAM-B-201CHU</t>
  </si>
  <si>
    <t>RAM-B-201CH</t>
  </si>
  <si>
    <t>RAM DBL SOCKET ARM B BALL C LENGTH</t>
  </si>
  <si>
    <t>RAM-B-201-C</t>
  </si>
  <si>
    <t>UNPKD RAM STD ARM W EXTENSION KNOB RET</t>
  </si>
  <si>
    <t>RAM-B-201-ALA1-KRU</t>
  </si>
  <si>
    <t>UNPKD RAM SHORT ARM W/ KNOB RETENTION</t>
  </si>
  <si>
    <t>RAM-B-201-A-KRU</t>
  </si>
  <si>
    <t>CHROME RAM DBL SOCKT ARM B BALL A LENGTH</t>
  </si>
  <si>
    <t>RAM-B-201-ACHU</t>
  </si>
  <si>
    <t>RAM-B-201-ACH</t>
  </si>
  <si>
    <t>RAM DBL SOCKET ARM B BALL A LENGTH</t>
  </si>
  <si>
    <t>RAM-B-201-A</t>
  </si>
  <si>
    <t>UNPKD RAM STD AND LONG DOUBLE SOCKET ARM</t>
  </si>
  <si>
    <t>RAM-B-201-201U-C</t>
  </si>
  <si>
    <t>UNPKD RAM STD AND STD DOUBLE SOCKET ARM</t>
  </si>
  <si>
    <t>RAM-B-201-201U</t>
  </si>
  <si>
    <t>RAM-B-201</t>
  </si>
  <si>
    <t>RAM B SIZE PIPE AND SOCKET ARM FOR SEAT TRACKS</t>
  </si>
  <si>
    <t>RAM-B-200-9-201</t>
  </si>
  <si>
    <t>UNPKD RAM BALL SOCKET ARM FOR 1" BALLS</t>
  </si>
  <si>
    <t>RAM-B-200-1U</t>
  </si>
  <si>
    <t>RAM SINGLE BALL SOCKET ARM FOR 1" BALLS</t>
  </si>
  <si>
    <t>RAM-B-200-1</t>
  </si>
  <si>
    <t>UNPKD RAM DOUBLE SUCTION CUP TABLET HLD</t>
  </si>
  <si>
    <t>RAM-B-189-TAB-SMU</t>
  </si>
  <si>
    <t>UNPKD RAM DBL SUCT MNT 10" TABLET</t>
  </si>
  <si>
    <t>RAM-B-189-TAB8U</t>
  </si>
  <si>
    <t>UNPKD RAM DBL SUCT MNT LRG TABLET</t>
  </si>
  <si>
    <t>RAM-B-189-TAB3U</t>
  </si>
  <si>
    <t>UNPKD RAM DBL SUCT MNT ARM 10" RAM X-GRIP</t>
  </si>
  <si>
    <t>RAM-B-189-PIV1-UN9U</t>
  </si>
  <si>
    <t>UNPKD RAM DBL SUCT MNT ARM 12" RAM X-GRIP</t>
  </si>
  <si>
    <t>RAM-B-189-PIV1-UN11U</t>
  </si>
  <si>
    <t>UNPKD RAM DBL SUCT MNT A ARM 10" RAM X-GRIP</t>
  </si>
  <si>
    <t>RAM-B-189-PIV1-A-UN9U</t>
  </si>
  <si>
    <t>UNPKD RAM DOUBLE SUCTION CUP BASE</t>
  </si>
  <si>
    <t>RAM-B-189BU</t>
  </si>
  <si>
    <t>UNPKD RAM DOUBLE SUCTION PLATE ONLY</t>
  </si>
  <si>
    <t>RAM-B-189BPU</t>
  </si>
  <si>
    <t>UNPKD RAM DOUBLE SUCT BASE PIVOT W/ BALL</t>
  </si>
  <si>
    <t>RAM-B-189B-PIV1U</t>
  </si>
  <si>
    <t>UNPKD RAM STRT DOUBLE SUCTION CUP BASE</t>
  </si>
  <si>
    <t>RAM-B-189B-FRO1U</t>
  </si>
  <si>
    <t>RAM-B-189B-ALA1U</t>
  </si>
  <si>
    <t>UNPKD RAM DBL SUCTION CUP BASE W BALL</t>
  </si>
  <si>
    <t>RAM-B-189B-202U</t>
  </si>
  <si>
    <t>RAM-B-189-A-UN9U</t>
  </si>
  <si>
    <t>UNPKD RAM DOUBLE SUCTION CUP WITH QUICK RELEASE</t>
  </si>
  <si>
    <t>RAM-B-189-326U</t>
  </si>
  <si>
    <t>UNPKD SAM80 DOCK WITH DBL SUCT MOUNT AND CIG POWER</t>
  </si>
  <si>
    <t>RAM-B-189-18-SAM80-CIGU</t>
  </si>
  <si>
    <t>UNPKD RAM MT M8 HANDLEBAR BASE W DIAMOND</t>
  </si>
  <si>
    <t>RAM-B-186U-A</t>
  </si>
  <si>
    <t>RAM-B-186U</t>
  </si>
  <si>
    <t>UNPKD RAM X-GRIP WITH HANDLEBAR CLAMP MOUNT AND ARM</t>
  </si>
  <si>
    <t>RAM-B-186-M6-UN7U</t>
  </si>
  <si>
    <t>UNPKD RAM X-GRIP FOR LARGE PHONES WITH HANDLEBAR CLAMP MOUNT AND ARM</t>
  </si>
  <si>
    <t>RAM-B-186-M6-UN10U</t>
  </si>
  <si>
    <t>RAM X-GRIP FOR LARGE PHONES WITH HANDLEBAR CLAMP MOUNT AND ARM</t>
  </si>
  <si>
    <t>RAM-B-186-M6-UN10</t>
  </si>
  <si>
    <t>UNPKD RAM QUICK-GRIP XL WITH HANDLEBAR CLAMP MOUNT AND ARM</t>
  </si>
  <si>
    <t>RAM-B-186-M6-PD4U</t>
  </si>
  <si>
    <t>UNPKD RAM M8 HAND MNT GDS DOCK PHONES</t>
  </si>
  <si>
    <t>RAM-B-186-GDS-DOCK-V1U</t>
  </si>
  <si>
    <t>UNPKD RAM MT M8 HANDLEBAR BASE W ROUND</t>
  </si>
  <si>
    <t>RAM-B-186-A-202U</t>
  </si>
  <si>
    <t>RAM-B-186-202U</t>
  </si>
  <si>
    <t>RAM MT M8 HANDLEBAR BASE W DIAMOND</t>
  </si>
  <si>
    <t>RAM-B-186</t>
  </si>
  <si>
    <t>UNPKD RAM MNT1/4"-20 FEMALE AND DIAMOND</t>
  </si>
  <si>
    <t>RAM-B-185U</t>
  </si>
  <si>
    <t>UNPKD RAM RAIL MOUNT W/ RECTANGULAR AMPS</t>
  </si>
  <si>
    <t>RAM-B-184U-A</t>
  </si>
  <si>
    <t>RAM-B-184U</t>
  </si>
  <si>
    <t>UNPKD RAM SIDE RESIVOIR MNT W/ DIA BASE</t>
  </si>
  <si>
    <t>RAM-B-183U</t>
  </si>
  <si>
    <t>UNPKD RAM SIDE RES MNT GDS DOCK PHONES</t>
  </si>
  <si>
    <t>RAM-B-183-GDS-DOCK-V1U</t>
  </si>
  <si>
    <t>UNPKD RAM SIDE RESIVOIR APPLE IPHONE 4</t>
  </si>
  <si>
    <t>RAM-B-183-AP9U</t>
  </si>
  <si>
    <t>UNPKD RAM SIDE RESIVOIR APPLE TOUCH 2ND</t>
  </si>
  <si>
    <t>RAM-B-183-AP7U</t>
  </si>
  <si>
    <t>UNPKD RAM SIDE RESIVOIR APPLE NANO 3RD</t>
  </si>
  <si>
    <t>RAM-B-183-AP5U</t>
  </si>
  <si>
    <t>UNPKD RAM SIDE RESIVOIR APPLE TOUCH</t>
  </si>
  <si>
    <t>RAM-B-183-AP4U</t>
  </si>
  <si>
    <t>UNPKD RAM SIDE RESIVOIR APPLE IPHONE</t>
  </si>
  <si>
    <t>RAM-B-183-AP3U</t>
  </si>
  <si>
    <t>UNPKD RAM SIDE RESIVOIR APPLE NANO</t>
  </si>
  <si>
    <t>RAM-B-183-AP2U</t>
  </si>
  <si>
    <t>UNPKD RAM SIDE RESIVOIR APPLE IPOD</t>
  </si>
  <si>
    <t>RAM-B-183-AP1U</t>
  </si>
  <si>
    <t>UNPKD RAM CEN RESIVOIR MNT W/ DIA BASE</t>
  </si>
  <si>
    <t>RAM-B-182U</t>
  </si>
  <si>
    <t>UNPKD RAM CEN RESIVOIR APPLE IPHONE 4</t>
  </si>
  <si>
    <t>RAM-B-182-AP9U</t>
  </si>
  <si>
    <t>UNPKD RAM CEN RESIVOIR APPLE TOUCH 2ND</t>
  </si>
  <si>
    <t>RAM-B-182-AP7U</t>
  </si>
  <si>
    <t>UNPKD RAM CEN RESIVOIR MT APPLE NANO 3RD</t>
  </si>
  <si>
    <t>RAM-B-182-AP5U</t>
  </si>
  <si>
    <t>UNPKD RAM CEN RESIVOIR MNT APPLE TOUCH</t>
  </si>
  <si>
    <t>RAM-B-182-AP4U</t>
  </si>
  <si>
    <t>UNPKD RAM CEN RESIVOIR MNT APPLE IPHONE</t>
  </si>
  <si>
    <t>RAM-B-182-AP3U</t>
  </si>
  <si>
    <t>UNPKD RAM CEN RESIVOIR MNT APPLE IPOD</t>
  </si>
  <si>
    <t>RAM-B-182-AP1U</t>
  </si>
  <si>
    <t>UNPKD RAM ADJ ANGL MNT W/ DIA BASE</t>
  </si>
  <si>
    <t>RAM-B-181U</t>
  </si>
  <si>
    <t>UNPKD RAM ADJ ANGL MNT APPLE IPHONE 4</t>
  </si>
  <si>
    <t>RAM-B-181-AP9U</t>
  </si>
  <si>
    <t>UNPKD RAM ADJ ANGL MNT APPLE TOUCH 2ND</t>
  </si>
  <si>
    <t>RAM-B-181-AP7U</t>
  </si>
  <si>
    <t>UNPKD RAM ADJ ANGL MNT APPLE NANO 3RD</t>
  </si>
  <si>
    <t>RAM-B-181-AP5U</t>
  </si>
  <si>
    <t>UNPKD RAM ADJ ANGL MNT APPLE TOUCH</t>
  </si>
  <si>
    <t>RAM-B-181-AP4U</t>
  </si>
  <si>
    <t>UNPKD RAM ADJ ANGL MNT APPLE IPHONE</t>
  </si>
  <si>
    <t>RAM-B-181-AP3U</t>
  </si>
  <si>
    <t>UNPKD RAM ADJ ANGL MNT APPLE NANO</t>
  </si>
  <si>
    <t>RAM-B-181-AP2U</t>
  </si>
  <si>
    <t>UNPKD RAM ADJ ANGL MNT APPLE IPOD</t>
  </si>
  <si>
    <t>RAM-B-181-AP1U</t>
  </si>
  <si>
    <t>RAM ADJ ANGL MNT W/ DIA BASE</t>
  </si>
  <si>
    <t>RAM-B-181</t>
  </si>
  <si>
    <t>UNPKD RAM 9MM MOTO ANGL MNT W/ DIA BASE</t>
  </si>
  <si>
    <t>RAM-B-180U</t>
  </si>
  <si>
    <t>UNPKD RAM 9MM ANGLE MNT GDS DOCK PHONES</t>
  </si>
  <si>
    <t>RAM-B-180-GDS-DOCK-V1U</t>
  </si>
  <si>
    <t>UNPKD RAM 9MM MOTO MNT W 202 BASE LONG</t>
  </si>
  <si>
    <t>RAM-B-180-C-202U</t>
  </si>
  <si>
    <t>UNPKD RAM 11MM MOTO ANGL APPLE IPHONE 4</t>
  </si>
  <si>
    <t>RAM-B-180-AP9U</t>
  </si>
  <si>
    <t>UNPKD RAM 11MM MOTO ANGL APPLE TOUCH 2ND</t>
  </si>
  <si>
    <t>RAM-B-180-AP7U</t>
  </si>
  <si>
    <t>UNPKD RAM 11MM MOTO ANGL APPLE NANO 3RD</t>
  </si>
  <si>
    <t>RAM-B-180-AP5U</t>
  </si>
  <si>
    <t>UNPKD RAM 11MM MOTO ANGL APPLE TOUCH</t>
  </si>
  <si>
    <t>RAM-B-180-AP4U</t>
  </si>
  <si>
    <t>UNPKD RAM 11MM MOTO ANGL APPLE IPHONE</t>
  </si>
  <si>
    <t>RAM-B-180-AP3U</t>
  </si>
  <si>
    <t>UNPKD RAM 11MM MOTO ANGL APPLE NANO</t>
  </si>
  <si>
    <t>RAM-B-180-AP2U</t>
  </si>
  <si>
    <t>UNPKD RAM 11MM MOTO ANGL APPLE IPOD</t>
  </si>
  <si>
    <t>RAM-B-180-AP1U</t>
  </si>
  <si>
    <t>UNPKD RAM 9MM MOTO ANGL MNT W UTV SHORT</t>
  </si>
  <si>
    <t>RAM-B-180-A-231Z-2NUBU</t>
  </si>
  <si>
    <t>UNPKD RAM 9MM MOTO MNT W 202 BASE SHORT</t>
  </si>
  <si>
    <t>RAM-B-180-A-202U</t>
  </si>
  <si>
    <t>UNPKD RAM 9MM MOTO ANGL MNT W UTV BASE</t>
  </si>
  <si>
    <t>RAM-B-180-231Z-2NUBU</t>
  </si>
  <si>
    <t>UNPKD RAM 9MM MOTO ANGL MNT W 202 BASE</t>
  </si>
  <si>
    <t>RAM-B-180-202U</t>
  </si>
  <si>
    <t>UNPKD RAM 11MM MOTO FLAT MNT W/ DIA BASE</t>
  </si>
  <si>
    <t>RAM-B-179U</t>
  </si>
  <si>
    <t>UNPKD RAM 11MM MOTO FLAT APPLE IPHONE 4</t>
  </si>
  <si>
    <t>RAM-B-179-AP9U</t>
  </si>
  <si>
    <t>UNPKD RAM 11MM MOTO FLAT APPLE TOUCH 2ND</t>
  </si>
  <si>
    <t>RAM-B-179-AP7U</t>
  </si>
  <si>
    <t>UNPKD RAM 11MM MOTO FLAT APPLE NANO 3RD</t>
  </si>
  <si>
    <t>RAM-B-179-AP5U</t>
  </si>
  <si>
    <t>UNPKD RAM 11MM MOTO FLAT APPLE TOUCH</t>
  </si>
  <si>
    <t>RAM-B-179-AP4U</t>
  </si>
  <si>
    <t>UNPKD RAM 11MM MOTO FLAT APPLE IPHONE</t>
  </si>
  <si>
    <t>RAM-B-179-AP3U</t>
  </si>
  <si>
    <t>UNPKD RAM 11MM MOTO FLAT APPLE NANO</t>
  </si>
  <si>
    <t>RAM-B-179-AP2U</t>
  </si>
  <si>
    <t>UNPKD RAM 11MM MOTO FLAT APPLE IPOD</t>
  </si>
  <si>
    <t>RAM-B-179-AP1U</t>
  </si>
  <si>
    <t>UNPKD RAM SHRT MOTORCYCLE MNT AMPS BASE</t>
  </si>
  <si>
    <t>RAM-B-178U-A</t>
  </si>
  <si>
    <t>UNPKD RAM MOTORCYCLE MNT WITH AMPS BASE</t>
  </si>
  <si>
    <t>RAM-B-178U</t>
  </si>
  <si>
    <t>RAM SHRT MOTORCYCLE MNT AMPS BASE</t>
  </si>
  <si>
    <t>RAM-B-178-A</t>
  </si>
  <si>
    <t>UNPKD RAM GLARE SHIELD CLAMP RAM X-GRIP 10"</t>
  </si>
  <si>
    <t>RAM-B-177-UN9U</t>
  </si>
  <si>
    <t>UNPKD RAM GLARE SHIELD CLAMP RAM X-GRIP 7"</t>
  </si>
  <si>
    <t>RAM-B-177-UN8U</t>
  </si>
  <si>
    <t>UNPKD RAM GLARE SHIELD CLAMP RAM X-GRIP</t>
  </si>
  <si>
    <t>RAM-B-177-UN7U</t>
  </si>
  <si>
    <t>RAM GLARE SHIELD CLAMP W/ UNIVERSAL HOLD</t>
  </si>
  <si>
    <t>RAM-B-177-UN4</t>
  </si>
  <si>
    <t>UNPKD RAM GLARE SHIELD CLAMP SYSTEM</t>
  </si>
  <si>
    <t>RAM-B-177U</t>
  </si>
  <si>
    <t>UNPKD RAM GLARE SHIELD CLAMP SAMSUNG Q1</t>
  </si>
  <si>
    <t>RAM-B-177-SAM1</t>
  </si>
  <si>
    <t>UNPKD RAM GLARE SHIELD CLAMP MULTI PAD</t>
  </si>
  <si>
    <t>RAM-B-177-MP1U</t>
  </si>
  <si>
    <t>UNPKD RAM GLARE SHIELD CLMP AIRMAP 2000</t>
  </si>
  <si>
    <t>RAM-B-177-LO4U</t>
  </si>
  <si>
    <t>UNPKD RAM GLARE SHIELD CLMP LOWRANCE 600</t>
  </si>
  <si>
    <t>RAM-B-177-LO3U</t>
  </si>
  <si>
    <t>UNPKD RAM GLARE SHIELD CLAMP GARMIN 296</t>
  </si>
  <si>
    <t>RAM-B-177-GA7U</t>
  </si>
  <si>
    <t>RAM-B-177-GA7</t>
  </si>
  <si>
    <t>UNPKD RAM GLARE SHIELD CLAMP GARMIN 695</t>
  </si>
  <si>
    <t>RAM-B-177-GA38U</t>
  </si>
  <si>
    <t>UNPKD RAM GLARE SHIELD CLAMP GARMIN 96</t>
  </si>
  <si>
    <t>RAM-B-177-GA14U</t>
  </si>
  <si>
    <t>UNPKD SHORT GLARE SHIELD CLAMP GARMIN 96</t>
  </si>
  <si>
    <t>RAM-B-177-GA14</t>
  </si>
  <si>
    <t>UNPKD RAM CLAMP LNG TAB-TITE SMALL TABS</t>
  </si>
  <si>
    <t>RAM-B-177-C-TAB2U</t>
  </si>
  <si>
    <t>RAM GLARE SHIELD LONG CLAMP SYSTEM ROUND</t>
  </si>
  <si>
    <t>RAM-B-177-C-202</t>
  </si>
  <si>
    <t>RAM GLARE SHIELD LONG CLAMP SYSTEM</t>
  </si>
  <si>
    <t>RAM-B-177-C</t>
  </si>
  <si>
    <t>RAM GLARE SHIELD CLAMP APPLE IPHONE 4</t>
  </si>
  <si>
    <t>RAM-B-177-AP9U</t>
  </si>
  <si>
    <t>RAM GLARE SHIELD MNT APPLE IPAD &amp; IPAD 2</t>
  </si>
  <si>
    <t>RAM-B-177-AP8LU</t>
  </si>
  <si>
    <t>RAM GLARE SHIELD CLAMP APPLE TOUCH 2ND</t>
  </si>
  <si>
    <t>RAM-B-177-AP7U</t>
  </si>
  <si>
    <t>RAM GLARE SHIELD CLAMP APPLE NANO 3RD</t>
  </si>
  <si>
    <t>RAM-B-177-AP5U</t>
  </si>
  <si>
    <t>UNPD RAM GLARE SHIELD CLAMP APPLE TOUCH</t>
  </si>
  <si>
    <t>RAM-B-177-AP4U</t>
  </si>
  <si>
    <t>UNPD RAM GLARE SHIELD CLAMP APPLE IPHONE</t>
  </si>
  <si>
    <t>RAM-B-177-AP3U</t>
  </si>
  <si>
    <t>UNPKD RAM GLARE SHIELD CLAMP APPLE NANO</t>
  </si>
  <si>
    <t>RAM-B-177-AP2U</t>
  </si>
  <si>
    <t>UNPKD RAM GLARE SHIELD CLAMP APPLE IPOD</t>
  </si>
  <si>
    <t>RAM-B-177-AP1U</t>
  </si>
  <si>
    <t>RAM GLARE SHIELD MNT APPLE IPAD MINI</t>
  </si>
  <si>
    <t>RAM-B-177-AP14U</t>
  </si>
  <si>
    <t>RAM-B-177-347U</t>
  </si>
  <si>
    <t>UNPKD RAM GLARE SHIELD CLAMP FOR CAMERA</t>
  </si>
  <si>
    <t>RAM-B-177-237</t>
  </si>
  <si>
    <t>UNPD RAM GLARE SHIELD CLAMP SYSTEM ROUND</t>
  </si>
  <si>
    <t>RAM-B-177-202U</t>
  </si>
  <si>
    <t>RAM GLARE SHIELD CLAMP SYSTEM ROUND</t>
  </si>
  <si>
    <t>RAM-B-177-202</t>
  </si>
  <si>
    <t>RAM GLARE SHIELD CLAMP SYSTEM</t>
  </si>
  <si>
    <t>RAM-B-177</t>
  </si>
  <si>
    <t>UNPKD RAM STEM MOUNT FINGER GRIP</t>
  </si>
  <si>
    <t>RAM-B-176-UN4U</t>
  </si>
  <si>
    <t>RAM STEM MOUNT FINGER GRIP</t>
  </si>
  <si>
    <t>RAM-B-176-UN4</t>
  </si>
  <si>
    <t>UNPKD RAM STEM MOUNT W/2.47DIA. X 2.47X1</t>
  </si>
  <si>
    <t>RAM-B-176U</t>
  </si>
  <si>
    <t>UNPKD RAM STEM MOUNT GO PRO</t>
  </si>
  <si>
    <t>RAM-B-176-GOP1U</t>
  </si>
  <si>
    <t>RAM STEM MOUNT GO PRO</t>
  </si>
  <si>
    <t>RAM-B-176-GOP1</t>
  </si>
  <si>
    <t>UNPKD RAM STEM MNT GDS DOCK PHONES</t>
  </si>
  <si>
    <t>RAM-B-176-GDS-DOCK-V1U</t>
  </si>
  <si>
    <t>UNPKD RAM STEM MOUNT SHORT ARM &amp; RAM X-GRIP</t>
  </si>
  <si>
    <t>RAM-B-176-A-UN7U</t>
  </si>
  <si>
    <t>RAM STEM MOUNT SHORT ARM &amp; RAM X-GRIP WITH VIBE-SAFE</t>
  </si>
  <si>
    <t>RAM-B-176-A-UN7-462</t>
  </si>
  <si>
    <t>RAM STEM MOUNT SHORT ARM &amp; RAM X-GRIP</t>
  </si>
  <si>
    <t>RAM-B-176-A-UN7</t>
  </si>
  <si>
    <t>RAM-B-176-A-UN10U</t>
  </si>
  <si>
    <t>RAM-B-176-A-UN10-462</t>
  </si>
  <si>
    <t>RAM STEM MOUNT AQUA BOX PRO IPHONE 5</t>
  </si>
  <si>
    <t>RAM-B-176-AQ7-2-I5C</t>
  </si>
  <si>
    <t>RAM STEM MOUNT SHORT ARM &amp; QUICK-GRIP WITH VIBE-SAFE</t>
  </si>
  <si>
    <t>RAM-B-176-A-PD4-462</t>
  </si>
  <si>
    <t>UNPKD RAM STEM MOUNT APPLE IPHONE 4</t>
  </si>
  <si>
    <t>RAM-B-176-AP9U</t>
  </si>
  <si>
    <t>UNPKD RAM STEM MOUNT APPLE TOUCH 2ND</t>
  </si>
  <si>
    <t>RAM-B-176-AP7U</t>
  </si>
  <si>
    <t>UNPKD RAM STEM MOUNT APPLE NANO 3RD</t>
  </si>
  <si>
    <t>RAM-B-176-AP5U</t>
  </si>
  <si>
    <t>UNPKD RAM STEM MOUNT APPLE TOUCH</t>
  </si>
  <si>
    <t>RAM-B-176-AP4U</t>
  </si>
  <si>
    <t>UNPKD RAM STEM MOUNT APPLE IPHONE</t>
  </si>
  <si>
    <t>RAM-B-176-AP3U</t>
  </si>
  <si>
    <t>UNPKD RAM STEM MOUNT APPLE NANO</t>
  </si>
  <si>
    <t>RAM-B-176-AP2U</t>
  </si>
  <si>
    <t>UNPKD RAM STEM MOUNT APPLE IPOD</t>
  </si>
  <si>
    <t>RAM-B-176-AP1U</t>
  </si>
  <si>
    <t>RAM STEM MOUNT APPLE IPHONE 5</t>
  </si>
  <si>
    <t>RAM-B-176-AP11</t>
  </si>
  <si>
    <t>RAM STEM MOUNT W/2.47DIA. X 2.47X1</t>
  </si>
  <si>
    <t>RAM-B-176</t>
  </si>
  <si>
    <t>UNPKD RAM SEGWAY SYSTEM</t>
  </si>
  <si>
    <t>RAM-B-175U</t>
  </si>
  <si>
    <t>UNPKD RAM ETREX HOLDER W/SEGWAY BASE</t>
  </si>
  <si>
    <t>RAM-B-175-GA5U</t>
  </si>
  <si>
    <t>UNPKD RAM SEGWAY SYSTEM SHRT ARM</t>
  </si>
  <si>
    <t>RAM-B-175-AU</t>
  </si>
  <si>
    <t>UNPKD RAM ETREX B/W W/SEGWAY SHRT ARM</t>
  </si>
  <si>
    <t>RAM-B-175-A-GA5U</t>
  </si>
  <si>
    <t>UNPKD RAM ETREX COLOR W/SEGWAY SHRT ARM</t>
  </si>
  <si>
    <t>RAM-B-175-A-GA16U</t>
  </si>
  <si>
    <t>UNPKD RAM MOTORCYCLE MOUNT RAM X-GRIP</t>
  </si>
  <si>
    <t>RAM-B-174-UN7U</t>
  </si>
  <si>
    <t>UNPKD RAM MICRO USB MOTO MOUNT RAM X-GRIP</t>
  </si>
  <si>
    <t>RAM-B-174-UN7PV1U</t>
  </si>
  <si>
    <t>UNPKD RAM X-GRIP HOLDER WITH MALE PIN LOCK AND ANTI-VIBRATION WITH MED ARM AND CLUTCH BASE</t>
  </si>
  <si>
    <t>RAM-B-174-UN7-462</t>
  </si>
  <si>
    <t>RAM MOTORCYCLE MOUNT RAM X-GRIP</t>
  </si>
  <si>
    <t>RAM-B-174-UN7</t>
  </si>
  <si>
    <t>UNPK RAM GOLDWING UBOLT UNIVERSAL HOLDER</t>
  </si>
  <si>
    <t>RAM-B-174-UN4U</t>
  </si>
  <si>
    <t>RAM GOLDWING UBOLT UNIVERSAL HOLDER</t>
  </si>
  <si>
    <t>RAM-B-174-UN4</t>
  </si>
  <si>
    <t>UNPKD RAM LG X-GRIP HOLDER WITH MALE PIN LOCK AND ANTI-VIBRATION WITH MED ARM AND CLUTCH BASE</t>
  </si>
  <si>
    <t>RAM-B-174-UN10-462</t>
  </si>
  <si>
    <t>RAM MOTORCYCLE MOUNT LG RAM X-GRIP</t>
  </si>
  <si>
    <t>RAM-B-174-UN10</t>
  </si>
  <si>
    <t>UNPKD RAM MOTOR SHRT W/2.47DIA. X 2.47X1</t>
  </si>
  <si>
    <t>RAM-B-174U-A</t>
  </si>
  <si>
    <t>UNPKD RAM MOTORCYCLE W/2.47DIA. X 2.47X1</t>
  </si>
  <si>
    <t>RAM-B-174U</t>
  </si>
  <si>
    <t>RAM HANDLEBAR MNT FOR TOM TOM</t>
  </si>
  <si>
    <t>RAM-B-174-TOM1U</t>
  </si>
  <si>
    <t>UNPKD RAM MOTORCYCLE TOMTOM 330 SERIES</t>
  </si>
  <si>
    <t>RAM-B-174-TO8U</t>
  </si>
  <si>
    <t>UNKD RAM MOTORCYCLE TOMTOM ONE 130</t>
  </si>
  <si>
    <t>RAM-B-174-TO7U</t>
  </si>
  <si>
    <t>UNKD RAM MOTORCYCLE TOMTOM ONE V2 V3</t>
  </si>
  <si>
    <t>RAM-B-174-TO4U</t>
  </si>
  <si>
    <t>UNPKD RAM MOTORCYCLE TOMTOM 510 710 910</t>
  </si>
  <si>
    <t>RAM-B-174-TO3U</t>
  </si>
  <si>
    <t>UNPKD RAM MOTORCYCLE TOMTOM XXL</t>
  </si>
  <si>
    <t>RAM-B-174-TO10U</t>
  </si>
  <si>
    <t>UNPKD RAM MOTCYCLE MAGELLAN EXPLORIST XL</t>
  </si>
  <si>
    <t>RAM-B-174-MA6U</t>
  </si>
  <si>
    <t>UNPKD RAM MOTRCYCLE MAGELLAN EXPLORIST</t>
  </si>
  <si>
    <t>RAM-B-174-MA5U</t>
  </si>
  <si>
    <t>RAM GOLDWING UBOLT MAGELLAN EXPLORIST</t>
  </si>
  <si>
    <t>RAM-B-174-MA5</t>
  </si>
  <si>
    <t>UNPKD RAM MOTRCYCLE MAGELLAN SPORTRAK</t>
  </si>
  <si>
    <t>RAM-B-174-MA3U</t>
  </si>
  <si>
    <t>RAM GOLDWING UBOLT MAGELLAN SPORTRAK</t>
  </si>
  <si>
    <t>RAM-B-174-MA3</t>
  </si>
  <si>
    <t>UNPKD RAM MOTORCYCLE LOWRANCE IWAY 500 6</t>
  </si>
  <si>
    <t>RAM-B-174-LO4U</t>
  </si>
  <si>
    <t>UNPKD RAM MOTRCYCLE LOWRANCE IFINDER H20</t>
  </si>
  <si>
    <t>RAM-B-174-LO3U</t>
  </si>
  <si>
    <t xml:space="preserve">RAM GOLDWING UBOLT LOWRANCE IFINDER H2O </t>
  </si>
  <si>
    <t>RAM-B-174-LO3</t>
  </si>
  <si>
    <t>UNPKD RAM MOTORCYCLE GO PRO CAMERA</t>
  </si>
  <si>
    <t>RAM-B-174-GOP1U</t>
  </si>
  <si>
    <t>RAM MOTORCYCLE GO PRO CAMERA</t>
  </si>
  <si>
    <t>RAM-B-174-GOP1</t>
  </si>
  <si>
    <t>UNPKD RAM MOTO GDS DOCK PHONES</t>
  </si>
  <si>
    <t>RAM-B-174-GDS-DOCK-V1U</t>
  </si>
  <si>
    <t>UNPKD RAM GOLDWING GARMIN 2600 SERIES</t>
  </si>
  <si>
    <t>RAM-B-174-GA9U</t>
  </si>
  <si>
    <t>UNPKD RAM MOTORCYCLE GARMIN 196 176 296</t>
  </si>
  <si>
    <t>RAM-B-174-GA7U</t>
  </si>
  <si>
    <t>UNPKD RAM MOTORCYCLE MOUNT GARMIN VIRB</t>
  </si>
  <si>
    <t>RAM-B-174-GA63U</t>
  </si>
  <si>
    <t>UNPK RAM MOTO GARMIN ETREX BLACK &amp; WHITE</t>
  </si>
  <si>
    <t>RAM-B-174-GA5U</t>
  </si>
  <si>
    <t>RAM GOLDWING GARMIN ETREX BLACK &amp; WHITE</t>
  </si>
  <si>
    <t>RAM-B-174-GA5</t>
  </si>
  <si>
    <t>UNPKD RAM MOTORCYCLE GARMIN NUVI 3700</t>
  </si>
  <si>
    <t>RAM-B-174-GA39U</t>
  </si>
  <si>
    <t>UNPKD RAM MOTORCYCLE GARMIN NUVI 1690</t>
  </si>
  <si>
    <t>RAM-B-174-GA37U</t>
  </si>
  <si>
    <t>UNPKD RAM MOTORCYCLE GARMIN NUVI 1490T</t>
  </si>
  <si>
    <t>RAM-B-174-GA35U</t>
  </si>
  <si>
    <t>UNPKD RAM MOTORCYCLE GARMIN NUVI 1300</t>
  </si>
  <si>
    <t>RAM-B-174-GA34U</t>
  </si>
  <si>
    <t>UNPKD RAM MOTORCYCLE GARMIN NUVI 1200</t>
  </si>
  <si>
    <t>RAM-B-174-GA33U</t>
  </si>
  <si>
    <t>UNPKD RAM MOTORCYCLE GARMIN NUVI 500</t>
  </si>
  <si>
    <t>RAM-B-174-GA32U</t>
  </si>
  <si>
    <t>UNPKD RAM MOTORCYCLE GARMIN NUVI 200</t>
  </si>
  <si>
    <t>RAM-B-174-GA25U</t>
  </si>
  <si>
    <t>UNPKD RAM MOTORCYCLE GARMIN NUVI 600</t>
  </si>
  <si>
    <t>RAM-B-174-GA23U</t>
  </si>
  <si>
    <t>UNPKD RAM MOTORCYCLE GARMIN NUVI 300</t>
  </si>
  <si>
    <t>RAM-B-174-GA21U</t>
  </si>
  <si>
    <t>UNPKD RAM MOTORCYCLE GARMIN RINO 500</t>
  </si>
  <si>
    <t>RAM-B-174-GA20U</t>
  </si>
  <si>
    <t>UNPKD RAM MOTORCYCLE GARMIN ETREX COLOR</t>
  </si>
  <si>
    <t>RAM-B-174-GA16U</t>
  </si>
  <si>
    <t>RAM GOLDWING GARMIN ETREX COLOR</t>
  </si>
  <si>
    <t>RAM-B-174-GA16</t>
  </si>
  <si>
    <t>UNPKD RAM GOLDWING GARMIN QUEST</t>
  </si>
  <si>
    <t>RAM-B-174-GA15U</t>
  </si>
  <si>
    <t>RAM GOLDWING UBOLT GARMIN QUEST</t>
  </si>
  <si>
    <t>RAM-B-174-GA15</t>
  </si>
  <si>
    <t>UNPKD RAM MOTORCYCLE GARMIN 76C 96 96C</t>
  </si>
  <si>
    <t>RAM-B-174-GA14U</t>
  </si>
  <si>
    <t>UNPKD RAM MOTORCYCLE GARMIN 60 SERIES</t>
  </si>
  <si>
    <t>RAM-B-174-GA12U</t>
  </si>
  <si>
    <t>RAM GOLDWING UBOLT GARMIN 60 SERIES</t>
  </si>
  <si>
    <t>RAM-B-174-GA12</t>
  </si>
  <si>
    <t>UNPKD RAM MOTORCYCLE GARMIN IQUE</t>
  </si>
  <si>
    <t>RAM-B-174-GA10U</t>
  </si>
  <si>
    <t>UNPKD RAM GOLDWING GARMIN 7200</t>
  </si>
  <si>
    <t>RAM-B-174-G3U</t>
  </si>
  <si>
    <t>UNPKD RAM GOLDWING W AMPS AND HARDWARE</t>
  </si>
  <si>
    <t>RAM-B-174-G1U</t>
  </si>
  <si>
    <t>RAM GOLDWING UBOLT  DELORME PN20</t>
  </si>
  <si>
    <t>RAM-B-174-DEL1</t>
  </si>
  <si>
    <t>UNPK RAM GOLDWNG SYSTEM DIA BASE CHROME</t>
  </si>
  <si>
    <t>RAM-B-174CHU</t>
  </si>
  <si>
    <t>UNPK RAM GOLDWNG SYST AMPS BASE CHROME</t>
  </si>
  <si>
    <t>RAM-B-174CH-202U</t>
  </si>
  <si>
    <t>RAM GOLDWING SYSTEM AMPS BASE CHROME</t>
  </si>
  <si>
    <t>RAM-B-174CH-202</t>
  </si>
  <si>
    <t>RAM GOLDWING SYSTEM DIA BASE CHROME</t>
  </si>
  <si>
    <t>RAM-B-174CH</t>
  </si>
  <si>
    <t>RAM-B-174-A-UN7U</t>
  </si>
  <si>
    <t>RAM MOTORCYCLE SHORT MOUNT RAM X-GRIP</t>
  </si>
  <si>
    <t>RAM-B-174-A-UN7</t>
  </si>
  <si>
    <t>UNPKD RAM MOTORCYCLE MOUNT LG RAM X-GRIP</t>
  </si>
  <si>
    <t>RAM-B-174-A-UN10U</t>
  </si>
  <si>
    <t>RAM HANDLEBAR MNT FOR TOM TOM SHORT</t>
  </si>
  <si>
    <t>RAM-B-174-A-TOM1U</t>
  </si>
  <si>
    <t>RAM GOLDWING UBOLT AQUA BOX PRO IPHONE 5</t>
  </si>
  <si>
    <t>RAM-B-174-AQ7-2-I5C</t>
  </si>
  <si>
    <t>UNPKD RAM MOTRCYCLE AQUA BOX MED SQ</t>
  </si>
  <si>
    <t>RAM-B-174-AQ6U</t>
  </si>
  <si>
    <t>UNPKD RAM MOTRCYCLE AQUA BOX SMALL</t>
  </si>
  <si>
    <t>RAM-B-174-AQ3U</t>
  </si>
  <si>
    <t>UNPKD RAM MOTRCYCLE AQUA BOX MEDIUM</t>
  </si>
  <si>
    <t>RAM-B-174-AQ2U</t>
  </si>
  <si>
    <t>RAM GOLDWING UBOLT AQUABOX MEDIUM</t>
  </si>
  <si>
    <t>RAM-B-174-AQ2</t>
  </si>
  <si>
    <t>UNPKD RAM MOTRCYCLE AQUA BOX LARGE</t>
  </si>
  <si>
    <t>RAM-B-174-AQ1U</t>
  </si>
  <si>
    <t>RAM GOLDWING UBOLT AQUABOX LARGE</t>
  </si>
  <si>
    <t>RAM-B-174-AQ1</t>
  </si>
  <si>
    <t>UNPKD RAM MOTORCYCLE APPLE IPHONE 4</t>
  </si>
  <si>
    <t>RAM-B-174-AP9U</t>
  </si>
  <si>
    <t>UNPKD RAM MOTORCYCLE APPLE TOUCH 2ND</t>
  </si>
  <si>
    <t>RAM-B-174-AP7U</t>
  </si>
  <si>
    <t>UNPKD RAM MOTORCYCLE APPLE NANO 3RD</t>
  </si>
  <si>
    <t>RAM-B-174-AP5U</t>
  </si>
  <si>
    <t>UNPKD RAM MOTORCYCLE APPLE TOUCH</t>
  </si>
  <si>
    <t>RAM-B-174-AP4U</t>
  </si>
  <si>
    <t>UNPKD RAM MOTORCYCLE APPLE IPHONE</t>
  </si>
  <si>
    <t>RAM-B-174-AP3U</t>
  </si>
  <si>
    <t>UNPKD RAM MOTORCYCLE APPLE NANO</t>
  </si>
  <si>
    <t>RAM-B-174-AP2U</t>
  </si>
  <si>
    <t>UNPKD RAM MOTORCYCLE APPLE IPOD</t>
  </si>
  <si>
    <t>RAM-B-174-AP1U</t>
  </si>
  <si>
    <t>RAM MOTORCYCLE APPLE IPHONE 5</t>
  </si>
  <si>
    <t>RAM-B-174-AP11</t>
  </si>
  <si>
    <t>UNPKD RAM MOTORCYCLE APPLE TOUCH 4G</t>
  </si>
  <si>
    <t>RAM-B-174-AP10U</t>
  </si>
  <si>
    <t>RAM-B-174-A-GOP1U</t>
  </si>
  <si>
    <t>LEVEL CUP XL W/ UBOLT BRAKE CLUTCH SHORT</t>
  </si>
  <si>
    <t>RAM-B-174-A-417U</t>
  </si>
  <si>
    <t>RAM-B-174-A-417</t>
  </si>
  <si>
    <t>UNPK RAM PERCH UBOLT DRINK CUP HOLD SHRT</t>
  </si>
  <si>
    <t>RAM-B-174-A-132U</t>
  </si>
  <si>
    <t>RAM PERCH MNT UBOLT DRINK CUP HOLD SHRT</t>
  </si>
  <si>
    <t>RAM-B-174-A-132</t>
  </si>
  <si>
    <t>UNK RAM GLDWNG MOUNT W 1/4"-20 MALE STUD</t>
  </si>
  <si>
    <t>RAM-B-174-366U</t>
  </si>
  <si>
    <t>RAM GOLDWING MOUNT W 1/4"-20 MALE STUD</t>
  </si>
  <si>
    <t>RAM-B-174-366</t>
  </si>
  <si>
    <t>UNPKD RAM MOTO POWER PLATE</t>
  </si>
  <si>
    <t>RAM-B-174-300-1U</t>
  </si>
  <si>
    <t>UNPKD RAM GOLDWING W/DIAMOND BASE</t>
  </si>
  <si>
    <t>RAM-B-174-238U</t>
  </si>
  <si>
    <t>UNPKD RAM GOLDWING W/2.5 DIA BASE</t>
  </si>
  <si>
    <t>RAM-B-174-202U</t>
  </si>
  <si>
    <t>UNPKD RAM GOLDWING W 1/4"-20 MALE</t>
  </si>
  <si>
    <t>RAM-B-174-202AU</t>
  </si>
  <si>
    <t>RAM-B-174-202A</t>
  </si>
  <si>
    <t>RAM GOLDWING W/2.5 DIA BASE</t>
  </si>
  <si>
    <t>RAM-B-174-202</t>
  </si>
  <si>
    <t>UNP RAM GOLDWING UBOLT RUBBER SPOT LIGHT</t>
  </si>
  <si>
    <t>RAM-B-174-152U</t>
  </si>
  <si>
    <t>RAM GOLDWING UBOLT DRINK CUP HOLDER</t>
  </si>
  <si>
    <t>RAM-B-174-132</t>
  </si>
  <si>
    <t>RAM GOLDWING W/2.47DIA. X 2.47X1</t>
  </si>
  <si>
    <t>RAM-B-174</t>
  </si>
  <si>
    <t xml:space="preserve">RAM SUCTION MOUNT FOR UNIDEN </t>
  </si>
  <si>
    <t>RAM-B-166-UND1U</t>
  </si>
  <si>
    <t>UNPD RAM 10" RAM X-GRIP W/ SUCTION CUP MOUNT</t>
  </si>
  <si>
    <t>RAM-B-166-UN9U</t>
  </si>
  <si>
    <t>UNPKD RAM SUCTION MOUNT 7" TABLET RAM X-GRIP</t>
  </si>
  <si>
    <t>RAM-B-166-UN8U</t>
  </si>
  <si>
    <t>RAM SUCTION MOUNT 7" TABLET RAM X-GRIP</t>
  </si>
  <si>
    <t>RAM-B-166-UN8</t>
  </si>
  <si>
    <t>RAM-B-166-UN7U</t>
  </si>
  <si>
    <t>UNPKD RAM MICRO USB SUCTION MOUNT RAM X-GRIP</t>
  </si>
  <si>
    <t>RAM-B-166-UN7PV1U</t>
  </si>
  <si>
    <t>RAM-B-166-UN7-NG</t>
  </si>
  <si>
    <t>RAM-B-166-UN7</t>
  </si>
  <si>
    <t>UNPKD RAM SUCTION UNIVERSAL HOLDER</t>
  </si>
  <si>
    <t>RAM-B-166-UN5U</t>
  </si>
  <si>
    <t>UNPKD RAM SUCTION UNIVERSAL ATV HOLDER</t>
  </si>
  <si>
    <t>RAM-B-166-UN4U</t>
  </si>
  <si>
    <t>RAM SUCTION MOUNT UNIVERSAL ATV HOLDER</t>
  </si>
  <si>
    <t>RAM-B-166-UN4</t>
  </si>
  <si>
    <t>UNPKD RAM SUCTION UNIVERSAL HOLDER SMALL</t>
  </si>
  <si>
    <t>RAM-B-166-UN1U</t>
  </si>
  <si>
    <t>RAM QUICK-GRIP CRADLE BASE FOR APPLE MAG SAFE PUCK  WITH SUCTION CUP MOUNT</t>
  </si>
  <si>
    <t>RAM-B-166-UN15WU</t>
  </si>
  <si>
    <t xml:space="preserve">RAM QUICK-GRIP 15W WIRELESS WITH SUCTION CUP MOUNT </t>
  </si>
  <si>
    <t>RAM-B-166-UN14W-1</t>
  </si>
  <si>
    <t>RAM TOUGH-CHARGE 15W WIRELESS WITH X-GRIP TECHNOLOGY WITH SUCTION CUP MOUNT</t>
  </si>
  <si>
    <t>RAM-B-166-UN12W-1</t>
  </si>
  <si>
    <t>RAM TOUGH-CHARGE WIRELESS WITH X-GRIP TECHNOLOGY WITH SUCTION CUP MOUNT</t>
  </si>
  <si>
    <t>RAM-B-166-UN12W</t>
  </si>
  <si>
    <t>UNPKD RAM SUCTION MNT RAM X-GRIP 12" TABLETS</t>
  </si>
  <si>
    <t>RAM-B-166-UN11U</t>
  </si>
  <si>
    <t>UNPKD RAM SUCTION MNT RAM X-GRIP 5" PHABLETS</t>
  </si>
  <si>
    <t>RAM-B-166-UN10U</t>
  </si>
  <si>
    <t>RAM SUCTION MNT RAM X-GRIP 5" PHABLETS</t>
  </si>
  <si>
    <t>RAM-B-166-UN10</t>
  </si>
  <si>
    <t>UNPKD RAM SUCTION MOUNT TWIST LOCK LONG</t>
  </si>
  <si>
    <t>RAM-B-166U-C</t>
  </si>
  <si>
    <t>UNPKD RAM SUCTION MOUNT TWIST LOCK SHORT</t>
  </si>
  <si>
    <t>RAM-B-166U-A</t>
  </si>
  <si>
    <t>UNPKD RAM SUCTION MOUNT TWIST LOCK</t>
  </si>
  <si>
    <t>RAM-B-166U</t>
  </si>
  <si>
    <t>UNPKD RAM SUCTION MNT TOMTOM 510 710 910</t>
  </si>
  <si>
    <t>RAM-B-166-TO3U</t>
  </si>
  <si>
    <t>UNPKD RAM SUCTION MOUNT TOM TOM RIDER</t>
  </si>
  <si>
    <t>RAM-B-166-TO2U</t>
  </si>
  <si>
    <t xml:space="preserve">UNPKD RAM SUCTION MNT TOMTOM GO </t>
  </si>
  <si>
    <t>RAM-B-166-TO1U</t>
  </si>
  <si>
    <t>RAM SUCTION BASE FOR SMALL TABLETS</t>
  </si>
  <si>
    <t>RAM-B-166-TAB-SM</t>
  </si>
  <si>
    <t>UNPK SUCTION BASE FOR LARGE TABLETS</t>
  </si>
  <si>
    <t>RAM-B-166-TAB-LGU</t>
  </si>
  <si>
    <t>RAM SUCTION BASE FOR LARGE TABLETS</t>
  </si>
  <si>
    <t>RAM-B-166-TAB-LG</t>
  </si>
  <si>
    <t>UNPK SUCTION BASE FOR 10" TAB-TITE</t>
  </si>
  <si>
    <t>RAM-B-166-TAB8U</t>
  </si>
  <si>
    <t>SUCTION BASE FOR 10" TAB-TITE</t>
  </si>
  <si>
    <t>RAM-B-166-TAB8</t>
  </si>
  <si>
    <t>UNPK SUCTION BASE FOR TAB-TITE, TABLETS UP TO 6.8" WIDE</t>
  </si>
  <si>
    <t>RAM-B-166-TAB6U</t>
  </si>
  <si>
    <t>`UNPK SUCTION BASE FOR MID TAB-TITE</t>
  </si>
  <si>
    <t>RAM-B-166-TAB3U</t>
  </si>
  <si>
    <t>SUCTION BASE FOR MID TAB-TITE</t>
  </si>
  <si>
    <t>RAM-B-166-TAB3</t>
  </si>
  <si>
    <t>RAM SUCTION MOUNT AND TAB-TITE FOR SAMSUNG TAB A 8.0"</t>
  </si>
  <si>
    <t>RAM-B-166-TAB29U</t>
  </si>
  <si>
    <t>RAM SUCTION MOUNT AND TAB-TITE FOR IPAD AIR W/ CASE</t>
  </si>
  <si>
    <t>RAM-B-166-TAB20U</t>
  </si>
  <si>
    <t>UNPK SUCTION BASE FOR IPAD MINI</t>
  </si>
  <si>
    <t>RAM-B-166-TAB12U</t>
  </si>
  <si>
    <t>RAM ASSEM SUCTION MOUNT FOR SYMBOL MC55</t>
  </si>
  <si>
    <t>RAM-B-166-SYM3PAECU</t>
  </si>
  <si>
    <t>UNPD SUCTION CUP SPOT GEN4 GPS UNIT</t>
  </si>
  <si>
    <t>RAM-B-166-SPO6U</t>
  </si>
  <si>
    <t>UNPD SUCTION CUP SPOT 2 SATELLITE UNIT</t>
  </si>
  <si>
    <t>RAM-B-166-SPO2U</t>
  </si>
  <si>
    <t>RAM SUCTION MOUNT SPOT 2</t>
  </si>
  <si>
    <t>RAM-B-166-SPO2</t>
  </si>
  <si>
    <t>UNPKD RAM SUCTION SYSTEM EZ-ROLL'R POWERED DOCK FOR SAMSUNG XCOVER PRO</t>
  </si>
  <si>
    <t>RAM-B-166-SAM9PU</t>
  </si>
  <si>
    <t>UNPKD EZ-ROLL'R POWERED SUCTION CUP MOUNT FOR SAMSUNG XCOVER PRO AND QC CIG CHARGER</t>
  </si>
  <si>
    <t>RAM-B-166-SAM9P-2QCCIGU</t>
  </si>
  <si>
    <t>UNPK SUCTION MNT FOR SAMSUNG XCOVER PRO</t>
  </si>
  <si>
    <t>RAM-B-166-SAM59U</t>
  </si>
  <si>
    <t>UNPKGD RAM SUCTION MOUNT FOR SAMSUNG Q1</t>
  </si>
  <si>
    <t>RAM-B-166-SAM1U</t>
  </si>
  <si>
    <t>RAM SUCTION MOUNT FOR SAMSUNG Q1</t>
  </si>
  <si>
    <t>RAM-B-166-SAM1</t>
  </si>
  <si>
    <t>UNPKD QUICK-GRIP XL WITH SUCTION CUP MOUNT</t>
  </si>
  <si>
    <t>RAM-B-166-PD4U</t>
  </si>
  <si>
    <t>UNPKD QUICK-GRIP XL WITH SUCTION CUP MOUNT AND QC CIG CHARGER</t>
  </si>
  <si>
    <t>RAM-B-166-PD4-2QCCIGU</t>
  </si>
  <si>
    <t xml:space="preserve">RETAIL PKGD QUICK-GRIP XL WITH SUCTION CUP MOUNT </t>
  </si>
  <si>
    <t>RAM-B-166-PD4</t>
  </si>
  <si>
    <t>RAM SUCTION MOUNT UNIVERSAL PDA</t>
  </si>
  <si>
    <t>RAM-B-166-PD3</t>
  </si>
  <si>
    <t>UNPKD RAM SUCTION MOUNT SIDE UNIV CRADLE</t>
  </si>
  <si>
    <t>RAM-B-166-PD2U</t>
  </si>
  <si>
    <t>RAM SUCTION MOUNT W SIDE UNIV PDA CRADLE</t>
  </si>
  <si>
    <t>RAM-B-166-PD2</t>
  </si>
  <si>
    <t>RAM SUCTION MOUNT OTTER UNIVERSE TABLET</t>
  </si>
  <si>
    <t>RAM-B-166-OT3U</t>
  </si>
  <si>
    <t>UNPKD RAM SUCTION MOUNT OTTER UNIVERSE PHONE</t>
  </si>
  <si>
    <t>RAM-B-166-OT2U</t>
  </si>
  <si>
    <t>UNPKD RAM SUCTION MOUNT MULTI PAD</t>
  </si>
  <si>
    <t>RAM-B-166-MP1U</t>
  </si>
  <si>
    <t>UNPKD RAM SUCTION MNT MAGELLAN XL</t>
  </si>
  <si>
    <t>RAM-B-166-MA6U</t>
  </si>
  <si>
    <t>UNPKD RAM SUCTION MNT MAGELLAN EXPLORIST</t>
  </si>
  <si>
    <t>RAM-B-166-MA5U</t>
  </si>
  <si>
    <t>RAM SUCTION MOUNT FOR MAGELLAN EXPLORIST</t>
  </si>
  <si>
    <t>RAM-B-166-MA5</t>
  </si>
  <si>
    <t>UNPKD RAM SUCTION MNT MAGELLAN ROADMATE</t>
  </si>
  <si>
    <t>RAM-B-166-MA4U</t>
  </si>
  <si>
    <t>RAM SUCTION MNT MAGELLAN ROADMATE</t>
  </si>
  <si>
    <t>RAM-B-166-MA4</t>
  </si>
  <si>
    <t xml:space="preserve">UNPKD RAM SUCTION MNT MAGELLAN SPORTRAK </t>
  </si>
  <si>
    <t>RAM-B-166-MA3U</t>
  </si>
  <si>
    <t>RAM-B-166-MA14</t>
  </si>
  <si>
    <t>UNPKD RAM SUCTION CUP MAGELLAN 4200 4210</t>
  </si>
  <si>
    <t>RAM-B-166-MA12U</t>
  </si>
  <si>
    <t>RAM SUCTION CUP MAGELLAN 4200 4210 4220</t>
  </si>
  <si>
    <t>RAM-B-166-MA12</t>
  </si>
  <si>
    <t>UNPKD RAM SUCTION CUP TRITON 1500 2000</t>
  </si>
  <si>
    <t>RAM-B-166-MA10U</t>
  </si>
  <si>
    <t>RAM SUCTION CUP TRITON 1500 2000</t>
  </si>
  <si>
    <t>RAM-B-166-MA10</t>
  </si>
  <si>
    <t>UNPKD RAM SUCTION MOUNT LOWRANCE XOG</t>
  </si>
  <si>
    <t>RAM-B-166-LO8U</t>
  </si>
  <si>
    <t>RAM SUCTION MOUNT LOWRANCE XOG</t>
  </si>
  <si>
    <t>RAM-B-166-LO8</t>
  </si>
  <si>
    <t>UNPKD RAM SUCTION LOWRANCE IWAY 500 600</t>
  </si>
  <si>
    <t>RAM-B-166-LO4U</t>
  </si>
  <si>
    <t>RAM SUCTION LOWRANCE IWAY 500 600</t>
  </si>
  <si>
    <t>RAM-B-166-LO4</t>
  </si>
  <si>
    <t>UNPKD RAM SUCTION MNT LOWRANCE IFINDER</t>
  </si>
  <si>
    <t>RAM-B-166-LO3U</t>
  </si>
  <si>
    <t>RAM SUCTION MOUNT FOR LOWRANCE IFINDER</t>
  </si>
  <si>
    <t>RAM-B-166-LO3</t>
  </si>
  <si>
    <t>UNPKD RAM MOUNT DOCK FOR KYOCERA ULTRA  WITH SUCTION BASE</t>
  </si>
  <si>
    <t>RAM-B-166-KYO1PU</t>
  </si>
  <si>
    <t>RAM POWER SUCTION MOUNT FOR INTERMEC CN3</t>
  </si>
  <si>
    <t>RAM-B-166-IN11P</t>
  </si>
  <si>
    <t>RAM SUCTION MOUNT FOR INTERMEC CN3</t>
  </si>
  <si>
    <t>RAM-B-166-IN11</t>
  </si>
  <si>
    <t>UNPKD RAM MOUNT FOR GOPRO WITH SUCTION BASE</t>
  </si>
  <si>
    <t>RAM-B-166-GOP1U</t>
  </si>
  <si>
    <t>RAM MNT GOPRO SUCTION BASE</t>
  </si>
  <si>
    <t>RAM-B-166-GOP1</t>
  </si>
  <si>
    <t>RAM SUCTION CUP GARMIN 2600 2700 SERIES</t>
  </si>
  <si>
    <t>RAM-B-166-GA9U</t>
  </si>
  <si>
    <t xml:space="preserve">UNPKD RAM SUCTION MNT GARMIN 276, 296 </t>
  </si>
  <si>
    <t>RAM-B-166-GA7U</t>
  </si>
  <si>
    <t>UNP RAM SUCTION CUP GARMIN SPINE CLIP HOLDER</t>
  </si>
  <si>
    <t>RAM-B-166-GA76U</t>
  </si>
  <si>
    <t>RAM SUCTION CUP GARMIN SPINE CLIP HOLDER</t>
  </si>
  <si>
    <t>RAM-B-166-GA76</t>
  </si>
  <si>
    <t xml:space="preserve">RAM SUCTION MOUNT GARMIN 176, 276, 296 </t>
  </si>
  <si>
    <t>RAM-B-166-GA7</t>
  </si>
  <si>
    <t>UNPKD RAM SUCTION MOUNT GARMIN VIRB</t>
  </si>
  <si>
    <t>RAM-B-166-GA63U</t>
  </si>
  <si>
    <t>RAM SUCTION MOUNT FOR GARMIN 76 76CSX</t>
  </si>
  <si>
    <t>RAM-B-166-GA6</t>
  </si>
  <si>
    <t>UNPKD RAM SUCTION MOUNT GARMIN GO 52 54</t>
  </si>
  <si>
    <t>RAM-B-166-GA55U</t>
  </si>
  <si>
    <t>RAM SUCTION MOUNT FOR GARMIN ETREX</t>
  </si>
  <si>
    <t>RAM-B-166-GA5</t>
  </si>
  <si>
    <t>RAM-B-166-GA48</t>
  </si>
  <si>
    <t>RAM-B-166-GA47</t>
  </si>
  <si>
    <t>RAM-B-166-GA46</t>
  </si>
  <si>
    <t xml:space="preserve">UNPKD RAM SUCTION MOUNT GARMIN DEZL </t>
  </si>
  <si>
    <t>RAM-B-166-GA43U</t>
  </si>
  <si>
    <t>RAM SUCTION MOUNT GARMIN DEZL SERIES</t>
  </si>
  <si>
    <t>RAM-B-166-GA43</t>
  </si>
  <si>
    <t>UNPKD RAM SUCTION MOUNT GARMIN GPSMAP 78</t>
  </si>
  <si>
    <t>RAM-B-166-GA40U</t>
  </si>
  <si>
    <t>RAM-B-166-GA40</t>
  </si>
  <si>
    <t>UNPKD RAM SUCTION MOUNT GARMIN NUVI 3700</t>
  </si>
  <si>
    <t>RAM-B-166-GA39U</t>
  </si>
  <si>
    <t>UNPKD RAM SUCTION MOUNT GARMIN 695 696</t>
  </si>
  <si>
    <t>RAM-B-166-GA38U</t>
  </si>
  <si>
    <t>RAM SUCTION MOUNT FOR GARMIN DAKOTA</t>
  </si>
  <si>
    <t>RAM-B-166-GA36</t>
  </si>
  <si>
    <t>UNPKD RAM SUCTION CUP GARMIN NUVI 1490</t>
  </si>
  <si>
    <t>RAM-B-166-GA35U</t>
  </si>
  <si>
    <t>UNPKD RAM SUCTION CUP GARMIN NUVI 500</t>
  </si>
  <si>
    <t>RAM-B-166-GA32U</t>
  </si>
  <si>
    <t>RAM SUCTION CUP GARMIN NUVI 500</t>
  </si>
  <si>
    <t>RAM-B-166-GA32</t>
  </si>
  <si>
    <t>RAM SUCTION MOUNT FOR GARMIN OREGON</t>
  </si>
  <si>
    <t>RAM-B-166-GA31</t>
  </si>
  <si>
    <t>UNPKD RAM SUCTION CUP GARMIN NUVI 850 86</t>
  </si>
  <si>
    <t>RAM-B-166-GA30U</t>
  </si>
  <si>
    <t>RAM SUCTION CUP GARMIN NUVI 850 860 880</t>
  </si>
  <si>
    <t>RAM-B-166-GA30</t>
  </si>
  <si>
    <t>UNPKD RAM SUCTION CUP GARMIN NUVI 5000</t>
  </si>
  <si>
    <t>RAM-B-166-GA28U</t>
  </si>
  <si>
    <t>RAM SUCTION CUP GARMIN NUVI 5000</t>
  </si>
  <si>
    <t>RAM-B-166-GA28</t>
  </si>
  <si>
    <t>UNPKD RAM SUCTION CUP GARMIN COLORADO</t>
  </si>
  <si>
    <t>RAM-B-166-GA27U</t>
  </si>
  <si>
    <t>RAM SUCTION CUP GARMIN COLORADO</t>
  </si>
  <si>
    <t>RAM-B-166-GA27</t>
  </si>
  <si>
    <t>UNPK SUCTION CUP GARMIN NUVI 750 760 770</t>
  </si>
  <si>
    <t>RAM-B-166-GA26U</t>
  </si>
  <si>
    <t>RAM SUCTION CUP GARMIN NUVI 750 760 770</t>
  </si>
  <si>
    <t>RAM-B-166-GA26</t>
  </si>
  <si>
    <t>UN RAM SUCTION CUP GARMIN NUVI 200W 250W</t>
  </si>
  <si>
    <t>RAM-B-166-GA25U</t>
  </si>
  <si>
    <t>RAM SUCTION CUP GARMIN NUVI 200W 250W</t>
  </si>
  <si>
    <t>RAM-B-166-GA25</t>
  </si>
  <si>
    <t>UNPK RAM SUCTION CUP GARMIN NUVI 200 250</t>
  </si>
  <si>
    <t>RAM-B-166-GA24U</t>
  </si>
  <si>
    <t>RAM SUCTION CUP GARMIN NUVI 200 250</t>
  </si>
  <si>
    <t>RAM-B-166-GA24</t>
  </si>
  <si>
    <t>UNPKD RAM SUCTION CUP GARMIN NUVI 600</t>
  </si>
  <si>
    <t>RAM-B-166-GA23U</t>
  </si>
  <si>
    <t>RAM SUCTION CUP GARMIN NUVI 600 SERIES</t>
  </si>
  <si>
    <t>RAM-B-166-GA23</t>
  </si>
  <si>
    <t>UNP RAM SUCTION CUP GARMIN I SERIES C500</t>
  </si>
  <si>
    <t>RAM-B-166-GA22U</t>
  </si>
  <si>
    <t>RAM SUCTION CUP GARMIN I SERIES C500</t>
  </si>
  <si>
    <t>RAM-B-166-GA22</t>
  </si>
  <si>
    <t>RAM SUCTION CUP GARMIN NUVI 300 SERIES</t>
  </si>
  <si>
    <t>RAM-B-166-GA21U</t>
  </si>
  <si>
    <t>RAM-B-166-GA20U</t>
  </si>
  <si>
    <t>RAM SUCTION MOUNT FOR GARMIN 2, 3, 5</t>
  </si>
  <si>
    <t>RAM-B-166-GA2</t>
  </si>
  <si>
    <t>UNPK RAM SUCTION FOR GARMIN ETREX COLOR</t>
  </si>
  <si>
    <t>RAM-B-166-GA16U</t>
  </si>
  <si>
    <t>RAM SUCTION MOUNT FOR GARMIN ETREX COLOR</t>
  </si>
  <si>
    <t>RAM-B-166-GA16</t>
  </si>
  <si>
    <t>RAM SUCTION CUP GARMIN ETREX COLOR</t>
  </si>
  <si>
    <t>RAM-B-166-GA15U</t>
  </si>
  <si>
    <t>UNPKGD RAM SUCTION MOUNT FOR GARMIN 76C</t>
  </si>
  <si>
    <t>RAM-B-166-GA14U</t>
  </si>
  <si>
    <t>RAM SUCTION MOUNT FOR GARMIN 76C</t>
  </si>
  <si>
    <t>RAM-B-166-GA14</t>
  </si>
  <si>
    <t>RAM SUCTION CUP GARMIN 60 SERIES</t>
  </si>
  <si>
    <t>RAM-B-166-GA12U</t>
  </si>
  <si>
    <t>RAM SUCTION MOUNT FOR GARMIN 60 SERIES</t>
  </si>
  <si>
    <t>RAM-B-166-GA12</t>
  </si>
  <si>
    <t>RAM SUCTION CUP GARMIN IQUE</t>
  </si>
  <si>
    <t>RAM-B-166-GA10U</t>
  </si>
  <si>
    <t>RAM SUCTION MOUNT FOR GARMIN GPSMAP 600</t>
  </si>
  <si>
    <t>RAM-B-166-G4</t>
  </si>
  <si>
    <t>UNPKD RAM SUCTION MOUNT GARMIN 7200</t>
  </si>
  <si>
    <t>RAM-B-166-G3U</t>
  </si>
  <si>
    <t>RAM SUCTION MOUNT FOR GARMIN 195 295</t>
  </si>
  <si>
    <t>RAM-B-166-G1</t>
  </si>
  <si>
    <t>RAM SUCTION MOUNT W/ 1/4"-20 FEMALE</t>
  </si>
  <si>
    <t>RAM-B-166-EDG1U</t>
  </si>
  <si>
    <t>UNPKD RAM SUCTION MOUNT DELORME PN20</t>
  </si>
  <si>
    <t>RAM-B-166-DEL1U</t>
  </si>
  <si>
    <t>RAM-B-166-C-UN10U</t>
  </si>
  <si>
    <t>UNPKD QUICK-GRIP XL WITH LONG ARM AND SUCTION CUP MOUNT</t>
  </si>
  <si>
    <t>RAM-B-166-C-PD4U</t>
  </si>
  <si>
    <t>UNPKD RAM SUCTION MOUNT AMPS BASE</t>
  </si>
  <si>
    <t>RAM-B-166-C-347U-TOM1</t>
  </si>
  <si>
    <t>UNPKD RAM SUCTION MOUNT TWIST LOCK LNG</t>
  </si>
  <si>
    <t>RAM-B-166-C-202U</t>
  </si>
  <si>
    <t>RAM SUCTION MOUNT TWIST LOCK LNG</t>
  </si>
  <si>
    <t>RAM-B-166-C-202</t>
  </si>
  <si>
    <t>UNPK RAM SUCTION MOUNT 6 1/4" BASE LONG</t>
  </si>
  <si>
    <t>RAM-B-166-C-111U</t>
  </si>
  <si>
    <t>RAM SUCTION MOUNT TWIST LOCK LONG</t>
  </si>
  <si>
    <t>RAM-B-166-C</t>
  </si>
  <si>
    <t>RAM SUCTION MOUNT FOR BELT CLIPS</t>
  </si>
  <si>
    <t>RAM-B-166-BC1</t>
  </si>
  <si>
    <t>UNPKD RAM SUCTION MOUNT RAM X-GRIP SHORT ARM</t>
  </si>
  <si>
    <t>RAM-B-166-A-UN7U</t>
  </si>
  <si>
    <t>UNPKD RAM SUCT MOUNT TWIST LOCK ASSEM</t>
  </si>
  <si>
    <t>RAM-B-166AU</t>
  </si>
  <si>
    <t>RAM SUCTION MNT AQUA BOX PRO 20  W CRADL</t>
  </si>
  <si>
    <t>RAM-B-166-AQ7-2C</t>
  </si>
  <si>
    <t xml:space="preserve">RAM SUCTION MOUNT FOR AQUA BOX PRO 20 </t>
  </si>
  <si>
    <t>RAM-B-166-AQ7-2</t>
  </si>
  <si>
    <t>UNPKD RAM SUCTION MOUNT FOR APPLE MAG SAFE</t>
  </si>
  <si>
    <t>RAM-B-166-AP-MAGU</t>
  </si>
  <si>
    <t>UNPKD RAM SUCTION MOUNT FOR APPLE MAG SAFE (2024)</t>
  </si>
  <si>
    <t>RAM-B-166-AP-MAG-1U</t>
  </si>
  <si>
    <t>UNPKD RAM SUCTION MOUNT APPLE MAG SAFE</t>
  </si>
  <si>
    <t>RAM-B-166-AP-MAG</t>
  </si>
  <si>
    <t>UNPK SUCTION BASE FOR APPLE IPHONE 4</t>
  </si>
  <si>
    <t>RAM-B-166-AP9U</t>
  </si>
  <si>
    <t>UNPK SUCTION BASE APPLE IPAD &amp; IPAD 2</t>
  </si>
  <si>
    <t>RAM-B-166-AP8LU</t>
  </si>
  <si>
    <t>UNPK SUCTION BASE FOR APPLE IPHONE</t>
  </si>
  <si>
    <t>RAM-B-166-AP3U</t>
  </si>
  <si>
    <t>UNPKD RAM EZ-ROLL'R CRADLE FOR APPLE IPAD MINI 6 WITH SUCTION CUP</t>
  </si>
  <si>
    <t>RAM-B-166-AP36U</t>
  </si>
  <si>
    <t>UNPKD RAM SUCTION APPLE NANO</t>
  </si>
  <si>
    <t>RAM-B-166-AP2U</t>
  </si>
  <si>
    <t>UNPKD RAM EZ-ROLL'R CRADLE FOR APPLE IPAD PRO 11"  WITH SUCTION CUP</t>
  </si>
  <si>
    <t>RAM-B-166-AP23U</t>
  </si>
  <si>
    <t>RAM SUCTION MOUNT AND TAB-TITE FOR IPAD MINI 4</t>
  </si>
  <si>
    <t>RAM-B-166-AP20U</t>
  </si>
  <si>
    <t>UNPK RAM SUCTION MOUNT APPLE IPOD</t>
  </si>
  <si>
    <t>RAM-B-166-AP1U</t>
  </si>
  <si>
    <t>UNPK SUCTION MNT APPLE IPHONE XS MAX, 7 PLUS &amp; 6 PLUS</t>
  </si>
  <si>
    <t>RAM-B-166-AP19U</t>
  </si>
  <si>
    <t>UNPK SUCTION MNT FOR APPLE IPHONE 6</t>
  </si>
  <si>
    <t>RAM-B-166-AP18U</t>
  </si>
  <si>
    <t>UNPK SUCTION MNT FOR APPLE IPAD MINI</t>
  </si>
  <si>
    <t>RAM-B-166-AP14U</t>
  </si>
  <si>
    <t>RAM SUCTION MOUNT APPLE IPOD</t>
  </si>
  <si>
    <t>RAM-B-166-AP1</t>
  </si>
  <si>
    <t>UNPKD RAM MNT SHORT GOPRO SUCTION BASE</t>
  </si>
  <si>
    <t>RAM-B-166-A-GOP1U</t>
  </si>
  <si>
    <t>RAM MNT SHORT GOPRO SUCTION BASE</t>
  </si>
  <si>
    <t>RAM-B-166-A-GOP1</t>
  </si>
  <si>
    <t>RAM-B-166-A-347-DYN1U</t>
  </si>
  <si>
    <t>UNPK RAM SCTN MNT &amp; BASE W 9MM HOLE SHOR</t>
  </si>
  <si>
    <t>RAM-B-166-A-272U</t>
  </si>
  <si>
    <t>RAM-B-166-A-237U</t>
  </si>
  <si>
    <t>RAM-B-166-A-202U</t>
  </si>
  <si>
    <t>UNPK RAM SUCTION MOUNT 6 1/4" BASE SHORT</t>
  </si>
  <si>
    <t>RAM-B-166-A-111U</t>
  </si>
  <si>
    <t>RAM SUCTION MOUNT TWIST LOCK SHORT</t>
  </si>
  <si>
    <t>RAM-B-166-A</t>
  </si>
  <si>
    <t>UNPKD RAM SUCTION MOUNT FLAT PANEL</t>
  </si>
  <si>
    <t>RAM-B-166-375U</t>
  </si>
  <si>
    <t>RAM-B-166-347U-TOM1</t>
  </si>
  <si>
    <t>RAM-B-166-347U</t>
  </si>
  <si>
    <t>UNPD RAM MNT W/ SUCTION VISOR GREEN</t>
  </si>
  <si>
    <t>RAM-B-166-326-VIS-G1U</t>
  </si>
  <si>
    <t>UNKP RAM SOCKET SUCT SYS W QUICK RELEASE</t>
  </si>
  <si>
    <t>RAM-B-166-326U</t>
  </si>
  <si>
    <t>UNPD RAM MNT W SUCTION W SHORT ARM</t>
  </si>
  <si>
    <t>RAM-B-166-2-AU-NB</t>
  </si>
  <si>
    <t>UNPD RAM MNT W SUCTION W DIAMOND BASE ST</t>
  </si>
  <si>
    <t>RAM-B-166-2-AU</t>
  </si>
  <si>
    <t>RAM-B-166-237U</t>
  </si>
  <si>
    <t>RAM MNT W/ SUCTION BASE W/ 1/4"-20</t>
  </si>
  <si>
    <t>RAM-B-166-237</t>
  </si>
  <si>
    <t>UNPKD RAM SUCTION MOUNT W/ HARDWARE</t>
  </si>
  <si>
    <t>RAM-B-166-202U-UK1</t>
  </si>
  <si>
    <t>RAM-B-166-202U</t>
  </si>
  <si>
    <t>RAM-B-166-202AU</t>
  </si>
  <si>
    <t>RAM SUCTION MOUNT 1/4"-20 MALE</t>
  </si>
  <si>
    <t>RAM-B-166-202A</t>
  </si>
  <si>
    <t>RAM SUCTION MOUNT TWIST LOCK</t>
  </si>
  <si>
    <t>RAM-B-166-202</t>
  </si>
  <si>
    <t>UNPK RAM SUCTION MOUNT 6 1/4" BASE</t>
  </si>
  <si>
    <t>RAM-B-166-111U</t>
  </si>
  <si>
    <t>UNPKD RAM SUCTION MOUNT W/O BASE</t>
  </si>
  <si>
    <t>RAM-B-166-103U</t>
  </si>
  <si>
    <t>RAM-B-166</t>
  </si>
  <si>
    <t>RAM MOUNT FOR CONNECT BLUE</t>
  </si>
  <si>
    <t>RAM-B-153U-CB1</t>
  </si>
  <si>
    <t>RAM MOUNT FOR TRIMBLE 41005-10 HAND HELD</t>
  </si>
  <si>
    <t>RAM-B-153</t>
  </si>
  <si>
    <t>RAM SPOTLIGHT WITH MOUNT &amp; U-BOLT BASE</t>
  </si>
  <si>
    <t>RAM-B-152R</t>
  </si>
  <si>
    <t>RAM SPOTLIGHT REPL BULB PAR 36, LED 9W</t>
  </si>
  <si>
    <t>RAM-B-152-BULB</t>
  </si>
  <si>
    <t>RAM SPOTLIGHT WITH 1" BALL</t>
  </si>
  <si>
    <t>RAM-B-152B</t>
  </si>
  <si>
    <t>RAM SPOTLIGHT WITH TOUGH CLAW</t>
  </si>
  <si>
    <t>RAM-B-152-404</t>
  </si>
  <si>
    <t>RAM SPOTLIGHT WITH MOUNT &amp; MAGNETIC BASE</t>
  </si>
  <si>
    <t>RAM-B-152-339</t>
  </si>
  <si>
    <t>RAM SPOTLIGHT WITH MOUNT UTV BASE</t>
  </si>
  <si>
    <t>RAM-B-152-231Z-2</t>
  </si>
  <si>
    <t>RAM SPOTLIGHT WITH MOUNT &amp; STD. BASE</t>
  </si>
  <si>
    <t>RAM-B-152</t>
  </si>
  <si>
    <t>UNPKD RAM U-BOLT MNT W/202 10" RAM X-GRIP</t>
  </si>
  <si>
    <t>RAM-B-149Z-UN9U</t>
  </si>
  <si>
    <t>UNPK RAM RAIL U-BOLT MNT 7" TABLET RAM X-GRIP</t>
  </si>
  <si>
    <t>RAM-B-149Z-UN8U</t>
  </si>
  <si>
    <t>RAM RAIL U-BOLT MOUNT 7" TABLET RAM X-GRIP</t>
  </si>
  <si>
    <t>RAM-B-149Z-UN8</t>
  </si>
  <si>
    <t>RAM RAIL U-BOLT MOUNT UNIVERSAL RAM X-GRIP</t>
  </si>
  <si>
    <t>RAM-B-149Z-UN7U</t>
  </si>
  <si>
    <t>UNPKD RAM X-GRIP WITH MALE PIN LOCK AND ANTI-VIBRATION WITH STANDARD ARM AND U BOLT</t>
  </si>
  <si>
    <t>RAM-B-149Z-UN7-462</t>
  </si>
  <si>
    <t>RAM-B-149Z-UN7</t>
  </si>
  <si>
    <t>RAM RAIL MOUNT UNIVERSAL FINGER GRIP HOL</t>
  </si>
  <si>
    <t>RAM-B-149Z-UN4U</t>
  </si>
  <si>
    <t>RAM-B-149Z-UN4</t>
  </si>
  <si>
    <t>RAM RAIL U-BOLT MOUNT RAM X-GRIP 12" TABLETS</t>
  </si>
  <si>
    <t>RAM-B-149Z-UN11U</t>
  </si>
  <si>
    <t>RAM RAIL U-BOLT MOUNT RAM X-GRIP 5" PHABLETS</t>
  </si>
  <si>
    <t>RAM-B-149Z-UN10U</t>
  </si>
  <si>
    <t>RAM RAIL U-BOLT MNT RAM X-GRIP 5" PHABLETS FOR CANADA</t>
  </si>
  <si>
    <t>RAM-B-149Z-UN10-CA</t>
  </si>
  <si>
    <t>UNPKD RAM LG X-GRIP WITH MALE PIN LOCK AND ANTI-VIBRATION WITH STANDARD ARM AND U BOLT</t>
  </si>
  <si>
    <t>RAM-B-149Z-UN10-462</t>
  </si>
  <si>
    <t>RAM RAIL U-BOLT MNT RAM X-GRIP 5" PHABLETS</t>
  </si>
  <si>
    <t>RAM-B-149Z-UN10</t>
  </si>
  <si>
    <t>UNPKD RAM U-BOLT MNT LONG</t>
  </si>
  <si>
    <t>RAM-B-149ZU-C</t>
  </si>
  <si>
    <t>UNPKD RAM U-BOLT MNT SHORT</t>
  </si>
  <si>
    <t>RAM-B-149ZU-A</t>
  </si>
  <si>
    <t>UNPKD RAM U-BOLT MNT W/2.47DIA. X 2.47X1</t>
  </si>
  <si>
    <t>RAM-B-149ZU</t>
  </si>
  <si>
    <t>RAM UNPKD U-BOLT TOMTOM 330 SERIES</t>
  </si>
  <si>
    <t>RAM-B-149Z-TO8U</t>
  </si>
  <si>
    <t>UNPKD RAM U-BOLT MNT TOMTOM 130</t>
  </si>
  <si>
    <t>RAM-B-149Z-TO7U</t>
  </si>
  <si>
    <t>UNPKD RAM U-BOLT MNT TOMTOM 720 920</t>
  </si>
  <si>
    <t>RAM-B-149Z-TO6U</t>
  </si>
  <si>
    <t>RAM U-BOLT MNT TOMTOM 720 920</t>
  </si>
  <si>
    <t>RAM-B-149Z-TO6</t>
  </si>
  <si>
    <t>UNPKD RAM U-BOLT MNT TOMTOM ONE XL</t>
  </si>
  <si>
    <t>RAM-B-149Z-TO5U</t>
  </si>
  <si>
    <t>RAM U-BOLT MNT TOMTOM ONE XL</t>
  </si>
  <si>
    <t>RAM-B-149Z-TO5</t>
  </si>
  <si>
    <t>UNPKD RAM U-BOLT TOMTOM ONE V2 V3</t>
  </si>
  <si>
    <t>RAM-B-149Z-TO4U</t>
  </si>
  <si>
    <t>UNPKD RAM U-BOLT TOMTOM 510 710 910</t>
  </si>
  <si>
    <t>RAM-B-149Z-TO3U</t>
  </si>
  <si>
    <t>UNPKD RAM U-BOLT MOUNT TOM TOM GO</t>
  </si>
  <si>
    <t>RAM-B-149Z-TO1U</t>
  </si>
  <si>
    <t>UNPKD RAM U-BOLT MOUNT TOMTOM XXL</t>
  </si>
  <si>
    <t>RAM-B-149Z-TO10U</t>
  </si>
  <si>
    <t>RAM U-BOLT MOUNT SMALL TAB-TITE</t>
  </si>
  <si>
    <t>RAM-B-149Z-TAB-SM</t>
  </si>
  <si>
    <t>RAM U-BOLT MOUNT LARGE TAB-TITE</t>
  </si>
  <si>
    <t>RAM-B-149Z-TAB-LG</t>
  </si>
  <si>
    <t>UNPKD RAM U-BOLT MOUNT 10" TAB-TITE</t>
  </si>
  <si>
    <t>RAM-B-149Z-TAB8U</t>
  </si>
  <si>
    <t>RAM U-BOLT MOUNT 10" TAB-TITE</t>
  </si>
  <si>
    <t>RAM-B-149Z-TAB8</t>
  </si>
  <si>
    <t>UNPKD RAM U-BOLT MOUNT MID TAB-TITE</t>
  </si>
  <si>
    <t>RAM-B-149Z-TAB3U</t>
  </si>
  <si>
    <t>UNPKD RAM U-BOLT SPOT GEN4 GPS UNIT</t>
  </si>
  <si>
    <t>RAM-B-149Z-SPO6U</t>
  </si>
  <si>
    <t>UNPKD RAM U-BOLT SPOT 2 SATELLITE UNIT</t>
  </si>
  <si>
    <t>RAM-B-149Z-SPO2U</t>
  </si>
  <si>
    <t>RAM U-BOLT SPOT 2</t>
  </si>
  <si>
    <t>RAM-B-149Z-SPO2</t>
  </si>
  <si>
    <t>0.UNKP RAM RAIL MOUNT W/O RAM-B-238</t>
  </si>
  <si>
    <t>RAM-B-149Z-QU1U</t>
  </si>
  <si>
    <t>RAM RAIL MOUNT SYST QUICK GRIP PHONE HOLDER FOR LARGER DEVICES</t>
  </si>
  <si>
    <t>RAM-B-149Z-PD4U</t>
  </si>
  <si>
    <t>RAM RAIL MOUNT SYST UNIVERSAL PDA SERIES</t>
  </si>
  <si>
    <t>RAM-B-149Z-PD3U</t>
  </si>
  <si>
    <t>RAM RAIL MOUNT UNIVERSAL PDA</t>
  </si>
  <si>
    <t>RAM-B-149Z-PD3</t>
  </si>
  <si>
    <t>UNKD RAM RAIL MNT SIDE UNIVER PDA CRADLE</t>
  </si>
  <si>
    <t>RAM-B-149Z-PD2U</t>
  </si>
  <si>
    <t>RAM RAIL MNT W/ SIDE UNIVER PDA CRADLE</t>
  </si>
  <si>
    <t>RAM-B-149Z-PD2</t>
  </si>
  <si>
    <t>RAM RAIL MOUNT W/UNIVESAL PDA CRADLE UPK</t>
  </si>
  <si>
    <t>RAM-B-149Z-PD1U</t>
  </si>
  <si>
    <t>RAM RAIL MOUNT W/UNIVERSAL PDA CRADLE</t>
  </si>
  <si>
    <t>RAM-B-149Z-PD1</t>
  </si>
  <si>
    <t>UNPKD RAM U-BOLT MNT W MULTI PAD</t>
  </si>
  <si>
    <t>RAM-B-149Z-MP1U</t>
  </si>
  <si>
    <t>UNPKD RAM U-BOLT MAGELLAN EXPLORIST XL</t>
  </si>
  <si>
    <t>RAM-B-149Z-MA6U</t>
  </si>
  <si>
    <t>UNPKD RAM U-BOLT MAGELLAN EXPLORIST</t>
  </si>
  <si>
    <t>RAM-B-149Z-MA5U</t>
  </si>
  <si>
    <t>RAM U-BOLT MNT FOR MAGELLAN EXPLORIST</t>
  </si>
  <si>
    <t>RAM-B-149Z-MA5</t>
  </si>
  <si>
    <t xml:space="preserve">UNPKD RAM RAIL MNT MAGELLAN ROAD MATE </t>
  </si>
  <si>
    <t>RAM-B-149Z-MA4U</t>
  </si>
  <si>
    <t xml:space="preserve">RAM RAIL MNT MAGELLAN ROAD MATE </t>
  </si>
  <si>
    <t>RAM-B-149Z-MA4</t>
  </si>
  <si>
    <t>UNPKD RAM U-BOLT MOUNT MAGELLAN SPORTRAK</t>
  </si>
  <si>
    <t>RAM-B-149Z-MA3U</t>
  </si>
  <si>
    <t>RAM U-BOLT MNT FOR MAGELLAN SPORTRAK</t>
  </si>
  <si>
    <t>RAM-B-149Z-MA3</t>
  </si>
  <si>
    <t>RAM-B-149Z-MA2U</t>
  </si>
  <si>
    <t>RAM U-BOLT MNT FOR MAGELLAN MERIDIAN</t>
  </si>
  <si>
    <t>RAM-B-149Z-MA2</t>
  </si>
  <si>
    <t>RAM U-BOLT MAGELLAN EXPLORIST 510 610</t>
  </si>
  <si>
    <t>RAM-B-149Z-MA14</t>
  </si>
  <si>
    <t>UNP RAM RAIL MNT MAGELLAN 4200 4210 4220</t>
  </si>
  <si>
    <t>RAM-B-149Z-MA12U</t>
  </si>
  <si>
    <t>RAM RAIL MNT MAGELLAN 4200 4210 4220</t>
  </si>
  <si>
    <t>RAM-B-149Z-MA12</t>
  </si>
  <si>
    <t>UNPKD RAIL MNT MAGELLAN TRITON 1500 2000</t>
  </si>
  <si>
    <t>RAM-B-149Z-MA10U</t>
  </si>
  <si>
    <t>RAM U-BOLT MNT MAGELLAN TRITON 1500 2000</t>
  </si>
  <si>
    <t>RAM-B-149Z-MA10</t>
  </si>
  <si>
    <t>UNPKD RAM U-BOLT LOWRANCE XOG</t>
  </si>
  <si>
    <t>RAM-B-149Z-LO8U</t>
  </si>
  <si>
    <t>RAM U-BOLT MOUNT LOWRANCE XOG</t>
  </si>
  <si>
    <t>RAM-B-149Z-LO8</t>
  </si>
  <si>
    <t>UNPKD RAM HANDLEBAR LOWRANCE IWAY 500 60</t>
  </si>
  <si>
    <t>RAM-B-149Z-LO4U</t>
  </si>
  <si>
    <t>UNPKD RAM U-BOLT LOWRANCE IFINDER H20</t>
  </si>
  <si>
    <t>RAM-B-149Z-LO3U</t>
  </si>
  <si>
    <t>047-0080-00 U-BOLT MNT LOWRANCE H20 MB12</t>
  </si>
  <si>
    <t>RAM-B-149Z-LO3</t>
  </si>
  <si>
    <t>RAM RAIL MOUNT LOWRANCE MARK AND ELITE</t>
  </si>
  <si>
    <t>RAM-B-149Z-LO11-NAV1</t>
  </si>
  <si>
    <t>UNPKD RAM HAND GUN HOLSTER HANDLEBAR MNT</t>
  </si>
  <si>
    <t>RAM-B-149Z-GUN1U</t>
  </si>
  <si>
    <t>RAM HAND GUN HOLSTER HANDLEBAR MOUNT</t>
  </si>
  <si>
    <t>RAM-B-149Z-GUN1</t>
  </si>
  <si>
    <t>UNPKD RAM MOUNT FOR GOPRO CAMERA</t>
  </si>
  <si>
    <t>RAM-B-149Z-GOP1U</t>
  </si>
  <si>
    <t>RAM MOUNT FOR GOPRO CAMERA</t>
  </si>
  <si>
    <t>RAM-B-149Z-GOP1</t>
  </si>
  <si>
    <t>RAM-B-149Z-GDS-DOCK-V1U</t>
  </si>
  <si>
    <t>RAM UNPKD RAIL MOUNT GARMIN 2610</t>
  </si>
  <si>
    <t>RAM-B-149Z-GA9U</t>
  </si>
  <si>
    <t>RAM RAIL MOUNT GARMIN 2610</t>
  </si>
  <si>
    <t>RAM-B-149Z-GA9</t>
  </si>
  <si>
    <t>UNPKD RAM U-BOLT GARMIN 176, 276, 296,</t>
  </si>
  <si>
    <t>RAM-B-149Z-GA7U</t>
  </si>
  <si>
    <t>RAM U-BOLT MNT GARMIN 176, 276, 296,</t>
  </si>
  <si>
    <t>RAM-B-149Z-GA7</t>
  </si>
  <si>
    <t>UNPKD RAM U-BOLT FOR GARMIN GPS 76 SERIE</t>
  </si>
  <si>
    <t>RAM-B-149Z-GA6U</t>
  </si>
  <si>
    <t>RAM U-BOLT MOUNT GARMIN VIRB BASE</t>
  </si>
  <si>
    <t>RAM-B-149Z-GA63U</t>
  </si>
  <si>
    <t>RAM U-BOLT MOUNT FOR GARMIN GPS 76 SERIE</t>
  </si>
  <si>
    <t>RAM-B-149Z-GA6</t>
  </si>
  <si>
    <t>UNPKD RAM MOUNT W/U-BOLT GARMIN E-TREX</t>
  </si>
  <si>
    <t>RAM-B-149Z-GA5U</t>
  </si>
  <si>
    <t>RAM UNPKD U-BOLT GARMIN GO 52 54</t>
  </si>
  <si>
    <t>RAM-B-149Z-GA55U</t>
  </si>
  <si>
    <t>RAM MOUNTW/U-BOLT GARMIN E-TREX</t>
  </si>
  <si>
    <t>RAM-B-149Z-GA5</t>
  </si>
  <si>
    <t>UNPKD RAM U-BOLT FOR GARMIN E-MAP</t>
  </si>
  <si>
    <t>RAM-B-149Z-GA4U</t>
  </si>
  <si>
    <t>RAM U-BOLT GARMIN ETREX 10 20 30</t>
  </si>
  <si>
    <t>RAM-B-149Z-GA48</t>
  </si>
  <si>
    <t>RAM U-BOLT GARMIN RINO 610 650</t>
  </si>
  <si>
    <t>RAM-B-149Z-GA47</t>
  </si>
  <si>
    <t>RAM U-BOLT GARMIN MONTANA</t>
  </si>
  <si>
    <t>RAM-B-149Z-GA46</t>
  </si>
  <si>
    <t>RAM UNPKD U-BOLT GARMIN DEZL SERIES</t>
  </si>
  <si>
    <t>RAM-B-149Z-GA43U</t>
  </si>
  <si>
    <t>RAM U-BOLT GARMIN DEZL SERIES</t>
  </si>
  <si>
    <t>RAM-B-149Z-GA43</t>
  </si>
  <si>
    <t>RAM UNPKD U-BOLT GARMIN GPSMAP 62</t>
  </si>
  <si>
    <t>RAM-B-149Z-GA41U</t>
  </si>
  <si>
    <t>RAM U-BOLT GARMIN GPSMAP 62</t>
  </si>
  <si>
    <t>RAM-B-149Z-GA41</t>
  </si>
  <si>
    <t>UNPKD RAM U-BOLT GARMIN GPSMAP 78</t>
  </si>
  <si>
    <t>RAM-B-149Z-GA40U</t>
  </si>
  <si>
    <t>RAM U-BOLT GARMIN GPSMAP 78</t>
  </si>
  <si>
    <t>RAM-B-149Z-GA40</t>
  </si>
  <si>
    <t>RAM U-BOLT MOUNT FOR GARMIN E-MAP</t>
  </si>
  <si>
    <t>RAM-B-149Z-GA4</t>
  </si>
  <si>
    <t>RAM UNPKD U-BOLT GARMIN NUVI 3700</t>
  </si>
  <si>
    <t>RAM-B-149Z-GA39U</t>
  </si>
  <si>
    <t>RAM UNPKD U-BOLT GARMIN NUVI 1690</t>
  </si>
  <si>
    <t>RAM-B-149Z-GA37U</t>
  </si>
  <si>
    <t>RAM U-BOLT GARMIN DAKOTA</t>
  </si>
  <si>
    <t>RAM-B-149Z-GA36</t>
  </si>
  <si>
    <t>UNPKD RAM U-BOLT GARMIN NUVI 1490T</t>
  </si>
  <si>
    <t>RAM-B-149Z-GA35U</t>
  </si>
  <si>
    <t>UNPKD RAM U-BOLT GARMIN NUVI 1300, 1350</t>
  </si>
  <si>
    <t>RAM-B-149Z-GA34U</t>
  </si>
  <si>
    <t>UNPKD RAM U-BOLT GARMIN NUVI 1200</t>
  </si>
  <si>
    <t>RAM-B-149Z-GA33U</t>
  </si>
  <si>
    <t>RAM UNPKD U-BOLT GARMIN NUVI 500</t>
  </si>
  <si>
    <t>RAM-B-149Z-GA32U</t>
  </si>
  <si>
    <t>RAM U-BOLT MOUNT GARMIN NUVI 500</t>
  </si>
  <si>
    <t>RAM-B-149Z-GA32</t>
  </si>
  <si>
    <t>UNPKDD RAM U-BOLT GARMIN OREGON</t>
  </si>
  <si>
    <t>RAM-B-149Z-GA31U</t>
  </si>
  <si>
    <t>RAM U-BOLT GARMIN OREGON</t>
  </si>
  <si>
    <t>RAM-B-149Z-GA31</t>
  </si>
  <si>
    <t>UNPKD RAM U-BOLT GARMIN NUVI 850 860 880</t>
  </si>
  <si>
    <t>RAM-B-149Z-GA30U</t>
  </si>
  <si>
    <t>RAM U-BOLT GARMIN NUVI 850 860 880</t>
  </si>
  <si>
    <t>RAM-B-149Z-GA30</t>
  </si>
  <si>
    <t>UNPKD RAM U-BOLT GARMIN NUVI 5000</t>
  </si>
  <si>
    <t>RAM-B-149Z-GA28U</t>
  </si>
  <si>
    <t>RAM U-BOLT GARMIN NUVI 5000</t>
  </si>
  <si>
    <t>RAM-B-149Z-GA28</t>
  </si>
  <si>
    <t>UNPKD RAM U-BOLT GARMIN COLORADO</t>
  </si>
  <si>
    <t>RAM-B-149Z-GA27U</t>
  </si>
  <si>
    <t>RAM U-BOLT GARMIN COLORADO</t>
  </si>
  <si>
    <t>RAM-B-149Z-GA27</t>
  </si>
  <si>
    <t>UNPKD RAM U-BOLT GARMIN NUVI 750 760 770</t>
  </si>
  <si>
    <t>RAM-B-149Z-GA26U</t>
  </si>
  <si>
    <t>RAM U-BOLT GARMIN NUVI 750 760 770</t>
  </si>
  <si>
    <t>RAM-B-149Z-GA26</t>
  </si>
  <si>
    <t>UNPKD RAM U-BOLT GARMIN NUVI 200W 250W</t>
  </si>
  <si>
    <t>RAM-B-149Z-GA25U</t>
  </si>
  <si>
    <t>UNPKD RAM LOCK U-BOLT GARMIN NUVI 200W</t>
  </si>
  <si>
    <t>RAM-B-149Z-GA25LU</t>
  </si>
  <si>
    <t>RAM U-BOLT FOR GARMIN NUVI 200W 250W</t>
  </si>
  <si>
    <t>RAM-B-149Z-GA25</t>
  </si>
  <si>
    <t>UNPKD RAM U-BOLT FOR GARMIN NUVI 200 250</t>
  </si>
  <si>
    <t>RAM-B-149Z-GA24U</t>
  </si>
  <si>
    <t>RAM U-BOLT FOR GARMIN NUVI 200 250</t>
  </si>
  <si>
    <t>RAM-B-149Z-GA24</t>
  </si>
  <si>
    <t>UNPKD RAM U-BOLT FOR GARMIN NUVI 600</t>
  </si>
  <si>
    <t>RAM-B-149Z-GA23U</t>
  </si>
  <si>
    <t>RAM U-BOLT FOR GARMIN NUVI 600</t>
  </si>
  <si>
    <t>RAM-B-149Z-GA23</t>
  </si>
  <si>
    <t>UNPKD RAM U-BOLT GARMIN I SERIES C500</t>
  </si>
  <si>
    <t>RAM-B-149Z-GA22U</t>
  </si>
  <si>
    <t>RAM U-BOLT GARMIN I SERIES C500</t>
  </si>
  <si>
    <t>RAM-B-149Z-GA22</t>
  </si>
  <si>
    <t>RAM U-BOLT FOR  GARMIN NUVI 300 SERIES</t>
  </si>
  <si>
    <t>RAM-B-149Z-GA21U</t>
  </si>
  <si>
    <t>RAM U-BOLT FOR  GARMIN RINO 500 SERIES</t>
  </si>
  <si>
    <t>RAM-B-149Z-GA20U</t>
  </si>
  <si>
    <t>RAM-B-149Z-GA20</t>
  </si>
  <si>
    <t>UNPKD RAM U-BOLT FOR GARMIN GPS 12 SERIE</t>
  </si>
  <si>
    <t>RAM-B-149Z-GA1U</t>
  </si>
  <si>
    <t>UNPKD RAM U-BOLT FOR GARMIN ETREX COLOR</t>
  </si>
  <si>
    <t>RAM-B-149Z-GA16U</t>
  </si>
  <si>
    <t>RAM RAIL MOUNT GARMIN ETREX COLOR</t>
  </si>
  <si>
    <t>RAM-B-149Z-GA16</t>
  </si>
  <si>
    <t>UNPKD RAM U-BOLT FOR GARMIN QUEST</t>
  </si>
  <si>
    <t>RAM-B-149Z-GA15U</t>
  </si>
  <si>
    <t>RAM RAIL MOUNT GARMIN QUEST</t>
  </si>
  <si>
    <t>RAM-B-149Z-GA15</t>
  </si>
  <si>
    <t>UNPKD RAM U-BOLT FOR GARMIN GPS 76CS</t>
  </si>
  <si>
    <t>RAM-B-149Z-GA14U</t>
  </si>
  <si>
    <t>RAM U-BOLT FOR GARMIN GPS 76CS</t>
  </si>
  <si>
    <t>RAM-B-149Z-GA14</t>
  </si>
  <si>
    <t>UNPKD RAM RAIL MOUNT GARMIN 60 SERIES</t>
  </si>
  <si>
    <t>RAM-B-149Z-GA12U</t>
  </si>
  <si>
    <t>RAM UNPKD RAIL MOUNT GARMIN IQUE</t>
  </si>
  <si>
    <t>RAM-B-149Z-GA10U</t>
  </si>
  <si>
    <t>RAM RAIL MOUNT GARMIN IQUE</t>
  </si>
  <si>
    <t>RAM-B-149Z-GA10</t>
  </si>
  <si>
    <t>RAM U-BOLT MOUNT FOR GARMIN GPS 12 SERIE</t>
  </si>
  <si>
    <t>RAM-B-149Z-GA1</t>
  </si>
  <si>
    <t>UNPKD. RAM MNT W/U-BOLT &amp; GARMIN 7200</t>
  </si>
  <si>
    <t>RAM-B-149Z-G3U</t>
  </si>
  <si>
    <t>UNPKD. RAM MNT W/U-BOLT &amp; MNT. HARDWARE</t>
  </si>
  <si>
    <t>RAM-B-149Z-G1U</t>
  </si>
  <si>
    <t>RAM MOUNT W/U-BOLT BASE &amp; MOUNTING HW</t>
  </si>
  <si>
    <t>RAM-B-149Z-G1</t>
  </si>
  <si>
    <t>UNPKD RAM RAIL MOUNT DELORME PN-20</t>
  </si>
  <si>
    <t>RAM-B-149Z-DEL1U</t>
  </si>
  <si>
    <t>RAM RAIL MOUNT DELORME PN-20</t>
  </si>
  <si>
    <t>RAM-B-149Z-DEL1</t>
  </si>
  <si>
    <t>RAM-B-149Z-CO1U</t>
  </si>
  <si>
    <t>RAM U-BOLT MOUNT FOR COMPAQ IPAQ</t>
  </si>
  <si>
    <t>RAM-B-149Z-CO1</t>
  </si>
  <si>
    <t>UNPKD RAM U-BOLT MNT W/ 347 BASE</t>
  </si>
  <si>
    <t>RAM-B-149Z-C-347U</t>
  </si>
  <si>
    <t>RAM-B-149Z-C1U</t>
  </si>
  <si>
    <t>RAM VIDEO CAMERA MOUNT FOR RAILS &amp; BARS</t>
  </si>
  <si>
    <t>RAM-B-149Z-C1</t>
  </si>
  <si>
    <t>RAM U-BOLT MNT LONG</t>
  </si>
  <si>
    <t>RAM-B-149Z-C</t>
  </si>
  <si>
    <t>UNPKD RAM W/ U-BOLT, BELT CLIP HOLDER HA</t>
  </si>
  <si>
    <t>RAM-B-149Z-BC1U</t>
  </si>
  <si>
    <t>RAM W/ U-BOLT, BELT CLIP HOLDER HAND-HEL</t>
  </si>
  <si>
    <t>RAM-B-149Z-BC1</t>
  </si>
  <si>
    <t>RAM-B-149Z-A-UN7U</t>
  </si>
  <si>
    <t>UNPKD RAM X-GRIP WITH MALE PIN LOCK AND ANTI-VIBRATION WITH SHORT ARM AND U BOLT</t>
  </si>
  <si>
    <t>RAM-B-149Z-A-UN7-462</t>
  </si>
  <si>
    <t>UNPKD RAM QUICK-GRIP CRADLE BASE FOR APPLE MAG SAFE PUCK  WITH UBOLT MOUNT</t>
  </si>
  <si>
    <t>RAM-B-149Z-A-UN15WU</t>
  </si>
  <si>
    <t>RAM QUICK-GRIP CRADLE BASE FOR APPLE MAG SAFE PUCK  WITH UBOLT MOUNT</t>
  </si>
  <si>
    <t>RAM-B-149Z-A-UN15W</t>
  </si>
  <si>
    <t>RAM QUICK-GRIP 15W WIRELESS WITH UBOLT MOUNT AND MOTORCYCLE HARDWIRE CHARGER</t>
  </si>
  <si>
    <t>RAM-B-149Z-A-UN14W-V7M-1</t>
  </si>
  <si>
    <t>RAM TOUGH-CHARGE 15W WIRELESS WITH X-GRIP TECHNOLOGY WITH UBOLT MOUNT AND MOTORCYCLE HARDWIRE CHARGER</t>
  </si>
  <si>
    <t>RAM-B-149Z-A-UN12W-V7M-1</t>
  </si>
  <si>
    <t>RAM TOUGH-CHARGE WIRELESS WITH X-GRIP TECHNOLOGY WITH UBOLT MOUNT AND MOTORCYCLE HARDWIRE CHARGER</t>
  </si>
  <si>
    <t>RAM-B-149Z-A-UN12W-V7M</t>
  </si>
  <si>
    <t>RAM RAIL U-BOLT SHRT RAM X-GRIP 5" PHABLETS</t>
  </si>
  <si>
    <t>RAM-B-149Z-A-UN10U</t>
  </si>
  <si>
    <t>UNPKD RAM LG X-GRIP WITH MALE PIN LOCK AND ANTI-VIBRATION WITH SHORT ARM AND U BOLT</t>
  </si>
  <si>
    <t>RAM-B-149Z-A-UN10-462</t>
  </si>
  <si>
    <t>UNPKD RAM RAIL MOUNT AQUA BOX PRO 20</t>
  </si>
  <si>
    <t>RAM-B-149Z-AQ7-2U</t>
  </si>
  <si>
    <t>RAM RAIL MOUNT AQUA BOX PRO 20 W I5 LENS</t>
  </si>
  <si>
    <t>RAM-B-149Z-AQ7-2-I5</t>
  </si>
  <si>
    <t>RAM RAIL MOUNT AQUA BOX PRO 20</t>
  </si>
  <si>
    <t>RAM-B-149Z-AQ7-2</t>
  </si>
  <si>
    <t>UNPKD RAM U-BOLT MOUNT AQUA BOX MED SQ.</t>
  </si>
  <si>
    <t>RAM-B-149Z-AQ6U</t>
  </si>
  <si>
    <t>UNPKD RAM U-BOLT MOUNT SMALL AQUA BOX</t>
  </si>
  <si>
    <t>RAM-B-149Z-AQ3U</t>
  </si>
  <si>
    <t>RAM U-BOLT MOUNT SMALL AQUA BOX</t>
  </si>
  <si>
    <t>RAM-B-149Z-AQ3</t>
  </si>
  <si>
    <t>UNPKD RAM U-BOLT MOUNT FOR MED AQUA BOX</t>
  </si>
  <si>
    <t>RAM-B-149Z-AQ2U</t>
  </si>
  <si>
    <t>RAM U-BOLT MOUNT FOR MED AQUA BOX</t>
  </si>
  <si>
    <t>RAM-B-149Z-AQ2</t>
  </si>
  <si>
    <t>UNPKD RAM U-BOLT MOUNT AQUA BOX LARGE</t>
  </si>
  <si>
    <t>RAM-B-149Z-AQ1U</t>
  </si>
  <si>
    <t>RAM U-BOLT MNT AQUABOX LARGE</t>
  </si>
  <si>
    <t>RAM-B-149Z-AQ1</t>
  </si>
  <si>
    <t>UNPKD RAM QUICK-GRIP XL PHONE HOLDER FOR LARGER DEVICES WITH SHORT ARM AND U-BOLT</t>
  </si>
  <si>
    <t>RAM-B-149Z-A-PD4U</t>
  </si>
  <si>
    <t>UNPKD RAM QUICK GRIP HOLDERWITH MALE PIN LOCK AND ANTI-VIBRATION WITH SHORT ARM AND U BOLT</t>
  </si>
  <si>
    <t>RAM-B-149Z-A-PD4-462</t>
  </si>
  <si>
    <t>RAM QUICK-GRIP XL PHONE HOLDER FOR LARGER DEVICES WITH SHORT ARM AND U-BOLT</t>
  </si>
  <si>
    <t>RAM-B-149Z-A-PD4</t>
  </si>
  <si>
    <t>UNPKG RAM QUICK-GRIP PHONE HOLDER WITH SHORT ARM AND U-BOLT</t>
  </si>
  <si>
    <t>RAM-B-149Z-A-PD3U</t>
  </si>
  <si>
    <t>RAM QUICK-GRIP PHONE HOLDER WITH SHORT ARM AND U-BOLT</t>
  </si>
  <si>
    <t>RAM-B-149Z-A-PD3</t>
  </si>
  <si>
    <t>UNPKD RAM U-BOLT MOUNT APPLE IPHONE 4</t>
  </si>
  <si>
    <t>RAM-B-149Z-AP9U</t>
  </si>
  <si>
    <t>UNPKD RAM UBOLT LOCK APPLE IPAD &amp; IPAD 2</t>
  </si>
  <si>
    <t>RAM-B-149Z-AP8LU</t>
  </si>
  <si>
    <t>UNPKD RAM U-BOLT MOUNT APPLE TOUCH 2ND</t>
  </si>
  <si>
    <t>RAM-B-149Z-AP7U</t>
  </si>
  <si>
    <t>UNPKD RAM U-BOLT MOUNT APPLE NANO 3RD</t>
  </si>
  <si>
    <t>RAM-B-149Z-AP5U</t>
  </si>
  <si>
    <t>UNPKD RAM U-BOLT MOUNT FOR APPLE TOUCH</t>
  </si>
  <si>
    <t>RAM-B-149Z-AP4U</t>
  </si>
  <si>
    <t>UNPKD RAM U-BOLT MOUNT FOR APPLE IPHONE</t>
  </si>
  <si>
    <t>RAM-B-149Z-AP3U</t>
  </si>
  <si>
    <t>UNPKD RAM U-BOLT MOUNT APPLE NANO</t>
  </si>
  <si>
    <t>RAM-B-149Z-AP2U</t>
  </si>
  <si>
    <t>UNPKD RAM U-BOLT MOUNT FOR APPLE IPOD</t>
  </si>
  <si>
    <t>RAM-B-149Z-AP1U</t>
  </si>
  <si>
    <t>UNPKD RAM U-BOLT MOUNT APPLE IPHONE 5</t>
  </si>
  <si>
    <t>RAM-B-149Z-AP11</t>
  </si>
  <si>
    <t>UNPKD RAM U-BOLT MOUNT APPLE TOUCH 4G</t>
  </si>
  <si>
    <t>RAM-B-149Z-AP10U</t>
  </si>
  <si>
    <t>RAM U-BOLT MOUNT FOR APPLE IPOD</t>
  </si>
  <si>
    <t>RAM-B-149Z-AP1</t>
  </si>
  <si>
    <t>RAM MOUNTW/U-BOLT MAGELLAN EXPLORIST GC</t>
  </si>
  <si>
    <t>RAM-B-149Z-A-MA15U</t>
  </si>
  <si>
    <t>UNPKD RAM MOUNT SHORT GOPRO CAMERA</t>
  </si>
  <si>
    <t>RAM-B-149Z-A-GOP1U</t>
  </si>
  <si>
    <t>RAM MOUNT SHORT GOPRO CAMERA</t>
  </si>
  <si>
    <t>RAM-B-149Z-A-GOP1</t>
  </si>
  <si>
    <t>RAM U-BOLT MOUNT GARMIN 176, 276, 296,</t>
  </si>
  <si>
    <t>RAM-B149ZA-GA7U</t>
  </si>
  <si>
    <t>UNPKD RAM SPINE CLIP GARMIN HOLDER WITH SHORT ARM AND U-BOLT</t>
  </si>
  <si>
    <t>RAM-B-149Z-A-GA76U</t>
  </si>
  <si>
    <t>RAM MOUNT SHORT ARM &amp; UBOLT BASE</t>
  </si>
  <si>
    <t>RAM-B-149ZA-GA6U</t>
  </si>
  <si>
    <t>RAM MOUNTW/U-BOLT GARMIN E-TREX B&amp;W</t>
  </si>
  <si>
    <t>RAM-B-149Z-A-GA5</t>
  </si>
  <si>
    <t>RAM MOUNTW/U-BOLT GARMIN RINO 500 SERIES</t>
  </si>
  <si>
    <t>RAM-B-149Z-A-GA20</t>
  </si>
  <si>
    <t>RAM MOUNTW/U-BOLT GARMIN E-TREX COLOR</t>
  </si>
  <si>
    <t>RAM-B-149Z-A-GA16</t>
  </si>
  <si>
    <t>RAM-B-149Z-A-GA14</t>
  </si>
  <si>
    <t>RAM RAIL MOUNT GARMIN 60 SERIES</t>
  </si>
  <si>
    <t>RAM-B-149Z-A-GA12</t>
  </si>
  <si>
    <t>RAM MOUNT W/ SHORT ARM AND 1/4"-20</t>
  </si>
  <si>
    <t>RAM-B-149ZA-C1U</t>
  </si>
  <si>
    <t>UNPKD RAM U-BOLT MNT W/ 272 BASE SHORT</t>
  </si>
  <si>
    <t>RAM-B-149Z-A-272U</t>
  </si>
  <si>
    <t>UNPKD RAM RAIL MOUNT W/ 1/4"-20 MALE</t>
  </si>
  <si>
    <t>RAM-B-149Z-A-237U</t>
  </si>
  <si>
    <t>RAM U-BOLT MNT SHORT</t>
  </si>
  <si>
    <t>RAM-B-149Z-A</t>
  </si>
  <si>
    <t>RAM-B-149Z-347U</t>
  </si>
  <si>
    <t>RAM-B-149Z-300-1U</t>
  </si>
  <si>
    <t>RAM RAIL ATV UTV MOUNT FINGER GRIP HOL</t>
  </si>
  <si>
    <t>RAM-B-149Z-2-UN4</t>
  </si>
  <si>
    <t>RAM RAIL ATV UTV MOUNT WITH DIAMOND</t>
  </si>
  <si>
    <t>RAM-B-149Z-2U</t>
  </si>
  <si>
    <t>RAM HAND GUN HOLSTER ATV UTV MNT</t>
  </si>
  <si>
    <t>RAM-B-149Z-2-GUN1U</t>
  </si>
  <si>
    <t>RAM-B-149Z-2-GUN1</t>
  </si>
  <si>
    <t xml:space="preserve">UNPK RAM RAIL ATVUTV MOUNT GOPRO CAMERA </t>
  </si>
  <si>
    <t>RAM-B-149Z-2-GOP1U</t>
  </si>
  <si>
    <t xml:space="preserve">RAM RAIL ATV UTV MOUNT GOPRO CAMERA </t>
  </si>
  <si>
    <t>RAM-B-149Z-2-GOP1</t>
  </si>
  <si>
    <t>RAM RAIL ATV UTV MOUNT GARMIN GPSMAP 62</t>
  </si>
  <si>
    <t>RAM-B-149Z-2-GA41U</t>
  </si>
  <si>
    <t>RAM RAIL ATV UTV MOUNT GARMIN NUVI 1300</t>
  </si>
  <si>
    <t>RAM-B-149Z-2-GA34</t>
  </si>
  <si>
    <t>RAM RAIL ATV UTV MOUNT MED SQ AQUA BOX</t>
  </si>
  <si>
    <t>RAM-B-149Z-2-AQ6</t>
  </si>
  <si>
    <t>RAM RAIL ATV UTV MOUNT SMALL AQUA BOX</t>
  </si>
  <si>
    <t>RAM-B-149Z-2-AQ3</t>
  </si>
  <si>
    <t>RAM RAIL ATV UTV MOUNT MED AQUA BOX</t>
  </si>
  <si>
    <t>RAM-B-149Z-2-AQ2</t>
  </si>
  <si>
    <t>RAM RAIL ATV UTV MOUNT LARGE AQUA BOX</t>
  </si>
  <si>
    <t>RAM-B-149Z-2-AQ1</t>
  </si>
  <si>
    <t>RAM RAIL ATV UTV MOUNT APPLE IPHONE 4</t>
  </si>
  <si>
    <t>RAM-B-149Z-2-AP9</t>
  </si>
  <si>
    <t>UNPKD RAM U-BOLT MNT W/ 272 BASE</t>
  </si>
  <si>
    <t>RAM-B-149Z-272U</t>
  </si>
  <si>
    <t>RAM-B-149Z-237U</t>
  </si>
  <si>
    <t>UNPKD RAM U-BOLT MNT W/ TOUGH TRAY II</t>
  </si>
  <si>
    <t>RAM-B-149Z-234-6U</t>
  </si>
  <si>
    <t>RAM RAIL MOUNT W/ 1/4"-20 MALE</t>
  </si>
  <si>
    <t>RAM-B-149Z-2-237</t>
  </si>
  <si>
    <t>UNPKD RAM RAIL ATV UTV MOUNT CAMERAS</t>
  </si>
  <si>
    <t>RAM-B-149Z-2-202AU</t>
  </si>
  <si>
    <t>RAM RAIL ATV UTV MOUNT FOR CAMERAS</t>
  </si>
  <si>
    <t>RAM-B-149Z-2-202A</t>
  </si>
  <si>
    <t>UNPKD RAM U-BOLT MNT W/ 202 BASE</t>
  </si>
  <si>
    <t>RAM-B-149Z-202U</t>
  </si>
  <si>
    <t>RAM U-BOLT MNT W/ 202 BASE</t>
  </si>
  <si>
    <t>RAM-B-149Z-202</t>
  </si>
  <si>
    <t>RAM-B-149Z-2</t>
  </si>
  <si>
    <t>RAM U-BOLT MNT. W/2.43DIA. &amp; 2.43 X 1.31</t>
  </si>
  <si>
    <t>RAM-B-149Z</t>
  </si>
  <si>
    <t>UNPKD RAM U-BOLT MOUNT W/ SS HARDWARE</t>
  </si>
  <si>
    <t>RAM-B-149U</t>
  </si>
  <si>
    <t>RAM RAIL MOUNT W/O RAM-B-238</t>
  </si>
  <si>
    <t>RAM-B-149-QU1</t>
  </si>
  <si>
    <t>RAM U-BOLT MOUNT GARMIN ETREX</t>
  </si>
  <si>
    <t>RAM-B-149-GA5</t>
  </si>
  <si>
    <t>UNPKD RAM U-BOLT MOUNT GARMIN GPSMAP 78</t>
  </si>
  <si>
    <t>RAM-B-149-GA40U</t>
  </si>
  <si>
    <t>RAM U-BOLT MOUNT GARMIN RINO 520, 530</t>
  </si>
  <si>
    <t>RAM-B-149-GA20</t>
  </si>
  <si>
    <t>RAM U-BOLT MOUNT GARMIN GPSMAP 60, 60CSX</t>
  </si>
  <si>
    <t>RAM-B-149-GA12</t>
  </si>
  <si>
    <t>UNPKD RAM U-BOLT MNT W/ CHROME</t>
  </si>
  <si>
    <t>RAM-B-149CHU</t>
  </si>
  <si>
    <t>RAM U-BOLT MOUNT, DIA BASE CHROME</t>
  </si>
  <si>
    <t>RAM-B-149CH-LO4</t>
  </si>
  <si>
    <t>RAM U-BOLT MNT W/ CHROME</t>
  </si>
  <si>
    <t>RAM-B-149CH</t>
  </si>
  <si>
    <t>U-BOLT MNT SHRT ARM, DIA BASE CHRO MB-19</t>
  </si>
  <si>
    <t>RAM-B-149ACH-LO4</t>
  </si>
  <si>
    <t>RAM RAIL MOUNT NO HARDWARE W/ CAPS</t>
  </si>
  <si>
    <t>RAM-B-149A-202-UK1U</t>
  </si>
  <si>
    <t>RAM U-BOLT MOUNT W/ SS HARDWARE</t>
  </si>
  <si>
    <t>RAM-B-149</t>
  </si>
  <si>
    <t>RAM-B-148U</t>
  </si>
  <si>
    <t>RAM SUCTION MOUNT W/UNIVERSAL PDA CRADLE</t>
  </si>
  <si>
    <t>RAM-B-148-PD1U</t>
  </si>
  <si>
    <t>RAM-B-148-PD1</t>
  </si>
  <si>
    <t xml:space="preserve">UNPK RAM SUCTION MNT MAGELLAN ROAD MATE </t>
  </si>
  <si>
    <t>RAM-B-148-MA4U</t>
  </si>
  <si>
    <t xml:space="preserve">RAM SUCTION MNT MAGELLAN ROAD MATE </t>
  </si>
  <si>
    <t>RAM-B-148-MA4</t>
  </si>
  <si>
    <t>UNPKD RAM SUCTION MNT MAGELLAN SPORTRAK</t>
  </si>
  <si>
    <t>RAM-B-148-MA3U</t>
  </si>
  <si>
    <t>RAM SUCTION MOUNT FOR MAGELLAN SPORTRAK</t>
  </si>
  <si>
    <t>RAM-B-148-MA3</t>
  </si>
  <si>
    <t>UNPKD RAM SUCTION MNT MAGELLAN MERIDAN</t>
  </si>
  <si>
    <t>RAM-B-148-MA2U</t>
  </si>
  <si>
    <t>RAM SUCTION MOUNT FOR MAGELLAN MERIDIAN</t>
  </si>
  <si>
    <t>RAM-B-148-MA2</t>
  </si>
  <si>
    <t>UNPKD. RAM SUCTION MOUNT GARMIN 2610</t>
  </si>
  <si>
    <t>RAM-B-148-GA9U</t>
  </si>
  <si>
    <t>RAM SUCTION MOUNT GARMIN 2610</t>
  </si>
  <si>
    <t>RAM-B-148-GA9</t>
  </si>
  <si>
    <t xml:space="preserve">UNPKD RAM SUCTION GARMIN 176, 276, 296 </t>
  </si>
  <si>
    <t>RAM-B-148-GA7U</t>
  </si>
  <si>
    <t xml:space="preserve">RAM SUCTION MOUNT GARMIN 176, 276, 296, </t>
  </si>
  <si>
    <t>RAM-B-148-GA7</t>
  </si>
  <si>
    <t>UNPKD RAM SUCTION FOR GARMIN GPS 76</t>
  </si>
  <si>
    <t>RAM-B-148-GA6U</t>
  </si>
  <si>
    <t>RAM SUCTION MOUNT FOR GARMIN GPS 76 SERI</t>
  </si>
  <si>
    <t>RAM-B-148-GA6</t>
  </si>
  <si>
    <t>UNPKD. RAM SUCTION MOUNT GARMIN E-TREX</t>
  </si>
  <si>
    <t>RAM-B-148-GA5U</t>
  </si>
  <si>
    <t>RAM SUCTION MOUNT FOR GARMIN E-TREX</t>
  </si>
  <si>
    <t>RAM-B-148-GA5</t>
  </si>
  <si>
    <t>UNPKD RAM SUCTION FOR GARMIN E-MAP</t>
  </si>
  <si>
    <t>RAM-B-148-GA4U</t>
  </si>
  <si>
    <t>RAM SUCTION MOUNT FOR GARMIN E-MAP</t>
  </si>
  <si>
    <t>RAM-B-148-GA4</t>
  </si>
  <si>
    <t>RAM-B-148-GA2</t>
  </si>
  <si>
    <t>UNPKD RAM SUCTION FOR GARMIN GPS 12 SERI</t>
  </si>
  <si>
    <t>RAM-B-148-GA1U</t>
  </si>
  <si>
    <t>UNPKD RAM SUCTION FOR GARMIN ETREX COLOR</t>
  </si>
  <si>
    <t>RAM-B-148-GA16U</t>
  </si>
  <si>
    <t>UNPKD RAM SUCTION FOR GARMIN QUEST</t>
  </si>
  <si>
    <t>RAM-B-148-GA15U</t>
  </si>
  <si>
    <t>UNPKD RAM SUCTION FOR GARMIN GPS 76CS</t>
  </si>
  <si>
    <t>RAM-B-148-GA14U</t>
  </si>
  <si>
    <t>RAM SUCTION FOR GARMIN GPS 76CS</t>
  </si>
  <si>
    <t>RAM-B-148-GA14</t>
  </si>
  <si>
    <t>UNPKD RAM SUCTION MOUNT GARMIN 60 SERIES</t>
  </si>
  <si>
    <t>RAM-B-148-GA12U</t>
  </si>
  <si>
    <t>RAM-B-148-GA12</t>
  </si>
  <si>
    <t>UNPKD. RAM SUCTION MOUNT GARMIN IQUE</t>
  </si>
  <si>
    <t>RAM-B-148-GA10U</t>
  </si>
  <si>
    <t>RAM SUCTION MOUNT GARMIN IQUE</t>
  </si>
  <si>
    <t>RAM-B-148-GA10</t>
  </si>
  <si>
    <t>RAM SUCTION MOUNT FOR GARMIN GPS 12 SERI</t>
  </si>
  <si>
    <t>RAM-B-148-GA1</t>
  </si>
  <si>
    <t>UNPKD. RAM SUCTION CUP MNT. W/ HARDWARE</t>
  </si>
  <si>
    <t>RAM-B-148-G1U</t>
  </si>
  <si>
    <t>RAM SUCTION CUP MOUNT W/MOUNTING HRDWAR</t>
  </si>
  <si>
    <t>RAM-B-148-G1</t>
  </si>
  <si>
    <t>UNPKD RAM SUCTION MNT FOR COMPAQ IPAQ</t>
  </si>
  <si>
    <t>RAM-B-148-CO1U</t>
  </si>
  <si>
    <t>COMPAQ IPAQ HOLDER WITH SUCTION CUP</t>
  </si>
  <si>
    <t>RAM-B-148-CO1</t>
  </si>
  <si>
    <t>UNPKD RAM W/ SUCTION, BELT CLIP HOLDER H</t>
  </si>
  <si>
    <t>RAM-B-148-BC1U</t>
  </si>
  <si>
    <t>RAM W/ SUCTION, BELT CLIP HOLDER HAND-HE</t>
  </si>
  <si>
    <t>RAM-B-148-BC1</t>
  </si>
  <si>
    <t>RAM SUCTION MNT. W/2.43DIA. &amp; 2.43 X 1.3</t>
  </si>
  <si>
    <t>RAM-B-148</t>
  </si>
  <si>
    <t>UNPKD. RAM MOUNT FOR ECONTROL</t>
  </si>
  <si>
    <t>RAM-B-145U-EC1</t>
  </si>
  <si>
    <t>UNPKD. RAM MOUNT FOR GARMIN STREET PILOT</t>
  </si>
  <si>
    <t>RAM-B-145U</t>
  </si>
  <si>
    <t>UNPKD RAM SUCTION BASE W/BALL GARMIN STR</t>
  </si>
  <si>
    <t>RAM-B-145SU</t>
  </si>
  <si>
    <t>SUCTION BASE W/1" BALL GARMIN STREET</t>
  </si>
  <si>
    <t>RAM-B-145S1</t>
  </si>
  <si>
    <t>UNPKD RAM U-BOLT BASE W/BALL GARMIN STRT</t>
  </si>
  <si>
    <t>RAM-B-145RU</t>
  </si>
  <si>
    <t>UNPKD RAM U-BOLT MNT W/A ARM GARMIN ST P</t>
  </si>
  <si>
    <t>RAM-B-145R-AU</t>
  </si>
  <si>
    <t>RAM U-BOLT MNT W/A ARM GARMIN STRT PILOT</t>
  </si>
  <si>
    <t>RAM-B-145R-A</t>
  </si>
  <si>
    <t>RAM U-BOLT BASE W/1" BALL GARMIN STREET</t>
  </si>
  <si>
    <t>RAM-B-145R</t>
  </si>
  <si>
    <t>UNPKD RAM BASE W/BALL GARMIN STRT. PILOT</t>
  </si>
  <si>
    <t>RAM-B-145BU</t>
  </si>
  <si>
    <t>RAM BASE W/1" BALL GARMIN STREET PILOT</t>
  </si>
  <si>
    <t>RAM-B-145B</t>
  </si>
  <si>
    <t>RAM MOUNT FOR GARMIN STREET PILOT</t>
  </si>
  <si>
    <t>RAM-B-145</t>
  </si>
  <si>
    <t>RAM MOUNT W/U-BOLT BASE, 12"FLEX &amp; DBL.</t>
  </si>
  <si>
    <t>RAM-B-142-12</t>
  </si>
  <si>
    <t>UNPKD RAM MNT W/ 2 QTY. AMPS BASES</t>
  </si>
  <si>
    <t>RAM-B-141U-VEL1</t>
  </si>
  <si>
    <t>UNPKD RAM MNT SHORT ARM, AMPS BASES</t>
  </si>
  <si>
    <t>RAM-B-141U-A</t>
  </si>
  <si>
    <t>RAM-B-141U</t>
  </si>
  <si>
    <t>FLEX ARM SYSTEM FOR CMAP</t>
  </si>
  <si>
    <t>RAM-B-141-CM1</t>
  </si>
  <si>
    <t>RAM MOUNT 90 DEG 12" FLEX W/ BALL</t>
  </si>
  <si>
    <t>RAM-B-141B-1290</t>
  </si>
  <si>
    <t>RAM W/18"FLEX 90 DEG.BASE DBL.ARM BASE</t>
  </si>
  <si>
    <t>RAM-B-141-1890</t>
  </si>
  <si>
    <t>RAM W/12"FLEX 90 DEG.BASE DBL.ARM BASE</t>
  </si>
  <si>
    <t>RAM-B-141-1290</t>
  </si>
  <si>
    <t>RAM MNT. W/90 BASE 6"FLEX DBLARM BASE</t>
  </si>
  <si>
    <t>RAM-B-141-0690</t>
  </si>
  <si>
    <t>UNPKD RAM W/ AMPS X 2.47X1.31 C LENGH</t>
  </si>
  <si>
    <t>RAM-B-140U-C</t>
  </si>
  <si>
    <t>UNPKD RAM W/ AMPS X 2.47X1.31 A LENGH</t>
  </si>
  <si>
    <t>RAM-B-140U-A</t>
  </si>
  <si>
    <t>UNPKD RAM MNT DIA. AND AMPS BASE</t>
  </si>
  <si>
    <t>RAM-B-140U</t>
  </si>
  <si>
    <t>UNPKD RAM AMPS BASE WITH FLAT PANEL MNT</t>
  </si>
  <si>
    <t>RAM-B-140-375U</t>
  </si>
  <si>
    <t>UNPKD RAM MNT W/ ROUND AND AMPS BASES</t>
  </si>
  <si>
    <t>RAM-B-139U-CA1</t>
  </si>
  <si>
    <t>UNPKD. RAM MNT. W 2 1/2" BASE C ARM AMPS</t>
  </si>
  <si>
    <t>RAM-B-139U-C</t>
  </si>
  <si>
    <t>UNPKD RAM MNT SHRT RND AND AMPS BASES</t>
  </si>
  <si>
    <t>RAM-B-139U-A</t>
  </si>
  <si>
    <t>UNPKD RAM MNT W/ AMPS BASE TRIPLE SUCT</t>
  </si>
  <si>
    <t>RAM-B-139U-224</t>
  </si>
  <si>
    <t>RAM-B-139U</t>
  </si>
  <si>
    <t>UNPKD RAM FOR GARMIN GPSMAP 600 SERIES</t>
  </si>
  <si>
    <t>RAM-B-139-G4U</t>
  </si>
  <si>
    <t>RAM FOR GARMIN GPSMAP 600 SERIES</t>
  </si>
  <si>
    <t>RAM-B-139-G4</t>
  </si>
  <si>
    <t>UNPKD RAM MOUNT 7" TABLET RAM X-GRIP</t>
  </si>
  <si>
    <t>RAM-B-138-UN8U</t>
  </si>
  <si>
    <t>RAM MOUNT 7" TABLET RAM X-GRIP</t>
  </si>
  <si>
    <t>RAM-B-138-UN8</t>
  </si>
  <si>
    <t>UNPK RAM MNT RAM X-GRIP UNIVERSAL HOLDER</t>
  </si>
  <si>
    <t>RAM-B-138-UN7U</t>
  </si>
  <si>
    <t>UNPK MICRO USB RAM MNT RAM X-GRIP HOLDER</t>
  </si>
  <si>
    <t>RAM-B-138-UN7PV1U</t>
  </si>
  <si>
    <t>UNPKD RAM MOUNT RAM X-GRIP W/ BACKING</t>
  </si>
  <si>
    <t>RAM-B-138-UN7-225B2U</t>
  </si>
  <si>
    <t>RAM MOUNT RAM X-GRIP UNIVERSAL HOLDER</t>
  </si>
  <si>
    <t>RAM-B-138-UN7</t>
  </si>
  <si>
    <t>UNPKD RAM MOUNT UNIVERSAL DEVICE HOLDER</t>
  </si>
  <si>
    <t>RAM-B-138-UN5U</t>
  </si>
  <si>
    <t>RAM-B-138-UN4</t>
  </si>
  <si>
    <t>UNPK RAM MOUNT W/ UNIVERSAL HOLDER SMALL</t>
  </si>
  <si>
    <t>RAM-B-138-UN1U</t>
  </si>
  <si>
    <t>RAM MOUNT RAM X-GRIP PHABLET HOLDER KIT</t>
  </si>
  <si>
    <t>RAM-B-138-UN10U</t>
  </si>
  <si>
    <t>RAM-B-138-UN10</t>
  </si>
  <si>
    <t>UNPKD. RAM MNT. W/ BACKING PLATE &amp; HARD</t>
  </si>
  <si>
    <t>RAM-B-138U-C-INT3</t>
  </si>
  <si>
    <t>UNPKD RAM W/2.47DIA. X 2.47X1.31 C LENGH</t>
  </si>
  <si>
    <t>RAM-B-138U-C</t>
  </si>
  <si>
    <t>UNPKD RAM W/2.47DIA. X 2.47X1.31 A LENGH</t>
  </si>
  <si>
    <t>RAM-B-138U-A</t>
  </si>
  <si>
    <t>RAM-B-138U</t>
  </si>
  <si>
    <t>RAM MOUNT FOR TRW COLOR DISPLAY</t>
  </si>
  <si>
    <t>RAM-B-138-TR1</t>
  </si>
  <si>
    <t>UNPKD RAM FOR TOMTOM 330 SERIES</t>
  </si>
  <si>
    <t>RAM-B-138-TO8U</t>
  </si>
  <si>
    <t>RAM MOUNT FOR TOMTOM 130</t>
  </si>
  <si>
    <t>RAM-B-138-TO7</t>
  </si>
  <si>
    <t>UNPKD RAM MNT FOR TOMTOM 720 920</t>
  </si>
  <si>
    <t>RAM-B-138-TO6U</t>
  </si>
  <si>
    <t>RAM MNT FOR TOMTOM 720 920</t>
  </si>
  <si>
    <t>RAM-B-138-TO6</t>
  </si>
  <si>
    <t>UNPKD RAM MNT FOR TOMTOM ONE XL</t>
  </si>
  <si>
    <t>RAM-B-138-TO5U</t>
  </si>
  <si>
    <t>RAM MOUNT FOR TOMTOM ONE XL</t>
  </si>
  <si>
    <t>RAM-B-138-TO5</t>
  </si>
  <si>
    <t>UNPKD RAM MNT FOR TOMTOM ONE V2 V3</t>
  </si>
  <si>
    <t>RAM-B-138-TO4U</t>
  </si>
  <si>
    <t>UNPKD RAM MNT FOR TOMTOM 510 710 910</t>
  </si>
  <si>
    <t>RAM-B-138-TO3U</t>
  </si>
  <si>
    <t>UNPKD RAM PANEL MOUNT TOM TOM RIDER</t>
  </si>
  <si>
    <t>RAM-B-138-TO2U</t>
  </si>
  <si>
    <t>UNPKD RAM PANEL MOUNT TOM TOM GO</t>
  </si>
  <si>
    <t>RAM-B-138-TO1U</t>
  </si>
  <si>
    <t>UNPKD RAM MNT FOR TOMTOM XXL</t>
  </si>
  <si>
    <t>RAM-B-138-TO10U</t>
  </si>
  <si>
    <t>RAM MOUNT FOR TAB-TITE KITE SMALL TABLET</t>
  </si>
  <si>
    <t>RAM-B-138-TAB-SM</t>
  </si>
  <si>
    <t>RAM MOUNT FOR TAB-TITE KITE LARGE TABLET</t>
  </si>
  <si>
    <t>RAM-B-138-TAB-LG</t>
  </si>
  <si>
    <t>UNPKD RAM MOUNT 10" TAB-TITE</t>
  </si>
  <si>
    <t>RAM-B-138-TAB8U</t>
  </si>
  <si>
    <t>RAM MOUNT 10" TAB-TITE</t>
  </si>
  <si>
    <t>RAM-B-138-TAB8</t>
  </si>
  <si>
    <t>UNPKD RAM MOUNT THICK TAB-TITE BACKING</t>
  </si>
  <si>
    <t>RAM-B-138-TAB4-225B2U</t>
  </si>
  <si>
    <t>UNPKD RAM MOUNT MID TAB-TITE</t>
  </si>
  <si>
    <t>RAM-B-138-TAB3U</t>
  </si>
  <si>
    <t>UNPKD RAM HOLDER SPOT GEN 4 WITH DBL BALL DRILL DOWN MOUTH WITH DIA  PLATE</t>
  </si>
  <si>
    <t>RAM-B-138-SPO6U</t>
  </si>
  <si>
    <t>UNPKD RAM HOLDER SPOT X WITH DBL BALL DRILL DOWN MOUTH WITH DIA  PLATE</t>
  </si>
  <si>
    <t>RAM-B-138-SPO5U</t>
  </si>
  <si>
    <t>UNPKD RAM MOUNT SPOT 2 SATELLITE UNIT</t>
  </si>
  <si>
    <t>RAM-B-138-SPO2U</t>
  </si>
  <si>
    <t>RAM MOUNT SPOT 2 SATELLITE UNIT</t>
  </si>
  <si>
    <t>RAM-B-138-SPO2</t>
  </si>
  <si>
    <t>UNPKD RAM DRILL DOWN SYSTEM EZ-ROLL'R POWERED DOCK FOR SAMSUNG XCOVER PRO</t>
  </si>
  <si>
    <t>RAM-B-138-SAM9PU</t>
  </si>
  <si>
    <t>RAM MOUNT FOR SAMSUNG Q1</t>
  </si>
  <si>
    <t>RAM-B-138-SAM1</t>
  </si>
  <si>
    <t>UNPD RAM S5 LOCKING GARMIN FLEET 660 670</t>
  </si>
  <si>
    <t>RAM-B-138-S5-GA66LU</t>
  </si>
  <si>
    <t>RAM MNT. W/ B-202, B-238 &amp; RAYMARINE</t>
  </si>
  <si>
    <t>RAM-B-138-RYM1</t>
  </si>
  <si>
    <t>UNPKD RAM QUICK-GRIP XL UNIVERSAL HOLDER W/ ROUND MOUNTING BASE</t>
  </si>
  <si>
    <t>RAM-B-138-PD4U</t>
  </si>
  <si>
    <t>UNPKD UNIVERSAL PDA HOLDER W/ ROUND</t>
  </si>
  <si>
    <t>RAM-B-138-PD3U</t>
  </si>
  <si>
    <t>RAM STD MOUNT FOR UNIVERSAL  IPAQ FAMILY</t>
  </si>
  <si>
    <t>RAM-B-138-PD3</t>
  </si>
  <si>
    <t>UNPKD MOUNT W/ UNIVERSAL SIDE PDA CRADLE</t>
  </si>
  <si>
    <t>RAM-B-138-PD2U</t>
  </si>
  <si>
    <t>RAM MOUNT W/ UNIVERSAL SIDE PDA CRADLE</t>
  </si>
  <si>
    <t>RAM-B-138-PD2</t>
  </si>
  <si>
    <t>RAM MOUNT W/ UNIVERSAL PDA CRADLE UNPKD</t>
  </si>
  <si>
    <t>RAM-B-138-PD1U</t>
  </si>
  <si>
    <t>UNPKD RAM MNT FOR MAGELLAN EXPLORIST XL</t>
  </si>
  <si>
    <t>RAM-B-138-MA6U</t>
  </si>
  <si>
    <t>RAM MOUNT FOR MAGELLAN EXPLORIST XL</t>
  </si>
  <si>
    <t>RAM-B-138-MA6</t>
  </si>
  <si>
    <t>UNPKD RAM MOUNT FOR MAGELLAN EXPLORIST</t>
  </si>
  <si>
    <t>RAM-B-138-MA5U</t>
  </si>
  <si>
    <t>RAM MOUNT FOR MAGELLAN EXPLORIST</t>
  </si>
  <si>
    <t>RAM-B-138-MA5</t>
  </si>
  <si>
    <t>RAM-B-138-MA3U</t>
  </si>
  <si>
    <t>RAM MOUNT FOR MAGELLAN SPORTRAK</t>
  </si>
  <si>
    <t>RAM-B-138-MA3</t>
  </si>
  <si>
    <t>UNPKD RAM MOUNT FOR MAGELLAN MERIDIAN</t>
  </si>
  <si>
    <t>RAM-B-138-MA2U</t>
  </si>
  <si>
    <t>RAM MOUNT FOR MAGELLAN MERIDIAN</t>
  </si>
  <si>
    <t>RAM-B-138-MA2</t>
  </si>
  <si>
    <t>RAM MOUNT FOR MAGELLAN 510 610 710</t>
  </si>
  <si>
    <t>RAM-B-138-MA14</t>
  </si>
  <si>
    <t>UNPKD RAM MOUNT MAGELLAN 4200 4210 4220</t>
  </si>
  <si>
    <t>RAM-B-138-MA12U</t>
  </si>
  <si>
    <t xml:space="preserve">RAM MOUNT FOR MAGELLAN 4200 4210 4220 </t>
  </si>
  <si>
    <t>RAM-B-138-MA12</t>
  </si>
  <si>
    <t>UNPKD MOUNT MAGELLAN TRITON 1500 2000</t>
  </si>
  <si>
    <t>RAM-B-138-MA10U</t>
  </si>
  <si>
    <t>RAM MOUNT MAGELLAN TRITON 1500 2000</t>
  </si>
  <si>
    <t>RAM-B-138-MA10</t>
  </si>
  <si>
    <t>UNPKD RAM MOUNT LOWRANCE XOG</t>
  </si>
  <si>
    <t>RAM-B-138-LO8U</t>
  </si>
  <si>
    <t>RAM-B-138-LO8</t>
  </si>
  <si>
    <t>UNPKD RAM FOR LOWRANCE IWAY 500 600</t>
  </si>
  <si>
    <t>RAM-B-138-LO4U</t>
  </si>
  <si>
    <t>UNPKD RAM FOR LOWRANCE IFINDER H2O, HUNT</t>
  </si>
  <si>
    <t>RAM-B-138-LO3U</t>
  </si>
  <si>
    <t>RAM FOR LOWRANCE IFINDER H20</t>
  </si>
  <si>
    <t>RAM-B-138-LO3</t>
  </si>
  <si>
    <t>UNPKD RAM LOCKING KIT GARMIN DEZL OTR 700</t>
  </si>
  <si>
    <t>RAM-B-138L-GA77LU</t>
  </si>
  <si>
    <t>UNPKD RAM LOCKING KIT GARMIN FLEET 7X0 AND OTHER DEVICES</t>
  </si>
  <si>
    <t>RAM-B-138L-GA75LU</t>
  </si>
  <si>
    <t>UNPKD RAM MOUNT ROUND BASE GOPRO</t>
  </si>
  <si>
    <t>RAM-B-138-GOP1U</t>
  </si>
  <si>
    <t>RAM-B-138-GOP1</t>
  </si>
  <si>
    <t>UNPKD RAM RND BASE MNT GDS DOCK PHONES</t>
  </si>
  <si>
    <t>RAM-B-138-GDS-DOCK-V1U</t>
  </si>
  <si>
    <t>UNPKD RAM RND BASE MNT GDS DOCK USB TYPE C PHONES</t>
  </si>
  <si>
    <t>RAM-B-138-GDS-DOCK-V1CPU</t>
  </si>
  <si>
    <t>UNPKD RAM MOUNT FOR GARMIN 2610</t>
  </si>
  <si>
    <t>RAM-B-138-GA9U</t>
  </si>
  <si>
    <t>RAM MOUNT FOR GARMIN 2610</t>
  </si>
  <si>
    <t>RAM-B-138-GA9</t>
  </si>
  <si>
    <t>UNPKD RAM FOR GARMIN GPS 176, 276, 296</t>
  </si>
  <si>
    <t>RAM-B-138-GA7U</t>
  </si>
  <si>
    <t>UNPKD RAM KIT GARMIN DEZL OTR 700</t>
  </si>
  <si>
    <t>RAM-B-138-GA77LU</t>
  </si>
  <si>
    <t>UNPKD RAM DRILL DOWN MOUNT WITH GARMIN SPINE CLIP HOLDER</t>
  </si>
  <si>
    <t>RAM-B-138-GA76U</t>
  </si>
  <si>
    <t>UNPKD RAM KIT GARMIN FLEET 7X0 SERIES AND OTHER DEVICES</t>
  </si>
  <si>
    <t>RAM-B-138-GA75LU</t>
  </si>
  <si>
    <t>RAM MOUNT FOR GARMIN GPS 176, 276, 296</t>
  </si>
  <si>
    <t>RAM-B-138-GA7</t>
  </si>
  <si>
    <t>UNPKD RAM FOR GARMIN GPS 76 SERIES</t>
  </si>
  <si>
    <t>RAM-B-138-GA6U</t>
  </si>
  <si>
    <t>RAM-B-138-GA66LU</t>
  </si>
  <si>
    <t>UNPKD RAM MOUNT GARMIN VIRB</t>
  </si>
  <si>
    <t>RAM-B-138-GA63U</t>
  </si>
  <si>
    <t>RAM MOUNT FOR GARMIN GPS 76 SERIES</t>
  </si>
  <si>
    <t>RAM-B-138-GA6</t>
  </si>
  <si>
    <t>RAM-B-138-GA5U</t>
  </si>
  <si>
    <t>UNPKD MOUNT GARMIN E-TREX SERIES NO HOLE</t>
  </si>
  <si>
    <t>RAM-B-138-GA5-1U</t>
  </si>
  <si>
    <t>RAM MOUNT FOR GARMIN NUVI 50</t>
  </si>
  <si>
    <t>RAM-B-138-GA50</t>
  </si>
  <si>
    <t>RAM MOUNT FOR GARMIN E-TREX SERIES</t>
  </si>
  <si>
    <t>RAM-B-138-GA5</t>
  </si>
  <si>
    <t>RAM-B-138-GA4U</t>
  </si>
  <si>
    <t>RAM MOUNT FOR GARMIN ETREX 10 20 30</t>
  </si>
  <si>
    <t>RAM-B-138-GA48</t>
  </si>
  <si>
    <t>RAM MOUNT FOR GARMIN RINO 610 650</t>
  </si>
  <si>
    <t>RAM-B-138-GA47</t>
  </si>
  <si>
    <t>RAM MOUNT FOR GARMIN MONTANA</t>
  </si>
  <si>
    <t>RAM-B-138-GA46</t>
  </si>
  <si>
    <t>UNPKD RAM FOR GARMIN DEZL SERIES</t>
  </si>
  <si>
    <t>RAM-B-138-GA43U</t>
  </si>
  <si>
    <t>RAM MOUNT FOR GARMIN DEZL SERIES</t>
  </si>
  <si>
    <t>RAM-B-138-GA43</t>
  </si>
  <si>
    <t>UNPKD RAM FOR GARMIN GPSMAP 62</t>
  </si>
  <si>
    <t>RAM-B-138-GA41U</t>
  </si>
  <si>
    <t>RAM MOUNT FOR GARMIN GPSMAP 62</t>
  </si>
  <si>
    <t>RAM-B-138-GA41</t>
  </si>
  <si>
    <t>RAM-B-138-GA40</t>
  </si>
  <si>
    <t>RAM MOUNT FOR GARMIN E-MAP</t>
  </si>
  <si>
    <t>RAM-B-138-GA4</t>
  </si>
  <si>
    <t>UNPKD RAM FOR GARMIN NUVI 3700</t>
  </si>
  <si>
    <t>RAM-B-138-GA39U</t>
  </si>
  <si>
    <t>RAM MOUNT GARMIN NUVI 3700</t>
  </si>
  <si>
    <t>RAM-B-138-GA39</t>
  </si>
  <si>
    <t>UNPKD RAM FOR GARMIN NUVI 1690</t>
  </si>
  <si>
    <t>RAM-B-138-GA37U</t>
  </si>
  <si>
    <t>RAM-B-138-GA36</t>
  </si>
  <si>
    <t>UNPKD RAM MOUNT GARMIN NUVI 1300</t>
  </si>
  <si>
    <t>RAM-B-138-GA34U</t>
  </si>
  <si>
    <t>RAM MOUNT GARMIN NUVI 1300</t>
  </si>
  <si>
    <t>RAM-B-138-GA34</t>
  </si>
  <si>
    <t>RAM MOUNT GARMIN NUVI 1200</t>
  </si>
  <si>
    <t>RAM-B-138-GA33</t>
  </si>
  <si>
    <t>UNPKD RAM FOR GARMIN NUVI 500</t>
  </si>
  <si>
    <t>RAM-B-138-GA32U</t>
  </si>
  <si>
    <t>RAM MOUNT GARMIN NUVI 500</t>
  </si>
  <si>
    <t>RAM-B-138-GA32</t>
  </si>
  <si>
    <t>RAM-B-138-GA31</t>
  </si>
  <si>
    <t xml:space="preserve">UNPKD RAM FOR GARMIN NUVI 850 860 880 </t>
  </si>
  <si>
    <t>RAM-B-138-GA30U</t>
  </si>
  <si>
    <t xml:space="preserve">RAM FOR GARMIN NUVI 850 860 880 </t>
  </si>
  <si>
    <t>RAM-B-138-GA30</t>
  </si>
  <si>
    <t>UNPKD RAM MOUNT GARMIN NUVI 5000</t>
  </si>
  <si>
    <t>RAM-B-138-GA28U</t>
  </si>
  <si>
    <t>RAM MOUNT GARMIN NUVI 5000</t>
  </si>
  <si>
    <t>RAM-B-138-GA28</t>
  </si>
  <si>
    <t>UNPKD RAM MOUNT GARMIN COLORADO</t>
  </si>
  <si>
    <t>RAM-B-138-GA27U</t>
  </si>
  <si>
    <t>RAM-B-138-GA27</t>
  </si>
  <si>
    <t>UNPKD RAM MOUNT GARMIN NUVI 750 760 770</t>
  </si>
  <si>
    <t>RAM-B-138-GA26U</t>
  </si>
  <si>
    <t>RAM MOUNT GARMIN NUVI 750 760 770</t>
  </si>
  <si>
    <t>RAM-B-138-GA26</t>
  </si>
  <si>
    <t>UNPKD RAM MOUNT GARMIN NUVI 200W 250W</t>
  </si>
  <si>
    <t>RAM-B-138-GA25U</t>
  </si>
  <si>
    <t>RAM-B-138-GA25LU</t>
  </si>
  <si>
    <t>RAM MOUNT GARMIN NUVI 200W 250W</t>
  </si>
  <si>
    <t>RAM-B-138-GA25</t>
  </si>
  <si>
    <t>UNPKD RAM MOUNT GARMIN NUVI 200 250</t>
  </si>
  <si>
    <t>RAM-B-138-GA24U</t>
  </si>
  <si>
    <t>RAM MOUNT GARMIN NUVI 200 250</t>
  </si>
  <si>
    <t>RAM-B-138-GA24</t>
  </si>
  <si>
    <t>UNPKD RAM FOR GARMIN NUVI 600 SERIES</t>
  </si>
  <si>
    <t>RAM-B-138-GA23U</t>
  </si>
  <si>
    <t>RAM FOR GARMIN NUVI 600 SERIES</t>
  </si>
  <si>
    <t>RAM-B-138-GA23</t>
  </si>
  <si>
    <t>UNPKD RAM MOUNT GARMIN C550 C580 I2 I3 I5</t>
  </si>
  <si>
    <t>RAM-B-138-GA22U</t>
  </si>
  <si>
    <t>RAM FOR GARMIN STREET PILOT I SERI</t>
  </si>
  <si>
    <t>RAM-B-138-GA22</t>
  </si>
  <si>
    <t>UNPKD RAM FOR GARMIN NUVI 300 SERIES</t>
  </si>
  <si>
    <t>RAM-B-138-GA21U</t>
  </si>
  <si>
    <t>UNPKD RAM FOR GARMIN RINO 530 520</t>
  </si>
  <si>
    <t>RAM-B-138-GA20U</t>
  </si>
  <si>
    <t>RAM-B-138-GA20</t>
  </si>
  <si>
    <t>RAM-B-138-GA2</t>
  </si>
  <si>
    <t>RAM-B-138-GA1U</t>
  </si>
  <si>
    <t>UNPKD RAM FOR GARMIN ETREX COLOR SERIES</t>
  </si>
  <si>
    <t>RAM-B-138-GA16U</t>
  </si>
  <si>
    <t>RAM-B-138-GA16</t>
  </si>
  <si>
    <t>UNPKD RAM FOR GARMIN QUEST SERIES</t>
  </si>
  <si>
    <t>RAM-B-138-GA15U</t>
  </si>
  <si>
    <t>RAM FOR GARMIN QUEST SERIES</t>
  </si>
  <si>
    <t>RAM-B-138-GA15</t>
  </si>
  <si>
    <t>UNPKD RAM FOR GARMIN GPS 76CS SERIES</t>
  </si>
  <si>
    <t>RAM-B-138-GA14U</t>
  </si>
  <si>
    <t>RAM-B-138-GA14</t>
  </si>
  <si>
    <t>RAM-B-138-GA12U</t>
  </si>
  <si>
    <t>RAM MOUNT FOR GARMIN 60 SERIES</t>
  </si>
  <si>
    <t>RAM-B-138-GA12</t>
  </si>
  <si>
    <t>UNPKD RAM MOUNT FOR GARMIN IQUE</t>
  </si>
  <si>
    <t>RAM-B-138-GA10U</t>
  </si>
  <si>
    <t>RAM MOUNT FOR GARMIN IQUE</t>
  </si>
  <si>
    <t>RAM-B-138-GA10</t>
  </si>
  <si>
    <t>RAM MOUNT FOR GARMIN GPS 12 SERIES</t>
  </si>
  <si>
    <t>RAM-B-138-GA1</t>
  </si>
  <si>
    <t>RAM MOUNT FOR FUJITSU P1610</t>
  </si>
  <si>
    <t>RAM-B-138-FUJ1</t>
  </si>
  <si>
    <t>RAM MOUNT FOR DELORME PN20</t>
  </si>
  <si>
    <t>RAM-B-138-DEL1</t>
  </si>
  <si>
    <t>UNPKD RAM MOUNT FOR COMPAQ IPAQ</t>
  </si>
  <si>
    <t>RAM-B-138-CO1U</t>
  </si>
  <si>
    <t>RAM MOUNT FOR COMPAQ IPAQ</t>
  </si>
  <si>
    <t>RAM-B-138-CO1</t>
  </si>
  <si>
    <t>RAM MOUNT LONG ROUND BASE GOPRO</t>
  </si>
  <si>
    <t>RAM-B-138-C-GOP1</t>
  </si>
  <si>
    <t>RAM W/2.47DIA. X 2.47X1.31 C LENGH</t>
  </si>
  <si>
    <t>RAM-B-138-C</t>
  </si>
  <si>
    <t>RAM-B-138-BC1U</t>
  </si>
  <si>
    <t>RAM-B-138-BC1</t>
  </si>
  <si>
    <t>RAM MOUNT FOR ASUS R2H</t>
  </si>
  <si>
    <t>RAM-B-138-ASU1</t>
  </si>
  <si>
    <t>RAM-B-138-AQ7-2-I5</t>
  </si>
  <si>
    <t>RAM-B-138-AQ7-2</t>
  </si>
  <si>
    <t>RAM W/ 2 7/16" BASE AQUA BOX SMALL</t>
  </si>
  <si>
    <t>RAM-B-138-AQ3</t>
  </si>
  <si>
    <t>UNPKD RAM W/ 2 7/16" BASE AQUA BOX MED</t>
  </si>
  <si>
    <t>RAM-B-138-AQ2U</t>
  </si>
  <si>
    <t>RAM-B-138-AQ2</t>
  </si>
  <si>
    <t>UNPKD RAM MOUNT FOR LARGE AQUA BOX</t>
  </si>
  <si>
    <t>RAM-B-138-AQ1U</t>
  </si>
  <si>
    <t>UNPKD RAM MNT FOR APPLE IPHONE 4</t>
  </si>
  <si>
    <t>RAM-B-138-AP9U</t>
  </si>
  <si>
    <t>UNPKD RAM LOCK MNT APPLE IPAD &amp; IPAD 2</t>
  </si>
  <si>
    <t>RAM-B-138-AP8LU</t>
  </si>
  <si>
    <t>UNPKD RAM MNT FOR APPLE IPOD IPHONE</t>
  </si>
  <si>
    <t>RAM-B-138-AP3U</t>
  </si>
  <si>
    <t>UNPKD RAM MNT FOR APPLE IPOD NANO</t>
  </si>
  <si>
    <t>RAM-B-138-AP2U</t>
  </si>
  <si>
    <t>UNPKD RAM 2 7/16" BASE FOR APPLE IPOD</t>
  </si>
  <si>
    <t>RAM-B-138-AP1U</t>
  </si>
  <si>
    <t>UNPKD RAM MNT FOR APPLE TOUCH 4G</t>
  </si>
  <si>
    <t>RAM-B-138-AP10U</t>
  </si>
  <si>
    <t>RAM MOUNT W/ 2 7/16" BASE FOR APPLE IPOD</t>
  </si>
  <si>
    <t>RAM-B-138-AP1</t>
  </si>
  <si>
    <t>UNPKD RAM MOUNT SHORT ROUND BASE GOPRO</t>
  </si>
  <si>
    <t>RAM-B-138-A-GOP1U</t>
  </si>
  <si>
    <t>RAM MOUNT SHORT ROUND BASE GOPRO</t>
  </si>
  <si>
    <t>RAM-B-138-A-GOP1</t>
  </si>
  <si>
    <t>RAM W/2.47DIA. X 2.47X1.31 A LENGH</t>
  </si>
  <si>
    <t>RAM-B-138-A</t>
  </si>
  <si>
    <t>UNPKD RAM MNT W/SUCTION CUP &amp; DIA BASE</t>
  </si>
  <si>
    <t>RAM-B-138-224-1U</t>
  </si>
  <si>
    <t>RAM-B-138</t>
  </si>
  <si>
    <t>UNPKD. RAM DRINK CUP HOLDER MOUNT</t>
  </si>
  <si>
    <t>RAM-B-132U-MC1</t>
  </si>
  <si>
    <t>RAM-B-132U</t>
  </si>
  <si>
    <t>UNPKD RAM DRINK CUP HOLDER W SUCTION BAS</t>
  </si>
  <si>
    <t>RAM-B-132SU-MC1</t>
  </si>
  <si>
    <t>RAM-B-132SU</t>
  </si>
  <si>
    <t>RAM DRINK CUP HOLDER W SUCTION BASE</t>
  </si>
  <si>
    <t>RAM-B-132SC</t>
  </si>
  <si>
    <t>UNPKD RAM DRINK CUP HOLDER W/U-BOLT BASE</t>
  </si>
  <si>
    <t>RAM-B-132RU-MC1</t>
  </si>
  <si>
    <t>RAM-B-132RU</t>
  </si>
  <si>
    <t>UNPKD RAM DRINK CUP HOLDER ATV UTV</t>
  </si>
  <si>
    <t>RAM-B-132R-2U</t>
  </si>
  <si>
    <t>RAM DRINK CUP HOLDER ATV UTV</t>
  </si>
  <si>
    <t>RAM-B-132R-2</t>
  </si>
  <si>
    <t>RAM DRINK CUP HOLDER W/U-BOLT BASE</t>
  </si>
  <si>
    <t>RAM-B-132R</t>
  </si>
  <si>
    <t>UNPKD. RAM DRINK CUP HOLDER MAGNETIC</t>
  </si>
  <si>
    <t>RAM-B-132MU-MC1</t>
  </si>
  <si>
    <t>RAM-B-132MU</t>
  </si>
  <si>
    <t>UNPKD RAM DRINK CUP HOLDER FOAM INSERT</t>
  </si>
  <si>
    <t>RAM-B-132FU</t>
  </si>
  <si>
    <t>UNPKD RAM DRINK CUP HOLDER W/ 1" BALL</t>
  </si>
  <si>
    <t>RAM-B-132BU</t>
  </si>
  <si>
    <t>RAM DRINK CUP HOLDER W/ARM NO COZZY</t>
  </si>
  <si>
    <t>RAM-B-132B-P1U</t>
  </si>
  <si>
    <t>RAM DRINK CUP HOLDER W/ 1" BALL</t>
  </si>
  <si>
    <t>RAM-B-132B</t>
  </si>
  <si>
    <t>RAM DRINK CUP HOLDER W/TOUGHCLAW</t>
  </si>
  <si>
    <t>RAM-B-132-400U</t>
  </si>
  <si>
    <t>RAM-B-132-400-CONV1U</t>
  </si>
  <si>
    <t>RAM-B-132-400</t>
  </si>
  <si>
    <t>UNPKD RAM DRINK CUP HOLDER W/GOLDWING</t>
  </si>
  <si>
    <t>RAM-B-132-309U</t>
  </si>
  <si>
    <t>RAM DRINK CUP HOLDER W/GOLDWING</t>
  </si>
  <si>
    <t>RAM-B-132-309</t>
  </si>
  <si>
    <t>UNPKD DRINK CUP HOLDER W/ 1 1/4" U-BOLT</t>
  </si>
  <si>
    <t>RAM-B-132-1RU</t>
  </si>
  <si>
    <t>RAM DRINK CUP HOLDER MOUNT</t>
  </si>
  <si>
    <t>RAM-B-132</t>
  </si>
  <si>
    <t>RAM AIRCRAFT SEAT RAIL MOUNT UNIVERSAL</t>
  </si>
  <si>
    <t>RAM-B-131-UN4</t>
  </si>
  <si>
    <t>RAM AIRCRAFT SEAT RAIL MNT LOWRANCE 2000</t>
  </si>
  <si>
    <t>RAM-B-131-LO4</t>
  </si>
  <si>
    <t>RAM AIRCRAFT SEAT RAIL MNT LOWRANCE 600C</t>
  </si>
  <si>
    <t>RAM-B-131-LO3</t>
  </si>
  <si>
    <t>RAM AIRCRAFT SEAT RAIL MOUNT GARMIN 496</t>
  </si>
  <si>
    <t>RAM-B-131-GA7</t>
  </si>
  <si>
    <t>RAM AIRCRAFT SEAT RAIL MOUNT GARMIN 96</t>
  </si>
  <si>
    <t>RAM-B-131-GA14</t>
  </si>
  <si>
    <t>RAM AIRCRAFT SEAT RAIL MOUNT FOR GPS</t>
  </si>
  <si>
    <t>RAM-B-131-G1</t>
  </si>
  <si>
    <t>RAIL MOUNT SYSTEM FOR CMAP</t>
  </si>
  <si>
    <t>RAM-B-131-CM1</t>
  </si>
  <si>
    <t>RAM AIRCRAFT SEAT RAIL BASE</t>
  </si>
  <si>
    <t>RAM-B-131B</t>
  </si>
  <si>
    <t>RAM AIRCRAFT SEAT RAIL BASE DIA.</t>
  </si>
  <si>
    <t>RAM-B-131-238</t>
  </si>
  <si>
    <t>RAM AIRCRAFT SEAT RAIL BASE AMPS</t>
  </si>
  <si>
    <t>RAM-B-131-202</t>
  </si>
  <si>
    <t>RAM AIRCRAFT SEAT RAIL BASE WITH ARM</t>
  </si>
  <si>
    <t>RAM-B-131-201</t>
  </si>
  <si>
    <t>RAM AIRCRAFT SEAT RAIL BASE W/ MOUNT</t>
  </si>
  <si>
    <t>RAM-B-131</t>
  </si>
  <si>
    <t>UNPK RAM WINDOW SCOPE &amp; CAMERA MOUNT</t>
  </si>
  <si>
    <t>RAM-B-127U</t>
  </si>
  <si>
    <t>RAM WINDSHIELD MOUNTING BASE</t>
  </si>
  <si>
    <t>RAM-B-127B</t>
  </si>
  <si>
    <t>RAM WINDOW SCOPE &amp; CAMERA MOUNT</t>
  </si>
  <si>
    <t>RAM-B-127</t>
  </si>
  <si>
    <t>RAM 1.5 X 1.75 BASE 5/16" HOLE &amp; 1" BALL</t>
  </si>
  <si>
    <t>RAM-B-126CU</t>
  </si>
  <si>
    <t>UNPK RAM WINSHIELD MIRROR BRACKET</t>
  </si>
  <si>
    <t>RAM-B-126BU</t>
  </si>
  <si>
    <t>RAM REAR VIEW MIRROR FOR ATV UTV</t>
  </si>
  <si>
    <t>RAM-B-126-231Z-2</t>
  </si>
  <si>
    <t>RAM WATER SKI MIRROR W/ WINSHIELD BRKT.</t>
  </si>
  <si>
    <t>RAM-B-126</t>
  </si>
  <si>
    <t>UNPKD RAM YOKE MOUNT SHORT ANGLED PLATE</t>
  </si>
  <si>
    <t>RAM-B-125U-A</t>
  </si>
  <si>
    <t>UNPKD RAM YOKE MOUNT W/ ANGLED PLATE</t>
  </si>
  <si>
    <t>RAM-B-125U</t>
  </si>
  <si>
    <t>UNPKD RAM YOKE MOUNT W/ MOUNTING HARDWAR</t>
  </si>
  <si>
    <t>RAM-B-125-G1U</t>
  </si>
  <si>
    <t>RAM YOKE CLAMP W/ MOUNTING HARDWARE</t>
  </si>
  <si>
    <t>RAM-B-125-G1</t>
  </si>
  <si>
    <t>UNPKD RAM CURVED YOKE MOUNT PLATE</t>
  </si>
  <si>
    <t>RAM-B-125BU</t>
  </si>
  <si>
    <t>RAM FOR YOKES W/ MOUNTING HARDWARE</t>
  </si>
  <si>
    <t>RAM-B-125B-G1U</t>
  </si>
  <si>
    <t>RAM YOKE MOUNT W/ CRADLE FOR BELT CLIPS</t>
  </si>
  <si>
    <t>RAM-B-125-BC1</t>
  </si>
  <si>
    <t>RAM 18" FLEX ARM 90 DEG. BALL W/ HARDWAR</t>
  </si>
  <si>
    <t>RAM-B-123-9018-INT1</t>
  </si>
  <si>
    <t>RAM 12" FLEX ARM 90 DEG. BASE SING ARM</t>
  </si>
  <si>
    <t>RAM-B-123-9012BU</t>
  </si>
  <si>
    <t>RAM 18" FLEX ARM 00 DEG. BALL W/ HARDWAR</t>
  </si>
  <si>
    <t>RAM-B-123-018-INT1</t>
  </si>
  <si>
    <t>RAM YOKE CLAMP MOUNT FOR SKY GOLF</t>
  </si>
  <si>
    <t>RAM-B-121U-SK1</t>
  </si>
  <si>
    <t>UNPKD RAM 10" RAM X-GRIP W/ YOKE CLAMP</t>
  </si>
  <si>
    <t>RAM-B-121-UN9U</t>
  </si>
  <si>
    <t>UNPD UNVRSL TABLET RAM X-GRIP W/ YOKE CLAMP</t>
  </si>
  <si>
    <t>RAM-B-121-UN8U</t>
  </si>
  <si>
    <t>UNPKD RAM FINGER GRIP W/ YOKE CLAMP</t>
  </si>
  <si>
    <t>RAM-B-121-UN4U</t>
  </si>
  <si>
    <t>RAM UNIVERSAL FINGER GRIP W/ YOKE CLAMP</t>
  </si>
  <si>
    <t>RAM-B-121-UN4</t>
  </si>
  <si>
    <t>RAM YOKE MOUNT W/BALL &amp; ARM ASSEM LONG</t>
  </si>
  <si>
    <t>RAM-B-121U-C</t>
  </si>
  <si>
    <t>RAM YOKE MOUNT W/DIA &amp; SHORT ARM UNPKD</t>
  </si>
  <si>
    <t>RAM-B-121U-A-238</t>
  </si>
  <si>
    <t>RAM YOKE MOUNT W/BALL &amp; SHORT ARM UNPKD</t>
  </si>
  <si>
    <t>RAM-B-121U-A</t>
  </si>
  <si>
    <t>RAM YOKE MNT FOR TDS RANGER</t>
  </si>
  <si>
    <t>RAM-B-121-TD2U</t>
  </si>
  <si>
    <t>RAM-B-121-TD1U</t>
  </si>
  <si>
    <t>UNPKD YOKE CLAMP MOUNT 10" TAB-TITE</t>
  </si>
  <si>
    <t>RAM-B-121-TAB8U</t>
  </si>
  <si>
    <t>RAM YOKE CLAMP MOUNT 10" TAB-TITE</t>
  </si>
  <si>
    <t>RAM-B-121-TAB8</t>
  </si>
  <si>
    <t>UNPKD YOKE CLAMP MOUNT MID TAB-TITE</t>
  </si>
  <si>
    <t>RAM-B-121-TAB3U</t>
  </si>
  <si>
    <t>YOKE CLAMP MOUNT MID TAB-TITE</t>
  </si>
  <si>
    <t>RAM-B-121-TAB3</t>
  </si>
  <si>
    <t>UNPKD RAM TAB-TITE HOLDER FOR 7" TABLETS WITH YOKE CLAMP</t>
  </si>
  <si>
    <t>RAM-B-121-TAB2U</t>
  </si>
  <si>
    <t>RAM YOKE MNT FOR SAMSUNG TAB A 8"</t>
  </si>
  <si>
    <t>RAM-B-121-TAB29U</t>
  </si>
  <si>
    <t>UNPKD RAM TAB-TITE HOLDER FOR 8" TABLETS WITH YOKE CLAMP</t>
  </si>
  <si>
    <t>RAM-B-121-TAB12U</t>
  </si>
  <si>
    <t>UNPKD.RAM CLAMP MNT/CRADLE SURGICOUNT</t>
  </si>
  <si>
    <t>RAM-B-121-SUR1U</t>
  </si>
  <si>
    <t>RAM YOKE MNT FOR SAMSUNG Q1</t>
  </si>
  <si>
    <t>RAM-B-121-SAM1</t>
  </si>
  <si>
    <t>RAM YOKE SYSTEM UNIVERSAL PDA MOUNT</t>
  </si>
  <si>
    <t>RAM-B-121-PD3</t>
  </si>
  <si>
    <t>RAM UNIVERSAL PDA CRADLE /YOKE CLAMP UNP</t>
  </si>
  <si>
    <t>RAM-B-121-PD1U</t>
  </si>
  <si>
    <t>UNPKD RAM MULTI PAD WITH YOKE MOUNT</t>
  </si>
  <si>
    <t>RAM-B-121-MP1U</t>
  </si>
  <si>
    <t>LO3 H2O LOWRANCE YOKE MNT AIRMAP 2000</t>
  </si>
  <si>
    <t>RAM-B-121-LO4U</t>
  </si>
  <si>
    <t>UNPKD RAM YOKE MOUNT FOR 176, 276, 296,</t>
  </si>
  <si>
    <t>RAM-B-121-GA7U</t>
  </si>
  <si>
    <t>UNPD GARMIN VIRB MOUNT W/ YOKE CLAMP</t>
  </si>
  <si>
    <t>RAM-B-121-GA63U</t>
  </si>
  <si>
    <t>UNPKD RAM YOKE MOUNT GARMIN 695 696</t>
  </si>
  <si>
    <t>RAM-B-121-GA38U</t>
  </si>
  <si>
    <t>RAM YOKE MOUNT W/CRADLE GARMIN GPS III</t>
  </si>
  <si>
    <t>RAM-B-121-GA2</t>
  </si>
  <si>
    <t>UNPKD RAM YOKE MOUNT FOR 76C SERIES</t>
  </si>
  <si>
    <t>RAM-B-121-GA14U</t>
  </si>
  <si>
    <t>RAM YOKE MOUNT FOR 76C SERIES</t>
  </si>
  <si>
    <t>RAM-B-121-GA14</t>
  </si>
  <si>
    <t>RAM YOKE MNT W/ MOUNTING HARDWARE</t>
  </si>
  <si>
    <t>RAM-B-121-G1U</t>
  </si>
  <si>
    <t>RAM YOKE MNT FOR FUJITSU LIFEBOOK P1610</t>
  </si>
  <si>
    <t>RAM-B-121-FUJ1</t>
  </si>
  <si>
    <t>UNPKD RAM YOKE MOUNT FOR COMPAQ IPAQ</t>
  </si>
  <si>
    <t>RAM-B-121-CO1U</t>
  </si>
  <si>
    <t>RAM YOKE MOUNT FOR COMPAQ IPAQ</t>
  </si>
  <si>
    <t>RAM-B-121-CO1</t>
  </si>
  <si>
    <t>UNPKD YOKE CLAMP MOUNT W/DIA BASE LONG</t>
  </si>
  <si>
    <t>RAM-B-121-C-238U</t>
  </si>
  <si>
    <t>RAM YOKE MOUNT W/DIA &amp; LONG ARM</t>
  </si>
  <si>
    <t>RAM-B-121-C-238</t>
  </si>
  <si>
    <t>RAM MOUNT W/RAM-B-121, B-201-C, B-202</t>
  </si>
  <si>
    <t>RAM-B-121-C-202</t>
  </si>
  <si>
    <t>UNPKGD RAM CLAMP FOR YOKE MOUNTING</t>
  </si>
  <si>
    <t>RAM-B-121BU</t>
  </si>
  <si>
    <t>RAM YOKE CLAMP MOUNT W/1/4"-20 TAP</t>
  </si>
  <si>
    <t>RAM-B-121BAU</t>
  </si>
  <si>
    <t>RAM C-CLAMP FOR YOKE MOUNTING</t>
  </si>
  <si>
    <t>RAM-B-121B</t>
  </si>
  <si>
    <t>RAM YOKE MNT FOR ASUS R2H</t>
  </si>
  <si>
    <t>RAM-B-121-ASU1</t>
  </si>
  <si>
    <t>UNPKD RAM EZ-ROLL'R CRADLE FOR APPLE IPAD MINI 6 WITH YOKE CLAMP</t>
  </si>
  <si>
    <t>RAM-B-121-AP36U</t>
  </si>
  <si>
    <t>UNPKD RAM EZ-ROLL'R CRADLE FOR APPLE IPAD PRO 11" WITH YOKE CLAMP</t>
  </si>
  <si>
    <t>RAM-B-121-AP23U</t>
  </si>
  <si>
    <t>RAM YOKE MNT FOR APPLE IPAD MINI 4</t>
  </si>
  <si>
    <t>RAM-B-121-AP20U</t>
  </si>
  <si>
    <t>RAM YOKE MNT FOR APPLE IPAD MINI</t>
  </si>
  <si>
    <t>RAM-B-121-AP14U</t>
  </si>
  <si>
    <t>RAM YOKE MOUNT W/DIA &amp; SHORT ARM</t>
  </si>
  <si>
    <t>RAM-B-121-A-238</t>
  </si>
  <si>
    <t>RAM MOUNT W/RAM-B-121, B-201-A, B-202</t>
  </si>
  <si>
    <t>RAM-B-121-A-202</t>
  </si>
  <si>
    <t>UNPKD YOKE CLAMP MOUNT W/DIA BASE</t>
  </si>
  <si>
    <t>RAM-B-121-238U</t>
  </si>
  <si>
    <t>YOKE CLAMP MOUNT W/DIA BASE</t>
  </si>
  <si>
    <t>RAM-B-121-238</t>
  </si>
  <si>
    <t>UNPK RAM MOUNT W/RAM-B-121, B-201, B-202</t>
  </si>
  <si>
    <t>RAM-B-121-202U</t>
  </si>
  <si>
    <t>RAM MOUNT W/RAM-B-121, B-201, B-202</t>
  </si>
  <si>
    <t>RAM-B-121-202</t>
  </si>
  <si>
    <t>RAM 18" FLEX ARM EXTENSION W/ SPLINE POST</t>
  </si>
  <si>
    <t>RAM-B-114P-18-201U</t>
  </si>
  <si>
    <t>UNPKD RAM MARINE ELECTRONICS LONG ARM</t>
  </si>
  <si>
    <t>RAM-B-111U-C</t>
  </si>
  <si>
    <t>UNPKD RAM MARINE ELECTRONICS SHORT ARM</t>
  </si>
  <si>
    <t>RAM-B-111U-A</t>
  </si>
  <si>
    <t>UNPKD RAM MARINE ELECTRONICS MOUNT 6 1/4</t>
  </si>
  <si>
    <t>RAM-B-111U</t>
  </si>
  <si>
    <t>RAM UNIVERSAL AVIATOIN MOUNT KIT</t>
  </si>
  <si>
    <t>RAM-B-111-G1U</t>
  </si>
  <si>
    <t>RAM-B-111BU</t>
  </si>
  <si>
    <t>RAM UNIVERSAL 6 1/4" X 2" BASE W/ BALL</t>
  </si>
  <si>
    <t>RAM-B-111B</t>
  </si>
  <si>
    <t>RAM 6 1/4" BASE MOUNT W/DIA BASE</t>
  </si>
  <si>
    <t>RAM-B-111-238U</t>
  </si>
  <si>
    <t>RAM-B-111</t>
  </si>
  <si>
    <t>RAM STRAP CLAMP MOUNT UNIVERSAL HOLDER</t>
  </si>
  <si>
    <t>RAM-B-108-UN4</t>
  </si>
  <si>
    <t>UNPKD RAM MOUNT WITH B-238 BASE</t>
  </si>
  <si>
    <t>RAM-B-108U-GP1</t>
  </si>
  <si>
    <t>RAM STRAP BASE WITH 1/4"-20 STUD</t>
  </si>
  <si>
    <t>RAM-B-108U-BIT1</t>
  </si>
  <si>
    <t>UNPK RAM W  BASE &amp; V BASE W STRAPS 1/2-2</t>
  </si>
  <si>
    <t>RAM-B-108U-A</t>
  </si>
  <si>
    <t>RAM-B-108U</t>
  </si>
  <si>
    <t>UNPK RAM STRAP CLAMP MOUNT 10" TAB-TITE</t>
  </si>
  <si>
    <t>RAM-B-108-TAB8U</t>
  </si>
  <si>
    <t>RAM STRAP CLAMP MOUNT FOR 10" TAB-TITE</t>
  </si>
  <si>
    <t>RAM-B-108-TAB8</t>
  </si>
  <si>
    <t>RAM STRAP CLAMP MOUNT FOR MID TAB-TITE</t>
  </si>
  <si>
    <t>RAM-B-108-TAB3</t>
  </si>
  <si>
    <t>RAM W/STD BASE &amp; V BASE W/ BONANZA STRAP</t>
  </si>
  <si>
    <t>RAM-B-108-STRAP40</t>
  </si>
  <si>
    <t>UNPK RAM MNT STRAP BASE GOPRO CAMERA</t>
  </si>
  <si>
    <t>RAM-B-108-GOP1U</t>
  </si>
  <si>
    <t>RAM MOUNT STRAP BASE GOPRO CAMERA</t>
  </si>
  <si>
    <t>RAM-B-108-GOP1</t>
  </si>
  <si>
    <t>UNPKD RAM YOKE STRAP MNT GARMIN 695 696</t>
  </si>
  <si>
    <t>RAM-B-108-GA38U</t>
  </si>
  <si>
    <t>RAM W/ V BASE &amp; MOUNTING HARDWARE</t>
  </si>
  <si>
    <t>RAM-B-108-G1</t>
  </si>
  <si>
    <t>RAM W/DIA BASE, V BASE, BONANZA STRP LNG</t>
  </si>
  <si>
    <t>RAM-B-108-C-STRAP40-238</t>
  </si>
  <si>
    <t>RAM W/STD BASE, V BASE, BONANZA STRP LNG</t>
  </si>
  <si>
    <t>RAM-B-108-C-STRAP40</t>
  </si>
  <si>
    <t>RAM W/DIA BASE, V BASE W/STRAPS LONG</t>
  </si>
  <si>
    <t>RAM-B-108-C-238</t>
  </si>
  <si>
    <t>RAM W/STD BASE, V BASE W/STRAPS LONG</t>
  </si>
  <si>
    <t>RAM-B-108-C</t>
  </si>
  <si>
    <t xml:space="preserve">UNPKD RAM V BASE BALL AND STRAP </t>
  </si>
  <si>
    <t>RAM-B-108BU-HUM1</t>
  </si>
  <si>
    <t>UNPKD RAM V BASE BALL AND STRAPS 1/2"-2"</t>
  </si>
  <si>
    <t>RAM-B-108BU</t>
  </si>
  <si>
    <t>UNPKD RAM V BASE BALL AND BONANZA STRAP</t>
  </si>
  <si>
    <t>RAM-B-108B-STRAP40U</t>
  </si>
  <si>
    <t>UNPKD RAM V BASE BALL W/ 1/4"-20 BALL</t>
  </si>
  <si>
    <t>RAM-B-108B-A-366U</t>
  </si>
  <si>
    <t>UNPKD RAM MNT W/ RAIL TUBE W/ 1/4"-20</t>
  </si>
  <si>
    <t>RAM-B-108B-A-237U</t>
  </si>
  <si>
    <t>RAM V BASE BALL &amp; STRAPS FOR 1/2"-2" DIA</t>
  </si>
  <si>
    <t>RAM-B-108B</t>
  </si>
  <si>
    <t>RAM W/DIA BASE, V BASE, BONANZA STRP SHR</t>
  </si>
  <si>
    <t>RAM-B-108-A-STRAP40-238</t>
  </si>
  <si>
    <t>RAM W/STD BASE, V BASE, BONANZA STRP SHR</t>
  </si>
  <si>
    <t>RAM-B-108-A-STRAP40</t>
  </si>
  <si>
    <t>RAM W/DIA BASE, V BASE W/STRAPS SHORT</t>
  </si>
  <si>
    <t>RAM-B-108-A-238</t>
  </si>
  <si>
    <t>RAM W/STD BASE, V BASE W/STRAPS SHORT</t>
  </si>
  <si>
    <t>RAM-B-108-A</t>
  </si>
  <si>
    <t>UNPK RAM W  BASE &amp; V BASE W LARGE STRAP</t>
  </si>
  <si>
    <t>RAM-B-108-40U</t>
  </si>
  <si>
    <t>RAM STRAP CLAMP MOUNT W/ DIAMOND BASE</t>
  </si>
  <si>
    <t>RAM-B-108-238</t>
  </si>
  <si>
    <t>RAM W/ STD BASE &amp; V BASE W/ STRAPS 1/2-2</t>
  </si>
  <si>
    <t>RAM-B-108</t>
  </si>
  <si>
    <t>UNPKD RAM MOUNT LONG HUMMINBIRD/APELCO</t>
  </si>
  <si>
    <t>RAM-B-107U-C</t>
  </si>
  <si>
    <t>UNPKD MNT FOR HUMMINBIRD/APELCO DIA BASE</t>
  </si>
  <si>
    <t>RAM-B-107U-238</t>
  </si>
  <si>
    <t>UNPKD RAM MOUNT FOR HUMMINBIRD/APELCO</t>
  </si>
  <si>
    <t>RAM-B-107U</t>
  </si>
  <si>
    <t>RAM 1" BASE FOR HUMMINBIRD &amp; APELCO 97</t>
  </si>
  <si>
    <t>RAM-B-107BU</t>
  </si>
  <si>
    <t>RAM-B-107B</t>
  </si>
  <si>
    <t>UNPK RAM MNT FOR HUMMINBIRD PIRANHA DIA</t>
  </si>
  <si>
    <t>RAM-B-107-1U-238</t>
  </si>
  <si>
    <t>UNPK RAM MOUNT FOR HUMMINBIRD PIRANHA</t>
  </si>
  <si>
    <t>RAM-B-107-1U</t>
  </si>
  <si>
    <t>UNPKD RAM BASE FOR CUDA PIRANHA</t>
  </si>
  <si>
    <t>RAM-B-107-1BU</t>
  </si>
  <si>
    <t>RAM BASE FOR CUDA PIRANHA</t>
  </si>
  <si>
    <t>RAM-B-107-1B</t>
  </si>
  <si>
    <t>RAM FOR HUMMINBIRD PIRANHA</t>
  </si>
  <si>
    <t>RAM-B-107-1</t>
  </si>
  <si>
    <t>RAM MOUNT HUMMINBIRD &amp; APELCO 1" BALL</t>
  </si>
  <si>
    <t>RAM-B-107</t>
  </si>
  <si>
    <t>UNPKD RAM MOUNT W/ 1 RAM-B-202U LONG</t>
  </si>
  <si>
    <t>RAM-B-103U-C</t>
  </si>
  <si>
    <t>UNPKD RAM MOUNT W/ 1 RAM-B-202U SHRT</t>
  </si>
  <si>
    <t>RAM-B-103U-A</t>
  </si>
  <si>
    <t>UNPKD RAM MOUNT W/ 1 RAM-B-202U</t>
  </si>
  <si>
    <t>RAM-B-103U</t>
  </si>
  <si>
    <t>UNPKD RAM MOUNT CHROME RAM-B-202U SHRT</t>
  </si>
  <si>
    <t>RAM-B-103CHU-A</t>
  </si>
  <si>
    <t>UNPKD RAM MOUNT CHROME RAM-B-202U B-201</t>
  </si>
  <si>
    <t>RAM-B-103CHU</t>
  </si>
  <si>
    <t>UNPKD RAM MOUNT LG 1 RAM-B-238U &amp; B-201U</t>
  </si>
  <si>
    <t>RAM-B-103-C-238U</t>
  </si>
  <si>
    <t>UNPKD RAM MOUNT ST 1 RAM-B-238U &amp; B-201U</t>
  </si>
  <si>
    <t>RAM-B-103-A-238U</t>
  </si>
  <si>
    <t>UNPKD RAM MOUNT CHR RAM-B-238U &amp; B-201A</t>
  </si>
  <si>
    <t>RAM-B-103-A-238CHU</t>
  </si>
  <si>
    <t>UNPKD RAM MOUNT W/ 1 RAM-B-238U &amp; B-201U</t>
  </si>
  <si>
    <t>RAM-B-103-238U</t>
  </si>
  <si>
    <t>UNPKD RAM MOUNT CHR RAM-B-238U &amp; B-201</t>
  </si>
  <si>
    <t>RAM-B-103-238CHU</t>
  </si>
  <si>
    <t>UNPKD. RAM MNT W/2 3/8"-16 BASES SHORT</t>
  </si>
  <si>
    <t>RAM-B-103-236U-A</t>
  </si>
  <si>
    <t>UNPKD RAM MOUNT FOR XIRIS SCANNER</t>
  </si>
  <si>
    <t>RAM-B-102U-XI1</t>
  </si>
  <si>
    <t>RAM-B-102-UN7U</t>
  </si>
  <si>
    <t>RAM X-GRIP HOLDER W DBL DIAMOND BASE</t>
  </si>
  <si>
    <t>RAM-B-102-UN7</t>
  </si>
  <si>
    <t>UNPKD UNIVERSAL HOLDER W/ DIAMOND BASE</t>
  </si>
  <si>
    <t>RAM-B-102-UN1U</t>
  </si>
  <si>
    <t>RAM-B-102-UN10U</t>
  </si>
  <si>
    <t>UNPKD RAM-B-102 EVERYTHING LONG MOUNT</t>
  </si>
  <si>
    <t>RAM-B-102U-C</t>
  </si>
  <si>
    <t>UNPKD RAM-B-102 SHORT ARM</t>
  </si>
  <si>
    <t>RAM-B-102U-A</t>
  </si>
  <si>
    <t>RAM 1.75" - 4" SQUARE POST CLAMP BASE WITH 1" BALL, ARM, AND DIA BASE</t>
  </si>
  <si>
    <t>RAM-B-102U-247</t>
  </si>
  <si>
    <t>UNPKD RAM BASES 1.5" X 3" W/ 1" BALL AND ARM</t>
  </si>
  <si>
    <t>RAM-B-102U-153</t>
  </si>
  <si>
    <t>RAM-B-102U</t>
  </si>
  <si>
    <t>UNPKD QUICK-GRIP HOLDER WITH DOUBLE DIA BALL MOUNT</t>
  </si>
  <si>
    <t>RAM-B-102-PD4U</t>
  </si>
  <si>
    <t>UNPKD UNIVERSAL PDA HOLDER W/ DIAMOND</t>
  </si>
  <si>
    <t>RAM-B-102-PD3U</t>
  </si>
  <si>
    <t>UNPKD RAM-B-102 EVERYTHING MOUNT WITH NFC REPEATER</t>
  </si>
  <si>
    <t>RAM-B-102-NFCU</t>
  </si>
  <si>
    <t>UNPKD MULTI PAD FOR LAPTOP TRAY</t>
  </si>
  <si>
    <t>RAM-B-102-MP1U</t>
  </si>
  <si>
    <t>MULTI PAD FOR LAPTOP TRAY</t>
  </si>
  <si>
    <t>RAM-B-102-MP1</t>
  </si>
  <si>
    <t>RAM-B-102-GOP1U</t>
  </si>
  <si>
    <t>UNPKD DIAMOND BASE FLAT PANEL 3/8" LONG</t>
  </si>
  <si>
    <t>RAM-B-102-FP2U</t>
  </si>
  <si>
    <t>UNPKD DIAMOND BASE SYSTEM FOR FLAT PANEL</t>
  </si>
  <si>
    <t>RAM-B-102-FP1U</t>
  </si>
  <si>
    <t>RAM-B-102-AQ7-2CU</t>
  </si>
  <si>
    <t>UNPKD RAM DRILL DOWN MOUNT FOR APPLE MAG SAFE</t>
  </si>
  <si>
    <t>RAM-B-102-AP-MAGU</t>
  </si>
  <si>
    <t>UNPKD RAM DRILL DOWN MOUNT FOR APPLE MAG SAFE (2024)</t>
  </si>
  <si>
    <t>RAM-B-102-AP-MAG-1U</t>
  </si>
  <si>
    <t>RAM MOUNT W/ B-238 B-201-A B-237</t>
  </si>
  <si>
    <t>RAM-B-102-A-237U</t>
  </si>
  <si>
    <t>RAM MOUNT W/ B-238 B-201 B-237</t>
  </si>
  <si>
    <t>RAM-B-102-237U</t>
  </si>
  <si>
    <t>RAM-B-102-231ZU</t>
  </si>
  <si>
    <t>UNPKD. RAM MNT W/ B-102 &amp; 224-1</t>
  </si>
  <si>
    <t>RAM-B-102-2241U</t>
  </si>
  <si>
    <t>UNPKD RAM DRINK CUP HOLDER W DIAMOND BASE</t>
  </si>
  <si>
    <t>RAM-B-102-132U</t>
  </si>
  <si>
    <t>RAM EVERYTHING MOUNT WITH 1" BALLS</t>
  </si>
  <si>
    <t>RAM-B-102</t>
  </si>
  <si>
    <t>RAM MOUNT W/ B-237, B-201, B-108B CUSTOM</t>
  </si>
  <si>
    <t>RAM-B-101U-UE1</t>
  </si>
  <si>
    <t>UNPKD. RAM MNT. W/ RND BASE TDS NOMAD</t>
  </si>
  <si>
    <t>RAM-B-101U-TD4</t>
  </si>
  <si>
    <t xml:space="preserve">UNPKD. RAM MNT. W/ RND BASE TDS NOMAD  </t>
  </si>
  <si>
    <t>RAM-B-101U-TD3</t>
  </si>
  <si>
    <t>UNPKD. RAM MNT. W/2 2 1/2" BASES TDS REC</t>
  </si>
  <si>
    <t>RAM-B-101U-TD1</t>
  </si>
  <si>
    <t>PSION MOUNTING SYSTEM WITH HARDWARE</t>
  </si>
  <si>
    <t>RAM-B-101U-PS2</t>
  </si>
  <si>
    <t>RAM MOUNT W/1-B-231 &amp; 1-B-202 NO U-BOLTS</t>
  </si>
  <si>
    <t>RAM-B-101U-ME1</t>
  </si>
  <si>
    <t>UNPKD. RAM MOUNT SYSTEM EXCALIBUR SYSTEM</t>
  </si>
  <si>
    <t>RAM-B-101U-EX1</t>
  </si>
  <si>
    <t>UNPKD. RAM MOUNT W/2 RAM-B-202 AND B-231</t>
  </si>
  <si>
    <t>RAM-B-101U-CR1</t>
  </si>
  <si>
    <t>RAM-B-101U-CIP1</t>
  </si>
  <si>
    <t>RAM-B-101U-C-A</t>
  </si>
  <si>
    <t>UNPKD. RAM MNT. W/2 2 1/2" BASES &amp; C ARM</t>
  </si>
  <si>
    <t>RAM-B-101U-C</t>
  </si>
  <si>
    <t>BRUNTON DOUBLE SUCTION SYSTEM W/ 1/4"-20</t>
  </si>
  <si>
    <t>RAM-B-101U-BR1</t>
  </si>
  <si>
    <t>RAM SHRT ARM SYSTEM W/1/4"-20 HOLES</t>
  </si>
  <si>
    <t>RAM-B-101U-A-AAR1</t>
  </si>
  <si>
    <t>UNPKD. RAM MOUNT 2" X 2.5" BASE SHRT ARM</t>
  </si>
  <si>
    <t>RAM-B-101U-A-225U</t>
  </si>
  <si>
    <t>UNPKD. RAM MNT. W/2 2 1/2" BASES &amp; A ARM</t>
  </si>
  <si>
    <t>RAM-B-101U-A</t>
  </si>
  <si>
    <t>RAM 2.5" BASE, ARM, AND ROUND BASE</t>
  </si>
  <si>
    <t>RAM-B-101U-247-25B</t>
  </si>
  <si>
    <t>RAM 1.75" - 4" SQUARE POST CLAMP BASE WITH 1" BALL, ARM, AND ROUND BASE</t>
  </si>
  <si>
    <t>RAM-B-101U-247</t>
  </si>
  <si>
    <t>UNPKD. RAM MOUNT W/ BACKING PLATE</t>
  </si>
  <si>
    <t>RAM-B-101U-225B2</t>
  </si>
  <si>
    <t>RAM 1" BALL MOUNT W/ 4" SUCTION CUP</t>
  </si>
  <si>
    <t>RAM-B-101U-224</t>
  </si>
  <si>
    <t>RAM-B-101U</t>
  </si>
  <si>
    <t>RAM MOUNT W/ B-202 &amp; RAYMARINE DRAGONFLY</t>
  </si>
  <si>
    <t>RAM-B-101-RYM1</t>
  </si>
  <si>
    <t xml:space="preserve">UNPKD RAM MNT MAGELLAN ROAD MATE </t>
  </si>
  <si>
    <t>RAM-B-101-MA4U</t>
  </si>
  <si>
    <t xml:space="preserve">RAM MNT MAGELLAN ROAD MATE </t>
  </si>
  <si>
    <t>RAM-B-101-MA4</t>
  </si>
  <si>
    <t>UNPKD. RAM LOCKING W/2 RAM-B-202 BASES</t>
  </si>
  <si>
    <t>RAM-B-101LU</t>
  </si>
  <si>
    <t>RAM MOUNT 1" BALL FOR LOWRANCE HOOK2</t>
  </si>
  <si>
    <t>RAM-B-101-LO12</t>
  </si>
  <si>
    <t>RAM MOUNT FOR LOWRANCE MARK AND ELITE</t>
  </si>
  <si>
    <t>RAM-B-101-LO11</t>
  </si>
  <si>
    <t>000-0101-62  LOWRANCE MB-7 SONAR UNITS</t>
  </si>
  <si>
    <t>RAM-B-101-L1</t>
  </si>
  <si>
    <t>UNPKD. RAM MOUNT W/ KNOB RETENTION</t>
  </si>
  <si>
    <t>RAM-B-101KRU</t>
  </si>
  <si>
    <t>UNPD RAM SYSTEM W/ STD &amp; SHT ARM 1/4"-20</t>
  </si>
  <si>
    <t>RAM-B-101-IR1U</t>
  </si>
  <si>
    <t>RAM MOUNT FOR GARMIN ECHO 100 150</t>
  </si>
  <si>
    <t>RAM-B-101-G4</t>
  </si>
  <si>
    <t>RAM MOUNT W/ HARDWARE FOR GARMIN 7200</t>
  </si>
  <si>
    <t>RAM-B-101-G3U</t>
  </si>
  <si>
    <t>UNPKD RAM MOUNT GARMIN 250C FISH FINDER</t>
  </si>
  <si>
    <t>RAM-B-101-G2U</t>
  </si>
  <si>
    <t>RAM MOUNT GARMIN 250C FISH FINDER</t>
  </si>
  <si>
    <t>RAM-B-101-G2</t>
  </si>
  <si>
    <t>RAM-B-101-G1U</t>
  </si>
  <si>
    <t>RAM-B-101-G1</t>
  </si>
  <si>
    <t>RAM MOUNT DEXTERITY SYSTEMS 6" ARM</t>
  </si>
  <si>
    <t>RAM-B-101-DEX2U</t>
  </si>
  <si>
    <t>RAM MOUNT FOR DEXTERITY SYSTEMS</t>
  </si>
  <si>
    <t>RAM-B-101-DEX1U</t>
  </si>
  <si>
    <t>UNPKD RAM MOUNT LONG W/ B-202 10" RAM X-GRIP</t>
  </si>
  <si>
    <t>RAM-B-101-C-UN9U</t>
  </si>
  <si>
    <t>RAM-B-101-C-UN9</t>
  </si>
  <si>
    <t>UNPKD RAM MOUNT LONG W/ B-202 12" RAM X-GRIP</t>
  </si>
  <si>
    <t>RAM-B-101-C-UN11U</t>
  </si>
  <si>
    <t>UNPK  ROUND BASE FOR SMALL TABLETS</t>
  </si>
  <si>
    <t>RAM-B-101-C-TAB-SMU</t>
  </si>
  <si>
    <t>UNPK  ROUND BASE FOR LARGE TABLETS</t>
  </si>
  <si>
    <t>RAM-B-101-C-TAB-LGU</t>
  </si>
  <si>
    <t>RAM MOUNT LONG LOWRANCE MARK AND ELITE</t>
  </si>
  <si>
    <t>RAM-B-101-C-LO11</t>
  </si>
  <si>
    <t>RAM-B-101-C-A</t>
  </si>
  <si>
    <t>UNPKD. RAM MOUNT W/ B-202 AND B-231Z BAS</t>
  </si>
  <si>
    <t>RAM-B-101-C-231ZU</t>
  </si>
  <si>
    <t>RAM MNT. W/2 2 1/2" BASES &amp; C ARM</t>
  </si>
  <si>
    <t>RAM-B-101-C</t>
  </si>
  <si>
    <t>RAM MOUNT AND TAB-TITE FOR IPAD MINI W/ CASE AND BACKING PLATE</t>
  </si>
  <si>
    <t>RAM-B-101B2-TAB12U</t>
  </si>
  <si>
    <t>RAM-B-101AU</t>
  </si>
  <si>
    <t>RAM MOUNT 1" BALL AND SHORT ARM FOR LOWRANCE HOOK2</t>
  </si>
  <si>
    <t>RAM-B-101-A-LO12-403U</t>
  </si>
  <si>
    <t xml:space="preserve">RAM UNPKD. MNT. W/ 2-B-202A BASES LONG </t>
  </si>
  <si>
    <t>RAM-B-101A2U-C</t>
  </si>
  <si>
    <t>UNPKD. RAM MNT W/1 2" X 4" BASE &amp; 1 SHRT</t>
  </si>
  <si>
    <t>RAM-B-101-A-24U</t>
  </si>
  <si>
    <t>UNPKD. RAM MNT W/1 1/4"-20 BASE &amp; 1 SHRT</t>
  </si>
  <si>
    <t>RAM-B-101-A-237U</t>
  </si>
  <si>
    <t>RAM MNT W/1 1/4"-20 BASE &amp; 1 SHRT PSA</t>
  </si>
  <si>
    <t>RAM-B-101-A-237PU</t>
  </si>
  <si>
    <t>RAM MNT. W/2 2 1/2" BASES &amp; A ARM</t>
  </si>
  <si>
    <t>RAM-B-101-A</t>
  </si>
  <si>
    <t>RAM-B-101A</t>
  </si>
  <si>
    <t>UNPKGD RAM PSA BASE MOUNT FOR SAMSUNG Q1</t>
  </si>
  <si>
    <t>RAM-B-101-273-SAM1U</t>
  </si>
  <si>
    <t>UNPKD. RAM MNT W/1 2" X 4" BASE &amp; 1 STD</t>
  </si>
  <si>
    <t>RAM-B-101-24U</t>
  </si>
  <si>
    <t>UNPKD. RAM MNT W/1 1/4"-20 BASE &amp; 1 STD</t>
  </si>
  <si>
    <t>RAM-B-101-237U</t>
  </si>
  <si>
    <t>RAM MNT W/1 1/4"-20 BASE &amp; 1 STD</t>
  </si>
  <si>
    <t>RAM-B-101-237</t>
  </si>
  <si>
    <t>UNPKD. RAM MNT W/1 3/8"-16 BASE &amp; 1 STD</t>
  </si>
  <si>
    <t>RAM-B-101-236U</t>
  </si>
  <si>
    <t>UNPKD. RAM MOUNT W/ DBL U-BOLT BASE</t>
  </si>
  <si>
    <t>RAM-B-101-235U</t>
  </si>
  <si>
    <t>UNPKD. RAM MNT STD W/ BACKING PLATE + NFC REPEATER AND PLASTIC HOUSING</t>
  </si>
  <si>
    <t>RAM-B-101-225B-NFCU</t>
  </si>
  <si>
    <t>RAM-B-101-224</t>
  </si>
  <si>
    <t>RAM-B-101</t>
  </si>
  <si>
    <t>1/4" POST W/ 1/4"-20 THREADED HOLE STST</t>
  </si>
  <si>
    <t>RAM-A-336U</t>
  </si>
  <si>
    <t>UNPD RAM 2 7/16" X 1 5/16" BASE W BALL</t>
  </si>
  <si>
    <t>RAM-A-238U</t>
  </si>
  <si>
    <t>RAM-A-238</t>
  </si>
  <si>
    <t>UNPKD. RAM 9/16" BALL W/ 1/4"-20 STUD</t>
  </si>
  <si>
    <t>RAM-A-237U</t>
  </si>
  <si>
    <t>UNPKD RAM DOUBLE 9/16" BALL ADAPTER</t>
  </si>
  <si>
    <t>RAM-A-230U</t>
  </si>
  <si>
    <t>RAM DOUBLE 9/16" BALL ADAPTER</t>
  </si>
  <si>
    <t>RAM-A-230</t>
  </si>
  <si>
    <t>RAM 9/16" DIA. BALL LONG DBL SOCKET ARM</t>
  </si>
  <si>
    <t>RAM-A-201U-B</t>
  </si>
  <si>
    <t>RAM 9/16" DIA. BALL STD. DBL SOCKET ARM</t>
  </si>
  <si>
    <t>RAM-A-201U</t>
  </si>
  <si>
    <t>UNPK RAM SYSTEM W/ 9/16" BALLS LONG ARM</t>
  </si>
  <si>
    <t>RAM-A-101U-B</t>
  </si>
  <si>
    <t>UNPKD. RAM MOUNT W/ 9/16" BALLS</t>
  </si>
  <si>
    <t>RAM-A-101U</t>
  </si>
  <si>
    <t xml:space="preserve">UNPKD MOUNT W/ 9/16" BALL 1/4"-20 STUD </t>
  </si>
  <si>
    <t>RAM-A-101AU</t>
  </si>
  <si>
    <t>RAM DBL. BALL MOUNT W/ 9/16" BALLS</t>
  </si>
  <si>
    <t>RAM-A-101</t>
  </si>
  <si>
    <t>RAM BASE WITH 1.5" BALL WITH PIN-LOCK AND 1/4-20" THREADED HOLE</t>
  </si>
  <si>
    <t>RAM-463U</t>
  </si>
  <si>
    <t>RAM BASE WITH 1.5" BALL WITH PIN-LOCK AND 1/4-20" THREADED HOLE WITH T-BOLT</t>
  </si>
  <si>
    <t>RAM-463-TRA1U</t>
  </si>
  <si>
    <t>UNPD RAM TOUGH BALL 3/8"-24 HOLE</t>
  </si>
  <si>
    <t>RAM-451U</t>
  </si>
  <si>
    <t>RAM TOUGH-CLAW HEAVY-DUTY MOUNT FOR WEBOOST ANTENNA</t>
  </si>
  <si>
    <t>RAM-451-B-404U</t>
  </si>
  <si>
    <t>RAM TRACK BALL FOR WEBOOST ANTENNA</t>
  </si>
  <si>
    <t>RAM-451-B-354-TRA1U</t>
  </si>
  <si>
    <t>RAM DRILL DOWN HEAVY DUTY MOUNT FOR WEBOOST ANTENNA</t>
  </si>
  <si>
    <t>RAM-451-B-238U</t>
  </si>
  <si>
    <t>UNPK RAM HANDLEBAR MNT 3/4"-1" 1.5" BALL</t>
  </si>
  <si>
    <t>RAM-408-75-1U</t>
  </si>
  <si>
    <t>RAM HANDLEBAR MNT 3/4"-1" 1.5" BALL</t>
  </si>
  <si>
    <t>RAM-408-75-1</t>
  </si>
  <si>
    <t>RAM-408-112-15U</t>
  </si>
  <si>
    <t>RAM-408-112-15</t>
  </si>
  <si>
    <t>RAM TOUGH-CLAW FOR WEBOOST ANTENNA</t>
  </si>
  <si>
    <t>RAM-404-379-372437U</t>
  </si>
  <si>
    <t xml:space="preserve">UNPKD RAM TOUGH-CLAW W/ X-GRIP TABLET HOLDER </t>
  </si>
  <si>
    <t>RAM-400-B-UN8U</t>
  </si>
  <si>
    <t>RAM TOUGH-CLAW WITH TOUGH-BALL 1/4" - 20 X .25" LONG</t>
  </si>
  <si>
    <t>RAM-400-379-252025U</t>
  </si>
  <si>
    <t>RAM PILATUS CLAMP BASE WITH 1.5" BALL</t>
  </si>
  <si>
    <t>RAM-380U</t>
  </si>
  <si>
    <t>RAM TRACK MOUNT FOR WEBOOST ANTENNA</t>
  </si>
  <si>
    <t>RAM-379-372437-354-TRA1U</t>
  </si>
  <si>
    <t>UNPKD RAM MNT TB SHORT ARM ID SYST VAC4</t>
  </si>
  <si>
    <t>RAM-379-311875-B-IDS4U</t>
  </si>
  <si>
    <t>RAM 1.5" DIA BALL AND TALLON FEMALE BASE</t>
  </si>
  <si>
    <t>RAM-376-TAL3</t>
  </si>
  <si>
    <t>RAM TALLON FEMALE QUICK REL BASE BLACK</t>
  </si>
  <si>
    <t>RAM-376-TAL2BB</t>
  </si>
  <si>
    <t>RAM 1.5" DIA BALL FOR TALLON QUICK REL</t>
  </si>
  <si>
    <t>RAM-376-TAL2</t>
  </si>
  <si>
    <t>RAM BASE W M8 FEMALE HOLE AND M8 STUD</t>
  </si>
  <si>
    <t>RAM-370U</t>
  </si>
  <si>
    <t>RAM BASE FOR DATAMAX AND ONEIL PRINTERS</t>
  </si>
  <si>
    <t>RAM-368U</t>
  </si>
  <si>
    <t>UNPKD RAM FISHING ROD HOLDER ADAPTR POST</t>
  </si>
  <si>
    <t>RAM-351U</t>
  </si>
  <si>
    <t>UNPK TORQUE 1.5-2 RAILS C PIN LOCK BALL</t>
  </si>
  <si>
    <t>RAM-351-415-15-2U</t>
  </si>
  <si>
    <t>TORQUE FOR 1.5-2 RAILS W C PIN LOCK BALL</t>
  </si>
  <si>
    <t>RAM-351-415-15-2</t>
  </si>
  <si>
    <t>RAM FISHING ROD HOLDER ADAPTER POST</t>
  </si>
  <si>
    <t>RAM-351</t>
  </si>
  <si>
    <t>RAM BASE W/ M10 X 1.25 PITCH &amp; 1.5" BALL</t>
  </si>
  <si>
    <t>RAM-349U</t>
  </si>
  <si>
    <t>RAM ANTENNA ADAPTER MAG ANT PLATE</t>
  </si>
  <si>
    <t>RAM-348U</t>
  </si>
  <si>
    <t xml:space="preserve">UNPKD RAM 2" X 1.7" BASE AMPS PATTERN W/ HARDWARE FOR ZEBRA PRINTER </t>
  </si>
  <si>
    <t>RAM-347-ZE17U</t>
  </si>
  <si>
    <t>RAM-347U-BT</t>
  </si>
  <si>
    <t>RAM MOUNT AMPS VESA PLATE 75 MM SHORT</t>
  </si>
  <si>
    <t>RAM-347U-B-2461</t>
  </si>
  <si>
    <t>RAM-347U</t>
  </si>
  <si>
    <t>UNPKS AMP DBL. ADHESIVE MOUNTING PAD</t>
  </si>
  <si>
    <t>RAM-347PSAU</t>
  </si>
  <si>
    <t>5 QTY. AMP DBL. ADHESIVE MOUNTING PAD</t>
  </si>
  <si>
    <t>RAM-347PSA-5U</t>
  </si>
  <si>
    <t>RAM-347</t>
  </si>
  <si>
    <t>RAM ANTENNA ADAPTER PLATE AMPS HOLE ROUN</t>
  </si>
  <si>
    <t>RAM-344U</t>
  </si>
  <si>
    <t>RAM 67MM OD ROUND STEEL PLATE WITH ADHESIVE</t>
  </si>
  <si>
    <t>RAM-343-PU</t>
  </si>
  <si>
    <t>RAM DOUBLE ADAPTER PLATE</t>
  </si>
  <si>
    <t>RAM-338U</t>
  </si>
  <si>
    <t>RAM-338</t>
  </si>
  <si>
    <t>RAM BASE W/1/4"-20 HOLE HEX &amp; 1.5" BALL</t>
  </si>
  <si>
    <t>RAM-337U</t>
  </si>
  <si>
    <t>RAM LIFT TRUCK MOUNTING PLATE WITH BASE</t>
  </si>
  <si>
    <t>RAM-335-E-246</t>
  </si>
  <si>
    <t>RAM-335-D-246</t>
  </si>
  <si>
    <t>RAM-335-246</t>
  </si>
  <si>
    <t>RAM LIFT TRUCK BACK-UP MOUNTING PLATE</t>
  </si>
  <si>
    <t>RAM-335</t>
  </si>
  <si>
    <t>UNPKD MOUNT W/ RAM-2461 &amp; 1 RAM-235 AND LONG ARM</t>
  </si>
  <si>
    <t>RAM-334U-D</t>
  </si>
  <si>
    <t>UNPKD MOUNT W/ RAM-2461 &amp; 1 RAM-235</t>
  </si>
  <si>
    <t>RAM-334U</t>
  </si>
  <si>
    <t>UNPKD W/ RAM-2461 &amp; 235 W/ SM. U-BOLT</t>
  </si>
  <si>
    <t>RAM-334-1U</t>
  </si>
  <si>
    <t>UNPKD RAM KEYBOARD MOUNT FOR SYMBOL 5090</t>
  </si>
  <si>
    <t>RAM-333-SYM2U</t>
  </si>
  <si>
    <t>RAM TRIPLE BASE ADAPTER W/TRIPLE SUCTION PIVOT BASE</t>
  </si>
  <si>
    <t>RAM-333-224-PIV1U</t>
  </si>
  <si>
    <t>RAM TRIPLE BASE ADAPTER W/TRIPLE SUCTION</t>
  </si>
  <si>
    <t>RAM-333-224-1U</t>
  </si>
  <si>
    <t>RAM TRIPLE SUCTION TAB20 MOUNT</t>
  </si>
  <si>
    <t>RAM-333-224-1-ALA1-TAB20U</t>
  </si>
  <si>
    <t>UNPKD RAM MOUNT W/ 2 SUCTION BASES</t>
  </si>
  <si>
    <t>RAM-333-102-KRA1</t>
  </si>
  <si>
    <t>RAM BASE 1.5" DIA. BALL FOR 1/2" NPT</t>
  </si>
  <si>
    <t>RAM-330U</t>
  </si>
  <si>
    <t>RAM BASE 1.5" DIA. BALL FOR 1" NPT PIPE</t>
  </si>
  <si>
    <t>RAM-330-DU</t>
  </si>
  <si>
    <t>RAM C SIZE OCTAGON BUTTON W/ 2 3/4" BASE</t>
  </si>
  <si>
    <t>RAM-324-OFU</t>
  </si>
  <si>
    <t>UNPKD RAM POD III  1/2" PIPE POST</t>
  </si>
  <si>
    <t>RAM-316-TU</t>
  </si>
  <si>
    <t>RAM POD 30" EXTRA LEG</t>
  </si>
  <si>
    <t>RAM-316LU</t>
  </si>
  <si>
    <t>RAM POD I 24" LEG W/O FOOT</t>
  </si>
  <si>
    <t>RAM-316-LEG-NF-24U</t>
  </si>
  <si>
    <t>RAM POD I 18" LEG W/O FOOT</t>
  </si>
  <si>
    <t>RAM-316-LEG-NF-18U</t>
  </si>
  <si>
    <t>RAM POD W HOLDER 10" RAM X-GRIP</t>
  </si>
  <si>
    <t>RAM-316-HD-UN9U</t>
  </si>
  <si>
    <t xml:space="preserve">RAM POD HD REVERSE CONFIG. WITH 202 </t>
  </si>
  <si>
    <t>RAM-316-HDR-202U</t>
  </si>
  <si>
    <t xml:space="preserve">RAM POD HD RIGHT HAND WITH 202 </t>
  </si>
  <si>
    <t>RAM-316-HDR-202-GMU</t>
  </si>
  <si>
    <t>RAM POD HD RS18" PIPE DBL SOCKET W/ 202</t>
  </si>
  <si>
    <t>RAM-316-HDR-18-202U</t>
  </si>
  <si>
    <t>RAM POD HD W/ 1.5" DBL SOCKET W/O BASE</t>
  </si>
  <si>
    <t>RAM-316-HD-NBU</t>
  </si>
  <si>
    <t>RAM POD HD W/ 1.5" BALL, NO ARM</t>
  </si>
  <si>
    <t>RAM-316-HD-NABU</t>
  </si>
  <si>
    <t>RAM POD HD W/ 1.5" DBL SOCKET W/ 2461</t>
  </si>
  <si>
    <t>RAM-316-HD-2461U</t>
  </si>
  <si>
    <t>RAM POD HD W/ 1.5" DBL SOCKET W/ 238</t>
  </si>
  <si>
    <t>RAM-316-HD-238U</t>
  </si>
  <si>
    <t>RAM POD HD W/ OTTER UNIVERSE ADAPTER</t>
  </si>
  <si>
    <t>RAM-316-HD-238-OT3U</t>
  </si>
  <si>
    <t>RAM POD HD W/ 1.5" DBL SOCKET W/ 202</t>
  </si>
  <si>
    <t>RAM-316-HD-202U</t>
  </si>
  <si>
    <t>RAM POD HD W/ 18" PIPE DBL SOCKET AND X-GRIP FOR 12" TABLETS</t>
  </si>
  <si>
    <t>RAM-316-HD-18-UN11U</t>
  </si>
  <si>
    <t>RAM POD HD W/ 18" PIPE DBL SOCKET AND TAB-TITE FOR 8" TABLETS</t>
  </si>
  <si>
    <t>RAM-316-HD-18-TAB24U</t>
  </si>
  <si>
    <t>RAM POD HD W/ 18" PIPE DBL SOCKET AND TAB-TITE FOR IPAD AIR W/ CASE</t>
  </si>
  <si>
    <t>RAM-316-HD-18-TAB20U</t>
  </si>
  <si>
    <t>RAM-316-HD-18-NBU</t>
  </si>
  <si>
    <t>RAM POD HD W/ 18" PIPE DBL SOCKET W/ 202</t>
  </si>
  <si>
    <t>RAM-316-HD-18-202U</t>
  </si>
  <si>
    <t>RAM POD HD FOR 2007-2019 MERCEDES SPRINTER VANS W/ 18" POLE &amp; 1.5" DBL SOCKET W/ 202</t>
  </si>
  <si>
    <t>RAM-316-HD-18-202-SPRU</t>
  </si>
  <si>
    <t>UNPD RAM POD III  W/SWING ARM &amp; 202 BASE</t>
  </si>
  <si>
    <t>RAM-316-3-TW2</t>
  </si>
  <si>
    <t>UNPKD RAM POD III  W/ ARM &amp; 202 BASE</t>
  </si>
  <si>
    <t>RAM-316-3-TW1</t>
  </si>
  <si>
    <t>UNPKD RAM POD III  W/ SINGLE SWING ARM</t>
  </si>
  <si>
    <t>RAM-316-3SW1U</t>
  </si>
  <si>
    <t>RAM POD 3 WITH HOLDER MOTION C5</t>
  </si>
  <si>
    <t>RAM-316-3-MOT9</t>
  </si>
  <si>
    <t>RAM POD 3 WITH HOLDER MOTION LE1600</t>
  </si>
  <si>
    <t>RAM-316-3-MOT8</t>
  </si>
  <si>
    <t>UNPKD RAM POD III  W/ DBL BALL MNT/2 30"</t>
  </si>
  <si>
    <t>RAM-316-3BA1U-VID1</t>
  </si>
  <si>
    <t>UNPKD RAM POD III  W/ DBL BALL MNT</t>
  </si>
  <si>
    <t>RAM-316-3BA1U</t>
  </si>
  <si>
    <t>UNPKD RAM POD III  W/ STD LENGTH LEGS</t>
  </si>
  <si>
    <t>RAM-316-3AU</t>
  </si>
  <si>
    <t>UNPKD RAM POD III  W DBL BALL 2461 PLATE</t>
  </si>
  <si>
    <t>RAM-316-3-2461U</t>
  </si>
  <si>
    <t>UNPKD RAM POD III  W/ DBL BALL NO TRAY</t>
  </si>
  <si>
    <t>RAM-316-3-240U</t>
  </si>
  <si>
    <t>RAM-316-3-202U</t>
  </si>
  <si>
    <t>RAM 18" FLEXIBLE MOUNT W/ 2 1.5" SOCKETS</t>
  </si>
  <si>
    <t>RAM-316-2U</t>
  </si>
  <si>
    <t>RAM POD I WITH 1.5" SINGLE SOCKET ARM</t>
  </si>
  <si>
    <t>RAM-316-1U</t>
  </si>
  <si>
    <t>UNPKGD RAM POD 1 MOUNT W/ HANDI-CASE</t>
  </si>
  <si>
    <t>RAM-316-1-HC1U</t>
  </si>
  <si>
    <t>RAM POD I 2 QTY 1.5" SINGLE SOCKET ARMS</t>
  </si>
  <si>
    <t>RAM-316-1-BLU1U</t>
  </si>
  <si>
    <t>UNPKD RAM POD I  W/ STD LENGTH LEG</t>
  </si>
  <si>
    <t>RAM-316-1AU</t>
  </si>
  <si>
    <t>UNPK MOUNT FOR LOWRANCE TOTALSCAN TRNSDR</t>
  </si>
  <si>
    <t>RAM-316-18-TRA4U-NB</t>
  </si>
  <si>
    <t>RETAIL MOUNT LOWRANCE TOTALSCAN TRNSDR</t>
  </si>
  <si>
    <t>RAM-316-18-TRA4-NB</t>
  </si>
  <si>
    <t>RAM POD I WITH 1.5" SINGLE SOCKET 30" LG</t>
  </si>
  <si>
    <t>RAM-316-1-30-202U</t>
  </si>
  <si>
    <t>UNPKD RAM POD I  W DBL BALL 2461 PLATE</t>
  </si>
  <si>
    <t>RAM-316-1-2461U</t>
  </si>
  <si>
    <t>RAM POD I WITH 1.5" SINGLE SOCKET 24" LG</t>
  </si>
  <si>
    <t>RAM-316-1-24-202U</t>
  </si>
  <si>
    <t>RAM POD I WITH 1.5" BALL &amp; TOUGH TRAY 2</t>
  </si>
  <si>
    <t>RAM-316-1-234-6U</t>
  </si>
  <si>
    <t>RAM POD I WITH 1.5" SINGLE SOCKET W/ 202</t>
  </si>
  <si>
    <t>RAM-316-1-202U</t>
  </si>
  <si>
    <t>RAM-313U</t>
  </si>
  <si>
    <t>UNPD RAM BASE 1-1/2" DIA BALL FOR 1" NPT</t>
  </si>
  <si>
    <t>RAM-313-DU</t>
  </si>
  <si>
    <t>RAM-304B-VP</t>
  </si>
  <si>
    <t>RAM 3 1/4" X 3 1/4" BASE W/ POST</t>
  </si>
  <si>
    <t>RAM-304B-HP</t>
  </si>
  <si>
    <t>RAM ROD REVOLUTION TUBE ROD HOLDER</t>
  </si>
  <si>
    <t>RAM-301-RBU</t>
  </si>
  <si>
    <t>UNPKD RAM ROD REV SALT WATER TUBE HOLDER</t>
  </si>
  <si>
    <t>RAM-301-RBSWU</t>
  </si>
  <si>
    <t>RAM ROD REVOLUTION TUBE NO BASE</t>
  </si>
  <si>
    <t>RAM-301-RBNBU</t>
  </si>
  <si>
    <t>RAM ROD REVOLUTION TUBE ROD 5 SPOT</t>
  </si>
  <si>
    <t>RAM-301-RB5</t>
  </si>
  <si>
    <t>RAM-301-RB</t>
  </si>
  <si>
    <t>RAM TUBE 2000 ROD HOLDER NO BASE 5 SPOT</t>
  </si>
  <si>
    <t>RAM-301-NB</t>
  </si>
  <si>
    <t>UNPKD RAM TUBE 2000 HOLDER W/ FLUSH MNT</t>
  </si>
  <si>
    <t>RAM-301-FU</t>
  </si>
  <si>
    <t>RAM TUBE 2000 ROD HOLDER W/ FLUSH MOUNT</t>
  </si>
  <si>
    <t>RAM-301-F</t>
  </si>
  <si>
    <t>UNPKD RAM TUBE 2000 HLDR W/DECK,TRACK MT</t>
  </si>
  <si>
    <t>RAM-301-DU</t>
  </si>
  <si>
    <t>RAM TUBE 2000 ROD HOLDER W/DECK,TRACK MT</t>
  </si>
  <si>
    <t>RAM-301-D</t>
  </si>
  <si>
    <t>UNPKD RAM TUBE 2000 HOLDER W/ BULKHD MNT</t>
  </si>
  <si>
    <t>RAM-301-BU</t>
  </si>
  <si>
    <t>RAM TUBE 2000 ROD HOLDER W/ PLUNGE MNT</t>
  </si>
  <si>
    <t>RAM-301-BMP</t>
  </si>
  <si>
    <t>RAM TUBE 2000 ROD HOLDER W/ BULKHEAD MNT</t>
  </si>
  <si>
    <t>RAM-301-B</t>
  </si>
  <si>
    <t>RAM 3.5" X 3.5" BASE W/ 1/2" PIPE FEMALE</t>
  </si>
  <si>
    <t>RAM-299-SBU</t>
  </si>
  <si>
    <t>RAM PEDESTAL POST ASSEM. W/ 18" PIPE</t>
  </si>
  <si>
    <t>RAM-290U</t>
  </si>
  <si>
    <t>RAM TRIPLE BALL BASE 120 DEG. APART</t>
  </si>
  <si>
    <t>RAM-289U</t>
  </si>
  <si>
    <t>UNPKD RAM BALL W/ MINICAM ADAPTER</t>
  </si>
  <si>
    <t>RAM-286-MC1U</t>
  </si>
  <si>
    <t>RAM M 1/2" PIPE W/ F TEETH ADJ. DESIGN</t>
  </si>
  <si>
    <t>RAM-285U</t>
  </si>
  <si>
    <t>RAM F 1/2" PIPE W/MALE TEETH ADJ. DESIGN</t>
  </si>
  <si>
    <t>RAM-284U</t>
  </si>
  <si>
    <t>RAM 5" X 5" BASE W/MALE POST FOR TEL PST</t>
  </si>
  <si>
    <t>RAM-283U</t>
  </si>
  <si>
    <t>RAM 5" X 5" BASE W/ADJ. FEATURE F TEETH</t>
  </si>
  <si>
    <t>RAM-282U</t>
  </si>
  <si>
    <t>RAM POST W/ MALE TEETH FOR ADJ BASE</t>
  </si>
  <si>
    <t>RAM-281U</t>
  </si>
  <si>
    <t>RAM-280U</t>
  </si>
  <si>
    <t>RAM-273U</t>
  </si>
  <si>
    <t>RAM 2"- 2 1/2" DIA. RAIL BASE W/ BALL</t>
  </si>
  <si>
    <t>RAM-271U-2</t>
  </si>
  <si>
    <t>RAM 1-1/4"-1 7/8" DIA. RAIL BASE W/ BALL</t>
  </si>
  <si>
    <t>RAM-271U-12</t>
  </si>
  <si>
    <t>DBL RAM 2"- 2 1/2" DIA. RAIL BASE W/ BALL</t>
  </si>
  <si>
    <t>RAM-271-2-RBU</t>
  </si>
  <si>
    <t>RAM JOHN DEERE JO1 PF11019 BASE POST</t>
  </si>
  <si>
    <t>RAM-270U</t>
  </si>
  <si>
    <t>RAM 12" TRI &amp; BI-POD LEG</t>
  </si>
  <si>
    <t>RAM-267U-L2</t>
  </si>
  <si>
    <t>RAM TRI &amp; BI-POD LEG CONECTOR PEDESTAL</t>
  </si>
  <si>
    <t>RAM-266U</t>
  </si>
  <si>
    <t>RAM TRI &amp; BI-POD LEG CONNECTOR 1/2 PIPE</t>
  </si>
  <si>
    <t>RAM-264U</t>
  </si>
  <si>
    <t>RAM BASE BOSCH &amp; 8020 RAIL SYSTEMS</t>
  </si>
  <si>
    <t>RAM-263U</t>
  </si>
  <si>
    <t>RAM SWING ARM W/ SINGLE SOCKET PEDESTAL</t>
  </si>
  <si>
    <t>RAM-261U</t>
  </si>
  <si>
    <t>RAM SWING ARM W/SOCKET PEDESTAL &amp; T-KNOB</t>
  </si>
  <si>
    <t>RAM-261MU</t>
  </si>
  <si>
    <t>RAM INTERMED SWING ARM WITH 1/2" POST</t>
  </si>
  <si>
    <t>RAM-261-CPCHU</t>
  </si>
  <si>
    <t>RAM SWING ARM W/ SINGLE SOCKET RATCHET</t>
  </si>
  <si>
    <t>RAM-261-ADJU</t>
  </si>
  <si>
    <t>RAM 6" SWING ARM PEDESTAL DBL BALL END</t>
  </si>
  <si>
    <t>RAM-261-2U</t>
  </si>
  <si>
    <t>RAM 6" EXTENSION SWING ARM 1/2" PIPE</t>
  </si>
  <si>
    <t>RAM-261-1U</t>
  </si>
  <si>
    <t>6" X 6" BASE PLATE WITH 11 HOLES</t>
  </si>
  <si>
    <t>RAM-255U</t>
  </si>
  <si>
    <t>RAM 9" X 9" ALUMINUM BASE W/ 4 HOLES</t>
  </si>
  <si>
    <t>RAM-251-1SA</t>
  </si>
  <si>
    <t>UNPK RAM CLAMP BASE W/BALL NO HARDWARE</t>
  </si>
  <si>
    <t>RAM-247U-5NH</t>
  </si>
  <si>
    <t>RAM-247U-5</t>
  </si>
  <si>
    <t>FORK LIFT BASE W/ 1/2" POST-4" CLAMP</t>
  </si>
  <si>
    <t>RAM-247U-4P1</t>
  </si>
  <si>
    <t>RAM-247U-4NH</t>
  </si>
  <si>
    <t>RAM-247U-4</t>
  </si>
  <si>
    <t>RAM-247U-3</t>
  </si>
  <si>
    <t>RAM-247U-2NHB</t>
  </si>
  <si>
    <t>UNPK RAM CLAMP BASE 2.5" NO HARDWARE</t>
  </si>
  <si>
    <t>RAM-247U-25NH</t>
  </si>
  <si>
    <t>RAM-247U-25</t>
  </si>
  <si>
    <t>RAM-247U-2</t>
  </si>
  <si>
    <t>RAM-247U-17</t>
  </si>
  <si>
    <t>RAM-247U-15</t>
  </si>
  <si>
    <t>UNPK RAM CLAMP BASE W/ 1.5" BALL 1.75" - 4" WIDTH</t>
  </si>
  <si>
    <t>RAM-247U</t>
  </si>
  <si>
    <t>UNPK RAM CLAMP BASE W/BALL 1.5" TOP</t>
  </si>
  <si>
    <t>RAM-247TU-15</t>
  </si>
  <si>
    <t xml:space="preserve">UNPKD BACK PLATE W/ SLOTTED HOLES </t>
  </si>
  <si>
    <t>RAM-247B-IDS1U</t>
  </si>
  <si>
    <t xml:space="preserve">UNPK RAM BACK PLATE AND HARDWARE IDS </t>
  </si>
  <si>
    <t>RAM-247B-HAR-IDS1U</t>
  </si>
  <si>
    <t>RAM CLAMP BASE W/BALL 1.7 MAX WIDTH</t>
  </si>
  <si>
    <t>RAM-247-17</t>
  </si>
  <si>
    <t>UNK RAM 4.75 SQ. VESA BASE 100 &amp; 75 HOLE</t>
  </si>
  <si>
    <t>RAM-246U</t>
  </si>
  <si>
    <t>RAM VESA PLATE W/ 1/2" POST</t>
  </si>
  <si>
    <t>RAM-246PU</t>
  </si>
  <si>
    <t>UNPKD VESA PLATE W/ 1/2" HOLE</t>
  </si>
  <si>
    <t>RAM-246HU</t>
  </si>
  <si>
    <t>UNK RAM 4.75 SQ. VESA BASE NO WASHS2</t>
  </si>
  <si>
    <t>RAM-246-AD1U</t>
  </si>
  <si>
    <t>UNPKD RAM 35MM X 75MM VESA FDMI MIS-C W/ BALL</t>
  </si>
  <si>
    <t>RAM-2462U</t>
  </si>
  <si>
    <t>UNPKD RAM MOUNT VESA PLATE SQUARE TUBE</t>
  </si>
  <si>
    <t>RAM-246-247U-5</t>
  </si>
  <si>
    <t>RAM-246-247U-25</t>
  </si>
  <si>
    <t>RAM MOUNT VESA 75 PLATE AND 100 MM VESA</t>
  </si>
  <si>
    <t>RAM-246-2461U</t>
  </si>
  <si>
    <t>RAM 3 5/8" SQ. 75 MIL. VESA BASE W HARDW</t>
  </si>
  <si>
    <t>RAM-2461U-MOT9</t>
  </si>
  <si>
    <t>UNPKD75MM VESA BASE W/ STEEL REINFORCE</t>
  </si>
  <si>
    <t>RAM-2461U-IN1</t>
  </si>
  <si>
    <t>RAM 3 5/8" SQ. 75 MIL. VESA BASE W/ HOLE</t>
  </si>
  <si>
    <t>RAM-2461U-EXT1</t>
  </si>
  <si>
    <t>RAM-2461U</t>
  </si>
  <si>
    <t>RAM SMALL 75 MM VESA PLATE W/ 1/2" POST</t>
  </si>
  <si>
    <t>RAM-2461PU</t>
  </si>
  <si>
    <t>RAM SMALL 75 MM VESA PLATE W/ 1/2" HOLE</t>
  </si>
  <si>
    <t>RAM-2461HU</t>
  </si>
  <si>
    <t>UNPKD RAM MOUNT 2461, 3" SQR TUBE BASE</t>
  </si>
  <si>
    <t>RAM-2461-247U-3</t>
  </si>
  <si>
    <t>UNPKD RAM MOUNT 2461, 2" SQR TUBE BASE</t>
  </si>
  <si>
    <t>RAM-2461-247U-2</t>
  </si>
  <si>
    <t>UNPKD 2 13/16" X 5" PLATE W/ 4 QTY EXT H</t>
  </si>
  <si>
    <t>RAM-243U-AVA1</t>
  </si>
  <si>
    <t>UNPKD 2 13/16" X 5" PLATE W/ HALF VESA</t>
  </si>
  <si>
    <t>RAM-243U</t>
  </si>
  <si>
    <t xml:space="preserve">2-13/16" X 5" PLATE W/ BALL </t>
  </si>
  <si>
    <t>RAM-243</t>
  </si>
  <si>
    <t>RAM-240U-RM1</t>
  </si>
  <si>
    <t>RAM-240U-IN1</t>
  </si>
  <si>
    <t>RAM-240U</t>
  </si>
  <si>
    <t>RAM 3.68 DIA BASE W/ BALL</t>
  </si>
  <si>
    <t>RAM-240</t>
  </si>
  <si>
    <t>RAM-239U</t>
  </si>
  <si>
    <t>RAM BALL W/ 5/16"-18 POST (NET SAFETY)</t>
  </si>
  <si>
    <t>RAM-239</t>
  </si>
  <si>
    <t>RAM SEAT TRACK LARGE TABLET MOUNT</t>
  </si>
  <si>
    <t>RAM-238-WCT-9-UN9</t>
  </si>
  <si>
    <t>RAM WHEELCHAIR SEAT TRACK MOUNT FOR XBOX ADAPTIVE CONTROLLER</t>
  </si>
  <si>
    <t>RAM-238-WCT-9-MS2</t>
  </si>
  <si>
    <t>RAM WHEELCHAIR ARM TRACK MOUNT FOR XBOX ADAPTIVE CONTROLLER</t>
  </si>
  <si>
    <t>RAM-238-WCT-2-MS2</t>
  </si>
  <si>
    <t>RAM-238-WCT</t>
  </si>
  <si>
    <t>RAM-238U</t>
  </si>
  <si>
    <t>RAM DIAMOND 1.5" BALL FOR XBOX ADAPTIVE CONTROLLER</t>
  </si>
  <si>
    <t>RAM-238-MS2</t>
  </si>
  <si>
    <t>UNPKD RAM 88MM DIA BASE WITH C SIZED BALL BASE</t>
  </si>
  <si>
    <t>RAM-238-MAG88U</t>
  </si>
  <si>
    <t>UNPKD RAM BASE WITH 1.5" BALL FOR FLAT PANELS SHRT SCRW</t>
  </si>
  <si>
    <t>RAM-238-FP2U</t>
  </si>
  <si>
    <t>RAM DRILL DOWN BASE FOR WEBOOST ANTENNA</t>
  </si>
  <si>
    <t>RAM-238-379-372437U</t>
  </si>
  <si>
    <t>UNPKD RAM BALL W/ 1/4"-20 THREADED STUD</t>
  </si>
  <si>
    <t>RAM-237U</t>
  </si>
  <si>
    <t>RAM BALL W/ 1/4"-20 THREADED STUD</t>
  </si>
  <si>
    <t>RAM-237</t>
  </si>
  <si>
    <t>UNPKD RAM SPOTLIGHT BASE W/ 3/8-16 POST</t>
  </si>
  <si>
    <t>RAM-236U</t>
  </si>
  <si>
    <t>RAM SPOTLIGHT BASE W/ 3/8-16 THRD. POST</t>
  </si>
  <si>
    <t>RAM-236</t>
  </si>
  <si>
    <t>UNPK RAM W/2 U-BOLTS FOR 3/4 TO 1 1/4</t>
  </si>
  <si>
    <t>RAM-235U</t>
  </si>
  <si>
    <t>UNPKD RAM MOUNT W/ RMR-168, ARM, AND RMR-161</t>
  </si>
  <si>
    <t>RAM-235-3-238U</t>
  </si>
  <si>
    <t>UNPK RAM W/2 U-BOLTS FOR 1" TO 1 1/16"</t>
  </si>
  <si>
    <t>RAM-235-2U</t>
  </si>
  <si>
    <t>UNPK RAM W/U-BOLTS FOR 1 1/2" DIA POLE WITH STEEL REINFORCED POST</t>
  </si>
  <si>
    <t>RAM-235-1U-IN1</t>
  </si>
  <si>
    <t>RAM-235-1U</t>
  </si>
  <si>
    <t>RAM BASE W/2 U-BOLTS FOR 3/4 TO 1 1/4</t>
  </si>
  <si>
    <t>RAM-235</t>
  </si>
  <si>
    <t>UNPKD. 10 FT LONG BARE WIRE POWER CABLE</t>
  </si>
  <si>
    <t>RAM-234-WHEU</t>
  </si>
  <si>
    <t>RAM VEHICLE CHARGE PROTECT SAFE-T-CHARGE</t>
  </si>
  <si>
    <t>RAM-234-VCP1U</t>
  </si>
  <si>
    <t>RAM-234-VCP1</t>
  </si>
  <si>
    <t>RAM SECURE-N-MOTION KIT</t>
  </si>
  <si>
    <t>RAM-234-SNMU</t>
  </si>
  <si>
    <t>RAM-234-SNM</t>
  </si>
  <si>
    <t>RAM SECURITY KIT FOR LAPTOP TRAY VB KITS</t>
  </si>
  <si>
    <t>RAM-234-SKU</t>
  </si>
  <si>
    <t>RAM SECURE KNOB KIT SECURE-N-MOTION KIT</t>
  </si>
  <si>
    <t>RAM-234-SKNMU</t>
  </si>
  <si>
    <t>RAM LAPTOP SCREEN SUPPORT SYSTEM</t>
  </si>
  <si>
    <t>RAM-234-S2U</t>
  </si>
  <si>
    <t>RAM-234-S2</t>
  </si>
  <si>
    <t>4 QTY LAPTOP FRONT &amp; REAR RETAIN ARM</t>
  </si>
  <si>
    <t>RAM-234R1-4U</t>
  </si>
  <si>
    <t>UNPK RAM 12-28V POWER ADAPTER FOR ELECT.</t>
  </si>
  <si>
    <t>RAM-234-PB1U</t>
  </si>
  <si>
    <t>12-28VDC TO 13.2VDC ADAPTER FOR TR7</t>
  </si>
  <si>
    <t>RAM-234-PB1-TR7U</t>
  </si>
  <si>
    <t>RAM 12-28V POWER ADAPTER FOR ROUTEWARE</t>
  </si>
  <si>
    <t>RAM-234-PB1-RO1U</t>
  </si>
  <si>
    <t>RAM 12-28V POWER ADAPTER FOR ELECT.</t>
  </si>
  <si>
    <t>RAM-234-PB1</t>
  </si>
  <si>
    <t>RAM PANASONIC CF-52 TOUGH TRAY</t>
  </si>
  <si>
    <t>RAM-234-PAN7P</t>
  </si>
  <si>
    <t>RAM PASSIVE PANASONIC CF18 19 TOUGH TRAY</t>
  </si>
  <si>
    <t>RAM-234-PAN2</t>
  </si>
  <si>
    <t>RAM PANASONIC LAPTP MNT PLASTIC W/ BALL</t>
  </si>
  <si>
    <t>RAM-234-PAN1PB</t>
  </si>
  <si>
    <t>RAM PANASONIC MNT TOUGH TRAY DUAL RF</t>
  </si>
  <si>
    <t>RAM-234-PAN1P-2RF</t>
  </si>
  <si>
    <t>RAM PANASONIC LAPTP MNT TOUGH TRAY PLAST</t>
  </si>
  <si>
    <t>RAM-234-PAN1P</t>
  </si>
  <si>
    <t>RAM USB COMPUTER LIGHT</t>
  </si>
  <si>
    <t>RAM-234-LU</t>
  </si>
  <si>
    <t>RAM LOCKING KIT FOR LAPTOP TRAY VB KITS</t>
  </si>
  <si>
    <t>RAM-234-LKU</t>
  </si>
  <si>
    <t>LOCKING KIT FOR LAPTOP TRAY NO EXTRAS</t>
  </si>
  <si>
    <t>RAM-234-LK2U</t>
  </si>
  <si>
    <t>RAM LOCKING KIT FOR PAN1 LAPTOP KITS</t>
  </si>
  <si>
    <t>RAM-234-LK1U</t>
  </si>
  <si>
    <t>RAM UNIVERSAL LAPTOP TRAY SIDE KEEPER</t>
  </si>
  <si>
    <t>RAM-234KU</t>
  </si>
  <si>
    <t>RAM LAPTOP TRAY SIDE KEEPER 4 QUANTITY</t>
  </si>
  <si>
    <t>RAM-234K-4U</t>
  </si>
  <si>
    <t>RAM UNIVSL LAPTOP TRAY SIDE KEEPER FLAT</t>
  </si>
  <si>
    <t>RAM-234K1U</t>
  </si>
  <si>
    <t>UNPK 4 QTY UNVSL LAPTOP TRAY SIDE KEEPER</t>
  </si>
  <si>
    <t>RAM-234K1-4U</t>
  </si>
  <si>
    <t>4 QTY UNVSL LAPTOP TRAY SIDE KEEPER FLAT</t>
  </si>
  <si>
    <t>RAM-234K1-4</t>
  </si>
  <si>
    <t>UNPK RAM USB TOUGH HUB</t>
  </si>
  <si>
    <t>RAM-234-HUB1U</t>
  </si>
  <si>
    <t>RAM GETAC B300 LPTP MNT TOUGH TRAY PLAST</t>
  </si>
  <si>
    <t>RAM-234-GET2P</t>
  </si>
  <si>
    <t>UNPK RAM ADJUSTABLE KNOB KIT FOR TRAYS</t>
  </si>
  <si>
    <t>RAM-234-AK1U</t>
  </si>
  <si>
    <t>RAM ADJUSTABLE KNOB KIT FOR TRAYS</t>
  </si>
  <si>
    <t>RAM-234-AK1</t>
  </si>
  <si>
    <t>RAM UNIVERSAL LAPTOP MOUNT TOUGH TRAY II</t>
  </si>
  <si>
    <t>RAM-234-6</t>
  </si>
  <si>
    <t>RAM POWER CADDY</t>
  </si>
  <si>
    <t>RAM-234-5U</t>
  </si>
  <si>
    <t>RAM-234-5</t>
  </si>
  <si>
    <t>RAM UNIVERSAL LAPTOP TOUGH TRAY FLAT ARM</t>
  </si>
  <si>
    <t>RAM-234-3K1</t>
  </si>
  <si>
    <t>RAM-234-3FL</t>
  </si>
  <si>
    <t>RAM UNIVERSAL LAPTOP MOUNT TOUGH TRAY</t>
  </si>
  <si>
    <t>RAM-234-3</t>
  </si>
  <si>
    <t>UNPKD RAIL MOUNT ADAPTER KIT FOR RAM-202</t>
  </si>
  <si>
    <t>RAM-233U</t>
  </si>
  <si>
    <t>RAIL MOUNT ADAPTER KIT FOR RAM-202 BASE</t>
  </si>
  <si>
    <t>RAM-233</t>
  </si>
  <si>
    <t>UNPKD RAM 2.5" DIA BS W/1/2"NPT HOLE 90D</t>
  </si>
  <si>
    <t>RAM-232-90U</t>
  </si>
  <si>
    <t>RAM 2 1/2" DIA. BASE W/1/2"NPT HOLE 90D</t>
  </si>
  <si>
    <t>RAM-232-90</t>
  </si>
  <si>
    <t>UNPKD RAM 2.5 DIA. BS W/1/2"NPT HOLE 45D</t>
  </si>
  <si>
    <t>RAM-232-45U</t>
  </si>
  <si>
    <t>UNPKD RAM 2.5 DIA. BS W/1/2"NPT HOLE 0D</t>
  </si>
  <si>
    <t>RAM-232-0U</t>
  </si>
  <si>
    <t>RAM 2.5 DIA. BASE W/1/2"NPT HOLE 0 DG</t>
  </si>
  <si>
    <t>RAM-232-0</t>
  </si>
  <si>
    <t>RAM-231ZU</t>
  </si>
  <si>
    <t>RAM-231Z-2U</t>
  </si>
  <si>
    <t>RAM U-BOLT &amp; UTV STRAP BASE W/ TAB-LOCK FOR SAMSUNG TAB 4 10.1</t>
  </si>
  <si>
    <t>RAM-231Z-2-TABL25U</t>
  </si>
  <si>
    <t xml:space="preserve">RAM U-BOLT &amp; UTV STRAP BASE W/ TAB-TITE FOR IPAD AIR WITH CASE </t>
  </si>
  <si>
    <t>RAM-231Z-2-TABL20U</t>
  </si>
  <si>
    <t>RAM BASE FOR ACU-RITE DRO</t>
  </si>
  <si>
    <t>RAM-231U-AC1</t>
  </si>
  <si>
    <t>RAM-231U</t>
  </si>
  <si>
    <t>UNPK RAM W/ U-BOLT LONG ARM, ROUND BASE</t>
  </si>
  <si>
    <t>RAM-231-D-202U</t>
  </si>
  <si>
    <t>UNPK RAM W/ U-BOLT LONG ARM 1/4"-20 BASE</t>
  </si>
  <si>
    <t>RAM-231-D-202AU</t>
  </si>
  <si>
    <t>UNPKG RAM 1-1/4" RAIL MOUNT</t>
  </si>
  <si>
    <t>RAM-231-1U</t>
  </si>
  <si>
    <t>RAM BASE W/ U-BOLT FOR 3/4" TO 1" DIA.</t>
  </si>
  <si>
    <t>RAM-231</t>
  </si>
  <si>
    <t>UNPKD. RAM DOUBLE 1 1/2" BALL ADAPTER</t>
  </si>
  <si>
    <t>RAM-230U</t>
  </si>
  <si>
    <t>RAM DOUBLE 1 1/2" BALL ADAPTER</t>
  </si>
  <si>
    <t>RAM-230</t>
  </si>
  <si>
    <t>UNPKD 1/2" NPT HOLE W/FLANGE (SWING ARM)</t>
  </si>
  <si>
    <t>RAM-227U</t>
  </si>
  <si>
    <t>UNPKD RAM UMBRELLA SADDLE</t>
  </si>
  <si>
    <t>RAM-226U</t>
  </si>
  <si>
    <t>RAM UMBRELLA SADDLE</t>
  </si>
  <si>
    <t>RAM-226</t>
  </si>
  <si>
    <t>UNPKD RAM SUCT BASE W/ 1 1/2" DIA. BALL</t>
  </si>
  <si>
    <t>RAM-224U</t>
  </si>
  <si>
    <t>RAM TRIPLE TWIST SUCT CUP W 1.5" BALL</t>
  </si>
  <si>
    <t>RAM-224-3U</t>
  </si>
  <si>
    <t>RAM TRIPLE SUCTION BASE PLATE ONLY</t>
  </si>
  <si>
    <t>RAM-224-3BPU</t>
  </si>
  <si>
    <t>RAM SUCTION BASE W/ 1 1/2" DIA. BALL</t>
  </si>
  <si>
    <t>RAM-224</t>
  </si>
  <si>
    <t>UNPKD RAM 1"- 1 1/4" SQUARE RAIL ADAPTER</t>
  </si>
  <si>
    <t>RAM-220U</t>
  </si>
  <si>
    <t>UNPKD RAM T HANDLE, BOLT, WASHER &amp; SPRIN</t>
  </si>
  <si>
    <t>RAM-2-1U</t>
  </si>
  <si>
    <t>RAM METAL KNOB, BOLT, WASHERS, SPRING</t>
  </si>
  <si>
    <t>RAM-2-1M</t>
  </si>
  <si>
    <t>RAM 1 1/2" DIA BASES FOR US ARMY</t>
  </si>
  <si>
    <t>RAM-219-US1U</t>
  </si>
  <si>
    <t xml:space="preserve">MODIFIED RAIL MOUNT FOR US ARMY </t>
  </si>
  <si>
    <t>RAM-219U-MOD</t>
  </si>
  <si>
    <t>UNPKD RAM 1-1/4" OD RAIL MNT ADPTR W/BAL</t>
  </si>
  <si>
    <t>RAM-219U</t>
  </si>
  <si>
    <t>RAM 1 1/4" OD RAIL MOUNT ADAPTER W/ BALL</t>
  </si>
  <si>
    <t>RAM-219</t>
  </si>
  <si>
    <t>UNPKD RAM BALL W/ 1 1/8" POST FOR PHOTO</t>
  </si>
  <si>
    <t>RAM-218U</t>
  </si>
  <si>
    <t>UNPKD RAM SINGLE BALL W/ 1/2" NPT HOLE</t>
  </si>
  <si>
    <t>RAM-218-1U</t>
  </si>
  <si>
    <t>RAM SINGLE BALL W/ 1/2" NPT HOLE</t>
  </si>
  <si>
    <t>RAM-218-1</t>
  </si>
  <si>
    <t>UNPKD RAM DBL BALL W/ 2 1/2" DIA BASE &amp;</t>
  </si>
  <si>
    <t>RAM-217U</t>
  </si>
  <si>
    <t>RAM DBL. BALL BASE W/1/2" NPT HOLE NF</t>
  </si>
  <si>
    <t>RAM-217-3U</t>
  </si>
  <si>
    <t>UNPKD RAM DBL BALL W/ 2.5" BS &amp; 5/8 HOLE</t>
  </si>
  <si>
    <t>RAM-217-1U</t>
  </si>
  <si>
    <t>RAM DBL BALL W/ 2 1/2" DIA BASE &amp; KNOB</t>
  </si>
  <si>
    <t>RAM-217</t>
  </si>
  <si>
    <t>UNPKD RAM BALL W/ 5/8" HEX FOR PHOTO</t>
  </si>
  <si>
    <t>RAM-215U</t>
  </si>
  <si>
    <t>RAM BALL W/ 5/8" HEX HOLE FOR PHOTO IND.</t>
  </si>
  <si>
    <t>RAM-215</t>
  </si>
  <si>
    <t>UNPKD RAM BALL W/ 5/8" OD POST FOR PHOTO</t>
  </si>
  <si>
    <t>RAM-208U</t>
  </si>
  <si>
    <t>RAM BALL W/ 5/8" OD POST FOR PHOTO LIGHT</t>
  </si>
  <si>
    <t>RAM-208</t>
  </si>
  <si>
    <t>UNPKD RAM BALL W 1/2" NPT MALE</t>
  </si>
  <si>
    <t>RAM-207U</t>
  </si>
  <si>
    <t>UNPKD TRI-POD WITH BALL</t>
  </si>
  <si>
    <t>RAM-205U</t>
  </si>
  <si>
    <t>UNPKD INTERMEC PLATE DIE CAST W HARDWARE</t>
  </si>
  <si>
    <t>RAM-202U-UK2</t>
  </si>
  <si>
    <t>UNPKD. RAM BASE &amp; RAYMARINE DRAGONFLY</t>
  </si>
  <si>
    <t>RAM-202U-RYM1</t>
  </si>
  <si>
    <t>RAM MOUNT DASH MOUNT KENWORTH BASE</t>
  </si>
  <si>
    <t>RAM-202U-PEO5</t>
  </si>
  <si>
    <t>UNPKD RAM PAD WITH 1 1/2" DIA BALL</t>
  </si>
  <si>
    <t>RAM-202U-PAD1</t>
  </si>
  <si>
    <t>UNPKD RAM 2-1/2" DIA. BASE 5/16"-18 HOLE</t>
  </si>
  <si>
    <t>RAM-202U-MT1</t>
  </si>
  <si>
    <t>UNPKD RAM BASE LOWRANCE MARK AND ELITE</t>
  </si>
  <si>
    <t>RAM-202U-LO11</t>
  </si>
  <si>
    <t>RAM KEYBOARD MOUNT INTERMEC CV30</t>
  </si>
  <si>
    <t>RAM-202U-IN10</t>
  </si>
  <si>
    <t>UNPKD 2-1/2" DIA BASE W/ STEEL REINFORCE</t>
  </si>
  <si>
    <t>RAM-202U-IN1</t>
  </si>
  <si>
    <t>RAM BASE FOR CROWN LIFT TRUCKS 1.5" BALL</t>
  </si>
  <si>
    <t>RAM-202U-CRO1</t>
  </si>
  <si>
    <t>RAM BASE 2.5" X 2.5" W/ 1 1/2" BALL</t>
  </si>
  <si>
    <t>RAM-202U-2525</t>
  </si>
  <si>
    <t>RAM BASE 2" X 5" W/ 1 1/2" BALL</t>
  </si>
  <si>
    <t>RAM-202U-25</t>
  </si>
  <si>
    <t>RAM BASE 2" X 4" W/ 1 1/2" BALL</t>
  </si>
  <si>
    <t>RAM-202U-24</t>
  </si>
  <si>
    <t>RAM BASE 2" X 3" W/ 1 1/2" BALL</t>
  </si>
  <si>
    <t>RAM-202U-23</t>
  </si>
  <si>
    <t>RAM BASE 2" X 2.5" W/ 1 1/2" BALL</t>
  </si>
  <si>
    <t>RAM-202U-225</t>
  </si>
  <si>
    <t>RAM BASE 2" X 2" W/ 1 1/2" BALL</t>
  </si>
  <si>
    <t>RAM-202U-22</t>
  </si>
  <si>
    <t>RAM BASE 1.5" X 3" W/ 1 1/2" BALL</t>
  </si>
  <si>
    <t>RAM-202U-153</t>
  </si>
  <si>
    <t>RAM BASE 1.5" X 2.5" W/ 1 1/2" BALL</t>
  </si>
  <si>
    <t>RAM-202U-1525</t>
  </si>
  <si>
    <t>RAM BASE 1.5" X 2" W/ 1 1/2" BALL</t>
  </si>
  <si>
    <t>RAM-202U-152</t>
  </si>
  <si>
    <t>RAM BASE 1" X 2" W/ 1-1/2" BALL</t>
  </si>
  <si>
    <t>RAM-202U-12</t>
  </si>
  <si>
    <t>UNPKD RAM 2-1/2" DIA. BASE</t>
  </si>
  <si>
    <t>RAM-202U</t>
  </si>
  <si>
    <t>UNPKD RAM 2 1/2" DIA. STST BASE W/ BALL</t>
  </si>
  <si>
    <t>RAM-202SU</t>
  </si>
  <si>
    <t>RAM 2 1/2" DIA. STST BASE W/ BALL</t>
  </si>
  <si>
    <t>RAM-202SP</t>
  </si>
  <si>
    <t>UNPKD. 2 7/16" DIA DBL STICK MNTNG PAD</t>
  </si>
  <si>
    <t>RAM-202PSAU</t>
  </si>
  <si>
    <t>2 7/16" DIA. DBL. ADHESIVE MOUNTING PAD</t>
  </si>
  <si>
    <t>RAM-202PSA</t>
  </si>
  <si>
    <t>RAM 1.5" BASE FOR LOWRANCE HOOK2</t>
  </si>
  <si>
    <t>RAM-202-LO12</t>
  </si>
  <si>
    <t>RAM BASE LOWRANCE MARK AND ELITE</t>
  </si>
  <si>
    <t>RAM-202-LO11</t>
  </si>
  <si>
    <t>UNPK RAM BASE &amp; BALL GARMIN ECHO 200 500</t>
  </si>
  <si>
    <t>RAM-202-G4U</t>
  </si>
  <si>
    <t>RAM BASE &amp; BALL FOR GARMIN ECHO 200 500</t>
  </si>
  <si>
    <t>RAM-202-G4</t>
  </si>
  <si>
    <t>RAM-202-G2U</t>
  </si>
  <si>
    <t>UNPKD RAM BALL BASE W/ 3/8"-16 STST STUD</t>
  </si>
  <si>
    <t>RAM-202CU</t>
  </si>
  <si>
    <t>UNPKD RAM BALL BASE W/ 3/8"-16 FEMALE</t>
  </si>
  <si>
    <t>RAM-202CNSU</t>
  </si>
  <si>
    <t>RAM BALL BASE W/ 3/8" -16 STST STUD</t>
  </si>
  <si>
    <t>RAM-202C</t>
  </si>
  <si>
    <t>UNPKD RAM TOUGH-CLAW W RND 1.5" DIA BALL</t>
  </si>
  <si>
    <t>RAM-202-B-400U</t>
  </si>
  <si>
    <t>RAM TOUGH-CLAW W RND 1.5" DIA BALL</t>
  </si>
  <si>
    <t>RAM-202-B-400</t>
  </si>
  <si>
    <t>UNPKD RAM MALE BELT CLIP CASTING ROUND</t>
  </si>
  <si>
    <t>RAM-202-B-368U</t>
  </si>
  <si>
    <t>UNPKD RAM BALL BASE WITH 1/4"-20 STST ST</t>
  </si>
  <si>
    <t>RAM-202AU</t>
  </si>
  <si>
    <t>UNPKD RAM BALL BASE 3" SQUARE RAIL MOUNT</t>
  </si>
  <si>
    <t>RAM-202A-247-3U</t>
  </si>
  <si>
    <t>RAM BALL BASE WITH 1/4"-20 STST STUD</t>
  </si>
  <si>
    <t>RAM-202A</t>
  </si>
  <si>
    <t>RAM-202-404U</t>
  </si>
  <si>
    <t>RAM-202-400U</t>
  </si>
  <si>
    <t>RAM-202-400</t>
  </si>
  <si>
    <t>RAM 3.6" X 3.6" BACKING PLATE</t>
  </si>
  <si>
    <t>RAM-202-3636BU</t>
  </si>
  <si>
    <t>UNPK RAM BASE W/ 1.5" BALL W/  MAG BASE</t>
  </si>
  <si>
    <t>RAM-202-339U</t>
  </si>
  <si>
    <t>RAM TRIPLE BASE ADAPTER WITH TOUGH-MAG</t>
  </si>
  <si>
    <t>RAM-202-333-MAG88U</t>
  </si>
  <si>
    <t>RAM C SIZE OCTAGON BUTTON SYST W/ 202</t>
  </si>
  <si>
    <t>RAM-202-324-OFU</t>
  </si>
  <si>
    <t>RAM BASE 2" X 4" SHRT ARM ROUND BASE</t>
  </si>
  <si>
    <t>RAM-202-24-B-202U</t>
  </si>
  <si>
    <t>RAM-202-24-B-202</t>
  </si>
  <si>
    <t>BASE 2" X 4" W/ 1 1/2" BALL STD ARM TRK</t>
  </si>
  <si>
    <t>RAM-202-24-354-TRA1U</t>
  </si>
  <si>
    <t>RAM-202-24-354-TRA1</t>
  </si>
  <si>
    <t xml:space="preserve">RAM BASE 2" X 4" W/ 1 1/2" BALL &amp; ROUND </t>
  </si>
  <si>
    <t>RAM-202-24-202U</t>
  </si>
  <si>
    <t>RAM-202-24-202</t>
  </si>
  <si>
    <t>RAM 2.10" X 2.60" BACKING PLATE W/ HARDWARE</t>
  </si>
  <si>
    <t>RAM-202-225B-2U</t>
  </si>
  <si>
    <t>RAM-202-225-2U</t>
  </si>
  <si>
    <t>RAM BASE 1.5" X 3" SHRT ARM ROUND BASE</t>
  </si>
  <si>
    <t>RAM-202-153-B-202U</t>
  </si>
  <si>
    <t>RAM-202-153-B-202</t>
  </si>
  <si>
    <t>UNPK RAM SYST W/ RND BASE AND 1.5" X 3"</t>
  </si>
  <si>
    <t>RAM-202-153-202U</t>
  </si>
  <si>
    <t>RAM-202-153-202</t>
  </si>
  <si>
    <t xml:space="preserve">UNPKD RAM 1" X 2" BASE W ARM AND VESA PLATE </t>
  </si>
  <si>
    <t>RAM-202-12-246U</t>
  </si>
  <si>
    <t>RAM 2-1/2" DIA. BASE</t>
  </si>
  <si>
    <t>RAM-202</t>
  </si>
  <si>
    <t>UNPKG RAM DBL SOCKET ARM C BALL D LENGTH</t>
  </si>
  <si>
    <t>RAM-201U-D</t>
  </si>
  <si>
    <t>UNPKG RAM DBL SOCKET ARM C BALL B LOCK</t>
  </si>
  <si>
    <t>RAM-201U-BL</t>
  </si>
  <si>
    <t>UNPKG RAM DBL SOCKET ARM C BALL B LENGTH</t>
  </si>
  <si>
    <t>RAM-201U-B</t>
  </si>
  <si>
    <t>UNPKD RAM DBL BALL SOCKET ARM ASSEMBLY</t>
  </si>
  <si>
    <t>RAM-201U</t>
  </si>
  <si>
    <t>UNPKD RAM SECURITY DBL BALL SOCKET ARM</t>
  </si>
  <si>
    <t>RAM-201-SU</t>
  </si>
  <si>
    <t>UNPKD RAM SECURITY DBL ARM KEY 5</t>
  </si>
  <si>
    <t>RAM-201-S-KEY5U</t>
  </si>
  <si>
    <t>DOUBLE SOCKET ARM W/METAL KNOB LONG</t>
  </si>
  <si>
    <t>RAM-201MU-D</t>
  </si>
  <si>
    <t>DOUBLE SOCKET ARM W/METAL KNOB SHORT</t>
  </si>
  <si>
    <t>RAM-201MU-B</t>
  </si>
  <si>
    <t>DOUBLE SOCKET ARM W/METAL KNOB</t>
  </si>
  <si>
    <t>RAM-201MU</t>
  </si>
  <si>
    <t>RAM-201LU</t>
  </si>
  <si>
    <t>UNPKD RAM DBL SOCKET ARM STEEL LOCK KNOB</t>
  </si>
  <si>
    <t>RAM-201LSU</t>
  </si>
  <si>
    <t>RAM DBL SOCKET ARM C BALL D LENGTH</t>
  </si>
  <si>
    <t>RAM-201-D</t>
  </si>
  <si>
    <t>RAM-201-BSU</t>
  </si>
  <si>
    <t>UNPKD RAM SECURITY DBL SHORT ARM KEY 5</t>
  </si>
  <si>
    <t>RAM-201-BS-KEY5U</t>
  </si>
  <si>
    <t>RAM DBL SOCKET ARM C BALL B LENGTH</t>
  </si>
  <si>
    <t>RAM-201-B</t>
  </si>
  <si>
    <t>RAM DOUBLE BALL SOCKET ARM ASSEMBLY</t>
  </si>
  <si>
    <t>RAM-201</t>
  </si>
  <si>
    <t>RAM SNGLE SOCKET ARM W/ 1/2" FEMALE HOLE</t>
  </si>
  <si>
    <t>RAM-200-CHU</t>
  </si>
  <si>
    <t>RAM C SIZE PIPE AND SOCKET ARM FOR SEAT TRACKS</t>
  </si>
  <si>
    <t>RAM-200-9-BC-201</t>
  </si>
  <si>
    <t>UNPKD RAM SINGLE BALL ARM W/ 1/2" NPT HO</t>
  </si>
  <si>
    <t>RAM-200-1U</t>
  </si>
  <si>
    <t>RAM 1 1/2" SNGL SOCKET ARM W/ OCT FEMALE</t>
  </si>
  <si>
    <t>RAM-200-1OFU</t>
  </si>
  <si>
    <t xml:space="preserve">UNPKD RAM SINGLE BALL ARM W/ 1/2" NPT </t>
  </si>
  <si>
    <t>RAM-200-1MU</t>
  </si>
  <si>
    <t>RAM SINGLE BALL ARM W/ 1/2" NPT HOLE</t>
  </si>
  <si>
    <t>RAM-200-1</t>
  </si>
  <si>
    <t>UNPKD RAM DOUBLE SUCTION BASE PIVOT</t>
  </si>
  <si>
    <t>RAM-189B-PIV1U</t>
  </si>
  <si>
    <t>UNPKD RAM DOUBLE SUCT CUP BASE ONLY</t>
  </si>
  <si>
    <t>RAM-189BB-ALA1U</t>
  </si>
  <si>
    <t xml:space="preserve">UNPKD RAM SUCTION MOUNT RAM X-GRIP W/ 1.5" </t>
  </si>
  <si>
    <t>RAM-166-UN7U</t>
  </si>
  <si>
    <t>FLOOR MOUNT ASSEMBLY FOR MENTOR</t>
  </si>
  <si>
    <t>RAM-166U</t>
  </si>
  <si>
    <t xml:space="preserve">UNPKD RAM SUCTION MNT FOR TAB-TITE 10" </t>
  </si>
  <si>
    <t>RAM-166-TAB17U</t>
  </si>
  <si>
    <t>RAM SUCTION MOUNT WITH SHORT ARM</t>
  </si>
  <si>
    <t>RAM-166-B-202U</t>
  </si>
  <si>
    <t>RAM-166-202U</t>
  </si>
  <si>
    <t>RAM 90 DEG BASE W/ TELESCOPING PEDESTAL</t>
  </si>
  <si>
    <t>RAM-164BU</t>
  </si>
  <si>
    <t>RAM RATCHET SWING ARM</t>
  </si>
  <si>
    <t>RAM-162V-MC5</t>
  </si>
  <si>
    <t>RAM RATCHET SWING ARM WITH 1 1/2" BALL</t>
  </si>
  <si>
    <t>RAM-162V-MC4</t>
  </si>
  <si>
    <t>RATCHET SWING ARM 1 1/2" BALL NO BASE</t>
  </si>
  <si>
    <t>RAM-162-SC1</t>
  </si>
  <si>
    <t>RAM RATCHET FEATURE W/ 1/2" M POST</t>
  </si>
  <si>
    <t>RAM-162PU</t>
  </si>
  <si>
    <t>RAM-162H-MC4</t>
  </si>
  <si>
    <t>RAM RATCHET SWING ARM WITH VESA PLATE</t>
  </si>
  <si>
    <t>RAM-162H-GEN1</t>
  </si>
  <si>
    <t>RAM RATCHET BASE WITH 1.5" BALL</t>
  </si>
  <si>
    <t>RAM-162BU</t>
  </si>
  <si>
    <t>RAM-162BAU</t>
  </si>
  <si>
    <t>RAM MENTOR MOUNT W/O ARM AND BASE</t>
  </si>
  <si>
    <t>RAM-161-BU-MN2</t>
  </si>
  <si>
    <t>RAM BI-POD SYS W/ DBL. BALL &amp; SOCKET ARM</t>
  </si>
  <si>
    <t>RAM-161-BU</t>
  </si>
  <si>
    <t>RAM BI-POD BASE W/O PEDESTAL OR BALL</t>
  </si>
  <si>
    <t>RAM-161BU</t>
  </si>
  <si>
    <t>TRI-POD LEG FOR RAM-161BU BI-POD BASE</t>
  </si>
  <si>
    <t>RAM-161BLU</t>
  </si>
  <si>
    <t>RAM BI-POD SYS W/SINGLE SWING ARM &amp; BALL</t>
  </si>
  <si>
    <t>RAM-161-1U</t>
  </si>
  <si>
    <t>STABALIZER LEG FOR RAM-160 SERIES</t>
  </si>
  <si>
    <t>RAM-160LU</t>
  </si>
  <si>
    <t>RAM SEAT RAIL SYS. W/ DBL. BALL &amp; SOCKET</t>
  </si>
  <si>
    <t>RAM-160-BU</t>
  </si>
  <si>
    <t>RAM SEAT RAIL SYS WITH 18" PIPE ONLY</t>
  </si>
  <si>
    <t>RAM-160BU</t>
  </si>
  <si>
    <t>RAM SEAT RAIL BRACKETS ONLY</t>
  </si>
  <si>
    <t>RAM-160BBU</t>
  </si>
  <si>
    <t>RAM SEAT RAIL SYS W/ 2 SWING ARMS &amp; BALL</t>
  </si>
  <si>
    <t>RAM-160-2U</t>
  </si>
  <si>
    <t>RAM SEAT RAIL SYS W/ 1 SWING ARM &amp; BALL</t>
  </si>
  <si>
    <t>RAM-160-1U</t>
  </si>
  <si>
    <t>RAM MOUNT FOR BOSCH RAIL STRUCTURES</t>
  </si>
  <si>
    <t>RAM-151U-B</t>
  </si>
  <si>
    <t>RAM BOSCH BASE W/ VESA PLATE</t>
  </si>
  <si>
    <t>RAM-151-246U</t>
  </si>
  <si>
    <t>RAM-151</t>
  </si>
  <si>
    <t>UNPKD RAM U-BOLT MNT W HANDI-CASE</t>
  </si>
  <si>
    <t>RAM-149Z-HC1U</t>
  </si>
  <si>
    <t>UNPKD RAM U-BOLT MNT FOR TABLET HOLDER</t>
  </si>
  <si>
    <t>RAM-149Z-B-202U</t>
  </si>
  <si>
    <t>RAM UNPKD. MNT US ARMY</t>
  </si>
  <si>
    <t>RAM-147U</t>
  </si>
  <si>
    <t>UNPKD RAM MNT W/ AMPS BASES ON BOTH ENDS</t>
  </si>
  <si>
    <t>RAM-141U</t>
  </si>
  <si>
    <t>UNPKD RAM MNT SHORT ARM W/ AMPS BASES ON BOTH ENDS</t>
  </si>
  <si>
    <t>RAM-141-BU</t>
  </si>
  <si>
    <t>RAM-139U</t>
  </si>
  <si>
    <t>UNPK RAM MOUNT RAM X-GRIP UNVRSL HLDR W 1.5"</t>
  </si>
  <si>
    <t>RAM-138-UN7U</t>
  </si>
  <si>
    <t>SHRT MNT. W/2.43DIA. &amp; 2.43 X 1.31 BASES</t>
  </si>
  <si>
    <t>RAM-138U-B</t>
  </si>
  <si>
    <t>RAM-138U</t>
  </si>
  <si>
    <t>RAM-138-TAB8U</t>
  </si>
  <si>
    <t>UNPKD RAM TAB-TITE FOR IPAD AIR WITH CASE AND RAM-138 MNT</t>
  </si>
  <si>
    <t>RAM-138-TAB20U</t>
  </si>
  <si>
    <t>UNPKD RAM TAB-TITE 10" W/ RAM-138 MNT</t>
  </si>
  <si>
    <t>RAM-138-TAB17U</t>
  </si>
  <si>
    <t>UNPKD RAM POWERED KEYED LOCKING CRADLE AND PIN-LOCK MOUNT FOR SONIM XP10</t>
  </si>
  <si>
    <t>RAM-138-S-SNM4PL-V7B1U</t>
  </si>
  <si>
    <t>UNPKD RAM POWERED KEYED LOCKING CRADLE AND PIN-LOCK MOUNT FOR SONIM XP5 PLUS</t>
  </si>
  <si>
    <t>RAM-138-S-SNM3PL-V7B1U</t>
  </si>
  <si>
    <t>UNPKD RAM POWERED KEYED LOCKING CRADLE AND PIN-LOCK MOUNT FOR SONIM XP8</t>
  </si>
  <si>
    <t>RAM-138-S-SNM2PL-V7B1U</t>
  </si>
  <si>
    <t>UNPKD RAM POWERED KEYED LOCKING CRADLE AND PIN-LOCK MOUNT FOR SONIM XP5S</t>
  </si>
  <si>
    <t>RAM-138-S-SNM1PL-V7B1U</t>
  </si>
  <si>
    <t>RAM MOUNT FOR MOTION LE1600</t>
  </si>
  <si>
    <t>RAM-138-MOT8</t>
  </si>
  <si>
    <t>UNPKD RAM 88MM DIA BASE WITH C SIZED BALL AND ARM</t>
  </si>
  <si>
    <t>RAM-138-MAG88U</t>
  </si>
  <si>
    <t>UNPKD RAM 88MM DIA BASE WITH SHORT ARM</t>
  </si>
  <si>
    <t>RAM-138-B-MAG88U</t>
  </si>
  <si>
    <t xml:space="preserve">UNPKD RAM TAB-TITE 10" W/ RAM-238 &amp; 235 </t>
  </si>
  <si>
    <t>RAM-138-235-TAB17U</t>
  </si>
  <si>
    <t>RAM UNPKD. MNT W/ 3" X 11" X 2 1/2" BASE</t>
  </si>
  <si>
    <t>RAM-137U</t>
  </si>
  <si>
    <t>RAM 3" X 11" BASE WITH BALL</t>
  </si>
  <si>
    <t>RAM-137BU</t>
  </si>
  <si>
    <t>RAM MNT W/ 3" X 11" X 2 1/2" BASE</t>
  </si>
  <si>
    <t>RAM-137</t>
  </si>
  <si>
    <t>RAM 90 DEG BASE 6" PIPE DBL. SOCKET MNT</t>
  </si>
  <si>
    <t>RAM-134-90</t>
  </si>
  <si>
    <t>RAM 0 DEG BASE, 6" PIPE DBL SOCKET MNT</t>
  </si>
  <si>
    <t>RAM-134-0</t>
  </si>
  <si>
    <t xml:space="preserve">UNPKD RAM MOUNT W/ 2 QTY 6 1/4" BASE </t>
  </si>
  <si>
    <t>RAM-133AU</t>
  </si>
  <si>
    <t>RAM AIRCRAFT SEAT RAIL SYS SAMSUNG Q1</t>
  </si>
  <si>
    <t>RAM-131-SAM1</t>
  </si>
  <si>
    <t>RAM AIRCRAFT SEAT RAIL SYS FUJITSU P1610</t>
  </si>
  <si>
    <t>RAM-131-FUJ1</t>
  </si>
  <si>
    <t>RAM AIRCRAFT SEAT RAIL SYS ASUS R2H</t>
  </si>
  <si>
    <t>RAM-131-ASU1</t>
  </si>
  <si>
    <t>RAM 2" X 17" UNIVERSAL PLATE W/ BALL</t>
  </si>
  <si>
    <t>RAM-122BU</t>
  </si>
  <si>
    <t>RAM TUBE FISHING ROD HOLDER TOP CAP</t>
  </si>
  <si>
    <t>RAM-119TCU</t>
  </si>
  <si>
    <t>RAM TUBE WITHOUT 1 1/2" DIA. BALL &amp; BASE</t>
  </si>
  <si>
    <t>RAM-119B</t>
  </si>
  <si>
    <t>RAM TUBE FISHING ROD HOLDER 5 SPOT BASE</t>
  </si>
  <si>
    <t>RAM-119-5</t>
  </si>
  <si>
    <t>RAM TRIPLE DECK &amp; TRACK BASE W/O BALLS</t>
  </si>
  <si>
    <t>RAM-119-3</t>
  </si>
  <si>
    <t>RAM TUBE FISHING ROD HOLDER W/ 2 X 3 PLA</t>
  </si>
  <si>
    <t>RAM-119-23U</t>
  </si>
  <si>
    <t>RAM TUBE FISHING ROD HOLDER</t>
  </si>
  <si>
    <t>RAM-119</t>
  </si>
  <si>
    <t>UNPKD RAM SYSTEM FOR LANTERNS</t>
  </si>
  <si>
    <t>RAM-118U</t>
  </si>
  <si>
    <t>UNPKD RAM SADDLE FOR LANTERNS</t>
  </si>
  <si>
    <t>RAM-118BU</t>
  </si>
  <si>
    <t>RAM SADDLE W/ BALL FOR LANTERNS</t>
  </si>
  <si>
    <t>RAM-118B</t>
  </si>
  <si>
    <t>RAM SYSTEM FOR LANTERNS</t>
  </si>
  <si>
    <t>RAM-118</t>
  </si>
  <si>
    <t>UNPKD RAM-ROD FISHING ROD HOLDER SYSTEM</t>
  </si>
  <si>
    <t>RAM-117U</t>
  </si>
  <si>
    <t>UNPKD RAM-ROD SAL WATER ROD HOLDER SYST</t>
  </si>
  <si>
    <t>RAM-117SWU</t>
  </si>
  <si>
    <t>UNPACKAGED RAM-ROD FISHING ROD HOLDER</t>
  </si>
  <si>
    <t>RAM-117BU</t>
  </si>
  <si>
    <t>UNPACKAGED RAM-ROD FISH ROD HOLD W/ ARM</t>
  </si>
  <si>
    <t>RAM-117B-201U</t>
  </si>
  <si>
    <t>RAM-ROD FISHING ROD HOLDER</t>
  </si>
  <si>
    <t>RAM-117B</t>
  </si>
  <si>
    <t>RAM-ROD FISHING ROD HOLDER SYSTEM</t>
  </si>
  <si>
    <t>RAM-117</t>
  </si>
  <si>
    <t>UNPK RAM ROD 2000 RAIL MOUNT ADAPTER KIT</t>
  </si>
  <si>
    <t>RAM-114RMU</t>
  </si>
  <si>
    <t>RAM ROD 2000 RAIL MOUNT ADAPTER KIT</t>
  </si>
  <si>
    <t>RAM-114RM</t>
  </si>
  <si>
    <t>RAM ROD REVOLUTION ROD HOLDER</t>
  </si>
  <si>
    <t>RAM-114-RBU</t>
  </si>
  <si>
    <t>RAM ROD REVOLUTION ROD HOLDER TRK BASE</t>
  </si>
  <si>
    <t>RAM-114-RB-TRA1U</t>
  </si>
  <si>
    <t>RAM-114-RB-TRA1</t>
  </si>
  <si>
    <t>UNPKD RAM ROD REV SALT WATER ROD HOLDER</t>
  </si>
  <si>
    <t>RAM-114-RBSWU</t>
  </si>
  <si>
    <t>RAM ROD REV SALT WATER ROD HOLDER</t>
  </si>
  <si>
    <t>RAM-114-RBSW</t>
  </si>
  <si>
    <t>RAM ROD REVOLUTION ROD HOLDER NO BALL</t>
  </si>
  <si>
    <t>RAM-114-RBNBU</t>
  </si>
  <si>
    <t>RAM ROD REVOLUTION ROD HOLDER 5 SPOT</t>
  </si>
  <si>
    <t>RAM-114-RB5</t>
  </si>
  <si>
    <t>RAM-114-RB</t>
  </si>
  <si>
    <t>RAM ROD REVOLUTION ADAPTER POST W/ BASE</t>
  </si>
  <si>
    <t>RAM-114PRBU</t>
  </si>
  <si>
    <t>RAM ROD 2000 ROD HOLDER NO BASE 5 SPOT</t>
  </si>
  <si>
    <t>RAM-114-NBU</t>
  </si>
  <si>
    <t>RAM-114-NB</t>
  </si>
  <si>
    <t>UNPK RAM ROD 2000 HOLDER W/ FLUSH MOUNT</t>
  </si>
  <si>
    <t>RAM-114-FU</t>
  </si>
  <si>
    <t>UNPK RAM ROD 2000 FLUSH MOUNT BASE</t>
  </si>
  <si>
    <t>RAM-114FMU</t>
  </si>
  <si>
    <t>UNPKD RAM ROD FLUSH MOUNT TUBE BASE</t>
  </si>
  <si>
    <t>RAM-114FMTU</t>
  </si>
  <si>
    <t>RAM ROD FLUSH MOUNT TUBE BASE</t>
  </si>
  <si>
    <t>RAM-114FMT</t>
  </si>
  <si>
    <t>RAM ROD 2000 FLUSH MOUNT BASE</t>
  </si>
  <si>
    <t>RAM-114FM</t>
  </si>
  <si>
    <t>RAM ROD 2000 ROD HOLDER W/ FLUSH MNT.</t>
  </si>
  <si>
    <t>RAM-114-F</t>
  </si>
  <si>
    <t>UNPK RAM ROD 2000 HLDER W/DECK&amp;TRACK MNT</t>
  </si>
  <si>
    <t>RAM-114-DU</t>
  </si>
  <si>
    <t>UNPK RAM ROD 2000 DECK &amp; TRACK MNT. BASE</t>
  </si>
  <si>
    <t>RAM-114DTMU</t>
  </si>
  <si>
    <t>RAM ROD 2000 DECK &amp; TRACK BASE 5 SPOT</t>
  </si>
  <si>
    <t>RAM-114DTM5</t>
  </si>
  <si>
    <t>RAM ROD 2000 DECK &amp; TRACK MOUNTING BASE</t>
  </si>
  <si>
    <t>RAM-114DTM</t>
  </si>
  <si>
    <t>RAM ROD 2000 ROD HOLDER W/DECK,TRACK MNT</t>
  </si>
  <si>
    <t>RAM-114-D</t>
  </si>
  <si>
    <t>UNPKD RAM ROD 2000 HOLDER W/ BULKHD MNT</t>
  </si>
  <si>
    <t>RAM-114-BU</t>
  </si>
  <si>
    <t>RAM ROD RATCHET TEETH ADAPTER 1.5" BALL</t>
  </si>
  <si>
    <t>RAM-114BTU</t>
  </si>
  <si>
    <t>UNPK RAM ROD 2000 BULKHEAD MOUNTING BASE</t>
  </si>
  <si>
    <t>RAM-114BMU</t>
  </si>
  <si>
    <t>UNPKD RAM ROD PLUNGER BULKHEAD BASE</t>
  </si>
  <si>
    <t>RAM-114BMPU</t>
  </si>
  <si>
    <t>RAM ROD 2000 ROD HOLDER W PLUNG BULKHEAD</t>
  </si>
  <si>
    <t>RAM-114-BMP</t>
  </si>
  <si>
    <t>RAM ROD PLUNGER BULKHEAD BASE</t>
  </si>
  <si>
    <t>RAM-114BMP</t>
  </si>
  <si>
    <t>100 Q UPK RAM ROD BULKHEAD MOUNTING BASE</t>
  </si>
  <si>
    <t>RAM-114BM-100U</t>
  </si>
  <si>
    <t>RAM ROD 2000 BULKHEAD MOUNTING BASE</t>
  </si>
  <si>
    <t>RAM-114BM</t>
  </si>
  <si>
    <t>RAM ROD RATCHET GROOVE ADAPTER 1.5" BALL</t>
  </si>
  <si>
    <t>RAM-114BGU</t>
  </si>
  <si>
    <t>RAM ROD 2000 ROD HOLDER W/ BULKHEAD MNT.</t>
  </si>
  <si>
    <t>RAM-114-B</t>
  </si>
  <si>
    <t>RAM ROD 2000 WITH SIDE TRACK MOUNT BASE FOR LUND SPORT TRAK</t>
  </si>
  <si>
    <t>RAM-114-AAPR-LUN</t>
  </si>
  <si>
    <t>UNPKD RAM ANTENNA MOUNT W/ 1"-14 THREADS</t>
  </si>
  <si>
    <t>RAM-112U</t>
  </si>
  <si>
    <t>UNPKD RAM SINGLE BALL MOUNT W/ 1/2" NPT</t>
  </si>
  <si>
    <t>RAM-112-1U</t>
  </si>
  <si>
    <t>RAM SINGLE BALL MOUNT WITH 1/2" NPT HOLE</t>
  </si>
  <si>
    <t>RAM-112-1</t>
  </si>
  <si>
    <t>RAM ANTENNA MOUNT W/ 1"-14 MALE POST</t>
  </si>
  <si>
    <t>RAM-112</t>
  </si>
  <si>
    <t>RAM MOUNT W/ 1.5" BALLS &amp; D LENGTH LOCK</t>
  </si>
  <si>
    <t>RAM-111U-DL</t>
  </si>
  <si>
    <t>RAM MOUNT W/ 1.5" BALLS &amp; D LENGTH ARMS</t>
  </si>
  <si>
    <t>RAM-111U-D</t>
  </si>
  <si>
    <t>RAM MOUNT W/1.5" BALLS B LENGTH ARMS</t>
  </si>
  <si>
    <t>RAM-111U-B</t>
  </si>
  <si>
    <t>UNPKD RAM UNIVERSAL ELECTRONIC MOUNT</t>
  </si>
  <si>
    <t>RAM-111U</t>
  </si>
  <si>
    <t>RAM MOUNT LOCK VESA PLATE LONG ARM</t>
  </si>
  <si>
    <t>RAM-111LU-D-246</t>
  </si>
  <si>
    <t>RAM MOUNT W 1.5" BALLS &amp; D LENGTH ARMS</t>
  </si>
  <si>
    <t>RAM-111-D</t>
  </si>
  <si>
    <t>RAM-111BU</t>
  </si>
  <si>
    <t>UNPKD RAM BASE 6.25 X 2 TAPPED FOR SWING</t>
  </si>
  <si>
    <t>RAM-111BTU</t>
  </si>
  <si>
    <t>BASE 6.25" X 2"1 1/2" BALL STD ARM TRK</t>
  </si>
  <si>
    <t>RAM-111B-354-TRA1U</t>
  </si>
  <si>
    <t>RAM-111B-354-TRA1</t>
  </si>
  <si>
    <t>RAM UNIVERSAL ELECT. MNT 6 1/4" X 2" SHT</t>
  </si>
  <si>
    <t>RAM-111-B</t>
  </si>
  <si>
    <t>RAM MARINE ELETRONICS BASE 6 1/4" X 2"</t>
  </si>
  <si>
    <t>RAM-111B</t>
  </si>
  <si>
    <t>UNPKD RAM UNIVERSAL ELECTRONIC MOUNT WITH CABLE MANAGER</t>
  </si>
  <si>
    <t>RAM-111-403U</t>
  </si>
  <si>
    <t>UNPKD RAM MOUNT 111B, 3" SQR TUBE BASE</t>
  </si>
  <si>
    <t>RAM-111-247U-3</t>
  </si>
  <si>
    <t>UNPKD RAM MOUNT 111B, 2" SQR TUBE BASE</t>
  </si>
  <si>
    <t>RAM-111-247U-2</t>
  </si>
  <si>
    <t>RAM-111</t>
  </si>
  <si>
    <t>UNPKD RAM SING SWING ARM MOUNT SYS. VERT</t>
  </si>
  <si>
    <t>RAM-109VU</t>
  </si>
  <si>
    <t>RAM SINGLE ARM BALL MOUNT VERTICAL</t>
  </si>
  <si>
    <t>RAM-109VSB</t>
  </si>
  <si>
    <t>UNPKD. RAM STRT SWING ARM W/ VERT. BASE</t>
  </si>
  <si>
    <t>RAM-109VS-5NBU</t>
  </si>
  <si>
    <t>UNPKD. RAM STR SWING ARM W/ VERT BASE</t>
  </si>
  <si>
    <t>RAM-109VS-4U</t>
  </si>
  <si>
    <t>UNPKD. RAM VERT SWING ARM MOUNT BRACKET</t>
  </si>
  <si>
    <t>RAM-109V-BU</t>
  </si>
  <si>
    <t>RAM VERTICAL SWING BRACKET SAND CAST</t>
  </si>
  <si>
    <t>RAM-109V-BAU</t>
  </si>
  <si>
    <t>RAM VERTICAL SWING ARM MOUNTING BRACKET</t>
  </si>
  <si>
    <t>RAM-109V-B</t>
  </si>
  <si>
    <t>RAM SINGLE SWING ARM MOUNT VERT. OLD STY</t>
  </si>
  <si>
    <t>RAM-109VAU</t>
  </si>
  <si>
    <t>RAM SINGLE SWING ARM MOUNT VERT ALL SAND</t>
  </si>
  <si>
    <t>RAM-109VAAU</t>
  </si>
  <si>
    <t>UNPKD. RAM BENT SWING ARM W/ VERT. BASE</t>
  </si>
  <si>
    <t>RAM-109V-4U</t>
  </si>
  <si>
    <t>UNPKD RAM SWING ARM W/ VERT. BASE &amp; BALL</t>
  </si>
  <si>
    <t>RAM-109V-3U</t>
  </si>
  <si>
    <t>UNPKD RAM VERT SWING ARM W/RAM SYSTEM</t>
  </si>
  <si>
    <t>RAM-109V-2U</t>
  </si>
  <si>
    <t>RAM VERT. SWING ARM SYSTEM W/O DBL ARM</t>
  </si>
  <si>
    <t>RAM-109V-2BU</t>
  </si>
  <si>
    <t>UNPKD RAM DBL SWING ARM W 234-3 TRAY</t>
  </si>
  <si>
    <t>RAM-109V-234U</t>
  </si>
  <si>
    <t>RAM VERT SWING ARM W/RAM BALL SYSTEM</t>
  </si>
  <si>
    <t>RAM-109V-2</t>
  </si>
  <si>
    <t>UNPKD RAM DBL SWING ARM MOUNT SYS. VERT</t>
  </si>
  <si>
    <t>RAM-109V-1U</t>
  </si>
  <si>
    <t>UNPKD RAM V DBL SWING ARM W 1 1/2" BALL</t>
  </si>
  <si>
    <t>RAM-109V-1BU</t>
  </si>
  <si>
    <t>RAM DOUBLE SWING ARM MOUNT SYSTEM VERT</t>
  </si>
  <si>
    <t>RAM-109V-1</t>
  </si>
  <si>
    <t>RAM SINGLE SWING ARM MOUNT SYSTEM VERT.</t>
  </si>
  <si>
    <t>RAM-109V</t>
  </si>
  <si>
    <t>6" SWING ARM EXTENSION</t>
  </si>
  <si>
    <t>RAM-109U-GAM4</t>
  </si>
  <si>
    <t>RAM-109U-G3</t>
  </si>
  <si>
    <t>6" SWING ARM WITH SINGLE SOCKET</t>
  </si>
  <si>
    <t>RAM-109U-G2</t>
  </si>
  <si>
    <t>UNPKD RAM SING SWING ARM MOUNT SYS. HORZ</t>
  </si>
  <si>
    <t>RAM-109HU</t>
  </si>
  <si>
    <t>RAM SINGLE ARM BALL MNT HORZ</t>
  </si>
  <si>
    <t>RAM-109HSB</t>
  </si>
  <si>
    <t>RAM-109HS-4U</t>
  </si>
  <si>
    <t>RAM PIVOT MOUNT SYSTEM HORZ.</t>
  </si>
  <si>
    <t>RAM-109H-PV2</t>
  </si>
  <si>
    <t>UPKD HOR RAM DBL SWING ARM W SING SOCKET</t>
  </si>
  <si>
    <t>RAM-109H-G1U</t>
  </si>
  <si>
    <t>UNPKD. RAM HORZ. SWING ARM MOUNT BRACKET</t>
  </si>
  <si>
    <t>RAM-109H-BU</t>
  </si>
  <si>
    <t xml:space="preserve">RAM SING ARM BALL MNT HORZ </t>
  </si>
  <si>
    <t>RAM-109H-B</t>
  </si>
  <si>
    <t>UNPKD. RAM HORZ. SWING ARM BRACKET SAND</t>
  </si>
  <si>
    <t>RAM-109HA-BU</t>
  </si>
  <si>
    <t>UNPKD. RAM BENT SWING ARM W/ HORZ. BASE</t>
  </si>
  <si>
    <t>RAM-109H-4U</t>
  </si>
  <si>
    <t>UNPKD. RAM SWING ARM W/ HORZ. BASE &amp; BAL</t>
  </si>
  <si>
    <t>RAM-109H-3U</t>
  </si>
  <si>
    <t>UNPKD. RAM BENT SWING ARM W/ HORZ &amp; BALL</t>
  </si>
  <si>
    <t>RAM-109H-3BU</t>
  </si>
  <si>
    <t>UNPKD RAM HORZ SWING ARM W/RAM SYSTEM</t>
  </si>
  <si>
    <t>RAM-109H-2U</t>
  </si>
  <si>
    <t>RAM HORZ. SWING ARM SYSTEM W/O DBL. ARM</t>
  </si>
  <si>
    <t>RAM-109H-2BU</t>
  </si>
  <si>
    <t>RAM HORZ. SWING ARM SYSTEM SHRT LOWRANCE</t>
  </si>
  <si>
    <t>RAM-109H-2B-B-LO11</t>
  </si>
  <si>
    <t>RAM HORZ. SWING ARM W/RAM BALL SYSTEM</t>
  </si>
  <si>
    <t>RAM-109H-2</t>
  </si>
  <si>
    <t>UNPKD RAM DBL SWING ARM MOUNT SYS. HORZ</t>
  </si>
  <si>
    <t>RAM-109H-1U</t>
  </si>
  <si>
    <t>UNPK RAM DBL SWING ARM W/ 1 1/2" BALL</t>
  </si>
  <si>
    <t>RAM-109H-1BU</t>
  </si>
  <si>
    <t>RAM DOUBLE SWING ARM MOUNT SYSTEM HORZ</t>
  </si>
  <si>
    <t>RAM-109H-1</t>
  </si>
  <si>
    <t>RAM SINGLE SWING ARM MOUNT SYSTEM HORZ.</t>
  </si>
  <si>
    <t>RAM-109H</t>
  </si>
  <si>
    <t>UNPKD RAM SINGLE SWING ARM EXTENTION</t>
  </si>
  <si>
    <t>RAM-109-1AU</t>
  </si>
  <si>
    <t>UNPKD RAM SNGLE SWING EXT ARM NO BEND</t>
  </si>
  <si>
    <t>RAM-109-1ATU</t>
  </si>
  <si>
    <t>UNPKD RAM SNGLE SWING ARM NO BEND</t>
  </si>
  <si>
    <t>RAM-109-1ATPU</t>
  </si>
  <si>
    <t>UNPKD RAM SINGLE SWING ARM STR EXTENTION</t>
  </si>
  <si>
    <t>RAM-109-1ASU</t>
  </si>
  <si>
    <t>PACK RAM SINGLE SWING ARM STR EXTENTION</t>
  </si>
  <si>
    <t>RAM-109-1ASP</t>
  </si>
  <si>
    <t>RAM SINGLE SWING ARM FOR PEDESTAL SYS</t>
  </si>
  <si>
    <t>RAM-109-1APU</t>
  </si>
  <si>
    <t>RAM SINGLE SWING ARM EXTENTION</t>
  </si>
  <si>
    <t>RAM-109-1A</t>
  </si>
  <si>
    <t>UNPKD RAM UNIVERSAL STRAP BASE</t>
  </si>
  <si>
    <t>RAM-108U</t>
  </si>
  <si>
    <t>UNPKD RAM TROLLING MTR STAB. W/LONG ARM</t>
  </si>
  <si>
    <t>RAM-108-DU</t>
  </si>
  <si>
    <t>RAM TROLLING MOTOR STABILIZER W/LONG ARM</t>
  </si>
  <si>
    <t>RAM-108-D</t>
  </si>
  <si>
    <t>UNPKD RAM STRAP BASE SHORT ARM AND 202</t>
  </si>
  <si>
    <t>RAM-108-BU</t>
  </si>
  <si>
    <t>UNPKD RAM BASE W/BALL &amp; STRAPS 1/2" TO 2</t>
  </si>
  <si>
    <t>RAM-108BU</t>
  </si>
  <si>
    <t>UNPKD RAM UNIVERSAL STRAP BASE WITH VESA</t>
  </si>
  <si>
    <t>RAM-108B-246U</t>
  </si>
  <si>
    <t>RAM BASE W/BALL &amp; STRAPS 1/2" TO 2" DIA.</t>
  </si>
  <si>
    <t>RAM-108B</t>
  </si>
  <si>
    <t>RAM TROLLING MOTOR STABILIZER</t>
  </si>
  <si>
    <t>RAM-108</t>
  </si>
  <si>
    <t>UNPKD RAM MOUNT HUMMINBIRD APELCO 97</t>
  </si>
  <si>
    <t>RAM-107U</t>
  </si>
  <si>
    <t>UNPKD RAM BASE FOR HUMMINBIRD APELCO 97</t>
  </si>
  <si>
    <t>RAM-107BU</t>
  </si>
  <si>
    <t>RAM BASE FOR HUMMINBIRD &amp; APELCO 97</t>
  </si>
  <si>
    <t>RAM-107B</t>
  </si>
  <si>
    <t>RAM MOUNT FOR HUMMINBIRD &amp; APELCO 97</t>
  </si>
  <si>
    <t>RAM-107</t>
  </si>
  <si>
    <t>UNPKD RAM MOUNT W/ 1 RAM-246 2 1/2" DIA.</t>
  </si>
  <si>
    <t>RAM-103U-D-2461</t>
  </si>
  <si>
    <t>UNPKD RAM MOUNT W/ 1 RAM-202 2 1/2" DIA. AND LONG ARM</t>
  </si>
  <si>
    <t>RAM-103U-D</t>
  </si>
  <si>
    <t>RAM-103U-B-2461</t>
  </si>
  <si>
    <t>UNPKD RAM MOUNT W/ 1 RAM-202 2 1/2" DIA.</t>
  </si>
  <si>
    <t>RAM-103U-B</t>
  </si>
  <si>
    <t>RAM-103U</t>
  </si>
  <si>
    <t>UNPKD RAM MOUNT W/ 1 RAM-238 DIAMOND BASE AND LONG ARM</t>
  </si>
  <si>
    <t>RAM-103-D-238U</t>
  </si>
  <si>
    <t>UNPKD RAM MOUNT W/ 1 RAM-238 DIAMOND BASE AND SHORT ARM</t>
  </si>
  <si>
    <t>RAM-103-B-238U</t>
  </si>
  <si>
    <t>UNPKD RAM MOUNT W/ 1 RAM-238 DIAMOND BASE</t>
  </si>
  <si>
    <t>RAM-103-238U</t>
  </si>
  <si>
    <t>RAM MOUNT 2 QTY. VESA PLATE 75 MM LOCK</t>
  </si>
  <si>
    <t>RAM-102UL-B-2461</t>
  </si>
  <si>
    <t>UNPKD RAM MOUNT W/ 1 RAM-2461 21/2" DIA.</t>
  </si>
  <si>
    <t>RAM-102U-D-2461</t>
  </si>
  <si>
    <t>UNPKD RAM MOUNT WITH DIA BASES</t>
  </si>
  <si>
    <t>RAM-102U-D</t>
  </si>
  <si>
    <t>RAM 1.75" - 4" SQUARE POST CLAMP BASE WITH 1.5" BALL, SHORT ARM, AND DIA BASE</t>
  </si>
  <si>
    <t>RAM-102U-B-247</t>
  </si>
  <si>
    <t>RAM MOUNT 2 QTY. VESA PLATE 75 MM SHORT</t>
  </si>
  <si>
    <t>RAM-102U-B-2461</t>
  </si>
  <si>
    <t>RAM 1.75" - 4" SQUARE POST CLAMP BASE WITH 1.5" BALL, ARM, AND DIA BASE</t>
  </si>
  <si>
    <t>RAM-102U-247</t>
  </si>
  <si>
    <t>RAM MOUNT WITH 2 QTY. VESA PLATE 75 MM</t>
  </si>
  <si>
    <t>RAM-102U-2461</t>
  </si>
  <si>
    <t>RAM-102U-246</t>
  </si>
  <si>
    <t>RAM-102U</t>
  </si>
  <si>
    <t>RAM LOCK MOUNT 2 QTY. VESA PLATE 75 MM</t>
  </si>
  <si>
    <t>RAM-102LU-D-2461</t>
  </si>
  <si>
    <t>RAM-102LU-2461</t>
  </si>
  <si>
    <t>RAIL MOUNT RUBBER STRIP 2" X 7.5" BLACK</t>
  </si>
  <si>
    <t>RAM-102AUU-100</t>
  </si>
  <si>
    <t>RAM-102AU</t>
  </si>
  <si>
    <t>RAM QUICK-DRAW HOLDER WITH FLAT SURFACE BASE FOR ZEBRA TC8000, TC8300</t>
  </si>
  <si>
    <t>RAM-101-ZE9U</t>
  </si>
  <si>
    <t xml:space="preserve">RAM SYSTEM FOR ZEBRA AN17018-1 </t>
  </si>
  <si>
    <t>RAM-101U-ZE1</t>
  </si>
  <si>
    <t>RAM VELOCITI RATCHET BASE 18" 200-1, 202</t>
  </si>
  <si>
    <t>RAM-101U-VE6</t>
  </si>
  <si>
    <t>RAM MOUNT VELOCITI RATCHET BASE W/ TELE</t>
  </si>
  <si>
    <t>RAM-101U-VE5</t>
  </si>
  <si>
    <t>VARIABLE BASE W/ PEDESTAL AND TRAY</t>
  </si>
  <si>
    <t>RAM-101U-VE4</t>
  </si>
  <si>
    <t>RAM MOUNT VELOCITI</t>
  </si>
  <si>
    <t>RAM-101U-VE3</t>
  </si>
  <si>
    <t>CC RAM MOUNT VELOCITI W/ 2 ARMS</t>
  </si>
  <si>
    <t>RAM-101U-VE2</t>
  </si>
  <si>
    <t>RAM MOUNT RATCHET BASE QUCIK HANDI CASE</t>
  </si>
  <si>
    <t>RAM-101U-VE1-HC1</t>
  </si>
  <si>
    <t>RAM MOUNT RATCHET BASE 18" DBL BALL</t>
  </si>
  <si>
    <t>RAM-101U-VE17</t>
  </si>
  <si>
    <t xml:space="preserve">RAM MOUNT RATCHET BASE 12" PIPE &amp; SHORT </t>
  </si>
  <si>
    <t>RAM-101U-VE15</t>
  </si>
  <si>
    <t>RAM MOUNT RATCHET BASE W 246 PLATE</t>
  </si>
  <si>
    <t>RAM-101U-VE14</t>
  </si>
  <si>
    <t>RAM MNT RATCHET BASE W 2461 &amp; 9" PIPE</t>
  </si>
  <si>
    <t>RAM-101U-VE12-9</t>
  </si>
  <si>
    <t>RAM MOUNT RATCHET BASE W 2461 PLATE</t>
  </si>
  <si>
    <t>RAM-101U-VE12</t>
  </si>
  <si>
    <t>RAM MOUNT RATCHET BASE WITH 202-24</t>
  </si>
  <si>
    <t>RAM-101U-VE11</t>
  </si>
  <si>
    <t>RAM MOUNT VELOCITI RATCHET BASE 24" DBL</t>
  </si>
  <si>
    <t>RAM-101U-VE10</t>
  </si>
  <si>
    <t>RAM MOUNT VELOCITI RATCHET BASE</t>
  </si>
  <si>
    <t>RAM-101U-VE1</t>
  </si>
  <si>
    <t>RAM MOUNT RATCHET BASE 2461</t>
  </si>
  <si>
    <t>RAM-101U-UK3</t>
  </si>
  <si>
    <t>RAM MOUNT W 235, ARM, 230, SHRT ARM,BASE</t>
  </si>
  <si>
    <t>RAM-101U-UK2</t>
  </si>
  <si>
    <t>RAM MOUNT RATCHET BASE TO 218-1</t>
  </si>
  <si>
    <t>RAM-101U-UK1</t>
  </si>
  <si>
    <t>UNPKD RAM W/ 2 RAM-202 &amp; ARM 1/4"-</t>
  </si>
  <si>
    <t>RAM-101U-TR1</t>
  </si>
  <si>
    <t>TRIBLE# 49593-02 DBL U-BOLT W/ 3/8"-16 S</t>
  </si>
  <si>
    <t>RAM-101U-TB2</t>
  </si>
  <si>
    <t>RAM SYSTEM FOR SAFETY VISION</t>
  </si>
  <si>
    <t>RAM-101U-SA1</t>
  </si>
  <si>
    <t>RAM MOUNT WITH HARDWARE UNIFIED BARCODE</t>
  </si>
  <si>
    <t>RAM-101-UNF1</t>
  </si>
  <si>
    <t>MOUNTW/2 2-1/2" BASES W/ INSTRUCTION</t>
  </si>
  <si>
    <t>RAM-101U-L-ITRON1</t>
  </si>
  <si>
    <t>UNPKD. RAM MNT. W/2 2 1/2" STD ARM LOCK</t>
  </si>
  <si>
    <t>RAM-101U-L</t>
  </si>
  <si>
    <t>RAM MNT. W/202 &amp; 231 BASE W/ZINC U-BOLT</t>
  </si>
  <si>
    <t>RAM-101U-IP1</t>
  </si>
  <si>
    <t>RAM MOUNT MENTOR RATCHET BASE 18 IN</t>
  </si>
  <si>
    <t>RAM-101U-GRA9</t>
  </si>
  <si>
    <t>RAM MOUNT GPSW RATCHET BASE VESA PLATE</t>
  </si>
  <si>
    <t>RAM-101U-GP1</t>
  </si>
  <si>
    <t>RAM MOUNT FOR FORMAR ELECTRONICS RATHCET</t>
  </si>
  <si>
    <t>RAM-101U-FOR1</t>
  </si>
  <si>
    <t>UNPKD. RAM MNT. W/2 2 1/2" &amp; D ARM LOCK</t>
  </si>
  <si>
    <t>RAM-101U-DL</t>
  </si>
  <si>
    <t>RAM MOUNT 6" ARM FOR DIAMOND MANUFACT</t>
  </si>
  <si>
    <t>RAM-101U-DI2</t>
  </si>
  <si>
    <t>RAM MOUNT FOR DIAMOND MFG.</t>
  </si>
  <si>
    <t>RAM-101U-DI1</t>
  </si>
  <si>
    <t>RAM MOUNT SYSTEM LNG ARM BACKING PLATE</t>
  </si>
  <si>
    <t>RAM-101U-D-DEN1</t>
  </si>
  <si>
    <t>RAM 3" SQUARE RAIL MOUNT LONG ROUND BASE</t>
  </si>
  <si>
    <t>RAM-101U-D-247-3</t>
  </si>
  <si>
    <t>RAM MOUNT WITH VESA PLATE 75 MM D LENGTH</t>
  </si>
  <si>
    <t>RAM-101U-D-2461</t>
  </si>
  <si>
    <t>RAM MOUNT LONG ARM VESA PLATE</t>
  </si>
  <si>
    <t>RAM-101U-D-246</t>
  </si>
  <si>
    <t>UNPKD. RAM MNT. W/2 3.68" BASES &amp; D ARM</t>
  </si>
  <si>
    <t>RAM-101U-D-240</t>
  </si>
  <si>
    <t>UNPKD RAM ATV BACK REST LONG LENGTH</t>
  </si>
  <si>
    <t>RAM-101U-D-235Z-BR1</t>
  </si>
  <si>
    <t>UNPKD. RAM MNT. W/2 2 1/2" BASES &amp; D ARM</t>
  </si>
  <si>
    <t>RAM-101U-D</t>
  </si>
  <si>
    <t>UNPKD RAM MOUNT W/ QUICK DRAW</t>
  </si>
  <si>
    <t>RAM-101U-CI1</t>
  </si>
  <si>
    <t>UNPKD RAM MOUNT FOR CADEC</t>
  </si>
  <si>
    <t>RAM-101U-CD1</t>
  </si>
  <si>
    <t>RAM MOUNT FOR CASE PN 87284256/407450A1</t>
  </si>
  <si>
    <t>RAM-101U-CA1</t>
  </si>
  <si>
    <t>RAM-101U-B-TD1</t>
  </si>
  <si>
    <t>RAM MOUNT VESA PLATE TRIPLE SUCTION</t>
  </si>
  <si>
    <t>RAM-101U-B-SPX1</t>
  </si>
  <si>
    <t>UNPKD. RAM MNT. W/2 2 1/2" &amp; B ARM LOCK</t>
  </si>
  <si>
    <t>RAM-101U-BL</t>
  </si>
  <si>
    <t>UNPKD RAM MOUNT SHORT ARM ID SYST VAC4</t>
  </si>
  <si>
    <t>RAM-101U-B-IDS4</t>
  </si>
  <si>
    <t>UNPKD RAM MOUNT SHORT ARM ID SYST VAC3</t>
  </si>
  <si>
    <t>RAM-101U-B-IDS3</t>
  </si>
  <si>
    <t>RAM-101U-B-EX1</t>
  </si>
  <si>
    <t>UNPKD. RAM MNT. W/2 2 1/2" BASES &amp; B HRD</t>
  </si>
  <si>
    <t>RAM-101U-B-ET1</t>
  </si>
  <si>
    <t>RAM 4" SQUARE RAIL MOUNT W RND BASE SHOR</t>
  </si>
  <si>
    <t>RAM-101U-B-247-4</t>
  </si>
  <si>
    <t>RAM 3" SQUARE RAIL MOUNT W RND BASE SHOR</t>
  </si>
  <si>
    <t>RAM-101U-B-247-3</t>
  </si>
  <si>
    <t>RAM 2.5" SQUARE RAIL MOUNT SHORT ARM</t>
  </si>
  <si>
    <t>RAM-101U-B-247-25</t>
  </si>
  <si>
    <t>RAM ADJUSTABLE SQUARE RAIL MOUNT W RND BASE SHOR</t>
  </si>
  <si>
    <t>RAM-101U-B-247</t>
  </si>
  <si>
    <t>RAM MOUNT WITH VESA PLATE 75 MM SHORT</t>
  </si>
  <si>
    <t>RAM-101U-B-2461</t>
  </si>
  <si>
    <t>RAM MOUNT W VESA PLATE 100 75 MM SHORT</t>
  </si>
  <si>
    <t>RAM-101U-B-246</t>
  </si>
  <si>
    <t>UNPKD RAM MOUNT W/ RAM-202 &amp; 1 RAM-235</t>
  </si>
  <si>
    <t>RAM-101U-B-235</t>
  </si>
  <si>
    <t>RAM MOUNT WITH BOSCH BASE SHORT ARM</t>
  </si>
  <si>
    <t>RAM-101U-B-151</t>
  </si>
  <si>
    <t>UNPKD. RAM MNT. W/2 2 1/2" BASES &amp; B ARM</t>
  </si>
  <si>
    <t>RAM-101U-B</t>
  </si>
  <si>
    <t>UNPKD RAM MOUNT W/ 1 RAM-202 &amp; 1 RAM-231</t>
  </si>
  <si>
    <t>RAM-101U-AC1</t>
  </si>
  <si>
    <t>UNPKD RAM MOUNT W RAM-202 &amp; 1 RAM-271-12</t>
  </si>
  <si>
    <t>RAM-101U-271-12</t>
  </si>
  <si>
    <t>RAM MOUNT WITH 2 X 5" PLATE &amp; ROUND</t>
  </si>
  <si>
    <t>RAM-101U-25</t>
  </si>
  <si>
    <t>RAM 4" SQUARE RAIL MOUNT WITH ROUND BASE</t>
  </si>
  <si>
    <t>RAM-101U-247-4</t>
  </si>
  <si>
    <t>RAM 3" SQUARE RAIL MOUNT WITH ROUND BASE</t>
  </si>
  <si>
    <t>RAM-101U-247-3</t>
  </si>
  <si>
    <t>RAM 2.5" SQUARE RAIL MOUNT W ROUND BASE</t>
  </si>
  <si>
    <t>RAM-101U-247-25</t>
  </si>
  <si>
    <t>RAM 1.75" - 4" SQUARE POST CLAMP BASE WITH 1.5" BALL, ARM, AND ROUND BASE</t>
  </si>
  <si>
    <t>RAM-101U-247</t>
  </si>
  <si>
    <t>RAM MOUNT WITH VESA PLATE 75 MM</t>
  </si>
  <si>
    <t>RAM-101U-2461</t>
  </si>
  <si>
    <t>RAM MOUNT WITH VESA PLATE 75 AND 100 MM</t>
  </si>
  <si>
    <t>RAM-101U-246</t>
  </si>
  <si>
    <t>UNPKD RAM ATV BACK REST</t>
  </si>
  <si>
    <t>RAM-101U-235Z-BR1</t>
  </si>
  <si>
    <t>UNPKD RAM MNT W/ RAM X-GRIP UNVRSL &amp; RAM-235</t>
  </si>
  <si>
    <t>RAM-101U-235-UN7</t>
  </si>
  <si>
    <t>UNPKD RAM MNT W/ RAM-202 &amp; RAM-235-1</t>
  </si>
  <si>
    <t>RAM-101U-235-1</t>
  </si>
  <si>
    <t>RAM-101U-235</t>
  </si>
  <si>
    <t>RAM MOUNT WITH 2 X 2.5" PLATE &amp; ROUND</t>
  </si>
  <si>
    <t>RAM-101U-225</t>
  </si>
  <si>
    <t>UNPKD RAM MOUNT W/ 2 RAM-202 &amp; ARM</t>
  </si>
  <si>
    <t>RAM-101U</t>
  </si>
  <si>
    <t>UNPKD RAM POWER AND DATA W/ 2 USB-A FEMALE SOCKETS KEYED LOCKING CRADLE FOR TAB ACTIVE PRO SUPPORTS HANDSTAND WITH C BAL</t>
  </si>
  <si>
    <t>RAM-101-SAM57PD2KLU</t>
  </si>
  <si>
    <t>UNPKD. MNT W/2 2 1/2" BASES &amp; ARM SAE</t>
  </si>
  <si>
    <t>RAM-101-SAE1</t>
  </si>
  <si>
    <t>RAM MOUNT W/ 202 &amp; RAYMARINE DRAGONFLY</t>
  </si>
  <si>
    <t>RAM-101-RYM1</t>
  </si>
  <si>
    <t>RAM UNPKD MOUNT RAYMARINE ELECT</t>
  </si>
  <si>
    <t>RAM-101-RM1U</t>
  </si>
  <si>
    <t>RAM MOUNT RAYMARINE ELECT</t>
  </si>
  <si>
    <t>RAM-101-RM1</t>
  </si>
  <si>
    <t>UNPKD RAM MOUNT W/2461 PLATE &amp; 247-25</t>
  </si>
  <si>
    <t>RAM-101-RAY1U</t>
  </si>
  <si>
    <t>RAM MOUNT LONG ARM METAL KNOB</t>
  </si>
  <si>
    <t>RAM-101MU-D</t>
  </si>
  <si>
    <t>RAM MOUNT WITH METAL KNOB &amp; SHORT ARMS</t>
  </si>
  <si>
    <t>RAM-101MU-B</t>
  </si>
  <si>
    <t>UNPKD RAM MOUNT WITH METAL KNOB</t>
  </si>
  <si>
    <t>RAM-101MU</t>
  </si>
  <si>
    <t>UNPKD RAM MIC/SPEAKER BRACKET 7.75" LONG</t>
  </si>
  <si>
    <t>RAM-101-MIC3U</t>
  </si>
  <si>
    <t>UNPKD RAM MIC/SPEAKER BRACKET 10.81" LONG</t>
  </si>
  <si>
    <t>RAM-101-MIC2U</t>
  </si>
  <si>
    <t>UNPKD RAM MIC/SPEAKER BRACKET 8.99" LONG</t>
  </si>
  <si>
    <t>RAM-101-MIC1U</t>
  </si>
  <si>
    <t>RAM MOUNT W/ 2 QTY. SLOTTED LEGS</t>
  </si>
  <si>
    <t>RAM-101-MB2</t>
  </si>
  <si>
    <t>RAM-101-MAG88U</t>
  </si>
  <si>
    <t>RAM-101LU-D-246</t>
  </si>
  <si>
    <t>RAM MOUNT LOCK VESA PLATE 75 AND 100 MM</t>
  </si>
  <si>
    <t>RAM-101LU-246</t>
  </si>
  <si>
    <t>RAM MOUNT 1.5" BALL FOR LOWRANCE HOOK2</t>
  </si>
  <si>
    <t>RAM-101-LO12</t>
  </si>
  <si>
    <t>RAM-101-LO11</t>
  </si>
  <si>
    <t>CC RAM CAMERA ARM SYSTEM W/O KNOB</t>
  </si>
  <si>
    <t>RAM-101-INE2</t>
  </si>
  <si>
    <t>RAM-101-G4</t>
  </si>
  <si>
    <t>RAM-101-G2U</t>
  </si>
  <si>
    <t>RAM-101-G2</t>
  </si>
  <si>
    <t>UNPKD RAM MOUNT 235 BASE &amp; TRAY</t>
  </si>
  <si>
    <t>RAM-101-DAN1U</t>
  </si>
  <si>
    <t>UNPKD. MNT W/2 2 1/2" BASES FOR #10 NUTS ONLY</t>
  </si>
  <si>
    <t>RAM-101-B-SAE1P-2U</t>
  </si>
  <si>
    <t>UNPKD. MNT W/2 2 1/2" BASES &amp; PLASTIC BA</t>
  </si>
  <si>
    <t>RAM-101-B-SAE1P</t>
  </si>
  <si>
    <t>UNPKD. MNT 2 1/2" BASES &amp; B ARM SAE BACK</t>
  </si>
  <si>
    <t>RAM-101-B-SAE1</t>
  </si>
  <si>
    <t>UNPKD RAM 88MM DIA BASE WITH B ARM AND ARM</t>
  </si>
  <si>
    <t>RAM-101-B-MAG88U</t>
  </si>
  <si>
    <t>RAM MOUNT AND X-GRIP FOR 9-10" TABLETS AND BACKING PLATE</t>
  </si>
  <si>
    <t>RAM-101B2-UN9U</t>
  </si>
  <si>
    <t>UNPKD RAM HARDWIRE DOCK BUNDLE FOR SAMSUNG TAB ACTIVE PRO WITH USB-C AND BACKING PLATE</t>
  </si>
  <si>
    <t>RAM-101B2-TC-SAM54C-V3FCU</t>
  </si>
  <si>
    <t>UNPKD RAM HARDWIRE DOCK W/ TYPE C TO C COILED CABLE BUNDLE FOR SAMSUNG TAB ACTIVE3 W/ BACKING PLATE</t>
  </si>
  <si>
    <t>RAM-101B2-TC-SAM29C-V3FCU</t>
  </si>
  <si>
    <t>RAM MOUNT AND TAB-TITE FOR 7-8" TABLETS  AND BACKING PLATE</t>
  </si>
  <si>
    <t>RAM-101B2-TAB23U</t>
  </si>
  <si>
    <t>RAM MOUNT AND TAB-TITE FOR IPAD AIR W/ CASE AND BACKING PLATE</t>
  </si>
  <si>
    <t>RAM-101B2-TAB20U</t>
  </si>
  <si>
    <t>UNPKD. RAM SHORT DOUBLE BALL MOUNT W/ BACKING PLATE AND HARDWARE</t>
  </si>
  <si>
    <t>RAM-101-B-225B2U</t>
  </si>
  <si>
    <t>RAM MOUNT WITH 1/2" NPT,ARM, BASE SYSTEM</t>
  </si>
  <si>
    <t>RAM-101-B-218-1U</t>
  </si>
  <si>
    <t>UNPKD RAM DOUBLE SUCTION CUP BASE WITH RAM-101-B</t>
  </si>
  <si>
    <t>RAM-101-B-189U</t>
  </si>
  <si>
    <t>UNPKD RAM MOUNT W BASE,LONG ARM 202A</t>
  </si>
  <si>
    <t>RAM-101AU-D</t>
  </si>
  <si>
    <t>UNPKD RAM MOUNT W BASE,SHRT ARM 202A</t>
  </si>
  <si>
    <t>RAM-101AU-B</t>
  </si>
  <si>
    <t>UNPKD RAM MOUNT W BASE, ARM, 202A</t>
  </si>
  <si>
    <t>RAM-101AU</t>
  </si>
  <si>
    <t>UNPKD RAM MOUNT W/117B,SHT ARM, 215</t>
  </si>
  <si>
    <t>RAM-101-AT1U</t>
  </si>
  <si>
    <t>RAM QUICK-DRAW HOLDER WITH TOUGH CLAW FOR ZEBRA TC8000, TC8300</t>
  </si>
  <si>
    <t>RAM-101-400-ZE9U</t>
  </si>
  <si>
    <t>RAM QUICK-DRAW HOLDER WITH SQUARE POST CLAMP MOUNT FOR ZEBRA TC8000, TC8300</t>
  </si>
  <si>
    <t>RAM-101-247-4-ZE9U</t>
  </si>
  <si>
    <t>RAM MOUNT WITH VESA PLATE AND BACKING PLATE</t>
  </si>
  <si>
    <t>RAM-101-2461-225B2U</t>
  </si>
  <si>
    <t>RAM QUICK-DRAW HOLDER WITH DOUBLE U-BOLT BASE FOR ZEBRA TC8000, TC8300</t>
  </si>
  <si>
    <t>RAM-101-235-1-ZE9U</t>
  </si>
  <si>
    <t>UNPKD. RAM DOUBLT BALL MOUNT W/ BACKING PLATE AND HARDWARE</t>
  </si>
  <si>
    <t>RAM-101-225B2U</t>
  </si>
  <si>
    <t>UNPKD RAM EZ-ROLL'R DOCK FOR SAMSUNG TAB ACTIVE5 &amp; TAB ACTIVE3 W/ BACKING PLATE AND HARDWIRE CHARGER</t>
  </si>
  <si>
    <t>RAM-101-225B2-SAM60CP-V7CU</t>
  </si>
  <si>
    <t>UNPKD RAM EZ-ROLL'R DOCK FOR SAMSUNG TAB ACTIVE PRO W/ BACKING PLATE AND HARDWIRE CHARGER</t>
  </si>
  <si>
    <t>RAM-101-225B2-SAM57CP-1A-V7CU</t>
  </si>
  <si>
    <t>RAM-101-218-1U</t>
  </si>
  <si>
    <t>RAM MOUNT WITH 2 RAM-202 BASES 2 1/2"DIA</t>
  </si>
  <si>
    <t>RAM-101</t>
  </si>
  <si>
    <t>RAM SKU</t>
  </si>
  <si>
    <t>Ram Mounts</t>
  </si>
  <si>
    <t>Vendor</t>
  </si>
  <si>
    <t>$100-$250</t>
  </si>
  <si>
    <t>+20</t>
  </si>
  <si>
    <t>Custom Box/Cabinet</t>
  </si>
  <si>
    <t>$500-$10,000</t>
  </si>
  <si>
    <t>XR80/XR90 FAKRA Replacement Kit</t>
  </si>
  <si>
    <t>J1939/1708 Telemetry Scanner Kit, MG (9-pin, Type II, 500K)</t>
  </si>
  <si>
    <t>J1939/1708 Telemetry Scanner Kit, MG (9-pin, Type I, 250K)</t>
  </si>
  <si>
    <t>OBD-II Telemetry Scanner Kit, MG (Right angle cable)</t>
  </si>
  <si>
    <t>OBD-II Telemetry Scanner Kit, MG (Y-Cable)</t>
  </si>
  <si>
    <t>OBD-II Telemetry Kit, AirLink (CAN)</t>
  </si>
  <si>
    <t>Asset Tag - Wi-Fi with Temperature Sensor (T5a)</t>
  </si>
  <si>
    <t>Asset Tag - Wi-Fi (T2)</t>
  </si>
  <si>
    <t>DC Power Cable XR80/XR90</t>
  </si>
  <si>
    <t>DC Power Cable XR60</t>
  </si>
  <si>
    <t>DC Power Cable ES/GX/MP/RV/LX</t>
  </si>
  <si>
    <t>12V DC Vehicle Power Adapter</t>
  </si>
  <si>
    <t>oMG-MG Cable+Antenna adaptor</t>
  </si>
  <si>
    <t>DC Power Cable MG90 10ft</t>
  </si>
  <si>
    <t>AC Adaptor, 12 VDC MG90</t>
  </si>
  <si>
    <t>AC Adaptor, 24 VDC XR80/XR90</t>
  </si>
  <si>
    <t>AC Adaptor, 24 VDC XR60</t>
  </si>
  <si>
    <t>AC Adaptor, 12 VDC MP/RX/RV/LX</t>
  </si>
  <si>
    <t>XR RJ45 to Dual DB9 Serial Adapter</t>
  </si>
  <si>
    <t>XR RJ45 to Single DB9 Serial Adapter</t>
  </si>
  <si>
    <t>XR/MP70 J1939 Y Cable</t>
  </si>
  <si>
    <t>XR/MP70 OBD-II Y Cable</t>
  </si>
  <si>
    <t>MG90 DB9 Serial Y Cable</t>
  </si>
  <si>
    <t>MG90 I/O Cable</t>
  </si>
  <si>
    <t>RX55 Serial CAN Y-Cable</t>
  </si>
  <si>
    <t>RV55/RX55 Dual Serial Y-Cable</t>
  </si>
  <si>
    <t>XR/MP/LX I/O Cable</t>
  </si>
  <si>
    <t>XR-MG Mounting bracket adaptor</t>
  </si>
  <si>
    <t>oMG-MG Mounting bracket adaptor</t>
  </si>
  <si>
    <t>RV-GX Mounting bracket adaptor</t>
  </si>
  <si>
    <t>DIN Rail Mounting Bracket for XR80/XR90</t>
  </si>
  <si>
    <t>DIN Rail Mounting Bracket for XR60/RV50X/RV55/RX55</t>
  </si>
  <si>
    <t>DIN Rail Mounting Bracket for LX40</t>
  </si>
  <si>
    <t>DIN Rail Mounting Bracket for LX60</t>
  </si>
  <si>
    <t>Mounting Bracket for MG90</t>
  </si>
  <si>
    <t>Mounting Bracket for XR80/XR90</t>
  </si>
  <si>
    <t>XP-5G XR-Cartridge Global &amp; NAM (5G Sub-6GHz)</t>
  </si>
  <si>
    <t>XP-5G XR-Cartridge Gen2 Global &amp; NAM (5G Sub-6GHz)</t>
  </si>
  <si>
    <t>Router &amp; Gateway Accessories</t>
  </si>
  <si>
    <t>Dual Sharkfin Rib Adapter Kit for (2021 and newer) Ford Explorer/Interceptor</t>
  </si>
  <si>
    <t>Dual Sharkfin Mag Mount Adaptor</t>
  </si>
  <si>
    <t>Dome Mag Mount Adaptor</t>
  </si>
  <si>
    <t>SharkFin Mag Mount Adaptor</t>
  </si>
  <si>
    <t>Stubby WiFi FAKRA Antenna - 2.4/5GHz</t>
  </si>
  <si>
    <t>Paddle Wi-Fi Antenna - 2.4/5GHz</t>
  </si>
  <si>
    <t xml:space="preserve">Paddle 4G Cellular Antenna </t>
  </si>
  <si>
    <t>Paddle 5G/4G Cellular Antenna</t>
  </si>
  <si>
    <t>Paddle LPWA Adhesive Mount Antenna FAKRA</t>
  </si>
  <si>
    <t>Panel Antenna Bracket (Wall/Pole/Mast)</t>
  </si>
  <si>
    <t>5in1 Flat Panel Antenna - 4x5G, GNSS, Adhesive Mount, 3m, FAKRA, Black</t>
  </si>
  <si>
    <t>5in1 Flat Panel Antenna - 4x5G, GNSS L1/L5, Adhesive Mount, 3m, Black</t>
  </si>
  <si>
    <t>7in1 Flat Panel Antenna - 4x5G, GNSS L1/L5, 2xWiFi 2.4/5GHz, Adhesive Mount, 3m, Black</t>
  </si>
  <si>
    <t>5in1 Panel Antenna - 2x5G/LTE, GNSS, 2xWi-Fi 2.4/5GHz, Bolt Mount, 2m, Black</t>
  </si>
  <si>
    <t>4in1 Panel Antenna - 2xLTE, GNSS, 1xWi-Fi, 2.4/5GHz, Bolt Mount, 2m, Black</t>
  </si>
  <si>
    <t>3in1 Panel Antenna - 2x5G/LTE, GNSS, Bolt Mount, 2m, Black</t>
  </si>
  <si>
    <t>3in1 Panel Antenna - 2xLTE, GNSS, Bolt Mount, 1m, Black</t>
  </si>
  <si>
    <t>3in1 Panel Antenna - 2xLTE, GNSS, Bolt Mount, 3m, Black</t>
  </si>
  <si>
    <t>2in1 Panel Antenna - 2xLTE, Bolt Mount, 1m, Black</t>
  </si>
  <si>
    <t>2in1 Panel Antenna - 2xLTE, Bolt Mount, 3m, Black</t>
  </si>
  <si>
    <t>3in1 Wi-Fi Antenna - 3xWi-Fi, 2.4/5GHz, Bolt Mount, 4m, White</t>
  </si>
  <si>
    <t>3in1 Wi-Fi Antenna - 3xWi-Fi, 2.4/5GHz, Bolt Mount, 4m, Black</t>
  </si>
  <si>
    <t>2in1 SharkFin Antenna - 2xLTE, Bolt Mount, 4m, Black</t>
  </si>
  <si>
    <t>3in1 SharkFin Wi-Fi Antenna - 3xWi-Fi, 2.4/5GHz, Bolt Mount, 4m, Black</t>
  </si>
  <si>
    <t>3in1 BAT Antenna - 2xLTE, GNSS, Adhesive Mount, 3m, Black</t>
  </si>
  <si>
    <t>3in1 SharkFin Antenna - 2xLTE, GNSS, Bolt Mount, 4m, Black</t>
  </si>
  <si>
    <t>4in1 BAT Antenna - 2xLTE, GNSS, 1xWi-Fi, 2.4/5GHz, Adhesive Mount, 3m, Black</t>
  </si>
  <si>
    <t>4in1 SharkFin Antenna - 2xLTE, GNSS, 1xWi-Fi, 2.4/5GHz, Bolt Mount, 4m, Black</t>
  </si>
  <si>
    <t>5in1 Dome Antenna - 2xLTE, GNSS, (1+1)Wi-Fi, 2.4/5GHz, Bolt Mount, 5m, Black</t>
  </si>
  <si>
    <t>6in1 SharkFin Antenna - 2xLTE, GNSS, 3xWi-Fi, 2.4/5GHz, Bolt Mount, 4m, White</t>
  </si>
  <si>
    <t>6in1 SharkFin Antenna - 2xLTE, GNSS, 3xWi-Fi, 2.4/5GHz, Bolt Mount, 4m, Black</t>
  </si>
  <si>
    <t xml:space="preserve">6in1 Dome Antenna - 2x4G, GNSS, 3xWi-Fi, 2.4/5GHz, Bolt Mount, 5m, White </t>
  </si>
  <si>
    <t>6in1 Dome Antenna - 2x5G/4G, GNSS, 3xWi-Fi, 2.4/5GHz, Bolt Mount, 5m, White</t>
  </si>
  <si>
    <t>6in1 Dome Antenna - 2x5G/4G, GNSS, 3xWi-Fi, 2.4/5GHz, Bolt Mount, 5m, Black</t>
  </si>
  <si>
    <t xml:space="preserve">8in1 Dome Antenna - 4x5G/4G, GNSS, 3xWi-Fi, 2.4/5GHz, Bolt Mount, 5m, White </t>
  </si>
  <si>
    <t xml:space="preserve">8in1 Dome Antenna - 4x5G/4G, GNSS, 3xWi-Fi, 2.4/5GHz, Bolt Mount, 5m, Black </t>
  </si>
  <si>
    <t>5in1 Industrial Antenna - 4x5G/LTE, GNSS L1/L5, Bolt Mount, 2m, Black</t>
  </si>
  <si>
    <t>7in1 Industrial Antenna - 4x5G/LTE, GNSS L1/L5, 2xWiFi 2.4/5GHz, Bolt Mount, 2m, Black</t>
  </si>
  <si>
    <t>5in1 Long Industrial Antenna - 4x5G/LTE, GNSS L1/L5, Bolt Mount, 2m, Black</t>
  </si>
  <si>
    <t>7in1 Long Industrial Antenna - 4x5G/LTE, GNSS L1/L5, 2.4/5GHz, Bolt Mount, 2m, Black</t>
  </si>
  <si>
    <t>5in1 Reef Sharkfin Antenna - 4x5G/LTE, GNSS L1/L5, Bolt Mount, 4m, Black</t>
  </si>
  <si>
    <t>7in1 Reef Sharkfin Antenna - 4x5G/LTE,GNSS L1/L5,2xWiFi 2.4/5GHz, Bolt Mount, 4m, Black</t>
  </si>
  <si>
    <t>5in1 Dual Sharkfin Antenna - 4x5G/LTE, GNSS L1/L5, Bolt Mount, 4m, White</t>
  </si>
  <si>
    <t>5in1 Dual Sharkfin Antenna - 4x5G/LTE, GNSS L1/L5, Bolt Mount, 4m, Black</t>
  </si>
  <si>
    <t>7in1 Dual Sharkfin Antenna - 4x5G/LTE,GNSS L1/L5,2xWiFi 2.4/5GHz, Bolt Mount, 4m, White</t>
  </si>
  <si>
    <t>7in1 Dual Sharkfin Antenna - 4x5G/LTE,GNSS L1/L5,2xWiFi 2.4/5GHz, Bolt Mount, 4m, Black</t>
  </si>
  <si>
    <t>4in1 Wi-Fi Antenna - 4xWi-Fi 2.4/5GHz, Bolt Mount, 4m, Fakra, White</t>
  </si>
  <si>
    <t>4in1 Wi-Fi Antenna - 4xWi-Fi 2.4/5GHz, Bolt Mount, 4m, Fakra, Black</t>
  </si>
  <si>
    <t>5in1 Dual Sharkfin Antenna - 4x5G/LTE, GNSS, Bolt Mount, 4m, Fakra, White</t>
  </si>
  <si>
    <t>5in1 Dual Sharkfin Antenna - 4x5G/LTE, GNSS, Bolt Mount, 4m, Fakra, Black</t>
  </si>
  <si>
    <t>9in1 Dual Sharkfin Antenna - 4x5G/LTE, GNSS, 4xWi-Fi 2.4/5GHz, Bolt Mount, 4m, Fakra, White</t>
  </si>
  <si>
    <t>9in1 Dual Sharkfin Antenna - 4x5G/LTE, GNSS, 4xWi-Fi 2.4/5GHz, Bolt Mount, 4m, Fakra, Black</t>
  </si>
  <si>
    <t>10in1 Dual Sharkfin Antenna - 4x5G/LTE, GNSS, 5xWi-Fi 2.4/5GHz, Bolt Mount, 4m, Fakra, White</t>
  </si>
  <si>
    <t>10in1 Dual Sharkfin Antenna - 4x5G/LTE, GNSS, 5xWi-Fi 2.4/5GHz, Bolt Mount, 4m, Fakra, Black</t>
  </si>
  <si>
    <t>5in1 Dome Antenna - 4x5G/LTE, GNSS, Bolt Mount, 5m, Fakra, White</t>
  </si>
  <si>
    <t>5in1 Dome Antenna - 4x5G/LTE, GNSS, Bolt Mount, 5m, Fakra, Black</t>
  </si>
  <si>
    <t>9in1 Dome Antenna - 4x5G/LTE, GNSS, 4xWi-Fi 2.4/5GHz, Bolt Mount, 5m, Fakra, White</t>
  </si>
  <si>
    <t>9in1 Dome Antenna - 4x5G/LTE, GNSS, 4xWi-Fi 2.4/5GHz, Bolt Mount, 5m, Fakra, Black</t>
  </si>
  <si>
    <t>10in1 Dome Antenna - 4x5G/LTE, GNSS, 5xWi-Fi 2.4/5GHz, Bolt Mount, 5m, Fakra, White</t>
  </si>
  <si>
    <t>10in1 Dome Antenna - 4x5G/LTE, GNSS, 5xWi-Fi 2.4/5GHz, Bolt Mount, 5m, Fakra, Black</t>
  </si>
  <si>
    <t>Antennas</t>
  </si>
  <si>
    <t>LX40, 4G LTE Router, AU&amp;NZ, Wi-Fi, includes 1-year AirLink Complete</t>
  </si>
  <si>
    <t>LX40, 4G LTE Router, AU&amp;NZ, includes 1-year AirLink Complete</t>
  </si>
  <si>
    <t>LX40, 4G LTE Router, EMEA, Wi-Fi, includes 1-year AirLink Complete</t>
  </si>
  <si>
    <t>LX40, 4G LTE Router, EMEA, includes 1-year AirLink Complete</t>
  </si>
  <si>
    <t>LX40, 4G LTE Router, North America, Wi-Fi, includes 1-year AirLink Complete</t>
  </si>
  <si>
    <t>LX40, 4G LTE Router, North America, includes 1-year AirLink Complete</t>
  </si>
  <si>
    <t>LX60, 4G LTE Router, AU&amp;NZ, Wi-Fi+GNSS, includes 1-year AirLink Complete</t>
  </si>
  <si>
    <t>LX60, 4G LTE Router, AU&amp;NZ, includes 1-year AirLink Complete</t>
  </si>
  <si>
    <t>LX60, 4G LTE Router, EMEA, Wi-Fi+GNSS, includes 1-year AirLink Complete</t>
  </si>
  <si>
    <t>LX60, 4G LTE Router, EMEA, includes 1-year AirLink Complete</t>
  </si>
  <si>
    <t>LX60, 4G LTE Router, North America, Wi-Fi+GNSS+Telemetry, includes 1-year AirLink Complete</t>
  </si>
  <si>
    <t>LX60, 4G LTE Router, North America, Wi-Fi+GNSS, includes 1-year AirLink Complete</t>
  </si>
  <si>
    <t>LX60, 4G LTE Router, North America, includes 1-year AirLink Complete</t>
  </si>
  <si>
    <t>RX55, 4G LTE-A Router, EMEA-APAC, WiFi Plus includes 1-year AirLink Complete</t>
  </si>
  <si>
    <t>RX55, 4G LTE-A Router, EMEA-APAC, WiFi includes 1-year AirLink Complete</t>
  </si>
  <si>
    <t>RX55, 4G LTE-A Router, EMEA-APAC includes 1-year AirLink Complete</t>
  </si>
  <si>
    <t>RX55, 4G LTE-A Router, NA, WiFi Plus includes 1-year AirLink Complete</t>
  </si>
  <si>
    <t>RX55, 4G LTE-A Router, NA, Wi-Fi includes 1-year AirLink Complete</t>
  </si>
  <si>
    <t>RX55, 4G LTE-A Router, NA, includes 1-year AirLink Complete</t>
  </si>
  <si>
    <t>RV50X, 4G LTE-A Router, China, includes 1-year AirLink Complete</t>
  </si>
  <si>
    <t>RV50X, 4G LTE-A Router, APAC, includes 1-year AirLink Complete</t>
  </si>
  <si>
    <t>RV50X, 4G LTE-A Router, North America &amp; EMEA, includes 1-year AirLink Complete</t>
  </si>
  <si>
    <t>RV55, 4G LTE Router, EMEA, includes 1-year AirLink Complete</t>
  </si>
  <si>
    <t>RV55, 4G LTE Router, North America, includes 1-year AirLink Complete</t>
  </si>
  <si>
    <t>RV55, 4G LTE-A Pro Router, Global, Wi-Fi, includes 1-year AirLink Complete</t>
  </si>
  <si>
    <t>RV55, 4G LTE-A Pro Router, Global, includes 1-year AirLink Complete</t>
  </si>
  <si>
    <t>RV55, 4G LTE-A Pro Router, North America (TAA), Wi-Fi, includes 1-year AirLink Complete</t>
  </si>
  <si>
    <t>RV55, 4G LTE-A Pro Router, North America, Wi-Fi, includes 1-year AirLink Complete</t>
  </si>
  <si>
    <t>RV55, 4G LTE-A Pro Router, North America (TAA), includes 1-year AirLink Complete</t>
  </si>
  <si>
    <t>RV55, 4G LTE-A Pro Router, North America, includes 1-year AirLink Complete</t>
  </si>
  <si>
    <t>MP70, 4G LTE-A Pro Router, Global, Wi-Fi, includes 1-year AirLink Complete</t>
  </si>
  <si>
    <t>MP70, 4G LTE-A Pro Router, Global, includes 1-year AirLink Complete</t>
  </si>
  <si>
    <t>MP70, 4G LTE-A Pro Router, North America, Wi-Fi, includes 1-year AirLink Complete</t>
  </si>
  <si>
    <t>MP70, 4G LTE-A Pro Router, North America, includes 1-year AirLink Complete</t>
  </si>
  <si>
    <r>
      <t xml:space="preserve">MG90, Dual LTE-A Pro, Global, </t>
    </r>
    <r>
      <rPr>
        <i/>
        <sz val="10"/>
        <rFont val="Arial"/>
        <family val="2"/>
      </rPr>
      <t>must be ordered with AirLink Support</t>
    </r>
    <r>
      <rPr>
        <sz val="11"/>
        <color theme="1"/>
        <rFont val="Calibri"/>
        <family val="2"/>
        <scheme val="minor"/>
      </rPr>
      <t xml:space="preserve">
</t>
    </r>
    <r>
      <rPr>
        <sz val="10"/>
        <color rgb="FFFF0000"/>
        <rFont val="Arial"/>
        <family val="2"/>
      </rPr>
      <t>LTB 30JUN2025 LTS 31DEC2025</t>
    </r>
  </si>
  <si>
    <r>
      <t xml:space="preserve">MG90, Single LTE-A Pro, Global, </t>
    </r>
    <r>
      <rPr>
        <i/>
        <sz val="10"/>
        <rFont val="Arial"/>
        <family val="2"/>
      </rPr>
      <t>must be ordered with AirLink Support</t>
    </r>
    <r>
      <rPr>
        <sz val="11"/>
        <color theme="1"/>
        <rFont val="Calibri"/>
        <family val="2"/>
        <scheme val="minor"/>
      </rPr>
      <t xml:space="preserve">
</t>
    </r>
    <r>
      <rPr>
        <sz val="10"/>
        <color rgb="FFFF0000"/>
        <rFont val="Arial"/>
        <family val="2"/>
      </rPr>
      <t>LTB 30JUN2025 LTS 31DEC2025</t>
    </r>
  </si>
  <si>
    <r>
      <t xml:space="preserve">MG90, Dual LTE-A Pro, North America, </t>
    </r>
    <r>
      <rPr>
        <i/>
        <sz val="10"/>
        <rFont val="Arial"/>
        <family val="2"/>
      </rPr>
      <t xml:space="preserve">must be ordered with AirLink Support
</t>
    </r>
    <r>
      <rPr>
        <sz val="10"/>
        <color rgb="FFFF0000"/>
        <rFont val="Arial"/>
        <family val="2"/>
      </rPr>
      <t>LTB 30JUN2025 LTS 31DEC2025</t>
    </r>
  </si>
  <si>
    <r>
      <t xml:space="preserve">MG90, Single LTE-A Pro, North America, </t>
    </r>
    <r>
      <rPr>
        <i/>
        <sz val="10"/>
        <rFont val="Arial"/>
        <family val="2"/>
      </rPr>
      <t>must be ordered with AirLink Support</t>
    </r>
    <r>
      <rPr>
        <sz val="11"/>
        <color theme="1"/>
        <rFont val="Calibri"/>
        <family val="2"/>
        <scheme val="minor"/>
      </rPr>
      <t xml:space="preserve">
</t>
    </r>
    <r>
      <rPr>
        <sz val="10"/>
        <color rgb="FFFF0000"/>
        <rFont val="Arial"/>
        <family val="2"/>
      </rPr>
      <t>LTB 30JUN2025 LTS 31DEC2025</t>
    </r>
  </si>
  <si>
    <r>
      <t xml:space="preserve">MG90, Dual 5G 2x2, Global, </t>
    </r>
    <r>
      <rPr>
        <i/>
        <sz val="10"/>
        <rFont val="Arial"/>
        <family val="2"/>
      </rPr>
      <t>must be ordered with AirLink Support</t>
    </r>
    <r>
      <rPr>
        <sz val="11"/>
        <color theme="1"/>
        <rFont val="Calibri"/>
        <family val="2"/>
        <scheme val="minor"/>
      </rPr>
      <t xml:space="preserve">
</t>
    </r>
    <r>
      <rPr>
        <sz val="10"/>
        <color rgb="FFFF0000"/>
        <rFont val="Arial"/>
        <family val="2"/>
      </rPr>
      <t>LTB 30JUN2025 LTS 31DEC2025</t>
    </r>
  </si>
  <si>
    <r>
      <t xml:space="preserve">MG90, Single 5G 4x4, Global, </t>
    </r>
    <r>
      <rPr>
        <i/>
        <sz val="10"/>
        <rFont val="Arial"/>
        <family val="2"/>
      </rPr>
      <t>must be ordered with AirLink Support</t>
    </r>
    <r>
      <rPr>
        <sz val="11"/>
        <color theme="1"/>
        <rFont val="Calibri"/>
        <family val="2"/>
        <scheme val="minor"/>
      </rPr>
      <t xml:space="preserve">
</t>
    </r>
    <r>
      <rPr>
        <sz val="10"/>
        <color rgb="FFFF0000"/>
        <rFont val="Arial"/>
        <family val="2"/>
      </rPr>
      <t>LTB 30JUN2025 LTS 31DEC2025</t>
    </r>
  </si>
  <si>
    <t>XR60, 5G Router, Global (TAA), Dual Ethernet, Wi-Fi, includes 5-year AirLink Complete</t>
  </si>
  <si>
    <t>XR60, 5G Router, Global (TAA), Dual Ethernet, includes 5-year AirLink Complete</t>
  </si>
  <si>
    <t>XR60, 5G Router, Global (TAA), Serial, Ethernet, Wi-Fi, includes 5-year AirLink Complete</t>
  </si>
  <si>
    <t xml:space="preserve">XR60, 5G Router, Global (TAA), Serial, Ethernet, includes 5-year AirLink Complete </t>
  </si>
  <si>
    <t>XR60, 5G Router, Global, Dual Ethernet, Wi-Fi, includes 5-year AirLink Complete</t>
  </si>
  <si>
    <t>XR60, 5G Router, Global, Dual Ethernet, includes 5-year AirLink Complete</t>
  </si>
  <si>
    <t>XR60, 5G Router, Global, Serial, Ethernet, Wi-Fi, includes 5-year AirLink Complete</t>
  </si>
  <si>
    <t>XR60, 5G Router, Global, Serial, Ethernet, includes 5-year AirLink Complete</t>
  </si>
  <si>
    <r>
      <t xml:space="preserve">XR80, 4G LTE Cat-20 Router, Global, Wi-Fi, includes 1-year AirLink Complete
</t>
    </r>
    <r>
      <rPr>
        <sz val="10"/>
        <color rgb="FFFF0000"/>
        <rFont val="Arial"/>
        <family val="2"/>
      </rPr>
      <t>LTB 30JUN2025 LTS 31DEC2025</t>
    </r>
  </si>
  <si>
    <r>
      <t xml:space="preserve">XR80, 4G LTE Cat-20 Router, Global, includes 1-year AirLink Complete
</t>
    </r>
    <r>
      <rPr>
        <sz val="10"/>
        <color rgb="FFFF0000"/>
        <rFont val="Arial"/>
        <family val="2"/>
      </rPr>
      <t>LTB 30JUN2025 LTS 31DEC2025</t>
    </r>
  </si>
  <si>
    <r>
      <t xml:space="preserve">XR80, 5G Router, Global, Wi-Fi, includes 1-year AirLink Complete
</t>
    </r>
    <r>
      <rPr>
        <sz val="10"/>
        <color rgb="FFFF0000"/>
        <rFont val="Arial"/>
        <family val="2"/>
      </rPr>
      <t>LTB 30JUN2025 LTS 31DEC2025</t>
    </r>
  </si>
  <si>
    <r>
      <t xml:space="preserve">XR80, 5G Router, Global, includes 1-year AirLink Complete
</t>
    </r>
    <r>
      <rPr>
        <sz val="10"/>
        <color rgb="FFFF0000"/>
        <rFont val="Arial"/>
        <family val="2"/>
      </rPr>
      <t>LTB 30JUN2025 LTS 31DEC2025</t>
    </r>
  </si>
  <si>
    <r>
      <t xml:space="preserve">XR80, 4G LTE Cat-20 Router, North America, Wi-Fi, includes 1-year AirLink Complete
</t>
    </r>
    <r>
      <rPr>
        <sz val="10"/>
        <color rgb="FFFF0000"/>
        <rFont val="Arial"/>
        <family val="2"/>
      </rPr>
      <t>LTB 30JUN2025 LTS 31DEC2025</t>
    </r>
  </si>
  <si>
    <r>
      <t xml:space="preserve">XR80, 4G LTE Cat-20 Router, North America, includes 1-year AirLink Complete
</t>
    </r>
    <r>
      <rPr>
        <sz val="10"/>
        <color rgb="FFFF0000"/>
        <rFont val="Arial"/>
        <family val="2"/>
      </rPr>
      <t>LTB 30JUN2025 LTS 31DEC2025</t>
    </r>
  </si>
  <si>
    <r>
      <t xml:space="preserve">XR80, 5G Router, North America, Wi-Fi, includes 1-year AirLink Complete
</t>
    </r>
    <r>
      <rPr>
        <sz val="10"/>
        <color rgb="FFFF0000"/>
        <rFont val="Arial"/>
        <family val="2"/>
      </rPr>
      <t>LTB 30JUN2025 LTS 31DEC2025</t>
    </r>
  </si>
  <si>
    <r>
      <t xml:space="preserve">XR80, 5G Router, North America, includes 1-year AirLink Complete
</t>
    </r>
    <r>
      <rPr>
        <sz val="10"/>
        <color rgb="FFFF0000"/>
        <rFont val="Arial"/>
        <family val="2"/>
      </rPr>
      <t>LTB 30JUN2025 LTS 31DEC2025</t>
    </r>
  </si>
  <si>
    <r>
      <t xml:space="preserve">XR90, Dual 5G Router, Global, includes 1-year AirLink Premium
</t>
    </r>
    <r>
      <rPr>
        <sz val="10"/>
        <color rgb="FFFF0000"/>
        <rFont val="Arial"/>
        <family val="2"/>
      </rPr>
      <t>LTB 30JUN2025 LTS 31DEC2025</t>
    </r>
  </si>
  <si>
    <r>
      <t xml:space="preserve">XR90, Single 5G Router, Global, includes 1-year AirLink Premium
</t>
    </r>
    <r>
      <rPr>
        <sz val="10"/>
        <color rgb="FFFF0000"/>
        <rFont val="Arial"/>
        <family val="2"/>
      </rPr>
      <t>LTB 30JUN2025 LTS 31DEC2025</t>
    </r>
  </si>
  <si>
    <r>
      <t xml:space="preserve">XR90, Dual 5G Router, North America, includes 1-year AirLink Premium
</t>
    </r>
    <r>
      <rPr>
        <sz val="10"/>
        <color rgb="FFFF0000"/>
        <rFont val="Arial"/>
        <family val="2"/>
      </rPr>
      <t>LTB 30JUN2025 LTS 31DEC2025</t>
    </r>
  </si>
  <si>
    <r>
      <t xml:space="preserve">XR90, Single 5G Router, North America, includes 1-year AirLink Premium
</t>
    </r>
    <r>
      <rPr>
        <sz val="10"/>
        <color rgb="FFFF0000"/>
        <rFont val="Arial"/>
        <family val="2"/>
      </rPr>
      <t>LTB 30JUN2025 LTS 31DEC2025</t>
    </r>
  </si>
  <si>
    <t>XR80, 5G Gen2 Router, North America, Wi-Fi, includes 1-year AirLink Complete</t>
  </si>
  <si>
    <t xml:space="preserve">XR80, 5G Gen2 Router, North America, includes 1-year AirLink Complete </t>
  </si>
  <si>
    <t>XR90, Dual 5G Gen2 Router, North America, ​includes 1-year AirLink Premium</t>
  </si>
  <si>
    <t>XR90, Dual 5G Gen2 Router, Global, ​includes 1-year AirLink Premium</t>
  </si>
  <si>
    <t>XR90, Single 5G Gen2 Router, Global, ​includes 1-year AirLink Premium</t>
  </si>
  <si>
    <t>List ($ USD)</t>
  </si>
  <si>
    <t>SKU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</si>
</sst>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409]mmmm\ d\,\ yyyy;@"/>
    <numFmt numFmtId="166" formatCode="&quot;$&quot;#,##0.00;[Red]&quot;$&quot;#,##0.00"/>
    <numFmt numFmtId="167" formatCode="[$$-409]#,##0.00;\-[$$-409]#,##0.00"/>
    <numFmt numFmtId="168" formatCode="&quot;$&quot;#,##0"/>
    <numFmt numFmtId="169" formatCode="mm/dd/yy;@"/>
    <numFmt numFmtId="176" formatCode="[$-409]General"/>
    <numFmt numFmtId="177" formatCode="[$€-2]\ #,##0"/>
    <numFmt numFmtId="178" formatCode="[$$-409]#,##0.00"/>
  </numFmts>
  <fonts count="248">
    <font>
      <sz val="11"/>
      <color theme="1"/>
      <name val="Calibri"/>
      <family val="2"/>
      <scheme val="minor"/>
    </font>
    <font>
      <sz val="8"/>
      <name val="Calibri"/>
      <family val="2"/>
      <scheme val="minor"/>
    </font>
    <font>
      <b/>
      <sz val="11"/>
      <name val="Franklin Gothic Book"/>
      <family val="2"/>
    </font>
    <font>
      <sz val="11"/>
      <name val="Franklin Gothic Book"/>
      <family val="2"/>
    </font>
    <font>
      <sz val="11"/>
      <color theme="1"/>
      <name val="Franklin Gothic Book"/>
      <family val="2"/>
    </font>
    <font>
      <b/>
      <sz val="12"/>
      <name val="Times New Roman"/>
      <family val="1"/>
    </font>
    <font>
      <sz val="10"/>
      <name val="Verdana"/>
      <family val="2"/>
    </font>
    <font>
      <sz val="12"/>
      <name val="Times New Roman"/>
      <family val="1"/>
    </font>
    <font>
      <u/>
      <sz val="11"/>
      <name val="Franklin Gothic Book"/>
      <family val="2"/>
    </font>
    <font>
      <b/>
      <sz val="16"/>
      <color rgb="FFFF0000"/>
      <name val="Times New Roman"/>
      <family val="1"/>
    </font>
    <font>
      <b/>
      <u/>
      <sz val="11"/>
      <name val="Franklin Gothic Book"/>
      <family val="2"/>
    </font>
    <font>
      <b/>
      <sz val="12"/>
      <color rgb="FFFF0000"/>
      <name val="Times New Roman"/>
      <family val="1"/>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Calibri"/>
      <family val="2"/>
    </font>
    <font>
      <sz val="8"/>
      <color rgb="FF000000"/>
      <name val="Arial"/>
      <family val="2"/>
    </font>
    <font>
      <sz val="11"/>
      <color rgb="FF000000"/>
      <name val="Aptos Narrow"/>
      <family val="2"/>
    </font>
    <font>
      <b/>
      <sz val="12"/>
      <name val="Franklin Gothic Book"/>
      <family val="2"/>
    </font>
    <font>
      <sz val="11"/>
      <color rgb="FF000000"/>
      <name val="Calibri"/>
      <family val="2"/>
    </font>
    <font>
      <b/>
      <sz val="8"/>
      <color rgb="FF000000"/>
      <name val="Arial"/>
      <family val="2"/>
    </font>
    <font>
      <b/>
      <sz val="8"/>
      <color rgb="FFFFFFFF"/>
      <name val="Arial"/>
      <family val="2"/>
    </font>
    <font>
      <sz val="9"/>
      <color rgb="FF000000"/>
      <name val="Arial"/>
      <family val="2"/>
    </font>
    <font>
      <b/>
      <sz val="11"/>
      <color rgb="FF000000"/>
      <name val="Arial"/>
      <family val="2"/>
    </font>
    <font>
      <sz val="10"/>
      <name val="Arial"/>
      <family val="2"/>
    </font>
    <font>
      <sz val="8"/>
      <color indexed="8"/>
      <name val="Times New Roman"/>
      <family val="1"/>
    </font>
    <font>
      <b/>
      <sz val="12"/>
      <name val="Arial"/>
      <family val="2"/>
    </font>
    <font>
      <b/>
      <sz val="12"/>
      <color indexed="8"/>
      <name val="Times New Roman"/>
      <family val="1"/>
    </font>
    <font>
      <b/>
      <sz val="18"/>
      <color rgb="FFFF0000"/>
      <name val="Arial"/>
      <family val="2"/>
    </font>
    <font>
      <b/>
      <sz val="18"/>
      <color rgb="FFFF0000"/>
      <name val="Times New Roman"/>
      <family val="1"/>
    </font>
    <font>
      <sz val="18"/>
      <color indexed="8"/>
      <name val="Times New Roman"/>
      <family val="1"/>
    </font>
    <font>
      <sz val="18"/>
      <name val="Arial"/>
      <family val="2"/>
    </font>
    <font>
      <b/>
      <sz val="18"/>
      <color indexed="8"/>
      <name val="Times New Roman"/>
      <family val="1"/>
    </font>
    <font>
      <sz val="12"/>
      <color indexed="8"/>
      <name val="Times New Roman"/>
      <family val="1"/>
    </font>
    <font>
      <sz val="12"/>
      <name val="Arial"/>
      <family val="2"/>
    </font>
    <font>
      <sz val="10"/>
      <color indexed="8"/>
      <name val="Times New Roman"/>
      <family val="1"/>
    </font>
    <font>
      <sz val="10"/>
      <color rgb="FF000000"/>
      <name val="Times New Roman"/>
      <family val="1"/>
    </font>
    <font>
      <sz val="10"/>
      <color rgb="FFFF0000"/>
      <name val="Times New Roman"/>
      <family val="1"/>
    </font>
    <font>
      <b/>
      <sz val="8"/>
      <color indexed="8"/>
      <name val="Times New Roman"/>
      <family val="1"/>
    </font>
    <font>
      <b/>
      <sz val="10"/>
      <color indexed="8"/>
      <name val="Times New Roman"/>
      <family val="1"/>
    </font>
    <font>
      <b/>
      <sz val="14"/>
      <color theme="3"/>
      <name val="Times New Roman"/>
      <family val="1"/>
    </font>
    <font>
      <b/>
      <sz val="10"/>
      <color theme="3"/>
      <name val="Times New Roman"/>
      <family val="1"/>
    </font>
    <font>
      <sz val="8"/>
      <color theme="4"/>
      <name val="Times New Roman"/>
      <family val="1"/>
    </font>
    <font>
      <b/>
      <sz val="14"/>
      <color rgb="FFFF0000"/>
      <name val="Times New Roman"/>
      <family val="1"/>
    </font>
    <font>
      <b/>
      <sz val="10"/>
      <name val="Arial"/>
      <family val="2"/>
    </font>
    <font>
      <b/>
      <i/>
      <sz val="18"/>
      <name val="Calibri Light"/>
      <family val="1"/>
      <scheme val="major"/>
    </font>
    <font>
      <b/>
      <sz val="16"/>
      <name val="Arial"/>
      <family val="2"/>
    </font>
    <font>
      <sz val="14"/>
      <name val="Arial"/>
      <family val="2"/>
    </font>
    <font>
      <b/>
      <sz val="14"/>
      <name val="Arial"/>
      <family val="2"/>
    </font>
    <font>
      <b/>
      <i/>
      <sz val="8"/>
      <name val="Arial"/>
      <family val="2"/>
    </font>
    <font>
      <i/>
      <sz val="8"/>
      <name val="Arial"/>
      <family val="2"/>
    </font>
    <font>
      <b/>
      <i/>
      <sz val="9"/>
      <name val="Arial"/>
      <family val="2"/>
    </font>
    <font>
      <b/>
      <sz val="9"/>
      <name val="Arial"/>
      <family val="2"/>
    </font>
    <font>
      <b/>
      <i/>
      <sz val="10"/>
      <name val="Arial"/>
      <family val="2"/>
    </font>
    <font>
      <sz val="10"/>
      <color theme="1"/>
      <name val="Arial"/>
      <family val="2"/>
    </font>
    <font>
      <b/>
      <sz val="8"/>
      <color indexed="8"/>
      <name val="Arial"/>
      <family val="2"/>
    </font>
    <font>
      <b/>
      <sz val="10"/>
      <color indexed="8"/>
      <name val="Arial"/>
      <family val="2"/>
    </font>
    <font>
      <sz val="8"/>
      <name val="Arial"/>
      <family val="2"/>
    </font>
    <font>
      <b/>
      <i/>
      <sz val="12"/>
      <name val="Arial"/>
      <family val="2"/>
    </font>
    <font>
      <i/>
      <sz val="10"/>
      <name val="Arial"/>
      <family val="2"/>
    </font>
    <font>
      <b/>
      <sz val="8"/>
      <name val="Arial"/>
      <family val="2"/>
    </font>
    <font>
      <sz val="10"/>
      <name val="Calibri"/>
      <family val="2"/>
    </font>
    <font>
      <b/>
      <sz val="10"/>
      <color theme="1"/>
      <name val="Arial"/>
      <family val="2"/>
    </font>
    <font>
      <i/>
      <sz val="9"/>
      <name val="Arial"/>
      <family val="2"/>
    </font>
    <font>
      <sz val="9"/>
      <name val="Arial"/>
      <family val="2"/>
    </font>
    <font>
      <b/>
      <i/>
      <sz val="9"/>
      <color rgb="FF000000"/>
      <name val="Arial"/>
      <family val="2"/>
    </font>
    <font>
      <b/>
      <sz val="11"/>
      <name val="Arial"/>
      <family val="2"/>
    </font>
    <font>
      <b/>
      <i/>
      <sz val="11"/>
      <name val="Arial"/>
      <family val="2"/>
    </font>
    <font>
      <b/>
      <sz val="13"/>
      <name val="Arial"/>
      <family val="2"/>
    </font>
    <font>
      <b/>
      <sz val="11"/>
      <color indexed="8"/>
      <name val="Arial"/>
      <family val="2"/>
    </font>
    <font>
      <b/>
      <sz val="10"/>
      <color rgb="FFFF0000"/>
      <name val="Arial"/>
      <family val="2"/>
    </font>
    <font>
      <b/>
      <sz val="26"/>
      <name val="Arial"/>
      <family val="2"/>
    </font>
    <font>
      <b/>
      <sz val="16"/>
      <color indexed="22"/>
      <name val="Arial"/>
      <family val="2"/>
    </font>
    <font>
      <sz val="10"/>
      <color indexed="8"/>
      <name val="MS Sans Serif"/>
    </font>
    <font>
      <sz val="8"/>
      <color indexed="8"/>
      <name val="Arial"/>
      <family val="2"/>
    </font>
    <font>
      <sz val="10"/>
      <color indexed="8"/>
      <name val="MS Sans Serif"/>
      <family val="2"/>
    </font>
    <font>
      <sz val="11"/>
      <color indexed="8"/>
      <name val="Calibri"/>
      <family val="2"/>
      <scheme val="minor"/>
    </font>
    <font>
      <sz val="11"/>
      <name val="Calibri"/>
      <family val="2"/>
      <scheme val="minor"/>
    </font>
    <font>
      <sz val="11"/>
      <color indexed="8"/>
      <name val="Calibri"/>
      <family val="2"/>
    </font>
    <font>
      <sz val="11"/>
      <color rgb="FF000000"/>
      <name val="Calibri"/>
      <family val="2"/>
      <scheme val="minor"/>
    </font>
    <font>
      <sz val="11"/>
      <color rgb="FFC00000"/>
      <name val="Calibri"/>
      <family val="2"/>
      <scheme val="minor"/>
    </font>
    <font>
      <sz val="10"/>
      <color indexed="8"/>
      <name val="Arial"/>
      <family val="2"/>
    </font>
    <font>
      <b/>
      <sz val="10"/>
      <color rgb="FF000000"/>
      <name val="Arial"/>
      <family val="2"/>
    </font>
    <font>
      <sz val="10"/>
      <color rgb="FF00B0F0"/>
      <name val="Arial"/>
      <family val="2"/>
    </font>
    <font>
      <sz val="10"/>
      <color rgb="FF000000"/>
      <name val="Arial"/>
      <family val="2"/>
    </font>
    <font>
      <b/>
      <sz val="16"/>
      <color indexed="8"/>
      <name val="Arial"/>
      <family val="2"/>
    </font>
    <font>
      <sz val="10"/>
      <color theme="1"/>
      <name val="Calibri"/>
      <family val="2"/>
      <scheme val="minor"/>
    </font>
    <font>
      <sz val="10"/>
      <name val="Calibri"/>
      <family val="2"/>
      <scheme val="minor"/>
    </font>
    <font>
      <b/>
      <sz val="11"/>
      <name val="Calibri"/>
      <family val="2"/>
      <scheme val="minor"/>
    </font>
    <font>
      <b/>
      <sz val="10"/>
      <color theme="1"/>
      <name val="Calibri"/>
      <family val="2"/>
      <scheme val="minor"/>
    </font>
    <font>
      <b/>
      <sz val="20"/>
      <color rgb="FFFF0000"/>
      <name val="Calibri"/>
      <family val="2"/>
      <scheme val="minor"/>
    </font>
    <font>
      <sz val="10"/>
      <color theme="0"/>
      <name val="Calibri"/>
      <family val="2"/>
      <scheme val="minor"/>
    </font>
    <font>
      <b/>
      <sz val="12"/>
      <color rgb="FFFF0000"/>
      <name val="Calibri"/>
      <family val="2"/>
      <scheme val="minor"/>
    </font>
    <font>
      <b/>
      <sz val="10"/>
      <color rgb="FFFF0000"/>
      <name val="Calibri"/>
      <family val="2"/>
      <scheme val="minor"/>
    </font>
    <font>
      <b/>
      <sz val="11"/>
      <color rgb="FFFF0000"/>
      <name val="Calibri"/>
      <family val="2"/>
      <scheme val="minor"/>
    </font>
    <font>
      <sz val="10"/>
      <color rgb="FFFF0000"/>
      <name val="Calibri"/>
      <family val="2"/>
      <scheme val="minor"/>
    </font>
    <font>
      <b/>
      <sz val="14"/>
      <color rgb="FFFF0000"/>
      <name val="Calibri"/>
      <family val="2"/>
      <scheme val="minor"/>
    </font>
    <font>
      <b/>
      <sz val="10"/>
      <name val="Calibri"/>
      <family val="2"/>
      <scheme val="minor"/>
    </font>
    <font>
      <b/>
      <sz val="10"/>
      <color rgb="FF0070C0"/>
      <name val="Calibri"/>
      <family val="2"/>
      <scheme val="minor"/>
    </font>
    <font>
      <b/>
      <i/>
      <sz val="11"/>
      <color theme="1"/>
      <name val="Calibri"/>
      <family val="2"/>
      <scheme val="minor"/>
    </font>
    <font>
      <b/>
      <sz val="18"/>
      <color rgb="FFFF0000"/>
      <name val="Calibri"/>
      <family val="2"/>
      <scheme val="minor"/>
    </font>
    <font>
      <b/>
      <i/>
      <sz val="11"/>
      <color theme="0"/>
      <name val="Calibri"/>
      <family val="2"/>
      <scheme val="minor"/>
    </font>
    <font>
      <b/>
      <sz val="10"/>
      <color theme="0"/>
      <name val="Calibri"/>
      <family val="2"/>
      <scheme val="minor"/>
    </font>
    <font>
      <b/>
      <sz val="11"/>
      <name val="Calibri"/>
      <family val="2"/>
    </font>
    <font>
      <sz val="10"/>
      <color rgb="FF000000"/>
      <name val="Calibri"/>
      <family val="2"/>
    </font>
    <font>
      <b/>
      <sz val="16"/>
      <color rgb="FFFF0000"/>
      <name val="Calibri"/>
      <family val="2"/>
      <scheme val="minor"/>
    </font>
    <font>
      <b/>
      <sz val="11"/>
      <color theme="1"/>
      <name val="Calibri"/>
      <family val="2"/>
    </font>
    <font>
      <b/>
      <sz val="10"/>
      <color rgb="FF000000"/>
      <name val="Calibri"/>
      <family val="2"/>
    </font>
    <font>
      <b/>
      <sz val="10"/>
      <color rgb="FFFF0000"/>
      <name val="Calibri"/>
      <family val="2"/>
    </font>
    <font>
      <sz val="10"/>
      <color theme="0"/>
      <name val="Calibri"/>
      <family val="2"/>
    </font>
    <font>
      <b/>
      <i/>
      <sz val="10"/>
      <color rgb="FFFF0000"/>
      <name val="Calibri"/>
      <family val="2"/>
      <scheme val="minor"/>
    </font>
    <font>
      <b/>
      <sz val="11"/>
      <color rgb="FF000000"/>
      <name val="Calibri"/>
      <family val="2"/>
      <scheme val="minor"/>
    </font>
    <font>
      <sz val="10"/>
      <color rgb="FF000000"/>
      <name val="Calibri"/>
      <family val="2"/>
      <scheme val="minor"/>
    </font>
    <font>
      <b/>
      <i/>
      <sz val="11"/>
      <color rgb="FF000000"/>
      <name val="Calibri"/>
      <family val="2"/>
      <scheme val="minor"/>
    </font>
    <font>
      <sz val="15"/>
      <color theme="1"/>
      <name val="Calibri"/>
      <family val="2"/>
      <scheme val="minor"/>
    </font>
    <font>
      <b/>
      <sz val="15"/>
      <name val="Calibri"/>
      <family val="2"/>
      <scheme val="minor"/>
    </font>
    <font>
      <b/>
      <sz val="15"/>
      <color theme="0"/>
      <name val="Calibri"/>
      <family val="2"/>
      <scheme val="minor"/>
    </font>
    <font>
      <b/>
      <i/>
      <sz val="11"/>
      <name val="Calibri"/>
      <family val="2"/>
      <scheme val="minor"/>
    </font>
    <font>
      <sz val="11"/>
      <name val="Calibri"/>
      <family val="2"/>
    </font>
    <font>
      <b/>
      <sz val="11"/>
      <color rgb="FFFFFFFF"/>
      <name val="Arial"/>
      <family val="2"/>
    </font>
    <font>
      <b/>
      <sz val="11"/>
      <color rgb="FF000000"/>
      <name val="Calibri"/>
      <family val="2"/>
    </font>
    <font>
      <u/>
      <sz val="11"/>
      <color rgb="FF003C69"/>
      <name val="Calibri"/>
      <family val="2"/>
    </font>
    <font>
      <u/>
      <sz val="11"/>
      <name val="Calibri"/>
      <family val="2"/>
      <scheme val="minor"/>
    </font>
    <font>
      <sz val="12"/>
      <color rgb="FF777777"/>
      <name val="Arial"/>
      <family val="2"/>
    </font>
    <font>
      <sz val="12"/>
      <color rgb="FF000000"/>
      <name val="Calibri"/>
      <family val="2"/>
    </font>
    <font>
      <sz val="11"/>
      <color rgb="FF212121"/>
      <name val="Arial"/>
      <family val="2"/>
    </font>
    <font>
      <b/>
      <sz val="8"/>
      <name val="Calibri"/>
      <family val="2"/>
      <scheme val="minor"/>
    </font>
    <font>
      <sz val="8"/>
      <color theme="1"/>
      <name val="Calibri"/>
      <family val="2"/>
      <scheme val="minor"/>
    </font>
    <font>
      <sz val="8"/>
      <color indexed="8"/>
      <name val="Calibri"/>
      <family val="2"/>
      <scheme val="minor"/>
    </font>
    <font>
      <sz val="20"/>
      <color indexed="9"/>
      <name val="Calibri"/>
      <family val="2"/>
      <scheme val="minor"/>
    </font>
    <font>
      <b/>
      <sz val="20"/>
      <color indexed="9"/>
      <name val="Calibri"/>
      <family val="2"/>
      <scheme val="minor"/>
    </font>
    <font>
      <b/>
      <sz val="20"/>
      <name val="Calibri"/>
      <family val="2"/>
      <scheme val="minor"/>
    </font>
    <font>
      <i/>
      <sz val="8"/>
      <color indexed="8"/>
      <name val="Calibri"/>
      <family val="2"/>
      <scheme val="minor"/>
    </font>
    <font>
      <b/>
      <sz val="8"/>
      <color indexed="8"/>
      <name val="Calibri"/>
      <family val="2"/>
      <scheme val="minor"/>
    </font>
    <font>
      <i/>
      <sz val="8"/>
      <name val="Calibri"/>
      <family val="2"/>
      <scheme val="minor"/>
    </font>
    <font>
      <sz val="8"/>
      <color indexed="9"/>
      <name val="Calibri"/>
      <family val="2"/>
      <scheme val="minor"/>
    </font>
    <font>
      <b/>
      <i/>
      <sz val="8"/>
      <name val="Calibri"/>
      <family val="2"/>
      <scheme val="minor"/>
    </font>
    <font>
      <b/>
      <sz val="8"/>
      <color indexed="9"/>
      <name val="Calibri"/>
      <family val="2"/>
      <scheme val="minor"/>
    </font>
    <font>
      <i/>
      <sz val="20"/>
      <name val="Calibri"/>
      <family val="2"/>
      <scheme val="minor"/>
    </font>
    <font>
      <i/>
      <sz val="8"/>
      <color rgb="FF000000"/>
      <name val="Calibri"/>
      <family val="2"/>
      <scheme val="minor"/>
    </font>
    <font>
      <b/>
      <sz val="8"/>
      <color theme="1"/>
      <name val="Calibri"/>
      <family val="2"/>
      <scheme val="minor"/>
    </font>
    <font>
      <i/>
      <sz val="8"/>
      <color theme="1"/>
      <name val="Calibri"/>
      <family val="2"/>
      <scheme val="minor"/>
    </font>
    <font>
      <sz val="8"/>
      <color theme="0"/>
      <name val="Calibri"/>
      <family val="2"/>
      <scheme val="minor"/>
    </font>
    <font>
      <b/>
      <sz val="8"/>
      <color theme="0"/>
      <name val="Calibri"/>
      <family val="2"/>
      <scheme val="minor"/>
    </font>
    <font>
      <sz val="8"/>
      <name val="Calibri"/>
      <family val="2"/>
    </font>
    <font>
      <sz val="8"/>
      <color indexed="8"/>
      <name val="Calibri"/>
      <family val="2"/>
    </font>
    <font>
      <b/>
      <sz val="8"/>
      <name val="Calibri"/>
      <family val="2"/>
    </font>
    <font>
      <sz val="8"/>
      <color theme="1"/>
      <name val="Calibri"/>
      <family val="2"/>
    </font>
    <font>
      <b/>
      <i/>
      <sz val="8"/>
      <name val="Calibri"/>
      <family val="2"/>
    </font>
    <font>
      <i/>
      <sz val="8"/>
      <name val="Calibri"/>
      <family val="2"/>
    </font>
    <font>
      <b/>
      <sz val="20"/>
      <name val="Calibri"/>
      <family val="2"/>
    </font>
    <font>
      <b/>
      <i/>
      <sz val="8"/>
      <color rgb="FF000000"/>
      <name val="Calibri"/>
      <family val="2"/>
      <scheme val="minor"/>
    </font>
    <font>
      <sz val="20"/>
      <name val="Calibri"/>
      <family val="2"/>
      <scheme val="minor"/>
    </font>
    <font>
      <sz val="8"/>
      <color rgb="FFFFC000"/>
      <name val="Calibri"/>
      <family val="2"/>
      <scheme val="minor"/>
    </font>
    <font>
      <b/>
      <sz val="20"/>
      <color rgb="FF000000"/>
      <name val="Calibri"/>
      <family val="2"/>
      <scheme val="minor"/>
    </font>
    <font>
      <u/>
      <sz val="12"/>
      <color theme="10"/>
      <name val="宋体"/>
      <charset val="134"/>
    </font>
    <font>
      <u/>
      <sz val="11"/>
      <color theme="10"/>
      <name val="Calibri"/>
      <family val="2"/>
      <scheme val="minor"/>
    </font>
    <font>
      <sz val="10"/>
      <name val="Arial Narrow"/>
      <family val="2"/>
    </font>
    <font>
      <sz val="11"/>
      <name val="Arial Narrow"/>
      <family val="2"/>
    </font>
    <font>
      <b/>
      <sz val="10"/>
      <color indexed="53"/>
      <name val="Arial Narrow"/>
      <family val="2"/>
    </font>
    <font>
      <i/>
      <sz val="10"/>
      <name val="Arial Narrow"/>
      <family val="2"/>
    </font>
    <font>
      <sz val="10"/>
      <color theme="1"/>
      <name val="Arial Narrow"/>
      <family val="2"/>
    </font>
    <font>
      <vertAlign val="superscript"/>
      <sz val="10"/>
      <name val="Arial Narrow"/>
      <family val="2"/>
    </font>
    <font>
      <i/>
      <sz val="9"/>
      <name val="Arial Narrow"/>
      <family val="2"/>
    </font>
    <font>
      <u/>
      <sz val="7.5"/>
      <color indexed="12"/>
      <name val="Arial"/>
      <family val="2"/>
    </font>
    <font>
      <sz val="10"/>
      <color rgb="FF00B0F0"/>
      <name val="Arial Narrow"/>
      <family val="2"/>
    </font>
    <font>
      <sz val="11"/>
      <color theme="1"/>
      <name val="Arial Narrow"/>
      <family val="2"/>
    </font>
    <font>
      <b/>
      <sz val="10"/>
      <color indexed="23"/>
      <name val="Arial Narrow"/>
      <family val="2"/>
    </font>
    <font>
      <sz val="10"/>
      <color indexed="23"/>
      <name val="Arial Narrow"/>
      <family val="2"/>
    </font>
    <font>
      <strike/>
      <sz val="10"/>
      <color rgb="FFCC3399"/>
      <name val="Arial Narrow"/>
      <family val="2"/>
    </font>
    <font>
      <b/>
      <sz val="10"/>
      <color indexed="55"/>
      <name val="Arial Narrow"/>
      <family val="2"/>
    </font>
    <font>
      <sz val="10"/>
      <color indexed="55"/>
      <name val="Arial Narrow"/>
      <family val="2"/>
    </font>
    <font>
      <sz val="8"/>
      <name val="Arial Narrow"/>
      <family val="2"/>
    </font>
    <font>
      <i/>
      <sz val="8"/>
      <name val="Arial Narrow"/>
      <family val="2"/>
    </font>
    <font>
      <sz val="10.5"/>
      <name val="Arial Narrow"/>
      <family val="2"/>
    </font>
    <font>
      <vertAlign val="superscript"/>
      <sz val="10.5"/>
      <name val="Arial Narrow"/>
      <family val="2"/>
    </font>
    <font>
      <b/>
      <sz val="10.5"/>
      <name val="Arial Narrow"/>
      <family val="2"/>
    </font>
    <font>
      <sz val="10.5"/>
      <color theme="1"/>
      <name val="Arial Narrow"/>
      <family val="2"/>
    </font>
    <font>
      <vertAlign val="superscript"/>
      <sz val="10.5"/>
      <color theme="1"/>
      <name val="Arial Narrow"/>
      <family val="2"/>
    </font>
    <font>
      <i/>
      <sz val="10"/>
      <color theme="1"/>
      <name val="Arial Narrow"/>
      <family val="2"/>
    </font>
    <font>
      <i/>
      <vertAlign val="superscript"/>
      <sz val="10"/>
      <color theme="1"/>
      <name val="Arial Narrow"/>
      <family val="2"/>
    </font>
    <font>
      <sz val="9"/>
      <color theme="1"/>
      <name val="Arial Narrow"/>
      <family val="2"/>
    </font>
    <font>
      <vertAlign val="superscript"/>
      <sz val="10"/>
      <color theme="1"/>
      <name val="Arial Narrow"/>
      <family val="2"/>
    </font>
    <font>
      <sz val="9"/>
      <name val="Arial Narrow"/>
      <family val="2"/>
    </font>
    <font>
      <b/>
      <sz val="10"/>
      <name val="Arial Narrow"/>
      <family val="2"/>
    </font>
    <font>
      <i/>
      <sz val="10"/>
      <color theme="3" tint="-0.499984740745262"/>
      <name val="Arial Narrow"/>
      <family val="2"/>
    </font>
    <font>
      <i/>
      <vertAlign val="superscript"/>
      <sz val="10"/>
      <color theme="3" tint="-0.499984740745262"/>
      <name val="Arial Narrow"/>
      <family val="2"/>
    </font>
    <font>
      <sz val="16"/>
      <name val="Arial Narrow"/>
      <family val="2"/>
    </font>
    <font>
      <b/>
      <i/>
      <sz val="11"/>
      <color indexed="10"/>
      <name val="Arial"/>
      <family val="2"/>
    </font>
    <font>
      <b/>
      <i/>
      <sz val="16"/>
      <color indexed="53"/>
      <name val="Arial"/>
      <family val="2"/>
    </font>
    <font>
      <sz val="11"/>
      <name val="Franklin Gothic Book"/>
    </font>
    <font>
      <sz val="11"/>
      <color rgb="FF000000"/>
      <name val="Franklin Gothic Book"/>
    </font>
    <font>
      <sz val="18"/>
      <color theme="1"/>
      <name val="Calibri"/>
      <family val="2"/>
      <scheme val="minor"/>
    </font>
    <font>
      <sz val="11"/>
      <color theme="1"/>
      <name val="Arial"/>
      <family val="2"/>
    </font>
    <font>
      <i/>
      <sz val="11"/>
      <color theme="1"/>
      <name val="Arial"/>
      <family val="2"/>
    </font>
    <font>
      <b/>
      <sz val="13"/>
      <color theme="1"/>
      <name val="Arial"/>
      <family val="2"/>
    </font>
    <font>
      <b/>
      <sz val="11"/>
      <color theme="1"/>
      <name val="Arial"/>
      <family val="2"/>
    </font>
    <font>
      <b/>
      <sz val="14"/>
      <color theme="1"/>
      <name val="Arial"/>
      <family val="2"/>
    </font>
    <font>
      <sz val="8"/>
      <color rgb="FF001F5F"/>
      <name val="Calibri"/>
      <family val="2"/>
    </font>
    <font>
      <b/>
      <sz val="10.5"/>
      <name val="Calibri"/>
      <family val="2"/>
    </font>
    <font>
      <b/>
      <sz val="10.5"/>
      <color rgb="FFFFFFFF"/>
      <name val="Calibri"/>
      <family val="2"/>
    </font>
    <font>
      <b/>
      <sz val="7"/>
      <name val="Calibri"/>
      <family val="2"/>
    </font>
    <font>
      <b/>
      <sz val="7"/>
      <color rgb="FF001F5F"/>
      <name val="Calibri"/>
      <family val="2"/>
    </font>
    <font>
      <sz val="6"/>
      <color rgb="FF001F5F"/>
      <name val="Calibri"/>
      <family val="2"/>
    </font>
    <font>
      <sz val="5.5"/>
      <color rgb="FF001F5F"/>
      <name val="Calibri"/>
      <family val="2"/>
    </font>
    <font>
      <b/>
      <sz val="8"/>
      <color rgb="FF001F5F"/>
      <name val="Calibri"/>
      <family val="2"/>
    </font>
    <font>
      <b/>
      <sz val="4"/>
      <color rgb="FF001F5F"/>
      <name val="Calibri"/>
      <family val="2"/>
    </font>
    <font>
      <b/>
      <u/>
      <sz val="8"/>
      <color rgb="FF001F5F"/>
      <name val="Calibri"/>
      <family val="2"/>
    </font>
    <font>
      <b/>
      <u/>
      <sz val="4"/>
      <color rgb="FF001F5F"/>
      <name val="Calibri"/>
      <family val="2"/>
    </font>
    <font>
      <b/>
      <sz val="6"/>
      <color rgb="FF001F5F"/>
      <name val="Calibri"/>
      <family val="2"/>
    </font>
    <font>
      <sz val="4"/>
      <color rgb="FF001F5F"/>
      <name val="Calibri"/>
      <family val="2"/>
    </font>
    <font>
      <sz val="7"/>
      <name val="Calibri"/>
      <family val="2"/>
    </font>
    <font>
      <sz val="7"/>
      <color rgb="FF001F5F"/>
      <name val="Calibri"/>
      <family val="2"/>
    </font>
    <font>
      <b/>
      <sz val="10.5"/>
      <color rgb="FF001F5F"/>
      <name val="Calibri"/>
      <family val="2"/>
    </font>
    <font>
      <b/>
      <sz val="8"/>
      <color rgb="FFFF0000"/>
      <name val="Calibri"/>
      <family val="2"/>
    </font>
    <font>
      <b/>
      <u/>
      <sz val="8"/>
      <color rgb="FFFF0000"/>
      <name val="Calibri"/>
      <family val="2"/>
    </font>
    <font>
      <b/>
      <u/>
      <sz val="8"/>
      <color rgb="FF00AF50"/>
      <name val="Calibri"/>
      <family val="2"/>
    </font>
    <font>
      <b/>
      <u/>
      <sz val="8"/>
      <color rgb="FF16365C"/>
      <name val="Calibri"/>
      <family val="2"/>
    </font>
    <font>
      <sz val="25"/>
      <name val="Machine-Light"/>
    </font>
    <font>
      <sz val="25"/>
      <color rgb="FFFF0000"/>
      <name val="Machine-Light"/>
    </font>
    <font>
      <sz val="25"/>
      <color rgb="FF1F487C"/>
      <name val="Machine-Light"/>
    </font>
    <font>
      <sz val="11"/>
      <color rgb="FF000000"/>
      <name val="Franklin Gothic Book"/>
      <family val="2"/>
    </font>
    <font>
      <sz val="10"/>
      <color theme="1"/>
      <name val="Franklin Gothic Book"/>
      <family val="2"/>
    </font>
    <font>
      <b/>
      <sz val="11"/>
      <color theme="1"/>
      <name val="Franklin Gothic Book"/>
      <family val="2"/>
    </font>
    <font>
      <sz val="14"/>
      <color theme="1"/>
      <name val="Calibri"/>
      <family val="2"/>
    </font>
    <font>
      <b/>
      <sz val="14"/>
      <color theme="1"/>
      <name val="Calibri"/>
      <family val="2"/>
    </font>
    <font>
      <sz val="11"/>
      <color rgb="FF404040"/>
      <name val="Calibri Light"/>
      <family val="2"/>
    </font>
    <font>
      <sz val="11"/>
      <name val="Verdana"/>
      <family val="2"/>
    </font>
    <font>
      <sz val="12"/>
      <name val="Calibri"/>
      <family val="2"/>
    </font>
    <font>
      <u/>
      <sz val="11"/>
      <name val="Calibri"/>
      <family val="2"/>
    </font>
    <font>
      <u/>
      <sz val="11"/>
      <color theme="1"/>
      <name val="Calibri"/>
      <family val="2"/>
    </font>
    <font>
      <u/>
      <sz val="11"/>
      <color theme="1"/>
      <name val="Calibri"/>
      <family val="2"/>
      <scheme val="minor"/>
    </font>
    <font>
      <sz val="11"/>
      <color rgb="FF404040"/>
      <name val="Calibri"/>
      <family val="2"/>
    </font>
    <font>
      <u/>
      <sz val="11"/>
      <color rgb="FF404040"/>
      <name val="Calibri"/>
      <family val="2"/>
    </font>
    <font>
      <b/>
      <sz val="11"/>
      <color rgb="FF0070C0"/>
      <name val="Calibri"/>
      <family val="2"/>
    </font>
    <font>
      <sz val="14"/>
      <color rgb="FFFF0000"/>
      <name val="Calibri"/>
      <family val="2"/>
    </font>
    <font>
      <b/>
      <sz val="11"/>
      <color rgb="FFFF0000"/>
      <name val="Calibri"/>
      <family val="2"/>
    </font>
    <font>
      <b/>
      <sz val="14"/>
      <name val="Calibri"/>
      <family val="2"/>
    </font>
    <font>
      <b/>
      <sz val="14"/>
      <name val="Calibri"/>
      <family val="2"/>
      <scheme val="minor"/>
    </font>
    <font>
      <b/>
      <sz val="14"/>
      <color rgb="FF000000"/>
      <name val="Calibri"/>
      <family val="2"/>
    </font>
    <font>
      <sz val="11"/>
      <name val="Arial"/>
      <family val="1"/>
    </font>
    <font>
      <sz val="10"/>
      <color theme="0"/>
      <name val="Arial"/>
      <family val="2"/>
    </font>
    <font>
      <b/>
      <sz val="10"/>
      <color theme="0"/>
      <name val="Arial"/>
      <family val="2"/>
    </font>
    <font>
      <sz val="10"/>
      <color rgb="FFFF0000"/>
      <name val="Arial"/>
      <family val="2"/>
    </font>
    <font>
      <b/>
      <sz val="9"/>
      <color theme="1"/>
      <name val="Arial"/>
      <family val="2"/>
    </font>
    <font>
      <b/>
      <sz val="9"/>
      <color theme="0"/>
      <name val="Arial"/>
      <family val="2"/>
    </font>
  </fonts>
  <fills count="41">
    <fill>
      <patternFill patternType="none"/>
    </fill>
    <fill>
      <patternFill patternType="gray125"/>
    </fill>
    <fill>
      <patternFill patternType="solid">
        <fgColor rgb="FFFFFF00"/>
        <bgColor indexed="64"/>
      </patternFill>
    </fill>
    <fill>
      <patternFill patternType="solid">
        <fgColor rgb="FFFFFFFF"/>
        <bgColor rgb="FF000000"/>
      </patternFill>
    </fill>
    <fill>
      <patternFill patternType="solid">
        <fgColor theme="0"/>
        <bgColor indexed="64"/>
      </patternFill>
    </fill>
    <fill>
      <patternFill patternType="solid">
        <fgColor theme="2" tint="-9.9978637043366805E-2"/>
        <bgColor indexed="64"/>
      </patternFill>
    </fill>
    <fill>
      <patternFill patternType="solid">
        <fgColor theme="4" tint="0.39997558519241921"/>
        <bgColor indexed="65"/>
      </patternFill>
    </fill>
    <fill>
      <patternFill patternType="solid">
        <fgColor rgb="FFC6C8CA"/>
        <bgColor rgb="FF000000"/>
      </patternFill>
    </fill>
    <fill>
      <patternFill patternType="solid">
        <fgColor rgb="FF000000"/>
        <bgColor rgb="FF000000"/>
      </patternFill>
    </fill>
    <fill>
      <patternFill patternType="solid">
        <fgColor rgb="FFDADADA"/>
        <bgColor rgb="FF000000"/>
      </patternFill>
    </fill>
    <fill>
      <patternFill patternType="solid">
        <fgColor rgb="FFC0C0C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FF"/>
        <bgColor indexed="64"/>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theme="0" tint="-0.14999847407452621"/>
        <bgColor indexed="64"/>
      </patternFill>
    </fill>
    <fill>
      <patternFill patternType="solid">
        <fgColor theme="1"/>
        <bgColor indexed="64"/>
      </patternFill>
    </fill>
    <fill>
      <patternFill patternType="solid">
        <fgColor rgb="FFDE6449"/>
      </patternFill>
    </fill>
    <fill>
      <patternFill patternType="solid">
        <fgColor rgb="FFD5D9E2"/>
        <bgColor rgb="FF000000"/>
      </patternFill>
    </fill>
    <fill>
      <patternFill patternType="solid">
        <fgColor theme="0" tint="-0.14999847407452621"/>
        <bgColor theme="0" tint="-0.14999847407452621"/>
      </patternFill>
    </fill>
    <fill>
      <patternFill patternType="solid">
        <fgColor theme="4" tint="0.79998168889431442"/>
        <bgColor theme="4" tint="0.79998168889431442"/>
      </patternFill>
    </fill>
    <fill>
      <patternFill patternType="solid">
        <fgColor rgb="FFFFFFCC"/>
      </patternFill>
    </fill>
    <fill>
      <patternFill patternType="solid">
        <fgColor rgb="FFDDEBF7"/>
        <bgColor rgb="FFDDEBF7"/>
      </patternFill>
    </fill>
    <fill>
      <patternFill patternType="solid">
        <fgColor theme="9" tint="0.79998168889431442"/>
        <bgColor indexed="64"/>
      </patternFill>
    </fill>
    <fill>
      <patternFill patternType="solid">
        <fgColor indexed="53"/>
        <bgColor indexed="64"/>
      </patternFill>
    </fill>
    <fill>
      <patternFill patternType="solid">
        <fgColor rgb="FFFFFFFF"/>
        <bgColor rgb="FFFFFFFF"/>
      </patternFill>
    </fill>
    <fill>
      <patternFill patternType="solid">
        <fgColor rgb="FFCFE2F3"/>
        <bgColor rgb="FFCFE2F3"/>
      </patternFill>
    </fill>
    <fill>
      <patternFill patternType="solid">
        <fgColor rgb="FFFFF2CC"/>
        <bgColor rgb="FFFFF2CC"/>
      </patternFill>
    </fill>
    <fill>
      <patternFill patternType="solid">
        <fgColor rgb="FFEFEFEF"/>
        <bgColor rgb="FFEFEFEF"/>
      </patternFill>
    </fill>
    <fill>
      <patternFill patternType="solid">
        <fgColor rgb="FF528DD4"/>
      </patternFill>
    </fill>
    <fill>
      <patternFill patternType="solid">
        <fgColor rgb="FFD2D2D2"/>
      </patternFill>
    </fill>
    <fill>
      <patternFill patternType="solid">
        <fgColor rgb="FFFF0000"/>
      </patternFill>
    </fill>
    <fill>
      <patternFill patternType="solid">
        <fgColor theme="6" tint="0.59999389629810485"/>
        <bgColor rgb="FF000000"/>
      </patternFill>
    </fill>
    <fill>
      <patternFill patternType="solid">
        <fgColor theme="9" tint="0.59999389629810485"/>
        <bgColor indexed="64"/>
      </patternFill>
    </fill>
    <fill>
      <patternFill patternType="solid">
        <fgColor rgb="FFE53B30"/>
        <bgColor indexed="64"/>
      </patternFill>
    </fill>
    <fill>
      <patternFill patternType="solid">
        <fgColor theme="7" tint="0.59999389629810485"/>
        <bgColor indexed="64"/>
      </patternFill>
    </fill>
    <fill>
      <gradientFill degree="90">
        <stop position="0">
          <color theme="0"/>
        </stop>
        <stop position="1">
          <color theme="0" tint="-0.1490218817712943"/>
        </stop>
      </gradientFill>
    </fill>
  </fills>
  <borders count="40">
    <border>
      <left/>
      <right/>
      <top/>
      <bottom/>
      <diagonal/>
    </border>
    <border>
      <left style="thin">
        <color rgb="FFA6A6A6"/>
      </left>
      <right/>
      <top style="thin">
        <color rgb="FFA6A6A6"/>
      </top>
      <bottom/>
      <diagonal/>
    </border>
    <border>
      <left/>
      <right/>
      <top style="thin">
        <color rgb="FFA6A6A6"/>
      </top>
      <bottom/>
      <diagonal/>
    </border>
    <border>
      <left/>
      <right style="thin">
        <color rgb="FFA6A6A6"/>
      </right>
      <top style="thin">
        <color rgb="FFA6A6A6"/>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B7B7B8"/>
      </left>
      <right style="thin">
        <color rgb="FFB7B7B8"/>
      </right>
      <top style="thin">
        <color rgb="FFB7B7B8"/>
      </top>
      <bottom style="thin">
        <color rgb="FFB7B7B8"/>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right/>
      <top/>
      <bottom style="medium">
        <color indexed="64"/>
      </bottom>
      <diagonal/>
    </border>
    <border>
      <left style="thin">
        <color rgb="FFB2B2B2"/>
      </left>
      <right style="thin">
        <color rgb="FFB2B2B2"/>
      </right>
      <top style="thin">
        <color rgb="FFB2B2B2"/>
      </top>
      <bottom style="thin">
        <color rgb="FFB2B2B2"/>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indexed="64"/>
      </right>
      <top style="thin">
        <color indexed="64"/>
      </top>
      <bottom style="thin">
        <color indexed="64"/>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style="thin">
        <color rgb="FFFF0000"/>
      </top>
      <bottom style="thin">
        <color auto="1"/>
      </bottom>
      <diagonal/>
    </border>
    <border>
      <left/>
      <right/>
      <top style="thin">
        <color rgb="FFFF0000"/>
      </top>
      <bottom/>
      <diagonal/>
    </border>
    <border>
      <left style="thin">
        <color rgb="FFFF0000"/>
      </left>
      <right/>
      <top/>
      <bottom/>
      <diagonal/>
    </border>
    <border>
      <left style="thin">
        <color theme="0" tint="-0.499984740745262"/>
      </left>
      <right style="thin">
        <color theme="0" tint="-0.499984740745262"/>
      </right>
      <top style="thin">
        <color auto="1"/>
      </top>
      <bottom style="thin">
        <color auto="1"/>
      </bottom>
      <diagonal/>
    </border>
    <border>
      <left/>
      <right style="thin">
        <color theme="0"/>
      </right>
      <top style="thin">
        <color theme="0"/>
      </top>
      <bottom/>
      <diagonal/>
    </border>
  </borders>
  <cellStyleXfs count="47">
    <xf numFmtId="0" fontId="0" fillId="0" borderId="0"/>
    <xf numFmtId="0" fontId="6"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21" fillId="0" borderId="0"/>
    <xf numFmtId="49" fontId="26" fillId="0" borderId="0" applyProtection="0"/>
    <xf numFmtId="9" fontId="26" fillId="0" borderId="0" applyFont="0" applyFill="0" applyBorder="0" applyAlignment="0" applyProtection="0"/>
    <xf numFmtId="0" fontId="26" fillId="0" borderId="0"/>
    <xf numFmtId="0" fontId="26" fillId="0" borderId="0"/>
    <xf numFmtId="0" fontId="26" fillId="0" borderId="0"/>
    <xf numFmtId="0" fontId="75" fillId="0" borderId="0"/>
    <xf numFmtId="44" fontId="77" fillId="0" borderId="0" applyFont="0" applyFill="0" applyBorder="0" applyAlignment="0" applyProtection="0"/>
    <xf numFmtId="44" fontId="75" fillId="0" borderId="0" applyFont="0" applyFill="0" applyBorder="0" applyAlignment="0" applyProtection="0"/>
    <xf numFmtId="0" fontId="12" fillId="0" borderId="0"/>
    <xf numFmtId="0" fontId="12" fillId="0" borderId="0"/>
    <xf numFmtId="0" fontId="12" fillId="0" borderId="0"/>
    <xf numFmtId="0" fontId="83" fillId="0" borderId="0">
      <alignment vertical="top"/>
    </xf>
    <xf numFmtId="0" fontId="120" fillId="0" borderId="0"/>
    <xf numFmtId="0" fontId="12" fillId="0" borderId="0"/>
    <xf numFmtId="0" fontId="120" fillId="0" borderId="0"/>
    <xf numFmtId="0" fontId="123" fillId="0" borderId="0" applyNumberFormat="0" applyFill="0" applyBorder="0" applyAlignment="0" applyProtection="0">
      <alignment vertical="top"/>
      <protection locked="0"/>
    </xf>
    <xf numFmtId="0" fontId="80" fillId="0" borderId="0" applyFill="0" applyProtection="0"/>
    <xf numFmtId="0" fontId="77" fillId="0" borderId="0"/>
    <xf numFmtId="0" fontId="77" fillId="0" borderId="0"/>
    <xf numFmtId="0" fontId="16" fillId="6" borderId="0" applyNumberFormat="0" applyBorder="0" applyAlignment="0" applyProtection="0"/>
    <xf numFmtId="0" fontId="80" fillId="0" borderId="0" applyFill="0" applyProtection="0"/>
    <xf numFmtId="0" fontId="12" fillId="0" borderId="0"/>
    <xf numFmtId="0" fontId="77" fillId="0" borderId="0"/>
    <xf numFmtId="0" fontId="77" fillId="0" borderId="0"/>
    <xf numFmtId="0" fontId="83" fillId="0" borderId="0"/>
    <xf numFmtId="0" fontId="80" fillId="0" borderId="0" applyFill="0" applyProtection="0"/>
    <xf numFmtId="44" fontId="26" fillId="0" borderId="0" applyFont="0" applyFill="0" applyBorder="0" applyAlignment="0" applyProtection="0"/>
    <xf numFmtId="0" fontId="157" fillId="0" borderId="0" applyNumberFormat="0" applyFill="0" applyBorder="0" applyAlignment="0" applyProtection="0">
      <alignment vertical="top"/>
      <protection locked="0"/>
    </xf>
    <xf numFmtId="44" fontId="26" fillId="0" borderId="0" applyFont="0" applyFill="0" applyBorder="0" applyAlignment="0" applyProtection="0"/>
    <xf numFmtId="0" fontId="12" fillId="0" borderId="0"/>
    <xf numFmtId="0" fontId="26" fillId="25" borderId="21" applyNumberFormat="0" applyFont="0" applyAlignment="0" applyProtection="0"/>
    <xf numFmtId="0" fontId="166" fillId="0" borderId="0" applyNumberFormat="0" applyFill="0" applyBorder="0" applyAlignment="0" applyProtection="0">
      <alignment vertical="top"/>
      <protection locked="0"/>
    </xf>
    <xf numFmtId="0" fontId="158" fillId="0" borderId="0" applyNumberFormat="0" applyFill="0" applyBorder="0" applyAlignment="0" applyProtection="0"/>
    <xf numFmtId="0" fontId="114" fillId="0" borderId="0"/>
    <xf numFmtId="0" fontId="38" fillId="0" borderId="0"/>
    <xf numFmtId="0" fontId="79" fillId="0" borderId="0"/>
    <xf numFmtId="44" fontId="26" fillId="0" borderId="0" applyBorder="0" applyAlignment="0" applyProtection="0"/>
    <xf numFmtId="176" fontId="228" fillId="0" borderId="0" applyBorder="0" applyProtection="0">
      <alignment horizontal="center" vertical="center"/>
    </xf>
    <xf numFmtId="176" fontId="21" fillId="0" borderId="0" applyBorder="0" applyProtection="0"/>
    <xf numFmtId="0" fontId="242" fillId="0" borderId="0"/>
    <xf numFmtId="177" fontId="26" fillId="0" borderId="0"/>
  </cellStyleXfs>
  <cellXfs count="1245">
    <xf numFmtId="0" fontId="0" fillId="0" borderId="0" xfId="0"/>
    <xf numFmtId="0" fontId="0" fillId="0" borderId="0" xfId="0" applyAlignment="1">
      <alignment horizontal="center"/>
    </xf>
    <xf numFmtId="0" fontId="0" fillId="0" borderId="0" xfId="0" applyAlignment="1">
      <alignment horizontal="left"/>
    </xf>
    <xf numFmtId="0" fontId="2" fillId="0" borderId="0" xfId="0" applyFont="1" applyAlignment="1">
      <alignment horizontal="left" vertical="center" wrapText="1"/>
    </xf>
    <xf numFmtId="0" fontId="3" fillId="0" borderId="4" xfId="1" applyFont="1" applyBorder="1" applyAlignment="1">
      <alignment horizontal="center" wrapText="1"/>
    </xf>
    <xf numFmtId="164" fontId="3" fillId="0" borderId="4" xfId="1" applyNumberFormat="1" applyFont="1" applyBorder="1" applyAlignment="1">
      <alignment horizontal="center" wrapText="1"/>
    </xf>
    <xf numFmtId="0" fontId="7" fillId="4" borderId="4" xfId="1" applyFont="1" applyFill="1" applyBorder="1" applyAlignment="1">
      <alignment horizontal="center" wrapText="1"/>
    </xf>
    <xf numFmtId="0" fontId="3" fillId="4" borderId="4" xfId="1" applyFont="1" applyFill="1" applyBorder="1" applyAlignment="1">
      <alignment horizontal="center" wrapText="1"/>
    </xf>
    <xf numFmtId="164" fontId="3" fillId="4" borderId="4" xfId="1" applyNumberFormat="1" applyFont="1" applyFill="1" applyBorder="1" applyAlignment="1">
      <alignment horizontal="center" wrapText="1"/>
    </xf>
    <xf numFmtId="49" fontId="4" fillId="0" borderId="4" xfId="0" applyNumberFormat="1" applyFont="1" applyBorder="1" applyAlignment="1" applyProtection="1">
      <alignment horizontal="center" vertical="center" wrapText="1"/>
      <protection hidden="1"/>
    </xf>
    <xf numFmtId="0" fontId="7" fillId="5" borderId="4" xfId="1" applyFont="1" applyFill="1" applyBorder="1" applyAlignment="1">
      <alignment horizontal="center" wrapText="1"/>
    </xf>
    <xf numFmtId="0" fontId="9" fillId="5" borderId="4" xfId="1" applyFont="1" applyFill="1" applyBorder="1" applyAlignment="1">
      <alignment horizontal="center" vertical="top" wrapText="1"/>
    </xf>
    <xf numFmtId="164" fontId="7" fillId="5" borderId="4" xfId="1" applyNumberFormat="1" applyFont="1" applyFill="1" applyBorder="1" applyAlignment="1">
      <alignment horizontal="center" wrapText="1"/>
    </xf>
    <xf numFmtId="0" fontId="5" fillId="5" borderId="4" xfId="1" applyFont="1" applyFill="1" applyBorder="1" applyAlignment="1">
      <alignment horizontal="center" wrapText="1"/>
    </xf>
    <xf numFmtId="164" fontId="5" fillId="5" borderId="4" xfId="1" applyNumberFormat="1" applyFont="1" applyFill="1" applyBorder="1" applyAlignment="1">
      <alignment horizontal="center" wrapText="1"/>
    </xf>
    <xf numFmtId="0" fontId="11" fillId="5" borderId="4" xfId="1" applyFont="1" applyFill="1" applyBorder="1" applyAlignment="1">
      <alignment horizontal="center" wrapText="1"/>
    </xf>
    <xf numFmtId="164" fontId="11" fillId="5" borderId="4" xfId="1" applyNumberFormat="1" applyFont="1" applyFill="1" applyBorder="1" applyAlignment="1">
      <alignment horizontal="center" wrapText="1"/>
    </xf>
    <xf numFmtId="0" fontId="20" fillId="0" borderId="4" xfId="1" applyFont="1" applyBorder="1" applyAlignment="1">
      <alignment horizontal="center" wrapText="1"/>
    </xf>
    <xf numFmtId="0" fontId="21" fillId="0" borderId="0" xfId="5"/>
    <xf numFmtId="0" fontId="18" fillId="3" borderId="6" xfId="5" applyFont="1" applyFill="1" applyBorder="1" applyAlignment="1">
      <alignment horizontal="center" vertical="center"/>
    </xf>
    <xf numFmtId="0" fontId="18" fillId="3" borderId="6" xfId="5" applyFont="1" applyFill="1" applyBorder="1" applyAlignment="1">
      <alignment horizontal="center" vertical="center" wrapText="1"/>
    </xf>
    <xf numFmtId="0" fontId="22" fillId="3" borderId="6" xfId="5" applyFont="1" applyFill="1" applyBorder="1" applyAlignment="1">
      <alignment horizontal="center" vertical="center" wrapText="1"/>
    </xf>
    <xf numFmtId="0" fontId="21" fillId="0" borderId="0" xfId="5" applyAlignment="1">
      <alignment horizontal="left" wrapText="1"/>
    </xf>
    <xf numFmtId="4" fontId="18" fillId="3" borderId="6" xfId="5" applyNumberFormat="1" applyFont="1" applyFill="1" applyBorder="1" applyAlignment="1">
      <alignment horizontal="right" vertical="center"/>
    </xf>
    <xf numFmtId="0" fontId="18" fillId="3" borderId="6" xfId="5" applyFont="1" applyFill="1" applyBorder="1" applyAlignment="1">
      <alignment horizontal="left" vertical="center" wrapText="1"/>
    </xf>
    <xf numFmtId="0" fontId="18" fillId="3" borderId="6" xfId="5" applyFont="1" applyFill="1" applyBorder="1" applyAlignment="1">
      <alignment horizontal="left" vertical="center"/>
    </xf>
    <xf numFmtId="0" fontId="22" fillId="7" borderId="6" xfId="5" applyFont="1" applyFill="1" applyBorder="1" applyAlignment="1">
      <alignment horizontal="left" vertical="center"/>
    </xf>
    <xf numFmtId="0" fontId="23" fillId="8" borderId="6" xfId="5" applyFont="1" applyFill="1" applyBorder="1" applyAlignment="1">
      <alignment horizontal="left" vertical="center"/>
    </xf>
    <xf numFmtId="0" fontId="22" fillId="9" borderId="6" xfId="5" applyFont="1" applyFill="1" applyBorder="1" applyAlignment="1">
      <alignment horizontal="center" vertical="center"/>
    </xf>
    <xf numFmtId="0" fontId="24" fillId="0" borderId="0" xfId="5" applyFont="1" applyAlignment="1">
      <alignment horizontal="center" vertical="center"/>
    </xf>
    <xf numFmtId="49" fontId="27" fillId="0" borderId="0" xfId="6" applyFont="1"/>
    <xf numFmtId="4" fontId="27" fillId="0" borderId="0" xfId="6" applyNumberFormat="1" applyFont="1" applyAlignment="1">
      <alignment horizontal="right"/>
    </xf>
    <xf numFmtId="0" fontId="27" fillId="0" borderId="0" xfId="6" applyNumberFormat="1" applyFont="1" applyAlignment="1">
      <alignment horizontal="right" wrapText="1"/>
    </xf>
    <xf numFmtId="49" fontId="27" fillId="0" borderId="0" xfId="6" applyFont="1" applyAlignment="1">
      <alignment horizontal="left" wrapText="1"/>
    </xf>
    <xf numFmtId="49" fontId="27" fillId="0" borderId="0" xfId="6" applyFont="1" applyAlignment="1">
      <alignment horizontal="left"/>
    </xf>
    <xf numFmtId="4" fontId="27" fillId="0" borderId="0" xfId="6" applyNumberFormat="1" applyFont="1" applyAlignment="1">
      <alignment horizontal="left"/>
    </xf>
    <xf numFmtId="49" fontId="29" fillId="0" borderId="0" xfId="6" applyFont="1" applyAlignment="1">
      <alignment horizontal="center"/>
    </xf>
    <xf numFmtId="0" fontId="32" fillId="0" borderId="0" xfId="6" applyNumberFormat="1" applyFont="1" applyAlignment="1">
      <alignment horizontal="right" wrapText="1"/>
    </xf>
    <xf numFmtId="49" fontId="32" fillId="0" borderId="0" xfId="6" applyFont="1" applyAlignment="1">
      <alignment horizontal="left" wrapText="1"/>
    </xf>
    <xf numFmtId="49" fontId="32" fillId="0" borderId="0" xfId="6" applyFont="1" applyAlignment="1">
      <alignment horizontal="left"/>
    </xf>
    <xf numFmtId="49" fontId="26" fillId="0" borderId="0" xfId="6"/>
    <xf numFmtId="49" fontId="35" fillId="0" borderId="0" xfId="6" applyFont="1" applyAlignment="1">
      <alignment horizontal="center"/>
    </xf>
    <xf numFmtId="0" fontId="26" fillId="0" borderId="0" xfId="6" applyNumberFormat="1" applyAlignment="1">
      <alignment horizontal="right"/>
    </xf>
    <xf numFmtId="4" fontId="37" fillId="0" borderId="0" xfId="6" applyNumberFormat="1" applyFont="1" applyAlignment="1">
      <alignment horizontal="right"/>
    </xf>
    <xf numFmtId="2" fontId="37" fillId="0" borderId="0" xfId="6" applyNumberFormat="1" applyFont="1" applyAlignment="1">
      <alignment horizontal="right"/>
    </xf>
    <xf numFmtId="49" fontId="37" fillId="0" borderId="0" xfId="6" applyFont="1" applyAlignment="1">
      <alignment horizontal="left" wrapText="1"/>
    </xf>
    <xf numFmtId="49" fontId="37" fillId="0" borderId="0" xfId="6" applyFont="1" applyAlignment="1">
      <alignment horizontal="left"/>
    </xf>
    <xf numFmtId="49" fontId="37" fillId="0" borderId="8" xfId="6" applyFont="1" applyBorder="1" applyAlignment="1">
      <alignment horizontal="left"/>
    </xf>
    <xf numFmtId="49" fontId="38" fillId="0" borderId="0" xfId="6" applyFont="1" applyAlignment="1">
      <alignment horizontal="left" wrapText="1"/>
    </xf>
    <xf numFmtId="2" fontId="37" fillId="0" borderId="9" xfId="6" applyNumberFormat="1" applyFont="1" applyBorder="1" applyAlignment="1">
      <alignment horizontal="right"/>
    </xf>
    <xf numFmtId="49" fontId="37" fillId="0" borderId="9" xfId="6" applyFont="1" applyBorder="1" applyAlignment="1">
      <alignment horizontal="left" wrapText="1"/>
    </xf>
    <xf numFmtId="49" fontId="37" fillId="0" borderId="10" xfId="6" applyFont="1" applyBorder="1" applyAlignment="1">
      <alignment horizontal="left"/>
    </xf>
    <xf numFmtId="49" fontId="40" fillId="0" borderId="0" xfId="6" applyFont="1"/>
    <xf numFmtId="4" fontId="40" fillId="0" borderId="0" xfId="6" applyNumberFormat="1" applyFont="1" applyAlignment="1">
      <alignment horizontal="right"/>
    </xf>
    <xf numFmtId="0" fontId="41" fillId="0" borderId="0" xfId="6" applyNumberFormat="1" applyFont="1" applyAlignment="1">
      <alignment horizontal="right"/>
    </xf>
    <xf numFmtId="49" fontId="42" fillId="0" borderId="0" xfId="6" applyFont="1" applyAlignment="1">
      <alignment horizontal="center"/>
    </xf>
    <xf numFmtId="49" fontId="40" fillId="0" borderId="0" xfId="6" applyFont="1" applyAlignment="1">
      <alignment horizontal="center"/>
    </xf>
    <xf numFmtId="2" fontId="37" fillId="0" borderId="12" xfId="6" applyNumberFormat="1" applyFont="1" applyBorder="1" applyAlignment="1">
      <alignment horizontal="right"/>
    </xf>
    <xf numFmtId="49" fontId="37" fillId="0" borderId="12" xfId="6" applyFont="1" applyBorder="1" applyAlignment="1">
      <alignment horizontal="left" wrapText="1"/>
    </xf>
    <xf numFmtId="49" fontId="37" fillId="0" borderId="13" xfId="6" applyFont="1" applyBorder="1" applyAlignment="1">
      <alignment horizontal="left"/>
    </xf>
    <xf numFmtId="49" fontId="42" fillId="0" borderId="0" xfId="6" applyFont="1" applyAlignment="1">
      <alignment horizontal="center" wrapText="1"/>
    </xf>
    <xf numFmtId="2" fontId="41" fillId="0" borderId="0" xfId="6" applyNumberFormat="1" applyFont="1" applyAlignment="1">
      <alignment horizontal="right"/>
    </xf>
    <xf numFmtId="49" fontId="41" fillId="0" borderId="0" xfId="6" applyFont="1"/>
    <xf numFmtId="49" fontId="43" fillId="0" borderId="8" xfId="6" applyFont="1" applyBorder="1"/>
    <xf numFmtId="2" fontId="37" fillId="0" borderId="0" xfId="6" applyNumberFormat="1" applyFont="1" applyAlignment="1">
      <alignment horizontal="right" wrapText="1"/>
    </xf>
    <xf numFmtId="49" fontId="43" fillId="0" borderId="8" xfId="6" applyFont="1" applyBorder="1" applyAlignment="1">
      <alignment horizontal="left"/>
    </xf>
    <xf numFmtId="0" fontId="37" fillId="0" borderId="9" xfId="6" applyNumberFormat="1" applyFont="1" applyBorder="1" applyAlignment="1">
      <alignment horizontal="right" wrapText="1"/>
    </xf>
    <xf numFmtId="49" fontId="41" fillId="0" borderId="0" xfId="6" applyFont="1" applyAlignment="1">
      <alignment horizontal="left"/>
    </xf>
    <xf numFmtId="0" fontId="41" fillId="0" borderId="0" xfId="6" applyNumberFormat="1" applyFont="1" applyAlignment="1">
      <alignment horizontal="left"/>
    </xf>
    <xf numFmtId="49" fontId="41" fillId="0" borderId="0" xfId="6" applyFont="1" applyAlignment="1">
      <alignment horizontal="center" vertical="center"/>
    </xf>
    <xf numFmtId="0" fontId="29" fillId="0" borderId="0" xfId="6" applyNumberFormat="1" applyFont="1" applyAlignment="1">
      <alignment horizontal="center"/>
    </xf>
    <xf numFmtId="4" fontId="41" fillId="0" borderId="0" xfId="6" applyNumberFormat="1" applyFont="1" applyAlignment="1">
      <alignment horizontal="right"/>
    </xf>
    <xf numFmtId="49" fontId="29" fillId="0" borderId="0" xfId="6" applyFont="1" applyAlignment="1">
      <alignment horizontal="left"/>
    </xf>
    <xf numFmtId="0" fontId="29" fillId="0" borderId="0" xfId="6" applyNumberFormat="1" applyFont="1" applyAlignment="1">
      <alignment horizontal="right"/>
    </xf>
    <xf numFmtId="49" fontId="11" fillId="0" borderId="0" xfId="6" applyFont="1" applyAlignment="1">
      <alignment horizontal="left" wrapText="1"/>
    </xf>
    <xf numFmtId="49" fontId="44" fillId="0" borderId="0" xfId="6" applyFont="1" applyAlignment="1">
      <alignment horizontal="center"/>
    </xf>
    <xf numFmtId="164" fontId="64" fillId="0" borderId="14" xfId="9" applyNumberFormat="1" applyFont="1" applyBorder="1" applyAlignment="1">
      <alignment horizontal="right"/>
    </xf>
    <xf numFmtId="0" fontId="26" fillId="0" borderId="14" xfId="9" applyBorder="1"/>
    <xf numFmtId="0" fontId="46" fillId="0" borderId="14" xfId="9" applyFont="1" applyBorder="1"/>
    <xf numFmtId="164" fontId="46" fillId="0" borderId="14" xfId="9" applyNumberFormat="1" applyFont="1" applyBorder="1" applyAlignment="1">
      <alignment horizontal="right"/>
    </xf>
    <xf numFmtId="164" fontId="46" fillId="0" borderId="14" xfId="9" applyNumberFormat="1" applyFont="1" applyBorder="1" applyAlignment="1">
      <alignment horizontal="right" vertical="top"/>
    </xf>
    <xf numFmtId="0" fontId="26" fillId="0" borderId="14" xfId="9" applyBorder="1" applyAlignment="1">
      <alignment vertical="top" wrapText="1"/>
    </xf>
    <xf numFmtId="0" fontId="46" fillId="0" borderId="14" xfId="9" applyFont="1" applyBorder="1" applyAlignment="1">
      <alignment vertical="top"/>
    </xf>
    <xf numFmtId="0" fontId="46" fillId="0" borderId="14" xfId="10" applyFont="1" applyBorder="1" applyAlignment="1">
      <alignment horizontal="left"/>
    </xf>
    <xf numFmtId="0" fontId="46" fillId="0" borderId="14" xfId="10" applyFont="1" applyBorder="1" applyAlignment="1">
      <alignment vertical="top"/>
    </xf>
    <xf numFmtId="0" fontId="46" fillId="2" borderId="14" xfId="10" applyFont="1" applyFill="1" applyBorder="1" applyAlignment="1">
      <alignment vertical="top"/>
    </xf>
    <xf numFmtId="0" fontId="0" fillId="0" borderId="4" xfId="0" applyBorder="1"/>
    <xf numFmtId="0" fontId="76" fillId="0" borderId="0" xfId="11" applyFont="1" applyAlignment="1">
      <alignment vertical="top"/>
    </xf>
    <xf numFmtId="164" fontId="26" fillId="0" borderId="0" xfId="12" applyNumberFormat="1" applyFont="1" applyAlignment="1">
      <alignment horizontal="center" vertical="center"/>
    </xf>
    <xf numFmtId="0" fontId="26" fillId="0" borderId="0" xfId="11" applyFont="1" applyAlignment="1">
      <alignment horizontal="center" vertical="center"/>
    </xf>
    <xf numFmtId="0" fontId="26" fillId="0" borderId="0" xfId="11" applyFont="1" applyAlignment="1">
      <alignment horizontal="left" vertical="center" wrapText="1"/>
    </xf>
    <xf numFmtId="0" fontId="26" fillId="0" borderId="7" xfId="11" applyFont="1" applyBorder="1" applyAlignment="1">
      <alignment horizontal="left" vertical="center"/>
    </xf>
    <xf numFmtId="164" fontId="78" fillId="0" borderId="4" xfId="13" applyNumberFormat="1" applyFont="1" applyFill="1" applyBorder="1" applyAlignment="1">
      <alignment horizontal="center" vertical="center"/>
    </xf>
    <xf numFmtId="0" fontId="79" fillId="0" borderId="4" xfId="11" applyFont="1" applyBorder="1" applyAlignment="1">
      <alignment horizontal="center" vertical="center"/>
    </xf>
    <xf numFmtId="0" fontId="79" fillId="0" borderId="4" xfId="11" applyFont="1" applyBorder="1" applyAlignment="1">
      <alignment horizontal="left" vertical="center"/>
    </xf>
    <xf numFmtId="0" fontId="79" fillId="0" borderId="4" xfId="14" applyFont="1" applyBorder="1" applyAlignment="1">
      <alignment horizontal="left" vertical="center"/>
    </xf>
    <xf numFmtId="0" fontId="80" fillId="0" borderId="4" xfId="11" applyFont="1" applyBorder="1"/>
    <xf numFmtId="0" fontId="78" fillId="0" borderId="0" xfId="11" applyFont="1" applyAlignment="1">
      <alignment vertical="top"/>
    </xf>
    <xf numFmtId="0" fontId="81" fillId="15" borderId="4" xfId="11" applyFont="1" applyFill="1" applyBorder="1" applyAlignment="1">
      <alignment vertical="center"/>
    </xf>
    <xf numFmtId="0" fontId="81" fillId="4" borderId="4" xfId="11" applyFont="1" applyFill="1" applyBorder="1"/>
    <xf numFmtId="0" fontId="79" fillId="0" borderId="4" xfId="15" applyFont="1" applyBorder="1" applyAlignment="1">
      <alignment horizontal="left" vertical="center"/>
    </xf>
    <xf numFmtId="0" fontId="79" fillId="0" borderId="4" xfId="16" applyFont="1" applyBorder="1" applyAlignment="1">
      <alignment horizontal="left" vertical="center"/>
    </xf>
    <xf numFmtId="0" fontId="82" fillId="0" borderId="0" xfId="11" applyFont="1" applyAlignment="1">
      <alignment vertical="top"/>
    </xf>
    <xf numFmtId="0" fontId="78" fillId="0" borderId="0" xfId="17" applyFont="1">
      <alignment vertical="top"/>
    </xf>
    <xf numFmtId="0" fontId="12" fillId="0" borderId="0" xfId="11" applyFont="1" applyAlignment="1">
      <alignment vertical="top"/>
    </xf>
    <xf numFmtId="0" fontId="14" fillId="0" borderId="0" xfId="11" applyFont="1" applyAlignment="1">
      <alignment vertical="top"/>
    </xf>
    <xf numFmtId="0" fontId="78" fillId="16" borderId="0" xfId="11" applyFont="1" applyFill="1" applyAlignment="1">
      <alignment vertical="top"/>
    </xf>
    <xf numFmtId="0" fontId="79" fillId="0" borderId="0" xfId="11" applyFont="1" applyAlignment="1">
      <alignment vertical="top"/>
    </xf>
    <xf numFmtId="164" fontId="46" fillId="17" borderId="4" xfId="12" applyNumberFormat="1" applyFont="1" applyFill="1" applyBorder="1" applyAlignment="1">
      <alignment horizontal="center" vertical="center" wrapText="1"/>
    </xf>
    <xf numFmtId="0" fontId="46" fillId="17" borderId="4" xfId="11" applyFont="1" applyFill="1" applyBorder="1" applyAlignment="1">
      <alignment horizontal="center" vertical="center"/>
    </xf>
    <xf numFmtId="0" fontId="46" fillId="17" borderId="4" xfId="11" applyFont="1" applyFill="1" applyBorder="1" applyAlignment="1">
      <alignment vertical="center" wrapText="1"/>
    </xf>
    <xf numFmtId="0" fontId="46" fillId="17" borderId="4" xfId="11" applyFont="1" applyFill="1" applyBorder="1" applyAlignment="1">
      <alignment vertical="center"/>
    </xf>
    <xf numFmtId="0" fontId="76" fillId="4" borderId="0" xfId="11" applyFont="1" applyFill="1" applyAlignment="1">
      <alignment vertical="top"/>
    </xf>
    <xf numFmtId="44" fontId="84" fillId="4" borderId="0" xfId="11" applyNumberFormat="1" applyFont="1" applyFill="1" applyAlignment="1">
      <alignment horizontal="center" vertical="center"/>
    </xf>
    <xf numFmtId="0" fontId="76" fillId="4" borderId="12" xfId="11" applyFont="1" applyFill="1" applyBorder="1" applyAlignment="1">
      <alignment vertical="top"/>
    </xf>
    <xf numFmtId="165" fontId="85" fillId="4" borderId="0" xfId="11" applyNumberFormat="1" applyFont="1" applyFill="1" applyAlignment="1">
      <alignment horizontal="center"/>
    </xf>
    <xf numFmtId="0" fontId="83" fillId="4" borderId="0" xfId="11" applyFont="1" applyFill="1" applyAlignment="1">
      <alignment horizontal="left" vertical="center"/>
    </xf>
    <xf numFmtId="0" fontId="85" fillId="4" borderId="0" xfId="11" applyFont="1" applyFill="1" applyAlignment="1">
      <alignment horizontal="center" vertical="center" wrapText="1"/>
    </xf>
    <xf numFmtId="1" fontId="84" fillId="4" borderId="0" xfId="11" applyNumberFormat="1" applyFont="1" applyFill="1" applyAlignment="1">
      <alignment horizontal="center" vertical="center"/>
    </xf>
    <xf numFmtId="1" fontId="86" fillId="4" borderId="0" xfId="11" applyNumberFormat="1" applyFont="1" applyFill="1" applyAlignment="1">
      <alignment horizontal="center" vertical="center"/>
    </xf>
    <xf numFmtId="0" fontId="79" fillId="4" borderId="4" xfId="11" applyFont="1" applyFill="1" applyBorder="1" applyAlignment="1">
      <alignment horizontal="left" vertical="center"/>
    </xf>
    <xf numFmtId="0" fontId="76" fillId="0" borderId="0" xfId="11" applyFont="1"/>
    <xf numFmtId="0" fontId="76" fillId="0" borderId="0" xfId="11" applyFont="1" applyAlignment="1">
      <alignment horizontal="center"/>
    </xf>
    <xf numFmtId="0" fontId="78" fillId="0" borderId="4" xfId="11" applyFont="1" applyBorder="1"/>
    <xf numFmtId="0" fontId="78" fillId="0" borderId="0" xfId="11" applyFont="1"/>
    <xf numFmtId="0" fontId="81" fillId="0" borderId="4" xfId="11" applyFont="1" applyBorder="1" applyAlignment="1">
      <alignment vertical="center"/>
    </xf>
    <xf numFmtId="0" fontId="78" fillId="0" borderId="4" xfId="11" applyFont="1" applyBorder="1" applyAlignment="1">
      <alignment horizontal="left" vertical="center"/>
    </xf>
    <xf numFmtId="0" fontId="64" fillId="17" borderId="15" xfId="11" applyFont="1" applyFill="1" applyBorder="1" applyAlignment="1">
      <alignment vertical="center"/>
    </xf>
    <xf numFmtId="44" fontId="84" fillId="4" borderId="0" xfId="11" applyNumberFormat="1" applyFont="1" applyFill="1" applyAlignment="1">
      <alignment horizontal="right"/>
    </xf>
    <xf numFmtId="0" fontId="87" fillId="0" borderId="0" xfId="11" applyFont="1" applyAlignment="1">
      <alignment horizontal="right" wrapText="1"/>
    </xf>
    <xf numFmtId="0" fontId="76" fillId="0" borderId="0" xfId="11" applyFont="1" applyAlignment="1">
      <alignment horizontal="left" vertical="center"/>
    </xf>
    <xf numFmtId="0" fontId="88" fillId="4" borderId="0" xfId="0" applyFont="1" applyFill="1" applyAlignment="1" applyProtection="1">
      <alignment vertical="top"/>
      <protection hidden="1"/>
    </xf>
    <xf numFmtId="164" fontId="15" fillId="4" borderId="0" xfId="3" applyNumberFormat="1" applyFont="1" applyFill="1" applyAlignment="1" applyProtection="1">
      <alignment horizontal="center" vertical="top"/>
      <protection hidden="1"/>
    </xf>
    <xf numFmtId="0" fontId="88" fillId="4" borderId="0" xfId="0" applyFont="1" applyFill="1" applyAlignment="1" applyProtection="1">
      <alignment vertical="center"/>
      <protection hidden="1"/>
    </xf>
    <xf numFmtId="0" fontId="15" fillId="4" borderId="0" xfId="0" applyFont="1" applyFill="1" applyAlignment="1" applyProtection="1">
      <alignment vertical="top"/>
      <protection hidden="1"/>
    </xf>
    <xf numFmtId="164" fontId="15" fillId="4" borderId="4" xfId="3" applyNumberFormat="1" applyFont="1" applyFill="1" applyBorder="1" applyAlignment="1" applyProtection="1">
      <alignment horizontal="center" vertical="top"/>
      <protection hidden="1"/>
    </xf>
    <xf numFmtId="0" fontId="89" fillId="4" borderId="4" xfId="0" applyFont="1" applyFill="1" applyBorder="1" applyAlignment="1">
      <alignment vertical="center" wrapText="1"/>
    </xf>
    <xf numFmtId="49" fontId="90" fillId="4" borderId="4" xfId="0" applyNumberFormat="1" applyFont="1" applyFill="1" applyBorder="1" applyAlignment="1">
      <alignment vertical="top"/>
    </xf>
    <xf numFmtId="164" fontId="15" fillId="4" borderId="0" xfId="3" applyNumberFormat="1" applyFont="1" applyFill="1" applyBorder="1" applyAlignment="1" applyProtection="1">
      <alignment horizontal="center" vertical="top"/>
      <protection hidden="1"/>
    </xf>
    <xf numFmtId="0" fontId="91" fillId="4" borderId="0" xfId="0" applyFont="1" applyFill="1" applyAlignment="1" applyProtection="1">
      <alignment horizontal="center" vertical="center"/>
      <protection hidden="1"/>
    </xf>
    <xf numFmtId="0" fontId="13" fillId="4" borderId="0" xfId="0" applyFont="1" applyFill="1" applyAlignment="1" applyProtection="1">
      <alignment horizontal="left" vertical="top"/>
      <protection hidden="1"/>
    </xf>
    <xf numFmtId="0" fontId="88" fillId="4" borderId="4" xfId="0" applyFont="1" applyFill="1" applyBorder="1" applyAlignment="1" applyProtection="1">
      <alignment vertical="center" wrapText="1"/>
      <protection hidden="1"/>
    </xf>
    <xf numFmtId="0" fontId="15" fillId="4" borderId="4" xfId="0" applyFont="1" applyFill="1" applyBorder="1" applyAlignment="1" applyProtection="1">
      <alignment vertical="top"/>
      <protection hidden="1"/>
    </xf>
    <xf numFmtId="49" fontId="88" fillId="0" borderId="0" xfId="0" applyNumberFormat="1" applyFont="1" applyAlignment="1">
      <alignment vertical="top" wrapText="1"/>
    </xf>
    <xf numFmtId="49" fontId="15" fillId="0" borderId="0" xfId="0" applyNumberFormat="1" applyFont="1" applyAlignment="1">
      <alignment vertical="top"/>
    </xf>
    <xf numFmtId="49" fontId="88" fillId="0" borderId="4" xfId="0" applyNumberFormat="1" applyFont="1" applyBorder="1" applyAlignment="1">
      <alignment vertical="top" wrapText="1"/>
    </xf>
    <xf numFmtId="49" fontId="15" fillId="0" borderId="4" xfId="0" applyNumberFormat="1" applyFont="1" applyBorder="1" applyAlignment="1">
      <alignment vertical="top"/>
    </xf>
    <xf numFmtId="49" fontId="91" fillId="4" borderId="0" xfId="0" applyNumberFormat="1" applyFont="1" applyFill="1" applyAlignment="1">
      <alignment horizontal="center" vertical="center" wrapText="1"/>
    </xf>
    <xf numFmtId="0" fontId="13" fillId="4" borderId="0" xfId="0" applyFont="1" applyFill="1" applyAlignment="1">
      <alignment horizontal="left" vertical="top"/>
    </xf>
    <xf numFmtId="49" fontId="92" fillId="4" borderId="0" xfId="0" applyNumberFormat="1" applyFont="1" applyFill="1" applyAlignment="1">
      <alignment horizontal="center" vertical="center" wrapText="1"/>
    </xf>
    <xf numFmtId="0" fontId="93" fillId="4" borderId="0" xfId="0" applyFont="1" applyFill="1" applyAlignment="1">
      <alignment vertical="center"/>
    </xf>
    <xf numFmtId="49" fontId="88" fillId="0" borderId="4" xfId="0" applyNumberFormat="1" applyFont="1" applyBorder="1" applyAlignment="1">
      <alignment vertical="center" wrapText="1"/>
    </xf>
    <xf numFmtId="49" fontId="89" fillId="4" borderId="4" xfId="0" applyNumberFormat="1" applyFont="1" applyFill="1" applyBorder="1" applyAlignment="1">
      <alignment vertical="center" wrapText="1"/>
    </xf>
    <xf numFmtId="0" fontId="88" fillId="4" borderId="0" xfId="0" applyFont="1" applyFill="1" applyAlignment="1" applyProtection="1">
      <alignment vertical="center" wrapText="1"/>
      <protection hidden="1"/>
    </xf>
    <xf numFmtId="49" fontId="90" fillId="4" borderId="0" xfId="0" applyNumberFormat="1" applyFont="1" applyFill="1" applyAlignment="1">
      <alignment vertical="top"/>
    </xf>
    <xf numFmtId="0" fontId="91" fillId="4" borderId="0" xfId="0" applyFont="1" applyFill="1" applyAlignment="1" applyProtection="1">
      <alignment horizontal="center" vertical="center" wrapText="1"/>
      <protection hidden="1"/>
    </xf>
    <xf numFmtId="0" fontId="15" fillId="0" borderId="4" xfId="0" applyFont="1" applyBorder="1" applyAlignment="1" applyProtection="1">
      <alignment vertical="top"/>
      <protection hidden="1"/>
    </xf>
    <xf numFmtId="0" fontId="96" fillId="4" borderId="0" xfId="0" applyFont="1" applyFill="1" applyAlignment="1" applyProtection="1">
      <alignment horizontal="left" vertical="top"/>
      <protection hidden="1"/>
    </xf>
    <xf numFmtId="0" fontId="15" fillId="4" borderId="0" xfId="0" applyFont="1" applyFill="1" applyAlignment="1">
      <alignment vertical="top"/>
    </xf>
    <xf numFmtId="0" fontId="97" fillId="4" borderId="0" xfId="0" applyFont="1" applyFill="1" applyAlignment="1" applyProtection="1">
      <alignment horizontal="center" wrapText="1"/>
      <protection hidden="1"/>
    </xf>
    <xf numFmtId="0" fontId="91" fillId="4" borderId="0" xfId="0" applyFont="1" applyFill="1" applyAlignment="1" applyProtection="1">
      <alignment horizontal="center" wrapText="1"/>
      <protection hidden="1"/>
    </xf>
    <xf numFmtId="0" fontId="88" fillId="4" borderId="15" xfId="0" applyFont="1" applyFill="1" applyBorder="1" applyAlignment="1" applyProtection="1">
      <alignment vertical="center" wrapText="1"/>
      <protection hidden="1"/>
    </xf>
    <xf numFmtId="0" fontId="95" fillId="4" borderId="0" xfId="0" applyFont="1" applyFill="1" applyAlignment="1" applyProtection="1">
      <alignment horizontal="center" wrapText="1"/>
      <protection hidden="1"/>
    </xf>
    <xf numFmtId="0" fontId="98" fillId="4" borderId="0" xfId="0" applyFont="1" applyFill="1" applyAlignment="1" applyProtection="1">
      <alignment horizontal="center" vertical="center" wrapText="1"/>
      <protection hidden="1"/>
    </xf>
    <xf numFmtId="0" fontId="15" fillId="0" borderId="0" xfId="0" applyFont="1" applyAlignment="1" applyProtection="1">
      <alignment vertical="top"/>
      <protection hidden="1"/>
    </xf>
    <xf numFmtId="0" fontId="99" fillId="4" borderId="0" xfId="0" applyFont="1" applyFill="1" applyAlignment="1" applyProtection="1">
      <alignment horizontal="center" vertical="center"/>
      <protection hidden="1"/>
    </xf>
    <xf numFmtId="0" fontId="100" fillId="4" borderId="0" xfId="0" applyFont="1" applyFill="1" applyAlignment="1" applyProtection="1">
      <alignment horizontal="center" vertical="center" wrapText="1"/>
      <protection hidden="1"/>
    </xf>
    <xf numFmtId="0" fontId="0" fillId="4" borderId="0" xfId="0" applyFill="1" applyAlignment="1">
      <alignment vertical="top"/>
    </xf>
    <xf numFmtId="0" fontId="91" fillId="4" borderId="0" xfId="0" applyFont="1" applyFill="1" applyAlignment="1">
      <alignment horizontal="center" vertical="center"/>
    </xf>
    <xf numFmtId="0" fontId="98" fillId="4" borderId="0" xfId="0" applyFont="1" applyFill="1" applyAlignment="1" applyProtection="1">
      <alignment horizontal="center" vertical="top"/>
      <protection hidden="1"/>
    </xf>
    <xf numFmtId="0" fontId="88" fillId="4" borderId="0" xfId="0" applyFont="1" applyFill="1" applyAlignment="1" applyProtection="1">
      <alignment vertical="top" wrapText="1"/>
      <protection hidden="1"/>
    </xf>
    <xf numFmtId="0" fontId="88" fillId="0" borderId="4" xfId="0" applyFont="1" applyBorder="1" applyAlignment="1" applyProtection="1">
      <alignment vertical="center" wrapText="1"/>
      <protection hidden="1"/>
    </xf>
    <xf numFmtId="0" fontId="90" fillId="0" borderId="4" xfId="0" applyFont="1" applyBorder="1" applyAlignment="1" applyProtection="1">
      <alignment horizontal="left" vertical="top"/>
      <protection hidden="1"/>
    </xf>
    <xf numFmtId="0" fontId="99" fillId="4" borderId="0" xfId="0" applyFont="1" applyFill="1" applyAlignment="1" applyProtection="1">
      <alignment horizontal="center" vertical="center" wrapText="1"/>
      <protection hidden="1"/>
    </xf>
    <xf numFmtId="0" fontId="89" fillId="4" borderId="4" xfId="0" applyFont="1" applyFill="1" applyBorder="1" applyAlignment="1" applyProtection="1">
      <alignment horizontal="left" vertical="center" wrapText="1"/>
      <protection hidden="1"/>
    </xf>
    <xf numFmtId="0" fontId="95" fillId="4" borderId="0" xfId="0" applyFont="1" applyFill="1" applyAlignment="1" applyProtection="1">
      <alignment horizontal="center" vertical="center"/>
      <protection hidden="1"/>
    </xf>
    <xf numFmtId="49" fontId="101" fillId="4" borderId="0" xfId="0" applyNumberFormat="1" applyFont="1" applyFill="1" applyProtection="1">
      <protection hidden="1"/>
    </xf>
    <xf numFmtId="49" fontId="15" fillId="4" borderId="4" xfId="0" applyNumberFormat="1" applyFont="1" applyFill="1" applyBorder="1" applyAlignment="1" applyProtection="1">
      <alignment vertical="top"/>
      <protection hidden="1"/>
    </xf>
    <xf numFmtId="49" fontId="15" fillId="0" borderId="4" xfId="0" applyNumberFormat="1" applyFont="1" applyBorder="1" applyAlignment="1" applyProtection="1">
      <alignment vertical="top"/>
      <protection hidden="1"/>
    </xf>
    <xf numFmtId="49" fontId="15" fillId="4" borderId="0" xfId="0" applyNumberFormat="1" applyFont="1" applyFill="1" applyAlignment="1" applyProtection="1">
      <alignment vertical="top"/>
      <protection hidden="1"/>
    </xf>
    <xf numFmtId="0" fontId="96" fillId="4" borderId="0" xfId="0" applyFont="1" applyFill="1" applyAlignment="1" applyProtection="1">
      <alignment horizontal="center" vertical="top"/>
      <protection hidden="1"/>
    </xf>
    <xf numFmtId="0" fontId="102" fillId="4" borderId="0" xfId="0" applyFont="1" applyFill="1" applyAlignment="1" applyProtection="1">
      <alignment horizontal="center" vertical="center" wrapText="1"/>
      <protection hidden="1"/>
    </xf>
    <xf numFmtId="0" fontId="93" fillId="4" borderId="0" xfId="0" applyFont="1" applyFill="1" applyAlignment="1" applyProtection="1">
      <alignment vertical="center" wrapText="1"/>
      <protection hidden="1"/>
    </xf>
    <xf numFmtId="0" fontId="90" fillId="4" borderId="4" xfId="0" applyFont="1" applyFill="1" applyBorder="1" applyAlignment="1" applyProtection="1">
      <alignment horizontal="left" vertical="top"/>
      <protection hidden="1"/>
    </xf>
    <xf numFmtId="0" fontId="95" fillId="4" borderId="0" xfId="0" applyFont="1" applyFill="1" applyAlignment="1" applyProtection="1">
      <alignment vertical="center"/>
      <protection hidden="1"/>
    </xf>
    <xf numFmtId="0" fontId="98" fillId="4" borderId="0" xfId="0" applyFont="1" applyFill="1" applyAlignment="1" applyProtection="1">
      <alignment horizontal="left" vertical="center" wrapText="1"/>
      <protection hidden="1"/>
    </xf>
    <xf numFmtId="49" fontId="103" fillId="4" borderId="0" xfId="0" applyNumberFormat="1" applyFont="1" applyFill="1" applyAlignment="1" applyProtection="1">
      <alignment vertical="top"/>
      <protection hidden="1"/>
    </xf>
    <xf numFmtId="0" fontId="93" fillId="4" borderId="0" xfId="0" applyFont="1" applyFill="1" applyAlignment="1" applyProtection="1">
      <alignment vertical="center"/>
      <protection hidden="1"/>
    </xf>
    <xf numFmtId="49" fontId="13" fillId="4" borderId="0" xfId="0" applyNumberFormat="1" applyFont="1" applyFill="1" applyAlignment="1" applyProtection="1">
      <alignment vertical="top"/>
      <protection hidden="1"/>
    </xf>
    <xf numFmtId="49" fontId="103" fillId="4" borderId="0" xfId="0" applyNumberFormat="1" applyFont="1" applyFill="1" applyProtection="1">
      <protection hidden="1"/>
    </xf>
    <xf numFmtId="164" fontId="15" fillId="0" borderId="0" xfId="3" applyNumberFormat="1" applyFont="1" applyFill="1" applyBorder="1" applyAlignment="1" applyProtection="1">
      <alignment horizontal="center" vertical="top"/>
      <protection hidden="1"/>
    </xf>
    <xf numFmtId="0" fontId="88" fillId="0" borderId="0" xfId="0" applyFont="1" applyAlignment="1" applyProtection="1">
      <alignment vertical="center" wrapText="1"/>
      <protection hidden="1"/>
    </xf>
    <xf numFmtId="0" fontId="88" fillId="4" borderId="4" xfId="0" applyFont="1" applyFill="1" applyBorder="1" applyAlignment="1" applyProtection="1">
      <alignment horizontal="left" vertical="center" wrapText="1"/>
      <protection hidden="1"/>
    </xf>
    <xf numFmtId="0" fontId="13" fillId="4" borderId="0" xfId="0" applyFont="1" applyFill="1" applyAlignment="1" applyProtection="1">
      <alignment vertical="top"/>
      <protection hidden="1"/>
    </xf>
    <xf numFmtId="0" fontId="96" fillId="4" borderId="0" xfId="0" applyFont="1" applyFill="1" applyAlignment="1" applyProtection="1">
      <alignment vertical="top"/>
      <protection hidden="1"/>
    </xf>
    <xf numFmtId="164" fontId="13" fillId="4" borderId="0" xfId="3" applyNumberFormat="1" applyFont="1" applyFill="1" applyBorder="1" applyAlignment="1" applyProtection="1">
      <alignment horizontal="center" vertical="top"/>
      <protection hidden="1"/>
    </xf>
    <xf numFmtId="0" fontId="89" fillId="4" borderId="0" xfId="0" applyFont="1" applyFill="1" applyAlignment="1" applyProtection="1">
      <alignment vertical="top"/>
      <protection hidden="1"/>
    </xf>
    <xf numFmtId="164" fontId="96" fillId="4" borderId="0" xfId="3" applyNumberFormat="1" applyFont="1" applyFill="1" applyBorder="1" applyAlignment="1">
      <alignment horizontal="center" vertical="top"/>
    </xf>
    <xf numFmtId="0" fontId="104" fillId="4" borderId="0" xfId="0" applyFont="1" applyFill="1" applyAlignment="1" applyProtection="1">
      <alignment horizontal="center" vertical="center"/>
      <protection hidden="1"/>
    </xf>
    <xf numFmtId="0" fontId="88" fillId="4" borderId="12" xfId="0" applyFont="1" applyFill="1" applyBorder="1" applyAlignment="1" applyProtection="1">
      <alignment vertical="top"/>
      <protection hidden="1"/>
    </xf>
    <xf numFmtId="164" fontId="15" fillId="19" borderId="4" xfId="3" applyNumberFormat="1" applyFont="1" applyFill="1" applyBorder="1" applyAlignment="1">
      <alignment horizontal="center" vertical="top"/>
    </xf>
    <xf numFmtId="0" fontId="91" fillId="19" borderId="4" xfId="0" applyFont="1" applyFill="1" applyBorder="1" applyAlignment="1" applyProtection="1">
      <alignment horizontal="center" vertical="center"/>
      <protection hidden="1"/>
    </xf>
    <xf numFmtId="0" fontId="15" fillId="19" borderId="4" xfId="0" applyFont="1" applyFill="1" applyBorder="1" applyAlignment="1" applyProtection="1">
      <alignment horizontal="center" vertical="top"/>
      <protection hidden="1"/>
    </xf>
    <xf numFmtId="164" fontId="90" fillId="20" borderId="4" xfId="3" applyNumberFormat="1" applyFont="1" applyFill="1" applyBorder="1" applyAlignment="1" applyProtection="1">
      <alignment horizontal="center" vertical="top"/>
      <protection hidden="1"/>
    </xf>
    <xf numFmtId="0" fontId="89" fillId="20" borderId="4" xfId="0" applyFont="1" applyFill="1" applyBorder="1" applyAlignment="1" applyProtection="1">
      <alignment horizontal="center" vertical="center" wrapText="1"/>
      <protection hidden="1"/>
    </xf>
    <xf numFmtId="0" fontId="13" fillId="20" borderId="4" xfId="0" applyFont="1" applyFill="1" applyBorder="1" applyAlignment="1" applyProtection="1">
      <alignment vertical="top"/>
      <protection hidden="1"/>
    </xf>
    <xf numFmtId="0" fontId="15" fillId="4" borderId="0" xfId="0" applyFont="1" applyFill="1" applyAlignment="1">
      <alignment horizontal="center" vertical="top"/>
    </xf>
    <xf numFmtId="0" fontId="88" fillId="4" borderId="0" xfId="0" applyFont="1" applyFill="1" applyAlignment="1">
      <alignment vertical="center"/>
    </xf>
    <xf numFmtId="8" fontId="13" fillId="4" borderId="0" xfId="0" applyNumberFormat="1" applyFont="1" applyFill="1" applyAlignment="1">
      <alignment horizontal="center" vertical="top"/>
    </xf>
    <xf numFmtId="49" fontId="105" fillId="4" borderId="4" xfId="0" applyNumberFormat="1" applyFont="1" applyFill="1" applyBorder="1" applyAlignment="1">
      <alignment vertical="top" wrapText="1"/>
    </xf>
    <xf numFmtId="7" fontId="15" fillId="4" borderId="0" xfId="0" applyNumberFormat="1" applyFont="1" applyFill="1" applyAlignment="1">
      <alignment horizontal="center" vertical="top"/>
    </xf>
    <xf numFmtId="49" fontId="91" fillId="4" borderId="0" xfId="0" applyNumberFormat="1" applyFont="1" applyFill="1" applyAlignment="1">
      <alignment horizontal="center" vertical="center"/>
    </xf>
    <xf numFmtId="49" fontId="15" fillId="4" borderId="4" xfId="0" applyNumberFormat="1" applyFont="1" applyFill="1" applyBorder="1" applyAlignment="1">
      <alignment vertical="top"/>
    </xf>
    <xf numFmtId="49" fontId="88" fillId="4" borderId="4" xfId="0" applyNumberFormat="1" applyFont="1" applyFill="1" applyBorder="1" applyAlignment="1">
      <alignment vertical="center" wrapText="1"/>
    </xf>
    <xf numFmtId="49" fontId="95" fillId="4" borderId="0" xfId="0" applyNumberFormat="1" applyFont="1" applyFill="1" applyAlignment="1">
      <alignment horizontal="center" vertical="center" wrapText="1"/>
    </xf>
    <xf numFmtId="49" fontId="99" fillId="4" borderId="0" xfId="0" applyNumberFormat="1" applyFont="1" applyFill="1" applyAlignment="1">
      <alignment horizontal="center" vertical="center"/>
    </xf>
    <xf numFmtId="0" fontId="15" fillId="0" borderId="4" xfId="0" applyFont="1" applyBorder="1" applyAlignment="1">
      <alignment vertical="top"/>
    </xf>
    <xf numFmtId="49" fontId="99" fillId="4" borderId="0" xfId="0" applyNumberFormat="1" applyFont="1" applyFill="1" applyAlignment="1">
      <alignment horizontal="center" vertical="center" wrapText="1"/>
    </xf>
    <xf numFmtId="0" fontId="15" fillId="4" borderId="4" xfId="0" applyFont="1" applyFill="1" applyBorder="1" applyAlignment="1">
      <alignment vertical="top"/>
    </xf>
    <xf numFmtId="0" fontId="102" fillId="4" borderId="0" xfId="0" applyFont="1" applyFill="1" applyAlignment="1">
      <alignment horizontal="center" vertical="center"/>
    </xf>
    <xf numFmtId="49" fontId="88" fillId="4" borderId="4" xfId="0" applyNumberFormat="1" applyFont="1" applyFill="1" applyBorder="1" applyAlignment="1">
      <alignment wrapText="1"/>
    </xf>
    <xf numFmtId="49" fontId="88" fillId="4" borderId="0" xfId="0" applyNumberFormat="1" applyFont="1" applyFill="1" applyAlignment="1">
      <alignment wrapText="1"/>
    </xf>
    <xf numFmtId="0" fontId="90" fillId="4" borderId="0" xfId="0" applyFont="1" applyFill="1" applyAlignment="1">
      <alignment horizontal="left" vertical="top"/>
    </xf>
    <xf numFmtId="0" fontId="90" fillId="4" borderId="4" xfId="0" applyFont="1" applyFill="1" applyBorder="1" applyAlignment="1">
      <alignment horizontal="left" vertical="top"/>
    </xf>
    <xf numFmtId="49" fontId="88" fillId="4" borderId="4" xfId="0" applyNumberFormat="1" applyFont="1" applyFill="1" applyBorder="1" applyAlignment="1" applyProtection="1">
      <alignment vertical="center" wrapText="1"/>
      <protection hidden="1"/>
    </xf>
    <xf numFmtId="49" fontId="95" fillId="4" borderId="0" xfId="0" applyNumberFormat="1" applyFont="1" applyFill="1" applyAlignment="1">
      <alignment vertical="center"/>
    </xf>
    <xf numFmtId="49" fontId="95" fillId="4" borderId="0" xfId="0" applyNumberFormat="1" applyFont="1" applyFill="1" applyAlignment="1" applyProtection="1">
      <alignment horizontal="center" vertical="center"/>
      <protection hidden="1"/>
    </xf>
    <xf numFmtId="7" fontId="15" fillId="4" borderId="0" xfId="2" applyNumberFormat="1" applyFont="1" applyFill="1" applyBorder="1" applyAlignment="1" applyProtection="1">
      <alignment horizontal="center" vertical="top"/>
      <protection hidden="1"/>
    </xf>
    <xf numFmtId="49" fontId="88" fillId="0" borderId="0" xfId="0" applyNumberFormat="1" applyFont="1" applyAlignment="1">
      <alignment horizontal="left" vertical="center" wrapText="1"/>
    </xf>
    <xf numFmtId="49" fontId="15" fillId="4" borderId="0" xfId="0" applyNumberFormat="1" applyFont="1" applyFill="1" applyAlignment="1">
      <alignment vertical="top"/>
    </xf>
    <xf numFmtId="49" fontId="88" fillId="0" borderId="4" xfId="0" applyNumberFormat="1" applyFont="1" applyBorder="1" applyAlignment="1">
      <alignment horizontal="left" vertical="center" wrapText="1"/>
    </xf>
    <xf numFmtId="49" fontId="101" fillId="4" borderId="0" xfId="0" applyNumberFormat="1" applyFont="1" applyFill="1"/>
    <xf numFmtId="7" fontId="13" fillId="4" borderId="0" xfId="0" applyNumberFormat="1" applyFont="1" applyFill="1" applyAlignment="1">
      <alignment horizontal="center" vertical="top"/>
    </xf>
    <xf numFmtId="164" fontId="96" fillId="4" borderId="0" xfId="3" applyNumberFormat="1" applyFont="1" applyFill="1" applyBorder="1" applyAlignment="1">
      <alignment horizontal="right" vertical="top"/>
    </xf>
    <xf numFmtId="0" fontId="91" fillId="19" borderId="5" xfId="0" applyFont="1" applyFill="1" applyBorder="1" applyAlignment="1">
      <alignment horizontal="center" vertical="center"/>
    </xf>
    <xf numFmtId="0" fontId="15" fillId="19" borderId="4" xfId="0" applyFont="1" applyFill="1" applyBorder="1" applyAlignment="1">
      <alignment horizontal="center" vertical="top"/>
    </xf>
    <xf numFmtId="0" fontId="90" fillId="20" borderId="0" xfId="0" applyFont="1" applyFill="1" applyAlignment="1">
      <alignment vertical="top"/>
    </xf>
    <xf numFmtId="0" fontId="89" fillId="20" borderId="9" xfId="0" applyFont="1" applyFill="1" applyBorder="1" applyAlignment="1">
      <alignment horizontal="center" vertical="center"/>
    </xf>
    <xf numFmtId="0" fontId="13" fillId="20" borderId="10" xfId="0" applyFont="1" applyFill="1" applyBorder="1" applyAlignment="1">
      <alignment vertical="top"/>
    </xf>
    <xf numFmtId="49" fontId="88" fillId="0" borderId="0" xfId="0" applyNumberFormat="1" applyFont="1" applyAlignment="1">
      <alignment vertical="center" wrapText="1"/>
    </xf>
    <xf numFmtId="0" fontId="91" fillId="19" borderId="4" xfId="0" applyFont="1" applyFill="1" applyBorder="1" applyAlignment="1">
      <alignment horizontal="center" vertical="center"/>
    </xf>
    <xf numFmtId="0" fontId="90" fillId="20" borderId="4" xfId="0" applyFont="1" applyFill="1" applyBorder="1" applyAlignment="1">
      <alignment vertical="top"/>
    </xf>
    <xf numFmtId="0" fontId="89" fillId="20" borderId="4" xfId="0" applyFont="1" applyFill="1" applyBorder="1" applyAlignment="1">
      <alignment horizontal="center" vertical="center"/>
    </xf>
    <xf numFmtId="0" fontId="13" fillId="20" borderId="4" xfId="0" applyFont="1" applyFill="1" applyBorder="1" applyAlignment="1">
      <alignment vertical="top"/>
    </xf>
    <xf numFmtId="49" fontId="88" fillId="0" borderId="0" xfId="0" applyNumberFormat="1" applyFont="1" applyAlignment="1" applyProtection="1">
      <alignment vertical="center" wrapText="1"/>
      <protection hidden="1"/>
    </xf>
    <xf numFmtId="49" fontId="105" fillId="4" borderId="0" xfId="0" applyNumberFormat="1" applyFont="1" applyFill="1" applyAlignment="1">
      <alignment vertical="top" wrapText="1"/>
    </xf>
    <xf numFmtId="0" fontId="13" fillId="4" borderId="0" xfId="0" applyFont="1" applyFill="1" applyAlignment="1">
      <alignment vertical="top"/>
    </xf>
    <xf numFmtId="0" fontId="89" fillId="4" borderId="4" xfId="0" applyFont="1" applyFill="1" applyBorder="1" applyAlignment="1">
      <alignment horizontal="left" vertical="center"/>
    </xf>
    <xf numFmtId="0" fontId="89" fillId="4" borderId="0" xfId="0" applyFont="1" applyFill="1" applyAlignment="1">
      <alignment horizontal="left" vertical="center"/>
    </xf>
    <xf numFmtId="49" fontId="91" fillId="0" borderId="0" xfId="0" applyNumberFormat="1" applyFont="1" applyAlignment="1">
      <alignment horizontal="center" vertical="center" wrapText="1"/>
    </xf>
    <xf numFmtId="0" fontId="90" fillId="0" borderId="0" xfId="0" applyFont="1" applyAlignment="1">
      <alignment horizontal="left" vertical="top"/>
    </xf>
    <xf numFmtId="0" fontId="90" fillId="0" borderId="4" xfId="0" applyFont="1" applyBorder="1" applyAlignment="1">
      <alignment horizontal="left" vertical="top"/>
    </xf>
    <xf numFmtId="0" fontId="96" fillId="4" borderId="0" xfId="0" applyFont="1" applyFill="1" applyAlignment="1">
      <alignment vertical="top"/>
    </xf>
    <xf numFmtId="0" fontId="106" fillId="0" borderId="4" xfId="0" applyFont="1" applyBorder="1" applyAlignment="1" applyProtection="1">
      <alignment vertical="center" wrapText="1"/>
      <protection hidden="1"/>
    </xf>
    <xf numFmtId="0" fontId="107" fillId="4" borderId="0" xfId="0" applyFont="1" applyFill="1" applyAlignment="1">
      <alignment horizontal="center" vertical="top"/>
    </xf>
    <xf numFmtId="0" fontId="108" fillId="4" borderId="0" xfId="0" applyFont="1" applyFill="1" applyAlignment="1" applyProtection="1">
      <alignment vertical="top"/>
      <protection hidden="1"/>
    </xf>
    <xf numFmtId="0" fontId="106" fillId="0" borderId="0" xfId="0" applyFont="1" applyAlignment="1" applyProtection="1">
      <alignment vertical="center"/>
      <protection hidden="1"/>
    </xf>
    <xf numFmtId="0" fontId="106" fillId="0" borderId="4" xfId="0" applyFont="1" applyBorder="1" applyAlignment="1" applyProtection="1">
      <alignment vertical="center"/>
      <protection hidden="1"/>
    </xf>
    <xf numFmtId="0" fontId="108" fillId="4" borderId="4" xfId="0" applyFont="1" applyFill="1" applyBorder="1" applyAlignment="1" applyProtection="1">
      <alignment vertical="top"/>
      <protection hidden="1"/>
    </xf>
    <xf numFmtId="0" fontId="96" fillId="4" borderId="0" xfId="0" applyFont="1" applyFill="1" applyAlignment="1">
      <alignment horizontal="center" wrapText="1"/>
    </xf>
    <xf numFmtId="0" fontId="106" fillId="0" borderId="0" xfId="0" applyFont="1" applyAlignment="1" applyProtection="1">
      <alignment vertical="center" wrapText="1"/>
      <protection hidden="1"/>
    </xf>
    <xf numFmtId="0" fontId="109" fillId="4" borderId="0" xfId="0" applyFont="1" applyFill="1" applyAlignment="1" applyProtection="1">
      <alignment horizontal="center" vertical="center" wrapText="1"/>
      <protection hidden="1"/>
    </xf>
    <xf numFmtId="0" fontId="108" fillId="0" borderId="0" xfId="0" applyFont="1" applyAlignment="1" applyProtection="1">
      <alignment vertical="top"/>
      <protection hidden="1"/>
    </xf>
    <xf numFmtId="0" fontId="108" fillId="0" borderId="4" xfId="0" applyFont="1" applyBorder="1" applyAlignment="1" applyProtection="1">
      <alignment vertical="top"/>
      <protection hidden="1"/>
    </xf>
    <xf numFmtId="0" fontId="102" fillId="4" borderId="0" xfId="0" applyFont="1" applyFill="1" applyAlignment="1">
      <alignment vertical="center"/>
    </xf>
    <xf numFmtId="7" fontId="15" fillId="4" borderId="9" xfId="0" applyNumberFormat="1" applyFont="1" applyFill="1" applyBorder="1" applyAlignment="1">
      <alignment horizontal="center" vertical="top"/>
    </xf>
    <xf numFmtId="49" fontId="88" fillId="0" borderId="9" xfId="0" applyNumberFormat="1" applyFont="1" applyBorder="1" applyAlignment="1">
      <alignment vertical="center" wrapText="1"/>
    </xf>
    <xf numFmtId="49" fontId="15" fillId="4" borderId="9" xfId="0" applyNumberFormat="1" applyFont="1" applyFill="1" applyBorder="1" applyAlignment="1">
      <alignment vertical="top"/>
    </xf>
    <xf numFmtId="49" fontId="88" fillId="4" borderId="0" xfId="0" applyNumberFormat="1" applyFont="1" applyFill="1" applyAlignment="1">
      <alignment vertical="center" wrapText="1"/>
    </xf>
    <xf numFmtId="49" fontId="89" fillId="4" borderId="0" xfId="0" applyNumberFormat="1" applyFont="1" applyFill="1" applyAlignment="1">
      <alignment vertical="center"/>
    </xf>
    <xf numFmtId="49" fontId="89" fillId="4" borderId="4" xfId="0" applyNumberFormat="1" applyFont="1" applyFill="1" applyBorder="1" applyAlignment="1">
      <alignment vertical="center"/>
    </xf>
    <xf numFmtId="49" fontId="13" fillId="4" borderId="0" xfId="0" applyNumberFormat="1" applyFont="1" applyFill="1" applyAlignment="1">
      <alignment vertical="top"/>
    </xf>
    <xf numFmtId="0" fontId="16" fillId="4" borderId="0" xfId="0" applyFont="1" applyFill="1" applyProtection="1">
      <protection hidden="1"/>
    </xf>
    <xf numFmtId="0" fontId="92" fillId="4" borderId="0" xfId="0" applyFont="1" applyFill="1" applyAlignment="1" applyProtection="1">
      <alignment horizontal="center"/>
      <protection hidden="1"/>
    </xf>
    <xf numFmtId="0" fontId="94" fillId="4" borderId="0" xfId="0" applyFont="1" applyFill="1" applyAlignment="1" applyProtection="1">
      <alignment horizontal="center"/>
      <protection hidden="1"/>
    </xf>
    <xf numFmtId="0" fontId="90" fillId="4" borderId="0" xfId="0" applyFont="1" applyFill="1" applyProtection="1">
      <protection hidden="1"/>
    </xf>
    <xf numFmtId="0" fontId="90" fillId="4" borderId="4" xfId="0" applyFont="1" applyFill="1" applyBorder="1" applyAlignment="1" applyProtection="1">
      <alignment vertical="top"/>
      <protection hidden="1"/>
    </xf>
    <xf numFmtId="49" fontId="88" fillId="4" borderId="0" xfId="0" applyNumberFormat="1" applyFont="1" applyFill="1" applyAlignment="1">
      <alignment horizontal="left" vertical="center" wrapText="1"/>
    </xf>
    <xf numFmtId="49" fontId="88" fillId="4" borderId="4" xfId="0" applyNumberFormat="1" applyFont="1" applyFill="1" applyBorder="1" applyAlignment="1">
      <alignment horizontal="left" vertical="center" wrapText="1"/>
    </xf>
    <xf numFmtId="49" fontId="93" fillId="4" borderId="0" xfId="0" applyNumberFormat="1" applyFont="1" applyFill="1" applyAlignment="1">
      <alignment vertical="center"/>
    </xf>
    <xf numFmtId="0" fontId="16" fillId="4" borderId="0" xfId="0" applyFont="1" applyFill="1" applyAlignment="1">
      <alignment vertical="top"/>
    </xf>
    <xf numFmtId="0" fontId="13" fillId="20" borderId="0" xfId="0" applyFont="1" applyFill="1" applyAlignment="1">
      <alignment vertical="top"/>
    </xf>
    <xf numFmtId="0" fontId="93" fillId="20" borderId="9" xfId="0" applyFont="1" applyFill="1" applyBorder="1" applyAlignment="1">
      <alignment horizontal="center" vertical="center"/>
    </xf>
    <xf numFmtId="49" fontId="91" fillId="4" borderId="0" xfId="0" applyNumberFormat="1" applyFont="1" applyFill="1" applyAlignment="1" applyProtection="1">
      <alignment horizontal="center" vertical="center" wrapText="1"/>
      <protection hidden="1"/>
    </xf>
    <xf numFmtId="49" fontId="93" fillId="4" borderId="0" xfId="0" applyNumberFormat="1" applyFont="1" applyFill="1" applyAlignment="1">
      <alignment vertical="center" wrapText="1"/>
    </xf>
    <xf numFmtId="49" fontId="88" fillId="4" borderId="4" xfId="0" applyNumberFormat="1" applyFont="1" applyFill="1" applyBorder="1" applyAlignment="1">
      <alignment vertical="center"/>
    </xf>
    <xf numFmtId="49" fontId="104" fillId="4" borderId="0" xfId="0" applyNumberFormat="1" applyFont="1" applyFill="1" applyAlignment="1">
      <alignment vertical="center"/>
    </xf>
    <xf numFmtId="49" fontId="96" fillId="4" borderId="0" xfId="0" applyNumberFormat="1" applyFont="1" applyFill="1" applyAlignment="1">
      <alignment vertical="top"/>
    </xf>
    <xf numFmtId="49" fontId="88" fillId="0" borderId="5" xfId="0" applyNumberFormat="1" applyFont="1" applyBorder="1" applyAlignment="1">
      <alignment vertical="center" wrapText="1"/>
    </xf>
    <xf numFmtId="49" fontId="104" fillId="4" borderId="0" xfId="0" applyNumberFormat="1" applyFont="1" applyFill="1" applyAlignment="1">
      <alignment horizontal="center" vertical="center" wrapText="1"/>
    </xf>
    <xf numFmtId="49" fontId="91" fillId="0" borderId="0" xfId="0" applyNumberFormat="1" applyFont="1" applyAlignment="1">
      <alignment horizontal="center" vertical="center"/>
    </xf>
    <xf numFmtId="0" fontId="88" fillId="4" borderId="4" xfId="0" applyFont="1" applyFill="1" applyBorder="1" applyAlignment="1">
      <alignment vertical="center" wrapText="1"/>
    </xf>
    <xf numFmtId="0" fontId="13" fillId="4" borderId="12" xfId="0" applyFont="1" applyFill="1" applyBorder="1" applyAlignment="1">
      <alignment vertical="top"/>
    </xf>
    <xf numFmtId="49" fontId="93" fillId="4" borderId="9" xfId="0" applyNumberFormat="1" applyFont="1" applyFill="1" applyBorder="1" applyAlignment="1">
      <alignment vertical="center" wrapText="1"/>
    </xf>
    <xf numFmtId="0" fontId="13" fillId="4" borderId="9" xfId="0" applyFont="1" applyFill="1" applyBorder="1" applyAlignment="1">
      <alignment vertical="top"/>
    </xf>
    <xf numFmtId="49" fontId="88" fillId="4" borderId="0" xfId="0" applyNumberFormat="1" applyFont="1" applyFill="1" applyAlignment="1">
      <alignment vertical="center"/>
    </xf>
    <xf numFmtId="49" fontId="88" fillId="4" borderId="4" xfId="0" applyNumberFormat="1" applyFont="1" applyFill="1" applyBorder="1" applyAlignment="1">
      <alignment vertical="top" wrapText="1"/>
    </xf>
    <xf numFmtId="0" fontId="16" fillId="4" borderId="0" xfId="0" applyFont="1" applyFill="1" applyAlignment="1">
      <alignment horizontal="center"/>
    </xf>
    <xf numFmtId="0" fontId="90" fillId="4" borderId="0" xfId="0" applyFont="1" applyFill="1" applyAlignment="1">
      <alignment vertical="top"/>
    </xf>
    <xf numFmtId="0" fontId="90" fillId="4" borderId="4" xfId="0" applyFont="1" applyFill="1" applyBorder="1" applyAlignment="1">
      <alignment vertical="top"/>
    </xf>
    <xf numFmtId="0" fontId="111" fillId="4" borderId="0" xfId="0" applyFont="1" applyFill="1" applyAlignment="1" applyProtection="1">
      <alignment vertical="center" wrapText="1"/>
      <protection hidden="1"/>
    </xf>
    <xf numFmtId="0" fontId="106" fillId="4" borderId="0" xfId="0" applyFont="1" applyFill="1" applyAlignment="1" applyProtection="1">
      <alignment vertical="center" wrapText="1"/>
      <protection hidden="1"/>
    </xf>
    <xf numFmtId="0" fontId="106" fillId="4" borderId="4" xfId="0" applyFont="1" applyFill="1" applyBorder="1" applyAlignment="1" applyProtection="1">
      <alignment vertical="center" wrapText="1"/>
      <protection hidden="1"/>
    </xf>
    <xf numFmtId="49" fontId="91" fillId="4" borderId="0" xfId="0" applyNumberFormat="1" applyFont="1" applyFill="1" applyAlignment="1">
      <alignment horizontal="center"/>
    </xf>
    <xf numFmtId="0" fontId="102" fillId="4" borderId="0" xfId="0" applyFont="1" applyFill="1" applyAlignment="1">
      <alignment horizontal="center"/>
    </xf>
    <xf numFmtId="166" fontId="13" fillId="4" borderId="0" xfId="0" applyNumberFormat="1" applyFont="1" applyFill="1" applyAlignment="1" applyProtection="1">
      <alignment horizontal="center" vertical="top"/>
      <protection hidden="1"/>
    </xf>
    <xf numFmtId="44" fontId="15" fillId="0" borderId="0" xfId="3" applyFont="1" applyFill="1" applyBorder="1" applyAlignment="1">
      <alignment horizontal="center" vertical="top"/>
    </xf>
    <xf numFmtId="0" fontId="91" fillId="0" borderId="0" xfId="0" applyFont="1" applyAlignment="1">
      <alignment horizontal="center" vertical="center"/>
    </xf>
    <xf numFmtId="0" fontId="15" fillId="0" borderId="0" xfId="0" applyFont="1" applyAlignment="1">
      <alignment horizontal="center" vertical="top"/>
    </xf>
    <xf numFmtId="0" fontId="90" fillId="20" borderId="0" xfId="0" applyFont="1" applyFill="1" applyAlignment="1">
      <alignment horizontal="center" vertical="top"/>
    </xf>
    <xf numFmtId="0" fontId="89" fillId="20" borderId="0" xfId="0" applyFont="1" applyFill="1" applyAlignment="1">
      <alignment horizontal="center" vertical="center"/>
    </xf>
    <xf numFmtId="166" fontId="15" fillId="4" borderId="0" xfId="0" applyNumberFormat="1" applyFont="1" applyFill="1" applyAlignment="1">
      <alignment horizontal="center" vertical="top"/>
    </xf>
    <xf numFmtId="0" fontId="13" fillId="0" borderId="0" xfId="0" applyFont="1" applyAlignment="1">
      <alignment vertical="top"/>
    </xf>
    <xf numFmtId="0" fontId="15" fillId="0" borderId="0" xfId="0" applyFont="1" applyAlignment="1">
      <alignment vertical="top"/>
    </xf>
    <xf numFmtId="49" fontId="99" fillId="4" borderId="0" xfId="0" applyNumberFormat="1" applyFont="1" applyFill="1" applyAlignment="1" applyProtection="1">
      <alignment horizontal="center" vertical="center" wrapText="1"/>
      <protection hidden="1"/>
    </xf>
    <xf numFmtId="0" fontId="112" fillId="4" borderId="0" xfId="0" applyFont="1" applyFill="1" applyAlignment="1">
      <alignment horizontal="center" vertical="center"/>
    </xf>
    <xf numFmtId="49" fontId="95" fillId="4" borderId="0" xfId="0" applyNumberFormat="1" applyFont="1" applyFill="1" applyAlignment="1">
      <alignment horizontal="center" vertical="center"/>
    </xf>
    <xf numFmtId="0" fontId="88" fillId="4" borderId="0" xfId="0" applyFont="1" applyFill="1" applyAlignment="1">
      <alignment vertical="center" wrapText="1"/>
    </xf>
    <xf numFmtId="0" fontId="90" fillId="0" borderId="0" xfId="0" applyFont="1" applyAlignment="1">
      <alignment vertical="top"/>
    </xf>
    <xf numFmtId="0" fontId="90" fillId="0" borderId="4" xfId="0" applyFont="1" applyBorder="1" applyAlignment="1">
      <alignment vertical="top"/>
    </xf>
    <xf numFmtId="49" fontId="94" fillId="4" borderId="0" xfId="0" applyNumberFormat="1" applyFont="1" applyFill="1" applyAlignment="1">
      <alignment horizontal="center" vertical="center"/>
    </xf>
    <xf numFmtId="0" fontId="98" fillId="0" borderId="0" xfId="0" applyFont="1" applyAlignment="1" applyProtection="1">
      <alignment horizontal="left" vertical="center" wrapText="1"/>
      <protection hidden="1"/>
    </xf>
    <xf numFmtId="0" fontId="98" fillId="0" borderId="0" xfId="0" applyFont="1" applyAlignment="1" applyProtection="1">
      <alignment horizontal="left" vertical="center"/>
      <protection hidden="1"/>
    </xf>
    <xf numFmtId="0" fontId="13" fillId="0" borderId="0" xfId="0" applyFont="1" applyAlignment="1" applyProtection="1">
      <alignment horizontal="left" vertical="top"/>
      <protection hidden="1"/>
    </xf>
    <xf numFmtId="0" fontId="113" fillId="0" borderId="0" xfId="0" applyFont="1" applyAlignment="1">
      <alignment vertical="top"/>
    </xf>
    <xf numFmtId="0" fontId="113" fillId="0" borderId="4" xfId="0" applyFont="1" applyBorder="1" applyAlignment="1">
      <alignment vertical="top"/>
    </xf>
    <xf numFmtId="49" fontId="101" fillId="0" borderId="0" xfId="0" applyNumberFormat="1" applyFont="1"/>
    <xf numFmtId="49" fontId="101" fillId="0" borderId="0" xfId="0" applyNumberFormat="1" applyFont="1" applyAlignment="1">
      <alignment vertical="top"/>
    </xf>
    <xf numFmtId="0" fontId="114" fillId="4" borderId="4" xfId="0" applyFont="1" applyFill="1" applyBorder="1" applyAlignment="1">
      <alignment vertical="center" wrapText="1"/>
    </xf>
    <xf numFmtId="0" fontId="99" fillId="4" borderId="0" xfId="0" applyFont="1" applyFill="1" applyAlignment="1">
      <alignment horizontal="center" vertical="center" wrapText="1"/>
    </xf>
    <xf numFmtId="166" fontId="13" fillId="4" borderId="0" xfId="0" applyNumberFormat="1" applyFont="1" applyFill="1" applyAlignment="1">
      <alignment horizontal="center" vertical="top"/>
    </xf>
    <xf numFmtId="0" fontId="13" fillId="20" borderId="9" xfId="0" applyFont="1" applyFill="1" applyBorder="1" applyAlignment="1">
      <alignment vertical="top"/>
    </xf>
    <xf numFmtId="0" fontId="0" fillId="4" borderId="0" xfId="0" applyFill="1"/>
    <xf numFmtId="0" fontId="15" fillId="4" borderId="4" xfId="0" applyFont="1" applyFill="1" applyBorder="1"/>
    <xf numFmtId="164" fontId="13" fillId="4" borderId="0" xfId="3" applyNumberFormat="1" applyFont="1" applyFill="1" applyBorder="1" applyAlignment="1">
      <alignment horizontal="right" vertical="top"/>
    </xf>
    <xf numFmtId="0" fontId="79" fillId="4" borderId="0" xfId="0" applyFont="1" applyFill="1"/>
    <xf numFmtId="0" fontId="96" fillId="2" borderId="0" xfId="0" applyFont="1" applyFill="1" applyAlignment="1">
      <alignment horizontal="center"/>
    </xf>
    <xf numFmtId="0" fontId="13" fillId="4" borderId="0" xfId="0" applyFont="1" applyFill="1"/>
    <xf numFmtId="7" fontId="90" fillId="20" borderId="0" xfId="0" applyNumberFormat="1" applyFont="1" applyFill="1" applyAlignment="1">
      <alignment horizontal="center" vertical="top"/>
    </xf>
    <xf numFmtId="0" fontId="13" fillId="4" borderId="0" xfId="0" applyFont="1" applyFill="1" applyAlignment="1">
      <alignment horizontal="left"/>
    </xf>
    <xf numFmtId="0" fontId="16" fillId="4" borderId="0" xfId="0" applyFont="1" applyFill="1" applyAlignment="1">
      <alignment horizontal="center" vertical="top"/>
    </xf>
    <xf numFmtId="49" fontId="98" fillId="0" borderId="0" xfId="0" applyNumberFormat="1" applyFont="1" applyAlignment="1">
      <alignment horizontal="center" vertical="center" wrapText="1"/>
    </xf>
    <xf numFmtId="49" fontId="101" fillId="4" borderId="0" xfId="0" applyNumberFormat="1" applyFont="1" applyFill="1" applyAlignment="1">
      <alignment vertical="top"/>
    </xf>
    <xf numFmtId="164" fontId="90" fillId="4" borderId="0" xfId="4" applyNumberFormat="1" applyFont="1" applyFill="1" applyBorder="1" applyAlignment="1">
      <alignment horizontal="center" vertical="top"/>
    </xf>
    <xf numFmtId="49" fontId="0" fillId="0" borderId="4" xfId="0" applyNumberFormat="1" applyBorder="1"/>
    <xf numFmtId="0" fontId="115" fillId="4" borderId="0" xfId="0" applyFont="1" applyFill="1"/>
    <xf numFmtId="0" fontId="91" fillId="0" borderId="0" xfId="0" applyFont="1" applyAlignment="1" applyProtection="1">
      <alignment horizontal="center" vertical="center"/>
      <protection hidden="1"/>
    </xf>
    <xf numFmtId="0" fontId="15" fillId="0" borderId="0" xfId="0" applyFont="1" applyAlignment="1" applyProtection="1">
      <alignment horizontal="center" vertical="top"/>
      <protection hidden="1"/>
    </xf>
    <xf numFmtId="0" fontId="91" fillId="19" borderId="5" xfId="0" applyFont="1" applyFill="1" applyBorder="1" applyAlignment="1" applyProtection="1">
      <alignment horizontal="center" vertical="center"/>
      <protection hidden="1"/>
    </xf>
    <xf numFmtId="0" fontId="79" fillId="20" borderId="0" xfId="0" applyFont="1" applyFill="1" applyAlignment="1" applyProtection="1">
      <alignment horizontal="center" vertical="top"/>
      <protection hidden="1"/>
    </xf>
    <xf numFmtId="0" fontId="89" fillId="20" borderId="0" xfId="0" applyFont="1" applyFill="1" applyAlignment="1" applyProtection="1">
      <alignment vertical="center"/>
      <protection hidden="1"/>
    </xf>
    <xf numFmtId="0" fontId="13" fillId="20" borderId="0" xfId="0" applyFont="1" applyFill="1" applyAlignment="1" applyProtection="1">
      <alignment vertical="top"/>
      <protection hidden="1"/>
    </xf>
    <xf numFmtId="166" fontId="90" fillId="4" borderId="0" xfId="0" applyNumberFormat="1" applyFont="1" applyFill="1" applyAlignment="1">
      <alignment horizontal="center" vertical="top"/>
    </xf>
    <xf numFmtId="0" fontId="90" fillId="4" borderId="0" xfId="0" applyFont="1" applyFill="1" applyAlignment="1">
      <alignment horizontal="center" vertical="center" wrapText="1"/>
    </xf>
    <xf numFmtId="0" fontId="104" fillId="4" borderId="0" xfId="0" applyFont="1" applyFill="1" applyAlignment="1">
      <alignment horizontal="center" vertical="center"/>
    </xf>
    <xf numFmtId="0" fontId="116" fillId="4" borderId="0" xfId="0" applyFont="1" applyFill="1" applyAlignment="1">
      <alignment vertical="top"/>
    </xf>
    <xf numFmtId="0" fontId="107" fillId="4" borderId="0" xfId="0" applyFont="1" applyFill="1" applyAlignment="1">
      <alignment horizontal="center" vertical="center" wrapText="1"/>
    </xf>
    <xf numFmtId="0" fontId="117" fillId="4" borderId="0" xfId="0" applyFont="1" applyFill="1" applyAlignment="1">
      <alignment horizontal="center" vertical="center" wrapText="1"/>
    </xf>
    <xf numFmtId="0" fontId="118" fillId="4" borderId="0" xfId="0" applyFont="1" applyFill="1" applyAlignment="1">
      <alignment vertical="top"/>
    </xf>
    <xf numFmtId="43" fontId="13" fillId="4" borderId="0" xfId="2" applyFont="1" applyFill="1" applyBorder="1" applyAlignment="1">
      <alignment horizontal="right" vertical="top"/>
    </xf>
    <xf numFmtId="0" fontId="89" fillId="20" borderId="0" xfId="0" applyFont="1" applyFill="1" applyAlignment="1">
      <alignment vertical="center"/>
    </xf>
    <xf numFmtId="0" fontId="0" fillId="4" borderId="0" xfId="0" applyFill="1" applyAlignment="1">
      <alignment vertical="center"/>
    </xf>
    <xf numFmtId="0" fontId="79" fillId="4" borderId="4" xfId="0" applyFont="1" applyFill="1" applyBorder="1" applyAlignment="1">
      <alignment vertical="center" wrapText="1"/>
    </xf>
    <xf numFmtId="0" fontId="16" fillId="4" borderId="0" xfId="0" applyFont="1" applyFill="1" applyAlignment="1">
      <alignment vertical="center"/>
    </xf>
    <xf numFmtId="0" fontId="119" fillId="4" borderId="0" xfId="0" applyFont="1" applyFill="1" applyAlignment="1">
      <alignment vertical="top"/>
    </xf>
    <xf numFmtId="49" fontId="13" fillId="4" borderId="8" xfId="0" applyNumberFormat="1" applyFont="1" applyFill="1" applyBorder="1" applyAlignment="1">
      <alignment vertical="top"/>
    </xf>
    <xf numFmtId="0" fontId="13" fillId="4" borderId="0" xfId="0" applyFont="1" applyFill="1" applyAlignment="1">
      <alignment vertical="center"/>
    </xf>
    <xf numFmtId="164" fontId="13" fillId="4" borderId="0" xfId="0" applyNumberFormat="1" applyFont="1" applyFill="1" applyAlignment="1">
      <alignment vertical="top"/>
    </xf>
    <xf numFmtId="0" fontId="13" fillId="4" borderId="0" xfId="0" applyFont="1" applyFill="1" applyAlignment="1" applyProtection="1">
      <alignment horizontal="center" vertical="top"/>
      <protection hidden="1"/>
    </xf>
    <xf numFmtId="0" fontId="90" fillId="19" borderId="5" xfId="0" applyFont="1" applyFill="1" applyBorder="1" applyAlignment="1">
      <alignment vertical="center"/>
    </xf>
    <xf numFmtId="0" fontId="90" fillId="19" borderId="4" xfId="0" applyFont="1" applyFill="1" applyBorder="1" applyAlignment="1">
      <alignment vertical="top"/>
    </xf>
    <xf numFmtId="0" fontId="79" fillId="20" borderId="0" xfId="0" applyFont="1" applyFill="1" applyAlignment="1">
      <alignment vertical="center"/>
    </xf>
    <xf numFmtId="0" fontId="13" fillId="20" borderId="8" xfId="0" applyFont="1" applyFill="1" applyBorder="1" applyAlignment="1">
      <alignment vertical="top"/>
    </xf>
    <xf numFmtId="0" fontId="16" fillId="4" borderId="0" xfId="0" applyFont="1" applyFill="1"/>
    <xf numFmtId="49" fontId="90" fillId="0" borderId="4" xfId="0" applyNumberFormat="1" applyFont="1" applyBorder="1" applyAlignment="1" applyProtection="1">
      <alignment vertical="top"/>
      <protection hidden="1"/>
    </xf>
    <xf numFmtId="0" fontId="88" fillId="4" borderId="0" xfId="0" applyFont="1" applyFill="1" applyAlignment="1" applyProtection="1">
      <alignment horizontal="left" vertical="center" wrapText="1"/>
      <protection hidden="1"/>
    </xf>
    <xf numFmtId="49" fontId="103" fillId="4" borderId="0" xfId="0" applyNumberFormat="1" applyFont="1" applyFill="1"/>
    <xf numFmtId="49" fontId="15" fillId="4" borderId="15" xfId="0" applyNumberFormat="1" applyFont="1" applyFill="1" applyBorder="1" applyAlignment="1" applyProtection="1">
      <alignment vertical="top"/>
      <protection hidden="1"/>
    </xf>
    <xf numFmtId="7" fontId="15" fillId="4" borderId="4" xfId="2" applyNumberFormat="1" applyFont="1" applyFill="1" applyBorder="1" applyAlignment="1" applyProtection="1">
      <alignment horizontal="center" vertical="top"/>
      <protection hidden="1"/>
    </xf>
    <xf numFmtId="7" fontId="13" fillId="4" borderId="0" xfId="2" applyNumberFormat="1" applyFont="1" applyFill="1" applyBorder="1" applyAlignment="1" applyProtection="1">
      <alignment horizontal="center" vertical="top"/>
      <protection hidden="1"/>
    </xf>
    <xf numFmtId="0" fontId="13" fillId="4" borderId="9" xfId="0" applyFont="1" applyFill="1" applyBorder="1" applyAlignment="1">
      <alignment horizontal="center"/>
    </xf>
    <xf numFmtId="0" fontId="13" fillId="4" borderId="9" xfId="0" applyFont="1" applyFill="1" applyBorder="1"/>
    <xf numFmtId="0" fontId="99" fillId="4" borderId="0" xfId="0" applyFont="1" applyFill="1" applyAlignment="1">
      <alignment horizontal="center" vertical="center"/>
    </xf>
    <xf numFmtId="0" fontId="15" fillId="0" borderId="4" xfId="0" applyFont="1" applyBorder="1"/>
    <xf numFmtId="0" fontId="15" fillId="0" borderId="0" xfId="0" applyFont="1" applyAlignment="1">
      <alignment horizontal="center"/>
    </xf>
    <xf numFmtId="49" fontId="103" fillId="0" borderId="0" xfId="0" applyNumberFormat="1" applyFont="1" applyAlignment="1" applyProtection="1">
      <alignment vertical="top"/>
      <protection hidden="1"/>
    </xf>
    <xf numFmtId="49" fontId="15" fillId="0" borderId="0" xfId="0" applyNumberFormat="1" applyFont="1" applyAlignment="1" applyProtection="1">
      <alignment vertical="top"/>
      <protection hidden="1"/>
    </xf>
    <xf numFmtId="49" fontId="101" fillId="0" borderId="0" xfId="0" applyNumberFormat="1" applyFont="1" applyProtection="1">
      <protection hidden="1"/>
    </xf>
    <xf numFmtId="0" fontId="96" fillId="4" borderId="9" xfId="0" applyFont="1" applyFill="1" applyBorder="1" applyAlignment="1">
      <alignment horizontal="center"/>
    </xf>
    <xf numFmtId="164" fontId="15" fillId="4" borderId="0" xfId="0" applyNumberFormat="1" applyFont="1" applyFill="1" applyAlignment="1">
      <alignment horizontal="center" vertical="top"/>
    </xf>
    <xf numFmtId="0" fontId="95" fillId="4" borderId="0" xfId="0" applyFont="1" applyFill="1" applyAlignment="1">
      <alignment horizontal="center" vertical="center" wrapText="1"/>
    </xf>
    <xf numFmtId="164" fontId="13" fillId="4" borderId="0" xfId="0" applyNumberFormat="1" applyFont="1" applyFill="1" applyAlignment="1">
      <alignment horizontal="center" vertical="top"/>
    </xf>
    <xf numFmtId="164" fontId="90" fillId="20" borderId="0" xfId="0" applyNumberFormat="1" applyFont="1" applyFill="1" applyAlignment="1">
      <alignment horizontal="center" vertical="top"/>
    </xf>
    <xf numFmtId="0" fontId="26" fillId="0" borderId="0" xfId="18" applyFont="1" applyAlignment="1">
      <alignment vertical="center"/>
    </xf>
    <xf numFmtId="0" fontId="26" fillId="0" borderId="0" xfId="18" applyFont="1" applyAlignment="1">
      <alignment vertical="center" wrapText="1"/>
    </xf>
    <xf numFmtId="0" fontId="121" fillId="21" borderId="0" xfId="18" applyFont="1" applyFill="1" applyAlignment="1">
      <alignment horizontal="center" vertical="center"/>
    </xf>
    <xf numFmtId="0" fontId="0" fillId="0" borderId="0" xfId="0" applyAlignment="1">
      <alignment horizontal="center" vertical="center"/>
    </xf>
    <xf numFmtId="167" fontId="86" fillId="0" borderId="4" xfId="0" applyNumberFormat="1" applyFont="1" applyBorder="1" applyAlignment="1">
      <alignment horizontal="center" vertical="center"/>
    </xf>
    <xf numFmtId="0" fontId="0" fillId="0" borderId="4" xfId="0" applyBorder="1" applyAlignment="1">
      <alignment horizontal="left"/>
    </xf>
    <xf numFmtId="164" fontId="122" fillId="22" borderId="4" xfId="0" applyNumberFormat="1" applyFont="1" applyFill="1" applyBorder="1" applyAlignment="1">
      <alignment horizontal="center" vertical="center"/>
    </xf>
    <xf numFmtId="0" fontId="122" fillId="22" borderId="4" xfId="0" applyFont="1" applyFill="1" applyBorder="1" applyAlignment="1">
      <alignment horizontal="left" vertical="center"/>
    </xf>
    <xf numFmtId="0" fontId="79" fillId="0" borderId="0" xfId="19" applyFont="1" applyAlignment="1">
      <alignment vertical="center"/>
    </xf>
    <xf numFmtId="44" fontId="79" fillId="0" borderId="0" xfId="3" applyFont="1" applyBorder="1" applyProtection="1"/>
    <xf numFmtId="0" fontId="79" fillId="0" borderId="0" xfId="20" applyFont="1" applyAlignment="1">
      <alignment vertical="top"/>
    </xf>
    <xf numFmtId="0" fontId="124" fillId="0" borderId="0" xfId="21" applyFont="1" applyFill="1" applyBorder="1" applyAlignment="1" applyProtection="1">
      <alignment vertical="center"/>
    </xf>
    <xf numFmtId="44" fontId="120" fillId="0" borderId="0" xfId="3" applyFont="1" applyFill="1" applyBorder="1" applyAlignment="1">
      <alignment horizontal="right"/>
    </xf>
    <xf numFmtId="0" fontId="79" fillId="0" borderId="16" xfId="19" applyFont="1" applyBorder="1" applyAlignment="1">
      <alignment vertical="top" wrapText="1"/>
    </xf>
    <xf numFmtId="0" fontId="79" fillId="0" borderId="15" xfId="9" applyFont="1" applyBorder="1" applyAlignment="1">
      <alignment horizontal="left" vertical="center"/>
    </xf>
    <xf numFmtId="0" fontId="79" fillId="0" borderId="16" xfId="0" applyFont="1" applyBorder="1" applyAlignment="1">
      <alignment vertical="top" wrapText="1"/>
    </xf>
    <xf numFmtId="0" fontId="79" fillId="0" borderId="4" xfId="19" applyFont="1" applyBorder="1"/>
    <xf numFmtId="44" fontId="79" fillId="0" borderId="0" xfId="3" applyFont="1" applyFill="1" applyBorder="1" applyAlignment="1">
      <alignment horizontal="right" vertical="center"/>
    </xf>
    <xf numFmtId="0" fontId="79" fillId="0" borderId="4" xfId="0" applyFont="1" applyBorder="1" applyAlignment="1">
      <alignment vertical="top" wrapText="1"/>
    </xf>
    <xf numFmtId="44" fontId="79" fillId="0" borderId="17" xfId="3" applyFont="1" applyFill="1" applyBorder="1" applyAlignment="1">
      <alignment horizontal="right" vertical="center"/>
    </xf>
    <xf numFmtId="0" fontId="79" fillId="0" borderId="15" xfId="0" applyFont="1" applyBorder="1" applyAlignment="1">
      <alignment vertical="top" wrapText="1"/>
    </xf>
    <xf numFmtId="0" fontId="79" fillId="0" borderId="15" xfId="19" applyFont="1" applyBorder="1"/>
    <xf numFmtId="44" fontId="120" fillId="0" borderId="17" xfId="3" applyFont="1" applyFill="1" applyBorder="1" applyAlignment="1">
      <alignment horizontal="right"/>
    </xf>
    <xf numFmtId="44" fontId="120" fillId="0" borderId="4" xfId="3" applyFont="1" applyFill="1" applyBorder="1" applyAlignment="1">
      <alignment horizontal="right"/>
    </xf>
    <xf numFmtId="44" fontId="79" fillId="0" borderId="4" xfId="3" applyFont="1" applyFill="1" applyBorder="1" applyAlignment="1">
      <alignment horizontal="right" vertical="center"/>
    </xf>
    <xf numFmtId="44" fontId="79" fillId="0" borderId="4" xfId="3" applyFont="1" applyFill="1" applyBorder="1" applyAlignment="1" applyProtection="1">
      <alignment horizontal="right" vertical="center"/>
    </xf>
    <xf numFmtId="0" fontId="79" fillId="0" borderId="4" xfId="19" applyFont="1" applyBorder="1" applyAlignment="1">
      <alignment vertical="top" wrapText="1"/>
    </xf>
    <xf numFmtId="0" fontId="79" fillId="0" borderId="4" xfId="19" applyFont="1" applyBorder="1" applyAlignment="1">
      <alignment vertical="center"/>
    </xf>
    <xf numFmtId="44" fontId="80" fillId="0" borderId="0" xfId="3" applyFont="1" applyFill="1" applyBorder="1" applyProtection="1"/>
    <xf numFmtId="0" fontId="80" fillId="0" borderId="16" xfId="22" applyFill="1" applyBorder="1" applyAlignment="1" applyProtection="1">
      <alignment vertical="top"/>
    </xf>
    <xf numFmtId="0" fontId="80" fillId="0" borderId="15" xfId="22" applyFill="1" applyBorder="1" applyProtection="1"/>
    <xf numFmtId="0" fontId="80" fillId="0" borderId="4" xfId="22" applyFill="1" applyBorder="1" applyProtection="1"/>
    <xf numFmtId="44" fontId="79" fillId="0" borderId="0" xfId="3" applyFont="1" applyFill="1" applyBorder="1" applyAlignment="1" applyProtection="1">
      <alignment horizontal="right" vertical="center"/>
    </xf>
    <xf numFmtId="0" fontId="12" fillId="0" borderId="16" xfId="0" applyFont="1" applyBorder="1" applyAlignment="1">
      <alignment horizontal="left" vertical="top"/>
    </xf>
    <xf numFmtId="0" fontId="12" fillId="0" borderId="4" xfId="0" applyFont="1" applyBorder="1" applyAlignment="1">
      <alignment horizontal="left"/>
    </xf>
    <xf numFmtId="0" fontId="79" fillId="0" borderId="16" xfId="23" applyFont="1" applyBorder="1" applyAlignment="1">
      <alignment vertical="top" wrapText="1"/>
    </xf>
    <xf numFmtId="0" fontId="79" fillId="0" borderId="16" xfId="24" applyFont="1" applyBorder="1" applyAlignment="1">
      <alignment vertical="top" wrapText="1"/>
    </xf>
    <xf numFmtId="0" fontId="79" fillId="0" borderId="4" xfId="24" applyFont="1" applyBorder="1" applyAlignment="1">
      <alignment vertical="top" wrapText="1"/>
    </xf>
    <xf numFmtId="0" fontId="79" fillId="0" borderId="15" xfId="19" applyFont="1" applyBorder="1" applyAlignment="1">
      <alignment vertical="top" wrapText="1"/>
    </xf>
    <xf numFmtId="0" fontId="79" fillId="0" borderId="4" xfId="23" applyFont="1" applyBorder="1" applyAlignment="1">
      <alignment vertical="top" wrapText="1"/>
    </xf>
    <xf numFmtId="44" fontId="120" fillId="0" borderId="15" xfId="3" applyFont="1" applyFill="1" applyBorder="1" applyAlignment="1">
      <alignment horizontal="right"/>
    </xf>
    <xf numFmtId="0" fontId="79" fillId="0" borderId="15" xfId="24" applyFont="1" applyBorder="1" applyAlignment="1">
      <alignment vertical="top" wrapText="1"/>
    </xf>
    <xf numFmtId="44" fontId="79" fillId="0" borderId="15" xfId="3" applyFont="1" applyFill="1" applyBorder="1" applyAlignment="1" applyProtection="1">
      <alignment horizontal="right" vertical="center"/>
    </xf>
    <xf numFmtId="0" fontId="0" fillId="0" borderId="15" xfId="0" applyBorder="1"/>
    <xf numFmtId="0" fontId="79" fillId="0" borderId="15" xfId="19" applyFont="1" applyBorder="1" applyAlignment="1">
      <alignment vertical="center"/>
    </xf>
    <xf numFmtId="44" fontId="80" fillId="0" borderId="15" xfId="3" applyFont="1" applyFill="1" applyBorder="1" applyProtection="1"/>
    <xf numFmtId="44" fontId="12" fillId="0" borderId="4" xfId="3" applyFont="1" applyBorder="1"/>
    <xf numFmtId="49" fontId="12" fillId="0" borderId="4" xfId="0" applyNumberFormat="1" applyFont="1" applyBorder="1"/>
    <xf numFmtId="44" fontId="12" fillId="0" borderId="4" xfId="3" applyFont="1" applyFill="1" applyBorder="1"/>
    <xf numFmtId="0" fontId="12" fillId="0" borderId="4" xfId="0" applyFont="1" applyBorder="1" applyAlignment="1">
      <alignment vertical="top" wrapText="1"/>
    </xf>
    <xf numFmtId="44" fontId="12" fillId="0" borderId="15" xfId="3" applyFont="1" applyFill="1" applyBorder="1"/>
    <xf numFmtId="0" fontId="79" fillId="0" borderId="4" xfId="0" applyFont="1" applyBorder="1" applyAlignment="1">
      <alignment wrapText="1"/>
    </xf>
    <xf numFmtId="0" fontId="79" fillId="0" borderId="0" xfId="19" applyFont="1" applyAlignment="1">
      <alignment vertical="top" wrapText="1"/>
    </xf>
    <xf numFmtId="44" fontId="79" fillId="0" borderId="15" xfId="3" applyFont="1" applyFill="1" applyBorder="1" applyAlignment="1">
      <alignment horizontal="right" vertical="center"/>
    </xf>
    <xf numFmtId="0" fontId="79" fillId="0" borderId="4" xfId="19" applyFont="1" applyBorder="1" applyAlignment="1">
      <alignment horizontal="left"/>
    </xf>
    <xf numFmtId="0" fontId="79" fillId="0" borderId="15" xfId="19" applyFont="1" applyBorder="1" applyAlignment="1">
      <alignment horizontal="left"/>
    </xf>
    <xf numFmtId="0" fontId="79" fillId="0" borderId="15" xfId="9" applyFont="1" applyBorder="1" applyAlignment="1">
      <alignment vertical="top" wrapText="1"/>
    </xf>
    <xf numFmtId="0" fontId="120" fillId="0" borderId="15" xfId="20" applyBorder="1" applyAlignment="1">
      <alignment horizontal="left"/>
    </xf>
    <xf numFmtId="0" fontId="79" fillId="0" borderId="4" xfId="9" applyFont="1" applyBorder="1" applyAlignment="1">
      <alignment vertical="top" wrapText="1"/>
    </xf>
    <xf numFmtId="0" fontId="120" fillId="0" borderId="4" xfId="20" applyBorder="1" applyAlignment="1">
      <alignment horizontal="left"/>
    </xf>
    <xf numFmtId="0" fontId="120" fillId="0" borderId="4" xfId="20" applyBorder="1" applyAlignment="1">
      <alignment vertical="center"/>
    </xf>
    <xf numFmtId="0" fontId="120" fillId="0" borderId="4" xfId="20" applyBorder="1" applyAlignment="1">
      <alignment vertical="top" wrapText="1"/>
    </xf>
    <xf numFmtId="0" fontId="79" fillId="0" borderId="4" xfId="25" applyFont="1" applyFill="1" applyBorder="1" applyAlignment="1" applyProtection="1">
      <alignment horizontal="left" vertical="center"/>
    </xf>
    <xf numFmtId="44" fontId="79" fillId="0" borderId="15" xfId="3" applyFont="1" applyFill="1" applyBorder="1" applyAlignment="1">
      <alignment horizontal="right" vertical="center" wrapText="1"/>
    </xf>
    <xf numFmtId="0" fontId="79" fillId="0" borderId="15" xfId="25" applyFont="1" applyFill="1" applyBorder="1" applyAlignment="1">
      <alignment horizontal="left" vertical="top" wrapText="1"/>
    </xf>
    <xf numFmtId="0" fontId="79" fillId="0" borderId="15" xfId="25" applyFont="1" applyFill="1" applyBorder="1" applyAlignment="1" applyProtection="1">
      <alignment horizontal="left" vertical="center"/>
    </xf>
    <xf numFmtId="44" fontId="79" fillId="0" borderId="4" xfId="3" applyFont="1" applyFill="1" applyBorder="1" applyAlignment="1">
      <alignment horizontal="right" vertical="center" wrapText="1"/>
    </xf>
    <xf numFmtId="0" fontId="120" fillId="0" borderId="4" xfId="9" applyFont="1" applyBorder="1" applyAlignment="1">
      <alignment vertical="center"/>
    </xf>
    <xf numFmtId="0" fontId="79" fillId="0" borderId="4" xfId="9" applyFont="1" applyBorder="1" applyAlignment="1">
      <alignment vertical="center"/>
    </xf>
    <xf numFmtId="49" fontId="79" fillId="0" borderId="15" xfId="20" applyNumberFormat="1" applyFont="1" applyBorder="1"/>
    <xf numFmtId="49" fontId="79" fillId="0" borderId="4" xfId="20" applyNumberFormat="1" applyFont="1" applyBorder="1"/>
    <xf numFmtId="0" fontId="120" fillId="0" borderId="4" xfId="9" applyFont="1" applyBorder="1" applyAlignment="1">
      <alignment vertical="top" wrapText="1"/>
    </xf>
    <xf numFmtId="0" fontId="79" fillId="0" borderId="4" xfId="9" applyFont="1" applyBorder="1" applyAlignment="1">
      <alignment horizontal="left" vertical="top" wrapText="1"/>
    </xf>
    <xf numFmtId="0" fontId="79" fillId="0" borderId="4" xfId="9" applyFont="1" applyBorder="1" applyAlignment="1">
      <alignment horizontal="left" vertical="center"/>
    </xf>
    <xf numFmtId="0" fontId="80" fillId="0" borderId="4" xfId="26" applyFill="1" applyBorder="1" applyAlignment="1" applyProtection="1">
      <alignment vertical="top"/>
    </xf>
    <xf numFmtId="0" fontId="80" fillId="0" borderId="4" xfId="26" applyFill="1" applyBorder="1" applyProtection="1"/>
    <xf numFmtId="0" fontId="79" fillId="0" borderId="4" xfId="27" applyFont="1" applyBorder="1" applyAlignment="1">
      <alignment vertical="top" wrapText="1"/>
    </xf>
    <xf numFmtId="0" fontId="79" fillId="0" borderId="4" xfId="27" applyFont="1" applyBorder="1" applyAlignment="1">
      <alignment vertical="top"/>
    </xf>
    <xf numFmtId="0" fontId="79" fillId="0" borderId="15" xfId="19" applyFont="1" applyBorder="1" applyAlignment="1">
      <alignment vertical="top"/>
    </xf>
    <xf numFmtId="0" fontId="79" fillId="0" borderId="4" xfId="19" applyFont="1" applyBorder="1" applyAlignment="1">
      <alignment vertical="top"/>
    </xf>
    <xf numFmtId="0" fontId="79" fillId="0" borderId="15" xfId="27" applyFont="1" applyBorder="1" applyAlignment="1">
      <alignment vertical="top" wrapText="1"/>
    </xf>
    <xf numFmtId="0" fontId="79" fillId="0" borderId="15" xfId="27" applyFont="1" applyBorder="1" applyAlignment="1">
      <alignment vertical="top"/>
    </xf>
    <xf numFmtId="49" fontId="12" fillId="0" borderId="15" xfId="0" applyNumberFormat="1" applyFont="1" applyBorder="1"/>
    <xf numFmtId="0" fontId="120" fillId="0" borderId="0" xfId="20" applyAlignment="1">
      <alignment vertical="top" wrapText="1"/>
    </xf>
    <xf numFmtId="0" fontId="120" fillId="0" borderId="15" xfId="20" applyBorder="1"/>
    <xf numFmtId="0" fontId="120" fillId="0" borderId="4" xfId="20" applyBorder="1"/>
    <xf numFmtId="44" fontId="0" fillId="0" borderId="0" xfId="3" applyFont="1" applyBorder="1"/>
    <xf numFmtId="0" fontId="81" fillId="0" borderId="0" xfId="0" applyFont="1" applyAlignment="1">
      <alignment vertical="top" wrapText="1"/>
    </xf>
    <xf numFmtId="49" fontId="0" fillId="0" borderId="15" xfId="0" applyNumberFormat="1" applyBorder="1"/>
    <xf numFmtId="44" fontId="12" fillId="0" borderId="0" xfId="3" applyFont="1" applyFill="1" applyBorder="1"/>
    <xf numFmtId="0" fontId="12" fillId="0" borderId="0" xfId="0" applyFont="1" applyAlignment="1">
      <alignment vertical="top" wrapText="1"/>
    </xf>
    <xf numFmtId="0" fontId="12" fillId="0" borderId="4" xfId="0" applyFont="1" applyBorder="1" applyAlignment="1">
      <alignment horizontal="left" vertical="top"/>
    </xf>
    <xf numFmtId="0" fontId="79" fillId="23" borderId="4" xfId="24" applyFont="1" applyFill="1" applyBorder="1" applyAlignment="1">
      <alignment vertical="top" wrapText="1"/>
    </xf>
    <xf numFmtId="0" fontId="79" fillId="0" borderId="0" xfId="20" applyFont="1"/>
    <xf numFmtId="0" fontId="79" fillId="0" borderId="4" xfId="21" applyFont="1" applyFill="1" applyBorder="1" applyAlignment="1" applyProtection="1">
      <alignment vertical="center"/>
    </xf>
    <xf numFmtId="0" fontId="125" fillId="0" borderId="4" xfId="0" applyFont="1" applyBorder="1" applyAlignment="1">
      <alignment vertical="top"/>
    </xf>
    <xf numFmtId="0" fontId="79" fillId="0" borderId="4" xfId="28" applyFont="1" applyBorder="1" applyAlignment="1">
      <alignment vertical="top" wrapText="1"/>
    </xf>
    <xf numFmtId="0" fontId="79" fillId="0" borderId="4" xfId="27" applyFont="1" applyBorder="1" applyAlignment="1">
      <alignment horizontal="left" vertical="top" wrapText="1"/>
    </xf>
    <xf numFmtId="0" fontId="79" fillId="0" borderId="4" xfId="19" applyFont="1" applyBorder="1" applyAlignment="1">
      <alignment horizontal="left" vertical="top" wrapText="1"/>
    </xf>
    <xf numFmtId="0" fontId="79" fillId="0" borderId="4" xfId="19" applyFont="1" applyBorder="1" applyAlignment="1">
      <alignment horizontal="left" vertical="center"/>
    </xf>
    <xf numFmtId="49" fontId="79" fillId="0" borderId="4" xfId="0" applyNumberFormat="1" applyFont="1" applyBorder="1"/>
    <xf numFmtId="44" fontId="126" fillId="23" borderId="4" xfId="3" applyFont="1" applyFill="1" applyBorder="1" applyAlignment="1">
      <alignment horizontal="center" vertical="center" wrapText="1"/>
    </xf>
    <xf numFmtId="44" fontId="126" fillId="0" borderId="4" xfId="3" applyFont="1" applyBorder="1" applyAlignment="1">
      <alignment horizontal="center" vertical="center" wrapText="1"/>
    </xf>
    <xf numFmtId="44" fontId="126" fillId="0" borderId="4" xfId="3" applyFont="1" applyFill="1" applyBorder="1" applyAlignment="1">
      <alignment horizontal="center" vertical="center" wrapText="1"/>
    </xf>
    <xf numFmtId="0" fontId="12" fillId="0" borderId="4" xfId="0" applyFont="1" applyBorder="1" applyAlignment="1">
      <alignment horizontal="left" vertical="top" wrapText="1"/>
    </xf>
    <xf numFmtId="0" fontId="79" fillId="0" borderId="4" xfId="0" applyFont="1" applyBorder="1"/>
    <xf numFmtId="0" fontId="79" fillId="0" borderId="0" xfId="24" applyFont="1" applyAlignment="1">
      <alignment horizontal="left" vertical="top" wrapText="1"/>
    </xf>
    <xf numFmtId="0" fontId="79" fillId="0" borderId="0" xfId="0" applyFont="1"/>
    <xf numFmtId="0" fontId="79" fillId="0" borderId="0" xfId="24" applyFont="1" applyAlignment="1">
      <alignment vertical="top" wrapText="1"/>
    </xf>
    <xf numFmtId="0" fontId="79" fillId="0" borderId="0" xfId="9" applyFont="1"/>
    <xf numFmtId="0" fontId="79" fillId="0" borderId="4" xfId="9" applyFont="1" applyBorder="1"/>
    <xf numFmtId="0" fontId="79" fillId="0" borderId="0" xfId="19" applyFont="1"/>
    <xf numFmtId="0" fontId="79" fillId="0" borderId="4" xfId="20" applyFont="1" applyBorder="1"/>
    <xf numFmtId="49" fontId="79" fillId="0" borderId="4" xfId="19" applyNumberFormat="1" applyFont="1" applyBorder="1"/>
    <xf numFmtId="0" fontId="0" fillId="0" borderId="4" xfId="0" applyBorder="1" applyAlignment="1">
      <alignment horizontal="left" vertical="top"/>
    </xf>
    <xf numFmtId="0" fontId="36" fillId="0" borderId="4" xfId="0" applyFont="1" applyBorder="1" applyAlignment="1">
      <alignment vertical="top"/>
    </xf>
    <xf numFmtId="0" fontId="127" fillId="0" borderId="4" xfId="0" applyFont="1" applyBorder="1"/>
    <xf numFmtId="0" fontId="79" fillId="0" borderId="4" xfId="20" applyFont="1" applyBorder="1" applyAlignment="1">
      <alignment vertical="top" wrapText="1"/>
    </xf>
    <xf numFmtId="0" fontId="79" fillId="0" borderId="4" xfId="20" applyFont="1" applyBorder="1" applyAlignment="1">
      <alignment vertical="top"/>
    </xf>
    <xf numFmtId="0" fontId="26" fillId="0" borderId="4" xfId="0" applyFont="1" applyBorder="1" applyAlignment="1">
      <alignment vertical="top"/>
    </xf>
    <xf numFmtId="0" fontId="79" fillId="0" borderId="4" xfId="0" applyFont="1" applyBorder="1" applyAlignment="1">
      <alignment horizontal="left" vertical="top"/>
    </xf>
    <xf numFmtId="0" fontId="12" fillId="0" borderId="4" xfId="0" applyFont="1" applyBorder="1" applyAlignment="1">
      <alignment vertical="top"/>
    </xf>
    <xf numFmtId="0" fontId="12" fillId="0" borderId="4" xfId="0" applyFont="1" applyBorder="1"/>
    <xf numFmtId="0" fontId="79" fillId="0" borderId="4" xfId="29" applyFont="1" applyBorder="1" applyAlignment="1">
      <alignment vertical="top" wrapText="1"/>
    </xf>
    <xf numFmtId="0" fontId="79" fillId="0" borderId="4" xfId="29" applyFont="1" applyBorder="1" applyAlignment="1">
      <alignment vertical="top"/>
    </xf>
    <xf numFmtId="44" fontId="12" fillId="0" borderId="4" xfId="3" applyFont="1" applyFill="1" applyBorder="1" applyAlignment="1">
      <alignment horizontal="right"/>
    </xf>
    <xf numFmtId="0" fontId="17" fillId="0" borderId="4" xfId="0" applyFont="1" applyBorder="1" applyAlignment="1">
      <alignment vertical="top"/>
    </xf>
    <xf numFmtId="0" fontId="79" fillId="0" borderId="4" xfId="9" applyFont="1" applyBorder="1" applyAlignment="1">
      <alignment wrapText="1"/>
    </xf>
    <xf numFmtId="0" fontId="79" fillId="0" borderId="4" xfId="30" applyFont="1" applyBorder="1" applyAlignment="1">
      <alignment wrapText="1"/>
    </xf>
    <xf numFmtId="0" fontId="79" fillId="0" borderId="4" xfId="27" applyFont="1" applyBorder="1" applyAlignment="1">
      <alignment vertical="center"/>
    </xf>
    <xf numFmtId="0" fontId="79" fillId="0" borderId="4" xfId="25" applyFont="1" applyFill="1" applyBorder="1" applyAlignment="1">
      <alignment horizontal="left" vertical="top" wrapText="1"/>
    </xf>
    <xf numFmtId="0" fontId="12" fillId="0" borderId="0" xfId="19" applyAlignment="1">
      <alignment vertical="center"/>
    </xf>
    <xf numFmtId="49" fontId="79" fillId="0" borderId="4" xfId="0" applyNumberFormat="1" applyFont="1" applyBorder="1" applyAlignment="1">
      <alignment vertical="top"/>
    </xf>
    <xf numFmtId="0" fontId="79" fillId="0" borderId="0" xfId="19" applyFont="1" applyAlignment="1">
      <alignment vertical="top"/>
    </xf>
    <xf numFmtId="49" fontId="12" fillId="0" borderId="0" xfId="0" applyNumberFormat="1" applyFont="1"/>
    <xf numFmtId="0" fontId="120" fillId="0" borderId="4" xfId="0" applyFont="1" applyBorder="1" applyAlignment="1">
      <alignment vertical="top"/>
    </xf>
    <xf numFmtId="0" fontId="120" fillId="0" borderId="4" xfId="0" applyFont="1" applyBorder="1" applyAlignment="1">
      <alignment vertical="center"/>
    </xf>
    <xf numFmtId="44" fontId="0" fillId="0" borderId="4" xfId="3" applyFont="1" applyBorder="1"/>
    <xf numFmtId="49" fontId="12" fillId="0" borderId="4" xfId="0" applyNumberFormat="1" applyFont="1" applyBorder="1" applyAlignment="1">
      <alignment vertical="top"/>
    </xf>
    <xf numFmtId="49" fontId="12" fillId="24" borderId="4" xfId="0" applyNumberFormat="1" applyFont="1" applyFill="1" applyBorder="1" applyAlignment="1">
      <alignment vertical="top"/>
    </xf>
    <xf numFmtId="0" fontId="19" fillId="0" borderId="4" xfId="0" applyFont="1" applyBorder="1"/>
    <xf numFmtId="0" fontId="79" fillId="0" borderId="0" xfId="27" applyFont="1" applyAlignment="1">
      <alignment vertical="top" wrapText="1"/>
    </xf>
    <xf numFmtId="44" fontId="0" fillId="0" borderId="4" xfId="3" applyFont="1" applyBorder="1" applyAlignment="1">
      <alignment wrapText="1"/>
    </xf>
    <xf numFmtId="44" fontId="79" fillId="0" borderId="4" xfId="3" applyFont="1" applyFill="1" applyBorder="1"/>
    <xf numFmtId="0" fontId="79" fillId="0" borderId="4" xfId="0" applyFont="1" applyBorder="1" applyAlignment="1">
      <alignment vertical="top"/>
    </xf>
    <xf numFmtId="0" fontId="79" fillId="0" borderId="8" xfId="19" applyFont="1" applyBorder="1"/>
    <xf numFmtId="49" fontId="0" fillId="0" borderId="8" xfId="0" applyNumberFormat="1" applyBorder="1"/>
    <xf numFmtId="44" fontId="0" fillId="0" borderId="4" xfId="3" applyFont="1" applyFill="1" applyBorder="1"/>
    <xf numFmtId="0" fontId="120" fillId="0" borderId="0" xfId="0" applyFont="1" applyAlignment="1">
      <alignment vertical="top"/>
    </xf>
    <xf numFmtId="44" fontId="120" fillId="0" borderId="4" xfId="3" applyFont="1" applyBorder="1" applyAlignment="1">
      <alignment vertical="center"/>
    </xf>
    <xf numFmtId="44" fontId="80" fillId="0" borderId="4" xfId="3" applyFont="1" applyFill="1" applyBorder="1" applyProtection="1"/>
    <xf numFmtId="0" fontId="80" fillId="0" borderId="4" xfId="31" applyFill="1" applyBorder="1" applyAlignment="1" applyProtection="1">
      <alignment vertical="top"/>
    </xf>
    <xf numFmtId="0" fontId="79" fillId="0" borderId="0" xfId="19" applyFont="1" applyAlignment="1">
      <alignment horizontal="center" vertical="center"/>
    </xf>
    <xf numFmtId="44" fontId="120" fillId="0" borderId="4" xfId="3" applyFont="1" applyBorder="1" applyAlignment="1">
      <alignment horizontal="right"/>
    </xf>
    <xf numFmtId="0" fontId="0" fillId="0" borderId="4" xfId="0" applyBorder="1" applyAlignment="1">
      <alignment vertical="top"/>
    </xf>
    <xf numFmtId="49" fontId="0" fillId="0" borderId="4" xfId="0" applyNumberFormat="1" applyBorder="1" applyAlignment="1">
      <alignment vertical="top"/>
    </xf>
    <xf numFmtId="44" fontId="120" fillId="0" borderId="4" xfId="3" applyFont="1" applyFill="1" applyBorder="1" applyAlignment="1">
      <alignment vertical="center"/>
    </xf>
    <xf numFmtId="0" fontId="80" fillId="0" borderId="18" xfId="31" applyFill="1" applyBorder="1" applyAlignment="1" applyProtection="1">
      <alignment vertical="top"/>
    </xf>
    <xf numFmtId="44" fontId="0" fillId="0" borderId="0" xfId="3" applyFont="1"/>
    <xf numFmtId="0" fontId="79" fillId="0" borderId="18" xfId="24" applyFont="1" applyBorder="1" applyAlignment="1">
      <alignment vertical="top" wrapText="1"/>
    </xf>
    <xf numFmtId="44" fontId="81" fillId="0" borderId="0" xfId="3" applyFont="1" applyFill="1" applyBorder="1"/>
    <xf numFmtId="0" fontId="79" fillId="0" borderId="18" xfId="19" applyFont="1" applyBorder="1" applyAlignment="1">
      <alignment vertical="top" wrapText="1"/>
    </xf>
    <xf numFmtId="49" fontId="0" fillId="0" borderId="18" xfId="0" applyNumberFormat="1" applyBorder="1" applyAlignment="1">
      <alignment vertical="top"/>
    </xf>
    <xf numFmtId="44" fontId="120" fillId="0" borderId="0" xfId="3" applyFont="1" applyFill="1" applyBorder="1" applyAlignment="1">
      <alignment vertical="center"/>
    </xf>
    <xf numFmtId="0" fontId="79" fillId="0" borderId="0" xfId="19" applyFont="1" applyAlignment="1">
      <alignment horizontal="left"/>
    </xf>
    <xf numFmtId="49" fontId="0" fillId="0" borderId="0" xfId="0" applyNumberFormat="1" applyAlignment="1">
      <alignment vertical="top"/>
    </xf>
    <xf numFmtId="0" fontId="79" fillId="0" borderId="4" xfId="27" applyFont="1" applyBorder="1" applyAlignment="1">
      <alignment wrapText="1"/>
    </xf>
    <xf numFmtId="44" fontId="12" fillId="24" borderId="4" xfId="3" applyFont="1" applyFill="1" applyBorder="1"/>
    <xf numFmtId="44" fontId="126" fillId="0" borderId="0" xfId="3" applyFont="1" applyBorder="1" applyAlignment="1">
      <alignment horizontal="center" vertical="center" wrapText="1"/>
    </xf>
    <xf numFmtId="44" fontId="126" fillId="23" borderId="0" xfId="3" applyFont="1" applyFill="1" applyBorder="1" applyAlignment="1">
      <alignment horizontal="center" vertical="center" wrapText="1"/>
    </xf>
    <xf numFmtId="0" fontId="0" fillId="0" borderId="4" xfId="0" applyBorder="1" applyAlignment="1">
      <alignment horizontal="left" vertical="top" wrapText="1"/>
    </xf>
    <xf numFmtId="0" fontId="79" fillId="0" borderId="4" xfId="24" applyFont="1" applyBorder="1" applyAlignment="1">
      <alignment horizontal="left" vertical="top" wrapText="1"/>
    </xf>
    <xf numFmtId="0" fontId="79" fillId="0" borderId="4" xfId="0" applyFont="1" applyBorder="1" applyAlignment="1">
      <alignment horizontal="left"/>
    </xf>
    <xf numFmtId="0" fontId="79" fillId="0" borderId="4" xfId="28" applyFont="1" applyBorder="1" applyAlignment="1">
      <alignment vertical="top"/>
    </xf>
    <xf numFmtId="44" fontId="0" fillId="0" borderId="4" xfId="3" applyFont="1" applyFill="1" applyBorder="1" applyAlignment="1">
      <alignment horizontal="right"/>
    </xf>
    <xf numFmtId="0" fontId="79" fillId="0" borderId="16" xfId="19" applyFont="1" applyBorder="1" applyAlignment="1">
      <alignment vertical="center"/>
    </xf>
    <xf numFmtId="0" fontId="79" fillId="0" borderId="16" xfId="19" applyFont="1" applyBorder="1"/>
    <xf numFmtId="49" fontId="79" fillId="0" borderId="4" xfId="20" applyNumberFormat="1" applyFont="1" applyBorder="1" applyAlignment="1">
      <alignment vertical="top" wrapText="1"/>
    </xf>
    <xf numFmtId="44" fontId="79" fillId="0" borderId="4" xfId="3" applyFont="1" applyFill="1" applyBorder="1" applyAlignment="1">
      <alignment horizontal="right"/>
    </xf>
    <xf numFmtId="49" fontId="120" fillId="0" borderId="4" xfId="20" applyNumberFormat="1" applyBorder="1" applyAlignment="1">
      <alignment vertical="top" wrapText="1"/>
    </xf>
    <xf numFmtId="0" fontId="80" fillId="0" borderId="4" xfId="22" applyFill="1" applyBorder="1" applyAlignment="1" applyProtection="1">
      <alignment vertical="top"/>
    </xf>
    <xf numFmtId="0" fontId="120" fillId="0" borderId="4" xfId="19" applyFont="1" applyBorder="1" applyAlignment="1">
      <alignment vertical="top" wrapText="1"/>
    </xf>
    <xf numFmtId="0" fontId="120" fillId="0" borderId="4" xfId="19" applyFont="1" applyBorder="1" applyAlignment="1">
      <alignment vertical="center"/>
    </xf>
    <xf numFmtId="0" fontId="120" fillId="0" borderId="4" xfId="20" applyBorder="1" applyAlignment="1">
      <alignment horizontal="left" vertical="top" wrapText="1"/>
    </xf>
    <xf numFmtId="44" fontId="79" fillId="0" borderId="4" xfId="3" applyFont="1" applyFill="1" applyBorder="1" applyAlignment="1" applyProtection="1">
      <alignment horizontal="right" vertical="top"/>
    </xf>
    <xf numFmtId="0" fontId="79" fillId="0" borderId="4" xfId="20" applyFont="1" applyBorder="1" applyAlignment="1">
      <alignment horizontal="left" vertical="top" wrapText="1"/>
    </xf>
    <xf numFmtId="0" fontId="79" fillId="0" borderId="4" xfId="25" applyNumberFormat="1" applyFont="1" applyFill="1" applyBorder="1" applyAlignment="1">
      <alignment horizontal="left" vertical="top" wrapText="1"/>
    </xf>
    <xf numFmtId="0" fontId="79" fillId="0" borderId="4" xfId="28" applyFont="1" applyBorder="1"/>
    <xf numFmtId="0" fontId="79" fillId="0" borderId="4" xfId="21" applyNumberFormat="1" applyFont="1" applyFill="1" applyBorder="1" applyAlignment="1" applyProtection="1">
      <alignment horizontal="left" vertical="top" wrapText="1"/>
    </xf>
    <xf numFmtId="0" fontId="79" fillId="0" borderId="4" xfId="20" applyFont="1" applyBorder="1" applyAlignment="1">
      <alignment horizontal="left" vertical="center" wrapText="1"/>
    </xf>
    <xf numFmtId="0" fontId="79" fillId="0" borderId="0" xfId="25" applyFont="1" applyFill="1" applyBorder="1" applyAlignment="1">
      <alignment horizontal="center" vertical="center"/>
    </xf>
    <xf numFmtId="0" fontId="16" fillId="0" borderId="0" xfId="25" applyFill="1" applyBorder="1" applyAlignment="1">
      <alignment horizontal="center" vertical="center"/>
    </xf>
    <xf numFmtId="49" fontId="0" fillId="0" borderId="0" xfId="0" applyNumberFormat="1"/>
    <xf numFmtId="44" fontId="16" fillId="18" borderId="8" xfId="3" applyFont="1" applyFill="1" applyBorder="1" applyAlignment="1">
      <alignment horizontal="center" vertical="center" wrapText="1"/>
    </xf>
    <xf numFmtId="0" fontId="16" fillId="0" borderId="16" xfId="25" applyFill="1" applyBorder="1" applyAlignment="1">
      <alignment horizontal="center" vertical="top"/>
    </xf>
    <xf numFmtId="0" fontId="16" fillId="0" borderId="7" xfId="25" applyFill="1" applyBorder="1" applyAlignment="1" applyProtection="1">
      <alignment horizontal="center" vertical="center"/>
    </xf>
    <xf numFmtId="44" fontId="79" fillId="0" borderId="0" xfId="3" applyFont="1" applyFill="1" applyBorder="1" applyProtection="1"/>
    <xf numFmtId="164" fontId="0" fillId="0" borderId="0" xfId="0" applyNumberFormat="1"/>
    <xf numFmtId="0" fontId="15" fillId="0" borderId="4" xfId="0" applyFont="1" applyBorder="1" applyAlignment="1">
      <alignment horizontal="center"/>
    </xf>
    <xf numFmtId="0" fontId="1" fillId="0" borderId="0" xfId="9" applyFont="1" applyAlignment="1">
      <alignment vertical="center"/>
    </xf>
    <xf numFmtId="168" fontId="1" fillId="0" borderId="0" xfId="9" applyNumberFormat="1" applyFont="1" applyAlignment="1">
      <alignment vertical="center"/>
    </xf>
    <xf numFmtId="0" fontId="128" fillId="0" borderId="0" xfId="9" applyFont="1" applyAlignment="1">
      <alignment vertical="center"/>
    </xf>
    <xf numFmtId="164" fontId="129" fillId="0" borderId="4" xfId="9" applyNumberFormat="1" applyFont="1" applyBorder="1" applyAlignment="1">
      <alignment horizontal="right"/>
    </xf>
    <xf numFmtId="0" fontId="129" fillId="0" borderId="4" xfId="9" applyFont="1" applyBorder="1" applyAlignment="1">
      <alignment horizontal="left"/>
    </xf>
    <xf numFmtId="49" fontId="129" fillId="0" borderId="4" xfId="9" applyNumberFormat="1" applyFont="1" applyBorder="1" applyAlignment="1">
      <alignment horizontal="left"/>
    </xf>
    <xf numFmtId="164" fontId="129" fillId="0" borderId="0" xfId="9" applyNumberFormat="1" applyFont="1" applyAlignment="1">
      <alignment horizontal="right"/>
    </xf>
    <xf numFmtId="0" fontId="129" fillId="0" borderId="0" xfId="9" applyFont="1" applyAlignment="1">
      <alignment horizontal="left"/>
    </xf>
    <xf numFmtId="49" fontId="129" fillId="0" borderId="0" xfId="9" applyNumberFormat="1" applyFont="1" applyAlignment="1">
      <alignment horizontal="left"/>
    </xf>
    <xf numFmtId="164" fontId="129" fillId="0" borderId="19" xfId="9" applyNumberFormat="1" applyFont="1" applyBorder="1" applyAlignment="1">
      <alignment horizontal="right"/>
    </xf>
    <xf numFmtId="0" fontId="129" fillId="0" borderId="19" xfId="9" applyFont="1" applyBorder="1" applyAlignment="1">
      <alignment horizontal="left"/>
    </xf>
    <xf numFmtId="49" fontId="129" fillId="0" borderId="19" xfId="9" applyNumberFormat="1" applyFont="1" applyBorder="1" applyAlignment="1">
      <alignment horizontal="left"/>
    </xf>
    <xf numFmtId="164" fontId="1" fillId="0" borderId="20" xfId="9" applyNumberFormat="1" applyFont="1" applyBorder="1" applyAlignment="1">
      <alignment vertical="center"/>
    </xf>
    <xf numFmtId="0" fontId="128" fillId="0" borderId="20" xfId="9" applyFont="1" applyBorder="1" applyAlignment="1">
      <alignment vertical="center"/>
    </xf>
    <xf numFmtId="164" fontId="1" fillId="0" borderId="20" xfId="9" applyNumberFormat="1" applyFont="1" applyBorder="1" applyAlignment="1">
      <alignment horizontal="right" vertical="center"/>
    </xf>
    <xf numFmtId="164" fontId="1" fillId="0" borderId="0" xfId="9" applyNumberFormat="1" applyFont="1" applyAlignment="1">
      <alignment vertical="center"/>
    </xf>
    <xf numFmtId="0" fontId="130" fillId="0" borderId="0" xfId="9" applyFont="1" applyAlignment="1">
      <alignment vertical="center"/>
    </xf>
    <xf numFmtId="164" fontId="131" fillId="0" borderId="0" xfId="9" applyNumberFormat="1" applyFont="1" applyAlignment="1">
      <alignment vertical="center"/>
    </xf>
    <xf numFmtId="0" fontId="132" fillId="0" borderId="0" xfId="9" applyFont="1" applyAlignment="1">
      <alignment vertical="center"/>
    </xf>
    <xf numFmtId="0" fontId="133" fillId="0" borderId="0" xfId="9" applyFont="1" applyAlignment="1">
      <alignment vertical="center"/>
    </xf>
    <xf numFmtId="164" fontId="1" fillId="0" borderId="4" xfId="9" applyNumberFormat="1" applyFont="1" applyBorder="1" applyAlignment="1">
      <alignment vertical="center"/>
    </xf>
    <xf numFmtId="0" fontId="130" fillId="4" borderId="19" xfId="9" applyFont="1" applyFill="1" applyBorder="1" applyAlignment="1">
      <alignment vertical="center"/>
    </xf>
    <xf numFmtId="164" fontId="1" fillId="4" borderId="20" xfId="9" applyNumberFormat="1" applyFont="1" applyFill="1" applyBorder="1" applyAlignment="1">
      <alignment vertical="center"/>
    </xf>
    <xf numFmtId="0" fontId="128" fillId="4" borderId="20" xfId="9" applyFont="1" applyFill="1" applyBorder="1" applyAlignment="1">
      <alignment vertical="center"/>
    </xf>
    <xf numFmtId="0" fontId="130" fillId="0" borderId="4" xfId="9" applyFont="1" applyBorder="1" applyAlignment="1">
      <alignment vertical="center"/>
    </xf>
    <xf numFmtId="0" fontId="128" fillId="0" borderId="9" xfId="9" applyFont="1" applyBorder="1" applyAlignment="1">
      <alignment vertical="center"/>
    </xf>
    <xf numFmtId="0" fontId="130" fillId="4" borderId="4" xfId="9" applyFont="1" applyFill="1" applyBorder="1" applyAlignment="1">
      <alignment vertical="center"/>
    </xf>
    <xf numFmtId="0" fontId="130" fillId="0" borderId="19" xfId="9" applyFont="1" applyBorder="1" applyAlignment="1">
      <alignment vertical="center"/>
    </xf>
    <xf numFmtId="0" fontId="137" fillId="0" borderId="0" xfId="9" applyFont="1" applyAlignment="1">
      <alignment vertical="center"/>
    </xf>
    <xf numFmtId="0" fontId="1" fillId="0" borderId="9" xfId="9" applyFont="1" applyBorder="1" applyAlignment="1">
      <alignment vertical="center"/>
    </xf>
    <xf numFmtId="0" fontId="138" fillId="0" borderId="0" xfId="9" applyFont="1" applyAlignment="1">
      <alignment vertical="center"/>
    </xf>
    <xf numFmtId="164" fontId="137" fillId="0" borderId="0" xfId="9" applyNumberFormat="1" applyFont="1" applyAlignment="1">
      <alignment vertical="center"/>
    </xf>
    <xf numFmtId="0" fontId="139" fillId="0" borderId="0" xfId="9" applyFont="1" applyAlignment="1">
      <alignment vertical="center"/>
    </xf>
    <xf numFmtId="0" fontId="134" fillId="0" borderId="20" xfId="9" applyFont="1" applyBorder="1" applyAlignment="1">
      <alignment vertical="center"/>
    </xf>
    <xf numFmtId="0" fontId="130" fillId="0" borderId="20" xfId="9" applyFont="1" applyBorder="1" applyAlignment="1">
      <alignment vertical="center"/>
    </xf>
    <xf numFmtId="164" fontId="1" fillId="0" borderId="19" xfId="9" applyNumberFormat="1" applyFont="1" applyBorder="1" applyAlignment="1">
      <alignment vertical="center"/>
    </xf>
    <xf numFmtId="0" fontId="133" fillId="0" borderId="20" xfId="9" applyFont="1" applyBorder="1" applyAlignment="1">
      <alignment vertical="center"/>
    </xf>
    <xf numFmtId="0" fontId="130" fillId="4" borderId="0" xfId="9" applyFont="1" applyFill="1" applyAlignment="1">
      <alignment vertical="center"/>
    </xf>
    <xf numFmtId="0" fontId="130" fillId="0" borderId="15" xfId="9" applyFont="1" applyBorder="1" applyAlignment="1">
      <alignment vertical="center"/>
    </xf>
    <xf numFmtId="0" fontId="1" fillId="0" borderId="15" xfId="9" applyFont="1" applyBorder="1" applyAlignment="1">
      <alignment vertical="center"/>
    </xf>
    <xf numFmtId="0" fontId="1" fillId="0" borderId="4" xfId="9" applyFont="1" applyBorder="1" applyAlignment="1">
      <alignment vertical="center"/>
    </xf>
    <xf numFmtId="0" fontId="1" fillId="0" borderId="19" xfId="9" applyFont="1" applyBorder="1" applyAlignment="1">
      <alignment vertical="center"/>
    </xf>
    <xf numFmtId="0" fontId="1" fillId="4" borderId="0" xfId="9" applyFont="1" applyFill="1" applyAlignment="1">
      <alignment vertical="center"/>
    </xf>
    <xf numFmtId="0" fontId="1" fillId="4" borderId="4" xfId="9" applyFont="1" applyFill="1" applyBorder="1" applyAlignment="1">
      <alignment vertical="center"/>
    </xf>
    <xf numFmtId="0" fontId="1" fillId="4" borderId="19" xfId="9" applyFont="1" applyFill="1" applyBorder="1" applyAlignment="1">
      <alignment vertical="center"/>
    </xf>
    <xf numFmtId="0" fontId="129" fillId="0" borderId="4" xfId="9" applyFont="1" applyBorder="1" applyAlignment="1">
      <alignment vertical="center"/>
    </xf>
    <xf numFmtId="0" fontId="129" fillId="0" borderId="19" xfId="9" applyFont="1" applyBorder="1" applyAlignment="1">
      <alignment vertical="center"/>
    </xf>
    <xf numFmtId="164" fontId="1" fillId="0" borderId="0" xfId="19" applyNumberFormat="1" applyFont="1" applyAlignment="1">
      <alignment vertical="center"/>
    </xf>
    <xf numFmtId="0" fontId="130" fillId="0" borderId="0" xfId="19" applyFont="1" applyAlignment="1">
      <alignment vertical="center"/>
    </xf>
    <xf numFmtId="0" fontId="130" fillId="0" borderId="4" xfId="19" applyFont="1" applyBorder="1" applyAlignment="1">
      <alignment vertical="center"/>
    </xf>
    <xf numFmtId="164" fontId="1" fillId="0" borderId="11" xfId="9" applyNumberFormat="1" applyFont="1" applyBorder="1" applyAlignment="1">
      <alignment vertical="center"/>
    </xf>
    <xf numFmtId="0" fontId="1" fillId="0" borderId="12" xfId="9" applyFont="1" applyBorder="1" applyAlignment="1">
      <alignment vertical="center"/>
    </xf>
    <xf numFmtId="0" fontId="136" fillId="0" borderId="13" xfId="9" applyFont="1" applyBorder="1" applyAlignment="1">
      <alignment vertical="center"/>
    </xf>
    <xf numFmtId="0" fontId="135" fillId="0" borderId="20" xfId="9" applyFont="1" applyBorder="1" applyAlignment="1">
      <alignment vertical="center"/>
    </xf>
    <xf numFmtId="0" fontId="1" fillId="0" borderId="0" xfId="19" applyFont="1" applyAlignment="1">
      <alignment vertical="center"/>
    </xf>
    <xf numFmtId="164" fontId="129" fillId="0" borderId="0" xfId="9" applyNumberFormat="1" applyFont="1" applyAlignment="1">
      <alignment vertical="center"/>
    </xf>
    <xf numFmtId="0" fontId="129" fillId="0" borderId="0" xfId="9" applyFont="1" applyAlignment="1">
      <alignment vertical="center"/>
    </xf>
    <xf numFmtId="164" fontId="129" fillId="0" borderId="4" xfId="9" applyNumberFormat="1" applyFont="1" applyBorder="1" applyAlignment="1">
      <alignment vertical="center"/>
    </xf>
    <xf numFmtId="164" fontId="129" fillId="0" borderId="4" xfId="9" applyNumberFormat="1" applyFont="1" applyBorder="1" applyAlignment="1">
      <alignment horizontal="right" vertical="center"/>
    </xf>
    <xf numFmtId="164" fontId="129" fillId="0" borderId="4" xfId="32" applyNumberFormat="1" applyFont="1" applyBorder="1"/>
    <xf numFmtId="0" fontId="129" fillId="0" borderId="4" xfId="9" applyFont="1" applyBorder="1"/>
    <xf numFmtId="164" fontId="129" fillId="0" borderId="4" xfId="32" applyNumberFormat="1" applyFont="1" applyFill="1" applyBorder="1"/>
    <xf numFmtId="164" fontId="142" fillId="0" borderId="20" xfId="9" applyNumberFormat="1" applyFont="1" applyBorder="1" applyAlignment="1">
      <alignment vertical="center"/>
    </xf>
    <xf numFmtId="0" fontId="142" fillId="0" borderId="20" xfId="9" applyFont="1" applyBorder="1" applyAlignment="1">
      <alignment vertical="center"/>
    </xf>
    <xf numFmtId="164" fontId="0" fillId="0" borderId="0" xfId="32" applyNumberFormat="1" applyFont="1"/>
    <xf numFmtId="0" fontId="26" fillId="0" borderId="0" xfId="9"/>
    <xf numFmtId="164" fontId="129" fillId="0" borderId="19" xfId="32" applyNumberFormat="1" applyFont="1" applyBorder="1"/>
    <xf numFmtId="0" fontId="129" fillId="0" borderId="19" xfId="9" applyFont="1" applyBorder="1"/>
    <xf numFmtId="0" fontId="1" fillId="2" borderId="0" xfId="9" applyFont="1" applyFill="1" applyAlignment="1">
      <alignment vertical="center"/>
    </xf>
    <xf numFmtId="164" fontId="1" fillId="0" borderId="20" xfId="19" applyNumberFormat="1" applyFont="1" applyBorder="1" applyAlignment="1">
      <alignment vertical="center"/>
    </xf>
    <xf numFmtId="0" fontId="130" fillId="0" borderId="20" xfId="19" applyFont="1" applyBorder="1" applyAlignment="1">
      <alignment vertical="center"/>
    </xf>
    <xf numFmtId="0" fontId="128" fillId="0" borderId="20" xfId="19" applyFont="1" applyBorder="1" applyAlignment="1">
      <alignment vertical="center"/>
    </xf>
    <xf numFmtId="0" fontId="129" fillId="4" borderId="4" xfId="9" applyFont="1" applyFill="1" applyBorder="1" applyAlignment="1">
      <alignment vertical="center"/>
    </xf>
    <xf numFmtId="0" fontId="129" fillId="4" borderId="19" xfId="9" applyFont="1" applyFill="1" applyBorder="1" applyAlignment="1">
      <alignment vertical="center"/>
    </xf>
    <xf numFmtId="164" fontId="129" fillId="0" borderId="20" xfId="9" applyNumberFormat="1" applyFont="1" applyBorder="1" applyAlignment="1">
      <alignment vertical="center"/>
    </xf>
    <xf numFmtId="0" fontId="1" fillId="0" borderId="4" xfId="19" applyFont="1" applyBorder="1" applyAlignment="1">
      <alignment vertical="center"/>
    </xf>
    <xf numFmtId="164" fontId="136" fillId="0" borderId="11" xfId="19" applyNumberFormat="1" applyFont="1" applyBorder="1" applyAlignment="1">
      <alignment vertical="center"/>
    </xf>
    <xf numFmtId="0" fontId="136" fillId="0" borderId="12" xfId="19" applyFont="1" applyBorder="1" applyAlignment="1">
      <alignment vertical="center"/>
    </xf>
    <xf numFmtId="0" fontId="136" fillId="0" borderId="13" xfId="19" applyFont="1" applyBorder="1" applyAlignment="1">
      <alignment vertical="center"/>
    </xf>
    <xf numFmtId="164" fontId="136" fillId="0" borderId="7" xfId="19" applyNumberFormat="1" applyFont="1" applyBorder="1" applyAlignment="1">
      <alignment vertical="center"/>
    </xf>
    <xf numFmtId="0" fontId="136" fillId="0" borderId="0" xfId="19" applyFont="1" applyAlignment="1">
      <alignment vertical="center"/>
    </xf>
    <xf numFmtId="0" fontId="136" fillId="0" borderId="8" xfId="19" applyFont="1" applyBorder="1" applyAlignment="1">
      <alignment vertical="center"/>
    </xf>
    <xf numFmtId="0" fontId="1" fillId="0" borderId="20" xfId="19" applyFont="1" applyBorder="1" applyAlignment="1">
      <alignment vertical="center"/>
    </xf>
    <xf numFmtId="164" fontId="136" fillId="0" borderId="11" xfId="9" applyNumberFormat="1" applyFont="1" applyBorder="1" applyAlignment="1">
      <alignment vertical="center"/>
    </xf>
    <xf numFmtId="0" fontId="136" fillId="0" borderId="12" xfId="9" applyFont="1" applyBorder="1" applyAlignment="1">
      <alignment vertical="center"/>
    </xf>
    <xf numFmtId="164" fontId="136" fillId="0" borderId="7" xfId="9" applyNumberFormat="1" applyFont="1" applyBorder="1" applyAlignment="1">
      <alignment vertical="center"/>
    </xf>
    <xf numFmtId="0" fontId="136" fillId="0" borderId="0" xfId="9" applyFont="1" applyAlignment="1">
      <alignment vertical="center"/>
    </xf>
    <xf numFmtId="0" fontId="136" fillId="0" borderId="8" xfId="9" applyFont="1" applyBorder="1" applyAlignment="1">
      <alignment vertical="center"/>
    </xf>
    <xf numFmtId="164" fontId="144" fillId="0" borderId="0" xfId="9" applyNumberFormat="1" applyFont="1" applyAlignment="1">
      <alignment vertical="center"/>
    </xf>
    <xf numFmtId="0" fontId="145" fillId="0" borderId="0" xfId="9" applyFont="1" applyAlignment="1">
      <alignment vertical="center"/>
    </xf>
    <xf numFmtId="164" fontId="130" fillId="0" borderId="20" xfId="9" applyNumberFormat="1" applyFont="1" applyBorder="1" applyAlignment="1">
      <alignment vertical="center"/>
    </xf>
    <xf numFmtId="164" fontId="130" fillId="0" borderId="0" xfId="9" applyNumberFormat="1" applyFont="1" applyAlignment="1">
      <alignment vertical="center"/>
    </xf>
    <xf numFmtId="0" fontId="135" fillId="0" borderId="0" xfId="9" applyFont="1" applyAlignment="1">
      <alignment vertical="center"/>
    </xf>
    <xf numFmtId="164" fontId="146" fillId="0" borderId="4" xfId="9" applyNumberFormat="1" applyFont="1" applyBorder="1" applyAlignment="1">
      <alignment vertical="center"/>
    </xf>
    <xf numFmtId="0" fontId="147" fillId="0" borderId="4" xfId="9" applyFont="1" applyBorder="1" applyAlignment="1">
      <alignment vertical="center"/>
    </xf>
    <xf numFmtId="0" fontId="146" fillId="0" borderId="4" xfId="9" applyFont="1" applyBorder="1" applyAlignment="1">
      <alignment vertical="center"/>
    </xf>
    <xf numFmtId="0" fontId="146" fillId="0" borderId="19" xfId="9" applyFont="1" applyBorder="1" applyAlignment="1">
      <alignment vertical="center"/>
    </xf>
    <xf numFmtId="164" fontId="146" fillId="0" borderId="20" xfId="9" applyNumberFormat="1" applyFont="1" applyBorder="1" applyAlignment="1">
      <alignment vertical="center"/>
    </xf>
    <xf numFmtId="0" fontId="148" fillId="0" borderId="20" xfId="9" applyFont="1" applyBorder="1" applyAlignment="1">
      <alignment vertical="center"/>
    </xf>
    <xf numFmtId="164" fontId="149" fillId="0" borderId="0" xfId="9" applyNumberFormat="1" applyFont="1" applyAlignment="1">
      <alignment vertical="center"/>
    </xf>
    <xf numFmtId="0" fontId="149" fillId="0" borderId="0" xfId="9" applyFont="1"/>
    <xf numFmtId="164" fontId="146" fillId="0" borderId="20" xfId="9" applyNumberFormat="1" applyFont="1" applyBorder="1" applyAlignment="1">
      <alignment horizontal="right" vertical="center"/>
    </xf>
    <xf numFmtId="164" fontId="149" fillId="0" borderId="19" xfId="9" applyNumberFormat="1" applyFont="1" applyBorder="1" applyAlignment="1">
      <alignment vertical="center"/>
    </xf>
    <xf numFmtId="0" fontId="149" fillId="0" borderId="19" xfId="9" applyFont="1" applyBorder="1"/>
    <xf numFmtId="164" fontId="149" fillId="0" borderId="0" xfId="9" applyNumberFormat="1" applyFont="1"/>
    <xf numFmtId="164" fontId="17" fillId="0" borderId="0" xfId="9" applyNumberFormat="1" applyFont="1" applyAlignment="1">
      <alignment vertical="center"/>
    </xf>
    <xf numFmtId="0" fontId="17" fillId="0" borderId="0" xfId="9" applyFont="1"/>
    <xf numFmtId="164" fontId="149" fillId="0" borderId="4" xfId="9" applyNumberFormat="1" applyFont="1" applyBorder="1" applyAlignment="1">
      <alignment vertical="center"/>
    </xf>
    <xf numFmtId="0" fontId="149" fillId="0" borderId="4" xfId="9" applyFont="1" applyBorder="1"/>
    <xf numFmtId="0" fontId="146" fillId="4" borderId="19" xfId="9" applyFont="1" applyFill="1" applyBorder="1" applyAlignment="1">
      <alignment vertical="center"/>
    </xf>
    <xf numFmtId="164" fontId="148" fillId="0" borderId="11" xfId="9" applyNumberFormat="1" applyFont="1" applyBorder="1" applyAlignment="1">
      <alignment vertical="top"/>
    </xf>
    <xf numFmtId="0" fontId="148" fillId="0" borderId="8" xfId="9" applyFont="1" applyBorder="1" applyAlignment="1">
      <alignment vertical="top"/>
    </xf>
    <xf numFmtId="0" fontId="151" fillId="0" borderId="19" xfId="9" applyFont="1" applyBorder="1" applyAlignment="1">
      <alignment vertical="center"/>
    </xf>
    <xf numFmtId="164" fontId="148" fillId="0" borderId="20" xfId="9" applyNumberFormat="1" applyFont="1" applyBorder="1" applyAlignment="1">
      <alignment vertical="top"/>
    </xf>
    <xf numFmtId="0" fontId="148" fillId="0" borderId="20" xfId="9" applyFont="1" applyBorder="1" applyAlignment="1">
      <alignment vertical="top"/>
    </xf>
    <xf numFmtId="164" fontId="146" fillId="0" borderId="0" xfId="9" applyNumberFormat="1" applyFont="1" applyAlignment="1">
      <alignment vertical="center"/>
    </xf>
    <xf numFmtId="0" fontId="148" fillId="0" borderId="0" xfId="9" applyFont="1" applyAlignment="1">
      <alignment vertical="center"/>
    </xf>
    <xf numFmtId="0" fontId="152" fillId="0" borderId="0" xfId="9" applyFont="1" applyAlignment="1">
      <alignment vertical="center"/>
    </xf>
    <xf numFmtId="0" fontId="128" fillId="0" borderId="0" xfId="19" applyFont="1" applyAlignment="1">
      <alignment vertical="center"/>
    </xf>
    <xf numFmtId="0" fontId="133" fillId="0" borderId="0" xfId="19" applyFont="1" applyAlignment="1">
      <alignment vertical="center"/>
    </xf>
    <xf numFmtId="0" fontId="128" fillId="2" borderId="0" xfId="9" applyFont="1" applyFill="1" applyAlignment="1">
      <alignment vertical="center"/>
    </xf>
    <xf numFmtId="164" fontId="143" fillId="4" borderId="11" xfId="9" applyNumberFormat="1" applyFont="1" applyFill="1" applyBorder="1" applyAlignment="1">
      <alignment vertical="center"/>
    </xf>
    <xf numFmtId="0" fontId="143" fillId="4" borderId="12" xfId="9" applyFont="1" applyFill="1" applyBorder="1" applyAlignment="1">
      <alignment vertical="center"/>
    </xf>
    <xf numFmtId="0" fontId="143" fillId="4" borderId="13" xfId="9" applyFont="1" applyFill="1" applyBorder="1" applyAlignment="1">
      <alignment vertical="center"/>
    </xf>
    <xf numFmtId="164" fontId="143" fillId="4" borderId="7" xfId="9" applyNumberFormat="1" applyFont="1" applyFill="1" applyBorder="1" applyAlignment="1">
      <alignment vertical="center"/>
    </xf>
    <xf numFmtId="0" fontId="143" fillId="4" borderId="0" xfId="9" applyFont="1" applyFill="1" applyAlignment="1">
      <alignment vertical="center"/>
    </xf>
    <xf numFmtId="0" fontId="143" fillId="4" borderId="8" xfId="9" applyFont="1" applyFill="1" applyBorder="1" applyAlignment="1">
      <alignment vertical="center"/>
    </xf>
    <xf numFmtId="0" fontId="26" fillId="0" borderId="0" xfId="9" applyAlignment="1">
      <alignment vertical="center"/>
    </xf>
    <xf numFmtId="164" fontId="59" fillId="0" borderId="0" xfId="9" applyNumberFormat="1" applyFont="1" applyAlignment="1">
      <alignment vertical="center"/>
    </xf>
    <xf numFmtId="0" fontId="59" fillId="0" borderId="0" xfId="9" applyFont="1" applyAlignment="1">
      <alignment vertical="center"/>
    </xf>
    <xf numFmtId="164" fontId="26" fillId="0" borderId="20" xfId="9" applyNumberFormat="1" applyBorder="1" applyAlignment="1">
      <alignment vertical="center"/>
    </xf>
    <xf numFmtId="0" fontId="46" fillId="0" borderId="20" xfId="9" applyFont="1" applyBorder="1" applyAlignment="1">
      <alignment vertical="center"/>
    </xf>
    <xf numFmtId="164" fontId="143" fillId="0" borderId="20" xfId="9" applyNumberFormat="1" applyFont="1" applyBorder="1" applyAlignment="1">
      <alignment vertical="center"/>
    </xf>
    <xf numFmtId="0" fontId="143" fillId="0" borderId="20" xfId="9" applyFont="1" applyBorder="1" applyAlignment="1">
      <alignment vertical="center"/>
    </xf>
    <xf numFmtId="0" fontId="138" fillId="0" borderId="8" xfId="9" applyFont="1" applyBorder="1" applyAlignment="1">
      <alignment vertical="center"/>
    </xf>
    <xf numFmtId="164" fontId="143" fillId="0" borderId="0" xfId="9" applyNumberFormat="1" applyFont="1" applyAlignment="1">
      <alignment vertical="center"/>
    </xf>
    <xf numFmtId="0" fontId="143" fillId="0" borderId="0" xfId="9" applyFont="1" applyAlignment="1">
      <alignment vertical="center"/>
    </xf>
    <xf numFmtId="0" fontId="128" fillId="0" borderId="12" xfId="9" applyFont="1" applyBorder="1" applyAlignment="1">
      <alignment vertical="center"/>
    </xf>
    <xf numFmtId="164" fontId="1" fillId="0" borderId="7" xfId="9" applyNumberFormat="1" applyFont="1" applyBorder="1" applyAlignment="1">
      <alignment vertical="center"/>
    </xf>
    <xf numFmtId="164" fontId="136" fillId="0" borderId="20" xfId="9" applyNumberFormat="1" applyFont="1" applyBorder="1" applyAlignment="1">
      <alignment vertical="center"/>
    </xf>
    <xf numFmtId="0" fontId="138" fillId="0" borderId="20" xfId="9" applyFont="1" applyBorder="1" applyAlignment="1">
      <alignment vertical="center"/>
    </xf>
    <xf numFmtId="164" fontId="129" fillId="0" borderId="0" xfId="9" applyNumberFormat="1" applyFont="1" applyAlignment="1">
      <alignment horizontal="right" vertical="center"/>
    </xf>
    <xf numFmtId="0" fontId="26" fillId="2" borderId="0" xfId="9" applyFill="1" applyAlignment="1">
      <alignment vertical="center"/>
    </xf>
    <xf numFmtId="164" fontId="129" fillId="0" borderId="19" xfId="9" applyNumberFormat="1" applyFont="1" applyBorder="1" applyAlignment="1">
      <alignment vertical="center"/>
    </xf>
    <xf numFmtId="164" fontId="154" fillId="0" borderId="0" xfId="9" applyNumberFormat="1" applyFont="1" applyAlignment="1">
      <alignment vertical="center"/>
    </xf>
    <xf numFmtId="0" fontId="128" fillId="0" borderId="0" xfId="9" applyFont="1" applyAlignment="1" applyProtection="1">
      <alignment vertical="center"/>
      <protection locked="0"/>
    </xf>
    <xf numFmtId="164" fontId="1" fillId="0" borderId="4" xfId="9" applyNumberFormat="1" applyFont="1" applyBorder="1" applyAlignment="1" applyProtection="1">
      <alignment vertical="center"/>
      <protection locked="0"/>
    </xf>
    <xf numFmtId="0" fontId="1" fillId="4" borderId="4" xfId="9" applyFont="1" applyFill="1" applyBorder="1" applyAlignment="1" applyProtection="1">
      <alignment vertical="center"/>
      <protection locked="0"/>
    </xf>
    <xf numFmtId="0" fontId="1" fillId="0" borderId="4" xfId="9" applyFont="1" applyBorder="1" applyAlignment="1" applyProtection="1">
      <alignment vertical="center"/>
      <protection locked="0"/>
    </xf>
    <xf numFmtId="0" fontId="128" fillId="17" borderId="0" xfId="9" applyFont="1" applyFill="1" applyAlignment="1">
      <alignment vertical="center"/>
    </xf>
    <xf numFmtId="0" fontId="136" fillId="0" borderId="9" xfId="9" applyFont="1" applyBorder="1" applyAlignment="1">
      <alignment vertical="center"/>
    </xf>
    <xf numFmtId="164" fontId="155" fillId="0" borderId="20" xfId="9" applyNumberFormat="1" applyFont="1" applyBorder="1" applyAlignment="1">
      <alignment vertical="center"/>
    </xf>
    <xf numFmtId="0" fontId="154" fillId="0" borderId="0" xfId="9" applyFont="1" applyAlignment="1">
      <alignment vertical="center"/>
    </xf>
    <xf numFmtId="0" fontId="156" fillId="0" borderId="0" xfId="9" applyFont="1" applyAlignment="1">
      <alignment vertical="center"/>
    </xf>
    <xf numFmtId="0" fontId="128" fillId="4" borderId="0" xfId="9" applyFont="1" applyFill="1" applyAlignment="1">
      <alignment vertical="center"/>
    </xf>
    <xf numFmtId="164" fontId="1" fillId="4" borderId="4" xfId="9" applyNumberFormat="1" applyFont="1" applyFill="1" applyBorder="1" applyAlignment="1">
      <alignment vertical="center"/>
    </xf>
    <xf numFmtId="0" fontId="136" fillId="0" borderId="7" xfId="9" applyFont="1" applyBorder="1" applyAlignment="1">
      <alignment vertical="center"/>
    </xf>
    <xf numFmtId="0" fontId="1" fillId="0" borderId="20" xfId="9" applyFont="1" applyBorder="1" applyAlignment="1">
      <alignment horizontal="right" vertical="center"/>
    </xf>
    <xf numFmtId="0" fontId="131" fillId="0" borderId="0" xfId="9" applyFont="1" applyAlignment="1">
      <alignment vertical="center"/>
    </xf>
    <xf numFmtId="3" fontId="21" fillId="0" borderId="0" xfId="0" applyNumberFormat="1" applyFont="1"/>
    <xf numFmtId="0" fontId="21" fillId="0" borderId="0" xfId="0" applyFont="1"/>
    <xf numFmtId="0" fontId="122" fillId="0" borderId="0" xfId="0" applyFont="1"/>
    <xf numFmtId="0" fontId="122" fillId="26" borderId="0" xfId="0" applyFont="1" applyFill="1"/>
    <xf numFmtId="164" fontId="46" fillId="0" borderId="0" xfId="9" applyNumberFormat="1" applyFont="1" applyAlignment="1">
      <alignment horizontal="center" vertical="center"/>
    </xf>
    <xf numFmtId="0" fontId="46" fillId="0" borderId="0" xfId="9" applyFont="1"/>
    <xf numFmtId="0" fontId="50" fillId="0" borderId="0" xfId="9" applyFont="1"/>
    <xf numFmtId="0" fontId="50" fillId="0" borderId="0" xfId="9" applyFont="1" applyAlignment="1">
      <alignment horizontal="left"/>
    </xf>
    <xf numFmtId="0" fontId="46" fillId="0" borderId="14" xfId="9" applyFont="1" applyBorder="1" applyAlignment="1">
      <alignment horizontal="left" vertical="top"/>
    </xf>
    <xf numFmtId="0" fontId="26" fillId="0" borderId="14" xfId="9" applyBorder="1" applyAlignment="1">
      <alignment vertical="top"/>
    </xf>
    <xf numFmtId="0" fontId="26" fillId="0" borderId="14" xfId="9" applyBorder="1" applyAlignment="1">
      <alignment wrapText="1"/>
    </xf>
    <xf numFmtId="0" fontId="26" fillId="0" borderId="14" xfId="9" applyBorder="1" applyAlignment="1">
      <alignment horizontal="left"/>
    </xf>
    <xf numFmtId="0" fontId="46" fillId="2" borderId="14" xfId="9" applyFont="1" applyFill="1" applyBorder="1" applyAlignment="1">
      <alignment vertical="top"/>
    </xf>
    <xf numFmtId="0" fontId="46" fillId="0" borderId="14" xfId="9" applyFont="1" applyBorder="1" applyAlignment="1">
      <alignment horizontal="left" vertical="top" wrapText="1"/>
    </xf>
    <xf numFmtId="0" fontId="46" fillId="0" borderId="9" xfId="9" applyFont="1" applyBorder="1" applyAlignment="1">
      <alignment horizontal="left" vertical="top"/>
    </xf>
    <xf numFmtId="0" fontId="46" fillId="2" borderId="14" xfId="9" applyFont="1" applyFill="1" applyBorder="1" applyAlignment="1">
      <alignment horizontal="left" vertical="top" wrapText="1"/>
    </xf>
    <xf numFmtId="0" fontId="46" fillId="14" borderId="12" xfId="9" applyFont="1" applyFill="1" applyBorder="1" applyAlignment="1">
      <alignment horizontal="center" vertical="center" wrapText="1"/>
    </xf>
    <xf numFmtId="0" fontId="46" fillId="14" borderId="12" xfId="9" applyFont="1" applyFill="1" applyBorder="1" applyAlignment="1">
      <alignment horizontal="left" vertical="top" wrapText="1"/>
    </xf>
    <xf numFmtId="0" fontId="68" fillId="14" borderId="9" xfId="9" applyFont="1" applyFill="1" applyBorder="1" applyAlignment="1">
      <alignment horizontal="center" vertical="center" wrapText="1"/>
    </xf>
    <xf numFmtId="0" fontId="46" fillId="14" borderId="9" xfId="9" applyFont="1" applyFill="1" applyBorder="1" applyAlignment="1">
      <alignment horizontal="left" vertical="top" wrapText="1"/>
    </xf>
    <xf numFmtId="0" fontId="46" fillId="2" borderId="14" xfId="9" applyFont="1" applyFill="1" applyBorder="1" applyAlignment="1">
      <alignment horizontal="left" vertical="top"/>
    </xf>
    <xf numFmtId="0" fontId="55" fillId="0" borderId="14" xfId="9" applyFont="1" applyBorder="1" applyAlignment="1">
      <alignment vertical="top" wrapText="1"/>
    </xf>
    <xf numFmtId="0" fontId="68" fillId="0" borderId="12" xfId="9" applyFont="1" applyBorder="1" applyAlignment="1">
      <alignment horizontal="center"/>
    </xf>
    <xf numFmtId="0" fontId="68" fillId="0" borderId="12" xfId="9" applyFont="1" applyBorder="1"/>
    <xf numFmtId="0" fontId="73" fillId="0" borderId="0" xfId="9" applyFont="1" applyAlignment="1">
      <alignment horizontal="center" vertical="center"/>
    </xf>
    <xf numFmtId="0" fontId="74" fillId="0" borderId="0" xfId="9" applyFont="1" applyAlignment="1">
      <alignment horizontal="center"/>
    </xf>
    <xf numFmtId="4" fontId="26" fillId="0" borderId="0" xfId="9" applyNumberFormat="1" applyAlignment="1">
      <alignment vertical="top"/>
    </xf>
    <xf numFmtId="164" fontId="26" fillId="0" borderId="0" xfId="9" applyNumberFormat="1" applyAlignment="1">
      <alignment horizontal="center"/>
    </xf>
    <xf numFmtId="164" fontId="26" fillId="0" borderId="0" xfId="9" applyNumberFormat="1" applyAlignment="1">
      <alignment horizontal="right"/>
    </xf>
    <xf numFmtId="164" fontId="36" fillId="0" borderId="0" xfId="9" applyNumberFormat="1" applyFont="1" applyAlignment="1">
      <alignment horizontal="right"/>
    </xf>
    <xf numFmtId="164" fontId="26" fillId="0" borderId="0" xfId="9" applyNumberFormat="1"/>
    <xf numFmtId="164" fontId="46" fillId="0" borderId="0" xfId="9" applyNumberFormat="1" applyFont="1"/>
    <xf numFmtId="164" fontId="46" fillId="0" borderId="0" xfId="9" applyNumberFormat="1" applyFont="1" applyAlignment="1">
      <alignment horizontal="center"/>
    </xf>
    <xf numFmtId="0" fontId="46" fillId="0" borderId="14" xfId="9" applyFont="1" applyBorder="1" applyAlignment="1">
      <alignment vertical="top" wrapText="1"/>
    </xf>
    <xf numFmtId="0" fontId="26" fillId="0" borderId="14" xfId="9" applyBorder="1" applyAlignment="1">
      <alignment horizontal="left" vertical="top"/>
    </xf>
    <xf numFmtId="0" fontId="26" fillId="0" borderId="12" xfId="9" applyBorder="1" applyAlignment="1">
      <alignment horizontal="left"/>
    </xf>
    <xf numFmtId="0" fontId="46" fillId="0" borderId="12" xfId="9" applyFont="1" applyBorder="1"/>
    <xf numFmtId="0" fontId="46" fillId="2" borderId="14" xfId="9" applyFont="1" applyFill="1" applyBorder="1"/>
    <xf numFmtId="0" fontId="26" fillId="0" borderId="14" xfId="9" applyBorder="1" applyAlignment="1">
      <alignment vertical="center" wrapText="1"/>
    </xf>
    <xf numFmtId="0" fontId="26" fillId="0" borderId="14" xfId="9" applyBorder="1" applyAlignment="1">
      <alignment horizontal="left" wrapText="1"/>
    </xf>
    <xf numFmtId="0" fontId="26" fillId="0" borderId="14" xfId="9" applyBorder="1" applyAlignment="1">
      <alignment horizontal="left" vertical="top" wrapText="1"/>
    </xf>
    <xf numFmtId="164" fontId="46" fillId="0" borderId="14" xfId="9" applyNumberFormat="1" applyFont="1" applyBorder="1" applyAlignment="1">
      <alignment horizontal="right" vertical="top" wrapText="1"/>
    </xf>
    <xf numFmtId="8" fontId="46" fillId="0" borderId="14" xfId="9" applyNumberFormat="1" applyFont="1" applyBorder="1" applyAlignment="1">
      <alignment horizontal="right"/>
    </xf>
    <xf numFmtId="0" fontId="56" fillId="0" borderId="12" xfId="9" applyFont="1" applyBorder="1"/>
    <xf numFmtId="0" fontId="57" fillId="0" borderId="12" xfId="9" applyFont="1" applyBorder="1"/>
    <xf numFmtId="0" fontId="46" fillId="0" borderId="14" xfId="9" applyFont="1" applyBorder="1" applyAlignment="1">
      <alignment horizontal="left"/>
    </xf>
    <xf numFmtId="164" fontId="46" fillId="0" borderId="14" xfId="9" applyNumberFormat="1" applyFont="1" applyBorder="1" applyAlignment="1">
      <alignment vertical="top"/>
    </xf>
    <xf numFmtId="0" fontId="26" fillId="0" borderId="0" xfId="9" applyAlignment="1">
      <alignment horizontal="left" vertical="top" wrapText="1"/>
    </xf>
    <xf numFmtId="0" fontId="46" fillId="0" borderId="9" xfId="9" applyFont="1" applyBorder="1" applyAlignment="1">
      <alignment vertical="top"/>
    </xf>
    <xf numFmtId="164" fontId="46" fillId="0" borderId="12" xfId="9" applyNumberFormat="1" applyFont="1" applyBorder="1" applyAlignment="1">
      <alignment horizontal="right" vertical="top"/>
    </xf>
    <xf numFmtId="164" fontId="46" fillId="0" borderId="12" xfId="9" applyNumberFormat="1" applyFont="1" applyBorder="1" applyAlignment="1">
      <alignment horizontal="right"/>
    </xf>
    <xf numFmtId="0" fontId="26" fillId="0" borderId="12" xfId="9" applyBorder="1" applyAlignment="1">
      <alignment vertical="top"/>
    </xf>
    <xf numFmtId="0" fontId="46" fillId="0" borderId="12" xfId="9" applyFont="1" applyBorder="1" applyAlignment="1">
      <alignment vertical="top"/>
    </xf>
    <xf numFmtId="0" fontId="26" fillId="0" borderId="12" xfId="9" applyBorder="1"/>
    <xf numFmtId="13" fontId="26" fillId="0" borderId="14" xfId="9" applyNumberFormat="1" applyBorder="1"/>
    <xf numFmtId="0" fontId="46" fillId="0" borderId="12" xfId="9" applyFont="1" applyBorder="1" applyAlignment="1">
      <alignment horizontal="left"/>
    </xf>
    <xf numFmtId="0" fontId="26" fillId="0" borderId="12" xfId="9" applyBorder="1" applyAlignment="1">
      <alignment horizontal="left" vertical="top" wrapText="1"/>
    </xf>
    <xf numFmtId="13" fontId="26" fillId="0" borderId="12" xfId="9" applyNumberFormat="1" applyBorder="1"/>
    <xf numFmtId="0" fontId="46" fillId="2" borderId="12" xfId="9" applyFont="1" applyFill="1" applyBorder="1"/>
    <xf numFmtId="0" fontId="26" fillId="0" borderId="0" xfId="9" applyAlignment="1">
      <alignment horizontal="left"/>
    </xf>
    <xf numFmtId="0" fontId="26" fillId="0" borderId="14" xfId="9" applyBorder="1" applyAlignment="1">
      <alignment horizontal="left" vertical="center" wrapText="1"/>
    </xf>
    <xf numFmtId="8" fontId="26" fillId="0" borderId="0" xfId="9" applyNumberFormat="1" applyAlignment="1">
      <alignment vertical="top"/>
    </xf>
    <xf numFmtId="8" fontId="26" fillId="0" borderId="14" xfId="9" applyNumberFormat="1" applyBorder="1" applyAlignment="1">
      <alignment vertical="top"/>
    </xf>
    <xf numFmtId="4" fontId="26" fillId="0" borderId="14" xfId="9" applyNumberFormat="1" applyBorder="1" applyAlignment="1">
      <alignment vertical="top"/>
    </xf>
    <xf numFmtId="12" fontId="26" fillId="0" borderId="14" xfId="9" applyNumberFormat="1" applyBorder="1"/>
    <xf numFmtId="12" fontId="26" fillId="0" borderId="14" xfId="9" applyNumberFormat="1" applyBorder="1" applyAlignment="1">
      <alignment vertical="top"/>
    </xf>
    <xf numFmtId="12" fontId="26" fillId="0" borderId="12" xfId="9" applyNumberFormat="1" applyBorder="1"/>
    <xf numFmtId="0" fontId="66" fillId="0" borderId="14" xfId="9" applyFont="1" applyBorder="1" applyAlignment="1">
      <alignment vertical="top" wrapText="1"/>
    </xf>
    <xf numFmtId="0" fontId="46" fillId="0" borderId="5" xfId="9" applyFont="1" applyBorder="1" applyAlignment="1">
      <alignment vertical="top"/>
    </xf>
    <xf numFmtId="164" fontId="46" fillId="0" borderId="9" xfId="9" applyNumberFormat="1" applyFont="1" applyBorder="1" applyAlignment="1">
      <alignment horizontal="right"/>
    </xf>
    <xf numFmtId="0" fontId="26" fillId="0" borderId="9" xfId="9" applyBorder="1"/>
    <xf numFmtId="0" fontId="46" fillId="0" borderId="9" xfId="9" applyFont="1" applyBorder="1"/>
    <xf numFmtId="8" fontId="26" fillId="0" borderId="12" xfId="9" applyNumberFormat="1" applyBorder="1"/>
    <xf numFmtId="0" fontId="26" fillId="0" borderId="0" xfId="9" applyAlignment="1">
      <alignment horizontal="right" vertical="top"/>
    </xf>
    <xf numFmtId="0" fontId="56" fillId="0" borderId="14" xfId="9" applyFont="1" applyBorder="1"/>
    <xf numFmtId="0" fontId="58" fillId="0" borderId="14" xfId="9" applyFont="1" applyBorder="1"/>
    <xf numFmtId="0" fontId="56" fillId="0" borderId="14" xfId="9" applyFont="1" applyBorder="1" applyAlignment="1">
      <alignment vertical="top"/>
    </xf>
    <xf numFmtId="0" fontId="68" fillId="0" borderId="14" xfId="9" applyFont="1" applyBorder="1" applyAlignment="1">
      <alignment vertical="top" wrapText="1"/>
    </xf>
    <xf numFmtId="0" fontId="68" fillId="0" borderId="14" xfId="9" applyFont="1" applyBorder="1" applyAlignment="1">
      <alignment vertical="top"/>
    </xf>
    <xf numFmtId="0" fontId="26" fillId="0" borderId="9" xfId="9" applyBorder="1" applyAlignment="1">
      <alignment vertical="center" wrapText="1"/>
    </xf>
    <xf numFmtId="0" fontId="68" fillId="0" borderId="14" xfId="9" applyFont="1" applyBorder="1" applyAlignment="1">
      <alignment horizontal="left" vertical="top" wrapText="1"/>
    </xf>
    <xf numFmtId="0" fontId="71" fillId="0" borderId="14" xfId="9" applyFont="1" applyBorder="1" applyAlignment="1">
      <alignment vertical="top"/>
    </xf>
    <xf numFmtId="0" fontId="26" fillId="0" borderId="12" xfId="9" applyBorder="1" applyAlignment="1">
      <alignment vertical="top" wrapText="1"/>
    </xf>
    <xf numFmtId="164" fontId="72" fillId="0" borderId="14" xfId="9" applyNumberFormat="1" applyFont="1" applyBorder="1" applyAlignment="1">
      <alignment horizontal="right"/>
    </xf>
    <xf numFmtId="164" fontId="46" fillId="14" borderId="12" xfId="9" applyNumberFormat="1" applyFont="1" applyFill="1" applyBorder="1" applyAlignment="1">
      <alignment horizontal="right" vertical="top"/>
    </xf>
    <xf numFmtId="164" fontId="46" fillId="14" borderId="9" xfId="9" applyNumberFormat="1" applyFont="1" applyFill="1" applyBorder="1" applyAlignment="1">
      <alignment horizontal="right" vertical="top"/>
    </xf>
    <xf numFmtId="164" fontId="68" fillId="0" borderId="12" xfId="9" applyNumberFormat="1" applyFont="1" applyBorder="1" applyAlignment="1">
      <alignment horizontal="center"/>
    </xf>
    <xf numFmtId="164" fontId="46" fillId="0" borderId="0" xfId="9" applyNumberFormat="1" applyFont="1" applyAlignment="1">
      <alignment horizontal="center" vertical="center" wrapText="1"/>
    </xf>
    <xf numFmtId="44" fontId="0" fillId="0" borderId="0" xfId="34" applyFont="1"/>
    <xf numFmtId="0" fontId="159" fillId="0" borderId="0" xfId="9" applyFont="1" applyAlignment="1">
      <alignment horizontal="center"/>
    </xf>
    <xf numFmtId="44" fontId="160" fillId="0" borderId="0" xfId="34" applyFont="1"/>
    <xf numFmtId="0" fontId="159" fillId="0" borderId="0" xfId="9" applyFont="1" applyAlignment="1">
      <alignment horizontal="left"/>
    </xf>
    <xf numFmtId="0" fontId="159" fillId="0" borderId="0" xfId="9" applyFont="1" applyAlignment="1">
      <alignment horizontal="left" vertical="center"/>
    </xf>
    <xf numFmtId="0" fontId="159" fillId="0" borderId="0" xfId="9" applyFont="1"/>
    <xf numFmtId="44" fontId="0" fillId="0" borderId="0" xfId="34" applyFont="1" applyAlignment="1"/>
    <xf numFmtId="0" fontId="161" fillId="0" borderId="0" xfId="9" applyFont="1" applyAlignment="1">
      <alignment horizontal="left"/>
    </xf>
    <xf numFmtId="44" fontId="159" fillId="0" borderId="0" xfId="34" applyFont="1" applyAlignment="1"/>
    <xf numFmtId="0" fontId="159" fillId="0" borderId="0" xfId="9" applyFont="1" applyAlignment="1">
      <alignment horizontal="left" wrapText="1"/>
    </xf>
    <xf numFmtId="0" fontId="159" fillId="0" borderId="0" xfId="9" applyFont="1" applyAlignment="1">
      <alignment wrapText="1"/>
    </xf>
    <xf numFmtId="44" fontId="160" fillId="0" borderId="0" xfId="34" applyFont="1" applyAlignment="1"/>
    <xf numFmtId="0" fontId="163" fillId="0" borderId="0" xfId="36" applyFont="1" applyFill="1" applyBorder="1" applyAlignment="1"/>
    <xf numFmtId="0" fontId="163" fillId="0" borderId="0" xfId="10" applyFont="1" applyAlignment="1">
      <alignment horizontal="left"/>
    </xf>
    <xf numFmtId="0" fontId="159" fillId="0" borderId="0" xfId="36" applyFont="1" applyFill="1" applyBorder="1" applyAlignment="1"/>
    <xf numFmtId="0" fontId="159" fillId="0" borderId="0" xfId="10" applyFont="1"/>
    <xf numFmtId="0" fontId="163" fillId="0" borderId="0" xfId="9" applyFont="1"/>
    <xf numFmtId="0" fontId="163" fillId="0" borderId="0" xfId="9" applyFont="1" applyAlignment="1">
      <alignment horizontal="left"/>
    </xf>
    <xf numFmtId="0" fontId="159" fillId="0" borderId="0" xfId="37" applyFont="1" applyFill="1" applyBorder="1" applyAlignment="1" applyProtection="1">
      <alignment horizontal="left"/>
    </xf>
    <xf numFmtId="0" fontId="167" fillId="0" borderId="0" xfId="9" applyFont="1"/>
    <xf numFmtId="44" fontId="163" fillId="0" borderId="0" xfId="34" applyFont="1"/>
    <xf numFmtId="44" fontId="168" fillId="0" borderId="0" xfId="34" applyFont="1"/>
    <xf numFmtId="44" fontId="163" fillId="0" borderId="0" xfId="34" applyFont="1" applyAlignment="1"/>
    <xf numFmtId="49" fontId="159" fillId="0" borderId="0" xfId="9" applyNumberFormat="1" applyFont="1"/>
    <xf numFmtId="0" fontId="169" fillId="0" borderId="0" xfId="9" applyFont="1" applyAlignment="1">
      <alignment horizontal="left"/>
    </xf>
    <xf numFmtId="0" fontId="171" fillId="0" borderId="0" xfId="9" applyFont="1"/>
    <xf numFmtId="44" fontId="171" fillId="0" borderId="0" xfId="34" applyFont="1" applyAlignment="1"/>
    <xf numFmtId="0" fontId="172" fillId="0" borderId="0" xfId="9" applyFont="1" applyAlignment="1">
      <alignment horizontal="left"/>
    </xf>
    <xf numFmtId="0" fontId="174" fillId="0" borderId="0" xfId="9" applyFont="1"/>
    <xf numFmtId="0" fontId="175" fillId="0" borderId="0" xfId="9" applyFont="1" applyAlignment="1">
      <alignment horizontal="left"/>
    </xf>
    <xf numFmtId="0" fontId="161" fillId="0" borderId="0" xfId="9" applyFont="1" applyAlignment="1">
      <alignment wrapText="1"/>
    </xf>
    <xf numFmtId="0" fontId="159" fillId="0" borderId="0" xfId="36" applyFont="1" applyFill="1" applyBorder="1" applyAlignment="1">
      <alignment wrapText="1"/>
    </xf>
    <xf numFmtId="0" fontId="56" fillId="0" borderId="0" xfId="9" applyFont="1"/>
    <xf numFmtId="44" fontId="56" fillId="0" borderId="0" xfId="34" applyFont="1" applyAlignment="1"/>
    <xf numFmtId="0" fontId="175" fillId="0" borderId="0" xfId="9" applyFont="1" applyAlignment="1">
      <alignment wrapText="1"/>
    </xf>
    <xf numFmtId="0" fontId="159" fillId="0" borderId="0" xfId="9" applyFont="1" applyAlignment="1">
      <alignment vertical="center" wrapText="1"/>
    </xf>
    <xf numFmtId="44" fontId="26" fillId="0" borderId="0" xfId="34" applyFont="1" applyAlignment="1"/>
    <xf numFmtId="0" fontId="159" fillId="0" borderId="0" xfId="10" applyFont="1" applyAlignment="1">
      <alignment horizontal="left" wrapText="1"/>
    </xf>
    <xf numFmtId="0" fontId="159" fillId="0" borderId="0" xfId="10" applyFont="1" applyAlignment="1">
      <alignment horizontal="left"/>
    </xf>
    <xf numFmtId="44" fontId="26" fillId="0" borderId="0" xfId="34" applyFont="1" applyFill="1" applyAlignment="1"/>
    <xf numFmtId="44" fontId="160" fillId="0" borderId="0" xfId="34" applyFont="1" applyFill="1"/>
    <xf numFmtId="44" fontId="159" fillId="0" borderId="0" xfId="34" applyFont="1" applyFill="1" applyAlignment="1"/>
    <xf numFmtId="0" fontId="159" fillId="0" borderId="0" xfId="36" applyFont="1" applyFill="1" applyBorder="1" applyAlignment="1">
      <alignment horizontal="left" vertical="center" wrapText="1"/>
    </xf>
    <xf numFmtId="0" fontId="159" fillId="0" borderId="0" xfId="10" applyFont="1" applyAlignment="1">
      <alignment horizontal="left" vertical="center"/>
    </xf>
    <xf numFmtId="0" fontId="185" fillId="0" borderId="0" xfId="9" applyFont="1"/>
    <xf numFmtId="44" fontId="185" fillId="0" borderId="0" xfId="34" applyFont="1" applyAlignment="1"/>
    <xf numFmtId="0" fontId="159" fillId="0" borderId="0" xfId="9" applyFont="1" applyAlignment="1">
      <alignment horizontal="centerContinuous"/>
    </xf>
    <xf numFmtId="0" fontId="186" fillId="0" borderId="0" xfId="9" applyFont="1"/>
    <xf numFmtId="0" fontId="185" fillId="0" borderId="0" xfId="9" applyFont="1" applyAlignment="1">
      <alignment horizontal="left"/>
    </xf>
    <xf numFmtId="0" fontId="162" fillId="0" borderId="0" xfId="9" applyFont="1" applyAlignment="1">
      <alignment horizontal="left"/>
    </xf>
    <xf numFmtId="0" fontId="187" fillId="0" borderId="0" xfId="9" applyFont="1" applyAlignment="1">
      <alignment horizontal="left"/>
    </xf>
    <xf numFmtId="0" fontId="26" fillId="2" borderId="0" xfId="9" applyFill="1"/>
    <xf numFmtId="44" fontId="0" fillId="2" borderId="0" xfId="34" applyFont="1" applyFill="1" applyAlignment="1"/>
    <xf numFmtId="44" fontId="160" fillId="2" borderId="0" xfId="34" applyFont="1" applyFill="1"/>
    <xf numFmtId="0" fontId="159" fillId="2" borderId="0" xfId="9" applyFont="1" applyFill="1"/>
    <xf numFmtId="0" fontId="159" fillId="2" borderId="0" xfId="9" applyFont="1" applyFill="1" applyAlignment="1">
      <alignment horizontal="left"/>
    </xf>
    <xf numFmtId="0" fontId="185" fillId="2" borderId="0" xfId="9" applyFont="1" applyFill="1"/>
    <xf numFmtId="49" fontId="159" fillId="0" borderId="0" xfId="9" applyNumberFormat="1" applyFont="1" applyAlignment="1">
      <alignment horizontal="left"/>
    </xf>
    <xf numFmtId="49" fontId="159" fillId="2" borderId="0" xfId="9" applyNumberFormat="1" applyFont="1" applyFill="1"/>
    <xf numFmtId="49" fontId="159" fillId="2" borderId="0" xfId="9" applyNumberFormat="1" applyFont="1" applyFill="1" applyAlignment="1">
      <alignment horizontal="left"/>
    </xf>
    <xf numFmtId="0" fontId="163" fillId="2" borderId="0" xfId="9" applyFont="1" applyFill="1" applyAlignment="1">
      <alignment horizontal="left"/>
    </xf>
    <xf numFmtId="9" fontId="159" fillId="0" borderId="0" xfId="9" applyNumberFormat="1" applyFont="1" applyAlignment="1">
      <alignment horizontal="center"/>
    </xf>
    <xf numFmtId="0" fontId="186" fillId="2" borderId="0" xfId="9" applyFont="1" applyFill="1" applyAlignment="1">
      <alignment horizontal="center"/>
    </xf>
    <xf numFmtId="0" fontId="161" fillId="2" borderId="0" xfId="9" applyFont="1" applyFill="1" applyAlignment="1">
      <alignment horizontal="left"/>
    </xf>
    <xf numFmtId="0" fontId="159" fillId="2" borderId="0" xfId="9" applyFont="1" applyFill="1" applyAlignment="1">
      <alignment horizontal="left" vertical="center"/>
    </xf>
    <xf numFmtId="44" fontId="0" fillId="0" borderId="0" xfId="34" applyFont="1" applyFill="1" applyAlignment="1"/>
    <xf numFmtId="0" fontId="186" fillId="2" borderId="0" xfId="10" applyFont="1" applyFill="1" applyAlignment="1">
      <alignment horizontal="center"/>
    </xf>
    <xf numFmtId="164" fontId="186" fillId="27" borderId="4" xfId="9" applyNumberFormat="1" applyFont="1" applyFill="1" applyBorder="1" applyAlignment="1">
      <alignment horizontal="center" vertical="center" wrapText="1"/>
    </xf>
    <xf numFmtId="0" fontId="186" fillId="28" borderId="4" xfId="9" applyFont="1" applyFill="1" applyBorder="1" applyAlignment="1">
      <alignment horizontal="left" vertical="center" wrapText="1"/>
    </xf>
    <xf numFmtId="0" fontId="26" fillId="4" borderId="0" xfId="9" applyFill="1"/>
    <xf numFmtId="44" fontId="0" fillId="4" borderId="0" xfId="34" applyFont="1" applyFill="1"/>
    <xf numFmtId="0" fontId="189" fillId="4" borderId="0" xfId="9" applyFont="1" applyFill="1" applyAlignment="1">
      <alignment horizontal="center"/>
    </xf>
    <xf numFmtId="0" fontId="159" fillId="4" borderId="0" xfId="9" applyFont="1" applyFill="1" applyAlignment="1">
      <alignment horizontal="center"/>
    </xf>
    <xf numFmtId="0" fontId="0" fillId="0" borderId="0" xfId="0" applyAlignment="1">
      <alignment wrapText="1"/>
    </xf>
    <xf numFmtId="0" fontId="192" fillId="0" borderId="4" xfId="1" applyFont="1" applyBorder="1" applyAlignment="1">
      <alignment horizontal="center" wrapText="1"/>
    </xf>
    <xf numFmtId="164" fontId="192" fillId="0" borderId="4" xfId="1" applyNumberFormat="1" applyFont="1" applyBorder="1" applyAlignment="1">
      <alignment horizontal="center" wrapText="1"/>
    </xf>
    <xf numFmtId="0" fontId="3" fillId="0" borderId="15" xfId="1" applyFont="1" applyBorder="1" applyAlignment="1">
      <alignment horizontal="center" vertical="center" wrapText="1"/>
    </xf>
    <xf numFmtId="0" fontId="3" fillId="0" borderId="15" xfId="1" applyFont="1" applyBorder="1" applyAlignment="1">
      <alignment horizontal="center" wrapText="1"/>
    </xf>
    <xf numFmtId="164" fontId="3" fillId="0" borderId="15" xfId="1" applyNumberFormat="1" applyFont="1" applyBorder="1" applyAlignment="1">
      <alignment horizontal="center" wrapText="1"/>
    </xf>
    <xf numFmtId="0" fontId="192" fillId="0" borderId="19" xfId="1" applyFont="1" applyBorder="1" applyAlignment="1">
      <alignment horizontal="center" wrapText="1"/>
    </xf>
    <xf numFmtId="164" fontId="192" fillId="0" borderId="19" xfId="1" applyNumberFormat="1" applyFont="1" applyBorder="1" applyAlignment="1">
      <alignment horizontal="center" wrapText="1"/>
    </xf>
    <xf numFmtId="0" fontId="192" fillId="4" borderId="19" xfId="1" applyFont="1" applyFill="1" applyBorder="1" applyAlignment="1">
      <alignment horizontal="center" wrapText="1"/>
    </xf>
    <xf numFmtId="164" fontId="192" fillId="4" borderId="19" xfId="1" applyNumberFormat="1" applyFont="1" applyFill="1" applyBorder="1" applyAlignment="1">
      <alignment horizontal="center" wrapText="1"/>
    </xf>
    <xf numFmtId="0" fontId="192" fillId="4" borderId="4" xfId="1" applyFont="1" applyFill="1" applyBorder="1" applyAlignment="1">
      <alignment horizontal="center" wrapText="1"/>
    </xf>
    <xf numFmtId="164" fontId="192" fillId="4" borderId="4" xfId="1" applyNumberFormat="1" applyFont="1" applyFill="1" applyBorder="1" applyAlignment="1">
      <alignment horizontal="center" wrapText="1"/>
    </xf>
    <xf numFmtId="0" fontId="192" fillId="4" borderId="23" xfId="1" applyFont="1" applyFill="1" applyBorder="1" applyAlignment="1">
      <alignment horizontal="center" vertical="center" wrapText="1"/>
    </xf>
    <xf numFmtId="0" fontId="192" fillId="4" borderId="23" xfId="1" applyFont="1" applyFill="1" applyBorder="1" applyAlignment="1">
      <alignment horizontal="center" wrapText="1"/>
    </xf>
    <xf numFmtId="164" fontId="192" fillId="4" borderId="23" xfId="1" applyNumberFormat="1" applyFont="1" applyFill="1" applyBorder="1" applyAlignment="1">
      <alignment horizontal="center" wrapText="1"/>
    </xf>
    <xf numFmtId="0" fontId="192" fillId="4" borderId="23" xfId="0" applyFont="1" applyFill="1" applyBorder="1" applyAlignment="1">
      <alignment horizontal="center" vertical="center" wrapText="1"/>
    </xf>
    <xf numFmtId="0" fontId="193" fillId="4" borderId="23" xfId="0" applyFont="1" applyFill="1" applyBorder="1" applyAlignment="1">
      <alignment horizontal="center" vertical="center"/>
    </xf>
    <xf numFmtId="0" fontId="3" fillId="4" borderId="23" xfId="1" applyFont="1" applyFill="1" applyBorder="1" applyAlignment="1">
      <alignment horizontal="center" vertical="center" wrapText="1"/>
    </xf>
    <xf numFmtId="0" fontId="3" fillId="4" borderId="23" xfId="1" applyFont="1" applyFill="1" applyBorder="1" applyAlignment="1">
      <alignment horizontal="center" wrapText="1"/>
    </xf>
    <xf numFmtId="164" fontId="3" fillId="4" borderId="23" xfId="1" applyNumberFormat="1" applyFont="1" applyFill="1" applyBorder="1" applyAlignment="1">
      <alignment horizontal="center" wrapText="1"/>
    </xf>
    <xf numFmtId="0" fontId="114" fillId="0" borderId="0" xfId="39"/>
    <xf numFmtId="0" fontId="12" fillId="0" borderId="0" xfId="39" applyFont="1"/>
    <xf numFmtId="0" fontId="194" fillId="0" borderId="0" xfId="39" applyFont="1"/>
    <xf numFmtId="0" fontId="56" fillId="0" borderId="0" xfId="39" applyFont="1"/>
    <xf numFmtId="0" fontId="56" fillId="0" borderId="0" xfId="39" applyFont="1" applyAlignment="1">
      <alignment horizontal="right"/>
    </xf>
    <xf numFmtId="0" fontId="195" fillId="0" borderId="0" xfId="39" applyFont="1"/>
    <xf numFmtId="0" fontId="196" fillId="0" borderId="0" xfId="39" applyFont="1"/>
    <xf numFmtId="0" fontId="88" fillId="29" borderId="0" xfId="39" applyFont="1" applyFill="1"/>
    <xf numFmtId="0" fontId="56" fillId="0" borderId="0" xfId="39" applyFont="1" applyAlignment="1">
      <alignment horizontal="left"/>
    </xf>
    <xf numFmtId="0" fontId="56" fillId="30" borderId="0" xfId="39" applyFont="1" applyFill="1"/>
    <xf numFmtId="168" fontId="197" fillId="31" borderId="0" xfId="39" applyNumberFormat="1" applyFont="1" applyFill="1" applyAlignment="1">
      <alignment horizontal="center"/>
    </xf>
    <xf numFmtId="0" fontId="195" fillId="29" borderId="0" xfId="39" applyFont="1" applyFill="1" applyAlignment="1">
      <alignment horizontal="center"/>
    </xf>
    <xf numFmtId="0" fontId="195" fillId="29" borderId="0" xfId="39" applyFont="1" applyFill="1"/>
    <xf numFmtId="0" fontId="198" fillId="29" borderId="0" xfId="39" applyFont="1" applyFill="1" applyAlignment="1">
      <alignment horizontal="center"/>
    </xf>
    <xf numFmtId="0" fontId="195" fillId="32" borderId="0" xfId="39" applyFont="1" applyFill="1" applyAlignment="1">
      <alignment horizontal="center"/>
    </xf>
    <xf numFmtId="0" fontId="195" fillId="32" borderId="0" xfId="39" applyFont="1" applyFill="1"/>
    <xf numFmtId="0" fontId="198" fillId="32" borderId="0" xfId="39" applyFont="1" applyFill="1" applyAlignment="1">
      <alignment horizontal="center"/>
    </xf>
    <xf numFmtId="168" fontId="197" fillId="31" borderId="24" xfId="39" applyNumberFormat="1" applyFont="1" applyFill="1" applyBorder="1" applyAlignment="1">
      <alignment horizontal="center"/>
    </xf>
    <xf numFmtId="0" fontId="195" fillId="29" borderId="24" xfId="39" applyFont="1" applyFill="1" applyBorder="1" applyAlignment="1">
      <alignment horizontal="center"/>
    </xf>
    <xf numFmtId="0" fontId="195" fillId="29" borderId="24" xfId="39" applyFont="1" applyFill="1" applyBorder="1"/>
    <xf numFmtId="0" fontId="198" fillId="29" borderId="24" xfId="39" applyFont="1" applyFill="1" applyBorder="1" applyAlignment="1">
      <alignment horizontal="center"/>
    </xf>
    <xf numFmtId="0" fontId="195" fillId="32" borderId="24" xfId="39" applyFont="1" applyFill="1" applyBorder="1" applyAlignment="1">
      <alignment horizontal="center"/>
    </xf>
    <xf numFmtId="0" fontId="195" fillId="32" borderId="24" xfId="39" applyFont="1" applyFill="1" applyBorder="1"/>
    <xf numFmtId="0" fontId="198" fillId="32" borderId="24" xfId="39" applyFont="1" applyFill="1" applyBorder="1" applyAlignment="1">
      <alignment horizontal="center"/>
    </xf>
    <xf numFmtId="168" fontId="197" fillId="31" borderId="22" xfId="39" applyNumberFormat="1" applyFont="1" applyFill="1" applyBorder="1" applyAlignment="1">
      <alignment horizontal="center"/>
    </xf>
    <xf numFmtId="0" fontId="195" fillId="29" borderId="22" xfId="39" applyFont="1" applyFill="1" applyBorder="1" applyAlignment="1">
      <alignment horizontal="center"/>
    </xf>
    <xf numFmtId="0" fontId="195" fillId="29" borderId="22" xfId="39" applyFont="1" applyFill="1" applyBorder="1"/>
    <xf numFmtId="0" fontId="198" fillId="29" borderId="22" xfId="39" applyFont="1" applyFill="1" applyBorder="1" applyAlignment="1">
      <alignment horizontal="center"/>
    </xf>
    <xf numFmtId="164" fontId="198" fillId="29" borderId="0" xfId="39" applyNumberFormat="1" applyFont="1" applyFill="1" applyAlignment="1">
      <alignment horizontal="center"/>
    </xf>
    <xf numFmtId="0" fontId="195" fillId="0" borderId="0" xfId="39" applyFont="1" applyAlignment="1">
      <alignment horizontal="center"/>
    </xf>
    <xf numFmtId="168" fontId="197" fillId="31" borderId="25" xfId="39" applyNumberFormat="1" applyFont="1" applyFill="1" applyBorder="1" applyAlignment="1">
      <alignment horizontal="center" vertical="center"/>
    </xf>
    <xf numFmtId="0" fontId="195" fillId="29" borderId="24" xfId="39" applyFont="1" applyFill="1" applyBorder="1" applyAlignment="1">
      <alignment horizontal="center" vertical="center"/>
    </xf>
    <xf numFmtId="0" fontId="195" fillId="29" borderId="24" xfId="39" quotePrefix="1" applyFont="1" applyFill="1" applyBorder="1" applyAlignment="1">
      <alignment vertical="center"/>
    </xf>
    <xf numFmtId="0" fontId="195" fillId="29" borderId="24" xfId="39" applyFont="1" applyFill="1" applyBorder="1" applyAlignment="1">
      <alignment vertical="center"/>
    </xf>
    <xf numFmtId="0" fontId="195" fillId="29" borderId="24" xfId="39" applyFont="1" applyFill="1" applyBorder="1" applyAlignment="1">
      <alignment wrapText="1"/>
    </xf>
    <xf numFmtId="0" fontId="198" fillId="29" borderId="24" xfId="39" applyFont="1" applyFill="1" applyBorder="1" applyAlignment="1">
      <alignment horizontal="center" vertical="center"/>
    </xf>
    <xf numFmtId="0" fontId="88" fillId="29" borderId="0" xfId="39" applyFont="1" applyFill="1" applyAlignment="1">
      <alignment vertical="center"/>
    </xf>
    <xf numFmtId="0" fontId="195" fillId="32" borderId="0" xfId="39" applyFont="1" applyFill="1" applyAlignment="1">
      <alignment horizontal="center" vertical="center"/>
    </xf>
    <xf numFmtId="0" fontId="195" fillId="32" borderId="0" xfId="39" applyFont="1" applyFill="1" applyAlignment="1">
      <alignment vertical="center" wrapText="1"/>
    </xf>
    <xf numFmtId="0" fontId="195" fillId="32" borderId="0" xfId="39" applyFont="1" applyFill="1" applyAlignment="1">
      <alignment vertical="center"/>
    </xf>
    <xf numFmtId="0" fontId="88" fillId="0" borderId="0" xfId="39" applyFont="1" applyAlignment="1">
      <alignment wrapText="1"/>
    </xf>
    <xf numFmtId="0" fontId="195" fillId="30" borderId="0" xfId="39" applyFont="1" applyFill="1" applyAlignment="1">
      <alignment horizontal="center" vertical="center"/>
    </xf>
    <xf numFmtId="0" fontId="195" fillId="30" borderId="0" xfId="39" applyFont="1" applyFill="1" applyAlignment="1">
      <alignment vertical="center"/>
    </xf>
    <xf numFmtId="0" fontId="198" fillId="30" borderId="0" xfId="39" applyFont="1" applyFill="1" applyAlignment="1">
      <alignment horizontal="center" vertical="center"/>
    </xf>
    <xf numFmtId="0" fontId="198" fillId="0" borderId="0" xfId="39" applyFont="1" applyAlignment="1">
      <alignment horizontal="center" wrapText="1"/>
    </xf>
    <xf numFmtId="0" fontId="199" fillId="0" borderId="0" xfId="39" applyFont="1" applyAlignment="1">
      <alignment horizontal="left"/>
    </xf>
    <xf numFmtId="0" fontId="56" fillId="0" borderId="0" xfId="39" applyFont="1" applyAlignment="1">
      <alignment horizontal="center"/>
    </xf>
    <xf numFmtId="0" fontId="199" fillId="0" borderId="0" xfId="39" applyFont="1" applyAlignment="1">
      <alignment wrapText="1"/>
    </xf>
    <xf numFmtId="0" fontId="38" fillId="0" borderId="0" xfId="40" applyAlignment="1">
      <alignment horizontal="left" vertical="top"/>
    </xf>
    <xf numFmtId="2" fontId="200" fillId="0" borderId="23" xfId="40" applyNumberFormat="1" applyFont="1" applyBorder="1" applyAlignment="1">
      <alignment horizontal="right" vertical="top" indent="3" shrinkToFit="1"/>
    </xf>
    <xf numFmtId="0" fontId="146" fillId="0" borderId="23" xfId="40" applyFont="1" applyBorder="1" applyAlignment="1">
      <alignment horizontal="center" vertical="top" wrapText="1"/>
    </xf>
    <xf numFmtId="0" fontId="38" fillId="0" borderId="23" xfId="40" applyBorder="1" applyAlignment="1">
      <alignment horizontal="left" wrapText="1"/>
    </xf>
    <xf numFmtId="1" fontId="200" fillId="0" borderId="23" xfId="40" applyNumberFormat="1" applyFont="1" applyBorder="1" applyAlignment="1">
      <alignment horizontal="center" vertical="top" shrinkToFit="1"/>
    </xf>
    <xf numFmtId="2" fontId="200" fillId="0" borderId="23" xfId="40" applyNumberFormat="1" applyFont="1" applyBorder="1" applyAlignment="1">
      <alignment horizontal="right" vertical="top" indent="4" shrinkToFit="1"/>
    </xf>
    <xf numFmtId="0" fontId="203" fillId="0" borderId="23" xfId="40" applyFont="1" applyBorder="1" applyAlignment="1">
      <alignment horizontal="right" vertical="top" wrapText="1" indent="3"/>
    </xf>
    <xf numFmtId="0" fontId="203" fillId="0" borderId="23" xfId="40" applyFont="1" applyBorder="1" applyAlignment="1">
      <alignment horizontal="center" vertical="top" wrapText="1"/>
    </xf>
    <xf numFmtId="0" fontId="38" fillId="0" borderId="23" xfId="40" applyBorder="1" applyAlignment="1">
      <alignment horizontal="left" vertical="center" wrapText="1"/>
    </xf>
    <xf numFmtId="0" fontId="38" fillId="0" borderId="23" xfId="40" applyBorder="1" applyAlignment="1">
      <alignment horizontal="center" vertical="top" wrapText="1"/>
    </xf>
    <xf numFmtId="2" fontId="200" fillId="0" borderId="23" xfId="40" applyNumberFormat="1" applyFont="1" applyBorder="1" applyAlignment="1">
      <alignment horizontal="center" vertical="top" shrinkToFit="1"/>
    </xf>
    <xf numFmtId="0" fontId="148" fillId="0" borderId="23" xfId="40" applyFont="1" applyBorder="1" applyAlignment="1">
      <alignment horizontal="center" vertical="top" wrapText="1"/>
    </xf>
    <xf numFmtId="0" fontId="213" fillId="0" borderId="23" xfId="40" applyFont="1" applyBorder="1" applyAlignment="1">
      <alignment horizontal="center" vertical="top" wrapText="1"/>
    </xf>
    <xf numFmtId="4" fontId="200" fillId="0" borderId="23" xfId="40" applyNumberFormat="1" applyFont="1" applyBorder="1" applyAlignment="1">
      <alignment horizontal="center" vertical="top" shrinkToFit="1"/>
    </xf>
    <xf numFmtId="0" fontId="146" fillId="0" borderId="23" xfId="40" applyFont="1" applyBorder="1" applyAlignment="1">
      <alignment horizontal="left" vertical="top" wrapText="1" indent="3"/>
    </xf>
    <xf numFmtId="0" fontId="146" fillId="0" borderId="23" xfId="40" applyFont="1" applyBorder="1" applyAlignment="1">
      <alignment horizontal="left" vertical="top" wrapText="1" indent="2"/>
    </xf>
    <xf numFmtId="0" fontId="148" fillId="0" borderId="23" xfId="40" applyFont="1" applyBorder="1" applyAlignment="1">
      <alignment horizontal="left" vertical="top" wrapText="1" indent="3"/>
    </xf>
    <xf numFmtId="0" fontId="148" fillId="0" borderId="23" xfId="40" applyFont="1" applyBorder="1" applyAlignment="1">
      <alignment horizontal="left" vertical="top" wrapText="1" indent="6"/>
    </xf>
    <xf numFmtId="0" fontId="148" fillId="0" borderId="23" xfId="40" applyFont="1" applyBorder="1" applyAlignment="1">
      <alignment horizontal="left" vertical="top" wrapText="1" indent="7"/>
    </xf>
    <xf numFmtId="0" fontId="148" fillId="0" borderId="23" xfId="40" applyFont="1" applyBorder="1" applyAlignment="1">
      <alignment horizontal="left" vertical="top" wrapText="1" indent="9"/>
    </xf>
    <xf numFmtId="0" fontId="148" fillId="0" borderId="23" xfId="40" applyFont="1" applyBorder="1" applyAlignment="1">
      <alignment horizontal="left" vertical="top" wrapText="1" indent="10"/>
    </xf>
    <xf numFmtId="0" fontId="148" fillId="0" borderId="23" xfId="40" applyFont="1" applyBorder="1" applyAlignment="1">
      <alignment horizontal="left" vertical="top" wrapText="1" indent="8"/>
    </xf>
    <xf numFmtId="0" fontId="148" fillId="0" borderId="23" xfId="40" applyFont="1" applyBorder="1" applyAlignment="1">
      <alignment horizontal="left" vertical="top" wrapText="1" indent="11"/>
    </xf>
    <xf numFmtId="0" fontId="148" fillId="0" borderId="23" xfId="40" applyFont="1" applyBorder="1" applyAlignment="1">
      <alignment horizontal="left" vertical="top" wrapText="1" indent="4"/>
    </xf>
    <xf numFmtId="0" fontId="146" fillId="0" borderId="23" xfId="40" applyFont="1" applyBorder="1" applyAlignment="1">
      <alignment horizontal="left" vertical="top" wrapText="1" indent="9"/>
    </xf>
    <xf numFmtId="0" fontId="38" fillId="0" borderId="25" xfId="40" applyBorder="1" applyAlignment="1">
      <alignment horizontal="left" wrapText="1"/>
    </xf>
    <xf numFmtId="0" fontId="201" fillId="35" borderId="27" xfId="40" applyFont="1" applyFill="1" applyBorder="1" applyAlignment="1">
      <alignment horizontal="left" vertical="top" wrapText="1" indent="19"/>
    </xf>
    <xf numFmtId="0" fontId="201" fillId="35" borderId="25" xfId="40" applyFont="1" applyFill="1" applyBorder="1" applyAlignment="1">
      <alignment horizontal="left" vertical="top" wrapText="1" indent="19"/>
    </xf>
    <xf numFmtId="0" fontId="201" fillId="35" borderId="26" xfId="40" applyFont="1" applyFill="1" applyBorder="1" applyAlignment="1">
      <alignment horizontal="left" vertical="top" wrapText="1" indent="19"/>
    </xf>
    <xf numFmtId="0" fontId="220" fillId="0" borderId="0" xfId="40" applyFont="1" applyAlignment="1">
      <alignment horizontal="right" vertical="top" wrapText="1"/>
    </xf>
    <xf numFmtId="0" fontId="221" fillId="0" borderId="0" xfId="40" applyFont="1" applyAlignment="1">
      <alignment horizontal="right" vertical="top" wrapText="1"/>
    </xf>
    <xf numFmtId="0" fontId="201" fillId="35" borderId="27" xfId="40" applyFont="1" applyFill="1" applyBorder="1" applyAlignment="1">
      <alignment horizontal="center" vertical="top" wrapText="1"/>
    </xf>
    <xf numFmtId="0" fontId="201" fillId="35" borderId="25" xfId="40" applyFont="1" applyFill="1" applyBorder="1" applyAlignment="1">
      <alignment horizontal="center" vertical="top" wrapText="1"/>
    </xf>
    <xf numFmtId="0" fontId="201" fillId="35" borderId="26" xfId="40" applyFont="1" applyFill="1" applyBorder="1" applyAlignment="1">
      <alignment horizontal="center" vertical="top" wrapText="1"/>
    </xf>
    <xf numFmtId="0" fontId="201" fillId="0" borderId="27" xfId="40" applyFont="1" applyBorder="1" applyAlignment="1">
      <alignment horizontal="left" vertical="top" wrapText="1" indent="20"/>
    </xf>
    <xf numFmtId="0" fontId="201" fillId="0" borderId="25" xfId="40" applyFont="1" applyBorder="1" applyAlignment="1">
      <alignment horizontal="left" vertical="top" wrapText="1" indent="20"/>
    </xf>
    <xf numFmtId="0" fontId="201" fillId="0" borderId="26" xfId="40" applyFont="1" applyBorder="1" applyAlignment="1">
      <alignment horizontal="left" vertical="top" wrapText="1" indent="20"/>
    </xf>
    <xf numFmtId="0" fontId="201" fillId="34" borderId="27" xfId="40" applyFont="1" applyFill="1" applyBorder="1" applyAlignment="1">
      <alignment horizontal="left" vertical="top" wrapText="1" indent="15"/>
    </xf>
    <xf numFmtId="0" fontId="201" fillId="34" borderId="25" xfId="40" applyFont="1" applyFill="1" applyBorder="1" applyAlignment="1">
      <alignment horizontal="left" vertical="top" wrapText="1" indent="15"/>
    </xf>
    <xf numFmtId="0" fontId="201" fillId="34" borderId="26" xfId="40" applyFont="1" applyFill="1" applyBorder="1" applyAlignment="1">
      <alignment horizontal="left" vertical="top" wrapText="1" indent="15"/>
    </xf>
    <xf numFmtId="0" fontId="201" fillId="34" borderId="27" xfId="40" applyFont="1" applyFill="1" applyBorder="1" applyAlignment="1">
      <alignment horizontal="left" vertical="top" wrapText="1" indent="9"/>
    </xf>
    <xf numFmtId="0" fontId="201" fillId="34" borderId="25" xfId="40" applyFont="1" applyFill="1" applyBorder="1" applyAlignment="1">
      <alignment horizontal="left" vertical="top" wrapText="1" indent="9"/>
    </xf>
    <xf numFmtId="0" fontId="201" fillId="34" borderId="26" xfId="40" applyFont="1" applyFill="1" applyBorder="1" applyAlignment="1">
      <alignment horizontal="left" vertical="top" wrapText="1" indent="9"/>
    </xf>
    <xf numFmtId="0" fontId="148" fillId="34" borderId="27" xfId="40" applyFont="1" applyFill="1" applyBorder="1" applyAlignment="1">
      <alignment horizontal="left" vertical="top" wrapText="1" indent="14"/>
    </xf>
    <xf numFmtId="0" fontId="148" fillId="34" borderId="25" xfId="40" applyFont="1" applyFill="1" applyBorder="1" applyAlignment="1">
      <alignment horizontal="left" vertical="top" wrapText="1" indent="14"/>
    </xf>
    <xf numFmtId="0" fontId="148" fillId="34" borderId="26" xfId="40" applyFont="1" applyFill="1" applyBorder="1" applyAlignment="1">
      <alignment horizontal="left" vertical="top" wrapText="1" indent="14"/>
    </xf>
    <xf numFmtId="0" fontId="201" fillId="34" borderId="27" xfId="40" applyFont="1" applyFill="1" applyBorder="1" applyAlignment="1">
      <alignment horizontal="left" vertical="top" wrapText="1" indent="11"/>
    </xf>
    <xf numFmtId="0" fontId="201" fillId="34" borderId="25" xfId="40" applyFont="1" applyFill="1" applyBorder="1" applyAlignment="1">
      <alignment horizontal="left" vertical="top" wrapText="1" indent="11"/>
    </xf>
    <xf numFmtId="0" fontId="201" fillId="34" borderId="26" xfId="40" applyFont="1" applyFill="1" applyBorder="1" applyAlignment="1">
      <alignment horizontal="left" vertical="top" wrapText="1" indent="11"/>
    </xf>
    <xf numFmtId="0" fontId="201" fillId="33" borderId="27" xfId="40" applyFont="1" applyFill="1" applyBorder="1" applyAlignment="1">
      <alignment horizontal="center" vertical="top" wrapText="1"/>
    </xf>
    <xf numFmtId="0" fontId="201" fillId="33" borderId="25" xfId="40" applyFont="1" applyFill="1" applyBorder="1" applyAlignment="1">
      <alignment horizontal="center" vertical="top" wrapText="1"/>
    </xf>
    <xf numFmtId="0" fontId="201" fillId="33" borderId="26" xfId="40" applyFont="1" applyFill="1" applyBorder="1" applyAlignment="1">
      <alignment horizontal="center" vertical="top" wrapText="1"/>
    </xf>
    <xf numFmtId="0" fontId="201" fillId="34" borderId="27" xfId="40" applyFont="1" applyFill="1" applyBorder="1" applyAlignment="1">
      <alignment horizontal="left" vertical="top" wrapText="1" indent="18"/>
    </xf>
    <xf numFmtId="0" fontId="201" fillId="34" borderId="25" xfId="40" applyFont="1" applyFill="1" applyBorder="1" applyAlignment="1">
      <alignment horizontal="left" vertical="top" wrapText="1" indent="18"/>
    </xf>
    <xf numFmtId="0" fontId="201" fillId="34" borderId="26" xfId="40" applyFont="1" applyFill="1" applyBorder="1" applyAlignment="1">
      <alignment horizontal="left" vertical="top" wrapText="1" indent="18"/>
    </xf>
    <xf numFmtId="0" fontId="201" fillId="34" borderId="27" xfId="40" applyFont="1" applyFill="1" applyBorder="1" applyAlignment="1">
      <alignment horizontal="left" vertical="top" wrapText="1" indent="12"/>
    </xf>
    <xf numFmtId="0" fontId="201" fillId="34" borderId="25" xfId="40" applyFont="1" applyFill="1" applyBorder="1" applyAlignment="1">
      <alignment horizontal="left" vertical="top" wrapText="1" indent="12"/>
    </xf>
    <xf numFmtId="0" fontId="201" fillId="34" borderId="26" xfId="40" applyFont="1" applyFill="1" applyBorder="1" applyAlignment="1">
      <alignment horizontal="left" vertical="top" wrapText="1" indent="12"/>
    </xf>
    <xf numFmtId="0" fontId="201" fillId="33" borderId="27" xfId="40" applyFont="1" applyFill="1" applyBorder="1" applyAlignment="1">
      <alignment horizontal="left" vertical="top" wrapText="1" indent="13"/>
    </xf>
    <xf numFmtId="0" fontId="201" fillId="33" borderId="25" xfId="40" applyFont="1" applyFill="1" applyBorder="1" applyAlignment="1">
      <alignment horizontal="left" vertical="top" wrapText="1" indent="13"/>
    </xf>
    <xf numFmtId="0" fontId="201" fillId="33" borderId="26" xfId="40" applyFont="1" applyFill="1" applyBorder="1" applyAlignment="1">
      <alignment horizontal="left" vertical="top" wrapText="1" indent="13"/>
    </xf>
    <xf numFmtId="0" fontId="201" fillId="33" borderId="27" xfId="40" applyFont="1" applyFill="1" applyBorder="1" applyAlignment="1">
      <alignment horizontal="left" vertical="top" wrapText="1" indent="19"/>
    </xf>
    <xf numFmtId="0" fontId="201" fillId="33" borderId="25" xfId="40" applyFont="1" applyFill="1" applyBorder="1" applyAlignment="1">
      <alignment horizontal="left" vertical="top" wrapText="1" indent="19"/>
    </xf>
    <xf numFmtId="0" fontId="201" fillId="33" borderId="26" xfId="40" applyFont="1" applyFill="1" applyBorder="1" applyAlignment="1">
      <alignment horizontal="left" vertical="top" wrapText="1" indent="19"/>
    </xf>
    <xf numFmtId="0" fontId="201" fillId="33" borderId="27" xfId="40" applyFont="1" applyFill="1" applyBorder="1" applyAlignment="1">
      <alignment horizontal="left" vertical="top" wrapText="1" indent="17"/>
    </xf>
    <xf numFmtId="0" fontId="201" fillId="33" borderId="25" xfId="40" applyFont="1" applyFill="1" applyBorder="1" applyAlignment="1">
      <alignment horizontal="left" vertical="top" wrapText="1" indent="17"/>
    </xf>
    <xf numFmtId="0" fontId="201" fillId="33" borderId="26" xfId="40" applyFont="1" applyFill="1" applyBorder="1" applyAlignment="1">
      <alignment horizontal="left" vertical="top" wrapText="1" indent="17"/>
    </xf>
    <xf numFmtId="0" fontId="201" fillId="33" borderId="27" xfId="40" applyFont="1" applyFill="1" applyBorder="1" applyAlignment="1">
      <alignment horizontal="left" vertical="top" wrapText="1" indent="20"/>
    </xf>
    <xf numFmtId="0" fontId="201" fillId="33" borderId="25" xfId="40" applyFont="1" applyFill="1" applyBorder="1" applyAlignment="1">
      <alignment horizontal="left" vertical="top" wrapText="1" indent="20"/>
    </xf>
    <xf numFmtId="0" fontId="201" fillId="33" borderId="26" xfId="40" applyFont="1" applyFill="1" applyBorder="1" applyAlignment="1">
      <alignment horizontal="left" vertical="top" wrapText="1" indent="20"/>
    </xf>
    <xf numFmtId="0" fontId="201" fillId="33" borderId="27" xfId="40" applyFont="1" applyFill="1" applyBorder="1" applyAlignment="1">
      <alignment horizontal="left" vertical="top" wrapText="1" indent="18"/>
    </xf>
    <xf numFmtId="0" fontId="201" fillId="33" borderId="25" xfId="40" applyFont="1" applyFill="1" applyBorder="1" applyAlignment="1">
      <alignment horizontal="left" vertical="top" wrapText="1" indent="18"/>
    </xf>
    <xf numFmtId="0" fontId="201" fillId="33" borderId="26" xfId="40" applyFont="1" applyFill="1" applyBorder="1" applyAlignment="1">
      <alignment horizontal="left" vertical="top" wrapText="1" indent="18"/>
    </xf>
    <xf numFmtId="0" fontId="201" fillId="33" borderId="27" xfId="40" applyFont="1" applyFill="1" applyBorder="1" applyAlignment="1">
      <alignment horizontal="left" vertical="top" wrapText="1" indent="14"/>
    </xf>
    <xf numFmtId="0" fontId="201" fillId="33" borderId="25" xfId="40" applyFont="1" applyFill="1" applyBorder="1" applyAlignment="1">
      <alignment horizontal="left" vertical="top" wrapText="1" indent="14"/>
    </xf>
    <xf numFmtId="0" fontId="201" fillId="33" borderId="26" xfId="40" applyFont="1" applyFill="1" applyBorder="1" applyAlignment="1">
      <alignment horizontal="left" vertical="top" wrapText="1" indent="14"/>
    </xf>
    <xf numFmtId="0" fontId="201" fillId="33" borderId="27" xfId="40" applyFont="1" applyFill="1" applyBorder="1" applyAlignment="1">
      <alignment horizontal="left" vertical="top" wrapText="1" indent="15"/>
    </xf>
    <xf numFmtId="0" fontId="201" fillId="33" borderId="25" xfId="40" applyFont="1" applyFill="1" applyBorder="1" applyAlignment="1">
      <alignment horizontal="left" vertical="top" wrapText="1" indent="15"/>
    </xf>
    <xf numFmtId="0" fontId="201" fillId="33" borderId="26" xfId="40" applyFont="1" applyFill="1" applyBorder="1" applyAlignment="1">
      <alignment horizontal="left" vertical="top" wrapText="1" indent="15"/>
    </xf>
    <xf numFmtId="0" fontId="201" fillId="33" borderId="27" xfId="40" applyFont="1" applyFill="1" applyBorder="1" applyAlignment="1">
      <alignment horizontal="left" vertical="top" wrapText="1" indent="16"/>
    </xf>
    <xf numFmtId="0" fontId="201" fillId="33" borderId="25" xfId="40" applyFont="1" applyFill="1" applyBorder="1" applyAlignment="1">
      <alignment horizontal="left" vertical="top" wrapText="1" indent="16"/>
    </xf>
    <xf numFmtId="0" fontId="201" fillId="33" borderId="26" xfId="40" applyFont="1" applyFill="1" applyBorder="1" applyAlignment="1">
      <alignment horizontal="left" vertical="top" wrapText="1" indent="16"/>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191" fillId="4" borderId="0" xfId="9" applyFont="1" applyFill="1" applyAlignment="1">
      <alignment horizontal="center" wrapText="1"/>
    </xf>
    <xf numFmtId="0" fontId="69" fillId="4" borderId="12" xfId="9" applyFont="1" applyFill="1" applyBorder="1" applyAlignment="1">
      <alignment horizontal="center"/>
    </xf>
    <xf numFmtId="169" fontId="174" fillId="4" borderId="0" xfId="9" applyNumberFormat="1" applyFont="1" applyFill="1" applyAlignment="1">
      <alignment horizontal="center"/>
    </xf>
    <xf numFmtId="0" fontId="28" fillId="10" borderId="14" xfId="9" applyFont="1" applyFill="1" applyBorder="1" applyAlignment="1">
      <alignment horizontal="center" vertical="center"/>
    </xf>
    <xf numFmtId="0" fontId="28" fillId="12" borderId="14" xfId="9" applyFont="1" applyFill="1" applyBorder="1" applyAlignment="1">
      <alignment horizontal="center" vertical="center"/>
    </xf>
    <xf numFmtId="0" fontId="47" fillId="0" borderId="0" xfId="9" applyFont="1" applyAlignment="1">
      <alignment horizontal="center"/>
    </xf>
    <xf numFmtId="0" fontId="50" fillId="0" borderId="0" xfId="9" applyFont="1" applyAlignment="1">
      <alignment horizontal="left"/>
    </xf>
    <xf numFmtId="0" fontId="36" fillId="0" borderId="0" xfId="9" applyFont="1" applyAlignment="1">
      <alignment horizontal="left" vertical="top" wrapText="1"/>
    </xf>
    <xf numFmtId="0" fontId="49" fillId="0" borderId="0" xfId="9" applyFont="1" applyAlignment="1">
      <alignment horizontal="center"/>
    </xf>
    <xf numFmtId="0" fontId="48" fillId="0" borderId="0" xfId="9" applyFont="1" applyAlignment="1">
      <alignment horizontal="center"/>
    </xf>
    <xf numFmtId="0" fontId="48" fillId="0" borderId="0" xfId="9" applyFont="1" applyAlignment="1">
      <alignment horizontal="left"/>
    </xf>
    <xf numFmtId="0" fontId="36" fillId="0" borderId="0" xfId="9" applyFont="1" applyAlignment="1">
      <alignment horizontal="left"/>
    </xf>
    <xf numFmtId="0" fontId="28" fillId="11" borderId="14" xfId="9" applyFont="1" applyFill="1" applyBorder="1" applyAlignment="1">
      <alignment horizontal="center" vertical="center"/>
    </xf>
    <xf numFmtId="0" fontId="70" fillId="13" borderId="14" xfId="9" applyFont="1" applyFill="1" applyBorder="1" applyAlignment="1">
      <alignment horizontal="center" vertical="center"/>
    </xf>
    <xf numFmtId="0" fontId="28" fillId="10" borderId="14" xfId="9" applyFont="1" applyFill="1" applyBorder="1" applyAlignment="1">
      <alignment horizontal="center" vertical="center" wrapText="1"/>
    </xf>
    <xf numFmtId="0" fontId="55" fillId="0" borderId="14" xfId="9" applyFont="1" applyBorder="1" applyAlignment="1">
      <alignment horizontal="center" wrapText="1"/>
    </xf>
    <xf numFmtId="0" fontId="46" fillId="0" borderId="9" xfId="9" applyFont="1" applyBorder="1" applyAlignment="1">
      <alignment horizontal="left" vertical="top" wrapText="1"/>
    </xf>
    <xf numFmtId="0" fontId="46" fillId="0" borderId="0" xfId="9" applyFont="1" applyAlignment="1">
      <alignment horizontal="left" vertical="top" wrapText="1"/>
    </xf>
    <xf numFmtId="0" fontId="28" fillId="13" borderId="0" xfId="9" applyFont="1" applyFill="1" applyAlignment="1">
      <alignment horizontal="center" vertical="center"/>
    </xf>
    <xf numFmtId="0" fontId="55" fillId="0" borderId="14" xfId="9" applyFont="1" applyBorder="1" applyAlignment="1">
      <alignment horizontal="center" vertical="center"/>
    </xf>
    <xf numFmtId="0" fontId="55" fillId="0" borderId="12" xfId="9" applyFont="1" applyBorder="1" applyAlignment="1">
      <alignment horizontal="center" vertical="center" wrapText="1"/>
    </xf>
    <xf numFmtId="0" fontId="61" fillId="0" borderId="12" xfId="9" applyFont="1" applyBorder="1" applyAlignment="1">
      <alignment horizontal="center" vertical="center" wrapText="1"/>
    </xf>
    <xf numFmtId="0" fontId="25" fillId="3" borderId="0" xfId="5" applyFont="1" applyFill="1" applyAlignment="1">
      <alignment horizontal="left" vertical="center"/>
    </xf>
    <xf numFmtId="0" fontId="142" fillId="0" borderId="20" xfId="9" applyFont="1" applyBorder="1" applyAlignment="1">
      <alignment vertical="center"/>
    </xf>
    <xf numFmtId="164" fontId="142" fillId="0" borderId="20" xfId="9" applyNumberFormat="1" applyFont="1" applyBorder="1" applyAlignment="1">
      <alignment vertical="center"/>
    </xf>
    <xf numFmtId="0" fontId="24" fillId="0" borderId="0" xfId="5" applyFont="1" applyAlignment="1">
      <alignment horizontal="left" vertical="center"/>
    </xf>
    <xf numFmtId="0" fontId="21" fillId="0" borderId="0" xfId="5"/>
    <xf numFmtId="49" fontId="45" fillId="0" borderId="0" xfId="6" applyFont="1" applyAlignment="1">
      <alignment horizontal="center" wrapText="1"/>
    </xf>
    <xf numFmtId="49" fontId="35" fillId="0" borderId="0" xfId="6" applyFont="1" applyAlignment="1">
      <alignment horizontal="center"/>
    </xf>
    <xf numFmtId="49" fontId="36" fillId="0" borderId="0" xfId="6" applyFont="1"/>
    <xf numFmtId="49" fontId="29" fillId="0" borderId="0" xfId="6" applyFont="1" applyAlignment="1">
      <alignment horizontal="center"/>
    </xf>
    <xf numFmtId="49" fontId="26" fillId="0" borderId="0" xfId="6"/>
    <xf numFmtId="4" fontId="27" fillId="0" borderId="0" xfId="6" applyNumberFormat="1" applyFont="1" applyAlignment="1">
      <alignment horizontal="left"/>
    </xf>
    <xf numFmtId="49" fontId="34" fillId="0" borderId="0" xfId="6" applyFont="1" applyAlignment="1">
      <alignment horizontal="center"/>
    </xf>
    <xf numFmtId="49" fontId="33" fillId="0" borderId="0" xfId="6" applyFont="1" applyAlignment="1">
      <alignment horizontal="center"/>
    </xf>
    <xf numFmtId="49" fontId="27" fillId="0" borderId="0" xfId="6" applyFont="1" applyAlignment="1">
      <alignment horizontal="left"/>
    </xf>
    <xf numFmtId="49" fontId="27" fillId="0" borderId="0" xfId="6" applyFont="1" applyAlignment="1">
      <alignment horizontal="left" wrapText="1"/>
    </xf>
    <xf numFmtId="49" fontId="27" fillId="0" borderId="0" xfId="6" applyFont="1" applyAlignment="1">
      <alignment horizontal="right" wrapText="1"/>
    </xf>
    <xf numFmtId="49" fontId="31" fillId="0" borderId="0" xfId="6" applyFont="1" applyAlignment="1">
      <alignment horizontal="center"/>
    </xf>
    <xf numFmtId="49" fontId="30" fillId="0" borderId="0" xfId="6" applyFont="1" applyAlignment="1">
      <alignment horizontal="center"/>
    </xf>
    <xf numFmtId="49" fontId="28" fillId="0" borderId="0" xfId="6" applyFont="1" applyAlignment="1">
      <alignment horizontal="center"/>
    </xf>
    <xf numFmtId="49" fontId="27" fillId="0" borderId="0" xfId="6" applyFont="1" applyAlignment="1">
      <alignment horizontal="center" wrapText="1"/>
    </xf>
    <xf numFmtId="49" fontId="26" fillId="0" borderId="0" xfId="6" applyAlignment="1">
      <alignment horizontal="center" wrapText="1"/>
    </xf>
    <xf numFmtId="0" fontId="0" fillId="0" borderId="0" xfId="0"/>
    <xf numFmtId="164" fontId="0" fillId="0" borderId="0" xfId="0" applyNumberFormat="1"/>
    <xf numFmtId="0" fontId="0" fillId="0" borderId="0" xfId="0" applyAlignment="1">
      <alignment horizontal="center"/>
    </xf>
    <xf numFmtId="0" fontId="0" fillId="0" borderId="0" xfId="0" applyAlignment="1">
      <alignment horizontal="center" wrapText="1"/>
    </xf>
    <xf numFmtId="164" fontId="4" fillId="0" borderId="0" xfId="0" applyNumberFormat="1" applyFont="1" applyAlignment="1">
      <alignment horizontal="center" wrapText="1"/>
    </xf>
    <xf numFmtId="164" fontId="3" fillId="4" borderId="19" xfId="1" applyNumberFormat="1" applyFont="1" applyFill="1" applyBorder="1" applyAlignment="1">
      <alignment horizontal="center" wrapText="1"/>
    </xf>
    <xf numFmtId="0" fontId="3" fillId="4" borderId="19" xfId="1" applyFont="1" applyFill="1" applyBorder="1" applyAlignment="1">
      <alignment horizontal="center" wrapText="1"/>
    </xf>
    <xf numFmtId="164" fontId="3" fillId="0" borderId="19" xfId="1" applyNumberFormat="1" applyFont="1" applyBorder="1" applyAlignment="1">
      <alignment horizontal="center" wrapText="1"/>
    </xf>
    <xf numFmtId="0" fontId="3" fillId="0" borderId="19" xfId="1" applyFont="1" applyBorder="1" applyAlignment="1">
      <alignment horizontal="center" wrapText="1"/>
    </xf>
    <xf numFmtId="0" fontId="223" fillId="4" borderId="23" xfId="0" applyFont="1" applyFill="1" applyBorder="1" applyAlignment="1">
      <alignment horizontal="center" vertical="center"/>
    </xf>
    <xf numFmtId="0" fontId="3" fillId="4" borderId="23" xfId="0" applyFont="1" applyFill="1" applyBorder="1" applyAlignment="1">
      <alignment horizontal="center" vertical="center" wrapText="1"/>
    </xf>
    <xf numFmtId="44" fontId="224" fillId="19" borderId="19" xfId="3" applyFont="1" applyFill="1" applyBorder="1" applyProtection="1">
      <protection hidden="1"/>
    </xf>
    <xf numFmtId="164" fontId="225" fillId="19" borderId="28" xfId="0" applyNumberFormat="1" applyFont="1" applyFill="1" applyBorder="1" applyAlignment="1" applyProtection="1">
      <alignment horizontal="left" vertical="center" wrapText="1"/>
      <protection hidden="1"/>
    </xf>
    <xf numFmtId="49" fontId="225" fillId="19" borderId="28" xfId="0" applyNumberFormat="1" applyFont="1" applyFill="1" applyBorder="1" applyAlignment="1" applyProtection="1">
      <alignment horizontal="left" vertical="center" wrapText="1"/>
      <protection hidden="1"/>
    </xf>
    <xf numFmtId="49" fontId="224" fillId="19" borderId="29" xfId="0" applyNumberFormat="1" applyFont="1" applyFill="1" applyBorder="1" applyProtection="1">
      <protection hidden="1"/>
    </xf>
    <xf numFmtId="49" fontId="224" fillId="19" borderId="14" xfId="0" applyNumberFormat="1" applyFont="1" applyFill="1" applyBorder="1" applyProtection="1">
      <protection hidden="1"/>
    </xf>
    <xf numFmtId="49" fontId="224" fillId="19" borderId="5" xfId="0" applyNumberFormat="1" applyFont="1" applyFill="1" applyBorder="1" applyProtection="1">
      <protection hidden="1"/>
    </xf>
    <xf numFmtId="49" fontId="4" fillId="19" borderId="30" xfId="0" applyNumberFormat="1" applyFont="1" applyFill="1" applyBorder="1" applyAlignment="1" applyProtection="1">
      <alignment horizontal="left" vertical="center" wrapText="1"/>
      <protection hidden="1"/>
    </xf>
    <xf numFmtId="49" fontId="4" fillId="19" borderId="31" xfId="0" applyNumberFormat="1" applyFont="1" applyFill="1" applyBorder="1" applyAlignment="1" applyProtection="1">
      <alignment horizontal="left" vertical="center" wrapText="1"/>
      <protection hidden="1"/>
    </xf>
    <xf numFmtId="49" fontId="4" fillId="19" borderId="32" xfId="0" applyNumberFormat="1" applyFont="1" applyFill="1" applyBorder="1" applyAlignment="1" applyProtection="1">
      <alignment horizontal="left" vertical="center" wrapText="1"/>
      <protection hidden="1"/>
    </xf>
    <xf numFmtId="0" fontId="78" fillId="0" borderId="0" xfId="0" applyFont="1"/>
    <xf numFmtId="0" fontId="78" fillId="0" borderId="0" xfId="0" applyFont="1" applyAlignment="1">
      <alignment horizontal="right" shrinkToFit="1"/>
    </xf>
    <xf numFmtId="0" fontId="78" fillId="0" borderId="0" xfId="0" applyFont="1" applyAlignment="1">
      <alignment shrinkToFit="1"/>
    </xf>
    <xf numFmtId="0" fontId="78" fillId="0" borderId="0" xfId="0" applyFont="1" applyAlignment="1">
      <alignment horizontal="left"/>
    </xf>
    <xf numFmtId="0" fontId="90" fillId="0" borderId="0" xfId="0" applyFont="1" applyAlignment="1" applyProtection="1">
      <alignment horizontal="left" shrinkToFit="1"/>
      <protection locked="0"/>
    </xf>
    <xf numFmtId="43" fontId="79" fillId="0" borderId="0" xfId="2" applyFont="1" applyFill="1" applyBorder="1" applyAlignment="1">
      <alignment horizontal="right" shrinkToFit="1"/>
    </xf>
    <xf numFmtId="2" fontId="79" fillId="0" borderId="0" xfId="0" applyNumberFormat="1" applyFont="1" applyAlignment="1">
      <alignment shrinkToFit="1"/>
    </xf>
    <xf numFmtId="2" fontId="79" fillId="0" borderId="0" xfId="0" applyNumberFormat="1" applyFont="1" applyAlignment="1">
      <alignment horizontal="left"/>
    </xf>
    <xf numFmtId="2" fontId="79" fillId="0" borderId="0" xfId="0" applyNumberFormat="1" applyFont="1" applyAlignment="1">
      <alignment horizontal="left" shrinkToFit="1"/>
    </xf>
    <xf numFmtId="0" fontId="79" fillId="0" borderId="0" xfId="41"/>
    <xf numFmtId="2" fontId="0" fillId="0" borderId="0" xfId="0" applyNumberFormat="1" applyAlignment="1">
      <alignment shrinkToFit="1"/>
    </xf>
    <xf numFmtId="2" fontId="0" fillId="0" borderId="0" xfId="0" applyNumberFormat="1" applyAlignment="1">
      <alignment horizontal="left"/>
    </xf>
    <xf numFmtId="0" fontId="79" fillId="0" borderId="0" xfId="0" applyFont="1" applyAlignment="1">
      <alignment vertical="center"/>
    </xf>
    <xf numFmtId="2" fontId="78" fillId="0" borderId="0" xfId="0" applyNumberFormat="1" applyFont="1" applyAlignment="1">
      <alignment shrinkToFit="1"/>
    </xf>
    <xf numFmtId="2" fontId="78" fillId="0" borderId="0" xfId="0" applyNumberFormat="1" applyFont="1" applyAlignment="1">
      <alignment horizontal="left"/>
    </xf>
    <xf numFmtId="0" fontId="78" fillId="0" borderId="0" xfId="0" applyFont="1" applyAlignment="1">
      <alignment vertical="center"/>
    </xf>
    <xf numFmtId="2" fontId="78" fillId="0" borderId="0" xfId="0" applyNumberFormat="1" applyFont="1" applyAlignment="1">
      <alignment horizontal="left" shrinkToFit="1"/>
    </xf>
    <xf numFmtId="43" fontId="79" fillId="0" borderId="0" xfId="2" applyFont="1" applyBorder="1" applyAlignment="1">
      <alignment horizontal="right" vertical="center"/>
    </xf>
    <xf numFmtId="2" fontId="79" fillId="0" borderId="0" xfId="0" applyNumberFormat="1" applyFont="1" applyAlignment="1">
      <alignment horizontal="left" vertical="center"/>
    </xf>
    <xf numFmtId="2" fontId="79" fillId="0" borderId="0" xfId="0" applyNumberFormat="1" applyFont="1" applyAlignment="1">
      <alignment horizontal="left" vertical="top"/>
    </xf>
    <xf numFmtId="0" fontId="79" fillId="0" borderId="0" xfId="0" applyFont="1" applyAlignment="1">
      <alignment horizontal="center"/>
    </xf>
    <xf numFmtId="0" fontId="90" fillId="0" borderId="0" xfId="0" applyFont="1" applyAlignment="1">
      <alignment horizontal="center" wrapText="1" shrinkToFit="1"/>
    </xf>
    <xf numFmtId="0" fontId="90" fillId="0" borderId="0" xfId="0" applyFont="1" applyAlignment="1">
      <alignment horizontal="center" shrinkToFit="1"/>
    </xf>
    <xf numFmtId="0" fontId="90" fillId="0" borderId="0" xfId="0" applyFont="1" applyAlignment="1">
      <alignment horizontal="center"/>
    </xf>
    <xf numFmtId="49" fontId="0" fillId="0" borderId="0" xfId="0" applyNumberFormat="1" applyAlignment="1">
      <alignment horizontal="right"/>
    </xf>
    <xf numFmtId="0" fontId="226" fillId="0" borderId="0" xfId="0" applyFont="1"/>
    <xf numFmtId="4" fontId="227" fillId="0" borderId="0" xfId="0" applyNumberFormat="1" applyFont="1" applyAlignment="1">
      <alignment wrapText="1"/>
    </xf>
    <xf numFmtId="0" fontId="226" fillId="0" borderId="0" xfId="0" applyFont="1" applyAlignment="1">
      <alignment wrapText="1"/>
    </xf>
    <xf numFmtId="0" fontId="226" fillId="0" borderId="0" xfId="0" applyFont="1" applyAlignment="1">
      <alignment horizontal="center" vertical="top"/>
    </xf>
    <xf numFmtId="164" fontId="105" fillId="0" borderId="0" xfId="43" applyNumberFormat="1" applyFont="1" applyBorder="1" applyAlignment="1" applyProtection="1">
      <alignment horizontal="center" wrapText="1"/>
    </xf>
    <xf numFmtId="176" fontId="120" fillId="0" borderId="0" xfId="43" applyFont="1" applyBorder="1" applyAlignment="1">
      <alignment wrapText="1"/>
    </xf>
    <xf numFmtId="176" fontId="120" fillId="0" borderId="0" xfId="43" applyFont="1" applyBorder="1">
      <alignment horizontal="center" vertical="center"/>
    </xf>
    <xf numFmtId="176" fontId="120" fillId="0" borderId="0" xfId="43" applyFont="1" applyBorder="1" applyAlignment="1"/>
    <xf numFmtId="176" fontId="120" fillId="0" borderId="0" xfId="44" applyFont="1" applyBorder="1" applyAlignment="1">
      <alignment wrapText="1"/>
    </xf>
    <xf numFmtId="176" fontId="120" fillId="0" borderId="0" xfId="44" applyFont="1" applyBorder="1" applyAlignment="1">
      <alignment horizontal="center" vertical="center"/>
    </xf>
    <xf numFmtId="176" fontId="120" fillId="0" borderId="0" xfId="43" applyFont="1" applyBorder="1" applyAlignment="1" applyProtection="1">
      <alignment horizontal="left" wrapText="1"/>
    </xf>
    <xf numFmtId="176" fontId="230" fillId="0" borderId="0" xfId="43" applyFont="1" applyBorder="1" applyProtection="1">
      <alignment horizontal="center" vertical="center"/>
    </xf>
    <xf numFmtId="0" fontId="79" fillId="0" borderId="0" xfId="0" applyFont="1" applyAlignment="1">
      <alignment horizontal="left" vertical="center"/>
    </xf>
    <xf numFmtId="0" fontId="79" fillId="0" borderId="0" xfId="0" applyFont="1" applyAlignment="1">
      <alignment horizontal="center" vertical="center"/>
    </xf>
    <xf numFmtId="176" fontId="120" fillId="0" borderId="0" xfId="43" applyFont="1" applyBorder="1" applyProtection="1">
      <alignment horizontal="center" vertical="center"/>
    </xf>
    <xf numFmtId="176" fontId="120" fillId="0" borderId="0" xfId="43" applyFont="1" applyBorder="1" applyAlignment="1" applyProtection="1">
      <alignment horizontal="left" vertical="center" wrapText="1"/>
    </xf>
    <xf numFmtId="176" fontId="17" fillId="0" borderId="0" xfId="43" applyFont="1" applyBorder="1" applyAlignment="1">
      <alignment wrapText="1"/>
    </xf>
    <xf numFmtId="176" fontId="17" fillId="0" borderId="0" xfId="43" applyFont="1" applyBorder="1">
      <alignment horizontal="center" vertical="center"/>
    </xf>
    <xf numFmtId="0" fontId="17" fillId="0" borderId="0" xfId="0" applyFont="1" applyAlignment="1">
      <alignment horizontal="left" wrapText="1"/>
    </xf>
    <xf numFmtId="0" fontId="17" fillId="0" borderId="0" xfId="0" applyFont="1" applyAlignment="1">
      <alignment horizontal="center" vertical="center"/>
    </xf>
    <xf numFmtId="176" fontId="21" fillId="0" borderId="0" xfId="43" applyFont="1" applyBorder="1">
      <alignment horizontal="center" vertical="center"/>
    </xf>
    <xf numFmtId="0" fontId="17" fillId="0" borderId="0" xfId="0" applyFont="1" applyAlignment="1">
      <alignment vertical="top" wrapText="1"/>
    </xf>
    <xf numFmtId="176" fontId="120" fillId="0" borderId="0" xfId="43" applyFont="1" applyBorder="1" applyAlignment="1" applyProtection="1">
      <alignment wrapText="1"/>
    </xf>
    <xf numFmtId="176" fontId="17" fillId="0" borderId="0" xfId="43" applyFont="1" applyBorder="1" applyAlignment="1">
      <alignment horizontal="left" vertical="center" wrapText="1"/>
    </xf>
    <xf numFmtId="164" fontId="105" fillId="0" borderId="0" xfId="43" applyNumberFormat="1" applyFont="1" applyBorder="1" applyAlignment="1" applyProtection="1">
      <alignment horizontal="center" vertical="center" wrapText="1"/>
    </xf>
    <xf numFmtId="49" fontId="230" fillId="0" borderId="0" xfId="0" applyNumberFormat="1" applyFont="1" applyAlignment="1">
      <alignment wrapText="1"/>
    </xf>
    <xf numFmtId="49" fontId="230" fillId="0" borderId="0" xfId="0" applyNumberFormat="1" applyFont="1" applyAlignment="1">
      <alignment horizontal="center" vertical="center"/>
    </xf>
    <xf numFmtId="0" fontId="230" fillId="0" borderId="0" xfId="0" applyFont="1" applyAlignment="1">
      <alignment horizontal="center" vertical="center"/>
    </xf>
    <xf numFmtId="49" fontId="230" fillId="0" borderId="0" xfId="0" applyNumberFormat="1" applyFont="1" applyAlignment="1">
      <alignment horizontal="center" vertical="center" wrapText="1"/>
    </xf>
    <xf numFmtId="176" fontId="120" fillId="0" borderId="0" xfId="43" applyFont="1" applyBorder="1" applyAlignment="1">
      <alignment horizontal="center" vertical="top"/>
    </xf>
    <xf numFmtId="0" fontId="120" fillId="0" borderId="0" xfId="0" applyFont="1" applyAlignment="1">
      <alignment vertical="center" wrapText="1"/>
    </xf>
    <xf numFmtId="0" fontId="120" fillId="0" borderId="0" xfId="0" applyFont="1" applyAlignment="1">
      <alignment horizontal="center" vertical="top"/>
    </xf>
    <xf numFmtId="176" fontId="17" fillId="0" borderId="0" xfId="43" applyFont="1" applyBorder="1" applyAlignment="1" applyProtection="1">
      <alignment wrapText="1"/>
    </xf>
    <xf numFmtId="0" fontId="12" fillId="0" borderId="0" xfId="0" applyFont="1" applyAlignment="1">
      <alignment horizontal="center" vertical="center"/>
    </xf>
    <xf numFmtId="0" fontId="17" fillId="0" borderId="0" xfId="0" applyFont="1" applyAlignment="1">
      <alignment horizontal="center" vertical="center" wrapText="1"/>
    </xf>
    <xf numFmtId="176" fontId="17" fillId="0" borderId="0" xfId="43" applyFont="1" applyBorder="1" applyAlignment="1">
      <alignment horizontal="center" vertical="top"/>
    </xf>
    <xf numFmtId="164" fontId="120" fillId="0" borderId="0" xfId="43" applyNumberFormat="1" applyFont="1" applyBorder="1" applyAlignment="1" applyProtection="1">
      <alignment horizontal="center" wrapText="1"/>
    </xf>
    <xf numFmtId="176" fontId="234" fillId="0" borderId="0" xfId="43" applyFont="1" applyBorder="1" applyAlignment="1">
      <alignment horizontal="left" vertical="center" wrapText="1"/>
    </xf>
    <xf numFmtId="0" fontId="17" fillId="0" borderId="0" xfId="0" applyFont="1" applyAlignment="1">
      <alignment horizontal="center" vertical="top"/>
    </xf>
    <xf numFmtId="0" fontId="79" fillId="0" borderId="0" xfId="0" applyFont="1" applyAlignment="1">
      <alignment wrapText="1"/>
    </xf>
    <xf numFmtId="0" fontId="120" fillId="0" borderId="0" xfId="0" applyFont="1" applyAlignment="1">
      <alignment wrapText="1"/>
    </xf>
    <xf numFmtId="0" fontId="12" fillId="0" borderId="0" xfId="0" applyFont="1" applyAlignment="1">
      <alignment horizontal="center"/>
    </xf>
    <xf numFmtId="9" fontId="226" fillId="0" borderId="0" xfId="0" applyNumberFormat="1" applyFont="1"/>
    <xf numFmtId="164" fontId="108" fillId="0" borderId="0" xfId="0" applyNumberFormat="1" applyFont="1" applyAlignment="1">
      <alignment horizontal="center" vertical="center"/>
    </xf>
    <xf numFmtId="164" fontId="236" fillId="0" borderId="0" xfId="0" applyNumberFormat="1" applyFont="1" applyAlignment="1">
      <alignment horizontal="center"/>
    </xf>
    <xf numFmtId="0" fontId="237" fillId="0" borderId="0" xfId="0" applyFont="1"/>
    <xf numFmtId="164" fontId="238" fillId="0" borderId="0" xfId="0" applyNumberFormat="1" applyFont="1" applyAlignment="1">
      <alignment horizontal="center" vertical="center"/>
    </xf>
    <xf numFmtId="0" fontId="120" fillId="0" borderId="0" xfId="0" applyFont="1" applyAlignment="1">
      <alignment horizontal="center" vertical="center" wrapText="1"/>
    </xf>
    <xf numFmtId="164" fontId="239" fillId="19" borderId="0" xfId="43" applyNumberFormat="1" applyFont="1" applyFill="1" applyBorder="1" applyAlignment="1" applyProtection="1">
      <alignment horizontal="center" wrapText="1"/>
    </xf>
    <xf numFmtId="0" fontId="240" fillId="19" borderId="0" xfId="0" applyFont="1" applyFill="1" applyAlignment="1">
      <alignment horizontal="center" vertical="top" wrapText="1"/>
    </xf>
    <xf numFmtId="176" fontId="241" fillId="36" borderId="0" xfId="43" applyFont="1" applyFill="1" applyBorder="1">
      <alignment horizontal="center" vertical="center"/>
    </xf>
    <xf numFmtId="6" fontId="0" fillId="0" borderId="0" xfId="0" applyNumberFormat="1"/>
    <xf numFmtId="0" fontId="242" fillId="0" borderId="0" xfId="45"/>
    <xf numFmtId="44" fontId="3" fillId="0" borderId="4" xfId="3" applyFont="1" applyBorder="1" applyAlignment="1">
      <alignment horizontal="center" wrapText="1"/>
    </xf>
    <xf numFmtId="164" fontId="26" fillId="0" borderId="0" xfId="42" applyNumberFormat="1"/>
    <xf numFmtId="177" fontId="26" fillId="0" borderId="0" xfId="46"/>
    <xf numFmtId="177" fontId="26" fillId="0" borderId="0" xfId="46" applyAlignment="1">
      <alignment horizontal="center"/>
    </xf>
    <xf numFmtId="0" fontId="26" fillId="0" borderId="0" xfId="46" applyNumberFormat="1" applyAlignment="1">
      <alignment horizontal="center"/>
    </xf>
    <xf numFmtId="0" fontId="26" fillId="0" borderId="0" xfId="46" applyNumberFormat="1" applyAlignment="1">
      <alignment horizontal="left"/>
    </xf>
    <xf numFmtId="177" fontId="26" fillId="0" borderId="0" xfId="46" applyAlignment="1">
      <alignment horizontal="left"/>
    </xf>
    <xf numFmtId="178" fontId="26" fillId="0" borderId="33" xfId="46" applyNumberFormat="1" applyBorder="1" applyAlignment="1">
      <alignment horizontal="right" vertical="center"/>
    </xf>
    <xf numFmtId="0" fontId="26" fillId="0" borderId="33" xfId="46" applyNumberFormat="1" applyBorder="1" applyAlignment="1">
      <alignment horizontal="center" vertical="center"/>
    </xf>
    <xf numFmtId="0" fontId="26" fillId="0" borderId="33" xfId="46" applyNumberFormat="1" applyBorder="1" applyAlignment="1">
      <alignment vertical="center" wrapText="1"/>
    </xf>
    <xf numFmtId="0" fontId="26" fillId="0" borderId="34" xfId="46" applyNumberFormat="1" applyBorder="1" applyAlignment="1">
      <alignment vertical="center" wrapText="1"/>
    </xf>
    <xf numFmtId="177" fontId="26" fillId="0" borderId="4" xfId="46" applyBorder="1" applyAlignment="1">
      <alignment wrapText="1"/>
    </xf>
    <xf numFmtId="178" fontId="26" fillId="37" borderId="33" xfId="46" applyNumberFormat="1" applyFill="1" applyBorder="1" applyAlignment="1">
      <alignment horizontal="right" vertical="center"/>
    </xf>
    <xf numFmtId="0" fontId="26" fillId="37" borderId="33" xfId="46" applyNumberFormat="1" applyFill="1" applyBorder="1" applyAlignment="1">
      <alignment horizontal="center" vertical="center"/>
    </xf>
    <xf numFmtId="0" fontId="26" fillId="37" borderId="33" xfId="46" applyNumberFormat="1" applyFill="1" applyBorder="1" applyAlignment="1">
      <alignment vertical="center" wrapText="1"/>
    </xf>
    <xf numFmtId="0" fontId="243" fillId="38" borderId="35" xfId="35" applyFont="1" applyFill="1" applyBorder="1" applyAlignment="1">
      <alignment horizontal="center"/>
    </xf>
    <xf numFmtId="0" fontId="244" fillId="38" borderId="36" xfId="35" applyFont="1" applyFill="1" applyBorder="1" applyAlignment="1">
      <alignment horizontal="center"/>
    </xf>
    <xf numFmtId="0" fontId="244" fillId="38" borderId="37" xfId="35" applyFont="1" applyFill="1" applyBorder="1"/>
    <xf numFmtId="178" fontId="26" fillId="0" borderId="0" xfId="46" applyNumberFormat="1" applyAlignment="1">
      <alignment vertical="center"/>
    </xf>
    <xf numFmtId="0" fontId="26" fillId="0" borderId="0" xfId="46" applyNumberFormat="1" applyAlignment="1">
      <alignment horizontal="center" vertical="center" wrapText="1"/>
    </xf>
    <xf numFmtId="0" fontId="26" fillId="0" borderId="0" xfId="46" applyNumberFormat="1" applyAlignment="1">
      <alignment vertical="center" wrapText="1"/>
    </xf>
    <xf numFmtId="0" fontId="26" fillId="0" borderId="0" xfId="46" applyNumberFormat="1"/>
    <xf numFmtId="178" fontId="26" fillId="0" borderId="33" xfId="46" applyNumberFormat="1" applyBorder="1" applyAlignment="1">
      <alignment vertical="center"/>
    </xf>
    <xf numFmtId="0" fontId="26" fillId="0" borderId="33" xfId="46" applyNumberFormat="1" applyBorder="1" applyAlignment="1">
      <alignment horizontal="center" vertical="center" wrapText="1"/>
    </xf>
    <xf numFmtId="8" fontId="26" fillId="39" borderId="38" xfId="46" applyNumberFormat="1" applyFill="1" applyBorder="1" applyAlignment="1">
      <alignment vertical="center"/>
    </xf>
    <xf numFmtId="0" fontId="26" fillId="39" borderId="38" xfId="46" applyNumberFormat="1" applyFill="1" applyBorder="1" applyAlignment="1">
      <alignment horizontal="center" vertical="center"/>
    </xf>
    <xf numFmtId="0" fontId="26" fillId="39" borderId="38" xfId="46" applyNumberFormat="1" applyFill="1" applyBorder="1" applyAlignment="1">
      <alignment horizontal="left" vertical="center" wrapText="1"/>
    </xf>
    <xf numFmtId="8" fontId="26" fillId="0" borderId="38" xfId="46" applyNumberFormat="1" applyBorder="1" applyAlignment="1">
      <alignment vertical="center"/>
    </xf>
    <xf numFmtId="0" fontId="26" fillId="0" borderId="38" xfId="46" applyNumberFormat="1" applyBorder="1" applyAlignment="1">
      <alignment horizontal="center" vertical="center"/>
    </xf>
    <xf numFmtId="0" fontId="26" fillId="0" borderId="38" xfId="46" applyNumberFormat="1" applyBorder="1" applyAlignment="1">
      <alignment horizontal="left" vertical="center" wrapText="1"/>
    </xf>
    <xf numFmtId="8" fontId="26" fillId="37" borderId="38" xfId="46" applyNumberFormat="1" applyFill="1" applyBorder="1" applyAlignment="1">
      <alignment vertical="center"/>
    </xf>
    <xf numFmtId="0" fontId="26" fillId="37" borderId="38" xfId="46" applyNumberFormat="1" applyFill="1" applyBorder="1" applyAlignment="1">
      <alignment horizontal="center" vertical="center"/>
    </xf>
    <xf numFmtId="0" fontId="26" fillId="37" borderId="38" xfId="46" applyNumberFormat="1" applyFill="1" applyBorder="1" applyAlignment="1">
      <alignment horizontal="left" vertical="center" wrapText="1"/>
    </xf>
    <xf numFmtId="0" fontId="243" fillId="38" borderId="12" xfId="35" applyFont="1" applyFill="1" applyBorder="1" applyAlignment="1">
      <alignment horizontal="center"/>
    </xf>
    <xf numFmtId="0" fontId="244" fillId="38" borderId="12" xfId="35" applyFont="1" applyFill="1" applyBorder="1" applyAlignment="1">
      <alignment horizontal="center"/>
    </xf>
    <xf numFmtId="0" fontId="244" fillId="38" borderId="12" xfId="35" applyFont="1" applyFill="1" applyBorder="1" applyAlignment="1">
      <alignment horizontal="left"/>
    </xf>
    <xf numFmtId="177" fontId="66" fillId="0" borderId="0" xfId="46" applyFont="1" applyAlignment="1">
      <alignment horizontal="center"/>
    </xf>
    <xf numFmtId="0" fontId="246" fillId="40" borderId="39" xfId="35" applyFont="1" applyFill="1" applyBorder="1" applyAlignment="1">
      <alignment horizontal="center" vertical="center" textRotation="90" wrapText="1"/>
    </xf>
    <xf numFmtId="177" fontId="247" fillId="0" borderId="0" xfId="46" applyFont="1" applyAlignment="1">
      <alignment horizontal="left"/>
    </xf>
  </cellXfs>
  <cellStyles count="47">
    <cellStyle name="60% - Accent1 2" xfId="25" xr:uid="{EE4DCBA4-073F-4DFA-898F-CF166DAD8331}"/>
    <cellStyle name="Comma" xfId="2" builtinId="3"/>
    <cellStyle name="Currency" xfId="3" builtinId="4"/>
    <cellStyle name="Currency 2" xfId="13" xr:uid="{B45A4A47-2A30-443C-957C-A44F0D3B5678}"/>
    <cellStyle name="Currency 2 2" xfId="34" xr:uid="{39C2CA6D-7AF7-48C2-9290-875A4AC59253}"/>
    <cellStyle name="Currency 3" xfId="32" xr:uid="{57FD1623-3537-412B-B6ED-92EC5D216165}"/>
    <cellStyle name="Currency 4" xfId="12" xr:uid="{4099B922-2021-45BD-9C0A-F2A43C6ECAC2}"/>
    <cellStyle name="Currency 5" xfId="42" xr:uid="{8CE70C30-8D62-4BE8-AB29-FEB9A78FA6A9}"/>
    <cellStyle name="Excel Built-in Normal" xfId="44" xr:uid="{A9C6D71B-6281-4FCE-A594-035C0598B9B5}"/>
    <cellStyle name="Hyperlink" xfId="21" builtinId="8"/>
    <cellStyle name="Hyperlink 2" xfId="33" xr:uid="{5843B60A-B936-4A78-970F-E366E11F9743}"/>
    <cellStyle name="Hyperlink 3" xfId="37" xr:uid="{543F5C71-0B18-490B-B010-B9821E9CE749}"/>
    <cellStyle name="Hyperlink 4" xfId="38" xr:uid="{59F04CB7-4697-4B4A-AC7C-7EB0DD34E861}"/>
    <cellStyle name="Normal" xfId="0" builtinId="0"/>
    <cellStyle name="Normal 10" xfId="1" xr:uid="{4017BF42-B1F4-4409-B652-933D53C7B537}"/>
    <cellStyle name="Normal 10 2" xfId="28" xr:uid="{A61D7B86-EAF8-48E5-9198-43CB7869FA9F}"/>
    <cellStyle name="Normal 11" xfId="45" xr:uid="{6068D07E-13F6-4BA7-8129-EC0D790A0442}"/>
    <cellStyle name="Normal 12" xfId="46" xr:uid="{972B3C73-F35E-4807-BE06-5E4BA09551B9}"/>
    <cellStyle name="Normal 12 2" xfId="17" xr:uid="{4FF24E56-6C7C-41CF-BAAD-C3939C555836}"/>
    <cellStyle name="Normal 15" xfId="29" xr:uid="{5F0BB6D1-CC61-45C2-B8AF-46AF87D9E944}"/>
    <cellStyle name="Normal 16" xfId="15" xr:uid="{5F654E16-7004-437F-A003-2F57C2E95EC3}"/>
    <cellStyle name="Normal 18" xfId="14" xr:uid="{7E5D761C-28D5-4B74-8FA6-23C1F646C806}"/>
    <cellStyle name="Normal 19" xfId="16" xr:uid="{1B1796C7-A815-467B-813E-CD41CA345219}"/>
    <cellStyle name="Normal 2" xfId="5" xr:uid="{72F3E126-95EE-4493-9B1F-FB09A9052B72}"/>
    <cellStyle name="Normal 2 2" xfId="9" xr:uid="{C29295C2-E568-49F7-9903-AC2651E38353}"/>
    <cellStyle name="Normal 2 2 2" xfId="27" xr:uid="{8EB7D84C-B11D-4130-9178-4608A42C23FC}"/>
    <cellStyle name="Normal 2 3" xfId="20" xr:uid="{A7C4D13F-53C6-4E1B-AC87-206486105A60}"/>
    <cellStyle name="Normal 2 4" xfId="41" xr:uid="{60651CCF-D23D-43FC-9322-C248DC75ECFA}"/>
    <cellStyle name="Normal 2 5" xfId="43" xr:uid="{8AC0997B-3BE8-4683-8E94-A6FB6A5E1786}"/>
    <cellStyle name="Normal 20" xfId="23" xr:uid="{A4F093DA-8661-4D3F-B9FE-1D3CA61B58F8}"/>
    <cellStyle name="Normal 3" xfId="6" xr:uid="{E1F57734-8574-4CD7-A28F-8432DDA307E2}"/>
    <cellStyle name="Normal 3 2" xfId="10" xr:uid="{E2CD0846-A4E3-4A75-9538-AFB2B53C35B9}"/>
    <cellStyle name="Normal 3 3" xfId="19" xr:uid="{91176064-FA45-4A49-B98B-9F2E46FEA187}"/>
    <cellStyle name="Normal 4" xfId="8" xr:uid="{A4D4D509-1517-49EA-8D30-2EFBDA445B45}"/>
    <cellStyle name="Normal 4 2" xfId="24" xr:uid="{87C275B2-F09C-4808-BFF2-1EE029B2916D}"/>
    <cellStyle name="Normal 4 3" xfId="35" xr:uid="{EBFE72B3-38E4-4515-B5E0-AAD3338D2B7D}"/>
    <cellStyle name="Normal 5" xfId="11" xr:uid="{58D1AD2B-6CEB-4319-BF1F-612797D51B0F}"/>
    <cellStyle name="Normal 5 2" xfId="22" xr:uid="{B924445D-E3A9-4B1A-967E-BADAE24E4B7E}"/>
    <cellStyle name="Normal 6" xfId="18" xr:uid="{7B277A92-2C25-443B-B011-076969F0E88F}"/>
    <cellStyle name="Normal 6 2" xfId="26" xr:uid="{166554A2-CEFF-4348-A7D8-BD970BA47A0F}"/>
    <cellStyle name="Normal 7" xfId="31" xr:uid="{940BE49F-4302-4C47-ADB1-9344433CD9C2}"/>
    <cellStyle name="Normal 8" xfId="39" xr:uid="{E1776527-F2A5-4A75-8A86-056B06AA0018}"/>
    <cellStyle name="Normal 9" xfId="40" xr:uid="{4EFF8BDA-9BCC-479C-9919-BF8B726DED7D}"/>
    <cellStyle name="Normal_Sheet1" xfId="30" xr:uid="{EECCAC93-1B0A-49D1-A6C7-ACA85E1E75C6}"/>
    <cellStyle name="Note 3 2" xfId="36" xr:uid="{C2D4A7BF-7FE8-4D07-9D8B-3895C717A2EC}"/>
    <cellStyle name="Percent" xfId="4" builtinId="5"/>
    <cellStyle name="Percent 2" xfId="7" xr:uid="{22680234-1312-4E21-BC3D-1C105E4B2DBC}"/>
  </cellStyles>
  <dxfs count="2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1"/>
        <color auto="1"/>
        <name val="Calibri"/>
        <family val="2"/>
        <scheme val="none"/>
      </font>
      <fill>
        <patternFill patternType="none">
          <fgColor rgb="FF000000"/>
          <bgColor auto="1"/>
        </patternFill>
      </fill>
    </dxf>
    <dxf>
      <border>
        <bottom style="thin">
          <color indexed="64"/>
        </bottom>
      </border>
    </dxf>
    <dxf>
      <font>
        <b val="0"/>
        <strike val="0"/>
        <outline val="0"/>
        <shadow val="0"/>
        <u val="none"/>
        <vertAlign val="baseline"/>
        <sz val="11"/>
        <color theme="0"/>
        <name val="Calibri"/>
        <family val="2"/>
        <scheme val="minor"/>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ill>
        <patternFill patternType="solid">
          <fgColor rgb="FFEFEFEF"/>
          <bgColor rgb="FFEFEFEF"/>
        </patternFill>
      </fill>
    </dxf>
    <dxf>
      <fill>
        <patternFill patternType="solid">
          <fgColor rgb="FFFFFFFF"/>
          <bgColor rgb="FFFFFFFF"/>
        </patternFill>
      </fill>
    </dxf>
    <dxf>
      <fill>
        <patternFill patternType="solid">
          <fgColor rgb="FFEFEFEF"/>
          <bgColor rgb="FFEFEFEF"/>
        </patternFill>
      </fill>
    </dxf>
    <dxf>
      <fill>
        <patternFill patternType="solid">
          <fgColor rgb="FFF3F3F3"/>
          <bgColor rgb="FFF3F3F3"/>
        </patternFill>
      </fill>
    </dxf>
    <dxf>
      <fill>
        <patternFill patternType="solid">
          <fgColor rgb="FFFFFFFF"/>
          <bgColor rgb="FFFFFFFF"/>
        </patternFill>
      </fill>
    </dxf>
    <dxf>
      <fill>
        <patternFill patternType="solid">
          <fgColor rgb="FFEFEFEF"/>
          <bgColor rgb="FFEFEFEF"/>
        </patternFill>
      </fill>
    </dxf>
    <dxf>
      <fill>
        <patternFill patternType="solid">
          <fgColor rgb="FFF3F3F3"/>
          <bgColor rgb="FFF3F3F3"/>
        </patternFill>
      </fill>
    </dxf>
    <dxf>
      <fill>
        <patternFill patternType="solid">
          <fgColor rgb="FFFFFFFF"/>
          <bgColor rgb="FFFFFFFF"/>
        </patternFill>
      </fill>
    </dxf>
    <dxf>
      <fill>
        <patternFill patternType="solid">
          <fgColor rgb="FFEFEFEF"/>
          <bgColor rgb="FFEFEFEF"/>
        </patternFill>
      </fill>
    </dxf>
  </dxfs>
  <tableStyles count="3" defaultTableStyle="TableStyleMedium2" defaultPivotStyle="PivotStyleLight16">
    <tableStyle name="Distributor Price Sheet-style" pivot="0" count="3" xr9:uid="{022EF10C-51ED-4036-B977-F5AB5C6CAFAC}">
      <tableStyleElement type="headerRow" dxfId="225"/>
      <tableStyleElement type="firstRowStripe" dxfId="224"/>
      <tableStyleElement type="secondRowStripe" dxfId="223"/>
    </tableStyle>
    <tableStyle name="Distributor Price Sheet-style 2" pivot="0" count="3" xr9:uid="{2548F93F-BC89-4FB4-BEF2-FE36445893D9}">
      <tableStyleElement type="headerRow" dxfId="222"/>
      <tableStyleElement type="firstRowStripe" dxfId="221"/>
      <tableStyleElement type="secondRowStripe" dxfId="220"/>
    </tableStyle>
    <tableStyle name="Distributor Price Sheet-style 3" pivot="0" count="3" xr9:uid="{A0982693-FBF8-47BE-87A7-1E75C29F4844}">
      <tableStyleElement type="headerRow" dxfId="219"/>
      <tableStyleElement type="firstRowStripe" dxfId="218"/>
      <tableStyleElement type="secondRowStripe" dxfId="21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1.xml"/><Relationship Id="rId63" Type="http://schemas.openxmlformats.org/officeDocument/2006/relationships/externalLink" Target="externalLinks/externalLink17.xml"/><Relationship Id="rId68" Type="http://schemas.openxmlformats.org/officeDocument/2006/relationships/externalLink" Target="externalLinks/externalLink22.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66" Type="http://schemas.openxmlformats.org/officeDocument/2006/relationships/externalLink" Target="externalLinks/externalLink20.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1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64" Type="http://schemas.openxmlformats.org/officeDocument/2006/relationships/externalLink" Target="externalLinks/externalLink18.xml"/><Relationship Id="rId69" Type="http://schemas.openxmlformats.org/officeDocument/2006/relationships/externalLink" Target="externalLinks/externalLink23.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5.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 Id="rId67" Type="http://schemas.openxmlformats.org/officeDocument/2006/relationships/externalLink" Target="externalLinks/externalLink2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externalLink" Target="externalLinks/externalLink16.xml"/><Relationship Id="rId70" Type="http://schemas.openxmlformats.org/officeDocument/2006/relationships/theme" Target="theme/theme1.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externalLink" Target="externalLinks/externalLink19.xml"/><Relationship Id="rId73"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png"/><Relationship Id="rId2" Type="http://schemas.openxmlformats.org/officeDocument/2006/relationships/image" Target="../media/image2.jpg"/><Relationship Id="rId16" Type="http://schemas.openxmlformats.org/officeDocument/2006/relationships/image" Target="../media/image16.pn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6.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5.jpeg"/></Relationships>
</file>

<file path=xl/drawings/drawing1.xml><?xml version="1.0" encoding="utf-8"?>
<xdr:wsDr xmlns:xdr="http://schemas.openxmlformats.org/drawingml/2006/spreadsheetDrawing" xmlns:a="http://schemas.openxmlformats.org/drawingml/2006/main">
  <xdr:oneCellAnchor>
    <xdr:from>
      <xdr:col>2</xdr:col>
      <xdr:colOff>2571750</xdr:colOff>
      <xdr:row>50</xdr:row>
      <xdr:rowOff>161925</xdr:rowOff>
    </xdr:from>
    <xdr:ext cx="3124200" cy="2362200"/>
    <xdr:pic>
      <xdr:nvPicPr>
        <xdr:cNvPr id="2" name="image12.jpg" title="Image">
          <a:extLst>
            <a:ext uri="{FF2B5EF4-FFF2-40B4-BE49-F238E27FC236}">
              <a16:creationId xmlns:a16="http://schemas.microsoft.com/office/drawing/2014/main" id="{F4A4496D-D1D0-4D46-B815-95ED07CBCDF5}"/>
            </a:ext>
          </a:extLst>
        </xdr:cNvPr>
        <xdr:cNvPicPr preferRelativeResize="0"/>
      </xdr:nvPicPr>
      <xdr:blipFill>
        <a:blip xmlns:r="http://schemas.openxmlformats.org/officeDocument/2006/relationships" r:embed="rId1" cstate="print"/>
        <a:stretch>
          <a:fillRect/>
        </a:stretch>
      </xdr:blipFill>
      <xdr:spPr>
        <a:xfrm>
          <a:off x="2628900" y="8255000"/>
          <a:ext cx="3124200" cy="2362200"/>
        </a:xfrm>
        <a:prstGeom prst="rect">
          <a:avLst/>
        </a:prstGeom>
        <a:noFill/>
      </xdr:spPr>
    </xdr:pic>
    <xdr:clientData fLocksWithSheet="0"/>
  </xdr:oneCellAnchor>
  <xdr:oneCellAnchor>
    <xdr:from>
      <xdr:col>5</xdr:col>
      <xdr:colOff>609600</xdr:colOff>
      <xdr:row>30</xdr:row>
      <xdr:rowOff>190500</xdr:rowOff>
    </xdr:from>
    <xdr:ext cx="3371850" cy="3448050"/>
    <xdr:pic>
      <xdr:nvPicPr>
        <xdr:cNvPr id="3" name="image6.jpg" title="Image">
          <a:extLst>
            <a:ext uri="{FF2B5EF4-FFF2-40B4-BE49-F238E27FC236}">
              <a16:creationId xmlns:a16="http://schemas.microsoft.com/office/drawing/2014/main" id="{755D8864-35A4-45F3-ACCF-44F35B2C957C}"/>
            </a:ext>
          </a:extLst>
        </xdr:cNvPr>
        <xdr:cNvPicPr preferRelativeResize="0"/>
      </xdr:nvPicPr>
      <xdr:blipFill>
        <a:blip xmlns:r="http://schemas.openxmlformats.org/officeDocument/2006/relationships" r:embed="rId2" cstate="print"/>
        <a:stretch>
          <a:fillRect/>
        </a:stretch>
      </xdr:blipFill>
      <xdr:spPr>
        <a:xfrm>
          <a:off x="4991100" y="5019675"/>
          <a:ext cx="3371850" cy="3448050"/>
        </a:xfrm>
        <a:prstGeom prst="rect">
          <a:avLst/>
        </a:prstGeom>
        <a:noFill/>
      </xdr:spPr>
    </xdr:pic>
    <xdr:clientData fLocksWithSheet="0"/>
  </xdr:oneCellAnchor>
  <xdr:oneCellAnchor>
    <xdr:from>
      <xdr:col>0</xdr:col>
      <xdr:colOff>0</xdr:colOff>
      <xdr:row>50</xdr:row>
      <xdr:rowOff>38100</xdr:rowOff>
    </xdr:from>
    <xdr:ext cx="2952750" cy="2562225"/>
    <xdr:pic>
      <xdr:nvPicPr>
        <xdr:cNvPr id="4" name="image9.jpg" title="Image">
          <a:extLst>
            <a:ext uri="{FF2B5EF4-FFF2-40B4-BE49-F238E27FC236}">
              <a16:creationId xmlns:a16="http://schemas.microsoft.com/office/drawing/2014/main" id="{09C72BA0-299D-4600-B71E-696FAAB4751A}"/>
            </a:ext>
          </a:extLst>
        </xdr:cNvPr>
        <xdr:cNvPicPr preferRelativeResize="0"/>
      </xdr:nvPicPr>
      <xdr:blipFill>
        <a:blip xmlns:r="http://schemas.openxmlformats.org/officeDocument/2006/relationships" r:embed="rId3" cstate="print"/>
        <a:stretch>
          <a:fillRect/>
        </a:stretch>
      </xdr:blipFill>
      <xdr:spPr>
        <a:xfrm>
          <a:off x="0" y="8134350"/>
          <a:ext cx="2952750" cy="2562225"/>
        </a:xfrm>
        <a:prstGeom prst="rect">
          <a:avLst/>
        </a:prstGeom>
        <a:noFill/>
      </xdr:spPr>
    </xdr:pic>
    <xdr:clientData fLocksWithSheet="0"/>
  </xdr:oneCellAnchor>
  <xdr:oneCellAnchor>
    <xdr:from>
      <xdr:col>0</xdr:col>
      <xdr:colOff>0</xdr:colOff>
      <xdr:row>30</xdr:row>
      <xdr:rowOff>161925</xdr:rowOff>
    </xdr:from>
    <xdr:ext cx="3124200" cy="4000500"/>
    <xdr:pic>
      <xdr:nvPicPr>
        <xdr:cNvPr id="5" name="image7.jpg" title="Image">
          <a:extLst>
            <a:ext uri="{FF2B5EF4-FFF2-40B4-BE49-F238E27FC236}">
              <a16:creationId xmlns:a16="http://schemas.microsoft.com/office/drawing/2014/main" id="{D9D2C6EB-9D0F-477E-BED3-5140CF5B2E2A}"/>
            </a:ext>
          </a:extLst>
        </xdr:cNvPr>
        <xdr:cNvPicPr preferRelativeResize="0"/>
      </xdr:nvPicPr>
      <xdr:blipFill>
        <a:blip xmlns:r="http://schemas.openxmlformats.org/officeDocument/2006/relationships" r:embed="rId4" cstate="print"/>
        <a:stretch>
          <a:fillRect/>
        </a:stretch>
      </xdr:blipFill>
      <xdr:spPr>
        <a:xfrm>
          <a:off x="0" y="5016500"/>
          <a:ext cx="3124200" cy="4000500"/>
        </a:xfrm>
        <a:prstGeom prst="rect">
          <a:avLst/>
        </a:prstGeom>
        <a:noFill/>
      </xdr:spPr>
    </xdr:pic>
    <xdr:clientData fLocksWithSheet="0"/>
  </xdr:oneCellAnchor>
  <xdr:oneCellAnchor>
    <xdr:from>
      <xdr:col>2</xdr:col>
      <xdr:colOff>2562225</xdr:colOff>
      <xdr:row>30</xdr:row>
      <xdr:rowOff>161925</xdr:rowOff>
    </xdr:from>
    <xdr:ext cx="3124200" cy="4019550"/>
    <xdr:pic>
      <xdr:nvPicPr>
        <xdr:cNvPr id="6" name="image8.jpg" title="Image">
          <a:extLst>
            <a:ext uri="{FF2B5EF4-FFF2-40B4-BE49-F238E27FC236}">
              <a16:creationId xmlns:a16="http://schemas.microsoft.com/office/drawing/2014/main" id="{030197B9-EA44-4056-A568-1A91FCFF8FAD}"/>
            </a:ext>
          </a:extLst>
        </xdr:cNvPr>
        <xdr:cNvPicPr preferRelativeResize="0"/>
      </xdr:nvPicPr>
      <xdr:blipFill>
        <a:blip xmlns:r="http://schemas.openxmlformats.org/officeDocument/2006/relationships" r:embed="rId5" cstate="print"/>
        <a:stretch>
          <a:fillRect/>
        </a:stretch>
      </xdr:blipFill>
      <xdr:spPr>
        <a:xfrm>
          <a:off x="2625725" y="5016500"/>
          <a:ext cx="3124200" cy="4019550"/>
        </a:xfrm>
        <a:prstGeom prst="rect">
          <a:avLst/>
        </a:prstGeom>
        <a:noFill/>
      </xdr:spPr>
    </xdr:pic>
    <xdr:clientData fLocksWithSheet="0"/>
  </xdr:oneCellAnchor>
  <xdr:oneCellAnchor>
    <xdr:from>
      <xdr:col>1</xdr:col>
      <xdr:colOff>1905000</xdr:colOff>
      <xdr:row>30</xdr:row>
      <xdr:rowOff>161925</xdr:rowOff>
    </xdr:from>
    <xdr:ext cx="3048000" cy="4000500"/>
    <xdr:pic>
      <xdr:nvPicPr>
        <xdr:cNvPr id="7" name="image13.jpg" title="Image">
          <a:extLst>
            <a:ext uri="{FF2B5EF4-FFF2-40B4-BE49-F238E27FC236}">
              <a16:creationId xmlns:a16="http://schemas.microsoft.com/office/drawing/2014/main" id="{C4670EBF-477F-4E27-949D-098B08E194EA}"/>
            </a:ext>
          </a:extLst>
        </xdr:cNvPr>
        <xdr:cNvPicPr preferRelativeResize="0"/>
      </xdr:nvPicPr>
      <xdr:blipFill>
        <a:blip xmlns:r="http://schemas.openxmlformats.org/officeDocument/2006/relationships" r:embed="rId6" cstate="print"/>
        <a:stretch>
          <a:fillRect/>
        </a:stretch>
      </xdr:blipFill>
      <xdr:spPr>
        <a:xfrm>
          <a:off x="1752600" y="5016500"/>
          <a:ext cx="3048000" cy="4000500"/>
        </a:xfrm>
        <a:prstGeom prst="rect">
          <a:avLst/>
        </a:prstGeom>
        <a:noFill/>
      </xdr:spPr>
    </xdr:pic>
    <xdr:clientData fLocksWithSheet="0"/>
  </xdr:oneCellAnchor>
  <xdr:oneCellAnchor>
    <xdr:from>
      <xdr:col>3</xdr:col>
      <xdr:colOff>619125</xdr:colOff>
      <xdr:row>49</xdr:row>
      <xdr:rowOff>161925</xdr:rowOff>
    </xdr:from>
    <xdr:ext cx="6096000" cy="2562225"/>
    <xdr:pic>
      <xdr:nvPicPr>
        <xdr:cNvPr id="8" name="image16.jpg" title="Image">
          <a:extLst>
            <a:ext uri="{FF2B5EF4-FFF2-40B4-BE49-F238E27FC236}">
              <a16:creationId xmlns:a16="http://schemas.microsoft.com/office/drawing/2014/main" id="{BEFFC65C-D8A1-4721-BB6C-8D169005899E}"/>
            </a:ext>
          </a:extLst>
        </xdr:cNvPr>
        <xdr:cNvPicPr preferRelativeResize="0"/>
      </xdr:nvPicPr>
      <xdr:blipFill>
        <a:blip xmlns:r="http://schemas.openxmlformats.org/officeDocument/2006/relationships" r:embed="rId7" cstate="print"/>
        <a:stretch>
          <a:fillRect/>
        </a:stretch>
      </xdr:blipFill>
      <xdr:spPr>
        <a:xfrm>
          <a:off x="3244850" y="8093075"/>
          <a:ext cx="6096000" cy="2562225"/>
        </a:xfrm>
        <a:prstGeom prst="rect">
          <a:avLst/>
        </a:prstGeom>
        <a:noFill/>
      </xdr:spPr>
    </xdr:pic>
    <xdr:clientData fLocksWithSheet="0"/>
  </xdr:oneCellAnchor>
  <xdr:oneCellAnchor>
    <xdr:from>
      <xdr:col>3</xdr:col>
      <xdr:colOff>3667125</xdr:colOff>
      <xdr:row>30</xdr:row>
      <xdr:rowOff>171450</xdr:rowOff>
    </xdr:from>
    <xdr:ext cx="3048000" cy="3857625"/>
    <xdr:pic>
      <xdr:nvPicPr>
        <xdr:cNvPr id="9" name="image14.jpg" title="Image">
          <a:extLst>
            <a:ext uri="{FF2B5EF4-FFF2-40B4-BE49-F238E27FC236}">
              <a16:creationId xmlns:a16="http://schemas.microsoft.com/office/drawing/2014/main" id="{163B345E-885A-49D8-8309-DDE1879199DD}"/>
            </a:ext>
          </a:extLst>
        </xdr:cNvPr>
        <xdr:cNvPicPr preferRelativeResize="0"/>
      </xdr:nvPicPr>
      <xdr:blipFill>
        <a:blip xmlns:r="http://schemas.openxmlformats.org/officeDocument/2006/relationships" r:embed="rId8" cstate="print"/>
        <a:stretch>
          <a:fillRect/>
        </a:stretch>
      </xdr:blipFill>
      <xdr:spPr>
        <a:xfrm>
          <a:off x="3502025" y="5019675"/>
          <a:ext cx="3048000" cy="3857625"/>
        </a:xfrm>
        <a:prstGeom prst="rect">
          <a:avLst/>
        </a:prstGeom>
        <a:noFill/>
      </xdr:spPr>
    </xdr:pic>
    <xdr:clientData fLocksWithSheet="0"/>
  </xdr:oneCellAnchor>
  <xdr:oneCellAnchor>
    <xdr:from>
      <xdr:col>3</xdr:col>
      <xdr:colOff>619125</xdr:colOff>
      <xdr:row>30</xdr:row>
      <xdr:rowOff>171450</xdr:rowOff>
    </xdr:from>
    <xdr:ext cx="3048000" cy="3857625"/>
    <xdr:pic>
      <xdr:nvPicPr>
        <xdr:cNvPr id="10" name="image15.jpg" title="Image">
          <a:extLst>
            <a:ext uri="{FF2B5EF4-FFF2-40B4-BE49-F238E27FC236}">
              <a16:creationId xmlns:a16="http://schemas.microsoft.com/office/drawing/2014/main" id="{C83ADFCD-B6F7-40B3-A8EF-1BE9443FE6F2}"/>
            </a:ext>
          </a:extLst>
        </xdr:cNvPr>
        <xdr:cNvPicPr preferRelativeResize="0"/>
      </xdr:nvPicPr>
      <xdr:blipFill>
        <a:blip xmlns:r="http://schemas.openxmlformats.org/officeDocument/2006/relationships" r:embed="rId9" cstate="print"/>
        <a:stretch>
          <a:fillRect/>
        </a:stretch>
      </xdr:blipFill>
      <xdr:spPr>
        <a:xfrm>
          <a:off x="3244850" y="5019675"/>
          <a:ext cx="3048000" cy="3857625"/>
        </a:xfrm>
        <a:prstGeom prst="rect">
          <a:avLst/>
        </a:prstGeom>
        <a:noFill/>
      </xdr:spPr>
    </xdr:pic>
    <xdr:clientData fLocksWithSheet="0"/>
  </xdr:oneCellAnchor>
  <xdr:oneCellAnchor>
    <xdr:from>
      <xdr:col>2</xdr:col>
      <xdr:colOff>1695450</xdr:colOff>
      <xdr:row>46</xdr:row>
      <xdr:rowOff>114300</xdr:rowOff>
    </xdr:from>
    <xdr:ext cx="1238250" cy="647700"/>
    <xdr:pic>
      <xdr:nvPicPr>
        <xdr:cNvPr id="11" name="image4.png" title="Image">
          <a:extLst>
            <a:ext uri="{FF2B5EF4-FFF2-40B4-BE49-F238E27FC236}">
              <a16:creationId xmlns:a16="http://schemas.microsoft.com/office/drawing/2014/main" id="{21CC786C-41BF-420D-84F5-C69D5F7A53BB}"/>
            </a:ext>
          </a:extLst>
        </xdr:cNvPr>
        <xdr:cNvPicPr preferRelativeResize="0"/>
      </xdr:nvPicPr>
      <xdr:blipFill>
        <a:blip xmlns:r="http://schemas.openxmlformats.org/officeDocument/2006/relationships" r:embed="rId10" cstate="print"/>
        <a:stretch>
          <a:fillRect/>
        </a:stretch>
      </xdr:blipFill>
      <xdr:spPr>
        <a:xfrm>
          <a:off x="2628900" y="7562850"/>
          <a:ext cx="1238250" cy="647700"/>
        </a:xfrm>
        <a:prstGeom prst="rect">
          <a:avLst/>
        </a:prstGeom>
        <a:noFill/>
      </xdr:spPr>
    </xdr:pic>
    <xdr:clientData fLocksWithSheet="0"/>
  </xdr:oneCellAnchor>
  <xdr:oneCellAnchor>
    <xdr:from>
      <xdr:col>2</xdr:col>
      <xdr:colOff>2943225</xdr:colOff>
      <xdr:row>39</xdr:row>
      <xdr:rowOff>28575</xdr:rowOff>
    </xdr:from>
    <xdr:ext cx="1047750" cy="552450"/>
    <xdr:pic>
      <xdr:nvPicPr>
        <xdr:cNvPr id="12" name="image5.png" title="Image">
          <a:extLst>
            <a:ext uri="{FF2B5EF4-FFF2-40B4-BE49-F238E27FC236}">
              <a16:creationId xmlns:a16="http://schemas.microsoft.com/office/drawing/2014/main" id="{785F4DC3-DB20-4BC6-8A93-88E2A18E71A2}"/>
            </a:ext>
          </a:extLst>
        </xdr:cNvPr>
        <xdr:cNvPicPr preferRelativeResize="0"/>
      </xdr:nvPicPr>
      <xdr:blipFill>
        <a:blip xmlns:r="http://schemas.openxmlformats.org/officeDocument/2006/relationships" r:embed="rId11" cstate="print"/>
        <a:stretch>
          <a:fillRect/>
        </a:stretch>
      </xdr:blipFill>
      <xdr:spPr>
        <a:xfrm>
          <a:off x="2625725" y="6340475"/>
          <a:ext cx="1047750" cy="552450"/>
        </a:xfrm>
        <a:prstGeom prst="rect">
          <a:avLst/>
        </a:prstGeom>
        <a:noFill/>
      </xdr:spPr>
    </xdr:pic>
    <xdr:clientData fLocksWithSheet="0"/>
  </xdr:oneCellAnchor>
  <xdr:oneCellAnchor>
    <xdr:from>
      <xdr:col>5</xdr:col>
      <xdr:colOff>876300</xdr:colOff>
      <xdr:row>57</xdr:row>
      <xdr:rowOff>114300</xdr:rowOff>
    </xdr:from>
    <xdr:ext cx="1943100" cy="1047750"/>
    <xdr:pic>
      <xdr:nvPicPr>
        <xdr:cNvPr id="13" name="image10.png" title="Image">
          <a:extLst>
            <a:ext uri="{FF2B5EF4-FFF2-40B4-BE49-F238E27FC236}">
              <a16:creationId xmlns:a16="http://schemas.microsoft.com/office/drawing/2014/main" id="{A182F7D9-7F7D-4C4D-8D10-9EC7DA9B6239}"/>
            </a:ext>
          </a:extLst>
        </xdr:cNvPr>
        <xdr:cNvPicPr preferRelativeResize="0"/>
      </xdr:nvPicPr>
      <xdr:blipFill>
        <a:blip xmlns:r="http://schemas.openxmlformats.org/officeDocument/2006/relationships" r:embed="rId12" cstate="print"/>
        <a:stretch>
          <a:fillRect/>
        </a:stretch>
      </xdr:blipFill>
      <xdr:spPr>
        <a:xfrm>
          <a:off x="5257800" y="9344025"/>
          <a:ext cx="1943100" cy="1047750"/>
        </a:xfrm>
        <a:prstGeom prst="rect">
          <a:avLst/>
        </a:prstGeom>
        <a:noFill/>
      </xdr:spPr>
    </xdr:pic>
    <xdr:clientData fLocksWithSheet="0"/>
  </xdr:oneCellAnchor>
  <xdr:oneCellAnchor>
    <xdr:from>
      <xdr:col>6</xdr:col>
      <xdr:colOff>676275</xdr:colOff>
      <xdr:row>50</xdr:row>
      <xdr:rowOff>161925</xdr:rowOff>
    </xdr:from>
    <xdr:ext cx="2009775" cy="1104900"/>
    <xdr:pic>
      <xdr:nvPicPr>
        <xdr:cNvPr id="14" name="image1.png" title="Image">
          <a:extLst>
            <a:ext uri="{FF2B5EF4-FFF2-40B4-BE49-F238E27FC236}">
              <a16:creationId xmlns:a16="http://schemas.microsoft.com/office/drawing/2014/main" id="{AD5FF7FF-EEA0-43D9-A02B-55E44304DA47}"/>
            </a:ext>
          </a:extLst>
        </xdr:cNvPr>
        <xdr:cNvPicPr preferRelativeResize="0"/>
      </xdr:nvPicPr>
      <xdr:blipFill>
        <a:blip xmlns:r="http://schemas.openxmlformats.org/officeDocument/2006/relationships" r:embed="rId13" cstate="print"/>
        <a:stretch>
          <a:fillRect/>
        </a:stretch>
      </xdr:blipFill>
      <xdr:spPr>
        <a:xfrm>
          <a:off x="5930900" y="8255000"/>
          <a:ext cx="2009775" cy="1104900"/>
        </a:xfrm>
        <a:prstGeom prst="rect">
          <a:avLst/>
        </a:prstGeom>
        <a:noFill/>
      </xdr:spPr>
    </xdr:pic>
    <xdr:clientData fLocksWithSheet="0"/>
  </xdr:oneCellAnchor>
  <xdr:oneCellAnchor>
    <xdr:from>
      <xdr:col>1</xdr:col>
      <xdr:colOff>1905000</xdr:colOff>
      <xdr:row>49</xdr:row>
      <xdr:rowOff>104775</xdr:rowOff>
    </xdr:from>
    <xdr:ext cx="2733675" cy="2686050"/>
    <xdr:pic>
      <xdr:nvPicPr>
        <xdr:cNvPr id="15" name="image11.jpg" title="Image">
          <a:extLst>
            <a:ext uri="{FF2B5EF4-FFF2-40B4-BE49-F238E27FC236}">
              <a16:creationId xmlns:a16="http://schemas.microsoft.com/office/drawing/2014/main" id="{9B9CB75B-7ECF-4C46-8E23-CD55F8E9E7E9}"/>
            </a:ext>
          </a:extLst>
        </xdr:cNvPr>
        <xdr:cNvPicPr preferRelativeResize="0"/>
      </xdr:nvPicPr>
      <xdr:blipFill>
        <a:blip xmlns:r="http://schemas.openxmlformats.org/officeDocument/2006/relationships" r:embed="rId14" cstate="print"/>
        <a:stretch>
          <a:fillRect/>
        </a:stretch>
      </xdr:blipFill>
      <xdr:spPr>
        <a:xfrm>
          <a:off x="1752600" y="8035925"/>
          <a:ext cx="2733675" cy="2686050"/>
        </a:xfrm>
        <a:prstGeom prst="rect">
          <a:avLst/>
        </a:prstGeom>
        <a:noFill/>
      </xdr:spPr>
    </xdr:pic>
    <xdr:clientData fLocksWithSheet="0"/>
  </xdr:oneCellAnchor>
  <xdr:oneCellAnchor>
    <xdr:from>
      <xdr:col>2</xdr:col>
      <xdr:colOff>0</xdr:colOff>
      <xdr:row>0</xdr:row>
      <xdr:rowOff>0</xdr:rowOff>
    </xdr:from>
    <xdr:ext cx="3200400" cy="1476375"/>
    <xdr:pic>
      <xdr:nvPicPr>
        <xdr:cNvPr id="16" name="image2.png">
          <a:extLst>
            <a:ext uri="{FF2B5EF4-FFF2-40B4-BE49-F238E27FC236}">
              <a16:creationId xmlns:a16="http://schemas.microsoft.com/office/drawing/2014/main" id="{D8F7078D-62AA-471D-B498-DBEAB5052203}"/>
            </a:ext>
          </a:extLst>
        </xdr:cNvPr>
        <xdr:cNvPicPr preferRelativeResize="0"/>
      </xdr:nvPicPr>
      <xdr:blipFill>
        <a:blip xmlns:r="http://schemas.openxmlformats.org/officeDocument/2006/relationships" r:embed="rId15" cstate="print"/>
        <a:stretch>
          <a:fillRect/>
        </a:stretch>
      </xdr:blipFill>
      <xdr:spPr>
        <a:xfrm>
          <a:off x="1752600" y="0"/>
          <a:ext cx="3200400" cy="1476375"/>
        </a:xfrm>
        <a:prstGeom prst="rect">
          <a:avLst/>
        </a:prstGeom>
        <a:noFill/>
      </xdr:spPr>
    </xdr:pic>
    <xdr:clientData fLocksWithSheet="0"/>
  </xdr:oneCellAnchor>
  <xdr:oneCellAnchor>
    <xdr:from>
      <xdr:col>3</xdr:col>
      <xdr:colOff>0</xdr:colOff>
      <xdr:row>0</xdr:row>
      <xdr:rowOff>0</xdr:rowOff>
    </xdr:from>
    <xdr:ext cx="1895475" cy="1476375"/>
    <xdr:pic>
      <xdr:nvPicPr>
        <xdr:cNvPr id="17" name="image3.png">
          <a:extLst>
            <a:ext uri="{FF2B5EF4-FFF2-40B4-BE49-F238E27FC236}">
              <a16:creationId xmlns:a16="http://schemas.microsoft.com/office/drawing/2014/main" id="{84330B5B-5D1E-4F5D-BCEA-FD1CCFAEF975}"/>
            </a:ext>
          </a:extLst>
        </xdr:cNvPr>
        <xdr:cNvPicPr preferRelativeResize="0"/>
      </xdr:nvPicPr>
      <xdr:blipFill>
        <a:blip xmlns:r="http://schemas.openxmlformats.org/officeDocument/2006/relationships" r:embed="rId16" cstate="print"/>
        <a:stretch>
          <a:fillRect/>
        </a:stretch>
      </xdr:blipFill>
      <xdr:spPr>
        <a:xfrm>
          <a:off x="2628900" y="0"/>
          <a:ext cx="1895475" cy="14763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2428875</xdr:colOff>
      <xdr:row>1603</xdr:row>
      <xdr:rowOff>0</xdr:rowOff>
    </xdr:from>
    <xdr:ext cx="1800225" cy="666750"/>
    <xdr:pic>
      <xdr:nvPicPr>
        <xdr:cNvPr id="2" name="company_logo" descr="company_logo">
          <a:extLst>
            <a:ext uri="{FF2B5EF4-FFF2-40B4-BE49-F238E27FC236}">
              <a16:creationId xmlns:a16="http://schemas.microsoft.com/office/drawing/2014/main" id="{FF63ACCA-2DE4-47C5-BBD2-4E4C7A5CD938}"/>
            </a:ext>
          </a:extLst>
        </xdr:cNvPr>
        <xdr:cNvPicPr>
          <a:picLocks noChangeAspect="1"/>
        </xdr:cNvPicPr>
      </xdr:nvPicPr>
      <xdr:blipFill>
        <a:blip xmlns:r="http://schemas.openxmlformats.org/officeDocument/2006/relationships" r:embed="rId1"/>
        <a:stretch>
          <a:fillRect/>
        </a:stretch>
      </xdr:blipFill>
      <xdr:spPr>
        <a:xfrm>
          <a:off x="1825625" y="295744900"/>
          <a:ext cx="1800225" cy="66675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2</xdr:col>
      <xdr:colOff>2428875</xdr:colOff>
      <xdr:row>97</xdr:row>
      <xdr:rowOff>0</xdr:rowOff>
    </xdr:from>
    <xdr:ext cx="1800225" cy="666750"/>
    <xdr:pic>
      <xdr:nvPicPr>
        <xdr:cNvPr id="2" name="company_logo" descr="company_logo">
          <a:extLst>
            <a:ext uri="{FF2B5EF4-FFF2-40B4-BE49-F238E27FC236}">
              <a16:creationId xmlns:a16="http://schemas.microsoft.com/office/drawing/2014/main" id="{3191700C-1118-4684-BAA5-D437B07E36D9}"/>
            </a:ext>
          </a:extLst>
        </xdr:cNvPr>
        <xdr:cNvPicPr>
          <a:picLocks noChangeAspect="1"/>
        </xdr:cNvPicPr>
      </xdr:nvPicPr>
      <xdr:blipFill>
        <a:blip xmlns:r="http://schemas.openxmlformats.org/officeDocument/2006/relationships" r:embed="rId1"/>
        <a:stretch>
          <a:fillRect/>
        </a:stretch>
      </xdr:blipFill>
      <xdr:spPr>
        <a:xfrm>
          <a:off x="1825625" y="17862550"/>
          <a:ext cx="1800225" cy="6667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19916</xdr:colOff>
      <xdr:row>0</xdr:row>
      <xdr:rowOff>35503</xdr:rowOff>
    </xdr:from>
    <xdr:ext cx="3465195" cy="691188"/>
    <xdr:pic>
      <xdr:nvPicPr>
        <xdr:cNvPr id="2" name="Picture 19">
          <a:extLst>
            <a:ext uri="{FF2B5EF4-FFF2-40B4-BE49-F238E27FC236}">
              <a16:creationId xmlns:a16="http://schemas.microsoft.com/office/drawing/2014/main" id="{6CF117C1-4CBC-411C-BDCF-7AEA411BA4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39041" y="35503"/>
          <a:ext cx="3465195" cy="691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15875</xdr:rowOff>
    </xdr:from>
    <xdr:ext cx="5743575" cy="720677"/>
    <xdr:pic>
      <xdr:nvPicPr>
        <xdr:cNvPr id="2" name="Picture 8">
          <a:extLst>
            <a:ext uri="{FF2B5EF4-FFF2-40B4-BE49-F238E27FC236}">
              <a16:creationId xmlns:a16="http://schemas.microsoft.com/office/drawing/2014/main" id="{E14B0BBE-983D-4576-9BAB-808E355919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5743575" cy="720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159543</xdr:colOff>
      <xdr:row>0</xdr:row>
      <xdr:rowOff>119062</xdr:rowOff>
    </xdr:from>
    <xdr:ext cx="4029909" cy="500063"/>
    <xdr:pic>
      <xdr:nvPicPr>
        <xdr:cNvPr id="2" name="Picture 3">
          <a:extLst>
            <a:ext uri="{FF2B5EF4-FFF2-40B4-BE49-F238E27FC236}">
              <a16:creationId xmlns:a16="http://schemas.microsoft.com/office/drawing/2014/main" id="{DF7A3309-F380-472C-8C6B-9DE7600EB1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543" y="119062"/>
          <a:ext cx="4029909" cy="500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5053853</xdr:colOff>
      <xdr:row>0</xdr:row>
      <xdr:rowOff>87638</xdr:rowOff>
    </xdr:from>
    <xdr:ext cx="1829202" cy="980912"/>
    <xdr:pic>
      <xdr:nvPicPr>
        <xdr:cNvPr id="2" name="Picture 1">
          <a:extLst>
            <a:ext uri="{FF2B5EF4-FFF2-40B4-BE49-F238E27FC236}">
              <a16:creationId xmlns:a16="http://schemas.microsoft.com/office/drawing/2014/main" id="{52F8D687-7173-4B81-9BFF-0361CC9DCE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2853" y="84463"/>
          <a:ext cx="1829202" cy="98091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123825</xdr:colOff>
      <xdr:row>0</xdr:row>
      <xdr:rowOff>9525</xdr:rowOff>
    </xdr:from>
    <xdr:ext cx="1270000" cy="723900"/>
    <xdr:pic>
      <xdr:nvPicPr>
        <xdr:cNvPr id="2" name="Picture 4">
          <a:extLst>
            <a:ext uri="{FF2B5EF4-FFF2-40B4-BE49-F238E27FC236}">
              <a16:creationId xmlns:a16="http://schemas.microsoft.com/office/drawing/2014/main" id="{69C73811-2E31-4E7A-ADEA-AE91519E71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50" y="6350"/>
          <a:ext cx="12700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123825</xdr:colOff>
      <xdr:row>0</xdr:row>
      <xdr:rowOff>9525</xdr:rowOff>
    </xdr:from>
    <xdr:ext cx="1270000" cy="723900"/>
    <xdr:pic>
      <xdr:nvPicPr>
        <xdr:cNvPr id="2" name="Picture 4">
          <a:extLst>
            <a:ext uri="{FF2B5EF4-FFF2-40B4-BE49-F238E27FC236}">
              <a16:creationId xmlns:a16="http://schemas.microsoft.com/office/drawing/2014/main" id="{B73DB526-DC11-42FA-8E9B-7ECC09AD17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50" y="6350"/>
          <a:ext cx="12700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396662</xdr:rowOff>
    </xdr:from>
    <xdr:ext cx="1796605" cy="718126"/>
    <xdr:pic>
      <xdr:nvPicPr>
        <xdr:cNvPr id="2" name="image1.png">
          <a:extLst>
            <a:ext uri="{FF2B5EF4-FFF2-40B4-BE49-F238E27FC236}">
              <a16:creationId xmlns:a16="http://schemas.microsoft.com/office/drawing/2014/main" id="{5CAAC38F-5BA2-4F8F-8841-D7CFDF9908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26812"/>
          <a:ext cx="1796605" cy="718126"/>
        </a:xfrm>
        <a:prstGeom prst="rect">
          <a:avLst/>
        </a:prstGeom>
      </xdr:spPr>
    </xdr:pic>
    <xdr:clientData/>
  </xdr:oneCellAnchor>
  <xdr:oneCellAnchor>
    <xdr:from>
      <xdr:col>0</xdr:col>
      <xdr:colOff>251459</xdr:colOff>
      <xdr:row>263</xdr:row>
      <xdr:rowOff>127635</xdr:rowOff>
    </xdr:from>
    <xdr:ext cx="7260590" cy="12700"/>
    <xdr:sp macro="" textlink="">
      <xdr:nvSpPr>
        <xdr:cNvPr id="3" name="Shape 20">
          <a:extLst>
            <a:ext uri="{FF2B5EF4-FFF2-40B4-BE49-F238E27FC236}">
              <a16:creationId xmlns:a16="http://schemas.microsoft.com/office/drawing/2014/main" id="{2877E4F1-8D93-4D25-A978-373599BEE43B}"/>
            </a:ext>
          </a:extLst>
        </xdr:cNvPr>
        <xdr:cNvSpPr/>
      </xdr:nvSpPr>
      <xdr:spPr>
        <a:xfrm>
          <a:off x="254634" y="42710735"/>
          <a:ext cx="7260590" cy="12700"/>
        </a:xfrm>
        <a:custGeom>
          <a:avLst/>
          <a:gdLst/>
          <a:ahLst/>
          <a:cxnLst/>
          <a:rect l="0" t="0" r="0" b="0"/>
          <a:pathLst>
            <a:path w="7260590" h="12700">
              <a:moveTo>
                <a:pt x="7260335" y="0"/>
              </a:moveTo>
              <a:lnTo>
                <a:pt x="0" y="0"/>
              </a:lnTo>
              <a:lnTo>
                <a:pt x="0" y="12192"/>
              </a:lnTo>
              <a:lnTo>
                <a:pt x="7260335" y="12192"/>
              </a:lnTo>
              <a:lnTo>
                <a:pt x="7260335" y="0"/>
              </a:lnTo>
              <a:close/>
            </a:path>
          </a:pathLst>
        </a:custGeom>
        <a:solidFill>
          <a:srgbClr val="000000"/>
        </a:solidFill>
      </xdr:spPr>
    </xdr:sp>
    <xdr:clientData/>
  </xdr:oneCellAnchor>
  <xdr:oneCellAnchor>
    <xdr:from>
      <xdr:col>0</xdr:col>
      <xdr:colOff>251459</xdr:colOff>
      <xdr:row>433</xdr:row>
      <xdr:rowOff>130173</xdr:rowOff>
    </xdr:from>
    <xdr:ext cx="7260590" cy="12700"/>
    <xdr:sp macro="" textlink="">
      <xdr:nvSpPr>
        <xdr:cNvPr id="4" name="Shape 21">
          <a:extLst>
            <a:ext uri="{FF2B5EF4-FFF2-40B4-BE49-F238E27FC236}">
              <a16:creationId xmlns:a16="http://schemas.microsoft.com/office/drawing/2014/main" id="{0EE2DB82-3E40-4BF5-9A01-3BCF8E4BF511}"/>
            </a:ext>
          </a:extLst>
        </xdr:cNvPr>
        <xdr:cNvSpPr/>
      </xdr:nvSpPr>
      <xdr:spPr>
        <a:xfrm>
          <a:off x="254634" y="70240523"/>
          <a:ext cx="7260590" cy="12700"/>
        </a:xfrm>
        <a:custGeom>
          <a:avLst/>
          <a:gdLst/>
          <a:ahLst/>
          <a:cxnLst/>
          <a:rect l="0" t="0" r="0" b="0"/>
          <a:pathLst>
            <a:path w="7260590" h="12700">
              <a:moveTo>
                <a:pt x="7260335" y="0"/>
              </a:moveTo>
              <a:lnTo>
                <a:pt x="0" y="0"/>
              </a:lnTo>
              <a:lnTo>
                <a:pt x="0" y="12192"/>
              </a:lnTo>
              <a:lnTo>
                <a:pt x="7260335" y="12192"/>
              </a:lnTo>
              <a:lnTo>
                <a:pt x="7260335" y="0"/>
              </a:lnTo>
              <a:close/>
            </a:path>
          </a:pathLst>
        </a:custGeom>
        <a:solidFill>
          <a:srgbClr val="000000"/>
        </a:solidFill>
      </xdr:spPr>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2066925</xdr:colOff>
      <xdr:row>1339</xdr:row>
      <xdr:rowOff>466725</xdr:rowOff>
    </xdr:from>
    <xdr:to>
      <xdr:col>1</xdr:col>
      <xdr:colOff>2657475</xdr:colOff>
      <xdr:row>1339</xdr:row>
      <xdr:rowOff>666750</xdr:rowOff>
    </xdr:to>
    <xdr:sp macro="" textlink="">
      <xdr:nvSpPr>
        <xdr:cNvPr id="2" name="Text Box 223">
          <a:extLst>
            <a:ext uri="{FF2B5EF4-FFF2-40B4-BE49-F238E27FC236}">
              <a16:creationId xmlns:a16="http://schemas.microsoft.com/office/drawing/2014/main" id="{91CB2259-CB88-4984-998A-E92855D3CDFE}"/>
            </a:ext>
          </a:extLst>
        </xdr:cNvPr>
        <xdr:cNvSpPr txBox="1">
          <a:spLocks noChangeArrowheads="1"/>
        </xdr:cNvSpPr>
      </xdr:nvSpPr>
      <xdr:spPr bwMode="auto">
        <a:xfrm>
          <a:off x="1006475" y="216976325"/>
          <a:ext cx="0" cy="3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G5000UT</a:t>
          </a:r>
        </a:p>
      </xdr:txBody>
    </xdr:sp>
    <xdr:clientData fLocksWithSheet="0"/>
  </xdr:twoCellAnchor>
  <xdr:twoCellAnchor>
    <xdr:from>
      <xdr:col>1</xdr:col>
      <xdr:colOff>3733800</xdr:colOff>
      <xdr:row>1339</xdr:row>
      <xdr:rowOff>1038225</xdr:rowOff>
    </xdr:from>
    <xdr:to>
      <xdr:col>1</xdr:col>
      <xdr:colOff>4286250</xdr:colOff>
      <xdr:row>1339</xdr:row>
      <xdr:rowOff>1190625</xdr:rowOff>
    </xdr:to>
    <xdr:sp macro="" textlink="">
      <xdr:nvSpPr>
        <xdr:cNvPr id="3" name="Text Box 224">
          <a:extLst>
            <a:ext uri="{FF2B5EF4-FFF2-40B4-BE49-F238E27FC236}">
              <a16:creationId xmlns:a16="http://schemas.microsoft.com/office/drawing/2014/main" id="{2006340E-45B8-41CC-8E1E-17C7BDEACBF5}"/>
            </a:ext>
          </a:extLst>
        </xdr:cNvPr>
        <xdr:cNvSpPr txBox="1">
          <a:spLocks noChangeArrowheads="1"/>
        </xdr:cNvSpPr>
      </xdr:nvSpPr>
      <xdr:spPr bwMode="auto">
        <a:xfrm>
          <a:off x="1009650" y="2169763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G5045UT</a:t>
          </a:r>
        </a:p>
      </xdr:txBody>
    </xdr:sp>
    <xdr:clientData/>
  </xdr:twoCellAnchor>
  <xdr:twoCellAnchor>
    <xdr:from>
      <xdr:col>1</xdr:col>
      <xdr:colOff>811742</xdr:colOff>
      <xdr:row>1333</xdr:row>
      <xdr:rowOff>2118</xdr:rowOff>
    </xdr:from>
    <xdr:to>
      <xdr:col>1</xdr:col>
      <xdr:colOff>1703917</xdr:colOff>
      <xdr:row>1333</xdr:row>
      <xdr:rowOff>2118</xdr:rowOff>
    </xdr:to>
    <xdr:grpSp>
      <xdr:nvGrpSpPr>
        <xdr:cNvPr id="4" name="Group 3">
          <a:extLst>
            <a:ext uri="{FF2B5EF4-FFF2-40B4-BE49-F238E27FC236}">
              <a16:creationId xmlns:a16="http://schemas.microsoft.com/office/drawing/2014/main" id="{D61493D8-ABAC-4F49-9073-F7A3080A2F80}"/>
            </a:ext>
          </a:extLst>
        </xdr:cNvPr>
        <xdr:cNvGrpSpPr/>
      </xdr:nvGrpSpPr>
      <xdr:grpSpPr>
        <a:xfrm>
          <a:off x="1859492" y="188827306"/>
          <a:ext cx="892175" cy="0"/>
          <a:chOff x="1914525" y="110261401"/>
          <a:chExt cx="885825" cy="1619250"/>
        </a:xfrm>
      </xdr:grpSpPr>
      <xdr:pic>
        <xdr:nvPicPr>
          <xdr:cNvPr id="5" name="Picture 215" descr="G4906lg">
            <a:extLst>
              <a:ext uri="{FF2B5EF4-FFF2-40B4-BE49-F238E27FC236}">
                <a16:creationId xmlns:a16="http://schemas.microsoft.com/office/drawing/2014/main" id="{4F00A10B-9278-DEED-3EDC-8A01D971B1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2043" r="27625"/>
          <a:stretch>
            <a:fillRect/>
          </a:stretch>
        </xdr:blipFill>
        <xdr:spPr bwMode="auto">
          <a:xfrm>
            <a:off x="1914525" y="110261401"/>
            <a:ext cx="640773"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Text Box 217">
            <a:extLst>
              <a:ext uri="{FF2B5EF4-FFF2-40B4-BE49-F238E27FC236}">
                <a16:creationId xmlns:a16="http://schemas.microsoft.com/office/drawing/2014/main" id="{EB4E53ED-0D80-0C8C-F739-2C48412E07E6}"/>
              </a:ext>
            </a:extLst>
          </xdr:cNvPr>
          <xdr:cNvSpPr txBox="1">
            <a:spLocks noChangeArrowheads="1"/>
          </xdr:cNvSpPr>
        </xdr:nvSpPr>
        <xdr:spPr bwMode="auto">
          <a:xfrm>
            <a:off x="2362200" y="110366175"/>
            <a:ext cx="4381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G4906</a:t>
            </a:r>
          </a:p>
        </xdr:txBody>
      </xdr:sp>
    </xdr:grpSp>
    <xdr:clientData fLocksWithSheet="0"/>
  </xdr:twoCellAnchor>
  <xdr:twoCellAnchor>
    <xdr:from>
      <xdr:col>1</xdr:col>
      <xdr:colOff>819679</xdr:colOff>
      <xdr:row>1332</xdr:row>
      <xdr:rowOff>2118</xdr:rowOff>
    </xdr:from>
    <xdr:to>
      <xdr:col>1</xdr:col>
      <xdr:colOff>1702329</xdr:colOff>
      <xdr:row>1332</xdr:row>
      <xdr:rowOff>2118</xdr:rowOff>
    </xdr:to>
    <xdr:grpSp>
      <xdr:nvGrpSpPr>
        <xdr:cNvPr id="7" name="Group 6">
          <a:extLst>
            <a:ext uri="{FF2B5EF4-FFF2-40B4-BE49-F238E27FC236}">
              <a16:creationId xmlns:a16="http://schemas.microsoft.com/office/drawing/2014/main" id="{B49848C7-C7E0-4393-B317-7B74625B386B}"/>
            </a:ext>
          </a:extLst>
        </xdr:cNvPr>
        <xdr:cNvGrpSpPr/>
      </xdr:nvGrpSpPr>
      <xdr:grpSpPr>
        <a:xfrm>
          <a:off x="1867429" y="188692368"/>
          <a:ext cx="882650" cy="0"/>
          <a:chOff x="1914525" y="110261401"/>
          <a:chExt cx="885825" cy="1619250"/>
        </a:xfrm>
      </xdr:grpSpPr>
      <xdr:pic>
        <xdr:nvPicPr>
          <xdr:cNvPr id="8" name="Picture 215" descr="G4906lg">
            <a:extLst>
              <a:ext uri="{FF2B5EF4-FFF2-40B4-BE49-F238E27FC236}">
                <a16:creationId xmlns:a16="http://schemas.microsoft.com/office/drawing/2014/main" id="{A73EF89D-3CD9-2FFB-08E9-122BBB6A7B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2043" r="27625"/>
          <a:stretch>
            <a:fillRect/>
          </a:stretch>
        </xdr:blipFill>
        <xdr:spPr bwMode="auto">
          <a:xfrm>
            <a:off x="1914525" y="110261401"/>
            <a:ext cx="640773"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Text Box 217">
            <a:extLst>
              <a:ext uri="{FF2B5EF4-FFF2-40B4-BE49-F238E27FC236}">
                <a16:creationId xmlns:a16="http://schemas.microsoft.com/office/drawing/2014/main" id="{39D05A02-483D-981D-1239-3865A9956FF3}"/>
              </a:ext>
            </a:extLst>
          </xdr:cNvPr>
          <xdr:cNvSpPr txBox="1">
            <a:spLocks noChangeArrowheads="1"/>
          </xdr:cNvSpPr>
        </xdr:nvSpPr>
        <xdr:spPr bwMode="auto">
          <a:xfrm>
            <a:off x="2362200" y="110366175"/>
            <a:ext cx="4381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G4906</a:t>
            </a:r>
          </a:p>
        </xdr:txBody>
      </xdr:sp>
    </xdr:grpSp>
    <xdr:clientData fLocksWithSheet="0"/>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124</xdr:row>
      <xdr:rowOff>66675</xdr:rowOff>
    </xdr:from>
    <xdr:to>
      <xdr:col>3</xdr:col>
      <xdr:colOff>0</xdr:colOff>
      <xdr:row>124</xdr:row>
      <xdr:rowOff>112394</xdr:rowOff>
    </xdr:to>
    <xdr:sp macro="" textlink="">
      <xdr:nvSpPr>
        <xdr:cNvPr id="2" name="TextBox 1">
          <a:extLst>
            <a:ext uri="{FF2B5EF4-FFF2-40B4-BE49-F238E27FC236}">
              <a16:creationId xmlns:a16="http://schemas.microsoft.com/office/drawing/2014/main" id="{C8C30AF4-2D11-4665-AE6B-E374C581A07C}"/>
            </a:ext>
          </a:extLst>
        </xdr:cNvPr>
        <xdr:cNvSpPr txBox="1"/>
      </xdr:nvSpPr>
      <xdr:spPr>
        <a:xfrm>
          <a:off x="6350" y="20142200"/>
          <a:ext cx="4737100" cy="488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BrianD\Warehouse%20Expense%20Report\Updated%20Network%20QTRLY%20Forecast%20Comparison%20FY%2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_midwest\chicorpfin\Documents%20and%20Settings\dkennedy\Local%20Settings\Temp\wz7f6f\875071_1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_midwest\chicorpfin\Documents%20and%20Settings\dkennedy\Local%20Settings\Temp\wz7f6f\894389_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cellc.sharepoint.com/WINDOWS/Temporary%20Internet%20Files/OLKA1D4/Documents%20and%20Settings/MikeG/Local%20Settings/Temporary%20Internet%20Files/OLK19/TEMP/2000PD-White-NOV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Documents%20and%20Settings/atiller/Local%20Settings/Temporary%20Internet%20Files/Content.Outlook/D0JQM16R/Proj%20Reserve%20Aug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WINDOWS/TEMP/172725%20build%200116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mcellc.sharepoint.com/My%20Documents/PD2001/2000PD-White-NOV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Documents%20and%20Settings\Held_Mike\Local%20Settings\Temporary%20Internet%20Files\OLK105\DOCUME~1\valeriev\LOCALS~1\Temp\c.lotus.notes.data\https\www.mydanaher.com\My%20Documents\PD2001\2000PD-White-NOV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ocuments%20and%20Settings\MikeG\Local%20Settings\Temporary%20Internet%20Files\OLK19\TEMP\2000PD-White-NOV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Documents%20and%20Settings\Held_Mike\Local%20Settings\Temporary%20Internet%20Files\OLK105\TEMP\Inventory%20Countermeasure%20-%20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TEMP\Master%20PD%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pasfp1\accounting$\WINDOWS\TEMP\CASHRE~2\CO~1.CAS\DEPREC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mcellc.sharepoint.com/Users/wknapp/Documents/Project%20Pladd%20-%20Advantar/QB%20reports/QB_Payroll_Link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Documents%20and%20Settings\MikeG\Local%20Settings\Temporary%20Internet%20Files\OLK19\TEMP\2000PD-White-NOV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pop7.libero.iol.it/TEMP/Stats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emtechcorp.sharepoint.com/DATA/work/products/Airlink/PriceList/Dec%202013/AirLink%20Price%20List%20WORK%20NICO%20V49.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MChase\Desktop\GBPC\Import_kussmaul_4.2.2025.xlsx" TargetMode="External"/><Relationship Id="rId1" Type="http://schemas.openxmlformats.org/officeDocument/2006/relationships/externalLinkPath" Target="Import_kussmaul_4.2.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cellc.sharepoint.com/Documents%20and%20Settings/MikeG/Local%20Settings/Temporary%20Internet%20Files/OLK19/TEMP/2000PD-White-NOV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Policy%20Deployment%202001\2001PD-GRUBER%20JULY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ltasvr\shared\Policy%20Deployment\Policy%20Deployment%202001\Nov%202001%20Info\May%20Info\MaySafet\01lwta.wk4"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ltasvr\shared\Policy%20Deployment\Policy%20Deployment%202001\Nov%202001%20Info\Jan%202001%20Info\CHANGEOVER%20CHA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Documents%20and%20Settings\Held_Mike\Local%20Settings\Temporary%20Internet%20Files\OLK105\TEMP\Stats20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tarpley\c\DELTA\pdm2000\dECEMBEr%20SQDC%20Boa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ility Qtrs"/>
      <sheetName val="Qtrs"/>
      <sheetName val="Month 8"/>
      <sheetName val="Month 9"/>
      <sheetName val="Month 10"/>
      <sheetName val="Month 11"/>
      <sheetName val="Month 1"/>
      <sheetName val="List"/>
      <sheetName val="Consol BS"/>
      <sheetName val="Pro Forma"/>
      <sheetName val="CLOSE"/>
      <sheetName val="Facility_Qtrs"/>
      <sheetName val="Month_8"/>
      <sheetName val="Month_9"/>
      <sheetName val="Month_10"/>
      <sheetName val="Month_11"/>
      <sheetName val="Month_1"/>
      <sheetName val="Pro_Forma"/>
      <sheetName val="Plant Costs"/>
      <sheetName val="Services Related Costs"/>
      <sheetName val="Facility_Qtrs1"/>
      <sheetName val="Month_81"/>
      <sheetName val="Month_91"/>
      <sheetName val="Month_101"/>
      <sheetName val="Month_111"/>
      <sheetName val="Month_12"/>
      <sheetName val="Pro_Forma1"/>
      <sheetName val="Global"/>
      <sheetName val="TOTALS"/>
      <sheetName val="Sheet2"/>
      <sheetName val="Sheet1"/>
      <sheetName val="C.O.S.S."/>
      <sheetName val="99Form"/>
      <sheetName val="WORKD"/>
      <sheetName val="Aging"/>
      <sheetName val="O"/>
      <sheetName val="Données LMU"/>
      <sheetName val="Updated Network QTRLY Forecast "/>
      <sheetName val="0012SSA"/>
      <sheetName val="P"/>
      <sheetName val="Steel Comp."/>
      <sheetName val="synthgraph"/>
      <sheetName val="ANNUAL"/>
      <sheetName val="TargIS"/>
      <sheetName val="Industry Precedents"/>
      <sheetName val="Contribution Analysis"/>
      <sheetName val="Selected Precedent Transactions"/>
      <sheetName val="Summary"/>
      <sheetName val="Personnel-Wages"/>
      <sheetName val="Inv Summ"/>
      <sheetName val="Peer10"/>
      <sheetName val="Peer11"/>
      <sheetName val="Peer12"/>
      <sheetName val="Peer13"/>
      <sheetName val="Peer14"/>
      <sheetName val="Peer15"/>
      <sheetName val="Peer16"/>
      <sheetName val="Peer17"/>
      <sheetName val="Peer18"/>
      <sheetName val="Peer19"/>
      <sheetName val="Peer20"/>
      <sheetName val="Stock Chart"/>
      <sheetName val="Peer5"/>
      <sheetName val="Peer6"/>
      <sheetName val="Peer7"/>
      <sheetName val="Peer8"/>
      <sheetName val="Peer9"/>
      <sheetName val="INQ"/>
      <sheetName val="Incl in WOLF I - BWS Adj"/>
      <sheetName val="TargBSCF"/>
      <sheetName val="STATISTICS"/>
      <sheetName val="Normal Tax"/>
      <sheetName val="Income Statement"/>
      <sheetName val="Developer rev 99"/>
      <sheetName val=" Ad Sales  exp"/>
      <sheetName val="Bus Dev"/>
      <sheetName val="corp. exp"/>
      <sheetName val="Forecast Summary"/>
      <sheetName val="graph"/>
      <sheetName val="Business Streams"/>
      <sheetName val="2015 Budget Summary"/>
      <sheetName val="Plant_Costs"/>
      <sheetName val="Business_Streams"/>
      <sheetName val="2015_Budget_Summary"/>
      <sheetName val="Facility_Qtrs2"/>
      <sheetName val="Month_82"/>
      <sheetName val="Month_92"/>
      <sheetName val="Month_102"/>
      <sheetName val="Month_112"/>
      <sheetName val="Month_13"/>
      <sheetName val="Pro_Forma2"/>
      <sheetName val="Plant_Costs1"/>
      <sheetName val="Business_Streams1"/>
      <sheetName val="2015_Budget_Summary1"/>
      <sheetName val="aaa"/>
      <sheetName val="PL ACT local"/>
      <sheetName val="Services_Related_Costs"/>
      <sheetName val="PL_ACT_local"/>
      <sheetName val="Ex3"/>
      <sheetName val="lists"/>
      <sheetName val="Facility_Qtrs3"/>
      <sheetName val="Month_83"/>
      <sheetName val="Month_93"/>
      <sheetName val="Month_103"/>
      <sheetName val="Month_113"/>
      <sheetName val="Month_14"/>
      <sheetName val="Pro_Forma3"/>
      <sheetName val="Services_Related_Costs1"/>
      <sheetName val="PL_ACT_local1"/>
      <sheetName val="Facility_Qtrs6"/>
      <sheetName val="Month_86"/>
      <sheetName val="Month_96"/>
      <sheetName val="Month_106"/>
      <sheetName val="Month_116"/>
      <sheetName val="Month_17"/>
      <sheetName val="Pro_Forma6"/>
      <sheetName val="Plant_Costs4"/>
      <sheetName val="Services_Related_Costs4"/>
      <sheetName val="PL_ACT_local4"/>
      <sheetName val="Facility_Qtrs4"/>
      <sheetName val="Month_84"/>
      <sheetName val="Month_94"/>
      <sheetName val="Month_104"/>
      <sheetName val="Month_114"/>
      <sheetName val="Month_15"/>
      <sheetName val="Pro_Forma4"/>
      <sheetName val="Plant_Costs2"/>
      <sheetName val="Services_Related_Costs2"/>
      <sheetName val="PL_ACT_local2"/>
      <sheetName val="Facility_Qtrs5"/>
      <sheetName val="Month_85"/>
      <sheetName val="Month_95"/>
      <sheetName val="Month_105"/>
      <sheetName val="Month_115"/>
      <sheetName val="Month_16"/>
      <sheetName val="Pro_Forma5"/>
      <sheetName val="Plant_Costs3"/>
      <sheetName val="Services_Related_Costs3"/>
      <sheetName val="PL_ACT_local3"/>
      <sheetName val="Facility_Qtrs7"/>
      <sheetName val="Month_87"/>
      <sheetName val="Month_97"/>
      <sheetName val="Month_107"/>
      <sheetName val="Month_117"/>
      <sheetName val="Month_18"/>
      <sheetName val="Pro_Forma7"/>
      <sheetName val="Plant_Costs5"/>
      <sheetName val="Services_Related_Costs5"/>
      <sheetName val="PL_ACT_local5"/>
      <sheetName val="Facility_Qtrs8"/>
      <sheetName val="Month_88"/>
      <sheetName val="Month_98"/>
      <sheetName val="Month_108"/>
      <sheetName val="Month_118"/>
      <sheetName val="Month_19"/>
      <sheetName val="Pro_Forma8"/>
      <sheetName val="Plant_Costs6"/>
      <sheetName val="Services_Related_Costs6"/>
      <sheetName val="PL_ACT_local6"/>
      <sheetName val="Facility_Qtrs9"/>
      <sheetName val="Month_89"/>
      <sheetName val="Month_99"/>
      <sheetName val="Month_109"/>
      <sheetName val="Month_119"/>
      <sheetName val="Month_110"/>
      <sheetName val="Pro_Forma9"/>
      <sheetName val="Plant_Costs7"/>
      <sheetName val="Services_Related_Costs7"/>
      <sheetName val="PL_ACT_local7"/>
      <sheetName val="Facility_Qtrs10"/>
      <sheetName val="Month_810"/>
      <sheetName val="Month_910"/>
      <sheetName val="Month_1010"/>
      <sheetName val="Month_1110"/>
      <sheetName val="Month_120"/>
      <sheetName val="Pro_Forma10"/>
      <sheetName val="Plant_Costs8"/>
      <sheetName val="Services_Related_Costs8"/>
      <sheetName val="PL_ACT_local8"/>
      <sheetName val="Facility_Qtrs11"/>
      <sheetName val="Month_811"/>
      <sheetName val="Month_911"/>
      <sheetName val="Month_1011"/>
      <sheetName val="Month_1111"/>
      <sheetName val="Month_121"/>
      <sheetName val="Pro_Forma11"/>
      <sheetName val="Plant_Costs9"/>
      <sheetName val="Services_Related_Costs9"/>
      <sheetName val="PL_ACT_local9"/>
      <sheetName val="Facility_Qtrs12"/>
      <sheetName val="Month_812"/>
      <sheetName val="Month_912"/>
      <sheetName val="Month_1012"/>
      <sheetName val="Month_1112"/>
      <sheetName val="Month_122"/>
      <sheetName val="Pro_Forma12"/>
      <sheetName val="Plant_Costs10"/>
      <sheetName val="Services_Related_Costs10"/>
      <sheetName val="PL_ACT_local10"/>
      <sheetName val="Facility_Qtrs13"/>
      <sheetName val="Month_813"/>
      <sheetName val="Month_913"/>
      <sheetName val="Month_1013"/>
      <sheetName val="Month_1113"/>
      <sheetName val="Month_123"/>
      <sheetName val="Pro_Forma13"/>
      <sheetName val="Plant_Costs11"/>
      <sheetName val="Services_Related_Costs11"/>
      <sheetName val="PL_ACT_local11"/>
      <sheetName val="Facility_Qtrs14"/>
      <sheetName val="Month_814"/>
      <sheetName val="Month_914"/>
      <sheetName val="Month_1014"/>
      <sheetName val="Month_1114"/>
      <sheetName val="Month_124"/>
      <sheetName val="Pro_Forma14"/>
      <sheetName val="Plant_Costs12"/>
      <sheetName val="Services_Related_Costs12"/>
      <sheetName val="PL_ACT_local12"/>
      <sheetName val="Facility_Qtrs15"/>
      <sheetName val="Month_815"/>
      <sheetName val="Month_915"/>
      <sheetName val="Month_1015"/>
      <sheetName val="Month_1115"/>
      <sheetName val="Month_125"/>
      <sheetName val="Pro_Forma15"/>
      <sheetName val="Plant_Costs13"/>
      <sheetName val="Services_Related_Costs13"/>
      <sheetName val="PL_ACT_local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sheetData sheetId="97"/>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on-Cash Returns"/>
      <sheetName val="121 &amp; 135 industry landscape"/>
      <sheetName val="PR Revenue"/>
      <sheetName val="UPS Rev Growth for AMF"/>
      <sheetName val="Maint. Costs"/>
      <sheetName val="135 Competitors"/>
      <sheetName val="UPS_FedEx Growth"/>
      <sheetName val="Contracted Rev"/>
      <sheetName val="Engines vs Airframes"/>
      <sheetName val="Customer Breakdown_Sept 10"/>
      <sheetName val="Customer Breakdwon_09"/>
      <sheetName val="High Value Collateral"/>
      <sheetName val="Online Growth"/>
      <sheetName val="Cargo &amp; Online Growth (2)"/>
      <sheetName val="Mgmt Team"/>
      <sheetName val="New Routes, Cash,IRR"/>
      <sheetName val="Sig. Cashflow Gen"/>
      <sheetName val="Employees_Headcount"/>
      <sheetName val="Employees (don't use)"/>
      <sheetName val="Hourly Wage per Pilot"/>
      <sheetName val="Competitive Landscape"/>
      <sheetName val="Sample New Route Analysis"/>
      <sheetName val="OLD&gt;&gt;&gt;"/>
      <sheetName val="GDP"/>
      <sheetName val="(old, use consolidated file)"/>
      <sheetName val="06-09 Rev by Cust (cons. doc)"/>
      <sheetName val="Checks vs Total (cons d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C2" t="str">
            <v>GDP % change YoY</v>
          </cell>
          <cell r="F2" t="str">
            <v>York - PF Revenue % growth</v>
          </cell>
          <cell r="K2" t="str">
            <v>GDP in billions</v>
          </cell>
        </row>
        <row r="3">
          <cell r="B3">
            <v>2004</v>
          </cell>
          <cell r="C3">
            <v>6.5</v>
          </cell>
        </row>
        <row r="4">
          <cell r="B4">
            <v>2005</v>
          </cell>
          <cell r="C4">
            <v>6.5</v>
          </cell>
          <cell r="M4" t="str">
            <v>AMF Rev</v>
          </cell>
        </row>
        <row r="5">
          <cell r="B5">
            <v>2006</v>
          </cell>
          <cell r="C5">
            <v>6</v>
          </cell>
          <cell r="J5">
            <v>2006</v>
          </cell>
          <cell r="K5">
            <v>13398.9</v>
          </cell>
          <cell r="M5">
            <v>0</v>
          </cell>
        </row>
        <row r="6">
          <cell r="B6">
            <v>2007</v>
          </cell>
          <cell r="C6">
            <v>4.9000000000000004</v>
          </cell>
          <cell r="J6">
            <v>2007</v>
          </cell>
          <cell r="K6">
            <v>14061.8</v>
          </cell>
          <cell r="L6">
            <v>4.947421056952428E-2</v>
          </cell>
          <cell r="M6">
            <v>0</v>
          </cell>
          <cell r="N6" t="e">
            <v>#DIV/0!</v>
          </cell>
        </row>
        <row r="7">
          <cell r="B7">
            <v>2008</v>
          </cell>
          <cell r="C7">
            <v>2.2000000000000002</v>
          </cell>
          <cell r="F7">
            <v>16.899999999999999</v>
          </cell>
          <cell r="J7">
            <v>2008</v>
          </cell>
          <cell r="K7">
            <v>14369.1</v>
          </cell>
          <cell r="L7">
            <v>2.1853532264717312E-2</v>
          </cell>
          <cell r="M7">
            <v>94.643092999999993</v>
          </cell>
          <cell r="N7" t="e">
            <v>#DIV/0!</v>
          </cell>
        </row>
        <row r="8">
          <cell r="B8">
            <v>2009</v>
          </cell>
          <cell r="C8">
            <v>-1.7</v>
          </cell>
          <cell r="F8">
            <v>9</v>
          </cell>
          <cell r="J8">
            <v>2009</v>
          </cell>
          <cell r="K8">
            <v>14119</v>
          </cell>
          <cell r="L8">
            <v>-1.7405404653040191E-2</v>
          </cell>
          <cell r="M8">
            <v>94.689449999999994</v>
          </cell>
          <cell r="N8">
            <v>4.8980859068081806E-4</v>
          </cell>
        </row>
      </sheetData>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GDP"/>
      <sheetName val="Sig. Cashflow Gen"/>
      <sheetName val="Pull through rev"/>
      <sheetName val="Lev Trends"/>
      <sheetName val="Bragg"/>
      <sheetName val="Margins"/>
      <sheetName val="Mgmt Team"/>
      <sheetName val="#1 mkt position"/>
      <sheetName val="Recurring rev &amp; temp"/>
      <sheetName val="half page horizontal"/>
      <sheetName val="half page vertical"/>
      <sheetName val="quarter page charts"/>
    </sheetNames>
    <sheetDataSet>
      <sheetData sheetId="0" refreshError="1"/>
      <sheetData sheetId="1" refreshError="1"/>
      <sheetData sheetId="2" refreshError="1"/>
      <sheetData sheetId="3" refreshError="1"/>
      <sheetData sheetId="4" refreshError="1"/>
      <sheetData sheetId="5" refreshError="1"/>
      <sheetData sheetId="6" refreshError="1">
        <row r="2">
          <cell r="C2" t="str">
            <v>EBITDA Margins</v>
          </cell>
        </row>
        <row r="3">
          <cell r="B3" t="str">
            <v>York</v>
          </cell>
          <cell r="C3">
            <v>0.25700000000000001</v>
          </cell>
        </row>
        <row r="4">
          <cell r="B4" t="str">
            <v>Sedgwick</v>
          </cell>
          <cell r="C4">
            <v>0.17899999999999999</v>
          </cell>
        </row>
        <row r="5">
          <cell r="B5" t="str">
            <v>Corvel</v>
          </cell>
          <cell r="C5">
            <v>0.156</v>
          </cell>
        </row>
        <row r="6">
          <cell r="B6" t="str">
            <v>Xchanging</v>
          </cell>
          <cell r="C6">
            <v>0.11799999999999999</v>
          </cell>
        </row>
        <row r="7">
          <cell r="B7" t="str">
            <v>Crawford</v>
          </cell>
          <cell r="C7">
            <v>7.1999999999999995E-2</v>
          </cell>
        </row>
        <row r="8">
          <cell r="B8" t="str">
            <v>Average</v>
          </cell>
          <cell r="C8">
            <v>0.13124999999999998</v>
          </cell>
        </row>
      </sheetData>
      <sheetData sheetId="7" refreshError="1"/>
      <sheetData sheetId="8" refreshError="1"/>
      <sheetData sheetId="9" refreshError="1">
        <row r="1">
          <cell r="A1" t="str">
            <v>Full Page Charts</v>
          </cell>
        </row>
        <row r="4">
          <cell r="A4">
            <v>1998</v>
          </cell>
          <cell r="B4">
            <v>10</v>
          </cell>
          <cell r="C4">
            <v>20</v>
          </cell>
        </row>
        <row r="5">
          <cell r="A5">
            <v>1999</v>
          </cell>
          <cell r="B5">
            <v>15</v>
          </cell>
          <cell r="C5">
            <v>30</v>
          </cell>
        </row>
        <row r="6">
          <cell r="A6">
            <v>2000</v>
          </cell>
          <cell r="B6">
            <v>20</v>
          </cell>
          <cell r="C6">
            <v>40</v>
          </cell>
        </row>
        <row r="7">
          <cell r="A7">
            <v>2001</v>
          </cell>
          <cell r="B7">
            <v>25</v>
          </cell>
          <cell r="C7">
            <v>50</v>
          </cell>
        </row>
        <row r="8">
          <cell r="A8">
            <v>2002</v>
          </cell>
          <cell r="B8">
            <v>30</v>
          </cell>
          <cell r="C8">
            <v>60</v>
          </cell>
        </row>
        <row r="9">
          <cell r="A9">
            <v>2003</v>
          </cell>
          <cell r="B9">
            <v>35</v>
          </cell>
          <cell r="C9">
            <v>70</v>
          </cell>
        </row>
        <row r="10">
          <cell r="A10">
            <v>2004</v>
          </cell>
          <cell r="B10">
            <v>40</v>
          </cell>
          <cell r="C10">
            <v>80</v>
          </cell>
        </row>
        <row r="70">
          <cell r="A70" t="str">
            <v>Recurring Revenue Business Model</v>
          </cell>
        </row>
        <row r="77">
          <cell r="B77" t="str">
            <v>Net Con</v>
          </cell>
          <cell r="C77" t="str">
            <v>Dev. New</v>
          </cell>
          <cell r="D77" t="str">
            <v>Total</v>
          </cell>
        </row>
        <row r="78">
          <cell r="A78">
            <v>2009</v>
          </cell>
          <cell r="B78">
            <v>162.4</v>
          </cell>
          <cell r="C78">
            <v>15.2</v>
          </cell>
          <cell r="D78">
            <v>177.6</v>
          </cell>
        </row>
        <row r="79">
          <cell r="A79" t="str">
            <v>2010E</v>
          </cell>
          <cell r="B79">
            <v>166.6</v>
          </cell>
          <cell r="C79">
            <v>18.399999999999999</v>
          </cell>
          <cell r="D79">
            <v>185</v>
          </cell>
        </row>
        <row r="80">
          <cell r="A80" t="str">
            <v>2011P</v>
          </cell>
          <cell r="B80">
            <v>177.9</v>
          </cell>
          <cell r="C80">
            <v>22.7</v>
          </cell>
          <cell r="D80">
            <v>200.6</v>
          </cell>
        </row>
      </sheetData>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heetName val="Bowler"/>
      <sheetName val="Cntmrs-Turnover"/>
      <sheetName val="Cntmrs-Recruit"/>
      <sheetName val="Cntmrs-Recruit Time"/>
      <sheetName val="Cntmrs-Chgo Record"/>
      <sheetName val="Cntmrs-FP Record"/>
      <sheetName val="Cntmrs-Chgo Accid"/>
    </sheetNames>
    <sheetDataSet>
      <sheetData sheetId="0" refreshError="1"/>
      <sheetData sheetId="1" refreshError="1"/>
      <sheetData sheetId="2" refreshError="1"/>
      <sheetData sheetId="3">
        <row r="20">
          <cell r="F20">
            <v>1085</v>
          </cell>
          <cell r="G20">
            <v>1085</v>
          </cell>
          <cell r="H20">
            <v>2049</v>
          </cell>
          <cell r="I20">
            <v>2371</v>
          </cell>
          <cell r="J20">
            <v>3248</v>
          </cell>
          <cell r="K20">
            <v>4668</v>
          </cell>
          <cell r="L20">
            <v>5552</v>
          </cell>
          <cell r="M20">
            <v>84634</v>
          </cell>
          <cell r="N20">
            <v>116966</v>
          </cell>
          <cell r="O20">
            <v>160245</v>
          </cell>
          <cell r="P20">
            <v>166014</v>
          </cell>
          <cell r="Q20">
            <v>208826</v>
          </cell>
        </row>
        <row r="21">
          <cell r="F21">
            <v>8166</v>
          </cell>
          <cell r="G21">
            <v>16332</v>
          </cell>
          <cell r="H21">
            <v>24498</v>
          </cell>
          <cell r="I21">
            <v>32664</v>
          </cell>
          <cell r="J21">
            <v>40830</v>
          </cell>
          <cell r="K21">
            <v>48996</v>
          </cell>
          <cell r="L21">
            <v>57162</v>
          </cell>
          <cell r="M21">
            <v>65328</v>
          </cell>
          <cell r="N21">
            <v>73494</v>
          </cell>
          <cell r="O21">
            <v>81660</v>
          </cell>
          <cell r="P21">
            <v>89826</v>
          </cell>
          <cell r="Q21">
            <v>98000</v>
          </cell>
        </row>
      </sheetData>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Vars"/>
      <sheetName val="Loss Ratio Comparison"/>
      <sheetName val="ULD-Summary"/>
      <sheetName val="ULD-Methods"/>
      <sheetName val="PEPM Calculation"/>
      <sheetName val="Loss Cost Development"/>
      <sheetName val="Paid Claims"/>
      <sheetName val="Loss Trend"/>
      <sheetName val="Benefit Level"/>
      <sheetName val="Exposures"/>
      <sheetName val="Seasonality"/>
      <sheetName val="Seasonality (2)"/>
      <sheetName val="Val Date"/>
      <sheetName val="Exposure"/>
      <sheetName val="All Divisions Ex Closed"/>
      <sheetName val="Nat Guard Subtotal"/>
      <sheetName val="NGLIC"/>
      <sheetName val="NGLIC2"/>
      <sheetName val="Nat Treas Emp Union"/>
      <sheetName val="Florida TPA"/>
      <sheetName val="TEMCO Svs Ind"/>
      <sheetName val="Univ LA"/>
      <sheetName val="Southl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 Financing"/>
      <sheetName val="Scenarios - Operating"/>
      <sheetName val="Contents"/>
      <sheetName val="Modelfront"/>
      <sheetName val="Summary"/>
      <sheetName val="Truck Builds"/>
      <sheetName val="Gunite"/>
      <sheetName val="Imperial"/>
      <sheetName val="Bostrom"/>
      <sheetName val="Brillion"/>
      <sheetName val="Fabco"/>
      <sheetName val="Corporate SG&amp;A"/>
      <sheetName val="Capex"/>
      <sheetName val="Modelback"/>
      <sheetName val="Ownership"/>
      <sheetName val="memotables"/>
      <sheetName val="2001 projected"/>
      <sheetName val="Tax"/>
      <sheetName val="Debt_2000"/>
      <sheetName val="Revolver"/>
      <sheetName val="Management Fee"/>
      <sheetName val="breakdown"/>
      <sheetName val="Covenant"/>
      <sheetName val="dcf"/>
      <sheetName val="PPM tables"/>
      <sheetName val="Gunite - Sh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heetName val="Bowler"/>
      <sheetName val="Cntmrs-Turnover"/>
      <sheetName val="Cntmrs-Recruit"/>
      <sheetName val="Cntmrs-Recruit Time"/>
      <sheetName val="Cntmrs-Chgo Record"/>
      <sheetName val="Cntmrs-FP Record"/>
      <sheetName val="Cntmrs-Chgo Accid"/>
    </sheetNames>
    <sheetDataSet>
      <sheetData sheetId="0" refreshError="1"/>
      <sheetData sheetId="1" refreshError="1"/>
      <sheetData sheetId="2" refreshError="1"/>
      <sheetData sheetId="3" refreshError="1">
        <row r="20">
          <cell r="F20">
            <v>1085</v>
          </cell>
          <cell r="G20">
            <v>1085</v>
          </cell>
          <cell r="H20">
            <v>2049</v>
          </cell>
          <cell r="I20">
            <v>2371</v>
          </cell>
          <cell r="J20">
            <v>3248</v>
          </cell>
          <cell r="K20">
            <v>4668</v>
          </cell>
          <cell r="L20">
            <v>5552</v>
          </cell>
          <cell r="M20">
            <v>84634</v>
          </cell>
          <cell r="N20">
            <v>116966</v>
          </cell>
          <cell r="O20">
            <v>160245</v>
          </cell>
          <cell r="P20">
            <v>166014</v>
          </cell>
          <cell r="Q20">
            <v>208826</v>
          </cell>
        </row>
      </sheetData>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heetName val="Bowler"/>
      <sheetName val="Cntmrs-Turnover"/>
      <sheetName val="Cntmrs-Recruit"/>
      <sheetName val="Cntmrs-Recruit Time"/>
      <sheetName val="Cntmrs-Chgo Record"/>
      <sheetName val="Cntmrs-FP Record"/>
      <sheetName val="Cntmrs-Chgo Accid"/>
    </sheetNames>
    <sheetDataSet>
      <sheetData sheetId="0" refreshError="1"/>
      <sheetData sheetId="1" refreshError="1"/>
      <sheetData sheetId="2" refreshError="1"/>
      <sheetData sheetId="3" refreshError="1">
        <row r="20">
          <cell r="F20">
            <v>1085</v>
          </cell>
          <cell r="G20">
            <v>1085</v>
          </cell>
          <cell r="H20">
            <v>2049</v>
          </cell>
          <cell r="I20">
            <v>2371</v>
          </cell>
          <cell r="J20">
            <v>3248</v>
          </cell>
          <cell r="K20">
            <v>4668</v>
          </cell>
          <cell r="L20">
            <v>5552</v>
          </cell>
          <cell r="M20">
            <v>84634</v>
          </cell>
          <cell r="N20">
            <v>116966</v>
          </cell>
          <cell r="O20">
            <v>160245</v>
          </cell>
          <cell r="P20">
            <v>166014</v>
          </cell>
          <cell r="Q20">
            <v>208826</v>
          </cell>
        </row>
      </sheetData>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heetName val="Bowler"/>
      <sheetName val="Cntmrs-Turnover"/>
      <sheetName val="Cntmrs-Recruit"/>
      <sheetName val="Cntmrs-Recruit Time"/>
      <sheetName val="Cntmrs-Chgo Record"/>
      <sheetName val="Cntmrs-FP Record"/>
      <sheetName val="Cntmrs-Chgo Accid"/>
    </sheetNames>
    <sheetDataSet>
      <sheetData sheetId="0" refreshError="1"/>
      <sheetData sheetId="1" refreshError="1"/>
      <sheetData sheetId="2" refreshError="1"/>
      <sheetData sheetId="3" refreshError="1">
        <row r="20">
          <cell r="F20">
            <v>1085</v>
          </cell>
          <cell r="G20">
            <v>1085</v>
          </cell>
          <cell r="H20">
            <v>2049</v>
          </cell>
          <cell r="I20">
            <v>2371</v>
          </cell>
          <cell r="J20">
            <v>3248</v>
          </cell>
          <cell r="K20">
            <v>4668</v>
          </cell>
          <cell r="L20">
            <v>5552</v>
          </cell>
          <cell r="M20">
            <v>84634</v>
          </cell>
          <cell r="N20">
            <v>116966</v>
          </cell>
          <cell r="O20">
            <v>160245</v>
          </cell>
          <cell r="P20">
            <v>166014</v>
          </cell>
          <cell r="Q20">
            <v>208826</v>
          </cell>
        </row>
        <row r="21">
          <cell r="F21">
            <v>8166</v>
          </cell>
          <cell r="G21">
            <v>16332</v>
          </cell>
          <cell r="H21">
            <v>24498</v>
          </cell>
          <cell r="I21">
            <v>32664</v>
          </cell>
          <cell r="J21">
            <v>40830</v>
          </cell>
          <cell r="K21">
            <v>48996</v>
          </cell>
          <cell r="L21">
            <v>57162</v>
          </cell>
          <cell r="M21">
            <v>65328</v>
          </cell>
          <cell r="N21">
            <v>73494</v>
          </cell>
          <cell r="O21">
            <v>81660</v>
          </cell>
          <cell r="P21">
            <v>89826</v>
          </cell>
          <cell r="Q21">
            <v>98000</v>
          </cell>
        </row>
        <row r="22">
          <cell r="F22">
            <v>19782</v>
          </cell>
          <cell r="G22">
            <v>37182</v>
          </cell>
          <cell r="H22">
            <v>134432</v>
          </cell>
          <cell r="I22">
            <v>179682</v>
          </cell>
          <cell r="J22">
            <v>188038</v>
          </cell>
          <cell r="K22">
            <v>188038</v>
          </cell>
          <cell r="L22">
            <v>233888</v>
          </cell>
          <cell r="M22">
            <v>237888</v>
          </cell>
          <cell r="N22">
            <v>246090</v>
          </cell>
          <cell r="O22">
            <v>250720</v>
          </cell>
          <cell r="P22">
            <v>252252</v>
          </cell>
        </row>
      </sheetData>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21">
          <cell r="F21">
            <v>5.5</v>
          </cell>
          <cell r="G21">
            <v>4.5999999999999996</v>
          </cell>
          <cell r="H21">
            <v>5.7</v>
          </cell>
          <cell r="I21">
            <v>5.3</v>
          </cell>
          <cell r="J21">
            <v>4.9000000000000004</v>
          </cell>
          <cell r="K21">
            <v>5.8</v>
          </cell>
          <cell r="L21">
            <v>5</v>
          </cell>
          <cell r="M21">
            <v>5.0999999999999996</v>
          </cell>
          <cell r="N21">
            <v>5.5</v>
          </cell>
          <cell r="O21">
            <v>6.1</v>
          </cell>
          <cell r="P21">
            <v>5.3</v>
          </cell>
          <cell r="Q21">
            <v>4.8</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tList"/>
      <sheetName val="Arrester 2nd Level Matrix"/>
      <sheetName val="Bowler"/>
      <sheetName val="Productivity"/>
      <sheetName val="Materials"/>
      <sheetName val="Scrap"/>
      <sheetName val="KPI's"/>
      <sheetName val="IncidentsFP"/>
      <sheetName val="TCIR_FP"/>
      <sheetName val="LWCIR_FP"/>
      <sheetName val="IncidentsEAP"/>
      <sheetName val="TCIR_EAP"/>
      <sheetName val="LWCIR_EAP"/>
      <sheetName val="OTD"/>
      <sheetName val="LT"/>
      <sheetName val="PastDue"/>
      <sheetName val="OpProfit"/>
      <sheetName val="Spending"/>
      <sheetName val="PPV"/>
      <sheetName val="ProdFP"/>
      <sheetName val="IA"/>
      <sheetName val="Inv"/>
      <sheetName val="Tur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97"/>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Please Turn on Macros"/>
      <sheetName val="Employee Journal"/>
      <sheetName val="YTD Summary 1"/>
      <sheetName val="YTD Summary 2"/>
      <sheetName val="Hours"/>
      <sheetName val="Rates &amp; Hours by Job"/>
      <sheetName val="State Wage Listing"/>
      <sheetName val="Deferred Comp"/>
      <sheetName val="Quarterly"/>
      <sheetName val="8846"/>
      <sheetName val="Calculated %"/>
      <sheetName val="Data"/>
      <sheetName val="DataText"/>
      <sheetName val="YTDData"/>
      <sheetName val="EE_Data"/>
      <sheetName val="Supporting Settings"/>
      <sheetName val="Temp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B5">
            <v>41275</v>
          </cell>
        </row>
        <row r="6">
          <cell r="B6">
            <v>42277</v>
          </cell>
        </row>
      </sheetData>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heetName val="Bowler"/>
      <sheetName val="Cntmrs-Turnover"/>
      <sheetName val="Cntmrs-Recruit"/>
      <sheetName val="Cntmrs-Recruit Time"/>
      <sheetName val="Cntmrs-Chgo Record"/>
      <sheetName val="Cntmrs-FP Record"/>
      <sheetName val="Cntmrs-Chgo Accid"/>
    </sheetNames>
    <sheetDataSet>
      <sheetData sheetId="0" refreshError="1"/>
      <sheetData sheetId="1" refreshError="1"/>
      <sheetData sheetId="2" refreshError="1"/>
      <sheetData sheetId="3" refreshError="1">
        <row r="20">
          <cell r="F20">
            <v>1085</v>
          </cell>
        </row>
        <row r="22">
          <cell r="F22">
            <v>19782</v>
          </cell>
          <cell r="G22">
            <v>37182</v>
          </cell>
          <cell r="H22">
            <v>134432</v>
          </cell>
          <cell r="I22">
            <v>179682</v>
          </cell>
          <cell r="J22">
            <v>188038</v>
          </cell>
          <cell r="K22">
            <v>188038</v>
          </cell>
          <cell r="L22">
            <v>233888</v>
          </cell>
          <cell r="M22">
            <v>237888</v>
          </cell>
          <cell r="N22">
            <v>246090</v>
          </cell>
          <cell r="O22">
            <v>250720</v>
          </cell>
          <cell r="P22">
            <v>252252</v>
          </cell>
        </row>
      </sheetData>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OLICY DEPLOYMENT"/>
      <sheetName val="BOWLING CHART"/>
      <sheetName val="KPI's "/>
      <sheetName val="DATA GENERAL "/>
      <sheetName val="DATA CGF"/>
      <sheetName val="% ORIGINAL EQUIP DESP ON TIME"/>
      <sheetName val="% SPARES REPAIRS ON TIME"/>
      <sheetName val="ON TIME DELIVERY &amp; ACCURACY"/>
      <sheetName val="No OF OVERDUE CUSTOMER ORDERS"/>
      <sheetName val="% REWORKS No OF PARTS PROCESSED"/>
      <sheetName val="MOVEMENT OF STOCK &amp; WIP"/>
      <sheetName val="%STOCK AGAINST % TURNOVER"/>
      <sheetName val="ISO AUDIT HISTORY"/>
      <sheetName val="5S DEVIATIONS"/>
      <sheetName val="HOURS DISTRIBUTION"/>
      <sheetName val="ACCIDENTS"/>
      <sheetName val="ANALOGUE SALES &amp; DELIVERY"/>
      <sheetName val="CGF CUSTOMER SURVEY"/>
      <sheetName val="ANALOGUE CUSTOMER SURVEY"/>
      <sheetName val="CUSTOMER COMPLAINTS PER INVOICE"/>
      <sheetName val="CUSTOMER COMPLAINTS MTH"/>
      <sheetName val="CUSTOMER COMPLAINTS YTD"/>
      <sheetName val="WARRANTY RETURNS MTH"/>
      <sheetName val="WARRANTY RETURNS YTD"/>
      <sheetName val="ANALYSIS OF ALL RETURNS"/>
      <sheetName val="Cntmrs-Recruit"/>
    </sheetNames>
    <sheetDataSet>
      <sheetData sheetId="0" refreshError="1">
        <row r="3">
          <cell r="A3" t="str">
            <v>province</v>
          </cell>
        </row>
        <row r="4">
          <cell r="A4" t="str">
            <v>lost hoses</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ListGenerator"/>
      <sheetName val="LISTS"/>
      <sheetName val="Titles"/>
      <sheetName val="PRODUCT VARIANT-PRICE-MOQ"/>
      <sheetName val="PRODUCT CARRIER-MODULE-AREA"/>
      <sheetName val="MODULE-WAN"/>
      <sheetName val="PRODUCT-AVMS-AF-WARRANTY"/>
      <sheetName val="PRICE DATABASE"/>
      <sheetName val="PRICELIST PRICES"/>
      <sheetName val="ACC PRICELIST PRICES"/>
      <sheetName val="ACC PRICELIST PRODUCTS"/>
      <sheetName val="SERVICES PRICELIST PRICES"/>
      <sheetName val="SERVICES PRICELIST PRODUCTS"/>
      <sheetName val="PRODUCT RAW CATALOG"/>
      <sheetName val="SERVICES RAW CATALOG"/>
      <sheetName val="ACCESSORIES RAW CATALOG"/>
      <sheetName val="COMMENTS"/>
      <sheetName val="MASTER PRICELIST"/>
      <sheetName val="ChangeLogs"/>
      <sheetName val="check ARENA"/>
      <sheetName val="Notice"/>
      <sheetName val="Products trend"/>
      <sheetName val="todo"/>
      <sheetName val="Master Price List"/>
      <sheetName val="Accy SW Wrnty Price List"/>
      <sheetName val="AirLink EMEA - Gold Pricelist"/>
      <sheetName val="utility cd"/>
      <sheetName val="Arena Airlink Acc Dec 14"/>
      <sheetName val="Arena Airlink Acc bev 14"/>
      <sheetName val="EMEA acc prices"/>
      <sheetName val="Pricelist"/>
      <sheetName val="AirLink Price List WORK NICO V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heetName val="Bowler"/>
      <sheetName val="Cntmrs-Turnover"/>
      <sheetName val="Cntmrs-Recruit"/>
      <sheetName val="Cntmrs-Recruit Time"/>
      <sheetName val="Cntmrs-Chgo Record"/>
      <sheetName val="Cntmrs-FP Record"/>
      <sheetName val="Cntmrs-Chgo Accid"/>
    </sheetNames>
    <sheetDataSet>
      <sheetData sheetId="0" refreshError="1"/>
      <sheetData sheetId="1" refreshError="1"/>
      <sheetData sheetId="2" refreshError="1"/>
      <sheetData sheetId="3" refreshError="1">
        <row r="20">
          <cell r="F20">
            <v>1085</v>
          </cell>
          <cell r="G20">
            <v>1085</v>
          </cell>
          <cell r="H20">
            <v>2049</v>
          </cell>
          <cell r="I20">
            <v>2371</v>
          </cell>
          <cell r="J20">
            <v>3248</v>
          </cell>
          <cell r="K20">
            <v>4668</v>
          </cell>
          <cell r="L20">
            <v>5552</v>
          </cell>
          <cell r="M20">
            <v>84634</v>
          </cell>
          <cell r="N20">
            <v>116966</v>
          </cell>
          <cell r="O20">
            <v>160245</v>
          </cell>
          <cell r="P20">
            <v>166014</v>
          </cell>
          <cell r="Q20">
            <v>208826</v>
          </cell>
        </row>
        <row r="21">
          <cell r="F21">
            <v>8166</v>
          </cell>
          <cell r="G21">
            <v>16332</v>
          </cell>
          <cell r="H21">
            <v>24498</v>
          </cell>
          <cell r="I21">
            <v>32664</v>
          </cell>
          <cell r="J21">
            <v>40830</v>
          </cell>
          <cell r="K21">
            <v>48996</v>
          </cell>
          <cell r="L21">
            <v>57162</v>
          </cell>
          <cell r="M21">
            <v>65328</v>
          </cell>
          <cell r="N21">
            <v>73494</v>
          </cell>
          <cell r="O21">
            <v>81660</v>
          </cell>
          <cell r="P21">
            <v>89826</v>
          </cell>
          <cell r="Q21">
            <v>98000</v>
          </cell>
        </row>
        <row r="22">
          <cell r="F22">
            <v>19782</v>
          </cell>
          <cell r="G22">
            <v>37182</v>
          </cell>
          <cell r="H22">
            <v>134432</v>
          </cell>
          <cell r="I22">
            <v>179682</v>
          </cell>
          <cell r="J22">
            <v>188038</v>
          </cell>
          <cell r="K22">
            <v>188038</v>
          </cell>
          <cell r="L22">
            <v>233888</v>
          </cell>
          <cell r="M22">
            <v>237888</v>
          </cell>
          <cell r="N22">
            <v>246090</v>
          </cell>
          <cell r="O22">
            <v>250720</v>
          </cell>
          <cell r="P22">
            <v>252252</v>
          </cell>
        </row>
      </sheetData>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nd Level Matrix"/>
      <sheetName val="2nd Level Bowling Chart"/>
      <sheetName val="ap  Lean Tools BB"/>
      <sheetName val="ap  36 kaizens"/>
      <sheetName val="2 smed, 3 std wrk"/>
      <sheetName val="6 sigma"/>
      <sheetName val="Top Level $ cntrmsr"/>
      <sheetName val="Cntmrs"/>
      <sheetName val="500 KPI"/>
      <sheetName val="Wkly Sales"/>
      <sheetName val="Wkly Bookings"/>
      <sheetName val="OTD"/>
      <sheetName val="DPM"/>
      <sheetName val="%KanBans"/>
      <sheetName val="Close Rate"/>
      <sheetName val="MEV"/>
      <sheetName val="Leads"/>
      <sheetName val="Cntmrs-Recruit"/>
      <sheetName val="dropdown lists"/>
      <sheetName val="ref"/>
      <sheetName val="Sheet1"/>
      <sheetName val="Sheet2"/>
      <sheetName val="Sheet3"/>
      <sheetName val="2nd_Level_Matrix"/>
      <sheetName val="2nd_Level_Bowling_Chart"/>
      <sheetName val="ap__Lean_Tools_BB"/>
      <sheetName val="ap__36_kaizens"/>
      <sheetName val="2_smed,_3_std_wrk"/>
      <sheetName val="6_sigma"/>
      <sheetName val="Top_Level_$_cntrmsr"/>
      <sheetName val="500_KPI"/>
      <sheetName val="Wkly_Sales"/>
      <sheetName val="Wkly_Bookings"/>
      <sheetName val="Close_Rate"/>
      <sheetName val="D"/>
      <sheetName val="Data"/>
      <sheetName val="Ames 2001 KPIs"/>
      <sheetName val="Cleveland Data"/>
      <sheetName val="Taxas"/>
      <sheetName val="Milestone Report"/>
      <sheetName val="A"/>
      <sheetName val="ex GMBH"/>
      <sheetName val="SALES"/>
      <sheetName val="CH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9">
          <cell r="B19" t="str">
            <v>JAN</v>
          </cell>
          <cell r="C19" t="str">
            <v>FEB</v>
          </cell>
          <cell r="D19" t="str">
            <v>MAR</v>
          </cell>
          <cell r="E19" t="str">
            <v>APR</v>
          </cell>
          <cell r="F19" t="str">
            <v>MAY</v>
          </cell>
          <cell r="G19" t="str">
            <v>JUN</v>
          </cell>
          <cell r="H19" t="str">
            <v>JUL</v>
          </cell>
          <cell r="I19" t="str">
            <v>AUG</v>
          </cell>
          <cell r="J19" t="str">
            <v>SEP</v>
          </cell>
          <cell r="K19" t="str">
            <v>OCT</v>
          </cell>
          <cell r="L19" t="str">
            <v>NOV</v>
          </cell>
          <cell r="M19" t="str">
            <v>DEC</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2000"/>
      <sheetName val="Cntmrs"/>
      <sheetName val="Cntmrs-Recruit"/>
      <sheetName val="Monthly Allowances"/>
      <sheetName val="D"/>
      <sheetName val="DATA"/>
      <sheetName val="Matrix-Level 3-Gastonia"/>
      <sheetName val="Ignor this tab"/>
      <sheetName val="Ames 2001 KPIs"/>
      <sheetName val="Sheet1"/>
      <sheetName val="2002_PD_RJ_Channel_July"/>
      <sheetName val="2002_PD_Top_42_July"/>
      <sheetName val="total yr comparison vs PM"/>
      <sheetName val="SAL-2000"/>
      <sheetName val="Monthly_Allowances"/>
      <sheetName val="Monthly_Allowances1"/>
      <sheetName val="Monthly_Allowances2"/>
      <sheetName val="by division"/>
      <sheetName val="Funnel Analysis"/>
      <sheetName val="perf by state"/>
      <sheetName val="2007 Shin Req for HUA Grants Pa"/>
      <sheetName val="IPR-ATI-ROA (IV)"/>
      <sheetName val="IPR - DCFS"/>
      <sheetName val="PLANT COMPLIANC"/>
      <sheetName val="072902_NA_Sales_Hist"/>
      <sheetName val="Sheet11"/>
      <sheetName val="Service KPI  "/>
      <sheetName val="Matrix-Level_3-Gastonia"/>
      <sheetName val="Ignor_this_tab"/>
      <sheetName val="IncidentsEAP"/>
      <sheetName val="Cntmrs-Turnover"/>
      <sheetName val="Tabelle"/>
      <sheetName val="Quick Ratios"/>
      <sheetName val="WorkCap"/>
      <sheetName val="ZZ_DowntimeIssuesMTD"/>
      <sheetName val="Assy Exc Takt"/>
      <sheetName val="91_INDUSTRIAL_SALES_REPORT"/>
      <sheetName val="MPS"/>
      <sheetName val="Table_Array"/>
      <sheetName val="budgets"/>
      <sheetName val="825_LDO_ROW_SALES_REPORT"/>
      <sheetName val="下拉项"/>
      <sheetName val="Systems Funnel"/>
      <sheetName val="Invent"/>
      <sheetName val="Mid (DE)"/>
      <sheetName val="Inventory"/>
      <sheetName val="01lwta.wk4"/>
      <sheetName val="01lwta"/>
      <sheetName val="Z Dropdowns"/>
      <sheetName val="Monthly_Allowances3"/>
      <sheetName val="Ignor_this_tab1"/>
      <sheetName val="Matrix-Level_3-Gastonia1"/>
      <sheetName val="total_yr_comparison_vs_PM"/>
      <sheetName val="Ames_2001_KPIs"/>
      <sheetName val="Funnel_Analysis"/>
      <sheetName val="IPR-ATI-ROA_(IV)"/>
      <sheetName val="IPR_-_DCFS"/>
      <sheetName val="PLANT_COMPLIANC"/>
      <sheetName val="Service_KPI__"/>
      <sheetName val="by_division"/>
      <sheetName val="perf_by_state"/>
      <sheetName val="2007_Shin_Req_for_HUA_Grants_Pa"/>
      <sheetName val="Quick_Ratios"/>
      <sheetName val="Assy_Exc_Takt"/>
      <sheetName val="DROP DOWNS"/>
      <sheetName val="Matrix"/>
      <sheetName val="2002_PD_Top_42_Aug"/>
      <sheetName val="Cleveland Data"/>
      <sheetName val="Dropdown Lists"/>
      <sheetName val="Systems_Funnel"/>
      <sheetName val="Mid_(DE)"/>
      <sheetName val="#REF"/>
      <sheetName val="Sheet6"/>
      <sheetName val="Lists"/>
      <sheetName val="Pur"/>
      <sheetName val="UC10"/>
      <sheetName val="TG description"/>
      <sheetName val="Reason Codes"/>
      <sheetName val="DTS actual"/>
      <sheetName val="LW actual"/>
      <sheetName val="Period Lookup"/>
    </sheetNames>
    <sheetDataSet>
      <sheetData sheetId="0">
        <row r="4">
          <cell r="K4">
            <v>3.15</v>
          </cell>
          <cell r="L4">
            <v>3.82</v>
          </cell>
        </row>
        <row r="5">
          <cell r="K5">
            <v>2.69</v>
          </cell>
          <cell r="L5">
            <v>1.82</v>
          </cell>
        </row>
        <row r="6">
          <cell r="K6">
            <v>1.71</v>
          </cell>
          <cell r="L6">
            <v>1.07</v>
          </cell>
        </row>
        <row r="7">
          <cell r="K7">
            <v>1.31</v>
          </cell>
          <cell r="L7">
            <v>0.81</v>
          </cell>
        </row>
        <row r="8">
          <cell r="K8">
            <v>1.05</v>
          </cell>
          <cell r="L8">
            <v>0.65</v>
          </cell>
        </row>
        <row r="9">
          <cell r="K9">
            <v>1.26</v>
          </cell>
        </row>
        <row r="10">
          <cell r="K10">
            <v>1.1200000000000001</v>
          </cell>
        </row>
        <row r="11">
          <cell r="K11">
            <v>1</v>
          </cell>
        </row>
        <row r="12">
          <cell r="K12">
            <v>1.17</v>
          </cell>
        </row>
        <row r="13">
          <cell r="K13">
            <v>1.07</v>
          </cell>
        </row>
        <row r="14">
          <cell r="K14">
            <v>1</v>
          </cell>
        </row>
        <row r="15">
          <cell r="K15">
            <v>1.1599999999999999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DATA"/>
      <sheetName val="2000"/>
      <sheetName val="Monthly Allowances"/>
      <sheetName val="Cntmrs"/>
      <sheetName val="Consolidated Budget Worksheet"/>
      <sheetName val="SAL-2000"/>
      <sheetName val="Sheet1"/>
      <sheetName val="Monthly_Allowances"/>
      <sheetName val="Monthly_Allowances1"/>
      <sheetName val="Monthly_Allowances2"/>
      <sheetName val="Metrex OTD"/>
      <sheetName val="Metrex Inv"/>
      <sheetName val="Metrex Dist Exp"/>
      <sheetName val="Cntmrs-Recruit"/>
      <sheetName val="Matrix-Level 3-Gastonia"/>
      <sheetName val="PLANT COMPLIANC"/>
      <sheetName val="Cycle Adjustment Summary"/>
      <sheetName val="Consolidated_Budget_Worksheet"/>
      <sheetName val="D"/>
      <sheetName val="HW Summ by Prod line"/>
      <sheetName val="Total Summary by product line"/>
      <sheetName val="DCI"/>
      <sheetName val="L2 Key Accounts"/>
      <sheetName val="2002_PD_RJ_Channel_July"/>
      <sheetName val="2002_PD_Top_42_July"/>
      <sheetName val="IncidentsEAP"/>
      <sheetName val="Specification"/>
      <sheetName val=" "/>
      <sheetName val="RCCM OTD &amp; PD July"/>
      <sheetName val="List1"/>
      <sheetName val="Monthly_Allowances3"/>
      <sheetName val="Consolidated_Budget_Worksheet1"/>
      <sheetName val="Matrix-Level_3-Gastonia"/>
      <sheetName val="PLANT_COMPLIANC"/>
      <sheetName val="Cycle_Adjustment_Summary"/>
      <sheetName val="Metrex_OTD"/>
      <sheetName val="Metrex_Inv"/>
      <sheetName val="Metrex_Dist_Exp"/>
      <sheetName val="HW_Summ_by_Prod_line"/>
      <sheetName val="Total_Summary_by_product_line"/>
      <sheetName val="L2_Key_Accounts"/>
      <sheetName val="Sheet6"/>
      <sheetName val="91_INDUSTRIAL_SALES_REPORT"/>
      <sheetName val="CHART"/>
      <sheetName val="_"/>
      <sheetName val="Data selection"/>
      <sheetName val="2002_PD_RJ_Channel_Aug"/>
      <sheetName val="2002_PD_Top_42_Aug"/>
      <sheetName val="ZZ_DowntimeIssuesMTD"/>
      <sheetName val="Assy Exc Takt"/>
      <sheetName val="Reason Codes"/>
    </sheetNames>
    <sheetDataSet>
      <sheetData sheetId="0">
        <row r="62">
          <cell r="C62">
            <v>15</v>
          </cell>
          <cell r="D62">
            <v>15</v>
          </cell>
          <cell r="E62">
            <v>15</v>
          </cell>
          <cell r="F62">
            <v>4</v>
          </cell>
          <cell r="G62">
            <v>4</v>
          </cell>
          <cell r="H62">
            <v>4</v>
          </cell>
          <cell r="I62">
            <v>4</v>
          </cell>
          <cell r="J62">
            <v>4</v>
          </cell>
          <cell r="K62">
            <v>4</v>
          </cell>
          <cell r="L62">
            <v>4</v>
          </cell>
          <cell r="M62">
            <v>4</v>
          </cell>
          <cell r="N62">
            <v>4</v>
          </cell>
        </row>
        <row r="63">
          <cell r="C63">
            <v>17</v>
          </cell>
        </row>
        <row r="65">
          <cell r="B65" t="str">
            <v>SETUP TIME</v>
          </cell>
          <cell r="C65" t="str">
            <v>MACHINE PROBLEMS</v>
          </cell>
          <cell r="D65" t="str">
            <v>PARTS OUTAGE</v>
          </cell>
        </row>
        <row r="66">
          <cell r="B66">
            <v>13.2</v>
          </cell>
          <cell r="C66">
            <v>2.4</v>
          </cell>
          <cell r="D66">
            <v>1.4</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OLICY DEPLOYMENT"/>
      <sheetName val="BOWLING CHART"/>
      <sheetName val="KPI's "/>
      <sheetName val="DATA GENERAL "/>
      <sheetName val="DATA CGF"/>
      <sheetName val="% ORIGINAL EQUIP DESP ON TIME"/>
      <sheetName val="% SPARES REPAIRS ON TIME"/>
      <sheetName val="ON TIME DELIVERY &amp; ACCURACY"/>
      <sheetName val="No OF OVERDUE CUSTOMER ORDERS"/>
      <sheetName val="% REWORKS No OF PARTS PROCESSED"/>
      <sheetName val="MOVEMENT OF STOCK &amp; WIP"/>
      <sheetName val="%STOCK AGAINST % TURNOVER"/>
      <sheetName val="ISO AUDIT HISTORY"/>
      <sheetName val="5S DEVIATIONS"/>
      <sheetName val="HOURS DISTRIBUTION"/>
      <sheetName val="ACCIDENTS"/>
      <sheetName val="ANALOGUE SALES &amp; DELIVERY"/>
      <sheetName val="CGF CUSTOMER SURVEY"/>
      <sheetName val="ANALOGUE CUSTOMER SURVEY"/>
      <sheetName val="CUSTOMER COMPLAINTS PER INVOICE"/>
      <sheetName val="CUSTOMER COMPLAINTS MTH"/>
      <sheetName val="CUSTOMER COMPLAINTS YTD"/>
      <sheetName val="WARRANTY RETURNS MTH"/>
      <sheetName val="WARRANTY RETURNS YTD"/>
      <sheetName val="ANALYSIS OF ALL RETURNS"/>
      <sheetName val="Cntmrs-Recruit"/>
    </sheetNames>
    <sheetDataSet>
      <sheetData sheetId="0" refreshError="1">
        <row r="3">
          <cell r="A3" t="str">
            <v>province</v>
          </cell>
        </row>
        <row r="4">
          <cell r="A4" t="str">
            <v>lost hoses</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sheetName val="PPM IND"/>
      <sheetName val="DELIVERY"/>
      <sheetName val="SCRAP"/>
      <sheetName val="SAFETY"/>
      <sheetName val="PRODUCTIVITY"/>
      <sheetName val="Daily Charts"/>
      <sheetName val="A"/>
      <sheetName val="Cntmrs-Recruit"/>
      <sheetName val="Cntmrs"/>
      <sheetName val="Matrix-Level 3-Gastonia"/>
      <sheetName val="2002_PD_RJ_Channel_July"/>
      <sheetName val="2002_PD_Top_42_July"/>
      <sheetName val="2002_PD_RJ_Channel_Aug"/>
      <sheetName val="2002_PD_Top_42_Aug"/>
      <sheetName val="SAL-2000"/>
      <sheetName val="Sheet1"/>
      <sheetName val="D"/>
      <sheetName val="072902_NA_Sales_Hist"/>
      <sheetName val="Ames 2001 KPIs"/>
      <sheetName val="ZZ_DowntimeIssuesMTD"/>
      <sheetName val="Assy Exc Takt"/>
      <sheetName val="Consolidated Budget Worksheet"/>
      <sheetName val="Invent"/>
      <sheetName val="DATA"/>
      <sheetName val="Tab1b Key Dec to Res Obj "/>
      <sheetName val="Cleveland Data"/>
      <sheetName val="Tabelle"/>
      <sheetName val=" "/>
      <sheetName val="SVC請求DATA"/>
      <sheetName val="KPI Level 2 Total"/>
      <sheetName val="4 (D3) A III supp-doc 2"/>
      <sheetName val="PPM_IND"/>
      <sheetName val="Daily_Charts"/>
      <sheetName val="Matrix-Level_3-Gastonia"/>
      <sheetName val="Ames_2001_KPIs"/>
      <sheetName val="PPM_IND1"/>
      <sheetName val="Daily_Charts1"/>
      <sheetName val="Matrix-Level_3-Gastonia1"/>
      <sheetName val="Ames_2001_KPIs1"/>
      <sheetName val="PPM_IND2"/>
      <sheetName val="Daily_Charts2"/>
      <sheetName val="Matrix-Level_3-Gastonia2"/>
      <sheetName val="Ames_2001_KPIs2"/>
      <sheetName val="Feuil1"/>
      <sheetName val="02 ACT"/>
      <sheetName val="Sheet11"/>
      <sheetName val="Internal PPM"/>
      <sheetName val="Master"/>
      <sheetName val="Ignor this tab"/>
      <sheetName val="QRY_Problems"/>
      <sheetName val="JUN KPI-C (Bris)"/>
      <sheetName val=""/>
      <sheetName val="Consolidated_Budget_Worksheet"/>
      <sheetName val="Assy_Exc_Takt"/>
      <sheetName val="Tab1b_Key_Dec_to_Res_Obj_"/>
      <sheetName val="Consolidated"/>
      <sheetName val="Top Level Bowling Chart"/>
      <sheetName val="91_INDUSTRIAL_SALES_REPORT"/>
      <sheetName val="Project_Status_Rollup"/>
      <sheetName val="IS_FULLYEAR"/>
      <sheetName val="IncidentsEAP"/>
      <sheetName val="RUL2"/>
      <sheetName val="#REF"/>
      <sheetName val="Step 1 - Supplier Profile"/>
      <sheetName val="Table"/>
      <sheetName val="Don't Use Tab"/>
      <sheetName val="lookup"/>
      <sheetName val="lists"/>
      <sheetName val="CanStk"/>
      <sheetName val="Case and Palt"/>
      <sheetName val="OLS Results"/>
      <sheetName val="RATIOS"/>
      <sheetName val="SCC"/>
      <sheetName val="Frcst pivot"/>
      <sheetName val="leadtime"/>
      <sheetName val="CI Log"/>
      <sheetName val="Monthend+Intransit Pivot"/>
      <sheetName val="Monthend + Intransit"/>
      <sheetName val="Vision-Gastonia"/>
      <sheetName val="dECEMBEr%20SQDC%20Board"/>
      <sheetName val="IRCON OTD"/>
      <sheetName val="Fcst"/>
      <sheetName val="CM KPI 7"/>
      <sheetName val="CM TTI Item 4 &amp; 5"/>
      <sheetName val="Forecast"/>
      <sheetName val="Design Changes"/>
      <sheetName val="ISCA"/>
      <sheetName val="Order Cadence"/>
      <sheetName val="Tables"/>
      <sheetName val="M0"/>
      <sheetName val="M2"/>
      <sheetName val="PPM_IND3"/>
      <sheetName val="Daily_Charts3"/>
      <sheetName val="Matrix-Level_3-Gastonia3"/>
      <sheetName val="Consolidated_Budget_Worksheet1"/>
      <sheetName val="Ames_2001_KPIs3"/>
      <sheetName val="_"/>
      <sheetName val="Assy_Exc_Takt1"/>
      <sheetName val="Tab1b_Key_Dec_to_Res_Obj_1"/>
      <sheetName val="Cleveland_Data"/>
      <sheetName val="Ignor_this_tab"/>
      <sheetName val="4_(D3)_A_III_supp-doc_2"/>
      <sheetName val="02_ACT"/>
      <sheetName val="KPI_Level_2_Total"/>
      <sheetName val="Internal_PPM"/>
      <sheetName val="JUN_KPI-C_(Bris)"/>
      <sheetName val="Top_Level_Bowling_Chart"/>
      <sheetName val="Step_1_-_Supplier_Profile"/>
      <sheetName val="下拉项"/>
      <sheetName val="Bridge Data"/>
      <sheetName val="Don't_Use_Tab"/>
      <sheetName val="dECEMBEr SQDC Board"/>
      <sheetName val="dECEMBEr SQDC Board.xls"/>
    </sheetNames>
    <sheetDataSet>
      <sheetData sheetId="0">
        <row r="12">
          <cell r="C12">
            <v>0.8</v>
          </cell>
          <cell r="D12" t="str">
            <v>PLAN</v>
          </cell>
          <cell r="E12">
            <v>0.95</v>
          </cell>
          <cell r="F12">
            <v>0.95</v>
          </cell>
          <cell r="G12">
            <v>0.96</v>
          </cell>
          <cell r="H12">
            <v>0.96</v>
          </cell>
          <cell r="I12">
            <v>0.96</v>
          </cell>
          <cell r="J12">
            <v>0.97</v>
          </cell>
          <cell r="K12">
            <v>0.97</v>
          </cell>
          <cell r="L12">
            <v>0.97</v>
          </cell>
          <cell r="M12">
            <v>0.97</v>
          </cell>
          <cell r="N12">
            <v>0.97</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26CB66B-424C-4BAD-B1D4-2C3F32BF8655}" name="Table_1" displayName="Table_1" ref="B4:B30">
  <tableColumns count="1">
    <tableColumn id="1" xr3:uid="{00000000-0010-0000-0000-000001000000}" name="S3B"/>
  </tableColumns>
  <tableStyleInfo name="Distributor Price Sheet-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85FDD77-DC0F-43C2-8C04-834772770F45}" name="Table_2" displayName="Table_2" ref="C4:C30">
  <tableColumns count="1">
    <tableColumn id="1" xr3:uid="{00000000-0010-0000-0100-000001000000}" name="2021-2023 Tahoe - Large (43'' wide) CargoRAXX "/>
  </tableColumns>
  <tableStyleInfo name="Distributor Price Sheet-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1416D7-1500-4706-A09E-1E491FFB5B3A}" name="Table_3" displayName="Table_3" ref="F11:G30" headerRowCount="0">
  <tableColumns count="2">
    <tableColumn id="1" xr3:uid="{00000000-0010-0000-0200-000001000000}" name="Column1"/>
    <tableColumn id="2" xr3:uid="{00000000-0010-0000-0200-000002000000}" name="Column2"/>
  </tableColumns>
  <tableStyleInfo name="Distributor Price Sheet-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17FFDD0-7314-4F23-AEE4-3C8B0124C098}" name="Table8108" displayName="Table8108" ref="A2:C2503" totalsRowShown="0" headerRowDxfId="216" dataDxfId="214" headerRowBorderDxfId="215" tableBorderDxfId="213" totalsRowBorderDxfId="212">
  <autoFilter ref="A2:C2503" xr:uid="{00000000-000C-0000-FFFF-FFFF00000000}"/>
  <sortState xmlns:xlrd2="http://schemas.microsoft.com/office/spreadsheetml/2017/richdata2" ref="A3:C2503">
    <sortCondition ref="A2:A2503"/>
  </sortState>
  <tableColumns count="3">
    <tableColumn id="1" xr3:uid="{00000000-0010-0000-0000-000001000000}" name="Catalog No." dataDxfId="211" dataCellStyle="Normal 3"/>
    <tableColumn id="3" xr3:uid="{00000000-0010-0000-0000-000003000000}" name="Product Title" dataDxfId="210" dataCellStyle="Normal 3"/>
    <tableColumn id="10" xr3:uid="{00000000-0010-0000-0000-00000A000000}" name="MSRP Effective 09/08/2025" dataDxfId="209" dataCellStyle="Currency"/>
  </tableColumns>
  <tableStyleInfo name="TableStyleMedium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6" Type="http://schemas.openxmlformats.org/officeDocument/2006/relationships/hyperlink" Target="https://pactoolmounts.com/product/storz-loks/" TargetMode="External"/><Relationship Id="rId21" Type="http://schemas.openxmlformats.org/officeDocument/2006/relationships/hyperlink" Target="https://pactoolmounts.com/product/loop-hook-pn-1027/" TargetMode="External"/><Relationship Id="rId42" Type="http://schemas.openxmlformats.org/officeDocument/2006/relationships/hyperlink" Target="https://pactoolmounts.com/product/aerosol-can-mount-1048-4/" TargetMode="External"/><Relationship Id="rId47" Type="http://schemas.openxmlformats.org/officeDocument/2006/relationships/hyperlink" Target="https://pactoolmounts.com/product/mini-lok-small-1101/" TargetMode="External"/><Relationship Id="rId63" Type="http://schemas.openxmlformats.org/officeDocument/2006/relationships/hyperlink" Target="https://pactoolmounts.com/product/irons-lok-k5003/" TargetMode="External"/><Relationship Id="rId68" Type="http://schemas.openxmlformats.org/officeDocument/2006/relationships/hyperlink" Target="https://pactoolmounts.com/product/adjustamount-kit-w-pac-strut-short-hd-k5006hds/" TargetMode="External"/><Relationship Id="rId84" Type="http://schemas.openxmlformats.org/officeDocument/2006/relationships/hyperlink" Target="https://pactoolmounts.com/product/bolt-cutter-kit-2/" TargetMode="External"/><Relationship Id="rId89" Type="http://schemas.openxmlformats.org/officeDocument/2006/relationships/hyperlink" Target="https://pactoolmounts.com/product/heavy-rescue-tool-mount-kit-with-super-adjustamount-k5035sa/" TargetMode="External"/><Relationship Id="rId16" Type="http://schemas.openxmlformats.org/officeDocument/2006/relationships/hyperlink" Target="https://pactoolmounts.com/product/universal-hanger/" TargetMode="External"/><Relationship Id="rId107" Type="http://schemas.openxmlformats.org/officeDocument/2006/relationships/hyperlink" Target="https://pactoolmounts.com/product/channel-nut-7018/" TargetMode="External"/><Relationship Id="rId11" Type="http://schemas.openxmlformats.org/officeDocument/2006/relationships/hyperlink" Target="https://pactoolmounts.com/?s=1010-12" TargetMode="External"/><Relationship Id="rId32" Type="http://schemas.openxmlformats.org/officeDocument/2006/relationships/hyperlink" Target="https://pactoolmounts.com/product/adapter-loks-1042-2/" TargetMode="External"/><Relationship Id="rId37" Type="http://schemas.openxmlformats.org/officeDocument/2006/relationships/hyperlink" Target="https://pactoolmounts.com/product/cylinder-mount-1045-3/" TargetMode="External"/><Relationship Id="rId53" Type="http://schemas.openxmlformats.org/officeDocument/2006/relationships/hyperlink" Target="https://pactoolmounts.com/product/cylinder-mate-cart-12-pack-30-minute-cart-cm6000-12/" TargetMode="External"/><Relationship Id="rId58" Type="http://schemas.openxmlformats.org/officeDocument/2006/relationships/hyperlink" Target="https://pactoolmounts.com/product/ram-base-mount-kit-with-fastlok-k1022fl/" TargetMode="External"/><Relationship Id="rId74" Type="http://schemas.openxmlformats.org/officeDocument/2006/relationships/hyperlink" Target="https://pactoolmounts.com/product/spanner-hydrant-wrench-mount-p-n-k5016/" TargetMode="External"/><Relationship Id="rId79" Type="http://schemas.openxmlformats.org/officeDocument/2006/relationships/hyperlink" Target="https://pactoolmounts.com/product/amkus-ram-kit-k5023/" TargetMode="External"/><Relationship Id="rId102" Type="http://schemas.openxmlformats.org/officeDocument/2006/relationships/hyperlink" Target="https://pactoolmounts.com/product/dual-trac-corner-connector-3027/" TargetMode="External"/><Relationship Id="rId5" Type="http://schemas.openxmlformats.org/officeDocument/2006/relationships/hyperlink" Target="https://pactoolmounts.com/product/handlelok-1004-2/" TargetMode="External"/><Relationship Id="rId90" Type="http://schemas.openxmlformats.org/officeDocument/2006/relationships/hyperlink" Target="https://pactoolmounts.com/product/super-adjustamount-kit-w-pac-strut-short/" TargetMode="External"/><Relationship Id="rId95" Type="http://schemas.openxmlformats.org/officeDocument/2006/relationships/hyperlink" Target="https://pactoolmounts.com/product/vertical-gun-mount-le-1005/" TargetMode="External"/><Relationship Id="rId22" Type="http://schemas.openxmlformats.org/officeDocument/2006/relationships/hyperlink" Target="https://pactoolmounts.com/product/gm-hook-pn-1028/" TargetMode="External"/><Relationship Id="rId27" Type="http://schemas.openxmlformats.org/officeDocument/2006/relationships/hyperlink" Target="https://pactoolmounts.com/product/storz-loks-1040-5/" TargetMode="External"/><Relationship Id="rId43" Type="http://schemas.openxmlformats.org/officeDocument/2006/relationships/hyperlink" Target="https://pactoolmounts.com/product/triple-quart-can-mount-p-n-1048-5/" TargetMode="External"/><Relationship Id="rId48" Type="http://schemas.openxmlformats.org/officeDocument/2006/relationships/hyperlink" Target="https://pactoolmounts.com/product/mini-lok-large-1102/" TargetMode="External"/><Relationship Id="rId64" Type="http://schemas.openxmlformats.org/officeDocument/2006/relationships/hyperlink" Target="https://pactoolmounts.com/product/ironslok-hd/" TargetMode="External"/><Relationship Id="rId69" Type="http://schemas.openxmlformats.org/officeDocument/2006/relationships/hyperlink" Target="https://pactoolmounts.com/product/adjustamount-kit-w-pac-strut-long-hd/" TargetMode="External"/><Relationship Id="rId80" Type="http://schemas.openxmlformats.org/officeDocument/2006/relationships/hyperlink" Target="https://pactoolmounts.com/product/amkus-spreader-kit-k5024/" TargetMode="External"/><Relationship Id="rId85" Type="http://schemas.openxmlformats.org/officeDocument/2006/relationships/hyperlink" Target="https://pactoolmounts.com/product/universal-saw-kit-k5030/" TargetMode="External"/><Relationship Id="rId12" Type="http://schemas.openxmlformats.org/officeDocument/2006/relationships/hyperlink" Target="https://pactoolmounts.com/?s=1011" TargetMode="External"/><Relationship Id="rId17" Type="http://schemas.openxmlformats.org/officeDocument/2006/relationships/hyperlink" Target="https://pactoolmounts.com/product/fast-lok-adjustamount-kit-k5020/" TargetMode="External"/><Relationship Id="rId33" Type="http://schemas.openxmlformats.org/officeDocument/2006/relationships/hyperlink" Target="https://pactoolmounts.com/product/adapter-loks-1042-d/" TargetMode="External"/><Relationship Id="rId38" Type="http://schemas.openxmlformats.org/officeDocument/2006/relationships/hyperlink" Target="https://pactoolmounts.com/product/rectangular-mounts/" TargetMode="External"/><Relationship Id="rId59" Type="http://schemas.openxmlformats.org/officeDocument/2006/relationships/hyperlink" Target="https://pactoolmounts.com/product/ram-base-mount-kit-with-jumbo-lok-k1022jl/" TargetMode="External"/><Relationship Id="rId103" Type="http://schemas.openxmlformats.org/officeDocument/2006/relationships/hyperlink" Target="https://pactoolmounts.com/product/trackloc-packs/" TargetMode="External"/><Relationship Id="rId108" Type="http://schemas.openxmlformats.org/officeDocument/2006/relationships/hyperlink" Target="https://pactoolmounts.com/product/channel-nut-7019/" TargetMode="External"/><Relationship Id="rId54" Type="http://schemas.openxmlformats.org/officeDocument/2006/relationships/hyperlink" Target="https://pactoolmounts.com/product/cylinder-mate-cart/" TargetMode="External"/><Relationship Id="rId70" Type="http://schemas.openxmlformats.org/officeDocument/2006/relationships/hyperlink" Target="https://pactoolmounts.com/product/tool-hanger-kit-pn-k5009/" TargetMode="External"/><Relationship Id="rId75" Type="http://schemas.openxmlformats.org/officeDocument/2006/relationships/hyperlink" Target="https://pactoolmounts.com/product/fast-lok-adjustamount-kit-k5020/" TargetMode="External"/><Relationship Id="rId91" Type="http://schemas.openxmlformats.org/officeDocument/2006/relationships/hyperlink" Target="https://pactoolmounts.com/product/super-adjustamount-sam-kits/" TargetMode="External"/><Relationship Id="rId96" Type="http://schemas.openxmlformats.org/officeDocument/2006/relationships/hyperlink" Target="https://pactoolmounts.com/product/label-plates-lp002-10/" TargetMode="External"/><Relationship Id="rId1" Type="http://schemas.openxmlformats.org/officeDocument/2006/relationships/hyperlink" Target="https://pactoolmounts.com/product/hooklok-pn-1001/" TargetMode="External"/><Relationship Id="rId6" Type="http://schemas.openxmlformats.org/officeDocument/2006/relationships/hyperlink" Target="https://pactoolmounts.com/product/stow-n-lok-pn-1005-1005s/" TargetMode="External"/><Relationship Id="rId15" Type="http://schemas.openxmlformats.org/officeDocument/2006/relationships/hyperlink" Target="https://pactoolmounts.com/product/hydrant-wrench-mount-pn-1017/" TargetMode="External"/><Relationship Id="rId23" Type="http://schemas.openxmlformats.org/officeDocument/2006/relationships/hyperlink" Target="https://pactoolmounts.com/product/gm-hook-pn-1028/" TargetMode="External"/><Relationship Id="rId28" Type="http://schemas.openxmlformats.org/officeDocument/2006/relationships/hyperlink" Target="https://pactoolmounts.com/product/storz-loks-1040-6/" TargetMode="External"/><Relationship Id="rId36" Type="http://schemas.openxmlformats.org/officeDocument/2006/relationships/hyperlink" Target="https://pactoolmounts.com/product/pocket-mount-1044-3/" TargetMode="External"/><Relationship Id="rId49" Type="http://schemas.openxmlformats.org/officeDocument/2006/relationships/hyperlink" Target="https://pactoolmounts.com/product/mini-hook-p-n-1110/" TargetMode="External"/><Relationship Id="rId57" Type="http://schemas.openxmlformats.org/officeDocument/2006/relationships/hyperlink" Target="https://pactoolmounts.com/product/cylinder-mate-cart/" TargetMode="External"/><Relationship Id="rId106" Type="http://schemas.openxmlformats.org/officeDocument/2006/relationships/hyperlink" Target="https://pactoolmounts.com/product/channel-nut-7054/" TargetMode="External"/><Relationship Id="rId10" Type="http://schemas.openxmlformats.org/officeDocument/2006/relationships/hyperlink" Target="https://pactoolmounts.com/product/tool-hanger-1009/" TargetMode="External"/><Relationship Id="rId31" Type="http://schemas.openxmlformats.org/officeDocument/2006/relationships/hyperlink" Target="https://pactoolmounts.com/product/adapter-loks-1042-1/" TargetMode="External"/><Relationship Id="rId44" Type="http://schemas.openxmlformats.org/officeDocument/2006/relationships/hyperlink" Target="https://pactoolmounts.com/?s=1050" TargetMode="External"/><Relationship Id="rId52" Type="http://schemas.openxmlformats.org/officeDocument/2006/relationships/hyperlink" Target="https://pactoolmounts.com/product/cylinder-mate-30-minute/" TargetMode="External"/><Relationship Id="rId60" Type="http://schemas.openxmlformats.org/officeDocument/2006/relationships/hyperlink" Target="https://pactoolmounts.com/product/ram-base-mount-kit-with-super-adjustamount-k1022sa/" TargetMode="External"/><Relationship Id="rId65" Type="http://schemas.openxmlformats.org/officeDocument/2006/relationships/hyperlink" Target="https://pactoolmounts.com/product/adjustamount-kit-w-pac-strut-short/" TargetMode="External"/><Relationship Id="rId73" Type="http://schemas.openxmlformats.org/officeDocument/2006/relationships/hyperlink" Target="https://pactoolmounts.com/product/pickhead-axe-kit-pn-k5012/" TargetMode="External"/><Relationship Id="rId78" Type="http://schemas.openxmlformats.org/officeDocument/2006/relationships/hyperlink" Target="https://pactoolmounts.com/product/amkus-kits-pn-k5021-pn-5022/" TargetMode="External"/><Relationship Id="rId81" Type="http://schemas.openxmlformats.org/officeDocument/2006/relationships/hyperlink" Target="https://pactoolmounts.com/product/spreader-base-pocket-with-fastlock-adjustamount-k5026fl/" TargetMode="External"/><Relationship Id="rId86" Type="http://schemas.openxmlformats.org/officeDocument/2006/relationships/hyperlink" Target="https://pactoolmounts.com/product/halligan-tool-mount-kit-k5032/" TargetMode="External"/><Relationship Id="rId94" Type="http://schemas.openxmlformats.org/officeDocument/2006/relationships/hyperlink" Target="https://pactoolmounts.com/product/adjustamount-kit-w-pac-strut-long-hd/" TargetMode="External"/><Relationship Id="rId99" Type="http://schemas.openxmlformats.org/officeDocument/2006/relationships/hyperlink" Target="https://pactoolmounts.com/product/pac-strut-end-caps-2019ec-2/" TargetMode="External"/><Relationship Id="rId101" Type="http://schemas.openxmlformats.org/officeDocument/2006/relationships/hyperlink" Target="https://pactoolmounts.com/product/right-angle-corner-connector-3018/" TargetMode="External"/><Relationship Id="rId4" Type="http://schemas.openxmlformats.org/officeDocument/2006/relationships/hyperlink" Target="https://pactoolmounts.com/product/toolok-1003-2/" TargetMode="External"/><Relationship Id="rId9" Type="http://schemas.openxmlformats.org/officeDocument/2006/relationships/hyperlink" Target="https://pactoolmounts.com/product/universal-mounts-1007-3/" TargetMode="External"/><Relationship Id="rId13" Type="http://schemas.openxmlformats.org/officeDocument/2006/relationships/hyperlink" Target="https://pactoolmounts.com/?s=1012" TargetMode="External"/><Relationship Id="rId18" Type="http://schemas.openxmlformats.org/officeDocument/2006/relationships/hyperlink" Target="https://pactoolmounts.com/product/4699/" TargetMode="External"/><Relationship Id="rId39" Type="http://schemas.openxmlformats.org/officeDocument/2006/relationships/hyperlink" Target="https://pactoolmounts.com/product/rectangular-mount-1047-3/" TargetMode="External"/><Relationship Id="rId109" Type="http://schemas.openxmlformats.org/officeDocument/2006/relationships/hyperlink" Target="https://pactoolmounts.com/product/channel-nuts-7052/" TargetMode="External"/><Relationship Id="rId34" Type="http://schemas.openxmlformats.org/officeDocument/2006/relationships/hyperlink" Target="https://pactoolmounts.com/product/cylinder-mount-1043/" TargetMode="External"/><Relationship Id="rId50" Type="http://schemas.openxmlformats.org/officeDocument/2006/relationships/hyperlink" Target="https://pactoolmounts.com/product/utility-pocket-p-n-1116/" TargetMode="External"/><Relationship Id="rId55" Type="http://schemas.openxmlformats.org/officeDocument/2006/relationships/hyperlink" Target="https://pactoolmounts.com/product/cylinder-mate-60-minute-cm6060/" TargetMode="External"/><Relationship Id="rId76" Type="http://schemas.openxmlformats.org/officeDocument/2006/relationships/hyperlink" Target="https://pactoolmounts.com/product/fast-lok-adjustamount-kit-long-version-k5020l/" TargetMode="External"/><Relationship Id="rId97" Type="http://schemas.openxmlformats.org/officeDocument/2006/relationships/hyperlink" Target="https://pactoolmounts.com/product/pac-strut-2019/" TargetMode="External"/><Relationship Id="rId104" Type="http://schemas.openxmlformats.org/officeDocument/2006/relationships/hyperlink" Target="https://pactoolmounts.com/product/trackloc-packs-7016-100/" TargetMode="External"/><Relationship Id="rId7" Type="http://schemas.openxmlformats.org/officeDocument/2006/relationships/hyperlink" Target="https://pactoolmounts.com/product/stow-n-lok-p-n-1005s/" TargetMode="External"/><Relationship Id="rId71" Type="http://schemas.openxmlformats.org/officeDocument/2006/relationships/hyperlink" Target="https://pactoolmounts.com/product/sledge-hanger-kit-pn-k5010-12/" TargetMode="External"/><Relationship Id="rId92" Type="http://schemas.openxmlformats.org/officeDocument/2006/relationships/hyperlink" Target="https://pactoolmounts.com/product/super-adjustamount-sam-kits-k5060/" TargetMode="External"/><Relationship Id="rId2" Type="http://schemas.openxmlformats.org/officeDocument/2006/relationships/hyperlink" Target="https://pactoolmounts.com/product/flexmounts-p-n-1002/" TargetMode="External"/><Relationship Id="rId29" Type="http://schemas.openxmlformats.org/officeDocument/2006/relationships/hyperlink" Target="https://pactoolmounts.com/product/gas-oil-mount-1041/" TargetMode="External"/><Relationship Id="rId24" Type="http://schemas.openxmlformats.org/officeDocument/2006/relationships/hyperlink" Target="https://pactoolmounts.com/product/hookmount-1029-2/" TargetMode="External"/><Relationship Id="rId40" Type="http://schemas.openxmlformats.org/officeDocument/2006/relationships/hyperlink" Target="https://pactoolmounts.com/product/pole-rest-mount-1048-1/" TargetMode="External"/><Relationship Id="rId45" Type="http://schemas.openxmlformats.org/officeDocument/2006/relationships/hyperlink" Target="https://pactoolmounts.com/product/jumbolok-1070/" TargetMode="External"/><Relationship Id="rId66" Type="http://schemas.openxmlformats.org/officeDocument/2006/relationships/hyperlink" Target="https://pactoolmounts.com/product/adjustamount-kits-pn-k5008-y/" TargetMode="External"/><Relationship Id="rId87" Type="http://schemas.openxmlformats.org/officeDocument/2006/relationships/hyperlink" Target="https://pactoolmounts.com/product/heavy-rescue-pocket-fast-lok-k5035fl/" TargetMode="External"/><Relationship Id="rId110" Type="http://schemas.openxmlformats.org/officeDocument/2006/relationships/drawing" Target="../drawings/drawing7.xml"/><Relationship Id="rId61" Type="http://schemas.openxmlformats.org/officeDocument/2006/relationships/hyperlink" Target="https://pactoolmounts.com/product/tie-down-mount-kit-k3021/" TargetMode="External"/><Relationship Id="rId82" Type="http://schemas.openxmlformats.org/officeDocument/2006/relationships/hyperlink" Target="https://pactoolmounts.com/product/spreader-base-pocket-with-jumbo-lok-k5026jl/" TargetMode="External"/><Relationship Id="rId19" Type="http://schemas.openxmlformats.org/officeDocument/2006/relationships/hyperlink" Target="https://pactoolmounts.com/?s=1022" TargetMode="External"/><Relationship Id="rId14" Type="http://schemas.openxmlformats.org/officeDocument/2006/relationships/hyperlink" Target="https://pactoolmounts.com/product/spanner-wrench-pn-1016/" TargetMode="External"/><Relationship Id="rId30" Type="http://schemas.openxmlformats.org/officeDocument/2006/relationships/hyperlink" Target="https://pactoolmounts.com/product/dual-gas-oil-mount-1041-1/" TargetMode="External"/><Relationship Id="rId35" Type="http://schemas.openxmlformats.org/officeDocument/2006/relationships/hyperlink" Target="https://pactoolmounts.com/product/pocket-mount-1044-2/" TargetMode="External"/><Relationship Id="rId56" Type="http://schemas.openxmlformats.org/officeDocument/2006/relationships/hyperlink" Target="https://pactoolmounts.com/product/cylinder-mate-cart/" TargetMode="External"/><Relationship Id="rId77" Type="http://schemas.openxmlformats.org/officeDocument/2006/relationships/hyperlink" Target="https://pactoolmounts.com/product/amkus-kits-k5021/" TargetMode="External"/><Relationship Id="rId100" Type="http://schemas.openxmlformats.org/officeDocument/2006/relationships/hyperlink" Target="https://pactoolmounts.com/product/pac-strut-end-caps-2020ec-2/" TargetMode="External"/><Relationship Id="rId105" Type="http://schemas.openxmlformats.org/officeDocument/2006/relationships/hyperlink" Target="https://pactoolmounts.com/product/channel-nut-7053/" TargetMode="External"/><Relationship Id="rId8" Type="http://schemas.openxmlformats.org/officeDocument/2006/relationships/hyperlink" Target="https://pactoolmounts.com/product/adjustamount-kits-pn-k5008-y/" TargetMode="External"/><Relationship Id="rId51" Type="http://schemas.openxmlformats.org/officeDocument/2006/relationships/hyperlink" Target="https://pactoolmounts.com/product/strut-base-pn-2076/" TargetMode="External"/><Relationship Id="rId72" Type="http://schemas.openxmlformats.org/officeDocument/2006/relationships/hyperlink" Target="https://pactoolmounts.com/product/flathead-axe-kit-pn-k5011/" TargetMode="External"/><Relationship Id="rId93" Type="http://schemas.openxmlformats.org/officeDocument/2006/relationships/hyperlink" Target="https://pactoolmounts.com/product/super-adjustamount-kit-w-pac-strut-hd-short-p-n-k5050hds/" TargetMode="External"/><Relationship Id="rId98" Type="http://schemas.openxmlformats.org/officeDocument/2006/relationships/hyperlink" Target="https://pactoolmounts.com/product/pac-strut-hd-2020/" TargetMode="External"/><Relationship Id="rId3" Type="http://schemas.openxmlformats.org/officeDocument/2006/relationships/hyperlink" Target="https://pactoolmounts.com/product/flexmounts-pn-1002-1002-2/" TargetMode="External"/><Relationship Id="rId25" Type="http://schemas.openxmlformats.org/officeDocument/2006/relationships/hyperlink" Target="https://pactoolmounts.com/?s=K5035" TargetMode="External"/><Relationship Id="rId46" Type="http://schemas.openxmlformats.org/officeDocument/2006/relationships/hyperlink" Target="https://pactoolmounts.com/product/grip-mount-1085/" TargetMode="External"/><Relationship Id="rId67" Type="http://schemas.openxmlformats.org/officeDocument/2006/relationships/hyperlink" Target="https://pactoolmounts.com/product/adjustamount-kits-k5008/" TargetMode="External"/><Relationship Id="rId20" Type="http://schemas.openxmlformats.org/officeDocument/2006/relationships/hyperlink" Target="https://pactoolmounts.com/product/loop-hook-pn-1027/" TargetMode="External"/><Relationship Id="rId41" Type="http://schemas.openxmlformats.org/officeDocument/2006/relationships/hyperlink" Target="https://pactoolmounts.com/product/pole-guide-mount-1048-2/" TargetMode="External"/><Relationship Id="rId62" Type="http://schemas.openxmlformats.org/officeDocument/2006/relationships/hyperlink" Target="https://pactoolmounts.com/product/tie-down-mount-double-shackle-k3021d/" TargetMode="External"/><Relationship Id="rId83" Type="http://schemas.openxmlformats.org/officeDocument/2006/relationships/hyperlink" Target="https://pactoolmounts.com/product/spreader-base-pocket-with-super-adjustamount-k5026sa/" TargetMode="External"/><Relationship Id="rId88" Type="http://schemas.openxmlformats.org/officeDocument/2006/relationships/hyperlink" Target="https://pactoolmounts.com/product/heavy-rescue-pocket-jumbo-lok-k5035jl/"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externalLinkPath" Target="https://progardproducts-my.sharepoint.com/Winsrv03/public/Documents%20and%20Settings/Andrea/Desktop/June%202010%20PGP%20Price%20Sheet.xls" TargetMode="External"/><Relationship Id="rId1" Type="http://schemas.openxmlformats.org/officeDocument/2006/relationships/externalLinkPath" Target="https://progardproducts-my.sharepoint.com/personal/mike_pro-gard_com/Documents/U%20Drive/Pro-gard%20Files/2023%20Price%20Sheet/July%202022%20Pro-gard%20Products%20Price%20Sheet%20Rev08262022.xlsx" TargetMode="External"/><Relationship Id="rId4" Type="http://schemas.openxmlformats.org/officeDocument/2006/relationships/drawing" Target="../drawings/drawing8.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1.xml"/><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7C0CE-A9F7-47D2-9E33-171F076D24D0}">
  <sheetPr>
    <tabColor theme="2" tint="-9.9978637043366805E-2"/>
  </sheetPr>
  <dimension ref="A3:D528"/>
  <sheetViews>
    <sheetView tabSelected="1" zoomScale="90" zoomScaleNormal="90" workbookViewId="0">
      <pane ySplit="3" topLeftCell="A4" activePane="bottomLeft" state="frozen"/>
      <selection activeCell="C8" sqref="C8"/>
      <selection pane="bottomLeft" activeCell="C9" sqref="C9"/>
    </sheetView>
  </sheetViews>
  <sheetFormatPr defaultRowHeight="14.5"/>
  <cols>
    <col min="1" max="1" width="11.08984375" style="1108" customWidth="1"/>
    <col min="2" max="2" width="19.81640625" style="1108" customWidth="1"/>
    <col min="3" max="3" width="65.36328125" style="1108" customWidth="1"/>
    <col min="4" max="4" width="11.6328125" style="1108" customWidth="1"/>
    <col min="5" max="16384" width="8.7265625" style="1108"/>
  </cols>
  <sheetData>
    <row r="3" spans="1:4">
      <c r="A3" s="1110" t="s">
        <v>0</v>
      </c>
      <c r="B3" s="1110"/>
      <c r="C3" s="1110" t="s">
        <v>1</v>
      </c>
      <c r="D3" s="1111" t="s">
        <v>55257</v>
      </c>
    </row>
    <row r="4" spans="1:4" ht="15" customHeight="1">
      <c r="A4" s="1062" t="s">
        <v>4</v>
      </c>
      <c r="B4" s="1063"/>
      <c r="C4" s="1064"/>
    </row>
    <row r="5" spans="1:4" ht="21" customHeight="1">
      <c r="A5" s="3"/>
      <c r="B5" s="10"/>
      <c r="C5" s="11" t="s">
        <v>4</v>
      </c>
      <c r="D5" s="12"/>
    </row>
    <row r="6" spans="1:4" ht="45">
      <c r="B6" s="4" t="s">
        <v>55196</v>
      </c>
      <c r="C6" s="4" t="s">
        <v>5</v>
      </c>
      <c r="D6" s="5">
        <v>3150</v>
      </c>
    </row>
    <row r="7" spans="1:4" ht="60">
      <c r="B7" s="4" t="s">
        <v>55198</v>
      </c>
      <c r="C7" s="4" t="s">
        <v>6</v>
      </c>
      <c r="D7" s="5">
        <v>2250</v>
      </c>
    </row>
    <row r="8" spans="1:4" ht="45">
      <c r="B8" s="6" t="s">
        <v>55197</v>
      </c>
      <c r="C8" s="7" t="s">
        <v>55201</v>
      </c>
      <c r="D8" s="8">
        <v>2925</v>
      </c>
    </row>
    <row r="9" spans="1:4" ht="45">
      <c r="A9" s="2"/>
      <c r="B9" s="4" t="s">
        <v>55199</v>
      </c>
      <c r="C9" s="4" t="s">
        <v>7</v>
      </c>
      <c r="D9" s="5">
        <v>1500</v>
      </c>
    </row>
    <row r="10" spans="1:4" ht="45">
      <c r="A10" s="2"/>
      <c r="B10" s="7" t="s">
        <v>8</v>
      </c>
      <c r="C10" s="7" t="s">
        <v>9</v>
      </c>
      <c r="D10" s="8">
        <v>900</v>
      </c>
    </row>
    <row r="11" spans="1:4" ht="15">
      <c r="A11" s="2"/>
      <c r="B11" s="7" t="s">
        <v>37604</v>
      </c>
      <c r="C11" s="7" t="s">
        <v>37605</v>
      </c>
      <c r="D11" s="8">
        <v>4100</v>
      </c>
    </row>
    <row r="12" spans="1:4" ht="15">
      <c r="A12" s="2"/>
      <c r="B12" s="7" t="s">
        <v>37604</v>
      </c>
      <c r="C12" s="7" t="s">
        <v>37606</v>
      </c>
      <c r="D12" s="8">
        <v>4700</v>
      </c>
    </row>
    <row r="13" spans="1:4" ht="15">
      <c r="A13" s="2"/>
      <c r="B13" s="7" t="s">
        <v>37607</v>
      </c>
      <c r="C13" s="7" t="s">
        <v>37619</v>
      </c>
      <c r="D13" s="8">
        <v>3400</v>
      </c>
    </row>
    <row r="14" spans="1:4" ht="15">
      <c r="A14" s="2"/>
      <c r="B14" s="7" t="s">
        <v>37607</v>
      </c>
      <c r="C14" s="7" t="s">
        <v>37620</v>
      </c>
      <c r="D14" s="8">
        <v>4200</v>
      </c>
    </row>
    <row r="15" spans="1:4" ht="15">
      <c r="A15" s="2"/>
      <c r="B15" s="7" t="s">
        <v>37608</v>
      </c>
      <c r="C15" s="7" t="s">
        <v>37621</v>
      </c>
      <c r="D15" s="8">
        <v>2800</v>
      </c>
    </row>
    <row r="16" spans="1:4" ht="15">
      <c r="A16" s="2"/>
      <c r="B16" s="7" t="s">
        <v>37609</v>
      </c>
      <c r="C16" s="7" t="s">
        <v>37610</v>
      </c>
      <c r="D16" s="8">
        <v>2000</v>
      </c>
    </row>
    <row r="17" spans="1:4" ht="15">
      <c r="A17" s="2"/>
      <c r="B17" s="7" t="s">
        <v>37611</v>
      </c>
      <c r="C17" s="7" t="s">
        <v>37612</v>
      </c>
      <c r="D17" s="8">
        <v>1100</v>
      </c>
    </row>
    <row r="18" spans="1:4" ht="15">
      <c r="A18" s="2"/>
      <c r="B18" s="7" t="s">
        <v>37611</v>
      </c>
      <c r="C18" s="7" t="s">
        <v>37613</v>
      </c>
      <c r="D18" s="8">
        <v>1200</v>
      </c>
    </row>
    <row r="19" spans="1:4" ht="15">
      <c r="A19" s="2"/>
      <c r="B19" s="7" t="s">
        <v>210</v>
      </c>
      <c r="C19" s="7" t="s">
        <v>2660</v>
      </c>
      <c r="D19" s="8">
        <v>600</v>
      </c>
    </row>
    <row r="20" spans="1:4" ht="15">
      <c r="A20" s="2"/>
      <c r="B20" s="7" t="s">
        <v>211</v>
      </c>
      <c r="C20" s="7" t="s">
        <v>37614</v>
      </c>
      <c r="D20" s="8">
        <v>500</v>
      </c>
    </row>
    <row r="21" spans="1:4" ht="15">
      <c r="A21" s="2"/>
      <c r="B21" s="7" t="s">
        <v>37615</v>
      </c>
      <c r="C21" s="7" t="s">
        <v>37616</v>
      </c>
      <c r="D21" s="8">
        <v>650</v>
      </c>
    </row>
    <row r="22" spans="1:4" ht="15">
      <c r="A22" s="2"/>
      <c r="B22" s="7" t="s">
        <v>37617</v>
      </c>
      <c r="C22" s="7" t="s">
        <v>37618</v>
      </c>
      <c r="D22" s="8">
        <v>900</v>
      </c>
    </row>
    <row r="23" spans="1:4" ht="45">
      <c r="A23" s="2"/>
      <c r="B23" s="4" t="s">
        <v>27049</v>
      </c>
      <c r="C23" s="4" t="s">
        <v>37623</v>
      </c>
      <c r="D23" s="5">
        <v>6000</v>
      </c>
    </row>
    <row r="24" spans="1:4" ht="60">
      <c r="A24" s="2"/>
      <c r="B24" s="4" t="s">
        <v>30363</v>
      </c>
      <c r="C24" s="4" t="s">
        <v>37622</v>
      </c>
      <c r="D24" s="5">
        <v>3000</v>
      </c>
    </row>
    <row r="25" spans="1:4" ht="60">
      <c r="A25" s="2"/>
      <c r="B25" s="4" t="s">
        <v>27055</v>
      </c>
      <c r="C25" s="4" t="s">
        <v>37624</v>
      </c>
      <c r="D25" s="5">
        <v>2750</v>
      </c>
    </row>
    <row r="26" spans="1:4" ht="60">
      <c r="A26" s="2"/>
      <c r="B26" s="4" t="s">
        <v>27055</v>
      </c>
      <c r="C26" s="4" t="s">
        <v>37625</v>
      </c>
      <c r="D26" s="5">
        <v>6500</v>
      </c>
    </row>
    <row r="27" spans="1:4" ht="45">
      <c r="A27" s="2"/>
      <c r="B27" s="4" t="s">
        <v>27056</v>
      </c>
      <c r="C27" s="4" t="s">
        <v>37626</v>
      </c>
      <c r="D27" s="5">
        <v>5500</v>
      </c>
    </row>
    <row r="28" spans="1:4" ht="15">
      <c r="A28" s="2"/>
      <c r="B28" s="4" t="s">
        <v>27051</v>
      </c>
      <c r="C28" s="4" t="s">
        <v>37627</v>
      </c>
      <c r="D28" s="5">
        <v>2750</v>
      </c>
    </row>
    <row r="29" spans="1:4" ht="30">
      <c r="A29" s="2"/>
      <c r="B29" s="4" t="s">
        <v>27052</v>
      </c>
      <c r="C29" s="4" t="s">
        <v>37628</v>
      </c>
      <c r="D29" s="5">
        <v>1700</v>
      </c>
    </row>
    <row r="30" spans="1:4" ht="15">
      <c r="A30" s="2"/>
      <c r="B30" s="4" t="s">
        <v>27054</v>
      </c>
      <c r="C30" s="4" t="s">
        <v>37629</v>
      </c>
      <c r="D30" s="5">
        <v>1800</v>
      </c>
    </row>
    <row r="31" spans="1:4" ht="30">
      <c r="A31" s="2"/>
      <c r="B31" s="4" t="s">
        <v>27053</v>
      </c>
      <c r="C31" s="4" t="s">
        <v>37630</v>
      </c>
      <c r="D31" s="5">
        <v>1800</v>
      </c>
    </row>
    <row r="32" spans="1:4" ht="30">
      <c r="A32" s="2"/>
      <c r="B32" s="4" t="s">
        <v>27050</v>
      </c>
      <c r="C32" s="4" t="s">
        <v>37631</v>
      </c>
      <c r="D32" s="5">
        <v>1000</v>
      </c>
    </row>
    <row r="33" spans="1:4" ht="15">
      <c r="A33" s="2"/>
      <c r="B33" s="7"/>
      <c r="C33" s="7"/>
      <c r="D33" s="8"/>
    </row>
    <row r="34" spans="1:4" ht="40">
      <c r="A34" s="2"/>
      <c r="B34" s="13"/>
      <c r="C34" s="11" t="s">
        <v>37632</v>
      </c>
      <c r="D34" s="14"/>
    </row>
    <row r="35" spans="1:4" ht="75">
      <c r="A35" s="2"/>
      <c r="B35" s="7" t="s">
        <v>10</v>
      </c>
      <c r="C35" s="7" t="s">
        <v>11</v>
      </c>
      <c r="D35" s="8">
        <v>1200</v>
      </c>
    </row>
    <row r="36" spans="1:4" ht="60">
      <c r="A36" s="2"/>
      <c r="B36" s="7" t="s">
        <v>12</v>
      </c>
      <c r="C36" s="7" t="s">
        <v>13</v>
      </c>
      <c r="D36" s="8">
        <v>975</v>
      </c>
    </row>
    <row r="37" spans="1:4" ht="15">
      <c r="B37" s="4" t="s">
        <v>55213</v>
      </c>
      <c r="C37" s="4" t="s">
        <v>55235</v>
      </c>
      <c r="D37" s="5">
        <v>700</v>
      </c>
    </row>
    <row r="38" spans="1:4" ht="15">
      <c r="B38" s="4" t="s">
        <v>55212</v>
      </c>
      <c r="C38" s="4" t="s">
        <v>55236</v>
      </c>
      <c r="D38" s="5">
        <v>1200</v>
      </c>
    </row>
    <row r="39" spans="1:4" ht="15">
      <c r="A39" s="2"/>
      <c r="B39" s="7" t="s">
        <v>37633</v>
      </c>
      <c r="C39" s="7" t="s">
        <v>37634</v>
      </c>
      <c r="D39" s="8">
        <v>1500</v>
      </c>
    </row>
    <row r="40" spans="1:4" ht="15">
      <c r="A40" s="2"/>
      <c r="B40" s="7" t="s">
        <v>37633</v>
      </c>
      <c r="C40" s="7" t="s">
        <v>37635</v>
      </c>
      <c r="D40" s="8">
        <v>1600</v>
      </c>
    </row>
    <row r="41" spans="1:4" ht="15">
      <c r="A41" s="2"/>
      <c r="B41" s="7" t="s">
        <v>37633</v>
      </c>
      <c r="C41" s="7" t="s">
        <v>37636</v>
      </c>
      <c r="D41" s="8">
        <v>1000</v>
      </c>
    </row>
    <row r="42" spans="1:4" ht="15">
      <c r="A42" s="2"/>
      <c r="B42" s="7" t="s">
        <v>37633</v>
      </c>
      <c r="C42" s="7" t="s">
        <v>37637</v>
      </c>
      <c r="D42" s="8">
        <v>1100</v>
      </c>
    </row>
    <row r="43" spans="1:4" ht="15">
      <c r="A43" s="2"/>
      <c r="B43" s="7" t="s">
        <v>37633</v>
      </c>
      <c r="C43" s="7" t="s">
        <v>37638</v>
      </c>
      <c r="D43" s="8">
        <v>1400</v>
      </c>
    </row>
    <row r="44" spans="1:4" ht="15">
      <c r="A44" s="2"/>
      <c r="B44" s="7" t="s">
        <v>37633</v>
      </c>
      <c r="C44" s="7" t="s">
        <v>37639</v>
      </c>
      <c r="D44" s="8">
        <v>1500</v>
      </c>
    </row>
    <row r="45" spans="1:4" ht="15">
      <c r="A45" s="2"/>
      <c r="B45" s="7" t="s">
        <v>37633</v>
      </c>
      <c r="C45" s="7" t="s">
        <v>37640</v>
      </c>
      <c r="D45" s="8">
        <v>1600</v>
      </c>
    </row>
    <row r="46" spans="1:4" ht="15">
      <c r="A46" s="2"/>
      <c r="B46" s="7" t="s">
        <v>37633</v>
      </c>
      <c r="C46" s="7" t="s">
        <v>37641</v>
      </c>
      <c r="D46" s="8">
        <v>1700</v>
      </c>
    </row>
    <row r="47" spans="1:4" ht="15">
      <c r="A47" s="2"/>
      <c r="B47" s="7" t="s">
        <v>37642</v>
      </c>
      <c r="C47" s="7" t="s">
        <v>55237</v>
      </c>
      <c r="D47" s="8">
        <v>1200</v>
      </c>
    </row>
    <row r="48" spans="1:4" ht="15">
      <c r="A48" s="2"/>
      <c r="B48" s="7" t="s">
        <v>37642</v>
      </c>
      <c r="C48" s="7" t="s">
        <v>55238</v>
      </c>
      <c r="D48" s="8">
        <v>1300</v>
      </c>
    </row>
    <row r="49" spans="1:4" ht="15">
      <c r="A49" s="2"/>
      <c r="B49" s="7" t="s">
        <v>37642</v>
      </c>
      <c r="C49" s="7" t="s">
        <v>55239</v>
      </c>
      <c r="D49" s="8">
        <v>1400</v>
      </c>
    </row>
    <row r="50" spans="1:4" ht="15">
      <c r="A50" s="2"/>
      <c r="B50" s="7" t="s">
        <v>37642</v>
      </c>
      <c r="C50" s="7" t="s">
        <v>55240</v>
      </c>
      <c r="D50" s="8">
        <v>1600</v>
      </c>
    </row>
    <row r="51" spans="1:4" ht="15">
      <c r="A51" s="2"/>
      <c r="B51" s="7" t="s">
        <v>37642</v>
      </c>
      <c r="C51" s="7" t="s">
        <v>55241</v>
      </c>
      <c r="D51" s="8">
        <v>1800</v>
      </c>
    </row>
    <row r="52" spans="1:4" ht="30">
      <c r="A52" s="2"/>
      <c r="B52" s="7" t="s">
        <v>21987</v>
      </c>
      <c r="C52" s="7" t="s">
        <v>55202</v>
      </c>
      <c r="D52" s="8">
        <v>5500</v>
      </c>
    </row>
    <row r="53" spans="1:4" ht="30">
      <c r="A53" s="2"/>
      <c r="B53" s="7" t="s">
        <v>21988</v>
      </c>
      <c r="C53" s="7" t="s">
        <v>55203</v>
      </c>
      <c r="D53" s="8">
        <v>1000</v>
      </c>
    </row>
    <row r="54" spans="1:4" ht="45">
      <c r="A54" s="2"/>
      <c r="B54" s="7" t="s">
        <v>21989</v>
      </c>
      <c r="C54" s="7" t="s">
        <v>55204</v>
      </c>
      <c r="D54" s="8">
        <v>1400</v>
      </c>
    </row>
    <row r="55" spans="1:4" ht="30">
      <c r="A55" s="2"/>
      <c r="B55" s="7" t="s">
        <v>21990</v>
      </c>
      <c r="C55" s="7" t="s">
        <v>55205</v>
      </c>
      <c r="D55" s="8">
        <v>1600</v>
      </c>
    </row>
    <row r="56" spans="1:4" ht="15">
      <c r="A56" s="2"/>
      <c r="B56" s="7" t="s">
        <v>21991</v>
      </c>
      <c r="C56" s="7" t="s">
        <v>55206</v>
      </c>
      <c r="D56" s="8">
        <v>600</v>
      </c>
    </row>
    <row r="57" spans="1:4" ht="30">
      <c r="A57" s="2"/>
      <c r="B57" s="7" t="s">
        <v>21996</v>
      </c>
      <c r="C57" s="7" t="s">
        <v>55207</v>
      </c>
      <c r="D57" s="8">
        <v>1400</v>
      </c>
    </row>
    <row r="58" spans="1:4" ht="30">
      <c r="A58" s="2"/>
      <c r="B58" s="7" t="s">
        <v>21992</v>
      </c>
      <c r="C58" s="7" t="s">
        <v>55208</v>
      </c>
      <c r="D58" s="8">
        <v>1500</v>
      </c>
    </row>
    <row r="59" spans="1:4" ht="30">
      <c r="A59" s="2"/>
      <c r="B59" s="7" t="s">
        <v>21993</v>
      </c>
      <c r="C59" s="7" t="s">
        <v>55209</v>
      </c>
      <c r="D59" s="8">
        <v>1400</v>
      </c>
    </row>
    <row r="60" spans="1:4" ht="30">
      <c r="A60" s="2"/>
      <c r="B60" s="7" t="s">
        <v>21994</v>
      </c>
      <c r="C60" s="7" t="s">
        <v>55210</v>
      </c>
      <c r="D60" s="8">
        <v>1300</v>
      </c>
    </row>
    <row r="61" spans="1:4" ht="30">
      <c r="A61" s="2"/>
      <c r="B61" s="7" t="s">
        <v>21995</v>
      </c>
      <c r="C61" s="7" t="s">
        <v>55211</v>
      </c>
      <c r="D61" s="8">
        <v>1600</v>
      </c>
    </row>
    <row r="62" spans="1:4" ht="15">
      <c r="A62" s="2"/>
      <c r="B62" s="7"/>
      <c r="C62" s="7"/>
      <c r="D62" s="8"/>
    </row>
    <row r="63" spans="1:4" ht="80">
      <c r="A63" s="2"/>
      <c r="B63" s="10"/>
      <c r="C63" s="11" t="s">
        <v>14</v>
      </c>
      <c r="D63" s="12"/>
    </row>
    <row r="64" spans="1:4" ht="30">
      <c r="A64" s="2"/>
      <c r="B64" s="4" t="s">
        <v>15</v>
      </c>
      <c r="C64" s="4" t="s">
        <v>16</v>
      </c>
      <c r="D64" s="5">
        <v>2000</v>
      </c>
    </row>
    <row r="65" spans="1:4" ht="30">
      <c r="A65" s="2"/>
      <c r="B65" s="4" t="s">
        <v>17</v>
      </c>
      <c r="C65" s="4" t="s">
        <v>18</v>
      </c>
      <c r="D65" s="5">
        <v>2100</v>
      </c>
    </row>
    <row r="66" spans="1:4" ht="30">
      <c r="A66" s="2"/>
      <c r="B66" s="4" t="s">
        <v>19</v>
      </c>
      <c r="C66" s="4" t="s">
        <v>20</v>
      </c>
      <c r="D66" s="5">
        <v>2150</v>
      </c>
    </row>
    <row r="67" spans="1:4" ht="30">
      <c r="B67" s="4" t="s">
        <v>21</v>
      </c>
      <c r="C67" s="4" t="s">
        <v>22</v>
      </c>
      <c r="D67" s="5">
        <v>2100</v>
      </c>
    </row>
    <row r="68" spans="1:4" ht="30">
      <c r="B68" s="4" t="s">
        <v>23</v>
      </c>
      <c r="C68" s="4" t="s">
        <v>24</v>
      </c>
      <c r="D68" s="5">
        <v>2150</v>
      </c>
    </row>
    <row r="69" spans="1:4" ht="30">
      <c r="B69" s="4" t="s">
        <v>25</v>
      </c>
      <c r="C69" s="4" t="s">
        <v>26</v>
      </c>
      <c r="D69" s="5">
        <v>2100</v>
      </c>
    </row>
    <row r="70" spans="1:4" ht="30">
      <c r="B70" s="4" t="s">
        <v>27</v>
      </c>
      <c r="C70" s="4" t="s">
        <v>28</v>
      </c>
      <c r="D70" s="5">
        <v>2300</v>
      </c>
    </row>
    <row r="71" spans="1:4" ht="45">
      <c r="B71" s="4" t="s">
        <v>29</v>
      </c>
      <c r="C71" s="4" t="s">
        <v>30</v>
      </c>
      <c r="D71" s="5">
        <v>1450</v>
      </c>
    </row>
    <row r="72" spans="1:4" ht="30">
      <c r="B72" s="4" t="s">
        <v>31</v>
      </c>
      <c r="C72" s="4" t="s">
        <v>32</v>
      </c>
      <c r="D72" s="5">
        <v>1450</v>
      </c>
    </row>
    <row r="73" spans="1:4" ht="60">
      <c r="B73" s="4" t="s">
        <v>33</v>
      </c>
      <c r="C73" s="4" t="s">
        <v>55245</v>
      </c>
      <c r="D73" s="5">
        <v>2750</v>
      </c>
    </row>
    <row r="74" spans="1:4" ht="60">
      <c r="A74" s="2"/>
      <c r="B74" s="4" t="s">
        <v>34</v>
      </c>
      <c r="C74" s="4" t="s">
        <v>55243</v>
      </c>
      <c r="D74" s="5">
        <v>3000</v>
      </c>
    </row>
    <row r="75" spans="1:4" ht="60">
      <c r="A75" s="2"/>
      <c r="B75" s="4" t="s">
        <v>35</v>
      </c>
      <c r="C75" s="4" t="s">
        <v>55244</v>
      </c>
      <c r="D75" s="5">
        <v>3000</v>
      </c>
    </row>
    <row r="76" spans="1:4" ht="60">
      <c r="A76" s="2"/>
      <c r="B76" s="4" t="s">
        <v>36</v>
      </c>
      <c r="C76" s="4" t="s">
        <v>55246</v>
      </c>
      <c r="D76" s="5">
        <v>3000</v>
      </c>
    </row>
    <row r="77" spans="1:4" ht="15">
      <c r="A77" s="2"/>
      <c r="B77" s="4"/>
      <c r="C77" s="4"/>
      <c r="D77" s="5"/>
    </row>
    <row r="78" spans="1:4" ht="20">
      <c r="A78" s="2"/>
      <c r="B78" s="13"/>
      <c r="C78" s="11" t="s">
        <v>37643</v>
      </c>
      <c r="D78" s="14"/>
    </row>
    <row r="79" spans="1:4" ht="45">
      <c r="A79" s="2"/>
      <c r="B79" s="4" t="s">
        <v>37</v>
      </c>
      <c r="C79" s="9" t="s">
        <v>38</v>
      </c>
      <c r="D79" s="5">
        <v>1100</v>
      </c>
    </row>
    <row r="80" spans="1:4" ht="45">
      <c r="A80" s="2"/>
      <c r="B80" s="4" t="s">
        <v>39</v>
      </c>
      <c r="C80" s="9" t="s">
        <v>40</v>
      </c>
      <c r="D80" s="5">
        <v>1200</v>
      </c>
    </row>
    <row r="81" spans="1:4" ht="45">
      <c r="A81" s="2"/>
      <c r="B81" s="4" t="s">
        <v>41</v>
      </c>
      <c r="C81" s="9" t="s">
        <v>42</v>
      </c>
      <c r="D81" s="5">
        <v>1200</v>
      </c>
    </row>
    <row r="82" spans="1:4" ht="45">
      <c r="A82" s="2"/>
      <c r="B82" s="4" t="s">
        <v>43</v>
      </c>
      <c r="C82" s="9" t="s">
        <v>44</v>
      </c>
      <c r="D82" s="5">
        <v>1550</v>
      </c>
    </row>
    <row r="83" spans="1:4" ht="50" customHeight="1">
      <c r="B83" s="4" t="s">
        <v>45</v>
      </c>
      <c r="C83" s="9" t="s">
        <v>46</v>
      </c>
      <c r="D83" s="5">
        <v>1700</v>
      </c>
    </row>
    <row r="84" spans="1:4" ht="45">
      <c r="B84" s="4" t="s">
        <v>47</v>
      </c>
      <c r="C84" s="9" t="s">
        <v>48</v>
      </c>
      <c r="D84" s="5">
        <v>1700</v>
      </c>
    </row>
    <row r="85" spans="1:4" ht="45">
      <c r="B85" s="4" t="s">
        <v>49</v>
      </c>
      <c r="C85" s="9" t="s">
        <v>50</v>
      </c>
      <c r="D85" s="5">
        <v>1100</v>
      </c>
    </row>
    <row r="86" spans="1:4" ht="45">
      <c r="B86" s="4" t="s">
        <v>51</v>
      </c>
      <c r="C86" s="4" t="s">
        <v>52</v>
      </c>
      <c r="D86" s="5">
        <v>1150</v>
      </c>
    </row>
    <row r="87" spans="1:4" ht="30">
      <c r="B87" s="4" t="s">
        <v>53</v>
      </c>
      <c r="C87" s="4" t="s">
        <v>54</v>
      </c>
      <c r="D87" s="5">
        <v>800</v>
      </c>
    </row>
    <row r="88" spans="1:4" ht="30">
      <c r="B88" s="4" t="s">
        <v>55</v>
      </c>
      <c r="C88" s="4" t="s">
        <v>56</v>
      </c>
      <c r="D88" s="5">
        <v>800</v>
      </c>
    </row>
    <row r="89" spans="1:4" ht="30">
      <c r="B89" s="4" t="s">
        <v>57</v>
      </c>
      <c r="C89" s="4" t="s">
        <v>58</v>
      </c>
      <c r="D89" s="5">
        <v>800</v>
      </c>
    </row>
    <row r="90" spans="1:4" ht="30">
      <c r="B90" s="4" t="s">
        <v>59</v>
      </c>
      <c r="C90" s="4" t="s">
        <v>60</v>
      </c>
      <c r="D90" s="5">
        <v>950</v>
      </c>
    </row>
    <row r="91" spans="1:4" ht="60">
      <c r="A91" s="332" t="s">
        <v>55215</v>
      </c>
      <c r="B91" s="7" t="s">
        <v>61</v>
      </c>
      <c r="C91" s="7" t="s">
        <v>62</v>
      </c>
      <c r="D91" s="8">
        <v>725</v>
      </c>
    </row>
    <row r="92" spans="1:4" ht="60">
      <c r="A92" s="332"/>
      <c r="B92" s="7" t="s">
        <v>63</v>
      </c>
      <c r="C92" s="7" t="s">
        <v>64</v>
      </c>
      <c r="D92" s="8">
        <v>400</v>
      </c>
    </row>
    <row r="93" spans="1:4" ht="60">
      <c r="A93" s="332"/>
      <c r="B93" s="7" t="s">
        <v>65</v>
      </c>
      <c r="C93" s="7" t="s">
        <v>66</v>
      </c>
      <c r="D93" s="8">
        <v>450</v>
      </c>
    </row>
    <row r="94" spans="1:4" ht="45">
      <c r="A94" s="332"/>
      <c r="B94" s="7" t="s">
        <v>67</v>
      </c>
      <c r="C94" s="7" t="s">
        <v>68</v>
      </c>
      <c r="D94" s="8">
        <v>595</v>
      </c>
    </row>
    <row r="95" spans="1:4" ht="60">
      <c r="A95" s="332"/>
      <c r="B95" s="7" t="s">
        <v>69</v>
      </c>
      <c r="C95" s="7" t="s">
        <v>70</v>
      </c>
      <c r="D95" s="8">
        <v>250</v>
      </c>
    </row>
    <row r="96" spans="1:4" ht="45">
      <c r="A96" s="332"/>
      <c r="B96" s="7" t="s">
        <v>71</v>
      </c>
      <c r="C96" s="7" t="s">
        <v>72</v>
      </c>
      <c r="D96" s="8">
        <v>250</v>
      </c>
    </row>
    <row r="97" spans="1:4" ht="45">
      <c r="A97" s="332"/>
      <c r="B97" s="7" t="s">
        <v>73</v>
      </c>
      <c r="C97" s="7" t="s">
        <v>74</v>
      </c>
      <c r="D97" s="8">
        <v>350</v>
      </c>
    </row>
    <row r="98" spans="1:4" ht="45">
      <c r="A98" s="332"/>
      <c r="B98" s="7" t="s">
        <v>75</v>
      </c>
      <c r="C98" s="7" t="s">
        <v>76</v>
      </c>
      <c r="D98" s="8">
        <v>250</v>
      </c>
    </row>
    <row r="99" spans="1:4" ht="58.5" customHeight="1">
      <c r="A99" s="332"/>
      <c r="B99" s="7" t="s">
        <v>77</v>
      </c>
      <c r="C99" s="7" t="s">
        <v>78</v>
      </c>
      <c r="D99" s="8">
        <v>250</v>
      </c>
    </row>
    <row r="100" spans="1:4" ht="51.75" customHeight="1">
      <c r="A100" s="332"/>
      <c r="B100" s="7" t="s">
        <v>79</v>
      </c>
      <c r="C100" s="7" t="s">
        <v>80</v>
      </c>
      <c r="D100" s="8">
        <v>250</v>
      </c>
    </row>
    <row r="101" spans="1:4" ht="30">
      <c r="B101" s="4">
        <v>650003</v>
      </c>
      <c r="C101" s="4" t="s">
        <v>81</v>
      </c>
      <c r="D101" s="5">
        <v>850</v>
      </c>
    </row>
    <row r="102" spans="1:4" ht="30">
      <c r="B102" s="4" t="s">
        <v>82</v>
      </c>
      <c r="C102" s="4" t="s">
        <v>83</v>
      </c>
      <c r="D102" s="5">
        <v>850</v>
      </c>
    </row>
    <row r="103" spans="1:4" ht="30">
      <c r="B103" s="4" t="s">
        <v>84</v>
      </c>
      <c r="C103" s="4" t="s">
        <v>85</v>
      </c>
      <c r="D103" s="5">
        <v>345</v>
      </c>
    </row>
    <row r="104" spans="1:4" ht="30">
      <c r="B104" s="4">
        <v>750501</v>
      </c>
      <c r="C104" s="4" t="s">
        <v>86</v>
      </c>
      <c r="D104" s="5">
        <v>305</v>
      </c>
    </row>
    <row r="105" spans="1:4" ht="15">
      <c r="B105" s="4" t="s">
        <v>212</v>
      </c>
      <c r="C105" s="4" t="s">
        <v>37644</v>
      </c>
      <c r="D105" s="5">
        <v>1100</v>
      </c>
    </row>
    <row r="106" spans="1:4" ht="15">
      <c r="B106" s="4" t="s">
        <v>213</v>
      </c>
      <c r="C106" s="4" t="s">
        <v>37645</v>
      </c>
      <c r="D106" s="5">
        <v>900</v>
      </c>
    </row>
    <row r="107" spans="1:4" ht="15">
      <c r="B107" s="4" t="s">
        <v>214</v>
      </c>
      <c r="C107" s="4" t="s">
        <v>37646</v>
      </c>
      <c r="D107" s="5">
        <v>500</v>
      </c>
    </row>
    <row r="108" spans="1:4" ht="15">
      <c r="B108" s="4" t="s">
        <v>37647</v>
      </c>
      <c r="C108" s="4" t="s">
        <v>37648</v>
      </c>
      <c r="D108" s="5">
        <v>700</v>
      </c>
    </row>
    <row r="109" spans="1:4" ht="15">
      <c r="B109" s="4" t="s">
        <v>215</v>
      </c>
      <c r="C109" s="4" t="s">
        <v>37649</v>
      </c>
      <c r="D109" s="5">
        <v>900</v>
      </c>
    </row>
    <row r="110" spans="1:4" ht="15">
      <c r="B110" s="4" t="s">
        <v>37652</v>
      </c>
      <c r="C110" s="4" t="s">
        <v>37650</v>
      </c>
      <c r="D110" s="5">
        <v>1200</v>
      </c>
    </row>
    <row r="111" spans="1:4" ht="15">
      <c r="B111" s="4" t="s">
        <v>216</v>
      </c>
      <c r="C111" s="4" t="s">
        <v>37651</v>
      </c>
      <c r="D111" s="5">
        <v>400</v>
      </c>
    </row>
    <row r="112" spans="1:4" ht="15">
      <c r="B112" s="4" t="s">
        <v>217</v>
      </c>
      <c r="C112" s="4" t="s">
        <v>37653</v>
      </c>
      <c r="D112" s="5">
        <v>450</v>
      </c>
    </row>
    <row r="113" spans="2:4" ht="15">
      <c r="B113" s="4" t="s">
        <v>218</v>
      </c>
      <c r="C113" s="4" t="s">
        <v>37654</v>
      </c>
      <c r="D113" s="5">
        <v>450</v>
      </c>
    </row>
    <row r="114" spans="2:4" ht="15">
      <c r="B114" s="4" t="s">
        <v>219</v>
      </c>
      <c r="C114" s="4" t="s">
        <v>37655</v>
      </c>
      <c r="D114" s="5">
        <v>500</v>
      </c>
    </row>
    <row r="115" spans="2:4" ht="15">
      <c r="B115" s="4" t="s">
        <v>220</v>
      </c>
      <c r="C115" s="4" t="s">
        <v>37656</v>
      </c>
      <c r="D115" s="5">
        <v>1600</v>
      </c>
    </row>
    <row r="116" spans="2:4" ht="15">
      <c r="B116" s="4" t="s">
        <v>221</v>
      </c>
      <c r="C116" s="4" t="s">
        <v>37657</v>
      </c>
      <c r="D116" s="5">
        <v>1600</v>
      </c>
    </row>
    <row r="117" spans="2:4" ht="15">
      <c r="B117" s="4" t="s">
        <v>222</v>
      </c>
      <c r="C117" s="4" t="s">
        <v>37658</v>
      </c>
      <c r="D117" s="5">
        <v>1400</v>
      </c>
    </row>
    <row r="118" spans="2:4" ht="15">
      <c r="B118" s="4" t="s">
        <v>37659</v>
      </c>
      <c r="C118" s="4" t="s">
        <v>37660</v>
      </c>
      <c r="D118" s="5">
        <v>600</v>
      </c>
    </row>
    <row r="119" spans="2:4" ht="15">
      <c r="B119" s="4" t="s">
        <v>37661</v>
      </c>
      <c r="C119" s="4" t="s">
        <v>37662</v>
      </c>
      <c r="D119" s="5">
        <v>400</v>
      </c>
    </row>
    <row r="120" spans="2:4" ht="15">
      <c r="B120" s="4" t="s">
        <v>223</v>
      </c>
      <c r="C120" s="4" t="s">
        <v>37663</v>
      </c>
      <c r="D120" s="5">
        <v>500</v>
      </c>
    </row>
    <row r="121" spans="2:4" ht="15">
      <c r="B121" s="4" t="s">
        <v>224</v>
      </c>
      <c r="C121" s="4" t="s">
        <v>37664</v>
      </c>
      <c r="D121" s="5">
        <v>700</v>
      </c>
    </row>
    <row r="122" spans="2:4" ht="15">
      <c r="B122" s="4" t="s">
        <v>37665</v>
      </c>
      <c r="C122" s="4" t="s">
        <v>37666</v>
      </c>
      <c r="D122" s="5">
        <v>150</v>
      </c>
    </row>
    <row r="123" spans="2:4" ht="15">
      <c r="B123" s="4" t="s">
        <v>37667</v>
      </c>
      <c r="C123" s="4" t="s">
        <v>37668</v>
      </c>
      <c r="D123" s="5">
        <v>150</v>
      </c>
    </row>
    <row r="124" spans="2:4" ht="30">
      <c r="B124" s="4" t="s">
        <v>22007</v>
      </c>
      <c r="C124" s="4" t="s">
        <v>22004</v>
      </c>
      <c r="D124" s="5">
        <v>1000</v>
      </c>
    </row>
    <row r="125" spans="2:4" ht="30">
      <c r="B125" s="4" t="s">
        <v>22006</v>
      </c>
      <c r="C125" s="4" t="s">
        <v>22005</v>
      </c>
      <c r="D125" s="5">
        <v>1000</v>
      </c>
    </row>
    <row r="126" spans="2:4" ht="15">
      <c r="B126" s="4" t="s">
        <v>22016</v>
      </c>
      <c r="C126" s="4" t="s">
        <v>22008</v>
      </c>
      <c r="D126" s="5">
        <v>1200</v>
      </c>
    </row>
    <row r="127" spans="2:4" ht="30">
      <c r="B127" s="4" t="s">
        <v>22017</v>
      </c>
      <c r="C127" s="4" t="s">
        <v>22009</v>
      </c>
      <c r="D127" s="5">
        <v>600</v>
      </c>
    </row>
    <row r="128" spans="2:4" ht="30">
      <c r="B128" s="4" t="s">
        <v>22018</v>
      </c>
      <c r="C128" s="4" t="s">
        <v>22010</v>
      </c>
      <c r="D128" s="5">
        <v>650</v>
      </c>
    </row>
    <row r="129" spans="2:4" ht="30">
      <c r="B129" s="4" t="s">
        <v>22019</v>
      </c>
      <c r="C129" s="4" t="s">
        <v>22011</v>
      </c>
      <c r="D129" s="5">
        <v>500</v>
      </c>
    </row>
    <row r="130" spans="2:4" ht="30">
      <c r="B130" s="4" t="s">
        <v>22020</v>
      </c>
      <c r="C130" s="4" t="s">
        <v>22012</v>
      </c>
      <c r="D130" s="5">
        <v>800</v>
      </c>
    </row>
    <row r="131" spans="2:4" ht="15">
      <c r="B131" s="4" t="s">
        <v>22021</v>
      </c>
      <c r="C131" s="4" t="s">
        <v>22013</v>
      </c>
      <c r="D131" s="5">
        <v>450</v>
      </c>
    </row>
    <row r="132" spans="2:4" ht="15">
      <c r="B132" s="4" t="s">
        <v>22022</v>
      </c>
      <c r="C132" s="4" t="s">
        <v>22014</v>
      </c>
      <c r="D132" s="5">
        <v>350</v>
      </c>
    </row>
    <row r="133" spans="2:4" ht="15">
      <c r="B133" s="4" t="s">
        <v>22023</v>
      </c>
      <c r="C133" s="4" t="s">
        <v>22015</v>
      </c>
      <c r="D133" s="5">
        <v>450</v>
      </c>
    </row>
    <row r="134" spans="2:4" ht="15">
      <c r="B134" s="4"/>
      <c r="C134" s="4"/>
      <c r="D134" s="5"/>
    </row>
    <row r="135" spans="2:4" ht="20">
      <c r="B135" s="13"/>
      <c r="C135" s="11" t="s">
        <v>37716</v>
      </c>
      <c r="D135" s="14"/>
    </row>
    <row r="136" spans="2:4" ht="58.5" customHeight="1">
      <c r="B136" s="4" t="s">
        <v>87</v>
      </c>
      <c r="C136" s="4" t="s">
        <v>88</v>
      </c>
      <c r="D136" s="5">
        <v>350</v>
      </c>
    </row>
    <row r="137" spans="2:4" ht="58.5" customHeight="1">
      <c r="B137" s="4" t="s">
        <v>89</v>
      </c>
      <c r="C137" s="4" t="s">
        <v>90</v>
      </c>
      <c r="D137" s="5">
        <v>355</v>
      </c>
    </row>
    <row r="138" spans="2:4" ht="58.5" customHeight="1">
      <c r="B138" s="4" t="s">
        <v>91</v>
      </c>
      <c r="C138" s="4" t="s">
        <v>92</v>
      </c>
      <c r="D138" s="5">
        <v>440</v>
      </c>
    </row>
    <row r="139" spans="2:4" ht="58.5" customHeight="1">
      <c r="B139" s="4" t="s">
        <v>93</v>
      </c>
      <c r="C139" s="4" t="s">
        <v>94</v>
      </c>
      <c r="D139" s="5">
        <v>450</v>
      </c>
    </row>
    <row r="140" spans="2:4" ht="58.5" customHeight="1">
      <c r="B140" s="4" t="s">
        <v>95</v>
      </c>
      <c r="C140" s="4" t="s">
        <v>55214</v>
      </c>
      <c r="D140" s="5">
        <v>450</v>
      </c>
    </row>
    <row r="141" spans="2:4" ht="60">
      <c r="B141" s="4" t="s">
        <v>96</v>
      </c>
      <c r="C141" s="4" t="s">
        <v>97</v>
      </c>
      <c r="D141" s="5">
        <v>450</v>
      </c>
    </row>
    <row r="142" spans="2:4" ht="60">
      <c r="B142" s="4" t="s">
        <v>98</v>
      </c>
      <c r="C142" s="4" t="s">
        <v>99</v>
      </c>
      <c r="D142" s="5">
        <v>500</v>
      </c>
    </row>
    <row r="143" spans="2:4" ht="45">
      <c r="B143" s="4" t="s">
        <v>100</v>
      </c>
      <c r="C143" s="4" t="s">
        <v>101</v>
      </c>
      <c r="D143" s="5">
        <v>450</v>
      </c>
    </row>
    <row r="144" spans="2:4" ht="30">
      <c r="B144" s="4" t="s">
        <v>102</v>
      </c>
      <c r="C144" s="4" t="s">
        <v>103</v>
      </c>
      <c r="D144" s="5">
        <v>600</v>
      </c>
    </row>
    <row r="145" spans="2:4" ht="30">
      <c r="B145" s="4" t="s">
        <v>104</v>
      </c>
      <c r="C145" s="4" t="s">
        <v>105</v>
      </c>
      <c r="D145" s="5">
        <v>600</v>
      </c>
    </row>
    <row r="146" spans="2:4" ht="45">
      <c r="B146" s="4" t="s">
        <v>106</v>
      </c>
      <c r="C146" s="4" t="s">
        <v>107</v>
      </c>
      <c r="D146" s="5">
        <v>650</v>
      </c>
    </row>
    <row r="147" spans="2:4" ht="45">
      <c r="B147" s="4" t="s">
        <v>108</v>
      </c>
      <c r="C147" s="4" t="s">
        <v>109</v>
      </c>
      <c r="D147" s="5">
        <v>650</v>
      </c>
    </row>
    <row r="148" spans="2:4" ht="45">
      <c r="B148" s="4" t="s">
        <v>110</v>
      </c>
      <c r="C148" s="4" t="s">
        <v>111</v>
      </c>
      <c r="D148" s="5">
        <v>450</v>
      </c>
    </row>
    <row r="149" spans="2:4" ht="45">
      <c r="B149" s="4" t="s">
        <v>112</v>
      </c>
      <c r="C149" s="4" t="s">
        <v>113</v>
      </c>
      <c r="D149" s="5">
        <v>500</v>
      </c>
    </row>
    <row r="150" spans="2:4" ht="60">
      <c r="B150" s="4" t="s">
        <v>114</v>
      </c>
      <c r="C150" s="4" t="s">
        <v>115</v>
      </c>
      <c r="D150" s="5">
        <v>500</v>
      </c>
    </row>
    <row r="151" spans="2:4" ht="60">
      <c r="B151" s="4" t="s">
        <v>136</v>
      </c>
      <c r="C151" s="4" t="s">
        <v>137</v>
      </c>
      <c r="D151" s="5">
        <v>400</v>
      </c>
    </row>
    <row r="152" spans="2:4" ht="60">
      <c r="B152" s="4" t="s">
        <v>138</v>
      </c>
      <c r="C152" s="4" t="s">
        <v>139</v>
      </c>
      <c r="D152" s="5">
        <v>650</v>
      </c>
    </row>
    <row r="153" spans="2:4" ht="30">
      <c r="B153" s="4" t="s">
        <v>116</v>
      </c>
      <c r="C153" s="4" t="s">
        <v>117</v>
      </c>
      <c r="D153" s="5">
        <v>400</v>
      </c>
    </row>
    <row r="154" spans="2:4" ht="45">
      <c r="B154" s="4" t="s">
        <v>118</v>
      </c>
      <c r="C154" s="4" t="s">
        <v>119</v>
      </c>
      <c r="D154" s="5">
        <v>400</v>
      </c>
    </row>
    <row r="155" spans="2:4" ht="30">
      <c r="B155" s="4" t="s">
        <v>120</v>
      </c>
      <c r="C155" s="4" t="s">
        <v>121</v>
      </c>
      <c r="D155" s="5">
        <v>400</v>
      </c>
    </row>
    <row r="156" spans="2:4" ht="30">
      <c r="B156" s="4" t="s">
        <v>122</v>
      </c>
      <c r="C156" s="4" t="s">
        <v>123</v>
      </c>
      <c r="D156" s="5">
        <v>400</v>
      </c>
    </row>
    <row r="157" spans="2:4" ht="45">
      <c r="B157" s="4" t="s">
        <v>124</v>
      </c>
      <c r="C157" s="4" t="s">
        <v>125</v>
      </c>
      <c r="D157" s="5">
        <v>450</v>
      </c>
    </row>
    <row r="158" spans="2:4" ht="60">
      <c r="B158" s="4" t="s">
        <v>126</v>
      </c>
      <c r="C158" s="4" t="s">
        <v>127</v>
      </c>
      <c r="D158" s="5">
        <v>1900</v>
      </c>
    </row>
    <row r="159" spans="2:4" ht="75">
      <c r="B159" s="4" t="s">
        <v>154</v>
      </c>
      <c r="C159" s="4" t="s">
        <v>155</v>
      </c>
      <c r="D159" s="5">
        <v>2500</v>
      </c>
    </row>
    <row r="160" spans="2:4" ht="30">
      <c r="B160" s="4" t="s">
        <v>158</v>
      </c>
      <c r="C160" s="4" t="s">
        <v>159</v>
      </c>
      <c r="D160" s="5">
        <v>150</v>
      </c>
    </row>
    <row r="161" spans="2:4" ht="45">
      <c r="B161" s="4" t="s">
        <v>162</v>
      </c>
      <c r="C161" s="4" t="s">
        <v>163</v>
      </c>
      <c r="D161" s="5">
        <v>1300</v>
      </c>
    </row>
    <row r="162" spans="2:4" ht="60">
      <c r="B162" s="4" t="s">
        <v>164</v>
      </c>
      <c r="C162" s="4" t="s">
        <v>165</v>
      </c>
      <c r="D162" s="5">
        <v>1500</v>
      </c>
    </row>
    <row r="163" spans="2:4" ht="30">
      <c r="B163" s="4" t="s">
        <v>166</v>
      </c>
      <c r="C163" s="4" t="s">
        <v>167</v>
      </c>
      <c r="D163" s="5">
        <v>200</v>
      </c>
    </row>
    <row r="164" spans="2:4" ht="30">
      <c r="B164" s="4" t="s">
        <v>168</v>
      </c>
      <c r="C164" s="4" t="s">
        <v>169</v>
      </c>
      <c r="D164" s="5">
        <v>300</v>
      </c>
    </row>
    <row r="165" spans="2:4" ht="30">
      <c r="B165" s="4" t="s">
        <v>170</v>
      </c>
      <c r="C165" s="4" t="s">
        <v>171</v>
      </c>
      <c r="D165" s="5">
        <v>350</v>
      </c>
    </row>
    <row r="166" spans="2:4" ht="15">
      <c r="B166" s="4" t="s">
        <v>172</v>
      </c>
      <c r="C166" s="4" t="s">
        <v>173</v>
      </c>
      <c r="D166" s="5">
        <v>225</v>
      </c>
    </row>
    <row r="167" spans="2:4" ht="30">
      <c r="B167" s="4" t="s">
        <v>174</v>
      </c>
      <c r="C167" s="4" t="s">
        <v>175</v>
      </c>
      <c r="D167" s="5">
        <v>225</v>
      </c>
    </row>
    <row r="168" spans="2:4" ht="45">
      <c r="B168" s="4" t="s">
        <v>176</v>
      </c>
      <c r="C168" s="4" t="s">
        <v>177</v>
      </c>
      <c r="D168" s="5">
        <v>1500</v>
      </c>
    </row>
    <row r="169" spans="2:4" ht="30">
      <c r="B169" s="4" t="s">
        <v>37669</v>
      </c>
      <c r="C169" s="4" t="s">
        <v>37681</v>
      </c>
      <c r="D169" s="5">
        <v>440</v>
      </c>
    </row>
    <row r="170" spans="2:4" ht="30">
      <c r="B170" s="4" t="s">
        <v>37670</v>
      </c>
      <c r="C170" s="4" t="s">
        <v>37682</v>
      </c>
      <c r="D170" s="5">
        <v>450</v>
      </c>
    </row>
    <row r="171" spans="2:4" ht="30">
      <c r="B171" s="4" t="s">
        <v>37671</v>
      </c>
      <c r="C171" s="4" t="s">
        <v>37683</v>
      </c>
      <c r="D171" s="5">
        <v>450</v>
      </c>
    </row>
    <row r="172" spans="2:4" ht="30">
      <c r="B172" s="4" t="s">
        <v>37672</v>
      </c>
      <c r="C172" s="4" t="s">
        <v>37684</v>
      </c>
      <c r="D172" s="5">
        <v>500</v>
      </c>
    </row>
    <row r="173" spans="2:4" ht="30">
      <c r="B173" s="4" t="s">
        <v>37673</v>
      </c>
      <c r="C173" s="4" t="s">
        <v>37685</v>
      </c>
      <c r="D173" s="5">
        <v>600</v>
      </c>
    </row>
    <row r="174" spans="2:4" ht="30">
      <c r="B174" s="4" t="s">
        <v>37674</v>
      </c>
      <c r="C174" s="4" t="s">
        <v>37686</v>
      </c>
      <c r="D174" s="5">
        <v>640</v>
      </c>
    </row>
    <row r="175" spans="2:4" ht="30">
      <c r="B175" s="4" t="s">
        <v>37675</v>
      </c>
      <c r="C175" s="4" t="s">
        <v>37687</v>
      </c>
      <c r="D175" s="5">
        <v>600</v>
      </c>
    </row>
    <row r="176" spans="2:4" ht="30">
      <c r="B176" s="4" t="s">
        <v>37676</v>
      </c>
      <c r="C176" s="4" t="s">
        <v>37688</v>
      </c>
      <c r="D176" s="5">
        <v>600</v>
      </c>
    </row>
    <row r="177" spans="2:4" ht="15">
      <c r="B177" s="4" t="s">
        <v>225</v>
      </c>
      <c r="C177" s="4" t="s">
        <v>37721</v>
      </c>
      <c r="D177" s="5">
        <v>1100</v>
      </c>
    </row>
    <row r="178" spans="2:4" ht="15">
      <c r="B178" s="4" t="s">
        <v>37677</v>
      </c>
      <c r="C178" s="4" t="s">
        <v>37689</v>
      </c>
      <c r="D178" s="5">
        <v>800</v>
      </c>
    </row>
    <row r="179" spans="2:4" ht="15">
      <c r="B179" s="4" t="s">
        <v>37678</v>
      </c>
      <c r="C179" s="4" t="s">
        <v>37690</v>
      </c>
      <c r="D179" s="5">
        <v>600</v>
      </c>
    </row>
    <row r="180" spans="2:4" ht="15">
      <c r="B180" s="4" t="s">
        <v>37679</v>
      </c>
      <c r="C180" s="4" t="s">
        <v>37690</v>
      </c>
      <c r="D180" s="5">
        <v>600</v>
      </c>
    </row>
    <row r="181" spans="2:4" ht="15">
      <c r="B181" s="4" t="s">
        <v>37680</v>
      </c>
      <c r="C181" s="4" t="s">
        <v>37691</v>
      </c>
      <c r="D181" s="5">
        <v>400</v>
      </c>
    </row>
    <row r="182" spans="2:4" ht="15">
      <c r="B182" s="4" t="s">
        <v>226</v>
      </c>
      <c r="C182" s="4" t="s">
        <v>37722</v>
      </c>
      <c r="D182" s="5">
        <v>200</v>
      </c>
    </row>
    <row r="183" spans="2:4" ht="15">
      <c r="B183" s="4" t="s">
        <v>227</v>
      </c>
      <c r="C183" s="4" t="s">
        <v>37723</v>
      </c>
      <c r="D183" s="5">
        <v>150</v>
      </c>
    </row>
    <row r="184" spans="2:4" ht="15">
      <c r="B184" s="4" t="s">
        <v>228</v>
      </c>
      <c r="C184" s="4" t="s">
        <v>229</v>
      </c>
      <c r="D184" s="5">
        <v>175</v>
      </c>
    </row>
    <row r="185" spans="2:4" ht="15">
      <c r="B185" s="4" t="s">
        <v>21997</v>
      </c>
      <c r="C185" s="4" t="s">
        <v>21985</v>
      </c>
      <c r="D185" s="5">
        <v>800</v>
      </c>
    </row>
    <row r="186" spans="2:4" ht="30">
      <c r="B186" s="4" t="s">
        <v>21998</v>
      </c>
      <c r="C186" s="4" t="s">
        <v>22037</v>
      </c>
      <c r="D186" s="5">
        <v>650</v>
      </c>
    </row>
    <row r="187" spans="2:4" ht="30">
      <c r="B187" s="4" t="s">
        <v>21998</v>
      </c>
      <c r="C187" s="4" t="s">
        <v>22038</v>
      </c>
      <c r="D187" s="5">
        <v>600</v>
      </c>
    </row>
    <row r="188" spans="2:4" ht="30">
      <c r="B188" s="4" t="s">
        <v>21999</v>
      </c>
      <c r="C188" s="4" t="s">
        <v>22039</v>
      </c>
      <c r="D188" s="5">
        <v>650</v>
      </c>
    </row>
    <row r="189" spans="2:4" ht="30">
      <c r="B189" s="4" t="s">
        <v>22000</v>
      </c>
      <c r="C189" s="4" t="s">
        <v>22040</v>
      </c>
      <c r="D189" s="5">
        <v>650</v>
      </c>
    </row>
    <row r="190" spans="2:4" ht="30">
      <c r="B190" s="4" t="s">
        <v>22001</v>
      </c>
      <c r="C190" s="4" t="s">
        <v>22041</v>
      </c>
      <c r="D190" s="5">
        <v>700</v>
      </c>
    </row>
    <row r="191" spans="2:4" ht="30">
      <c r="B191" s="4" t="s">
        <v>22003</v>
      </c>
      <c r="C191" s="4" t="s">
        <v>55200</v>
      </c>
      <c r="D191" s="5">
        <v>500</v>
      </c>
    </row>
    <row r="192" spans="2:4" ht="45">
      <c r="B192" s="4" t="s">
        <v>22002</v>
      </c>
      <c r="C192" s="4" t="s">
        <v>21986</v>
      </c>
      <c r="D192" s="5">
        <v>50</v>
      </c>
    </row>
    <row r="193" spans="2:4" ht="30">
      <c r="B193" s="4" t="s">
        <v>22025</v>
      </c>
      <c r="C193" s="4" t="s">
        <v>22024</v>
      </c>
      <c r="D193" s="5">
        <v>1100</v>
      </c>
    </row>
    <row r="194" spans="2:4" ht="15">
      <c r="B194" s="4" t="s">
        <v>22030</v>
      </c>
      <c r="C194" s="4" t="s">
        <v>37697</v>
      </c>
      <c r="D194" s="5">
        <v>450</v>
      </c>
    </row>
    <row r="195" spans="2:4" ht="15">
      <c r="B195" s="4" t="s">
        <v>22031</v>
      </c>
      <c r="C195" s="4" t="s">
        <v>37696</v>
      </c>
      <c r="D195" s="5">
        <v>600</v>
      </c>
    </row>
    <row r="196" spans="2:4" ht="15">
      <c r="B196" s="4" t="s">
        <v>22032</v>
      </c>
      <c r="C196" s="4" t="s">
        <v>37698</v>
      </c>
      <c r="D196" s="5">
        <v>650</v>
      </c>
    </row>
    <row r="197" spans="2:4" ht="15">
      <c r="B197" s="4" t="s">
        <v>22033</v>
      </c>
      <c r="C197" s="4" t="s">
        <v>37699</v>
      </c>
      <c r="D197" s="5">
        <v>650</v>
      </c>
    </row>
    <row r="198" spans="2:4" ht="15">
      <c r="B198" s="4" t="s">
        <v>22034</v>
      </c>
      <c r="C198" s="4" t="s">
        <v>37695</v>
      </c>
      <c r="D198" s="5">
        <v>800</v>
      </c>
    </row>
    <row r="199" spans="2:4" ht="15">
      <c r="B199" s="4" t="s">
        <v>36384</v>
      </c>
      <c r="C199" s="4" t="s">
        <v>37694</v>
      </c>
      <c r="D199" s="5">
        <v>600</v>
      </c>
    </row>
    <row r="200" spans="2:4" ht="15">
      <c r="B200" s="4" t="s">
        <v>36383</v>
      </c>
      <c r="C200" s="4" t="s">
        <v>37693</v>
      </c>
      <c r="D200" s="5">
        <v>600</v>
      </c>
    </row>
    <row r="201" spans="2:4" ht="15">
      <c r="B201" s="4" t="s">
        <v>22035</v>
      </c>
      <c r="C201" s="4" t="s">
        <v>37704</v>
      </c>
      <c r="D201" s="5">
        <v>700</v>
      </c>
    </row>
    <row r="202" spans="2:4" ht="30">
      <c r="B202" s="4" t="s">
        <v>22036</v>
      </c>
      <c r="C202" s="4" t="s">
        <v>37703</v>
      </c>
      <c r="D202" s="5">
        <v>700</v>
      </c>
    </row>
    <row r="203" spans="2:4" ht="15">
      <c r="B203" s="4" t="s">
        <v>36385</v>
      </c>
      <c r="C203" s="4" t="s">
        <v>55216</v>
      </c>
      <c r="D203" s="5">
        <v>400</v>
      </c>
    </row>
    <row r="204" spans="2:4" ht="15">
      <c r="B204" s="4" t="s">
        <v>36389</v>
      </c>
      <c r="C204" s="4" t="s">
        <v>37706</v>
      </c>
      <c r="D204" s="5">
        <v>450</v>
      </c>
    </row>
    <row r="205" spans="2:4" ht="15">
      <c r="B205" s="4" t="s">
        <v>22042</v>
      </c>
      <c r="C205" s="4" t="s">
        <v>37705</v>
      </c>
      <c r="D205" s="5">
        <v>450</v>
      </c>
    </row>
    <row r="206" spans="2:4" ht="15">
      <c r="B206" s="4" t="s">
        <v>22043</v>
      </c>
      <c r="C206" s="4" t="s">
        <v>37702</v>
      </c>
      <c r="D206" s="5">
        <v>500</v>
      </c>
    </row>
    <row r="207" spans="2:4" ht="15">
      <c r="B207" s="4" t="s">
        <v>36386</v>
      </c>
      <c r="C207" s="4" t="s">
        <v>37700</v>
      </c>
      <c r="D207" s="5">
        <v>400</v>
      </c>
    </row>
    <row r="208" spans="2:4" ht="15">
      <c r="B208" s="4" t="s">
        <v>36387</v>
      </c>
      <c r="C208" s="4" t="s">
        <v>37701</v>
      </c>
      <c r="D208" s="5">
        <v>450</v>
      </c>
    </row>
    <row r="209" spans="2:4" ht="15">
      <c r="B209" s="4" t="s">
        <v>36388</v>
      </c>
      <c r="C209" s="4" t="s">
        <v>55217</v>
      </c>
      <c r="D209" s="5">
        <v>900</v>
      </c>
    </row>
    <row r="210" spans="2:4" ht="15">
      <c r="B210" s="4" t="s">
        <v>37692</v>
      </c>
      <c r="C210" s="4" t="s">
        <v>53889</v>
      </c>
      <c r="D210" s="5">
        <v>600</v>
      </c>
    </row>
    <row r="211" spans="2:4" ht="15">
      <c r="B211" s="4" t="s">
        <v>8075</v>
      </c>
      <c r="C211" s="4" t="s">
        <v>22062</v>
      </c>
      <c r="D211" s="5">
        <v>500</v>
      </c>
    </row>
    <row r="212" spans="2:4" ht="15">
      <c r="B212" s="4"/>
      <c r="C212" s="4"/>
      <c r="D212" s="5"/>
    </row>
    <row r="213" spans="2:4" ht="20">
      <c r="B213" s="13"/>
      <c r="C213" s="11" t="s">
        <v>37707</v>
      </c>
      <c r="D213" s="14"/>
    </row>
    <row r="214" spans="2:4" ht="45">
      <c r="B214" s="7" t="s">
        <v>128</v>
      </c>
      <c r="C214" s="7" t="s">
        <v>129</v>
      </c>
      <c r="D214" s="8">
        <v>1550</v>
      </c>
    </row>
    <row r="215" spans="2:4" ht="45">
      <c r="B215" s="7" t="s">
        <v>130</v>
      </c>
      <c r="C215" s="7" t="s">
        <v>131</v>
      </c>
      <c r="D215" s="8">
        <v>1600</v>
      </c>
    </row>
    <row r="216" spans="2:4" ht="45">
      <c r="B216" s="7" t="s">
        <v>132</v>
      </c>
      <c r="C216" s="7" t="s">
        <v>133</v>
      </c>
      <c r="D216" s="8">
        <v>1600</v>
      </c>
    </row>
    <row r="217" spans="2:4" ht="45">
      <c r="B217" s="7" t="s">
        <v>134</v>
      </c>
      <c r="C217" s="7" t="s">
        <v>135</v>
      </c>
      <c r="D217" s="8">
        <v>1500</v>
      </c>
    </row>
    <row r="218" spans="2:4" ht="15">
      <c r="B218" s="7" t="s">
        <v>37717</v>
      </c>
      <c r="C218" s="7" t="s">
        <v>37719</v>
      </c>
      <c r="D218" s="8">
        <v>800</v>
      </c>
    </row>
    <row r="219" spans="2:4" ht="15">
      <c r="B219" s="7" t="s">
        <v>37718</v>
      </c>
      <c r="C219" s="7" t="s">
        <v>37720</v>
      </c>
      <c r="D219" s="8">
        <v>900</v>
      </c>
    </row>
    <row r="220" spans="2:4" ht="30">
      <c r="B220" s="7" t="s">
        <v>37708</v>
      </c>
      <c r="C220" s="7" t="s">
        <v>37715</v>
      </c>
      <c r="D220" s="8">
        <v>600</v>
      </c>
    </row>
    <row r="221" spans="2:4" ht="30">
      <c r="B221" s="7" t="s">
        <v>37709</v>
      </c>
      <c r="C221" s="7" t="s">
        <v>37712</v>
      </c>
      <c r="D221" s="8">
        <v>800</v>
      </c>
    </row>
    <row r="222" spans="2:4" ht="30">
      <c r="B222" s="7" t="s">
        <v>37710</v>
      </c>
      <c r="C222" s="7" t="s">
        <v>37713</v>
      </c>
      <c r="D222" s="8">
        <v>1300</v>
      </c>
    </row>
    <row r="223" spans="2:4" ht="30">
      <c r="B223" s="7" t="s">
        <v>37711</v>
      </c>
      <c r="C223" s="7" t="s">
        <v>37714</v>
      </c>
      <c r="D223" s="8">
        <v>1500</v>
      </c>
    </row>
    <row r="224" spans="2:4" ht="15">
      <c r="B224" s="4"/>
      <c r="C224" s="4"/>
      <c r="D224" s="5"/>
    </row>
    <row r="225" spans="2:4" ht="20">
      <c r="B225" s="13"/>
      <c r="C225" s="11" t="s">
        <v>55218</v>
      </c>
      <c r="D225" s="14"/>
    </row>
    <row r="226" spans="2:4" ht="15">
      <c r="B226" s="4" t="s">
        <v>156</v>
      </c>
      <c r="C226" s="4" t="s">
        <v>37728</v>
      </c>
      <c r="D226" s="5">
        <v>200</v>
      </c>
    </row>
    <row r="227" spans="2:4" ht="15">
      <c r="B227" s="4" t="s">
        <v>21266</v>
      </c>
      <c r="C227" s="4" t="s">
        <v>37727</v>
      </c>
      <c r="D227" s="5">
        <v>200</v>
      </c>
    </row>
    <row r="228" spans="2:4" ht="15">
      <c r="B228" s="4" t="s">
        <v>21264</v>
      </c>
      <c r="C228" s="4" t="s">
        <v>37726</v>
      </c>
      <c r="D228" s="5">
        <v>200</v>
      </c>
    </row>
    <row r="229" spans="2:4" ht="15">
      <c r="B229" s="4" t="s">
        <v>22047</v>
      </c>
      <c r="C229" s="4" t="s">
        <v>37725</v>
      </c>
      <c r="D229" s="5">
        <v>200</v>
      </c>
    </row>
    <row r="230" spans="2:4" ht="15">
      <c r="B230" s="4" t="s">
        <v>22048</v>
      </c>
      <c r="C230" s="4" t="s">
        <v>37724</v>
      </c>
      <c r="D230" s="5">
        <v>200</v>
      </c>
    </row>
    <row r="231" spans="2:4" ht="30">
      <c r="B231" s="4" t="s">
        <v>2874</v>
      </c>
      <c r="C231" s="4" t="s">
        <v>37729</v>
      </c>
      <c r="D231" s="5">
        <v>200</v>
      </c>
    </row>
    <row r="232" spans="2:4" ht="30">
      <c r="B232" s="4" t="s">
        <v>22049</v>
      </c>
      <c r="C232" s="4" t="s">
        <v>37730</v>
      </c>
      <c r="D232" s="5">
        <v>200</v>
      </c>
    </row>
    <row r="233" spans="2:4" ht="30">
      <c r="B233" s="4" t="s">
        <v>21452</v>
      </c>
      <c r="C233" s="4" t="s">
        <v>37731</v>
      </c>
      <c r="D233" s="5">
        <v>150</v>
      </c>
    </row>
    <row r="234" spans="2:4" ht="30">
      <c r="B234" s="4" t="s">
        <v>157</v>
      </c>
      <c r="C234" s="4" t="s">
        <v>37732</v>
      </c>
      <c r="D234" s="5">
        <v>150</v>
      </c>
    </row>
    <row r="235" spans="2:4" ht="30">
      <c r="B235" s="4" t="s">
        <v>22050</v>
      </c>
      <c r="C235" s="4" t="s">
        <v>37733</v>
      </c>
      <c r="D235" s="5">
        <v>175</v>
      </c>
    </row>
    <row r="236" spans="2:4" ht="30">
      <c r="B236" s="4" t="s">
        <v>21424</v>
      </c>
      <c r="C236" s="4" t="s">
        <v>37734</v>
      </c>
      <c r="D236" s="5">
        <v>100</v>
      </c>
    </row>
    <row r="237" spans="2:4" ht="30">
      <c r="B237" s="4" t="s">
        <v>226</v>
      </c>
      <c r="C237" s="4" t="s">
        <v>37735</v>
      </c>
      <c r="D237" s="5">
        <v>175</v>
      </c>
    </row>
    <row r="238" spans="2:4" ht="15">
      <c r="B238" s="4" t="s">
        <v>35667</v>
      </c>
      <c r="C238" s="4" t="s">
        <v>37736</v>
      </c>
      <c r="D238" s="5">
        <v>175</v>
      </c>
    </row>
    <row r="239" spans="2:4" ht="15">
      <c r="B239" s="4" t="s">
        <v>22051</v>
      </c>
      <c r="C239" s="4" t="s">
        <v>37737</v>
      </c>
      <c r="D239" s="5">
        <v>175</v>
      </c>
    </row>
    <row r="240" spans="2:4" ht="15">
      <c r="B240" s="4" t="s">
        <v>22057</v>
      </c>
      <c r="C240" s="4" t="s">
        <v>22052</v>
      </c>
      <c r="D240" s="5">
        <v>250</v>
      </c>
    </row>
    <row r="241" spans="2:4" ht="15">
      <c r="B241" s="4">
        <v>74754</v>
      </c>
      <c r="C241" s="4" t="s">
        <v>22053</v>
      </c>
      <c r="D241" s="5">
        <v>225</v>
      </c>
    </row>
    <row r="242" spans="2:4" ht="15">
      <c r="B242" s="4">
        <v>75812</v>
      </c>
      <c r="C242" s="4" t="s">
        <v>22054</v>
      </c>
      <c r="D242" s="5">
        <v>225</v>
      </c>
    </row>
    <row r="243" spans="2:4" ht="30">
      <c r="B243" s="4">
        <v>90503</v>
      </c>
      <c r="C243" s="4" t="s">
        <v>22055</v>
      </c>
      <c r="D243" s="5">
        <v>250</v>
      </c>
    </row>
    <row r="244" spans="2:4" ht="45">
      <c r="B244" s="4" t="s">
        <v>22091</v>
      </c>
      <c r="C244" s="4" t="s">
        <v>22056</v>
      </c>
      <c r="D244" s="5">
        <v>250</v>
      </c>
    </row>
    <row r="245" spans="2:4" ht="30">
      <c r="B245" s="4" t="s">
        <v>160</v>
      </c>
      <c r="C245" s="4" t="s">
        <v>22058</v>
      </c>
      <c r="D245" s="5">
        <v>2200</v>
      </c>
    </row>
    <row r="246" spans="2:4" ht="30">
      <c r="B246" s="4" t="s">
        <v>161</v>
      </c>
      <c r="C246" s="4" t="s">
        <v>22059</v>
      </c>
      <c r="D246" s="5">
        <v>2200</v>
      </c>
    </row>
    <row r="247" spans="2:4" ht="30">
      <c r="B247" s="4" t="s">
        <v>22063</v>
      </c>
      <c r="C247" s="4" t="s">
        <v>22060</v>
      </c>
      <c r="D247" s="5">
        <v>2200</v>
      </c>
    </row>
    <row r="248" spans="2:4" ht="45">
      <c r="B248" s="4" t="s">
        <v>22064</v>
      </c>
      <c r="C248" s="4" t="s">
        <v>22061</v>
      </c>
      <c r="D248" s="5">
        <v>1200</v>
      </c>
    </row>
    <row r="249" spans="2:4" ht="15">
      <c r="B249" s="4" t="s">
        <v>8075</v>
      </c>
      <c r="C249" s="4" t="s">
        <v>22062</v>
      </c>
      <c r="D249" s="5">
        <v>500</v>
      </c>
    </row>
    <row r="250" spans="2:4" ht="15">
      <c r="B250" s="4"/>
      <c r="C250" s="4"/>
      <c r="D250" s="5"/>
    </row>
    <row r="251" spans="2:4" ht="20">
      <c r="B251" s="15"/>
      <c r="C251" s="11" t="s">
        <v>178</v>
      </c>
      <c r="D251" s="16"/>
    </row>
    <row r="252" spans="2:4" ht="75">
      <c r="B252" s="4" t="s">
        <v>140</v>
      </c>
      <c r="C252" s="4" t="s">
        <v>141</v>
      </c>
      <c r="D252" s="5">
        <v>900</v>
      </c>
    </row>
    <row r="253" spans="2:4" ht="60">
      <c r="B253" s="4" t="s">
        <v>142</v>
      </c>
      <c r="C253" s="4" t="s">
        <v>143</v>
      </c>
      <c r="D253" s="5">
        <v>950</v>
      </c>
    </row>
    <row r="254" spans="2:4" ht="60">
      <c r="B254" s="4" t="s">
        <v>144</v>
      </c>
      <c r="C254" s="4" t="s">
        <v>145</v>
      </c>
      <c r="D254" s="5">
        <v>950</v>
      </c>
    </row>
    <row r="255" spans="2:4" ht="60">
      <c r="B255" s="4" t="s">
        <v>146</v>
      </c>
      <c r="C255" s="4" t="s">
        <v>147</v>
      </c>
      <c r="D255" s="5">
        <v>950</v>
      </c>
    </row>
    <row r="256" spans="2:4" ht="30">
      <c r="B256" s="4" t="s">
        <v>148</v>
      </c>
      <c r="C256" s="4" t="s">
        <v>149</v>
      </c>
      <c r="D256" s="5">
        <v>75</v>
      </c>
    </row>
    <row r="257" spans="2:4" ht="15">
      <c r="B257" s="4" t="s">
        <v>150</v>
      </c>
      <c r="C257" s="4" t="s">
        <v>151</v>
      </c>
      <c r="D257" s="5">
        <v>75</v>
      </c>
    </row>
    <row r="258" spans="2:4" ht="30">
      <c r="B258" s="4" t="s">
        <v>152</v>
      </c>
      <c r="C258" s="4" t="s">
        <v>153</v>
      </c>
      <c r="D258" s="5">
        <v>50</v>
      </c>
    </row>
    <row r="259" spans="2:4" ht="15">
      <c r="B259" s="4" t="s">
        <v>2</v>
      </c>
      <c r="C259" s="4" t="s">
        <v>182</v>
      </c>
      <c r="D259" s="5">
        <v>900</v>
      </c>
    </row>
    <row r="260" spans="2:4" ht="15">
      <c r="B260" s="4" t="s">
        <v>179</v>
      </c>
      <c r="C260" s="4" t="s">
        <v>184</v>
      </c>
      <c r="D260" s="5">
        <v>900</v>
      </c>
    </row>
    <row r="261" spans="2:4" ht="30">
      <c r="B261" s="4" t="s">
        <v>3</v>
      </c>
      <c r="C261" s="4" t="s">
        <v>185</v>
      </c>
      <c r="D261" s="5">
        <v>950</v>
      </c>
    </row>
    <row r="262" spans="2:4" ht="30">
      <c r="B262" s="4" t="s">
        <v>261</v>
      </c>
      <c r="C262" s="4" t="s">
        <v>55242</v>
      </c>
      <c r="D262" s="5">
        <v>900</v>
      </c>
    </row>
    <row r="263" spans="2:4" ht="30">
      <c r="B263" s="4" t="s">
        <v>180</v>
      </c>
      <c r="C263" s="4" t="s">
        <v>183</v>
      </c>
      <c r="D263" s="5">
        <v>75</v>
      </c>
    </row>
    <row r="264" spans="2:4" ht="15">
      <c r="B264" s="4" t="s">
        <v>181</v>
      </c>
      <c r="C264" s="4" t="s">
        <v>186</v>
      </c>
      <c r="D264" s="5">
        <v>75</v>
      </c>
    </row>
    <row r="265" spans="2:4" ht="15">
      <c r="B265" s="4" t="s">
        <v>188</v>
      </c>
      <c r="C265" s="4" t="s">
        <v>187</v>
      </c>
      <c r="D265" s="5">
        <v>900</v>
      </c>
    </row>
    <row r="266" spans="2:4" ht="15">
      <c r="B266" s="4" t="s">
        <v>189</v>
      </c>
      <c r="C266" s="4" t="s">
        <v>200</v>
      </c>
      <c r="D266" s="5">
        <v>1500</v>
      </c>
    </row>
    <row r="267" spans="2:4" ht="15">
      <c r="B267" s="4" t="s">
        <v>190</v>
      </c>
      <c r="C267" s="4" t="s">
        <v>201</v>
      </c>
      <c r="D267" s="5">
        <v>1500</v>
      </c>
    </row>
    <row r="268" spans="2:4" ht="15">
      <c r="B268" s="4" t="s">
        <v>191</v>
      </c>
      <c r="C268" s="4" t="s">
        <v>202</v>
      </c>
      <c r="D268" s="5">
        <v>1500</v>
      </c>
    </row>
    <row r="269" spans="2:4" ht="15">
      <c r="B269" s="4" t="s">
        <v>192</v>
      </c>
      <c r="C269" s="4" t="s">
        <v>203</v>
      </c>
      <c r="D269" s="5">
        <v>1600</v>
      </c>
    </row>
    <row r="270" spans="2:4" ht="15">
      <c r="B270" s="4" t="s">
        <v>193</v>
      </c>
      <c r="C270" s="4" t="s">
        <v>204</v>
      </c>
      <c r="D270" s="5">
        <v>1600</v>
      </c>
    </row>
    <row r="271" spans="2:4" ht="15">
      <c r="B271" s="4" t="s">
        <v>194</v>
      </c>
      <c r="C271" s="4" t="s">
        <v>205</v>
      </c>
      <c r="D271" s="5">
        <v>1700</v>
      </c>
    </row>
    <row r="272" spans="2:4" ht="15">
      <c r="B272" s="4" t="s">
        <v>195</v>
      </c>
      <c r="C272" s="4" t="s">
        <v>206</v>
      </c>
      <c r="D272" s="5">
        <v>2000</v>
      </c>
    </row>
    <row r="273" spans="2:4" ht="15">
      <c r="B273" s="4" t="s">
        <v>196</v>
      </c>
      <c r="C273" s="4" t="s">
        <v>207</v>
      </c>
      <c r="D273" s="5">
        <v>2000</v>
      </c>
    </row>
    <row r="274" spans="2:4" ht="15">
      <c r="B274" s="4" t="s">
        <v>197</v>
      </c>
      <c r="C274" s="4" t="s">
        <v>208</v>
      </c>
      <c r="D274" s="5">
        <v>2000</v>
      </c>
    </row>
    <row r="275" spans="2:4" ht="15">
      <c r="B275" s="4" t="s">
        <v>198</v>
      </c>
      <c r="C275" s="4" t="s">
        <v>199</v>
      </c>
      <c r="D275" s="5">
        <v>900</v>
      </c>
    </row>
    <row r="276" spans="2:4" ht="15">
      <c r="B276" s="4"/>
      <c r="C276" s="4"/>
      <c r="D276" s="5"/>
    </row>
    <row r="277" spans="2:4" ht="20">
      <c r="B277" s="15"/>
      <c r="C277" s="11" t="s">
        <v>242</v>
      </c>
      <c r="D277" s="16"/>
    </row>
    <row r="278" spans="2:4" ht="15">
      <c r="B278" s="4" t="s">
        <v>230</v>
      </c>
      <c r="C278" s="4" t="s">
        <v>21973</v>
      </c>
      <c r="D278" s="5">
        <v>4500</v>
      </c>
    </row>
    <row r="279" spans="2:4" ht="30">
      <c r="B279" s="4" t="s">
        <v>231</v>
      </c>
      <c r="C279" s="4" t="s">
        <v>21974</v>
      </c>
      <c r="D279" s="5">
        <v>6000</v>
      </c>
    </row>
    <row r="280" spans="2:4" ht="30">
      <c r="B280" s="4" t="s">
        <v>232</v>
      </c>
      <c r="C280" s="4" t="s">
        <v>21975</v>
      </c>
      <c r="D280" s="5">
        <v>6000</v>
      </c>
    </row>
    <row r="281" spans="2:4" ht="30">
      <c r="B281" s="4" t="s">
        <v>233</v>
      </c>
      <c r="C281" s="4" t="s">
        <v>21976</v>
      </c>
      <c r="D281" s="5">
        <v>5500</v>
      </c>
    </row>
    <row r="282" spans="2:4" ht="30">
      <c r="B282" s="4" t="s">
        <v>234</v>
      </c>
      <c r="C282" s="4" t="s">
        <v>21977</v>
      </c>
      <c r="D282" s="5">
        <v>800</v>
      </c>
    </row>
    <row r="283" spans="2:4" ht="30">
      <c r="B283" s="4" t="s">
        <v>235</v>
      </c>
      <c r="C283" s="4" t="s">
        <v>21978</v>
      </c>
      <c r="D283" s="5">
        <v>3500</v>
      </c>
    </row>
    <row r="284" spans="2:4" ht="30">
      <c r="B284" s="4" t="s">
        <v>236</v>
      </c>
      <c r="C284" s="4" t="s">
        <v>21979</v>
      </c>
      <c r="D284" s="5">
        <v>800</v>
      </c>
    </row>
    <row r="285" spans="2:4" ht="30">
      <c r="B285" s="4" t="s">
        <v>237</v>
      </c>
      <c r="C285" s="4" t="s">
        <v>21980</v>
      </c>
      <c r="D285" s="5">
        <v>600</v>
      </c>
    </row>
    <row r="286" spans="2:4" ht="30">
      <c r="B286" s="4" t="s">
        <v>238</v>
      </c>
      <c r="C286" s="4" t="s">
        <v>21981</v>
      </c>
      <c r="D286" s="5">
        <v>5000</v>
      </c>
    </row>
    <row r="287" spans="2:4" ht="30">
      <c r="B287" s="4" t="s">
        <v>239</v>
      </c>
      <c r="C287" s="4" t="s">
        <v>21982</v>
      </c>
      <c r="D287" s="5">
        <v>6000</v>
      </c>
    </row>
    <row r="288" spans="2:4" ht="15">
      <c r="B288" s="4" t="s">
        <v>240</v>
      </c>
      <c r="C288" s="4" t="s">
        <v>21983</v>
      </c>
      <c r="D288" s="5">
        <v>7000</v>
      </c>
    </row>
    <row r="289" spans="2:4" ht="30">
      <c r="B289" s="4" t="s">
        <v>241</v>
      </c>
      <c r="C289" s="4" t="s">
        <v>21984</v>
      </c>
      <c r="D289" s="5">
        <v>2750</v>
      </c>
    </row>
    <row r="290" spans="2:4" ht="45">
      <c r="B290" s="4" t="s">
        <v>244</v>
      </c>
      <c r="C290" s="4" t="s">
        <v>247</v>
      </c>
      <c r="D290" s="5">
        <v>2750</v>
      </c>
    </row>
    <row r="291" spans="2:4" ht="45">
      <c r="B291" s="4" t="s">
        <v>245</v>
      </c>
      <c r="C291" s="4" t="s">
        <v>248</v>
      </c>
      <c r="D291" s="5">
        <v>1500</v>
      </c>
    </row>
    <row r="292" spans="2:4" ht="15">
      <c r="B292" s="4" t="s">
        <v>250</v>
      </c>
      <c r="C292" s="4" t="s">
        <v>249</v>
      </c>
      <c r="D292" s="5">
        <v>250</v>
      </c>
    </row>
    <row r="293" spans="2:4" ht="15">
      <c r="B293" s="4" t="s">
        <v>252</v>
      </c>
      <c r="C293" s="4" t="s">
        <v>251</v>
      </c>
      <c r="D293" s="5">
        <v>400</v>
      </c>
    </row>
    <row r="294" spans="2:4" ht="15">
      <c r="B294" s="4" t="s">
        <v>254</v>
      </c>
      <c r="C294" s="4" t="s">
        <v>253</v>
      </c>
      <c r="D294" s="5">
        <v>700</v>
      </c>
    </row>
    <row r="295" spans="2:4" ht="30">
      <c r="B295" s="4" t="s">
        <v>256</v>
      </c>
      <c r="C295" s="4" t="s">
        <v>255</v>
      </c>
      <c r="D295" s="5">
        <v>400</v>
      </c>
    </row>
    <row r="296" spans="2:4" ht="15">
      <c r="B296" s="4" t="s">
        <v>257</v>
      </c>
      <c r="C296" s="4" t="s">
        <v>258</v>
      </c>
      <c r="D296" s="5">
        <v>400</v>
      </c>
    </row>
    <row r="297" spans="2:4" ht="15">
      <c r="B297" s="4" t="s">
        <v>260</v>
      </c>
      <c r="C297" s="4" t="s">
        <v>243</v>
      </c>
      <c r="D297" s="5">
        <v>600</v>
      </c>
    </row>
    <row r="298" spans="2:4" ht="30">
      <c r="B298" s="4" t="s">
        <v>246</v>
      </c>
      <c r="C298" s="4" t="s">
        <v>259</v>
      </c>
      <c r="D298" s="5">
        <v>1800</v>
      </c>
    </row>
    <row r="299" spans="2:4" ht="30">
      <c r="B299" s="4" t="s">
        <v>22067</v>
      </c>
      <c r="C299" s="4" t="s">
        <v>22066</v>
      </c>
      <c r="D299" s="5">
        <v>5000</v>
      </c>
    </row>
    <row r="300" spans="2:4" ht="30">
      <c r="B300" s="4" t="s">
        <v>22069</v>
      </c>
      <c r="C300" s="4" t="s">
        <v>22068</v>
      </c>
      <c r="D300" s="5">
        <v>5000</v>
      </c>
    </row>
    <row r="301" spans="2:4" ht="30">
      <c r="B301" s="4" t="s">
        <v>22071</v>
      </c>
      <c r="C301" s="4" t="s">
        <v>22070</v>
      </c>
      <c r="D301" s="5">
        <v>5000</v>
      </c>
    </row>
    <row r="302" spans="2:4" ht="15">
      <c r="B302" s="4" t="s">
        <v>22081</v>
      </c>
      <c r="C302" s="4" t="s">
        <v>22072</v>
      </c>
      <c r="D302" s="5">
        <v>500</v>
      </c>
    </row>
    <row r="303" spans="2:4" ht="15">
      <c r="B303" s="4" t="s">
        <v>22082</v>
      </c>
      <c r="C303" s="4" t="s">
        <v>22073</v>
      </c>
      <c r="D303" s="5">
        <v>150</v>
      </c>
    </row>
    <row r="304" spans="2:4" ht="15">
      <c r="B304" s="4" t="s">
        <v>22083</v>
      </c>
      <c r="C304" s="4" t="s">
        <v>22074</v>
      </c>
      <c r="D304" s="5">
        <v>700</v>
      </c>
    </row>
    <row r="305" spans="2:4" ht="15">
      <c r="B305" s="4" t="s">
        <v>22084</v>
      </c>
      <c r="C305" s="4" t="s">
        <v>22075</v>
      </c>
      <c r="D305" s="5">
        <v>4000</v>
      </c>
    </row>
    <row r="306" spans="2:4" ht="15">
      <c r="B306" s="4" t="s">
        <v>22085</v>
      </c>
      <c r="C306" s="4" t="s">
        <v>22076</v>
      </c>
      <c r="D306" s="5">
        <v>2500</v>
      </c>
    </row>
    <row r="307" spans="2:4" ht="15">
      <c r="B307" s="4" t="s">
        <v>22087</v>
      </c>
      <c r="C307" s="4" t="s">
        <v>22077</v>
      </c>
      <c r="D307" s="5">
        <v>500</v>
      </c>
    </row>
    <row r="308" spans="2:4" ht="30">
      <c r="B308" s="4" t="s">
        <v>22088</v>
      </c>
      <c r="C308" s="4" t="s">
        <v>22078</v>
      </c>
      <c r="D308" s="5">
        <v>322</v>
      </c>
    </row>
    <row r="309" spans="2:4" ht="15" customHeight="1">
      <c r="B309" s="4" t="s">
        <v>22089</v>
      </c>
      <c r="C309" s="4" t="s">
        <v>22079</v>
      </c>
      <c r="D309" s="5">
        <v>700</v>
      </c>
    </row>
    <row r="310" spans="2:4" ht="45">
      <c r="B310" s="4" t="s">
        <v>22090</v>
      </c>
      <c r="C310" s="4" t="s">
        <v>22080</v>
      </c>
      <c r="D310" s="5">
        <v>750</v>
      </c>
    </row>
    <row r="311" spans="2:4" ht="16">
      <c r="B311" s="4"/>
      <c r="C311" s="17"/>
      <c r="D311" s="5"/>
    </row>
    <row r="312" spans="2:4" ht="20">
      <c r="B312" s="15"/>
      <c r="C312" s="11" t="s">
        <v>262</v>
      </c>
      <c r="D312" s="16"/>
    </row>
    <row r="313" spans="2:4" ht="15">
      <c r="B313" s="4" t="s">
        <v>54364</v>
      </c>
      <c r="C313" s="4" t="s">
        <v>55222</v>
      </c>
      <c r="D313" s="5">
        <v>1000</v>
      </c>
    </row>
    <row r="314" spans="2:4" ht="15">
      <c r="B314" s="4" t="s">
        <v>54362</v>
      </c>
      <c r="C314" s="4" t="s">
        <v>55221</v>
      </c>
      <c r="D314" s="5">
        <v>1000</v>
      </c>
    </row>
    <row r="315" spans="2:4" ht="15">
      <c r="B315" s="4" t="s">
        <v>54360</v>
      </c>
      <c r="C315" s="4" t="s">
        <v>55220</v>
      </c>
      <c r="D315" s="5">
        <v>1000</v>
      </c>
    </row>
    <row r="316" spans="2:4" ht="15">
      <c r="B316" s="4" t="s">
        <v>54358</v>
      </c>
      <c r="C316" s="4" t="s">
        <v>55223</v>
      </c>
      <c r="D316" s="5">
        <v>1000</v>
      </c>
    </row>
    <row r="317" spans="2:4" ht="15">
      <c r="B317" s="4" t="s">
        <v>54317</v>
      </c>
      <c r="C317" s="4" t="s">
        <v>55225</v>
      </c>
      <c r="D317" s="5">
        <v>1100</v>
      </c>
    </row>
    <row r="318" spans="2:4" ht="30">
      <c r="B318" s="4" t="s">
        <v>55219</v>
      </c>
      <c r="C318" s="4" t="s">
        <v>55224</v>
      </c>
      <c r="D318" s="5">
        <v>300</v>
      </c>
    </row>
    <row r="319" spans="2:4" ht="30">
      <c r="B319" s="4" t="s">
        <v>54344</v>
      </c>
      <c r="C319" s="4" t="s">
        <v>55226</v>
      </c>
      <c r="D319" s="5">
        <v>125</v>
      </c>
    </row>
    <row r="320" spans="2:4" ht="15">
      <c r="B320" s="4" t="s">
        <v>54341</v>
      </c>
      <c r="C320" s="4" t="s">
        <v>55227</v>
      </c>
      <c r="D320" s="5">
        <v>175</v>
      </c>
    </row>
    <row r="321" spans="2:4" ht="15">
      <c r="B321" s="4" t="s">
        <v>54337</v>
      </c>
      <c r="C321" s="4" t="s">
        <v>55228</v>
      </c>
      <c r="D321" s="5">
        <v>75</v>
      </c>
    </row>
    <row r="322" spans="2:4" ht="15">
      <c r="B322" s="4" t="s">
        <v>54335</v>
      </c>
      <c r="C322" s="4" t="s">
        <v>55229</v>
      </c>
      <c r="D322" s="5">
        <v>50</v>
      </c>
    </row>
    <row r="323" spans="2:4" ht="30">
      <c r="B323" s="4" t="s">
        <v>54333</v>
      </c>
      <c r="C323" s="4" t="s">
        <v>55230</v>
      </c>
      <c r="D323" s="5">
        <v>125</v>
      </c>
    </row>
    <row r="324" spans="2:4" ht="30">
      <c r="B324" s="4" t="s">
        <v>54331</v>
      </c>
      <c r="C324" s="4" t="s">
        <v>55231</v>
      </c>
      <c r="D324" s="5">
        <v>125</v>
      </c>
    </row>
    <row r="325" spans="2:4" ht="30">
      <c r="B325" s="4" t="s">
        <v>54299</v>
      </c>
      <c r="C325" s="4" t="s">
        <v>55232</v>
      </c>
      <c r="D325" s="5">
        <v>1000</v>
      </c>
    </row>
    <row r="326" spans="2:4" ht="30">
      <c r="B326" s="4" t="s">
        <v>54272</v>
      </c>
      <c r="C326" s="7" t="s">
        <v>54280</v>
      </c>
      <c r="D326" s="5">
        <v>3200</v>
      </c>
    </row>
    <row r="327" spans="2:4" ht="15">
      <c r="B327" s="922" t="s">
        <v>54225</v>
      </c>
      <c r="C327" s="7" t="s">
        <v>54223</v>
      </c>
      <c r="D327" s="8">
        <v>3500</v>
      </c>
    </row>
    <row r="328" spans="2:4" ht="15">
      <c r="B328" s="922" t="s">
        <v>54225</v>
      </c>
      <c r="C328" s="7" t="s">
        <v>54228</v>
      </c>
      <c r="D328" s="8">
        <v>5500</v>
      </c>
    </row>
    <row r="329" spans="2:4" ht="15">
      <c r="B329" s="922" t="s">
        <v>54222</v>
      </c>
      <c r="C329" s="7"/>
      <c r="D329" s="8">
        <v>3500</v>
      </c>
    </row>
    <row r="330" spans="2:4" ht="15">
      <c r="B330" s="922" t="s">
        <v>54222</v>
      </c>
      <c r="C330" s="7" t="s">
        <v>54229</v>
      </c>
      <c r="D330" s="8">
        <v>5000</v>
      </c>
    </row>
    <row r="331" spans="2:4" ht="15">
      <c r="B331" s="922" t="s">
        <v>54224</v>
      </c>
      <c r="C331" s="7" t="s">
        <v>54226</v>
      </c>
      <c r="D331" s="8">
        <v>3500</v>
      </c>
    </row>
    <row r="332" spans="2:4" ht="15">
      <c r="B332" s="7" t="s">
        <v>13139</v>
      </c>
      <c r="C332" s="7" t="s">
        <v>54221</v>
      </c>
      <c r="D332" s="8">
        <v>600</v>
      </c>
    </row>
    <row r="333" spans="2:4" ht="15">
      <c r="B333" s="7" t="s">
        <v>54231</v>
      </c>
      <c r="C333" s="7" t="s">
        <v>54227</v>
      </c>
      <c r="D333" s="8">
        <v>5500</v>
      </c>
    </row>
    <row r="334" spans="2:4" ht="15">
      <c r="B334" s="7" t="s">
        <v>54232</v>
      </c>
      <c r="C334" s="922" t="s">
        <v>54230</v>
      </c>
      <c r="D334" s="8">
        <v>5000</v>
      </c>
    </row>
    <row r="335" spans="2:4" ht="15">
      <c r="B335" s="7" t="s">
        <v>13578</v>
      </c>
      <c r="C335" s="922" t="s">
        <v>54233</v>
      </c>
      <c r="D335" s="8">
        <v>500</v>
      </c>
    </row>
    <row r="336" spans="2:4" ht="15">
      <c r="B336" s="7"/>
      <c r="D336" s="8"/>
    </row>
    <row r="337" spans="2:4" ht="20">
      <c r="B337" s="15"/>
      <c r="C337" s="11" t="s">
        <v>53862</v>
      </c>
      <c r="D337" s="16"/>
    </row>
    <row r="338" spans="2:4" ht="30">
      <c r="B338" s="4" t="s">
        <v>273</v>
      </c>
      <c r="C338" s="4" t="s">
        <v>272</v>
      </c>
      <c r="D338" s="5">
        <v>1600</v>
      </c>
    </row>
    <row r="339" spans="2:4" ht="60">
      <c r="B339" s="4" t="s">
        <v>53891</v>
      </c>
      <c r="C339" s="4" t="s">
        <v>269</v>
      </c>
      <c r="D339" s="5">
        <v>2000</v>
      </c>
    </row>
    <row r="340" spans="2:4" ht="15">
      <c r="B340" s="7" t="s">
        <v>276</v>
      </c>
      <c r="C340" s="7" t="s">
        <v>268</v>
      </c>
      <c r="D340" s="8">
        <v>400</v>
      </c>
    </row>
    <row r="341" spans="2:4" ht="15">
      <c r="B341" s="4" t="s">
        <v>274</v>
      </c>
      <c r="C341" s="4" t="s">
        <v>275</v>
      </c>
      <c r="D341" s="5">
        <v>500</v>
      </c>
    </row>
    <row r="342" spans="2:4" ht="30">
      <c r="B342" s="4" t="s">
        <v>277</v>
      </c>
      <c r="C342" s="4" t="s">
        <v>272</v>
      </c>
      <c r="D342" s="5">
        <v>1700</v>
      </c>
    </row>
    <row r="343" spans="2:4" ht="15">
      <c r="B343" s="4" t="s">
        <v>53892</v>
      </c>
      <c r="C343" s="4" t="s">
        <v>53893</v>
      </c>
      <c r="D343" s="5">
        <v>600</v>
      </c>
    </row>
    <row r="344" spans="2:4" ht="60">
      <c r="B344" s="4" t="s">
        <v>278</v>
      </c>
      <c r="C344" s="4" t="s">
        <v>269</v>
      </c>
      <c r="D344" s="5">
        <v>3500</v>
      </c>
    </row>
    <row r="345" spans="2:4" ht="15">
      <c r="B345" s="4" t="s">
        <v>279</v>
      </c>
      <c r="C345" s="4" t="s">
        <v>275</v>
      </c>
      <c r="D345" s="5">
        <v>500</v>
      </c>
    </row>
    <row r="346" spans="2:4" ht="15">
      <c r="B346" s="4" t="s">
        <v>53863</v>
      </c>
      <c r="C346" s="4" t="s">
        <v>53864</v>
      </c>
      <c r="D346" s="5">
        <v>1500</v>
      </c>
    </row>
    <row r="347" spans="2:4" ht="30">
      <c r="B347" s="4" t="s">
        <v>37589</v>
      </c>
      <c r="C347" s="4" t="s">
        <v>37596</v>
      </c>
      <c r="D347" s="5">
        <v>4600</v>
      </c>
    </row>
    <row r="348" spans="2:4" ht="30">
      <c r="B348" s="4" t="s">
        <v>37586</v>
      </c>
      <c r="C348" s="4" t="s">
        <v>37597</v>
      </c>
      <c r="D348" s="5">
        <v>4600</v>
      </c>
    </row>
    <row r="349" spans="2:4" ht="15">
      <c r="B349" s="4" t="s">
        <v>37249</v>
      </c>
      <c r="C349" s="4" t="s">
        <v>37598</v>
      </c>
      <c r="D349" s="5">
        <v>3000</v>
      </c>
    </row>
    <row r="350" spans="2:4" ht="30">
      <c r="B350" s="4" t="s">
        <v>37152</v>
      </c>
      <c r="C350" s="4" t="s">
        <v>37596</v>
      </c>
      <c r="D350" s="5">
        <v>5000</v>
      </c>
    </row>
    <row r="351" spans="2:4" ht="30">
      <c r="B351" s="4" t="s">
        <v>37146</v>
      </c>
      <c r="C351" s="4" t="s">
        <v>37597</v>
      </c>
      <c r="D351" s="5">
        <v>5000</v>
      </c>
    </row>
    <row r="352" spans="2:4" ht="30">
      <c r="B352" s="4" t="s">
        <v>36690</v>
      </c>
      <c r="C352" s="4" t="s">
        <v>37599</v>
      </c>
      <c r="D352" s="5">
        <v>5000</v>
      </c>
    </row>
    <row r="353" spans="2:4" ht="15">
      <c r="B353" s="4"/>
      <c r="C353" s="4"/>
      <c r="D353" s="5"/>
    </row>
    <row r="354" spans="2:4" ht="20">
      <c r="B354" s="15"/>
      <c r="C354" s="11" t="s">
        <v>54236</v>
      </c>
      <c r="D354" s="16"/>
    </row>
    <row r="355" spans="2:4" ht="30">
      <c r="B355" s="915" t="s">
        <v>37600</v>
      </c>
      <c r="C355" s="916" t="s">
        <v>37601</v>
      </c>
      <c r="D355" s="917">
        <v>900</v>
      </c>
    </row>
    <row r="356" spans="2:4" ht="30">
      <c r="B356" s="927" t="s">
        <v>54234</v>
      </c>
      <c r="C356" s="916" t="s">
        <v>55233</v>
      </c>
      <c r="D356" s="926">
        <v>1800</v>
      </c>
    </row>
    <row r="357" spans="2:4" ht="45">
      <c r="B357" s="928" t="s">
        <v>54235</v>
      </c>
      <c r="C357" s="916" t="s">
        <v>55234</v>
      </c>
      <c r="D357" s="926">
        <v>1200</v>
      </c>
    </row>
    <row r="358" spans="2:4" ht="15">
      <c r="B358" s="928" t="s">
        <v>15209</v>
      </c>
      <c r="C358" s="916" t="s">
        <v>54254</v>
      </c>
      <c r="D358" s="926">
        <v>900</v>
      </c>
    </row>
    <row r="359" spans="2:4" ht="15">
      <c r="B359" s="928" t="s">
        <v>54255</v>
      </c>
      <c r="C359" s="916" t="s">
        <v>54256</v>
      </c>
      <c r="D359" s="926">
        <v>800</v>
      </c>
    </row>
    <row r="360" spans="2:4" ht="15">
      <c r="B360" s="928" t="s">
        <v>15201</v>
      </c>
      <c r="C360" s="916" t="s">
        <v>54257</v>
      </c>
      <c r="D360" s="926">
        <v>900</v>
      </c>
    </row>
    <row r="361" spans="2:4" ht="45">
      <c r="B361" s="929" t="s">
        <v>54239</v>
      </c>
      <c r="C361" s="930" t="s">
        <v>54240</v>
      </c>
      <c r="D361" s="931">
        <v>2000</v>
      </c>
    </row>
    <row r="362" spans="2:4" ht="60">
      <c r="B362" s="929" t="s">
        <v>54244</v>
      </c>
      <c r="C362" s="930" t="s">
        <v>54245</v>
      </c>
      <c r="D362" s="931">
        <v>2250</v>
      </c>
    </row>
    <row r="363" spans="2:4" ht="45">
      <c r="B363" s="929" t="s">
        <v>54241</v>
      </c>
      <c r="C363" s="930" t="s">
        <v>54248</v>
      </c>
      <c r="D363" s="931">
        <v>3000</v>
      </c>
    </row>
    <row r="364" spans="2:4" ht="60">
      <c r="B364" s="924" t="s">
        <v>54249</v>
      </c>
      <c r="C364" s="925" t="s">
        <v>54250</v>
      </c>
      <c r="D364" s="926">
        <v>3500</v>
      </c>
    </row>
    <row r="365" spans="2:4" ht="60">
      <c r="B365" s="924" t="s">
        <v>54237</v>
      </c>
      <c r="C365" s="925" t="s">
        <v>54238</v>
      </c>
      <c r="D365" s="926">
        <v>3500</v>
      </c>
    </row>
    <row r="366" spans="2:4" ht="15">
      <c r="B366" s="924"/>
      <c r="C366" s="925"/>
      <c r="D366" s="926"/>
    </row>
    <row r="367" spans="2:4" ht="20">
      <c r="B367" s="15"/>
      <c r="C367" s="11" t="s">
        <v>54258</v>
      </c>
      <c r="D367" s="16"/>
    </row>
    <row r="368" spans="2:4" ht="15">
      <c r="B368" s="918" t="s">
        <v>25700</v>
      </c>
      <c r="C368" s="918" t="s">
        <v>53870</v>
      </c>
      <c r="D368" s="919">
        <v>750</v>
      </c>
    </row>
    <row r="369" spans="2:4" ht="15">
      <c r="B369" s="920" t="s">
        <v>25714</v>
      </c>
      <c r="C369" s="920" t="s">
        <v>54259</v>
      </c>
      <c r="D369" s="921">
        <v>750</v>
      </c>
    </row>
    <row r="370" spans="2:4" ht="15">
      <c r="B370" s="922" t="s">
        <v>25720</v>
      </c>
      <c r="C370" s="922" t="s">
        <v>54260</v>
      </c>
      <c r="D370" s="923">
        <v>800</v>
      </c>
    </row>
    <row r="371" spans="2:4" ht="15">
      <c r="B371" s="922" t="s">
        <v>25686</v>
      </c>
      <c r="C371" s="922" t="s">
        <v>54261</v>
      </c>
      <c r="D371" s="923">
        <v>650</v>
      </c>
    </row>
    <row r="372" spans="2:4" ht="15">
      <c r="B372" s="913" t="s">
        <v>25630</v>
      </c>
      <c r="C372" s="913" t="s">
        <v>53871</v>
      </c>
      <c r="D372" s="914">
        <v>950</v>
      </c>
    </row>
    <row r="373" spans="2:4" ht="30">
      <c r="B373" s="913" t="s">
        <v>25634</v>
      </c>
      <c r="C373" s="913" t="s">
        <v>53872</v>
      </c>
      <c r="D373" s="914">
        <v>1200</v>
      </c>
    </row>
    <row r="374" spans="2:4" ht="30">
      <c r="B374" s="913" t="s">
        <v>54265</v>
      </c>
      <c r="C374" s="4" t="s">
        <v>53874</v>
      </c>
      <c r="D374" s="5">
        <v>1500</v>
      </c>
    </row>
    <row r="375" spans="2:4" ht="15">
      <c r="B375" s="922" t="s">
        <v>25604</v>
      </c>
      <c r="C375" s="7" t="s">
        <v>54266</v>
      </c>
      <c r="D375" s="8">
        <v>1000</v>
      </c>
    </row>
    <row r="376" spans="2:4" ht="30">
      <c r="B376" s="922" t="s">
        <v>54263</v>
      </c>
      <c r="C376" s="922" t="s">
        <v>54262</v>
      </c>
      <c r="D376" s="923">
        <v>1300</v>
      </c>
    </row>
    <row r="377" spans="2:4" ht="15">
      <c r="B377" s="922" t="s">
        <v>25598</v>
      </c>
      <c r="C377" s="7" t="s">
        <v>54264</v>
      </c>
      <c r="D377" s="8">
        <v>1100</v>
      </c>
    </row>
    <row r="378" spans="2:4" ht="15">
      <c r="B378" s="4" t="s">
        <v>25594</v>
      </c>
      <c r="C378" s="4" t="s">
        <v>37602</v>
      </c>
      <c r="D378" s="5">
        <v>850</v>
      </c>
    </row>
    <row r="379" spans="2:4" ht="30">
      <c r="B379" s="4" t="s">
        <v>25592</v>
      </c>
      <c r="C379" s="4" t="s">
        <v>37603</v>
      </c>
      <c r="D379" s="5">
        <v>1100</v>
      </c>
    </row>
    <row r="380" spans="2:4" ht="30">
      <c r="B380" s="4" t="s">
        <v>25586</v>
      </c>
      <c r="C380" s="4" t="s">
        <v>53873</v>
      </c>
      <c r="D380" s="5">
        <v>1300</v>
      </c>
    </row>
    <row r="381" spans="2:4" ht="15">
      <c r="B381" s="4" t="s">
        <v>25734</v>
      </c>
      <c r="C381" s="4" t="s">
        <v>53850</v>
      </c>
      <c r="D381" s="5">
        <v>95</v>
      </c>
    </row>
    <row r="382" spans="2:4" ht="15">
      <c r="B382" s="4" t="s">
        <v>25732</v>
      </c>
      <c r="C382" s="4" t="s">
        <v>53851</v>
      </c>
      <c r="D382" s="5">
        <v>125</v>
      </c>
    </row>
    <row r="383" spans="2:4" ht="15">
      <c r="B383" s="4" t="s">
        <v>25730</v>
      </c>
      <c r="C383" s="4" t="s">
        <v>53852</v>
      </c>
      <c r="D383" s="5">
        <v>95</v>
      </c>
    </row>
    <row r="384" spans="2:4" ht="30">
      <c r="B384" s="4" t="s">
        <v>53848</v>
      </c>
      <c r="C384" s="4" t="s">
        <v>53853</v>
      </c>
      <c r="D384" s="5">
        <v>75</v>
      </c>
    </row>
    <row r="385" spans="2:4" ht="15">
      <c r="B385" s="4" t="s">
        <v>25726</v>
      </c>
      <c r="C385" s="4" t="s">
        <v>53854</v>
      </c>
      <c r="D385" s="5">
        <v>100</v>
      </c>
    </row>
    <row r="386" spans="2:4" ht="15">
      <c r="B386" s="4" t="s">
        <v>26724</v>
      </c>
      <c r="C386" s="4" t="s">
        <v>53849</v>
      </c>
      <c r="D386" s="5">
        <v>75</v>
      </c>
    </row>
    <row r="387" spans="2:4" ht="15">
      <c r="B387" s="4" t="s">
        <v>26722</v>
      </c>
      <c r="C387" s="4" t="s">
        <v>53855</v>
      </c>
      <c r="D387" s="5">
        <v>175</v>
      </c>
    </row>
    <row r="388" spans="2:4" ht="15">
      <c r="B388" s="4" t="s">
        <v>26720</v>
      </c>
      <c r="C388" s="4" t="s">
        <v>53861</v>
      </c>
      <c r="D388" s="5">
        <v>150</v>
      </c>
    </row>
    <row r="389" spans="2:4" ht="15">
      <c r="B389" s="4" t="s">
        <v>26718</v>
      </c>
      <c r="C389" s="4" t="s">
        <v>53856</v>
      </c>
      <c r="D389" s="5">
        <v>200</v>
      </c>
    </row>
    <row r="390" spans="2:4" ht="15">
      <c r="B390" s="4" t="s">
        <v>26717</v>
      </c>
      <c r="C390" s="4" t="s">
        <v>53857</v>
      </c>
      <c r="D390" s="5">
        <v>275</v>
      </c>
    </row>
    <row r="391" spans="2:4" ht="15">
      <c r="B391" s="4" t="s">
        <v>53858</v>
      </c>
      <c r="C391" s="4" t="s">
        <v>53860</v>
      </c>
      <c r="D391" s="5">
        <v>300</v>
      </c>
    </row>
    <row r="392" spans="2:4" ht="15">
      <c r="B392" s="4" t="s">
        <v>53859</v>
      </c>
      <c r="C392" s="4" t="s">
        <v>53856</v>
      </c>
      <c r="D392" s="5">
        <v>350</v>
      </c>
    </row>
    <row r="393" spans="2:4" ht="15">
      <c r="B393" s="4" t="s">
        <v>25724</v>
      </c>
      <c r="C393" s="4" t="s">
        <v>25723</v>
      </c>
      <c r="D393" s="5">
        <v>150</v>
      </c>
    </row>
    <row r="394" spans="2:4" ht="15">
      <c r="B394" s="4" t="s">
        <v>25722</v>
      </c>
      <c r="C394" s="4" t="s">
        <v>25721</v>
      </c>
      <c r="D394" s="5">
        <v>75</v>
      </c>
    </row>
    <row r="395" spans="2:4" ht="15">
      <c r="B395" s="7" t="s">
        <v>25895</v>
      </c>
      <c r="C395" s="7" t="s">
        <v>25894</v>
      </c>
      <c r="D395" s="8">
        <v>400</v>
      </c>
    </row>
    <row r="396" spans="2:4" ht="15">
      <c r="B396" s="7" t="s">
        <v>25893</v>
      </c>
      <c r="C396" s="7" t="s">
        <v>54267</v>
      </c>
      <c r="D396" s="8">
        <v>400</v>
      </c>
    </row>
    <row r="397" spans="2:4" ht="15">
      <c r="B397" s="4" t="s">
        <v>53865</v>
      </c>
      <c r="C397" s="4" t="s">
        <v>53866</v>
      </c>
      <c r="D397" s="5">
        <v>50</v>
      </c>
    </row>
    <row r="398" spans="2:4" ht="15">
      <c r="B398" s="4"/>
      <c r="C398" s="4"/>
      <c r="D398" s="5"/>
    </row>
    <row r="399" spans="2:4" ht="20">
      <c r="B399" s="15"/>
      <c r="C399" s="11" t="s">
        <v>53890</v>
      </c>
      <c r="D399" s="16"/>
    </row>
    <row r="400" spans="2:4" ht="30">
      <c r="B400" s="4" t="s">
        <v>54251</v>
      </c>
      <c r="C400" s="4" t="s">
        <v>37738</v>
      </c>
      <c r="D400" s="5">
        <v>2800</v>
      </c>
    </row>
    <row r="401" spans="2:4" ht="30">
      <c r="B401" s="4" t="s">
        <v>54242</v>
      </c>
      <c r="C401" s="4" t="s">
        <v>54243</v>
      </c>
      <c r="D401" s="5">
        <v>1800</v>
      </c>
    </row>
    <row r="402" spans="2:4" ht="30">
      <c r="B402" s="4" t="s">
        <v>54247</v>
      </c>
      <c r="C402" s="4" t="s">
        <v>54246</v>
      </c>
      <c r="D402" s="5">
        <v>2500</v>
      </c>
    </row>
    <row r="403" spans="2:4" ht="45">
      <c r="B403" s="4"/>
      <c r="C403" s="4" t="s">
        <v>37741</v>
      </c>
      <c r="D403" s="5">
        <v>2200</v>
      </c>
    </row>
    <row r="404" spans="2:4" ht="15">
      <c r="B404" s="4"/>
      <c r="C404" s="4" t="s">
        <v>37739</v>
      </c>
      <c r="D404" s="5">
        <v>3000</v>
      </c>
    </row>
    <row r="405" spans="2:4" ht="15">
      <c r="B405" s="4"/>
      <c r="C405" s="4" t="s">
        <v>37740</v>
      </c>
      <c r="D405" s="5">
        <v>2900</v>
      </c>
    </row>
    <row r="406" spans="2:4" ht="60">
      <c r="B406" s="4"/>
      <c r="C406" s="4" t="s">
        <v>37742</v>
      </c>
      <c r="D406" s="5">
        <v>3500</v>
      </c>
    </row>
    <row r="407" spans="2:4" ht="45">
      <c r="B407" s="4" t="s">
        <v>54252</v>
      </c>
      <c r="C407" s="4" t="s">
        <v>54253</v>
      </c>
      <c r="D407" s="5">
        <v>3000</v>
      </c>
    </row>
    <row r="408" spans="2:4" ht="30">
      <c r="B408" s="7">
        <v>3003</v>
      </c>
      <c r="C408" s="922" t="s">
        <v>54269</v>
      </c>
      <c r="D408" s="8">
        <v>3750</v>
      </c>
    </row>
    <row r="409" spans="2:4" ht="30">
      <c r="B409" s="7">
        <v>849</v>
      </c>
      <c r="C409" s="7" t="s">
        <v>54270</v>
      </c>
      <c r="D409" s="8">
        <v>3500</v>
      </c>
    </row>
    <row r="410" spans="2:4" ht="30">
      <c r="B410" s="7">
        <v>833</v>
      </c>
      <c r="C410" s="7" t="s">
        <v>54271</v>
      </c>
      <c r="D410" s="8">
        <v>2400</v>
      </c>
    </row>
    <row r="411" spans="2:4" ht="15">
      <c r="B411" s="7" t="s">
        <v>55247</v>
      </c>
      <c r="C411" s="7" t="s">
        <v>55250</v>
      </c>
      <c r="D411" s="8">
        <v>4000</v>
      </c>
    </row>
    <row r="412" spans="2:4" ht="15">
      <c r="B412" s="7" t="s">
        <v>55248</v>
      </c>
      <c r="C412" s="7" t="s">
        <v>55251</v>
      </c>
      <c r="D412" s="8">
        <v>3800</v>
      </c>
    </row>
    <row r="413" spans="2:4" ht="15">
      <c r="B413" s="7" t="s">
        <v>55249</v>
      </c>
      <c r="C413" s="7" t="s">
        <v>55252</v>
      </c>
      <c r="D413" s="8">
        <v>2850</v>
      </c>
    </row>
    <row r="414" spans="2:4" ht="15">
      <c r="B414" s="7" t="s">
        <v>55253</v>
      </c>
      <c r="C414" s="7" t="s">
        <v>55255</v>
      </c>
      <c r="D414" s="8">
        <v>2400</v>
      </c>
    </row>
    <row r="415" spans="2:4" ht="15">
      <c r="B415" s="7" t="s">
        <v>55254</v>
      </c>
      <c r="C415" s="7" t="s">
        <v>55256</v>
      </c>
      <c r="D415" s="8">
        <v>2750</v>
      </c>
    </row>
    <row r="416" spans="2:4" ht="15">
      <c r="B416" s="7"/>
      <c r="C416" s="7"/>
      <c r="D416" s="8"/>
    </row>
    <row r="417" spans="2:4" ht="20">
      <c r="B417" s="15"/>
      <c r="C417" s="11" t="s">
        <v>53776</v>
      </c>
      <c r="D417" s="16"/>
    </row>
    <row r="418" spans="2:4" ht="15">
      <c r="B418" s="4" t="s">
        <v>26207</v>
      </c>
      <c r="C418" s="4" t="s">
        <v>54275</v>
      </c>
      <c r="D418" s="5">
        <v>125</v>
      </c>
    </row>
    <row r="419" spans="2:4" ht="15">
      <c r="B419" s="4" t="s">
        <v>54273</v>
      </c>
      <c r="C419" s="4" t="s">
        <v>54274</v>
      </c>
      <c r="D419" s="5">
        <v>175</v>
      </c>
    </row>
    <row r="420" spans="2:4" ht="15">
      <c r="B420" s="4" t="s">
        <v>54276</v>
      </c>
      <c r="C420" s="4" t="s">
        <v>54277</v>
      </c>
      <c r="D420" s="5">
        <v>175</v>
      </c>
    </row>
    <row r="421" spans="2:4" ht="15">
      <c r="B421" s="4" t="s">
        <v>54279</v>
      </c>
      <c r="C421" s="4" t="s">
        <v>54278</v>
      </c>
      <c r="D421" s="5">
        <v>125</v>
      </c>
    </row>
    <row r="422" spans="2:4" ht="30">
      <c r="B422" s="4"/>
      <c r="C422" s="4" t="s">
        <v>74305</v>
      </c>
      <c r="D422" s="5" t="s">
        <v>74306</v>
      </c>
    </row>
    <row r="423" spans="2:4" ht="30">
      <c r="B423" s="4"/>
      <c r="C423" s="4" t="s">
        <v>53777</v>
      </c>
      <c r="D423" s="5" t="s">
        <v>53867</v>
      </c>
    </row>
    <row r="424" spans="2:4" ht="30">
      <c r="B424" s="4"/>
      <c r="C424" s="4" t="s">
        <v>53778</v>
      </c>
      <c r="D424" s="5" t="s">
        <v>53868</v>
      </c>
    </row>
    <row r="425" spans="2:4" ht="15">
      <c r="B425" s="4"/>
      <c r="C425" s="4" t="s">
        <v>53885</v>
      </c>
      <c r="D425" s="1206" t="s">
        <v>74303</v>
      </c>
    </row>
    <row r="426" spans="2:4" ht="15">
      <c r="B426" s="4"/>
      <c r="C426" s="4" t="s">
        <v>53779</v>
      </c>
      <c r="D426" s="5" t="s">
        <v>53869</v>
      </c>
    </row>
    <row r="427" spans="2:4" ht="15">
      <c r="B427" s="4"/>
      <c r="C427" s="4" t="s">
        <v>53780</v>
      </c>
      <c r="D427" s="5">
        <v>128</v>
      </c>
    </row>
    <row r="428" spans="2:4" ht="15">
      <c r="B428" s="4"/>
      <c r="C428" s="4" t="s">
        <v>53781</v>
      </c>
      <c r="D428" s="5">
        <v>244</v>
      </c>
    </row>
    <row r="429" spans="2:4" ht="15">
      <c r="B429" s="4"/>
      <c r="C429" s="4" t="s">
        <v>53782</v>
      </c>
      <c r="D429" s="5">
        <v>106</v>
      </c>
    </row>
    <row r="430" spans="2:4" ht="15">
      <c r="B430" s="4"/>
      <c r="C430" s="4" t="s">
        <v>53783</v>
      </c>
      <c r="D430" s="5">
        <v>234</v>
      </c>
    </row>
    <row r="431" spans="2:4" ht="15">
      <c r="B431" s="4"/>
      <c r="C431" s="4" t="s">
        <v>53784</v>
      </c>
      <c r="D431" s="5">
        <v>446</v>
      </c>
    </row>
    <row r="432" spans="2:4" ht="15">
      <c r="B432" s="4"/>
      <c r="C432" s="4" t="s">
        <v>53785</v>
      </c>
      <c r="D432" s="5">
        <v>727</v>
      </c>
    </row>
    <row r="433" spans="2:4" ht="15">
      <c r="B433" s="4"/>
      <c r="C433" s="4" t="s">
        <v>53786</v>
      </c>
      <c r="D433" s="5">
        <v>419</v>
      </c>
    </row>
    <row r="434" spans="2:4" ht="15">
      <c r="B434" s="4"/>
      <c r="C434" s="4" t="s">
        <v>53787</v>
      </c>
      <c r="D434" s="5">
        <v>159</v>
      </c>
    </row>
    <row r="435" spans="2:4" ht="15">
      <c r="B435" s="4"/>
      <c r="C435" s="4" t="s">
        <v>53788</v>
      </c>
      <c r="D435" s="5">
        <v>223</v>
      </c>
    </row>
    <row r="436" spans="2:4" ht="15">
      <c r="B436" s="4"/>
      <c r="C436" s="4" t="s">
        <v>53789</v>
      </c>
      <c r="D436" s="5">
        <v>318</v>
      </c>
    </row>
    <row r="437" spans="2:4" ht="15">
      <c r="B437" s="4"/>
      <c r="C437" s="4"/>
      <c r="D437" s="5"/>
    </row>
    <row r="438" spans="2:4" ht="20">
      <c r="B438" s="15"/>
      <c r="C438" s="11" t="s">
        <v>53844</v>
      </c>
      <c r="D438" s="16"/>
    </row>
    <row r="439" spans="2:4" ht="15">
      <c r="B439" s="4"/>
      <c r="C439" s="4" t="s">
        <v>53790</v>
      </c>
      <c r="D439" s="5">
        <v>275</v>
      </c>
    </row>
    <row r="440" spans="2:4" ht="15">
      <c r="B440" s="4"/>
      <c r="C440" s="4" t="s">
        <v>53791</v>
      </c>
      <c r="D440" s="5">
        <v>275</v>
      </c>
    </row>
    <row r="441" spans="2:4" ht="15">
      <c r="B441" s="4"/>
      <c r="C441" s="4" t="s">
        <v>53792</v>
      </c>
      <c r="D441" s="5">
        <v>265</v>
      </c>
    </row>
    <row r="442" spans="2:4" ht="15">
      <c r="B442" s="4"/>
      <c r="C442" s="4" t="s">
        <v>53793</v>
      </c>
      <c r="D442" s="5">
        <v>265</v>
      </c>
    </row>
    <row r="443" spans="2:4" ht="15">
      <c r="B443" s="4"/>
      <c r="C443" s="4" t="s">
        <v>53794</v>
      </c>
      <c r="D443" s="5">
        <v>200</v>
      </c>
    </row>
    <row r="444" spans="2:4" ht="15">
      <c r="B444" s="4"/>
      <c r="C444" s="4" t="s">
        <v>53795</v>
      </c>
      <c r="D444" s="5">
        <v>350</v>
      </c>
    </row>
    <row r="445" spans="2:4" ht="15">
      <c r="B445" s="4"/>
      <c r="C445" s="4" t="s">
        <v>53796</v>
      </c>
      <c r="D445" s="5">
        <v>250</v>
      </c>
    </row>
    <row r="446" spans="2:4" ht="15">
      <c r="B446" s="4"/>
      <c r="C446" s="4" t="s">
        <v>53797</v>
      </c>
      <c r="D446" s="5">
        <v>250</v>
      </c>
    </row>
    <row r="447" spans="2:4" ht="15">
      <c r="B447" s="4"/>
      <c r="C447" s="4" t="s">
        <v>53798</v>
      </c>
      <c r="D447" s="5">
        <v>250</v>
      </c>
    </row>
    <row r="448" spans="2:4" ht="15">
      <c r="B448" s="4"/>
      <c r="C448" s="4" t="s">
        <v>53799</v>
      </c>
      <c r="D448" s="5">
        <v>200</v>
      </c>
    </row>
    <row r="449" spans="2:4" ht="15">
      <c r="B449" s="4"/>
      <c r="C449" s="4" t="s">
        <v>53800</v>
      </c>
      <c r="D449" s="5">
        <v>250</v>
      </c>
    </row>
    <row r="450" spans="2:4" ht="15">
      <c r="B450" s="4"/>
      <c r="C450" s="4" t="s">
        <v>53801</v>
      </c>
      <c r="D450" s="5">
        <v>250</v>
      </c>
    </row>
    <row r="451" spans="2:4" ht="15">
      <c r="B451" s="4"/>
      <c r="C451" s="4" t="s">
        <v>53802</v>
      </c>
      <c r="D451" s="5">
        <v>540</v>
      </c>
    </row>
    <row r="452" spans="2:4" ht="15">
      <c r="B452" s="4"/>
      <c r="C452" s="4" t="s">
        <v>53803</v>
      </c>
      <c r="D452" s="5">
        <v>2000</v>
      </c>
    </row>
    <row r="453" spans="2:4" ht="15">
      <c r="B453" s="4"/>
      <c r="C453" s="4" t="s">
        <v>53804</v>
      </c>
      <c r="D453" s="5">
        <v>200</v>
      </c>
    </row>
    <row r="454" spans="2:4" ht="15">
      <c r="B454" s="4"/>
      <c r="C454" s="4" t="s">
        <v>53805</v>
      </c>
      <c r="D454" s="5">
        <v>150</v>
      </c>
    </row>
    <row r="455" spans="2:4" ht="15">
      <c r="B455" s="4"/>
      <c r="C455" s="4" t="s">
        <v>53806</v>
      </c>
      <c r="D455" s="5">
        <v>250</v>
      </c>
    </row>
    <row r="456" spans="2:4" ht="15">
      <c r="B456" s="4"/>
      <c r="C456" s="4" t="s">
        <v>53807</v>
      </c>
      <c r="D456" s="5">
        <v>250</v>
      </c>
    </row>
    <row r="457" spans="2:4" ht="15">
      <c r="B457" s="4"/>
      <c r="C457" s="4" t="s">
        <v>53808</v>
      </c>
      <c r="D457" s="5">
        <v>150</v>
      </c>
    </row>
    <row r="458" spans="2:4" ht="15">
      <c r="B458" s="4"/>
      <c r="C458" s="4" t="s">
        <v>53809</v>
      </c>
      <c r="D458" s="5">
        <v>150</v>
      </c>
    </row>
    <row r="459" spans="2:4" ht="15">
      <c r="B459" s="4"/>
      <c r="C459" s="4" t="s">
        <v>53810</v>
      </c>
      <c r="D459" s="5">
        <v>150</v>
      </c>
    </row>
    <row r="460" spans="2:4" ht="15">
      <c r="B460" s="4"/>
      <c r="C460" s="4" t="s">
        <v>53811</v>
      </c>
      <c r="D460" s="5">
        <v>150</v>
      </c>
    </row>
    <row r="461" spans="2:4" ht="15">
      <c r="B461" s="4"/>
      <c r="C461" s="4" t="s">
        <v>53812</v>
      </c>
      <c r="D461" s="5">
        <v>300</v>
      </c>
    </row>
    <row r="462" spans="2:4" ht="15">
      <c r="B462" s="4"/>
      <c r="C462" s="4" t="s">
        <v>53813</v>
      </c>
      <c r="D462" s="5">
        <v>300</v>
      </c>
    </row>
    <row r="463" spans="2:4" ht="30">
      <c r="B463" s="4"/>
      <c r="C463" s="4" t="s">
        <v>53814</v>
      </c>
      <c r="D463" s="5">
        <v>250</v>
      </c>
    </row>
    <row r="464" spans="2:4" ht="15">
      <c r="B464" s="4"/>
      <c r="C464" s="4" t="s">
        <v>53815</v>
      </c>
      <c r="D464" s="5">
        <v>250</v>
      </c>
    </row>
    <row r="465" spans="2:4" ht="15">
      <c r="B465" s="4"/>
      <c r="C465" s="4" t="s">
        <v>53816</v>
      </c>
      <c r="D465" s="5">
        <v>250</v>
      </c>
    </row>
    <row r="466" spans="2:4" ht="15">
      <c r="B466" s="4"/>
      <c r="C466" s="4" t="s">
        <v>53817</v>
      </c>
      <c r="D466" s="5">
        <v>200</v>
      </c>
    </row>
    <row r="467" spans="2:4" ht="15">
      <c r="B467" s="4"/>
      <c r="C467" s="4" t="s">
        <v>53818</v>
      </c>
      <c r="D467" s="5">
        <v>100</v>
      </c>
    </row>
    <row r="468" spans="2:4" ht="15">
      <c r="B468" s="4"/>
      <c r="C468" s="4" t="s">
        <v>53819</v>
      </c>
      <c r="D468" s="5">
        <v>250</v>
      </c>
    </row>
    <row r="469" spans="2:4" ht="15">
      <c r="B469" s="4"/>
      <c r="C469" s="4" t="s">
        <v>53820</v>
      </c>
      <c r="D469" s="5">
        <v>250</v>
      </c>
    </row>
    <row r="470" spans="2:4" ht="15">
      <c r="B470" s="4"/>
      <c r="C470" s="4" t="s">
        <v>53821</v>
      </c>
      <c r="D470" s="5">
        <v>250</v>
      </c>
    </row>
    <row r="471" spans="2:4" ht="30">
      <c r="B471" s="4"/>
      <c r="C471" s="4" t="s">
        <v>53822</v>
      </c>
      <c r="D471" s="5">
        <v>450</v>
      </c>
    </row>
    <row r="472" spans="2:4" ht="15">
      <c r="B472" s="4"/>
      <c r="C472" s="4" t="s">
        <v>53823</v>
      </c>
      <c r="D472" s="5">
        <v>600</v>
      </c>
    </row>
    <row r="473" spans="2:4" ht="30">
      <c r="B473" s="4"/>
      <c r="C473" s="4" t="s">
        <v>53824</v>
      </c>
      <c r="D473" s="5">
        <v>600</v>
      </c>
    </row>
    <row r="474" spans="2:4" ht="15">
      <c r="B474" s="4"/>
      <c r="C474" s="4" t="s">
        <v>53825</v>
      </c>
      <c r="D474" s="5">
        <v>200</v>
      </c>
    </row>
    <row r="475" spans="2:4" ht="15">
      <c r="B475" s="4"/>
      <c r="C475" s="4" t="s">
        <v>53826</v>
      </c>
      <c r="D475" s="5">
        <v>150</v>
      </c>
    </row>
    <row r="476" spans="2:4" ht="15">
      <c r="B476" s="4"/>
      <c r="C476" s="4" t="s">
        <v>53827</v>
      </c>
      <c r="D476" s="5">
        <v>150</v>
      </c>
    </row>
    <row r="477" spans="2:4" ht="15">
      <c r="B477" s="4"/>
      <c r="C477" s="4" t="s">
        <v>53828</v>
      </c>
      <c r="D477" s="5">
        <v>500</v>
      </c>
    </row>
    <row r="478" spans="2:4" ht="15">
      <c r="B478" s="4"/>
      <c r="C478" s="4" t="s">
        <v>53829</v>
      </c>
      <c r="D478" s="5">
        <v>100</v>
      </c>
    </row>
    <row r="479" spans="2:4" ht="15">
      <c r="B479" s="4"/>
      <c r="C479" s="4" t="s">
        <v>53830</v>
      </c>
      <c r="D479" s="5">
        <v>150</v>
      </c>
    </row>
    <row r="480" spans="2:4" ht="15">
      <c r="B480" s="4"/>
      <c r="C480" s="4" t="s">
        <v>53831</v>
      </c>
      <c r="D480" s="5">
        <v>150</v>
      </c>
    </row>
    <row r="481" spans="2:4" ht="15">
      <c r="B481" s="4"/>
      <c r="C481" s="4" t="s">
        <v>53832</v>
      </c>
      <c r="D481" s="5">
        <v>1500</v>
      </c>
    </row>
    <row r="482" spans="2:4" ht="15">
      <c r="B482" s="4"/>
      <c r="C482" s="4" t="s">
        <v>53833</v>
      </c>
      <c r="D482" s="5">
        <v>150</v>
      </c>
    </row>
    <row r="483" spans="2:4" ht="15">
      <c r="B483" s="4"/>
      <c r="C483" s="4" t="s">
        <v>53834</v>
      </c>
      <c r="D483" s="5">
        <v>400</v>
      </c>
    </row>
    <row r="484" spans="2:4" ht="15">
      <c r="B484" s="4"/>
      <c r="C484" s="4" t="s">
        <v>53835</v>
      </c>
      <c r="D484" s="5">
        <v>400</v>
      </c>
    </row>
    <row r="485" spans="2:4" ht="15">
      <c r="B485" s="4"/>
      <c r="C485" s="4" t="s">
        <v>53836</v>
      </c>
      <c r="D485" s="5">
        <v>500</v>
      </c>
    </row>
    <row r="486" spans="2:4" ht="15">
      <c r="B486" s="4"/>
      <c r="C486" s="4" t="s">
        <v>53837</v>
      </c>
      <c r="D486" s="5">
        <v>400</v>
      </c>
    </row>
    <row r="487" spans="2:4" ht="15">
      <c r="B487" s="4"/>
      <c r="C487" s="4" t="s">
        <v>53838</v>
      </c>
      <c r="D487" s="5">
        <v>100</v>
      </c>
    </row>
    <row r="488" spans="2:4" ht="15">
      <c r="B488" s="4"/>
      <c r="C488" s="4" t="s">
        <v>53839</v>
      </c>
      <c r="D488" s="5">
        <v>1000</v>
      </c>
    </row>
    <row r="489" spans="2:4" ht="15">
      <c r="B489" s="4"/>
      <c r="C489" s="4" t="s">
        <v>53840</v>
      </c>
      <c r="D489" s="5">
        <v>150</v>
      </c>
    </row>
    <row r="490" spans="2:4" ht="15">
      <c r="B490" s="4"/>
      <c r="C490" s="4" t="s">
        <v>53841</v>
      </c>
      <c r="D490" s="5">
        <v>150</v>
      </c>
    </row>
    <row r="491" spans="2:4" ht="15">
      <c r="B491" s="4"/>
      <c r="C491" s="4" t="s">
        <v>53842</v>
      </c>
      <c r="D491" s="5">
        <v>300</v>
      </c>
    </row>
    <row r="492" spans="2:4" ht="15">
      <c r="B492" s="4"/>
      <c r="C492" s="4" t="s">
        <v>53843</v>
      </c>
      <c r="D492" s="5">
        <v>300</v>
      </c>
    </row>
    <row r="493" spans="2:4" ht="15">
      <c r="B493" s="4"/>
      <c r="C493" s="4"/>
      <c r="D493" s="5"/>
    </row>
    <row r="494" spans="2:4" ht="20">
      <c r="B494" s="15"/>
      <c r="C494" s="11" t="s">
        <v>53845</v>
      </c>
      <c r="D494" s="16"/>
    </row>
    <row r="495" spans="2:4" ht="30">
      <c r="B495" s="4"/>
      <c r="C495" s="4" t="s">
        <v>53846</v>
      </c>
      <c r="D495" s="5">
        <v>195</v>
      </c>
    </row>
    <row r="496" spans="2:4" ht="15">
      <c r="B496" s="4"/>
      <c r="C496" s="4"/>
      <c r="D496" s="5"/>
    </row>
    <row r="502" spans="3:4">
      <c r="C502" s="384" t="s">
        <v>74302</v>
      </c>
      <c r="D502" s="384" t="s">
        <v>57306</v>
      </c>
    </row>
    <row r="503" spans="3:4">
      <c r="C503" s="1108" t="s">
        <v>53875</v>
      </c>
      <c r="D503" s="1108">
        <v>5</v>
      </c>
    </row>
    <row r="504" spans="3:4">
      <c r="C504" s="1108" t="s">
        <v>53876</v>
      </c>
      <c r="D504" s="1152" t="s">
        <v>74304</v>
      </c>
    </row>
    <row r="505" spans="3:4">
      <c r="C505" s="1108" t="s">
        <v>53877</v>
      </c>
      <c r="D505" s="1108">
        <v>10</v>
      </c>
    </row>
    <row r="506" spans="3:4">
      <c r="C506" s="1108" t="s">
        <v>5535</v>
      </c>
      <c r="D506" s="1108">
        <v>5</v>
      </c>
    </row>
    <row r="507" spans="3:4">
      <c r="C507" s="1108" t="s">
        <v>58708</v>
      </c>
      <c r="D507" s="1108">
        <v>10</v>
      </c>
    </row>
    <row r="508" spans="3:4">
      <c r="C508" s="1108" t="s">
        <v>5585</v>
      </c>
      <c r="D508" s="1108">
        <v>20</v>
      </c>
    </row>
    <row r="509" spans="3:4">
      <c r="C509" s="1108" t="s">
        <v>53878</v>
      </c>
      <c r="D509" s="1108">
        <v>5</v>
      </c>
    </row>
    <row r="510" spans="3:4">
      <c r="C510" s="1108" t="s">
        <v>5595</v>
      </c>
      <c r="D510" s="1108">
        <v>20</v>
      </c>
    </row>
    <row r="511" spans="3:4">
      <c r="C511" s="1108" t="s">
        <v>53879</v>
      </c>
      <c r="D511" s="1108">
        <v>10</v>
      </c>
    </row>
    <row r="512" spans="3:4">
      <c r="C512" s="1108" t="s">
        <v>53880</v>
      </c>
      <c r="D512" s="1108">
        <v>10</v>
      </c>
    </row>
    <row r="513" spans="3:4">
      <c r="C513" s="1108" t="s">
        <v>54268</v>
      </c>
      <c r="D513" s="1108">
        <v>5</v>
      </c>
    </row>
    <row r="514" spans="3:4">
      <c r="C514" s="1108" t="s">
        <v>62435</v>
      </c>
      <c r="D514" s="1108">
        <v>5</v>
      </c>
    </row>
    <row r="515" spans="3:4">
      <c r="C515" s="1108" t="s">
        <v>53881</v>
      </c>
      <c r="D515" s="1108">
        <v>10</v>
      </c>
    </row>
    <row r="516" spans="3:4">
      <c r="C516" s="1108" t="s">
        <v>53882</v>
      </c>
      <c r="D516" s="1108">
        <v>5</v>
      </c>
    </row>
    <row r="517" spans="3:4">
      <c r="C517" s="1108" t="s">
        <v>62455</v>
      </c>
      <c r="D517" s="1108">
        <v>5</v>
      </c>
    </row>
    <row r="518" spans="3:4">
      <c r="C518" s="1108" t="s">
        <v>74301</v>
      </c>
      <c r="D518" s="1108">
        <v>10</v>
      </c>
    </row>
    <row r="519" spans="3:4">
      <c r="C519" s="1108" t="s">
        <v>42236</v>
      </c>
      <c r="D519" s="1108">
        <v>10</v>
      </c>
    </row>
    <row r="520" spans="3:4">
      <c r="C520" s="1108" t="s">
        <v>53883</v>
      </c>
      <c r="D520" s="1108">
        <v>15</v>
      </c>
    </row>
    <row r="521" spans="3:4">
      <c r="C521" s="1108" t="s">
        <v>53884</v>
      </c>
      <c r="D521" s="1108">
        <v>15</v>
      </c>
    </row>
    <row r="522" spans="3:4">
      <c r="C522" s="1108" t="s">
        <v>62456</v>
      </c>
      <c r="D522" s="1108">
        <v>10</v>
      </c>
    </row>
    <row r="523" spans="3:4">
      <c r="C523" s="1108" t="s">
        <v>53885</v>
      </c>
      <c r="D523" s="1108">
        <v>5</v>
      </c>
    </row>
    <row r="524" spans="3:4">
      <c r="C524" s="1108" t="s">
        <v>53886</v>
      </c>
      <c r="D524" s="1108">
        <v>10</v>
      </c>
    </row>
    <row r="525" spans="3:4">
      <c r="C525" s="1108" t="s">
        <v>53887</v>
      </c>
      <c r="D525" s="1108">
        <v>10</v>
      </c>
    </row>
    <row r="526" spans="3:4">
      <c r="C526" s="1108" t="s">
        <v>53888</v>
      </c>
      <c r="D526" s="1108">
        <v>5</v>
      </c>
    </row>
    <row r="527" spans="3:4">
      <c r="C527" s="1108" t="s">
        <v>5152</v>
      </c>
      <c r="D527" s="1108">
        <v>10</v>
      </c>
    </row>
    <row r="528" spans="3:4">
      <c r="C528" s="1108" t="s">
        <v>5504</v>
      </c>
      <c r="D528" s="1108">
        <v>10</v>
      </c>
    </row>
  </sheetData>
  <mergeCells count="1">
    <mergeCell ref="A4:C4"/>
  </mergeCells>
  <conditionalFormatting sqref="C187:C211">
    <cfRule type="duplicateValues" dxfId="208" priority="1"/>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E27-2000-4987-A8A9-EE793EB34759}">
  <sheetPr>
    <tabColor theme="2" tint="-9.9978637043366805E-2"/>
  </sheetPr>
  <dimension ref="A1:GK1913"/>
  <sheetViews>
    <sheetView workbookViewId="0">
      <selection activeCell="C8" sqref="C8"/>
    </sheetView>
  </sheetViews>
  <sheetFormatPr defaultRowHeight="14.5"/>
  <cols>
    <col min="1" max="1" width="15.7265625" style="1108" bestFit="1" customWidth="1"/>
    <col min="2" max="2" width="60.453125" style="1108" customWidth="1"/>
    <col min="3" max="3" width="13.453125" style="1108" bestFit="1" customWidth="1"/>
    <col min="4" max="16384" width="8.7265625" style="1108"/>
  </cols>
  <sheetData>
    <row r="1" spans="1:193">
      <c r="A1" s="1108" t="s">
        <v>62434</v>
      </c>
      <c r="B1" s="1108" t="s">
        <v>62433</v>
      </c>
      <c r="C1" s="1108" t="s">
        <v>62432</v>
      </c>
      <c r="GJ1" s="1108" t="s">
        <v>62431</v>
      </c>
      <c r="GK1" s="1108" t="s">
        <v>62430</v>
      </c>
    </row>
    <row r="2" spans="1:193">
      <c r="A2" s="1108" t="s">
        <v>62429</v>
      </c>
      <c r="B2" s="1108" t="s">
        <v>62428</v>
      </c>
      <c r="C2" s="1108">
        <v>194</v>
      </c>
      <c r="GJ2" s="1108" t="s">
        <v>58710</v>
      </c>
      <c r="GK2" s="1108" t="s">
        <v>58709</v>
      </c>
    </row>
    <row r="3" spans="1:193">
      <c r="A3" s="1108" t="s">
        <v>62427</v>
      </c>
      <c r="B3" s="1108" t="s">
        <v>62426</v>
      </c>
      <c r="C3" s="1108">
        <v>160</v>
      </c>
      <c r="GJ3" s="1108" t="s">
        <v>58710</v>
      </c>
      <c r="GK3" s="1108" t="s">
        <v>58709</v>
      </c>
    </row>
    <row r="4" spans="1:193">
      <c r="A4" s="1108" t="s">
        <v>62425</v>
      </c>
      <c r="B4" s="1108" t="s">
        <v>62424</v>
      </c>
      <c r="C4" s="1108">
        <v>183</v>
      </c>
      <c r="GJ4" s="1108" t="s">
        <v>58710</v>
      </c>
      <c r="GK4" s="1108" t="s">
        <v>58709</v>
      </c>
    </row>
    <row r="5" spans="1:193">
      <c r="A5" s="1108" t="s">
        <v>62423</v>
      </c>
      <c r="B5" s="1108" t="s">
        <v>62422</v>
      </c>
      <c r="C5" s="1108">
        <v>219</v>
      </c>
      <c r="GJ5" s="1108" t="s">
        <v>58710</v>
      </c>
      <c r="GK5" s="1108" t="s">
        <v>58709</v>
      </c>
    </row>
    <row r="6" spans="1:193">
      <c r="A6" s="1108" t="s">
        <v>62421</v>
      </c>
      <c r="B6" s="1108" t="s">
        <v>62420</v>
      </c>
      <c r="C6" s="1108">
        <v>19</v>
      </c>
      <c r="GJ6" s="1108" t="s">
        <v>58710</v>
      </c>
      <c r="GK6" s="1108" t="s">
        <v>58709</v>
      </c>
    </row>
    <row r="7" spans="1:193">
      <c r="A7" s="1108" t="s">
        <v>62419</v>
      </c>
      <c r="B7" s="1108" t="s">
        <v>62418</v>
      </c>
      <c r="C7" s="1108">
        <v>16</v>
      </c>
      <c r="GJ7" s="1108" t="s">
        <v>58710</v>
      </c>
      <c r="GK7" s="1108" t="s">
        <v>58709</v>
      </c>
    </row>
    <row r="8" spans="1:193">
      <c r="A8" s="1108" t="s">
        <v>62417</v>
      </c>
      <c r="B8" s="1108" t="s">
        <v>62416</v>
      </c>
      <c r="C8" s="1108">
        <v>197</v>
      </c>
      <c r="GJ8" s="1108" t="s">
        <v>58710</v>
      </c>
      <c r="GK8" s="1108" t="s">
        <v>58709</v>
      </c>
    </row>
    <row r="9" spans="1:193">
      <c r="A9" s="1108" t="s">
        <v>62415</v>
      </c>
      <c r="B9" s="1108" t="s">
        <v>62414</v>
      </c>
      <c r="C9" s="1108">
        <v>206</v>
      </c>
      <c r="GJ9" s="1108" t="s">
        <v>58710</v>
      </c>
      <c r="GK9" s="1108" t="s">
        <v>58709</v>
      </c>
    </row>
    <row r="10" spans="1:193">
      <c r="A10" s="1108" t="s">
        <v>62413</v>
      </c>
      <c r="B10" s="1108" t="s">
        <v>62412</v>
      </c>
      <c r="C10" s="1108">
        <v>197</v>
      </c>
      <c r="GJ10" s="1108" t="s">
        <v>58710</v>
      </c>
      <c r="GK10" s="1108" t="s">
        <v>58709</v>
      </c>
    </row>
    <row r="11" spans="1:193">
      <c r="A11" s="1108" t="s">
        <v>62411</v>
      </c>
      <c r="B11" s="1108" t="s">
        <v>62410</v>
      </c>
      <c r="C11" s="1108">
        <v>273</v>
      </c>
      <c r="GJ11" s="1108" t="s">
        <v>58710</v>
      </c>
      <c r="GK11" s="1108" t="s">
        <v>58709</v>
      </c>
    </row>
    <row r="12" spans="1:193">
      <c r="A12" s="1108" t="s">
        <v>62409</v>
      </c>
      <c r="B12" s="1108" t="s">
        <v>62408</v>
      </c>
      <c r="C12" s="1108">
        <v>215</v>
      </c>
      <c r="GJ12" s="1108" t="s">
        <v>58710</v>
      </c>
      <c r="GK12" s="1108" t="s">
        <v>58709</v>
      </c>
    </row>
    <row r="13" spans="1:193">
      <c r="A13" s="1108" t="s">
        <v>62407</v>
      </c>
      <c r="B13" s="1108" t="s">
        <v>62406</v>
      </c>
      <c r="C13" s="1108">
        <v>209</v>
      </c>
      <c r="GJ13" s="1108" t="s">
        <v>58710</v>
      </c>
      <c r="GK13" s="1108" t="s">
        <v>58709</v>
      </c>
    </row>
    <row r="14" spans="1:193">
      <c r="A14" s="1108" t="s">
        <v>62405</v>
      </c>
      <c r="B14" s="1108" t="s">
        <v>62404</v>
      </c>
      <c r="C14" s="1108">
        <v>181</v>
      </c>
      <c r="GJ14" s="1108" t="s">
        <v>58710</v>
      </c>
      <c r="GK14" s="1108" t="s">
        <v>58709</v>
      </c>
    </row>
    <row r="15" spans="1:193">
      <c r="A15" s="1108" t="s">
        <v>62403</v>
      </c>
      <c r="B15" s="1108" t="s">
        <v>62402</v>
      </c>
      <c r="C15" s="1108">
        <v>230</v>
      </c>
      <c r="GJ15" s="1108" t="s">
        <v>58710</v>
      </c>
      <c r="GK15" s="1108" t="s">
        <v>58709</v>
      </c>
    </row>
    <row r="16" spans="1:193">
      <c r="A16" s="1108" t="s">
        <v>62401</v>
      </c>
      <c r="B16" s="1108" t="s">
        <v>62400</v>
      </c>
      <c r="C16" s="1108">
        <v>230</v>
      </c>
      <c r="GJ16" s="1108" t="s">
        <v>58710</v>
      </c>
      <c r="GK16" s="1108" t="s">
        <v>58709</v>
      </c>
    </row>
    <row r="17" spans="1:193">
      <c r="A17" s="1108" t="s">
        <v>62399</v>
      </c>
      <c r="B17" s="1108" t="s">
        <v>62398</v>
      </c>
      <c r="C17" s="1108">
        <v>201</v>
      </c>
      <c r="GJ17" s="1108" t="s">
        <v>58710</v>
      </c>
      <c r="GK17" s="1108" t="s">
        <v>58709</v>
      </c>
    </row>
    <row r="18" spans="1:193">
      <c r="A18" s="1108" t="s">
        <v>62397</v>
      </c>
      <c r="B18" s="1108" t="s">
        <v>62396</v>
      </c>
      <c r="C18" s="1108">
        <v>185</v>
      </c>
      <c r="GJ18" s="1108" t="s">
        <v>58710</v>
      </c>
      <c r="GK18" s="1108" t="s">
        <v>58709</v>
      </c>
    </row>
    <row r="19" spans="1:193">
      <c r="A19" s="1108" t="s">
        <v>62395</v>
      </c>
      <c r="B19" s="1108" t="s">
        <v>62394</v>
      </c>
      <c r="C19" s="1108">
        <v>278</v>
      </c>
      <c r="GJ19" s="1108" t="s">
        <v>58710</v>
      </c>
      <c r="GK19" s="1108" t="s">
        <v>58709</v>
      </c>
    </row>
    <row r="20" spans="1:193">
      <c r="A20" s="1108" t="s">
        <v>62393</v>
      </c>
      <c r="B20" s="1108" t="s">
        <v>62392</v>
      </c>
      <c r="C20" s="1108">
        <v>284</v>
      </c>
      <c r="GJ20" s="1108" t="s">
        <v>58710</v>
      </c>
      <c r="GK20" s="1108" t="s">
        <v>58709</v>
      </c>
    </row>
    <row r="21" spans="1:193">
      <c r="A21" s="1108" t="s">
        <v>62391</v>
      </c>
      <c r="B21" s="1108" t="s">
        <v>62390</v>
      </c>
      <c r="C21" s="1108">
        <v>247</v>
      </c>
      <c r="GJ21" s="1108" t="s">
        <v>58710</v>
      </c>
      <c r="GK21" s="1108" t="s">
        <v>58709</v>
      </c>
    </row>
    <row r="22" spans="1:193">
      <c r="A22" s="1108" t="s">
        <v>62389</v>
      </c>
      <c r="B22" s="1108" t="s">
        <v>62388</v>
      </c>
      <c r="C22" s="1108">
        <v>153</v>
      </c>
      <c r="GJ22" s="1108" t="s">
        <v>58710</v>
      </c>
      <c r="GK22" s="1108" t="s">
        <v>58709</v>
      </c>
    </row>
    <row r="23" spans="1:193">
      <c r="A23" s="1108" t="s">
        <v>62387</v>
      </c>
      <c r="B23" s="1108" t="s">
        <v>62386</v>
      </c>
      <c r="C23" s="1108">
        <v>194</v>
      </c>
      <c r="GJ23" s="1108" t="s">
        <v>58710</v>
      </c>
      <c r="GK23" s="1108" t="s">
        <v>58709</v>
      </c>
    </row>
    <row r="24" spans="1:193">
      <c r="A24" s="1108" t="s">
        <v>62385</v>
      </c>
      <c r="B24" s="1108" t="s">
        <v>62384</v>
      </c>
      <c r="C24" s="1108">
        <v>165</v>
      </c>
      <c r="GJ24" s="1108" t="s">
        <v>58710</v>
      </c>
      <c r="GK24" s="1108" t="s">
        <v>58709</v>
      </c>
    </row>
    <row r="25" spans="1:193">
      <c r="A25" s="1108" t="s">
        <v>62383</v>
      </c>
      <c r="B25" s="1108" t="s">
        <v>62382</v>
      </c>
      <c r="C25" s="1108">
        <v>151</v>
      </c>
      <c r="GJ25" s="1108" t="s">
        <v>58710</v>
      </c>
      <c r="GK25" s="1108" t="s">
        <v>58709</v>
      </c>
    </row>
    <row r="26" spans="1:193">
      <c r="A26" s="1108" t="s">
        <v>62381</v>
      </c>
      <c r="B26" s="1108" t="s">
        <v>62380</v>
      </c>
      <c r="C26" s="1108">
        <v>205</v>
      </c>
      <c r="GJ26" s="1108" t="s">
        <v>58710</v>
      </c>
      <c r="GK26" s="1108" t="s">
        <v>58709</v>
      </c>
    </row>
    <row r="27" spans="1:193">
      <c r="A27" s="1108" t="s">
        <v>62379</v>
      </c>
      <c r="B27" s="1108" t="s">
        <v>62378</v>
      </c>
      <c r="C27" s="1108">
        <v>179</v>
      </c>
      <c r="GJ27" s="1108" t="s">
        <v>58710</v>
      </c>
      <c r="GK27" s="1108" t="s">
        <v>58709</v>
      </c>
    </row>
    <row r="28" spans="1:193">
      <c r="A28" s="1108" t="s">
        <v>62377</v>
      </c>
      <c r="B28" s="1108" t="s">
        <v>62376</v>
      </c>
      <c r="C28" s="1108">
        <v>199</v>
      </c>
      <c r="GJ28" s="1108" t="s">
        <v>58710</v>
      </c>
      <c r="GK28" s="1108" t="s">
        <v>58709</v>
      </c>
    </row>
    <row r="29" spans="1:193">
      <c r="A29" s="1108" t="s">
        <v>62375</v>
      </c>
      <c r="B29" s="1108" t="s">
        <v>62374</v>
      </c>
      <c r="C29" s="1108">
        <v>274</v>
      </c>
      <c r="GJ29" s="1108" t="s">
        <v>58710</v>
      </c>
      <c r="GK29" s="1108" t="s">
        <v>58709</v>
      </c>
    </row>
    <row r="30" spans="1:193">
      <c r="A30" s="1108" t="s">
        <v>62373</v>
      </c>
      <c r="B30" s="1108" t="s">
        <v>62372</v>
      </c>
      <c r="C30" s="1108">
        <v>201</v>
      </c>
      <c r="GJ30" s="1108" t="s">
        <v>58710</v>
      </c>
      <c r="GK30" s="1108" t="s">
        <v>58709</v>
      </c>
    </row>
    <row r="31" spans="1:193">
      <c r="A31" s="1108" t="s">
        <v>62371</v>
      </c>
      <c r="B31" s="1108" t="s">
        <v>62370</v>
      </c>
      <c r="C31" s="1108">
        <v>207</v>
      </c>
      <c r="GJ31" s="1108" t="s">
        <v>58710</v>
      </c>
      <c r="GK31" s="1108" t="s">
        <v>58709</v>
      </c>
    </row>
    <row r="32" spans="1:193">
      <c r="A32" s="1108" t="s">
        <v>62369</v>
      </c>
      <c r="B32" s="1108" t="s">
        <v>62368</v>
      </c>
      <c r="C32" s="1108">
        <v>231</v>
      </c>
      <c r="GJ32" s="1108" t="s">
        <v>58710</v>
      </c>
      <c r="GK32" s="1108" t="s">
        <v>58709</v>
      </c>
    </row>
    <row r="33" spans="1:193">
      <c r="A33" s="1108" t="s">
        <v>62367</v>
      </c>
      <c r="B33" s="1108" t="s">
        <v>62366</v>
      </c>
      <c r="C33" s="1108">
        <v>162</v>
      </c>
      <c r="GJ33" s="1108" t="s">
        <v>58710</v>
      </c>
      <c r="GK33" s="1108" t="s">
        <v>58709</v>
      </c>
    </row>
    <row r="34" spans="1:193">
      <c r="A34" s="1108" t="s">
        <v>62365</v>
      </c>
      <c r="B34" s="1108" t="s">
        <v>62364</v>
      </c>
      <c r="C34" s="1108">
        <v>149</v>
      </c>
      <c r="GJ34" s="1108" t="s">
        <v>58710</v>
      </c>
      <c r="GK34" s="1108" t="s">
        <v>58709</v>
      </c>
    </row>
    <row r="35" spans="1:193">
      <c r="A35" s="1108" t="s">
        <v>62363</v>
      </c>
      <c r="B35" s="1108" t="s">
        <v>62362</v>
      </c>
      <c r="C35" s="1108">
        <v>177</v>
      </c>
      <c r="GJ35" s="1108" t="s">
        <v>58710</v>
      </c>
      <c r="GK35" s="1108" t="s">
        <v>58709</v>
      </c>
    </row>
    <row r="36" spans="1:193">
      <c r="A36" s="1108" t="s">
        <v>62361</v>
      </c>
      <c r="B36" s="1108" t="s">
        <v>62360</v>
      </c>
      <c r="C36" s="1108">
        <v>194</v>
      </c>
      <c r="GJ36" s="1108" t="s">
        <v>58710</v>
      </c>
      <c r="GK36" s="1108" t="s">
        <v>58709</v>
      </c>
    </row>
    <row r="37" spans="1:193">
      <c r="A37" s="1108" t="s">
        <v>62359</v>
      </c>
      <c r="B37" s="1108" t="s">
        <v>62358</v>
      </c>
      <c r="C37" s="1108">
        <v>200</v>
      </c>
      <c r="GJ37" s="1108" t="s">
        <v>58710</v>
      </c>
      <c r="GK37" s="1108" t="s">
        <v>58709</v>
      </c>
    </row>
    <row r="38" spans="1:193">
      <c r="A38" s="1108" t="s">
        <v>62357</v>
      </c>
      <c r="B38" s="1108" t="s">
        <v>62356</v>
      </c>
      <c r="C38" s="1108">
        <v>196</v>
      </c>
      <c r="GJ38" s="1108" t="s">
        <v>58710</v>
      </c>
      <c r="GK38" s="1108" t="s">
        <v>58709</v>
      </c>
    </row>
    <row r="39" spans="1:193">
      <c r="A39" s="1108" t="s">
        <v>62355</v>
      </c>
      <c r="B39" s="1108" t="s">
        <v>62354</v>
      </c>
      <c r="C39" s="1108">
        <v>181</v>
      </c>
      <c r="GJ39" s="1108" t="s">
        <v>58710</v>
      </c>
      <c r="GK39" s="1108" t="s">
        <v>58709</v>
      </c>
    </row>
    <row r="40" spans="1:193">
      <c r="A40" s="1108" t="s">
        <v>62353</v>
      </c>
      <c r="B40" s="1108" t="s">
        <v>62352</v>
      </c>
      <c r="C40" s="1108">
        <v>187</v>
      </c>
      <c r="GJ40" s="1108" t="s">
        <v>58710</v>
      </c>
      <c r="GK40" s="1108" t="s">
        <v>58709</v>
      </c>
    </row>
    <row r="41" spans="1:193">
      <c r="A41" s="1108" t="s">
        <v>62351</v>
      </c>
      <c r="B41" s="1108" t="s">
        <v>62350</v>
      </c>
      <c r="C41" s="1108">
        <v>171</v>
      </c>
      <c r="GJ41" s="1108" t="s">
        <v>58710</v>
      </c>
      <c r="GK41" s="1108" t="s">
        <v>58709</v>
      </c>
    </row>
    <row r="42" spans="1:193">
      <c r="A42" s="1108" t="s">
        <v>62349</v>
      </c>
      <c r="B42" s="1108" t="s">
        <v>62348</v>
      </c>
      <c r="C42" s="1108">
        <v>234</v>
      </c>
      <c r="GJ42" s="1108" t="s">
        <v>58710</v>
      </c>
      <c r="GK42" s="1108" t="s">
        <v>58709</v>
      </c>
    </row>
    <row r="43" spans="1:193">
      <c r="A43" s="1108" t="s">
        <v>62347</v>
      </c>
      <c r="B43" s="1108" t="s">
        <v>62346</v>
      </c>
      <c r="C43" s="1108">
        <v>234</v>
      </c>
      <c r="GJ43" s="1108" t="s">
        <v>58710</v>
      </c>
      <c r="GK43" s="1108" t="s">
        <v>58709</v>
      </c>
    </row>
    <row r="44" spans="1:193">
      <c r="A44" s="1108" t="s">
        <v>62345</v>
      </c>
      <c r="B44" s="1108" t="s">
        <v>62344</v>
      </c>
      <c r="C44" s="1108">
        <v>123</v>
      </c>
      <c r="GJ44" s="1108" t="s">
        <v>58710</v>
      </c>
      <c r="GK44" s="1108" t="s">
        <v>58709</v>
      </c>
    </row>
    <row r="45" spans="1:193">
      <c r="A45" s="1108" t="s">
        <v>62343</v>
      </c>
      <c r="B45" s="1108" t="s">
        <v>62342</v>
      </c>
      <c r="C45" s="1108">
        <v>161</v>
      </c>
      <c r="GJ45" s="1108" t="s">
        <v>58710</v>
      </c>
      <c r="GK45" s="1108" t="s">
        <v>58709</v>
      </c>
    </row>
    <row r="46" spans="1:193">
      <c r="A46" s="1108" t="s">
        <v>62341</v>
      </c>
      <c r="B46" s="1108" t="s">
        <v>62340</v>
      </c>
      <c r="C46" s="1108">
        <v>238</v>
      </c>
      <c r="GJ46" s="1108" t="s">
        <v>58710</v>
      </c>
      <c r="GK46" s="1108" t="s">
        <v>58709</v>
      </c>
    </row>
    <row r="47" spans="1:193">
      <c r="A47" s="1108" t="s">
        <v>62339</v>
      </c>
      <c r="B47" s="1108" t="s">
        <v>62338</v>
      </c>
      <c r="C47" s="1108">
        <v>152</v>
      </c>
      <c r="GJ47" s="1108" t="s">
        <v>58710</v>
      </c>
      <c r="GK47" s="1108" t="s">
        <v>58709</v>
      </c>
    </row>
    <row r="48" spans="1:193">
      <c r="A48" s="1108" t="s">
        <v>62337</v>
      </c>
      <c r="B48" s="1108" t="s">
        <v>62336</v>
      </c>
      <c r="C48" s="1108">
        <v>156</v>
      </c>
      <c r="GJ48" s="1108" t="s">
        <v>58710</v>
      </c>
      <c r="GK48" s="1108" t="s">
        <v>58709</v>
      </c>
    </row>
    <row r="49" spans="1:193">
      <c r="A49" s="1108" t="s">
        <v>62335</v>
      </c>
      <c r="B49" s="1108" t="s">
        <v>62334</v>
      </c>
      <c r="C49" s="1108">
        <v>132</v>
      </c>
      <c r="GJ49" s="1108" t="s">
        <v>58710</v>
      </c>
      <c r="GK49" s="1108" t="s">
        <v>58709</v>
      </c>
    </row>
    <row r="50" spans="1:193">
      <c r="A50" s="1108" t="s">
        <v>62333</v>
      </c>
      <c r="B50" s="1108" t="s">
        <v>62332</v>
      </c>
      <c r="C50" s="1108">
        <v>158</v>
      </c>
      <c r="GJ50" s="1108" t="s">
        <v>58710</v>
      </c>
      <c r="GK50" s="1108" t="s">
        <v>58709</v>
      </c>
    </row>
    <row r="51" spans="1:193">
      <c r="A51" s="1108" t="s">
        <v>62331</v>
      </c>
      <c r="B51" s="1108" t="s">
        <v>62330</v>
      </c>
      <c r="C51" s="1108">
        <v>210</v>
      </c>
      <c r="GJ51" s="1108" t="s">
        <v>58710</v>
      </c>
      <c r="GK51" s="1108" t="s">
        <v>58709</v>
      </c>
    </row>
    <row r="52" spans="1:193">
      <c r="A52" s="1108" t="s">
        <v>62329</v>
      </c>
      <c r="B52" s="1108" t="s">
        <v>62328</v>
      </c>
      <c r="C52" s="1108">
        <v>171</v>
      </c>
      <c r="GJ52" s="1108" t="s">
        <v>58710</v>
      </c>
      <c r="GK52" s="1108" t="s">
        <v>58709</v>
      </c>
    </row>
    <row r="53" spans="1:193">
      <c r="A53" s="1108" t="s">
        <v>62327</v>
      </c>
      <c r="B53" s="1108" t="s">
        <v>62326</v>
      </c>
      <c r="C53" s="1108">
        <v>135</v>
      </c>
      <c r="GJ53" s="1108" t="s">
        <v>58710</v>
      </c>
      <c r="GK53" s="1108" t="s">
        <v>58709</v>
      </c>
    </row>
    <row r="54" spans="1:193">
      <c r="A54" s="1108" t="s">
        <v>62325</v>
      </c>
      <c r="B54" s="1108" t="s">
        <v>62324</v>
      </c>
      <c r="C54" s="1108">
        <v>102</v>
      </c>
      <c r="GJ54" s="1108" t="s">
        <v>58710</v>
      </c>
      <c r="GK54" s="1108" t="s">
        <v>58709</v>
      </c>
    </row>
    <row r="55" spans="1:193">
      <c r="A55" s="1108" t="s">
        <v>62323</v>
      </c>
      <c r="B55" s="1108" t="s">
        <v>62322</v>
      </c>
      <c r="C55" s="1108">
        <v>296</v>
      </c>
      <c r="GJ55" s="1108" t="s">
        <v>58710</v>
      </c>
      <c r="GK55" s="1108" t="s">
        <v>58709</v>
      </c>
    </row>
    <row r="56" spans="1:193">
      <c r="A56" s="1108" t="s">
        <v>62321</v>
      </c>
      <c r="B56" s="1108" t="s">
        <v>62320</v>
      </c>
      <c r="C56" s="1108">
        <v>215</v>
      </c>
      <c r="GJ56" s="1108" t="s">
        <v>58710</v>
      </c>
      <c r="GK56" s="1108" t="s">
        <v>58709</v>
      </c>
    </row>
    <row r="57" spans="1:193">
      <c r="A57" s="1108" t="s">
        <v>62319</v>
      </c>
      <c r="B57" s="1108" t="s">
        <v>62318</v>
      </c>
      <c r="C57" s="1108">
        <v>638</v>
      </c>
      <c r="GJ57" s="1108" t="s">
        <v>58710</v>
      </c>
      <c r="GK57" s="1108" t="s">
        <v>58709</v>
      </c>
    </row>
    <row r="58" spans="1:193">
      <c r="A58" s="1108" t="s">
        <v>62317</v>
      </c>
      <c r="B58" s="1108" t="s">
        <v>62316</v>
      </c>
      <c r="C58" s="1108">
        <v>179</v>
      </c>
      <c r="GJ58" s="1108" t="s">
        <v>58710</v>
      </c>
      <c r="GK58" s="1108" t="s">
        <v>58709</v>
      </c>
    </row>
    <row r="59" spans="1:193">
      <c r="A59" s="1108" t="s">
        <v>62315</v>
      </c>
      <c r="B59" s="1108" t="s">
        <v>62314</v>
      </c>
      <c r="C59" s="1108">
        <v>231</v>
      </c>
      <c r="GJ59" s="1108" t="s">
        <v>58710</v>
      </c>
      <c r="GK59" s="1108" t="s">
        <v>58709</v>
      </c>
    </row>
    <row r="60" spans="1:193">
      <c r="A60" s="1108" t="s">
        <v>62313</v>
      </c>
      <c r="B60" s="1108" t="s">
        <v>62312</v>
      </c>
      <c r="C60" s="1108">
        <v>180</v>
      </c>
      <c r="GJ60" s="1108" t="s">
        <v>58710</v>
      </c>
      <c r="GK60" s="1108" t="s">
        <v>58709</v>
      </c>
    </row>
    <row r="61" spans="1:193">
      <c r="A61" s="1108" t="s">
        <v>62311</v>
      </c>
      <c r="B61" s="1108" t="s">
        <v>62310</v>
      </c>
      <c r="C61" s="1108">
        <v>150</v>
      </c>
      <c r="GJ61" s="1108" t="s">
        <v>58710</v>
      </c>
      <c r="GK61" s="1108" t="s">
        <v>58709</v>
      </c>
    </row>
    <row r="62" spans="1:193">
      <c r="A62" s="1108" t="s">
        <v>62309</v>
      </c>
      <c r="B62" s="1108" t="s">
        <v>62308</v>
      </c>
      <c r="C62" s="1108">
        <v>73</v>
      </c>
      <c r="GJ62" s="1108" t="s">
        <v>58710</v>
      </c>
      <c r="GK62" s="1108" t="s">
        <v>58709</v>
      </c>
    </row>
    <row r="63" spans="1:193">
      <c r="A63" s="1108" t="s">
        <v>62307</v>
      </c>
      <c r="B63" s="1108" t="s">
        <v>62306</v>
      </c>
      <c r="C63" s="1108">
        <v>142</v>
      </c>
      <c r="GJ63" s="1108" t="s">
        <v>58710</v>
      </c>
      <c r="GK63" s="1108" t="s">
        <v>58709</v>
      </c>
    </row>
    <row r="64" spans="1:193">
      <c r="A64" s="1108" t="s">
        <v>62305</v>
      </c>
      <c r="B64" s="1108" t="s">
        <v>62304</v>
      </c>
      <c r="C64" s="1108">
        <v>184</v>
      </c>
      <c r="GJ64" s="1108" t="s">
        <v>58710</v>
      </c>
      <c r="GK64" s="1108" t="s">
        <v>58709</v>
      </c>
    </row>
    <row r="65" spans="1:193">
      <c r="A65" s="1108" t="s">
        <v>62303</v>
      </c>
      <c r="B65" s="1108" t="s">
        <v>62302</v>
      </c>
      <c r="C65" s="1108">
        <v>110</v>
      </c>
      <c r="GJ65" s="1108" t="s">
        <v>58710</v>
      </c>
      <c r="GK65" s="1108" t="s">
        <v>58709</v>
      </c>
    </row>
    <row r="66" spans="1:193">
      <c r="A66" s="1108" t="s">
        <v>62301</v>
      </c>
      <c r="B66" s="1108" t="s">
        <v>62300</v>
      </c>
      <c r="C66" s="1108">
        <v>257</v>
      </c>
      <c r="GJ66" s="1108" t="s">
        <v>58710</v>
      </c>
      <c r="GK66" s="1108" t="s">
        <v>58709</v>
      </c>
    </row>
    <row r="67" spans="1:193">
      <c r="A67" s="1108" t="s">
        <v>62299</v>
      </c>
      <c r="B67" s="1108" t="s">
        <v>62298</v>
      </c>
      <c r="C67" s="1108">
        <v>263</v>
      </c>
      <c r="GJ67" s="1108" t="s">
        <v>58710</v>
      </c>
      <c r="GK67" s="1108" t="s">
        <v>58709</v>
      </c>
    </row>
    <row r="68" spans="1:193">
      <c r="A68" s="1108" t="s">
        <v>62297</v>
      </c>
      <c r="B68" s="1108" t="s">
        <v>62296</v>
      </c>
      <c r="C68" s="1108">
        <v>201</v>
      </c>
      <c r="GJ68" s="1108" t="s">
        <v>58710</v>
      </c>
      <c r="GK68" s="1108" t="s">
        <v>58709</v>
      </c>
    </row>
    <row r="69" spans="1:193">
      <c r="A69" s="1108" t="s">
        <v>62295</v>
      </c>
      <c r="B69" s="1108" t="s">
        <v>62294</v>
      </c>
      <c r="C69" s="1108">
        <v>218</v>
      </c>
      <c r="GJ69" s="1108" t="s">
        <v>58710</v>
      </c>
      <c r="GK69" s="1108" t="s">
        <v>58709</v>
      </c>
    </row>
    <row r="70" spans="1:193">
      <c r="A70" s="1108" t="s">
        <v>62293</v>
      </c>
      <c r="B70" s="1108" t="s">
        <v>62292</v>
      </c>
      <c r="C70" s="1108">
        <v>181</v>
      </c>
      <c r="GJ70" s="1108" t="s">
        <v>58710</v>
      </c>
      <c r="GK70" s="1108" t="s">
        <v>58709</v>
      </c>
    </row>
    <row r="71" spans="1:193">
      <c r="A71" s="1108" t="s">
        <v>62291</v>
      </c>
      <c r="B71" s="1108" t="s">
        <v>62290</v>
      </c>
      <c r="C71" s="1108">
        <v>239</v>
      </c>
      <c r="GJ71" s="1108" t="s">
        <v>58710</v>
      </c>
      <c r="GK71" s="1108" t="s">
        <v>58709</v>
      </c>
    </row>
    <row r="72" spans="1:193">
      <c r="A72" s="1108" t="s">
        <v>62289</v>
      </c>
      <c r="B72" s="1108" t="s">
        <v>62288</v>
      </c>
      <c r="C72" s="1108">
        <v>179</v>
      </c>
      <c r="GJ72" s="1108" t="s">
        <v>58710</v>
      </c>
      <c r="GK72" s="1108" t="s">
        <v>58709</v>
      </c>
    </row>
    <row r="73" spans="1:193">
      <c r="A73" s="1108" t="s">
        <v>62287</v>
      </c>
      <c r="B73" s="1108" t="s">
        <v>62286</v>
      </c>
      <c r="C73" s="1108">
        <v>171</v>
      </c>
      <c r="GJ73" s="1108" t="s">
        <v>58710</v>
      </c>
      <c r="GK73" s="1108" t="s">
        <v>58709</v>
      </c>
    </row>
    <row r="74" spans="1:193">
      <c r="A74" s="1108" t="s">
        <v>62285</v>
      </c>
      <c r="B74" s="1108" t="s">
        <v>62284</v>
      </c>
      <c r="C74" s="1108">
        <v>113</v>
      </c>
      <c r="GJ74" s="1108" t="s">
        <v>58710</v>
      </c>
      <c r="GK74" s="1108" t="s">
        <v>58709</v>
      </c>
    </row>
    <row r="75" spans="1:193">
      <c r="A75" s="1108" t="s">
        <v>62283</v>
      </c>
      <c r="B75" s="1108" t="s">
        <v>62282</v>
      </c>
      <c r="C75" s="1108">
        <v>135</v>
      </c>
      <c r="GJ75" s="1108" t="s">
        <v>58710</v>
      </c>
      <c r="GK75" s="1108" t="s">
        <v>58709</v>
      </c>
    </row>
    <row r="76" spans="1:193">
      <c r="A76" s="1108" t="s">
        <v>62281</v>
      </c>
      <c r="B76" s="1108" t="s">
        <v>62280</v>
      </c>
      <c r="C76" s="1108">
        <v>37</v>
      </c>
      <c r="GJ76" s="1108" t="s">
        <v>58710</v>
      </c>
      <c r="GK76" s="1108" t="s">
        <v>58709</v>
      </c>
    </row>
    <row r="77" spans="1:193">
      <c r="A77" s="1108" t="s">
        <v>62279</v>
      </c>
      <c r="B77" s="1108" t="s">
        <v>62278</v>
      </c>
      <c r="C77" s="1108">
        <v>36</v>
      </c>
      <c r="GJ77" s="1108" t="s">
        <v>58710</v>
      </c>
      <c r="GK77" s="1108" t="s">
        <v>58709</v>
      </c>
    </row>
    <row r="78" spans="1:193">
      <c r="A78" s="1108" t="s">
        <v>62277</v>
      </c>
      <c r="B78" s="1108" t="s">
        <v>62276</v>
      </c>
      <c r="C78" s="1108">
        <v>150</v>
      </c>
      <c r="GJ78" s="1108" t="s">
        <v>58710</v>
      </c>
      <c r="GK78" s="1108" t="s">
        <v>58709</v>
      </c>
    </row>
    <row r="79" spans="1:193">
      <c r="A79" s="1108" t="s">
        <v>62275</v>
      </c>
      <c r="B79" s="1108" t="s">
        <v>62274</v>
      </c>
      <c r="C79" s="1108">
        <v>172</v>
      </c>
      <c r="GJ79" s="1108" t="s">
        <v>58710</v>
      </c>
      <c r="GK79" s="1108" t="s">
        <v>58709</v>
      </c>
    </row>
    <row r="80" spans="1:193">
      <c r="A80" s="1108" t="s">
        <v>62273</v>
      </c>
      <c r="B80" s="1108" t="s">
        <v>62272</v>
      </c>
      <c r="C80" s="1108">
        <v>149</v>
      </c>
      <c r="GJ80" s="1108" t="s">
        <v>58710</v>
      </c>
      <c r="GK80" s="1108" t="s">
        <v>58709</v>
      </c>
    </row>
    <row r="81" spans="1:193">
      <c r="A81" s="1108" t="s">
        <v>62271</v>
      </c>
      <c r="B81" s="1108" t="s">
        <v>62270</v>
      </c>
      <c r="C81" s="1108">
        <v>62</v>
      </c>
      <c r="GJ81" s="1108" t="s">
        <v>58710</v>
      </c>
      <c r="GK81" s="1108" t="s">
        <v>58709</v>
      </c>
    </row>
    <row r="82" spans="1:193">
      <c r="A82" s="1108" t="s">
        <v>62269</v>
      </c>
      <c r="B82" s="1108" t="s">
        <v>62268</v>
      </c>
      <c r="C82" s="1108">
        <v>91</v>
      </c>
      <c r="GJ82" s="1108" t="s">
        <v>58710</v>
      </c>
      <c r="GK82" s="1108" t="s">
        <v>58709</v>
      </c>
    </row>
    <row r="83" spans="1:193">
      <c r="A83" s="1108" t="s">
        <v>62267</v>
      </c>
      <c r="B83" s="1108" t="s">
        <v>62266</v>
      </c>
      <c r="C83" s="1108">
        <v>113</v>
      </c>
      <c r="GJ83" s="1108" t="s">
        <v>58710</v>
      </c>
      <c r="GK83" s="1108" t="s">
        <v>58709</v>
      </c>
    </row>
    <row r="84" spans="1:193">
      <c r="A84" s="1108" t="s">
        <v>62265</v>
      </c>
      <c r="B84" s="1108" t="s">
        <v>62264</v>
      </c>
      <c r="C84" s="1108">
        <v>90</v>
      </c>
      <c r="GJ84" s="1108" t="s">
        <v>58710</v>
      </c>
      <c r="GK84" s="1108" t="s">
        <v>58709</v>
      </c>
    </row>
    <row r="85" spans="1:193">
      <c r="A85" s="1108" t="s">
        <v>62263</v>
      </c>
      <c r="B85" s="1108" t="s">
        <v>62262</v>
      </c>
      <c r="C85" s="1108">
        <v>90</v>
      </c>
      <c r="GJ85" s="1108" t="s">
        <v>58710</v>
      </c>
      <c r="GK85" s="1108" t="s">
        <v>58709</v>
      </c>
    </row>
    <row r="86" spans="1:193">
      <c r="A86" s="1108" t="s">
        <v>62261</v>
      </c>
      <c r="B86" s="1108" t="s">
        <v>62260</v>
      </c>
      <c r="C86" s="1108">
        <v>90</v>
      </c>
      <c r="GJ86" s="1108" t="s">
        <v>58710</v>
      </c>
      <c r="GK86" s="1108" t="s">
        <v>58709</v>
      </c>
    </row>
    <row r="87" spans="1:193">
      <c r="A87" s="1108" t="s">
        <v>62259</v>
      </c>
      <c r="B87" s="1108" t="s">
        <v>62258</v>
      </c>
      <c r="C87" s="1108">
        <v>92</v>
      </c>
      <c r="GJ87" s="1108" t="s">
        <v>58710</v>
      </c>
      <c r="GK87" s="1108" t="s">
        <v>58709</v>
      </c>
    </row>
    <row r="88" spans="1:193">
      <c r="A88" s="1108" t="s">
        <v>62257</v>
      </c>
      <c r="B88" s="1108" t="s">
        <v>62256</v>
      </c>
      <c r="C88" s="1108">
        <v>113</v>
      </c>
      <c r="GJ88" s="1108" t="s">
        <v>58710</v>
      </c>
      <c r="GK88" s="1108" t="s">
        <v>58709</v>
      </c>
    </row>
    <row r="89" spans="1:193">
      <c r="A89" s="1108" t="s">
        <v>62255</v>
      </c>
      <c r="B89" s="1108" t="s">
        <v>62254</v>
      </c>
      <c r="C89" s="1108">
        <v>130</v>
      </c>
      <c r="GJ89" s="1108" t="s">
        <v>58710</v>
      </c>
      <c r="GK89" s="1108" t="s">
        <v>58709</v>
      </c>
    </row>
    <row r="90" spans="1:193">
      <c r="A90" s="1108" t="s">
        <v>62253</v>
      </c>
      <c r="B90" s="1108" t="s">
        <v>62252</v>
      </c>
      <c r="C90" s="1108">
        <v>131</v>
      </c>
      <c r="GJ90" s="1108" t="s">
        <v>58710</v>
      </c>
      <c r="GK90" s="1108" t="s">
        <v>58709</v>
      </c>
    </row>
    <row r="91" spans="1:193">
      <c r="A91" s="1108" t="s">
        <v>62251</v>
      </c>
      <c r="B91" s="1108" t="s">
        <v>62250</v>
      </c>
      <c r="C91" s="1108">
        <v>143</v>
      </c>
      <c r="GJ91" s="1108" t="s">
        <v>58710</v>
      </c>
      <c r="GK91" s="1108" t="s">
        <v>58709</v>
      </c>
    </row>
    <row r="92" spans="1:193">
      <c r="A92" s="1108" t="s">
        <v>62249</v>
      </c>
      <c r="B92" s="1108" t="s">
        <v>62248</v>
      </c>
      <c r="C92" s="1108">
        <v>100</v>
      </c>
      <c r="GJ92" s="1108" t="s">
        <v>58710</v>
      </c>
      <c r="GK92" s="1108" t="s">
        <v>58709</v>
      </c>
    </row>
    <row r="93" spans="1:193">
      <c r="A93" s="1108" t="s">
        <v>62247</v>
      </c>
      <c r="B93" s="1108" t="s">
        <v>62246</v>
      </c>
      <c r="C93" s="1108">
        <v>150</v>
      </c>
      <c r="GJ93" s="1108" t="s">
        <v>58710</v>
      </c>
      <c r="GK93" s="1108" t="s">
        <v>58709</v>
      </c>
    </row>
    <row r="94" spans="1:193">
      <c r="A94" s="1108" t="s">
        <v>62245</v>
      </c>
      <c r="B94" s="1108" t="s">
        <v>62244</v>
      </c>
      <c r="C94" s="1108">
        <v>113</v>
      </c>
      <c r="GJ94" s="1108" t="s">
        <v>58710</v>
      </c>
      <c r="GK94" s="1108" t="s">
        <v>58709</v>
      </c>
    </row>
    <row r="95" spans="1:193">
      <c r="A95" s="1108" t="s">
        <v>62243</v>
      </c>
      <c r="B95" s="1108" t="s">
        <v>62242</v>
      </c>
      <c r="C95" s="1108">
        <v>204</v>
      </c>
      <c r="GJ95" s="1108" t="s">
        <v>58710</v>
      </c>
      <c r="GK95" s="1108" t="s">
        <v>58709</v>
      </c>
    </row>
    <row r="96" spans="1:193">
      <c r="A96" s="1108" t="s">
        <v>62241</v>
      </c>
      <c r="B96" s="1108" t="s">
        <v>62240</v>
      </c>
      <c r="C96" s="1108">
        <v>173</v>
      </c>
      <c r="GJ96" s="1108" t="s">
        <v>58710</v>
      </c>
      <c r="GK96" s="1108" t="s">
        <v>58709</v>
      </c>
    </row>
    <row r="97" spans="1:193">
      <c r="A97" s="1108" t="s">
        <v>62239</v>
      </c>
      <c r="B97" s="1108" t="s">
        <v>62238</v>
      </c>
      <c r="C97" s="1108">
        <v>159</v>
      </c>
      <c r="GJ97" s="1108" t="s">
        <v>58710</v>
      </c>
      <c r="GK97" s="1108" t="s">
        <v>58709</v>
      </c>
    </row>
    <row r="98" spans="1:193">
      <c r="A98" s="1108" t="s">
        <v>62237</v>
      </c>
      <c r="B98" s="1108" t="s">
        <v>62236</v>
      </c>
      <c r="C98" s="1108">
        <v>100</v>
      </c>
      <c r="GJ98" s="1108" t="s">
        <v>58710</v>
      </c>
      <c r="GK98" s="1108" t="s">
        <v>58709</v>
      </c>
    </row>
    <row r="99" spans="1:193">
      <c r="A99" s="1108">
        <v>17250</v>
      </c>
      <c r="B99" s="1108" t="s">
        <v>62235</v>
      </c>
      <c r="C99" s="1108">
        <v>30</v>
      </c>
      <c r="GJ99" s="1108" t="s">
        <v>58710</v>
      </c>
      <c r="GK99" s="1108" t="s">
        <v>58709</v>
      </c>
    </row>
    <row r="100" spans="1:193">
      <c r="A100" s="1108">
        <v>18695</v>
      </c>
      <c r="B100" s="1108" t="s">
        <v>62234</v>
      </c>
      <c r="C100" s="1108">
        <v>9</v>
      </c>
      <c r="GJ100" s="1108" t="s">
        <v>58710</v>
      </c>
      <c r="GK100" s="1108" t="s">
        <v>58709</v>
      </c>
    </row>
    <row r="101" spans="1:193">
      <c r="A101" s="1108" t="s">
        <v>62233</v>
      </c>
      <c r="B101" s="1108" t="s">
        <v>62232</v>
      </c>
      <c r="C101" s="1108">
        <v>106</v>
      </c>
      <c r="GJ101" s="1108" t="s">
        <v>58710</v>
      </c>
      <c r="GK101" s="1108" t="s">
        <v>58709</v>
      </c>
    </row>
    <row r="102" spans="1:193">
      <c r="A102" s="1108" t="s">
        <v>62231</v>
      </c>
      <c r="B102" s="1108" t="s">
        <v>62230</v>
      </c>
      <c r="C102" s="1108">
        <v>95</v>
      </c>
      <c r="GJ102" s="1108" t="s">
        <v>58710</v>
      </c>
      <c r="GK102" s="1108" t="s">
        <v>58709</v>
      </c>
    </row>
    <row r="103" spans="1:193">
      <c r="A103" s="1108" t="s">
        <v>62229</v>
      </c>
      <c r="B103" s="1108" t="s">
        <v>62228</v>
      </c>
      <c r="C103" s="1108">
        <v>81</v>
      </c>
      <c r="GJ103" s="1108" t="s">
        <v>58710</v>
      </c>
      <c r="GK103" s="1108" t="s">
        <v>58709</v>
      </c>
    </row>
    <row r="104" spans="1:193">
      <c r="A104" s="1108" t="s">
        <v>62227</v>
      </c>
      <c r="B104" s="1108" t="s">
        <v>62226</v>
      </c>
      <c r="C104" s="1108">
        <v>32</v>
      </c>
      <c r="GJ104" s="1108" t="s">
        <v>58710</v>
      </c>
      <c r="GK104" s="1108" t="s">
        <v>58709</v>
      </c>
    </row>
    <row r="105" spans="1:193">
      <c r="A105" s="1108" t="s">
        <v>62225</v>
      </c>
      <c r="B105" s="1108" t="s">
        <v>62224</v>
      </c>
      <c r="C105" s="1108">
        <v>132</v>
      </c>
      <c r="GJ105" s="1108" t="s">
        <v>58710</v>
      </c>
      <c r="GK105" s="1108" t="s">
        <v>58709</v>
      </c>
    </row>
    <row r="106" spans="1:193">
      <c r="A106" s="1108" t="s">
        <v>62223</v>
      </c>
      <c r="B106" s="1108" t="s">
        <v>62222</v>
      </c>
      <c r="C106" s="1108">
        <v>445</v>
      </c>
      <c r="GJ106" s="1108" t="s">
        <v>58710</v>
      </c>
      <c r="GK106" s="1108" t="s">
        <v>58709</v>
      </c>
    </row>
    <row r="107" spans="1:193">
      <c r="A107" s="1108" t="s">
        <v>62221</v>
      </c>
      <c r="B107" s="1108" t="s">
        <v>62220</v>
      </c>
      <c r="C107" s="1108">
        <v>59</v>
      </c>
      <c r="GJ107" s="1108" t="s">
        <v>58710</v>
      </c>
      <c r="GK107" s="1108" t="s">
        <v>58709</v>
      </c>
    </row>
    <row r="108" spans="1:193">
      <c r="A108" s="1108" t="s">
        <v>62219</v>
      </c>
      <c r="B108" s="1108" t="s">
        <v>62218</v>
      </c>
      <c r="C108" s="1108">
        <v>212</v>
      </c>
      <c r="GJ108" s="1108" t="s">
        <v>58710</v>
      </c>
      <c r="GK108" s="1108" t="s">
        <v>58709</v>
      </c>
    </row>
    <row r="109" spans="1:193">
      <c r="A109" s="1108" t="s">
        <v>62217</v>
      </c>
      <c r="B109" s="1108" t="s">
        <v>62216</v>
      </c>
      <c r="C109" s="1108">
        <v>223</v>
      </c>
      <c r="GJ109" s="1108" t="s">
        <v>58710</v>
      </c>
      <c r="GK109" s="1108" t="s">
        <v>58709</v>
      </c>
    </row>
    <row r="110" spans="1:193">
      <c r="A110" s="1108" t="s">
        <v>62215</v>
      </c>
      <c r="B110" s="1108" t="s">
        <v>62214</v>
      </c>
      <c r="C110" s="1108">
        <v>269</v>
      </c>
      <c r="GJ110" s="1108" t="s">
        <v>58710</v>
      </c>
      <c r="GK110" s="1108" t="s">
        <v>58709</v>
      </c>
    </row>
    <row r="111" spans="1:193">
      <c r="A111" s="1108" t="s">
        <v>62213</v>
      </c>
      <c r="B111" s="1108" t="s">
        <v>62212</v>
      </c>
      <c r="C111" s="1108">
        <v>409</v>
      </c>
      <c r="GJ111" s="1108" t="s">
        <v>58710</v>
      </c>
      <c r="GK111" s="1108" t="s">
        <v>58709</v>
      </c>
    </row>
    <row r="112" spans="1:193">
      <c r="A112" s="1108" t="s">
        <v>62211</v>
      </c>
      <c r="B112" s="1108" t="s">
        <v>62210</v>
      </c>
      <c r="C112" s="1108">
        <v>59</v>
      </c>
      <c r="GJ112" s="1108" t="s">
        <v>58710</v>
      </c>
      <c r="GK112" s="1108" t="s">
        <v>58709</v>
      </c>
    </row>
    <row r="113" spans="1:193">
      <c r="A113" s="1108" t="s">
        <v>62209</v>
      </c>
      <c r="B113" s="1108" t="s">
        <v>62208</v>
      </c>
      <c r="C113" s="1108">
        <v>83</v>
      </c>
      <c r="GJ113" s="1108" t="s">
        <v>58710</v>
      </c>
      <c r="GK113" s="1108" t="s">
        <v>58709</v>
      </c>
    </row>
    <row r="114" spans="1:193">
      <c r="A114" s="1108" t="s">
        <v>62207</v>
      </c>
      <c r="B114" s="1108" t="s">
        <v>62206</v>
      </c>
      <c r="C114" s="1108">
        <v>269</v>
      </c>
      <c r="GJ114" s="1108" t="s">
        <v>58710</v>
      </c>
      <c r="GK114" s="1108" t="s">
        <v>58709</v>
      </c>
    </row>
    <row r="115" spans="1:193">
      <c r="A115" s="1108" t="s">
        <v>62205</v>
      </c>
      <c r="B115" s="1108" t="s">
        <v>62204</v>
      </c>
      <c r="C115" s="1108">
        <v>367</v>
      </c>
      <c r="GJ115" s="1108" t="s">
        <v>58710</v>
      </c>
      <c r="GK115" s="1108" t="s">
        <v>58709</v>
      </c>
    </row>
    <row r="116" spans="1:193">
      <c r="A116" s="1108" t="s">
        <v>62203</v>
      </c>
      <c r="B116" s="1108" t="s">
        <v>62202</v>
      </c>
      <c r="C116" s="1108">
        <v>336</v>
      </c>
      <c r="GJ116" s="1108" t="s">
        <v>58710</v>
      </c>
      <c r="GK116" s="1108" t="s">
        <v>58709</v>
      </c>
    </row>
    <row r="117" spans="1:193">
      <c r="A117" s="1108" t="s">
        <v>62201</v>
      </c>
      <c r="B117" s="1108" t="s">
        <v>62200</v>
      </c>
      <c r="C117" s="1108">
        <v>315</v>
      </c>
      <c r="GJ117" s="1108" t="s">
        <v>58710</v>
      </c>
      <c r="GK117" s="1108" t="s">
        <v>58709</v>
      </c>
    </row>
    <row r="118" spans="1:193">
      <c r="A118" s="1108" t="s">
        <v>62199</v>
      </c>
      <c r="B118" s="1108" t="s">
        <v>62198</v>
      </c>
      <c r="C118" s="1108">
        <v>119</v>
      </c>
      <c r="GJ118" s="1108" t="s">
        <v>58710</v>
      </c>
      <c r="GK118" s="1108" t="s">
        <v>58709</v>
      </c>
    </row>
    <row r="119" spans="1:193">
      <c r="A119" s="1108" t="s">
        <v>62197</v>
      </c>
      <c r="B119" s="1108" t="s">
        <v>62196</v>
      </c>
      <c r="C119" s="1108">
        <v>123</v>
      </c>
      <c r="GJ119" s="1108" t="s">
        <v>58710</v>
      </c>
      <c r="GK119" s="1108" t="s">
        <v>58709</v>
      </c>
    </row>
    <row r="120" spans="1:193">
      <c r="A120" s="1108" t="s">
        <v>62195</v>
      </c>
      <c r="B120" s="1108" t="s">
        <v>62194</v>
      </c>
      <c r="C120" s="1108">
        <v>113</v>
      </c>
      <c r="GJ120" s="1108" t="s">
        <v>58710</v>
      </c>
      <c r="GK120" s="1108" t="s">
        <v>58709</v>
      </c>
    </row>
    <row r="121" spans="1:193">
      <c r="A121" s="1108" t="s">
        <v>62193</v>
      </c>
      <c r="B121" s="1108" t="s">
        <v>62192</v>
      </c>
      <c r="C121" s="1108">
        <v>59</v>
      </c>
      <c r="GJ121" s="1108" t="s">
        <v>58710</v>
      </c>
      <c r="GK121" s="1108" t="s">
        <v>58709</v>
      </c>
    </row>
    <row r="122" spans="1:193">
      <c r="A122" s="1108" t="s">
        <v>62191</v>
      </c>
      <c r="B122" s="1108" t="s">
        <v>62190</v>
      </c>
      <c r="C122" s="1108">
        <v>116</v>
      </c>
      <c r="GJ122" s="1108" t="s">
        <v>58710</v>
      </c>
      <c r="GK122" s="1108" t="s">
        <v>58709</v>
      </c>
    </row>
    <row r="123" spans="1:193">
      <c r="A123" s="1108" t="s">
        <v>62189</v>
      </c>
      <c r="B123" s="1108" t="s">
        <v>62188</v>
      </c>
      <c r="C123" s="1108">
        <v>119</v>
      </c>
      <c r="GJ123" s="1108" t="s">
        <v>58710</v>
      </c>
      <c r="GK123" s="1108" t="s">
        <v>58709</v>
      </c>
    </row>
    <row r="124" spans="1:193">
      <c r="A124" s="1108" t="s">
        <v>62187</v>
      </c>
      <c r="B124" s="1108" t="s">
        <v>62186</v>
      </c>
      <c r="C124" s="1108">
        <v>140</v>
      </c>
      <c r="GJ124" s="1108" t="s">
        <v>58710</v>
      </c>
      <c r="GK124" s="1108" t="s">
        <v>58709</v>
      </c>
    </row>
    <row r="125" spans="1:193">
      <c r="A125" s="1108" t="s">
        <v>62185</v>
      </c>
      <c r="B125" s="1108" t="s">
        <v>62184</v>
      </c>
      <c r="C125" s="1108">
        <v>107</v>
      </c>
      <c r="GJ125" s="1108" t="s">
        <v>58710</v>
      </c>
      <c r="GK125" s="1108" t="s">
        <v>58709</v>
      </c>
    </row>
    <row r="126" spans="1:193">
      <c r="A126" s="1108" t="s">
        <v>62183</v>
      </c>
      <c r="B126" s="1108" t="s">
        <v>62182</v>
      </c>
      <c r="C126" s="1108">
        <v>37</v>
      </c>
      <c r="GJ126" s="1108" t="s">
        <v>58710</v>
      </c>
      <c r="GK126" s="1108" t="s">
        <v>58709</v>
      </c>
    </row>
    <row r="127" spans="1:193">
      <c r="A127" s="1108" t="s">
        <v>62181</v>
      </c>
      <c r="B127" s="1108" t="s">
        <v>62180</v>
      </c>
      <c r="C127" s="1108">
        <v>113</v>
      </c>
      <c r="GJ127" s="1108" t="s">
        <v>58710</v>
      </c>
      <c r="GK127" s="1108" t="s">
        <v>58709</v>
      </c>
    </row>
    <row r="128" spans="1:193">
      <c r="A128" s="1108" t="s">
        <v>62179</v>
      </c>
      <c r="B128" s="1108" t="s">
        <v>62178</v>
      </c>
      <c r="C128" s="1108">
        <v>450</v>
      </c>
      <c r="GJ128" s="1108" t="s">
        <v>58710</v>
      </c>
      <c r="GK128" s="1108" t="s">
        <v>58709</v>
      </c>
    </row>
    <row r="129" spans="1:193">
      <c r="A129" s="1108" t="s">
        <v>62177</v>
      </c>
      <c r="B129" s="1108" t="s">
        <v>62176</v>
      </c>
      <c r="C129" s="1108">
        <v>140</v>
      </c>
      <c r="GJ129" s="1108" t="s">
        <v>58710</v>
      </c>
      <c r="GK129" s="1108" t="s">
        <v>58709</v>
      </c>
    </row>
    <row r="130" spans="1:193">
      <c r="A130" s="1108" t="s">
        <v>62175</v>
      </c>
      <c r="B130" s="1108" t="s">
        <v>62174</v>
      </c>
      <c r="C130" s="1108">
        <v>365</v>
      </c>
      <c r="GJ130" s="1108" t="s">
        <v>58710</v>
      </c>
      <c r="GK130" s="1108" t="s">
        <v>58709</v>
      </c>
    </row>
    <row r="131" spans="1:193">
      <c r="A131" s="1108" t="s">
        <v>62173</v>
      </c>
      <c r="B131" s="1108" t="s">
        <v>62172</v>
      </c>
      <c r="C131" s="1108">
        <v>568</v>
      </c>
      <c r="GJ131" s="1108" t="s">
        <v>58710</v>
      </c>
      <c r="GK131" s="1108" t="s">
        <v>58709</v>
      </c>
    </row>
    <row r="132" spans="1:193">
      <c r="A132" s="1108" t="s">
        <v>62171</v>
      </c>
      <c r="B132" s="1108" t="s">
        <v>62170</v>
      </c>
      <c r="C132" s="1108">
        <v>602</v>
      </c>
      <c r="GJ132" s="1108" t="s">
        <v>58710</v>
      </c>
      <c r="GK132" s="1108" t="s">
        <v>58709</v>
      </c>
    </row>
    <row r="133" spans="1:193">
      <c r="A133" s="1108" t="s">
        <v>62169</v>
      </c>
      <c r="B133" s="1108" t="s">
        <v>62168</v>
      </c>
      <c r="C133" s="1108">
        <v>568</v>
      </c>
      <c r="GJ133" s="1108" t="s">
        <v>58710</v>
      </c>
      <c r="GK133" s="1108" t="s">
        <v>58709</v>
      </c>
    </row>
    <row r="134" spans="1:193">
      <c r="A134" s="1108" t="s">
        <v>62167</v>
      </c>
      <c r="B134" s="1108" t="s">
        <v>62166</v>
      </c>
      <c r="C134" s="1108">
        <v>602</v>
      </c>
      <c r="GJ134" s="1108" t="s">
        <v>58710</v>
      </c>
      <c r="GK134" s="1108" t="s">
        <v>58709</v>
      </c>
    </row>
    <row r="135" spans="1:193">
      <c r="A135" s="1108" t="s">
        <v>62165</v>
      </c>
      <c r="B135" s="1108" t="s">
        <v>62164</v>
      </c>
      <c r="C135" s="1108">
        <v>575</v>
      </c>
      <c r="GJ135" s="1108" t="s">
        <v>58710</v>
      </c>
      <c r="GK135" s="1108" t="s">
        <v>58709</v>
      </c>
    </row>
    <row r="136" spans="1:193">
      <c r="A136" s="1108" t="s">
        <v>62163</v>
      </c>
      <c r="B136" s="1108" t="s">
        <v>62162</v>
      </c>
      <c r="C136" s="1108">
        <v>761</v>
      </c>
      <c r="GJ136" s="1108" t="s">
        <v>58710</v>
      </c>
      <c r="GK136" s="1108" t="s">
        <v>58709</v>
      </c>
    </row>
    <row r="137" spans="1:193">
      <c r="A137" s="1108" t="s">
        <v>62161</v>
      </c>
      <c r="B137" s="1108" t="s">
        <v>62160</v>
      </c>
      <c r="C137" s="1108">
        <v>244</v>
      </c>
      <c r="GJ137" s="1108" t="s">
        <v>58710</v>
      </c>
      <c r="GK137" s="1108" t="s">
        <v>58709</v>
      </c>
    </row>
    <row r="138" spans="1:193">
      <c r="A138" s="1108" t="s">
        <v>62159</v>
      </c>
      <c r="B138" s="1108" t="s">
        <v>62158</v>
      </c>
      <c r="C138" s="1108">
        <v>244</v>
      </c>
      <c r="GJ138" s="1108" t="s">
        <v>58710</v>
      </c>
      <c r="GK138" s="1108" t="s">
        <v>58709</v>
      </c>
    </row>
    <row r="139" spans="1:193">
      <c r="A139" s="1108" t="s">
        <v>62157</v>
      </c>
      <c r="B139" s="1108" t="s">
        <v>62156</v>
      </c>
      <c r="C139" s="1108">
        <v>158</v>
      </c>
      <c r="GJ139" s="1108" t="s">
        <v>58710</v>
      </c>
      <c r="GK139" s="1108" t="s">
        <v>58709</v>
      </c>
    </row>
    <row r="140" spans="1:193">
      <c r="A140" s="1108" t="s">
        <v>62155</v>
      </c>
      <c r="B140" s="1108" t="s">
        <v>62154</v>
      </c>
      <c r="C140" s="1108">
        <v>788</v>
      </c>
      <c r="GJ140" s="1108" t="s">
        <v>58710</v>
      </c>
      <c r="GK140" s="1108" t="s">
        <v>58709</v>
      </c>
    </row>
    <row r="141" spans="1:193">
      <c r="A141" s="1108" t="s">
        <v>62153</v>
      </c>
      <c r="B141" s="1108" t="s">
        <v>62152</v>
      </c>
      <c r="C141" s="1108">
        <v>847</v>
      </c>
      <c r="GJ141" s="1108" t="s">
        <v>58710</v>
      </c>
      <c r="GK141" s="1108" t="s">
        <v>58709</v>
      </c>
    </row>
    <row r="142" spans="1:193">
      <c r="A142" s="1108" t="s">
        <v>62151</v>
      </c>
      <c r="B142" s="1108" t="s">
        <v>62150</v>
      </c>
      <c r="C142" s="1108">
        <v>761</v>
      </c>
      <c r="GJ142" s="1108" t="s">
        <v>58710</v>
      </c>
      <c r="GK142" s="1108" t="s">
        <v>58709</v>
      </c>
    </row>
    <row r="143" spans="1:193">
      <c r="A143" s="1108" t="s">
        <v>62149</v>
      </c>
      <c r="B143" s="1108" t="s">
        <v>62148</v>
      </c>
      <c r="C143" s="1108">
        <v>817</v>
      </c>
      <c r="GJ143" s="1108" t="s">
        <v>58710</v>
      </c>
      <c r="GK143" s="1108" t="s">
        <v>58709</v>
      </c>
    </row>
    <row r="144" spans="1:193">
      <c r="A144" s="1108" t="s">
        <v>62147</v>
      </c>
      <c r="B144" s="1108" t="s">
        <v>62146</v>
      </c>
      <c r="C144" s="1108">
        <v>761</v>
      </c>
      <c r="GJ144" s="1108" t="s">
        <v>58710</v>
      </c>
      <c r="GK144" s="1108" t="s">
        <v>58709</v>
      </c>
    </row>
    <row r="145" spans="1:193">
      <c r="A145" s="1108" t="s">
        <v>62145</v>
      </c>
      <c r="B145" s="1108" t="s">
        <v>62144</v>
      </c>
      <c r="C145" s="1108">
        <v>843</v>
      </c>
      <c r="GJ145" s="1108" t="s">
        <v>58710</v>
      </c>
      <c r="GK145" s="1108" t="s">
        <v>58709</v>
      </c>
    </row>
    <row r="146" spans="1:193">
      <c r="A146" s="1108" t="s">
        <v>62143</v>
      </c>
      <c r="B146" s="1108" t="s">
        <v>62142</v>
      </c>
      <c r="C146" s="1108">
        <v>857</v>
      </c>
      <c r="GJ146" s="1108" t="s">
        <v>58710</v>
      </c>
      <c r="GK146" s="1108" t="s">
        <v>58709</v>
      </c>
    </row>
    <row r="147" spans="1:193">
      <c r="A147" s="1108" t="s">
        <v>62141</v>
      </c>
      <c r="B147" s="1108" t="s">
        <v>62140</v>
      </c>
      <c r="C147" s="1108">
        <v>772</v>
      </c>
      <c r="GJ147" s="1108" t="s">
        <v>58710</v>
      </c>
      <c r="GK147" s="1108" t="s">
        <v>58709</v>
      </c>
    </row>
    <row r="148" spans="1:193">
      <c r="A148" s="1108" t="s">
        <v>62139</v>
      </c>
      <c r="B148" s="1108" t="s">
        <v>62138</v>
      </c>
      <c r="C148" s="1108">
        <v>772</v>
      </c>
      <c r="GJ148" s="1108" t="s">
        <v>58710</v>
      </c>
      <c r="GK148" s="1108" t="s">
        <v>58709</v>
      </c>
    </row>
    <row r="149" spans="1:193">
      <c r="A149" s="1108" t="s">
        <v>62137</v>
      </c>
      <c r="B149" s="1108" t="s">
        <v>62136</v>
      </c>
      <c r="C149" s="1108">
        <v>963</v>
      </c>
      <c r="GJ149" s="1108" t="s">
        <v>58710</v>
      </c>
      <c r="GK149" s="1108" t="s">
        <v>58709</v>
      </c>
    </row>
    <row r="150" spans="1:193">
      <c r="A150" s="1108" t="s">
        <v>62135</v>
      </c>
      <c r="B150" s="1108" t="s">
        <v>62134</v>
      </c>
      <c r="C150" s="1108">
        <v>963</v>
      </c>
      <c r="GJ150" s="1108" t="s">
        <v>58710</v>
      </c>
      <c r="GK150" s="1108" t="s">
        <v>58709</v>
      </c>
    </row>
    <row r="151" spans="1:193">
      <c r="A151" s="1108" t="s">
        <v>62133</v>
      </c>
      <c r="B151" s="1108" t="s">
        <v>62132</v>
      </c>
      <c r="C151" s="1108">
        <v>1018</v>
      </c>
      <c r="GJ151" s="1108" t="s">
        <v>58710</v>
      </c>
      <c r="GK151" s="1108" t="s">
        <v>58709</v>
      </c>
    </row>
    <row r="152" spans="1:193">
      <c r="A152" s="1108" t="s">
        <v>62131</v>
      </c>
      <c r="B152" s="1108" t="s">
        <v>62130</v>
      </c>
      <c r="C152" s="1108">
        <v>1018</v>
      </c>
      <c r="GJ152" s="1108" t="s">
        <v>58710</v>
      </c>
      <c r="GK152" s="1108" t="s">
        <v>58709</v>
      </c>
    </row>
    <row r="153" spans="1:193">
      <c r="A153" s="1108" t="s">
        <v>62129</v>
      </c>
      <c r="B153" s="1108" t="s">
        <v>62128</v>
      </c>
      <c r="C153" s="1108">
        <v>109</v>
      </c>
      <c r="GJ153" s="1108" t="s">
        <v>58710</v>
      </c>
      <c r="GK153" s="1108" t="s">
        <v>58709</v>
      </c>
    </row>
    <row r="154" spans="1:193">
      <c r="A154" s="1108" t="s">
        <v>62127</v>
      </c>
      <c r="B154" s="1108" t="s">
        <v>62126</v>
      </c>
      <c r="C154" s="1108">
        <v>109</v>
      </c>
      <c r="GJ154" s="1108" t="s">
        <v>58710</v>
      </c>
      <c r="GK154" s="1108" t="s">
        <v>58709</v>
      </c>
    </row>
    <row r="155" spans="1:193">
      <c r="A155" s="1108" t="s">
        <v>62125</v>
      </c>
      <c r="B155" s="1108" t="s">
        <v>62124</v>
      </c>
      <c r="C155" s="1108">
        <v>59</v>
      </c>
      <c r="GJ155" s="1108" t="s">
        <v>58710</v>
      </c>
      <c r="GK155" s="1108" t="s">
        <v>58709</v>
      </c>
    </row>
    <row r="156" spans="1:193">
      <c r="A156" s="1108" t="s">
        <v>62123</v>
      </c>
      <c r="B156" s="1108" t="s">
        <v>62122</v>
      </c>
      <c r="C156" s="1108">
        <v>795</v>
      </c>
      <c r="GJ156" s="1108" t="s">
        <v>58710</v>
      </c>
      <c r="GK156" s="1108" t="s">
        <v>58709</v>
      </c>
    </row>
    <row r="157" spans="1:193">
      <c r="A157" s="1108" t="s">
        <v>62121</v>
      </c>
      <c r="B157" s="1108" t="s">
        <v>62120</v>
      </c>
      <c r="C157" s="1108">
        <v>962</v>
      </c>
      <c r="GJ157" s="1108" t="s">
        <v>58710</v>
      </c>
      <c r="GK157" s="1108" t="s">
        <v>58709</v>
      </c>
    </row>
    <row r="158" spans="1:193">
      <c r="A158" s="1108" t="s">
        <v>62119</v>
      </c>
      <c r="B158" s="1108" t="s">
        <v>62118</v>
      </c>
      <c r="C158" s="1108">
        <v>973</v>
      </c>
      <c r="GJ158" s="1108" t="s">
        <v>58710</v>
      </c>
      <c r="GK158" s="1108" t="s">
        <v>58709</v>
      </c>
    </row>
    <row r="159" spans="1:193">
      <c r="A159" s="1108" t="s">
        <v>62117</v>
      </c>
      <c r="B159" s="1108" t="s">
        <v>62116</v>
      </c>
      <c r="C159" s="1108">
        <v>1054</v>
      </c>
      <c r="GJ159" s="1108" t="s">
        <v>58710</v>
      </c>
      <c r="GK159" s="1108" t="s">
        <v>58709</v>
      </c>
    </row>
    <row r="160" spans="1:193">
      <c r="A160" s="1108" t="s">
        <v>62115</v>
      </c>
      <c r="B160" s="1108" t="s">
        <v>62114</v>
      </c>
      <c r="C160" s="1108">
        <v>990</v>
      </c>
      <c r="GJ160" s="1108" t="s">
        <v>58710</v>
      </c>
      <c r="GK160" s="1108" t="s">
        <v>58709</v>
      </c>
    </row>
    <row r="161" spans="1:193">
      <c r="A161" s="1108" t="s">
        <v>62113</v>
      </c>
      <c r="B161" s="1108" t="s">
        <v>62112</v>
      </c>
      <c r="C161" s="1108">
        <v>987</v>
      </c>
      <c r="GJ161" s="1108" t="s">
        <v>58710</v>
      </c>
      <c r="GK161" s="1108" t="s">
        <v>58709</v>
      </c>
    </row>
    <row r="162" spans="1:193">
      <c r="A162" s="1108" t="s">
        <v>62111</v>
      </c>
      <c r="B162" s="1108" t="s">
        <v>62110</v>
      </c>
      <c r="C162" s="1108">
        <v>992</v>
      </c>
      <c r="GJ162" s="1108" t="s">
        <v>58710</v>
      </c>
      <c r="GK162" s="1108" t="s">
        <v>58709</v>
      </c>
    </row>
    <row r="163" spans="1:193">
      <c r="A163" s="1108" t="s">
        <v>62109</v>
      </c>
      <c r="B163" s="1108" t="s">
        <v>62108</v>
      </c>
      <c r="C163" s="1108">
        <v>1144</v>
      </c>
      <c r="GJ163" s="1108" t="s">
        <v>58710</v>
      </c>
      <c r="GK163" s="1108" t="s">
        <v>58709</v>
      </c>
    </row>
    <row r="164" spans="1:193">
      <c r="A164" s="1108" t="s">
        <v>62107</v>
      </c>
      <c r="B164" s="1108" t="s">
        <v>62106</v>
      </c>
      <c r="C164" s="1108">
        <v>1182</v>
      </c>
      <c r="GJ164" s="1108" t="s">
        <v>58710</v>
      </c>
      <c r="GK164" s="1108" t="s">
        <v>58709</v>
      </c>
    </row>
    <row r="165" spans="1:193">
      <c r="A165" s="1108" t="s">
        <v>62105</v>
      </c>
      <c r="B165" s="1108" t="s">
        <v>62104</v>
      </c>
      <c r="C165" s="1108">
        <v>1064</v>
      </c>
      <c r="GJ165" s="1108" t="s">
        <v>58710</v>
      </c>
      <c r="GK165" s="1108" t="s">
        <v>58709</v>
      </c>
    </row>
    <row r="166" spans="1:193">
      <c r="A166" s="1108" t="s">
        <v>62103</v>
      </c>
      <c r="B166" s="1108" t="s">
        <v>62102</v>
      </c>
      <c r="C166" s="1108">
        <v>1070</v>
      </c>
      <c r="GJ166" s="1108" t="s">
        <v>58710</v>
      </c>
      <c r="GK166" s="1108" t="s">
        <v>58709</v>
      </c>
    </row>
    <row r="167" spans="1:193">
      <c r="A167" s="1108" t="s">
        <v>62101</v>
      </c>
      <c r="B167" s="1108" t="s">
        <v>62100</v>
      </c>
      <c r="C167" s="1108">
        <v>542</v>
      </c>
      <c r="GJ167" s="1108" t="s">
        <v>58710</v>
      </c>
      <c r="GK167" s="1108" t="s">
        <v>58709</v>
      </c>
    </row>
    <row r="168" spans="1:193">
      <c r="A168" s="1108" t="s">
        <v>62099</v>
      </c>
      <c r="B168" s="1108" t="s">
        <v>62098</v>
      </c>
      <c r="C168" s="1108">
        <v>1166</v>
      </c>
      <c r="GJ168" s="1108" t="s">
        <v>58710</v>
      </c>
      <c r="GK168" s="1108" t="s">
        <v>58709</v>
      </c>
    </row>
    <row r="169" spans="1:193">
      <c r="A169" s="1108" t="s">
        <v>62097</v>
      </c>
      <c r="B169" s="1108" t="s">
        <v>62096</v>
      </c>
      <c r="C169" s="1108">
        <v>1014</v>
      </c>
      <c r="GJ169" s="1108" t="s">
        <v>58710</v>
      </c>
      <c r="GK169" s="1108" t="s">
        <v>58709</v>
      </c>
    </row>
    <row r="170" spans="1:193">
      <c r="A170" s="1108" t="s">
        <v>62095</v>
      </c>
      <c r="B170" s="1108" t="s">
        <v>62094</v>
      </c>
      <c r="C170" s="1108">
        <v>1052</v>
      </c>
      <c r="GJ170" s="1108" t="s">
        <v>58710</v>
      </c>
      <c r="GK170" s="1108" t="s">
        <v>58709</v>
      </c>
    </row>
    <row r="171" spans="1:193">
      <c r="A171" s="1108" t="s">
        <v>62093</v>
      </c>
      <c r="B171" s="1108" t="s">
        <v>62092</v>
      </c>
      <c r="C171" s="1108">
        <v>1057</v>
      </c>
      <c r="GJ171" s="1108" t="s">
        <v>58710</v>
      </c>
      <c r="GK171" s="1108" t="s">
        <v>58709</v>
      </c>
    </row>
    <row r="172" spans="1:193">
      <c r="A172" s="1108" t="s">
        <v>62091</v>
      </c>
      <c r="B172" s="1108" t="s">
        <v>62090</v>
      </c>
      <c r="C172" s="1108">
        <v>1209</v>
      </c>
      <c r="GJ172" s="1108" t="s">
        <v>58710</v>
      </c>
      <c r="GK172" s="1108" t="s">
        <v>58709</v>
      </c>
    </row>
    <row r="173" spans="1:193">
      <c r="A173" s="1108" t="s">
        <v>62089</v>
      </c>
      <c r="B173" s="1108" t="s">
        <v>62088</v>
      </c>
      <c r="C173" s="1108">
        <v>1209</v>
      </c>
      <c r="GJ173" s="1108" t="s">
        <v>58710</v>
      </c>
      <c r="GK173" s="1108" t="s">
        <v>58709</v>
      </c>
    </row>
    <row r="174" spans="1:193">
      <c r="A174" s="1108" t="s">
        <v>62087</v>
      </c>
      <c r="B174" s="1108" t="s">
        <v>62086</v>
      </c>
      <c r="C174" s="1108">
        <v>604</v>
      </c>
      <c r="GJ174" s="1108" t="s">
        <v>58710</v>
      </c>
      <c r="GK174" s="1108" t="s">
        <v>58709</v>
      </c>
    </row>
    <row r="175" spans="1:193">
      <c r="A175" s="1108" t="s">
        <v>62085</v>
      </c>
      <c r="B175" s="1108" t="s">
        <v>62084</v>
      </c>
      <c r="C175" s="1108">
        <v>1049</v>
      </c>
      <c r="GJ175" s="1108" t="s">
        <v>58710</v>
      </c>
      <c r="GK175" s="1108" t="s">
        <v>58709</v>
      </c>
    </row>
    <row r="176" spans="1:193">
      <c r="A176" s="1108" t="s">
        <v>62083</v>
      </c>
      <c r="B176" s="1108" t="s">
        <v>62082</v>
      </c>
      <c r="C176" s="1108">
        <v>1206</v>
      </c>
      <c r="GJ176" s="1108" t="s">
        <v>58710</v>
      </c>
      <c r="GK176" s="1108" t="s">
        <v>58709</v>
      </c>
    </row>
    <row r="177" spans="1:193">
      <c r="A177" s="1108" t="s">
        <v>62081</v>
      </c>
      <c r="B177" s="1108" t="s">
        <v>62080</v>
      </c>
      <c r="C177" s="1108">
        <v>1206</v>
      </c>
      <c r="GJ177" s="1108" t="s">
        <v>58710</v>
      </c>
      <c r="GK177" s="1108" t="s">
        <v>58709</v>
      </c>
    </row>
    <row r="178" spans="1:193">
      <c r="A178" s="1108" t="s">
        <v>62079</v>
      </c>
      <c r="B178" s="1108" t="s">
        <v>62078</v>
      </c>
      <c r="C178" s="1108">
        <v>489</v>
      </c>
      <c r="GJ178" s="1108" t="s">
        <v>58710</v>
      </c>
      <c r="GK178" s="1108" t="s">
        <v>58709</v>
      </c>
    </row>
    <row r="179" spans="1:193">
      <c r="A179" s="1108" t="s">
        <v>62077</v>
      </c>
      <c r="B179" s="1108" t="s">
        <v>62076</v>
      </c>
      <c r="C179" s="1108">
        <v>939</v>
      </c>
      <c r="GJ179" s="1108" t="s">
        <v>58710</v>
      </c>
      <c r="GK179" s="1108" t="s">
        <v>58709</v>
      </c>
    </row>
    <row r="180" spans="1:193">
      <c r="A180" s="1108" t="s">
        <v>62075</v>
      </c>
      <c r="B180" s="1108" t="s">
        <v>62074</v>
      </c>
      <c r="C180" s="1108">
        <v>1091</v>
      </c>
      <c r="GJ180" s="1108" t="s">
        <v>58710</v>
      </c>
      <c r="GK180" s="1108" t="s">
        <v>58709</v>
      </c>
    </row>
    <row r="181" spans="1:193">
      <c r="A181" s="1108" t="s">
        <v>62073</v>
      </c>
      <c r="B181" s="1108" t="s">
        <v>62072</v>
      </c>
      <c r="C181" s="1108">
        <v>1091</v>
      </c>
      <c r="GJ181" s="1108" t="s">
        <v>58710</v>
      </c>
      <c r="GK181" s="1108" t="s">
        <v>58709</v>
      </c>
    </row>
    <row r="182" spans="1:193">
      <c r="A182" s="1108" t="s">
        <v>62071</v>
      </c>
      <c r="B182" s="1108" t="s">
        <v>62070</v>
      </c>
      <c r="C182" s="1108">
        <v>1044</v>
      </c>
      <c r="GJ182" s="1108" t="s">
        <v>58710</v>
      </c>
      <c r="GK182" s="1108" t="s">
        <v>58709</v>
      </c>
    </row>
    <row r="183" spans="1:193">
      <c r="A183" s="1108" t="s">
        <v>62069</v>
      </c>
      <c r="B183" s="1108" t="s">
        <v>62068</v>
      </c>
      <c r="C183" s="1108">
        <v>958</v>
      </c>
      <c r="GJ183" s="1108" t="s">
        <v>58710</v>
      </c>
      <c r="GK183" s="1108" t="s">
        <v>58709</v>
      </c>
    </row>
    <row r="184" spans="1:193">
      <c r="A184" s="1108" t="s">
        <v>62067</v>
      </c>
      <c r="B184" s="1108" t="s">
        <v>62066</v>
      </c>
      <c r="C184" s="1108">
        <v>900</v>
      </c>
      <c r="GJ184" s="1108" t="s">
        <v>58710</v>
      </c>
      <c r="GK184" s="1108" t="s">
        <v>58709</v>
      </c>
    </row>
    <row r="185" spans="1:193">
      <c r="A185" s="1108" t="s">
        <v>62065</v>
      </c>
      <c r="B185" s="1108" t="s">
        <v>62064</v>
      </c>
      <c r="C185" s="1108">
        <v>977</v>
      </c>
      <c r="GJ185" s="1108" t="s">
        <v>58710</v>
      </c>
      <c r="GK185" s="1108" t="s">
        <v>58709</v>
      </c>
    </row>
    <row r="186" spans="1:193">
      <c r="A186" s="1108" t="s">
        <v>62063</v>
      </c>
      <c r="B186" s="1108" t="s">
        <v>62062</v>
      </c>
      <c r="C186" s="1108">
        <v>994</v>
      </c>
      <c r="GJ186" s="1108" t="s">
        <v>58710</v>
      </c>
      <c r="GK186" s="1108" t="s">
        <v>58709</v>
      </c>
    </row>
    <row r="187" spans="1:193">
      <c r="A187" s="1108" t="s">
        <v>62061</v>
      </c>
      <c r="B187" s="1108" t="s">
        <v>62060</v>
      </c>
      <c r="C187" s="1108">
        <v>1027</v>
      </c>
      <c r="GJ187" s="1108" t="s">
        <v>58710</v>
      </c>
      <c r="GK187" s="1108" t="s">
        <v>58709</v>
      </c>
    </row>
    <row r="188" spans="1:193">
      <c r="A188" s="1108" t="s">
        <v>62059</v>
      </c>
      <c r="B188" s="1108" t="s">
        <v>62058</v>
      </c>
      <c r="C188" s="1108">
        <v>603</v>
      </c>
      <c r="GJ188" s="1108" t="s">
        <v>58710</v>
      </c>
      <c r="GK188" s="1108" t="s">
        <v>58709</v>
      </c>
    </row>
    <row r="189" spans="1:193">
      <c r="A189" s="1108" t="s">
        <v>62057</v>
      </c>
      <c r="B189" s="1108" t="s">
        <v>62056</v>
      </c>
      <c r="C189" s="1108">
        <v>541</v>
      </c>
      <c r="GJ189" s="1108" t="s">
        <v>58710</v>
      </c>
      <c r="GK189" s="1108" t="s">
        <v>58709</v>
      </c>
    </row>
    <row r="190" spans="1:193">
      <c r="A190" s="1108" t="s">
        <v>62055</v>
      </c>
      <c r="B190" s="1108" t="s">
        <v>62054</v>
      </c>
      <c r="C190" s="1108">
        <v>986</v>
      </c>
      <c r="GJ190" s="1108" t="s">
        <v>58710</v>
      </c>
      <c r="GK190" s="1108" t="s">
        <v>58709</v>
      </c>
    </row>
    <row r="191" spans="1:193">
      <c r="A191" s="1108" t="s">
        <v>62053</v>
      </c>
      <c r="B191" s="1108" t="s">
        <v>62052</v>
      </c>
      <c r="C191" s="1108">
        <v>991</v>
      </c>
      <c r="GJ191" s="1108" t="s">
        <v>58710</v>
      </c>
      <c r="GK191" s="1108" t="s">
        <v>58709</v>
      </c>
    </row>
    <row r="192" spans="1:193">
      <c r="A192" s="1108" t="s">
        <v>62051</v>
      </c>
      <c r="B192" s="1108" t="s">
        <v>62050</v>
      </c>
      <c r="C192" s="1108">
        <v>1143</v>
      </c>
      <c r="GJ192" s="1108" t="s">
        <v>58710</v>
      </c>
      <c r="GK192" s="1108" t="s">
        <v>58709</v>
      </c>
    </row>
    <row r="193" spans="1:193">
      <c r="A193" s="1108" t="s">
        <v>62049</v>
      </c>
      <c r="B193" s="1108" t="s">
        <v>62048</v>
      </c>
      <c r="C193" s="1108">
        <v>977</v>
      </c>
      <c r="GJ193" s="1108" t="s">
        <v>58710</v>
      </c>
      <c r="GK193" s="1108" t="s">
        <v>58709</v>
      </c>
    </row>
    <row r="194" spans="1:193">
      <c r="A194" s="1108" t="s">
        <v>62047</v>
      </c>
      <c r="B194" s="1108" t="s">
        <v>62046</v>
      </c>
      <c r="C194" s="1108">
        <v>977</v>
      </c>
      <c r="GJ194" s="1108" t="s">
        <v>58710</v>
      </c>
      <c r="GK194" s="1108" t="s">
        <v>58709</v>
      </c>
    </row>
    <row r="195" spans="1:193">
      <c r="A195" s="1108" t="s">
        <v>62045</v>
      </c>
      <c r="B195" s="1108" t="s">
        <v>62044</v>
      </c>
      <c r="C195" s="1108">
        <v>859</v>
      </c>
      <c r="GJ195" s="1108" t="s">
        <v>58710</v>
      </c>
      <c r="GK195" s="1108" t="s">
        <v>58709</v>
      </c>
    </row>
    <row r="196" spans="1:193">
      <c r="A196" s="1108" t="s">
        <v>62043</v>
      </c>
      <c r="B196" s="1108" t="s">
        <v>62042</v>
      </c>
      <c r="C196" s="1108">
        <v>957</v>
      </c>
      <c r="GJ196" s="1108" t="s">
        <v>58710</v>
      </c>
      <c r="GK196" s="1108" t="s">
        <v>58709</v>
      </c>
    </row>
    <row r="197" spans="1:193">
      <c r="A197" s="1108" t="s">
        <v>62041</v>
      </c>
      <c r="B197" s="1108" t="s">
        <v>62040</v>
      </c>
      <c r="C197" s="1108">
        <v>861</v>
      </c>
      <c r="GJ197" s="1108" t="s">
        <v>58710</v>
      </c>
      <c r="GK197" s="1108" t="s">
        <v>58709</v>
      </c>
    </row>
    <row r="198" spans="1:193">
      <c r="A198" s="1108" t="s">
        <v>62039</v>
      </c>
      <c r="B198" s="1108" t="s">
        <v>62038</v>
      </c>
      <c r="C198" s="1108">
        <v>872</v>
      </c>
      <c r="GJ198" s="1108" t="s">
        <v>58710</v>
      </c>
      <c r="GK198" s="1108" t="s">
        <v>58709</v>
      </c>
    </row>
    <row r="199" spans="1:193">
      <c r="A199" s="1108" t="s">
        <v>62037</v>
      </c>
      <c r="B199" s="1108" t="s">
        <v>62036</v>
      </c>
      <c r="C199" s="1108">
        <v>890</v>
      </c>
      <c r="GJ199" s="1108" t="s">
        <v>58710</v>
      </c>
      <c r="GK199" s="1108" t="s">
        <v>58709</v>
      </c>
    </row>
    <row r="200" spans="1:193">
      <c r="A200" s="1108" t="s">
        <v>62035</v>
      </c>
      <c r="B200" s="1108" t="s">
        <v>62034</v>
      </c>
      <c r="C200" s="1108">
        <v>975</v>
      </c>
      <c r="GJ200" s="1108" t="s">
        <v>58710</v>
      </c>
      <c r="GK200" s="1108" t="s">
        <v>58709</v>
      </c>
    </row>
    <row r="201" spans="1:193">
      <c r="A201" s="1108" t="s">
        <v>62033</v>
      </c>
      <c r="B201" s="1108" t="s">
        <v>62032</v>
      </c>
      <c r="C201" s="1108">
        <v>757</v>
      </c>
      <c r="GJ201" s="1108" t="s">
        <v>58710</v>
      </c>
      <c r="GK201" s="1108" t="s">
        <v>58709</v>
      </c>
    </row>
    <row r="202" spans="1:193">
      <c r="A202" s="1108" t="s">
        <v>62031</v>
      </c>
      <c r="B202" s="1108" t="s">
        <v>62030</v>
      </c>
      <c r="C202" s="1108">
        <v>646</v>
      </c>
      <c r="GJ202" s="1108" t="s">
        <v>58710</v>
      </c>
      <c r="GK202" s="1108" t="s">
        <v>58709</v>
      </c>
    </row>
    <row r="203" spans="1:193">
      <c r="A203" s="1108" t="s">
        <v>62029</v>
      </c>
      <c r="B203" s="1108" t="s">
        <v>62028</v>
      </c>
      <c r="C203" s="1108">
        <v>1015</v>
      </c>
      <c r="GJ203" s="1108" t="s">
        <v>58710</v>
      </c>
      <c r="GK203" s="1108" t="s">
        <v>58709</v>
      </c>
    </row>
    <row r="204" spans="1:193">
      <c r="A204" s="1108" t="s">
        <v>62027</v>
      </c>
      <c r="B204" s="1108" t="s">
        <v>62026</v>
      </c>
      <c r="C204" s="1108">
        <v>284</v>
      </c>
      <c r="GJ204" s="1108" t="s">
        <v>58710</v>
      </c>
      <c r="GK204" s="1108" t="s">
        <v>58709</v>
      </c>
    </row>
    <row r="205" spans="1:193">
      <c r="A205" s="1108" t="s">
        <v>62025</v>
      </c>
      <c r="B205" s="1108" t="s">
        <v>62024</v>
      </c>
      <c r="C205" s="1108">
        <v>376</v>
      </c>
      <c r="GJ205" s="1108" t="s">
        <v>58710</v>
      </c>
      <c r="GK205" s="1108" t="s">
        <v>58709</v>
      </c>
    </row>
    <row r="206" spans="1:193">
      <c r="A206" s="1108" t="s">
        <v>62023</v>
      </c>
      <c r="B206" s="1108" t="s">
        <v>62022</v>
      </c>
      <c r="C206" s="1108">
        <v>374</v>
      </c>
      <c r="GJ206" s="1108" t="s">
        <v>58710</v>
      </c>
      <c r="GK206" s="1108" t="s">
        <v>58709</v>
      </c>
    </row>
    <row r="207" spans="1:193">
      <c r="A207" s="1108" t="s">
        <v>62021</v>
      </c>
      <c r="B207" s="1108" t="s">
        <v>62020</v>
      </c>
      <c r="C207" s="1108">
        <v>942</v>
      </c>
      <c r="GJ207" s="1108" t="s">
        <v>58710</v>
      </c>
      <c r="GK207" s="1108" t="s">
        <v>58709</v>
      </c>
    </row>
    <row r="208" spans="1:193">
      <c r="A208" s="1108" t="s">
        <v>62019</v>
      </c>
      <c r="B208" s="1108" t="s">
        <v>62018</v>
      </c>
      <c r="C208" s="1108">
        <v>1015</v>
      </c>
      <c r="GJ208" s="1108" t="s">
        <v>58710</v>
      </c>
      <c r="GK208" s="1108" t="s">
        <v>58709</v>
      </c>
    </row>
    <row r="209" spans="1:193">
      <c r="A209" s="1108" t="s">
        <v>62017</v>
      </c>
      <c r="B209" s="1108" t="s">
        <v>62016</v>
      </c>
      <c r="C209" s="1108">
        <v>1172</v>
      </c>
      <c r="GJ209" s="1108" t="s">
        <v>58710</v>
      </c>
      <c r="GK209" s="1108" t="s">
        <v>58709</v>
      </c>
    </row>
    <row r="210" spans="1:193">
      <c r="A210" s="1108" t="s">
        <v>62015</v>
      </c>
      <c r="B210" s="1108" t="s">
        <v>62014</v>
      </c>
      <c r="C210" s="1108">
        <v>855</v>
      </c>
      <c r="GJ210" s="1108" t="s">
        <v>58710</v>
      </c>
      <c r="GK210" s="1108" t="s">
        <v>58709</v>
      </c>
    </row>
    <row r="211" spans="1:193">
      <c r="A211" s="1108" t="s">
        <v>62013</v>
      </c>
      <c r="B211" s="1108" t="s">
        <v>62012</v>
      </c>
      <c r="C211" s="1108">
        <v>855</v>
      </c>
      <c r="GJ211" s="1108" t="s">
        <v>58710</v>
      </c>
      <c r="GK211" s="1108" t="s">
        <v>58709</v>
      </c>
    </row>
    <row r="212" spans="1:193">
      <c r="A212" s="1108" t="s">
        <v>62011</v>
      </c>
      <c r="B212" s="1108" t="s">
        <v>62010</v>
      </c>
      <c r="C212" s="1108">
        <v>536</v>
      </c>
      <c r="GJ212" s="1108" t="s">
        <v>58710</v>
      </c>
      <c r="GK212" s="1108" t="s">
        <v>58709</v>
      </c>
    </row>
    <row r="213" spans="1:193">
      <c r="A213" s="1108" t="s">
        <v>62009</v>
      </c>
      <c r="B213" s="1108" t="s">
        <v>62008</v>
      </c>
      <c r="C213" s="1108">
        <v>986</v>
      </c>
      <c r="GJ213" s="1108" t="s">
        <v>58710</v>
      </c>
      <c r="GK213" s="1108" t="s">
        <v>58709</v>
      </c>
    </row>
    <row r="214" spans="1:193">
      <c r="A214" s="1108" t="s">
        <v>62007</v>
      </c>
      <c r="B214" s="1108" t="s">
        <v>62006</v>
      </c>
      <c r="C214" s="1108">
        <v>1138</v>
      </c>
      <c r="GJ214" s="1108" t="s">
        <v>58710</v>
      </c>
      <c r="GK214" s="1108" t="s">
        <v>58709</v>
      </c>
    </row>
    <row r="215" spans="1:193">
      <c r="A215" s="1108" t="s">
        <v>62005</v>
      </c>
      <c r="B215" s="1108" t="s">
        <v>62004</v>
      </c>
      <c r="C215" s="1108">
        <v>1138</v>
      </c>
      <c r="GJ215" s="1108" t="s">
        <v>58710</v>
      </c>
      <c r="GK215" s="1108" t="s">
        <v>58709</v>
      </c>
    </row>
    <row r="216" spans="1:193">
      <c r="A216" s="1108" t="s">
        <v>62003</v>
      </c>
      <c r="B216" s="1108" t="s">
        <v>62002</v>
      </c>
      <c r="C216" s="1108">
        <v>546</v>
      </c>
      <c r="GJ216" s="1108" t="s">
        <v>58710</v>
      </c>
      <c r="GK216" s="1108" t="s">
        <v>58709</v>
      </c>
    </row>
    <row r="217" spans="1:193">
      <c r="A217" s="1108" t="s">
        <v>62001</v>
      </c>
      <c r="B217" s="1108" t="s">
        <v>62000</v>
      </c>
      <c r="C217" s="1108">
        <v>991</v>
      </c>
      <c r="GJ217" s="1108" t="s">
        <v>58710</v>
      </c>
      <c r="GK217" s="1108" t="s">
        <v>58709</v>
      </c>
    </row>
    <row r="218" spans="1:193">
      <c r="A218" s="1108" t="s">
        <v>61999</v>
      </c>
      <c r="B218" s="1108" t="s">
        <v>61998</v>
      </c>
      <c r="C218" s="1108">
        <v>996</v>
      </c>
      <c r="GJ218" s="1108" t="s">
        <v>58710</v>
      </c>
      <c r="GK218" s="1108" t="s">
        <v>58709</v>
      </c>
    </row>
    <row r="219" spans="1:193">
      <c r="A219" s="1108" t="s">
        <v>61997</v>
      </c>
      <c r="B219" s="1108" t="s">
        <v>61996</v>
      </c>
      <c r="C219" s="1108">
        <v>1148</v>
      </c>
      <c r="GJ219" s="1108" t="s">
        <v>58710</v>
      </c>
      <c r="GK219" s="1108" t="s">
        <v>58709</v>
      </c>
    </row>
    <row r="220" spans="1:193">
      <c r="A220" s="1108" t="s">
        <v>61995</v>
      </c>
      <c r="B220" s="1108" t="s">
        <v>61994</v>
      </c>
      <c r="C220" s="1108">
        <v>574</v>
      </c>
      <c r="GJ220" s="1108" t="s">
        <v>58710</v>
      </c>
      <c r="GK220" s="1108" t="s">
        <v>58709</v>
      </c>
    </row>
    <row r="221" spans="1:193">
      <c r="A221" s="1108" t="s">
        <v>61993</v>
      </c>
      <c r="B221" s="1108" t="s">
        <v>61992</v>
      </c>
      <c r="C221" s="1108">
        <v>1019</v>
      </c>
      <c r="GJ221" s="1108" t="s">
        <v>58710</v>
      </c>
      <c r="GK221" s="1108" t="s">
        <v>58709</v>
      </c>
    </row>
    <row r="222" spans="1:193">
      <c r="A222" s="1108" t="s">
        <v>61991</v>
      </c>
      <c r="B222" s="1108" t="s">
        <v>61990</v>
      </c>
      <c r="C222" s="1108">
        <v>1024</v>
      </c>
      <c r="GJ222" s="1108" t="s">
        <v>58710</v>
      </c>
      <c r="GK222" s="1108" t="s">
        <v>58709</v>
      </c>
    </row>
    <row r="223" spans="1:193">
      <c r="A223" s="1108" t="s">
        <v>61989</v>
      </c>
      <c r="B223" s="1108" t="s">
        <v>61988</v>
      </c>
      <c r="C223" s="1108">
        <v>1176</v>
      </c>
      <c r="GJ223" s="1108" t="s">
        <v>58710</v>
      </c>
      <c r="GK223" s="1108" t="s">
        <v>58709</v>
      </c>
    </row>
    <row r="224" spans="1:193">
      <c r="A224" s="1108" t="s">
        <v>61987</v>
      </c>
      <c r="B224" s="1108" t="s">
        <v>61986</v>
      </c>
      <c r="C224" s="1108">
        <v>994</v>
      </c>
      <c r="GJ224" s="1108" t="s">
        <v>58710</v>
      </c>
      <c r="GK224" s="1108" t="s">
        <v>58709</v>
      </c>
    </row>
    <row r="225" spans="1:193">
      <c r="A225" s="1108" t="s">
        <v>61985</v>
      </c>
      <c r="B225" s="1108" t="s">
        <v>61984</v>
      </c>
      <c r="C225" s="1108">
        <v>902</v>
      </c>
      <c r="GJ225" s="1108" t="s">
        <v>58710</v>
      </c>
      <c r="GK225" s="1108" t="s">
        <v>58709</v>
      </c>
    </row>
    <row r="226" spans="1:193">
      <c r="A226" s="1108" t="s">
        <v>61983</v>
      </c>
      <c r="B226" s="1108" t="s">
        <v>61982</v>
      </c>
      <c r="C226" s="1108">
        <v>518</v>
      </c>
      <c r="GJ226" s="1108" t="s">
        <v>58710</v>
      </c>
      <c r="GK226" s="1108" t="s">
        <v>58709</v>
      </c>
    </row>
    <row r="227" spans="1:193">
      <c r="A227" s="1108" t="s">
        <v>61981</v>
      </c>
      <c r="B227" s="1108" t="s">
        <v>61980</v>
      </c>
      <c r="C227" s="1108">
        <v>963</v>
      </c>
      <c r="GJ227" s="1108" t="s">
        <v>58710</v>
      </c>
      <c r="GK227" s="1108" t="s">
        <v>58709</v>
      </c>
    </row>
    <row r="228" spans="1:193">
      <c r="A228" s="1108" t="s">
        <v>61979</v>
      </c>
      <c r="B228" s="1108" t="s">
        <v>61978</v>
      </c>
      <c r="C228" s="1108">
        <v>968</v>
      </c>
      <c r="GJ228" s="1108" t="s">
        <v>58710</v>
      </c>
      <c r="GK228" s="1108" t="s">
        <v>58709</v>
      </c>
    </row>
    <row r="229" spans="1:193">
      <c r="A229" s="1108" t="s">
        <v>61977</v>
      </c>
      <c r="B229" s="1108" t="s">
        <v>61976</v>
      </c>
      <c r="C229" s="1108">
        <v>1120</v>
      </c>
      <c r="GJ229" s="1108" t="s">
        <v>58710</v>
      </c>
      <c r="GK229" s="1108" t="s">
        <v>58709</v>
      </c>
    </row>
    <row r="230" spans="1:193">
      <c r="A230" s="1108" t="s">
        <v>61975</v>
      </c>
      <c r="B230" s="1108" t="s">
        <v>61974</v>
      </c>
      <c r="C230" s="1108">
        <v>885</v>
      </c>
      <c r="GJ230" s="1108" t="s">
        <v>58710</v>
      </c>
      <c r="GK230" s="1108" t="s">
        <v>58709</v>
      </c>
    </row>
    <row r="231" spans="1:193">
      <c r="A231" s="1108" t="s">
        <v>61973</v>
      </c>
      <c r="B231" s="1108" t="s">
        <v>61972</v>
      </c>
      <c r="C231" s="1108">
        <v>573</v>
      </c>
      <c r="GJ231" s="1108" t="s">
        <v>58710</v>
      </c>
      <c r="GK231" s="1108" t="s">
        <v>58709</v>
      </c>
    </row>
    <row r="232" spans="1:193">
      <c r="A232" s="1108" t="s">
        <v>61971</v>
      </c>
      <c r="B232" s="1108" t="s">
        <v>61970</v>
      </c>
      <c r="C232" s="1108">
        <v>1023</v>
      </c>
      <c r="GJ232" s="1108" t="s">
        <v>58710</v>
      </c>
      <c r="GK232" s="1108" t="s">
        <v>58709</v>
      </c>
    </row>
    <row r="233" spans="1:193">
      <c r="A233" s="1108" t="s">
        <v>61969</v>
      </c>
      <c r="B233" s="1108" t="s">
        <v>61968</v>
      </c>
      <c r="C233" s="1108">
        <v>1175</v>
      </c>
      <c r="GJ233" s="1108" t="s">
        <v>58710</v>
      </c>
      <c r="GK233" s="1108" t="s">
        <v>58709</v>
      </c>
    </row>
    <row r="234" spans="1:193">
      <c r="A234" s="1108" t="s">
        <v>61967</v>
      </c>
      <c r="B234" s="1108" t="s">
        <v>61966</v>
      </c>
      <c r="C234" s="1108">
        <v>1175</v>
      </c>
      <c r="GJ234" s="1108" t="s">
        <v>58710</v>
      </c>
      <c r="GK234" s="1108" t="s">
        <v>58709</v>
      </c>
    </row>
    <row r="235" spans="1:193">
      <c r="A235" s="1108" t="s">
        <v>61965</v>
      </c>
      <c r="B235" s="1108" t="s">
        <v>61964</v>
      </c>
      <c r="C235" s="1108">
        <v>572</v>
      </c>
      <c r="GJ235" s="1108" t="s">
        <v>58710</v>
      </c>
      <c r="GK235" s="1108" t="s">
        <v>58709</v>
      </c>
    </row>
    <row r="236" spans="1:193">
      <c r="A236" s="1108" t="s">
        <v>61963</v>
      </c>
      <c r="B236" s="1108" t="s">
        <v>61962</v>
      </c>
      <c r="C236" s="1108">
        <v>574</v>
      </c>
      <c r="GJ236" s="1108" t="s">
        <v>58710</v>
      </c>
      <c r="GK236" s="1108" t="s">
        <v>58709</v>
      </c>
    </row>
    <row r="237" spans="1:193">
      <c r="A237" s="1108" t="s">
        <v>61961</v>
      </c>
      <c r="B237" s="1108" t="s">
        <v>61960</v>
      </c>
      <c r="C237" s="1108">
        <v>572</v>
      </c>
      <c r="GJ237" s="1108" t="s">
        <v>58710</v>
      </c>
      <c r="GK237" s="1108" t="s">
        <v>58709</v>
      </c>
    </row>
    <row r="238" spans="1:193">
      <c r="A238" s="1108" t="s">
        <v>61959</v>
      </c>
      <c r="B238" s="1108" t="s">
        <v>61958</v>
      </c>
      <c r="C238" s="1108">
        <v>515</v>
      </c>
      <c r="GJ238" s="1108" t="s">
        <v>58710</v>
      </c>
      <c r="GK238" s="1108" t="s">
        <v>58709</v>
      </c>
    </row>
    <row r="239" spans="1:193">
      <c r="A239" s="1108" t="s">
        <v>61957</v>
      </c>
      <c r="B239" s="1108" t="s">
        <v>61956</v>
      </c>
      <c r="C239" s="1108">
        <v>965</v>
      </c>
      <c r="GJ239" s="1108" t="s">
        <v>58710</v>
      </c>
      <c r="GK239" s="1108" t="s">
        <v>58709</v>
      </c>
    </row>
    <row r="240" spans="1:193">
      <c r="A240" s="1108" t="s">
        <v>61955</v>
      </c>
      <c r="B240" s="1108" t="s">
        <v>61954</v>
      </c>
      <c r="C240" s="1108">
        <v>1117</v>
      </c>
      <c r="GJ240" s="1108" t="s">
        <v>58710</v>
      </c>
      <c r="GK240" s="1108" t="s">
        <v>58709</v>
      </c>
    </row>
    <row r="241" spans="1:193">
      <c r="A241" s="1108" t="s">
        <v>61953</v>
      </c>
      <c r="B241" s="1108" t="s">
        <v>61952</v>
      </c>
      <c r="C241" s="1108">
        <v>1117</v>
      </c>
      <c r="GJ241" s="1108" t="s">
        <v>58710</v>
      </c>
      <c r="GK241" s="1108" t="s">
        <v>58709</v>
      </c>
    </row>
    <row r="242" spans="1:193">
      <c r="A242" s="1108" t="s">
        <v>61951</v>
      </c>
      <c r="B242" s="1108" t="s">
        <v>61950</v>
      </c>
      <c r="C242" s="1108">
        <v>621</v>
      </c>
      <c r="GJ242" s="1108" t="s">
        <v>58710</v>
      </c>
      <c r="GK242" s="1108" t="s">
        <v>58709</v>
      </c>
    </row>
    <row r="243" spans="1:193">
      <c r="A243" s="1108" t="s">
        <v>61949</v>
      </c>
      <c r="B243" s="1108" t="s">
        <v>61948</v>
      </c>
      <c r="C243" s="1108">
        <v>1071</v>
      </c>
      <c r="GJ243" s="1108" t="s">
        <v>58710</v>
      </c>
      <c r="GK243" s="1108" t="s">
        <v>58709</v>
      </c>
    </row>
    <row r="244" spans="1:193">
      <c r="A244" s="1108" t="s">
        <v>61947</v>
      </c>
      <c r="B244" s="1108" t="s">
        <v>61946</v>
      </c>
      <c r="C244" s="1108">
        <v>1223</v>
      </c>
      <c r="GJ244" s="1108" t="s">
        <v>58710</v>
      </c>
      <c r="GK244" s="1108" t="s">
        <v>58709</v>
      </c>
    </row>
    <row r="245" spans="1:193">
      <c r="A245" s="1108" t="s">
        <v>61945</v>
      </c>
      <c r="B245" s="1108" t="s">
        <v>61944</v>
      </c>
      <c r="C245" s="1108">
        <v>1223</v>
      </c>
      <c r="GJ245" s="1108" t="s">
        <v>58710</v>
      </c>
      <c r="GK245" s="1108" t="s">
        <v>58709</v>
      </c>
    </row>
    <row r="246" spans="1:193">
      <c r="A246" s="1108" t="s">
        <v>61943</v>
      </c>
      <c r="B246" s="1108" t="s">
        <v>61942</v>
      </c>
      <c r="C246" s="1108">
        <v>64</v>
      </c>
      <c r="GJ246" s="1108" t="s">
        <v>58710</v>
      </c>
      <c r="GK246" s="1108" t="s">
        <v>58709</v>
      </c>
    </row>
    <row r="247" spans="1:193">
      <c r="A247" s="1108" t="s">
        <v>61941</v>
      </c>
      <c r="B247" s="1108" t="s">
        <v>61940</v>
      </c>
      <c r="C247" s="1108">
        <v>1010</v>
      </c>
      <c r="GJ247" s="1108" t="s">
        <v>58710</v>
      </c>
      <c r="GK247" s="1108" t="s">
        <v>58709</v>
      </c>
    </row>
    <row r="248" spans="1:193">
      <c r="A248" s="1108" t="s">
        <v>61939</v>
      </c>
      <c r="B248" s="1108" t="s">
        <v>61938</v>
      </c>
      <c r="C248" s="1108">
        <v>1061</v>
      </c>
      <c r="GJ248" s="1108" t="s">
        <v>58710</v>
      </c>
      <c r="GK248" s="1108" t="s">
        <v>58709</v>
      </c>
    </row>
    <row r="249" spans="1:193">
      <c r="A249" s="1108" t="s">
        <v>61937</v>
      </c>
      <c r="B249" s="1108" t="s">
        <v>61936</v>
      </c>
      <c r="C249" s="1108">
        <v>1010</v>
      </c>
      <c r="GJ249" s="1108" t="s">
        <v>58710</v>
      </c>
      <c r="GK249" s="1108" t="s">
        <v>58709</v>
      </c>
    </row>
    <row r="250" spans="1:193">
      <c r="A250" s="1108" t="s">
        <v>61935</v>
      </c>
      <c r="B250" s="1108" t="s">
        <v>61934</v>
      </c>
      <c r="C250" s="1108">
        <v>1010</v>
      </c>
      <c r="GJ250" s="1108" t="s">
        <v>58710</v>
      </c>
      <c r="GK250" s="1108" t="s">
        <v>58709</v>
      </c>
    </row>
    <row r="251" spans="1:193">
      <c r="A251" s="1108" t="s">
        <v>61933</v>
      </c>
      <c r="B251" s="1108" t="s">
        <v>61932</v>
      </c>
      <c r="C251" s="1108">
        <v>1061</v>
      </c>
      <c r="GJ251" s="1108" t="s">
        <v>58710</v>
      </c>
      <c r="GK251" s="1108" t="s">
        <v>58709</v>
      </c>
    </row>
    <row r="252" spans="1:193">
      <c r="A252" s="1108" t="s">
        <v>61931</v>
      </c>
      <c r="B252" s="1108" t="s">
        <v>61930</v>
      </c>
      <c r="C252" s="1108">
        <v>1061</v>
      </c>
      <c r="GJ252" s="1108" t="s">
        <v>58710</v>
      </c>
      <c r="GK252" s="1108" t="s">
        <v>58709</v>
      </c>
    </row>
    <row r="253" spans="1:193">
      <c r="A253" s="1108" t="s">
        <v>61929</v>
      </c>
      <c r="B253" s="1108" t="s">
        <v>61928</v>
      </c>
      <c r="C253" s="1108">
        <v>898</v>
      </c>
      <c r="GJ253" s="1108" t="s">
        <v>58710</v>
      </c>
      <c r="GK253" s="1108" t="s">
        <v>58709</v>
      </c>
    </row>
    <row r="254" spans="1:193">
      <c r="A254" s="1108" t="s">
        <v>61927</v>
      </c>
      <c r="B254" s="1108" t="s">
        <v>61926</v>
      </c>
      <c r="C254" s="1108">
        <v>567</v>
      </c>
      <c r="GJ254" s="1108" t="s">
        <v>58710</v>
      </c>
      <c r="GK254" s="1108" t="s">
        <v>58709</v>
      </c>
    </row>
    <row r="255" spans="1:193">
      <c r="A255" s="1108" t="s">
        <v>61925</v>
      </c>
      <c r="B255" s="1108" t="s">
        <v>61924</v>
      </c>
      <c r="C255" s="1108">
        <v>567</v>
      </c>
      <c r="GJ255" s="1108" t="s">
        <v>58710</v>
      </c>
      <c r="GK255" s="1108" t="s">
        <v>58709</v>
      </c>
    </row>
    <row r="256" spans="1:193">
      <c r="A256" s="1108" t="s">
        <v>61923</v>
      </c>
      <c r="B256" s="1108" t="s">
        <v>61922</v>
      </c>
      <c r="C256" s="1108">
        <v>591</v>
      </c>
      <c r="GJ256" s="1108" t="s">
        <v>58710</v>
      </c>
      <c r="GK256" s="1108" t="s">
        <v>58709</v>
      </c>
    </row>
    <row r="257" spans="1:193">
      <c r="A257" s="1108" t="s">
        <v>61921</v>
      </c>
      <c r="B257" s="1108" t="s">
        <v>61920</v>
      </c>
      <c r="C257" s="1108">
        <v>580</v>
      </c>
      <c r="GJ257" s="1108" t="s">
        <v>58710</v>
      </c>
      <c r="GK257" s="1108" t="s">
        <v>58709</v>
      </c>
    </row>
    <row r="258" spans="1:193">
      <c r="A258" s="1108" t="s">
        <v>61919</v>
      </c>
      <c r="B258" s="1108" t="s">
        <v>61918</v>
      </c>
      <c r="C258" s="1108">
        <v>607</v>
      </c>
      <c r="GJ258" s="1108" t="s">
        <v>58710</v>
      </c>
      <c r="GK258" s="1108" t="s">
        <v>58709</v>
      </c>
    </row>
    <row r="259" spans="1:193">
      <c r="A259" s="1108" t="s">
        <v>61917</v>
      </c>
      <c r="B259" s="1108" t="s">
        <v>61916</v>
      </c>
      <c r="C259" s="1108">
        <v>701</v>
      </c>
      <c r="GJ259" s="1108" t="s">
        <v>58710</v>
      </c>
      <c r="GK259" s="1108" t="s">
        <v>58709</v>
      </c>
    </row>
    <row r="260" spans="1:193">
      <c r="A260" s="1108" t="s">
        <v>61915</v>
      </c>
      <c r="B260" s="1108" t="s">
        <v>61914</v>
      </c>
      <c r="C260" s="1108">
        <v>747</v>
      </c>
      <c r="GJ260" s="1108" t="s">
        <v>58710</v>
      </c>
      <c r="GK260" s="1108" t="s">
        <v>58709</v>
      </c>
    </row>
    <row r="261" spans="1:193">
      <c r="A261" s="1108" t="s">
        <v>61913</v>
      </c>
      <c r="B261" s="1108" t="s">
        <v>61912</v>
      </c>
      <c r="C261" s="1108">
        <v>477</v>
      </c>
      <c r="GJ261" s="1108" t="s">
        <v>58710</v>
      </c>
      <c r="GK261" s="1108" t="s">
        <v>58709</v>
      </c>
    </row>
    <row r="262" spans="1:193">
      <c r="A262" s="1108" t="s">
        <v>61911</v>
      </c>
      <c r="B262" s="1108" t="s">
        <v>61910</v>
      </c>
      <c r="C262" s="1108">
        <v>430</v>
      </c>
      <c r="GJ262" s="1108" t="s">
        <v>58710</v>
      </c>
      <c r="GK262" s="1108" t="s">
        <v>58709</v>
      </c>
    </row>
    <row r="263" spans="1:193">
      <c r="A263" s="1108" t="s">
        <v>61909</v>
      </c>
      <c r="B263" s="1108" t="s">
        <v>61908</v>
      </c>
      <c r="C263" s="1108">
        <v>1211</v>
      </c>
      <c r="GJ263" s="1108" t="s">
        <v>58710</v>
      </c>
      <c r="GK263" s="1108" t="s">
        <v>58709</v>
      </c>
    </row>
    <row r="264" spans="1:193">
      <c r="A264" s="1108" t="s">
        <v>61907</v>
      </c>
      <c r="B264" s="1108" t="s">
        <v>61906</v>
      </c>
      <c r="C264" s="1108">
        <v>1211</v>
      </c>
      <c r="GJ264" s="1108" t="s">
        <v>58710</v>
      </c>
      <c r="GK264" s="1108" t="s">
        <v>58709</v>
      </c>
    </row>
    <row r="265" spans="1:193">
      <c r="A265" s="1108" t="s">
        <v>61905</v>
      </c>
      <c r="B265" s="1108" t="s">
        <v>61904</v>
      </c>
      <c r="C265" s="1108">
        <v>561</v>
      </c>
      <c r="GJ265" s="1108" t="s">
        <v>58710</v>
      </c>
      <c r="GK265" s="1108" t="s">
        <v>58709</v>
      </c>
    </row>
    <row r="266" spans="1:193">
      <c r="A266" s="1108" t="s">
        <v>61903</v>
      </c>
      <c r="B266" s="1108" t="s">
        <v>61902</v>
      </c>
      <c r="C266" s="1108">
        <v>605</v>
      </c>
      <c r="GJ266" s="1108" t="s">
        <v>58710</v>
      </c>
      <c r="GK266" s="1108" t="s">
        <v>58709</v>
      </c>
    </row>
    <row r="267" spans="1:193">
      <c r="A267" s="1108" t="s">
        <v>61901</v>
      </c>
      <c r="B267" s="1108" t="s">
        <v>61900</v>
      </c>
      <c r="C267" s="1108">
        <v>530</v>
      </c>
      <c r="GJ267" s="1108" t="s">
        <v>58710</v>
      </c>
      <c r="GK267" s="1108" t="s">
        <v>58709</v>
      </c>
    </row>
    <row r="268" spans="1:193">
      <c r="A268" s="1108" t="s">
        <v>61899</v>
      </c>
      <c r="B268" s="1108" t="s">
        <v>61898</v>
      </c>
      <c r="C268" s="1108">
        <v>597</v>
      </c>
      <c r="GJ268" s="1108" t="s">
        <v>58710</v>
      </c>
      <c r="GK268" s="1108" t="s">
        <v>58709</v>
      </c>
    </row>
    <row r="269" spans="1:193">
      <c r="A269" s="1108" t="s">
        <v>61897</v>
      </c>
      <c r="B269" s="1108" t="s">
        <v>61896</v>
      </c>
      <c r="C269" s="1108">
        <v>1094</v>
      </c>
      <c r="GJ269" s="1108" t="s">
        <v>58710</v>
      </c>
      <c r="GK269" s="1108" t="s">
        <v>58709</v>
      </c>
    </row>
    <row r="270" spans="1:193">
      <c r="A270" s="1108" t="s">
        <v>61895</v>
      </c>
      <c r="B270" s="1108" t="s">
        <v>61894</v>
      </c>
      <c r="C270" s="1108">
        <v>1039</v>
      </c>
      <c r="GJ270" s="1108" t="s">
        <v>58710</v>
      </c>
      <c r="GK270" s="1108" t="s">
        <v>58709</v>
      </c>
    </row>
    <row r="271" spans="1:193">
      <c r="A271" s="1108" t="s">
        <v>61893</v>
      </c>
      <c r="B271" s="1108" t="s">
        <v>61892</v>
      </c>
      <c r="C271" s="1108">
        <v>1105</v>
      </c>
      <c r="GJ271" s="1108" t="s">
        <v>58710</v>
      </c>
      <c r="GK271" s="1108" t="s">
        <v>58709</v>
      </c>
    </row>
    <row r="272" spans="1:193">
      <c r="A272" s="1108" t="s">
        <v>61891</v>
      </c>
      <c r="B272" s="1108" t="s">
        <v>61890</v>
      </c>
      <c r="C272" s="1108">
        <v>1039</v>
      </c>
      <c r="GJ272" s="1108" t="s">
        <v>58710</v>
      </c>
      <c r="GK272" s="1108" t="s">
        <v>58709</v>
      </c>
    </row>
    <row r="273" spans="1:193">
      <c r="A273" s="1108" t="s">
        <v>61889</v>
      </c>
      <c r="B273" s="1108" t="s">
        <v>61888</v>
      </c>
      <c r="C273" s="1108">
        <v>1095</v>
      </c>
      <c r="GJ273" s="1108" t="s">
        <v>58710</v>
      </c>
      <c r="GK273" s="1108" t="s">
        <v>58709</v>
      </c>
    </row>
    <row r="274" spans="1:193">
      <c r="A274" s="1108" t="s">
        <v>61887</v>
      </c>
      <c r="B274" s="1108" t="s">
        <v>61886</v>
      </c>
      <c r="C274" s="1108">
        <v>701</v>
      </c>
      <c r="GJ274" s="1108" t="s">
        <v>58710</v>
      </c>
      <c r="GK274" s="1108" t="s">
        <v>58709</v>
      </c>
    </row>
    <row r="275" spans="1:193">
      <c r="A275" s="1108" t="s">
        <v>61885</v>
      </c>
      <c r="B275" s="1108" t="s">
        <v>61884</v>
      </c>
      <c r="C275" s="1108">
        <v>984</v>
      </c>
      <c r="GJ275" s="1108" t="s">
        <v>58710</v>
      </c>
      <c r="GK275" s="1108" t="s">
        <v>58709</v>
      </c>
    </row>
    <row r="276" spans="1:193">
      <c r="A276" s="1108" t="s">
        <v>61883</v>
      </c>
      <c r="B276" s="1108" t="s">
        <v>61882</v>
      </c>
      <c r="C276" s="1108">
        <v>836</v>
      </c>
      <c r="GJ276" s="1108" t="s">
        <v>58710</v>
      </c>
      <c r="GK276" s="1108" t="s">
        <v>58709</v>
      </c>
    </row>
    <row r="277" spans="1:193">
      <c r="A277" s="1108" t="s">
        <v>61881</v>
      </c>
      <c r="B277" s="1108" t="s">
        <v>61880</v>
      </c>
      <c r="C277" s="1108">
        <v>1119</v>
      </c>
      <c r="GJ277" s="1108" t="s">
        <v>58710</v>
      </c>
      <c r="GK277" s="1108" t="s">
        <v>58709</v>
      </c>
    </row>
    <row r="278" spans="1:193">
      <c r="A278" s="1108" t="s">
        <v>61879</v>
      </c>
      <c r="B278" s="1108" t="s">
        <v>61878</v>
      </c>
      <c r="C278" s="1108">
        <v>1564</v>
      </c>
      <c r="GJ278" s="1108" t="s">
        <v>58710</v>
      </c>
      <c r="GK278" s="1108" t="s">
        <v>58709</v>
      </c>
    </row>
    <row r="279" spans="1:193">
      <c r="A279" s="1108" t="s">
        <v>61877</v>
      </c>
      <c r="B279" s="1108" t="s">
        <v>61876</v>
      </c>
      <c r="C279" s="1108">
        <v>1429</v>
      </c>
      <c r="GJ279" s="1108" t="s">
        <v>58710</v>
      </c>
      <c r="GK279" s="1108" t="s">
        <v>58709</v>
      </c>
    </row>
    <row r="280" spans="1:193">
      <c r="A280" s="1108" t="s">
        <v>61875</v>
      </c>
      <c r="B280" s="1108" t="s">
        <v>61874</v>
      </c>
      <c r="C280" s="1108">
        <v>1351</v>
      </c>
      <c r="GJ280" s="1108" t="s">
        <v>58710</v>
      </c>
      <c r="GK280" s="1108" t="s">
        <v>58709</v>
      </c>
    </row>
    <row r="281" spans="1:193">
      <c r="A281" s="1108" t="s">
        <v>61873</v>
      </c>
      <c r="B281" s="1108" t="s">
        <v>61872</v>
      </c>
      <c r="C281" s="1108">
        <v>811.65</v>
      </c>
      <c r="GJ281" s="1108" t="s">
        <v>58710</v>
      </c>
      <c r="GK281" s="1108" t="s">
        <v>58709</v>
      </c>
    </row>
    <row r="282" spans="1:193">
      <c r="A282" s="1108" t="s">
        <v>61871</v>
      </c>
      <c r="B282" s="1108" t="s">
        <v>61870</v>
      </c>
      <c r="C282" s="1108">
        <v>1204</v>
      </c>
      <c r="GJ282" s="1108" t="s">
        <v>58710</v>
      </c>
      <c r="GK282" s="1108" t="s">
        <v>58709</v>
      </c>
    </row>
    <row r="283" spans="1:193">
      <c r="A283" s="1108" t="s">
        <v>61869</v>
      </c>
      <c r="B283" s="1108" t="s">
        <v>61868</v>
      </c>
      <c r="C283" s="1108">
        <v>1140</v>
      </c>
      <c r="GJ283" s="1108" t="s">
        <v>58710</v>
      </c>
      <c r="GK283" s="1108" t="s">
        <v>58709</v>
      </c>
    </row>
    <row r="284" spans="1:193">
      <c r="A284" s="1108" t="s">
        <v>61867</v>
      </c>
      <c r="B284" s="1108" t="s">
        <v>61866</v>
      </c>
      <c r="C284" s="1108">
        <v>678</v>
      </c>
      <c r="GJ284" s="1108" t="s">
        <v>58710</v>
      </c>
      <c r="GK284" s="1108" t="s">
        <v>58709</v>
      </c>
    </row>
    <row r="285" spans="1:193">
      <c r="A285" s="1108" t="s">
        <v>61865</v>
      </c>
      <c r="B285" s="1108" t="s">
        <v>61864</v>
      </c>
      <c r="C285" s="1108">
        <v>961</v>
      </c>
      <c r="GJ285" s="1108" t="s">
        <v>58710</v>
      </c>
      <c r="GK285" s="1108" t="s">
        <v>58709</v>
      </c>
    </row>
    <row r="286" spans="1:193">
      <c r="A286" s="1108" t="s">
        <v>61863</v>
      </c>
      <c r="B286" s="1108" t="s">
        <v>61862</v>
      </c>
      <c r="C286" s="1108">
        <v>813</v>
      </c>
      <c r="GJ286" s="1108" t="s">
        <v>58710</v>
      </c>
      <c r="GK286" s="1108" t="s">
        <v>58709</v>
      </c>
    </row>
    <row r="287" spans="1:193">
      <c r="A287" s="1108" t="s">
        <v>61861</v>
      </c>
      <c r="B287" s="1108" t="s">
        <v>61860</v>
      </c>
      <c r="C287" s="1108">
        <v>1096</v>
      </c>
      <c r="GJ287" s="1108" t="s">
        <v>58710</v>
      </c>
      <c r="GK287" s="1108" t="s">
        <v>58709</v>
      </c>
    </row>
    <row r="288" spans="1:193">
      <c r="A288" s="1108" t="s">
        <v>61859</v>
      </c>
      <c r="B288" s="1108" t="s">
        <v>61858</v>
      </c>
      <c r="C288" s="1108">
        <v>1541</v>
      </c>
      <c r="GJ288" s="1108" t="s">
        <v>58710</v>
      </c>
      <c r="GK288" s="1108" t="s">
        <v>58709</v>
      </c>
    </row>
    <row r="289" spans="1:193">
      <c r="A289" s="1108" t="s">
        <v>61857</v>
      </c>
      <c r="B289" s="1108" t="s">
        <v>61856</v>
      </c>
      <c r="C289" s="1108">
        <v>1406</v>
      </c>
      <c r="GJ289" s="1108" t="s">
        <v>58710</v>
      </c>
      <c r="GK289" s="1108" t="s">
        <v>58709</v>
      </c>
    </row>
    <row r="290" spans="1:193">
      <c r="A290" s="1108" t="s">
        <v>61855</v>
      </c>
      <c r="B290" s="1108" t="s">
        <v>61854</v>
      </c>
      <c r="C290" s="1108">
        <v>1328</v>
      </c>
      <c r="GJ290" s="1108" t="s">
        <v>58710</v>
      </c>
      <c r="GK290" s="1108" t="s">
        <v>58709</v>
      </c>
    </row>
    <row r="291" spans="1:193">
      <c r="A291" s="1108" t="s">
        <v>61853</v>
      </c>
      <c r="B291" s="1108" t="s">
        <v>61852</v>
      </c>
      <c r="C291" s="1108">
        <v>771</v>
      </c>
      <c r="GJ291" s="1108" t="s">
        <v>58710</v>
      </c>
      <c r="GK291" s="1108" t="s">
        <v>58709</v>
      </c>
    </row>
    <row r="292" spans="1:193">
      <c r="A292" s="1108" t="s">
        <v>61851</v>
      </c>
      <c r="B292" s="1108" t="s">
        <v>61850</v>
      </c>
      <c r="C292" s="1108">
        <v>1103</v>
      </c>
      <c r="GJ292" s="1108" t="s">
        <v>58710</v>
      </c>
      <c r="GK292" s="1108" t="s">
        <v>58709</v>
      </c>
    </row>
    <row r="293" spans="1:193">
      <c r="A293" s="1108" t="s">
        <v>61849</v>
      </c>
      <c r="B293" s="1108" t="s">
        <v>61848</v>
      </c>
      <c r="C293" s="1108">
        <v>1293</v>
      </c>
      <c r="GJ293" s="1108" t="s">
        <v>58710</v>
      </c>
      <c r="GK293" s="1108" t="s">
        <v>58709</v>
      </c>
    </row>
    <row r="294" spans="1:193">
      <c r="A294" s="1108" t="s">
        <v>61847</v>
      </c>
      <c r="B294" s="1108" t="s">
        <v>61846</v>
      </c>
      <c r="C294" s="1108">
        <v>1895</v>
      </c>
      <c r="GJ294" s="1108" t="s">
        <v>58710</v>
      </c>
      <c r="GK294" s="1108" t="s">
        <v>58709</v>
      </c>
    </row>
    <row r="295" spans="1:193">
      <c r="A295" s="1108" t="s">
        <v>61845</v>
      </c>
      <c r="B295" s="1108" t="s">
        <v>61844</v>
      </c>
      <c r="C295" s="1108">
        <v>1743</v>
      </c>
      <c r="GJ295" s="1108" t="s">
        <v>58710</v>
      </c>
      <c r="GK295" s="1108" t="s">
        <v>58709</v>
      </c>
    </row>
    <row r="296" spans="1:193">
      <c r="A296" s="1108" t="s">
        <v>61843</v>
      </c>
      <c r="B296" s="1108" t="s">
        <v>61842</v>
      </c>
      <c r="C296" s="1108">
        <v>2137</v>
      </c>
      <c r="GJ296" s="1108" t="s">
        <v>58710</v>
      </c>
      <c r="GK296" s="1108" t="s">
        <v>58709</v>
      </c>
    </row>
    <row r="297" spans="1:193">
      <c r="A297" s="1108" t="s">
        <v>61841</v>
      </c>
      <c r="B297" s="1108" t="s">
        <v>61840</v>
      </c>
      <c r="C297" s="1108">
        <v>1895</v>
      </c>
      <c r="GJ297" s="1108" t="s">
        <v>58710</v>
      </c>
      <c r="GK297" s="1108" t="s">
        <v>58709</v>
      </c>
    </row>
    <row r="298" spans="1:193">
      <c r="A298" s="1108" t="s">
        <v>61839</v>
      </c>
      <c r="B298" s="1108" t="s">
        <v>61838</v>
      </c>
      <c r="C298" s="1108">
        <v>1130.42</v>
      </c>
      <c r="GJ298" s="1108" t="s">
        <v>58710</v>
      </c>
      <c r="GK298" s="1108" t="s">
        <v>58709</v>
      </c>
    </row>
    <row r="299" spans="1:193">
      <c r="A299" s="1108" t="s">
        <v>61837</v>
      </c>
      <c r="B299" s="1108" t="s">
        <v>61836</v>
      </c>
      <c r="C299" s="1108">
        <v>2354</v>
      </c>
      <c r="GJ299" s="1108" t="s">
        <v>58710</v>
      </c>
      <c r="GK299" s="1108" t="s">
        <v>58709</v>
      </c>
    </row>
    <row r="300" spans="1:193">
      <c r="A300" s="1108" t="s">
        <v>61835</v>
      </c>
      <c r="B300" s="1108" t="s">
        <v>61834</v>
      </c>
      <c r="C300" s="1108">
        <v>1344</v>
      </c>
      <c r="GJ300" s="1108" t="s">
        <v>58710</v>
      </c>
      <c r="GK300" s="1108" t="s">
        <v>58709</v>
      </c>
    </row>
    <row r="301" spans="1:193">
      <c r="A301" s="1108" t="s">
        <v>61833</v>
      </c>
      <c r="B301" s="1108" t="s">
        <v>61832</v>
      </c>
      <c r="C301" s="1108">
        <v>1946</v>
      </c>
      <c r="GJ301" s="1108" t="s">
        <v>58710</v>
      </c>
      <c r="GK301" s="1108" t="s">
        <v>58709</v>
      </c>
    </row>
    <row r="302" spans="1:193">
      <c r="A302" s="1108" t="s">
        <v>61831</v>
      </c>
      <c r="B302" s="1108" t="s">
        <v>61830</v>
      </c>
      <c r="C302" s="1108">
        <v>1794</v>
      </c>
      <c r="GJ302" s="1108" t="s">
        <v>58710</v>
      </c>
      <c r="GK302" s="1108" t="s">
        <v>58709</v>
      </c>
    </row>
    <row r="303" spans="1:193">
      <c r="A303" s="1108" t="s">
        <v>61829</v>
      </c>
      <c r="B303" s="1108" t="s">
        <v>61828</v>
      </c>
      <c r="C303" s="1108">
        <v>1946</v>
      </c>
      <c r="GJ303" s="1108" t="s">
        <v>58710</v>
      </c>
      <c r="GK303" s="1108" t="s">
        <v>58709</v>
      </c>
    </row>
    <row r="304" spans="1:193">
      <c r="A304" s="1108" t="s">
        <v>61827</v>
      </c>
      <c r="B304" s="1108" t="s">
        <v>61826</v>
      </c>
      <c r="C304" s="1108">
        <v>1181.42</v>
      </c>
      <c r="GJ304" s="1108" t="s">
        <v>58710</v>
      </c>
      <c r="GK304" s="1108" t="s">
        <v>58709</v>
      </c>
    </row>
    <row r="305" spans="1:193">
      <c r="A305" s="1108" t="s">
        <v>61825</v>
      </c>
      <c r="B305" s="1108" t="s">
        <v>61824</v>
      </c>
      <c r="C305" s="1108">
        <v>1130</v>
      </c>
      <c r="GJ305" s="1108" t="s">
        <v>58710</v>
      </c>
      <c r="GK305" s="1108" t="s">
        <v>58709</v>
      </c>
    </row>
    <row r="306" spans="1:193">
      <c r="A306" s="1108" t="s">
        <v>61823</v>
      </c>
      <c r="B306" s="1108" t="s">
        <v>61822</v>
      </c>
      <c r="C306" s="1108">
        <v>1413</v>
      </c>
      <c r="GJ306" s="1108" t="s">
        <v>58710</v>
      </c>
      <c r="GK306" s="1108" t="s">
        <v>58709</v>
      </c>
    </row>
    <row r="307" spans="1:193">
      <c r="A307" s="1108" t="s">
        <v>61821</v>
      </c>
      <c r="B307" s="1108" t="s">
        <v>61820</v>
      </c>
      <c r="C307" s="1108">
        <v>1147.6499999999999</v>
      </c>
      <c r="GJ307" s="1108" t="s">
        <v>58710</v>
      </c>
      <c r="GK307" s="1108" t="s">
        <v>58709</v>
      </c>
    </row>
    <row r="308" spans="1:193">
      <c r="A308" s="1108" t="s">
        <v>61819</v>
      </c>
      <c r="B308" s="1108" t="s">
        <v>61818</v>
      </c>
      <c r="C308" s="1108">
        <v>1863</v>
      </c>
      <c r="GJ308" s="1108" t="s">
        <v>58710</v>
      </c>
      <c r="GK308" s="1108" t="s">
        <v>58709</v>
      </c>
    </row>
    <row r="309" spans="1:193">
      <c r="A309" s="1108" t="s">
        <v>61817</v>
      </c>
      <c r="B309" s="1108" t="s">
        <v>61816</v>
      </c>
      <c r="C309" s="1108">
        <v>2015</v>
      </c>
      <c r="GJ309" s="1108" t="s">
        <v>58710</v>
      </c>
      <c r="GK309" s="1108" t="s">
        <v>58709</v>
      </c>
    </row>
    <row r="310" spans="1:193">
      <c r="A310" s="1108" t="s">
        <v>61815</v>
      </c>
      <c r="B310" s="1108" t="s">
        <v>61814</v>
      </c>
      <c r="C310" s="1108">
        <v>1103</v>
      </c>
      <c r="GJ310" s="1108" t="s">
        <v>58710</v>
      </c>
      <c r="GK310" s="1108" t="s">
        <v>58709</v>
      </c>
    </row>
    <row r="311" spans="1:193">
      <c r="A311" s="1108" t="s">
        <v>61813</v>
      </c>
      <c r="B311" s="1108" t="s">
        <v>61812</v>
      </c>
      <c r="C311" s="1108">
        <v>1392</v>
      </c>
      <c r="GJ311" s="1108" t="s">
        <v>58710</v>
      </c>
      <c r="GK311" s="1108" t="s">
        <v>58709</v>
      </c>
    </row>
    <row r="312" spans="1:193">
      <c r="A312" s="1108" t="s">
        <v>61811</v>
      </c>
      <c r="B312" s="1108" t="s">
        <v>61810</v>
      </c>
      <c r="C312" s="1108">
        <v>1994</v>
      </c>
      <c r="GJ312" s="1108" t="s">
        <v>58710</v>
      </c>
      <c r="GK312" s="1108" t="s">
        <v>58709</v>
      </c>
    </row>
    <row r="313" spans="1:193">
      <c r="A313" s="1108" t="s">
        <v>61809</v>
      </c>
      <c r="B313" s="1108" t="s">
        <v>61808</v>
      </c>
      <c r="C313" s="1108">
        <v>1154</v>
      </c>
      <c r="GJ313" s="1108" t="s">
        <v>58710</v>
      </c>
      <c r="GK313" s="1108" t="s">
        <v>58709</v>
      </c>
    </row>
    <row r="314" spans="1:193">
      <c r="A314" s="1108" t="s">
        <v>61807</v>
      </c>
      <c r="B314" s="1108" t="s">
        <v>61806</v>
      </c>
      <c r="C314" s="1108">
        <v>1443</v>
      </c>
      <c r="GJ314" s="1108" t="s">
        <v>58710</v>
      </c>
      <c r="GK314" s="1108" t="s">
        <v>58709</v>
      </c>
    </row>
    <row r="315" spans="1:193">
      <c r="A315" s="1108" t="s">
        <v>61805</v>
      </c>
      <c r="B315" s="1108" t="s">
        <v>61804</v>
      </c>
      <c r="C315" s="1108">
        <v>2045</v>
      </c>
      <c r="GJ315" s="1108" t="s">
        <v>58710</v>
      </c>
      <c r="GK315" s="1108" t="s">
        <v>58709</v>
      </c>
    </row>
    <row r="316" spans="1:193">
      <c r="A316" s="1108" t="s">
        <v>61803</v>
      </c>
      <c r="B316" s="1108" t="s">
        <v>61802</v>
      </c>
      <c r="C316" s="1108">
        <v>660</v>
      </c>
      <c r="GJ316" s="1108" t="s">
        <v>58710</v>
      </c>
      <c r="GK316" s="1108" t="s">
        <v>58709</v>
      </c>
    </row>
    <row r="317" spans="1:193">
      <c r="A317" s="1108" t="s">
        <v>61801</v>
      </c>
      <c r="B317" s="1108" t="s">
        <v>61800</v>
      </c>
      <c r="C317" s="1108">
        <v>928</v>
      </c>
      <c r="GJ317" s="1108" t="s">
        <v>58710</v>
      </c>
      <c r="GK317" s="1108" t="s">
        <v>58709</v>
      </c>
    </row>
    <row r="318" spans="1:193">
      <c r="A318" s="1108" t="s">
        <v>61799</v>
      </c>
      <c r="B318" s="1108" t="s">
        <v>61798</v>
      </c>
      <c r="C318" s="1108">
        <v>1219</v>
      </c>
      <c r="GJ318" s="1108" t="s">
        <v>58710</v>
      </c>
      <c r="GK318" s="1108" t="s">
        <v>58709</v>
      </c>
    </row>
    <row r="319" spans="1:193">
      <c r="A319" s="1108" t="s">
        <v>61797</v>
      </c>
      <c r="B319" s="1108" t="s">
        <v>61796</v>
      </c>
      <c r="C319" s="1108">
        <v>677.65</v>
      </c>
      <c r="GJ319" s="1108" t="s">
        <v>58710</v>
      </c>
      <c r="GK319" s="1108" t="s">
        <v>58709</v>
      </c>
    </row>
    <row r="320" spans="1:193">
      <c r="A320" s="1108" t="s">
        <v>61795</v>
      </c>
      <c r="B320" s="1108" t="s">
        <v>61794</v>
      </c>
      <c r="C320" s="1108">
        <v>1373</v>
      </c>
      <c r="GJ320" s="1108" t="s">
        <v>58710</v>
      </c>
      <c r="GK320" s="1108" t="s">
        <v>58709</v>
      </c>
    </row>
    <row r="321" spans="1:193">
      <c r="A321" s="1108" t="s">
        <v>61793</v>
      </c>
      <c r="B321" s="1108" t="s">
        <v>61792</v>
      </c>
      <c r="C321" s="1108">
        <v>1295</v>
      </c>
      <c r="GJ321" s="1108" t="s">
        <v>58710</v>
      </c>
      <c r="GK321" s="1108" t="s">
        <v>58709</v>
      </c>
    </row>
    <row r="322" spans="1:193">
      <c r="A322" s="1108" t="s">
        <v>61791</v>
      </c>
      <c r="B322" s="1108" t="s">
        <v>61790</v>
      </c>
      <c r="C322" s="1108">
        <v>660</v>
      </c>
      <c r="GJ322" s="1108" t="s">
        <v>58710</v>
      </c>
      <c r="GK322" s="1108" t="s">
        <v>58709</v>
      </c>
    </row>
    <row r="323" spans="1:193">
      <c r="A323" s="1108" t="s">
        <v>61789</v>
      </c>
      <c r="B323" s="1108" t="s">
        <v>61788</v>
      </c>
      <c r="C323" s="1108">
        <v>928</v>
      </c>
      <c r="GJ323" s="1108" t="s">
        <v>58710</v>
      </c>
      <c r="GK323" s="1108" t="s">
        <v>58709</v>
      </c>
    </row>
    <row r="324" spans="1:193">
      <c r="A324" s="1108" t="s">
        <v>61787</v>
      </c>
      <c r="B324" s="1108" t="s">
        <v>61786</v>
      </c>
      <c r="C324" s="1108">
        <v>1219</v>
      </c>
      <c r="GJ324" s="1108" t="s">
        <v>58710</v>
      </c>
      <c r="GK324" s="1108" t="s">
        <v>58709</v>
      </c>
    </row>
    <row r="325" spans="1:193">
      <c r="A325" s="1108" t="s">
        <v>61785</v>
      </c>
      <c r="B325" s="1108" t="s">
        <v>61784</v>
      </c>
      <c r="C325" s="1108">
        <v>677.65</v>
      </c>
      <c r="GJ325" s="1108" t="s">
        <v>58710</v>
      </c>
      <c r="GK325" s="1108" t="s">
        <v>58709</v>
      </c>
    </row>
    <row r="326" spans="1:193">
      <c r="A326" s="1108" t="s">
        <v>61783</v>
      </c>
      <c r="B326" s="1108" t="s">
        <v>61782</v>
      </c>
      <c r="C326" s="1108">
        <v>1373</v>
      </c>
      <c r="GJ326" s="1108" t="s">
        <v>58710</v>
      </c>
      <c r="GK326" s="1108" t="s">
        <v>58709</v>
      </c>
    </row>
    <row r="327" spans="1:193">
      <c r="A327" s="1108" t="s">
        <v>61781</v>
      </c>
      <c r="B327" s="1108" t="s">
        <v>61780</v>
      </c>
      <c r="C327" s="1108">
        <v>1295</v>
      </c>
      <c r="GJ327" s="1108" t="s">
        <v>58710</v>
      </c>
      <c r="GK327" s="1108" t="s">
        <v>58709</v>
      </c>
    </row>
    <row r="328" spans="1:193">
      <c r="A328" s="1108" t="s">
        <v>61779</v>
      </c>
      <c r="B328" s="1108" t="s">
        <v>61778</v>
      </c>
      <c r="C328" s="1108">
        <v>684</v>
      </c>
      <c r="GJ328" s="1108" t="s">
        <v>58710</v>
      </c>
      <c r="GK328" s="1108" t="s">
        <v>58709</v>
      </c>
    </row>
    <row r="329" spans="1:193">
      <c r="A329" s="1108" t="s">
        <v>61777</v>
      </c>
      <c r="B329" s="1108" t="s">
        <v>61776</v>
      </c>
      <c r="C329" s="1108">
        <v>952</v>
      </c>
      <c r="GJ329" s="1108" t="s">
        <v>58710</v>
      </c>
      <c r="GK329" s="1108" t="s">
        <v>58709</v>
      </c>
    </row>
    <row r="330" spans="1:193">
      <c r="A330" s="1108" t="s">
        <v>61775</v>
      </c>
      <c r="B330" s="1108" t="s">
        <v>61774</v>
      </c>
      <c r="C330" s="1108">
        <v>1243</v>
      </c>
      <c r="GJ330" s="1108" t="s">
        <v>58710</v>
      </c>
      <c r="GK330" s="1108" t="s">
        <v>58709</v>
      </c>
    </row>
    <row r="331" spans="1:193">
      <c r="A331" s="1108" t="s">
        <v>61773</v>
      </c>
      <c r="B331" s="1108" t="s">
        <v>61772</v>
      </c>
      <c r="C331" s="1108">
        <v>701.65</v>
      </c>
      <c r="GJ331" s="1108" t="s">
        <v>58710</v>
      </c>
      <c r="GK331" s="1108" t="s">
        <v>58709</v>
      </c>
    </row>
    <row r="332" spans="1:193">
      <c r="A332" s="1108" t="s">
        <v>61771</v>
      </c>
      <c r="B332" s="1108" t="s">
        <v>61770</v>
      </c>
      <c r="C332" s="1108">
        <v>1402</v>
      </c>
      <c r="GJ332" s="1108" t="s">
        <v>58710</v>
      </c>
      <c r="GK332" s="1108" t="s">
        <v>58709</v>
      </c>
    </row>
    <row r="333" spans="1:193">
      <c r="A333" s="1108" t="s">
        <v>61769</v>
      </c>
      <c r="B333" s="1108" t="s">
        <v>61768</v>
      </c>
      <c r="C333" s="1108">
        <v>1554</v>
      </c>
      <c r="GJ333" s="1108" t="s">
        <v>58710</v>
      </c>
      <c r="GK333" s="1108" t="s">
        <v>58709</v>
      </c>
    </row>
    <row r="334" spans="1:193">
      <c r="A334" s="1108" t="s">
        <v>61767</v>
      </c>
      <c r="B334" s="1108" t="s">
        <v>61766</v>
      </c>
      <c r="C334" s="1108">
        <v>1554</v>
      </c>
      <c r="GJ334" s="1108" t="s">
        <v>58710</v>
      </c>
      <c r="GK334" s="1108" t="s">
        <v>58709</v>
      </c>
    </row>
    <row r="335" spans="1:193">
      <c r="A335" s="1108" t="s">
        <v>61765</v>
      </c>
      <c r="B335" s="1108" t="s">
        <v>61764</v>
      </c>
      <c r="C335" s="1108">
        <v>673</v>
      </c>
      <c r="GJ335" s="1108" t="s">
        <v>58710</v>
      </c>
      <c r="GK335" s="1108" t="s">
        <v>58709</v>
      </c>
    </row>
    <row r="336" spans="1:193">
      <c r="A336" s="1108" t="s">
        <v>61763</v>
      </c>
      <c r="B336" s="1108" t="s">
        <v>61762</v>
      </c>
      <c r="C336" s="1108">
        <v>941</v>
      </c>
      <c r="GJ336" s="1108" t="s">
        <v>58710</v>
      </c>
      <c r="GK336" s="1108" t="s">
        <v>58709</v>
      </c>
    </row>
    <row r="337" spans="1:193">
      <c r="A337" s="1108" t="s">
        <v>61761</v>
      </c>
      <c r="B337" s="1108" t="s">
        <v>61760</v>
      </c>
      <c r="C337" s="1108">
        <v>1232</v>
      </c>
      <c r="GJ337" s="1108" t="s">
        <v>58710</v>
      </c>
      <c r="GK337" s="1108" t="s">
        <v>58709</v>
      </c>
    </row>
    <row r="338" spans="1:193">
      <c r="A338" s="1108" t="s">
        <v>61759</v>
      </c>
      <c r="B338" s="1108" t="s">
        <v>61758</v>
      </c>
      <c r="C338" s="1108">
        <v>690.65</v>
      </c>
      <c r="GJ338" s="1108" t="s">
        <v>58710</v>
      </c>
      <c r="GK338" s="1108" t="s">
        <v>58709</v>
      </c>
    </row>
    <row r="339" spans="1:193">
      <c r="A339" s="1108" t="s">
        <v>61757</v>
      </c>
      <c r="B339" s="1108" t="s">
        <v>61756</v>
      </c>
      <c r="C339" s="1108">
        <v>1391</v>
      </c>
      <c r="GJ339" s="1108" t="s">
        <v>58710</v>
      </c>
      <c r="GK339" s="1108" t="s">
        <v>58709</v>
      </c>
    </row>
    <row r="340" spans="1:193">
      <c r="A340" s="1108" t="s">
        <v>61755</v>
      </c>
      <c r="B340" s="1108" t="s">
        <v>61754</v>
      </c>
      <c r="C340" s="1108">
        <v>1543</v>
      </c>
      <c r="GJ340" s="1108" t="s">
        <v>58710</v>
      </c>
      <c r="GK340" s="1108" t="s">
        <v>58709</v>
      </c>
    </row>
    <row r="341" spans="1:193">
      <c r="A341" s="1108" t="s">
        <v>61753</v>
      </c>
      <c r="B341" s="1108" t="s">
        <v>61752</v>
      </c>
      <c r="C341" s="1108">
        <v>1543</v>
      </c>
      <c r="GJ341" s="1108" t="s">
        <v>58710</v>
      </c>
      <c r="GK341" s="1108" t="s">
        <v>58709</v>
      </c>
    </row>
    <row r="342" spans="1:193">
      <c r="A342" s="1108" t="s">
        <v>61751</v>
      </c>
      <c r="B342" s="1108" t="s">
        <v>61750</v>
      </c>
      <c r="C342" s="1108">
        <v>765</v>
      </c>
      <c r="GJ342" s="1108" t="s">
        <v>58710</v>
      </c>
      <c r="GK342" s="1108" t="s">
        <v>58709</v>
      </c>
    </row>
    <row r="343" spans="1:193">
      <c r="A343" s="1108" t="s">
        <v>61749</v>
      </c>
      <c r="B343" s="1108" t="s">
        <v>61748</v>
      </c>
      <c r="C343" s="1108">
        <v>1157</v>
      </c>
      <c r="GJ343" s="1108" t="s">
        <v>58710</v>
      </c>
      <c r="GK343" s="1108" t="s">
        <v>58709</v>
      </c>
    </row>
    <row r="344" spans="1:193">
      <c r="A344" s="1108" t="s">
        <v>61747</v>
      </c>
      <c r="B344" s="1108" t="s">
        <v>61746</v>
      </c>
      <c r="C344" s="1108">
        <v>1759</v>
      </c>
      <c r="GJ344" s="1108" t="s">
        <v>58710</v>
      </c>
      <c r="GK344" s="1108" t="s">
        <v>58709</v>
      </c>
    </row>
    <row r="345" spans="1:193">
      <c r="A345" s="1108" t="s">
        <v>61745</v>
      </c>
      <c r="B345" s="1108" t="s">
        <v>61744</v>
      </c>
      <c r="C345" s="1108">
        <v>1935</v>
      </c>
      <c r="GJ345" s="1108" t="s">
        <v>58710</v>
      </c>
      <c r="GK345" s="1108" t="s">
        <v>58709</v>
      </c>
    </row>
    <row r="346" spans="1:193">
      <c r="A346" s="1108" t="s">
        <v>61743</v>
      </c>
      <c r="B346" s="1108" t="s">
        <v>61742</v>
      </c>
      <c r="C346" s="1108">
        <v>794</v>
      </c>
      <c r="GJ346" s="1108" t="s">
        <v>58710</v>
      </c>
      <c r="GK346" s="1108" t="s">
        <v>58709</v>
      </c>
    </row>
    <row r="347" spans="1:193">
      <c r="A347" s="1108" t="s">
        <v>61741</v>
      </c>
      <c r="B347" s="1108" t="s">
        <v>61740</v>
      </c>
      <c r="C347" s="1108">
        <v>1062</v>
      </c>
      <c r="GJ347" s="1108" t="s">
        <v>58710</v>
      </c>
      <c r="GK347" s="1108" t="s">
        <v>58709</v>
      </c>
    </row>
    <row r="348" spans="1:193">
      <c r="A348" s="1108" t="s">
        <v>61739</v>
      </c>
      <c r="B348" s="1108" t="s">
        <v>61738</v>
      </c>
      <c r="C348" s="1108">
        <v>1353</v>
      </c>
      <c r="GJ348" s="1108" t="s">
        <v>58710</v>
      </c>
      <c r="GK348" s="1108" t="s">
        <v>58709</v>
      </c>
    </row>
    <row r="349" spans="1:193">
      <c r="A349" s="1108" t="s">
        <v>61737</v>
      </c>
      <c r="B349" s="1108" t="s">
        <v>61736</v>
      </c>
      <c r="C349" s="1108">
        <v>905</v>
      </c>
      <c r="GJ349" s="1108" t="s">
        <v>58710</v>
      </c>
      <c r="GK349" s="1108" t="s">
        <v>58709</v>
      </c>
    </row>
    <row r="350" spans="1:193">
      <c r="A350" s="1108" t="s">
        <v>61735</v>
      </c>
      <c r="B350" s="1108" t="s">
        <v>61734</v>
      </c>
      <c r="C350" s="1108">
        <v>1173</v>
      </c>
      <c r="GJ350" s="1108" t="s">
        <v>58710</v>
      </c>
      <c r="GK350" s="1108" t="s">
        <v>58709</v>
      </c>
    </row>
    <row r="351" spans="1:193">
      <c r="A351" s="1108" t="s">
        <v>61733</v>
      </c>
      <c r="B351" s="1108" t="s">
        <v>61732</v>
      </c>
      <c r="C351" s="1108">
        <v>1464</v>
      </c>
      <c r="GJ351" s="1108" t="s">
        <v>58710</v>
      </c>
      <c r="GK351" s="1108" t="s">
        <v>58709</v>
      </c>
    </row>
    <row r="352" spans="1:193">
      <c r="A352" s="1108" t="s">
        <v>61731</v>
      </c>
      <c r="B352" s="1108" t="s">
        <v>61730</v>
      </c>
      <c r="C352" s="1108">
        <v>922.65</v>
      </c>
      <c r="GJ352" s="1108" t="s">
        <v>58710</v>
      </c>
      <c r="GK352" s="1108" t="s">
        <v>58709</v>
      </c>
    </row>
    <row r="353" spans="1:193">
      <c r="A353" s="1108" t="s">
        <v>61729</v>
      </c>
      <c r="B353" s="1108" t="s">
        <v>61728</v>
      </c>
      <c r="C353" s="1108">
        <v>1623</v>
      </c>
      <c r="GJ353" s="1108" t="s">
        <v>58710</v>
      </c>
      <c r="GK353" s="1108" t="s">
        <v>58709</v>
      </c>
    </row>
    <row r="354" spans="1:193">
      <c r="A354" s="1108" t="s">
        <v>61727</v>
      </c>
      <c r="B354" s="1108" t="s">
        <v>61726</v>
      </c>
      <c r="C354" s="1108">
        <v>1775</v>
      </c>
      <c r="GJ354" s="1108" t="s">
        <v>58710</v>
      </c>
      <c r="GK354" s="1108" t="s">
        <v>58709</v>
      </c>
    </row>
    <row r="355" spans="1:193">
      <c r="A355" s="1108" t="s">
        <v>61725</v>
      </c>
      <c r="B355" s="1108" t="s">
        <v>61724</v>
      </c>
      <c r="C355" s="1108">
        <v>1052</v>
      </c>
      <c r="GJ355" s="1108" t="s">
        <v>58710</v>
      </c>
      <c r="GK355" s="1108" t="s">
        <v>58709</v>
      </c>
    </row>
    <row r="356" spans="1:193">
      <c r="A356" s="1108" t="s">
        <v>61723</v>
      </c>
      <c r="B356" s="1108" t="s">
        <v>61722</v>
      </c>
      <c r="C356" s="1108">
        <v>1320</v>
      </c>
      <c r="GJ356" s="1108" t="s">
        <v>58710</v>
      </c>
      <c r="GK356" s="1108" t="s">
        <v>58709</v>
      </c>
    </row>
    <row r="357" spans="1:193">
      <c r="A357" s="1108" t="s">
        <v>61721</v>
      </c>
      <c r="B357" s="1108" t="s">
        <v>61720</v>
      </c>
      <c r="C357" s="1108">
        <v>1069.6499999999999</v>
      </c>
      <c r="GJ357" s="1108" t="s">
        <v>58710</v>
      </c>
      <c r="GK357" s="1108" t="s">
        <v>58709</v>
      </c>
    </row>
    <row r="358" spans="1:193">
      <c r="A358" s="1108" t="s">
        <v>61719</v>
      </c>
      <c r="B358" s="1108" t="s">
        <v>61718</v>
      </c>
      <c r="C358" s="1108">
        <v>1770</v>
      </c>
      <c r="GJ358" s="1108" t="s">
        <v>58710</v>
      </c>
      <c r="GK358" s="1108" t="s">
        <v>58709</v>
      </c>
    </row>
    <row r="359" spans="1:193">
      <c r="A359" s="1108" t="s">
        <v>61717</v>
      </c>
      <c r="B359" s="1108" t="s">
        <v>61716</v>
      </c>
      <c r="C359" s="1108">
        <v>1922</v>
      </c>
      <c r="GJ359" s="1108" t="s">
        <v>58710</v>
      </c>
      <c r="GK359" s="1108" t="s">
        <v>58709</v>
      </c>
    </row>
    <row r="360" spans="1:193">
      <c r="A360" s="1108" t="s">
        <v>61715</v>
      </c>
      <c r="B360" s="1108" t="s">
        <v>61714</v>
      </c>
      <c r="C360" s="1108">
        <v>2101</v>
      </c>
      <c r="GJ360" s="1108" t="s">
        <v>58710</v>
      </c>
      <c r="GK360" s="1108" t="s">
        <v>58709</v>
      </c>
    </row>
    <row r="361" spans="1:193">
      <c r="A361" s="1108" t="s">
        <v>61713</v>
      </c>
      <c r="B361" s="1108" t="s">
        <v>61712</v>
      </c>
      <c r="C361" s="1108">
        <v>1927</v>
      </c>
      <c r="GJ361" s="1108" t="s">
        <v>58710</v>
      </c>
      <c r="GK361" s="1108" t="s">
        <v>58709</v>
      </c>
    </row>
    <row r="362" spans="1:193">
      <c r="A362" s="1108" t="s">
        <v>61711</v>
      </c>
      <c r="B362" s="1108" t="s">
        <v>61710</v>
      </c>
      <c r="C362" s="1108">
        <v>570</v>
      </c>
      <c r="GJ362" s="1108" t="s">
        <v>58710</v>
      </c>
      <c r="GK362" s="1108" t="s">
        <v>58709</v>
      </c>
    </row>
    <row r="363" spans="1:193">
      <c r="A363" s="1108" t="s">
        <v>61709</v>
      </c>
      <c r="B363" s="1108" t="s">
        <v>61708</v>
      </c>
      <c r="C363" s="1108">
        <v>838</v>
      </c>
      <c r="GJ363" s="1108" t="s">
        <v>58710</v>
      </c>
      <c r="GK363" s="1108" t="s">
        <v>58709</v>
      </c>
    </row>
    <row r="364" spans="1:193">
      <c r="A364" s="1108" t="s">
        <v>61707</v>
      </c>
      <c r="B364" s="1108" t="s">
        <v>61706</v>
      </c>
      <c r="C364" s="1108">
        <v>1129</v>
      </c>
      <c r="GJ364" s="1108" t="s">
        <v>58710</v>
      </c>
      <c r="GK364" s="1108" t="s">
        <v>58709</v>
      </c>
    </row>
    <row r="365" spans="1:193">
      <c r="A365" s="1108" t="s">
        <v>61705</v>
      </c>
      <c r="B365" s="1108" t="s">
        <v>61704</v>
      </c>
      <c r="C365" s="1108">
        <v>587.65</v>
      </c>
      <c r="GJ365" s="1108" t="s">
        <v>58710</v>
      </c>
      <c r="GK365" s="1108" t="s">
        <v>58709</v>
      </c>
    </row>
    <row r="366" spans="1:193">
      <c r="A366" s="1108" t="s">
        <v>61703</v>
      </c>
      <c r="B366" s="1108" t="s">
        <v>61702</v>
      </c>
      <c r="C366" s="1108">
        <v>1283</v>
      </c>
      <c r="GJ366" s="1108" t="s">
        <v>58710</v>
      </c>
      <c r="GK366" s="1108" t="s">
        <v>58709</v>
      </c>
    </row>
    <row r="367" spans="1:193">
      <c r="A367" s="1108" t="s">
        <v>61701</v>
      </c>
      <c r="B367" s="1108" t="s">
        <v>61700</v>
      </c>
      <c r="C367" s="1108">
        <v>1205</v>
      </c>
      <c r="GJ367" s="1108" t="s">
        <v>58710</v>
      </c>
      <c r="GK367" s="1108" t="s">
        <v>58709</v>
      </c>
    </row>
    <row r="368" spans="1:193">
      <c r="A368" s="1108" t="s">
        <v>61699</v>
      </c>
      <c r="B368" s="1108" t="s">
        <v>61698</v>
      </c>
      <c r="C368" s="1108">
        <v>1061</v>
      </c>
      <c r="GJ368" s="1108" t="s">
        <v>58710</v>
      </c>
      <c r="GK368" s="1108" t="s">
        <v>58709</v>
      </c>
    </row>
    <row r="369" spans="1:193">
      <c r="A369" s="1108" t="s">
        <v>61697</v>
      </c>
      <c r="B369" s="1108" t="s">
        <v>61696</v>
      </c>
      <c r="C369" s="1108">
        <v>874</v>
      </c>
      <c r="GJ369" s="1108" t="s">
        <v>58710</v>
      </c>
      <c r="GK369" s="1108" t="s">
        <v>58709</v>
      </c>
    </row>
    <row r="370" spans="1:193">
      <c r="A370" s="1108" t="s">
        <v>61695</v>
      </c>
      <c r="B370" s="1108" t="s">
        <v>61694</v>
      </c>
      <c r="C370" s="1108">
        <v>760</v>
      </c>
      <c r="GJ370" s="1108" t="s">
        <v>58710</v>
      </c>
      <c r="GK370" s="1108" t="s">
        <v>58709</v>
      </c>
    </row>
    <row r="371" spans="1:193">
      <c r="A371" s="1108" t="s">
        <v>61693</v>
      </c>
      <c r="B371" s="1108" t="s">
        <v>61692</v>
      </c>
      <c r="C371" s="1108">
        <v>1574</v>
      </c>
      <c r="GJ371" s="1108" t="s">
        <v>58710</v>
      </c>
      <c r="GK371" s="1108" t="s">
        <v>58709</v>
      </c>
    </row>
    <row r="372" spans="1:193">
      <c r="A372" s="1108" t="s">
        <v>61691</v>
      </c>
      <c r="B372" s="1108" t="s">
        <v>61690</v>
      </c>
      <c r="C372" s="1108">
        <v>1352</v>
      </c>
      <c r="GJ372" s="1108" t="s">
        <v>58710</v>
      </c>
      <c r="GK372" s="1108" t="s">
        <v>58709</v>
      </c>
    </row>
    <row r="373" spans="1:193">
      <c r="A373" s="1108" t="s">
        <v>61689</v>
      </c>
      <c r="B373" s="1108" t="s">
        <v>61688</v>
      </c>
      <c r="C373" s="1108">
        <v>1304</v>
      </c>
      <c r="GJ373" s="1108" t="s">
        <v>58710</v>
      </c>
      <c r="GK373" s="1108" t="s">
        <v>58709</v>
      </c>
    </row>
    <row r="374" spans="1:193">
      <c r="A374" s="1108" t="s">
        <v>61687</v>
      </c>
      <c r="B374" s="1108" t="s">
        <v>61686</v>
      </c>
      <c r="C374" s="1108">
        <v>1572</v>
      </c>
      <c r="GJ374" s="1108" t="s">
        <v>58710</v>
      </c>
      <c r="GK374" s="1108" t="s">
        <v>58709</v>
      </c>
    </row>
    <row r="375" spans="1:193">
      <c r="A375" s="1108" t="s">
        <v>61685</v>
      </c>
      <c r="B375" s="1108" t="s">
        <v>61684</v>
      </c>
      <c r="C375" s="1108">
        <v>1863</v>
      </c>
      <c r="GJ375" s="1108" t="s">
        <v>58710</v>
      </c>
      <c r="GK375" s="1108" t="s">
        <v>58709</v>
      </c>
    </row>
    <row r="376" spans="1:193">
      <c r="A376" s="1108" t="s">
        <v>61683</v>
      </c>
      <c r="B376" s="1108" t="s">
        <v>61682</v>
      </c>
      <c r="C376" s="1108">
        <v>1494</v>
      </c>
      <c r="GJ376" s="1108" t="s">
        <v>58710</v>
      </c>
      <c r="GK376" s="1108" t="s">
        <v>58709</v>
      </c>
    </row>
    <row r="377" spans="1:193">
      <c r="A377" s="1108" t="s">
        <v>61681</v>
      </c>
      <c r="B377" s="1108" t="s">
        <v>61680</v>
      </c>
      <c r="C377" s="1108">
        <v>2174</v>
      </c>
      <c r="GJ377" s="1108" t="s">
        <v>58710</v>
      </c>
      <c r="GK377" s="1108" t="s">
        <v>58709</v>
      </c>
    </row>
    <row r="378" spans="1:193">
      <c r="A378" s="1108" t="s">
        <v>61679</v>
      </c>
      <c r="B378" s="1108" t="s">
        <v>61678</v>
      </c>
      <c r="C378" s="1108">
        <v>1304</v>
      </c>
      <c r="GJ378" s="1108" t="s">
        <v>58710</v>
      </c>
      <c r="GK378" s="1108" t="s">
        <v>58709</v>
      </c>
    </row>
    <row r="379" spans="1:193">
      <c r="A379" s="1108" t="s">
        <v>61677</v>
      </c>
      <c r="B379" s="1108" t="s">
        <v>61676</v>
      </c>
      <c r="C379" s="1108">
        <v>1572</v>
      </c>
      <c r="GJ379" s="1108" t="s">
        <v>58710</v>
      </c>
      <c r="GK379" s="1108" t="s">
        <v>58709</v>
      </c>
    </row>
    <row r="380" spans="1:193">
      <c r="A380" s="1108" t="s">
        <v>61675</v>
      </c>
      <c r="B380" s="1108" t="s">
        <v>61674</v>
      </c>
      <c r="C380" s="1108">
        <v>1863</v>
      </c>
      <c r="GJ380" s="1108" t="s">
        <v>58710</v>
      </c>
      <c r="GK380" s="1108" t="s">
        <v>58709</v>
      </c>
    </row>
    <row r="381" spans="1:193">
      <c r="A381" s="1108" t="s">
        <v>61673</v>
      </c>
      <c r="B381" s="1108" t="s">
        <v>61672</v>
      </c>
      <c r="C381" s="1108">
        <v>1494</v>
      </c>
      <c r="GJ381" s="1108" t="s">
        <v>58710</v>
      </c>
      <c r="GK381" s="1108" t="s">
        <v>58709</v>
      </c>
    </row>
    <row r="382" spans="1:193">
      <c r="A382" s="1108" t="s">
        <v>61671</v>
      </c>
      <c r="B382" s="1108" t="s">
        <v>61670</v>
      </c>
      <c r="C382" s="1108">
        <v>1187</v>
      </c>
      <c r="GJ382" s="1108" t="s">
        <v>58710</v>
      </c>
      <c r="GK382" s="1108" t="s">
        <v>58709</v>
      </c>
    </row>
    <row r="383" spans="1:193">
      <c r="A383" s="1108" t="s">
        <v>61669</v>
      </c>
      <c r="B383" s="1108" t="s">
        <v>61668</v>
      </c>
      <c r="C383" s="1108">
        <v>1455</v>
      </c>
      <c r="GJ383" s="1108" t="s">
        <v>58710</v>
      </c>
      <c r="GK383" s="1108" t="s">
        <v>58709</v>
      </c>
    </row>
    <row r="384" spans="1:193">
      <c r="A384" s="1108" t="s">
        <v>61667</v>
      </c>
      <c r="B384" s="1108" t="s">
        <v>61666</v>
      </c>
      <c r="C384" s="1108">
        <v>1746</v>
      </c>
      <c r="GJ384" s="1108" t="s">
        <v>58710</v>
      </c>
      <c r="GK384" s="1108" t="s">
        <v>58709</v>
      </c>
    </row>
    <row r="385" spans="1:193">
      <c r="A385" s="1108" t="s">
        <v>61665</v>
      </c>
      <c r="B385" s="1108" t="s">
        <v>61664</v>
      </c>
      <c r="C385" s="1108">
        <v>1377</v>
      </c>
      <c r="GJ385" s="1108" t="s">
        <v>58710</v>
      </c>
      <c r="GK385" s="1108" t="s">
        <v>58709</v>
      </c>
    </row>
    <row r="386" spans="1:193">
      <c r="A386" s="1108" t="s">
        <v>61663</v>
      </c>
      <c r="B386" s="1108" t="s">
        <v>61662</v>
      </c>
      <c r="C386" s="1108">
        <v>1132</v>
      </c>
      <c r="GJ386" s="1108" t="s">
        <v>58710</v>
      </c>
      <c r="GK386" s="1108" t="s">
        <v>58709</v>
      </c>
    </row>
    <row r="387" spans="1:193">
      <c r="A387" s="1108" t="s">
        <v>61661</v>
      </c>
      <c r="B387" s="1108" t="s">
        <v>61660</v>
      </c>
      <c r="C387" s="1108">
        <v>1421</v>
      </c>
      <c r="GJ387" s="1108" t="s">
        <v>58710</v>
      </c>
      <c r="GK387" s="1108" t="s">
        <v>58709</v>
      </c>
    </row>
    <row r="388" spans="1:193">
      <c r="A388" s="1108" t="s">
        <v>61659</v>
      </c>
      <c r="B388" s="1108" t="s">
        <v>61658</v>
      </c>
      <c r="C388" s="1108">
        <v>2023</v>
      </c>
      <c r="GJ388" s="1108" t="s">
        <v>58710</v>
      </c>
      <c r="GK388" s="1108" t="s">
        <v>58709</v>
      </c>
    </row>
    <row r="389" spans="1:193">
      <c r="A389" s="1108" t="s">
        <v>61657</v>
      </c>
      <c r="B389" s="1108" t="s">
        <v>61656</v>
      </c>
      <c r="C389" s="1108">
        <v>1188</v>
      </c>
      <c r="GJ389" s="1108" t="s">
        <v>58710</v>
      </c>
      <c r="GK389" s="1108" t="s">
        <v>58709</v>
      </c>
    </row>
    <row r="390" spans="1:193">
      <c r="A390" s="1108" t="s">
        <v>61655</v>
      </c>
      <c r="B390" s="1108" t="s">
        <v>61654</v>
      </c>
      <c r="C390" s="1108">
        <v>1477</v>
      </c>
      <c r="GJ390" s="1108" t="s">
        <v>58710</v>
      </c>
      <c r="GK390" s="1108" t="s">
        <v>58709</v>
      </c>
    </row>
    <row r="391" spans="1:193">
      <c r="A391" s="1108" t="s">
        <v>61653</v>
      </c>
      <c r="B391" s="1108" t="s">
        <v>61652</v>
      </c>
      <c r="C391" s="1108">
        <v>2038</v>
      </c>
      <c r="GJ391" s="1108" t="s">
        <v>58710</v>
      </c>
      <c r="GK391" s="1108" t="s">
        <v>58709</v>
      </c>
    </row>
    <row r="392" spans="1:193">
      <c r="A392" s="1108" t="s">
        <v>61651</v>
      </c>
      <c r="B392" s="1108" t="s">
        <v>61650</v>
      </c>
      <c r="C392" s="1108">
        <v>1367</v>
      </c>
      <c r="GJ392" s="1108" t="s">
        <v>58710</v>
      </c>
      <c r="GK392" s="1108" t="s">
        <v>58709</v>
      </c>
    </row>
    <row r="393" spans="1:193">
      <c r="A393" s="1108" t="s">
        <v>61649</v>
      </c>
      <c r="B393" s="1108" t="s">
        <v>61648</v>
      </c>
      <c r="C393" s="1108">
        <v>623</v>
      </c>
      <c r="GJ393" s="1108" t="s">
        <v>58710</v>
      </c>
      <c r="GK393" s="1108" t="s">
        <v>58709</v>
      </c>
    </row>
    <row r="394" spans="1:193">
      <c r="A394" s="1108" t="s">
        <v>61647</v>
      </c>
      <c r="B394" s="1108" t="s">
        <v>61646</v>
      </c>
      <c r="C394" s="1108">
        <v>891</v>
      </c>
      <c r="GJ394" s="1108" t="s">
        <v>58710</v>
      </c>
      <c r="GK394" s="1108" t="s">
        <v>58709</v>
      </c>
    </row>
    <row r="395" spans="1:193">
      <c r="A395" s="1108" t="s">
        <v>61645</v>
      </c>
      <c r="B395" s="1108" t="s">
        <v>61644</v>
      </c>
      <c r="C395" s="1108">
        <v>1182</v>
      </c>
      <c r="GJ395" s="1108" t="s">
        <v>58710</v>
      </c>
      <c r="GK395" s="1108" t="s">
        <v>58709</v>
      </c>
    </row>
    <row r="396" spans="1:193">
      <c r="A396" s="1108" t="s">
        <v>61643</v>
      </c>
      <c r="B396" s="1108" t="s">
        <v>61642</v>
      </c>
      <c r="C396" s="1108">
        <v>640.65</v>
      </c>
      <c r="GJ396" s="1108" t="s">
        <v>58710</v>
      </c>
      <c r="GK396" s="1108" t="s">
        <v>58709</v>
      </c>
    </row>
    <row r="397" spans="1:193">
      <c r="A397" s="1108" t="s">
        <v>61641</v>
      </c>
      <c r="B397" s="1108" t="s">
        <v>61640</v>
      </c>
      <c r="C397" s="1108">
        <v>1336</v>
      </c>
      <c r="GJ397" s="1108" t="s">
        <v>58710</v>
      </c>
      <c r="GK397" s="1108" t="s">
        <v>58709</v>
      </c>
    </row>
    <row r="398" spans="1:193">
      <c r="A398" s="1108" t="s">
        <v>61639</v>
      </c>
      <c r="B398" s="1108" t="s">
        <v>61638</v>
      </c>
      <c r="C398" s="1108">
        <v>1258</v>
      </c>
      <c r="GJ398" s="1108" t="s">
        <v>58710</v>
      </c>
      <c r="GK398" s="1108" t="s">
        <v>58709</v>
      </c>
    </row>
    <row r="399" spans="1:193">
      <c r="A399" s="1108" t="s">
        <v>61637</v>
      </c>
      <c r="B399" s="1108" t="s">
        <v>61636</v>
      </c>
      <c r="C399" s="1108">
        <v>1114</v>
      </c>
      <c r="GJ399" s="1108" t="s">
        <v>58710</v>
      </c>
      <c r="GK399" s="1108" t="s">
        <v>58709</v>
      </c>
    </row>
    <row r="400" spans="1:193">
      <c r="A400" s="1108" t="s">
        <v>61635</v>
      </c>
      <c r="B400" s="1108" t="s">
        <v>61634</v>
      </c>
      <c r="C400" s="1108">
        <v>927</v>
      </c>
      <c r="GJ400" s="1108" t="s">
        <v>58710</v>
      </c>
      <c r="GK400" s="1108" t="s">
        <v>58709</v>
      </c>
    </row>
    <row r="401" spans="1:193">
      <c r="A401" s="1108" t="s">
        <v>61633</v>
      </c>
      <c r="B401" s="1108" t="s">
        <v>61632</v>
      </c>
      <c r="C401" s="1108">
        <v>813</v>
      </c>
      <c r="GJ401" s="1108" t="s">
        <v>58710</v>
      </c>
      <c r="GK401" s="1108" t="s">
        <v>58709</v>
      </c>
    </row>
    <row r="402" spans="1:193">
      <c r="A402" s="1108" t="s">
        <v>61631</v>
      </c>
      <c r="B402" s="1108" t="s">
        <v>61630</v>
      </c>
      <c r="C402" s="1108">
        <v>1627</v>
      </c>
      <c r="GJ402" s="1108" t="s">
        <v>58710</v>
      </c>
      <c r="GK402" s="1108" t="s">
        <v>58709</v>
      </c>
    </row>
    <row r="403" spans="1:193">
      <c r="A403" s="1108" t="s">
        <v>61629</v>
      </c>
      <c r="B403" s="1108" t="s">
        <v>61628</v>
      </c>
      <c r="C403" s="1108">
        <v>1405</v>
      </c>
      <c r="GJ403" s="1108" t="s">
        <v>58710</v>
      </c>
      <c r="GK403" s="1108" t="s">
        <v>58709</v>
      </c>
    </row>
    <row r="404" spans="1:193">
      <c r="A404" s="1108" t="s">
        <v>61627</v>
      </c>
      <c r="B404" s="1108" t="s">
        <v>61626</v>
      </c>
      <c r="C404" s="1108">
        <v>1632</v>
      </c>
      <c r="GJ404" s="1108" t="s">
        <v>58710</v>
      </c>
      <c r="GK404" s="1108" t="s">
        <v>58709</v>
      </c>
    </row>
    <row r="405" spans="1:193">
      <c r="A405" s="1108" t="s">
        <v>61625</v>
      </c>
      <c r="B405" s="1108" t="s">
        <v>61624</v>
      </c>
      <c r="C405" s="1108">
        <v>1341</v>
      </c>
      <c r="GJ405" s="1108" t="s">
        <v>58710</v>
      </c>
      <c r="GK405" s="1108" t="s">
        <v>58709</v>
      </c>
    </row>
    <row r="406" spans="1:193">
      <c r="A406" s="1108" t="s">
        <v>61623</v>
      </c>
      <c r="B406" s="1108" t="s">
        <v>61622</v>
      </c>
      <c r="C406" s="1108">
        <v>1493</v>
      </c>
      <c r="GJ406" s="1108" t="s">
        <v>58710</v>
      </c>
      <c r="GK406" s="1108" t="s">
        <v>58709</v>
      </c>
    </row>
    <row r="407" spans="1:193">
      <c r="A407" s="1108" t="s">
        <v>61621</v>
      </c>
      <c r="B407" s="1108" t="s">
        <v>61620</v>
      </c>
      <c r="C407" s="1108">
        <v>1493</v>
      </c>
      <c r="GJ407" s="1108" t="s">
        <v>58710</v>
      </c>
      <c r="GK407" s="1108" t="s">
        <v>58709</v>
      </c>
    </row>
    <row r="408" spans="1:193">
      <c r="A408" s="1108" t="s">
        <v>61619</v>
      </c>
      <c r="B408" s="1108" t="s">
        <v>61618</v>
      </c>
      <c r="C408" s="1108">
        <v>1256</v>
      </c>
      <c r="GJ408" s="1108" t="s">
        <v>58710</v>
      </c>
      <c r="GK408" s="1108" t="s">
        <v>58709</v>
      </c>
    </row>
    <row r="409" spans="1:193">
      <c r="A409" s="1108" t="s">
        <v>61617</v>
      </c>
      <c r="B409" s="1108" t="s">
        <v>61616</v>
      </c>
      <c r="C409" s="1108">
        <v>1084</v>
      </c>
      <c r="GJ409" s="1108" t="s">
        <v>58710</v>
      </c>
      <c r="GK409" s="1108" t="s">
        <v>58709</v>
      </c>
    </row>
    <row r="410" spans="1:193">
      <c r="A410" s="1108" t="s">
        <v>61615</v>
      </c>
      <c r="B410" s="1108" t="s">
        <v>61614</v>
      </c>
      <c r="C410" s="1108">
        <v>1750</v>
      </c>
      <c r="GJ410" s="1108" t="s">
        <v>58710</v>
      </c>
      <c r="GK410" s="1108" t="s">
        <v>58709</v>
      </c>
    </row>
    <row r="411" spans="1:193">
      <c r="A411" s="1108" t="s">
        <v>61613</v>
      </c>
      <c r="B411" s="1108" t="s">
        <v>61612</v>
      </c>
      <c r="C411" s="1108">
        <v>1784</v>
      </c>
      <c r="GJ411" s="1108" t="s">
        <v>58710</v>
      </c>
      <c r="GK411" s="1108" t="s">
        <v>58709</v>
      </c>
    </row>
    <row r="412" spans="1:193">
      <c r="A412" s="1108" t="s">
        <v>61611</v>
      </c>
      <c r="B412" s="1108" t="s">
        <v>61610</v>
      </c>
      <c r="C412" s="1108">
        <v>1784</v>
      </c>
      <c r="GJ412" s="1108" t="s">
        <v>58710</v>
      </c>
      <c r="GK412" s="1108" t="s">
        <v>58709</v>
      </c>
    </row>
    <row r="413" spans="1:193">
      <c r="A413" s="1108" t="s">
        <v>61609</v>
      </c>
      <c r="B413" s="1108" t="s">
        <v>61608</v>
      </c>
      <c r="C413" s="1108">
        <v>1750</v>
      </c>
      <c r="GJ413" s="1108" t="s">
        <v>58710</v>
      </c>
      <c r="GK413" s="1108" t="s">
        <v>58709</v>
      </c>
    </row>
    <row r="414" spans="1:193">
      <c r="A414" s="1108" t="s">
        <v>61607</v>
      </c>
      <c r="B414" s="1108" t="s">
        <v>61606</v>
      </c>
      <c r="C414" s="1108">
        <v>1459</v>
      </c>
      <c r="GJ414" s="1108" t="s">
        <v>58710</v>
      </c>
      <c r="GK414" s="1108" t="s">
        <v>58709</v>
      </c>
    </row>
    <row r="415" spans="1:193">
      <c r="A415" s="1108" t="s">
        <v>61605</v>
      </c>
      <c r="B415" s="1108" t="s">
        <v>61604</v>
      </c>
      <c r="C415" s="1108">
        <v>1459</v>
      </c>
      <c r="GJ415" s="1108" t="s">
        <v>58710</v>
      </c>
      <c r="GK415" s="1108" t="s">
        <v>58709</v>
      </c>
    </row>
    <row r="416" spans="1:193">
      <c r="A416" s="1108" t="s">
        <v>61603</v>
      </c>
      <c r="B416" s="1108" t="s">
        <v>61602</v>
      </c>
      <c r="C416" s="1108">
        <v>1225</v>
      </c>
      <c r="GJ416" s="1108" t="s">
        <v>58710</v>
      </c>
      <c r="GK416" s="1108" t="s">
        <v>58709</v>
      </c>
    </row>
    <row r="417" spans="1:193">
      <c r="A417" s="1108" t="s">
        <v>61601</v>
      </c>
      <c r="B417" s="1108" t="s">
        <v>61600</v>
      </c>
      <c r="C417" s="1108">
        <v>1258</v>
      </c>
      <c r="GJ417" s="1108" t="s">
        <v>58710</v>
      </c>
      <c r="GK417" s="1108" t="s">
        <v>58709</v>
      </c>
    </row>
    <row r="418" spans="1:193">
      <c r="A418" s="1108" t="s">
        <v>61599</v>
      </c>
      <c r="B418" s="1108" t="s">
        <v>61598</v>
      </c>
      <c r="C418" s="1108">
        <v>719</v>
      </c>
      <c r="GJ418" s="1108" t="s">
        <v>58710</v>
      </c>
      <c r="GK418" s="1108" t="s">
        <v>58709</v>
      </c>
    </row>
    <row r="419" spans="1:193">
      <c r="A419" s="1108" t="s">
        <v>61597</v>
      </c>
      <c r="B419" s="1108" t="s">
        <v>61596</v>
      </c>
      <c r="C419" s="1108">
        <v>987</v>
      </c>
      <c r="GJ419" s="1108" t="s">
        <v>58710</v>
      </c>
      <c r="GK419" s="1108" t="s">
        <v>58709</v>
      </c>
    </row>
    <row r="420" spans="1:193">
      <c r="A420" s="1108" t="s">
        <v>61595</v>
      </c>
      <c r="B420" s="1108" t="s">
        <v>61594</v>
      </c>
      <c r="C420" s="1108">
        <v>1181</v>
      </c>
      <c r="GJ420" s="1108" t="s">
        <v>58710</v>
      </c>
      <c r="GK420" s="1108" t="s">
        <v>58709</v>
      </c>
    </row>
    <row r="421" spans="1:193">
      <c r="A421" s="1108" t="s">
        <v>61593</v>
      </c>
      <c r="B421" s="1108" t="s">
        <v>61592</v>
      </c>
      <c r="C421" s="1108">
        <v>1437</v>
      </c>
      <c r="GJ421" s="1108" t="s">
        <v>58710</v>
      </c>
      <c r="GK421" s="1108" t="s">
        <v>58709</v>
      </c>
    </row>
    <row r="422" spans="1:193">
      <c r="A422" s="1108" t="s">
        <v>61591</v>
      </c>
      <c r="B422" s="1108" t="s">
        <v>61590</v>
      </c>
      <c r="C422" s="1108">
        <v>1331</v>
      </c>
      <c r="GJ422" s="1108" t="s">
        <v>58710</v>
      </c>
      <c r="GK422" s="1108" t="s">
        <v>58709</v>
      </c>
    </row>
    <row r="423" spans="1:193">
      <c r="A423" s="1108" t="s">
        <v>61589</v>
      </c>
      <c r="B423" s="1108" t="s">
        <v>61588</v>
      </c>
      <c r="C423" s="1108">
        <v>1534</v>
      </c>
      <c r="GJ423" s="1108" t="s">
        <v>58710</v>
      </c>
      <c r="GK423" s="1108" t="s">
        <v>58709</v>
      </c>
    </row>
    <row r="424" spans="1:193">
      <c r="A424" s="1108" t="s">
        <v>61587</v>
      </c>
      <c r="B424" s="1108" t="s">
        <v>61586</v>
      </c>
      <c r="C424" s="1108">
        <v>1534</v>
      </c>
      <c r="GJ424" s="1108" t="s">
        <v>58710</v>
      </c>
      <c r="GK424" s="1108" t="s">
        <v>58709</v>
      </c>
    </row>
    <row r="425" spans="1:193">
      <c r="A425" s="1108" t="s">
        <v>61585</v>
      </c>
      <c r="B425" s="1108" t="s">
        <v>61584</v>
      </c>
      <c r="C425" s="1108">
        <v>1568</v>
      </c>
      <c r="GJ425" s="1108" t="s">
        <v>58710</v>
      </c>
      <c r="GK425" s="1108" t="s">
        <v>58709</v>
      </c>
    </row>
    <row r="426" spans="1:193">
      <c r="A426" s="1108" t="s">
        <v>61583</v>
      </c>
      <c r="B426" s="1108" t="s">
        <v>61582</v>
      </c>
      <c r="C426" s="1108">
        <v>1568</v>
      </c>
      <c r="GJ426" s="1108" t="s">
        <v>58710</v>
      </c>
      <c r="GK426" s="1108" t="s">
        <v>58709</v>
      </c>
    </row>
    <row r="427" spans="1:193">
      <c r="A427" s="1108" t="s">
        <v>61581</v>
      </c>
      <c r="B427" s="1108" t="s">
        <v>61580</v>
      </c>
      <c r="C427" s="1108">
        <v>1728</v>
      </c>
      <c r="GJ427" s="1108" t="s">
        <v>58710</v>
      </c>
      <c r="GK427" s="1108" t="s">
        <v>58709</v>
      </c>
    </row>
    <row r="428" spans="1:193">
      <c r="A428" s="1108" t="s">
        <v>61579</v>
      </c>
      <c r="B428" s="1108" t="s">
        <v>61578</v>
      </c>
      <c r="C428" s="1108">
        <v>1762</v>
      </c>
      <c r="GJ428" s="1108" t="s">
        <v>58710</v>
      </c>
      <c r="GK428" s="1108" t="s">
        <v>58709</v>
      </c>
    </row>
    <row r="429" spans="1:193">
      <c r="A429" s="1108" t="s">
        <v>61577</v>
      </c>
      <c r="B429" s="1108" t="s">
        <v>61576</v>
      </c>
      <c r="C429" s="1108">
        <v>1348</v>
      </c>
      <c r="GJ429" s="1108" t="s">
        <v>58710</v>
      </c>
      <c r="GK429" s="1108" t="s">
        <v>58709</v>
      </c>
    </row>
    <row r="430" spans="1:193">
      <c r="A430" s="1108" t="s">
        <v>61575</v>
      </c>
      <c r="B430" s="1108" t="s">
        <v>61574</v>
      </c>
      <c r="C430" s="1108">
        <v>1038</v>
      </c>
      <c r="GJ430" s="1108" t="s">
        <v>58710</v>
      </c>
      <c r="GK430" s="1108" t="s">
        <v>58709</v>
      </c>
    </row>
    <row r="431" spans="1:193">
      <c r="A431" s="1108" t="s">
        <v>61573</v>
      </c>
      <c r="B431" s="1108" t="s">
        <v>61572</v>
      </c>
      <c r="C431" s="1108">
        <v>1168</v>
      </c>
      <c r="GJ431" s="1108" t="s">
        <v>58710</v>
      </c>
      <c r="GK431" s="1108" t="s">
        <v>58709</v>
      </c>
    </row>
    <row r="432" spans="1:193">
      <c r="A432" s="1108" t="s">
        <v>61571</v>
      </c>
      <c r="B432" s="1108" t="s">
        <v>61570</v>
      </c>
      <c r="C432" s="1108">
        <v>1757</v>
      </c>
      <c r="GJ432" s="1108" t="s">
        <v>58710</v>
      </c>
      <c r="GK432" s="1108" t="s">
        <v>58709</v>
      </c>
    </row>
    <row r="433" spans="1:193">
      <c r="A433" s="1108" t="s">
        <v>61569</v>
      </c>
      <c r="B433" s="1108" t="s">
        <v>61568</v>
      </c>
      <c r="C433" s="1108">
        <v>1307</v>
      </c>
      <c r="GJ433" s="1108" t="s">
        <v>58710</v>
      </c>
      <c r="GK433" s="1108" t="s">
        <v>58709</v>
      </c>
    </row>
    <row r="434" spans="1:193">
      <c r="A434" s="1108" t="s">
        <v>61567</v>
      </c>
      <c r="B434" s="1108" t="s">
        <v>61566</v>
      </c>
      <c r="C434" s="1108">
        <v>1830</v>
      </c>
      <c r="GJ434" s="1108" t="s">
        <v>58710</v>
      </c>
      <c r="GK434" s="1108" t="s">
        <v>58709</v>
      </c>
    </row>
    <row r="435" spans="1:193">
      <c r="A435" s="1108" t="s">
        <v>61565</v>
      </c>
      <c r="B435" s="1108" t="s">
        <v>61564</v>
      </c>
      <c r="C435" s="1108">
        <v>2000</v>
      </c>
      <c r="GJ435" s="1108" t="s">
        <v>58710</v>
      </c>
      <c r="GK435" s="1108" t="s">
        <v>58709</v>
      </c>
    </row>
    <row r="436" spans="1:193">
      <c r="A436" s="1108" t="s">
        <v>61563</v>
      </c>
      <c r="B436" s="1108" t="s">
        <v>61562</v>
      </c>
      <c r="C436" s="1108">
        <v>1246</v>
      </c>
      <c r="GJ436" s="1108" t="s">
        <v>58710</v>
      </c>
      <c r="GK436" s="1108" t="s">
        <v>58709</v>
      </c>
    </row>
    <row r="437" spans="1:193">
      <c r="A437" s="1108" t="s">
        <v>61561</v>
      </c>
      <c r="B437" s="1108" t="s">
        <v>61560</v>
      </c>
      <c r="C437" s="1108">
        <v>1514</v>
      </c>
      <c r="GJ437" s="1108" t="s">
        <v>58710</v>
      </c>
      <c r="GK437" s="1108" t="s">
        <v>58709</v>
      </c>
    </row>
    <row r="438" spans="1:193">
      <c r="A438" s="1108" t="s">
        <v>61559</v>
      </c>
      <c r="B438" s="1108" t="s">
        <v>61558</v>
      </c>
      <c r="C438" s="1108">
        <v>1805</v>
      </c>
      <c r="GJ438" s="1108" t="s">
        <v>58710</v>
      </c>
      <c r="GK438" s="1108" t="s">
        <v>58709</v>
      </c>
    </row>
    <row r="439" spans="1:193">
      <c r="A439" s="1108" t="s">
        <v>61557</v>
      </c>
      <c r="B439" s="1108" t="s">
        <v>61556</v>
      </c>
      <c r="C439" s="1108">
        <v>1436</v>
      </c>
      <c r="GJ439" s="1108" t="s">
        <v>58710</v>
      </c>
      <c r="GK439" s="1108" t="s">
        <v>58709</v>
      </c>
    </row>
    <row r="440" spans="1:193">
      <c r="A440" s="1108" t="s">
        <v>61555</v>
      </c>
      <c r="B440" s="1108" t="s">
        <v>61554</v>
      </c>
      <c r="C440" s="1108">
        <v>2116</v>
      </c>
      <c r="GJ440" s="1108" t="s">
        <v>58710</v>
      </c>
      <c r="GK440" s="1108" t="s">
        <v>58709</v>
      </c>
    </row>
    <row r="441" spans="1:193">
      <c r="A441" s="1108" t="s">
        <v>61553</v>
      </c>
      <c r="B441" s="1108" t="s">
        <v>61552</v>
      </c>
      <c r="C441" s="1108">
        <v>1964</v>
      </c>
      <c r="GJ441" s="1108" t="s">
        <v>58710</v>
      </c>
      <c r="GK441" s="1108" t="s">
        <v>58709</v>
      </c>
    </row>
    <row r="442" spans="1:193">
      <c r="A442" s="1108" t="s">
        <v>61551</v>
      </c>
      <c r="B442" s="1108" t="s">
        <v>61550</v>
      </c>
      <c r="C442" s="1108">
        <v>1594</v>
      </c>
      <c r="GJ442" s="1108" t="s">
        <v>58710</v>
      </c>
      <c r="GK442" s="1108" t="s">
        <v>58709</v>
      </c>
    </row>
    <row r="443" spans="1:193">
      <c r="A443" s="1108" t="s">
        <v>61549</v>
      </c>
      <c r="B443" s="1108" t="s">
        <v>61548</v>
      </c>
      <c r="C443" s="1108">
        <v>1801</v>
      </c>
      <c r="GJ443" s="1108" t="s">
        <v>58710</v>
      </c>
      <c r="GK443" s="1108" t="s">
        <v>58709</v>
      </c>
    </row>
    <row r="444" spans="1:193">
      <c r="A444" s="1108" t="s">
        <v>61547</v>
      </c>
      <c r="B444" s="1108" t="s">
        <v>61546</v>
      </c>
      <c r="C444" s="1108">
        <v>2162</v>
      </c>
      <c r="GJ444" s="1108" t="s">
        <v>58710</v>
      </c>
      <c r="GK444" s="1108" t="s">
        <v>58709</v>
      </c>
    </row>
    <row r="445" spans="1:193">
      <c r="A445" s="1108" t="s">
        <v>61545</v>
      </c>
      <c r="B445" s="1108" t="s">
        <v>61544</v>
      </c>
      <c r="C445" s="1108">
        <v>2403</v>
      </c>
      <c r="GJ445" s="1108" t="s">
        <v>58710</v>
      </c>
      <c r="GK445" s="1108" t="s">
        <v>58709</v>
      </c>
    </row>
    <row r="446" spans="1:193">
      <c r="A446" s="1108" t="s">
        <v>61543</v>
      </c>
      <c r="B446" s="1108" t="s">
        <v>61542</v>
      </c>
      <c r="C446" s="1108">
        <v>2251</v>
      </c>
      <c r="GJ446" s="1108" t="s">
        <v>58710</v>
      </c>
      <c r="GK446" s="1108" t="s">
        <v>58709</v>
      </c>
    </row>
    <row r="447" spans="1:193">
      <c r="A447" s="1108" t="s">
        <v>61541</v>
      </c>
      <c r="B447" s="1108" t="s">
        <v>61540</v>
      </c>
      <c r="C447" s="1108">
        <v>1132</v>
      </c>
      <c r="GJ447" s="1108" t="s">
        <v>58710</v>
      </c>
      <c r="GK447" s="1108" t="s">
        <v>58709</v>
      </c>
    </row>
    <row r="448" spans="1:193">
      <c r="A448" s="1108" t="s">
        <v>61539</v>
      </c>
      <c r="B448" s="1108" t="s">
        <v>61538</v>
      </c>
      <c r="C448" s="1108">
        <v>1421</v>
      </c>
      <c r="GJ448" s="1108" t="s">
        <v>58710</v>
      </c>
      <c r="GK448" s="1108" t="s">
        <v>58709</v>
      </c>
    </row>
    <row r="449" spans="1:193">
      <c r="A449" s="1108" t="s">
        <v>61537</v>
      </c>
      <c r="B449" s="1108" t="s">
        <v>61536</v>
      </c>
      <c r="C449" s="1108">
        <v>2065</v>
      </c>
      <c r="GJ449" s="1108" t="s">
        <v>58710</v>
      </c>
      <c r="GK449" s="1108" t="s">
        <v>58709</v>
      </c>
    </row>
    <row r="450" spans="1:193">
      <c r="A450" s="1108" t="s">
        <v>61535</v>
      </c>
      <c r="B450" s="1108" t="s">
        <v>61534</v>
      </c>
      <c r="C450" s="1108">
        <v>382</v>
      </c>
      <c r="GJ450" s="1108" t="s">
        <v>58710</v>
      </c>
      <c r="GK450" s="1108" t="s">
        <v>58709</v>
      </c>
    </row>
    <row r="451" spans="1:193">
      <c r="A451" s="1108" t="s">
        <v>61533</v>
      </c>
      <c r="B451" s="1108" t="s">
        <v>61532</v>
      </c>
      <c r="C451" s="1108">
        <v>1523</v>
      </c>
      <c r="GJ451" s="1108" t="s">
        <v>58710</v>
      </c>
      <c r="GK451" s="1108" t="s">
        <v>58709</v>
      </c>
    </row>
    <row r="452" spans="1:193">
      <c r="A452" s="1108" t="s">
        <v>61531</v>
      </c>
      <c r="B452" s="1108" t="s">
        <v>61530</v>
      </c>
      <c r="C452" s="1108">
        <v>850</v>
      </c>
      <c r="GJ452" s="1108" t="s">
        <v>58710</v>
      </c>
      <c r="GK452" s="1108" t="s">
        <v>58709</v>
      </c>
    </row>
    <row r="453" spans="1:193">
      <c r="A453" s="1108" t="s">
        <v>61529</v>
      </c>
      <c r="B453" s="1108" t="s">
        <v>61528</v>
      </c>
      <c r="C453" s="1108">
        <v>470</v>
      </c>
      <c r="GJ453" s="1108" t="s">
        <v>58710</v>
      </c>
      <c r="GK453" s="1108" t="s">
        <v>58709</v>
      </c>
    </row>
    <row r="454" spans="1:193">
      <c r="A454" s="1108" t="s">
        <v>61527</v>
      </c>
      <c r="B454" s="1108" t="s">
        <v>61526</v>
      </c>
      <c r="C454" s="1108">
        <v>500</v>
      </c>
      <c r="GJ454" s="1108" t="s">
        <v>58710</v>
      </c>
      <c r="GK454" s="1108" t="s">
        <v>58709</v>
      </c>
    </row>
    <row r="455" spans="1:193">
      <c r="A455" s="1108" t="s">
        <v>61525</v>
      </c>
      <c r="B455" s="1108" t="s">
        <v>61524</v>
      </c>
      <c r="C455" s="1108">
        <v>808</v>
      </c>
      <c r="GJ455" s="1108" t="s">
        <v>58710</v>
      </c>
      <c r="GK455" s="1108" t="s">
        <v>58709</v>
      </c>
    </row>
    <row r="456" spans="1:193">
      <c r="A456" s="1108" t="s">
        <v>61523</v>
      </c>
      <c r="B456" s="1108" t="s">
        <v>61522</v>
      </c>
      <c r="C456" s="1108">
        <v>808</v>
      </c>
      <c r="GJ456" s="1108" t="s">
        <v>58710</v>
      </c>
      <c r="GK456" s="1108" t="s">
        <v>58709</v>
      </c>
    </row>
    <row r="457" spans="1:193">
      <c r="A457" s="1108" t="s">
        <v>61521</v>
      </c>
      <c r="B457" s="1108" t="s">
        <v>61520</v>
      </c>
      <c r="C457" s="1108">
        <v>861</v>
      </c>
      <c r="GJ457" s="1108" t="s">
        <v>58710</v>
      </c>
      <c r="GK457" s="1108" t="s">
        <v>58709</v>
      </c>
    </row>
    <row r="458" spans="1:193">
      <c r="A458" s="1108" t="s">
        <v>61519</v>
      </c>
      <c r="B458" s="1108" t="s">
        <v>61518</v>
      </c>
      <c r="C458" s="1108">
        <v>861</v>
      </c>
      <c r="GJ458" s="1108" t="s">
        <v>58710</v>
      </c>
      <c r="GK458" s="1108" t="s">
        <v>58709</v>
      </c>
    </row>
    <row r="459" spans="1:193">
      <c r="A459" s="1108" t="s">
        <v>61517</v>
      </c>
      <c r="B459" s="1108" t="s">
        <v>61516</v>
      </c>
      <c r="C459" s="1108">
        <v>439</v>
      </c>
      <c r="GJ459" s="1108" t="s">
        <v>58710</v>
      </c>
      <c r="GK459" s="1108" t="s">
        <v>58709</v>
      </c>
    </row>
    <row r="460" spans="1:193">
      <c r="A460" s="1108" t="s">
        <v>61515</v>
      </c>
      <c r="B460" s="1108" t="s">
        <v>61514</v>
      </c>
      <c r="C460" s="1108">
        <v>435</v>
      </c>
      <c r="GJ460" s="1108" t="s">
        <v>58710</v>
      </c>
      <c r="GK460" s="1108" t="s">
        <v>58709</v>
      </c>
    </row>
    <row r="461" spans="1:193">
      <c r="A461" s="1108" t="s">
        <v>61513</v>
      </c>
      <c r="B461" s="1108" t="s">
        <v>61512</v>
      </c>
      <c r="C461" s="1108">
        <v>482</v>
      </c>
      <c r="GJ461" s="1108" t="s">
        <v>58710</v>
      </c>
      <c r="GK461" s="1108" t="s">
        <v>58709</v>
      </c>
    </row>
    <row r="462" spans="1:193">
      <c r="A462" s="1108" t="s">
        <v>61511</v>
      </c>
      <c r="B462" s="1108" t="s">
        <v>61510</v>
      </c>
      <c r="C462" s="1108">
        <v>1525</v>
      </c>
      <c r="GJ462" s="1108" t="s">
        <v>58710</v>
      </c>
      <c r="GK462" s="1108" t="s">
        <v>58709</v>
      </c>
    </row>
    <row r="463" spans="1:193">
      <c r="A463" s="1108" t="s">
        <v>61509</v>
      </c>
      <c r="B463" s="1108" t="s">
        <v>61508</v>
      </c>
      <c r="C463" s="1108">
        <v>870</v>
      </c>
      <c r="GJ463" s="1108" t="s">
        <v>58710</v>
      </c>
      <c r="GK463" s="1108" t="s">
        <v>58709</v>
      </c>
    </row>
    <row r="464" spans="1:193">
      <c r="A464" s="1108" t="s">
        <v>61507</v>
      </c>
      <c r="B464" s="1108" t="s">
        <v>61506</v>
      </c>
      <c r="C464" s="1108">
        <v>928</v>
      </c>
      <c r="GJ464" s="1108" t="s">
        <v>58710</v>
      </c>
      <c r="GK464" s="1108" t="s">
        <v>58709</v>
      </c>
    </row>
    <row r="465" spans="1:193">
      <c r="A465" s="1108" t="s">
        <v>61505</v>
      </c>
      <c r="B465" s="1108" t="s">
        <v>61504</v>
      </c>
      <c r="C465" s="1108">
        <v>870</v>
      </c>
      <c r="GJ465" s="1108" t="s">
        <v>58710</v>
      </c>
      <c r="GK465" s="1108" t="s">
        <v>58709</v>
      </c>
    </row>
    <row r="466" spans="1:193">
      <c r="A466" s="1108" t="s">
        <v>61503</v>
      </c>
      <c r="B466" s="1108" t="s">
        <v>61502</v>
      </c>
      <c r="C466" s="1108">
        <v>928</v>
      </c>
      <c r="GJ466" s="1108" t="s">
        <v>58710</v>
      </c>
      <c r="GK466" s="1108" t="s">
        <v>58709</v>
      </c>
    </row>
    <row r="467" spans="1:193">
      <c r="A467" s="1108" t="s">
        <v>61501</v>
      </c>
      <c r="B467" s="1108" t="s">
        <v>61500</v>
      </c>
      <c r="C467" s="1108">
        <v>470</v>
      </c>
      <c r="GJ467" s="1108" t="s">
        <v>58710</v>
      </c>
      <c r="GK467" s="1108" t="s">
        <v>58709</v>
      </c>
    </row>
    <row r="468" spans="1:193">
      <c r="A468" s="1108" t="s">
        <v>61499</v>
      </c>
      <c r="B468" s="1108" t="s">
        <v>61498</v>
      </c>
      <c r="C468" s="1108">
        <v>500</v>
      </c>
      <c r="GJ468" s="1108" t="s">
        <v>58710</v>
      </c>
      <c r="GK468" s="1108" t="s">
        <v>58709</v>
      </c>
    </row>
    <row r="469" spans="1:193">
      <c r="A469" s="1108" t="s">
        <v>61497</v>
      </c>
      <c r="B469" s="1108" t="s">
        <v>61496</v>
      </c>
      <c r="C469" s="1108">
        <v>294</v>
      </c>
      <c r="GJ469" s="1108" t="s">
        <v>58710</v>
      </c>
      <c r="GK469" s="1108" t="s">
        <v>58709</v>
      </c>
    </row>
    <row r="470" spans="1:193">
      <c r="A470" s="1108" t="s">
        <v>61495</v>
      </c>
      <c r="B470" s="1108" t="s">
        <v>61494</v>
      </c>
      <c r="C470" s="1108">
        <v>470</v>
      </c>
      <c r="GJ470" s="1108" t="s">
        <v>58710</v>
      </c>
      <c r="GK470" s="1108" t="s">
        <v>58709</v>
      </c>
    </row>
    <row r="471" spans="1:193">
      <c r="A471" s="1108" t="s">
        <v>61493</v>
      </c>
      <c r="B471" s="1108" t="s">
        <v>61492</v>
      </c>
      <c r="C471" s="1108">
        <v>465</v>
      </c>
      <c r="GJ471" s="1108" t="s">
        <v>58710</v>
      </c>
      <c r="GK471" s="1108" t="s">
        <v>58709</v>
      </c>
    </row>
    <row r="472" spans="1:193">
      <c r="A472" s="1108" t="s">
        <v>61491</v>
      </c>
      <c r="B472" s="1108" t="s">
        <v>61490</v>
      </c>
      <c r="C472" s="1108">
        <v>1473</v>
      </c>
      <c r="GJ472" s="1108" t="s">
        <v>58710</v>
      </c>
      <c r="GK472" s="1108" t="s">
        <v>58709</v>
      </c>
    </row>
    <row r="473" spans="1:193">
      <c r="A473" s="1108" t="s">
        <v>61489</v>
      </c>
      <c r="B473" s="1108" t="s">
        <v>61488</v>
      </c>
      <c r="C473" s="1108">
        <v>470</v>
      </c>
      <c r="GJ473" s="1108" t="s">
        <v>58710</v>
      </c>
      <c r="GK473" s="1108" t="s">
        <v>58709</v>
      </c>
    </row>
    <row r="474" spans="1:193">
      <c r="A474" s="1108" t="s">
        <v>61487</v>
      </c>
      <c r="B474" s="1108" t="s">
        <v>61486</v>
      </c>
      <c r="C474" s="1108">
        <v>470</v>
      </c>
      <c r="GJ474" s="1108" t="s">
        <v>58710</v>
      </c>
      <c r="GK474" s="1108" t="s">
        <v>58709</v>
      </c>
    </row>
    <row r="475" spans="1:193">
      <c r="A475" s="1108" t="s">
        <v>61485</v>
      </c>
      <c r="B475" s="1108" t="s">
        <v>61484</v>
      </c>
      <c r="C475" s="1108">
        <v>876</v>
      </c>
      <c r="GJ475" s="1108" t="s">
        <v>58710</v>
      </c>
      <c r="GK475" s="1108" t="s">
        <v>58709</v>
      </c>
    </row>
    <row r="476" spans="1:193">
      <c r="A476" s="1108" t="s">
        <v>61483</v>
      </c>
      <c r="B476" s="1108" t="s">
        <v>61482</v>
      </c>
      <c r="C476" s="1108">
        <v>841</v>
      </c>
      <c r="GJ476" s="1108" t="s">
        <v>58710</v>
      </c>
      <c r="GK476" s="1108" t="s">
        <v>58709</v>
      </c>
    </row>
    <row r="477" spans="1:193">
      <c r="A477" s="1108" t="s">
        <v>61481</v>
      </c>
      <c r="B477" s="1108" t="s">
        <v>61480</v>
      </c>
      <c r="C477" s="1108">
        <v>1523</v>
      </c>
      <c r="GJ477" s="1108" t="s">
        <v>58710</v>
      </c>
      <c r="GK477" s="1108" t="s">
        <v>58709</v>
      </c>
    </row>
    <row r="478" spans="1:193">
      <c r="A478" s="1108" t="s">
        <v>61479</v>
      </c>
      <c r="B478" s="1108" t="s">
        <v>61478</v>
      </c>
      <c r="C478" s="1108">
        <v>2879</v>
      </c>
      <c r="GJ478" s="1108" t="s">
        <v>58710</v>
      </c>
      <c r="GK478" s="1108" t="s">
        <v>58709</v>
      </c>
    </row>
    <row r="479" spans="1:193">
      <c r="A479" s="1108" t="s">
        <v>61477</v>
      </c>
      <c r="B479" s="1108" t="s">
        <v>61476</v>
      </c>
      <c r="C479" s="1108">
        <v>2848</v>
      </c>
      <c r="GJ479" s="1108" t="s">
        <v>58710</v>
      </c>
      <c r="GK479" s="1108" t="s">
        <v>58709</v>
      </c>
    </row>
    <row r="480" spans="1:193">
      <c r="A480" s="1108" t="s">
        <v>61475</v>
      </c>
      <c r="B480" s="1108" t="s">
        <v>61474</v>
      </c>
      <c r="C480" s="1108">
        <v>87</v>
      </c>
      <c r="GJ480" s="1108" t="s">
        <v>58710</v>
      </c>
      <c r="GK480" s="1108" t="s">
        <v>58709</v>
      </c>
    </row>
    <row r="481" spans="1:193">
      <c r="A481" s="1108" t="s">
        <v>61473</v>
      </c>
      <c r="B481" s="1108" t="s">
        <v>61472</v>
      </c>
      <c r="C481" s="1108">
        <v>928</v>
      </c>
      <c r="GJ481" s="1108" t="s">
        <v>58710</v>
      </c>
      <c r="GK481" s="1108" t="s">
        <v>58709</v>
      </c>
    </row>
    <row r="482" spans="1:193">
      <c r="A482" s="1108" t="s">
        <v>61471</v>
      </c>
      <c r="B482" s="1108" t="s">
        <v>61470</v>
      </c>
      <c r="C482" s="1108">
        <v>928</v>
      </c>
      <c r="GJ482" s="1108" t="s">
        <v>58710</v>
      </c>
      <c r="GK482" s="1108" t="s">
        <v>58709</v>
      </c>
    </row>
    <row r="483" spans="1:193">
      <c r="A483" s="1108" t="s">
        <v>61469</v>
      </c>
      <c r="B483" s="1108" t="s">
        <v>61468</v>
      </c>
      <c r="C483" s="1108">
        <v>861</v>
      </c>
      <c r="GJ483" s="1108" t="s">
        <v>58710</v>
      </c>
      <c r="GK483" s="1108" t="s">
        <v>58709</v>
      </c>
    </row>
    <row r="484" spans="1:193">
      <c r="A484" s="1108" t="s">
        <v>61467</v>
      </c>
      <c r="B484" s="1108" t="s">
        <v>61466</v>
      </c>
      <c r="C484" s="1108">
        <v>861</v>
      </c>
      <c r="GJ484" s="1108" t="s">
        <v>58710</v>
      </c>
      <c r="GK484" s="1108" t="s">
        <v>58709</v>
      </c>
    </row>
    <row r="485" spans="1:193">
      <c r="A485" s="1108" t="s">
        <v>61465</v>
      </c>
      <c r="B485" s="1108" t="s">
        <v>61464</v>
      </c>
      <c r="C485" s="1108">
        <v>966</v>
      </c>
      <c r="GJ485" s="1108" t="s">
        <v>58710</v>
      </c>
      <c r="GK485" s="1108" t="s">
        <v>58709</v>
      </c>
    </row>
    <row r="486" spans="1:193">
      <c r="A486" s="1108" t="s">
        <v>61463</v>
      </c>
      <c r="B486" s="1108" t="s">
        <v>61462</v>
      </c>
      <c r="C486" s="1108">
        <v>999</v>
      </c>
      <c r="GJ486" s="1108" t="s">
        <v>58710</v>
      </c>
      <c r="GK486" s="1108" t="s">
        <v>58709</v>
      </c>
    </row>
    <row r="487" spans="1:193">
      <c r="A487" s="1108" t="s">
        <v>61461</v>
      </c>
      <c r="B487" s="1108" t="s">
        <v>61460</v>
      </c>
      <c r="C487" s="1108">
        <v>870</v>
      </c>
      <c r="GJ487" s="1108" t="s">
        <v>58710</v>
      </c>
      <c r="GK487" s="1108" t="s">
        <v>58709</v>
      </c>
    </row>
    <row r="488" spans="1:193">
      <c r="A488" s="1108" t="s">
        <v>61459</v>
      </c>
      <c r="B488" s="1108" t="s">
        <v>61458</v>
      </c>
      <c r="C488" s="1108">
        <v>912</v>
      </c>
      <c r="GJ488" s="1108" t="s">
        <v>58710</v>
      </c>
      <c r="GK488" s="1108" t="s">
        <v>58709</v>
      </c>
    </row>
    <row r="489" spans="1:193">
      <c r="A489" s="1108" t="s">
        <v>61457</v>
      </c>
      <c r="B489" s="1108" t="s">
        <v>61456</v>
      </c>
      <c r="C489" s="1108">
        <v>870</v>
      </c>
      <c r="GJ489" s="1108" t="s">
        <v>58710</v>
      </c>
      <c r="GK489" s="1108" t="s">
        <v>58709</v>
      </c>
    </row>
    <row r="490" spans="1:193">
      <c r="A490" s="1108" t="s">
        <v>61455</v>
      </c>
      <c r="B490" s="1108" t="s">
        <v>61454</v>
      </c>
      <c r="C490" s="1108">
        <v>912</v>
      </c>
      <c r="GJ490" s="1108" t="s">
        <v>58710</v>
      </c>
      <c r="GK490" s="1108" t="s">
        <v>58709</v>
      </c>
    </row>
    <row r="491" spans="1:193">
      <c r="A491" s="1108" t="s">
        <v>61453</v>
      </c>
      <c r="B491" s="1108" t="s">
        <v>61452</v>
      </c>
      <c r="C491" s="1108">
        <v>109</v>
      </c>
      <c r="GJ491" s="1108" t="s">
        <v>58710</v>
      </c>
      <c r="GK491" s="1108" t="s">
        <v>58709</v>
      </c>
    </row>
    <row r="492" spans="1:193">
      <c r="A492" s="1108" t="s">
        <v>61451</v>
      </c>
      <c r="B492" s="1108" t="s">
        <v>61450</v>
      </c>
      <c r="C492" s="1108">
        <v>505</v>
      </c>
      <c r="GJ492" s="1108" t="s">
        <v>58710</v>
      </c>
      <c r="GK492" s="1108" t="s">
        <v>58709</v>
      </c>
    </row>
    <row r="493" spans="1:193">
      <c r="A493" s="1108" t="s">
        <v>61449</v>
      </c>
      <c r="B493" s="1108" t="s">
        <v>61448</v>
      </c>
      <c r="C493" s="1108">
        <v>505</v>
      </c>
      <c r="GJ493" s="1108" t="s">
        <v>58710</v>
      </c>
      <c r="GK493" s="1108" t="s">
        <v>58709</v>
      </c>
    </row>
    <row r="494" spans="1:193">
      <c r="A494" s="1108" t="s">
        <v>61447</v>
      </c>
      <c r="B494" s="1108" t="s">
        <v>61446</v>
      </c>
      <c r="C494" s="1108">
        <v>435</v>
      </c>
      <c r="GJ494" s="1108" t="s">
        <v>58710</v>
      </c>
      <c r="GK494" s="1108" t="s">
        <v>58709</v>
      </c>
    </row>
    <row r="495" spans="1:193">
      <c r="A495" s="1108" t="s">
        <v>61445</v>
      </c>
      <c r="B495" s="1108" t="s">
        <v>61444</v>
      </c>
      <c r="C495" s="1108">
        <v>581</v>
      </c>
      <c r="GJ495" s="1108" t="s">
        <v>58710</v>
      </c>
      <c r="GK495" s="1108" t="s">
        <v>58709</v>
      </c>
    </row>
    <row r="496" spans="1:193">
      <c r="A496" s="1108" t="s">
        <v>61443</v>
      </c>
      <c r="B496" s="1108" t="s">
        <v>61442</v>
      </c>
      <c r="C496" s="1108">
        <v>879</v>
      </c>
      <c r="GJ496" s="1108" t="s">
        <v>58710</v>
      </c>
      <c r="GK496" s="1108" t="s">
        <v>58709</v>
      </c>
    </row>
    <row r="497" spans="1:193">
      <c r="A497" s="1108" t="s">
        <v>61441</v>
      </c>
      <c r="B497" s="1108" t="s">
        <v>61440</v>
      </c>
      <c r="C497" s="1108">
        <v>934</v>
      </c>
      <c r="GJ497" s="1108" t="s">
        <v>58710</v>
      </c>
      <c r="GK497" s="1108" t="s">
        <v>58709</v>
      </c>
    </row>
    <row r="498" spans="1:193">
      <c r="A498" s="1108" t="s">
        <v>61439</v>
      </c>
      <c r="B498" s="1108" t="s">
        <v>61438</v>
      </c>
      <c r="C498" s="1108">
        <v>58</v>
      </c>
      <c r="GJ498" s="1108" t="s">
        <v>58710</v>
      </c>
      <c r="GK498" s="1108" t="s">
        <v>58709</v>
      </c>
    </row>
    <row r="499" spans="1:193">
      <c r="A499" s="1108" t="s">
        <v>61437</v>
      </c>
      <c r="B499" s="1108" t="s">
        <v>61436</v>
      </c>
      <c r="C499" s="1108">
        <v>130</v>
      </c>
      <c r="GJ499" s="1108" t="s">
        <v>58710</v>
      </c>
      <c r="GK499" s="1108" t="s">
        <v>58709</v>
      </c>
    </row>
    <row r="500" spans="1:193">
      <c r="A500" s="1108" t="s">
        <v>61435</v>
      </c>
      <c r="B500" s="1108" t="s">
        <v>61434</v>
      </c>
      <c r="C500" s="1108">
        <v>1212</v>
      </c>
      <c r="GJ500" s="1108" t="s">
        <v>58710</v>
      </c>
      <c r="GK500" s="1108" t="s">
        <v>58709</v>
      </c>
    </row>
    <row r="501" spans="1:193">
      <c r="A501" s="1108" t="s">
        <v>61433</v>
      </c>
      <c r="B501" s="1108" t="s">
        <v>61432</v>
      </c>
      <c r="C501" s="1108">
        <v>310</v>
      </c>
      <c r="GJ501" s="1108" t="s">
        <v>58710</v>
      </c>
      <c r="GK501" s="1108" t="s">
        <v>58709</v>
      </c>
    </row>
    <row r="502" spans="1:193">
      <c r="A502" s="1108" t="s">
        <v>61431</v>
      </c>
      <c r="B502" s="1108" t="s">
        <v>61430</v>
      </c>
      <c r="C502" s="1108">
        <v>405</v>
      </c>
      <c r="GJ502" s="1108" t="s">
        <v>58710</v>
      </c>
      <c r="GK502" s="1108" t="s">
        <v>58709</v>
      </c>
    </row>
    <row r="503" spans="1:193">
      <c r="A503" s="1108" t="s">
        <v>61429</v>
      </c>
      <c r="B503" s="1108" t="s">
        <v>61428</v>
      </c>
      <c r="C503" s="1108">
        <v>487</v>
      </c>
      <c r="GJ503" s="1108" t="s">
        <v>58710</v>
      </c>
      <c r="GK503" s="1108" t="s">
        <v>58709</v>
      </c>
    </row>
    <row r="504" spans="1:193">
      <c r="A504" s="1108" t="s">
        <v>61427</v>
      </c>
      <c r="B504" s="1108" t="s">
        <v>61426</v>
      </c>
      <c r="C504" s="1108">
        <v>529</v>
      </c>
      <c r="GJ504" s="1108" t="s">
        <v>58710</v>
      </c>
      <c r="GK504" s="1108" t="s">
        <v>58709</v>
      </c>
    </row>
    <row r="505" spans="1:193">
      <c r="A505" s="1108" t="s">
        <v>61425</v>
      </c>
      <c r="B505" s="1108" t="s">
        <v>61424</v>
      </c>
      <c r="C505" s="1108">
        <v>555</v>
      </c>
      <c r="GJ505" s="1108" t="s">
        <v>58710</v>
      </c>
      <c r="GK505" s="1108" t="s">
        <v>58709</v>
      </c>
    </row>
    <row r="506" spans="1:193">
      <c r="A506" s="1108" t="s">
        <v>61423</v>
      </c>
      <c r="B506" s="1108" t="s">
        <v>61422</v>
      </c>
      <c r="C506" s="1108">
        <v>769</v>
      </c>
      <c r="GJ506" s="1108" t="s">
        <v>58710</v>
      </c>
      <c r="GK506" s="1108" t="s">
        <v>58709</v>
      </c>
    </row>
    <row r="507" spans="1:193">
      <c r="A507" s="1108" t="s">
        <v>61421</v>
      </c>
      <c r="B507" s="1108" t="s">
        <v>61420</v>
      </c>
      <c r="C507" s="1108">
        <v>524</v>
      </c>
      <c r="GJ507" s="1108" t="s">
        <v>58710</v>
      </c>
      <c r="GK507" s="1108" t="s">
        <v>58709</v>
      </c>
    </row>
    <row r="508" spans="1:193">
      <c r="A508" s="1108" t="s">
        <v>61419</v>
      </c>
      <c r="B508" s="1108" t="s">
        <v>61418</v>
      </c>
      <c r="C508" s="1108">
        <v>458</v>
      </c>
      <c r="GJ508" s="1108" t="s">
        <v>58710</v>
      </c>
      <c r="GK508" s="1108" t="s">
        <v>58709</v>
      </c>
    </row>
    <row r="509" spans="1:193">
      <c r="A509" s="1108" t="s">
        <v>61417</v>
      </c>
      <c r="B509" s="1108" t="s">
        <v>61416</v>
      </c>
      <c r="C509" s="1108">
        <v>597</v>
      </c>
      <c r="GJ509" s="1108" t="s">
        <v>58710</v>
      </c>
      <c r="GK509" s="1108" t="s">
        <v>58709</v>
      </c>
    </row>
    <row r="510" spans="1:193">
      <c r="A510" s="1108" t="s">
        <v>61415</v>
      </c>
      <c r="B510" s="1108" t="s">
        <v>61414</v>
      </c>
      <c r="C510" s="1108">
        <v>844</v>
      </c>
      <c r="GJ510" s="1108" t="s">
        <v>58710</v>
      </c>
      <c r="GK510" s="1108" t="s">
        <v>58709</v>
      </c>
    </row>
    <row r="511" spans="1:193">
      <c r="A511" s="1108" t="s">
        <v>61413</v>
      </c>
      <c r="B511" s="1108" t="s">
        <v>61412</v>
      </c>
      <c r="C511" s="1108">
        <v>627</v>
      </c>
      <c r="GJ511" s="1108" t="s">
        <v>58710</v>
      </c>
      <c r="GK511" s="1108" t="s">
        <v>58709</v>
      </c>
    </row>
    <row r="512" spans="1:193">
      <c r="A512" s="1108" t="s">
        <v>61411</v>
      </c>
      <c r="B512" s="1108" t="s">
        <v>61410</v>
      </c>
      <c r="C512" s="1108">
        <v>432</v>
      </c>
      <c r="GJ512" s="1108" t="s">
        <v>58710</v>
      </c>
      <c r="GK512" s="1108" t="s">
        <v>58709</v>
      </c>
    </row>
    <row r="513" spans="1:193">
      <c r="A513" s="1108" t="s">
        <v>61409</v>
      </c>
      <c r="B513" s="1108" t="s">
        <v>61408</v>
      </c>
      <c r="C513" s="1108">
        <v>499</v>
      </c>
      <c r="GJ513" s="1108" t="s">
        <v>58710</v>
      </c>
      <c r="GK513" s="1108" t="s">
        <v>58709</v>
      </c>
    </row>
    <row r="514" spans="1:193">
      <c r="A514" s="1108" t="s">
        <v>61407</v>
      </c>
      <c r="B514" s="1108" t="s">
        <v>61406</v>
      </c>
      <c r="C514" s="1108">
        <v>400</v>
      </c>
      <c r="GJ514" s="1108" t="s">
        <v>58710</v>
      </c>
      <c r="GK514" s="1108" t="s">
        <v>58709</v>
      </c>
    </row>
    <row r="515" spans="1:193">
      <c r="A515" s="1108" t="s">
        <v>61405</v>
      </c>
      <c r="B515" s="1108" t="s">
        <v>61404</v>
      </c>
      <c r="C515" s="1108">
        <v>432</v>
      </c>
      <c r="GJ515" s="1108" t="s">
        <v>58710</v>
      </c>
      <c r="GK515" s="1108" t="s">
        <v>58709</v>
      </c>
    </row>
    <row r="516" spans="1:193">
      <c r="A516" s="1108" t="s">
        <v>61403</v>
      </c>
      <c r="B516" s="1108" t="s">
        <v>61402</v>
      </c>
      <c r="C516" s="1108">
        <v>930</v>
      </c>
      <c r="GJ516" s="1108" t="s">
        <v>58710</v>
      </c>
      <c r="GK516" s="1108" t="s">
        <v>58709</v>
      </c>
    </row>
    <row r="517" spans="1:193">
      <c r="A517" s="1108" t="s">
        <v>61401</v>
      </c>
      <c r="B517" s="1108" t="s">
        <v>61400</v>
      </c>
      <c r="C517" s="1108">
        <v>1198</v>
      </c>
      <c r="GJ517" s="1108" t="s">
        <v>58710</v>
      </c>
      <c r="GK517" s="1108" t="s">
        <v>58709</v>
      </c>
    </row>
    <row r="518" spans="1:193">
      <c r="A518" s="1108" t="s">
        <v>61399</v>
      </c>
      <c r="B518" s="1108" t="s">
        <v>61398</v>
      </c>
      <c r="C518" s="1108">
        <v>1489</v>
      </c>
      <c r="GJ518" s="1108" t="s">
        <v>58710</v>
      </c>
      <c r="GK518" s="1108" t="s">
        <v>58709</v>
      </c>
    </row>
    <row r="519" spans="1:193">
      <c r="A519" s="1108" t="s">
        <v>61397</v>
      </c>
      <c r="B519" s="1108" t="s">
        <v>61396</v>
      </c>
      <c r="C519" s="1108">
        <v>947.65</v>
      </c>
      <c r="GJ519" s="1108" t="s">
        <v>58710</v>
      </c>
      <c r="GK519" s="1108" t="s">
        <v>58709</v>
      </c>
    </row>
    <row r="520" spans="1:193">
      <c r="A520" s="1108" t="s">
        <v>61395</v>
      </c>
      <c r="B520" s="1108" t="s">
        <v>61394</v>
      </c>
      <c r="C520" s="1108">
        <v>1643</v>
      </c>
      <c r="GJ520" s="1108" t="s">
        <v>58710</v>
      </c>
      <c r="GK520" s="1108" t="s">
        <v>58709</v>
      </c>
    </row>
    <row r="521" spans="1:193">
      <c r="A521" s="1108" t="s">
        <v>61393</v>
      </c>
      <c r="B521" s="1108" t="s">
        <v>61392</v>
      </c>
      <c r="C521" s="1108">
        <v>1565</v>
      </c>
      <c r="GJ521" s="1108" t="s">
        <v>58710</v>
      </c>
      <c r="GK521" s="1108" t="s">
        <v>58709</v>
      </c>
    </row>
    <row r="522" spans="1:193">
      <c r="A522" s="1108" t="s">
        <v>61391</v>
      </c>
      <c r="B522" s="1108" t="s">
        <v>61390</v>
      </c>
      <c r="C522" s="1108">
        <v>560</v>
      </c>
      <c r="GJ522" s="1108" t="s">
        <v>58710</v>
      </c>
      <c r="GK522" s="1108" t="s">
        <v>58709</v>
      </c>
    </row>
    <row r="523" spans="1:193">
      <c r="A523" s="1108" t="s">
        <v>61389</v>
      </c>
      <c r="B523" s="1108" t="s">
        <v>61388</v>
      </c>
      <c r="C523" s="1108">
        <v>617</v>
      </c>
      <c r="GJ523" s="1108" t="s">
        <v>58710</v>
      </c>
      <c r="GK523" s="1108" t="s">
        <v>58709</v>
      </c>
    </row>
    <row r="524" spans="1:193">
      <c r="A524" s="1108" t="s">
        <v>61387</v>
      </c>
      <c r="B524" s="1108" t="s">
        <v>61386</v>
      </c>
      <c r="C524" s="1108">
        <v>807</v>
      </c>
      <c r="GJ524" s="1108" t="s">
        <v>58710</v>
      </c>
      <c r="GK524" s="1108" t="s">
        <v>58709</v>
      </c>
    </row>
    <row r="525" spans="1:193">
      <c r="A525" s="1108" t="s">
        <v>61385</v>
      </c>
      <c r="B525" s="1108" t="s">
        <v>61384</v>
      </c>
      <c r="C525" s="1108">
        <v>1176</v>
      </c>
      <c r="GJ525" s="1108" t="s">
        <v>58710</v>
      </c>
      <c r="GK525" s="1108" t="s">
        <v>58709</v>
      </c>
    </row>
    <row r="526" spans="1:193">
      <c r="A526" s="1108" t="s">
        <v>61383</v>
      </c>
      <c r="B526" s="1108" t="s">
        <v>61382</v>
      </c>
      <c r="C526" s="1108">
        <v>1252</v>
      </c>
      <c r="GJ526" s="1108" t="s">
        <v>58710</v>
      </c>
      <c r="GK526" s="1108" t="s">
        <v>58709</v>
      </c>
    </row>
    <row r="527" spans="1:193">
      <c r="A527" s="1108" t="s">
        <v>61381</v>
      </c>
      <c r="B527" s="1108" t="s">
        <v>61380</v>
      </c>
      <c r="C527" s="1108">
        <v>1174</v>
      </c>
      <c r="GJ527" s="1108" t="s">
        <v>58710</v>
      </c>
      <c r="GK527" s="1108" t="s">
        <v>58709</v>
      </c>
    </row>
    <row r="528" spans="1:193">
      <c r="A528" s="1108" t="s">
        <v>61379</v>
      </c>
      <c r="B528" s="1108" t="s">
        <v>61378</v>
      </c>
      <c r="C528" s="1108">
        <v>1621</v>
      </c>
      <c r="GJ528" s="1108" t="s">
        <v>58710</v>
      </c>
      <c r="GK528" s="1108" t="s">
        <v>58709</v>
      </c>
    </row>
    <row r="529" spans="1:193">
      <c r="A529" s="1108" t="s">
        <v>61377</v>
      </c>
      <c r="B529" s="1108" t="s">
        <v>61376</v>
      </c>
      <c r="C529" s="1108">
        <v>961</v>
      </c>
      <c r="GJ529" s="1108" t="s">
        <v>58710</v>
      </c>
      <c r="GK529" s="1108" t="s">
        <v>58709</v>
      </c>
    </row>
    <row r="530" spans="1:193">
      <c r="A530" s="1108" t="s">
        <v>61375</v>
      </c>
      <c r="B530" s="1108" t="s">
        <v>61374</v>
      </c>
      <c r="C530" s="1108">
        <v>919</v>
      </c>
      <c r="GJ530" s="1108" t="s">
        <v>58710</v>
      </c>
      <c r="GK530" s="1108" t="s">
        <v>58709</v>
      </c>
    </row>
    <row r="531" spans="1:193">
      <c r="A531" s="1108" t="s">
        <v>61373</v>
      </c>
      <c r="B531" s="1108" t="s">
        <v>61372</v>
      </c>
      <c r="C531" s="1108">
        <v>1054</v>
      </c>
      <c r="GJ531" s="1108" t="s">
        <v>58710</v>
      </c>
      <c r="GK531" s="1108" t="s">
        <v>58709</v>
      </c>
    </row>
    <row r="532" spans="1:193">
      <c r="A532" s="1108" t="s">
        <v>61371</v>
      </c>
      <c r="B532" s="1108" t="s">
        <v>61370</v>
      </c>
      <c r="C532" s="1108">
        <v>1244</v>
      </c>
      <c r="GJ532" s="1108" t="s">
        <v>58710</v>
      </c>
      <c r="GK532" s="1108" t="s">
        <v>58709</v>
      </c>
    </row>
    <row r="533" spans="1:193">
      <c r="A533" s="1108" t="s">
        <v>61369</v>
      </c>
      <c r="B533" s="1108" t="s">
        <v>61368</v>
      </c>
      <c r="C533" s="1108">
        <v>1846</v>
      </c>
      <c r="GJ533" s="1108" t="s">
        <v>58710</v>
      </c>
      <c r="GK533" s="1108" t="s">
        <v>58709</v>
      </c>
    </row>
    <row r="534" spans="1:193">
      <c r="A534" s="1108" t="s">
        <v>61367</v>
      </c>
      <c r="B534" s="1108" t="s">
        <v>61366</v>
      </c>
      <c r="C534" s="1108">
        <v>1422</v>
      </c>
      <c r="GJ534" s="1108" t="s">
        <v>58710</v>
      </c>
      <c r="GK534" s="1108" t="s">
        <v>58709</v>
      </c>
    </row>
    <row r="535" spans="1:193">
      <c r="A535" s="1108" t="s">
        <v>61365</v>
      </c>
      <c r="B535" s="1108" t="s">
        <v>61364</v>
      </c>
      <c r="C535" s="1108">
        <v>1612</v>
      </c>
      <c r="GJ535" s="1108" t="s">
        <v>58710</v>
      </c>
      <c r="GK535" s="1108" t="s">
        <v>58709</v>
      </c>
    </row>
    <row r="536" spans="1:193">
      <c r="A536" s="1108" t="s">
        <v>61363</v>
      </c>
      <c r="B536" s="1108" t="s">
        <v>61362</v>
      </c>
      <c r="C536" s="1108">
        <v>2214</v>
      </c>
      <c r="GJ536" s="1108" t="s">
        <v>58710</v>
      </c>
      <c r="GK536" s="1108" t="s">
        <v>58709</v>
      </c>
    </row>
    <row r="537" spans="1:193">
      <c r="A537" s="1108" t="s">
        <v>61361</v>
      </c>
      <c r="B537" s="1108" t="s">
        <v>61360</v>
      </c>
      <c r="C537" s="1108">
        <v>763</v>
      </c>
      <c r="GJ537" s="1108" t="s">
        <v>58710</v>
      </c>
      <c r="GK537" s="1108" t="s">
        <v>58709</v>
      </c>
    </row>
    <row r="538" spans="1:193">
      <c r="A538" s="1108" t="s">
        <v>61359</v>
      </c>
      <c r="B538" s="1108" t="s">
        <v>61358</v>
      </c>
      <c r="C538" s="1108">
        <v>96</v>
      </c>
      <c r="GJ538" s="1108" t="s">
        <v>58710</v>
      </c>
      <c r="GK538" s="1108" t="s">
        <v>58709</v>
      </c>
    </row>
    <row r="539" spans="1:193">
      <c r="A539" s="1108" t="s">
        <v>61357</v>
      </c>
      <c r="B539" s="1108" t="s">
        <v>61356</v>
      </c>
      <c r="C539" s="1108">
        <v>241</v>
      </c>
      <c r="GJ539" s="1108" t="s">
        <v>58710</v>
      </c>
      <c r="GK539" s="1108" t="s">
        <v>58709</v>
      </c>
    </row>
    <row r="540" spans="1:193">
      <c r="A540" s="1108" t="s">
        <v>61355</v>
      </c>
      <c r="B540" s="1108" t="s">
        <v>61354</v>
      </c>
      <c r="C540" s="1108">
        <v>149</v>
      </c>
      <c r="GJ540" s="1108" t="s">
        <v>58710</v>
      </c>
      <c r="GK540" s="1108" t="s">
        <v>58709</v>
      </c>
    </row>
    <row r="541" spans="1:193">
      <c r="A541" s="1108" t="s">
        <v>61353</v>
      </c>
      <c r="B541" s="1108" t="s">
        <v>61352</v>
      </c>
      <c r="C541" s="1108">
        <v>282</v>
      </c>
      <c r="GJ541" s="1108" t="s">
        <v>58710</v>
      </c>
      <c r="GK541" s="1108" t="s">
        <v>58709</v>
      </c>
    </row>
    <row r="542" spans="1:193">
      <c r="A542" s="1108" t="s">
        <v>61351</v>
      </c>
      <c r="B542" s="1108" t="s">
        <v>61350</v>
      </c>
      <c r="C542" s="1108">
        <v>172</v>
      </c>
      <c r="GJ542" s="1108" t="s">
        <v>58710</v>
      </c>
      <c r="GK542" s="1108" t="s">
        <v>58709</v>
      </c>
    </row>
    <row r="543" spans="1:193">
      <c r="A543" s="1108" t="s">
        <v>61349</v>
      </c>
      <c r="B543" s="1108" t="s">
        <v>61348</v>
      </c>
      <c r="C543" s="1108">
        <v>499</v>
      </c>
      <c r="GJ543" s="1108" t="s">
        <v>58710</v>
      </c>
      <c r="GK543" s="1108" t="s">
        <v>58709</v>
      </c>
    </row>
    <row r="544" spans="1:193">
      <c r="A544" s="1108" t="s">
        <v>61347</v>
      </c>
      <c r="B544" s="1108" t="s">
        <v>61346</v>
      </c>
      <c r="C544" s="1108">
        <v>184</v>
      </c>
      <c r="GJ544" s="1108" t="s">
        <v>58710</v>
      </c>
      <c r="GK544" s="1108" t="s">
        <v>58709</v>
      </c>
    </row>
    <row r="545" spans="1:193">
      <c r="A545" s="1108" t="s">
        <v>61345</v>
      </c>
      <c r="B545" s="1108" t="s">
        <v>61344</v>
      </c>
      <c r="C545" s="1108">
        <v>188</v>
      </c>
      <c r="GJ545" s="1108" t="s">
        <v>58710</v>
      </c>
      <c r="GK545" s="1108" t="s">
        <v>58709</v>
      </c>
    </row>
    <row r="546" spans="1:193">
      <c r="A546" s="1108" t="s">
        <v>61343</v>
      </c>
      <c r="B546" s="1108" t="s">
        <v>61342</v>
      </c>
      <c r="C546" s="1108">
        <v>158</v>
      </c>
      <c r="GJ546" s="1108" t="s">
        <v>58710</v>
      </c>
      <c r="GK546" s="1108" t="s">
        <v>58709</v>
      </c>
    </row>
    <row r="547" spans="1:193">
      <c r="A547" s="1108" t="s">
        <v>61341</v>
      </c>
      <c r="B547" s="1108" t="s">
        <v>61340</v>
      </c>
      <c r="C547" s="1108">
        <v>147</v>
      </c>
      <c r="GJ547" s="1108" t="s">
        <v>58710</v>
      </c>
      <c r="GK547" s="1108" t="s">
        <v>58709</v>
      </c>
    </row>
    <row r="548" spans="1:193">
      <c r="A548" s="1108" t="s">
        <v>61339</v>
      </c>
      <c r="B548" s="1108" t="s">
        <v>61338</v>
      </c>
      <c r="C548" s="1108">
        <v>158</v>
      </c>
      <c r="GJ548" s="1108" t="s">
        <v>58710</v>
      </c>
      <c r="GK548" s="1108" t="s">
        <v>58709</v>
      </c>
    </row>
    <row r="549" spans="1:193">
      <c r="A549" s="1108" t="s">
        <v>61337</v>
      </c>
      <c r="B549" s="1108" t="s">
        <v>61336</v>
      </c>
      <c r="C549" s="1108">
        <v>306</v>
      </c>
      <c r="GJ549" s="1108" t="s">
        <v>58710</v>
      </c>
      <c r="GK549" s="1108" t="s">
        <v>58709</v>
      </c>
    </row>
    <row r="550" spans="1:193">
      <c r="A550" s="1108" t="s">
        <v>61335</v>
      </c>
      <c r="B550" s="1108" t="s">
        <v>61334</v>
      </c>
      <c r="C550" s="1108">
        <v>121</v>
      </c>
      <c r="GJ550" s="1108" t="s">
        <v>58710</v>
      </c>
      <c r="GK550" s="1108" t="s">
        <v>58709</v>
      </c>
    </row>
    <row r="551" spans="1:193">
      <c r="A551" s="1108" t="s">
        <v>61333</v>
      </c>
      <c r="B551" s="1108" t="s">
        <v>61332</v>
      </c>
      <c r="C551" s="1108">
        <v>132</v>
      </c>
      <c r="GJ551" s="1108" t="s">
        <v>58710</v>
      </c>
      <c r="GK551" s="1108" t="s">
        <v>58709</v>
      </c>
    </row>
    <row r="552" spans="1:193">
      <c r="A552" s="1108" t="s">
        <v>61331</v>
      </c>
      <c r="B552" s="1108" t="s">
        <v>61330</v>
      </c>
      <c r="C552" s="1108">
        <v>179</v>
      </c>
      <c r="GJ552" s="1108" t="s">
        <v>58710</v>
      </c>
      <c r="GK552" s="1108" t="s">
        <v>58709</v>
      </c>
    </row>
    <row r="553" spans="1:193">
      <c r="A553" s="1108" t="s">
        <v>61329</v>
      </c>
      <c r="B553" s="1108" t="s">
        <v>61328</v>
      </c>
      <c r="C553" s="1108">
        <v>154</v>
      </c>
      <c r="GJ553" s="1108" t="s">
        <v>58710</v>
      </c>
      <c r="GK553" s="1108" t="s">
        <v>58709</v>
      </c>
    </row>
    <row r="554" spans="1:193">
      <c r="A554" s="1108" t="s">
        <v>61327</v>
      </c>
      <c r="B554" s="1108" t="s">
        <v>61326</v>
      </c>
      <c r="C554" s="1108">
        <v>268</v>
      </c>
      <c r="GJ554" s="1108" t="s">
        <v>58710</v>
      </c>
      <c r="GK554" s="1108" t="s">
        <v>58709</v>
      </c>
    </row>
    <row r="555" spans="1:193">
      <c r="A555" s="1108" t="s">
        <v>61325</v>
      </c>
      <c r="B555" s="1108" t="s">
        <v>61324</v>
      </c>
      <c r="C555" s="1108">
        <v>87</v>
      </c>
      <c r="GJ555" s="1108" t="s">
        <v>58710</v>
      </c>
      <c r="GK555" s="1108" t="s">
        <v>58709</v>
      </c>
    </row>
    <row r="556" spans="1:193">
      <c r="A556" s="1108" t="s">
        <v>61323</v>
      </c>
      <c r="B556" s="1108" t="s">
        <v>61322</v>
      </c>
      <c r="C556" s="1108">
        <v>142</v>
      </c>
      <c r="GJ556" s="1108" t="s">
        <v>58710</v>
      </c>
      <c r="GK556" s="1108" t="s">
        <v>58709</v>
      </c>
    </row>
    <row r="557" spans="1:193">
      <c r="A557" s="1108" t="s">
        <v>61321</v>
      </c>
      <c r="B557" s="1108" t="s">
        <v>61320</v>
      </c>
      <c r="C557" s="1108">
        <v>130</v>
      </c>
      <c r="GJ557" s="1108" t="s">
        <v>58710</v>
      </c>
      <c r="GK557" s="1108" t="s">
        <v>58709</v>
      </c>
    </row>
    <row r="558" spans="1:193">
      <c r="A558" s="1108" t="s">
        <v>61319</v>
      </c>
      <c r="B558" s="1108" t="s">
        <v>61318</v>
      </c>
      <c r="C558" s="1108">
        <v>494</v>
      </c>
      <c r="GJ558" s="1108" t="s">
        <v>58710</v>
      </c>
      <c r="GK558" s="1108" t="s">
        <v>58709</v>
      </c>
    </row>
    <row r="559" spans="1:193">
      <c r="A559" s="1108">
        <v>11511</v>
      </c>
      <c r="B559" s="1108" t="s">
        <v>61317</v>
      </c>
      <c r="C559" s="1108">
        <v>35</v>
      </c>
      <c r="GJ559" s="1108" t="s">
        <v>58710</v>
      </c>
      <c r="GK559" s="1108" t="s">
        <v>58709</v>
      </c>
    </row>
    <row r="560" spans="1:193">
      <c r="A560" s="1108">
        <v>14422</v>
      </c>
      <c r="B560" s="1108" t="s">
        <v>61316</v>
      </c>
      <c r="C560" s="1108">
        <v>24</v>
      </c>
      <c r="GJ560" s="1108" t="s">
        <v>58710</v>
      </c>
      <c r="GK560" s="1108" t="s">
        <v>58709</v>
      </c>
    </row>
    <row r="561" spans="1:193">
      <c r="A561" s="1108">
        <v>14619</v>
      </c>
      <c r="B561" s="1108" t="s">
        <v>61315</v>
      </c>
      <c r="C561" s="1108">
        <v>35</v>
      </c>
      <c r="GJ561" s="1108" t="s">
        <v>58710</v>
      </c>
      <c r="GK561" s="1108" t="s">
        <v>58709</v>
      </c>
    </row>
    <row r="562" spans="1:193">
      <c r="A562" s="1108">
        <v>15082</v>
      </c>
      <c r="B562" s="1108" t="s">
        <v>61314</v>
      </c>
      <c r="C562" s="1108">
        <v>36</v>
      </c>
      <c r="GJ562" s="1108" t="s">
        <v>58710</v>
      </c>
      <c r="GK562" s="1108" t="s">
        <v>58709</v>
      </c>
    </row>
    <row r="563" spans="1:193">
      <c r="A563" s="1108">
        <v>15083</v>
      </c>
      <c r="B563" s="1108" t="s">
        <v>61313</v>
      </c>
      <c r="C563" s="1108">
        <v>36</v>
      </c>
      <c r="GJ563" s="1108" t="s">
        <v>58710</v>
      </c>
      <c r="GK563" s="1108" t="s">
        <v>58709</v>
      </c>
    </row>
    <row r="564" spans="1:193">
      <c r="A564" s="1108">
        <v>15087</v>
      </c>
      <c r="B564" s="1108" t="s">
        <v>61312</v>
      </c>
      <c r="C564" s="1108">
        <v>36</v>
      </c>
      <c r="GJ564" s="1108" t="s">
        <v>58710</v>
      </c>
      <c r="GK564" s="1108" t="s">
        <v>58709</v>
      </c>
    </row>
    <row r="565" spans="1:193">
      <c r="A565" s="1108">
        <v>15130</v>
      </c>
      <c r="B565" s="1108" t="s">
        <v>61311</v>
      </c>
      <c r="C565" s="1108">
        <v>11</v>
      </c>
      <c r="GJ565" s="1108" t="s">
        <v>58710</v>
      </c>
      <c r="GK565" s="1108" t="s">
        <v>58709</v>
      </c>
    </row>
    <row r="566" spans="1:193">
      <c r="A566" s="1108">
        <v>15250</v>
      </c>
      <c r="B566" s="1108" t="s">
        <v>61310</v>
      </c>
      <c r="C566" s="1108">
        <v>21</v>
      </c>
      <c r="GJ566" s="1108" t="s">
        <v>58710</v>
      </c>
      <c r="GK566" s="1108" t="s">
        <v>58709</v>
      </c>
    </row>
    <row r="567" spans="1:193">
      <c r="A567" s="1108">
        <v>15343</v>
      </c>
      <c r="B567" s="1108" t="s">
        <v>61309</v>
      </c>
      <c r="C567" s="1108">
        <v>53</v>
      </c>
      <c r="GJ567" s="1108" t="s">
        <v>58710</v>
      </c>
      <c r="GK567" s="1108" t="s">
        <v>58709</v>
      </c>
    </row>
    <row r="568" spans="1:193">
      <c r="A568" s="1108">
        <v>15344</v>
      </c>
      <c r="B568" s="1108" t="s">
        <v>61308</v>
      </c>
      <c r="C568" s="1108">
        <v>53</v>
      </c>
      <c r="GJ568" s="1108" t="s">
        <v>58710</v>
      </c>
      <c r="GK568" s="1108" t="s">
        <v>58709</v>
      </c>
    </row>
    <row r="569" spans="1:193">
      <c r="A569" s="1108">
        <v>15348</v>
      </c>
      <c r="B569" s="1108" t="s">
        <v>61307</v>
      </c>
      <c r="C569" s="1108">
        <v>53</v>
      </c>
      <c r="GJ569" s="1108" t="s">
        <v>58710</v>
      </c>
      <c r="GK569" s="1108" t="s">
        <v>58709</v>
      </c>
    </row>
    <row r="570" spans="1:193">
      <c r="A570" s="1108">
        <v>15359</v>
      </c>
      <c r="B570" s="1108" t="s">
        <v>61306</v>
      </c>
      <c r="C570" s="1108">
        <v>35</v>
      </c>
      <c r="GJ570" s="1108" t="s">
        <v>58710</v>
      </c>
      <c r="GK570" s="1108" t="s">
        <v>58709</v>
      </c>
    </row>
    <row r="571" spans="1:193">
      <c r="A571" s="1108">
        <v>15360</v>
      </c>
      <c r="B571" s="1108" t="s">
        <v>61305</v>
      </c>
      <c r="C571" s="1108">
        <v>36</v>
      </c>
      <c r="GJ571" s="1108" t="s">
        <v>58710</v>
      </c>
      <c r="GK571" s="1108" t="s">
        <v>58709</v>
      </c>
    </row>
    <row r="572" spans="1:193">
      <c r="A572" s="1108">
        <v>15377</v>
      </c>
      <c r="B572" s="1108" t="s">
        <v>61304</v>
      </c>
      <c r="C572" s="1108">
        <v>36</v>
      </c>
      <c r="GJ572" s="1108" t="s">
        <v>58710</v>
      </c>
      <c r="GK572" s="1108" t="s">
        <v>58709</v>
      </c>
    </row>
    <row r="573" spans="1:193">
      <c r="A573" s="1108">
        <v>16030</v>
      </c>
      <c r="B573" s="1108" t="s">
        <v>61303</v>
      </c>
      <c r="C573" s="1108">
        <v>36</v>
      </c>
      <c r="GJ573" s="1108" t="s">
        <v>58710</v>
      </c>
      <c r="GK573" s="1108" t="s">
        <v>58709</v>
      </c>
    </row>
    <row r="574" spans="1:193">
      <c r="A574" s="1108">
        <v>16071</v>
      </c>
      <c r="B574" s="1108" t="s">
        <v>61302</v>
      </c>
      <c r="C574" s="1108">
        <v>35</v>
      </c>
      <c r="GJ574" s="1108" t="s">
        <v>58710</v>
      </c>
      <c r="GK574" s="1108" t="s">
        <v>58709</v>
      </c>
    </row>
    <row r="575" spans="1:193">
      <c r="A575" s="1108">
        <v>16082</v>
      </c>
      <c r="B575" s="1108" t="s">
        <v>61301</v>
      </c>
      <c r="C575" s="1108">
        <v>36</v>
      </c>
      <c r="GJ575" s="1108" t="s">
        <v>58710</v>
      </c>
      <c r="GK575" s="1108" t="s">
        <v>58709</v>
      </c>
    </row>
    <row r="576" spans="1:193">
      <c r="A576" s="1108">
        <v>16327</v>
      </c>
      <c r="B576" s="1108" t="s">
        <v>61300</v>
      </c>
      <c r="C576" s="1108">
        <v>36</v>
      </c>
      <c r="GJ576" s="1108" t="s">
        <v>58710</v>
      </c>
      <c r="GK576" s="1108" t="s">
        <v>58709</v>
      </c>
    </row>
    <row r="577" spans="1:193">
      <c r="A577" s="1108">
        <v>16331</v>
      </c>
      <c r="B577" s="1108" t="s">
        <v>61299</v>
      </c>
      <c r="C577" s="1108">
        <v>36</v>
      </c>
      <c r="GJ577" s="1108" t="s">
        <v>58710</v>
      </c>
      <c r="GK577" s="1108" t="s">
        <v>58709</v>
      </c>
    </row>
    <row r="578" spans="1:193">
      <c r="A578" s="1108">
        <v>16437</v>
      </c>
      <c r="B578" s="1108" t="s">
        <v>61298</v>
      </c>
      <c r="C578" s="1108">
        <v>44</v>
      </c>
      <c r="GJ578" s="1108" t="s">
        <v>58710</v>
      </c>
      <c r="GK578" s="1108" t="s">
        <v>58709</v>
      </c>
    </row>
    <row r="579" spans="1:193">
      <c r="A579" s="1108">
        <v>16439</v>
      </c>
      <c r="B579" s="1108" t="s">
        <v>61297</v>
      </c>
      <c r="C579" s="1108">
        <v>44</v>
      </c>
      <c r="GJ579" s="1108" t="s">
        <v>58710</v>
      </c>
      <c r="GK579" s="1108" t="s">
        <v>58709</v>
      </c>
    </row>
    <row r="580" spans="1:193">
      <c r="A580" s="1108">
        <v>16440</v>
      </c>
      <c r="B580" s="1108" t="s">
        <v>61296</v>
      </c>
      <c r="C580" s="1108">
        <v>52</v>
      </c>
      <c r="GJ580" s="1108" t="s">
        <v>58710</v>
      </c>
      <c r="GK580" s="1108" t="s">
        <v>58709</v>
      </c>
    </row>
    <row r="581" spans="1:193">
      <c r="A581" s="1108">
        <v>16702</v>
      </c>
      <c r="B581" s="1108" t="s">
        <v>61295</v>
      </c>
      <c r="C581" s="1108">
        <v>44</v>
      </c>
      <c r="GJ581" s="1108" t="s">
        <v>58710</v>
      </c>
      <c r="GK581" s="1108" t="s">
        <v>58709</v>
      </c>
    </row>
    <row r="582" spans="1:193">
      <c r="A582" s="1108">
        <v>16932</v>
      </c>
      <c r="B582" s="1108" t="s">
        <v>61294</v>
      </c>
      <c r="C582" s="1108">
        <v>36</v>
      </c>
      <c r="GJ582" s="1108" t="s">
        <v>58710</v>
      </c>
      <c r="GK582" s="1108" t="s">
        <v>58709</v>
      </c>
    </row>
    <row r="583" spans="1:193">
      <c r="A583" s="1108">
        <v>16933</v>
      </c>
      <c r="B583" s="1108" t="s">
        <v>61293</v>
      </c>
      <c r="C583" s="1108">
        <v>36</v>
      </c>
      <c r="GJ583" s="1108" t="s">
        <v>58710</v>
      </c>
      <c r="GK583" s="1108" t="s">
        <v>58709</v>
      </c>
    </row>
    <row r="584" spans="1:193">
      <c r="A584" s="1108">
        <v>21359</v>
      </c>
      <c r="B584" s="1108" t="s">
        <v>61292</v>
      </c>
      <c r="C584" s="1108">
        <v>36</v>
      </c>
      <c r="GJ584" s="1108" t="s">
        <v>58710</v>
      </c>
      <c r="GK584" s="1108" t="s">
        <v>58709</v>
      </c>
    </row>
    <row r="585" spans="1:193">
      <c r="A585" s="1108">
        <v>17041</v>
      </c>
      <c r="B585" s="1108" t="s">
        <v>61291</v>
      </c>
      <c r="C585" s="1108">
        <v>36</v>
      </c>
      <c r="GJ585" s="1108" t="s">
        <v>58710</v>
      </c>
      <c r="GK585" s="1108" t="s">
        <v>58709</v>
      </c>
    </row>
    <row r="586" spans="1:193">
      <c r="A586" s="1108" t="s">
        <v>61290</v>
      </c>
      <c r="B586" s="1108" t="s">
        <v>61289</v>
      </c>
      <c r="C586" s="1108">
        <v>35</v>
      </c>
      <c r="GJ586" s="1108" t="s">
        <v>58710</v>
      </c>
      <c r="GK586" s="1108" t="s">
        <v>58709</v>
      </c>
    </row>
    <row r="587" spans="1:193">
      <c r="A587" s="1108">
        <v>17100</v>
      </c>
      <c r="B587" s="1108" t="s">
        <v>61288</v>
      </c>
      <c r="C587" s="1108">
        <v>35</v>
      </c>
      <c r="GJ587" s="1108" t="s">
        <v>58710</v>
      </c>
      <c r="GK587" s="1108" t="s">
        <v>58709</v>
      </c>
    </row>
    <row r="588" spans="1:193">
      <c r="A588" s="1108">
        <v>17133</v>
      </c>
      <c r="B588" s="1108" t="s">
        <v>61287</v>
      </c>
      <c r="C588" s="1108">
        <v>36</v>
      </c>
      <c r="GJ588" s="1108" t="s">
        <v>58710</v>
      </c>
      <c r="GK588" s="1108" t="s">
        <v>58709</v>
      </c>
    </row>
    <row r="589" spans="1:193">
      <c r="A589" s="1108">
        <v>17170</v>
      </c>
      <c r="B589" s="1108" t="s">
        <v>61286</v>
      </c>
      <c r="C589" s="1108">
        <v>36</v>
      </c>
      <c r="GJ589" s="1108" t="s">
        <v>58710</v>
      </c>
      <c r="GK589" s="1108" t="s">
        <v>58709</v>
      </c>
    </row>
    <row r="590" spans="1:193">
      <c r="A590" s="1108">
        <v>17171</v>
      </c>
      <c r="B590" s="1108" t="s">
        <v>61285</v>
      </c>
      <c r="C590" s="1108">
        <v>36</v>
      </c>
      <c r="GJ590" s="1108" t="s">
        <v>58710</v>
      </c>
      <c r="GK590" s="1108" t="s">
        <v>58709</v>
      </c>
    </row>
    <row r="591" spans="1:193">
      <c r="A591" s="1108">
        <v>17173</v>
      </c>
      <c r="B591" s="1108" t="s">
        <v>61284</v>
      </c>
      <c r="C591" s="1108">
        <v>44</v>
      </c>
      <c r="GJ591" s="1108" t="s">
        <v>58710</v>
      </c>
      <c r="GK591" s="1108" t="s">
        <v>58709</v>
      </c>
    </row>
    <row r="592" spans="1:193">
      <c r="A592" s="1108">
        <v>17174</v>
      </c>
      <c r="B592" s="1108" t="s">
        <v>61283</v>
      </c>
      <c r="C592" s="1108">
        <v>44</v>
      </c>
      <c r="GJ592" s="1108" t="s">
        <v>58710</v>
      </c>
      <c r="GK592" s="1108" t="s">
        <v>58709</v>
      </c>
    </row>
    <row r="593" spans="1:193">
      <c r="A593" s="1108">
        <v>17276</v>
      </c>
      <c r="B593" s="1108" t="s">
        <v>61282</v>
      </c>
      <c r="C593" s="1108">
        <v>36</v>
      </c>
      <c r="GJ593" s="1108" t="s">
        <v>58710</v>
      </c>
      <c r="GK593" s="1108" t="s">
        <v>58709</v>
      </c>
    </row>
    <row r="594" spans="1:193">
      <c r="A594" s="1108">
        <v>17277</v>
      </c>
      <c r="B594" s="1108" t="s">
        <v>61281</v>
      </c>
      <c r="C594" s="1108">
        <v>36</v>
      </c>
      <c r="GJ594" s="1108" t="s">
        <v>58710</v>
      </c>
      <c r="GK594" s="1108" t="s">
        <v>58709</v>
      </c>
    </row>
    <row r="595" spans="1:193">
      <c r="A595" s="1108">
        <v>18492</v>
      </c>
      <c r="B595" s="1108" t="s">
        <v>61280</v>
      </c>
      <c r="C595" s="1108">
        <v>11</v>
      </c>
      <c r="GJ595" s="1108" t="s">
        <v>58710</v>
      </c>
      <c r="GK595" s="1108" t="s">
        <v>58709</v>
      </c>
    </row>
    <row r="596" spans="1:193">
      <c r="A596" s="1108">
        <v>18538</v>
      </c>
      <c r="B596" s="1108" t="s">
        <v>61279</v>
      </c>
      <c r="C596" s="1108">
        <v>34</v>
      </c>
      <c r="GJ596" s="1108" t="s">
        <v>58710</v>
      </c>
      <c r="GK596" s="1108" t="s">
        <v>58709</v>
      </c>
    </row>
    <row r="597" spans="1:193">
      <c r="A597" s="1108">
        <v>18629</v>
      </c>
      <c r="B597" s="1108" t="s">
        <v>61278</v>
      </c>
      <c r="C597" s="1108">
        <v>34</v>
      </c>
      <c r="GJ597" s="1108" t="s">
        <v>58710</v>
      </c>
      <c r="GK597" s="1108" t="s">
        <v>58709</v>
      </c>
    </row>
    <row r="598" spans="1:193">
      <c r="A598" s="1108">
        <v>18901</v>
      </c>
      <c r="B598" s="1108" t="s">
        <v>61277</v>
      </c>
      <c r="C598" s="1108">
        <v>11</v>
      </c>
      <c r="GJ598" s="1108" t="s">
        <v>58710</v>
      </c>
      <c r="GK598" s="1108" t="s">
        <v>58709</v>
      </c>
    </row>
    <row r="599" spans="1:193">
      <c r="A599" s="1108" t="s">
        <v>61276</v>
      </c>
      <c r="B599" s="1108" t="s">
        <v>61275</v>
      </c>
      <c r="C599" s="1108">
        <v>11</v>
      </c>
      <c r="GJ599" s="1108" t="s">
        <v>58710</v>
      </c>
      <c r="GK599" s="1108" t="s">
        <v>58709</v>
      </c>
    </row>
    <row r="600" spans="1:193">
      <c r="A600" s="1108" t="s">
        <v>61274</v>
      </c>
      <c r="B600" s="1108" t="s">
        <v>61273</v>
      </c>
      <c r="C600" s="1108">
        <v>11</v>
      </c>
      <c r="GJ600" s="1108" t="s">
        <v>58710</v>
      </c>
      <c r="GK600" s="1108" t="s">
        <v>58709</v>
      </c>
    </row>
    <row r="601" spans="1:193">
      <c r="A601" s="1108" t="s">
        <v>61272</v>
      </c>
      <c r="B601" s="1108" t="s">
        <v>61271</v>
      </c>
      <c r="C601" s="1108">
        <v>11</v>
      </c>
      <c r="GJ601" s="1108" t="s">
        <v>58710</v>
      </c>
      <c r="GK601" s="1108" t="s">
        <v>58709</v>
      </c>
    </row>
    <row r="602" spans="1:193">
      <c r="A602" s="1108" t="s">
        <v>61270</v>
      </c>
      <c r="B602" s="1108" t="s">
        <v>61269</v>
      </c>
      <c r="C602" s="1108">
        <v>13</v>
      </c>
      <c r="GJ602" s="1108" t="s">
        <v>58710</v>
      </c>
      <c r="GK602" s="1108" t="s">
        <v>58709</v>
      </c>
    </row>
    <row r="603" spans="1:193">
      <c r="A603" s="1108" t="s">
        <v>61268</v>
      </c>
      <c r="B603" s="1108" t="s">
        <v>61267</v>
      </c>
      <c r="C603" s="1108">
        <v>13</v>
      </c>
      <c r="GJ603" s="1108" t="s">
        <v>58710</v>
      </c>
      <c r="GK603" s="1108" t="s">
        <v>58709</v>
      </c>
    </row>
    <row r="604" spans="1:193">
      <c r="A604" s="1108">
        <v>19345</v>
      </c>
      <c r="B604" s="1108" t="s">
        <v>61266</v>
      </c>
      <c r="C604" s="1108">
        <v>18</v>
      </c>
      <c r="GJ604" s="1108" t="s">
        <v>58710</v>
      </c>
      <c r="GK604" s="1108" t="s">
        <v>58709</v>
      </c>
    </row>
    <row r="605" spans="1:193">
      <c r="A605" s="1108" t="s">
        <v>61265</v>
      </c>
      <c r="B605" s="1108" t="s">
        <v>61264</v>
      </c>
      <c r="C605" s="1108">
        <v>21</v>
      </c>
      <c r="GJ605" s="1108" t="s">
        <v>58710</v>
      </c>
      <c r="GK605" s="1108" t="s">
        <v>58709</v>
      </c>
    </row>
    <row r="606" spans="1:193">
      <c r="A606" s="1108">
        <v>19740</v>
      </c>
      <c r="B606" s="1108" t="s">
        <v>61263</v>
      </c>
      <c r="C606" s="1108">
        <v>13</v>
      </c>
      <c r="GJ606" s="1108" t="s">
        <v>58710</v>
      </c>
      <c r="GK606" s="1108" t="s">
        <v>58709</v>
      </c>
    </row>
    <row r="607" spans="1:193">
      <c r="A607" s="1108">
        <v>14495</v>
      </c>
      <c r="B607" s="1108" t="s">
        <v>61262</v>
      </c>
      <c r="C607" s="1108">
        <v>36</v>
      </c>
      <c r="GJ607" s="1108" t="s">
        <v>58710</v>
      </c>
      <c r="GK607" s="1108" t="s">
        <v>58709</v>
      </c>
    </row>
    <row r="608" spans="1:193">
      <c r="A608" s="1108" t="s">
        <v>61261</v>
      </c>
      <c r="B608" s="1108" t="s">
        <v>61260</v>
      </c>
      <c r="C608" s="1108">
        <v>34</v>
      </c>
      <c r="GJ608" s="1108" t="s">
        <v>58710</v>
      </c>
      <c r="GK608" s="1108" t="s">
        <v>58709</v>
      </c>
    </row>
    <row r="609" spans="1:193">
      <c r="A609" s="1108" t="s">
        <v>61259</v>
      </c>
      <c r="B609" s="1108" t="s">
        <v>61258</v>
      </c>
      <c r="C609" s="1108">
        <v>48</v>
      </c>
      <c r="GJ609" s="1108" t="s">
        <v>58710</v>
      </c>
      <c r="GK609" s="1108" t="s">
        <v>58709</v>
      </c>
    </row>
    <row r="610" spans="1:193">
      <c r="A610" s="1108" t="s">
        <v>61257</v>
      </c>
      <c r="B610" s="1108" t="s">
        <v>61256</v>
      </c>
      <c r="C610" s="1108">
        <v>48</v>
      </c>
      <c r="GJ610" s="1108" t="s">
        <v>58710</v>
      </c>
      <c r="GK610" s="1108" t="s">
        <v>58709</v>
      </c>
    </row>
    <row r="611" spans="1:193">
      <c r="A611" s="1108" t="s">
        <v>61255</v>
      </c>
      <c r="B611" s="1108" t="s">
        <v>61254</v>
      </c>
      <c r="C611" s="1108">
        <v>48</v>
      </c>
      <c r="GJ611" s="1108" t="s">
        <v>58710</v>
      </c>
      <c r="GK611" s="1108" t="s">
        <v>58709</v>
      </c>
    </row>
    <row r="612" spans="1:193">
      <c r="A612" s="1108" t="s">
        <v>61253</v>
      </c>
      <c r="B612" s="1108" t="s">
        <v>61252</v>
      </c>
      <c r="C612" s="1108">
        <v>35</v>
      </c>
      <c r="GJ612" s="1108" t="s">
        <v>58710</v>
      </c>
      <c r="GK612" s="1108" t="s">
        <v>58709</v>
      </c>
    </row>
    <row r="613" spans="1:193">
      <c r="A613" s="1108" t="s">
        <v>61251</v>
      </c>
      <c r="B613" s="1108" t="s">
        <v>61250</v>
      </c>
      <c r="C613" s="1108">
        <v>48</v>
      </c>
      <c r="GJ613" s="1108" t="s">
        <v>58710</v>
      </c>
      <c r="GK613" s="1108" t="s">
        <v>58709</v>
      </c>
    </row>
    <row r="614" spans="1:193">
      <c r="A614" s="1108" t="s">
        <v>61249</v>
      </c>
      <c r="B614" s="1108" t="s">
        <v>61248</v>
      </c>
      <c r="C614" s="1108">
        <v>36</v>
      </c>
      <c r="GJ614" s="1108" t="s">
        <v>58710</v>
      </c>
      <c r="GK614" s="1108" t="s">
        <v>58709</v>
      </c>
    </row>
    <row r="615" spans="1:193">
      <c r="A615" s="1108">
        <v>20033</v>
      </c>
      <c r="B615" s="1108" t="s">
        <v>61247</v>
      </c>
      <c r="C615" s="1108">
        <v>28</v>
      </c>
      <c r="GJ615" s="1108" t="s">
        <v>58710</v>
      </c>
      <c r="GK615" s="1108" t="s">
        <v>58709</v>
      </c>
    </row>
    <row r="616" spans="1:193">
      <c r="A616" s="1108" t="s">
        <v>61246</v>
      </c>
      <c r="B616" s="1108" t="s">
        <v>61245</v>
      </c>
      <c r="C616" s="1108">
        <v>66</v>
      </c>
      <c r="GJ616" s="1108" t="s">
        <v>58710</v>
      </c>
      <c r="GK616" s="1108" t="s">
        <v>58709</v>
      </c>
    </row>
    <row r="617" spans="1:193">
      <c r="A617" s="1108" t="s">
        <v>61244</v>
      </c>
      <c r="B617" s="1108" t="s">
        <v>61243</v>
      </c>
      <c r="C617" s="1108">
        <v>48</v>
      </c>
      <c r="GJ617" s="1108" t="s">
        <v>58710</v>
      </c>
      <c r="GK617" s="1108" t="s">
        <v>58709</v>
      </c>
    </row>
    <row r="618" spans="1:193">
      <c r="A618" s="1108" t="s">
        <v>61242</v>
      </c>
      <c r="B618" s="1108" t="s">
        <v>61241</v>
      </c>
      <c r="C618" s="1108">
        <v>48</v>
      </c>
      <c r="GJ618" s="1108" t="s">
        <v>58710</v>
      </c>
      <c r="GK618" s="1108" t="s">
        <v>58709</v>
      </c>
    </row>
    <row r="619" spans="1:193">
      <c r="A619" s="1108" t="s">
        <v>61240</v>
      </c>
      <c r="B619" s="1108" t="s">
        <v>61239</v>
      </c>
      <c r="C619" s="1108">
        <v>36</v>
      </c>
      <c r="GJ619" s="1108" t="s">
        <v>58710</v>
      </c>
      <c r="GK619" s="1108" t="s">
        <v>58709</v>
      </c>
    </row>
    <row r="620" spans="1:193">
      <c r="A620" s="1108" t="s">
        <v>61238</v>
      </c>
      <c r="B620" s="1108" t="s">
        <v>61237</v>
      </c>
      <c r="C620" s="1108">
        <v>47</v>
      </c>
      <c r="GJ620" s="1108" t="s">
        <v>58710</v>
      </c>
      <c r="GK620" s="1108" t="s">
        <v>58709</v>
      </c>
    </row>
    <row r="621" spans="1:193">
      <c r="A621" s="1108" t="s">
        <v>61236</v>
      </c>
      <c r="B621" s="1108" t="s">
        <v>61235</v>
      </c>
      <c r="C621" s="1108">
        <v>35</v>
      </c>
      <c r="GJ621" s="1108" t="s">
        <v>58710</v>
      </c>
      <c r="GK621" s="1108" t="s">
        <v>58709</v>
      </c>
    </row>
    <row r="622" spans="1:193">
      <c r="A622" s="1108" t="s">
        <v>61234</v>
      </c>
      <c r="B622" s="1108" t="s">
        <v>61233</v>
      </c>
      <c r="C622" s="1108">
        <v>36</v>
      </c>
      <c r="GJ622" s="1108" t="s">
        <v>58710</v>
      </c>
      <c r="GK622" s="1108" t="s">
        <v>58709</v>
      </c>
    </row>
    <row r="623" spans="1:193">
      <c r="A623" s="1108" t="s">
        <v>61232</v>
      </c>
      <c r="B623" s="1108" t="s">
        <v>61231</v>
      </c>
      <c r="C623" s="1108">
        <v>36</v>
      </c>
      <c r="GJ623" s="1108" t="s">
        <v>58710</v>
      </c>
      <c r="GK623" s="1108" t="s">
        <v>58709</v>
      </c>
    </row>
    <row r="624" spans="1:193">
      <c r="A624" s="1108" t="s">
        <v>61230</v>
      </c>
      <c r="B624" s="1108" t="s">
        <v>61229</v>
      </c>
      <c r="C624" s="1108">
        <v>48</v>
      </c>
      <c r="GJ624" s="1108" t="s">
        <v>58710</v>
      </c>
      <c r="GK624" s="1108" t="s">
        <v>58709</v>
      </c>
    </row>
    <row r="625" spans="1:193">
      <c r="A625" s="1108" t="s">
        <v>61228</v>
      </c>
      <c r="B625" s="1108" t="s">
        <v>61227</v>
      </c>
      <c r="C625" s="1108">
        <v>47</v>
      </c>
      <c r="GJ625" s="1108" t="s">
        <v>58710</v>
      </c>
      <c r="GK625" s="1108" t="s">
        <v>58709</v>
      </c>
    </row>
    <row r="626" spans="1:193">
      <c r="A626" s="1108" t="s">
        <v>61226</v>
      </c>
      <c r="B626" s="1108" t="s">
        <v>61225</v>
      </c>
      <c r="C626" s="1108">
        <v>48</v>
      </c>
      <c r="GJ626" s="1108" t="s">
        <v>58710</v>
      </c>
      <c r="GK626" s="1108" t="s">
        <v>58709</v>
      </c>
    </row>
    <row r="627" spans="1:193">
      <c r="A627" s="1108" t="s">
        <v>61224</v>
      </c>
      <c r="B627" s="1108" t="s">
        <v>61223</v>
      </c>
      <c r="C627" s="1108">
        <v>48</v>
      </c>
      <c r="GJ627" s="1108" t="s">
        <v>58710</v>
      </c>
      <c r="GK627" s="1108" t="s">
        <v>58709</v>
      </c>
    </row>
    <row r="628" spans="1:193">
      <c r="A628" s="1108" t="s">
        <v>61222</v>
      </c>
      <c r="B628" s="1108" t="s">
        <v>61221</v>
      </c>
      <c r="C628" s="1108">
        <v>48</v>
      </c>
      <c r="GJ628" s="1108" t="s">
        <v>58710</v>
      </c>
      <c r="GK628" s="1108" t="s">
        <v>58709</v>
      </c>
    </row>
    <row r="629" spans="1:193">
      <c r="A629" s="1108" t="s">
        <v>61220</v>
      </c>
      <c r="B629" s="1108" t="s">
        <v>61219</v>
      </c>
      <c r="C629" s="1108">
        <v>46</v>
      </c>
      <c r="GJ629" s="1108" t="s">
        <v>58710</v>
      </c>
      <c r="GK629" s="1108" t="s">
        <v>58709</v>
      </c>
    </row>
    <row r="630" spans="1:193">
      <c r="A630" s="1108" t="s">
        <v>61218</v>
      </c>
      <c r="B630" s="1108" t="s">
        <v>61217</v>
      </c>
      <c r="C630" s="1108">
        <v>40</v>
      </c>
      <c r="GJ630" s="1108" t="s">
        <v>58710</v>
      </c>
      <c r="GK630" s="1108" t="s">
        <v>58709</v>
      </c>
    </row>
    <row r="631" spans="1:193">
      <c r="A631" s="1108" t="s">
        <v>61216</v>
      </c>
      <c r="B631" s="1108" t="s">
        <v>61215</v>
      </c>
      <c r="C631" s="1108">
        <v>58</v>
      </c>
      <c r="GJ631" s="1108" t="s">
        <v>58710</v>
      </c>
      <c r="GK631" s="1108" t="s">
        <v>58709</v>
      </c>
    </row>
    <row r="632" spans="1:193">
      <c r="A632" s="1108" t="s">
        <v>61214</v>
      </c>
      <c r="B632" s="1108" t="s">
        <v>61213</v>
      </c>
      <c r="C632" s="1108">
        <v>47</v>
      </c>
      <c r="GJ632" s="1108" t="s">
        <v>58710</v>
      </c>
      <c r="GK632" s="1108" t="s">
        <v>58709</v>
      </c>
    </row>
    <row r="633" spans="1:193">
      <c r="A633" s="1108" t="s">
        <v>61212</v>
      </c>
      <c r="B633" s="1108" t="s">
        <v>61211</v>
      </c>
      <c r="C633" s="1108">
        <v>48</v>
      </c>
      <c r="GJ633" s="1108" t="s">
        <v>58710</v>
      </c>
      <c r="GK633" s="1108" t="s">
        <v>58709</v>
      </c>
    </row>
    <row r="634" spans="1:193">
      <c r="A634" s="1108">
        <v>18100</v>
      </c>
      <c r="B634" s="1108" t="s">
        <v>61210</v>
      </c>
      <c r="C634" s="1108">
        <v>44</v>
      </c>
      <c r="GJ634" s="1108" t="s">
        <v>58710</v>
      </c>
      <c r="GK634" s="1108" t="s">
        <v>58709</v>
      </c>
    </row>
    <row r="635" spans="1:193">
      <c r="A635" s="1108" t="s">
        <v>61209</v>
      </c>
      <c r="B635" s="1108" t="s">
        <v>61208</v>
      </c>
      <c r="C635" s="1108">
        <v>47</v>
      </c>
      <c r="GJ635" s="1108" t="s">
        <v>58710</v>
      </c>
      <c r="GK635" s="1108" t="s">
        <v>58709</v>
      </c>
    </row>
    <row r="636" spans="1:193">
      <c r="A636" s="1108">
        <v>19865</v>
      </c>
      <c r="B636" s="1108" t="s">
        <v>61207</v>
      </c>
      <c r="C636" s="1108">
        <v>66</v>
      </c>
      <c r="GJ636" s="1108" t="s">
        <v>58710</v>
      </c>
      <c r="GK636" s="1108" t="s">
        <v>58709</v>
      </c>
    </row>
    <row r="637" spans="1:193">
      <c r="A637" s="1108">
        <v>19818</v>
      </c>
      <c r="B637" s="1108" t="s">
        <v>61206</v>
      </c>
      <c r="C637" s="1108">
        <v>40</v>
      </c>
      <c r="GJ637" s="1108" t="s">
        <v>58710</v>
      </c>
      <c r="GK637" s="1108" t="s">
        <v>58709</v>
      </c>
    </row>
    <row r="638" spans="1:193">
      <c r="A638" s="1108">
        <v>19954</v>
      </c>
      <c r="B638" s="1108" t="s">
        <v>61205</v>
      </c>
      <c r="C638" s="1108">
        <v>21</v>
      </c>
      <c r="GJ638" s="1108" t="s">
        <v>58710</v>
      </c>
      <c r="GK638" s="1108" t="s">
        <v>58709</v>
      </c>
    </row>
    <row r="639" spans="1:193">
      <c r="A639" s="1108" t="s">
        <v>61204</v>
      </c>
      <c r="B639" s="1108" t="s">
        <v>61203</v>
      </c>
      <c r="C639" s="1108">
        <v>48</v>
      </c>
      <c r="GJ639" s="1108" t="s">
        <v>58710</v>
      </c>
      <c r="GK639" s="1108" t="s">
        <v>58709</v>
      </c>
    </row>
    <row r="640" spans="1:193">
      <c r="A640" s="1108">
        <v>19717</v>
      </c>
      <c r="B640" s="1108" t="s">
        <v>61202</v>
      </c>
      <c r="C640" s="1108">
        <v>24</v>
      </c>
      <c r="GJ640" s="1108" t="s">
        <v>58710</v>
      </c>
      <c r="GK640" s="1108" t="s">
        <v>58709</v>
      </c>
    </row>
    <row r="641" spans="1:193">
      <c r="A641" s="1108" t="s">
        <v>61201</v>
      </c>
      <c r="B641" s="1108" t="s">
        <v>61200</v>
      </c>
      <c r="C641" s="1108">
        <v>21</v>
      </c>
      <c r="GJ641" s="1108" t="s">
        <v>58710</v>
      </c>
      <c r="GK641" s="1108" t="s">
        <v>58709</v>
      </c>
    </row>
    <row r="642" spans="1:193">
      <c r="A642" s="1108" t="s">
        <v>61199</v>
      </c>
      <c r="B642" s="1108" t="s">
        <v>61198</v>
      </c>
      <c r="C642" s="1108">
        <v>46</v>
      </c>
      <c r="GJ642" s="1108" t="s">
        <v>58710</v>
      </c>
      <c r="GK642" s="1108" t="s">
        <v>58709</v>
      </c>
    </row>
    <row r="643" spans="1:193">
      <c r="A643" s="1108">
        <v>20169</v>
      </c>
      <c r="B643" s="1108" t="s">
        <v>61197</v>
      </c>
      <c r="C643" s="1108">
        <v>42</v>
      </c>
      <c r="GJ643" s="1108" t="s">
        <v>58710</v>
      </c>
      <c r="GK643" s="1108" t="s">
        <v>58709</v>
      </c>
    </row>
    <row r="644" spans="1:193">
      <c r="A644" s="1108">
        <v>19439</v>
      </c>
      <c r="B644" s="1108" t="s">
        <v>61196</v>
      </c>
      <c r="C644" s="1108">
        <v>35</v>
      </c>
      <c r="GJ644" s="1108" t="s">
        <v>58710</v>
      </c>
      <c r="GK644" s="1108" t="s">
        <v>58709</v>
      </c>
    </row>
    <row r="645" spans="1:193">
      <c r="A645" s="1108">
        <v>20128</v>
      </c>
      <c r="B645" s="1108" t="s">
        <v>61195</v>
      </c>
      <c r="C645" s="1108">
        <v>30</v>
      </c>
      <c r="GJ645" s="1108" t="s">
        <v>58710</v>
      </c>
      <c r="GK645" s="1108" t="s">
        <v>58709</v>
      </c>
    </row>
    <row r="646" spans="1:193">
      <c r="A646" s="1108">
        <v>20243</v>
      </c>
      <c r="B646" s="1108" t="s">
        <v>61194</v>
      </c>
      <c r="C646" s="1108">
        <v>52</v>
      </c>
      <c r="GJ646" s="1108" t="s">
        <v>58710</v>
      </c>
      <c r="GK646" s="1108" t="s">
        <v>58709</v>
      </c>
    </row>
    <row r="647" spans="1:193">
      <c r="A647" s="1108">
        <v>20244</v>
      </c>
      <c r="B647" s="1108" t="s">
        <v>61193</v>
      </c>
      <c r="C647" s="1108">
        <v>36</v>
      </c>
      <c r="GJ647" s="1108" t="s">
        <v>58710</v>
      </c>
      <c r="GK647" s="1108" t="s">
        <v>58709</v>
      </c>
    </row>
    <row r="648" spans="1:193">
      <c r="A648" s="1108">
        <v>20549</v>
      </c>
      <c r="B648" s="1108" t="s">
        <v>61192</v>
      </c>
      <c r="C648" s="1108">
        <v>28</v>
      </c>
      <c r="GJ648" s="1108" t="s">
        <v>58710</v>
      </c>
      <c r="GK648" s="1108" t="s">
        <v>58709</v>
      </c>
    </row>
    <row r="649" spans="1:193">
      <c r="A649" s="1108">
        <v>19274</v>
      </c>
      <c r="B649" s="1108" t="s">
        <v>61191</v>
      </c>
      <c r="C649" s="1108">
        <v>37</v>
      </c>
      <c r="GJ649" s="1108" t="s">
        <v>58710</v>
      </c>
      <c r="GK649" s="1108" t="s">
        <v>58709</v>
      </c>
    </row>
    <row r="650" spans="1:193">
      <c r="A650" s="1108" t="s">
        <v>61190</v>
      </c>
      <c r="B650" s="1108" t="s">
        <v>61189</v>
      </c>
      <c r="C650" s="1108">
        <v>46</v>
      </c>
      <c r="GJ650" s="1108" t="s">
        <v>58710</v>
      </c>
      <c r="GK650" s="1108" t="s">
        <v>58709</v>
      </c>
    </row>
    <row r="651" spans="1:193">
      <c r="A651" s="1108" t="s">
        <v>61188</v>
      </c>
      <c r="B651" s="1108" t="s">
        <v>61187</v>
      </c>
      <c r="C651" s="1108">
        <v>46</v>
      </c>
      <c r="GJ651" s="1108" t="s">
        <v>58710</v>
      </c>
      <c r="GK651" s="1108" t="s">
        <v>58709</v>
      </c>
    </row>
    <row r="652" spans="1:193">
      <c r="A652" s="1108" t="s">
        <v>61186</v>
      </c>
      <c r="B652" s="1108" t="s">
        <v>61185</v>
      </c>
      <c r="C652" s="1108">
        <v>438</v>
      </c>
      <c r="GJ652" s="1108" t="s">
        <v>58710</v>
      </c>
      <c r="GK652" s="1108" t="s">
        <v>58709</v>
      </c>
    </row>
    <row r="653" spans="1:193">
      <c r="A653" s="1108" t="s">
        <v>61184</v>
      </c>
      <c r="B653" s="1108" t="s">
        <v>61183</v>
      </c>
      <c r="C653" s="1108">
        <v>471</v>
      </c>
      <c r="GJ653" s="1108" t="s">
        <v>58710</v>
      </c>
      <c r="GK653" s="1108" t="s">
        <v>58709</v>
      </c>
    </row>
    <row r="654" spans="1:193">
      <c r="A654" s="1108" t="s">
        <v>61182</v>
      </c>
      <c r="B654" s="1108" t="s">
        <v>61181</v>
      </c>
      <c r="C654" s="1108">
        <v>528</v>
      </c>
      <c r="GJ654" s="1108" t="s">
        <v>58710</v>
      </c>
      <c r="GK654" s="1108" t="s">
        <v>58709</v>
      </c>
    </row>
    <row r="655" spans="1:193">
      <c r="A655" s="1108" t="s">
        <v>61180</v>
      </c>
      <c r="B655" s="1108" t="s">
        <v>61179</v>
      </c>
      <c r="C655" s="1108">
        <v>528</v>
      </c>
      <c r="GJ655" s="1108" t="s">
        <v>58710</v>
      </c>
      <c r="GK655" s="1108" t="s">
        <v>58709</v>
      </c>
    </row>
    <row r="656" spans="1:193">
      <c r="A656" s="1108" t="s">
        <v>61178</v>
      </c>
      <c r="B656" s="1108" t="s">
        <v>61177</v>
      </c>
      <c r="C656" s="1108">
        <v>521</v>
      </c>
      <c r="GJ656" s="1108" t="s">
        <v>58710</v>
      </c>
      <c r="GK656" s="1108" t="s">
        <v>58709</v>
      </c>
    </row>
    <row r="657" spans="1:193">
      <c r="A657" s="1108" t="s">
        <v>61176</v>
      </c>
      <c r="B657" s="1108" t="s">
        <v>61175</v>
      </c>
      <c r="C657" s="1108">
        <v>578</v>
      </c>
      <c r="GJ657" s="1108" t="s">
        <v>58710</v>
      </c>
      <c r="GK657" s="1108" t="s">
        <v>58709</v>
      </c>
    </row>
    <row r="658" spans="1:193">
      <c r="A658" s="1108" t="s">
        <v>61174</v>
      </c>
      <c r="B658" s="1108" t="s">
        <v>61173</v>
      </c>
      <c r="C658" s="1108">
        <v>578</v>
      </c>
      <c r="GJ658" s="1108" t="s">
        <v>58710</v>
      </c>
      <c r="GK658" s="1108" t="s">
        <v>58709</v>
      </c>
    </row>
    <row r="659" spans="1:193">
      <c r="A659" s="1108" t="s">
        <v>61172</v>
      </c>
      <c r="B659" s="1108" t="s">
        <v>61171</v>
      </c>
      <c r="C659" s="1108">
        <v>268</v>
      </c>
      <c r="GJ659" s="1108" t="s">
        <v>58710</v>
      </c>
      <c r="GK659" s="1108" t="s">
        <v>58709</v>
      </c>
    </row>
    <row r="660" spans="1:193">
      <c r="A660" s="1108" t="s">
        <v>61170</v>
      </c>
      <c r="B660" s="1108" t="s">
        <v>61169</v>
      </c>
      <c r="C660" s="1108">
        <v>268</v>
      </c>
      <c r="GJ660" s="1108" t="s">
        <v>58710</v>
      </c>
      <c r="GK660" s="1108" t="s">
        <v>58709</v>
      </c>
    </row>
    <row r="661" spans="1:193">
      <c r="A661" s="1108" t="s">
        <v>61168</v>
      </c>
      <c r="B661" s="1108" t="s">
        <v>61167</v>
      </c>
      <c r="C661" s="1108">
        <v>69</v>
      </c>
      <c r="GJ661" s="1108" t="s">
        <v>58710</v>
      </c>
      <c r="GK661" s="1108" t="s">
        <v>58709</v>
      </c>
    </row>
    <row r="662" spans="1:193">
      <c r="A662" s="1108" t="s">
        <v>61166</v>
      </c>
      <c r="B662" s="1108" t="s">
        <v>61165</v>
      </c>
      <c r="C662" s="1108">
        <v>235</v>
      </c>
      <c r="GJ662" s="1108" t="s">
        <v>58710</v>
      </c>
      <c r="GK662" s="1108" t="s">
        <v>58709</v>
      </c>
    </row>
    <row r="663" spans="1:193">
      <c r="A663" s="1108" t="s">
        <v>61164</v>
      </c>
      <c r="B663" s="1108" t="s">
        <v>61163</v>
      </c>
      <c r="C663" s="1108">
        <v>190</v>
      </c>
      <c r="GJ663" s="1108" t="s">
        <v>58710</v>
      </c>
      <c r="GK663" s="1108" t="s">
        <v>58709</v>
      </c>
    </row>
    <row r="664" spans="1:193">
      <c r="A664" s="1108" t="s">
        <v>61162</v>
      </c>
      <c r="B664" s="1108" t="s">
        <v>61161</v>
      </c>
      <c r="C664" s="1108">
        <v>568</v>
      </c>
      <c r="GJ664" s="1108" t="s">
        <v>58710</v>
      </c>
      <c r="GK664" s="1108" t="s">
        <v>58709</v>
      </c>
    </row>
    <row r="665" spans="1:193">
      <c r="A665" s="1108" t="s">
        <v>61160</v>
      </c>
      <c r="B665" s="1108" t="s">
        <v>61159</v>
      </c>
      <c r="C665" s="1108">
        <v>488</v>
      </c>
      <c r="GJ665" s="1108" t="s">
        <v>58710</v>
      </c>
      <c r="GK665" s="1108" t="s">
        <v>58709</v>
      </c>
    </row>
    <row r="666" spans="1:193">
      <c r="A666" s="1108" t="s">
        <v>61158</v>
      </c>
      <c r="B666" s="1108" t="s">
        <v>61157</v>
      </c>
      <c r="C666" s="1108">
        <v>399</v>
      </c>
      <c r="GJ666" s="1108" t="s">
        <v>58710</v>
      </c>
      <c r="GK666" s="1108" t="s">
        <v>58709</v>
      </c>
    </row>
    <row r="667" spans="1:193">
      <c r="A667" s="1108" t="s">
        <v>61156</v>
      </c>
      <c r="B667" s="1108" t="s">
        <v>61155</v>
      </c>
      <c r="C667" s="1108">
        <v>420</v>
      </c>
      <c r="GJ667" s="1108" t="s">
        <v>58710</v>
      </c>
      <c r="GK667" s="1108" t="s">
        <v>58709</v>
      </c>
    </row>
    <row r="668" spans="1:193">
      <c r="A668" s="1108" t="s">
        <v>61154</v>
      </c>
      <c r="B668" s="1108" t="s">
        <v>61153</v>
      </c>
      <c r="C668" s="1108">
        <v>268</v>
      </c>
      <c r="GJ668" s="1108" t="s">
        <v>58710</v>
      </c>
      <c r="GK668" s="1108" t="s">
        <v>58709</v>
      </c>
    </row>
    <row r="669" spans="1:193">
      <c r="A669" s="1108" t="s">
        <v>61152</v>
      </c>
      <c r="B669" s="1108" t="s">
        <v>61151</v>
      </c>
      <c r="C669" s="1108">
        <v>289</v>
      </c>
      <c r="GJ669" s="1108" t="s">
        <v>58710</v>
      </c>
      <c r="GK669" s="1108" t="s">
        <v>58709</v>
      </c>
    </row>
    <row r="670" spans="1:193">
      <c r="A670" s="1108" t="s">
        <v>61150</v>
      </c>
      <c r="B670" s="1108" t="s">
        <v>61149</v>
      </c>
      <c r="C670" s="1108">
        <v>559</v>
      </c>
      <c r="GJ670" s="1108" t="s">
        <v>58710</v>
      </c>
      <c r="GK670" s="1108" t="s">
        <v>58709</v>
      </c>
    </row>
    <row r="671" spans="1:193">
      <c r="A671" s="1108" t="s">
        <v>61148</v>
      </c>
      <c r="B671" s="1108" t="s">
        <v>61147</v>
      </c>
      <c r="C671" s="1108">
        <v>207</v>
      </c>
      <c r="GJ671" s="1108" t="s">
        <v>58710</v>
      </c>
      <c r="GK671" s="1108" t="s">
        <v>58709</v>
      </c>
    </row>
    <row r="672" spans="1:193">
      <c r="A672" s="1108" t="s">
        <v>61146</v>
      </c>
      <c r="B672" s="1108" t="s">
        <v>61145</v>
      </c>
      <c r="C672" s="1108">
        <v>94</v>
      </c>
      <c r="GJ672" s="1108" t="s">
        <v>58710</v>
      </c>
      <c r="GK672" s="1108" t="s">
        <v>58709</v>
      </c>
    </row>
    <row r="673" spans="1:193">
      <c r="A673" s="1108" t="s">
        <v>61144</v>
      </c>
      <c r="B673" s="1108" t="s">
        <v>61143</v>
      </c>
      <c r="C673" s="1108">
        <v>550</v>
      </c>
      <c r="GJ673" s="1108" t="s">
        <v>58710</v>
      </c>
      <c r="GK673" s="1108" t="s">
        <v>58709</v>
      </c>
    </row>
    <row r="674" spans="1:193">
      <c r="A674" s="1108" t="s">
        <v>61142</v>
      </c>
      <c r="B674" s="1108" t="s">
        <v>61141</v>
      </c>
      <c r="C674" s="1108">
        <v>392</v>
      </c>
      <c r="GJ674" s="1108" t="s">
        <v>58710</v>
      </c>
      <c r="GK674" s="1108" t="s">
        <v>58709</v>
      </c>
    </row>
    <row r="675" spans="1:193">
      <c r="A675" s="1108" t="s">
        <v>61140</v>
      </c>
      <c r="B675" s="1108" t="s">
        <v>61139</v>
      </c>
      <c r="C675" s="1108">
        <v>462</v>
      </c>
      <c r="GJ675" s="1108" t="s">
        <v>58710</v>
      </c>
      <c r="GK675" s="1108" t="s">
        <v>58709</v>
      </c>
    </row>
    <row r="676" spans="1:193">
      <c r="A676" s="1108" t="s">
        <v>61138</v>
      </c>
      <c r="B676" s="1108" t="s">
        <v>61137</v>
      </c>
      <c r="C676" s="1108">
        <v>479</v>
      </c>
      <c r="GJ676" s="1108" t="s">
        <v>58710</v>
      </c>
      <c r="GK676" s="1108" t="s">
        <v>58709</v>
      </c>
    </row>
    <row r="677" spans="1:193">
      <c r="A677" s="1108" t="s">
        <v>61136</v>
      </c>
      <c r="B677" s="1108" t="s">
        <v>61135</v>
      </c>
      <c r="C677" s="1108">
        <v>584</v>
      </c>
      <c r="GJ677" s="1108" t="s">
        <v>58710</v>
      </c>
      <c r="GK677" s="1108" t="s">
        <v>58709</v>
      </c>
    </row>
    <row r="678" spans="1:193">
      <c r="A678" s="1108" t="s">
        <v>61134</v>
      </c>
      <c r="B678" s="1108" t="s">
        <v>61133</v>
      </c>
      <c r="C678" s="1108">
        <v>91</v>
      </c>
      <c r="GJ678" s="1108" t="s">
        <v>58710</v>
      </c>
      <c r="GK678" s="1108" t="s">
        <v>58709</v>
      </c>
    </row>
    <row r="679" spans="1:193">
      <c r="A679" s="1108" t="s">
        <v>61132</v>
      </c>
      <c r="B679" s="1108" t="s">
        <v>61131</v>
      </c>
      <c r="C679" s="1108">
        <v>108</v>
      </c>
      <c r="GJ679" s="1108" t="s">
        <v>58710</v>
      </c>
      <c r="GK679" s="1108" t="s">
        <v>58709</v>
      </c>
    </row>
    <row r="680" spans="1:193">
      <c r="A680" s="1108" t="s">
        <v>61130</v>
      </c>
      <c r="B680" s="1108" t="s">
        <v>61129</v>
      </c>
      <c r="C680" s="1108">
        <v>58</v>
      </c>
      <c r="GJ680" s="1108" t="s">
        <v>58710</v>
      </c>
      <c r="GK680" s="1108" t="s">
        <v>58709</v>
      </c>
    </row>
    <row r="681" spans="1:193">
      <c r="A681" s="1108" t="s">
        <v>61128</v>
      </c>
      <c r="B681" s="1108" t="s">
        <v>61127</v>
      </c>
      <c r="C681" s="1108">
        <v>392</v>
      </c>
      <c r="GJ681" s="1108" t="s">
        <v>58710</v>
      </c>
      <c r="GK681" s="1108" t="s">
        <v>58709</v>
      </c>
    </row>
    <row r="682" spans="1:193">
      <c r="A682" s="1108" t="s">
        <v>61126</v>
      </c>
      <c r="B682" s="1108" t="s">
        <v>61125</v>
      </c>
      <c r="C682" s="1108">
        <v>504</v>
      </c>
      <c r="GJ682" s="1108" t="s">
        <v>58710</v>
      </c>
      <c r="GK682" s="1108" t="s">
        <v>58709</v>
      </c>
    </row>
    <row r="683" spans="1:193">
      <c r="A683" s="1108" t="s">
        <v>61124</v>
      </c>
      <c r="B683" s="1108" t="s">
        <v>61123</v>
      </c>
      <c r="C683" s="1108">
        <v>478</v>
      </c>
      <c r="GJ683" s="1108" t="s">
        <v>58710</v>
      </c>
      <c r="GK683" s="1108" t="s">
        <v>58709</v>
      </c>
    </row>
    <row r="684" spans="1:193">
      <c r="A684" s="1108" t="s">
        <v>61122</v>
      </c>
      <c r="B684" s="1108" t="s">
        <v>61121</v>
      </c>
      <c r="C684" s="1108">
        <v>147</v>
      </c>
      <c r="GJ684" s="1108" t="s">
        <v>58710</v>
      </c>
      <c r="GK684" s="1108" t="s">
        <v>58709</v>
      </c>
    </row>
    <row r="685" spans="1:193">
      <c r="A685" s="1108" t="s">
        <v>61120</v>
      </c>
      <c r="B685" s="1108" t="s">
        <v>61119</v>
      </c>
      <c r="C685" s="1108">
        <v>377</v>
      </c>
      <c r="GJ685" s="1108" t="s">
        <v>58710</v>
      </c>
      <c r="GK685" s="1108" t="s">
        <v>58709</v>
      </c>
    </row>
    <row r="686" spans="1:193">
      <c r="A686" s="1108" t="s">
        <v>61118</v>
      </c>
      <c r="B686" s="1108" t="s">
        <v>61117</v>
      </c>
      <c r="C686" s="1108">
        <v>365</v>
      </c>
      <c r="GJ686" s="1108" t="s">
        <v>58710</v>
      </c>
      <c r="GK686" s="1108" t="s">
        <v>58709</v>
      </c>
    </row>
    <row r="687" spans="1:193">
      <c r="A687" s="1108" t="s">
        <v>61116</v>
      </c>
      <c r="B687" s="1108" t="s">
        <v>61115</v>
      </c>
      <c r="C687" s="1108">
        <v>445</v>
      </c>
      <c r="GJ687" s="1108" t="s">
        <v>58710</v>
      </c>
      <c r="GK687" s="1108" t="s">
        <v>58709</v>
      </c>
    </row>
    <row r="688" spans="1:193">
      <c r="A688" s="1108" t="s">
        <v>61114</v>
      </c>
      <c r="B688" s="1108" t="s">
        <v>61113</v>
      </c>
      <c r="C688" s="1108">
        <v>474</v>
      </c>
      <c r="GJ688" s="1108" t="s">
        <v>58710</v>
      </c>
      <c r="GK688" s="1108" t="s">
        <v>58709</v>
      </c>
    </row>
    <row r="689" spans="1:193">
      <c r="A689" s="1108" t="s">
        <v>61112</v>
      </c>
      <c r="B689" s="1108" t="s">
        <v>61111</v>
      </c>
      <c r="C689" s="1108">
        <v>355</v>
      </c>
      <c r="GJ689" s="1108" t="s">
        <v>58710</v>
      </c>
      <c r="GK689" s="1108" t="s">
        <v>58709</v>
      </c>
    </row>
    <row r="690" spans="1:193">
      <c r="A690" s="1108" t="s">
        <v>61110</v>
      </c>
      <c r="B690" s="1108" t="s">
        <v>61109</v>
      </c>
      <c r="C690" s="1108">
        <v>372</v>
      </c>
      <c r="GJ690" s="1108" t="s">
        <v>58710</v>
      </c>
      <c r="GK690" s="1108" t="s">
        <v>58709</v>
      </c>
    </row>
    <row r="691" spans="1:193">
      <c r="A691" s="1108" t="s">
        <v>61108</v>
      </c>
      <c r="B691" s="1108" t="s">
        <v>61107</v>
      </c>
      <c r="C691" s="1108">
        <v>404</v>
      </c>
      <c r="GJ691" s="1108" t="s">
        <v>58710</v>
      </c>
      <c r="GK691" s="1108" t="s">
        <v>58709</v>
      </c>
    </row>
    <row r="692" spans="1:193">
      <c r="A692" s="1108" t="s">
        <v>61106</v>
      </c>
      <c r="B692" s="1108" t="s">
        <v>61105</v>
      </c>
      <c r="C692" s="1108">
        <v>129</v>
      </c>
      <c r="GJ692" s="1108" t="s">
        <v>58710</v>
      </c>
      <c r="GK692" s="1108" t="s">
        <v>58709</v>
      </c>
    </row>
    <row r="693" spans="1:193">
      <c r="A693" s="1108" t="s">
        <v>61104</v>
      </c>
      <c r="B693" s="1108" t="s">
        <v>61102</v>
      </c>
      <c r="C693" s="1108">
        <v>536</v>
      </c>
      <c r="GJ693" s="1108" t="s">
        <v>58710</v>
      </c>
      <c r="GK693" s="1108" t="s">
        <v>58709</v>
      </c>
    </row>
    <row r="694" spans="1:193">
      <c r="A694" s="1108" t="s">
        <v>61103</v>
      </c>
      <c r="B694" s="1108" t="s">
        <v>61102</v>
      </c>
      <c r="C694" s="1108">
        <v>546</v>
      </c>
      <c r="GJ694" s="1108" t="s">
        <v>58710</v>
      </c>
      <c r="GK694" s="1108" t="s">
        <v>58709</v>
      </c>
    </row>
    <row r="695" spans="1:193">
      <c r="A695" s="1108" t="s">
        <v>61101</v>
      </c>
      <c r="B695" s="1108" t="s">
        <v>61099</v>
      </c>
      <c r="C695" s="1108">
        <v>524</v>
      </c>
      <c r="GJ695" s="1108" t="s">
        <v>58710</v>
      </c>
      <c r="GK695" s="1108" t="s">
        <v>58709</v>
      </c>
    </row>
    <row r="696" spans="1:193">
      <c r="A696" s="1108" t="s">
        <v>61100</v>
      </c>
      <c r="B696" s="1108" t="s">
        <v>61099</v>
      </c>
      <c r="C696" s="1108">
        <v>537</v>
      </c>
      <c r="GJ696" s="1108" t="s">
        <v>58710</v>
      </c>
      <c r="GK696" s="1108" t="s">
        <v>58709</v>
      </c>
    </row>
    <row r="697" spans="1:193">
      <c r="A697" s="1108" t="s">
        <v>61098</v>
      </c>
      <c r="B697" s="1108" t="s">
        <v>61097</v>
      </c>
      <c r="C697" s="1108">
        <v>202</v>
      </c>
      <c r="GJ697" s="1108" t="s">
        <v>58710</v>
      </c>
      <c r="GK697" s="1108" t="s">
        <v>58709</v>
      </c>
    </row>
    <row r="698" spans="1:193">
      <c r="A698" s="1108" t="s">
        <v>61096</v>
      </c>
      <c r="B698" s="1108" t="s">
        <v>61095</v>
      </c>
      <c r="C698" s="1108">
        <v>134</v>
      </c>
      <c r="GJ698" s="1108" t="s">
        <v>58710</v>
      </c>
      <c r="GK698" s="1108" t="s">
        <v>58709</v>
      </c>
    </row>
    <row r="699" spans="1:193">
      <c r="A699" s="1108" t="s">
        <v>61094</v>
      </c>
      <c r="B699" s="1108" t="s">
        <v>61093</v>
      </c>
      <c r="C699" s="1108">
        <v>33</v>
      </c>
      <c r="GJ699" s="1108" t="s">
        <v>58710</v>
      </c>
      <c r="GK699" s="1108" t="s">
        <v>58709</v>
      </c>
    </row>
    <row r="700" spans="1:193">
      <c r="A700" s="1108" t="s">
        <v>61092</v>
      </c>
      <c r="B700" s="1108" t="s">
        <v>61091</v>
      </c>
      <c r="C700" s="1108">
        <v>210</v>
      </c>
      <c r="GJ700" s="1108" t="s">
        <v>58710</v>
      </c>
      <c r="GK700" s="1108" t="s">
        <v>58709</v>
      </c>
    </row>
    <row r="701" spans="1:193">
      <c r="A701" s="1108" t="s">
        <v>61090</v>
      </c>
      <c r="B701" s="1108" t="s">
        <v>61089</v>
      </c>
      <c r="C701" s="1108">
        <v>68</v>
      </c>
      <c r="GJ701" s="1108" t="s">
        <v>58710</v>
      </c>
      <c r="GK701" s="1108" t="s">
        <v>58709</v>
      </c>
    </row>
    <row r="702" spans="1:193">
      <c r="A702" s="1108" t="s">
        <v>61088</v>
      </c>
      <c r="B702" s="1108" t="s">
        <v>61087</v>
      </c>
      <c r="C702" s="1108">
        <v>44</v>
      </c>
      <c r="GJ702" s="1108" t="s">
        <v>58710</v>
      </c>
      <c r="GK702" s="1108" t="s">
        <v>58709</v>
      </c>
    </row>
    <row r="703" spans="1:193">
      <c r="A703" s="1108">
        <v>16298</v>
      </c>
      <c r="B703" s="1108" t="s">
        <v>61086</v>
      </c>
      <c r="C703" s="1108">
        <v>74</v>
      </c>
      <c r="GJ703" s="1108" t="s">
        <v>58710</v>
      </c>
      <c r="GK703" s="1108" t="s">
        <v>58709</v>
      </c>
    </row>
    <row r="704" spans="1:193">
      <c r="A704" s="1108" t="s">
        <v>61085</v>
      </c>
      <c r="B704" s="1108" t="s">
        <v>61084</v>
      </c>
      <c r="C704" s="1108">
        <v>68</v>
      </c>
      <c r="GJ704" s="1108" t="s">
        <v>58710</v>
      </c>
      <c r="GK704" s="1108" t="s">
        <v>58709</v>
      </c>
    </row>
    <row r="705" spans="1:193">
      <c r="A705" s="1108" t="s">
        <v>61083</v>
      </c>
      <c r="B705" s="1108" t="s">
        <v>61082</v>
      </c>
      <c r="C705" s="1108">
        <v>226</v>
      </c>
      <c r="GJ705" s="1108" t="s">
        <v>58710</v>
      </c>
      <c r="GK705" s="1108" t="s">
        <v>58709</v>
      </c>
    </row>
    <row r="706" spans="1:193">
      <c r="A706" s="1108" t="s">
        <v>61081</v>
      </c>
      <c r="B706" s="1108" t="s">
        <v>61080</v>
      </c>
      <c r="C706" s="1108">
        <v>205</v>
      </c>
      <c r="GJ706" s="1108" t="s">
        <v>58710</v>
      </c>
      <c r="GK706" s="1108" t="s">
        <v>58709</v>
      </c>
    </row>
    <row r="707" spans="1:193">
      <c r="A707" s="1108" t="s">
        <v>61079</v>
      </c>
      <c r="B707" s="1108" t="s">
        <v>61078</v>
      </c>
      <c r="C707" s="1108">
        <v>222</v>
      </c>
      <c r="GJ707" s="1108" t="s">
        <v>58710</v>
      </c>
      <c r="GK707" s="1108" t="s">
        <v>58709</v>
      </c>
    </row>
    <row r="708" spans="1:193">
      <c r="A708" s="1108" t="s">
        <v>61077</v>
      </c>
      <c r="B708" s="1108" t="s">
        <v>61076</v>
      </c>
      <c r="C708" s="1108">
        <v>110</v>
      </c>
      <c r="GJ708" s="1108" t="s">
        <v>58710</v>
      </c>
      <c r="GK708" s="1108" t="s">
        <v>58709</v>
      </c>
    </row>
    <row r="709" spans="1:193">
      <c r="A709" s="1108" t="s">
        <v>61075</v>
      </c>
      <c r="B709" s="1108" t="s">
        <v>61074</v>
      </c>
      <c r="C709" s="1108">
        <v>43</v>
      </c>
      <c r="GJ709" s="1108" t="s">
        <v>58710</v>
      </c>
      <c r="GK709" s="1108" t="s">
        <v>58709</v>
      </c>
    </row>
    <row r="710" spans="1:193">
      <c r="A710" s="1108" t="s">
        <v>61073</v>
      </c>
      <c r="B710" s="1108" t="s">
        <v>61072</v>
      </c>
      <c r="C710" s="1108">
        <v>233</v>
      </c>
      <c r="GJ710" s="1108" t="s">
        <v>58710</v>
      </c>
      <c r="GK710" s="1108" t="s">
        <v>58709</v>
      </c>
    </row>
    <row r="711" spans="1:193">
      <c r="A711" s="1108" t="s">
        <v>61071</v>
      </c>
      <c r="B711" s="1108" t="s">
        <v>61070</v>
      </c>
      <c r="C711" s="1108">
        <v>49</v>
      </c>
      <c r="GJ711" s="1108" t="s">
        <v>58710</v>
      </c>
      <c r="GK711" s="1108" t="s">
        <v>58709</v>
      </c>
    </row>
    <row r="712" spans="1:193">
      <c r="A712" s="1108" t="s">
        <v>61069</v>
      </c>
      <c r="B712" s="1108" t="s">
        <v>61068</v>
      </c>
      <c r="C712" s="1108">
        <v>85</v>
      </c>
      <c r="GJ712" s="1108" t="s">
        <v>58710</v>
      </c>
      <c r="GK712" s="1108" t="s">
        <v>58709</v>
      </c>
    </row>
    <row r="713" spans="1:193">
      <c r="A713" s="1108" t="s">
        <v>61067</v>
      </c>
      <c r="B713" s="1108" t="s">
        <v>61066</v>
      </c>
      <c r="C713" s="1108">
        <v>107</v>
      </c>
      <c r="GJ713" s="1108" t="s">
        <v>58710</v>
      </c>
      <c r="GK713" s="1108" t="s">
        <v>58709</v>
      </c>
    </row>
    <row r="714" spans="1:193">
      <c r="A714" s="1108" t="s">
        <v>61065</v>
      </c>
      <c r="B714" s="1108" t="s">
        <v>61064</v>
      </c>
      <c r="C714" s="1108">
        <v>135</v>
      </c>
      <c r="GJ714" s="1108" t="s">
        <v>58710</v>
      </c>
      <c r="GK714" s="1108" t="s">
        <v>58709</v>
      </c>
    </row>
    <row r="715" spans="1:193">
      <c r="A715" s="1108" t="s">
        <v>61063</v>
      </c>
      <c r="B715" s="1108" t="s">
        <v>61062</v>
      </c>
      <c r="C715" s="1108">
        <v>135</v>
      </c>
      <c r="GJ715" s="1108" t="s">
        <v>58710</v>
      </c>
      <c r="GK715" s="1108" t="s">
        <v>58709</v>
      </c>
    </row>
    <row r="716" spans="1:193">
      <c r="A716" s="1108" t="s">
        <v>61061</v>
      </c>
      <c r="B716" s="1108" t="s">
        <v>61060</v>
      </c>
      <c r="C716" s="1108">
        <v>18</v>
      </c>
      <c r="GJ716" s="1108" t="s">
        <v>58710</v>
      </c>
      <c r="GK716" s="1108" t="s">
        <v>58709</v>
      </c>
    </row>
    <row r="717" spans="1:193">
      <c r="A717" s="1108" t="s">
        <v>61059</v>
      </c>
      <c r="B717" s="1108" t="s">
        <v>61058</v>
      </c>
      <c r="C717" s="1108">
        <v>30</v>
      </c>
      <c r="GJ717" s="1108" t="s">
        <v>58710</v>
      </c>
      <c r="GK717" s="1108" t="s">
        <v>58709</v>
      </c>
    </row>
    <row r="718" spans="1:193">
      <c r="A718" s="1108" t="s">
        <v>61057</v>
      </c>
      <c r="B718" s="1108" t="s">
        <v>61056</v>
      </c>
      <c r="C718" s="1108">
        <v>33</v>
      </c>
      <c r="GJ718" s="1108" t="s">
        <v>58710</v>
      </c>
      <c r="GK718" s="1108" t="s">
        <v>58709</v>
      </c>
    </row>
    <row r="719" spans="1:193">
      <c r="A719" s="1108" t="s">
        <v>61055</v>
      </c>
      <c r="B719" s="1108" t="s">
        <v>61054</v>
      </c>
      <c r="C719" s="1108">
        <v>68</v>
      </c>
      <c r="GJ719" s="1108" t="s">
        <v>58710</v>
      </c>
      <c r="GK719" s="1108" t="s">
        <v>58709</v>
      </c>
    </row>
    <row r="720" spans="1:193">
      <c r="A720" s="1108" t="s">
        <v>61053</v>
      </c>
      <c r="B720" s="1108" t="s">
        <v>61052</v>
      </c>
      <c r="C720" s="1108">
        <v>47</v>
      </c>
      <c r="GJ720" s="1108" t="s">
        <v>58710</v>
      </c>
      <c r="GK720" s="1108" t="s">
        <v>58709</v>
      </c>
    </row>
    <row r="721" spans="1:193">
      <c r="A721" s="1108" t="s">
        <v>61051</v>
      </c>
      <c r="B721" s="1108" t="s">
        <v>61050</v>
      </c>
      <c r="C721" s="1108">
        <v>48</v>
      </c>
      <c r="GJ721" s="1108" t="s">
        <v>58710</v>
      </c>
      <c r="GK721" s="1108" t="s">
        <v>58709</v>
      </c>
    </row>
    <row r="722" spans="1:193">
      <c r="A722" s="1108" t="s">
        <v>61049</v>
      </c>
      <c r="B722" s="1108" t="s">
        <v>61048</v>
      </c>
      <c r="C722" s="1108">
        <v>79</v>
      </c>
      <c r="GJ722" s="1108" t="s">
        <v>58710</v>
      </c>
      <c r="GK722" s="1108" t="s">
        <v>58709</v>
      </c>
    </row>
    <row r="723" spans="1:193">
      <c r="A723" s="1108" t="s">
        <v>61047</v>
      </c>
      <c r="B723" s="1108" t="s">
        <v>61046</v>
      </c>
      <c r="C723" s="1108">
        <v>55</v>
      </c>
      <c r="GJ723" s="1108" t="s">
        <v>58710</v>
      </c>
      <c r="GK723" s="1108" t="s">
        <v>58709</v>
      </c>
    </row>
    <row r="724" spans="1:193">
      <c r="A724" s="1108" t="s">
        <v>61045</v>
      </c>
      <c r="B724" s="1108" t="s">
        <v>61044</v>
      </c>
      <c r="C724" s="1108">
        <v>273</v>
      </c>
      <c r="GJ724" s="1108" t="s">
        <v>58710</v>
      </c>
      <c r="GK724" s="1108" t="s">
        <v>58709</v>
      </c>
    </row>
    <row r="725" spans="1:193">
      <c r="A725" s="1108" t="s">
        <v>61043</v>
      </c>
      <c r="B725" s="1108" t="s">
        <v>61042</v>
      </c>
      <c r="C725" s="1108">
        <v>49</v>
      </c>
      <c r="GJ725" s="1108" t="s">
        <v>58710</v>
      </c>
      <c r="GK725" s="1108" t="s">
        <v>58709</v>
      </c>
    </row>
    <row r="726" spans="1:193">
      <c r="A726" s="1108" t="s">
        <v>61041</v>
      </c>
      <c r="B726" s="1108" t="s">
        <v>61040</v>
      </c>
      <c r="C726" s="1108">
        <v>48</v>
      </c>
      <c r="GJ726" s="1108" t="s">
        <v>58710</v>
      </c>
      <c r="GK726" s="1108" t="s">
        <v>58709</v>
      </c>
    </row>
    <row r="727" spans="1:193">
      <c r="A727" s="1108" t="s">
        <v>61039</v>
      </c>
      <c r="B727" s="1108" t="s">
        <v>61038</v>
      </c>
      <c r="C727" s="1108">
        <v>53</v>
      </c>
      <c r="GJ727" s="1108" t="s">
        <v>58710</v>
      </c>
      <c r="GK727" s="1108" t="s">
        <v>58709</v>
      </c>
    </row>
    <row r="728" spans="1:193">
      <c r="A728" s="1108" t="s">
        <v>61037</v>
      </c>
      <c r="B728" s="1108" t="s">
        <v>61036</v>
      </c>
      <c r="C728" s="1108">
        <v>38</v>
      </c>
      <c r="GJ728" s="1108" t="s">
        <v>58710</v>
      </c>
      <c r="GK728" s="1108" t="s">
        <v>58709</v>
      </c>
    </row>
    <row r="729" spans="1:193">
      <c r="A729" s="1108" t="s">
        <v>61035</v>
      </c>
      <c r="B729" s="1108" t="s">
        <v>61034</v>
      </c>
      <c r="C729" s="1108">
        <v>46</v>
      </c>
      <c r="GJ729" s="1108" t="s">
        <v>58710</v>
      </c>
      <c r="GK729" s="1108" t="s">
        <v>58709</v>
      </c>
    </row>
    <row r="730" spans="1:193">
      <c r="A730" s="1108" t="s">
        <v>61033</v>
      </c>
      <c r="B730" s="1108" t="s">
        <v>61032</v>
      </c>
      <c r="C730" s="1108">
        <v>107</v>
      </c>
      <c r="GJ730" s="1108" t="s">
        <v>58710</v>
      </c>
      <c r="GK730" s="1108" t="s">
        <v>58709</v>
      </c>
    </row>
    <row r="731" spans="1:193">
      <c r="A731" s="1108" t="s">
        <v>61031</v>
      </c>
      <c r="B731" s="1108" t="s">
        <v>61030</v>
      </c>
      <c r="C731" s="1108">
        <v>48</v>
      </c>
      <c r="GJ731" s="1108" t="s">
        <v>58710</v>
      </c>
      <c r="GK731" s="1108" t="s">
        <v>58709</v>
      </c>
    </row>
    <row r="732" spans="1:193">
      <c r="A732" s="1108" t="s">
        <v>61029</v>
      </c>
      <c r="B732" s="1108" t="s">
        <v>61028</v>
      </c>
      <c r="C732" s="1108">
        <v>48</v>
      </c>
      <c r="GJ732" s="1108" t="s">
        <v>58710</v>
      </c>
      <c r="GK732" s="1108" t="s">
        <v>58709</v>
      </c>
    </row>
    <row r="733" spans="1:193">
      <c r="A733" s="1108" t="s">
        <v>61027</v>
      </c>
      <c r="B733" s="1108" t="s">
        <v>61026</v>
      </c>
      <c r="C733" s="1108">
        <v>65</v>
      </c>
      <c r="GJ733" s="1108" t="s">
        <v>58710</v>
      </c>
      <c r="GK733" s="1108" t="s">
        <v>58709</v>
      </c>
    </row>
    <row r="734" spans="1:193">
      <c r="A734" s="1108" t="s">
        <v>61025</v>
      </c>
      <c r="B734" s="1108" t="s">
        <v>61024</v>
      </c>
      <c r="C734" s="1108">
        <v>124</v>
      </c>
      <c r="GJ734" s="1108" t="s">
        <v>58710</v>
      </c>
      <c r="GK734" s="1108" t="s">
        <v>58709</v>
      </c>
    </row>
    <row r="735" spans="1:193">
      <c r="A735" s="1108" t="s">
        <v>61023</v>
      </c>
      <c r="B735" s="1108" t="s">
        <v>61022</v>
      </c>
      <c r="C735" s="1108">
        <v>61</v>
      </c>
      <c r="GJ735" s="1108" t="s">
        <v>58710</v>
      </c>
      <c r="GK735" s="1108" t="s">
        <v>58709</v>
      </c>
    </row>
    <row r="736" spans="1:193">
      <c r="A736" s="1108" t="s">
        <v>61021</v>
      </c>
      <c r="B736" s="1108" t="s">
        <v>61020</v>
      </c>
      <c r="C736" s="1108">
        <v>70</v>
      </c>
      <c r="GJ736" s="1108" t="s">
        <v>58710</v>
      </c>
      <c r="GK736" s="1108" t="s">
        <v>58709</v>
      </c>
    </row>
    <row r="737" spans="1:193">
      <c r="A737" s="1108" t="s">
        <v>61019</v>
      </c>
      <c r="B737" s="1108" t="s">
        <v>61018</v>
      </c>
      <c r="C737" s="1108">
        <v>75</v>
      </c>
      <c r="GJ737" s="1108" t="s">
        <v>58710</v>
      </c>
      <c r="GK737" s="1108" t="s">
        <v>58709</v>
      </c>
    </row>
    <row r="738" spans="1:193">
      <c r="A738" s="1108" t="s">
        <v>61017</v>
      </c>
      <c r="B738" s="1108" t="s">
        <v>61016</v>
      </c>
      <c r="C738" s="1108">
        <v>158</v>
      </c>
      <c r="GJ738" s="1108" t="s">
        <v>58710</v>
      </c>
      <c r="GK738" s="1108" t="s">
        <v>58709</v>
      </c>
    </row>
    <row r="739" spans="1:193">
      <c r="A739" s="1108" t="s">
        <v>61015</v>
      </c>
      <c r="B739" s="1108" t="s">
        <v>61014</v>
      </c>
      <c r="C739" s="1108">
        <v>48</v>
      </c>
      <c r="GJ739" s="1108" t="s">
        <v>58710</v>
      </c>
      <c r="GK739" s="1108" t="s">
        <v>58709</v>
      </c>
    </row>
    <row r="740" spans="1:193">
      <c r="A740" s="1108" t="s">
        <v>61013</v>
      </c>
      <c r="B740" s="1108" t="s">
        <v>61012</v>
      </c>
      <c r="C740" s="1108">
        <v>385</v>
      </c>
      <c r="GJ740" s="1108" t="s">
        <v>58710</v>
      </c>
      <c r="GK740" s="1108" t="s">
        <v>58709</v>
      </c>
    </row>
    <row r="741" spans="1:193">
      <c r="A741" s="1108" t="s">
        <v>61011</v>
      </c>
      <c r="B741" s="1108" t="s">
        <v>61010</v>
      </c>
      <c r="C741" s="1108">
        <v>410</v>
      </c>
      <c r="GJ741" s="1108" t="s">
        <v>58710</v>
      </c>
      <c r="GK741" s="1108" t="s">
        <v>58709</v>
      </c>
    </row>
    <row r="742" spans="1:193">
      <c r="A742" s="1108" t="s">
        <v>61009</v>
      </c>
      <c r="B742" s="1108" t="s">
        <v>61008</v>
      </c>
      <c r="C742" s="1108">
        <v>324</v>
      </c>
      <c r="GJ742" s="1108" t="s">
        <v>58710</v>
      </c>
      <c r="GK742" s="1108" t="s">
        <v>58709</v>
      </c>
    </row>
    <row r="743" spans="1:193">
      <c r="A743" s="1108" t="s">
        <v>61007</v>
      </c>
      <c r="B743" s="1108" t="s">
        <v>61006</v>
      </c>
      <c r="C743" s="1108">
        <v>147</v>
      </c>
      <c r="GJ743" s="1108" t="s">
        <v>58710</v>
      </c>
      <c r="GK743" s="1108" t="s">
        <v>58709</v>
      </c>
    </row>
    <row r="744" spans="1:193">
      <c r="A744" s="1108" t="s">
        <v>61005</v>
      </c>
      <c r="B744" s="1108" t="s">
        <v>61004</v>
      </c>
      <c r="C744" s="1108">
        <v>75</v>
      </c>
      <c r="GJ744" s="1108" t="s">
        <v>58710</v>
      </c>
      <c r="GK744" s="1108" t="s">
        <v>58709</v>
      </c>
    </row>
    <row r="745" spans="1:193">
      <c r="A745" s="1108">
        <v>19416</v>
      </c>
      <c r="B745" s="1108" t="s">
        <v>61003</v>
      </c>
      <c r="C745" s="1108">
        <v>42</v>
      </c>
      <c r="GJ745" s="1108" t="s">
        <v>58710</v>
      </c>
      <c r="GK745" s="1108" t="s">
        <v>58709</v>
      </c>
    </row>
    <row r="746" spans="1:193">
      <c r="A746" s="1108" t="s">
        <v>61002</v>
      </c>
      <c r="B746" s="1108" t="s">
        <v>61001</v>
      </c>
      <c r="C746" s="1108">
        <v>34</v>
      </c>
      <c r="GJ746" s="1108" t="s">
        <v>58710</v>
      </c>
      <c r="GK746" s="1108" t="s">
        <v>58709</v>
      </c>
    </row>
    <row r="747" spans="1:193">
      <c r="A747" s="1108" t="s">
        <v>61000</v>
      </c>
      <c r="B747" s="1108" t="s">
        <v>60999</v>
      </c>
      <c r="C747" s="1108">
        <v>19</v>
      </c>
      <c r="GJ747" s="1108" t="s">
        <v>58710</v>
      </c>
      <c r="GK747" s="1108" t="s">
        <v>58709</v>
      </c>
    </row>
    <row r="748" spans="1:193">
      <c r="A748" s="1108" t="s">
        <v>60998</v>
      </c>
      <c r="B748" s="1108" t="s">
        <v>60997</v>
      </c>
      <c r="C748" s="1108">
        <v>12</v>
      </c>
      <c r="GJ748" s="1108" t="s">
        <v>58710</v>
      </c>
      <c r="GK748" s="1108" t="s">
        <v>58709</v>
      </c>
    </row>
    <row r="749" spans="1:193">
      <c r="A749" s="1108" t="s">
        <v>60996</v>
      </c>
      <c r="B749" s="1108" t="s">
        <v>60995</v>
      </c>
      <c r="C749" s="1108">
        <v>45</v>
      </c>
      <c r="GJ749" s="1108" t="s">
        <v>58710</v>
      </c>
      <c r="GK749" s="1108" t="s">
        <v>58709</v>
      </c>
    </row>
    <row r="750" spans="1:193">
      <c r="A750" s="1108" t="s">
        <v>60994</v>
      </c>
      <c r="B750" s="1108" t="s">
        <v>60993</v>
      </c>
      <c r="C750" s="1108">
        <v>59</v>
      </c>
      <c r="GJ750" s="1108" t="s">
        <v>58710</v>
      </c>
      <c r="GK750" s="1108" t="s">
        <v>58709</v>
      </c>
    </row>
    <row r="751" spans="1:193">
      <c r="A751" s="1108" t="s">
        <v>60992</v>
      </c>
      <c r="B751" s="1108" t="s">
        <v>60991</v>
      </c>
      <c r="C751" s="1108">
        <v>59</v>
      </c>
      <c r="GJ751" s="1108" t="s">
        <v>58710</v>
      </c>
      <c r="GK751" s="1108" t="s">
        <v>58709</v>
      </c>
    </row>
    <row r="752" spans="1:193">
      <c r="A752" s="1108" t="s">
        <v>60990</v>
      </c>
      <c r="B752" s="1108" t="s">
        <v>60989</v>
      </c>
      <c r="C752" s="1108">
        <v>118</v>
      </c>
      <c r="GJ752" s="1108" t="s">
        <v>58710</v>
      </c>
      <c r="GK752" s="1108" t="s">
        <v>58709</v>
      </c>
    </row>
    <row r="753" spans="1:193">
      <c r="A753" s="1108" t="s">
        <v>60988</v>
      </c>
      <c r="B753" s="1108" t="s">
        <v>60987</v>
      </c>
      <c r="C753" s="1108">
        <v>126</v>
      </c>
      <c r="GJ753" s="1108" t="s">
        <v>58710</v>
      </c>
      <c r="GK753" s="1108" t="s">
        <v>58709</v>
      </c>
    </row>
    <row r="754" spans="1:193">
      <c r="A754" s="1108" t="s">
        <v>60986</v>
      </c>
      <c r="B754" s="1108" t="s">
        <v>60985</v>
      </c>
      <c r="C754" s="1108">
        <v>64</v>
      </c>
      <c r="GJ754" s="1108" t="s">
        <v>58710</v>
      </c>
      <c r="GK754" s="1108" t="s">
        <v>58709</v>
      </c>
    </row>
    <row r="755" spans="1:193">
      <c r="A755" s="1108" t="s">
        <v>60984</v>
      </c>
      <c r="B755" s="1108" t="s">
        <v>60983</v>
      </c>
      <c r="C755" s="1108">
        <v>64</v>
      </c>
      <c r="GJ755" s="1108" t="s">
        <v>58710</v>
      </c>
      <c r="GK755" s="1108" t="s">
        <v>58709</v>
      </c>
    </row>
    <row r="756" spans="1:193">
      <c r="A756" s="1108" t="s">
        <v>60982</v>
      </c>
      <c r="B756" s="1108" t="s">
        <v>60981</v>
      </c>
      <c r="C756" s="1108">
        <v>50</v>
      </c>
      <c r="GJ756" s="1108" t="s">
        <v>58710</v>
      </c>
      <c r="GK756" s="1108" t="s">
        <v>58709</v>
      </c>
    </row>
    <row r="757" spans="1:193">
      <c r="A757" s="1108" t="s">
        <v>60980</v>
      </c>
      <c r="B757" s="1108" t="s">
        <v>60979</v>
      </c>
      <c r="C757" s="1108">
        <v>636</v>
      </c>
      <c r="GJ757" s="1108" t="s">
        <v>58710</v>
      </c>
      <c r="GK757" s="1108" t="s">
        <v>58709</v>
      </c>
    </row>
    <row r="758" spans="1:193">
      <c r="A758" s="1108" t="s">
        <v>60978</v>
      </c>
      <c r="B758" s="1108" t="s">
        <v>60977</v>
      </c>
      <c r="C758" s="1108">
        <v>690</v>
      </c>
      <c r="GJ758" s="1108" t="s">
        <v>58710</v>
      </c>
      <c r="GK758" s="1108" t="s">
        <v>58709</v>
      </c>
    </row>
    <row r="759" spans="1:193">
      <c r="A759" s="1108" t="s">
        <v>60976</v>
      </c>
      <c r="B759" s="1108" t="s">
        <v>60975</v>
      </c>
      <c r="C759" s="1108">
        <v>708</v>
      </c>
      <c r="GJ759" s="1108" t="s">
        <v>58710</v>
      </c>
      <c r="GK759" s="1108" t="s">
        <v>58709</v>
      </c>
    </row>
    <row r="760" spans="1:193">
      <c r="A760" s="1108" t="s">
        <v>60974</v>
      </c>
      <c r="B760" s="1108" t="s">
        <v>60973</v>
      </c>
      <c r="C760" s="1108">
        <v>1366</v>
      </c>
      <c r="GJ760" s="1108" t="s">
        <v>58710</v>
      </c>
      <c r="GK760" s="1108" t="s">
        <v>58709</v>
      </c>
    </row>
    <row r="761" spans="1:193">
      <c r="A761" s="1108" t="s">
        <v>60972</v>
      </c>
      <c r="B761" s="1108" t="s">
        <v>60971</v>
      </c>
      <c r="C761" s="1108">
        <v>2040</v>
      </c>
      <c r="GJ761" s="1108" t="s">
        <v>58710</v>
      </c>
      <c r="GK761" s="1108" t="s">
        <v>58709</v>
      </c>
    </row>
    <row r="762" spans="1:193">
      <c r="A762" s="1108" t="s">
        <v>60970</v>
      </c>
      <c r="B762" s="1108" t="s">
        <v>60969</v>
      </c>
      <c r="C762" s="1108">
        <v>174</v>
      </c>
      <c r="GJ762" s="1108" t="s">
        <v>58710</v>
      </c>
      <c r="GK762" s="1108" t="s">
        <v>58709</v>
      </c>
    </row>
    <row r="763" spans="1:193">
      <c r="A763" s="1108" t="s">
        <v>60968</v>
      </c>
      <c r="B763" s="1108" t="s">
        <v>60967</v>
      </c>
      <c r="C763" s="1108">
        <v>246</v>
      </c>
      <c r="GJ763" s="1108" t="s">
        <v>58710</v>
      </c>
      <c r="GK763" s="1108" t="s">
        <v>58709</v>
      </c>
    </row>
    <row r="764" spans="1:193">
      <c r="A764" s="1108" t="s">
        <v>60966</v>
      </c>
      <c r="B764" s="1108" t="s">
        <v>60965</v>
      </c>
      <c r="C764" s="1108">
        <v>198</v>
      </c>
      <c r="GJ764" s="1108" t="s">
        <v>58710</v>
      </c>
      <c r="GK764" s="1108" t="s">
        <v>58709</v>
      </c>
    </row>
    <row r="765" spans="1:193">
      <c r="A765" s="1108" t="s">
        <v>60964</v>
      </c>
      <c r="B765" s="1108" t="s">
        <v>60963</v>
      </c>
      <c r="C765" s="1108">
        <v>42</v>
      </c>
      <c r="GJ765" s="1108" t="s">
        <v>58710</v>
      </c>
      <c r="GK765" s="1108" t="s">
        <v>58709</v>
      </c>
    </row>
    <row r="766" spans="1:193">
      <c r="A766" s="1108" t="s">
        <v>60962</v>
      </c>
      <c r="B766" s="1108" t="s">
        <v>60961</v>
      </c>
      <c r="C766" s="1108">
        <v>323</v>
      </c>
      <c r="GJ766" s="1108" t="s">
        <v>58710</v>
      </c>
      <c r="GK766" s="1108" t="s">
        <v>58709</v>
      </c>
    </row>
    <row r="767" spans="1:193">
      <c r="A767" s="1108" t="s">
        <v>60960</v>
      </c>
      <c r="B767" s="1108" t="s">
        <v>60959</v>
      </c>
      <c r="C767" s="1108">
        <v>152</v>
      </c>
      <c r="GJ767" s="1108" t="s">
        <v>58710</v>
      </c>
      <c r="GK767" s="1108" t="s">
        <v>58709</v>
      </c>
    </row>
    <row r="768" spans="1:193">
      <c r="A768" s="1108" t="s">
        <v>60958</v>
      </c>
      <c r="B768" s="1108" t="s">
        <v>60957</v>
      </c>
      <c r="C768" s="1108">
        <v>1022</v>
      </c>
      <c r="GJ768" s="1108" t="s">
        <v>58710</v>
      </c>
      <c r="GK768" s="1108" t="s">
        <v>58709</v>
      </c>
    </row>
    <row r="769" spans="1:193">
      <c r="A769" s="1108" t="s">
        <v>60956</v>
      </c>
      <c r="B769" s="1108" t="s">
        <v>60955</v>
      </c>
      <c r="C769" s="1108">
        <v>915</v>
      </c>
      <c r="GJ769" s="1108" t="s">
        <v>58710</v>
      </c>
      <c r="GK769" s="1108" t="s">
        <v>58709</v>
      </c>
    </row>
    <row r="770" spans="1:193">
      <c r="A770" s="1108" t="s">
        <v>60954</v>
      </c>
      <c r="B770" s="1108" t="s">
        <v>60953</v>
      </c>
      <c r="C770" s="1108">
        <v>159</v>
      </c>
      <c r="GJ770" s="1108" t="s">
        <v>58710</v>
      </c>
      <c r="GK770" s="1108" t="s">
        <v>58709</v>
      </c>
    </row>
    <row r="771" spans="1:193">
      <c r="A771" s="1108" t="s">
        <v>60952</v>
      </c>
      <c r="B771" s="1108" t="s">
        <v>60951</v>
      </c>
      <c r="C771" s="1108">
        <v>104</v>
      </c>
      <c r="GJ771" s="1108" t="s">
        <v>58710</v>
      </c>
      <c r="GK771" s="1108" t="s">
        <v>58709</v>
      </c>
    </row>
    <row r="772" spans="1:193">
      <c r="A772" s="1108" t="s">
        <v>60950</v>
      </c>
      <c r="B772" s="1108" t="s">
        <v>60949</v>
      </c>
      <c r="C772" s="1108">
        <v>769</v>
      </c>
      <c r="GJ772" s="1108" t="s">
        <v>58710</v>
      </c>
      <c r="GK772" s="1108" t="s">
        <v>58709</v>
      </c>
    </row>
    <row r="773" spans="1:193">
      <c r="A773" s="1108" t="s">
        <v>60948</v>
      </c>
      <c r="B773" s="1108" t="s">
        <v>60947</v>
      </c>
      <c r="C773" s="1108">
        <v>425</v>
      </c>
      <c r="GJ773" s="1108" t="s">
        <v>58710</v>
      </c>
      <c r="GK773" s="1108" t="s">
        <v>58709</v>
      </c>
    </row>
    <row r="774" spans="1:193">
      <c r="A774" s="1108" t="s">
        <v>60946</v>
      </c>
      <c r="B774" s="1108" t="s">
        <v>60945</v>
      </c>
      <c r="C774" s="1108">
        <v>425</v>
      </c>
      <c r="GJ774" s="1108" t="s">
        <v>58710</v>
      </c>
      <c r="GK774" s="1108" t="s">
        <v>58709</v>
      </c>
    </row>
    <row r="775" spans="1:193">
      <c r="A775" s="1108" t="s">
        <v>60944</v>
      </c>
      <c r="B775" s="1108" t="s">
        <v>60943</v>
      </c>
      <c r="C775" s="1108">
        <v>425</v>
      </c>
      <c r="GJ775" s="1108" t="s">
        <v>58710</v>
      </c>
      <c r="GK775" s="1108" t="s">
        <v>58709</v>
      </c>
    </row>
    <row r="776" spans="1:193">
      <c r="A776" s="1108" t="s">
        <v>60942</v>
      </c>
      <c r="B776" s="1108" t="s">
        <v>60941</v>
      </c>
      <c r="C776" s="1108">
        <v>66</v>
      </c>
      <c r="GJ776" s="1108" t="s">
        <v>58710</v>
      </c>
      <c r="GK776" s="1108" t="s">
        <v>58709</v>
      </c>
    </row>
    <row r="777" spans="1:193">
      <c r="A777" s="1108" t="s">
        <v>60940</v>
      </c>
      <c r="B777" s="1108" t="s">
        <v>60939</v>
      </c>
      <c r="C777" s="1108">
        <v>97</v>
      </c>
      <c r="GJ777" s="1108" t="s">
        <v>58710</v>
      </c>
      <c r="GK777" s="1108" t="s">
        <v>58709</v>
      </c>
    </row>
    <row r="778" spans="1:193">
      <c r="A778" s="1108" t="s">
        <v>60938</v>
      </c>
      <c r="B778" s="1108" t="s">
        <v>60937</v>
      </c>
      <c r="C778" s="1108">
        <v>135</v>
      </c>
      <c r="GJ778" s="1108" t="s">
        <v>58710</v>
      </c>
      <c r="GK778" s="1108" t="s">
        <v>58709</v>
      </c>
    </row>
    <row r="779" spans="1:193">
      <c r="A779" s="1108" t="s">
        <v>60936</v>
      </c>
      <c r="B779" s="1108" t="s">
        <v>60935</v>
      </c>
      <c r="C779" s="1108">
        <v>1065</v>
      </c>
      <c r="GJ779" s="1108" t="s">
        <v>58710</v>
      </c>
      <c r="GK779" s="1108" t="s">
        <v>58709</v>
      </c>
    </row>
    <row r="780" spans="1:193">
      <c r="A780" s="1108" t="s">
        <v>60934</v>
      </c>
      <c r="B780" s="1108" t="s">
        <v>60933</v>
      </c>
      <c r="C780" s="1108">
        <v>1247</v>
      </c>
      <c r="GJ780" s="1108" t="s">
        <v>58710</v>
      </c>
      <c r="GK780" s="1108" t="s">
        <v>58709</v>
      </c>
    </row>
    <row r="781" spans="1:193">
      <c r="A781" s="1108" t="s">
        <v>60932</v>
      </c>
      <c r="B781" s="1108" t="s">
        <v>60931</v>
      </c>
      <c r="C781" s="1108">
        <v>1238</v>
      </c>
      <c r="GJ781" s="1108" t="s">
        <v>58710</v>
      </c>
      <c r="GK781" s="1108" t="s">
        <v>58709</v>
      </c>
    </row>
    <row r="782" spans="1:193">
      <c r="A782" s="1108" t="s">
        <v>60930</v>
      </c>
      <c r="B782" s="1108" t="s">
        <v>60929</v>
      </c>
      <c r="C782" s="1108">
        <v>949</v>
      </c>
      <c r="GJ782" s="1108" t="s">
        <v>58710</v>
      </c>
      <c r="GK782" s="1108" t="s">
        <v>58709</v>
      </c>
    </row>
    <row r="783" spans="1:193">
      <c r="A783" s="1108" t="s">
        <v>60928</v>
      </c>
      <c r="B783" s="1108" t="s">
        <v>60927</v>
      </c>
      <c r="C783" s="1108">
        <v>1053</v>
      </c>
      <c r="GJ783" s="1108" t="s">
        <v>58710</v>
      </c>
      <c r="GK783" s="1108" t="s">
        <v>58709</v>
      </c>
    </row>
    <row r="784" spans="1:193">
      <c r="A784" s="1108" t="s">
        <v>60926</v>
      </c>
      <c r="B784" s="1108" t="s">
        <v>60925</v>
      </c>
      <c r="C784" s="1108">
        <v>1294</v>
      </c>
      <c r="GJ784" s="1108" t="s">
        <v>58710</v>
      </c>
      <c r="GK784" s="1108" t="s">
        <v>58709</v>
      </c>
    </row>
    <row r="785" spans="1:193">
      <c r="A785" s="1108" t="s">
        <v>60924</v>
      </c>
      <c r="B785" s="1108" t="s">
        <v>60923</v>
      </c>
      <c r="C785" s="1108">
        <v>1792</v>
      </c>
      <c r="GJ785" s="1108" t="s">
        <v>58710</v>
      </c>
      <c r="GK785" s="1108" t="s">
        <v>58709</v>
      </c>
    </row>
    <row r="786" spans="1:193">
      <c r="A786" s="1108" t="s">
        <v>60922</v>
      </c>
      <c r="B786" s="1108" t="s">
        <v>60921</v>
      </c>
      <c r="C786" s="1108">
        <v>1061</v>
      </c>
      <c r="GJ786" s="1108" t="s">
        <v>58710</v>
      </c>
      <c r="GK786" s="1108" t="s">
        <v>58709</v>
      </c>
    </row>
    <row r="787" spans="1:193">
      <c r="A787" s="1108" t="s">
        <v>60920</v>
      </c>
      <c r="B787" s="1108" t="s">
        <v>60919</v>
      </c>
      <c r="C787" s="1108">
        <v>1220</v>
      </c>
      <c r="GJ787" s="1108" t="s">
        <v>58710</v>
      </c>
      <c r="GK787" s="1108" t="s">
        <v>58709</v>
      </c>
    </row>
    <row r="788" spans="1:193">
      <c r="A788" s="1108" t="s">
        <v>60918</v>
      </c>
      <c r="B788" s="1108" t="s">
        <v>60917</v>
      </c>
      <c r="C788" s="1108">
        <v>1448</v>
      </c>
      <c r="GJ788" s="1108" t="s">
        <v>58710</v>
      </c>
      <c r="GK788" s="1108" t="s">
        <v>58709</v>
      </c>
    </row>
    <row r="789" spans="1:193">
      <c r="A789" s="1108" t="s">
        <v>60916</v>
      </c>
      <c r="B789" s="1108" t="s">
        <v>60915</v>
      </c>
      <c r="C789" s="1108">
        <v>1213</v>
      </c>
      <c r="GJ789" s="1108" t="s">
        <v>58710</v>
      </c>
      <c r="GK789" s="1108" t="s">
        <v>58709</v>
      </c>
    </row>
    <row r="790" spans="1:193">
      <c r="A790" s="1108" t="s">
        <v>60914</v>
      </c>
      <c r="B790" s="1108" t="s">
        <v>60913</v>
      </c>
      <c r="C790" s="1108">
        <v>1810</v>
      </c>
      <c r="GJ790" s="1108" t="s">
        <v>58710</v>
      </c>
      <c r="GK790" s="1108" t="s">
        <v>58709</v>
      </c>
    </row>
    <row r="791" spans="1:193">
      <c r="A791" s="1108" t="s">
        <v>60912</v>
      </c>
      <c r="B791" s="1108" t="s">
        <v>60911</v>
      </c>
      <c r="C791" s="1108">
        <v>1181</v>
      </c>
      <c r="GJ791" s="1108" t="s">
        <v>58710</v>
      </c>
      <c r="GK791" s="1108" t="s">
        <v>58709</v>
      </c>
    </row>
    <row r="792" spans="1:193">
      <c r="A792" s="1108" t="s">
        <v>60910</v>
      </c>
      <c r="B792" s="1108" t="s">
        <v>60909</v>
      </c>
      <c r="C792" s="1108">
        <v>813</v>
      </c>
      <c r="GJ792" s="1108" t="s">
        <v>58710</v>
      </c>
      <c r="GK792" s="1108" t="s">
        <v>58709</v>
      </c>
    </row>
    <row r="793" spans="1:193">
      <c r="A793" s="1108" t="s">
        <v>60908</v>
      </c>
      <c r="B793" s="1108" t="s">
        <v>60907</v>
      </c>
      <c r="C793" s="1108">
        <v>1001</v>
      </c>
      <c r="GJ793" s="1108" t="s">
        <v>58710</v>
      </c>
      <c r="GK793" s="1108" t="s">
        <v>58709</v>
      </c>
    </row>
    <row r="794" spans="1:193">
      <c r="A794" s="1108" t="s">
        <v>60906</v>
      </c>
      <c r="B794" s="1108" t="s">
        <v>60905</v>
      </c>
      <c r="C794" s="1108">
        <v>1289</v>
      </c>
      <c r="GJ794" s="1108" t="s">
        <v>58710</v>
      </c>
      <c r="GK794" s="1108" t="s">
        <v>58709</v>
      </c>
    </row>
    <row r="795" spans="1:193">
      <c r="A795" s="1108" t="s">
        <v>60904</v>
      </c>
      <c r="B795" s="1108" t="s">
        <v>60903</v>
      </c>
      <c r="C795" s="1108">
        <v>1289</v>
      </c>
      <c r="GJ795" s="1108" t="s">
        <v>58710</v>
      </c>
      <c r="GK795" s="1108" t="s">
        <v>58709</v>
      </c>
    </row>
    <row r="796" spans="1:193">
      <c r="A796" s="1108" t="s">
        <v>60902</v>
      </c>
      <c r="B796" s="1108" t="s">
        <v>60901</v>
      </c>
      <c r="C796" s="1108">
        <v>1289</v>
      </c>
      <c r="GJ796" s="1108" t="s">
        <v>58710</v>
      </c>
      <c r="GK796" s="1108" t="s">
        <v>58709</v>
      </c>
    </row>
    <row r="797" spans="1:193">
      <c r="A797" s="1108" t="s">
        <v>60900</v>
      </c>
      <c r="B797" s="1108" t="s">
        <v>60899</v>
      </c>
      <c r="C797" s="1108">
        <v>1289</v>
      </c>
      <c r="GJ797" s="1108" t="s">
        <v>58710</v>
      </c>
      <c r="GK797" s="1108" t="s">
        <v>58709</v>
      </c>
    </row>
    <row r="798" spans="1:193">
      <c r="A798" s="1108" t="s">
        <v>60898</v>
      </c>
      <c r="B798" s="1108" t="s">
        <v>60897</v>
      </c>
      <c r="C798" s="1108">
        <v>1740</v>
      </c>
      <c r="GJ798" s="1108" t="s">
        <v>58710</v>
      </c>
      <c r="GK798" s="1108" t="s">
        <v>58709</v>
      </c>
    </row>
    <row r="799" spans="1:193">
      <c r="A799" s="1108" t="s">
        <v>60896</v>
      </c>
      <c r="B799" s="1108" t="s">
        <v>60895</v>
      </c>
      <c r="C799" s="1108">
        <v>1878</v>
      </c>
      <c r="GJ799" s="1108" t="s">
        <v>58710</v>
      </c>
      <c r="GK799" s="1108" t="s">
        <v>58709</v>
      </c>
    </row>
    <row r="800" spans="1:193">
      <c r="A800" s="1108" t="s">
        <v>60894</v>
      </c>
      <c r="B800" s="1108" t="s">
        <v>60893</v>
      </c>
      <c r="C800" s="1108">
        <v>104</v>
      </c>
      <c r="GJ800" s="1108" t="s">
        <v>58710</v>
      </c>
      <c r="GK800" s="1108" t="s">
        <v>58709</v>
      </c>
    </row>
    <row r="801" spans="1:193">
      <c r="A801" s="1108" t="s">
        <v>60892</v>
      </c>
      <c r="B801" s="1108" t="s">
        <v>60891</v>
      </c>
      <c r="C801" s="1108">
        <v>387</v>
      </c>
      <c r="GJ801" s="1108" t="s">
        <v>58710</v>
      </c>
      <c r="GK801" s="1108" t="s">
        <v>58709</v>
      </c>
    </row>
    <row r="802" spans="1:193">
      <c r="A802" s="1108" t="s">
        <v>60890</v>
      </c>
      <c r="B802" s="1108" t="s">
        <v>60889</v>
      </c>
      <c r="C802" s="1108">
        <v>382</v>
      </c>
      <c r="GJ802" s="1108" t="s">
        <v>58710</v>
      </c>
      <c r="GK802" s="1108" t="s">
        <v>58709</v>
      </c>
    </row>
    <row r="803" spans="1:193">
      <c r="A803" s="1108" t="s">
        <v>60888</v>
      </c>
      <c r="B803" s="1108" t="s">
        <v>60887</v>
      </c>
      <c r="C803" s="1108">
        <v>382</v>
      </c>
      <c r="GJ803" s="1108" t="s">
        <v>58710</v>
      </c>
      <c r="GK803" s="1108" t="s">
        <v>58709</v>
      </c>
    </row>
    <row r="804" spans="1:193">
      <c r="A804" s="1108" t="s">
        <v>60886</v>
      </c>
      <c r="B804" s="1108" t="s">
        <v>60885</v>
      </c>
      <c r="C804" s="1108">
        <v>382</v>
      </c>
      <c r="GJ804" s="1108" t="s">
        <v>58710</v>
      </c>
      <c r="GK804" s="1108" t="s">
        <v>58709</v>
      </c>
    </row>
    <row r="805" spans="1:193">
      <c r="A805" s="1108" t="s">
        <v>60884</v>
      </c>
      <c r="B805" s="1108" t="s">
        <v>60883</v>
      </c>
      <c r="C805" s="1108">
        <v>382</v>
      </c>
      <c r="GJ805" s="1108" t="s">
        <v>58710</v>
      </c>
      <c r="GK805" s="1108" t="s">
        <v>58709</v>
      </c>
    </row>
    <row r="806" spans="1:193">
      <c r="A806" s="1108" t="s">
        <v>60882</v>
      </c>
      <c r="B806" s="1108" t="s">
        <v>60881</v>
      </c>
      <c r="C806" s="1108">
        <v>73</v>
      </c>
      <c r="GJ806" s="1108" t="s">
        <v>58710</v>
      </c>
      <c r="GK806" s="1108" t="s">
        <v>58709</v>
      </c>
    </row>
    <row r="807" spans="1:193">
      <c r="A807" s="1108" t="s">
        <v>60880</v>
      </c>
      <c r="B807" s="1108" t="s">
        <v>60879</v>
      </c>
      <c r="C807" s="1108">
        <v>72</v>
      </c>
      <c r="GJ807" s="1108" t="s">
        <v>58710</v>
      </c>
      <c r="GK807" s="1108" t="s">
        <v>58709</v>
      </c>
    </row>
    <row r="808" spans="1:193">
      <c r="A808" s="1108" t="s">
        <v>60878</v>
      </c>
      <c r="B808" s="1108" t="s">
        <v>60877</v>
      </c>
      <c r="C808" s="1108">
        <v>112</v>
      </c>
      <c r="GJ808" s="1108" t="s">
        <v>58710</v>
      </c>
      <c r="GK808" s="1108" t="s">
        <v>58709</v>
      </c>
    </row>
    <row r="809" spans="1:193">
      <c r="A809" s="1108" t="s">
        <v>60876</v>
      </c>
      <c r="B809" s="1108" t="s">
        <v>60875</v>
      </c>
      <c r="C809" s="1108">
        <v>179</v>
      </c>
      <c r="GJ809" s="1108" t="s">
        <v>58710</v>
      </c>
      <c r="GK809" s="1108" t="s">
        <v>58709</v>
      </c>
    </row>
    <row r="810" spans="1:193">
      <c r="A810" s="1108" t="s">
        <v>60874</v>
      </c>
      <c r="B810" s="1108" t="s">
        <v>60873</v>
      </c>
      <c r="C810" s="1108">
        <v>70</v>
      </c>
      <c r="GJ810" s="1108" t="s">
        <v>58710</v>
      </c>
      <c r="GK810" s="1108" t="s">
        <v>58709</v>
      </c>
    </row>
    <row r="811" spans="1:193">
      <c r="A811" s="1108" t="s">
        <v>60872</v>
      </c>
      <c r="B811" s="1108" t="s">
        <v>60871</v>
      </c>
      <c r="C811" s="1108">
        <v>129</v>
      </c>
      <c r="GJ811" s="1108" t="s">
        <v>58710</v>
      </c>
      <c r="GK811" s="1108" t="s">
        <v>58709</v>
      </c>
    </row>
    <row r="812" spans="1:193">
      <c r="A812" s="1108" t="s">
        <v>60870</v>
      </c>
      <c r="B812" s="1108" t="s">
        <v>60869</v>
      </c>
      <c r="C812" s="1108">
        <v>267</v>
      </c>
      <c r="GJ812" s="1108" t="s">
        <v>58710</v>
      </c>
      <c r="GK812" s="1108" t="s">
        <v>58709</v>
      </c>
    </row>
    <row r="813" spans="1:193">
      <c r="A813" s="1108" t="s">
        <v>60868</v>
      </c>
      <c r="B813" s="1108" t="s">
        <v>60867</v>
      </c>
      <c r="C813" s="1108">
        <v>317</v>
      </c>
      <c r="GJ813" s="1108" t="s">
        <v>58710</v>
      </c>
      <c r="GK813" s="1108" t="s">
        <v>58709</v>
      </c>
    </row>
    <row r="814" spans="1:193">
      <c r="A814" s="1108" t="s">
        <v>60866</v>
      </c>
      <c r="B814" s="1108" t="s">
        <v>60865</v>
      </c>
      <c r="C814" s="1108">
        <v>71</v>
      </c>
      <c r="GJ814" s="1108" t="s">
        <v>58710</v>
      </c>
      <c r="GK814" s="1108" t="s">
        <v>58709</v>
      </c>
    </row>
    <row r="815" spans="1:193">
      <c r="A815" s="1108" t="s">
        <v>60864</v>
      </c>
      <c r="B815" s="1108" t="s">
        <v>60863</v>
      </c>
      <c r="C815" s="1108">
        <v>360</v>
      </c>
      <c r="GJ815" s="1108" t="s">
        <v>58710</v>
      </c>
      <c r="GK815" s="1108" t="s">
        <v>58709</v>
      </c>
    </row>
    <row r="816" spans="1:193">
      <c r="A816" s="1108" t="s">
        <v>60862</v>
      </c>
      <c r="B816" s="1108" t="s">
        <v>60861</v>
      </c>
      <c r="C816" s="1108">
        <v>155</v>
      </c>
      <c r="GJ816" s="1108" t="s">
        <v>58710</v>
      </c>
      <c r="GK816" s="1108" t="s">
        <v>58709</v>
      </c>
    </row>
    <row r="817" spans="1:193">
      <c r="A817" s="1108" t="s">
        <v>60860</v>
      </c>
      <c r="B817" s="1108" t="s">
        <v>60859</v>
      </c>
      <c r="C817" s="1108">
        <v>275</v>
      </c>
      <c r="GJ817" s="1108" t="s">
        <v>58710</v>
      </c>
      <c r="GK817" s="1108" t="s">
        <v>58709</v>
      </c>
    </row>
    <row r="818" spans="1:193">
      <c r="A818" s="1108" t="s">
        <v>60858</v>
      </c>
      <c r="B818" s="1108" t="s">
        <v>60857</v>
      </c>
      <c r="C818" s="1108">
        <v>385</v>
      </c>
      <c r="GJ818" s="1108" t="s">
        <v>58710</v>
      </c>
      <c r="GK818" s="1108" t="s">
        <v>58709</v>
      </c>
    </row>
    <row r="819" spans="1:193">
      <c r="A819" s="1108" t="s">
        <v>60856</v>
      </c>
      <c r="B819" s="1108" t="s">
        <v>60855</v>
      </c>
      <c r="C819" s="1108">
        <v>111</v>
      </c>
      <c r="GJ819" s="1108" t="s">
        <v>58710</v>
      </c>
      <c r="GK819" s="1108" t="s">
        <v>58709</v>
      </c>
    </row>
    <row r="820" spans="1:193">
      <c r="A820" s="1108" t="s">
        <v>60854</v>
      </c>
      <c r="B820" s="1108" t="s">
        <v>60853</v>
      </c>
      <c r="C820" s="1108">
        <v>401</v>
      </c>
      <c r="GJ820" s="1108" t="s">
        <v>58710</v>
      </c>
      <c r="GK820" s="1108" t="s">
        <v>58709</v>
      </c>
    </row>
    <row r="821" spans="1:193">
      <c r="A821" s="1108" t="s">
        <v>60852</v>
      </c>
      <c r="B821" s="1108" t="s">
        <v>60851</v>
      </c>
      <c r="C821" s="1108">
        <v>143</v>
      </c>
      <c r="GJ821" s="1108" t="s">
        <v>58710</v>
      </c>
      <c r="GK821" s="1108" t="s">
        <v>58709</v>
      </c>
    </row>
    <row r="822" spans="1:193">
      <c r="A822" s="1108" t="s">
        <v>60850</v>
      </c>
      <c r="B822" s="1108" t="s">
        <v>60849</v>
      </c>
      <c r="C822" s="1108">
        <v>145</v>
      </c>
      <c r="GJ822" s="1108" t="s">
        <v>58710</v>
      </c>
      <c r="GK822" s="1108" t="s">
        <v>58709</v>
      </c>
    </row>
    <row r="823" spans="1:193">
      <c r="A823" s="1108" t="s">
        <v>60848</v>
      </c>
      <c r="B823" s="1108" t="s">
        <v>60847</v>
      </c>
      <c r="C823" s="1108">
        <v>140</v>
      </c>
      <c r="GJ823" s="1108" t="s">
        <v>58710</v>
      </c>
      <c r="GK823" s="1108" t="s">
        <v>58709</v>
      </c>
    </row>
    <row r="824" spans="1:193">
      <c r="A824" s="1108" t="s">
        <v>60846</v>
      </c>
      <c r="B824" s="1108" t="s">
        <v>60845</v>
      </c>
      <c r="C824" s="1108">
        <v>143</v>
      </c>
      <c r="GJ824" s="1108" t="s">
        <v>58710</v>
      </c>
      <c r="GK824" s="1108" t="s">
        <v>58709</v>
      </c>
    </row>
    <row r="825" spans="1:193">
      <c r="A825" s="1108" t="s">
        <v>60844</v>
      </c>
      <c r="B825" s="1108" t="s">
        <v>60843</v>
      </c>
      <c r="C825" s="1108">
        <v>233</v>
      </c>
      <c r="GJ825" s="1108" t="s">
        <v>58710</v>
      </c>
      <c r="GK825" s="1108" t="s">
        <v>58709</v>
      </c>
    </row>
    <row r="826" spans="1:193">
      <c r="A826" s="1108" t="s">
        <v>60842</v>
      </c>
      <c r="B826" s="1108" t="s">
        <v>60841</v>
      </c>
      <c r="C826" s="1108">
        <v>245</v>
      </c>
      <c r="GJ826" s="1108" t="s">
        <v>58710</v>
      </c>
      <c r="GK826" s="1108" t="s">
        <v>58709</v>
      </c>
    </row>
    <row r="827" spans="1:193">
      <c r="A827" s="1108" t="s">
        <v>60840</v>
      </c>
      <c r="B827" s="1108" t="s">
        <v>60839</v>
      </c>
      <c r="C827" s="1108">
        <v>201</v>
      </c>
      <c r="GJ827" s="1108" t="s">
        <v>58710</v>
      </c>
      <c r="GK827" s="1108" t="s">
        <v>58709</v>
      </c>
    </row>
    <row r="828" spans="1:193">
      <c r="A828" s="1108" t="s">
        <v>60838</v>
      </c>
      <c r="B828" s="1108" t="s">
        <v>60837</v>
      </c>
      <c r="C828" s="1108">
        <v>193</v>
      </c>
      <c r="GJ828" s="1108" t="s">
        <v>58710</v>
      </c>
      <c r="GK828" s="1108" t="s">
        <v>58709</v>
      </c>
    </row>
    <row r="829" spans="1:193">
      <c r="A829" s="1108" t="s">
        <v>60836</v>
      </c>
      <c r="B829" s="1108" t="s">
        <v>60835</v>
      </c>
      <c r="C829" s="1108">
        <v>193</v>
      </c>
      <c r="GJ829" s="1108" t="s">
        <v>58710</v>
      </c>
      <c r="GK829" s="1108" t="s">
        <v>58709</v>
      </c>
    </row>
    <row r="830" spans="1:193">
      <c r="A830" s="1108" t="s">
        <v>60834</v>
      </c>
      <c r="B830" s="1108" t="s">
        <v>60833</v>
      </c>
      <c r="C830" s="1108">
        <v>193</v>
      </c>
      <c r="GJ830" s="1108" t="s">
        <v>58710</v>
      </c>
      <c r="GK830" s="1108" t="s">
        <v>58709</v>
      </c>
    </row>
    <row r="831" spans="1:193">
      <c r="A831" s="1108" t="s">
        <v>60832</v>
      </c>
      <c r="B831" s="1108" t="s">
        <v>60831</v>
      </c>
      <c r="C831" s="1108">
        <v>53</v>
      </c>
      <c r="GJ831" s="1108" t="s">
        <v>58710</v>
      </c>
      <c r="GK831" s="1108" t="s">
        <v>58709</v>
      </c>
    </row>
    <row r="832" spans="1:193">
      <c r="A832" s="1108" t="s">
        <v>60830</v>
      </c>
      <c r="B832" s="1108" t="s">
        <v>60829</v>
      </c>
      <c r="C832" s="1108">
        <v>85</v>
      </c>
      <c r="GJ832" s="1108" t="s">
        <v>58710</v>
      </c>
      <c r="GK832" s="1108" t="s">
        <v>58709</v>
      </c>
    </row>
    <row r="833" spans="1:193">
      <c r="A833" s="1108" t="s">
        <v>60828</v>
      </c>
      <c r="B833" s="1108" t="s">
        <v>60827</v>
      </c>
      <c r="C833" s="1108">
        <v>133</v>
      </c>
      <c r="GJ833" s="1108" t="s">
        <v>58710</v>
      </c>
      <c r="GK833" s="1108" t="s">
        <v>58709</v>
      </c>
    </row>
    <row r="834" spans="1:193">
      <c r="A834" s="1108" t="s">
        <v>60826</v>
      </c>
      <c r="B834" s="1108" t="s">
        <v>60825</v>
      </c>
      <c r="C834" s="1108">
        <v>172</v>
      </c>
      <c r="GJ834" s="1108" t="s">
        <v>58710</v>
      </c>
      <c r="GK834" s="1108" t="s">
        <v>58709</v>
      </c>
    </row>
    <row r="835" spans="1:193">
      <c r="A835" s="1108" t="s">
        <v>60824</v>
      </c>
      <c r="B835" s="1108" t="s">
        <v>60823</v>
      </c>
      <c r="C835" s="1108">
        <v>281</v>
      </c>
      <c r="GJ835" s="1108" t="s">
        <v>58710</v>
      </c>
      <c r="GK835" s="1108" t="s">
        <v>58709</v>
      </c>
    </row>
    <row r="836" spans="1:193">
      <c r="A836" s="1108" t="s">
        <v>60822</v>
      </c>
      <c r="B836" s="1108" t="s">
        <v>60821</v>
      </c>
      <c r="C836" s="1108">
        <v>313</v>
      </c>
      <c r="GJ836" s="1108" t="s">
        <v>58710</v>
      </c>
      <c r="GK836" s="1108" t="s">
        <v>58709</v>
      </c>
    </row>
    <row r="837" spans="1:193">
      <c r="A837" s="1108" t="s">
        <v>60820</v>
      </c>
      <c r="B837" s="1108" t="s">
        <v>60819</v>
      </c>
      <c r="C837" s="1108">
        <v>193</v>
      </c>
      <c r="GJ837" s="1108" t="s">
        <v>58710</v>
      </c>
      <c r="GK837" s="1108" t="s">
        <v>58709</v>
      </c>
    </row>
    <row r="838" spans="1:193">
      <c r="A838" s="1108" t="s">
        <v>60818</v>
      </c>
      <c r="B838" s="1108" t="s">
        <v>60817</v>
      </c>
      <c r="C838" s="1108">
        <v>136</v>
      </c>
      <c r="GJ838" s="1108" t="s">
        <v>58710</v>
      </c>
      <c r="GK838" s="1108" t="s">
        <v>58709</v>
      </c>
    </row>
    <row r="839" spans="1:193">
      <c r="A839" s="1108" t="s">
        <v>60816</v>
      </c>
      <c r="B839" s="1108" t="s">
        <v>60815</v>
      </c>
      <c r="C839" s="1108">
        <v>333</v>
      </c>
      <c r="GJ839" s="1108" t="s">
        <v>58710</v>
      </c>
      <c r="GK839" s="1108" t="s">
        <v>58709</v>
      </c>
    </row>
    <row r="840" spans="1:193">
      <c r="A840" s="1108" t="s">
        <v>60814</v>
      </c>
      <c r="B840" s="1108" t="s">
        <v>60813</v>
      </c>
      <c r="C840" s="1108">
        <v>346</v>
      </c>
      <c r="GJ840" s="1108" t="s">
        <v>58710</v>
      </c>
      <c r="GK840" s="1108" t="s">
        <v>58709</v>
      </c>
    </row>
    <row r="841" spans="1:193">
      <c r="A841" s="1108" t="s">
        <v>60812</v>
      </c>
      <c r="B841" s="1108" t="s">
        <v>60811</v>
      </c>
      <c r="C841" s="1108">
        <v>316</v>
      </c>
      <c r="GJ841" s="1108" t="s">
        <v>58710</v>
      </c>
      <c r="GK841" s="1108" t="s">
        <v>58709</v>
      </c>
    </row>
    <row r="842" spans="1:193">
      <c r="A842" s="1108" t="s">
        <v>60810</v>
      </c>
      <c r="B842" s="1108" t="s">
        <v>60809</v>
      </c>
      <c r="C842" s="1108">
        <v>293</v>
      </c>
      <c r="GJ842" s="1108" t="s">
        <v>58710</v>
      </c>
      <c r="GK842" s="1108" t="s">
        <v>58709</v>
      </c>
    </row>
    <row r="843" spans="1:193">
      <c r="A843" s="1108" t="s">
        <v>60808</v>
      </c>
      <c r="B843" s="1108" t="s">
        <v>60807</v>
      </c>
      <c r="C843" s="1108">
        <v>170</v>
      </c>
      <c r="GJ843" s="1108" t="s">
        <v>58710</v>
      </c>
      <c r="GK843" s="1108" t="s">
        <v>58709</v>
      </c>
    </row>
    <row r="844" spans="1:193">
      <c r="A844" s="1108" t="s">
        <v>60806</v>
      </c>
      <c r="B844" s="1108" t="s">
        <v>60805</v>
      </c>
      <c r="C844" s="1108">
        <v>260</v>
      </c>
      <c r="GJ844" s="1108" t="s">
        <v>58710</v>
      </c>
      <c r="GK844" s="1108" t="s">
        <v>58709</v>
      </c>
    </row>
    <row r="845" spans="1:193">
      <c r="A845" s="1108" t="s">
        <v>60804</v>
      </c>
      <c r="B845" s="1108" t="s">
        <v>60803</v>
      </c>
      <c r="C845" s="1108">
        <v>80</v>
      </c>
      <c r="GJ845" s="1108" t="s">
        <v>58710</v>
      </c>
      <c r="GK845" s="1108" t="s">
        <v>58709</v>
      </c>
    </row>
    <row r="846" spans="1:193">
      <c r="A846" s="1108" t="s">
        <v>60802</v>
      </c>
      <c r="B846" s="1108" t="s">
        <v>60801</v>
      </c>
      <c r="C846" s="1108">
        <v>150</v>
      </c>
      <c r="GJ846" s="1108" t="s">
        <v>58710</v>
      </c>
      <c r="GK846" s="1108" t="s">
        <v>58709</v>
      </c>
    </row>
    <row r="847" spans="1:193">
      <c r="A847" s="1108" t="s">
        <v>60800</v>
      </c>
      <c r="B847" s="1108" t="s">
        <v>60799</v>
      </c>
      <c r="C847" s="1108">
        <v>149</v>
      </c>
      <c r="GJ847" s="1108" t="s">
        <v>58710</v>
      </c>
      <c r="GK847" s="1108" t="s">
        <v>58709</v>
      </c>
    </row>
    <row r="848" spans="1:193">
      <c r="A848" s="1108" t="s">
        <v>60798</v>
      </c>
      <c r="B848" s="1108" t="s">
        <v>60797</v>
      </c>
      <c r="C848" s="1108">
        <v>201</v>
      </c>
      <c r="GJ848" s="1108" t="s">
        <v>58710</v>
      </c>
      <c r="GK848" s="1108" t="s">
        <v>58709</v>
      </c>
    </row>
    <row r="849" spans="1:193">
      <c r="A849" s="1108" t="s">
        <v>60796</v>
      </c>
      <c r="B849" s="1108" t="s">
        <v>60795</v>
      </c>
      <c r="C849" s="1108">
        <v>197</v>
      </c>
      <c r="GJ849" s="1108" t="s">
        <v>58710</v>
      </c>
      <c r="GK849" s="1108" t="s">
        <v>58709</v>
      </c>
    </row>
    <row r="850" spans="1:193">
      <c r="A850" s="1108" t="s">
        <v>60794</v>
      </c>
      <c r="B850" s="1108" t="s">
        <v>60793</v>
      </c>
      <c r="C850" s="1108">
        <v>412</v>
      </c>
      <c r="GJ850" s="1108" t="s">
        <v>58710</v>
      </c>
      <c r="GK850" s="1108" t="s">
        <v>58709</v>
      </c>
    </row>
    <row r="851" spans="1:193">
      <c r="A851" s="1108" t="s">
        <v>60792</v>
      </c>
      <c r="B851" s="1108" t="s">
        <v>60791</v>
      </c>
      <c r="C851" s="1108">
        <v>123</v>
      </c>
      <c r="GJ851" s="1108" t="s">
        <v>58710</v>
      </c>
      <c r="GK851" s="1108" t="s">
        <v>58709</v>
      </c>
    </row>
    <row r="852" spans="1:193">
      <c r="A852" s="1108" t="s">
        <v>60790</v>
      </c>
      <c r="B852" s="1108" t="s">
        <v>60789</v>
      </c>
      <c r="C852" s="1108">
        <v>123</v>
      </c>
      <c r="GJ852" s="1108" t="s">
        <v>58710</v>
      </c>
      <c r="GK852" s="1108" t="s">
        <v>58709</v>
      </c>
    </row>
    <row r="853" spans="1:193">
      <c r="A853" s="1108" t="s">
        <v>60788</v>
      </c>
      <c r="B853" s="1108" t="s">
        <v>60787</v>
      </c>
      <c r="C853" s="1108">
        <v>122</v>
      </c>
      <c r="GJ853" s="1108" t="s">
        <v>58710</v>
      </c>
      <c r="GK853" s="1108" t="s">
        <v>58709</v>
      </c>
    </row>
    <row r="854" spans="1:193">
      <c r="A854" s="1108" t="s">
        <v>60786</v>
      </c>
      <c r="B854" s="1108" t="s">
        <v>60785</v>
      </c>
      <c r="C854" s="1108">
        <v>122</v>
      </c>
      <c r="GJ854" s="1108" t="s">
        <v>58710</v>
      </c>
      <c r="GK854" s="1108" t="s">
        <v>58709</v>
      </c>
    </row>
    <row r="855" spans="1:193">
      <c r="A855" s="1108" t="s">
        <v>60784</v>
      </c>
      <c r="B855" s="1108" t="s">
        <v>60783</v>
      </c>
      <c r="C855" s="1108">
        <v>413</v>
      </c>
      <c r="GJ855" s="1108" t="s">
        <v>58710</v>
      </c>
      <c r="GK855" s="1108" t="s">
        <v>58709</v>
      </c>
    </row>
    <row r="856" spans="1:193">
      <c r="A856" s="1108" t="s">
        <v>60782</v>
      </c>
      <c r="B856" s="1108" t="s">
        <v>60781</v>
      </c>
      <c r="C856" s="1108">
        <v>413</v>
      </c>
      <c r="GJ856" s="1108" t="s">
        <v>58710</v>
      </c>
      <c r="GK856" s="1108" t="s">
        <v>58709</v>
      </c>
    </row>
    <row r="857" spans="1:193">
      <c r="A857" s="1108" t="s">
        <v>60780</v>
      </c>
      <c r="B857" s="1108" t="s">
        <v>60779</v>
      </c>
      <c r="C857" s="1108">
        <v>412</v>
      </c>
      <c r="GJ857" s="1108" t="s">
        <v>58710</v>
      </c>
      <c r="GK857" s="1108" t="s">
        <v>58709</v>
      </c>
    </row>
    <row r="858" spans="1:193">
      <c r="A858" s="1108" t="s">
        <v>60778</v>
      </c>
      <c r="B858" s="1108" t="s">
        <v>60777</v>
      </c>
      <c r="C858" s="1108">
        <v>264</v>
      </c>
      <c r="GJ858" s="1108" t="s">
        <v>58710</v>
      </c>
      <c r="GK858" s="1108" t="s">
        <v>58709</v>
      </c>
    </row>
    <row r="859" spans="1:193">
      <c r="A859" s="1108" t="s">
        <v>60776</v>
      </c>
      <c r="B859" s="1108" t="s">
        <v>60775</v>
      </c>
      <c r="C859" s="1108">
        <v>200</v>
      </c>
      <c r="GJ859" s="1108" t="s">
        <v>58710</v>
      </c>
      <c r="GK859" s="1108" t="s">
        <v>58709</v>
      </c>
    </row>
    <row r="860" spans="1:193">
      <c r="A860" s="1108" t="s">
        <v>60774</v>
      </c>
      <c r="B860" s="1108" t="s">
        <v>60773</v>
      </c>
      <c r="C860" s="1108">
        <v>279</v>
      </c>
      <c r="GJ860" s="1108" t="s">
        <v>58710</v>
      </c>
      <c r="GK860" s="1108" t="s">
        <v>58709</v>
      </c>
    </row>
    <row r="861" spans="1:193">
      <c r="A861" s="1108" t="s">
        <v>60772</v>
      </c>
      <c r="B861" s="1108" t="s">
        <v>60771</v>
      </c>
      <c r="C861" s="1108">
        <v>188</v>
      </c>
      <c r="GJ861" s="1108" t="s">
        <v>58710</v>
      </c>
      <c r="GK861" s="1108" t="s">
        <v>58709</v>
      </c>
    </row>
    <row r="862" spans="1:193">
      <c r="A862" s="1108" t="s">
        <v>60770</v>
      </c>
      <c r="B862" s="1108" t="s">
        <v>60769</v>
      </c>
      <c r="C862" s="1108">
        <v>204</v>
      </c>
      <c r="GJ862" s="1108" t="s">
        <v>58710</v>
      </c>
      <c r="GK862" s="1108" t="s">
        <v>58709</v>
      </c>
    </row>
    <row r="863" spans="1:193">
      <c r="A863" s="1108" t="s">
        <v>60768</v>
      </c>
      <c r="B863" s="1108" t="s">
        <v>60767</v>
      </c>
      <c r="C863" s="1108">
        <v>257</v>
      </c>
      <c r="GJ863" s="1108" t="s">
        <v>58710</v>
      </c>
      <c r="GK863" s="1108" t="s">
        <v>58709</v>
      </c>
    </row>
    <row r="864" spans="1:193">
      <c r="A864" s="1108" t="s">
        <v>60766</v>
      </c>
      <c r="B864" s="1108" t="s">
        <v>60765</v>
      </c>
      <c r="C864" s="1108">
        <v>264</v>
      </c>
      <c r="GJ864" s="1108" t="s">
        <v>58710</v>
      </c>
      <c r="GK864" s="1108" t="s">
        <v>58709</v>
      </c>
    </row>
    <row r="865" spans="1:193">
      <c r="A865" s="1108" t="s">
        <v>60764</v>
      </c>
      <c r="B865" s="1108" t="s">
        <v>60763</v>
      </c>
      <c r="C865" s="1108">
        <v>150</v>
      </c>
      <c r="GJ865" s="1108" t="s">
        <v>58710</v>
      </c>
      <c r="GK865" s="1108" t="s">
        <v>58709</v>
      </c>
    </row>
    <row r="866" spans="1:193">
      <c r="A866" s="1108" t="s">
        <v>60762</v>
      </c>
      <c r="B866" s="1108" t="s">
        <v>60761</v>
      </c>
      <c r="C866" s="1108">
        <v>172</v>
      </c>
      <c r="GJ866" s="1108" t="s">
        <v>58710</v>
      </c>
      <c r="GK866" s="1108" t="s">
        <v>58709</v>
      </c>
    </row>
    <row r="867" spans="1:193">
      <c r="A867" s="1108" t="s">
        <v>60760</v>
      </c>
      <c r="B867" s="1108" t="s">
        <v>60759</v>
      </c>
      <c r="C867" s="1108">
        <v>505</v>
      </c>
      <c r="GJ867" s="1108" t="s">
        <v>58710</v>
      </c>
      <c r="GK867" s="1108" t="s">
        <v>58709</v>
      </c>
    </row>
    <row r="868" spans="1:193">
      <c r="A868" s="1108" t="s">
        <v>60758</v>
      </c>
      <c r="B868" s="1108" t="s">
        <v>60757</v>
      </c>
      <c r="C868" s="1108">
        <v>174</v>
      </c>
      <c r="GJ868" s="1108" t="s">
        <v>58710</v>
      </c>
      <c r="GK868" s="1108" t="s">
        <v>58709</v>
      </c>
    </row>
    <row r="869" spans="1:193">
      <c r="A869" s="1108" t="s">
        <v>60756</v>
      </c>
      <c r="B869" s="1108" t="s">
        <v>60755</v>
      </c>
      <c r="C869" s="1108">
        <v>162</v>
      </c>
      <c r="GJ869" s="1108" t="s">
        <v>58710</v>
      </c>
      <c r="GK869" s="1108" t="s">
        <v>58709</v>
      </c>
    </row>
    <row r="870" spans="1:193">
      <c r="A870" s="1108" t="s">
        <v>60754</v>
      </c>
      <c r="B870" s="1108" t="s">
        <v>60753</v>
      </c>
      <c r="C870" s="1108">
        <v>485</v>
      </c>
      <c r="GJ870" s="1108" t="s">
        <v>58710</v>
      </c>
      <c r="GK870" s="1108" t="s">
        <v>58709</v>
      </c>
    </row>
    <row r="871" spans="1:193">
      <c r="A871" s="1108">
        <v>15065</v>
      </c>
      <c r="B871" s="1108" t="s">
        <v>60752</v>
      </c>
      <c r="C871" s="1108">
        <v>17</v>
      </c>
      <c r="GJ871" s="1108" t="s">
        <v>58710</v>
      </c>
      <c r="GK871" s="1108" t="s">
        <v>58709</v>
      </c>
    </row>
    <row r="872" spans="1:193">
      <c r="A872" s="1108" t="s">
        <v>60751</v>
      </c>
      <c r="B872" s="1108" t="s">
        <v>60750</v>
      </c>
      <c r="C872" s="1108">
        <v>223</v>
      </c>
      <c r="GJ872" s="1108" t="s">
        <v>58710</v>
      </c>
      <c r="GK872" s="1108" t="s">
        <v>58709</v>
      </c>
    </row>
    <row r="873" spans="1:193">
      <c r="A873" s="1108" t="s">
        <v>60749</v>
      </c>
      <c r="B873" s="1108" t="s">
        <v>60748</v>
      </c>
      <c r="C873" s="1108">
        <v>108</v>
      </c>
      <c r="GJ873" s="1108" t="s">
        <v>58710</v>
      </c>
      <c r="GK873" s="1108" t="s">
        <v>58709</v>
      </c>
    </row>
    <row r="874" spans="1:193">
      <c r="A874" s="1108" t="s">
        <v>60747</v>
      </c>
      <c r="B874" s="1108" t="s">
        <v>60746</v>
      </c>
      <c r="C874" s="1108">
        <v>176</v>
      </c>
      <c r="GJ874" s="1108" t="s">
        <v>58710</v>
      </c>
      <c r="GK874" s="1108" t="s">
        <v>58709</v>
      </c>
    </row>
    <row r="875" spans="1:193">
      <c r="A875" s="1108" t="s">
        <v>60745</v>
      </c>
      <c r="B875" s="1108" t="s">
        <v>60744</v>
      </c>
      <c r="C875" s="1108">
        <v>175</v>
      </c>
      <c r="GJ875" s="1108" t="s">
        <v>58710</v>
      </c>
      <c r="GK875" s="1108" t="s">
        <v>58709</v>
      </c>
    </row>
    <row r="876" spans="1:193">
      <c r="A876" s="1108" t="s">
        <v>60743</v>
      </c>
      <c r="B876" s="1108" t="s">
        <v>60742</v>
      </c>
      <c r="C876" s="1108">
        <v>329</v>
      </c>
      <c r="GJ876" s="1108" t="s">
        <v>58710</v>
      </c>
      <c r="GK876" s="1108" t="s">
        <v>58709</v>
      </c>
    </row>
    <row r="877" spans="1:193">
      <c r="A877" s="1108" t="s">
        <v>60741</v>
      </c>
      <c r="B877" s="1108" t="s">
        <v>60740</v>
      </c>
      <c r="C877" s="1108">
        <v>50</v>
      </c>
      <c r="GJ877" s="1108" t="s">
        <v>58710</v>
      </c>
      <c r="GK877" s="1108" t="s">
        <v>58709</v>
      </c>
    </row>
    <row r="878" spans="1:193">
      <c r="A878" s="1108" t="s">
        <v>60739</v>
      </c>
      <c r="B878" s="1108" t="s">
        <v>60738</v>
      </c>
      <c r="C878" s="1108">
        <v>217</v>
      </c>
      <c r="GJ878" s="1108" t="s">
        <v>58710</v>
      </c>
      <c r="GK878" s="1108" t="s">
        <v>58709</v>
      </c>
    </row>
    <row r="879" spans="1:193">
      <c r="A879" s="1108" t="s">
        <v>60737</v>
      </c>
      <c r="B879" s="1108" t="s">
        <v>60736</v>
      </c>
      <c r="C879" s="1108">
        <v>95</v>
      </c>
      <c r="GJ879" s="1108" t="s">
        <v>58710</v>
      </c>
      <c r="GK879" s="1108" t="s">
        <v>58709</v>
      </c>
    </row>
    <row r="880" spans="1:193">
      <c r="A880" s="1108" t="s">
        <v>60735</v>
      </c>
      <c r="B880" s="1108" t="s">
        <v>60734</v>
      </c>
      <c r="C880" s="1108">
        <v>95</v>
      </c>
      <c r="GJ880" s="1108" t="s">
        <v>58710</v>
      </c>
      <c r="GK880" s="1108" t="s">
        <v>58709</v>
      </c>
    </row>
    <row r="881" spans="1:193">
      <c r="A881" s="1108" t="s">
        <v>60733</v>
      </c>
      <c r="B881" s="1108" t="s">
        <v>60732</v>
      </c>
      <c r="C881" s="1108">
        <v>71</v>
      </c>
      <c r="GJ881" s="1108" t="s">
        <v>58710</v>
      </c>
      <c r="GK881" s="1108" t="s">
        <v>58709</v>
      </c>
    </row>
    <row r="882" spans="1:193">
      <c r="A882" s="1108" t="s">
        <v>60731</v>
      </c>
      <c r="B882" s="1108" t="s">
        <v>60730</v>
      </c>
      <c r="C882" s="1108">
        <v>76</v>
      </c>
      <c r="GJ882" s="1108" t="s">
        <v>58710</v>
      </c>
      <c r="GK882" s="1108" t="s">
        <v>58709</v>
      </c>
    </row>
    <row r="883" spans="1:193">
      <c r="A883" s="1108" t="s">
        <v>60729</v>
      </c>
      <c r="B883" s="1108" t="s">
        <v>60728</v>
      </c>
      <c r="C883" s="1108">
        <v>72</v>
      </c>
      <c r="GJ883" s="1108" t="s">
        <v>58710</v>
      </c>
      <c r="GK883" s="1108" t="s">
        <v>58709</v>
      </c>
    </row>
    <row r="884" spans="1:193">
      <c r="A884" s="1108" t="s">
        <v>60727</v>
      </c>
      <c r="B884" s="1108" t="s">
        <v>60726</v>
      </c>
      <c r="C884" s="1108">
        <v>123</v>
      </c>
      <c r="GJ884" s="1108" t="s">
        <v>58710</v>
      </c>
      <c r="GK884" s="1108" t="s">
        <v>58709</v>
      </c>
    </row>
    <row r="885" spans="1:193">
      <c r="A885" s="1108" t="s">
        <v>60725</v>
      </c>
      <c r="B885" s="1108" t="s">
        <v>60724</v>
      </c>
      <c r="C885" s="1108">
        <v>52</v>
      </c>
      <c r="GJ885" s="1108" t="s">
        <v>58710</v>
      </c>
      <c r="GK885" s="1108" t="s">
        <v>58709</v>
      </c>
    </row>
    <row r="886" spans="1:193">
      <c r="A886" s="1108" t="s">
        <v>60723</v>
      </c>
      <c r="B886" s="1108" t="s">
        <v>60722</v>
      </c>
      <c r="C886" s="1108">
        <v>194</v>
      </c>
      <c r="GJ886" s="1108" t="s">
        <v>58710</v>
      </c>
      <c r="GK886" s="1108" t="s">
        <v>58709</v>
      </c>
    </row>
    <row r="887" spans="1:193">
      <c r="A887" s="1108" t="s">
        <v>60721</v>
      </c>
      <c r="B887" s="1108" t="s">
        <v>60720</v>
      </c>
      <c r="C887" s="1108">
        <v>202</v>
      </c>
      <c r="GJ887" s="1108" t="s">
        <v>58710</v>
      </c>
      <c r="GK887" s="1108" t="s">
        <v>58709</v>
      </c>
    </row>
    <row r="888" spans="1:193">
      <c r="A888" s="1108" t="s">
        <v>60719</v>
      </c>
      <c r="B888" s="1108" t="s">
        <v>60718</v>
      </c>
      <c r="C888" s="1108">
        <v>146</v>
      </c>
      <c r="GJ888" s="1108" t="s">
        <v>58710</v>
      </c>
      <c r="GK888" s="1108" t="s">
        <v>58709</v>
      </c>
    </row>
    <row r="889" spans="1:193">
      <c r="A889" s="1108" t="s">
        <v>60717</v>
      </c>
      <c r="B889" s="1108" t="s">
        <v>60716</v>
      </c>
      <c r="C889" s="1108">
        <v>49</v>
      </c>
      <c r="GJ889" s="1108" t="s">
        <v>58710</v>
      </c>
      <c r="GK889" s="1108" t="s">
        <v>58709</v>
      </c>
    </row>
    <row r="890" spans="1:193">
      <c r="A890" s="1108" t="s">
        <v>60715</v>
      </c>
      <c r="B890" s="1108" t="s">
        <v>60714</v>
      </c>
      <c r="C890" s="1108">
        <v>89</v>
      </c>
      <c r="GJ890" s="1108" t="s">
        <v>58710</v>
      </c>
      <c r="GK890" s="1108" t="s">
        <v>58709</v>
      </c>
    </row>
    <row r="891" spans="1:193">
      <c r="A891" s="1108" t="s">
        <v>60713</v>
      </c>
      <c r="B891" s="1108" t="s">
        <v>60712</v>
      </c>
      <c r="C891" s="1108">
        <v>91</v>
      </c>
      <c r="GJ891" s="1108" t="s">
        <v>58710</v>
      </c>
      <c r="GK891" s="1108" t="s">
        <v>58709</v>
      </c>
    </row>
    <row r="892" spans="1:193">
      <c r="A892" s="1108" t="s">
        <v>60711</v>
      </c>
      <c r="B892" s="1108" t="s">
        <v>60710</v>
      </c>
      <c r="C892" s="1108">
        <v>149</v>
      </c>
      <c r="GJ892" s="1108" t="s">
        <v>58710</v>
      </c>
      <c r="GK892" s="1108" t="s">
        <v>58709</v>
      </c>
    </row>
    <row r="893" spans="1:193">
      <c r="A893" s="1108" t="s">
        <v>60709</v>
      </c>
      <c r="B893" s="1108" t="s">
        <v>60708</v>
      </c>
      <c r="C893" s="1108">
        <v>239</v>
      </c>
      <c r="GJ893" s="1108" t="s">
        <v>58710</v>
      </c>
      <c r="GK893" s="1108" t="s">
        <v>58709</v>
      </c>
    </row>
    <row r="894" spans="1:193">
      <c r="A894" s="1108" t="s">
        <v>60707</v>
      </c>
      <c r="B894" s="1108" t="s">
        <v>60706</v>
      </c>
      <c r="C894" s="1108">
        <v>239</v>
      </c>
      <c r="GJ894" s="1108" t="s">
        <v>58710</v>
      </c>
      <c r="GK894" s="1108" t="s">
        <v>58709</v>
      </c>
    </row>
    <row r="895" spans="1:193">
      <c r="A895" s="1108" t="s">
        <v>60705</v>
      </c>
      <c r="B895" s="1108" t="s">
        <v>60704</v>
      </c>
      <c r="C895" s="1108">
        <v>159</v>
      </c>
      <c r="GJ895" s="1108" t="s">
        <v>58710</v>
      </c>
      <c r="GK895" s="1108" t="s">
        <v>58709</v>
      </c>
    </row>
    <row r="896" spans="1:193">
      <c r="A896" s="1108" t="s">
        <v>60703</v>
      </c>
      <c r="B896" s="1108" t="s">
        <v>60702</v>
      </c>
      <c r="C896" s="1108">
        <v>159</v>
      </c>
      <c r="GJ896" s="1108" t="s">
        <v>58710</v>
      </c>
      <c r="GK896" s="1108" t="s">
        <v>58709</v>
      </c>
    </row>
    <row r="897" spans="1:193">
      <c r="A897" s="1108" t="s">
        <v>60701</v>
      </c>
      <c r="B897" s="1108" t="s">
        <v>60700</v>
      </c>
      <c r="C897" s="1108">
        <v>37</v>
      </c>
      <c r="GJ897" s="1108" t="s">
        <v>58710</v>
      </c>
      <c r="GK897" s="1108" t="s">
        <v>58709</v>
      </c>
    </row>
    <row r="898" spans="1:193">
      <c r="A898" s="1108" t="s">
        <v>60699</v>
      </c>
      <c r="B898" s="1108" t="s">
        <v>60698</v>
      </c>
      <c r="C898" s="1108">
        <v>81</v>
      </c>
      <c r="GJ898" s="1108" t="s">
        <v>58710</v>
      </c>
      <c r="GK898" s="1108" t="s">
        <v>58709</v>
      </c>
    </row>
    <row r="899" spans="1:193">
      <c r="A899" s="1108" t="s">
        <v>60697</v>
      </c>
      <c r="B899" s="1108" t="s">
        <v>60696</v>
      </c>
      <c r="C899" s="1108">
        <v>147</v>
      </c>
      <c r="GJ899" s="1108" t="s">
        <v>58710</v>
      </c>
      <c r="GK899" s="1108" t="s">
        <v>58709</v>
      </c>
    </row>
    <row r="900" spans="1:193">
      <c r="A900" s="1108" t="s">
        <v>60695</v>
      </c>
      <c r="B900" s="1108" t="s">
        <v>60694</v>
      </c>
      <c r="C900" s="1108">
        <v>96</v>
      </c>
      <c r="GJ900" s="1108" t="s">
        <v>58710</v>
      </c>
      <c r="GK900" s="1108" t="s">
        <v>58709</v>
      </c>
    </row>
    <row r="901" spans="1:193">
      <c r="A901" s="1108" t="s">
        <v>60693</v>
      </c>
      <c r="B901" s="1108" t="s">
        <v>60692</v>
      </c>
      <c r="C901" s="1108">
        <v>49</v>
      </c>
      <c r="GJ901" s="1108" t="s">
        <v>58710</v>
      </c>
      <c r="GK901" s="1108" t="s">
        <v>58709</v>
      </c>
    </row>
    <row r="902" spans="1:193">
      <c r="A902" s="1108" t="s">
        <v>60691</v>
      </c>
      <c r="B902" s="1108" t="s">
        <v>60690</v>
      </c>
      <c r="C902" s="1108">
        <v>82</v>
      </c>
      <c r="GJ902" s="1108" t="s">
        <v>58710</v>
      </c>
      <c r="GK902" s="1108" t="s">
        <v>58709</v>
      </c>
    </row>
    <row r="903" spans="1:193">
      <c r="A903" s="1108" t="s">
        <v>60689</v>
      </c>
      <c r="B903" s="1108" t="s">
        <v>60688</v>
      </c>
      <c r="C903" s="1108">
        <v>231</v>
      </c>
      <c r="GJ903" s="1108" t="s">
        <v>58710</v>
      </c>
      <c r="GK903" s="1108" t="s">
        <v>58709</v>
      </c>
    </row>
    <row r="904" spans="1:193">
      <c r="A904" s="1108" t="s">
        <v>60687</v>
      </c>
      <c r="B904" s="1108" t="s">
        <v>60686</v>
      </c>
      <c r="C904" s="1108">
        <v>246</v>
      </c>
      <c r="GJ904" s="1108" t="s">
        <v>58710</v>
      </c>
      <c r="GK904" s="1108" t="s">
        <v>58709</v>
      </c>
    </row>
    <row r="905" spans="1:193">
      <c r="A905" s="1108" t="s">
        <v>60685</v>
      </c>
      <c r="B905" s="1108" t="s">
        <v>60684</v>
      </c>
      <c r="C905" s="1108">
        <v>239</v>
      </c>
      <c r="GJ905" s="1108" t="s">
        <v>58710</v>
      </c>
      <c r="GK905" s="1108" t="s">
        <v>58709</v>
      </c>
    </row>
    <row r="906" spans="1:193">
      <c r="A906" s="1108" t="s">
        <v>60683</v>
      </c>
      <c r="B906" s="1108" t="s">
        <v>60682</v>
      </c>
      <c r="C906" s="1108">
        <v>250</v>
      </c>
      <c r="GJ906" s="1108" t="s">
        <v>58710</v>
      </c>
      <c r="GK906" s="1108" t="s">
        <v>58709</v>
      </c>
    </row>
    <row r="907" spans="1:193">
      <c r="A907" s="1108" t="s">
        <v>60681</v>
      </c>
      <c r="B907" s="1108" t="s">
        <v>60680</v>
      </c>
      <c r="C907" s="1108">
        <v>250</v>
      </c>
      <c r="GJ907" s="1108" t="s">
        <v>58710</v>
      </c>
      <c r="GK907" s="1108" t="s">
        <v>58709</v>
      </c>
    </row>
    <row r="908" spans="1:193">
      <c r="A908" s="1108" t="s">
        <v>60679</v>
      </c>
      <c r="B908" s="1108" t="s">
        <v>60678</v>
      </c>
      <c r="C908" s="1108">
        <v>250</v>
      </c>
      <c r="GJ908" s="1108" t="s">
        <v>58710</v>
      </c>
      <c r="GK908" s="1108" t="s">
        <v>58709</v>
      </c>
    </row>
    <row r="909" spans="1:193">
      <c r="A909" s="1108" t="s">
        <v>60677</v>
      </c>
      <c r="B909" s="1108" t="s">
        <v>60676</v>
      </c>
      <c r="C909" s="1108">
        <v>250</v>
      </c>
      <c r="GJ909" s="1108" t="s">
        <v>58710</v>
      </c>
      <c r="GK909" s="1108" t="s">
        <v>58709</v>
      </c>
    </row>
    <row r="910" spans="1:193">
      <c r="A910" s="1108" t="s">
        <v>60675</v>
      </c>
      <c r="B910" s="1108" t="s">
        <v>60674</v>
      </c>
      <c r="C910" s="1108">
        <v>131</v>
      </c>
      <c r="GJ910" s="1108" t="s">
        <v>58710</v>
      </c>
      <c r="GK910" s="1108" t="s">
        <v>58709</v>
      </c>
    </row>
    <row r="911" spans="1:193">
      <c r="A911" s="1108" t="s">
        <v>60673</v>
      </c>
      <c r="B911" s="1108" t="s">
        <v>60672</v>
      </c>
      <c r="C911" s="1108">
        <v>131</v>
      </c>
      <c r="GJ911" s="1108" t="s">
        <v>58710</v>
      </c>
      <c r="GK911" s="1108" t="s">
        <v>58709</v>
      </c>
    </row>
    <row r="912" spans="1:193">
      <c r="A912" s="1108" t="s">
        <v>60671</v>
      </c>
      <c r="B912" s="1108" t="s">
        <v>60670</v>
      </c>
      <c r="C912" s="1108">
        <v>80</v>
      </c>
      <c r="GJ912" s="1108" t="s">
        <v>58710</v>
      </c>
      <c r="GK912" s="1108" t="s">
        <v>58709</v>
      </c>
    </row>
    <row r="913" spans="1:193">
      <c r="A913" s="1108" t="s">
        <v>60669</v>
      </c>
      <c r="B913" s="1108" t="s">
        <v>60668</v>
      </c>
      <c r="C913" s="1108">
        <v>90</v>
      </c>
      <c r="GJ913" s="1108" t="s">
        <v>58710</v>
      </c>
      <c r="GK913" s="1108" t="s">
        <v>58709</v>
      </c>
    </row>
    <row r="914" spans="1:193">
      <c r="A914" s="1108" t="s">
        <v>60667</v>
      </c>
      <c r="B914" s="1108" t="s">
        <v>60666</v>
      </c>
      <c r="C914" s="1108">
        <v>138</v>
      </c>
      <c r="GJ914" s="1108" t="s">
        <v>58710</v>
      </c>
      <c r="GK914" s="1108" t="s">
        <v>58709</v>
      </c>
    </row>
    <row r="915" spans="1:193">
      <c r="A915" s="1108" t="s">
        <v>60665</v>
      </c>
      <c r="B915" s="1108" t="s">
        <v>60664</v>
      </c>
      <c r="C915" s="1108">
        <v>110</v>
      </c>
      <c r="GJ915" s="1108" t="s">
        <v>58710</v>
      </c>
      <c r="GK915" s="1108" t="s">
        <v>58709</v>
      </c>
    </row>
    <row r="916" spans="1:193">
      <c r="A916" s="1108" t="s">
        <v>60663</v>
      </c>
      <c r="B916" s="1108" t="s">
        <v>60662</v>
      </c>
      <c r="C916" s="1108">
        <v>109</v>
      </c>
      <c r="GJ916" s="1108" t="s">
        <v>58710</v>
      </c>
      <c r="GK916" s="1108" t="s">
        <v>58709</v>
      </c>
    </row>
    <row r="917" spans="1:193">
      <c r="A917" s="1108" t="s">
        <v>60661</v>
      </c>
      <c r="B917" s="1108" t="s">
        <v>60660</v>
      </c>
      <c r="C917" s="1108">
        <v>162</v>
      </c>
      <c r="GJ917" s="1108" t="s">
        <v>58710</v>
      </c>
      <c r="GK917" s="1108" t="s">
        <v>58709</v>
      </c>
    </row>
    <row r="918" spans="1:193">
      <c r="A918" s="1108" t="s">
        <v>60659</v>
      </c>
      <c r="B918" s="1108" t="s">
        <v>60658</v>
      </c>
      <c r="C918" s="1108">
        <v>121</v>
      </c>
      <c r="GJ918" s="1108" t="s">
        <v>58710</v>
      </c>
      <c r="GK918" s="1108" t="s">
        <v>58709</v>
      </c>
    </row>
    <row r="919" spans="1:193">
      <c r="A919" s="1108" t="s">
        <v>60657</v>
      </c>
      <c r="B919" s="1108" t="s">
        <v>60656</v>
      </c>
      <c r="C919" s="1108">
        <v>80</v>
      </c>
      <c r="GJ919" s="1108" t="s">
        <v>58710</v>
      </c>
      <c r="GK919" s="1108" t="s">
        <v>58709</v>
      </c>
    </row>
    <row r="920" spans="1:193">
      <c r="A920" s="1108" t="s">
        <v>60655</v>
      </c>
      <c r="B920" s="1108" t="s">
        <v>60654</v>
      </c>
      <c r="C920" s="1108">
        <v>121</v>
      </c>
      <c r="GJ920" s="1108" t="s">
        <v>58710</v>
      </c>
      <c r="GK920" s="1108" t="s">
        <v>58709</v>
      </c>
    </row>
    <row r="921" spans="1:193">
      <c r="A921" s="1108" t="s">
        <v>60653</v>
      </c>
      <c r="B921" s="1108" t="s">
        <v>60652</v>
      </c>
      <c r="C921" s="1108">
        <v>50</v>
      </c>
      <c r="GJ921" s="1108" t="s">
        <v>58710</v>
      </c>
      <c r="GK921" s="1108" t="s">
        <v>58709</v>
      </c>
    </row>
    <row r="922" spans="1:193">
      <c r="A922" s="1108" t="s">
        <v>60651</v>
      </c>
      <c r="B922" s="1108" t="s">
        <v>60650</v>
      </c>
      <c r="C922" s="1108">
        <v>130</v>
      </c>
      <c r="GJ922" s="1108" t="s">
        <v>58710</v>
      </c>
      <c r="GK922" s="1108" t="s">
        <v>58709</v>
      </c>
    </row>
    <row r="923" spans="1:193">
      <c r="A923" s="1108" t="s">
        <v>60649</v>
      </c>
      <c r="B923" s="1108" t="s">
        <v>60648</v>
      </c>
      <c r="C923" s="1108">
        <v>155</v>
      </c>
      <c r="GJ923" s="1108" t="s">
        <v>58710</v>
      </c>
      <c r="GK923" s="1108" t="s">
        <v>58709</v>
      </c>
    </row>
    <row r="924" spans="1:193">
      <c r="A924" s="1108" t="s">
        <v>60647</v>
      </c>
      <c r="B924" s="1108" t="s">
        <v>60646</v>
      </c>
      <c r="C924" s="1108">
        <v>190</v>
      </c>
      <c r="GJ924" s="1108" t="s">
        <v>58710</v>
      </c>
      <c r="GK924" s="1108" t="s">
        <v>58709</v>
      </c>
    </row>
    <row r="925" spans="1:193">
      <c r="A925" s="1108" t="s">
        <v>60645</v>
      </c>
      <c r="B925" s="1108" t="s">
        <v>60644</v>
      </c>
      <c r="C925" s="1108">
        <v>128</v>
      </c>
      <c r="GJ925" s="1108" t="s">
        <v>58710</v>
      </c>
      <c r="GK925" s="1108" t="s">
        <v>58709</v>
      </c>
    </row>
    <row r="926" spans="1:193">
      <c r="A926" s="1108" t="s">
        <v>60643</v>
      </c>
      <c r="B926" s="1108" t="s">
        <v>60642</v>
      </c>
      <c r="C926" s="1108">
        <v>149</v>
      </c>
      <c r="GJ926" s="1108" t="s">
        <v>58710</v>
      </c>
      <c r="GK926" s="1108" t="s">
        <v>58709</v>
      </c>
    </row>
    <row r="927" spans="1:193">
      <c r="A927" s="1108" t="s">
        <v>60641</v>
      </c>
      <c r="B927" s="1108" t="s">
        <v>60640</v>
      </c>
      <c r="C927" s="1108">
        <v>273</v>
      </c>
      <c r="GJ927" s="1108" t="s">
        <v>58710</v>
      </c>
      <c r="GK927" s="1108" t="s">
        <v>58709</v>
      </c>
    </row>
    <row r="928" spans="1:193">
      <c r="A928" s="1108" t="s">
        <v>60639</v>
      </c>
      <c r="B928" s="1108" t="s">
        <v>60638</v>
      </c>
      <c r="C928" s="1108">
        <v>297</v>
      </c>
      <c r="GJ928" s="1108" t="s">
        <v>58710</v>
      </c>
      <c r="GK928" s="1108" t="s">
        <v>58709</v>
      </c>
    </row>
    <row r="929" spans="1:193">
      <c r="A929" s="1108" t="s">
        <v>60637</v>
      </c>
      <c r="B929" s="1108" t="s">
        <v>60636</v>
      </c>
      <c r="C929" s="1108">
        <v>200</v>
      </c>
      <c r="GJ929" s="1108" t="s">
        <v>58710</v>
      </c>
      <c r="GK929" s="1108" t="s">
        <v>58709</v>
      </c>
    </row>
    <row r="930" spans="1:193">
      <c r="A930" s="1108" t="s">
        <v>60635</v>
      </c>
      <c r="B930" s="1108" t="s">
        <v>60634</v>
      </c>
      <c r="C930" s="1108">
        <v>49</v>
      </c>
      <c r="GJ930" s="1108" t="s">
        <v>58710</v>
      </c>
      <c r="GK930" s="1108" t="s">
        <v>58709</v>
      </c>
    </row>
    <row r="931" spans="1:193">
      <c r="A931" s="1108" t="s">
        <v>60633</v>
      </c>
      <c r="B931" s="1108" t="s">
        <v>60632</v>
      </c>
      <c r="C931" s="1108">
        <v>342</v>
      </c>
      <c r="GJ931" s="1108" t="s">
        <v>58710</v>
      </c>
      <c r="GK931" s="1108" t="s">
        <v>58709</v>
      </c>
    </row>
    <row r="932" spans="1:193">
      <c r="A932" s="1108" t="s">
        <v>60631</v>
      </c>
      <c r="B932" s="1108" t="s">
        <v>60630</v>
      </c>
      <c r="C932" s="1108">
        <v>352</v>
      </c>
      <c r="GJ932" s="1108" t="s">
        <v>58710</v>
      </c>
      <c r="GK932" s="1108" t="s">
        <v>58709</v>
      </c>
    </row>
    <row r="933" spans="1:193">
      <c r="A933" s="1108" t="s">
        <v>60629</v>
      </c>
      <c r="B933" s="1108" t="s">
        <v>60628</v>
      </c>
      <c r="C933" s="1108">
        <v>394</v>
      </c>
      <c r="GJ933" s="1108" t="s">
        <v>58710</v>
      </c>
      <c r="GK933" s="1108" t="s">
        <v>58709</v>
      </c>
    </row>
    <row r="934" spans="1:193">
      <c r="A934" s="1108" t="s">
        <v>60627</v>
      </c>
      <c r="B934" s="1108" t="s">
        <v>60626</v>
      </c>
      <c r="C934" s="1108">
        <v>318</v>
      </c>
      <c r="GJ934" s="1108" t="s">
        <v>58710</v>
      </c>
      <c r="GK934" s="1108" t="s">
        <v>58709</v>
      </c>
    </row>
    <row r="935" spans="1:193">
      <c r="A935" s="1108" t="s">
        <v>60625</v>
      </c>
      <c r="B935" s="1108" t="s">
        <v>60624</v>
      </c>
      <c r="C935" s="1108">
        <v>229</v>
      </c>
      <c r="GJ935" s="1108" t="s">
        <v>58710</v>
      </c>
      <c r="GK935" s="1108" t="s">
        <v>58709</v>
      </c>
    </row>
    <row r="936" spans="1:193">
      <c r="A936" s="1108" t="s">
        <v>60623</v>
      </c>
      <c r="B936" s="1108" t="s">
        <v>60622</v>
      </c>
      <c r="C936" s="1108">
        <v>351</v>
      </c>
      <c r="GJ936" s="1108" t="s">
        <v>58710</v>
      </c>
      <c r="GK936" s="1108" t="s">
        <v>58709</v>
      </c>
    </row>
    <row r="937" spans="1:193">
      <c r="A937" s="1108" t="s">
        <v>60621</v>
      </c>
      <c r="B937" s="1108" t="s">
        <v>60620</v>
      </c>
      <c r="C937" s="1108">
        <v>341</v>
      </c>
      <c r="GJ937" s="1108" t="s">
        <v>58710</v>
      </c>
      <c r="GK937" s="1108" t="s">
        <v>58709</v>
      </c>
    </row>
    <row r="938" spans="1:193">
      <c r="A938" s="1108" t="s">
        <v>60619</v>
      </c>
      <c r="B938" s="1108" t="s">
        <v>60618</v>
      </c>
      <c r="C938" s="1108">
        <v>341</v>
      </c>
      <c r="GJ938" s="1108" t="s">
        <v>58710</v>
      </c>
      <c r="GK938" s="1108" t="s">
        <v>58709</v>
      </c>
    </row>
    <row r="939" spans="1:193">
      <c r="A939" s="1108" t="s">
        <v>60617</v>
      </c>
      <c r="B939" s="1108" t="s">
        <v>60616</v>
      </c>
      <c r="C939" s="1108">
        <v>372</v>
      </c>
      <c r="GJ939" s="1108" t="s">
        <v>58710</v>
      </c>
      <c r="GK939" s="1108" t="s">
        <v>58709</v>
      </c>
    </row>
    <row r="940" spans="1:193">
      <c r="A940" s="1108" t="s">
        <v>60615</v>
      </c>
      <c r="B940" s="1108" t="s">
        <v>60614</v>
      </c>
      <c r="C940" s="1108">
        <v>265</v>
      </c>
      <c r="GJ940" s="1108" t="s">
        <v>58710</v>
      </c>
      <c r="GK940" s="1108" t="s">
        <v>58709</v>
      </c>
    </row>
    <row r="941" spans="1:193">
      <c r="A941" s="1108" t="s">
        <v>60613</v>
      </c>
      <c r="B941" s="1108" t="s">
        <v>60612</v>
      </c>
      <c r="C941" s="1108">
        <v>252</v>
      </c>
      <c r="GJ941" s="1108" t="s">
        <v>58710</v>
      </c>
      <c r="GK941" s="1108" t="s">
        <v>58709</v>
      </c>
    </row>
    <row r="942" spans="1:193">
      <c r="A942" s="1108" t="s">
        <v>60611</v>
      </c>
      <c r="B942" s="1108" t="s">
        <v>60610</v>
      </c>
      <c r="C942" s="1108">
        <v>284</v>
      </c>
      <c r="GJ942" s="1108" t="s">
        <v>58710</v>
      </c>
      <c r="GK942" s="1108" t="s">
        <v>58709</v>
      </c>
    </row>
    <row r="943" spans="1:193">
      <c r="A943" s="1108" t="s">
        <v>60609</v>
      </c>
      <c r="B943" s="1108" t="s">
        <v>60608</v>
      </c>
      <c r="C943" s="1108">
        <v>341</v>
      </c>
      <c r="GJ943" s="1108" t="s">
        <v>58710</v>
      </c>
      <c r="GK943" s="1108" t="s">
        <v>58709</v>
      </c>
    </row>
    <row r="944" spans="1:193">
      <c r="A944" s="1108" t="s">
        <v>60607</v>
      </c>
      <c r="B944" s="1108" t="s">
        <v>60606</v>
      </c>
      <c r="C944" s="1108">
        <v>341</v>
      </c>
      <c r="GJ944" s="1108" t="s">
        <v>58710</v>
      </c>
      <c r="GK944" s="1108" t="s">
        <v>58709</v>
      </c>
    </row>
    <row r="945" spans="1:193">
      <c r="A945" s="1108" t="s">
        <v>60605</v>
      </c>
      <c r="B945" s="1108" t="s">
        <v>60604</v>
      </c>
      <c r="C945" s="1108">
        <v>361</v>
      </c>
      <c r="GJ945" s="1108" t="s">
        <v>58710</v>
      </c>
      <c r="GK945" s="1108" t="s">
        <v>58709</v>
      </c>
    </row>
    <row r="946" spans="1:193">
      <c r="A946" s="1108" t="s">
        <v>60603</v>
      </c>
      <c r="B946" s="1108" t="s">
        <v>60602</v>
      </c>
      <c r="C946" s="1108">
        <v>341</v>
      </c>
      <c r="GJ946" s="1108" t="s">
        <v>58710</v>
      </c>
      <c r="GK946" s="1108" t="s">
        <v>58709</v>
      </c>
    </row>
    <row r="947" spans="1:193">
      <c r="A947" s="1108" t="s">
        <v>60601</v>
      </c>
      <c r="B947" s="1108" t="s">
        <v>60600</v>
      </c>
      <c r="C947" s="1108">
        <v>341</v>
      </c>
      <c r="GJ947" s="1108" t="s">
        <v>58710</v>
      </c>
      <c r="GK947" s="1108" t="s">
        <v>58709</v>
      </c>
    </row>
    <row r="948" spans="1:193">
      <c r="A948" s="1108" t="s">
        <v>60599</v>
      </c>
      <c r="B948" s="1108" t="s">
        <v>60598</v>
      </c>
      <c r="C948" s="1108">
        <v>344</v>
      </c>
      <c r="GJ948" s="1108" t="s">
        <v>58710</v>
      </c>
      <c r="GK948" s="1108" t="s">
        <v>58709</v>
      </c>
    </row>
    <row r="949" spans="1:193">
      <c r="A949" s="1108" t="s">
        <v>60597</v>
      </c>
      <c r="B949" s="1108" t="s">
        <v>60596</v>
      </c>
      <c r="C949" s="1108">
        <v>341</v>
      </c>
      <c r="GJ949" s="1108" t="s">
        <v>58710</v>
      </c>
      <c r="GK949" s="1108" t="s">
        <v>58709</v>
      </c>
    </row>
    <row r="950" spans="1:193">
      <c r="A950" s="1108" t="s">
        <v>60595</v>
      </c>
      <c r="B950" s="1108" t="s">
        <v>60594</v>
      </c>
      <c r="C950" s="1108">
        <v>350</v>
      </c>
      <c r="GJ950" s="1108" t="s">
        <v>58710</v>
      </c>
      <c r="GK950" s="1108" t="s">
        <v>58709</v>
      </c>
    </row>
    <row r="951" spans="1:193">
      <c r="A951" s="1108" t="s">
        <v>60593</v>
      </c>
      <c r="B951" s="1108" t="s">
        <v>60592</v>
      </c>
      <c r="C951" s="1108">
        <v>53</v>
      </c>
      <c r="GJ951" s="1108" t="s">
        <v>58710</v>
      </c>
      <c r="GK951" s="1108" t="s">
        <v>58709</v>
      </c>
    </row>
    <row r="952" spans="1:193">
      <c r="A952" s="1108" t="s">
        <v>60591</v>
      </c>
      <c r="B952" s="1108" t="s">
        <v>60590</v>
      </c>
      <c r="C952" s="1108">
        <v>67</v>
      </c>
      <c r="GJ952" s="1108" t="s">
        <v>58710</v>
      </c>
      <c r="GK952" s="1108" t="s">
        <v>58709</v>
      </c>
    </row>
    <row r="953" spans="1:193">
      <c r="A953" s="1108" t="s">
        <v>60589</v>
      </c>
      <c r="B953" s="1108" t="s">
        <v>60588</v>
      </c>
      <c r="C953" s="1108">
        <v>69</v>
      </c>
      <c r="GJ953" s="1108" t="s">
        <v>58710</v>
      </c>
      <c r="GK953" s="1108" t="s">
        <v>58709</v>
      </c>
    </row>
    <row r="954" spans="1:193">
      <c r="A954" s="1108" t="s">
        <v>60587</v>
      </c>
      <c r="B954" s="1108" t="s">
        <v>60586</v>
      </c>
      <c r="C954" s="1108">
        <v>65</v>
      </c>
      <c r="GJ954" s="1108" t="s">
        <v>58710</v>
      </c>
      <c r="GK954" s="1108" t="s">
        <v>58709</v>
      </c>
    </row>
    <row r="955" spans="1:193">
      <c r="A955" s="1108" t="s">
        <v>60585</v>
      </c>
      <c r="B955" s="1108" t="s">
        <v>60584</v>
      </c>
      <c r="C955" s="1108">
        <v>35</v>
      </c>
      <c r="GJ955" s="1108" t="s">
        <v>58710</v>
      </c>
      <c r="GK955" s="1108" t="s">
        <v>58709</v>
      </c>
    </row>
    <row r="956" spans="1:193">
      <c r="A956" s="1108" t="s">
        <v>60583</v>
      </c>
      <c r="B956" s="1108" t="s">
        <v>60582</v>
      </c>
      <c r="C956" s="1108">
        <v>63</v>
      </c>
      <c r="GJ956" s="1108" t="s">
        <v>58710</v>
      </c>
      <c r="GK956" s="1108" t="s">
        <v>58709</v>
      </c>
    </row>
    <row r="957" spans="1:193">
      <c r="A957" s="1108" t="s">
        <v>60581</v>
      </c>
      <c r="B957" s="1108" t="s">
        <v>60580</v>
      </c>
      <c r="C957" s="1108">
        <v>359</v>
      </c>
      <c r="GJ957" s="1108" t="s">
        <v>58710</v>
      </c>
      <c r="GK957" s="1108" t="s">
        <v>58709</v>
      </c>
    </row>
    <row r="958" spans="1:193">
      <c r="A958" s="1108" t="s">
        <v>60579</v>
      </c>
      <c r="B958" s="1108" t="s">
        <v>60578</v>
      </c>
      <c r="C958" s="1108">
        <v>314</v>
      </c>
      <c r="GJ958" s="1108" t="s">
        <v>58710</v>
      </c>
      <c r="GK958" s="1108" t="s">
        <v>58709</v>
      </c>
    </row>
    <row r="959" spans="1:193">
      <c r="A959" s="1108" t="s">
        <v>60577</v>
      </c>
      <c r="B959" s="1108" t="s">
        <v>60576</v>
      </c>
      <c r="C959" s="1108">
        <v>347</v>
      </c>
      <c r="GJ959" s="1108" t="s">
        <v>58710</v>
      </c>
      <c r="GK959" s="1108" t="s">
        <v>58709</v>
      </c>
    </row>
    <row r="960" spans="1:193">
      <c r="A960" s="1108" t="s">
        <v>60575</v>
      </c>
      <c r="B960" s="1108" t="s">
        <v>60574</v>
      </c>
      <c r="C960" s="1108">
        <v>252</v>
      </c>
      <c r="GJ960" s="1108" t="s">
        <v>58710</v>
      </c>
      <c r="GK960" s="1108" t="s">
        <v>58709</v>
      </c>
    </row>
    <row r="961" spans="1:193">
      <c r="A961" s="1108" t="s">
        <v>60573</v>
      </c>
      <c r="B961" s="1108" t="s">
        <v>60572</v>
      </c>
      <c r="C961" s="1108">
        <v>275</v>
      </c>
      <c r="GJ961" s="1108" t="s">
        <v>58710</v>
      </c>
      <c r="GK961" s="1108" t="s">
        <v>58709</v>
      </c>
    </row>
    <row r="962" spans="1:193">
      <c r="A962" s="1108" t="s">
        <v>60571</v>
      </c>
      <c r="B962" s="1108" t="s">
        <v>60570</v>
      </c>
      <c r="C962" s="1108">
        <v>360</v>
      </c>
      <c r="GJ962" s="1108" t="s">
        <v>58710</v>
      </c>
      <c r="GK962" s="1108" t="s">
        <v>58709</v>
      </c>
    </row>
    <row r="963" spans="1:193">
      <c r="A963" s="1108" t="s">
        <v>60569</v>
      </c>
      <c r="B963" s="1108" t="s">
        <v>60568</v>
      </c>
      <c r="C963" s="1108">
        <v>90</v>
      </c>
      <c r="GJ963" s="1108" t="s">
        <v>58710</v>
      </c>
      <c r="GK963" s="1108" t="s">
        <v>58709</v>
      </c>
    </row>
    <row r="964" spans="1:193">
      <c r="A964" s="1108" t="s">
        <v>60567</v>
      </c>
      <c r="B964" s="1108" t="s">
        <v>60566</v>
      </c>
      <c r="C964" s="1108">
        <v>323</v>
      </c>
      <c r="GJ964" s="1108" t="s">
        <v>58710</v>
      </c>
      <c r="GK964" s="1108" t="s">
        <v>58709</v>
      </c>
    </row>
    <row r="965" spans="1:193">
      <c r="A965" s="1108" t="s">
        <v>60565</v>
      </c>
      <c r="B965" s="1108" t="s">
        <v>60564</v>
      </c>
      <c r="C965" s="1108">
        <v>251</v>
      </c>
      <c r="GJ965" s="1108" t="s">
        <v>58710</v>
      </c>
      <c r="GK965" s="1108" t="s">
        <v>58709</v>
      </c>
    </row>
    <row r="966" spans="1:193">
      <c r="A966" s="1108" t="s">
        <v>60563</v>
      </c>
      <c r="B966" s="1108" t="s">
        <v>60562</v>
      </c>
      <c r="C966" s="1108">
        <v>251</v>
      </c>
      <c r="GJ966" s="1108" t="s">
        <v>58710</v>
      </c>
      <c r="GK966" s="1108" t="s">
        <v>58709</v>
      </c>
    </row>
    <row r="967" spans="1:193">
      <c r="A967" s="1108" t="s">
        <v>60561</v>
      </c>
      <c r="B967" s="1108" t="s">
        <v>60560</v>
      </c>
      <c r="C967" s="1108">
        <v>280</v>
      </c>
      <c r="GJ967" s="1108" t="s">
        <v>58710</v>
      </c>
      <c r="GK967" s="1108" t="s">
        <v>58709</v>
      </c>
    </row>
    <row r="968" spans="1:193">
      <c r="A968" s="1108" t="s">
        <v>60559</v>
      </c>
      <c r="B968" s="1108" t="s">
        <v>60558</v>
      </c>
      <c r="C968" s="1108">
        <v>63</v>
      </c>
      <c r="GJ968" s="1108" t="s">
        <v>58710</v>
      </c>
      <c r="GK968" s="1108" t="s">
        <v>58709</v>
      </c>
    </row>
    <row r="969" spans="1:193">
      <c r="A969" s="1108" t="s">
        <v>60557</v>
      </c>
      <c r="B969" s="1108" t="s">
        <v>60556</v>
      </c>
      <c r="C969" s="1108">
        <v>56</v>
      </c>
      <c r="GJ969" s="1108" t="s">
        <v>58710</v>
      </c>
      <c r="GK969" s="1108" t="s">
        <v>58709</v>
      </c>
    </row>
    <row r="970" spans="1:193">
      <c r="A970" s="1108" t="s">
        <v>60555</v>
      </c>
      <c r="B970" s="1108" t="s">
        <v>60554</v>
      </c>
      <c r="C970" s="1108">
        <v>81</v>
      </c>
      <c r="GJ970" s="1108" t="s">
        <v>58710</v>
      </c>
      <c r="GK970" s="1108" t="s">
        <v>58709</v>
      </c>
    </row>
    <row r="971" spans="1:193">
      <c r="A971" s="1108" t="s">
        <v>60553</v>
      </c>
      <c r="B971" s="1108" t="s">
        <v>60552</v>
      </c>
      <c r="C971" s="1108">
        <v>110</v>
      </c>
      <c r="GJ971" s="1108" t="s">
        <v>58710</v>
      </c>
      <c r="GK971" s="1108" t="s">
        <v>58709</v>
      </c>
    </row>
    <row r="972" spans="1:193">
      <c r="A972" s="1108" t="s">
        <v>60551</v>
      </c>
      <c r="B972" s="1108" t="s">
        <v>60550</v>
      </c>
      <c r="C972" s="1108">
        <v>199</v>
      </c>
      <c r="GJ972" s="1108" t="s">
        <v>58710</v>
      </c>
      <c r="GK972" s="1108" t="s">
        <v>58709</v>
      </c>
    </row>
    <row r="973" spans="1:193">
      <c r="A973" s="1108" t="s">
        <v>60549</v>
      </c>
      <c r="B973" s="1108" t="s">
        <v>60548</v>
      </c>
      <c r="C973" s="1108">
        <v>199</v>
      </c>
      <c r="GJ973" s="1108" t="s">
        <v>58710</v>
      </c>
      <c r="GK973" s="1108" t="s">
        <v>58709</v>
      </c>
    </row>
    <row r="974" spans="1:193">
      <c r="A974" s="1108" t="s">
        <v>60547</v>
      </c>
      <c r="B974" s="1108" t="s">
        <v>60546</v>
      </c>
      <c r="C974" s="1108">
        <v>166</v>
      </c>
      <c r="GJ974" s="1108" t="s">
        <v>58710</v>
      </c>
      <c r="GK974" s="1108" t="s">
        <v>58709</v>
      </c>
    </row>
    <row r="975" spans="1:193">
      <c r="A975" s="1108" t="s">
        <v>60545</v>
      </c>
      <c r="B975" s="1108" t="s">
        <v>60544</v>
      </c>
      <c r="C975" s="1108">
        <v>56</v>
      </c>
      <c r="GJ975" s="1108" t="s">
        <v>58710</v>
      </c>
      <c r="GK975" s="1108" t="s">
        <v>58709</v>
      </c>
    </row>
    <row r="976" spans="1:193">
      <c r="A976" s="1108" t="s">
        <v>60543</v>
      </c>
      <c r="B976" s="1108" t="s">
        <v>60542</v>
      </c>
      <c r="C976" s="1108">
        <v>94</v>
      </c>
      <c r="GJ976" s="1108" t="s">
        <v>58710</v>
      </c>
      <c r="GK976" s="1108" t="s">
        <v>58709</v>
      </c>
    </row>
    <row r="977" spans="1:193">
      <c r="A977" s="1108" t="s">
        <v>60541</v>
      </c>
      <c r="B977" s="1108" t="s">
        <v>60540</v>
      </c>
      <c r="C977" s="1108">
        <v>158</v>
      </c>
      <c r="GJ977" s="1108" t="s">
        <v>58710</v>
      </c>
      <c r="GK977" s="1108" t="s">
        <v>58709</v>
      </c>
    </row>
    <row r="978" spans="1:193">
      <c r="A978" s="1108" t="s">
        <v>60539</v>
      </c>
      <c r="B978" s="1108" t="s">
        <v>60538</v>
      </c>
      <c r="C978" s="1108">
        <v>213</v>
      </c>
      <c r="GJ978" s="1108" t="s">
        <v>58710</v>
      </c>
      <c r="GK978" s="1108" t="s">
        <v>58709</v>
      </c>
    </row>
    <row r="979" spans="1:193">
      <c r="A979" s="1108" t="s">
        <v>60537</v>
      </c>
      <c r="B979" s="1108" t="s">
        <v>60536</v>
      </c>
      <c r="C979" s="1108">
        <v>77</v>
      </c>
      <c r="GJ979" s="1108" t="s">
        <v>58710</v>
      </c>
      <c r="GK979" s="1108" t="s">
        <v>58709</v>
      </c>
    </row>
    <row r="980" spans="1:193">
      <c r="A980" s="1108" t="s">
        <v>60535</v>
      </c>
      <c r="B980" s="1108" t="s">
        <v>60534</v>
      </c>
      <c r="C980" s="1108">
        <v>79</v>
      </c>
      <c r="GJ980" s="1108" t="s">
        <v>58710</v>
      </c>
      <c r="GK980" s="1108" t="s">
        <v>58709</v>
      </c>
    </row>
    <row r="981" spans="1:193">
      <c r="A981" s="1108" t="s">
        <v>60533</v>
      </c>
      <c r="B981" s="1108" t="s">
        <v>60532</v>
      </c>
      <c r="C981" s="1108">
        <v>153</v>
      </c>
      <c r="GJ981" s="1108" t="s">
        <v>58710</v>
      </c>
      <c r="GK981" s="1108" t="s">
        <v>58709</v>
      </c>
    </row>
    <row r="982" spans="1:193">
      <c r="A982" s="1108" t="s">
        <v>60531</v>
      </c>
      <c r="B982" s="1108" t="s">
        <v>60530</v>
      </c>
      <c r="C982" s="1108">
        <v>96</v>
      </c>
      <c r="GJ982" s="1108" t="s">
        <v>58710</v>
      </c>
      <c r="GK982" s="1108" t="s">
        <v>58709</v>
      </c>
    </row>
    <row r="983" spans="1:193">
      <c r="A983" s="1108" t="s">
        <v>60529</v>
      </c>
      <c r="B983" s="1108" t="s">
        <v>60528</v>
      </c>
      <c r="C983" s="1108">
        <v>60</v>
      </c>
      <c r="GJ983" s="1108" t="s">
        <v>58710</v>
      </c>
      <c r="GK983" s="1108" t="s">
        <v>58709</v>
      </c>
    </row>
    <row r="984" spans="1:193">
      <c r="A984" s="1108" t="s">
        <v>60527</v>
      </c>
      <c r="B984" s="1108" t="s">
        <v>60526</v>
      </c>
      <c r="C984" s="1108">
        <v>77</v>
      </c>
      <c r="GJ984" s="1108" t="s">
        <v>58710</v>
      </c>
      <c r="GK984" s="1108" t="s">
        <v>58709</v>
      </c>
    </row>
    <row r="985" spans="1:193">
      <c r="A985" s="1108" t="s">
        <v>60525</v>
      </c>
      <c r="B985" s="1108" t="s">
        <v>60524</v>
      </c>
      <c r="C985" s="1108">
        <v>326</v>
      </c>
      <c r="GJ985" s="1108" t="s">
        <v>58710</v>
      </c>
      <c r="GK985" s="1108" t="s">
        <v>58709</v>
      </c>
    </row>
    <row r="986" spans="1:193">
      <c r="A986" s="1108" t="s">
        <v>60523</v>
      </c>
      <c r="B986" s="1108" t="s">
        <v>60522</v>
      </c>
      <c r="C986" s="1108">
        <v>332</v>
      </c>
      <c r="GJ986" s="1108" t="s">
        <v>58710</v>
      </c>
      <c r="GK986" s="1108" t="s">
        <v>58709</v>
      </c>
    </row>
    <row r="987" spans="1:193">
      <c r="A987" s="1108" t="s">
        <v>60521</v>
      </c>
      <c r="B987" s="1108" t="s">
        <v>60520</v>
      </c>
      <c r="C987" s="1108">
        <v>371.7405</v>
      </c>
      <c r="GJ987" s="1108" t="s">
        <v>58710</v>
      </c>
      <c r="GK987" s="1108" t="s">
        <v>58709</v>
      </c>
    </row>
    <row r="988" spans="1:193">
      <c r="A988" s="1108" t="s">
        <v>60519</v>
      </c>
      <c r="B988" s="1108" t="s">
        <v>60518</v>
      </c>
      <c r="C988" s="1108">
        <v>74</v>
      </c>
      <c r="GJ988" s="1108" t="s">
        <v>58710</v>
      </c>
      <c r="GK988" s="1108" t="s">
        <v>58709</v>
      </c>
    </row>
    <row r="989" spans="1:193">
      <c r="A989" s="1108" t="s">
        <v>60517</v>
      </c>
      <c r="B989" s="1108" t="s">
        <v>60516</v>
      </c>
      <c r="C989" s="1108">
        <v>1082.7405000000001</v>
      </c>
      <c r="GJ989" s="1108" t="s">
        <v>58710</v>
      </c>
      <c r="GK989" s="1108" t="s">
        <v>58709</v>
      </c>
    </row>
    <row r="990" spans="1:193">
      <c r="A990" s="1108" t="s">
        <v>60515</v>
      </c>
      <c r="B990" s="1108" t="s">
        <v>60514</v>
      </c>
      <c r="C990" s="1108">
        <v>92</v>
      </c>
      <c r="GJ990" s="1108" t="s">
        <v>58710</v>
      </c>
      <c r="GK990" s="1108" t="s">
        <v>58709</v>
      </c>
    </row>
    <row r="991" spans="1:193">
      <c r="A991" s="1108" t="s">
        <v>60513</v>
      </c>
      <c r="B991" s="1108" t="s">
        <v>60512</v>
      </c>
      <c r="C991" s="1108">
        <v>92</v>
      </c>
      <c r="GJ991" s="1108" t="s">
        <v>58710</v>
      </c>
      <c r="GK991" s="1108" t="s">
        <v>58709</v>
      </c>
    </row>
    <row r="992" spans="1:193">
      <c r="A992" s="1108" t="s">
        <v>60511</v>
      </c>
      <c r="B992" s="1108" t="s">
        <v>60510</v>
      </c>
      <c r="C992" s="1108">
        <v>40</v>
      </c>
      <c r="GJ992" s="1108" t="s">
        <v>58710</v>
      </c>
      <c r="GK992" s="1108" t="s">
        <v>58709</v>
      </c>
    </row>
    <row r="993" spans="1:193">
      <c r="A993" s="1108" t="s">
        <v>60509</v>
      </c>
      <c r="B993" s="1108" t="s">
        <v>60508</v>
      </c>
      <c r="C993" s="1108">
        <v>40</v>
      </c>
      <c r="GJ993" s="1108" t="s">
        <v>58710</v>
      </c>
      <c r="GK993" s="1108" t="s">
        <v>58709</v>
      </c>
    </row>
    <row r="994" spans="1:193">
      <c r="A994" s="1108" t="s">
        <v>60507</v>
      </c>
      <c r="B994" s="1108" t="s">
        <v>60506</v>
      </c>
      <c r="C994" s="1108">
        <v>41</v>
      </c>
      <c r="GJ994" s="1108" t="s">
        <v>58710</v>
      </c>
      <c r="GK994" s="1108" t="s">
        <v>58709</v>
      </c>
    </row>
    <row r="995" spans="1:193">
      <c r="A995" s="1108" t="s">
        <v>60505</v>
      </c>
      <c r="B995" s="1108" t="s">
        <v>60504</v>
      </c>
      <c r="C995" s="1108">
        <v>25</v>
      </c>
      <c r="GJ995" s="1108" t="s">
        <v>58710</v>
      </c>
      <c r="GK995" s="1108" t="s">
        <v>58709</v>
      </c>
    </row>
    <row r="996" spans="1:193">
      <c r="A996" s="1108" t="s">
        <v>60503</v>
      </c>
      <c r="B996" s="1108" t="s">
        <v>60502</v>
      </c>
      <c r="C996" s="1108">
        <v>25</v>
      </c>
      <c r="GJ996" s="1108" t="s">
        <v>58710</v>
      </c>
      <c r="GK996" s="1108" t="s">
        <v>58709</v>
      </c>
    </row>
    <row r="997" spans="1:193">
      <c r="A997" s="1108" t="s">
        <v>60501</v>
      </c>
      <c r="B997" s="1108" t="s">
        <v>60500</v>
      </c>
      <c r="C997" s="1108">
        <v>52</v>
      </c>
      <c r="GJ997" s="1108" t="s">
        <v>58710</v>
      </c>
      <c r="GK997" s="1108" t="s">
        <v>58709</v>
      </c>
    </row>
    <row r="998" spans="1:193">
      <c r="A998" s="1108" t="s">
        <v>60499</v>
      </c>
      <c r="B998" s="1108" t="s">
        <v>60498</v>
      </c>
      <c r="C998" s="1108">
        <v>50</v>
      </c>
      <c r="GJ998" s="1108" t="s">
        <v>58710</v>
      </c>
      <c r="GK998" s="1108" t="s">
        <v>58709</v>
      </c>
    </row>
    <row r="999" spans="1:193">
      <c r="A999" s="1108" t="s">
        <v>60497</v>
      </c>
      <c r="B999" s="1108" t="s">
        <v>60496</v>
      </c>
      <c r="C999" s="1108">
        <v>147</v>
      </c>
      <c r="GJ999" s="1108" t="s">
        <v>58710</v>
      </c>
      <c r="GK999" s="1108" t="s">
        <v>58709</v>
      </c>
    </row>
    <row r="1000" spans="1:193">
      <c r="A1000" s="1108" t="s">
        <v>60495</v>
      </c>
      <c r="B1000" s="1108" t="s">
        <v>60494</v>
      </c>
      <c r="C1000" s="1108">
        <v>150</v>
      </c>
      <c r="GJ1000" s="1108" t="s">
        <v>58710</v>
      </c>
      <c r="GK1000" s="1108" t="s">
        <v>58709</v>
      </c>
    </row>
    <row r="1001" spans="1:193">
      <c r="A1001" s="1108" t="s">
        <v>60493</v>
      </c>
      <c r="B1001" s="1108" t="s">
        <v>60492</v>
      </c>
      <c r="C1001" s="1108">
        <v>152</v>
      </c>
      <c r="GJ1001" s="1108" t="s">
        <v>58710</v>
      </c>
      <c r="GK1001" s="1108" t="s">
        <v>58709</v>
      </c>
    </row>
    <row r="1002" spans="1:193">
      <c r="A1002" s="1108" t="s">
        <v>60491</v>
      </c>
      <c r="B1002" s="1108" t="s">
        <v>60490</v>
      </c>
      <c r="C1002" s="1108">
        <v>148</v>
      </c>
      <c r="GJ1002" s="1108" t="s">
        <v>58710</v>
      </c>
      <c r="GK1002" s="1108" t="s">
        <v>58709</v>
      </c>
    </row>
    <row r="1003" spans="1:193">
      <c r="A1003" s="1108" t="s">
        <v>60489</v>
      </c>
      <c r="B1003" s="1108" t="s">
        <v>60488</v>
      </c>
      <c r="C1003" s="1108">
        <v>150</v>
      </c>
      <c r="GJ1003" s="1108" t="s">
        <v>58710</v>
      </c>
      <c r="GK1003" s="1108" t="s">
        <v>58709</v>
      </c>
    </row>
    <row r="1004" spans="1:193">
      <c r="A1004" s="1108" t="s">
        <v>60487</v>
      </c>
      <c r="B1004" s="1108" t="s">
        <v>60486</v>
      </c>
      <c r="C1004" s="1108">
        <v>152</v>
      </c>
      <c r="GJ1004" s="1108" t="s">
        <v>58710</v>
      </c>
      <c r="GK1004" s="1108" t="s">
        <v>58709</v>
      </c>
    </row>
    <row r="1005" spans="1:193">
      <c r="A1005" s="1108" t="s">
        <v>60485</v>
      </c>
      <c r="B1005" s="1108" t="s">
        <v>60484</v>
      </c>
      <c r="C1005" s="1108">
        <v>148</v>
      </c>
      <c r="GJ1005" s="1108" t="s">
        <v>58710</v>
      </c>
      <c r="GK1005" s="1108" t="s">
        <v>58709</v>
      </c>
    </row>
    <row r="1006" spans="1:193">
      <c r="A1006" s="1108" t="s">
        <v>60483</v>
      </c>
      <c r="B1006" s="1108" t="s">
        <v>60482</v>
      </c>
      <c r="C1006" s="1108">
        <v>152</v>
      </c>
      <c r="GJ1006" s="1108" t="s">
        <v>58710</v>
      </c>
      <c r="GK1006" s="1108" t="s">
        <v>58709</v>
      </c>
    </row>
    <row r="1007" spans="1:193">
      <c r="A1007" s="1108" t="s">
        <v>60481</v>
      </c>
      <c r="B1007" s="1108" t="s">
        <v>60480</v>
      </c>
      <c r="C1007" s="1108">
        <v>155</v>
      </c>
      <c r="GJ1007" s="1108" t="s">
        <v>58710</v>
      </c>
      <c r="GK1007" s="1108" t="s">
        <v>58709</v>
      </c>
    </row>
    <row r="1008" spans="1:193">
      <c r="A1008" s="1108" t="s">
        <v>60479</v>
      </c>
      <c r="B1008" s="1108" t="s">
        <v>60478</v>
      </c>
      <c r="C1008" s="1108">
        <v>72</v>
      </c>
      <c r="GJ1008" s="1108" t="s">
        <v>58710</v>
      </c>
      <c r="GK1008" s="1108" t="s">
        <v>58709</v>
      </c>
    </row>
    <row r="1009" spans="1:193">
      <c r="A1009" s="1108" t="s">
        <v>60477</v>
      </c>
      <c r="B1009" s="1108" t="s">
        <v>60476</v>
      </c>
      <c r="C1009" s="1108">
        <v>81</v>
      </c>
      <c r="GJ1009" s="1108" t="s">
        <v>58710</v>
      </c>
      <c r="GK1009" s="1108" t="s">
        <v>58709</v>
      </c>
    </row>
    <row r="1010" spans="1:193">
      <c r="A1010" s="1108" t="s">
        <v>60475</v>
      </c>
      <c r="B1010" s="1108" t="s">
        <v>60474</v>
      </c>
      <c r="C1010" s="1108">
        <v>85</v>
      </c>
      <c r="GJ1010" s="1108" t="s">
        <v>58710</v>
      </c>
      <c r="GK1010" s="1108" t="s">
        <v>58709</v>
      </c>
    </row>
    <row r="1011" spans="1:193">
      <c r="A1011" s="1108" t="s">
        <v>60473</v>
      </c>
      <c r="B1011" s="1108" t="s">
        <v>60472</v>
      </c>
      <c r="C1011" s="1108">
        <v>89</v>
      </c>
      <c r="GJ1011" s="1108" t="s">
        <v>58710</v>
      </c>
      <c r="GK1011" s="1108" t="s">
        <v>58709</v>
      </c>
    </row>
    <row r="1012" spans="1:193">
      <c r="A1012" s="1108" t="s">
        <v>60471</v>
      </c>
      <c r="B1012" s="1108" t="s">
        <v>60470</v>
      </c>
      <c r="C1012" s="1108">
        <v>252</v>
      </c>
      <c r="GJ1012" s="1108" t="s">
        <v>58710</v>
      </c>
      <c r="GK1012" s="1108" t="s">
        <v>58709</v>
      </c>
    </row>
    <row r="1013" spans="1:193">
      <c r="A1013" s="1108" t="s">
        <v>60469</v>
      </c>
      <c r="B1013" s="1108" t="s">
        <v>60468</v>
      </c>
      <c r="C1013" s="1108">
        <v>252</v>
      </c>
      <c r="GJ1013" s="1108" t="s">
        <v>58710</v>
      </c>
      <c r="GK1013" s="1108" t="s">
        <v>58709</v>
      </c>
    </row>
    <row r="1014" spans="1:193">
      <c r="A1014" s="1108" t="s">
        <v>60467</v>
      </c>
      <c r="B1014" s="1108" t="s">
        <v>60466</v>
      </c>
      <c r="C1014" s="1108">
        <v>85</v>
      </c>
      <c r="GJ1014" s="1108" t="s">
        <v>58710</v>
      </c>
      <c r="GK1014" s="1108" t="s">
        <v>58709</v>
      </c>
    </row>
    <row r="1015" spans="1:193">
      <c r="A1015" s="1108" t="s">
        <v>60465</v>
      </c>
      <c r="B1015" s="1108" t="s">
        <v>60464</v>
      </c>
      <c r="C1015" s="1108">
        <v>94</v>
      </c>
      <c r="GJ1015" s="1108" t="s">
        <v>58710</v>
      </c>
      <c r="GK1015" s="1108" t="s">
        <v>58709</v>
      </c>
    </row>
    <row r="1016" spans="1:193">
      <c r="A1016" s="1108" t="s">
        <v>60463</v>
      </c>
      <c r="B1016" s="1108" t="s">
        <v>60462</v>
      </c>
      <c r="C1016" s="1108">
        <v>77</v>
      </c>
      <c r="GJ1016" s="1108" t="s">
        <v>58710</v>
      </c>
      <c r="GK1016" s="1108" t="s">
        <v>58709</v>
      </c>
    </row>
    <row r="1017" spans="1:193">
      <c r="A1017" s="1108" t="s">
        <v>60461</v>
      </c>
      <c r="B1017" s="1108" t="s">
        <v>60460</v>
      </c>
      <c r="C1017" s="1108">
        <v>81</v>
      </c>
      <c r="GJ1017" s="1108" t="s">
        <v>58710</v>
      </c>
      <c r="GK1017" s="1108" t="s">
        <v>58709</v>
      </c>
    </row>
    <row r="1018" spans="1:193">
      <c r="A1018" s="1108" t="s">
        <v>60459</v>
      </c>
      <c r="B1018" s="1108" t="s">
        <v>60458</v>
      </c>
      <c r="C1018" s="1108">
        <v>147</v>
      </c>
      <c r="GJ1018" s="1108" t="s">
        <v>58710</v>
      </c>
      <c r="GK1018" s="1108" t="s">
        <v>58709</v>
      </c>
    </row>
    <row r="1019" spans="1:193">
      <c r="A1019" s="1108" t="s">
        <v>60457</v>
      </c>
      <c r="B1019" s="1108" t="s">
        <v>60456</v>
      </c>
      <c r="C1019" s="1108">
        <v>144</v>
      </c>
      <c r="GJ1019" s="1108" t="s">
        <v>58710</v>
      </c>
      <c r="GK1019" s="1108" t="s">
        <v>58709</v>
      </c>
    </row>
    <row r="1020" spans="1:193">
      <c r="A1020" s="1108" t="s">
        <v>60455</v>
      </c>
      <c r="B1020" s="1108" t="s">
        <v>60454</v>
      </c>
      <c r="C1020" s="1108">
        <v>152</v>
      </c>
      <c r="GJ1020" s="1108" t="s">
        <v>58710</v>
      </c>
      <c r="GK1020" s="1108" t="s">
        <v>58709</v>
      </c>
    </row>
    <row r="1021" spans="1:193">
      <c r="A1021" s="1108" t="s">
        <v>60453</v>
      </c>
      <c r="B1021" s="1108" t="s">
        <v>60452</v>
      </c>
      <c r="C1021" s="1108">
        <v>158</v>
      </c>
      <c r="GJ1021" s="1108" t="s">
        <v>58710</v>
      </c>
      <c r="GK1021" s="1108" t="s">
        <v>58709</v>
      </c>
    </row>
    <row r="1022" spans="1:193">
      <c r="A1022" s="1108" t="s">
        <v>60451</v>
      </c>
      <c r="B1022" s="1108" t="s">
        <v>60450</v>
      </c>
      <c r="C1022" s="1108">
        <v>169</v>
      </c>
      <c r="GJ1022" s="1108" t="s">
        <v>58710</v>
      </c>
      <c r="GK1022" s="1108" t="s">
        <v>58709</v>
      </c>
    </row>
    <row r="1023" spans="1:193">
      <c r="A1023" s="1108" t="s">
        <v>60449</v>
      </c>
      <c r="B1023" s="1108" t="s">
        <v>60448</v>
      </c>
      <c r="C1023" s="1108">
        <v>172</v>
      </c>
      <c r="GJ1023" s="1108" t="s">
        <v>58710</v>
      </c>
      <c r="GK1023" s="1108" t="s">
        <v>58709</v>
      </c>
    </row>
    <row r="1024" spans="1:193">
      <c r="A1024" s="1108" t="s">
        <v>60447</v>
      </c>
      <c r="B1024" s="1108" t="s">
        <v>60446</v>
      </c>
      <c r="C1024" s="1108">
        <v>133</v>
      </c>
      <c r="GJ1024" s="1108" t="s">
        <v>58710</v>
      </c>
      <c r="GK1024" s="1108" t="s">
        <v>58709</v>
      </c>
    </row>
    <row r="1025" spans="1:193">
      <c r="A1025" s="1108" t="s">
        <v>60445</v>
      </c>
      <c r="B1025" s="1108" t="s">
        <v>60444</v>
      </c>
      <c r="C1025" s="1108">
        <v>134</v>
      </c>
      <c r="GJ1025" s="1108" t="s">
        <v>58710</v>
      </c>
      <c r="GK1025" s="1108" t="s">
        <v>58709</v>
      </c>
    </row>
    <row r="1026" spans="1:193">
      <c r="A1026" s="1108" t="s">
        <v>60443</v>
      </c>
      <c r="B1026" s="1108" t="s">
        <v>60442</v>
      </c>
      <c r="C1026" s="1108">
        <v>89</v>
      </c>
      <c r="GJ1026" s="1108" t="s">
        <v>58710</v>
      </c>
      <c r="GK1026" s="1108" t="s">
        <v>58709</v>
      </c>
    </row>
    <row r="1027" spans="1:193">
      <c r="A1027" s="1108" t="s">
        <v>60441</v>
      </c>
      <c r="B1027" s="1108" t="s">
        <v>60440</v>
      </c>
      <c r="C1027" s="1108">
        <v>89</v>
      </c>
      <c r="GJ1027" s="1108" t="s">
        <v>58710</v>
      </c>
      <c r="GK1027" s="1108" t="s">
        <v>58709</v>
      </c>
    </row>
    <row r="1028" spans="1:193">
      <c r="A1028" s="1108" t="s">
        <v>60439</v>
      </c>
      <c r="B1028" s="1108" t="s">
        <v>60438</v>
      </c>
      <c r="C1028" s="1108">
        <v>700</v>
      </c>
      <c r="GJ1028" s="1108" t="s">
        <v>58710</v>
      </c>
      <c r="GK1028" s="1108" t="s">
        <v>58709</v>
      </c>
    </row>
    <row r="1029" spans="1:193">
      <c r="A1029" s="1108" t="s">
        <v>60437</v>
      </c>
      <c r="B1029" s="1108" t="s">
        <v>60436</v>
      </c>
      <c r="C1029" s="1108">
        <v>855</v>
      </c>
      <c r="GJ1029" s="1108" t="s">
        <v>58710</v>
      </c>
      <c r="GK1029" s="1108" t="s">
        <v>58709</v>
      </c>
    </row>
    <row r="1030" spans="1:193">
      <c r="A1030" s="1108" t="s">
        <v>60435</v>
      </c>
      <c r="B1030" s="1108" t="s">
        <v>60434</v>
      </c>
      <c r="C1030" s="1108">
        <v>351</v>
      </c>
      <c r="GJ1030" s="1108" t="s">
        <v>58710</v>
      </c>
      <c r="GK1030" s="1108" t="s">
        <v>58709</v>
      </c>
    </row>
    <row r="1031" spans="1:193">
      <c r="A1031" s="1108" t="s">
        <v>60433</v>
      </c>
      <c r="B1031" s="1108" t="s">
        <v>60432</v>
      </c>
      <c r="C1031" s="1108">
        <v>869</v>
      </c>
      <c r="GJ1031" s="1108" t="s">
        <v>58710</v>
      </c>
      <c r="GK1031" s="1108" t="s">
        <v>58709</v>
      </c>
    </row>
    <row r="1032" spans="1:193">
      <c r="A1032" s="1108" t="s">
        <v>60431</v>
      </c>
      <c r="B1032" s="1108" t="s">
        <v>60430</v>
      </c>
      <c r="C1032" s="1108">
        <v>1161</v>
      </c>
      <c r="GJ1032" s="1108" t="s">
        <v>58710</v>
      </c>
      <c r="GK1032" s="1108" t="s">
        <v>58709</v>
      </c>
    </row>
    <row r="1033" spans="1:193">
      <c r="A1033" s="1108" t="s">
        <v>60429</v>
      </c>
      <c r="B1033" s="1108" t="s">
        <v>60428</v>
      </c>
      <c r="C1033" s="1108">
        <v>869</v>
      </c>
      <c r="GJ1033" s="1108" t="s">
        <v>58710</v>
      </c>
      <c r="GK1033" s="1108" t="s">
        <v>58709</v>
      </c>
    </row>
    <row r="1034" spans="1:193">
      <c r="A1034" s="1108" t="s">
        <v>60427</v>
      </c>
      <c r="B1034" s="1108" t="s">
        <v>60426</v>
      </c>
      <c r="C1034" s="1108">
        <v>1161</v>
      </c>
      <c r="GJ1034" s="1108" t="s">
        <v>58710</v>
      </c>
      <c r="GK1034" s="1108" t="s">
        <v>58709</v>
      </c>
    </row>
    <row r="1035" spans="1:193">
      <c r="A1035" s="1108" t="s">
        <v>60425</v>
      </c>
      <c r="B1035" s="1108" t="s">
        <v>60424</v>
      </c>
      <c r="C1035" s="1108">
        <v>847</v>
      </c>
      <c r="GJ1035" s="1108" t="s">
        <v>58710</v>
      </c>
      <c r="GK1035" s="1108" t="s">
        <v>58709</v>
      </c>
    </row>
    <row r="1036" spans="1:193">
      <c r="A1036" s="1108" t="s">
        <v>60423</v>
      </c>
      <c r="B1036" s="1108" t="s">
        <v>60422</v>
      </c>
      <c r="C1036" s="1108">
        <v>1140</v>
      </c>
      <c r="GJ1036" s="1108" t="s">
        <v>58710</v>
      </c>
      <c r="GK1036" s="1108" t="s">
        <v>58709</v>
      </c>
    </row>
    <row r="1037" spans="1:193">
      <c r="A1037" s="1108" t="s">
        <v>60421</v>
      </c>
      <c r="B1037" s="1108" t="s">
        <v>60420</v>
      </c>
      <c r="C1037" s="1108">
        <v>408</v>
      </c>
      <c r="GJ1037" s="1108" t="s">
        <v>58710</v>
      </c>
      <c r="GK1037" s="1108" t="s">
        <v>58709</v>
      </c>
    </row>
    <row r="1038" spans="1:193">
      <c r="A1038" s="1108" t="s">
        <v>60419</v>
      </c>
      <c r="B1038" s="1108" t="s">
        <v>60418</v>
      </c>
      <c r="C1038" s="1108">
        <v>408</v>
      </c>
      <c r="GJ1038" s="1108" t="s">
        <v>58710</v>
      </c>
      <c r="GK1038" s="1108" t="s">
        <v>58709</v>
      </c>
    </row>
    <row r="1039" spans="1:193">
      <c r="A1039" s="1108" t="s">
        <v>60417</v>
      </c>
      <c r="B1039" s="1108" t="s">
        <v>60416</v>
      </c>
      <c r="C1039" s="1108">
        <v>869</v>
      </c>
      <c r="GJ1039" s="1108" t="s">
        <v>58710</v>
      </c>
      <c r="GK1039" s="1108" t="s">
        <v>58709</v>
      </c>
    </row>
    <row r="1040" spans="1:193">
      <c r="A1040" s="1108" t="s">
        <v>60415</v>
      </c>
      <c r="B1040" s="1108" t="s">
        <v>60414</v>
      </c>
      <c r="C1040" s="1108">
        <v>1161</v>
      </c>
      <c r="GJ1040" s="1108" t="s">
        <v>58710</v>
      </c>
      <c r="GK1040" s="1108" t="s">
        <v>58709</v>
      </c>
    </row>
    <row r="1041" spans="1:193">
      <c r="A1041" s="1108" t="s">
        <v>60413</v>
      </c>
      <c r="B1041" s="1108" t="s">
        <v>60412</v>
      </c>
      <c r="C1041" s="1108">
        <v>847</v>
      </c>
      <c r="GJ1041" s="1108" t="s">
        <v>58710</v>
      </c>
      <c r="GK1041" s="1108" t="s">
        <v>58709</v>
      </c>
    </row>
    <row r="1042" spans="1:193">
      <c r="A1042" s="1108" t="s">
        <v>60411</v>
      </c>
      <c r="B1042" s="1108" t="s">
        <v>60410</v>
      </c>
      <c r="C1042" s="1108">
        <v>1140</v>
      </c>
      <c r="GJ1042" s="1108" t="s">
        <v>58710</v>
      </c>
      <c r="GK1042" s="1108" t="s">
        <v>58709</v>
      </c>
    </row>
    <row r="1043" spans="1:193">
      <c r="A1043" s="1108" t="s">
        <v>60409</v>
      </c>
      <c r="B1043" s="1108" t="s">
        <v>60408</v>
      </c>
      <c r="C1043" s="1108">
        <v>408</v>
      </c>
      <c r="GJ1043" s="1108" t="s">
        <v>58710</v>
      </c>
      <c r="GK1043" s="1108" t="s">
        <v>58709</v>
      </c>
    </row>
    <row r="1044" spans="1:193">
      <c r="A1044" s="1108" t="s">
        <v>60407</v>
      </c>
      <c r="B1044" s="1108" t="s">
        <v>60406</v>
      </c>
      <c r="C1044" s="1108">
        <v>219</v>
      </c>
      <c r="GJ1044" s="1108" t="s">
        <v>58710</v>
      </c>
      <c r="GK1044" s="1108" t="s">
        <v>58709</v>
      </c>
    </row>
    <row r="1045" spans="1:193">
      <c r="A1045" s="1108" t="s">
        <v>60405</v>
      </c>
      <c r="B1045" s="1108" t="s">
        <v>60404</v>
      </c>
      <c r="C1045" s="1108">
        <v>131</v>
      </c>
      <c r="GJ1045" s="1108" t="s">
        <v>58710</v>
      </c>
      <c r="GK1045" s="1108" t="s">
        <v>58709</v>
      </c>
    </row>
    <row r="1046" spans="1:193">
      <c r="A1046" s="1108" t="s">
        <v>60403</v>
      </c>
      <c r="B1046" s="1108" t="s">
        <v>60402</v>
      </c>
      <c r="C1046" s="1108">
        <v>131</v>
      </c>
      <c r="GJ1046" s="1108" t="s">
        <v>58710</v>
      </c>
      <c r="GK1046" s="1108" t="s">
        <v>58709</v>
      </c>
    </row>
    <row r="1047" spans="1:193">
      <c r="A1047" s="1108" t="s">
        <v>60401</v>
      </c>
      <c r="B1047" s="1108" t="s">
        <v>60400</v>
      </c>
      <c r="C1047" s="1108">
        <v>219</v>
      </c>
      <c r="GJ1047" s="1108" t="s">
        <v>58710</v>
      </c>
      <c r="GK1047" s="1108" t="s">
        <v>58709</v>
      </c>
    </row>
    <row r="1048" spans="1:193">
      <c r="A1048" s="1108" t="s">
        <v>60399</v>
      </c>
      <c r="B1048" s="1108" t="s">
        <v>60398</v>
      </c>
      <c r="C1048" s="1108">
        <v>1700</v>
      </c>
      <c r="GJ1048" s="1108" t="s">
        <v>58710</v>
      </c>
      <c r="GK1048" s="1108" t="s">
        <v>58709</v>
      </c>
    </row>
    <row r="1049" spans="1:193">
      <c r="A1049" s="1108" t="s">
        <v>60397</v>
      </c>
      <c r="B1049" s="1108" t="s">
        <v>60396</v>
      </c>
      <c r="C1049" s="1108">
        <v>1852</v>
      </c>
      <c r="GJ1049" s="1108" t="s">
        <v>58710</v>
      </c>
      <c r="GK1049" s="1108" t="s">
        <v>58709</v>
      </c>
    </row>
    <row r="1050" spans="1:193">
      <c r="A1050" s="1108" t="s">
        <v>60395</v>
      </c>
      <c r="B1050" s="1108" t="s">
        <v>60394</v>
      </c>
      <c r="C1050" s="1108">
        <v>1654</v>
      </c>
      <c r="GJ1050" s="1108" t="s">
        <v>58710</v>
      </c>
      <c r="GK1050" s="1108" t="s">
        <v>58709</v>
      </c>
    </row>
    <row r="1051" spans="1:193">
      <c r="A1051" s="1108" t="s">
        <v>60393</v>
      </c>
      <c r="B1051" s="1108" t="s">
        <v>60392</v>
      </c>
      <c r="C1051" s="1108">
        <v>1807</v>
      </c>
      <c r="GJ1051" s="1108" t="s">
        <v>58710</v>
      </c>
      <c r="GK1051" s="1108" t="s">
        <v>58709</v>
      </c>
    </row>
    <row r="1052" spans="1:193">
      <c r="A1052" s="1108" t="s">
        <v>60391</v>
      </c>
      <c r="B1052" s="1108" t="s">
        <v>60390</v>
      </c>
      <c r="C1052" s="1108">
        <v>819</v>
      </c>
      <c r="GJ1052" s="1108" t="s">
        <v>58710</v>
      </c>
      <c r="GK1052" s="1108" t="s">
        <v>58709</v>
      </c>
    </row>
    <row r="1053" spans="1:193">
      <c r="A1053" s="1108" t="s">
        <v>60389</v>
      </c>
      <c r="B1053" s="1108" t="s">
        <v>60388</v>
      </c>
      <c r="C1053" s="1108">
        <v>1649</v>
      </c>
      <c r="GJ1053" s="1108" t="s">
        <v>58710</v>
      </c>
      <c r="GK1053" s="1108" t="s">
        <v>58709</v>
      </c>
    </row>
    <row r="1054" spans="1:193">
      <c r="A1054" s="1108" t="s">
        <v>60387</v>
      </c>
      <c r="B1054" s="1108" t="s">
        <v>60386</v>
      </c>
      <c r="C1054" s="1108">
        <v>1786</v>
      </c>
      <c r="GJ1054" s="1108" t="s">
        <v>58710</v>
      </c>
      <c r="GK1054" s="1108" t="s">
        <v>58709</v>
      </c>
    </row>
    <row r="1055" spans="1:193">
      <c r="A1055" s="1108" t="s">
        <v>60385</v>
      </c>
      <c r="B1055" s="1108" t="s">
        <v>60384</v>
      </c>
      <c r="C1055" s="1108">
        <v>1504</v>
      </c>
      <c r="GJ1055" s="1108" t="s">
        <v>58710</v>
      </c>
      <c r="GK1055" s="1108" t="s">
        <v>58709</v>
      </c>
    </row>
    <row r="1056" spans="1:193">
      <c r="A1056" s="1108" t="s">
        <v>60383</v>
      </c>
      <c r="B1056" s="1108" t="s">
        <v>60382</v>
      </c>
      <c r="C1056" s="1108">
        <v>1642</v>
      </c>
      <c r="GJ1056" s="1108" t="s">
        <v>58710</v>
      </c>
      <c r="GK1056" s="1108" t="s">
        <v>58709</v>
      </c>
    </row>
    <row r="1057" spans="1:193">
      <c r="A1057" s="1108" t="s">
        <v>60381</v>
      </c>
      <c r="B1057" s="1108" t="s">
        <v>60380</v>
      </c>
      <c r="C1057" s="1108">
        <v>793</v>
      </c>
      <c r="GJ1057" s="1108" t="s">
        <v>58710</v>
      </c>
      <c r="GK1057" s="1108" t="s">
        <v>58709</v>
      </c>
    </row>
    <row r="1058" spans="1:193">
      <c r="A1058" s="1108" t="s">
        <v>60379</v>
      </c>
      <c r="B1058" s="1108" t="s">
        <v>60378</v>
      </c>
      <c r="C1058" s="1108">
        <v>1833</v>
      </c>
      <c r="GJ1058" s="1108" t="s">
        <v>58710</v>
      </c>
      <c r="GK1058" s="1108" t="s">
        <v>58709</v>
      </c>
    </row>
    <row r="1059" spans="1:193">
      <c r="A1059" s="1108" t="s">
        <v>60377</v>
      </c>
      <c r="B1059" s="1108" t="s">
        <v>60376</v>
      </c>
      <c r="C1059" s="1108">
        <v>1968</v>
      </c>
      <c r="GJ1059" s="1108" t="s">
        <v>58710</v>
      </c>
      <c r="GK1059" s="1108" t="s">
        <v>58709</v>
      </c>
    </row>
    <row r="1060" spans="1:193">
      <c r="A1060" s="1108" t="s">
        <v>60375</v>
      </c>
      <c r="B1060" s="1108" t="s">
        <v>60374</v>
      </c>
      <c r="C1060" s="1108">
        <v>1787</v>
      </c>
      <c r="GJ1060" s="1108" t="s">
        <v>58710</v>
      </c>
      <c r="GK1060" s="1108" t="s">
        <v>58709</v>
      </c>
    </row>
    <row r="1061" spans="1:193">
      <c r="A1061" s="1108" t="s">
        <v>60373</v>
      </c>
      <c r="B1061" s="1108" t="s">
        <v>60372</v>
      </c>
      <c r="C1061" s="1108">
        <v>1922</v>
      </c>
      <c r="GJ1061" s="1108" t="s">
        <v>58710</v>
      </c>
      <c r="GK1061" s="1108" t="s">
        <v>58709</v>
      </c>
    </row>
    <row r="1062" spans="1:193">
      <c r="A1062" s="1108" t="s">
        <v>60371</v>
      </c>
      <c r="B1062" s="1108" t="s">
        <v>60370</v>
      </c>
      <c r="C1062" s="1108">
        <v>1014</v>
      </c>
      <c r="GJ1062" s="1108" t="s">
        <v>58710</v>
      </c>
      <c r="GK1062" s="1108" t="s">
        <v>58709</v>
      </c>
    </row>
    <row r="1063" spans="1:193">
      <c r="A1063" s="1108" t="s">
        <v>60369</v>
      </c>
      <c r="B1063" s="1108" t="s">
        <v>60368</v>
      </c>
      <c r="C1063" s="1108">
        <v>1392</v>
      </c>
      <c r="GJ1063" s="1108" t="s">
        <v>58710</v>
      </c>
      <c r="GK1063" s="1108" t="s">
        <v>58709</v>
      </c>
    </row>
    <row r="1064" spans="1:193">
      <c r="A1064" s="1108" t="s">
        <v>60367</v>
      </c>
      <c r="B1064" s="1108" t="s">
        <v>60366</v>
      </c>
      <c r="C1064" s="1108">
        <v>1645</v>
      </c>
      <c r="GJ1064" s="1108" t="s">
        <v>58710</v>
      </c>
      <c r="GK1064" s="1108" t="s">
        <v>58709</v>
      </c>
    </row>
    <row r="1065" spans="1:193">
      <c r="A1065" s="1108" t="s">
        <v>60365</v>
      </c>
      <c r="B1065" s="1108" t="s">
        <v>60364</v>
      </c>
      <c r="C1065" s="1108">
        <v>1360</v>
      </c>
      <c r="GJ1065" s="1108" t="s">
        <v>58710</v>
      </c>
      <c r="GK1065" s="1108" t="s">
        <v>58709</v>
      </c>
    </row>
    <row r="1066" spans="1:193">
      <c r="A1066" s="1108" t="s">
        <v>60363</v>
      </c>
      <c r="B1066" s="1108" t="s">
        <v>60362</v>
      </c>
      <c r="C1066" s="1108">
        <v>1613</v>
      </c>
      <c r="GJ1066" s="1108" t="s">
        <v>58710</v>
      </c>
      <c r="GK1066" s="1108" t="s">
        <v>58709</v>
      </c>
    </row>
    <row r="1067" spans="1:193">
      <c r="A1067" s="1108" t="s">
        <v>60361</v>
      </c>
      <c r="B1067" s="1108" t="s">
        <v>60360</v>
      </c>
      <c r="C1067" s="1108">
        <v>567</v>
      </c>
      <c r="GJ1067" s="1108" t="s">
        <v>58710</v>
      </c>
      <c r="GK1067" s="1108" t="s">
        <v>58709</v>
      </c>
    </row>
    <row r="1068" spans="1:193">
      <c r="A1068" s="1108" t="s">
        <v>60359</v>
      </c>
      <c r="B1068" s="1108" t="s">
        <v>60358</v>
      </c>
      <c r="C1068" s="1108">
        <v>1880</v>
      </c>
      <c r="GJ1068" s="1108" t="s">
        <v>58710</v>
      </c>
      <c r="GK1068" s="1108" t="s">
        <v>58709</v>
      </c>
    </row>
    <row r="1069" spans="1:193">
      <c r="A1069" s="1108" t="s">
        <v>60357</v>
      </c>
      <c r="B1069" s="1108" t="s">
        <v>60356</v>
      </c>
      <c r="C1069" s="1108">
        <v>2226</v>
      </c>
      <c r="GJ1069" s="1108" t="s">
        <v>58710</v>
      </c>
      <c r="GK1069" s="1108" t="s">
        <v>58709</v>
      </c>
    </row>
    <row r="1070" spans="1:193">
      <c r="A1070" s="1108" t="s">
        <v>60355</v>
      </c>
      <c r="B1070" s="1108" t="s">
        <v>60354</v>
      </c>
      <c r="C1070" s="1108">
        <v>1544</v>
      </c>
      <c r="GJ1070" s="1108" t="s">
        <v>58710</v>
      </c>
      <c r="GK1070" s="1108" t="s">
        <v>58709</v>
      </c>
    </row>
    <row r="1071" spans="1:193">
      <c r="A1071" s="1108" t="s">
        <v>60353</v>
      </c>
      <c r="B1071" s="1108" t="s">
        <v>60352</v>
      </c>
      <c r="C1071" s="1108">
        <v>1890</v>
      </c>
      <c r="GJ1071" s="1108" t="s">
        <v>58710</v>
      </c>
      <c r="GK1071" s="1108" t="s">
        <v>58709</v>
      </c>
    </row>
    <row r="1072" spans="1:193">
      <c r="A1072" s="1108" t="s">
        <v>60351</v>
      </c>
      <c r="B1072" s="1108" t="s">
        <v>60350</v>
      </c>
      <c r="C1072" s="1108">
        <v>851</v>
      </c>
      <c r="GJ1072" s="1108" t="s">
        <v>58710</v>
      </c>
      <c r="GK1072" s="1108" t="s">
        <v>58709</v>
      </c>
    </row>
    <row r="1073" spans="1:193">
      <c r="A1073" s="1108" t="s">
        <v>60349</v>
      </c>
      <c r="B1073" s="1108" t="s">
        <v>60348</v>
      </c>
      <c r="C1073" s="1108">
        <v>830</v>
      </c>
      <c r="GJ1073" s="1108" t="s">
        <v>58710</v>
      </c>
      <c r="GK1073" s="1108" t="s">
        <v>58709</v>
      </c>
    </row>
    <row r="1074" spans="1:193">
      <c r="A1074" s="1108" t="s">
        <v>60347</v>
      </c>
      <c r="B1074" s="1108" t="s">
        <v>60346</v>
      </c>
      <c r="C1074" s="1108">
        <v>985</v>
      </c>
      <c r="GJ1074" s="1108" t="s">
        <v>58710</v>
      </c>
      <c r="GK1074" s="1108" t="s">
        <v>58709</v>
      </c>
    </row>
    <row r="1075" spans="1:193">
      <c r="A1075" s="1108" t="s">
        <v>60345</v>
      </c>
      <c r="B1075" s="1108" t="s">
        <v>60344</v>
      </c>
      <c r="C1075" s="1108">
        <v>481</v>
      </c>
      <c r="GJ1075" s="1108" t="s">
        <v>58710</v>
      </c>
      <c r="GK1075" s="1108" t="s">
        <v>58709</v>
      </c>
    </row>
    <row r="1076" spans="1:193">
      <c r="A1076" s="1108" t="s">
        <v>60343</v>
      </c>
      <c r="B1076" s="1108" t="s">
        <v>60342</v>
      </c>
      <c r="C1076" s="1108">
        <v>1830</v>
      </c>
      <c r="GJ1076" s="1108" t="s">
        <v>58710</v>
      </c>
      <c r="GK1076" s="1108" t="s">
        <v>58709</v>
      </c>
    </row>
    <row r="1077" spans="1:193">
      <c r="A1077" s="1108" t="s">
        <v>60341</v>
      </c>
      <c r="B1077" s="1108" t="s">
        <v>60340</v>
      </c>
      <c r="C1077" s="1108">
        <v>1982</v>
      </c>
      <c r="GJ1077" s="1108" t="s">
        <v>58710</v>
      </c>
      <c r="GK1077" s="1108" t="s">
        <v>58709</v>
      </c>
    </row>
    <row r="1078" spans="1:193">
      <c r="A1078" s="1108" t="s">
        <v>60339</v>
      </c>
      <c r="B1078" s="1108" t="s">
        <v>60338</v>
      </c>
      <c r="C1078" s="1108">
        <v>1784</v>
      </c>
      <c r="GJ1078" s="1108" t="s">
        <v>58710</v>
      </c>
      <c r="GK1078" s="1108" t="s">
        <v>58709</v>
      </c>
    </row>
    <row r="1079" spans="1:193">
      <c r="A1079" s="1108" t="s">
        <v>60337</v>
      </c>
      <c r="B1079" s="1108" t="s">
        <v>60336</v>
      </c>
      <c r="C1079" s="1108">
        <v>1937</v>
      </c>
      <c r="GJ1079" s="1108" t="s">
        <v>58710</v>
      </c>
      <c r="GK1079" s="1108" t="s">
        <v>58709</v>
      </c>
    </row>
    <row r="1080" spans="1:193">
      <c r="A1080" s="1108" t="s">
        <v>60335</v>
      </c>
      <c r="B1080" s="1108" t="s">
        <v>60334</v>
      </c>
      <c r="C1080" s="1108">
        <v>999</v>
      </c>
      <c r="GJ1080" s="1108" t="s">
        <v>58710</v>
      </c>
      <c r="GK1080" s="1108" t="s">
        <v>58709</v>
      </c>
    </row>
    <row r="1081" spans="1:193">
      <c r="A1081" s="1108" t="s">
        <v>60333</v>
      </c>
      <c r="B1081" s="1108" t="s">
        <v>60332</v>
      </c>
      <c r="C1081" s="1108">
        <v>1291</v>
      </c>
      <c r="GJ1081" s="1108" t="s">
        <v>58710</v>
      </c>
      <c r="GK1081" s="1108" t="s">
        <v>58709</v>
      </c>
    </row>
    <row r="1082" spans="1:193">
      <c r="A1082" s="1108" t="s">
        <v>60331</v>
      </c>
      <c r="B1082" s="1108" t="s">
        <v>60330</v>
      </c>
      <c r="C1082" s="1108">
        <v>999</v>
      </c>
      <c r="GJ1082" s="1108" t="s">
        <v>58710</v>
      </c>
      <c r="GK1082" s="1108" t="s">
        <v>58709</v>
      </c>
    </row>
    <row r="1083" spans="1:193">
      <c r="A1083" s="1108" t="s">
        <v>60329</v>
      </c>
      <c r="B1083" s="1108" t="s">
        <v>60328</v>
      </c>
      <c r="C1083" s="1108">
        <v>1291</v>
      </c>
      <c r="GJ1083" s="1108" t="s">
        <v>58710</v>
      </c>
      <c r="GK1083" s="1108" t="s">
        <v>58709</v>
      </c>
    </row>
    <row r="1084" spans="1:193">
      <c r="A1084" s="1108" t="s">
        <v>60327</v>
      </c>
      <c r="B1084" s="1108" t="s">
        <v>60326</v>
      </c>
      <c r="C1084" s="1108">
        <v>977</v>
      </c>
      <c r="GJ1084" s="1108" t="s">
        <v>58710</v>
      </c>
      <c r="GK1084" s="1108" t="s">
        <v>58709</v>
      </c>
    </row>
    <row r="1085" spans="1:193">
      <c r="A1085" s="1108" t="s">
        <v>60325</v>
      </c>
      <c r="B1085" s="1108" t="s">
        <v>60324</v>
      </c>
      <c r="C1085" s="1108">
        <v>1270</v>
      </c>
      <c r="GJ1085" s="1108" t="s">
        <v>58710</v>
      </c>
      <c r="GK1085" s="1108" t="s">
        <v>58709</v>
      </c>
    </row>
    <row r="1086" spans="1:193">
      <c r="A1086" s="1108" t="s">
        <v>60323</v>
      </c>
      <c r="B1086" s="1108" t="s">
        <v>60322</v>
      </c>
      <c r="C1086" s="1108">
        <v>977</v>
      </c>
      <c r="GJ1086" s="1108" t="s">
        <v>58710</v>
      </c>
      <c r="GK1086" s="1108" t="s">
        <v>58709</v>
      </c>
    </row>
    <row r="1087" spans="1:193">
      <c r="A1087" s="1108" t="s">
        <v>60321</v>
      </c>
      <c r="B1087" s="1108" t="s">
        <v>60320</v>
      </c>
      <c r="C1087" s="1108">
        <v>1270</v>
      </c>
      <c r="GJ1087" s="1108" t="s">
        <v>58710</v>
      </c>
      <c r="GK1087" s="1108" t="s">
        <v>58709</v>
      </c>
    </row>
    <row r="1088" spans="1:193">
      <c r="A1088" s="1108" t="s">
        <v>60319</v>
      </c>
      <c r="B1088" s="1108" t="s">
        <v>60318</v>
      </c>
      <c r="C1088" s="1108">
        <v>2007</v>
      </c>
      <c r="GJ1088" s="1108" t="s">
        <v>58710</v>
      </c>
      <c r="GK1088" s="1108" t="s">
        <v>58709</v>
      </c>
    </row>
    <row r="1089" spans="1:193">
      <c r="A1089" s="1108" t="s">
        <v>60317</v>
      </c>
      <c r="B1089" s="1108" t="s">
        <v>60316</v>
      </c>
      <c r="C1089" s="1108">
        <v>2142</v>
      </c>
      <c r="GJ1089" s="1108" t="s">
        <v>58710</v>
      </c>
      <c r="GK1089" s="1108" t="s">
        <v>58709</v>
      </c>
    </row>
    <row r="1090" spans="1:193">
      <c r="A1090" s="1108" t="s">
        <v>60315</v>
      </c>
      <c r="B1090" s="1108" t="s">
        <v>60314</v>
      </c>
      <c r="C1090" s="1108">
        <v>1961</v>
      </c>
      <c r="GJ1090" s="1108" t="s">
        <v>58710</v>
      </c>
      <c r="GK1090" s="1108" t="s">
        <v>58709</v>
      </c>
    </row>
    <row r="1091" spans="1:193">
      <c r="A1091" s="1108" t="s">
        <v>60313</v>
      </c>
      <c r="B1091" s="1108" t="s">
        <v>60312</v>
      </c>
      <c r="C1091" s="1108">
        <v>2096</v>
      </c>
      <c r="GJ1091" s="1108" t="s">
        <v>58710</v>
      </c>
      <c r="GK1091" s="1108" t="s">
        <v>58709</v>
      </c>
    </row>
    <row r="1092" spans="1:193">
      <c r="A1092" s="1108" t="s">
        <v>60311</v>
      </c>
      <c r="B1092" s="1108" t="s">
        <v>60310</v>
      </c>
      <c r="C1092" s="1108">
        <v>1823</v>
      </c>
      <c r="GJ1092" s="1108" t="s">
        <v>58710</v>
      </c>
      <c r="GK1092" s="1108" t="s">
        <v>58709</v>
      </c>
    </row>
    <row r="1093" spans="1:193">
      <c r="A1093" s="1108" t="s">
        <v>60309</v>
      </c>
      <c r="B1093" s="1108" t="s">
        <v>60308</v>
      </c>
      <c r="C1093" s="1108">
        <v>1960</v>
      </c>
      <c r="GJ1093" s="1108" t="s">
        <v>58710</v>
      </c>
      <c r="GK1093" s="1108" t="s">
        <v>58709</v>
      </c>
    </row>
    <row r="1094" spans="1:193">
      <c r="A1094" s="1108" t="s">
        <v>60307</v>
      </c>
      <c r="B1094" s="1108" t="s">
        <v>60306</v>
      </c>
      <c r="C1094" s="1108">
        <v>1678</v>
      </c>
      <c r="GJ1094" s="1108" t="s">
        <v>58710</v>
      </c>
      <c r="GK1094" s="1108" t="s">
        <v>58709</v>
      </c>
    </row>
    <row r="1095" spans="1:193">
      <c r="A1095" s="1108" t="s">
        <v>60305</v>
      </c>
      <c r="B1095" s="1108" t="s">
        <v>60304</v>
      </c>
      <c r="C1095" s="1108">
        <v>1816</v>
      </c>
      <c r="GJ1095" s="1108" t="s">
        <v>58710</v>
      </c>
      <c r="GK1095" s="1108" t="s">
        <v>58709</v>
      </c>
    </row>
    <row r="1096" spans="1:193">
      <c r="A1096" s="1108" t="s">
        <v>60303</v>
      </c>
      <c r="B1096" s="1108" t="s">
        <v>60302</v>
      </c>
      <c r="C1096" s="1108">
        <v>289</v>
      </c>
      <c r="GJ1096" s="1108" t="s">
        <v>58710</v>
      </c>
      <c r="GK1096" s="1108" t="s">
        <v>58709</v>
      </c>
    </row>
    <row r="1097" spans="1:193">
      <c r="A1097" s="1108" t="s">
        <v>60301</v>
      </c>
      <c r="B1097" s="1108" t="s">
        <v>60300</v>
      </c>
      <c r="C1097" s="1108">
        <v>1566</v>
      </c>
      <c r="GJ1097" s="1108" t="s">
        <v>58710</v>
      </c>
      <c r="GK1097" s="1108" t="s">
        <v>58709</v>
      </c>
    </row>
    <row r="1098" spans="1:193">
      <c r="A1098" s="1108" t="s">
        <v>60299</v>
      </c>
      <c r="B1098" s="1108" t="s">
        <v>60298</v>
      </c>
      <c r="C1098" s="1108">
        <v>1819</v>
      </c>
      <c r="GJ1098" s="1108" t="s">
        <v>58710</v>
      </c>
      <c r="GK1098" s="1108" t="s">
        <v>58709</v>
      </c>
    </row>
    <row r="1099" spans="1:193">
      <c r="A1099" s="1108" t="s">
        <v>60297</v>
      </c>
      <c r="B1099" s="1108" t="s">
        <v>60296</v>
      </c>
      <c r="C1099" s="1108">
        <v>1534</v>
      </c>
      <c r="GJ1099" s="1108" t="s">
        <v>58710</v>
      </c>
      <c r="GK1099" s="1108" t="s">
        <v>58709</v>
      </c>
    </row>
    <row r="1100" spans="1:193">
      <c r="A1100" s="1108" t="s">
        <v>60295</v>
      </c>
      <c r="B1100" s="1108" t="s">
        <v>60294</v>
      </c>
      <c r="C1100" s="1108">
        <v>1787</v>
      </c>
      <c r="GJ1100" s="1108" t="s">
        <v>58710</v>
      </c>
      <c r="GK1100" s="1108" t="s">
        <v>58709</v>
      </c>
    </row>
    <row r="1101" spans="1:193">
      <c r="A1101" s="1108" t="s">
        <v>60293</v>
      </c>
      <c r="B1101" s="1108" t="s">
        <v>60292</v>
      </c>
      <c r="C1101" s="1108">
        <v>2054</v>
      </c>
      <c r="GJ1101" s="1108" t="s">
        <v>58710</v>
      </c>
      <c r="GK1101" s="1108" t="s">
        <v>58709</v>
      </c>
    </row>
    <row r="1102" spans="1:193">
      <c r="A1102" s="1108" t="s">
        <v>60291</v>
      </c>
      <c r="B1102" s="1108" t="s">
        <v>60290</v>
      </c>
      <c r="C1102" s="1108">
        <v>2400</v>
      </c>
      <c r="GJ1102" s="1108" t="s">
        <v>58710</v>
      </c>
      <c r="GK1102" s="1108" t="s">
        <v>58709</v>
      </c>
    </row>
    <row r="1103" spans="1:193">
      <c r="A1103" s="1108" t="s">
        <v>60289</v>
      </c>
      <c r="B1103" s="1108" t="s">
        <v>60288</v>
      </c>
      <c r="C1103" s="1108">
        <v>1718</v>
      </c>
      <c r="GJ1103" s="1108" t="s">
        <v>58710</v>
      </c>
      <c r="GK1103" s="1108" t="s">
        <v>58709</v>
      </c>
    </row>
    <row r="1104" spans="1:193">
      <c r="A1104" s="1108" t="s">
        <v>60287</v>
      </c>
      <c r="B1104" s="1108" t="s">
        <v>60286</v>
      </c>
      <c r="C1104" s="1108">
        <v>2064</v>
      </c>
      <c r="GJ1104" s="1108" t="s">
        <v>58710</v>
      </c>
      <c r="GK1104" s="1108" t="s">
        <v>58709</v>
      </c>
    </row>
    <row r="1105" spans="1:193">
      <c r="A1105" s="1108" t="s">
        <v>60285</v>
      </c>
      <c r="B1105" s="1108" t="s">
        <v>60284</v>
      </c>
      <c r="C1105" s="1108">
        <v>924</v>
      </c>
      <c r="GJ1105" s="1108" t="s">
        <v>58710</v>
      </c>
      <c r="GK1105" s="1108" t="s">
        <v>58709</v>
      </c>
    </row>
    <row r="1106" spans="1:193">
      <c r="A1106" s="1108" t="s">
        <v>60283</v>
      </c>
      <c r="B1106" s="1108" t="s">
        <v>60282</v>
      </c>
      <c r="C1106" s="1108">
        <v>1078</v>
      </c>
      <c r="GJ1106" s="1108" t="s">
        <v>58710</v>
      </c>
      <c r="GK1106" s="1108" t="s">
        <v>58709</v>
      </c>
    </row>
    <row r="1107" spans="1:193">
      <c r="A1107" s="1108" t="s">
        <v>60281</v>
      </c>
      <c r="B1107" s="1108" t="s">
        <v>60280</v>
      </c>
      <c r="C1107" s="1108">
        <v>1918</v>
      </c>
      <c r="GJ1107" s="1108" t="s">
        <v>58710</v>
      </c>
      <c r="GK1107" s="1108" t="s">
        <v>58709</v>
      </c>
    </row>
    <row r="1108" spans="1:193">
      <c r="A1108" s="1108" t="s">
        <v>60279</v>
      </c>
      <c r="B1108" s="1108" t="s">
        <v>60278</v>
      </c>
      <c r="C1108" s="1108">
        <v>2090</v>
      </c>
      <c r="GJ1108" s="1108" t="s">
        <v>58710</v>
      </c>
      <c r="GK1108" s="1108" t="s">
        <v>58709</v>
      </c>
    </row>
    <row r="1109" spans="1:193">
      <c r="A1109" s="1108" t="s">
        <v>60277</v>
      </c>
      <c r="B1109" s="1108" t="s">
        <v>60276</v>
      </c>
      <c r="C1109" s="1108">
        <v>1867</v>
      </c>
      <c r="GJ1109" s="1108" t="s">
        <v>58710</v>
      </c>
      <c r="GK1109" s="1108" t="s">
        <v>58709</v>
      </c>
    </row>
    <row r="1110" spans="1:193">
      <c r="A1110" s="1108" t="s">
        <v>60275</v>
      </c>
      <c r="B1110" s="1108" t="s">
        <v>60274</v>
      </c>
      <c r="C1110" s="1108">
        <v>2037</v>
      </c>
      <c r="GJ1110" s="1108" t="s">
        <v>58710</v>
      </c>
      <c r="GK1110" s="1108" t="s">
        <v>58709</v>
      </c>
    </row>
    <row r="1111" spans="1:193">
      <c r="A1111" s="1108" t="s">
        <v>60273</v>
      </c>
      <c r="B1111" s="1108" t="s">
        <v>60272</v>
      </c>
      <c r="C1111" s="1108">
        <v>2072</v>
      </c>
      <c r="GJ1111" s="1108" t="s">
        <v>58710</v>
      </c>
      <c r="GK1111" s="1108" t="s">
        <v>58709</v>
      </c>
    </row>
    <row r="1112" spans="1:193">
      <c r="A1112" s="1108" t="s">
        <v>60271</v>
      </c>
      <c r="B1112" s="1108" t="s">
        <v>60270</v>
      </c>
      <c r="C1112" s="1108">
        <v>2244</v>
      </c>
      <c r="GJ1112" s="1108" t="s">
        <v>58710</v>
      </c>
      <c r="GK1112" s="1108" t="s">
        <v>58709</v>
      </c>
    </row>
    <row r="1113" spans="1:193">
      <c r="A1113" s="1108" t="s">
        <v>60269</v>
      </c>
      <c r="B1113" s="1108" t="s">
        <v>60268</v>
      </c>
      <c r="C1113" s="1108">
        <v>2021</v>
      </c>
      <c r="GJ1113" s="1108" t="s">
        <v>58710</v>
      </c>
      <c r="GK1113" s="1108" t="s">
        <v>58709</v>
      </c>
    </row>
    <row r="1114" spans="1:193">
      <c r="A1114" s="1108" t="s">
        <v>60267</v>
      </c>
      <c r="B1114" s="1108" t="s">
        <v>60266</v>
      </c>
      <c r="C1114" s="1108">
        <v>2191</v>
      </c>
      <c r="GJ1114" s="1108" t="s">
        <v>58710</v>
      </c>
      <c r="GK1114" s="1108" t="s">
        <v>58709</v>
      </c>
    </row>
    <row r="1115" spans="1:193">
      <c r="A1115" s="1108" t="s">
        <v>60265</v>
      </c>
      <c r="B1115" s="1108" t="s">
        <v>60264</v>
      </c>
      <c r="C1115" s="1108">
        <v>2091</v>
      </c>
      <c r="GJ1115" s="1108" t="s">
        <v>58710</v>
      </c>
      <c r="GK1115" s="1108" t="s">
        <v>58709</v>
      </c>
    </row>
    <row r="1116" spans="1:193">
      <c r="A1116" s="1108" t="s">
        <v>60263</v>
      </c>
      <c r="B1116" s="1108" t="s">
        <v>60262</v>
      </c>
      <c r="C1116" s="1108">
        <v>2263</v>
      </c>
      <c r="GJ1116" s="1108" t="s">
        <v>58710</v>
      </c>
      <c r="GK1116" s="1108" t="s">
        <v>58709</v>
      </c>
    </row>
    <row r="1117" spans="1:193">
      <c r="A1117" s="1108" t="s">
        <v>60261</v>
      </c>
      <c r="B1117" s="1108" t="s">
        <v>60260</v>
      </c>
      <c r="C1117" s="1108">
        <v>2040</v>
      </c>
      <c r="GJ1117" s="1108" t="s">
        <v>58710</v>
      </c>
      <c r="GK1117" s="1108" t="s">
        <v>58709</v>
      </c>
    </row>
    <row r="1118" spans="1:193">
      <c r="A1118" s="1108" t="s">
        <v>60259</v>
      </c>
      <c r="B1118" s="1108" t="s">
        <v>60258</v>
      </c>
      <c r="C1118" s="1108">
        <v>2210</v>
      </c>
      <c r="GJ1118" s="1108" t="s">
        <v>58710</v>
      </c>
      <c r="GK1118" s="1108" t="s">
        <v>58709</v>
      </c>
    </row>
    <row r="1119" spans="1:193">
      <c r="A1119" s="1108" t="s">
        <v>60257</v>
      </c>
      <c r="B1119" s="1108" t="s">
        <v>60256</v>
      </c>
      <c r="C1119" s="1108">
        <v>2245</v>
      </c>
      <c r="GJ1119" s="1108" t="s">
        <v>58710</v>
      </c>
      <c r="GK1119" s="1108" t="s">
        <v>58709</v>
      </c>
    </row>
    <row r="1120" spans="1:193">
      <c r="A1120" s="1108" t="s">
        <v>60255</v>
      </c>
      <c r="B1120" s="1108" t="s">
        <v>60254</v>
      </c>
      <c r="C1120" s="1108">
        <v>2417</v>
      </c>
      <c r="GJ1120" s="1108" t="s">
        <v>58710</v>
      </c>
      <c r="GK1120" s="1108" t="s">
        <v>58709</v>
      </c>
    </row>
    <row r="1121" spans="1:193">
      <c r="A1121" s="1108" t="s">
        <v>60253</v>
      </c>
      <c r="B1121" s="1108" t="s">
        <v>60252</v>
      </c>
      <c r="C1121" s="1108">
        <v>2194</v>
      </c>
      <c r="GJ1121" s="1108" t="s">
        <v>58710</v>
      </c>
      <c r="GK1121" s="1108" t="s">
        <v>58709</v>
      </c>
    </row>
    <row r="1122" spans="1:193">
      <c r="A1122" s="1108" t="s">
        <v>60251</v>
      </c>
      <c r="B1122" s="1108" t="s">
        <v>60250</v>
      </c>
      <c r="C1122" s="1108">
        <v>2364</v>
      </c>
      <c r="GJ1122" s="1108" t="s">
        <v>58710</v>
      </c>
      <c r="GK1122" s="1108" t="s">
        <v>58709</v>
      </c>
    </row>
    <row r="1123" spans="1:193">
      <c r="A1123" s="1108" t="s">
        <v>60249</v>
      </c>
      <c r="B1123" s="1108" t="s">
        <v>60248</v>
      </c>
      <c r="C1123" s="1108">
        <v>173</v>
      </c>
      <c r="GJ1123" s="1108" t="s">
        <v>58710</v>
      </c>
      <c r="GK1123" s="1108" t="s">
        <v>58709</v>
      </c>
    </row>
    <row r="1124" spans="1:193">
      <c r="A1124" s="1108" t="s">
        <v>60247</v>
      </c>
      <c r="B1124" s="1108" t="s">
        <v>60246</v>
      </c>
      <c r="C1124" s="1108">
        <v>166</v>
      </c>
      <c r="GJ1124" s="1108" t="s">
        <v>58710</v>
      </c>
      <c r="GK1124" s="1108" t="s">
        <v>58709</v>
      </c>
    </row>
    <row r="1125" spans="1:193">
      <c r="A1125" s="1108" t="s">
        <v>60245</v>
      </c>
      <c r="B1125" s="1108" t="s">
        <v>60244</v>
      </c>
      <c r="C1125" s="1108">
        <v>894</v>
      </c>
      <c r="GJ1125" s="1108" t="s">
        <v>58710</v>
      </c>
      <c r="GK1125" s="1108" t="s">
        <v>58709</v>
      </c>
    </row>
    <row r="1126" spans="1:193">
      <c r="A1126" s="1108" t="s">
        <v>60243</v>
      </c>
      <c r="B1126" s="1108" t="s">
        <v>60242</v>
      </c>
      <c r="C1126" s="1108">
        <v>1098</v>
      </c>
      <c r="GJ1126" s="1108" t="s">
        <v>58710</v>
      </c>
      <c r="GK1126" s="1108" t="s">
        <v>58709</v>
      </c>
    </row>
    <row r="1127" spans="1:193">
      <c r="A1127" s="1108" t="s">
        <v>60241</v>
      </c>
      <c r="B1127" s="1108" t="s">
        <v>60240</v>
      </c>
      <c r="C1127" s="1108">
        <v>1695</v>
      </c>
      <c r="GJ1127" s="1108" t="s">
        <v>58710</v>
      </c>
      <c r="GK1127" s="1108" t="s">
        <v>58709</v>
      </c>
    </row>
    <row r="1128" spans="1:193">
      <c r="A1128" s="1108" t="s">
        <v>60239</v>
      </c>
      <c r="B1128" s="1108" t="s">
        <v>60238</v>
      </c>
      <c r="C1128" s="1108">
        <v>1852</v>
      </c>
      <c r="GJ1128" s="1108" t="s">
        <v>58710</v>
      </c>
      <c r="GK1128" s="1108" t="s">
        <v>58709</v>
      </c>
    </row>
    <row r="1129" spans="1:193">
      <c r="A1129" s="1108" t="s">
        <v>60237</v>
      </c>
      <c r="B1129" s="1108" t="s">
        <v>60236</v>
      </c>
      <c r="C1129" s="1108">
        <v>1899</v>
      </c>
      <c r="GJ1129" s="1108" t="s">
        <v>58710</v>
      </c>
      <c r="GK1129" s="1108" t="s">
        <v>58709</v>
      </c>
    </row>
    <row r="1130" spans="1:193">
      <c r="A1130" s="1108" t="s">
        <v>60235</v>
      </c>
      <c r="B1130" s="1108" t="s">
        <v>60234</v>
      </c>
      <c r="C1130" s="1108">
        <v>2056</v>
      </c>
      <c r="GJ1130" s="1108" t="s">
        <v>58710</v>
      </c>
      <c r="GK1130" s="1108" t="s">
        <v>58709</v>
      </c>
    </row>
    <row r="1131" spans="1:193">
      <c r="A1131" s="1108" t="s">
        <v>60233</v>
      </c>
      <c r="B1131" s="1108" t="s">
        <v>60232</v>
      </c>
      <c r="C1131" s="1108">
        <v>1861</v>
      </c>
      <c r="GJ1131" s="1108" t="s">
        <v>58710</v>
      </c>
      <c r="GK1131" s="1108" t="s">
        <v>58709</v>
      </c>
    </row>
    <row r="1132" spans="1:193">
      <c r="A1132" s="1108" t="s">
        <v>60231</v>
      </c>
      <c r="B1132" s="1108" t="s">
        <v>60230</v>
      </c>
      <c r="C1132" s="1108">
        <v>2015</v>
      </c>
      <c r="GJ1132" s="1108" t="s">
        <v>58710</v>
      </c>
      <c r="GK1132" s="1108" t="s">
        <v>58709</v>
      </c>
    </row>
    <row r="1133" spans="1:193">
      <c r="A1133" s="1108" t="s">
        <v>60229</v>
      </c>
      <c r="B1133" s="1108" t="s">
        <v>60228</v>
      </c>
      <c r="C1133" s="1108">
        <v>2065</v>
      </c>
      <c r="GJ1133" s="1108" t="s">
        <v>58710</v>
      </c>
      <c r="GK1133" s="1108" t="s">
        <v>58709</v>
      </c>
    </row>
    <row r="1134" spans="1:193">
      <c r="A1134" s="1108" t="s">
        <v>60227</v>
      </c>
      <c r="B1134" s="1108" t="s">
        <v>60226</v>
      </c>
      <c r="C1134" s="1108">
        <v>2219</v>
      </c>
      <c r="GJ1134" s="1108" t="s">
        <v>58710</v>
      </c>
      <c r="GK1134" s="1108" t="s">
        <v>58709</v>
      </c>
    </row>
    <row r="1135" spans="1:193">
      <c r="A1135" s="1108" t="s">
        <v>60225</v>
      </c>
      <c r="B1135" s="1108" t="s">
        <v>60224</v>
      </c>
      <c r="C1135" s="1108">
        <v>1143</v>
      </c>
      <c r="GJ1135" s="1108" t="s">
        <v>58710</v>
      </c>
      <c r="GK1135" s="1108" t="s">
        <v>58709</v>
      </c>
    </row>
    <row r="1136" spans="1:193">
      <c r="A1136" s="1108" t="s">
        <v>60223</v>
      </c>
      <c r="B1136" s="1108" t="s">
        <v>60222</v>
      </c>
      <c r="C1136" s="1108">
        <v>1347</v>
      </c>
      <c r="GJ1136" s="1108" t="s">
        <v>58710</v>
      </c>
      <c r="GK1136" s="1108" t="s">
        <v>58709</v>
      </c>
    </row>
    <row r="1137" spans="1:193">
      <c r="A1137" s="1108" t="s">
        <v>60221</v>
      </c>
      <c r="B1137" s="1108" t="s">
        <v>60220</v>
      </c>
      <c r="C1137" s="1108">
        <v>1280</v>
      </c>
      <c r="GJ1137" s="1108" t="s">
        <v>58710</v>
      </c>
      <c r="GK1137" s="1108" t="s">
        <v>58709</v>
      </c>
    </row>
    <row r="1138" spans="1:193">
      <c r="A1138" s="1108" t="s">
        <v>60219</v>
      </c>
      <c r="B1138" s="1108" t="s">
        <v>60218</v>
      </c>
      <c r="C1138" s="1108">
        <v>1484</v>
      </c>
      <c r="GJ1138" s="1108" t="s">
        <v>58710</v>
      </c>
      <c r="GK1138" s="1108" t="s">
        <v>58709</v>
      </c>
    </row>
    <row r="1139" spans="1:193">
      <c r="A1139" s="1108" t="s">
        <v>60217</v>
      </c>
      <c r="B1139" s="1108" t="s">
        <v>60216</v>
      </c>
      <c r="C1139" s="1108">
        <v>2067</v>
      </c>
      <c r="GJ1139" s="1108" t="s">
        <v>58710</v>
      </c>
      <c r="GK1139" s="1108" t="s">
        <v>58709</v>
      </c>
    </row>
    <row r="1140" spans="1:193">
      <c r="A1140" s="1108" t="s">
        <v>60215</v>
      </c>
      <c r="B1140" s="1108" t="s">
        <v>60214</v>
      </c>
      <c r="C1140" s="1108">
        <v>2271</v>
      </c>
      <c r="GJ1140" s="1108" t="s">
        <v>58710</v>
      </c>
      <c r="GK1140" s="1108" t="s">
        <v>58709</v>
      </c>
    </row>
    <row r="1141" spans="1:193">
      <c r="A1141" s="1108" t="s">
        <v>60213</v>
      </c>
      <c r="B1141" s="1108" t="s">
        <v>60212</v>
      </c>
      <c r="C1141" s="1108">
        <v>2204</v>
      </c>
      <c r="GJ1141" s="1108" t="s">
        <v>58710</v>
      </c>
      <c r="GK1141" s="1108" t="s">
        <v>58709</v>
      </c>
    </row>
    <row r="1142" spans="1:193">
      <c r="A1142" s="1108" t="s">
        <v>60211</v>
      </c>
      <c r="B1142" s="1108" t="s">
        <v>60210</v>
      </c>
      <c r="C1142" s="1108">
        <v>2408</v>
      </c>
      <c r="GJ1142" s="1108" t="s">
        <v>58710</v>
      </c>
      <c r="GK1142" s="1108" t="s">
        <v>58709</v>
      </c>
    </row>
    <row r="1143" spans="1:193">
      <c r="A1143" s="1108" t="s">
        <v>60209</v>
      </c>
      <c r="B1143" s="1108" t="s">
        <v>60208</v>
      </c>
      <c r="C1143" s="1108">
        <v>2220</v>
      </c>
      <c r="GJ1143" s="1108" t="s">
        <v>58710</v>
      </c>
      <c r="GK1143" s="1108" t="s">
        <v>58709</v>
      </c>
    </row>
    <row r="1144" spans="1:193">
      <c r="A1144" s="1108" t="s">
        <v>60207</v>
      </c>
      <c r="B1144" s="1108" t="s">
        <v>60206</v>
      </c>
      <c r="C1144" s="1108">
        <v>2424</v>
      </c>
      <c r="GJ1144" s="1108" t="s">
        <v>58710</v>
      </c>
      <c r="GK1144" s="1108" t="s">
        <v>58709</v>
      </c>
    </row>
    <row r="1145" spans="1:193">
      <c r="A1145" s="1108" t="s">
        <v>60205</v>
      </c>
      <c r="B1145" s="1108" t="s">
        <v>60204</v>
      </c>
      <c r="C1145" s="1108">
        <v>2357</v>
      </c>
      <c r="GJ1145" s="1108" t="s">
        <v>58710</v>
      </c>
      <c r="GK1145" s="1108" t="s">
        <v>58709</v>
      </c>
    </row>
    <row r="1146" spans="1:193">
      <c r="A1146" s="1108" t="s">
        <v>60203</v>
      </c>
      <c r="B1146" s="1108" t="s">
        <v>60202</v>
      </c>
      <c r="C1146" s="1108">
        <v>2561</v>
      </c>
      <c r="GJ1146" s="1108" t="s">
        <v>58710</v>
      </c>
      <c r="GK1146" s="1108" t="s">
        <v>58709</v>
      </c>
    </row>
    <row r="1147" spans="1:193">
      <c r="A1147" s="1108" t="s">
        <v>60201</v>
      </c>
      <c r="B1147" s="1108" t="s">
        <v>60200</v>
      </c>
      <c r="C1147" s="1108">
        <v>2016</v>
      </c>
      <c r="GJ1147" s="1108" t="s">
        <v>58710</v>
      </c>
      <c r="GK1147" s="1108" t="s">
        <v>58709</v>
      </c>
    </row>
    <row r="1148" spans="1:193">
      <c r="A1148" s="1108" t="s">
        <v>60199</v>
      </c>
      <c r="B1148" s="1108" t="s">
        <v>60198</v>
      </c>
      <c r="C1148" s="1108">
        <v>2220</v>
      </c>
      <c r="GJ1148" s="1108" t="s">
        <v>58710</v>
      </c>
      <c r="GK1148" s="1108" t="s">
        <v>58709</v>
      </c>
    </row>
    <row r="1149" spans="1:193">
      <c r="A1149" s="1108" t="s">
        <v>60197</v>
      </c>
      <c r="B1149" s="1108" t="s">
        <v>60196</v>
      </c>
      <c r="C1149" s="1108">
        <v>2153</v>
      </c>
      <c r="GJ1149" s="1108" t="s">
        <v>58710</v>
      </c>
      <c r="GK1149" s="1108" t="s">
        <v>58709</v>
      </c>
    </row>
    <row r="1150" spans="1:193">
      <c r="A1150" s="1108" t="s">
        <v>60195</v>
      </c>
      <c r="B1150" s="1108" t="s">
        <v>60194</v>
      </c>
      <c r="C1150" s="1108">
        <v>2357</v>
      </c>
      <c r="GJ1150" s="1108" t="s">
        <v>58710</v>
      </c>
      <c r="GK1150" s="1108" t="s">
        <v>58709</v>
      </c>
    </row>
    <row r="1151" spans="1:193">
      <c r="A1151" s="1108" t="s">
        <v>60193</v>
      </c>
      <c r="B1151" s="1108" t="s">
        <v>60192</v>
      </c>
      <c r="C1151" s="1108">
        <v>2168</v>
      </c>
      <c r="GJ1151" s="1108" t="s">
        <v>58710</v>
      </c>
      <c r="GK1151" s="1108" t="s">
        <v>58709</v>
      </c>
    </row>
    <row r="1152" spans="1:193">
      <c r="A1152" s="1108" t="s">
        <v>60191</v>
      </c>
      <c r="B1152" s="1108" t="s">
        <v>60190</v>
      </c>
      <c r="C1152" s="1108">
        <v>2372</v>
      </c>
      <c r="GJ1152" s="1108" t="s">
        <v>58710</v>
      </c>
      <c r="GK1152" s="1108" t="s">
        <v>58709</v>
      </c>
    </row>
    <row r="1153" spans="1:193">
      <c r="A1153" s="1108" t="s">
        <v>60189</v>
      </c>
      <c r="B1153" s="1108" t="s">
        <v>60188</v>
      </c>
      <c r="C1153" s="1108">
        <v>2305</v>
      </c>
      <c r="GJ1153" s="1108" t="s">
        <v>58710</v>
      </c>
      <c r="GK1153" s="1108" t="s">
        <v>58709</v>
      </c>
    </row>
    <row r="1154" spans="1:193">
      <c r="A1154" s="1108" t="s">
        <v>60187</v>
      </c>
      <c r="B1154" s="1108" t="s">
        <v>60186</v>
      </c>
      <c r="C1154" s="1108">
        <v>2509</v>
      </c>
      <c r="GJ1154" s="1108" t="s">
        <v>58710</v>
      </c>
      <c r="GK1154" s="1108" t="s">
        <v>58709</v>
      </c>
    </row>
    <row r="1155" spans="1:193">
      <c r="A1155" s="1108" t="s">
        <v>60185</v>
      </c>
      <c r="B1155" s="1108" t="s">
        <v>60184</v>
      </c>
      <c r="C1155" s="1108">
        <v>137</v>
      </c>
      <c r="GJ1155" s="1108" t="s">
        <v>58710</v>
      </c>
      <c r="GK1155" s="1108" t="s">
        <v>58709</v>
      </c>
    </row>
    <row r="1156" spans="1:193">
      <c r="A1156" s="1108" t="s">
        <v>60183</v>
      </c>
      <c r="B1156" s="1108" t="s">
        <v>60182</v>
      </c>
      <c r="C1156" s="1108">
        <v>81</v>
      </c>
      <c r="GJ1156" s="1108" t="s">
        <v>58710</v>
      </c>
      <c r="GK1156" s="1108" t="s">
        <v>58709</v>
      </c>
    </row>
    <row r="1157" spans="1:193">
      <c r="A1157" s="1108" t="s">
        <v>60181</v>
      </c>
      <c r="B1157" s="1108" t="s">
        <v>60180</v>
      </c>
      <c r="C1157" s="1108">
        <v>2227</v>
      </c>
      <c r="GJ1157" s="1108" t="s">
        <v>58710</v>
      </c>
      <c r="GK1157" s="1108" t="s">
        <v>58709</v>
      </c>
    </row>
    <row r="1158" spans="1:193">
      <c r="A1158" s="1108" t="s">
        <v>60179</v>
      </c>
      <c r="B1158" s="1108" t="s">
        <v>60178</v>
      </c>
      <c r="C1158" s="1108">
        <v>2416</v>
      </c>
      <c r="GJ1158" s="1108" t="s">
        <v>58710</v>
      </c>
      <c r="GK1158" s="1108" t="s">
        <v>58709</v>
      </c>
    </row>
    <row r="1159" spans="1:193">
      <c r="A1159" s="1108" t="s">
        <v>60177</v>
      </c>
      <c r="B1159" s="1108" t="s">
        <v>60176</v>
      </c>
      <c r="C1159" s="1108">
        <v>2567</v>
      </c>
      <c r="GJ1159" s="1108" t="s">
        <v>58710</v>
      </c>
      <c r="GK1159" s="1108" t="s">
        <v>58709</v>
      </c>
    </row>
    <row r="1160" spans="1:193">
      <c r="A1160" s="1108" t="s">
        <v>60175</v>
      </c>
      <c r="B1160" s="1108" t="s">
        <v>60174</v>
      </c>
      <c r="C1160" s="1108">
        <v>2756</v>
      </c>
      <c r="GJ1160" s="1108" t="s">
        <v>58710</v>
      </c>
      <c r="GK1160" s="1108" t="s">
        <v>58709</v>
      </c>
    </row>
    <row r="1161" spans="1:193">
      <c r="A1161" s="1108" t="s">
        <v>60173</v>
      </c>
      <c r="B1161" s="1108" t="s">
        <v>60172</v>
      </c>
      <c r="C1161" s="1108">
        <v>1076</v>
      </c>
      <c r="GJ1161" s="1108" t="s">
        <v>58710</v>
      </c>
      <c r="GK1161" s="1108" t="s">
        <v>58709</v>
      </c>
    </row>
    <row r="1162" spans="1:193">
      <c r="A1162" s="1108" t="s">
        <v>60171</v>
      </c>
      <c r="B1162" s="1108" t="s">
        <v>60170</v>
      </c>
      <c r="C1162" s="1108">
        <v>1265</v>
      </c>
      <c r="GJ1162" s="1108" t="s">
        <v>58710</v>
      </c>
      <c r="GK1162" s="1108" t="s">
        <v>58709</v>
      </c>
    </row>
    <row r="1163" spans="1:193">
      <c r="A1163" s="1108" t="s">
        <v>60169</v>
      </c>
      <c r="B1163" s="1108" t="s">
        <v>60168</v>
      </c>
      <c r="C1163" s="1108">
        <v>2068</v>
      </c>
      <c r="GJ1163" s="1108" t="s">
        <v>58710</v>
      </c>
      <c r="GK1163" s="1108" t="s">
        <v>58709</v>
      </c>
    </row>
    <row r="1164" spans="1:193">
      <c r="A1164" s="1108" t="s">
        <v>60167</v>
      </c>
      <c r="B1164" s="1108" t="s">
        <v>60166</v>
      </c>
      <c r="C1164" s="1108">
        <v>2257</v>
      </c>
      <c r="GJ1164" s="1108" t="s">
        <v>58710</v>
      </c>
      <c r="GK1164" s="1108" t="s">
        <v>58709</v>
      </c>
    </row>
    <row r="1165" spans="1:193">
      <c r="A1165" s="1108" t="s">
        <v>60165</v>
      </c>
      <c r="B1165" s="1108" t="s">
        <v>60164</v>
      </c>
      <c r="C1165" s="1108">
        <v>2408</v>
      </c>
      <c r="GJ1165" s="1108" t="s">
        <v>58710</v>
      </c>
      <c r="GK1165" s="1108" t="s">
        <v>58709</v>
      </c>
    </row>
    <row r="1166" spans="1:193">
      <c r="A1166" s="1108" t="s">
        <v>60163</v>
      </c>
      <c r="B1166" s="1108" t="s">
        <v>60162</v>
      </c>
      <c r="C1166" s="1108">
        <v>2597</v>
      </c>
      <c r="GJ1166" s="1108" t="s">
        <v>58710</v>
      </c>
      <c r="GK1166" s="1108" t="s">
        <v>58709</v>
      </c>
    </row>
    <row r="1167" spans="1:193">
      <c r="A1167" s="1108" t="s">
        <v>60161</v>
      </c>
      <c r="B1167" s="1108" t="s">
        <v>60160</v>
      </c>
      <c r="C1167" s="1108">
        <v>124</v>
      </c>
      <c r="GJ1167" s="1108" t="s">
        <v>58710</v>
      </c>
      <c r="GK1167" s="1108" t="s">
        <v>58709</v>
      </c>
    </row>
    <row r="1168" spans="1:193">
      <c r="A1168" s="1108" t="s">
        <v>60159</v>
      </c>
      <c r="B1168" s="1108" t="s">
        <v>60158</v>
      </c>
      <c r="C1168" s="1108">
        <v>1571</v>
      </c>
      <c r="GJ1168" s="1108" t="s">
        <v>58710</v>
      </c>
      <c r="GK1168" s="1108" t="s">
        <v>58709</v>
      </c>
    </row>
    <row r="1169" spans="1:193">
      <c r="A1169" s="1108" t="s">
        <v>60157</v>
      </c>
      <c r="B1169" s="1108" t="s">
        <v>60156</v>
      </c>
      <c r="C1169" s="1108">
        <v>1534</v>
      </c>
      <c r="GJ1169" s="1108" t="s">
        <v>58710</v>
      </c>
      <c r="GK1169" s="1108" t="s">
        <v>58709</v>
      </c>
    </row>
    <row r="1170" spans="1:193">
      <c r="A1170" s="1108" t="s">
        <v>60155</v>
      </c>
      <c r="B1170" s="1108" t="s">
        <v>60154</v>
      </c>
      <c r="C1170" s="1108">
        <v>1760</v>
      </c>
      <c r="GJ1170" s="1108" t="s">
        <v>58710</v>
      </c>
      <c r="GK1170" s="1108" t="s">
        <v>58709</v>
      </c>
    </row>
    <row r="1171" spans="1:193">
      <c r="A1171" s="1108" t="s">
        <v>60153</v>
      </c>
      <c r="B1171" s="1108" t="s">
        <v>60152</v>
      </c>
      <c r="C1171" s="1108">
        <v>1723</v>
      </c>
      <c r="GJ1171" s="1108" t="s">
        <v>58710</v>
      </c>
      <c r="GK1171" s="1108" t="s">
        <v>58709</v>
      </c>
    </row>
    <row r="1172" spans="1:193">
      <c r="A1172" s="1108" t="s">
        <v>60151</v>
      </c>
      <c r="B1172" s="1108" t="s">
        <v>60150</v>
      </c>
      <c r="C1172" s="1108">
        <v>1856</v>
      </c>
      <c r="GJ1172" s="1108" t="s">
        <v>58710</v>
      </c>
      <c r="GK1172" s="1108" t="s">
        <v>58709</v>
      </c>
    </row>
    <row r="1173" spans="1:193">
      <c r="A1173" s="1108" t="s">
        <v>60149</v>
      </c>
      <c r="B1173" s="1108" t="s">
        <v>60148</v>
      </c>
      <c r="C1173" s="1108">
        <v>1819</v>
      </c>
      <c r="GJ1173" s="1108" t="s">
        <v>58710</v>
      </c>
      <c r="GK1173" s="1108" t="s">
        <v>58709</v>
      </c>
    </row>
    <row r="1174" spans="1:193">
      <c r="A1174" s="1108" t="s">
        <v>60147</v>
      </c>
      <c r="B1174" s="1108" t="s">
        <v>60146</v>
      </c>
      <c r="C1174" s="1108">
        <v>2045</v>
      </c>
      <c r="GJ1174" s="1108" t="s">
        <v>58710</v>
      </c>
      <c r="GK1174" s="1108" t="s">
        <v>58709</v>
      </c>
    </row>
    <row r="1175" spans="1:193">
      <c r="A1175" s="1108" t="s">
        <v>60145</v>
      </c>
      <c r="B1175" s="1108" t="s">
        <v>60144</v>
      </c>
      <c r="C1175" s="1108">
        <v>2008</v>
      </c>
      <c r="GJ1175" s="1108" t="s">
        <v>58710</v>
      </c>
      <c r="GK1175" s="1108" t="s">
        <v>58709</v>
      </c>
    </row>
    <row r="1176" spans="1:193">
      <c r="A1176" s="1108" t="s">
        <v>60143</v>
      </c>
      <c r="B1176" s="1108" t="s">
        <v>60142</v>
      </c>
      <c r="C1176" s="1108">
        <v>641</v>
      </c>
      <c r="GJ1176" s="1108" t="s">
        <v>58710</v>
      </c>
      <c r="GK1176" s="1108" t="s">
        <v>58709</v>
      </c>
    </row>
    <row r="1177" spans="1:193">
      <c r="A1177" s="1108" t="s">
        <v>60141</v>
      </c>
      <c r="B1177" s="1108" t="s">
        <v>60140</v>
      </c>
      <c r="C1177" s="1108">
        <v>830</v>
      </c>
      <c r="GJ1177" s="1108" t="s">
        <v>58710</v>
      </c>
      <c r="GK1177" s="1108" t="s">
        <v>58709</v>
      </c>
    </row>
    <row r="1178" spans="1:193">
      <c r="A1178" s="1108" t="s">
        <v>60139</v>
      </c>
      <c r="B1178" s="1108" t="s">
        <v>60138</v>
      </c>
      <c r="C1178" s="1108">
        <v>123</v>
      </c>
      <c r="GJ1178" s="1108" t="s">
        <v>58710</v>
      </c>
      <c r="GK1178" s="1108" t="s">
        <v>58709</v>
      </c>
    </row>
    <row r="1179" spans="1:193">
      <c r="A1179" s="1108" t="s">
        <v>60137</v>
      </c>
      <c r="B1179" s="1108" t="s">
        <v>60136</v>
      </c>
      <c r="C1179" s="1108">
        <v>1196</v>
      </c>
      <c r="GJ1179" s="1108" t="s">
        <v>58710</v>
      </c>
      <c r="GK1179" s="1108" t="s">
        <v>58709</v>
      </c>
    </row>
    <row r="1180" spans="1:193">
      <c r="A1180" s="1108" t="s">
        <v>60135</v>
      </c>
      <c r="B1180" s="1108" t="s">
        <v>60134</v>
      </c>
      <c r="C1180" s="1108">
        <v>1306</v>
      </c>
      <c r="GJ1180" s="1108" t="s">
        <v>58710</v>
      </c>
      <c r="GK1180" s="1108" t="s">
        <v>58709</v>
      </c>
    </row>
    <row r="1181" spans="1:193">
      <c r="A1181" s="1108" t="s">
        <v>60133</v>
      </c>
      <c r="B1181" s="1108" t="s">
        <v>60132</v>
      </c>
      <c r="C1181" s="1108">
        <v>579</v>
      </c>
      <c r="GJ1181" s="1108" t="s">
        <v>58710</v>
      </c>
      <c r="GK1181" s="1108" t="s">
        <v>58709</v>
      </c>
    </row>
    <row r="1182" spans="1:193">
      <c r="A1182" s="1108" t="s">
        <v>60131</v>
      </c>
      <c r="B1182" s="1108" t="s">
        <v>60130</v>
      </c>
      <c r="C1182" s="1108">
        <v>686</v>
      </c>
      <c r="GJ1182" s="1108" t="s">
        <v>58710</v>
      </c>
      <c r="GK1182" s="1108" t="s">
        <v>58709</v>
      </c>
    </row>
    <row r="1183" spans="1:193">
      <c r="A1183" s="1108" t="s">
        <v>60129</v>
      </c>
      <c r="B1183" s="1108" t="s">
        <v>60128</v>
      </c>
      <c r="C1183" s="1108">
        <v>1454</v>
      </c>
      <c r="GJ1183" s="1108" t="s">
        <v>58710</v>
      </c>
      <c r="GK1183" s="1108" t="s">
        <v>58709</v>
      </c>
    </row>
    <row r="1184" spans="1:193">
      <c r="A1184" s="1108" t="s">
        <v>60127</v>
      </c>
      <c r="B1184" s="1108" t="s">
        <v>60126</v>
      </c>
      <c r="C1184" s="1108">
        <v>1601</v>
      </c>
      <c r="GJ1184" s="1108" t="s">
        <v>58710</v>
      </c>
      <c r="GK1184" s="1108" t="s">
        <v>58709</v>
      </c>
    </row>
    <row r="1185" spans="1:193">
      <c r="A1185" s="1108" t="s">
        <v>60125</v>
      </c>
      <c r="B1185" s="1108" t="s">
        <v>60124</v>
      </c>
      <c r="C1185" s="1108">
        <v>690</v>
      </c>
      <c r="GJ1185" s="1108" t="s">
        <v>58710</v>
      </c>
      <c r="GK1185" s="1108" t="s">
        <v>58709</v>
      </c>
    </row>
    <row r="1186" spans="1:193">
      <c r="A1186" s="1108" t="s">
        <v>60123</v>
      </c>
      <c r="B1186" s="1108" t="s">
        <v>60122</v>
      </c>
      <c r="C1186" s="1108">
        <v>835</v>
      </c>
      <c r="GJ1186" s="1108" t="s">
        <v>58710</v>
      </c>
      <c r="GK1186" s="1108" t="s">
        <v>58709</v>
      </c>
    </row>
    <row r="1187" spans="1:193">
      <c r="A1187" s="1108" t="s">
        <v>60121</v>
      </c>
      <c r="B1187" s="1108" t="s">
        <v>60120</v>
      </c>
      <c r="C1187" s="1108">
        <v>868</v>
      </c>
      <c r="GJ1187" s="1108" t="s">
        <v>58710</v>
      </c>
      <c r="GK1187" s="1108" t="s">
        <v>58709</v>
      </c>
    </row>
    <row r="1188" spans="1:193">
      <c r="A1188" s="1108" t="s">
        <v>60119</v>
      </c>
      <c r="B1188" s="1108" t="s">
        <v>60118</v>
      </c>
      <c r="C1188" s="1108">
        <v>1092</v>
      </c>
      <c r="GJ1188" s="1108" t="s">
        <v>58710</v>
      </c>
      <c r="GK1188" s="1108" t="s">
        <v>58709</v>
      </c>
    </row>
    <row r="1189" spans="1:193">
      <c r="A1189" s="1108" t="s">
        <v>60117</v>
      </c>
      <c r="B1189" s="1108" t="s">
        <v>60116</v>
      </c>
      <c r="C1189" s="1108">
        <v>433</v>
      </c>
      <c r="GJ1189" s="1108" t="s">
        <v>58710</v>
      </c>
      <c r="GK1189" s="1108" t="s">
        <v>58709</v>
      </c>
    </row>
    <row r="1190" spans="1:193">
      <c r="A1190" s="1108" t="s">
        <v>60115</v>
      </c>
      <c r="B1190" s="1108" t="s">
        <v>60114</v>
      </c>
      <c r="C1190" s="1108">
        <v>648</v>
      </c>
      <c r="GJ1190" s="1108" t="s">
        <v>58710</v>
      </c>
      <c r="GK1190" s="1108" t="s">
        <v>58709</v>
      </c>
    </row>
    <row r="1191" spans="1:193">
      <c r="A1191" s="1108" t="s">
        <v>60113</v>
      </c>
      <c r="B1191" s="1108" t="s">
        <v>60112</v>
      </c>
      <c r="C1191" s="1108">
        <v>1562</v>
      </c>
      <c r="GJ1191" s="1108" t="s">
        <v>58710</v>
      </c>
      <c r="GK1191" s="1108" t="s">
        <v>58709</v>
      </c>
    </row>
    <row r="1192" spans="1:193">
      <c r="A1192" s="1108" t="s">
        <v>60111</v>
      </c>
      <c r="B1192" s="1108" t="s">
        <v>60110</v>
      </c>
      <c r="C1192" s="1108">
        <v>1725</v>
      </c>
      <c r="GJ1192" s="1108" t="s">
        <v>58710</v>
      </c>
      <c r="GK1192" s="1108" t="s">
        <v>58709</v>
      </c>
    </row>
    <row r="1193" spans="1:193">
      <c r="A1193" s="1108" t="s">
        <v>60109</v>
      </c>
      <c r="B1193" s="1108" t="s">
        <v>60108</v>
      </c>
      <c r="C1193" s="1108">
        <v>755</v>
      </c>
      <c r="GJ1193" s="1108" t="s">
        <v>58710</v>
      </c>
      <c r="GK1193" s="1108" t="s">
        <v>58709</v>
      </c>
    </row>
    <row r="1194" spans="1:193">
      <c r="A1194" s="1108" t="s">
        <v>60107</v>
      </c>
      <c r="B1194" s="1108" t="s">
        <v>60106</v>
      </c>
      <c r="C1194" s="1108">
        <v>930</v>
      </c>
      <c r="GJ1194" s="1108" t="s">
        <v>58710</v>
      </c>
      <c r="GK1194" s="1108" t="s">
        <v>58709</v>
      </c>
    </row>
    <row r="1195" spans="1:193">
      <c r="A1195" s="1108" t="s">
        <v>60105</v>
      </c>
      <c r="B1195" s="1108" t="s">
        <v>60104</v>
      </c>
      <c r="C1195" s="1108">
        <v>1332</v>
      </c>
      <c r="GJ1195" s="1108" t="s">
        <v>58710</v>
      </c>
      <c r="GK1195" s="1108" t="s">
        <v>58709</v>
      </c>
    </row>
    <row r="1196" spans="1:193">
      <c r="A1196" s="1108" t="s">
        <v>60103</v>
      </c>
      <c r="B1196" s="1108" t="s">
        <v>60102</v>
      </c>
      <c r="C1196" s="1108">
        <v>1390</v>
      </c>
      <c r="GJ1196" s="1108" t="s">
        <v>58710</v>
      </c>
      <c r="GK1196" s="1108" t="s">
        <v>58709</v>
      </c>
    </row>
    <row r="1197" spans="1:193">
      <c r="A1197" s="1108" t="s">
        <v>60101</v>
      </c>
      <c r="B1197" s="1108" t="s">
        <v>60100</v>
      </c>
      <c r="C1197" s="1108">
        <v>593</v>
      </c>
      <c r="GJ1197" s="1108" t="s">
        <v>58710</v>
      </c>
      <c r="GK1197" s="1108" t="s">
        <v>58709</v>
      </c>
    </row>
    <row r="1198" spans="1:193">
      <c r="A1198" s="1108" t="s">
        <v>60099</v>
      </c>
      <c r="B1198" s="1108" t="s">
        <v>60098</v>
      </c>
      <c r="C1198" s="1108">
        <v>650</v>
      </c>
      <c r="GJ1198" s="1108" t="s">
        <v>58710</v>
      </c>
      <c r="GK1198" s="1108" t="s">
        <v>58709</v>
      </c>
    </row>
    <row r="1199" spans="1:193">
      <c r="A1199" s="1108" t="s">
        <v>60097</v>
      </c>
      <c r="B1199" s="1108" t="s">
        <v>60096</v>
      </c>
      <c r="C1199" s="1108">
        <v>1467</v>
      </c>
      <c r="GJ1199" s="1108" t="s">
        <v>58710</v>
      </c>
      <c r="GK1199" s="1108" t="s">
        <v>58709</v>
      </c>
    </row>
    <row r="1200" spans="1:193">
      <c r="A1200" s="1108" t="s">
        <v>60095</v>
      </c>
      <c r="B1200" s="1108" t="s">
        <v>60094</v>
      </c>
      <c r="C1200" s="1108">
        <v>635</v>
      </c>
      <c r="GJ1200" s="1108" t="s">
        <v>58710</v>
      </c>
      <c r="GK1200" s="1108" t="s">
        <v>58709</v>
      </c>
    </row>
    <row r="1201" spans="1:193">
      <c r="A1201" s="1108" t="s">
        <v>60093</v>
      </c>
      <c r="B1201" s="1108" t="s">
        <v>60092</v>
      </c>
      <c r="C1201" s="1108">
        <v>807</v>
      </c>
      <c r="GJ1201" s="1108" t="s">
        <v>58710</v>
      </c>
      <c r="GK1201" s="1108" t="s">
        <v>58709</v>
      </c>
    </row>
    <row r="1202" spans="1:193">
      <c r="A1202" s="1108" t="s">
        <v>60091</v>
      </c>
      <c r="B1202" s="1108" t="s">
        <v>60090</v>
      </c>
      <c r="C1202" s="1108">
        <v>1280</v>
      </c>
      <c r="GJ1202" s="1108" t="s">
        <v>58710</v>
      </c>
      <c r="GK1202" s="1108" t="s">
        <v>58709</v>
      </c>
    </row>
    <row r="1203" spans="1:193">
      <c r="A1203" s="1108" t="s">
        <v>60089</v>
      </c>
      <c r="B1203" s="1108" t="s">
        <v>60088</v>
      </c>
      <c r="C1203" s="1108">
        <v>1411</v>
      </c>
      <c r="GJ1203" s="1108" t="s">
        <v>58710</v>
      </c>
      <c r="GK1203" s="1108" t="s">
        <v>58709</v>
      </c>
    </row>
    <row r="1204" spans="1:193">
      <c r="A1204" s="1108" t="s">
        <v>60087</v>
      </c>
      <c r="B1204" s="1108" t="s">
        <v>60086</v>
      </c>
      <c r="C1204" s="1108">
        <v>625</v>
      </c>
      <c r="GJ1204" s="1108" t="s">
        <v>58710</v>
      </c>
      <c r="GK1204" s="1108" t="s">
        <v>58709</v>
      </c>
    </row>
    <row r="1205" spans="1:193">
      <c r="A1205" s="1108" t="s">
        <v>60085</v>
      </c>
      <c r="B1205" s="1108" t="s">
        <v>60084</v>
      </c>
      <c r="C1205" s="1108">
        <v>736</v>
      </c>
      <c r="GJ1205" s="1108" t="s">
        <v>58710</v>
      </c>
      <c r="GK1205" s="1108" t="s">
        <v>58709</v>
      </c>
    </row>
    <row r="1206" spans="1:193">
      <c r="A1206" s="1108" t="s">
        <v>60083</v>
      </c>
      <c r="B1206" s="1108" t="s">
        <v>60082</v>
      </c>
      <c r="C1206" s="1108">
        <v>799</v>
      </c>
      <c r="GJ1206" s="1108" t="s">
        <v>58710</v>
      </c>
      <c r="GK1206" s="1108" t="s">
        <v>58709</v>
      </c>
    </row>
    <row r="1207" spans="1:193">
      <c r="A1207" s="1108" t="s">
        <v>60081</v>
      </c>
      <c r="B1207" s="1108" t="s">
        <v>60080</v>
      </c>
      <c r="C1207" s="1108">
        <v>951</v>
      </c>
      <c r="GJ1207" s="1108" t="s">
        <v>58710</v>
      </c>
      <c r="GK1207" s="1108" t="s">
        <v>58709</v>
      </c>
    </row>
    <row r="1208" spans="1:193">
      <c r="A1208" s="1108" t="s">
        <v>60079</v>
      </c>
      <c r="B1208" s="1108" t="s">
        <v>60078</v>
      </c>
      <c r="C1208" s="1108">
        <v>403</v>
      </c>
      <c r="GJ1208" s="1108" t="s">
        <v>58710</v>
      </c>
      <c r="GK1208" s="1108" t="s">
        <v>58709</v>
      </c>
    </row>
    <row r="1209" spans="1:193">
      <c r="A1209" s="1108" t="s">
        <v>60077</v>
      </c>
      <c r="B1209" s="1108" t="s">
        <v>60076</v>
      </c>
      <c r="C1209" s="1108">
        <v>557</v>
      </c>
      <c r="GJ1209" s="1108" t="s">
        <v>58710</v>
      </c>
      <c r="GK1209" s="1108" t="s">
        <v>58709</v>
      </c>
    </row>
    <row r="1210" spans="1:193">
      <c r="A1210" s="1108" t="s">
        <v>60075</v>
      </c>
      <c r="B1210" s="1108" t="s">
        <v>60074</v>
      </c>
      <c r="C1210" s="1108">
        <v>928</v>
      </c>
      <c r="GJ1210" s="1108" t="s">
        <v>58710</v>
      </c>
      <c r="GK1210" s="1108" t="s">
        <v>58709</v>
      </c>
    </row>
    <row r="1211" spans="1:193">
      <c r="A1211" s="1108" t="s">
        <v>60073</v>
      </c>
      <c r="B1211" s="1108" t="s">
        <v>60072</v>
      </c>
      <c r="C1211" s="1108">
        <v>1151</v>
      </c>
      <c r="GJ1211" s="1108" t="s">
        <v>58710</v>
      </c>
      <c r="GK1211" s="1108" t="s">
        <v>58709</v>
      </c>
    </row>
    <row r="1212" spans="1:193">
      <c r="A1212" s="1108" t="s">
        <v>60071</v>
      </c>
      <c r="B1212" s="1108" t="s">
        <v>60070</v>
      </c>
      <c r="C1212" s="1108">
        <v>473</v>
      </c>
      <c r="GJ1212" s="1108" t="s">
        <v>58710</v>
      </c>
      <c r="GK1212" s="1108" t="s">
        <v>58709</v>
      </c>
    </row>
    <row r="1213" spans="1:193">
      <c r="A1213" s="1108" t="s">
        <v>60069</v>
      </c>
      <c r="B1213" s="1108" t="s">
        <v>60068</v>
      </c>
      <c r="C1213" s="1108">
        <v>691</v>
      </c>
      <c r="GJ1213" s="1108" t="s">
        <v>58710</v>
      </c>
      <c r="GK1213" s="1108" t="s">
        <v>58709</v>
      </c>
    </row>
    <row r="1214" spans="1:193">
      <c r="A1214" s="1108" t="s">
        <v>60067</v>
      </c>
      <c r="B1214" s="1108" t="s">
        <v>60066</v>
      </c>
      <c r="C1214" s="1108">
        <v>1272</v>
      </c>
      <c r="GJ1214" s="1108" t="s">
        <v>58710</v>
      </c>
      <c r="GK1214" s="1108" t="s">
        <v>58709</v>
      </c>
    </row>
    <row r="1215" spans="1:193">
      <c r="A1215" s="1108" t="s">
        <v>60065</v>
      </c>
      <c r="B1215" s="1108" t="s">
        <v>60064</v>
      </c>
      <c r="C1215" s="1108">
        <v>1456</v>
      </c>
      <c r="GJ1215" s="1108" t="s">
        <v>58710</v>
      </c>
      <c r="GK1215" s="1108" t="s">
        <v>58709</v>
      </c>
    </row>
    <row r="1216" spans="1:193">
      <c r="A1216" s="1108" t="s">
        <v>60063</v>
      </c>
      <c r="B1216" s="1108" t="s">
        <v>60062</v>
      </c>
      <c r="C1216" s="1108">
        <v>623</v>
      </c>
      <c r="GJ1216" s="1108" t="s">
        <v>58710</v>
      </c>
      <c r="GK1216" s="1108" t="s">
        <v>58709</v>
      </c>
    </row>
    <row r="1217" spans="1:193">
      <c r="A1217" s="1108" t="s">
        <v>60061</v>
      </c>
      <c r="B1217" s="1108" t="s">
        <v>60060</v>
      </c>
      <c r="C1217" s="1108">
        <v>806</v>
      </c>
      <c r="GJ1217" s="1108" t="s">
        <v>58710</v>
      </c>
      <c r="GK1217" s="1108" t="s">
        <v>58709</v>
      </c>
    </row>
    <row r="1218" spans="1:193">
      <c r="A1218" s="1108" t="s">
        <v>60059</v>
      </c>
      <c r="B1218" s="1108" t="s">
        <v>60058</v>
      </c>
      <c r="C1218" s="1108">
        <v>653</v>
      </c>
      <c r="GJ1218" s="1108" t="s">
        <v>58710</v>
      </c>
      <c r="GK1218" s="1108" t="s">
        <v>58709</v>
      </c>
    </row>
    <row r="1219" spans="1:193">
      <c r="A1219" s="1108" t="s">
        <v>60057</v>
      </c>
      <c r="B1219" s="1108" t="s">
        <v>60056</v>
      </c>
      <c r="C1219" s="1108">
        <v>815</v>
      </c>
      <c r="GJ1219" s="1108" t="s">
        <v>58710</v>
      </c>
      <c r="GK1219" s="1108" t="s">
        <v>58709</v>
      </c>
    </row>
    <row r="1220" spans="1:193">
      <c r="A1220" s="1108" t="s">
        <v>60055</v>
      </c>
      <c r="B1220" s="1108" t="s">
        <v>60054</v>
      </c>
      <c r="C1220" s="1108">
        <v>389</v>
      </c>
      <c r="GJ1220" s="1108" t="s">
        <v>58710</v>
      </c>
      <c r="GK1220" s="1108" t="s">
        <v>58709</v>
      </c>
    </row>
    <row r="1221" spans="1:193">
      <c r="A1221" s="1108" t="s">
        <v>60053</v>
      </c>
      <c r="B1221" s="1108" t="s">
        <v>60052</v>
      </c>
      <c r="C1221" s="1108">
        <v>550</v>
      </c>
      <c r="GJ1221" s="1108" t="s">
        <v>58710</v>
      </c>
      <c r="GK1221" s="1108" t="s">
        <v>58709</v>
      </c>
    </row>
    <row r="1222" spans="1:193">
      <c r="A1222" s="1108" t="s">
        <v>60051</v>
      </c>
      <c r="B1222" s="1108" t="s">
        <v>60050</v>
      </c>
      <c r="C1222" s="1108">
        <v>176</v>
      </c>
      <c r="GJ1222" s="1108" t="s">
        <v>58710</v>
      </c>
      <c r="GK1222" s="1108" t="s">
        <v>58709</v>
      </c>
    </row>
    <row r="1223" spans="1:193">
      <c r="A1223" s="1108" t="s">
        <v>60049</v>
      </c>
      <c r="B1223" s="1108" t="s">
        <v>60048</v>
      </c>
      <c r="C1223" s="1108">
        <v>301</v>
      </c>
      <c r="GJ1223" s="1108" t="s">
        <v>58710</v>
      </c>
      <c r="GK1223" s="1108" t="s">
        <v>58709</v>
      </c>
    </row>
    <row r="1224" spans="1:193">
      <c r="A1224" s="1108" t="s">
        <v>60047</v>
      </c>
      <c r="B1224" s="1108" t="s">
        <v>60046</v>
      </c>
      <c r="C1224" s="1108">
        <v>711</v>
      </c>
      <c r="GJ1224" s="1108" t="s">
        <v>58710</v>
      </c>
      <c r="GK1224" s="1108" t="s">
        <v>58709</v>
      </c>
    </row>
    <row r="1225" spans="1:193">
      <c r="A1225" s="1108" t="s">
        <v>60045</v>
      </c>
      <c r="B1225" s="1108" t="s">
        <v>60044</v>
      </c>
      <c r="C1225" s="1108">
        <v>645</v>
      </c>
      <c r="GJ1225" s="1108" t="s">
        <v>58710</v>
      </c>
      <c r="GK1225" s="1108" t="s">
        <v>58709</v>
      </c>
    </row>
    <row r="1226" spans="1:193">
      <c r="A1226" s="1108" t="s">
        <v>60043</v>
      </c>
      <c r="B1226" s="1108" t="s">
        <v>60042</v>
      </c>
      <c r="C1226" s="1108">
        <v>372</v>
      </c>
      <c r="GJ1226" s="1108" t="s">
        <v>58710</v>
      </c>
      <c r="GK1226" s="1108" t="s">
        <v>58709</v>
      </c>
    </row>
    <row r="1227" spans="1:193">
      <c r="A1227" s="1108" t="s">
        <v>60041</v>
      </c>
      <c r="B1227" s="1108" t="s">
        <v>60040</v>
      </c>
      <c r="C1227" s="1108">
        <v>315</v>
      </c>
      <c r="GJ1227" s="1108" t="s">
        <v>58710</v>
      </c>
      <c r="GK1227" s="1108" t="s">
        <v>58709</v>
      </c>
    </row>
    <row r="1228" spans="1:193">
      <c r="A1228" s="1108" t="s">
        <v>60039</v>
      </c>
      <c r="B1228" s="1108" t="s">
        <v>60038</v>
      </c>
      <c r="C1228" s="1108">
        <v>1302</v>
      </c>
      <c r="GJ1228" s="1108" t="s">
        <v>58710</v>
      </c>
      <c r="GK1228" s="1108" t="s">
        <v>58709</v>
      </c>
    </row>
    <row r="1229" spans="1:193">
      <c r="A1229" s="1108" t="s">
        <v>60037</v>
      </c>
      <c r="B1229" s="1108" t="s">
        <v>60036</v>
      </c>
      <c r="C1229" s="1108">
        <v>1412</v>
      </c>
      <c r="GJ1229" s="1108" t="s">
        <v>58710</v>
      </c>
      <c r="GK1229" s="1108" t="s">
        <v>58709</v>
      </c>
    </row>
    <row r="1230" spans="1:193">
      <c r="A1230" s="1108" t="s">
        <v>60035</v>
      </c>
      <c r="B1230" s="1108" t="s">
        <v>60034</v>
      </c>
      <c r="C1230" s="1108">
        <v>1302</v>
      </c>
      <c r="GJ1230" s="1108" t="s">
        <v>58710</v>
      </c>
      <c r="GK1230" s="1108" t="s">
        <v>58709</v>
      </c>
    </row>
    <row r="1231" spans="1:193">
      <c r="A1231" s="1108" t="s">
        <v>60033</v>
      </c>
      <c r="B1231" s="1108" t="s">
        <v>60032</v>
      </c>
      <c r="C1231" s="1108">
        <v>1412</v>
      </c>
      <c r="GJ1231" s="1108" t="s">
        <v>58710</v>
      </c>
      <c r="GK1231" s="1108" t="s">
        <v>58709</v>
      </c>
    </row>
    <row r="1232" spans="1:193">
      <c r="A1232" s="1108" t="s">
        <v>60031</v>
      </c>
      <c r="B1232" s="1108" t="s">
        <v>60030</v>
      </c>
      <c r="C1232" s="1108">
        <v>685</v>
      </c>
      <c r="GJ1232" s="1108" t="s">
        <v>58710</v>
      </c>
      <c r="GK1232" s="1108" t="s">
        <v>58709</v>
      </c>
    </row>
    <row r="1233" spans="1:193">
      <c r="A1233" s="1108" t="s">
        <v>60029</v>
      </c>
      <c r="B1233" s="1108" t="s">
        <v>60028</v>
      </c>
      <c r="C1233" s="1108">
        <v>792</v>
      </c>
      <c r="GJ1233" s="1108" t="s">
        <v>58710</v>
      </c>
      <c r="GK1233" s="1108" t="s">
        <v>58709</v>
      </c>
    </row>
    <row r="1234" spans="1:193">
      <c r="A1234" s="1108" t="s">
        <v>60027</v>
      </c>
      <c r="B1234" s="1108" t="s">
        <v>60026</v>
      </c>
      <c r="C1234" s="1108">
        <v>1245</v>
      </c>
      <c r="GJ1234" s="1108" t="s">
        <v>58710</v>
      </c>
      <c r="GK1234" s="1108" t="s">
        <v>58709</v>
      </c>
    </row>
    <row r="1235" spans="1:193">
      <c r="A1235" s="1108" t="s">
        <v>60025</v>
      </c>
      <c r="B1235" s="1108" t="s">
        <v>60024</v>
      </c>
      <c r="C1235" s="1108">
        <v>1560</v>
      </c>
      <c r="GJ1235" s="1108" t="s">
        <v>58710</v>
      </c>
      <c r="GK1235" s="1108" t="s">
        <v>58709</v>
      </c>
    </row>
    <row r="1236" spans="1:193">
      <c r="A1236" s="1108" t="s">
        <v>60023</v>
      </c>
      <c r="B1236" s="1108" t="s">
        <v>60022</v>
      </c>
      <c r="C1236" s="1108">
        <v>1707</v>
      </c>
      <c r="GJ1236" s="1108" t="s">
        <v>58710</v>
      </c>
      <c r="GK1236" s="1108" t="s">
        <v>58709</v>
      </c>
    </row>
    <row r="1237" spans="1:193">
      <c r="A1237" s="1108" t="s">
        <v>60021</v>
      </c>
      <c r="B1237" s="1108" t="s">
        <v>60020</v>
      </c>
      <c r="C1237" s="1108">
        <v>1560</v>
      </c>
      <c r="GJ1237" s="1108" t="s">
        <v>58710</v>
      </c>
      <c r="GK1237" s="1108" t="s">
        <v>58709</v>
      </c>
    </row>
    <row r="1238" spans="1:193">
      <c r="A1238" s="1108" t="s">
        <v>60019</v>
      </c>
      <c r="B1238" s="1108" t="s">
        <v>60018</v>
      </c>
      <c r="C1238" s="1108">
        <v>1707</v>
      </c>
      <c r="GJ1238" s="1108" t="s">
        <v>58710</v>
      </c>
      <c r="GK1238" s="1108" t="s">
        <v>58709</v>
      </c>
    </row>
    <row r="1239" spans="1:193">
      <c r="A1239" s="1108" t="s">
        <v>60017</v>
      </c>
      <c r="B1239" s="1108" t="s">
        <v>60016</v>
      </c>
      <c r="C1239" s="1108">
        <v>796</v>
      </c>
      <c r="GJ1239" s="1108" t="s">
        <v>58710</v>
      </c>
      <c r="GK1239" s="1108" t="s">
        <v>58709</v>
      </c>
    </row>
    <row r="1240" spans="1:193">
      <c r="A1240" s="1108" t="s">
        <v>60015</v>
      </c>
      <c r="B1240" s="1108" t="s">
        <v>60014</v>
      </c>
      <c r="C1240" s="1108">
        <v>941</v>
      </c>
      <c r="GJ1240" s="1108" t="s">
        <v>58710</v>
      </c>
      <c r="GK1240" s="1108" t="s">
        <v>58709</v>
      </c>
    </row>
    <row r="1241" spans="1:193">
      <c r="A1241" s="1108" t="s">
        <v>60013</v>
      </c>
      <c r="B1241" s="1108" t="s">
        <v>60012</v>
      </c>
      <c r="C1241" s="1108">
        <v>539</v>
      </c>
      <c r="GJ1241" s="1108" t="s">
        <v>58710</v>
      </c>
      <c r="GK1241" s="1108" t="s">
        <v>58709</v>
      </c>
    </row>
    <row r="1242" spans="1:193">
      <c r="A1242" s="1108" t="s">
        <v>60011</v>
      </c>
      <c r="B1242" s="1108" t="s">
        <v>60010</v>
      </c>
      <c r="C1242" s="1108">
        <v>754</v>
      </c>
      <c r="GJ1242" s="1108" t="s">
        <v>58710</v>
      </c>
      <c r="GK1242" s="1108" t="s">
        <v>58709</v>
      </c>
    </row>
    <row r="1243" spans="1:193">
      <c r="A1243" s="1108" t="s">
        <v>60009</v>
      </c>
      <c r="B1243" s="1108" t="s">
        <v>60008</v>
      </c>
      <c r="C1243" s="1108">
        <v>974</v>
      </c>
      <c r="GJ1243" s="1108" t="s">
        <v>58710</v>
      </c>
      <c r="GK1243" s="1108" t="s">
        <v>58709</v>
      </c>
    </row>
    <row r="1244" spans="1:193">
      <c r="A1244" s="1108" t="s">
        <v>60007</v>
      </c>
      <c r="B1244" s="1108" t="s">
        <v>60006</v>
      </c>
      <c r="C1244" s="1108">
        <v>1198</v>
      </c>
      <c r="GJ1244" s="1108" t="s">
        <v>58710</v>
      </c>
      <c r="GK1244" s="1108" t="s">
        <v>58709</v>
      </c>
    </row>
    <row r="1245" spans="1:193">
      <c r="A1245" s="1108" t="s">
        <v>60005</v>
      </c>
      <c r="B1245" s="1108" t="s">
        <v>60004</v>
      </c>
      <c r="C1245" s="1108">
        <v>539</v>
      </c>
      <c r="GJ1245" s="1108" t="s">
        <v>58710</v>
      </c>
      <c r="GK1245" s="1108" t="s">
        <v>58709</v>
      </c>
    </row>
    <row r="1246" spans="1:193">
      <c r="A1246" s="1108" t="s">
        <v>60003</v>
      </c>
      <c r="B1246" s="1108" t="s">
        <v>60002</v>
      </c>
      <c r="C1246" s="1108">
        <v>754</v>
      </c>
      <c r="GJ1246" s="1108" t="s">
        <v>58710</v>
      </c>
      <c r="GK1246" s="1108" t="s">
        <v>58709</v>
      </c>
    </row>
    <row r="1247" spans="1:193">
      <c r="A1247" s="1108" t="s">
        <v>60001</v>
      </c>
      <c r="B1247" s="1108" t="s">
        <v>60000</v>
      </c>
      <c r="C1247" s="1108">
        <v>974</v>
      </c>
      <c r="GJ1247" s="1108" t="s">
        <v>58710</v>
      </c>
      <c r="GK1247" s="1108" t="s">
        <v>58709</v>
      </c>
    </row>
    <row r="1248" spans="1:193">
      <c r="A1248" s="1108" t="s">
        <v>59999</v>
      </c>
      <c r="B1248" s="1108" t="s">
        <v>59998</v>
      </c>
      <c r="C1248" s="1108">
        <v>1198</v>
      </c>
      <c r="GJ1248" s="1108" t="s">
        <v>58710</v>
      </c>
      <c r="GK1248" s="1108" t="s">
        <v>58709</v>
      </c>
    </row>
    <row r="1249" spans="1:193">
      <c r="A1249" s="1108" t="s">
        <v>59997</v>
      </c>
      <c r="B1249" s="1108" t="s">
        <v>59996</v>
      </c>
      <c r="C1249" s="1108">
        <v>917</v>
      </c>
      <c r="GJ1249" s="1108" t="s">
        <v>58710</v>
      </c>
      <c r="GK1249" s="1108" t="s">
        <v>58709</v>
      </c>
    </row>
    <row r="1250" spans="1:193">
      <c r="A1250" s="1108" t="s">
        <v>59995</v>
      </c>
      <c r="B1250" s="1108" t="s">
        <v>59994</v>
      </c>
      <c r="C1250" s="1108">
        <v>1668</v>
      </c>
      <c r="GJ1250" s="1108" t="s">
        <v>58710</v>
      </c>
      <c r="GK1250" s="1108" t="s">
        <v>58709</v>
      </c>
    </row>
    <row r="1251" spans="1:193">
      <c r="A1251" s="1108" t="s">
        <v>59993</v>
      </c>
      <c r="B1251" s="1108" t="s">
        <v>59992</v>
      </c>
      <c r="C1251" s="1108">
        <v>1831</v>
      </c>
      <c r="GJ1251" s="1108" t="s">
        <v>58710</v>
      </c>
      <c r="GK1251" s="1108" t="s">
        <v>58709</v>
      </c>
    </row>
    <row r="1252" spans="1:193">
      <c r="A1252" s="1108" t="s">
        <v>59991</v>
      </c>
      <c r="B1252" s="1108" t="s">
        <v>59990</v>
      </c>
      <c r="C1252" s="1108">
        <v>1668</v>
      </c>
      <c r="GJ1252" s="1108" t="s">
        <v>58710</v>
      </c>
      <c r="GK1252" s="1108" t="s">
        <v>58709</v>
      </c>
    </row>
    <row r="1253" spans="1:193">
      <c r="A1253" s="1108" t="s">
        <v>59989</v>
      </c>
      <c r="B1253" s="1108" t="s">
        <v>59988</v>
      </c>
      <c r="C1253" s="1108">
        <v>1831</v>
      </c>
      <c r="GJ1253" s="1108" t="s">
        <v>58710</v>
      </c>
      <c r="GK1253" s="1108" t="s">
        <v>58709</v>
      </c>
    </row>
    <row r="1254" spans="1:193">
      <c r="A1254" s="1108" t="s">
        <v>59987</v>
      </c>
      <c r="B1254" s="1108" t="s">
        <v>59986</v>
      </c>
      <c r="C1254" s="1108">
        <v>861</v>
      </c>
      <c r="GJ1254" s="1108" t="s">
        <v>58710</v>
      </c>
      <c r="GK1254" s="1108" t="s">
        <v>58709</v>
      </c>
    </row>
    <row r="1255" spans="1:193">
      <c r="A1255" s="1108" t="s">
        <v>59985</v>
      </c>
      <c r="B1255" s="1108" t="s">
        <v>59984</v>
      </c>
      <c r="C1255" s="1108">
        <v>1036</v>
      </c>
      <c r="GJ1255" s="1108" t="s">
        <v>58710</v>
      </c>
      <c r="GK1255" s="1108" t="s">
        <v>58709</v>
      </c>
    </row>
    <row r="1256" spans="1:193">
      <c r="A1256" s="1108" t="s">
        <v>59983</v>
      </c>
      <c r="B1256" s="1108" t="s">
        <v>59982</v>
      </c>
      <c r="C1256" s="1108">
        <v>1438</v>
      </c>
      <c r="GJ1256" s="1108" t="s">
        <v>58710</v>
      </c>
      <c r="GK1256" s="1108" t="s">
        <v>58709</v>
      </c>
    </row>
    <row r="1257" spans="1:193">
      <c r="A1257" s="1108" t="s">
        <v>59981</v>
      </c>
      <c r="B1257" s="1108" t="s">
        <v>59980</v>
      </c>
      <c r="C1257" s="1108">
        <v>1496</v>
      </c>
      <c r="GJ1257" s="1108" t="s">
        <v>58710</v>
      </c>
      <c r="GK1257" s="1108" t="s">
        <v>58709</v>
      </c>
    </row>
    <row r="1258" spans="1:193">
      <c r="A1258" s="1108" t="s">
        <v>59979</v>
      </c>
      <c r="B1258" s="1108" t="s">
        <v>59978</v>
      </c>
      <c r="C1258" s="1108">
        <v>1438</v>
      </c>
      <c r="GJ1258" s="1108" t="s">
        <v>58710</v>
      </c>
      <c r="GK1258" s="1108" t="s">
        <v>58709</v>
      </c>
    </row>
    <row r="1259" spans="1:193">
      <c r="A1259" s="1108" t="s">
        <v>59977</v>
      </c>
      <c r="B1259" s="1108" t="s">
        <v>59976</v>
      </c>
      <c r="C1259" s="1108">
        <v>1496</v>
      </c>
      <c r="GJ1259" s="1108" t="s">
        <v>58710</v>
      </c>
      <c r="GK1259" s="1108" t="s">
        <v>58709</v>
      </c>
    </row>
    <row r="1260" spans="1:193">
      <c r="A1260" s="1108" t="s">
        <v>59975</v>
      </c>
      <c r="B1260" s="1108" t="s">
        <v>59974</v>
      </c>
      <c r="C1260" s="1108">
        <v>699</v>
      </c>
      <c r="GJ1260" s="1108" t="s">
        <v>58710</v>
      </c>
      <c r="GK1260" s="1108" t="s">
        <v>58709</v>
      </c>
    </row>
    <row r="1261" spans="1:193">
      <c r="A1261" s="1108" t="s">
        <v>59973</v>
      </c>
      <c r="B1261" s="1108" t="s">
        <v>59972</v>
      </c>
      <c r="C1261" s="1108">
        <v>756</v>
      </c>
      <c r="GJ1261" s="1108" t="s">
        <v>58710</v>
      </c>
      <c r="GK1261" s="1108" t="s">
        <v>58709</v>
      </c>
    </row>
    <row r="1262" spans="1:193">
      <c r="A1262" s="1108" t="s">
        <v>59971</v>
      </c>
      <c r="B1262" s="1108" t="s">
        <v>59970</v>
      </c>
      <c r="C1262" s="1108">
        <v>800</v>
      </c>
      <c r="GJ1262" s="1108" t="s">
        <v>58710</v>
      </c>
      <c r="GK1262" s="1108" t="s">
        <v>58709</v>
      </c>
    </row>
    <row r="1263" spans="1:193">
      <c r="A1263" s="1108" t="s">
        <v>59969</v>
      </c>
      <c r="B1263" s="1108" t="s">
        <v>59968</v>
      </c>
      <c r="C1263" s="1108">
        <v>743</v>
      </c>
      <c r="GJ1263" s="1108" t="s">
        <v>58710</v>
      </c>
      <c r="GK1263" s="1108" t="s">
        <v>58709</v>
      </c>
    </row>
    <row r="1264" spans="1:193">
      <c r="A1264" s="1108" t="s">
        <v>59967</v>
      </c>
      <c r="B1264" s="1108" t="s">
        <v>59966</v>
      </c>
      <c r="C1264" s="1108">
        <v>905</v>
      </c>
      <c r="GJ1264" s="1108" t="s">
        <v>58710</v>
      </c>
      <c r="GK1264" s="1108" t="s">
        <v>58709</v>
      </c>
    </row>
    <row r="1265" spans="1:193">
      <c r="A1265" s="1108" t="s">
        <v>59965</v>
      </c>
      <c r="B1265" s="1108" t="s">
        <v>59964</v>
      </c>
      <c r="C1265" s="1108">
        <v>1080</v>
      </c>
      <c r="GJ1265" s="1108" t="s">
        <v>58710</v>
      </c>
      <c r="GK1265" s="1108" t="s">
        <v>58709</v>
      </c>
    </row>
    <row r="1266" spans="1:193">
      <c r="A1266" s="1108" t="s">
        <v>59963</v>
      </c>
      <c r="B1266" s="1108" t="s">
        <v>59962</v>
      </c>
      <c r="C1266" s="1108">
        <v>1381</v>
      </c>
      <c r="GJ1266" s="1108" t="s">
        <v>58710</v>
      </c>
      <c r="GK1266" s="1108" t="s">
        <v>58709</v>
      </c>
    </row>
    <row r="1267" spans="1:193">
      <c r="A1267" s="1108" t="s">
        <v>59961</v>
      </c>
      <c r="B1267" s="1108" t="s">
        <v>59960</v>
      </c>
      <c r="C1267" s="1108">
        <v>1283</v>
      </c>
      <c r="GJ1267" s="1108" t="s">
        <v>58710</v>
      </c>
      <c r="GK1267" s="1108" t="s">
        <v>58709</v>
      </c>
    </row>
    <row r="1268" spans="1:193">
      <c r="A1268" s="1108" t="s">
        <v>59959</v>
      </c>
      <c r="B1268" s="1108" t="s">
        <v>59958</v>
      </c>
      <c r="C1268" s="1108">
        <v>1573</v>
      </c>
      <c r="GJ1268" s="1108" t="s">
        <v>58710</v>
      </c>
      <c r="GK1268" s="1108" t="s">
        <v>58709</v>
      </c>
    </row>
    <row r="1269" spans="1:193">
      <c r="A1269" s="1108" t="s">
        <v>59957</v>
      </c>
      <c r="B1269" s="1108" t="s">
        <v>59956</v>
      </c>
      <c r="C1269" s="1108">
        <v>1283</v>
      </c>
      <c r="GJ1269" s="1108" t="s">
        <v>58710</v>
      </c>
      <c r="GK1269" s="1108" t="s">
        <v>58709</v>
      </c>
    </row>
    <row r="1270" spans="1:193">
      <c r="A1270" s="1108" t="s">
        <v>59955</v>
      </c>
      <c r="B1270" s="1108" t="s">
        <v>59954</v>
      </c>
      <c r="C1270" s="1108">
        <v>1573</v>
      </c>
      <c r="GJ1270" s="1108" t="s">
        <v>58710</v>
      </c>
      <c r="GK1270" s="1108" t="s">
        <v>58709</v>
      </c>
    </row>
    <row r="1271" spans="1:193">
      <c r="A1271" s="1108" t="s">
        <v>59953</v>
      </c>
      <c r="B1271" s="1108" t="s">
        <v>59952</v>
      </c>
      <c r="C1271" s="1108">
        <v>741</v>
      </c>
      <c r="GJ1271" s="1108" t="s">
        <v>58710</v>
      </c>
      <c r="GK1271" s="1108" t="s">
        <v>58709</v>
      </c>
    </row>
    <row r="1272" spans="1:193">
      <c r="A1272" s="1108" t="s">
        <v>59951</v>
      </c>
      <c r="B1272" s="1108" t="s">
        <v>59950</v>
      </c>
      <c r="C1272" s="1108">
        <v>913</v>
      </c>
      <c r="GJ1272" s="1108" t="s">
        <v>58710</v>
      </c>
      <c r="GK1272" s="1108" t="s">
        <v>58709</v>
      </c>
    </row>
    <row r="1273" spans="1:193">
      <c r="A1273" s="1108" t="s">
        <v>59949</v>
      </c>
      <c r="B1273" s="1108" t="s">
        <v>59948</v>
      </c>
      <c r="C1273" s="1108">
        <v>1386</v>
      </c>
      <c r="GJ1273" s="1108" t="s">
        <v>58710</v>
      </c>
      <c r="GK1273" s="1108" t="s">
        <v>58709</v>
      </c>
    </row>
    <row r="1274" spans="1:193">
      <c r="A1274" s="1108" t="s">
        <v>59947</v>
      </c>
      <c r="B1274" s="1108" t="s">
        <v>59946</v>
      </c>
      <c r="C1274" s="1108">
        <v>1517</v>
      </c>
      <c r="GJ1274" s="1108" t="s">
        <v>58710</v>
      </c>
      <c r="GK1274" s="1108" t="s">
        <v>58709</v>
      </c>
    </row>
    <row r="1275" spans="1:193">
      <c r="A1275" s="1108" t="s">
        <v>59945</v>
      </c>
      <c r="B1275" s="1108" t="s">
        <v>59944</v>
      </c>
      <c r="C1275" s="1108">
        <v>731</v>
      </c>
      <c r="GJ1275" s="1108" t="s">
        <v>58710</v>
      </c>
      <c r="GK1275" s="1108" t="s">
        <v>58709</v>
      </c>
    </row>
    <row r="1276" spans="1:193">
      <c r="A1276" s="1108" t="s">
        <v>59943</v>
      </c>
      <c r="B1276" s="1108" t="s">
        <v>59942</v>
      </c>
      <c r="C1276" s="1108">
        <v>842</v>
      </c>
      <c r="GJ1276" s="1108" t="s">
        <v>58710</v>
      </c>
      <c r="GK1276" s="1108" t="s">
        <v>58709</v>
      </c>
    </row>
    <row r="1277" spans="1:193">
      <c r="A1277" s="1108" t="s">
        <v>59941</v>
      </c>
      <c r="B1277" s="1108" t="s">
        <v>59940</v>
      </c>
      <c r="C1277" s="1108">
        <v>1386</v>
      </c>
      <c r="GJ1277" s="1108" t="s">
        <v>58710</v>
      </c>
      <c r="GK1277" s="1108" t="s">
        <v>58709</v>
      </c>
    </row>
    <row r="1278" spans="1:193">
      <c r="A1278" s="1108" t="s">
        <v>59939</v>
      </c>
      <c r="B1278" s="1108" t="s">
        <v>59938</v>
      </c>
      <c r="C1278" s="1108">
        <v>1517</v>
      </c>
      <c r="GJ1278" s="1108" t="s">
        <v>58710</v>
      </c>
      <c r="GK1278" s="1108" t="s">
        <v>58709</v>
      </c>
    </row>
    <row r="1279" spans="1:193">
      <c r="A1279" s="1108" t="s">
        <v>59937</v>
      </c>
      <c r="B1279" s="1108" t="s">
        <v>59936</v>
      </c>
      <c r="C1279" s="1108">
        <v>929</v>
      </c>
      <c r="GJ1279" s="1108" t="s">
        <v>58710</v>
      </c>
      <c r="GK1279" s="1108" t="s">
        <v>58709</v>
      </c>
    </row>
    <row r="1280" spans="1:193">
      <c r="A1280" s="1108" t="s">
        <v>59935</v>
      </c>
      <c r="B1280" s="1108" t="s">
        <v>59934</v>
      </c>
      <c r="C1280" s="1108">
        <v>1081</v>
      </c>
      <c r="GJ1280" s="1108" t="s">
        <v>58710</v>
      </c>
      <c r="GK1280" s="1108" t="s">
        <v>58709</v>
      </c>
    </row>
    <row r="1281" spans="1:193">
      <c r="A1281" s="1108" t="s">
        <v>59933</v>
      </c>
      <c r="B1281" s="1108" t="s">
        <v>59932</v>
      </c>
      <c r="C1281" s="1108">
        <v>533</v>
      </c>
      <c r="GJ1281" s="1108" t="s">
        <v>58710</v>
      </c>
      <c r="GK1281" s="1108" t="s">
        <v>58709</v>
      </c>
    </row>
    <row r="1282" spans="1:193">
      <c r="A1282" s="1108" t="s">
        <v>59931</v>
      </c>
      <c r="B1282" s="1108" t="s">
        <v>59930</v>
      </c>
      <c r="C1282" s="1108">
        <v>687</v>
      </c>
      <c r="GJ1282" s="1108" t="s">
        <v>58710</v>
      </c>
      <c r="GK1282" s="1108" t="s">
        <v>58709</v>
      </c>
    </row>
    <row r="1283" spans="1:193">
      <c r="A1283" s="1108" t="s">
        <v>59929</v>
      </c>
      <c r="B1283" s="1108" t="s">
        <v>59928</v>
      </c>
      <c r="C1283" s="1108">
        <v>1034</v>
      </c>
      <c r="GJ1283" s="1108" t="s">
        <v>58710</v>
      </c>
      <c r="GK1283" s="1108" t="s">
        <v>58709</v>
      </c>
    </row>
    <row r="1284" spans="1:193">
      <c r="A1284" s="1108" t="s">
        <v>59927</v>
      </c>
      <c r="B1284" s="1108" t="s">
        <v>59926</v>
      </c>
      <c r="C1284" s="1108">
        <v>1257</v>
      </c>
      <c r="GJ1284" s="1108" t="s">
        <v>58710</v>
      </c>
      <c r="GK1284" s="1108" t="s">
        <v>58709</v>
      </c>
    </row>
    <row r="1285" spans="1:193">
      <c r="A1285" s="1108" t="s">
        <v>59925</v>
      </c>
      <c r="B1285" s="1108" t="s">
        <v>59924</v>
      </c>
      <c r="C1285" s="1108">
        <v>1034</v>
      </c>
      <c r="GJ1285" s="1108" t="s">
        <v>58710</v>
      </c>
      <c r="GK1285" s="1108" t="s">
        <v>58709</v>
      </c>
    </row>
    <row r="1286" spans="1:193">
      <c r="A1286" s="1108" t="s">
        <v>59923</v>
      </c>
      <c r="B1286" s="1108" t="s">
        <v>59922</v>
      </c>
      <c r="C1286" s="1108">
        <v>1257</v>
      </c>
      <c r="GJ1286" s="1108" t="s">
        <v>58710</v>
      </c>
      <c r="GK1286" s="1108" t="s">
        <v>58709</v>
      </c>
    </row>
    <row r="1287" spans="1:193">
      <c r="A1287" s="1108" t="s">
        <v>59921</v>
      </c>
      <c r="B1287" s="1108" t="s">
        <v>59920</v>
      </c>
      <c r="C1287" s="1108">
        <v>579</v>
      </c>
      <c r="GJ1287" s="1108" t="s">
        <v>58710</v>
      </c>
      <c r="GK1287" s="1108" t="s">
        <v>58709</v>
      </c>
    </row>
    <row r="1288" spans="1:193">
      <c r="A1288" s="1108" t="s">
        <v>59919</v>
      </c>
      <c r="B1288" s="1108" t="s">
        <v>59918</v>
      </c>
      <c r="C1288" s="1108">
        <v>797</v>
      </c>
      <c r="GJ1288" s="1108" t="s">
        <v>58710</v>
      </c>
      <c r="GK1288" s="1108" t="s">
        <v>58709</v>
      </c>
    </row>
    <row r="1289" spans="1:193">
      <c r="A1289" s="1108" t="s">
        <v>59917</v>
      </c>
      <c r="B1289" s="1108" t="s">
        <v>59916</v>
      </c>
      <c r="C1289" s="1108">
        <v>977</v>
      </c>
      <c r="GJ1289" s="1108" t="s">
        <v>58710</v>
      </c>
      <c r="GK1289" s="1108" t="s">
        <v>58709</v>
      </c>
    </row>
    <row r="1290" spans="1:193">
      <c r="A1290" s="1108" t="s">
        <v>59915</v>
      </c>
      <c r="B1290" s="1108" t="s">
        <v>59914</v>
      </c>
      <c r="C1290" s="1108">
        <v>753</v>
      </c>
      <c r="GJ1290" s="1108" t="s">
        <v>58710</v>
      </c>
      <c r="GK1290" s="1108" t="s">
        <v>58709</v>
      </c>
    </row>
    <row r="1291" spans="1:193">
      <c r="A1291" s="1108" t="s">
        <v>59913</v>
      </c>
      <c r="B1291" s="1108" t="s">
        <v>59912</v>
      </c>
      <c r="C1291" s="1108">
        <v>936</v>
      </c>
      <c r="GJ1291" s="1108" t="s">
        <v>58710</v>
      </c>
      <c r="GK1291" s="1108" t="s">
        <v>58709</v>
      </c>
    </row>
    <row r="1292" spans="1:193">
      <c r="A1292" s="1108" t="s">
        <v>59911</v>
      </c>
      <c r="B1292" s="1108" t="s">
        <v>59910</v>
      </c>
      <c r="C1292" s="1108">
        <v>1402</v>
      </c>
      <c r="GJ1292" s="1108" t="s">
        <v>58710</v>
      </c>
      <c r="GK1292" s="1108" t="s">
        <v>58709</v>
      </c>
    </row>
    <row r="1293" spans="1:193">
      <c r="A1293" s="1108" t="s">
        <v>59909</v>
      </c>
      <c r="B1293" s="1108" t="s">
        <v>59908</v>
      </c>
      <c r="C1293" s="1108">
        <v>1586</v>
      </c>
      <c r="GJ1293" s="1108" t="s">
        <v>58710</v>
      </c>
      <c r="GK1293" s="1108" t="s">
        <v>58709</v>
      </c>
    </row>
    <row r="1294" spans="1:193">
      <c r="A1294" s="1108" t="s">
        <v>59907</v>
      </c>
      <c r="B1294" s="1108" t="s">
        <v>59906</v>
      </c>
      <c r="C1294" s="1108">
        <v>1378</v>
      </c>
      <c r="GJ1294" s="1108" t="s">
        <v>58710</v>
      </c>
      <c r="GK1294" s="1108" t="s">
        <v>58709</v>
      </c>
    </row>
    <row r="1295" spans="1:193">
      <c r="A1295" s="1108" t="s">
        <v>59905</v>
      </c>
      <c r="B1295" s="1108" t="s">
        <v>59904</v>
      </c>
      <c r="C1295" s="1108">
        <v>1562</v>
      </c>
      <c r="GJ1295" s="1108" t="s">
        <v>58710</v>
      </c>
      <c r="GK1295" s="1108" t="s">
        <v>58709</v>
      </c>
    </row>
    <row r="1296" spans="1:193">
      <c r="A1296" s="1108" t="s">
        <v>59903</v>
      </c>
      <c r="B1296" s="1108" t="s">
        <v>59902</v>
      </c>
      <c r="C1296" s="1108">
        <v>495</v>
      </c>
      <c r="GJ1296" s="1108" t="s">
        <v>58710</v>
      </c>
      <c r="GK1296" s="1108" t="s">
        <v>58709</v>
      </c>
    </row>
    <row r="1297" spans="1:193">
      <c r="A1297" s="1108" t="s">
        <v>59901</v>
      </c>
      <c r="B1297" s="1108" t="s">
        <v>59900</v>
      </c>
      <c r="C1297" s="1108">
        <v>656</v>
      </c>
      <c r="GJ1297" s="1108" t="s">
        <v>58710</v>
      </c>
      <c r="GK1297" s="1108" t="s">
        <v>58709</v>
      </c>
    </row>
    <row r="1298" spans="1:193">
      <c r="A1298" s="1108" t="s">
        <v>59899</v>
      </c>
      <c r="B1298" s="1108" t="s">
        <v>59898</v>
      </c>
      <c r="C1298" s="1108">
        <v>759</v>
      </c>
      <c r="GJ1298" s="1108" t="s">
        <v>58710</v>
      </c>
      <c r="GK1298" s="1108" t="s">
        <v>58709</v>
      </c>
    </row>
    <row r="1299" spans="1:193">
      <c r="A1299" s="1108" t="s">
        <v>59897</v>
      </c>
      <c r="B1299" s="1108" t="s">
        <v>59896</v>
      </c>
      <c r="C1299" s="1108">
        <v>921</v>
      </c>
      <c r="GJ1299" s="1108" t="s">
        <v>58710</v>
      </c>
      <c r="GK1299" s="1108" t="s">
        <v>58709</v>
      </c>
    </row>
    <row r="1300" spans="1:193">
      <c r="A1300" s="1108" t="s">
        <v>59895</v>
      </c>
      <c r="B1300" s="1108" t="s">
        <v>59894</v>
      </c>
      <c r="C1300" s="1108">
        <v>759</v>
      </c>
      <c r="GJ1300" s="1108" t="s">
        <v>58710</v>
      </c>
      <c r="GK1300" s="1108" t="s">
        <v>58709</v>
      </c>
    </row>
    <row r="1301" spans="1:193">
      <c r="A1301" s="1108" t="s">
        <v>59893</v>
      </c>
      <c r="B1301" s="1108" t="s">
        <v>59892</v>
      </c>
      <c r="C1301" s="1108">
        <v>921</v>
      </c>
      <c r="GJ1301" s="1108" t="s">
        <v>58710</v>
      </c>
      <c r="GK1301" s="1108" t="s">
        <v>58709</v>
      </c>
    </row>
    <row r="1302" spans="1:193">
      <c r="A1302" s="1108" t="s">
        <v>59891</v>
      </c>
      <c r="B1302" s="1108" t="s">
        <v>59890</v>
      </c>
      <c r="C1302" s="1108">
        <v>702</v>
      </c>
      <c r="GJ1302" s="1108" t="s">
        <v>58710</v>
      </c>
      <c r="GK1302" s="1108" t="s">
        <v>58709</v>
      </c>
    </row>
    <row r="1303" spans="1:193">
      <c r="A1303" s="1108" t="s">
        <v>59889</v>
      </c>
      <c r="B1303" s="1108" t="s">
        <v>59888</v>
      </c>
      <c r="C1303" s="1108">
        <v>373</v>
      </c>
      <c r="GJ1303" s="1108" t="s">
        <v>58710</v>
      </c>
      <c r="GK1303" s="1108" t="s">
        <v>58709</v>
      </c>
    </row>
    <row r="1304" spans="1:193">
      <c r="A1304" s="1108" t="s">
        <v>59887</v>
      </c>
      <c r="B1304" s="1108" t="s">
        <v>59886</v>
      </c>
      <c r="C1304" s="1108">
        <v>373</v>
      </c>
      <c r="GJ1304" s="1108" t="s">
        <v>58710</v>
      </c>
      <c r="GK1304" s="1108" t="s">
        <v>58709</v>
      </c>
    </row>
    <row r="1305" spans="1:193">
      <c r="A1305" s="1108" t="s">
        <v>59885</v>
      </c>
      <c r="B1305" s="1108" t="s">
        <v>59884</v>
      </c>
      <c r="C1305" s="1108">
        <v>566</v>
      </c>
      <c r="GJ1305" s="1108" t="s">
        <v>58710</v>
      </c>
      <c r="GK1305" s="1108" t="s">
        <v>58709</v>
      </c>
    </row>
    <row r="1306" spans="1:193">
      <c r="A1306" s="1108" t="s">
        <v>59883</v>
      </c>
      <c r="B1306" s="1108" t="s">
        <v>59882</v>
      </c>
      <c r="C1306" s="1108">
        <v>553</v>
      </c>
      <c r="GJ1306" s="1108" t="s">
        <v>58710</v>
      </c>
      <c r="GK1306" s="1108" t="s">
        <v>58709</v>
      </c>
    </row>
    <row r="1307" spans="1:193">
      <c r="A1307" s="1108" t="s">
        <v>59881</v>
      </c>
      <c r="B1307" s="1108" t="s">
        <v>59880</v>
      </c>
      <c r="C1307" s="1108">
        <v>751</v>
      </c>
      <c r="GJ1307" s="1108" t="s">
        <v>58710</v>
      </c>
      <c r="GK1307" s="1108" t="s">
        <v>58709</v>
      </c>
    </row>
    <row r="1308" spans="1:193">
      <c r="A1308" s="1108" t="s">
        <v>59879</v>
      </c>
      <c r="B1308" s="1108" t="s">
        <v>59878</v>
      </c>
      <c r="C1308" s="1108">
        <v>817</v>
      </c>
      <c r="GJ1308" s="1108" t="s">
        <v>58710</v>
      </c>
      <c r="GK1308" s="1108" t="s">
        <v>58709</v>
      </c>
    </row>
    <row r="1309" spans="1:193">
      <c r="A1309" s="1108" t="s">
        <v>59877</v>
      </c>
      <c r="B1309" s="1108" t="s">
        <v>59876</v>
      </c>
      <c r="C1309" s="1108">
        <v>751</v>
      </c>
      <c r="GJ1309" s="1108" t="s">
        <v>58710</v>
      </c>
      <c r="GK1309" s="1108" t="s">
        <v>58709</v>
      </c>
    </row>
    <row r="1310" spans="1:193">
      <c r="A1310" s="1108" t="s">
        <v>59875</v>
      </c>
      <c r="B1310" s="1108" t="s">
        <v>59874</v>
      </c>
      <c r="C1310" s="1108">
        <v>817</v>
      </c>
      <c r="GJ1310" s="1108" t="s">
        <v>58710</v>
      </c>
      <c r="GK1310" s="1108" t="s">
        <v>58709</v>
      </c>
    </row>
    <row r="1311" spans="1:193">
      <c r="A1311" s="1108" t="s">
        <v>59873</v>
      </c>
      <c r="B1311" s="1108" t="s">
        <v>59872</v>
      </c>
      <c r="C1311" s="1108">
        <v>449</v>
      </c>
      <c r="GJ1311" s="1108" t="s">
        <v>58710</v>
      </c>
      <c r="GK1311" s="1108" t="s">
        <v>58709</v>
      </c>
    </row>
    <row r="1312" spans="1:193">
      <c r="A1312" s="1108" t="s">
        <v>59871</v>
      </c>
      <c r="B1312" s="1108" t="s">
        <v>59870</v>
      </c>
      <c r="C1312" s="1108">
        <v>506</v>
      </c>
      <c r="GJ1312" s="1108" t="s">
        <v>58710</v>
      </c>
      <c r="GK1312" s="1108" t="s">
        <v>58709</v>
      </c>
    </row>
    <row r="1313" spans="1:193">
      <c r="A1313" s="1108" t="s">
        <v>59869</v>
      </c>
      <c r="B1313" s="1108" t="s">
        <v>59868</v>
      </c>
      <c r="C1313" s="1108">
        <v>695</v>
      </c>
      <c r="GJ1313" s="1108" t="s">
        <v>58710</v>
      </c>
      <c r="GK1313" s="1108" t="s">
        <v>58709</v>
      </c>
    </row>
    <row r="1314" spans="1:193">
      <c r="A1314" s="1108" t="s">
        <v>59867</v>
      </c>
      <c r="B1314" s="1108" t="s">
        <v>59866</v>
      </c>
      <c r="C1314" s="1108">
        <v>761</v>
      </c>
      <c r="GJ1314" s="1108" t="s">
        <v>58710</v>
      </c>
      <c r="GK1314" s="1108" t="s">
        <v>58709</v>
      </c>
    </row>
    <row r="1315" spans="1:193">
      <c r="A1315" s="1108" t="s">
        <v>59865</v>
      </c>
      <c r="B1315" s="1108" t="s">
        <v>59864</v>
      </c>
      <c r="C1315" s="1108">
        <v>695</v>
      </c>
      <c r="GJ1315" s="1108" t="s">
        <v>58710</v>
      </c>
      <c r="GK1315" s="1108" t="s">
        <v>58709</v>
      </c>
    </row>
    <row r="1316" spans="1:193">
      <c r="A1316" s="1108" t="s">
        <v>59863</v>
      </c>
      <c r="B1316" s="1108" t="s">
        <v>59862</v>
      </c>
      <c r="C1316" s="1108">
        <v>761</v>
      </c>
      <c r="GJ1316" s="1108" t="s">
        <v>58710</v>
      </c>
      <c r="GK1316" s="1108" t="s">
        <v>58709</v>
      </c>
    </row>
    <row r="1317" spans="1:193">
      <c r="A1317" s="1108" t="s">
        <v>59861</v>
      </c>
      <c r="B1317" s="1108" t="s">
        <v>59860</v>
      </c>
      <c r="C1317" s="1108">
        <v>63</v>
      </c>
      <c r="GJ1317" s="1108" t="s">
        <v>58710</v>
      </c>
      <c r="GK1317" s="1108" t="s">
        <v>58709</v>
      </c>
    </row>
    <row r="1318" spans="1:193">
      <c r="A1318" s="1108" t="s">
        <v>59859</v>
      </c>
      <c r="B1318" s="1108" t="s">
        <v>59858</v>
      </c>
      <c r="C1318" s="1108">
        <v>66</v>
      </c>
      <c r="GJ1318" s="1108" t="s">
        <v>58710</v>
      </c>
      <c r="GK1318" s="1108" t="s">
        <v>58709</v>
      </c>
    </row>
    <row r="1319" spans="1:193">
      <c r="A1319" s="1108" t="s">
        <v>59857</v>
      </c>
      <c r="B1319" s="1108" t="s">
        <v>59856</v>
      </c>
      <c r="C1319" s="1108">
        <v>117</v>
      </c>
      <c r="GJ1319" s="1108" t="s">
        <v>58710</v>
      </c>
      <c r="GK1319" s="1108" t="s">
        <v>58709</v>
      </c>
    </row>
    <row r="1320" spans="1:193">
      <c r="A1320" s="1108" t="s">
        <v>59855</v>
      </c>
      <c r="B1320" s="1108" t="s">
        <v>59854</v>
      </c>
      <c r="C1320" s="1108">
        <v>130</v>
      </c>
      <c r="GJ1320" s="1108" t="s">
        <v>58710</v>
      </c>
      <c r="GK1320" s="1108" t="s">
        <v>58709</v>
      </c>
    </row>
    <row r="1321" spans="1:193">
      <c r="A1321" s="1108" t="s">
        <v>59853</v>
      </c>
      <c r="B1321" s="1108" t="s">
        <v>59852</v>
      </c>
      <c r="C1321" s="1108">
        <v>83</v>
      </c>
      <c r="GJ1321" s="1108" t="s">
        <v>58710</v>
      </c>
      <c r="GK1321" s="1108" t="s">
        <v>58709</v>
      </c>
    </row>
    <row r="1322" spans="1:193">
      <c r="A1322" s="1108" t="s">
        <v>59851</v>
      </c>
      <c r="B1322" s="1108" t="s">
        <v>59850</v>
      </c>
      <c r="C1322" s="1108">
        <v>117</v>
      </c>
      <c r="GJ1322" s="1108" t="s">
        <v>58710</v>
      </c>
      <c r="GK1322" s="1108" t="s">
        <v>58709</v>
      </c>
    </row>
    <row r="1323" spans="1:193">
      <c r="A1323" s="1108" t="s">
        <v>59849</v>
      </c>
      <c r="B1323" s="1108" t="s">
        <v>59848</v>
      </c>
      <c r="C1323" s="1108">
        <v>117</v>
      </c>
      <c r="GJ1323" s="1108" t="s">
        <v>58710</v>
      </c>
      <c r="GK1323" s="1108" t="s">
        <v>58709</v>
      </c>
    </row>
    <row r="1324" spans="1:193">
      <c r="A1324" s="1108" t="s">
        <v>59847</v>
      </c>
      <c r="B1324" s="1108" t="s">
        <v>59846</v>
      </c>
      <c r="C1324" s="1108">
        <v>254</v>
      </c>
      <c r="GJ1324" s="1108" t="s">
        <v>58710</v>
      </c>
      <c r="GK1324" s="1108" t="s">
        <v>58709</v>
      </c>
    </row>
    <row r="1325" spans="1:193">
      <c r="A1325" s="1108" t="s">
        <v>59845</v>
      </c>
      <c r="B1325" s="1108" t="s">
        <v>59844</v>
      </c>
      <c r="C1325" s="1108">
        <v>254</v>
      </c>
      <c r="GJ1325" s="1108" t="s">
        <v>58710</v>
      </c>
      <c r="GK1325" s="1108" t="s">
        <v>58709</v>
      </c>
    </row>
    <row r="1326" spans="1:193">
      <c r="A1326" s="1108" t="s">
        <v>59843</v>
      </c>
      <c r="B1326" s="1108" t="s">
        <v>59842</v>
      </c>
      <c r="C1326" s="1108">
        <v>287</v>
      </c>
      <c r="GJ1326" s="1108" t="s">
        <v>58710</v>
      </c>
      <c r="GK1326" s="1108" t="s">
        <v>58709</v>
      </c>
    </row>
    <row r="1327" spans="1:193">
      <c r="A1327" s="1108" t="s">
        <v>59841</v>
      </c>
      <c r="B1327" s="1108" t="s">
        <v>59840</v>
      </c>
      <c r="C1327" s="1108">
        <v>320</v>
      </c>
      <c r="GJ1327" s="1108" t="s">
        <v>58710</v>
      </c>
      <c r="GK1327" s="1108" t="s">
        <v>58709</v>
      </c>
    </row>
    <row r="1328" spans="1:193">
      <c r="A1328" s="1108" t="s">
        <v>59839</v>
      </c>
      <c r="B1328" s="1108" t="s">
        <v>59838</v>
      </c>
      <c r="C1328" s="1108">
        <v>320</v>
      </c>
      <c r="GJ1328" s="1108" t="s">
        <v>58710</v>
      </c>
      <c r="GK1328" s="1108" t="s">
        <v>58709</v>
      </c>
    </row>
    <row r="1329" spans="1:193">
      <c r="A1329" s="1108" t="s">
        <v>59837</v>
      </c>
      <c r="B1329" s="1108" t="s">
        <v>59836</v>
      </c>
      <c r="C1329" s="1108">
        <v>411</v>
      </c>
      <c r="GJ1329" s="1108" t="s">
        <v>58710</v>
      </c>
      <c r="GK1329" s="1108" t="s">
        <v>58709</v>
      </c>
    </row>
    <row r="1330" spans="1:193">
      <c r="A1330" s="1108" t="s">
        <v>59835</v>
      </c>
      <c r="B1330" s="1108" t="s">
        <v>59834</v>
      </c>
      <c r="C1330" s="1108">
        <v>562</v>
      </c>
      <c r="GJ1330" s="1108" t="s">
        <v>58710</v>
      </c>
      <c r="GK1330" s="1108" t="s">
        <v>58709</v>
      </c>
    </row>
    <row r="1331" spans="1:193">
      <c r="A1331" s="1108" t="s">
        <v>59833</v>
      </c>
      <c r="B1331" s="1108" t="s">
        <v>59832</v>
      </c>
      <c r="C1331" s="1108">
        <v>539</v>
      </c>
      <c r="GJ1331" s="1108" t="s">
        <v>58710</v>
      </c>
      <c r="GK1331" s="1108" t="s">
        <v>58709</v>
      </c>
    </row>
    <row r="1332" spans="1:193">
      <c r="A1332" s="1108" t="s">
        <v>59831</v>
      </c>
      <c r="B1332" s="1108" t="s">
        <v>59830</v>
      </c>
      <c r="C1332" s="1108">
        <v>647</v>
      </c>
      <c r="GJ1332" s="1108" t="s">
        <v>58710</v>
      </c>
      <c r="GK1332" s="1108" t="s">
        <v>58709</v>
      </c>
    </row>
    <row r="1333" spans="1:193">
      <c r="A1333" s="1108" t="s">
        <v>59829</v>
      </c>
      <c r="B1333" s="1108" t="s">
        <v>59828</v>
      </c>
      <c r="C1333" s="1108">
        <v>22</v>
      </c>
      <c r="GJ1333" s="1108" t="s">
        <v>58710</v>
      </c>
      <c r="GK1333" s="1108" t="s">
        <v>58709</v>
      </c>
    </row>
    <row r="1334" spans="1:193">
      <c r="A1334" s="1108" t="s">
        <v>59827</v>
      </c>
      <c r="B1334" s="1108" t="s">
        <v>59826</v>
      </c>
      <c r="C1334" s="1108">
        <v>13</v>
      </c>
      <c r="GJ1334" s="1108" t="s">
        <v>58710</v>
      </c>
      <c r="GK1334" s="1108" t="s">
        <v>58709</v>
      </c>
    </row>
    <row r="1335" spans="1:193">
      <c r="A1335" s="1108" t="s">
        <v>59825</v>
      </c>
      <c r="B1335" s="1108" t="s">
        <v>59824</v>
      </c>
      <c r="C1335" s="1108">
        <v>35</v>
      </c>
      <c r="GJ1335" s="1108" t="s">
        <v>58710</v>
      </c>
      <c r="GK1335" s="1108" t="s">
        <v>58709</v>
      </c>
    </row>
    <row r="1336" spans="1:193">
      <c r="A1336" s="1108" t="s">
        <v>59823</v>
      </c>
      <c r="B1336" s="1108" t="s">
        <v>59822</v>
      </c>
      <c r="C1336" s="1108">
        <v>289</v>
      </c>
      <c r="GJ1336" s="1108" t="s">
        <v>58710</v>
      </c>
      <c r="GK1336" s="1108" t="s">
        <v>58709</v>
      </c>
    </row>
    <row r="1337" spans="1:193">
      <c r="A1337" s="1108" t="s">
        <v>59821</v>
      </c>
      <c r="B1337" s="1108" t="s">
        <v>59820</v>
      </c>
      <c r="C1337" s="1108">
        <v>125</v>
      </c>
      <c r="GJ1337" s="1108" t="s">
        <v>58710</v>
      </c>
      <c r="GK1337" s="1108" t="s">
        <v>58709</v>
      </c>
    </row>
    <row r="1338" spans="1:193">
      <c r="A1338" s="1108" t="s">
        <v>59819</v>
      </c>
      <c r="B1338" s="1108" t="s">
        <v>59818</v>
      </c>
      <c r="C1338" s="1108">
        <v>334</v>
      </c>
      <c r="GJ1338" s="1108" t="s">
        <v>58710</v>
      </c>
      <c r="GK1338" s="1108" t="s">
        <v>58709</v>
      </c>
    </row>
    <row r="1339" spans="1:193">
      <c r="A1339" s="1108" t="s">
        <v>59817</v>
      </c>
      <c r="B1339" s="1108" t="s">
        <v>59816</v>
      </c>
      <c r="C1339" s="1108">
        <v>334</v>
      </c>
      <c r="GJ1339" s="1108" t="s">
        <v>58710</v>
      </c>
      <c r="GK1339" s="1108" t="s">
        <v>58709</v>
      </c>
    </row>
    <row r="1340" spans="1:193">
      <c r="A1340" s="1108" t="s">
        <v>59815</v>
      </c>
      <c r="B1340" s="1108" t="s">
        <v>59814</v>
      </c>
      <c r="C1340" s="1108">
        <v>369</v>
      </c>
      <c r="GJ1340" s="1108" t="s">
        <v>58710</v>
      </c>
      <c r="GK1340" s="1108" t="s">
        <v>58709</v>
      </c>
    </row>
    <row r="1341" spans="1:193">
      <c r="A1341" s="1108" t="s">
        <v>59813</v>
      </c>
      <c r="B1341" s="1108" t="s">
        <v>59812</v>
      </c>
      <c r="C1341" s="1108">
        <v>178</v>
      </c>
      <c r="GJ1341" s="1108" t="s">
        <v>58710</v>
      </c>
      <c r="GK1341" s="1108" t="s">
        <v>58709</v>
      </c>
    </row>
    <row r="1342" spans="1:193">
      <c r="A1342" s="1108" t="s">
        <v>59811</v>
      </c>
      <c r="B1342" s="1108" t="s">
        <v>59810</v>
      </c>
      <c r="C1342" s="1108">
        <v>369</v>
      </c>
      <c r="GJ1342" s="1108" t="s">
        <v>58710</v>
      </c>
      <c r="GK1342" s="1108" t="s">
        <v>58709</v>
      </c>
    </row>
    <row r="1343" spans="1:193">
      <c r="A1343" s="1108" t="s">
        <v>59809</v>
      </c>
      <c r="B1343" s="1108" t="s">
        <v>59808</v>
      </c>
      <c r="C1343" s="1108">
        <v>25</v>
      </c>
      <c r="GJ1343" s="1108" t="s">
        <v>58710</v>
      </c>
      <c r="GK1343" s="1108" t="s">
        <v>58709</v>
      </c>
    </row>
    <row r="1344" spans="1:193">
      <c r="A1344" s="1108" t="s">
        <v>59807</v>
      </c>
      <c r="B1344" s="1108" t="s">
        <v>59806</v>
      </c>
      <c r="C1344" s="1108">
        <v>493</v>
      </c>
      <c r="GJ1344" s="1108" t="s">
        <v>58710</v>
      </c>
      <c r="GK1344" s="1108" t="s">
        <v>58709</v>
      </c>
    </row>
    <row r="1345" spans="1:193">
      <c r="A1345" s="1108" t="s">
        <v>59805</v>
      </c>
      <c r="B1345" s="1108" t="s">
        <v>59804</v>
      </c>
      <c r="C1345" s="1108">
        <v>693</v>
      </c>
      <c r="GJ1345" s="1108" t="s">
        <v>58710</v>
      </c>
      <c r="GK1345" s="1108" t="s">
        <v>58709</v>
      </c>
    </row>
    <row r="1346" spans="1:193">
      <c r="A1346" s="1108" t="s">
        <v>59803</v>
      </c>
      <c r="B1346" s="1108" t="s">
        <v>59802</v>
      </c>
      <c r="C1346" s="1108">
        <v>670</v>
      </c>
      <c r="GJ1346" s="1108" t="s">
        <v>58710</v>
      </c>
      <c r="GK1346" s="1108" t="s">
        <v>58709</v>
      </c>
    </row>
    <row r="1347" spans="1:193">
      <c r="A1347" s="1108" t="s">
        <v>59801</v>
      </c>
      <c r="B1347" s="1108" t="s">
        <v>59800</v>
      </c>
      <c r="C1347" s="1108">
        <v>778</v>
      </c>
      <c r="GJ1347" s="1108" t="s">
        <v>58710</v>
      </c>
      <c r="GK1347" s="1108" t="s">
        <v>58709</v>
      </c>
    </row>
    <row r="1348" spans="1:193">
      <c r="A1348" s="1108" t="s">
        <v>59799</v>
      </c>
      <c r="B1348" s="1108" t="s">
        <v>59798</v>
      </c>
      <c r="C1348" s="1108">
        <v>701</v>
      </c>
      <c r="GJ1348" s="1108" t="s">
        <v>58710</v>
      </c>
      <c r="GK1348" s="1108" t="s">
        <v>58709</v>
      </c>
    </row>
    <row r="1349" spans="1:193">
      <c r="A1349" s="1108" t="s">
        <v>59797</v>
      </c>
      <c r="B1349" s="1108" t="s">
        <v>59796</v>
      </c>
      <c r="C1349" s="1108">
        <v>678</v>
      </c>
      <c r="GJ1349" s="1108" t="s">
        <v>58710</v>
      </c>
      <c r="GK1349" s="1108" t="s">
        <v>58709</v>
      </c>
    </row>
    <row r="1350" spans="1:193">
      <c r="A1350" s="1108" t="s">
        <v>59795</v>
      </c>
      <c r="B1350" s="1108" t="s">
        <v>59794</v>
      </c>
      <c r="C1350" s="1108">
        <v>789</v>
      </c>
      <c r="GJ1350" s="1108" t="s">
        <v>58710</v>
      </c>
      <c r="GK1350" s="1108" t="s">
        <v>58709</v>
      </c>
    </row>
    <row r="1351" spans="1:193">
      <c r="A1351" s="1108" t="s">
        <v>59793</v>
      </c>
      <c r="B1351" s="1108" t="s">
        <v>59792</v>
      </c>
      <c r="C1351" s="1108">
        <v>359</v>
      </c>
      <c r="GJ1351" s="1108" t="s">
        <v>58710</v>
      </c>
      <c r="GK1351" s="1108" t="s">
        <v>58709</v>
      </c>
    </row>
    <row r="1352" spans="1:193">
      <c r="A1352" s="1108" t="s">
        <v>59791</v>
      </c>
      <c r="B1352" s="1108" t="s">
        <v>59790</v>
      </c>
      <c r="C1352" s="1108">
        <v>533</v>
      </c>
      <c r="GJ1352" s="1108" t="s">
        <v>58710</v>
      </c>
      <c r="GK1352" s="1108" t="s">
        <v>58709</v>
      </c>
    </row>
    <row r="1353" spans="1:193">
      <c r="A1353" s="1108" t="s">
        <v>59789</v>
      </c>
      <c r="B1353" s="1108" t="s">
        <v>59788</v>
      </c>
      <c r="C1353" s="1108">
        <v>604</v>
      </c>
      <c r="GJ1353" s="1108" t="s">
        <v>58710</v>
      </c>
      <c r="GK1353" s="1108" t="s">
        <v>58709</v>
      </c>
    </row>
    <row r="1354" spans="1:193">
      <c r="A1354" s="1108" t="s">
        <v>59787</v>
      </c>
      <c r="B1354" s="1108" t="s">
        <v>59786</v>
      </c>
      <c r="C1354" s="1108">
        <v>155</v>
      </c>
      <c r="GJ1354" s="1108" t="s">
        <v>58710</v>
      </c>
      <c r="GK1354" s="1108" t="s">
        <v>58709</v>
      </c>
    </row>
    <row r="1355" spans="1:193">
      <c r="A1355" s="1108" t="s">
        <v>59785</v>
      </c>
      <c r="B1355" s="1108" t="s">
        <v>59784</v>
      </c>
      <c r="C1355" s="1108">
        <v>155</v>
      </c>
      <c r="GJ1355" s="1108" t="s">
        <v>58710</v>
      </c>
      <c r="GK1355" s="1108" t="s">
        <v>58709</v>
      </c>
    </row>
    <row r="1356" spans="1:193">
      <c r="A1356" s="1108" t="s">
        <v>59783</v>
      </c>
      <c r="B1356" s="1108" t="s">
        <v>59782</v>
      </c>
      <c r="C1356" s="1108">
        <v>155</v>
      </c>
      <c r="GJ1356" s="1108" t="s">
        <v>58710</v>
      </c>
      <c r="GK1356" s="1108" t="s">
        <v>58709</v>
      </c>
    </row>
    <row r="1357" spans="1:193">
      <c r="A1357" s="1108" t="s">
        <v>59781</v>
      </c>
      <c r="B1357" s="1108" t="s">
        <v>59780</v>
      </c>
      <c r="C1357" s="1108">
        <v>155</v>
      </c>
      <c r="GJ1357" s="1108" t="s">
        <v>58710</v>
      </c>
      <c r="GK1357" s="1108" t="s">
        <v>58709</v>
      </c>
    </row>
    <row r="1358" spans="1:193">
      <c r="A1358" s="1108" t="s">
        <v>59779</v>
      </c>
      <c r="B1358" s="1108" t="s">
        <v>59778</v>
      </c>
      <c r="C1358" s="1108">
        <v>155</v>
      </c>
      <c r="GJ1358" s="1108" t="s">
        <v>58710</v>
      </c>
      <c r="GK1358" s="1108" t="s">
        <v>58709</v>
      </c>
    </row>
    <row r="1359" spans="1:193">
      <c r="A1359" s="1108" t="s">
        <v>59777</v>
      </c>
      <c r="B1359" s="1108" t="s">
        <v>59776</v>
      </c>
      <c r="C1359" s="1108">
        <v>175</v>
      </c>
      <c r="GJ1359" s="1108" t="s">
        <v>58710</v>
      </c>
      <c r="GK1359" s="1108" t="s">
        <v>58709</v>
      </c>
    </row>
    <row r="1360" spans="1:193">
      <c r="A1360" s="1108" t="s">
        <v>59775</v>
      </c>
      <c r="B1360" s="1108" t="s">
        <v>59774</v>
      </c>
      <c r="C1360" s="1108">
        <v>175</v>
      </c>
      <c r="GJ1360" s="1108" t="s">
        <v>58710</v>
      </c>
      <c r="GK1360" s="1108" t="s">
        <v>58709</v>
      </c>
    </row>
    <row r="1361" spans="1:193">
      <c r="A1361" s="1108" t="s">
        <v>59773</v>
      </c>
      <c r="B1361" s="1108" t="s">
        <v>59772</v>
      </c>
      <c r="C1361" s="1108">
        <v>175</v>
      </c>
      <c r="GJ1361" s="1108" t="s">
        <v>58710</v>
      </c>
      <c r="GK1361" s="1108" t="s">
        <v>58709</v>
      </c>
    </row>
    <row r="1362" spans="1:193">
      <c r="A1362" s="1108" t="s">
        <v>59771</v>
      </c>
      <c r="B1362" s="1108" t="s">
        <v>59770</v>
      </c>
      <c r="C1362" s="1108">
        <v>175</v>
      </c>
      <c r="GJ1362" s="1108" t="s">
        <v>58710</v>
      </c>
      <c r="GK1362" s="1108" t="s">
        <v>58709</v>
      </c>
    </row>
    <row r="1363" spans="1:193">
      <c r="A1363" s="1108" t="s">
        <v>59769</v>
      </c>
      <c r="B1363" s="1108" t="s">
        <v>59768</v>
      </c>
      <c r="C1363" s="1108">
        <v>175</v>
      </c>
      <c r="GJ1363" s="1108" t="s">
        <v>58710</v>
      </c>
      <c r="GK1363" s="1108" t="s">
        <v>58709</v>
      </c>
    </row>
    <row r="1364" spans="1:193">
      <c r="A1364" s="1108" t="s">
        <v>59767</v>
      </c>
      <c r="B1364" s="1108" t="s">
        <v>59766</v>
      </c>
      <c r="C1364" s="1108">
        <v>175</v>
      </c>
      <c r="GJ1364" s="1108" t="s">
        <v>58710</v>
      </c>
      <c r="GK1364" s="1108" t="s">
        <v>58709</v>
      </c>
    </row>
    <row r="1365" spans="1:193">
      <c r="A1365" s="1108" t="s">
        <v>59765</v>
      </c>
      <c r="B1365" s="1108" t="s">
        <v>59764</v>
      </c>
      <c r="C1365" s="1108">
        <v>29</v>
      </c>
      <c r="GJ1365" s="1108" t="s">
        <v>58710</v>
      </c>
      <c r="GK1365" s="1108" t="s">
        <v>58709</v>
      </c>
    </row>
    <row r="1366" spans="1:193">
      <c r="A1366" s="1108" t="s">
        <v>59763</v>
      </c>
      <c r="B1366" s="1108" t="s">
        <v>59762</v>
      </c>
      <c r="C1366" s="1108">
        <v>38</v>
      </c>
      <c r="GJ1366" s="1108" t="s">
        <v>58710</v>
      </c>
      <c r="GK1366" s="1108" t="s">
        <v>58709</v>
      </c>
    </row>
    <row r="1367" spans="1:193">
      <c r="A1367" s="1108" t="s">
        <v>59761</v>
      </c>
      <c r="B1367" s="1108" t="s">
        <v>59760</v>
      </c>
      <c r="C1367" s="1108">
        <v>115</v>
      </c>
      <c r="GJ1367" s="1108" t="s">
        <v>58710</v>
      </c>
      <c r="GK1367" s="1108" t="s">
        <v>58709</v>
      </c>
    </row>
    <row r="1368" spans="1:193">
      <c r="A1368" s="1108" t="s">
        <v>59759</v>
      </c>
      <c r="B1368" s="1108" t="s">
        <v>59758</v>
      </c>
      <c r="C1368" s="1108">
        <v>115</v>
      </c>
      <c r="GJ1368" s="1108" t="s">
        <v>58710</v>
      </c>
      <c r="GK1368" s="1108" t="s">
        <v>58709</v>
      </c>
    </row>
    <row r="1369" spans="1:193">
      <c r="A1369" s="1108" t="s">
        <v>59757</v>
      </c>
      <c r="B1369" s="1108" t="s">
        <v>59756</v>
      </c>
      <c r="C1369" s="1108">
        <v>69</v>
      </c>
      <c r="GJ1369" s="1108" t="s">
        <v>58710</v>
      </c>
      <c r="GK1369" s="1108" t="s">
        <v>58709</v>
      </c>
    </row>
    <row r="1370" spans="1:193">
      <c r="A1370" s="1108" t="s">
        <v>59755</v>
      </c>
      <c r="B1370" s="1108" t="s">
        <v>59754</v>
      </c>
      <c r="C1370" s="1108">
        <v>46</v>
      </c>
      <c r="GJ1370" s="1108" t="s">
        <v>58710</v>
      </c>
      <c r="GK1370" s="1108" t="s">
        <v>58709</v>
      </c>
    </row>
    <row r="1371" spans="1:193">
      <c r="A1371" s="1108" t="s">
        <v>59753</v>
      </c>
      <c r="B1371" s="1108" t="s">
        <v>59752</v>
      </c>
      <c r="C1371" s="1108">
        <v>46</v>
      </c>
      <c r="GJ1371" s="1108" t="s">
        <v>58710</v>
      </c>
      <c r="GK1371" s="1108" t="s">
        <v>58709</v>
      </c>
    </row>
    <row r="1372" spans="1:193">
      <c r="A1372" s="1108" t="s">
        <v>59751</v>
      </c>
      <c r="B1372" s="1108" t="s">
        <v>59750</v>
      </c>
      <c r="C1372" s="1108">
        <v>41</v>
      </c>
      <c r="GJ1372" s="1108" t="s">
        <v>58710</v>
      </c>
      <c r="GK1372" s="1108" t="s">
        <v>58709</v>
      </c>
    </row>
    <row r="1373" spans="1:193">
      <c r="A1373" s="1108" t="s">
        <v>59749</v>
      </c>
      <c r="B1373" s="1108" t="s">
        <v>59748</v>
      </c>
      <c r="C1373" s="1108">
        <v>126</v>
      </c>
      <c r="GJ1373" s="1108" t="s">
        <v>58710</v>
      </c>
      <c r="GK1373" s="1108" t="s">
        <v>58709</v>
      </c>
    </row>
    <row r="1374" spans="1:193">
      <c r="A1374" s="1108">
        <v>18540</v>
      </c>
      <c r="B1374" s="1108" t="s">
        <v>59747</v>
      </c>
      <c r="C1374" s="1108">
        <v>48</v>
      </c>
      <c r="GJ1374" s="1108" t="s">
        <v>58710</v>
      </c>
      <c r="GK1374" s="1108" t="s">
        <v>58709</v>
      </c>
    </row>
    <row r="1375" spans="1:193">
      <c r="A1375" s="1108" t="s">
        <v>59746</v>
      </c>
      <c r="B1375" s="1108" t="s">
        <v>59745</v>
      </c>
      <c r="C1375" s="1108">
        <v>419</v>
      </c>
      <c r="GJ1375" s="1108" t="s">
        <v>58710</v>
      </c>
      <c r="GK1375" s="1108" t="s">
        <v>58709</v>
      </c>
    </row>
    <row r="1376" spans="1:193">
      <c r="A1376" s="1108" t="s">
        <v>59744</v>
      </c>
      <c r="B1376" s="1108" t="s">
        <v>59743</v>
      </c>
      <c r="C1376" s="1108">
        <v>1710</v>
      </c>
      <c r="GJ1376" s="1108" t="s">
        <v>58710</v>
      </c>
      <c r="GK1376" s="1108" t="s">
        <v>58709</v>
      </c>
    </row>
    <row r="1377" spans="1:193">
      <c r="A1377" s="1108" t="s">
        <v>59742</v>
      </c>
      <c r="B1377" s="1108" t="s">
        <v>59741</v>
      </c>
      <c r="C1377" s="1108">
        <v>1536</v>
      </c>
      <c r="GJ1377" s="1108" t="s">
        <v>58710</v>
      </c>
      <c r="GK1377" s="1108" t="s">
        <v>58709</v>
      </c>
    </row>
    <row r="1378" spans="1:193">
      <c r="A1378" s="1108" t="s">
        <v>59740</v>
      </c>
      <c r="B1378" s="1108" t="s">
        <v>59739</v>
      </c>
      <c r="C1378" s="1108">
        <v>1433</v>
      </c>
      <c r="GJ1378" s="1108" t="s">
        <v>58710</v>
      </c>
      <c r="GK1378" s="1108" t="s">
        <v>58709</v>
      </c>
    </row>
    <row r="1379" spans="1:193">
      <c r="A1379" s="1108" t="s">
        <v>59738</v>
      </c>
      <c r="B1379" s="1108" t="s">
        <v>59737</v>
      </c>
      <c r="C1379" s="1108">
        <v>1259</v>
      </c>
      <c r="GJ1379" s="1108" t="s">
        <v>58710</v>
      </c>
      <c r="GK1379" s="1108" t="s">
        <v>58709</v>
      </c>
    </row>
    <row r="1380" spans="1:193">
      <c r="A1380" s="1108" t="s">
        <v>59736</v>
      </c>
      <c r="B1380" s="1108" t="s">
        <v>59735</v>
      </c>
      <c r="C1380" s="1108">
        <v>1781</v>
      </c>
      <c r="GJ1380" s="1108" t="s">
        <v>58710</v>
      </c>
      <c r="GK1380" s="1108" t="s">
        <v>58709</v>
      </c>
    </row>
    <row r="1381" spans="1:193">
      <c r="A1381" s="1108" t="s">
        <v>59734</v>
      </c>
      <c r="B1381" s="1108" t="s">
        <v>59733</v>
      </c>
      <c r="C1381" s="1108">
        <v>1504</v>
      </c>
      <c r="GJ1381" s="1108" t="s">
        <v>58710</v>
      </c>
      <c r="GK1381" s="1108" t="s">
        <v>58709</v>
      </c>
    </row>
    <row r="1382" spans="1:193">
      <c r="A1382" s="1108" t="s">
        <v>59732</v>
      </c>
      <c r="B1382" s="1108" t="s">
        <v>59731</v>
      </c>
      <c r="C1382" s="1108">
        <v>98</v>
      </c>
      <c r="GJ1382" s="1108" t="s">
        <v>58710</v>
      </c>
      <c r="GK1382" s="1108" t="s">
        <v>58709</v>
      </c>
    </row>
    <row r="1383" spans="1:193">
      <c r="A1383" s="1108" t="s">
        <v>59730</v>
      </c>
      <c r="B1383" s="1108" t="s">
        <v>59729</v>
      </c>
      <c r="C1383" s="1108">
        <v>98</v>
      </c>
      <c r="GJ1383" s="1108" t="s">
        <v>58710</v>
      </c>
      <c r="GK1383" s="1108" t="s">
        <v>58709</v>
      </c>
    </row>
    <row r="1384" spans="1:193">
      <c r="A1384" s="1108" t="s">
        <v>59728</v>
      </c>
      <c r="B1384" s="1108" t="s">
        <v>59727</v>
      </c>
      <c r="C1384" s="1108">
        <v>98</v>
      </c>
      <c r="GJ1384" s="1108" t="s">
        <v>58710</v>
      </c>
      <c r="GK1384" s="1108" t="s">
        <v>58709</v>
      </c>
    </row>
    <row r="1385" spans="1:193">
      <c r="A1385" s="1108" t="s">
        <v>59726</v>
      </c>
      <c r="B1385" s="1108" t="s">
        <v>59725</v>
      </c>
      <c r="C1385" s="1108">
        <v>98</v>
      </c>
      <c r="GJ1385" s="1108" t="s">
        <v>58710</v>
      </c>
      <c r="GK1385" s="1108" t="s">
        <v>58709</v>
      </c>
    </row>
    <row r="1386" spans="1:193">
      <c r="A1386" s="1108" t="s">
        <v>59724</v>
      </c>
      <c r="B1386" s="1108" t="s">
        <v>59723</v>
      </c>
      <c r="C1386" s="1108">
        <v>98</v>
      </c>
      <c r="GJ1386" s="1108" t="s">
        <v>58710</v>
      </c>
      <c r="GK1386" s="1108" t="s">
        <v>58709</v>
      </c>
    </row>
    <row r="1387" spans="1:193">
      <c r="A1387" s="1108" t="s">
        <v>59722</v>
      </c>
      <c r="B1387" s="1108" t="s">
        <v>59721</v>
      </c>
      <c r="C1387" s="1108">
        <v>98</v>
      </c>
      <c r="GJ1387" s="1108" t="s">
        <v>58710</v>
      </c>
      <c r="GK1387" s="1108" t="s">
        <v>58709</v>
      </c>
    </row>
    <row r="1388" spans="1:193">
      <c r="A1388" s="1108" t="s">
        <v>59720</v>
      </c>
      <c r="B1388" s="1108" t="s">
        <v>59719</v>
      </c>
      <c r="C1388" s="1108">
        <v>98</v>
      </c>
      <c r="GJ1388" s="1108" t="s">
        <v>58710</v>
      </c>
      <c r="GK1388" s="1108" t="s">
        <v>58709</v>
      </c>
    </row>
    <row r="1389" spans="1:193">
      <c r="A1389" s="1108" t="s">
        <v>59718</v>
      </c>
      <c r="B1389" s="1108" t="s">
        <v>59698</v>
      </c>
      <c r="C1389" s="1108">
        <v>98</v>
      </c>
      <c r="GJ1389" s="1108" t="s">
        <v>58710</v>
      </c>
      <c r="GK1389" s="1108" t="s">
        <v>58709</v>
      </c>
    </row>
    <row r="1390" spans="1:193">
      <c r="A1390" s="1108" t="s">
        <v>59717</v>
      </c>
      <c r="B1390" s="1108" t="s">
        <v>59696</v>
      </c>
      <c r="C1390" s="1108">
        <v>98</v>
      </c>
      <c r="GJ1390" s="1108" t="s">
        <v>58710</v>
      </c>
      <c r="GK1390" s="1108" t="s">
        <v>58709</v>
      </c>
    </row>
    <row r="1391" spans="1:193">
      <c r="A1391" s="1108" t="s">
        <v>59716</v>
      </c>
      <c r="B1391" s="1108" t="s">
        <v>59694</v>
      </c>
      <c r="C1391" s="1108">
        <v>98</v>
      </c>
      <c r="GJ1391" s="1108" t="s">
        <v>58710</v>
      </c>
      <c r="GK1391" s="1108" t="s">
        <v>58709</v>
      </c>
    </row>
    <row r="1392" spans="1:193">
      <c r="A1392" s="1108" t="s">
        <v>59715</v>
      </c>
      <c r="B1392" s="1108" t="s">
        <v>59714</v>
      </c>
      <c r="C1392" s="1108">
        <v>419</v>
      </c>
      <c r="GJ1392" s="1108" t="s">
        <v>58710</v>
      </c>
      <c r="GK1392" s="1108" t="s">
        <v>58709</v>
      </c>
    </row>
    <row r="1393" spans="1:193">
      <c r="A1393" s="1108" t="s">
        <v>59713</v>
      </c>
      <c r="B1393" s="1108" t="s">
        <v>59712</v>
      </c>
      <c r="C1393" s="1108">
        <v>98</v>
      </c>
      <c r="GJ1393" s="1108" t="s">
        <v>58710</v>
      </c>
      <c r="GK1393" s="1108" t="s">
        <v>58709</v>
      </c>
    </row>
    <row r="1394" spans="1:193">
      <c r="A1394" s="1108" t="s">
        <v>59711</v>
      </c>
      <c r="B1394" s="1108" t="s">
        <v>59710</v>
      </c>
      <c r="C1394" s="1108">
        <v>98</v>
      </c>
      <c r="GJ1394" s="1108" t="s">
        <v>58710</v>
      </c>
      <c r="GK1394" s="1108" t="s">
        <v>58709</v>
      </c>
    </row>
    <row r="1395" spans="1:193">
      <c r="A1395" s="1108" t="s">
        <v>59709</v>
      </c>
      <c r="B1395" s="1108" t="s">
        <v>59708</v>
      </c>
      <c r="C1395" s="1108">
        <v>98</v>
      </c>
      <c r="GJ1395" s="1108" t="s">
        <v>58710</v>
      </c>
      <c r="GK1395" s="1108" t="s">
        <v>58709</v>
      </c>
    </row>
    <row r="1396" spans="1:193">
      <c r="A1396" s="1108" t="s">
        <v>59707</v>
      </c>
      <c r="B1396" s="1108" t="s">
        <v>59706</v>
      </c>
      <c r="C1396" s="1108">
        <v>98</v>
      </c>
      <c r="GJ1396" s="1108" t="s">
        <v>58710</v>
      </c>
      <c r="GK1396" s="1108" t="s">
        <v>58709</v>
      </c>
    </row>
    <row r="1397" spans="1:193">
      <c r="A1397" s="1108" t="s">
        <v>59705</v>
      </c>
      <c r="B1397" s="1108" t="s">
        <v>59704</v>
      </c>
      <c r="C1397" s="1108">
        <v>98</v>
      </c>
      <c r="GJ1397" s="1108" t="s">
        <v>58710</v>
      </c>
      <c r="GK1397" s="1108" t="s">
        <v>58709</v>
      </c>
    </row>
    <row r="1398" spans="1:193">
      <c r="A1398" s="1108" t="s">
        <v>59703</v>
      </c>
      <c r="B1398" s="1108" t="s">
        <v>59702</v>
      </c>
      <c r="C1398" s="1108">
        <v>98</v>
      </c>
      <c r="GJ1398" s="1108" t="s">
        <v>58710</v>
      </c>
      <c r="GK1398" s="1108" t="s">
        <v>58709</v>
      </c>
    </row>
    <row r="1399" spans="1:193">
      <c r="A1399" s="1108" t="s">
        <v>59701</v>
      </c>
      <c r="B1399" s="1108" t="s">
        <v>59700</v>
      </c>
      <c r="C1399" s="1108">
        <v>98</v>
      </c>
      <c r="GJ1399" s="1108" t="s">
        <v>58710</v>
      </c>
      <c r="GK1399" s="1108" t="s">
        <v>58709</v>
      </c>
    </row>
    <row r="1400" spans="1:193">
      <c r="A1400" s="1108" t="s">
        <v>59699</v>
      </c>
      <c r="B1400" s="1108" t="s">
        <v>59698</v>
      </c>
      <c r="C1400" s="1108">
        <v>98</v>
      </c>
      <c r="GJ1400" s="1108" t="s">
        <v>58710</v>
      </c>
      <c r="GK1400" s="1108" t="s">
        <v>58709</v>
      </c>
    </row>
    <row r="1401" spans="1:193">
      <c r="A1401" s="1108" t="s">
        <v>59697</v>
      </c>
      <c r="B1401" s="1108" t="s">
        <v>59696</v>
      </c>
      <c r="C1401" s="1108">
        <v>98</v>
      </c>
      <c r="GJ1401" s="1108" t="s">
        <v>58710</v>
      </c>
      <c r="GK1401" s="1108" t="s">
        <v>58709</v>
      </c>
    </row>
    <row r="1402" spans="1:193">
      <c r="A1402" s="1108" t="s">
        <v>59695</v>
      </c>
      <c r="B1402" s="1108" t="s">
        <v>59694</v>
      </c>
      <c r="C1402" s="1108">
        <v>98</v>
      </c>
      <c r="GJ1402" s="1108" t="s">
        <v>58710</v>
      </c>
      <c r="GK1402" s="1108" t="s">
        <v>58709</v>
      </c>
    </row>
    <row r="1403" spans="1:193">
      <c r="A1403" s="1108" t="s">
        <v>59693</v>
      </c>
      <c r="B1403" s="1108" t="s">
        <v>59692</v>
      </c>
      <c r="C1403" s="1108">
        <v>23</v>
      </c>
      <c r="GJ1403" s="1108" t="s">
        <v>58710</v>
      </c>
      <c r="GK1403" s="1108" t="s">
        <v>58709</v>
      </c>
    </row>
    <row r="1404" spans="1:193">
      <c r="A1404" s="1108" t="s">
        <v>59691</v>
      </c>
      <c r="B1404" s="1108" t="s">
        <v>59690</v>
      </c>
      <c r="C1404" s="1108">
        <v>23</v>
      </c>
      <c r="GJ1404" s="1108" t="s">
        <v>58710</v>
      </c>
      <c r="GK1404" s="1108" t="s">
        <v>58709</v>
      </c>
    </row>
    <row r="1405" spans="1:193">
      <c r="A1405" s="1108" t="s">
        <v>59689</v>
      </c>
      <c r="B1405" s="1108" t="s">
        <v>59688</v>
      </c>
      <c r="C1405" s="1108">
        <v>23</v>
      </c>
      <c r="GJ1405" s="1108" t="s">
        <v>58710</v>
      </c>
      <c r="GK1405" s="1108" t="s">
        <v>58709</v>
      </c>
    </row>
    <row r="1406" spans="1:193">
      <c r="A1406" s="1108" t="s">
        <v>59687</v>
      </c>
      <c r="B1406" s="1108" t="s">
        <v>59686</v>
      </c>
      <c r="C1406" s="1108">
        <v>23</v>
      </c>
      <c r="GJ1406" s="1108" t="s">
        <v>58710</v>
      </c>
      <c r="GK1406" s="1108" t="s">
        <v>58709</v>
      </c>
    </row>
    <row r="1407" spans="1:193">
      <c r="A1407" s="1108" t="s">
        <v>59685</v>
      </c>
      <c r="B1407" s="1108" t="s">
        <v>59684</v>
      </c>
      <c r="C1407" s="1108">
        <v>23</v>
      </c>
      <c r="GJ1407" s="1108" t="s">
        <v>58710</v>
      </c>
      <c r="GK1407" s="1108" t="s">
        <v>58709</v>
      </c>
    </row>
    <row r="1408" spans="1:193">
      <c r="A1408" s="1108" t="s">
        <v>59683</v>
      </c>
      <c r="B1408" s="1108" t="s">
        <v>59682</v>
      </c>
      <c r="C1408" s="1108">
        <v>23</v>
      </c>
      <c r="GJ1408" s="1108" t="s">
        <v>58710</v>
      </c>
      <c r="GK1408" s="1108" t="s">
        <v>58709</v>
      </c>
    </row>
    <row r="1409" spans="1:193">
      <c r="A1409" s="1108" t="s">
        <v>59681</v>
      </c>
      <c r="B1409" s="1108" t="s">
        <v>59680</v>
      </c>
      <c r="C1409" s="1108">
        <v>23</v>
      </c>
      <c r="GJ1409" s="1108" t="s">
        <v>58710</v>
      </c>
      <c r="GK1409" s="1108" t="s">
        <v>58709</v>
      </c>
    </row>
    <row r="1410" spans="1:193">
      <c r="A1410" s="1108" t="s">
        <v>59679</v>
      </c>
      <c r="B1410" s="1108" t="s">
        <v>59678</v>
      </c>
      <c r="C1410" s="1108">
        <v>23</v>
      </c>
      <c r="GJ1410" s="1108" t="s">
        <v>58710</v>
      </c>
      <c r="GK1410" s="1108" t="s">
        <v>58709</v>
      </c>
    </row>
    <row r="1411" spans="1:193">
      <c r="A1411" s="1108" t="s">
        <v>59677</v>
      </c>
      <c r="B1411" s="1108" t="s">
        <v>59676</v>
      </c>
      <c r="C1411" s="1108">
        <v>23</v>
      </c>
      <c r="GJ1411" s="1108" t="s">
        <v>58710</v>
      </c>
      <c r="GK1411" s="1108" t="s">
        <v>58709</v>
      </c>
    </row>
    <row r="1412" spans="1:193">
      <c r="A1412" s="1108" t="s">
        <v>59675</v>
      </c>
      <c r="B1412" s="1108" t="s">
        <v>59674</v>
      </c>
      <c r="C1412" s="1108">
        <v>23</v>
      </c>
      <c r="GJ1412" s="1108" t="s">
        <v>58710</v>
      </c>
      <c r="GK1412" s="1108" t="s">
        <v>58709</v>
      </c>
    </row>
    <row r="1413" spans="1:193">
      <c r="A1413" s="1108" t="s">
        <v>59673</v>
      </c>
      <c r="B1413" s="1108" t="s">
        <v>59672</v>
      </c>
      <c r="C1413" s="1108">
        <v>55</v>
      </c>
      <c r="GJ1413" s="1108" t="s">
        <v>58710</v>
      </c>
      <c r="GK1413" s="1108" t="s">
        <v>58709</v>
      </c>
    </row>
    <row r="1414" spans="1:193">
      <c r="A1414" s="1108" t="s">
        <v>59671</v>
      </c>
      <c r="B1414" s="1108" t="s">
        <v>59670</v>
      </c>
      <c r="C1414" s="1108">
        <v>318</v>
      </c>
      <c r="GJ1414" s="1108" t="s">
        <v>58710</v>
      </c>
      <c r="GK1414" s="1108" t="s">
        <v>58709</v>
      </c>
    </row>
    <row r="1415" spans="1:193">
      <c r="A1415" s="1108" t="s">
        <v>59669</v>
      </c>
      <c r="B1415" s="1108" t="s">
        <v>59668</v>
      </c>
      <c r="C1415" s="1108">
        <v>955</v>
      </c>
      <c r="GJ1415" s="1108" t="s">
        <v>58710</v>
      </c>
      <c r="GK1415" s="1108" t="s">
        <v>58709</v>
      </c>
    </row>
    <row r="1416" spans="1:193">
      <c r="A1416" s="1108" t="s">
        <v>59667</v>
      </c>
      <c r="B1416" s="1108" t="s">
        <v>59666</v>
      </c>
      <c r="C1416" s="1108">
        <v>1221</v>
      </c>
      <c r="GJ1416" s="1108" t="s">
        <v>58710</v>
      </c>
      <c r="GK1416" s="1108" t="s">
        <v>58709</v>
      </c>
    </row>
    <row r="1417" spans="1:193">
      <c r="A1417" s="1108" t="s">
        <v>59665</v>
      </c>
      <c r="B1417" s="1108" t="s">
        <v>59664</v>
      </c>
      <c r="C1417" s="1108">
        <v>1140</v>
      </c>
      <c r="GJ1417" s="1108" t="s">
        <v>58710</v>
      </c>
      <c r="GK1417" s="1108" t="s">
        <v>58709</v>
      </c>
    </row>
    <row r="1418" spans="1:193">
      <c r="A1418" s="1108" t="s">
        <v>59663</v>
      </c>
      <c r="B1418" s="1108" t="s">
        <v>59662</v>
      </c>
      <c r="C1418" s="1108">
        <v>1406</v>
      </c>
      <c r="GJ1418" s="1108" t="s">
        <v>58710</v>
      </c>
      <c r="GK1418" s="1108" t="s">
        <v>58709</v>
      </c>
    </row>
    <row r="1419" spans="1:193">
      <c r="A1419" s="1108" t="s">
        <v>59661</v>
      </c>
      <c r="B1419" s="1108" t="s">
        <v>59660</v>
      </c>
      <c r="C1419" s="1108">
        <v>467</v>
      </c>
      <c r="GJ1419" s="1108" t="s">
        <v>58710</v>
      </c>
      <c r="GK1419" s="1108" t="s">
        <v>58709</v>
      </c>
    </row>
    <row r="1420" spans="1:193">
      <c r="A1420" s="1108" t="s">
        <v>59659</v>
      </c>
      <c r="B1420" s="1108" t="s">
        <v>59658</v>
      </c>
      <c r="C1420" s="1108">
        <v>732</v>
      </c>
      <c r="GJ1420" s="1108" t="s">
        <v>58710</v>
      </c>
      <c r="GK1420" s="1108" t="s">
        <v>58709</v>
      </c>
    </row>
    <row r="1421" spans="1:193">
      <c r="A1421" s="1108" t="s">
        <v>59657</v>
      </c>
      <c r="B1421" s="1108" t="s">
        <v>59656</v>
      </c>
      <c r="C1421" s="1108">
        <v>573</v>
      </c>
      <c r="GJ1421" s="1108" t="s">
        <v>58710</v>
      </c>
      <c r="GK1421" s="1108" t="s">
        <v>58709</v>
      </c>
    </row>
    <row r="1422" spans="1:193">
      <c r="A1422" s="1108" t="s">
        <v>59655</v>
      </c>
      <c r="B1422" s="1108" t="s">
        <v>59654</v>
      </c>
      <c r="C1422" s="1108">
        <v>1115</v>
      </c>
      <c r="GJ1422" s="1108" t="s">
        <v>58710</v>
      </c>
      <c r="GK1422" s="1108" t="s">
        <v>58709</v>
      </c>
    </row>
    <row r="1423" spans="1:193">
      <c r="A1423" s="1108" t="s">
        <v>59653</v>
      </c>
      <c r="B1423" s="1108" t="s">
        <v>59652</v>
      </c>
      <c r="C1423" s="1108">
        <v>1381</v>
      </c>
      <c r="GJ1423" s="1108" t="s">
        <v>58710</v>
      </c>
      <c r="GK1423" s="1108" t="s">
        <v>58709</v>
      </c>
    </row>
    <row r="1424" spans="1:193">
      <c r="A1424" s="1108" t="s">
        <v>59651</v>
      </c>
      <c r="B1424" s="1108" t="s">
        <v>59650</v>
      </c>
      <c r="C1424" s="1108">
        <v>1566</v>
      </c>
      <c r="GJ1424" s="1108" t="s">
        <v>58710</v>
      </c>
      <c r="GK1424" s="1108" t="s">
        <v>58709</v>
      </c>
    </row>
    <row r="1425" spans="1:193">
      <c r="A1425" s="1108" t="s">
        <v>59649</v>
      </c>
      <c r="B1425" s="1108" t="s">
        <v>59648</v>
      </c>
      <c r="C1425" s="1108">
        <v>1300</v>
      </c>
      <c r="GJ1425" s="1108" t="s">
        <v>58710</v>
      </c>
      <c r="GK1425" s="1108" t="s">
        <v>58709</v>
      </c>
    </row>
    <row r="1426" spans="1:193">
      <c r="A1426" s="1108" t="s">
        <v>59647</v>
      </c>
      <c r="B1426" s="1108" t="s">
        <v>59646</v>
      </c>
      <c r="C1426" s="1108">
        <v>637</v>
      </c>
      <c r="GJ1426" s="1108" t="s">
        <v>58710</v>
      </c>
      <c r="GK1426" s="1108" t="s">
        <v>58709</v>
      </c>
    </row>
    <row r="1427" spans="1:193">
      <c r="A1427" s="1108" t="s">
        <v>59645</v>
      </c>
      <c r="B1427" s="1108" t="s">
        <v>59644</v>
      </c>
      <c r="C1427" s="1108">
        <v>902</v>
      </c>
      <c r="GJ1427" s="1108" t="s">
        <v>58710</v>
      </c>
      <c r="GK1427" s="1108" t="s">
        <v>58709</v>
      </c>
    </row>
    <row r="1428" spans="1:193">
      <c r="A1428" s="1108" t="s">
        <v>59643</v>
      </c>
      <c r="B1428" s="1108" t="s">
        <v>59642</v>
      </c>
      <c r="C1428" s="1108">
        <v>743</v>
      </c>
      <c r="GJ1428" s="1108" t="s">
        <v>58710</v>
      </c>
      <c r="GK1428" s="1108" t="s">
        <v>58709</v>
      </c>
    </row>
    <row r="1429" spans="1:193">
      <c r="A1429" s="1108" t="s">
        <v>59641</v>
      </c>
      <c r="B1429" s="1108" t="s">
        <v>59640</v>
      </c>
      <c r="C1429" s="1108">
        <v>850</v>
      </c>
      <c r="GJ1429" s="1108" t="s">
        <v>58710</v>
      </c>
      <c r="GK1429" s="1108" t="s">
        <v>58709</v>
      </c>
    </row>
    <row r="1430" spans="1:193">
      <c r="A1430" s="1108" t="s">
        <v>59639</v>
      </c>
      <c r="B1430" s="1108" t="s">
        <v>59638</v>
      </c>
      <c r="C1430" s="1108">
        <v>979</v>
      </c>
      <c r="GJ1430" s="1108" t="s">
        <v>58710</v>
      </c>
      <c r="GK1430" s="1108" t="s">
        <v>58709</v>
      </c>
    </row>
    <row r="1431" spans="1:193">
      <c r="A1431" s="1108" t="s">
        <v>59637</v>
      </c>
      <c r="B1431" s="1108" t="s">
        <v>59636</v>
      </c>
      <c r="C1431" s="1108">
        <v>412</v>
      </c>
      <c r="GJ1431" s="1108" t="s">
        <v>58710</v>
      </c>
      <c r="GK1431" s="1108" t="s">
        <v>58709</v>
      </c>
    </row>
    <row r="1432" spans="1:193">
      <c r="A1432" s="1108" t="s">
        <v>59635</v>
      </c>
      <c r="B1432" s="1108" t="s">
        <v>59634</v>
      </c>
      <c r="C1432" s="1108">
        <v>505</v>
      </c>
      <c r="GJ1432" s="1108" t="s">
        <v>58710</v>
      </c>
      <c r="GK1432" s="1108" t="s">
        <v>58709</v>
      </c>
    </row>
    <row r="1433" spans="1:193">
      <c r="A1433" s="1108" t="s">
        <v>59633</v>
      </c>
      <c r="B1433" s="1108" t="s">
        <v>59632</v>
      </c>
      <c r="C1433" s="1108">
        <v>1010</v>
      </c>
      <c r="GJ1433" s="1108" t="s">
        <v>58710</v>
      </c>
      <c r="GK1433" s="1108" t="s">
        <v>58709</v>
      </c>
    </row>
    <row r="1434" spans="1:193">
      <c r="A1434" s="1108" t="s">
        <v>59631</v>
      </c>
      <c r="B1434" s="1108" t="s">
        <v>59630</v>
      </c>
      <c r="C1434" s="1108">
        <v>1139</v>
      </c>
      <c r="GJ1434" s="1108" t="s">
        <v>58710</v>
      </c>
      <c r="GK1434" s="1108" t="s">
        <v>58709</v>
      </c>
    </row>
    <row r="1435" spans="1:193">
      <c r="A1435" s="1108" t="s">
        <v>59629</v>
      </c>
      <c r="B1435" s="1108" t="s">
        <v>59628</v>
      </c>
      <c r="C1435" s="1108">
        <v>1200</v>
      </c>
      <c r="GJ1435" s="1108" t="s">
        <v>58710</v>
      </c>
      <c r="GK1435" s="1108" t="s">
        <v>58709</v>
      </c>
    </row>
    <row r="1436" spans="1:193">
      <c r="A1436" s="1108" t="s">
        <v>59627</v>
      </c>
      <c r="B1436" s="1108" t="s">
        <v>59626</v>
      </c>
      <c r="C1436" s="1108">
        <v>582</v>
      </c>
      <c r="GJ1436" s="1108" t="s">
        <v>58710</v>
      </c>
      <c r="GK1436" s="1108" t="s">
        <v>58709</v>
      </c>
    </row>
    <row r="1437" spans="1:193">
      <c r="A1437" s="1108" t="s">
        <v>59625</v>
      </c>
      <c r="B1437" s="1108" t="s">
        <v>59624</v>
      </c>
      <c r="C1437" s="1108">
        <v>675</v>
      </c>
      <c r="GJ1437" s="1108" t="s">
        <v>58710</v>
      </c>
      <c r="GK1437" s="1108" t="s">
        <v>58709</v>
      </c>
    </row>
    <row r="1438" spans="1:193">
      <c r="A1438" s="1108" t="s">
        <v>59623</v>
      </c>
      <c r="B1438" s="1108" t="s">
        <v>59622</v>
      </c>
      <c r="C1438" s="1108">
        <v>951</v>
      </c>
      <c r="GJ1438" s="1108" t="s">
        <v>58710</v>
      </c>
      <c r="GK1438" s="1108" t="s">
        <v>58709</v>
      </c>
    </row>
    <row r="1439" spans="1:193">
      <c r="A1439" s="1108" t="s">
        <v>59621</v>
      </c>
      <c r="B1439" s="1108" t="s">
        <v>59620</v>
      </c>
      <c r="C1439" s="1108">
        <v>1151</v>
      </c>
      <c r="GJ1439" s="1108" t="s">
        <v>58710</v>
      </c>
      <c r="GK1439" s="1108" t="s">
        <v>58709</v>
      </c>
    </row>
    <row r="1440" spans="1:193">
      <c r="A1440" s="1108" t="s">
        <v>59619</v>
      </c>
      <c r="B1440" s="1108" t="s">
        <v>59618</v>
      </c>
      <c r="C1440" s="1108">
        <v>1026</v>
      </c>
      <c r="GJ1440" s="1108" t="s">
        <v>58710</v>
      </c>
      <c r="GK1440" s="1108" t="s">
        <v>58709</v>
      </c>
    </row>
    <row r="1441" spans="1:193">
      <c r="A1441" s="1108" t="s">
        <v>59617</v>
      </c>
      <c r="B1441" s="1108" t="s">
        <v>59616</v>
      </c>
      <c r="C1441" s="1108">
        <v>1226</v>
      </c>
      <c r="GJ1441" s="1108" t="s">
        <v>58710</v>
      </c>
      <c r="GK1441" s="1108" t="s">
        <v>58709</v>
      </c>
    </row>
    <row r="1442" spans="1:193">
      <c r="A1442" s="1108" t="s">
        <v>59615</v>
      </c>
      <c r="B1442" s="1108" t="s">
        <v>59614</v>
      </c>
      <c r="C1442" s="1108">
        <v>1111</v>
      </c>
      <c r="GJ1442" s="1108" t="s">
        <v>58710</v>
      </c>
      <c r="GK1442" s="1108" t="s">
        <v>58709</v>
      </c>
    </row>
    <row r="1443" spans="1:193">
      <c r="A1443" s="1108" t="s">
        <v>59613</v>
      </c>
      <c r="B1443" s="1108" t="s">
        <v>59612</v>
      </c>
      <c r="C1443" s="1108">
        <v>1311</v>
      </c>
      <c r="GJ1443" s="1108" t="s">
        <v>58710</v>
      </c>
      <c r="GK1443" s="1108" t="s">
        <v>58709</v>
      </c>
    </row>
    <row r="1444" spans="1:193">
      <c r="A1444" s="1108" t="s">
        <v>59611</v>
      </c>
      <c r="B1444" s="1108" t="s">
        <v>59610</v>
      </c>
      <c r="C1444" s="1108">
        <v>1186</v>
      </c>
      <c r="GJ1444" s="1108" t="s">
        <v>58710</v>
      </c>
      <c r="GK1444" s="1108" t="s">
        <v>58709</v>
      </c>
    </row>
    <row r="1445" spans="1:193">
      <c r="A1445" s="1108" t="s">
        <v>59609</v>
      </c>
      <c r="B1445" s="1108" t="s">
        <v>59608</v>
      </c>
      <c r="C1445" s="1108">
        <v>1386</v>
      </c>
      <c r="GJ1445" s="1108" t="s">
        <v>58710</v>
      </c>
      <c r="GK1445" s="1108" t="s">
        <v>58709</v>
      </c>
    </row>
    <row r="1446" spans="1:193">
      <c r="A1446" s="1108" t="s">
        <v>59607</v>
      </c>
      <c r="B1446" s="1108" t="s">
        <v>59606</v>
      </c>
      <c r="C1446" s="1108">
        <v>698</v>
      </c>
      <c r="GJ1446" s="1108" t="s">
        <v>58710</v>
      </c>
      <c r="GK1446" s="1108" t="s">
        <v>58709</v>
      </c>
    </row>
    <row r="1447" spans="1:193">
      <c r="A1447" s="1108" t="s">
        <v>59605</v>
      </c>
      <c r="B1447" s="1108" t="s">
        <v>59604</v>
      </c>
      <c r="C1447" s="1108">
        <v>936</v>
      </c>
      <c r="GJ1447" s="1108" t="s">
        <v>58710</v>
      </c>
      <c r="GK1447" s="1108" t="s">
        <v>58709</v>
      </c>
    </row>
    <row r="1448" spans="1:193">
      <c r="A1448" s="1108" t="s">
        <v>59603</v>
      </c>
      <c r="B1448" s="1108" t="s">
        <v>59602</v>
      </c>
      <c r="C1448" s="1108">
        <v>868</v>
      </c>
      <c r="GJ1448" s="1108" t="s">
        <v>58710</v>
      </c>
      <c r="GK1448" s="1108" t="s">
        <v>58709</v>
      </c>
    </row>
    <row r="1449" spans="1:193">
      <c r="A1449" s="1108" t="s">
        <v>59601</v>
      </c>
      <c r="B1449" s="1108" t="s">
        <v>59600</v>
      </c>
      <c r="C1449" s="1108">
        <v>1106</v>
      </c>
      <c r="GJ1449" s="1108" t="s">
        <v>58710</v>
      </c>
      <c r="GK1449" s="1108" t="s">
        <v>58709</v>
      </c>
    </row>
    <row r="1450" spans="1:193">
      <c r="A1450" s="1108" t="s">
        <v>59599</v>
      </c>
      <c r="B1450" s="1108" t="s">
        <v>59598</v>
      </c>
      <c r="C1450" s="1108">
        <v>92</v>
      </c>
      <c r="GJ1450" s="1108" t="s">
        <v>58710</v>
      </c>
      <c r="GK1450" s="1108" t="s">
        <v>58709</v>
      </c>
    </row>
    <row r="1451" spans="1:193">
      <c r="A1451" s="1108" t="s">
        <v>59597</v>
      </c>
      <c r="B1451" s="1108" t="s">
        <v>59596</v>
      </c>
      <c r="C1451" s="1108">
        <v>61</v>
      </c>
      <c r="GJ1451" s="1108" t="s">
        <v>58710</v>
      </c>
      <c r="GK1451" s="1108" t="s">
        <v>58709</v>
      </c>
    </row>
    <row r="1452" spans="1:193">
      <c r="A1452" s="1108" t="s">
        <v>59595</v>
      </c>
      <c r="B1452" s="1108" t="s">
        <v>59594</v>
      </c>
      <c r="C1452" s="1108">
        <v>162</v>
      </c>
      <c r="GJ1452" s="1108" t="s">
        <v>58710</v>
      </c>
      <c r="GK1452" s="1108" t="s">
        <v>58709</v>
      </c>
    </row>
    <row r="1453" spans="1:193">
      <c r="A1453" s="1108" t="s">
        <v>59593</v>
      </c>
      <c r="B1453" s="1108" t="s">
        <v>59592</v>
      </c>
      <c r="C1453" s="1108">
        <v>130</v>
      </c>
      <c r="GJ1453" s="1108" t="s">
        <v>58710</v>
      </c>
      <c r="GK1453" s="1108" t="s">
        <v>58709</v>
      </c>
    </row>
    <row r="1454" spans="1:193">
      <c r="A1454" s="1108" t="s">
        <v>59591</v>
      </c>
      <c r="B1454" s="1108" t="s">
        <v>59590</v>
      </c>
      <c r="C1454" s="1108">
        <v>591</v>
      </c>
      <c r="GJ1454" s="1108" t="s">
        <v>58710</v>
      </c>
      <c r="GK1454" s="1108" t="s">
        <v>58709</v>
      </c>
    </row>
    <row r="1455" spans="1:193">
      <c r="A1455" s="1108" t="s">
        <v>59589</v>
      </c>
      <c r="B1455" s="1108" t="s">
        <v>59588</v>
      </c>
      <c r="C1455" s="1108">
        <v>537</v>
      </c>
      <c r="GJ1455" s="1108" t="s">
        <v>58710</v>
      </c>
      <c r="GK1455" s="1108" t="s">
        <v>58709</v>
      </c>
    </row>
    <row r="1456" spans="1:193">
      <c r="A1456" s="1108" t="s">
        <v>59587</v>
      </c>
      <c r="B1456" s="1108" t="s">
        <v>59586</v>
      </c>
      <c r="C1456" s="1108">
        <v>984</v>
      </c>
      <c r="GJ1456" s="1108" t="s">
        <v>58710</v>
      </c>
      <c r="GK1456" s="1108" t="s">
        <v>58709</v>
      </c>
    </row>
    <row r="1457" spans="1:193">
      <c r="A1457" s="1108" t="s">
        <v>59585</v>
      </c>
      <c r="B1457" s="1108" t="s">
        <v>59584</v>
      </c>
      <c r="C1457" s="1108">
        <v>650</v>
      </c>
      <c r="GJ1457" s="1108" t="s">
        <v>58710</v>
      </c>
      <c r="GK1457" s="1108" t="s">
        <v>58709</v>
      </c>
    </row>
    <row r="1458" spans="1:193">
      <c r="A1458" s="1108" t="s">
        <v>59583</v>
      </c>
      <c r="B1458" s="1108" t="s">
        <v>59582</v>
      </c>
      <c r="C1458" s="1108">
        <v>596</v>
      </c>
      <c r="GJ1458" s="1108" t="s">
        <v>58710</v>
      </c>
      <c r="GK1458" s="1108" t="s">
        <v>58709</v>
      </c>
    </row>
    <row r="1459" spans="1:193">
      <c r="A1459" s="1108" t="s">
        <v>59581</v>
      </c>
      <c r="B1459" s="1108" t="s">
        <v>59580</v>
      </c>
      <c r="C1459" s="1108">
        <v>1044</v>
      </c>
      <c r="GJ1459" s="1108" t="s">
        <v>58710</v>
      </c>
      <c r="GK1459" s="1108" t="s">
        <v>58709</v>
      </c>
    </row>
    <row r="1460" spans="1:193">
      <c r="A1460" s="1108" t="s">
        <v>59579</v>
      </c>
      <c r="B1460" s="1108" t="s">
        <v>59578</v>
      </c>
      <c r="C1460" s="1108">
        <v>621</v>
      </c>
      <c r="GJ1460" s="1108" t="s">
        <v>58710</v>
      </c>
      <c r="GK1460" s="1108" t="s">
        <v>58709</v>
      </c>
    </row>
    <row r="1461" spans="1:193">
      <c r="A1461" s="1108" t="s">
        <v>59577</v>
      </c>
      <c r="B1461" s="1108" t="s">
        <v>59576</v>
      </c>
      <c r="C1461" s="1108">
        <v>621</v>
      </c>
      <c r="GJ1461" s="1108" t="s">
        <v>58710</v>
      </c>
      <c r="GK1461" s="1108" t="s">
        <v>58709</v>
      </c>
    </row>
    <row r="1462" spans="1:193">
      <c r="A1462" s="1108" t="s">
        <v>59575</v>
      </c>
      <c r="B1462" s="1108" t="s">
        <v>59574</v>
      </c>
      <c r="C1462" s="1108">
        <v>954</v>
      </c>
      <c r="GJ1462" s="1108" t="s">
        <v>58710</v>
      </c>
      <c r="GK1462" s="1108" t="s">
        <v>58709</v>
      </c>
    </row>
    <row r="1463" spans="1:193">
      <c r="A1463" s="1108" t="s">
        <v>59573</v>
      </c>
      <c r="B1463" s="1108" t="s">
        <v>59572</v>
      </c>
      <c r="C1463" s="1108">
        <v>560</v>
      </c>
      <c r="GJ1463" s="1108" t="s">
        <v>58710</v>
      </c>
      <c r="GK1463" s="1108" t="s">
        <v>58709</v>
      </c>
    </row>
    <row r="1464" spans="1:193">
      <c r="A1464" s="1108" t="s">
        <v>59571</v>
      </c>
      <c r="B1464" s="1108" t="s">
        <v>59570</v>
      </c>
      <c r="C1464" s="1108">
        <v>507</v>
      </c>
      <c r="GJ1464" s="1108" t="s">
        <v>58710</v>
      </c>
      <c r="GK1464" s="1108" t="s">
        <v>58709</v>
      </c>
    </row>
    <row r="1465" spans="1:193">
      <c r="A1465" s="1108" t="s">
        <v>59569</v>
      </c>
      <c r="B1465" s="1108" t="s">
        <v>59568</v>
      </c>
      <c r="C1465" s="1108">
        <v>680</v>
      </c>
      <c r="GJ1465" s="1108" t="s">
        <v>58710</v>
      </c>
      <c r="GK1465" s="1108" t="s">
        <v>58709</v>
      </c>
    </row>
    <row r="1466" spans="1:193">
      <c r="A1466" s="1108" t="s">
        <v>59567</v>
      </c>
      <c r="B1466" s="1108" t="s">
        <v>59566</v>
      </c>
      <c r="C1466" s="1108">
        <v>680</v>
      </c>
      <c r="GJ1466" s="1108" t="s">
        <v>58710</v>
      </c>
      <c r="GK1466" s="1108" t="s">
        <v>58709</v>
      </c>
    </row>
    <row r="1467" spans="1:193">
      <c r="A1467" s="1108" t="s">
        <v>59565</v>
      </c>
      <c r="B1467" s="1108" t="s">
        <v>59564</v>
      </c>
      <c r="C1467" s="1108">
        <v>1015</v>
      </c>
      <c r="GJ1467" s="1108" t="s">
        <v>58710</v>
      </c>
      <c r="GK1467" s="1108" t="s">
        <v>58709</v>
      </c>
    </row>
    <row r="1468" spans="1:193">
      <c r="A1468" s="1108" t="s">
        <v>59563</v>
      </c>
      <c r="B1468" s="1108" t="s">
        <v>59562</v>
      </c>
      <c r="C1468" s="1108">
        <v>621</v>
      </c>
      <c r="GJ1468" s="1108" t="s">
        <v>58710</v>
      </c>
      <c r="GK1468" s="1108" t="s">
        <v>58709</v>
      </c>
    </row>
    <row r="1469" spans="1:193">
      <c r="A1469" s="1108" t="s">
        <v>59561</v>
      </c>
      <c r="B1469" s="1108" t="s">
        <v>59560</v>
      </c>
      <c r="C1469" s="1108">
        <v>567</v>
      </c>
      <c r="GJ1469" s="1108" t="s">
        <v>58710</v>
      </c>
      <c r="GK1469" s="1108" t="s">
        <v>58709</v>
      </c>
    </row>
    <row r="1470" spans="1:193">
      <c r="A1470" s="1108" t="s">
        <v>59559</v>
      </c>
      <c r="B1470" s="1108" t="s">
        <v>59558</v>
      </c>
      <c r="C1470" s="1108">
        <v>190</v>
      </c>
      <c r="GJ1470" s="1108" t="s">
        <v>58710</v>
      </c>
      <c r="GK1470" s="1108" t="s">
        <v>58709</v>
      </c>
    </row>
    <row r="1471" spans="1:193">
      <c r="A1471" s="1108" t="s">
        <v>59557</v>
      </c>
      <c r="B1471" s="1108" t="s">
        <v>59556</v>
      </c>
      <c r="C1471" s="1108">
        <v>190</v>
      </c>
      <c r="GJ1471" s="1108" t="s">
        <v>58710</v>
      </c>
      <c r="GK1471" s="1108" t="s">
        <v>58709</v>
      </c>
    </row>
    <row r="1472" spans="1:193">
      <c r="A1472" s="1108" t="s">
        <v>59555</v>
      </c>
      <c r="B1472" s="1108" t="s">
        <v>59554</v>
      </c>
      <c r="C1472" s="1108">
        <v>190</v>
      </c>
      <c r="GJ1472" s="1108" t="s">
        <v>58710</v>
      </c>
      <c r="GK1472" s="1108" t="s">
        <v>58709</v>
      </c>
    </row>
    <row r="1473" spans="1:193">
      <c r="A1473" s="1108" t="s">
        <v>59553</v>
      </c>
      <c r="B1473" s="1108" t="s">
        <v>59552</v>
      </c>
      <c r="C1473" s="1108">
        <v>190</v>
      </c>
      <c r="GJ1473" s="1108" t="s">
        <v>58710</v>
      </c>
      <c r="GK1473" s="1108" t="s">
        <v>58709</v>
      </c>
    </row>
    <row r="1474" spans="1:193">
      <c r="A1474" s="1108" t="s">
        <v>59551</v>
      </c>
      <c r="B1474" s="1108" t="s">
        <v>59550</v>
      </c>
      <c r="C1474" s="1108">
        <v>190</v>
      </c>
      <c r="GJ1474" s="1108" t="s">
        <v>58710</v>
      </c>
      <c r="GK1474" s="1108" t="s">
        <v>58709</v>
      </c>
    </row>
    <row r="1475" spans="1:193">
      <c r="A1475" s="1108" t="s">
        <v>59549</v>
      </c>
      <c r="B1475" s="1108" t="s">
        <v>59548</v>
      </c>
      <c r="C1475" s="1108">
        <v>190</v>
      </c>
      <c r="GJ1475" s="1108" t="s">
        <v>58710</v>
      </c>
      <c r="GK1475" s="1108" t="s">
        <v>58709</v>
      </c>
    </row>
    <row r="1476" spans="1:193">
      <c r="A1476" s="1108" t="s">
        <v>59547</v>
      </c>
      <c r="B1476" s="1108" t="s">
        <v>59546</v>
      </c>
      <c r="C1476" s="1108">
        <v>190</v>
      </c>
      <c r="GJ1476" s="1108" t="s">
        <v>58710</v>
      </c>
      <c r="GK1476" s="1108" t="s">
        <v>58709</v>
      </c>
    </row>
    <row r="1477" spans="1:193">
      <c r="A1477" s="1108" t="s">
        <v>59545</v>
      </c>
      <c r="B1477" s="1108" t="s">
        <v>59544</v>
      </c>
      <c r="C1477" s="1108">
        <v>257</v>
      </c>
      <c r="GJ1477" s="1108" t="s">
        <v>58710</v>
      </c>
      <c r="GK1477" s="1108" t="s">
        <v>58709</v>
      </c>
    </row>
    <row r="1478" spans="1:193">
      <c r="A1478" s="1108" t="s">
        <v>59543</v>
      </c>
      <c r="B1478" s="1108" t="s">
        <v>59542</v>
      </c>
      <c r="C1478" s="1108">
        <v>380</v>
      </c>
      <c r="GJ1478" s="1108" t="s">
        <v>58710</v>
      </c>
      <c r="GK1478" s="1108" t="s">
        <v>58709</v>
      </c>
    </row>
    <row r="1479" spans="1:193">
      <c r="A1479" s="1108" t="s">
        <v>59541</v>
      </c>
      <c r="B1479" s="1108" t="s">
        <v>59540</v>
      </c>
      <c r="C1479" s="1108">
        <v>252</v>
      </c>
      <c r="GJ1479" s="1108" t="s">
        <v>58710</v>
      </c>
      <c r="GK1479" s="1108" t="s">
        <v>58709</v>
      </c>
    </row>
    <row r="1480" spans="1:193">
      <c r="A1480" s="1108" t="s">
        <v>59539</v>
      </c>
      <c r="B1480" s="1108" t="s">
        <v>59538</v>
      </c>
      <c r="C1480" s="1108">
        <v>362</v>
      </c>
      <c r="GJ1480" s="1108" t="s">
        <v>58710</v>
      </c>
      <c r="GK1480" s="1108" t="s">
        <v>58709</v>
      </c>
    </row>
    <row r="1481" spans="1:193">
      <c r="A1481" s="1108" t="s">
        <v>59537</v>
      </c>
      <c r="B1481" s="1108" t="s">
        <v>59536</v>
      </c>
      <c r="C1481" s="1108">
        <v>63</v>
      </c>
      <c r="GJ1481" s="1108" t="s">
        <v>58710</v>
      </c>
      <c r="GK1481" s="1108" t="s">
        <v>58709</v>
      </c>
    </row>
    <row r="1482" spans="1:193">
      <c r="A1482" s="1108" t="s">
        <v>59535</v>
      </c>
      <c r="B1482" s="1108" t="s">
        <v>59534</v>
      </c>
      <c r="C1482" s="1108">
        <v>106</v>
      </c>
      <c r="GJ1482" s="1108" t="s">
        <v>58710</v>
      </c>
      <c r="GK1482" s="1108" t="s">
        <v>58709</v>
      </c>
    </row>
    <row r="1483" spans="1:193">
      <c r="A1483" s="1108" t="s">
        <v>59533</v>
      </c>
      <c r="B1483" s="1108" t="s">
        <v>59532</v>
      </c>
      <c r="C1483" s="1108">
        <v>82</v>
      </c>
      <c r="GJ1483" s="1108" t="s">
        <v>58710</v>
      </c>
      <c r="GK1483" s="1108" t="s">
        <v>58709</v>
      </c>
    </row>
    <row r="1484" spans="1:193">
      <c r="A1484" s="1108" t="s">
        <v>59531</v>
      </c>
      <c r="B1484" s="1108" t="s">
        <v>59530</v>
      </c>
      <c r="C1484" s="1108">
        <v>119</v>
      </c>
      <c r="GJ1484" s="1108" t="s">
        <v>58710</v>
      </c>
      <c r="GK1484" s="1108" t="s">
        <v>58709</v>
      </c>
    </row>
    <row r="1485" spans="1:193">
      <c r="A1485" s="1108" t="s">
        <v>59529</v>
      </c>
      <c r="B1485" s="1108" t="s">
        <v>59528</v>
      </c>
      <c r="C1485" s="1108">
        <v>355</v>
      </c>
      <c r="GJ1485" s="1108" t="s">
        <v>58710</v>
      </c>
      <c r="GK1485" s="1108" t="s">
        <v>58709</v>
      </c>
    </row>
    <row r="1486" spans="1:193">
      <c r="A1486" s="1108" t="s">
        <v>59527</v>
      </c>
      <c r="B1486" s="1108" t="s">
        <v>59526</v>
      </c>
      <c r="C1486" s="1108">
        <v>355</v>
      </c>
      <c r="GJ1486" s="1108" t="s">
        <v>58710</v>
      </c>
      <c r="GK1486" s="1108" t="s">
        <v>58709</v>
      </c>
    </row>
    <row r="1487" spans="1:193">
      <c r="A1487" s="1108" t="s">
        <v>59525</v>
      </c>
      <c r="B1487" s="1108" t="s">
        <v>59524</v>
      </c>
      <c r="C1487" s="1108">
        <v>361</v>
      </c>
      <c r="GJ1487" s="1108" t="s">
        <v>58710</v>
      </c>
      <c r="GK1487" s="1108" t="s">
        <v>58709</v>
      </c>
    </row>
    <row r="1488" spans="1:193">
      <c r="A1488" s="1108" t="s">
        <v>59523</v>
      </c>
      <c r="B1488" s="1108" t="s">
        <v>59522</v>
      </c>
      <c r="C1488" s="1108">
        <v>541</v>
      </c>
      <c r="GJ1488" s="1108" t="s">
        <v>58710</v>
      </c>
      <c r="GK1488" s="1108" t="s">
        <v>58709</v>
      </c>
    </row>
    <row r="1489" spans="1:193">
      <c r="A1489" s="1108" t="s">
        <v>59521</v>
      </c>
      <c r="B1489" s="1108" t="s">
        <v>59520</v>
      </c>
      <c r="C1489" s="1108">
        <v>108</v>
      </c>
      <c r="GJ1489" s="1108" t="s">
        <v>58710</v>
      </c>
      <c r="GK1489" s="1108" t="s">
        <v>58709</v>
      </c>
    </row>
    <row r="1490" spans="1:193">
      <c r="A1490" s="1108" t="s">
        <v>59519</v>
      </c>
      <c r="B1490" s="1108" t="s">
        <v>59518</v>
      </c>
      <c r="C1490" s="1108">
        <v>376</v>
      </c>
      <c r="GJ1490" s="1108" t="s">
        <v>58710</v>
      </c>
      <c r="GK1490" s="1108" t="s">
        <v>58709</v>
      </c>
    </row>
    <row r="1491" spans="1:193">
      <c r="A1491" s="1108" t="s">
        <v>59517</v>
      </c>
      <c r="B1491" s="1108" t="s">
        <v>59516</v>
      </c>
      <c r="C1491" s="1108">
        <v>381</v>
      </c>
      <c r="GJ1491" s="1108" t="s">
        <v>58710</v>
      </c>
      <c r="GK1491" s="1108" t="s">
        <v>58709</v>
      </c>
    </row>
    <row r="1492" spans="1:193">
      <c r="A1492" s="1108" t="s">
        <v>59515</v>
      </c>
      <c r="B1492" s="1108" t="s">
        <v>59514</v>
      </c>
      <c r="C1492" s="1108">
        <v>572</v>
      </c>
      <c r="GJ1492" s="1108" t="s">
        <v>58710</v>
      </c>
      <c r="GK1492" s="1108" t="s">
        <v>58709</v>
      </c>
    </row>
    <row r="1493" spans="1:193">
      <c r="A1493" s="1108" t="s">
        <v>59513</v>
      </c>
      <c r="B1493" s="1108" t="s">
        <v>59512</v>
      </c>
      <c r="C1493" s="1108">
        <v>129</v>
      </c>
      <c r="GJ1493" s="1108" t="s">
        <v>58710</v>
      </c>
      <c r="GK1493" s="1108" t="s">
        <v>58709</v>
      </c>
    </row>
    <row r="1494" spans="1:193">
      <c r="A1494" s="1108" t="s">
        <v>59511</v>
      </c>
      <c r="B1494" s="1108" t="s">
        <v>59510</v>
      </c>
      <c r="C1494" s="1108">
        <v>376</v>
      </c>
      <c r="GJ1494" s="1108" t="s">
        <v>58710</v>
      </c>
      <c r="GK1494" s="1108" t="s">
        <v>58709</v>
      </c>
    </row>
    <row r="1495" spans="1:193">
      <c r="A1495" s="1108" t="s">
        <v>59509</v>
      </c>
      <c r="B1495" s="1108" t="s">
        <v>59508</v>
      </c>
      <c r="C1495" s="1108">
        <v>184</v>
      </c>
      <c r="GJ1495" s="1108" t="s">
        <v>58710</v>
      </c>
      <c r="GK1495" s="1108" t="s">
        <v>58709</v>
      </c>
    </row>
    <row r="1496" spans="1:193">
      <c r="A1496" s="1108" t="s">
        <v>59507</v>
      </c>
      <c r="B1496" s="1108" t="s">
        <v>59506</v>
      </c>
      <c r="C1496" s="1108">
        <v>184</v>
      </c>
      <c r="GJ1496" s="1108" t="s">
        <v>58710</v>
      </c>
      <c r="GK1496" s="1108" t="s">
        <v>58709</v>
      </c>
    </row>
    <row r="1497" spans="1:193">
      <c r="A1497" s="1108" t="s">
        <v>59505</v>
      </c>
      <c r="B1497" s="1108" t="s">
        <v>59504</v>
      </c>
      <c r="C1497" s="1108">
        <v>184</v>
      </c>
      <c r="GJ1497" s="1108" t="s">
        <v>58710</v>
      </c>
      <c r="GK1497" s="1108" t="s">
        <v>58709</v>
      </c>
    </row>
    <row r="1498" spans="1:193">
      <c r="A1498" s="1108" t="s">
        <v>59503</v>
      </c>
      <c r="B1498" s="1108" t="s">
        <v>59502</v>
      </c>
      <c r="C1498" s="1108">
        <v>184</v>
      </c>
      <c r="GJ1498" s="1108" t="s">
        <v>58710</v>
      </c>
      <c r="GK1498" s="1108" t="s">
        <v>58709</v>
      </c>
    </row>
    <row r="1499" spans="1:193">
      <c r="A1499" s="1108" t="s">
        <v>59501</v>
      </c>
      <c r="B1499" s="1108" t="s">
        <v>59500</v>
      </c>
      <c r="C1499" s="1108">
        <v>184</v>
      </c>
      <c r="GJ1499" s="1108" t="s">
        <v>58710</v>
      </c>
      <c r="GK1499" s="1108" t="s">
        <v>58709</v>
      </c>
    </row>
    <row r="1500" spans="1:193">
      <c r="A1500" s="1108" t="s">
        <v>59499</v>
      </c>
      <c r="B1500" s="1108" t="s">
        <v>59498</v>
      </c>
      <c r="C1500" s="1108">
        <v>335</v>
      </c>
      <c r="GJ1500" s="1108" t="s">
        <v>58710</v>
      </c>
      <c r="GK1500" s="1108" t="s">
        <v>58709</v>
      </c>
    </row>
    <row r="1501" spans="1:193">
      <c r="A1501" s="1108" t="s">
        <v>59497</v>
      </c>
      <c r="B1501" s="1108" t="s">
        <v>59496</v>
      </c>
      <c r="C1501" s="1108">
        <v>644</v>
      </c>
      <c r="GJ1501" s="1108" t="s">
        <v>58710</v>
      </c>
      <c r="GK1501" s="1108" t="s">
        <v>58709</v>
      </c>
    </row>
    <row r="1502" spans="1:193">
      <c r="A1502" s="1108" t="s">
        <v>59495</v>
      </c>
      <c r="B1502" s="1108" t="s">
        <v>59494</v>
      </c>
      <c r="C1502" s="1108">
        <v>927</v>
      </c>
      <c r="GJ1502" s="1108" t="s">
        <v>58710</v>
      </c>
      <c r="GK1502" s="1108" t="s">
        <v>58709</v>
      </c>
    </row>
    <row r="1503" spans="1:193">
      <c r="A1503" s="1108" t="s">
        <v>59493</v>
      </c>
      <c r="B1503" s="1108" t="s">
        <v>59492</v>
      </c>
      <c r="C1503" s="1108">
        <v>1158</v>
      </c>
      <c r="GJ1503" s="1108" t="s">
        <v>58710</v>
      </c>
      <c r="GK1503" s="1108" t="s">
        <v>58709</v>
      </c>
    </row>
    <row r="1504" spans="1:193">
      <c r="A1504" s="1108" t="s">
        <v>59491</v>
      </c>
      <c r="B1504" s="1108" t="s">
        <v>59490</v>
      </c>
      <c r="C1504" s="1108">
        <v>1199</v>
      </c>
      <c r="GJ1504" s="1108" t="s">
        <v>58710</v>
      </c>
      <c r="GK1504" s="1108" t="s">
        <v>58709</v>
      </c>
    </row>
    <row r="1505" spans="1:193">
      <c r="A1505" s="1108" t="s">
        <v>59489</v>
      </c>
      <c r="B1505" s="1108" t="s">
        <v>59488</v>
      </c>
      <c r="C1505" s="1108">
        <v>1449</v>
      </c>
      <c r="GJ1505" s="1108" t="s">
        <v>58710</v>
      </c>
      <c r="GK1505" s="1108" t="s">
        <v>58709</v>
      </c>
    </row>
    <row r="1506" spans="1:193">
      <c r="A1506" s="1108" t="s">
        <v>59487</v>
      </c>
      <c r="B1506" s="1108" t="s">
        <v>59486</v>
      </c>
      <c r="C1506" s="1108">
        <v>1173</v>
      </c>
      <c r="GJ1506" s="1108" t="s">
        <v>58710</v>
      </c>
      <c r="GK1506" s="1108" t="s">
        <v>58709</v>
      </c>
    </row>
    <row r="1507" spans="1:193">
      <c r="A1507" s="1108" t="s">
        <v>59485</v>
      </c>
      <c r="B1507" s="1108" t="s">
        <v>59484</v>
      </c>
      <c r="C1507" s="1108">
        <v>1309</v>
      </c>
      <c r="GJ1507" s="1108" t="s">
        <v>58710</v>
      </c>
      <c r="GK1507" s="1108" t="s">
        <v>58709</v>
      </c>
    </row>
    <row r="1508" spans="1:193">
      <c r="A1508" s="1108" t="s">
        <v>59483</v>
      </c>
      <c r="B1508" s="1108" t="s">
        <v>59482</v>
      </c>
      <c r="C1508" s="1108">
        <v>1296</v>
      </c>
      <c r="GJ1508" s="1108" t="s">
        <v>58710</v>
      </c>
      <c r="GK1508" s="1108" t="s">
        <v>58709</v>
      </c>
    </row>
    <row r="1509" spans="1:193">
      <c r="A1509" s="1108" t="s">
        <v>59481</v>
      </c>
      <c r="B1509" s="1108" t="s">
        <v>59480</v>
      </c>
      <c r="C1509" s="1108">
        <v>1328</v>
      </c>
      <c r="GJ1509" s="1108" t="s">
        <v>58710</v>
      </c>
      <c r="GK1509" s="1108" t="s">
        <v>58709</v>
      </c>
    </row>
    <row r="1510" spans="1:193">
      <c r="A1510" s="1108" t="s">
        <v>59479</v>
      </c>
      <c r="B1510" s="1108" t="s">
        <v>59478</v>
      </c>
      <c r="C1510" s="1108">
        <v>779</v>
      </c>
      <c r="GJ1510" s="1108" t="s">
        <v>58710</v>
      </c>
      <c r="GK1510" s="1108" t="s">
        <v>58709</v>
      </c>
    </row>
    <row r="1511" spans="1:193">
      <c r="A1511" s="1108" t="s">
        <v>59477</v>
      </c>
      <c r="B1511" s="1108" t="s">
        <v>59476</v>
      </c>
      <c r="C1511" s="1108">
        <v>915</v>
      </c>
      <c r="GJ1511" s="1108" t="s">
        <v>58710</v>
      </c>
      <c r="GK1511" s="1108" t="s">
        <v>58709</v>
      </c>
    </row>
    <row r="1512" spans="1:193">
      <c r="A1512" s="1108" t="s">
        <v>59475</v>
      </c>
      <c r="B1512" s="1108" t="s">
        <v>59474</v>
      </c>
      <c r="C1512" s="1108">
        <v>902</v>
      </c>
      <c r="GJ1512" s="1108" t="s">
        <v>58710</v>
      </c>
      <c r="GK1512" s="1108" t="s">
        <v>58709</v>
      </c>
    </row>
    <row r="1513" spans="1:193">
      <c r="A1513" s="1108" t="s">
        <v>59473</v>
      </c>
      <c r="B1513" s="1108" t="s">
        <v>59472</v>
      </c>
      <c r="C1513" s="1108">
        <v>1113</v>
      </c>
      <c r="GJ1513" s="1108" t="s">
        <v>58710</v>
      </c>
      <c r="GK1513" s="1108" t="s">
        <v>58709</v>
      </c>
    </row>
    <row r="1514" spans="1:193">
      <c r="A1514" s="1108" t="s">
        <v>59471</v>
      </c>
      <c r="B1514" s="1108" t="s">
        <v>59470</v>
      </c>
      <c r="C1514" s="1108">
        <v>1249</v>
      </c>
      <c r="GJ1514" s="1108" t="s">
        <v>58710</v>
      </c>
      <c r="GK1514" s="1108" t="s">
        <v>58709</v>
      </c>
    </row>
    <row r="1515" spans="1:193">
      <c r="A1515" s="1108" t="s">
        <v>59469</v>
      </c>
      <c r="B1515" s="1108" t="s">
        <v>59468</v>
      </c>
      <c r="C1515" s="1108">
        <v>1236</v>
      </c>
      <c r="GJ1515" s="1108" t="s">
        <v>58710</v>
      </c>
      <c r="GK1515" s="1108" t="s">
        <v>58709</v>
      </c>
    </row>
    <row r="1516" spans="1:193">
      <c r="A1516" s="1108" t="s">
        <v>59467</v>
      </c>
      <c r="B1516" s="1108" t="s">
        <v>59466</v>
      </c>
      <c r="C1516" s="1108">
        <v>720</v>
      </c>
      <c r="GJ1516" s="1108" t="s">
        <v>58710</v>
      </c>
      <c r="GK1516" s="1108" t="s">
        <v>58709</v>
      </c>
    </row>
    <row r="1517" spans="1:193">
      <c r="A1517" s="1108" t="s">
        <v>59465</v>
      </c>
      <c r="B1517" s="1108" t="s">
        <v>59464</v>
      </c>
      <c r="C1517" s="1108">
        <v>856</v>
      </c>
      <c r="GJ1517" s="1108" t="s">
        <v>58710</v>
      </c>
      <c r="GK1517" s="1108" t="s">
        <v>58709</v>
      </c>
    </row>
    <row r="1518" spans="1:193">
      <c r="A1518" s="1108" t="s">
        <v>59463</v>
      </c>
      <c r="B1518" s="1108" t="s">
        <v>59462</v>
      </c>
      <c r="C1518" s="1108">
        <v>843</v>
      </c>
      <c r="GJ1518" s="1108" t="s">
        <v>58710</v>
      </c>
      <c r="GK1518" s="1108" t="s">
        <v>58709</v>
      </c>
    </row>
    <row r="1519" spans="1:193">
      <c r="A1519" s="1108" t="s">
        <v>59461</v>
      </c>
      <c r="B1519" s="1108" t="s">
        <v>59460</v>
      </c>
      <c r="C1519" s="1108">
        <v>896</v>
      </c>
      <c r="GJ1519" s="1108" t="s">
        <v>58710</v>
      </c>
      <c r="GK1519" s="1108" t="s">
        <v>58709</v>
      </c>
    </row>
    <row r="1520" spans="1:193">
      <c r="A1520" s="1108" t="s">
        <v>59459</v>
      </c>
      <c r="B1520" s="1108" t="s">
        <v>59458</v>
      </c>
      <c r="C1520" s="1108">
        <v>873</v>
      </c>
      <c r="GJ1520" s="1108" t="s">
        <v>58710</v>
      </c>
      <c r="GK1520" s="1108" t="s">
        <v>58709</v>
      </c>
    </row>
    <row r="1521" spans="1:193">
      <c r="A1521" s="1108" t="s">
        <v>59457</v>
      </c>
      <c r="B1521" s="1108" t="s">
        <v>59456</v>
      </c>
      <c r="C1521" s="1108">
        <v>981</v>
      </c>
      <c r="GJ1521" s="1108" t="s">
        <v>58710</v>
      </c>
      <c r="GK1521" s="1108" t="s">
        <v>58709</v>
      </c>
    </row>
    <row r="1522" spans="1:193">
      <c r="A1522" s="1108" t="s">
        <v>59455</v>
      </c>
      <c r="B1522" s="1108" t="s">
        <v>59454</v>
      </c>
      <c r="C1522" s="1108">
        <v>1083</v>
      </c>
      <c r="GJ1522" s="1108" t="s">
        <v>58710</v>
      </c>
      <c r="GK1522" s="1108" t="s">
        <v>58709</v>
      </c>
    </row>
    <row r="1523" spans="1:193">
      <c r="A1523" s="1108" t="s">
        <v>59453</v>
      </c>
      <c r="B1523" s="1108" t="s">
        <v>59452</v>
      </c>
      <c r="C1523" s="1108">
        <v>1219</v>
      </c>
      <c r="GJ1523" s="1108" t="s">
        <v>58710</v>
      </c>
      <c r="GK1523" s="1108" t="s">
        <v>58709</v>
      </c>
    </row>
    <row r="1524" spans="1:193">
      <c r="A1524" s="1108" t="s">
        <v>59451</v>
      </c>
      <c r="B1524" s="1108" t="s">
        <v>59450</v>
      </c>
      <c r="C1524" s="1108">
        <v>1206</v>
      </c>
      <c r="GJ1524" s="1108" t="s">
        <v>58710</v>
      </c>
      <c r="GK1524" s="1108" t="s">
        <v>58709</v>
      </c>
    </row>
    <row r="1525" spans="1:193">
      <c r="A1525" s="1108" t="s">
        <v>59449</v>
      </c>
      <c r="B1525" s="1108" t="s">
        <v>59448</v>
      </c>
      <c r="C1525" s="1108">
        <v>1238</v>
      </c>
      <c r="GJ1525" s="1108" t="s">
        <v>58710</v>
      </c>
      <c r="GK1525" s="1108" t="s">
        <v>58709</v>
      </c>
    </row>
    <row r="1526" spans="1:193">
      <c r="A1526" s="1108" t="s">
        <v>59447</v>
      </c>
      <c r="B1526" s="1108" t="s">
        <v>59446</v>
      </c>
      <c r="C1526" s="1108">
        <v>689</v>
      </c>
      <c r="GJ1526" s="1108" t="s">
        <v>58710</v>
      </c>
      <c r="GK1526" s="1108" t="s">
        <v>58709</v>
      </c>
    </row>
    <row r="1527" spans="1:193">
      <c r="A1527" s="1108" t="s">
        <v>59445</v>
      </c>
      <c r="B1527" s="1108" t="s">
        <v>59444</v>
      </c>
      <c r="C1527" s="1108">
        <v>825</v>
      </c>
      <c r="GJ1527" s="1108" t="s">
        <v>58710</v>
      </c>
      <c r="GK1527" s="1108" t="s">
        <v>58709</v>
      </c>
    </row>
    <row r="1528" spans="1:193">
      <c r="A1528" s="1108" t="s">
        <v>59443</v>
      </c>
      <c r="B1528" s="1108" t="s">
        <v>59442</v>
      </c>
      <c r="C1528" s="1108">
        <v>812</v>
      </c>
      <c r="GJ1528" s="1108" t="s">
        <v>58710</v>
      </c>
      <c r="GK1528" s="1108" t="s">
        <v>58709</v>
      </c>
    </row>
    <row r="1529" spans="1:193">
      <c r="A1529" s="1108" t="s">
        <v>59441</v>
      </c>
      <c r="B1529" s="1108" t="s">
        <v>59440</v>
      </c>
      <c r="C1529" s="1108">
        <v>844</v>
      </c>
      <c r="GJ1529" s="1108" t="s">
        <v>58710</v>
      </c>
      <c r="GK1529" s="1108" t="s">
        <v>58709</v>
      </c>
    </row>
    <row r="1530" spans="1:193">
      <c r="A1530" s="1108" t="s">
        <v>59439</v>
      </c>
      <c r="B1530" s="1108" t="s">
        <v>59438</v>
      </c>
      <c r="C1530" s="1108">
        <v>955</v>
      </c>
      <c r="GJ1530" s="1108" t="s">
        <v>58710</v>
      </c>
      <c r="GK1530" s="1108" t="s">
        <v>58709</v>
      </c>
    </row>
    <row r="1531" spans="1:193">
      <c r="A1531" s="1108" t="s">
        <v>59437</v>
      </c>
      <c r="B1531" s="1108" t="s">
        <v>59436</v>
      </c>
      <c r="C1531" s="1108">
        <v>932</v>
      </c>
      <c r="GJ1531" s="1108" t="s">
        <v>58710</v>
      </c>
      <c r="GK1531" s="1108" t="s">
        <v>58709</v>
      </c>
    </row>
    <row r="1532" spans="1:193">
      <c r="A1532" s="1108" t="s">
        <v>59435</v>
      </c>
      <c r="B1532" s="1108" t="s">
        <v>59434</v>
      </c>
      <c r="C1532" s="1108">
        <v>1040</v>
      </c>
      <c r="GJ1532" s="1108" t="s">
        <v>58710</v>
      </c>
      <c r="GK1532" s="1108" t="s">
        <v>58709</v>
      </c>
    </row>
    <row r="1533" spans="1:193">
      <c r="A1533" s="1108" t="s">
        <v>59433</v>
      </c>
      <c r="B1533" s="1108" t="s">
        <v>59432</v>
      </c>
      <c r="C1533" s="1108">
        <v>1144</v>
      </c>
      <c r="GJ1533" s="1108" t="s">
        <v>58710</v>
      </c>
      <c r="GK1533" s="1108" t="s">
        <v>58709</v>
      </c>
    </row>
    <row r="1534" spans="1:193">
      <c r="A1534" s="1108" t="s">
        <v>59431</v>
      </c>
      <c r="B1534" s="1108" t="s">
        <v>59430</v>
      </c>
      <c r="C1534" s="1108">
        <v>1280</v>
      </c>
      <c r="GJ1534" s="1108" t="s">
        <v>58710</v>
      </c>
      <c r="GK1534" s="1108" t="s">
        <v>58709</v>
      </c>
    </row>
    <row r="1535" spans="1:193">
      <c r="A1535" s="1108" t="s">
        <v>59429</v>
      </c>
      <c r="B1535" s="1108" t="s">
        <v>59428</v>
      </c>
      <c r="C1535" s="1108">
        <v>1267</v>
      </c>
      <c r="GJ1535" s="1108" t="s">
        <v>58710</v>
      </c>
      <c r="GK1535" s="1108" t="s">
        <v>58709</v>
      </c>
    </row>
    <row r="1536" spans="1:193">
      <c r="A1536" s="1108" t="s">
        <v>59427</v>
      </c>
      <c r="B1536" s="1108" t="s">
        <v>59426</v>
      </c>
      <c r="C1536" s="1108">
        <v>1299</v>
      </c>
      <c r="GJ1536" s="1108" t="s">
        <v>58710</v>
      </c>
      <c r="GK1536" s="1108" t="s">
        <v>58709</v>
      </c>
    </row>
    <row r="1537" spans="1:193">
      <c r="A1537" s="1108" t="s">
        <v>59425</v>
      </c>
      <c r="B1537" s="1108" t="s">
        <v>59424</v>
      </c>
      <c r="C1537" s="1108">
        <v>750</v>
      </c>
      <c r="GJ1537" s="1108" t="s">
        <v>58710</v>
      </c>
      <c r="GK1537" s="1108" t="s">
        <v>58709</v>
      </c>
    </row>
    <row r="1538" spans="1:193">
      <c r="A1538" s="1108" t="s">
        <v>59423</v>
      </c>
      <c r="B1538" s="1108" t="s">
        <v>59422</v>
      </c>
      <c r="C1538" s="1108">
        <v>886</v>
      </c>
      <c r="GJ1538" s="1108" t="s">
        <v>58710</v>
      </c>
      <c r="GK1538" s="1108" t="s">
        <v>58709</v>
      </c>
    </row>
    <row r="1539" spans="1:193">
      <c r="A1539" s="1108" t="s">
        <v>59421</v>
      </c>
      <c r="B1539" s="1108" t="s">
        <v>59420</v>
      </c>
      <c r="C1539" s="1108">
        <v>873</v>
      </c>
      <c r="GJ1539" s="1108" t="s">
        <v>58710</v>
      </c>
      <c r="GK1539" s="1108" t="s">
        <v>58709</v>
      </c>
    </row>
    <row r="1540" spans="1:193">
      <c r="A1540" s="1108" t="s">
        <v>59419</v>
      </c>
      <c r="B1540" s="1108" t="s">
        <v>59418</v>
      </c>
      <c r="C1540" s="1108">
        <v>905</v>
      </c>
      <c r="GJ1540" s="1108" t="s">
        <v>58710</v>
      </c>
      <c r="GK1540" s="1108" t="s">
        <v>58709</v>
      </c>
    </row>
    <row r="1541" spans="1:193">
      <c r="A1541" s="1108" t="s">
        <v>59417</v>
      </c>
      <c r="B1541" s="1108" t="s">
        <v>59416</v>
      </c>
      <c r="C1541" s="1108">
        <v>399</v>
      </c>
      <c r="GJ1541" s="1108" t="s">
        <v>58710</v>
      </c>
      <c r="GK1541" s="1108" t="s">
        <v>58709</v>
      </c>
    </row>
    <row r="1542" spans="1:193">
      <c r="A1542" s="1108" t="s">
        <v>59415</v>
      </c>
      <c r="B1542" s="1108" t="s">
        <v>59414</v>
      </c>
      <c r="C1542" s="1108">
        <v>299</v>
      </c>
      <c r="GJ1542" s="1108" t="s">
        <v>58710</v>
      </c>
      <c r="GK1542" s="1108" t="s">
        <v>58709</v>
      </c>
    </row>
    <row r="1543" spans="1:193">
      <c r="A1543" s="1108" t="s">
        <v>59413</v>
      </c>
      <c r="B1543" s="1108" t="s">
        <v>59412</v>
      </c>
      <c r="C1543" s="1108">
        <v>70</v>
      </c>
      <c r="GJ1543" s="1108" t="s">
        <v>58710</v>
      </c>
      <c r="GK1543" s="1108" t="s">
        <v>58709</v>
      </c>
    </row>
    <row r="1544" spans="1:193">
      <c r="A1544" s="1108" t="s">
        <v>59411</v>
      </c>
      <c r="B1544" s="1108" t="s">
        <v>59410</v>
      </c>
      <c r="C1544" s="1108">
        <v>70</v>
      </c>
      <c r="GJ1544" s="1108" t="s">
        <v>58710</v>
      </c>
      <c r="GK1544" s="1108" t="s">
        <v>58709</v>
      </c>
    </row>
    <row r="1545" spans="1:193">
      <c r="A1545" s="1108" t="s">
        <v>59409</v>
      </c>
      <c r="B1545" s="1108" t="s">
        <v>59408</v>
      </c>
      <c r="C1545" s="1108">
        <v>80</v>
      </c>
      <c r="GJ1545" s="1108" t="s">
        <v>58710</v>
      </c>
      <c r="GK1545" s="1108" t="s">
        <v>58709</v>
      </c>
    </row>
    <row r="1546" spans="1:193">
      <c r="A1546" s="1108" t="s">
        <v>59407</v>
      </c>
      <c r="B1546" s="1108" t="s">
        <v>59406</v>
      </c>
      <c r="C1546" s="1108">
        <v>469</v>
      </c>
      <c r="GJ1546" s="1108" t="s">
        <v>58710</v>
      </c>
      <c r="GK1546" s="1108" t="s">
        <v>58709</v>
      </c>
    </row>
    <row r="1547" spans="1:193">
      <c r="A1547" s="1108" t="s">
        <v>59405</v>
      </c>
      <c r="B1547" s="1108" t="s">
        <v>59404</v>
      </c>
      <c r="C1547" s="1108">
        <v>469</v>
      </c>
      <c r="GJ1547" s="1108" t="s">
        <v>58710</v>
      </c>
      <c r="GK1547" s="1108" t="s">
        <v>58709</v>
      </c>
    </row>
    <row r="1548" spans="1:193">
      <c r="A1548" s="1108" t="s">
        <v>59403</v>
      </c>
      <c r="B1548" s="1108" t="s">
        <v>59402</v>
      </c>
      <c r="C1548" s="1108">
        <v>479</v>
      </c>
      <c r="GJ1548" s="1108" t="s">
        <v>58710</v>
      </c>
      <c r="GK1548" s="1108" t="s">
        <v>58709</v>
      </c>
    </row>
    <row r="1549" spans="1:193">
      <c r="A1549" s="1108" t="s">
        <v>59401</v>
      </c>
      <c r="B1549" s="1108" t="s">
        <v>59400</v>
      </c>
      <c r="C1549" s="1108">
        <v>94</v>
      </c>
      <c r="GJ1549" s="1108" t="s">
        <v>58710</v>
      </c>
      <c r="GK1549" s="1108" t="s">
        <v>58709</v>
      </c>
    </row>
    <row r="1550" spans="1:193">
      <c r="A1550" s="1108" t="s">
        <v>59399</v>
      </c>
      <c r="B1550" s="1108" t="s">
        <v>59398</v>
      </c>
      <c r="C1550" s="1108">
        <v>156</v>
      </c>
      <c r="GJ1550" s="1108" t="s">
        <v>58710</v>
      </c>
      <c r="GK1550" s="1108" t="s">
        <v>58709</v>
      </c>
    </row>
    <row r="1551" spans="1:193">
      <c r="A1551" s="1108" t="s">
        <v>59397</v>
      </c>
      <c r="B1551" s="1108" t="s">
        <v>59396</v>
      </c>
      <c r="C1551" s="1108">
        <v>99</v>
      </c>
      <c r="GJ1551" s="1108" t="s">
        <v>58710</v>
      </c>
      <c r="GK1551" s="1108" t="s">
        <v>58709</v>
      </c>
    </row>
    <row r="1552" spans="1:193">
      <c r="A1552" s="1108" t="s">
        <v>59395</v>
      </c>
      <c r="B1552" s="1108" t="s">
        <v>59394</v>
      </c>
      <c r="C1552" s="1108">
        <v>73</v>
      </c>
      <c r="GJ1552" s="1108" t="s">
        <v>58710</v>
      </c>
      <c r="GK1552" s="1108" t="s">
        <v>58709</v>
      </c>
    </row>
    <row r="1553" spans="1:193">
      <c r="A1553" s="1108" t="s">
        <v>59393</v>
      </c>
      <c r="B1553" s="1108" t="s">
        <v>59392</v>
      </c>
      <c r="C1553" s="1108">
        <v>101</v>
      </c>
      <c r="GJ1553" s="1108" t="s">
        <v>58710</v>
      </c>
      <c r="GK1553" s="1108" t="s">
        <v>58709</v>
      </c>
    </row>
    <row r="1554" spans="1:193">
      <c r="A1554" s="1108" t="s">
        <v>59391</v>
      </c>
      <c r="B1554" s="1108" t="s">
        <v>59390</v>
      </c>
      <c r="C1554" s="1108">
        <v>111</v>
      </c>
      <c r="GJ1554" s="1108" t="s">
        <v>58710</v>
      </c>
      <c r="GK1554" s="1108" t="s">
        <v>58709</v>
      </c>
    </row>
    <row r="1555" spans="1:193">
      <c r="A1555" s="1108" t="s">
        <v>59389</v>
      </c>
      <c r="B1555" s="1108" t="s">
        <v>59388</v>
      </c>
      <c r="C1555" s="1108">
        <v>232</v>
      </c>
      <c r="GJ1555" s="1108" t="s">
        <v>58710</v>
      </c>
      <c r="GK1555" s="1108" t="s">
        <v>58709</v>
      </c>
    </row>
    <row r="1556" spans="1:193">
      <c r="A1556" s="1108" t="s">
        <v>59387</v>
      </c>
      <c r="B1556" s="1108" t="s">
        <v>59386</v>
      </c>
      <c r="C1556" s="1108">
        <v>232</v>
      </c>
      <c r="GJ1556" s="1108" t="s">
        <v>58710</v>
      </c>
      <c r="GK1556" s="1108" t="s">
        <v>58709</v>
      </c>
    </row>
    <row r="1557" spans="1:193">
      <c r="A1557" s="1108" t="s">
        <v>59385</v>
      </c>
      <c r="B1557" s="1108" t="s">
        <v>59384</v>
      </c>
      <c r="C1557" s="1108">
        <v>198</v>
      </c>
      <c r="GJ1557" s="1108" t="s">
        <v>58710</v>
      </c>
      <c r="GK1557" s="1108" t="s">
        <v>58709</v>
      </c>
    </row>
    <row r="1558" spans="1:193">
      <c r="A1558" s="1108" t="s">
        <v>59383</v>
      </c>
      <c r="B1558" s="1108" t="s">
        <v>59382</v>
      </c>
      <c r="C1558" s="1108">
        <v>152</v>
      </c>
      <c r="GJ1558" s="1108" t="s">
        <v>58710</v>
      </c>
      <c r="GK1558" s="1108" t="s">
        <v>58709</v>
      </c>
    </row>
    <row r="1559" spans="1:193">
      <c r="A1559" s="1108" t="s">
        <v>59381</v>
      </c>
      <c r="B1559" s="1108" t="s">
        <v>59380</v>
      </c>
      <c r="C1559" s="1108">
        <v>160</v>
      </c>
      <c r="GJ1559" s="1108" t="s">
        <v>58710</v>
      </c>
      <c r="GK1559" s="1108" t="s">
        <v>58709</v>
      </c>
    </row>
    <row r="1560" spans="1:193">
      <c r="A1560" s="1108" t="s">
        <v>59379</v>
      </c>
      <c r="B1560" s="1108" t="s">
        <v>59378</v>
      </c>
      <c r="C1560" s="1108">
        <v>263</v>
      </c>
      <c r="GJ1560" s="1108" t="s">
        <v>58710</v>
      </c>
      <c r="GK1560" s="1108" t="s">
        <v>58709</v>
      </c>
    </row>
    <row r="1561" spans="1:193">
      <c r="A1561" s="1108" t="s">
        <v>59377</v>
      </c>
      <c r="B1561" s="1108" t="s">
        <v>59376</v>
      </c>
      <c r="C1561" s="1108">
        <v>213</v>
      </c>
      <c r="GJ1561" s="1108" t="s">
        <v>58710</v>
      </c>
      <c r="GK1561" s="1108" t="s">
        <v>58709</v>
      </c>
    </row>
    <row r="1562" spans="1:193">
      <c r="A1562" s="1108" t="s">
        <v>59375</v>
      </c>
      <c r="B1562" s="1108" t="s">
        <v>59374</v>
      </c>
      <c r="C1562" s="1108">
        <v>59</v>
      </c>
      <c r="GJ1562" s="1108" t="s">
        <v>58710</v>
      </c>
      <c r="GK1562" s="1108" t="s">
        <v>58709</v>
      </c>
    </row>
    <row r="1563" spans="1:193">
      <c r="A1563" s="1108" t="s">
        <v>59373</v>
      </c>
      <c r="B1563" s="1108" t="s">
        <v>59372</v>
      </c>
      <c r="C1563" s="1108">
        <v>188</v>
      </c>
      <c r="GJ1563" s="1108" t="s">
        <v>58710</v>
      </c>
      <c r="GK1563" s="1108" t="s">
        <v>58709</v>
      </c>
    </row>
    <row r="1564" spans="1:193">
      <c r="A1564" s="1108" t="s">
        <v>59371</v>
      </c>
      <c r="B1564" s="1108" t="s">
        <v>59370</v>
      </c>
      <c r="C1564" s="1108">
        <v>188</v>
      </c>
      <c r="GJ1564" s="1108" t="s">
        <v>58710</v>
      </c>
      <c r="GK1564" s="1108" t="s">
        <v>58709</v>
      </c>
    </row>
    <row r="1565" spans="1:193">
      <c r="A1565" s="1108" t="s">
        <v>59369</v>
      </c>
      <c r="B1565" s="1108" t="s">
        <v>59368</v>
      </c>
      <c r="C1565" s="1108">
        <v>155</v>
      </c>
      <c r="GJ1565" s="1108" t="s">
        <v>58710</v>
      </c>
      <c r="GK1565" s="1108" t="s">
        <v>58709</v>
      </c>
    </row>
    <row r="1566" spans="1:193">
      <c r="A1566" s="1108" t="s">
        <v>59367</v>
      </c>
      <c r="B1566" s="1108" t="s">
        <v>59366</v>
      </c>
      <c r="C1566" s="1108">
        <v>131</v>
      </c>
      <c r="GJ1566" s="1108" t="s">
        <v>58710</v>
      </c>
      <c r="GK1566" s="1108" t="s">
        <v>58709</v>
      </c>
    </row>
    <row r="1567" spans="1:193">
      <c r="A1567" s="1108" t="s">
        <v>59365</v>
      </c>
      <c r="B1567" s="1108" t="s">
        <v>59364</v>
      </c>
      <c r="C1567" s="1108">
        <v>134</v>
      </c>
      <c r="GJ1567" s="1108" t="s">
        <v>58710</v>
      </c>
      <c r="GK1567" s="1108" t="s">
        <v>58709</v>
      </c>
    </row>
    <row r="1568" spans="1:193">
      <c r="A1568" s="1108" t="s">
        <v>59363</v>
      </c>
      <c r="B1568" s="1108" t="s">
        <v>59362</v>
      </c>
      <c r="C1568" s="1108">
        <v>220</v>
      </c>
      <c r="GJ1568" s="1108" t="s">
        <v>58710</v>
      </c>
      <c r="GK1568" s="1108" t="s">
        <v>58709</v>
      </c>
    </row>
    <row r="1569" spans="1:193">
      <c r="A1569" s="1108" t="s">
        <v>59361</v>
      </c>
      <c r="B1569" s="1108" t="s">
        <v>59360</v>
      </c>
      <c r="C1569" s="1108">
        <v>135</v>
      </c>
      <c r="GJ1569" s="1108" t="s">
        <v>58710</v>
      </c>
      <c r="GK1569" s="1108" t="s">
        <v>58709</v>
      </c>
    </row>
    <row r="1570" spans="1:193">
      <c r="A1570" s="1108" t="s">
        <v>59359</v>
      </c>
      <c r="B1570" s="1108" t="s">
        <v>59358</v>
      </c>
      <c r="C1570" s="1108">
        <v>135</v>
      </c>
      <c r="GJ1570" s="1108" t="s">
        <v>58710</v>
      </c>
      <c r="GK1570" s="1108" t="s">
        <v>58709</v>
      </c>
    </row>
    <row r="1571" spans="1:193">
      <c r="A1571" s="1108" t="s">
        <v>59357</v>
      </c>
      <c r="B1571" s="1108" t="s">
        <v>59356</v>
      </c>
      <c r="C1571" s="1108">
        <v>65</v>
      </c>
      <c r="GJ1571" s="1108" t="s">
        <v>58710</v>
      </c>
      <c r="GK1571" s="1108" t="s">
        <v>58709</v>
      </c>
    </row>
    <row r="1572" spans="1:193">
      <c r="A1572" s="1108" t="s">
        <v>59355</v>
      </c>
      <c r="B1572" s="1108" t="s">
        <v>59354</v>
      </c>
      <c r="C1572" s="1108">
        <v>135</v>
      </c>
      <c r="GJ1572" s="1108" t="s">
        <v>58710</v>
      </c>
      <c r="GK1572" s="1108" t="s">
        <v>58709</v>
      </c>
    </row>
    <row r="1573" spans="1:193">
      <c r="A1573" s="1108" t="s">
        <v>59353</v>
      </c>
      <c r="B1573" s="1108" t="s">
        <v>59352</v>
      </c>
      <c r="C1573" s="1108">
        <v>135</v>
      </c>
      <c r="GJ1573" s="1108" t="s">
        <v>58710</v>
      </c>
      <c r="GK1573" s="1108" t="s">
        <v>58709</v>
      </c>
    </row>
    <row r="1574" spans="1:193">
      <c r="A1574" s="1108" t="s">
        <v>59351</v>
      </c>
      <c r="B1574" s="1108" t="s">
        <v>59350</v>
      </c>
      <c r="C1574" s="1108">
        <v>65</v>
      </c>
      <c r="GJ1574" s="1108" t="s">
        <v>58710</v>
      </c>
      <c r="GK1574" s="1108" t="s">
        <v>58709</v>
      </c>
    </row>
    <row r="1575" spans="1:193">
      <c r="A1575" s="1108" t="s">
        <v>59349</v>
      </c>
      <c r="B1575" s="1108" t="s">
        <v>59348</v>
      </c>
      <c r="C1575" s="1108">
        <v>120</v>
      </c>
      <c r="GJ1575" s="1108" t="s">
        <v>58710</v>
      </c>
      <c r="GK1575" s="1108" t="s">
        <v>58709</v>
      </c>
    </row>
    <row r="1576" spans="1:193">
      <c r="A1576" s="1108" t="s">
        <v>59347</v>
      </c>
      <c r="B1576" s="1108" t="s">
        <v>59346</v>
      </c>
      <c r="C1576" s="1108">
        <v>109</v>
      </c>
      <c r="GJ1576" s="1108" t="s">
        <v>58710</v>
      </c>
      <c r="GK1576" s="1108" t="s">
        <v>58709</v>
      </c>
    </row>
    <row r="1577" spans="1:193">
      <c r="A1577" s="1108" t="s">
        <v>59345</v>
      </c>
      <c r="B1577" s="1108" t="s">
        <v>59344</v>
      </c>
      <c r="C1577" s="1108">
        <v>99</v>
      </c>
      <c r="GJ1577" s="1108" t="s">
        <v>58710</v>
      </c>
      <c r="GK1577" s="1108" t="s">
        <v>58709</v>
      </c>
    </row>
    <row r="1578" spans="1:193">
      <c r="A1578" s="1108" t="s">
        <v>59343</v>
      </c>
      <c r="B1578" s="1108" t="s">
        <v>59342</v>
      </c>
      <c r="C1578" s="1108">
        <v>72</v>
      </c>
      <c r="GJ1578" s="1108" t="s">
        <v>58710</v>
      </c>
      <c r="GK1578" s="1108" t="s">
        <v>58709</v>
      </c>
    </row>
    <row r="1579" spans="1:193">
      <c r="A1579" s="1108" t="s">
        <v>59341</v>
      </c>
      <c r="B1579" s="1108" t="s">
        <v>59340</v>
      </c>
      <c r="C1579" s="1108">
        <v>76</v>
      </c>
      <c r="GJ1579" s="1108" t="s">
        <v>58710</v>
      </c>
      <c r="GK1579" s="1108" t="s">
        <v>58709</v>
      </c>
    </row>
    <row r="1580" spans="1:193">
      <c r="A1580" s="1108" t="s">
        <v>59339</v>
      </c>
      <c r="B1580" s="1108" t="s">
        <v>59338</v>
      </c>
      <c r="C1580" s="1108">
        <v>76</v>
      </c>
      <c r="GJ1580" s="1108" t="s">
        <v>58710</v>
      </c>
      <c r="GK1580" s="1108" t="s">
        <v>58709</v>
      </c>
    </row>
    <row r="1581" spans="1:193">
      <c r="A1581" s="1108" t="s">
        <v>59337</v>
      </c>
      <c r="B1581" s="1108" t="s">
        <v>59336</v>
      </c>
      <c r="C1581" s="1108">
        <v>99</v>
      </c>
      <c r="GJ1581" s="1108" t="s">
        <v>58710</v>
      </c>
      <c r="GK1581" s="1108" t="s">
        <v>58709</v>
      </c>
    </row>
    <row r="1582" spans="1:193">
      <c r="A1582" s="1108" t="s">
        <v>59335</v>
      </c>
      <c r="B1582" s="1108" t="s">
        <v>59334</v>
      </c>
      <c r="C1582" s="1108">
        <v>76</v>
      </c>
      <c r="GJ1582" s="1108" t="s">
        <v>58710</v>
      </c>
      <c r="GK1582" s="1108" t="s">
        <v>58709</v>
      </c>
    </row>
    <row r="1583" spans="1:193">
      <c r="A1583" s="1108" t="s">
        <v>59333</v>
      </c>
      <c r="B1583" s="1108" t="s">
        <v>59332</v>
      </c>
      <c r="C1583" s="1108">
        <v>99</v>
      </c>
      <c r="GJ1583" s="1108" t="s">
        <v>58710</v>
      </c>
      <c r="GK1583" s="1108" t="s">
        <v>58709</v>
      </c>
    </row>
    <row r="1584" spans="1:193">
      <c r="A1584" s="1108" t="s">
        <v>59331</v>
      </c>
      <c r="B1584" s="1108" t="s">
        <v>59330</v>
      </c>
      <c r="C1584" s="1108">
        <v>242</v>
      </c>
      <c r="GJ1584" s="1108" t="s">
        <v>58710</v>
      </c>
      <c r="GK1584" s="1108" t="s">
        <v>58709</v>
      </c>
    </row>
    <row r="1585" spans="1:193">
      <c r="A1585" s="1108" t="s">
        <v>59329</v>
      </c>
      <c r="B1585" s="1108" t="s">
        <v>59328</v>
      </c>
      <c r="C1585" s="1108">
        <v>204</v>
      </c>
      <c r="GJ1585" s="1108" t="s">
        <v>58710</v>
      </c>
      <c r="GK1585" s="1108" t="s">
        <v>58709</v>
      </c>
    </row>
    <row r="1586" spans="1:193">
      <c r="A1586" s="1108" t="s">
        <v>59327</v>
      </c>
      <c r="B1586" s="1108" t="s">
        <v>59326</v>
      </c>
      <c r="C1586" s="1108">
        <v>211</v>
      </c>
      <c r="GJ1586" s="1108" t="s">
        <v>58710</v>
      </c>
      <c r="GK1586" s="1108" t="s">
        <v>58709</v>
      </c>
    </row>
    <row r="1587" spans="1:193">
      <c r="A1587" s="1108" t="s">
        <v>59325</v>
      </c>
      <c r="B1587" s="1108" t="s">
        <v>59324</v>
      </c>
      <c r="C1587" s="1108">
        <v>201</v>
      </c>
      <c r="GJ1587" s="1108" t="s">
        <v>58710</v>
      </c>
      <c r="GK1587" s="1108" t="s">
        <v>58709</v>
      </c>
    </row>
    <row r="1588" spans="1:193">
      <c r="A1588" s="1108" t="s">
        <v>59323</v>
      </c>
      <c r="B1588" s="1108" t="s">
        <v>59322</v>
      </c>
      <c r="C1588" s="1108">
        <v>587</v>
      </c>
      <c r="GJ1588" s="1108" t="s">
        <v>58710</v>
      </c>
      <c r="GK1588" s="1108" t="s">
        <v>58709</v>
      </c>
    </row>
    <row r="1589" spans="1:193">
      <c r="A1589" s="1108" t="s">
        <v>59321</v>
      </c>
      <c r="B1589" s="1108" t="s">
        <v>59320</v>
      </c>
      <c r="C1589" s="1108">
        <v>586</v>
      </c>
      <c r="GJ1589" s="1108" t="s">
        <v>58710</v>
      </c>
      <c r="GK1589" s="1108" t="s">
        <v>58709</v>
      </c>
    </row>
    <row r="1590" spans="1:193">
      <c r="A1590" s="1108" t="s">
        <v>59319</v>
      </c>
      <c r="B1590" s="1108" t="s">
        <v>59318</v>
      </c>
      <c r="C1590" s="1108">
        <v>200</v>
      </c>
      <c r="GJ1590" s="1108" t="s">
        <v>58710</v>
      </c>
      <c r="GK1590" s="1108" t="s">
        <v>58709</v>
      </c>
    </row>
    <row r="1591" spans="1:193">
      <c r="A1591" s="1108" t="s">
        <v>59317</v>
      </c>
      <c r="B1591" s="1108" t="s">
        <v>59316</v>
      </c>
      <c r="C1591" s="1108">
        <v>411</v>
      </c>
      <c r="GJ1591" s="1108" t="s">
        <v>58710</v>
      </c>
      <c r="GK1591" s="1108" t="s">
        <v>58709</v>
      </c>
    </row>
    <row r="1592" spans="1:193">
      <c r="A1592" s="1108" t="s">
        <v>59315</v>
      </c>
      <c r="B1592" s="1108" t="s">
        <v>59314</v>
      </c>
      <c r="C1592" s="1108">
        <v>509</v>
      </c>
      <c r="GJ1592" s="1108" t="s">
        <v>58710</v>
      </c>
      <c r="GK1592" s="1108" t="s">
        <v>58709</v>
      </c>
    </row>
    <row r="1593" spans="1:193">
      <c r="A1593" s="1108">
        <v>17616</v>
      </c>
      <c r="B1593" s="1108" t="s">
        <v>59313</v>
      </c>
      <c r="C1593" s="1108">
        <v>41</v>
      </c>
      <c r="GJ1593" s="1108" t="s">
        <v>58710</v>
      </c>
      <c r="GK1593" s="1108" t="s">
        <v>58709</v>
      </c>
    </row>
    <row r="1594" spans="1:193">
      <c r="A1594" s="1108">
        <v>17617</v>
      </c>
      <c r="B1594" s="1108" t="s">
        <v>59312</v>
      </c>
      <c r="C1594" s="1108">
        <v>41</v>
      </c>
      <c r="GJ1594" s="1108" t="s">
        <v>58710</v>
      </c>
      <c r="GK1594" s="1108" t="s">
        <v>58709</v>
      </c>
    </row>
    <row r="1595" spans="1:193">
      <c r="A1595" s="1108" t="s">
        <v>59311</v>
      </c>
      <c r="B1595" s="1108" t="s">
        <v>59310</v>
      </c>
      <c r="C1595" s="1108">
        <v>44</v>
      </c>
      <c r="GJ1595" s="1108" t="s">
        <v>58710</v>
      </c>
      <c r="GK1595" s="1108" t="s">
        <v>58709</v>
      </c>
    </row>
    <row r="1596" spans="1:193">
      <c r="A1596" s="1108" t="s">
        <v>59309</v>
      </c>
      <c r="B1596" s="1108" t="s">
        <v>59308</v>
      </c>
      <c r="C1596" s="1108">
        <v>49</v>
      </c>
      <c r="GJ1596" s="1108" t="s">
        <v>58710</v>
      </c>
      <c r="GK1596" s="1108" t="s">
        <v>58709</v>
      </c>
    </row>
    <row r="1597" spans="1:193">
      <c r="A1597" s="1108" t="s">
        <v>59307</v>
      </c>
      <c r="B1597" s="1108" t="s">
        <v>59306</v>
      </c>
      <c r="C1597" s="1108">
        <v>61</v>
      </c>
      <c r="GJ1597" s="1108" t="s">
        <v>58710</v>
      </c>
      <c r="GK1597" s="1108" t="s">
        <v>58709</v>
      </c>
    </row>
    <row r="1598" spans="1:193">
      <c r="A1598" s="1108" t="s">
        <v>59305</v>
      </c>
      <c r="B1598" s="1108" t="s">
        <v>59304</v>
      </c>
      <c r="C1598" s="1108">
        <v>59</v>
      </c>
      <c r="GJ1598" s="1108" t="s">
        <v>58710</v>
      </c>
      <c r="GK1598" s="1108" t="s">
        <v>58709</v>
      </c>
    </row>
    <row r="1599" spans="1:193">
      <c r="A1599" s="1108" t="s">
        <v>59303</v>
      </c>
      <c r="B1599" s="1108" t="s">
        <v>59302</v>
      </c>
      <c r="C1599" s="1108">
        <v>36</v>
      </c>
      <c r="GJ1599" s="1108" t="s">
        <v>58710</v>
      </c>
      <c r="GK1599" s="1108" t="s">
        <v>58709</v>
      </c>
    </row>
    <row r="1600" spans="1:193">
      <c r="A1600" s="1108" t="s">
        <v>59301</v>
      </c>
      <c r="B1600" s="1108" t="s">
        <v>59300</v>
      </c>
      <c r="C1600" s="1108">
        <v>34</v>
      </c>
      <c r="GJ1600" s="1108" t="s">
        <v>58710</v>
      </c>
      <c r="GK1600" s="1108" t="s">
        <v>58709</v>
      </c>
    </row>
    <row r="1601" spans="1:193">
      <c r="A1601" s="1108" t="s">
        <v>59299</v>
      </c>
      <c r="B1601" s="1108" t="s">
        <v>59298</v>
      </c>
      <c r="C1601" s="1108">
        <v>74</v>
      </c>
      <c r="GJ1601" s="1108" t="s">
        <v>58710</v>
      </c>
      <c r="GK1601" s="1108" t="s">
        <v>58709</v>
      </c>
    </row>
    <row r="1602" spans="1:193">
      <c r="A1602" s="1108" t="s">
        <v>59297</v>
      </c>
      <c r="B1602" s="1108" t="s">
        <v>59296</v>
      </c>
      <c r="C1602" s="1108">
        <v>89</v>
      </c>
      <c r="GJ1602" s="1108" t="s">
        <v>58710</v>
      </c>
      <c r="GK1602" s="1108" t="s">
        <v>58709</v>
      </c>
    </row>
    <row r="1603" spans="1:193">
      <c r="A1603" s="1108" t="s">
        <v>59295</v>
      </c>
      <c r="B1603" s="1108" t="s">
        <v>59294</v>
      </c>
      <c r="C1603" s="1108">
        <v>79</v>
      </c>
      <c r="GJ1603" s="1108" t="s">
        <v>58710</v>
      </c>
      <c r="GK1603" s="1108" t="s">
        <v>58709</v>
      </c>
    </row>
    <row r="1604" spans="1:193">
      <c r="A1604" s="1108" t="s">
        <v>59293</v>
      </c>
      <c r="B1604" s="1108" t="s">
        <v>59292</v>
      </c>
      <c r="C1604" s="1108">
        <v>93</v>
      </c>
      <c r="GJ1604" s="1108" t="s">
        <v>58710</v>
      </c>
      <c r="GK1604" s="1108" t="s">
        <v>58709</v>
      </c>
    </row>
    <row r="1605" spans="1:193">
      <c r="A1605" s="1108" t="s">
        <v>59291</v>
      </c>
      <c r="B1605" s="1108" t="s">
        <v>59290</v>
      </c>
      <c r="C1605" s="1108">
        <v>54</v>
      </c>
      <c r="GJ1605" s="1108" t="s">
        <v>58710</v>
      </c>
      <c r="GK1605" s="1108" t="s">
        <v>58709</v>
      </c>
    </row>
    <row r="1606" spans="1:193">
      <c r="A1606" s="1108" t="s">
        <v>59289</v>
      </c>
      <c r="B1606" s="1108" t="s">
        <v>59288</v>
      </c>
      <c r="C1606" s="1108">
        <v>30</v>
      </c>
      <c r="GJ1606" s="1108" t="s">
        <v>58710</v>
      </c>
      <c r="GK1606" s="1108" t="s">
        <v>58709</v>
      </c>
    </row>
    <row r="1607" spans="1:193">
      <c r="A1607" s="1108" t="s">
        <v>59287</v>
      </c>
      <c r="B1607" s="1108" t="s">
        <v>59286</v>
      </c>
      <c r="C1607" s="1108">
        <v>79</v>
      </c>
      <c r="GJ1607" s="1108" t="s">
        <v>58710</v>
      </c>
      <c r="GK1607" s="1108" t="s">
        <v>58709</v>
      </c>
    </row>
    <row r="1608" spans="1:193">
      <c r="A1608" s="1108" t="s">
        <v>59285</v>
      </c>
      <c r="B1608" s="1108" t="s">
        <v>59284</v>
      </c>
      <c r="C1608" s="1108">
        <v>91</v>
      </c>
      <c r="GJ1608" s="1108" t="s">
        <v>58710</v>
      </c>
      <c r="GK1608" s="1108" t="s">
        <v>58709</v>
      </c>
    </row>
    <row r="1609" spans="1:193">
      <c r="A1609" s="1108" t="s">
        <v>59283</v>
      </c>
      <c r="B1609" s="1108" t="s">
        <v>59282</v>
      </c>
      <c r="C1609" s="1108">
        <v>510</v>
      </c>
      <c r="GJ1609" s="1108" t="s">
        <v>58710</v>
      </c>
      <c r="GK1609" s="1108" t="s">
        <v>58709</v>
      </c>
    </row>
    <row r="1610" spans="1:193">
      <c r="A1610" s="1108" t="s">
        <v>59281</v>
      </c>
      <c r="B1610" s="1108" t="s">
        <v>59280</v>
      </c>
      <c r="C1610" s="1108">
        <v>510</v>
      </c>
      <c r="GJ1610" s="1108" t="s">
        <v>58710</v>
      </c>
      <c r="GK1610" s="1108" t="s">
        <v>58709</v>
      </c>
    </row>
    <row r="1611" spans="1:193">
      <c r="A1611" s="1108" t="s">
        <v>59279</v>
      </c>
      <c r="B1611" s="1108" t="s">
        <v>59278</v>
      </c>
      <c r="C1611" s="1108">
        <v>510</v>
      </c>
      <c r="GJ1611" s="1108" t="s">
        <v>58710</v>
      </c>
      <c r="GK1611" s="1108" t="s">
        <v>58709</v>
      </c>
    </row>
    <row r="1612" spans="1:193">
      <c r="A1612" s="1108" t="s">
        <v>59277</v>
      </c>
      <c r="B1612" s="1108" t="s">
        <v>59276</v>
      </c>
      <c r="C1612" s="1108">
        <v>251</v>
      </c>
      <c r="GJ1612" s="1108" t="s">
        <v>58710</v>
      </c>
      <c r="GK1612" s="1108" t="s">
        <v>58709</v>
      </c>
    </row>
    <row r="1613" spans="1:193">
      <c r="A1613" s="1108" t="s">
        <v>59275</v>
      </c>
      <c r="B1613" s="1108" t="s">
        <v>59274</v>
      </c>
      <c r="C1613" s="1108">
        <v>86</v>
      </c>
      <c r="GJ1613" s="1108" t="s">
        <v>58710</v>
      </c>
      <c r="GK1613" s="1108" t="s">
        <v>58709</v>
      </c>
    </row>
    <row r="1614" spans="1:193">
      <c r="A1614" s="1108" t="s">
        <v>59273</v>
      </c>
      <c r="B1614" s="1108" t="s">
        <v>59272</v>
      </c>
      <c r="C1614" s="1108">
        <v>86</v>
      </c>
      <c r="GJ1614" s="1108" t="s">
        <v>58710</v>
      </c>
      <c r="GK1614" s="1108" t="s">
        <v>58709</v>
      </c>
    </row>
    <row r="1615" spans="1:193">
      <c r="A1615" s="1108" t="s">
        <v>59271</v>
      </c>
      <c r="B1615" s="1108" t="s">
        <v>59270</v>
      </c>
      <c r="C1615" s="1108">
        <v>71</v>
      </c>
      <c r="GJ1615" s="1108" t="s">
        <v>58710</v>
      </c>
      <c r="GK1615" s="1108" t="s">
        <v>58709</v>
      </c>
    </row>
    <row r="1616" spans="1:193">
      <c r="A1616" s="1108" t="s">
        <v>59269</v>
      </c>
      <c r="B1616" s="1108" t="s">
        <v>59268</v>
      </c>
      <c r="C1616" s="1108">
        <v>45</v>
      </c>
      <c r="GJ1616" s="1108" t="s">
        <v>58710</v>
      </c>
      <c r="GK1616" s="1108" t="s">
        <v>58709</v>
      </c>
    </row>
    <row r="1617" spans="1:193">
      <c r="A1617" s="1108" t="s">
        <v>59267</v>
      </c>
      <c r="B1617" s="1108" t="s">
        <v>59266</v>
      </c>
      <c r="C1617" s="1108">
        <v>49</v>
      </c>
      <c r="GJ1617" s="1108" t="s">
        <v>58710</v>
      </c>
      <c r="GK1617" s="1108" t="s">
        <v>58709</v>
      </c>
    </row>
    <row r="1618" spans="1:193">
      <c r="A1618" s="1108" t="s">
        <v>59265</v>
      </c>
      <c r="B1618" s="1108" t="s">
        <v>59264</v>
      </c>
      <c r="C1618" s="1108">
        <v>247</v>
      </c>
      <c r="GJ1618" s="1108" t="s">
        <v>58710</v>
      </c>
      <c r="GK1618" s="1108" t="s">
        <v>58709</v>
      </c>
    </row>
    <row r="1619" spans="1:193">
      <c r="A1619" s="1108" t="s">
        <v>59263</v>
      </c>
      <c r="B1619" s="1108" t="s">
        <v>59262</v>
      </c>
      <c r="C1619" s="1108">
        <v>530</v>
      </c>
      <c r="GJ1619" s="1108" t="s">
        <v>58710</v>
      </c>
      <c r="GK1619" s="1108" t="s">
        <v>58709</v>
      </c>
    </row>
    <row r="1620" spans="1:193">
      <c r="A1620" s="1108" t="s">
        <v>59261</v>
      </c>
      <c r="B1620" s="1108" t="s">
        <v>59260</v>
      </c>
      <c r="C1620" s="1108">
        <v>530</v>
      </c>
      <c r="GJ1620" s="1108" t="s">
        <v>58710</v>
      </c>
      <c r="GK1620" s="1108" t="s">
        <v>58709</v>
      </c>
    </row>
    <row r="1621" spans="1:193">
      <c r="A1621" s="1108" t="s">
        <v>59259</v>
      </c>
      <c r="B1621" s="1108" t="s">
        <v>59258</v>
      </c>
      <c r="C1621" s="1108">
        <v>530</v>
      </c>
      <c r="GJ1621" s="1108" t="s">
        <v>58710</v>
      </c>
      <c r="GK1621" s="1108" t="s">
        <v>58709</v>
      </c>
    </row>
    <row r="1622" spans="1:193">
      <c r="A1622" s="1108" t="s">
        <v>59257</v>
      </c>
      <c r="B1622" s="1108" t="s">
        <v>59256</v>
      </c>
      <c r="C1622" s="1108">
        <v>554</v>
      </c>
      <c r="GJ1622" s="1108" t="s">
        <v>58710</v>
      </c>
      <c r="GK1622" s="1108" t="s">
        <v>58709</v>
      </c>
    </row>
    <row r="1623" spans="1:193">
      <c r="A1623" s="1108" t="s">
        <v>59255</v>
      </c>
      <c r="B1623" s="1108" t="s">
        <v>59254</v>
      </c>
      <c r="C1623" s="1108">
        <v>79</v>
      </c>
      <c r="GJ1623" s="1108" t="s">
        <v>58710</v>
      </c>
      <c r="GK1623" s="1108" t="s">
        <v>58709</v>
      </c>
    </row>
    <row r="1624" spans="1:193">
      <c r="A1624" s="1108" t="s">
        <v>59253</v>
      </c>
      <c r="B1624" s="1108" t="s">
        <v>59252</v>
      </c>
      <c r="C1624" s="1108">
        <v>89</v>
      </c>
      <c r="GJ1624" s="1108" t="s">
        <v>58710</v>
      </c>
      <c r="GK1624" s="1108" t="s">
        <v>58709</v>
      </c>
    </row>
    <row r="1625" spans="1:193">
      <c r="A1625" s="1108" t="s">
        <v>59251</v>
      </c>
      <c r="B1625" s="1108" t="s">
        <v>59250</v>
      </c>
      <c r="C1625" s="1108">
        <v>261</v>
      </c>
      <c r="GJ1625" s="1108" t="s">
        <v>58710</v>
      </c>
      <c r="GK1625" s="1108" t="s">
        <v>58709</v>
      </c>
    </row>
    <row r="1626" spans="1:193">
      <c r="A1626" s="1108" t="s">
        <v>59249</v>
      </c>
      <c r="B1626" s="1108" t="s">
        <v>59248</v>
      </c>
      <c r="C1626" s="1108">
        <v>74</v>
      </c>
      <c r="GJ1626" s="1108" t="s">
        <v>58710</v>
      </c>
      <c r="GK1626" s="1108" t="s">
        <v>58709</v>
      </c>
    </row>
    <row r="1627" spans="1:193">
      <c r="A1627" s="1108" t="s">
        <v>59247</v>
      </c>
      <c r="B1627" s="1108" t="s">
        <v>59246</v>
      </c>
      <c r="C1627" s="1108">
        <v>233</v>
      </c>
      <c r="GJ1627" s="1108" t="s">
        <v>58710</v>
      </c>
      <c r="GK1627" s="1108" t="s">
        <v>58709</v>
      </c>
    </row>
    <row r="1628" spans="1:193">
      <c r="A1628" s="1108" t="s">
        <v>59245</v>
      </c>
      <c r="B1628" s="1108" t="s">
        <v>59244</v>
      </c>
      <c r="C1628" s="1108">
        <v>84</v>
      </c>
      <c r="GJ1628" s="1108" t="s">
        <v>58710</v>
      </c>
      <c r="GK1628" s="1108" t="s">
        <v>58709</v>
      </c>
    </row>
    <row r="1629" spans="1:193">
      <c r="A1629" s="1108" t="s">
        <v>59243</v>
      </c>
      <c r="B1629" s="1108" t="s">
        <v>59242</v>
      </c>
      <c r="C1629" s="1108">
        <v>238</v>
      </c>
      <c r="GJ1629" s="1108" t="s">
        <v>58710</v>
      </c>
      <c r="GK1629" s="1108" t="s">
        <v>58709</v>
      </c>
    </row>
    <row r="1630" spans="1:193">
      <c r="A1630" s="1108" t="s">
        <v>59241</v>
      </c>
      <c r="B1630" s="1108" t="s">
        <v>59240</v>
      </c>
      <c r="C1630" s="1108">
        <v>255</v>
      </c>
      <c r="GJ1630" s="1108" t="s">
        <v>58710</v>
      </c>
      <c r="GK1630" s="1108" t="s">
        <v>58709</v>
      </c>
    </row>
    <row r="1631" spans="1:193">
      <c r="A1631" s="1108" t="s">
        <v>59239</v>
      </c>
      <c r="B1631" s="1108" t="s">
        <v>59238</v>
      </c>
      <c r="C1631" s="1108">
        <v>1139</v>
      </c>
      <c r="GJ1631" s="1108" t="s">
        <v>58710</v>
      </c>
      <c r="GK1631" s="1108" t="s">
        <v>58709</v>
      </c>
    </row>
    <row r="1632" spans="1:193">
      <c r="A1632" s="1108" t="s">
        <v>59237</v>
      </c>
      <c r="B1632" s="1108" t="s">
        <v>59236</v>
      </c>
      <c r="C1632" s="1108">
        <v>1139</v>
      </c>
      <c r="GJ1632" s="1108" t="s">
        <v>58710</v>
      </c>
      <c r="GK1632" s="1108" t="s">
        <v>58709</v>
      </c>
    </row>
    <row r="1633" spans="1:193">
      <c r="A1633" s="1108" t="s">
        <v>59235</v>
      </c>
      <c r="B1633" s="1108" t="s">
        <v>59234</v>
      </c>
      <c r="C1633" s="1108">
        <v>903</v>
      </c>
      <c r="GJ1633" s="1108" t="s">
        <v>58710</v>
      </c>
      <c r="GK1633" s="1108" t="s">
        <v>58709</v>
      </c>
    </row>
    <row r="1634" spans="1:193">
      <c r="A1634" s="1108" t="s">
        <v>59233</v>
      </c>
      <c r="B1634" s="1108" t="s">
        <v>59232</v>
      </c>
      <c r="C1634" s="1108">
        <v>609</v>
      </c>
      <c r="GJ1634" s="1108" t="s">
        <v>58710</v>
      </c>
      <c r="GK1634" s="1108" t="s">
        <v>58709</v>
      </c>
    </row>
    <row r="1635" spans="1:193">
      <c r="A1635" s="1108" t="s">
        <v>59231</v>
      </c>
      <c r="B1635" s="1108" t="s">
        <v>59230</v>
      </c>
      <c r="C1635" s="1108">
        <v>890</v>
      </c>
      <c r="GJ1635" s="1108" t="s">
        <v>58710</v>
      </c>
      <c r="GK1635" s="1108" t="s">
        <v>58709</v>
      </c>
    </row>
    <row r="1636" spans="1:193">
      <c r="A1636" s="1108" t="s">
        <v>59229</v>
      </c>
      <c r="B1636" s="1108" t="s">
        <v>59228</v>
      </c>
      <c r="C1636" s="1108">
        <v>1166</v>
      </c>
      <c r="GJ1636" s="1108" t="s">
        <v>58710</v>
      </c>
      <c r="GK1636" s="1108" t="s">
        <v>58709</v>
      </c>
    </row>
    <row r="1637" spans="1:193">
      <c r="A1637" s="1108" t="s">
        <v>59227</v>
      </c>
      <c r="B1637" s="1108" t="s">
        <v>59226</v>
      </c>
      <c r="C1637" s="1108">
        <v>277</v>
      </c>
      <c r="GJ1637" s="1108" t="s">
        <v>58710</v>
      </c>
      <c r="GK1637" s="1108" t="s">
        <v>58709</v>
      </c>
    </row>
    <row r="1638" spans="1:193">
      <c r="A1638" s="1108" t="s">
        <v>59225</v>
      </c>
      <c r="B1638" s="1108" t="s">
        <v>59224</v>
      </c>
      <c r="C1638" s="1108">
        <v>299</v>
      </c>
      <c r="GJ1638" s="1108" t="s">
        <v>58710</v>
      </c>
      <c r="GK1638" s="1108" t="s">
        <v>58709</v>
      </c>
    </row>
    <row r="1639" spans="1:193">
      <c r="A1639" s="1108" t="s">
        <v>59223</v>
      </c>
      <c r="B1639" s="1108" t="s">
        <v>59222</v>
      </c>
      <c r="C1639" s="1108">
        <v>299</v>
      </c>
      <c r="GJ1639" s="1108" t="s">
        <v>58710</v>
      </c>
      <c r="GK1639" s="1108" t="s">
        <v>58709</v>
      </c>
    </row>
    <row r="1640" spans="1:193">
      <c r="A1640" s="1108" t="s">
        <v>59221</v>
      </c>
      <c r="B1640" s="1108" t="s">
        <v>59220</v>
      </c>
      <c r="C1640" s="1108">
        <v>130</v>
      </c>
      <c r="GJ1640" s="1108" t="s">
        <v>58710</v>
      </c>
      <c r="GK1640" s="1108" t="s">
        <v>58709</v>
      </c>
    </row>
    <row r="1641" spans="1:193">
      <c r="A1641" s="1108" t="s">
        <v>59219</v>
      </c>
      <c r="B1641" s="1108" t="s">
        <v>59218</v>
      </c>
      <c r="C1641" s="1108">
        <v>130</v>
      </c>
      <c r="GJ1641" s="1108" t="s">
        <v>58710</v>
      </c>
      <c r="GK1641" s="1108" t="s">
        <v>58709</v>
      </c>
    </row>
    <row r="1642" spans="1:193">
      <c r="A1642" s="1108" t="s">
        <v>59217</v>
      </c>
      <c r="B1642" s="1108" t="s">
        <v>59216</v>
      </c>
      <c r="C1642" s="1108">
        <v>174</v>
      </c>
      <c r="GJ1642" s="1108" t="s">
        <v>58710</v>
      </c>
      <c r="GK1642" s="1108" t="s">
        <v>58709</v>
      </c>
    </row>
    <row r="1643" spans="1:193">
      <c r="A1643" s="1108" t="s">
        <v>59215</v>
      </c>
      <c r="B1643" s="1108" t="s">
        <v>59214</v>
      </c>
      <c r="C1643" s="1108">
        <v>189</v>
      </c>
      <c r="GJ1643" s="1108" t="s">
        <v>58710</v>
      </c>
      <c r="GK1643" s="1108" t="s">
        <v>58709</v>
      </c>
    </row>
    <row r="1644" spans="1:193">
      <c r="A1644" s="1108" t="s">
        <v>59213</v>
      </c>
      <c r="B1644" s="1108" t="s">
        <v>59212</v>
      </c>
      <c r="C1644" s="1108">
        <v>168</v>
      </c>
      <c r="GJ1644" s="1108" t="s">
        <v>58710</v>
      </c>
      <c r="GK1644" s="1108" t="s">
        <v>58709</v>
      </c>
    </row>
    <row r="1645" spans="1:193">
      <c r="A1645" s="1108" t="s">
        <v>59211</v>
      </c>
      <c r="B1645" s="1108" t="s">
        <v>59210</v>
      </c>
      <c r="C1645" s="1108">
        <v>78</v>
      </c>
      <c r="GJ1645" s="1108" t="s">
        <v>58710</v>
      </c>
      <c r="GK1645" s="1108" t="s">
        <v>58709</v>
      </c>
    </row>
    <row r="1646" spans="1:193">
      <c r="A1646" s="1108" t="s">
        <v>59209</v>
      </c>
      <c r="B1646" s="1108" t="s">
        <v>59208</v>
      </c>
      <c r="C1646" s="1108">
        <v>78</v>
      </c>
      <c r="GJ1646" s="1108" t="s">
        <v>58710</v>
      </c>
      <c r="GK1646" s="1108" t="s">
        <v>58709</v>
      </c>
    </row>
    <row r="1647" spans="1:193">
      <c r="A1647" s="1108" t="s">
        <v>59207</v>
      </c>
      <c r="B1647" s="1108" t="s">
        <v>59206</v>
      </c>
      <c r="C1647" s="1108">
        <v>70</v>
      </c>
      <c r="GJ1647" s="1108" t="s">
        <v>58710</v>
      </c>
      <c r="GK1647" s="1108" t="s">
        <v>58709</v>
      </c>
    </row>
    <row r="1648" spans="1:193">
      <c r="A1648" s="1108" t="s">
        <v>59205</v>
      </c>
      <c r="B1648" s="1108" t="s">
        <v>59204</v>
      </c>
      <c r="C1648" s="1108">
        <v>70</v>
      </c>
      <c r="GJ1648" s="1108" t="s">
        <v>58710</v>
      </c>
      <c r="GK1648" s="1108" t="s">
        <v>58709</v>
      </c>
    </row>
    <row r="1649" spans="1:193">
      <c r="A1649" s="1108" t="s">
        <v>59203</v>
      </c>
      <c r="B1649" s="1108" t="s">
        <v>59202</v>
      </c>
      <c r="C1649" s="1108">
        <v>204</v>
      </c>
      <c r="GJ1649" s="1108" t="s">
        <v>58710</v>
      </c>
      <c r="GK1649" s="1108" t="s">
        <v>58709</v>
      </c>
    </row>
    <row r="1650" spans="1:193">
      <c r="A1650" s="1108" t="s">
        <v>59201</v>
      </c>
      <c r="B1650" s="1108" t="s">
        <v>59200</v>
      </c>
      <c r="C1650" s="1108">
        <v>154</v>
      </c>
      <c r="GJ1650" s="1108" t="s">
        <v>58710</v>
      </c>
      <c r="GK1650" s="1108" t="s">
        <v>58709</v>
      </c>
    </row>
    <row r="1651" spans="1:193">
      <c r="A1651" s="1108" t="s">
        <v>59199</v>
      </c>
      <c r="B1651" s="1108" t="s">
        <v>59198</v>
      </c>
      <c r="C1651" s="1108">
        <v>130</v>
      </c>
      <c r="GJ1651" s="1108" t="s">
        <v>58710</v>
      </c>
      <c r="GK1651" s="1108" t="s">
        <v>58709</v>
      </c>
    </row>
    <row r="1652" spans="1:193">
      <c r="A1652" s="1108" t="s">
        <v>59197</v>
      </c>
      <c r="B1652" s="1108" t="s">
        <v>59196</v>
      </c>
      <c r="C1652" s="1108">
        <v>106</v>
      </c>
      <c r="GJ1652" s="1108" t="s">
        <v>58710</v>
      </c>
      <c r="GK1652" s="1108" t="s">
        <v>58709</v>
      </c>
    </row>
    <row r="1653" spans="1:193">
      <c r="A1653" s="1108" t="s">
        <v>59195</v>
      </c>
      <c r="B1653" s="1108" t="s">
        <v>59194</v>
      </c>
      <c r="C1653" s="1108">
        <v>72</v>
      </c>
      <c r="GJ1653" s="1108" t="s">
        <v>58710</v>
      </c>
      <c r="GK1653" s="1108" t="s">
        <v>58709</v>
      </c>
    </row>
    <row r="1654" spans="1:193">
      <c r="A1654" s="1108" t="s">
        <v>59193</v>
      </c>
      <c r="B1654" s="1108" t="s">
        <v>59192</v>
      </c>
      <c r="C1654" s="1108">
        <v>72</v>
      </c>
      <c r="GJ1654" s="1108" t="s">
        <v>58710</v>
      </c>
      <c r="GK1654" s="1108" t="s">
        <v>58709</v>
      </c>
    </row>
    <row r="1655" spans="1:193">
      <c r="A1655" s="1108" t="s">
        <v>59191</v>
      </c>
      <c r="B1655" s="1108" t="s">
        <v>59190</v>
      </c>
      <c r="C1655" s="1108">
        <v>50</v>
      </c>
      <c r="GJ1655" s="1108" t="s">
        <v>58710</v>
      </c>
      <c r="GK1655" s="1108" t="s">
        <v>58709</v>
      </c>
    </row>
    <row r="1656" spans="1:193">
      <c r="A1656" s="1108" t="s">
        <v>59189</v>
      </c>
      <c r="B1656" s="1108" t="s">
        <v>59188</v>
      </c>
      <c r="C1656" s="1108">
        <v>50</v>
      </c>
      <c r="GJ1656" s="1108" t="s">
        <v>58710</v>
      </c>
      <c r="GK1656" s="1108" t="s">
        <v>58709</v>
      </c>
    </row>
    <row r="1657" spans="1:193">
      <c r="A1657" s="1108" t="s">
        <v>59187</v>
      </c>
      <c r="B1657" s="1108" t="s">
        <v>59186</v>
      </c>
      <c r="C1657" s="1108">
        <v>128</v>
      </c>
      <c r="GJ1657" s="1108" t="s">
        <v>58710</v>
      </c>
      <c r="GK1657" s="1108" t="s">
        <v>58709</v>
      </c>
    </row>
    <row r="1658" spans="1:193">
      <c r="A1658" s="1108" t="s">
        <v>59185</v>
      </c>
      <c r="B1658" s="1108" t="s">
        <v>59184</v>
      </c>
      <c r="C1658" s="1108">
        <v>106</v>
      </c>
      <c r="GJ1658" s="1108" t="s">
        <v>58710</v>
      </c>
      <c r="GK1658" s="1108" t="s">
        <v>58709</v>
      </c>
    </row>
    <row r="1659" spans="1:193">
      <c r="A1659" s="1108" t="s">
        <v>59183</v>
      </c>
      <c r="B1659" s="1108" t="s">
        <v>59182</v>
      </c>
      <c r="C1659" s="1108">
        <v>150</v>
      </c>
      <c r="GJ1659" s="1108" t="s">
        <v>58710</v>
      </c>
      <c r="GK1659" s="1108" t="s">
        <v>58709</v>
      </c>
    </row>
    <row r="1660" spans="1:193">
      <c r="A1660" s="1108" t="s">
        <v>59181</v>
      </c>
      <c r="B1660" s="1108" t="s">
        <v>59180</v>
      </c>
      <c r="C1660" s="1108">
        <v>170</v>
      </c>
      <c r="GJ1660" s="1108" t="s">
        <v>58710</v>
      </c>
      <c r="GK1660" s="1108" t="s">
        <v>58709</v>
      </c>
    </row>
    <row r="1661" spans="1:193">
      <c r="A1661" s="1108" t="s">
        <v>59179</v>
      </c>
      <c r="B1661" s="1108" t="s">
        <v>59178</v>
      </c>
      <c r="C1661" s="1108">
        <v>129</v>
      </c>
      <c r="GJ1661" s="1108" t="s">
        <v>58710</v>
      </c>
      <c r="GK1661" s="1108" t="s">
        <v>58709</v>
      </c>
    </row>
    <row r="1662" spans="1:193">
      <c r="A1662" s="1108" t="s">
        <v>59177</v>
      </c>
      <c r="B1662" s="1108" t="s">
        <v>59176</v>
      </c>
      <c r="C1662" s="1108">
        <v>129</v>
      </c>
      <c r="GJ1662" s="1108" t="s">
        <v>58710</v>
      </c>
      <c r="GK1662" s="1108" t="s">
        <v>58709</v>
      </c>
    </row>
    <row r="1663" spans="1:193">
      <c r="A1663" s="1108" t="s">
        <v>59175</v>
      </c>
      <c r="B1663" s="1108" t="s">
        <v>59174</v>
      </c>
      <c r="C1663" s="1108">
        <v>121</v>
      </c>
      <c r="GJ1663" s="1108" t="s">
        <v>58710</v>
      </c>
      <c r="GK1663" s="1108" t="s">
        <v>58709</v>
      </c>
    </row>
    <row r="1664" spans="1:193">
      <c r="A1664" s="1108" t="s">
        <v>59173</v>
      </c>
      <c r="B1664" s="1108" t="s">
        <v>59172</v>
      </c>
      <c r="C1664" s="1108">
        <v>130</v>
      </c>
      <c r="GJ1664" s="1108" t="s">
        <v>58710</v>
      </c>
      <c r="GK1664" s="1108" t="s">
        <v>58709</v>
      </c>
    </row>
    <row r="1665" spans="1:193">
      <c r="A1665" s="1108" t="s">
        <v>59171</v>
      </c>
      <c r="B1665" s="1108" t="s">
        <v>59170</v>
      </c>
      <c r="C1665" s="1108">
        <v>142</v>
      </c>
      <c r="GJ1665" s="1108" t="s">
        <v>58710</v>
      </c>
      <c r="GK1665" s="1108" t="s">
        <v>58709</v>
      </c>
    </row>
    <row r="1666" spans="1:193">
      <c r="A1666" s="1108" t="s">
        <v>59169</v>
      </c>
      <c r="B1666" s="1108" t="s">
        <v>59168</v>
      </c>
      <c r="C1666" s="1108">
        <v>341</v>
      </c>
      <c r="GJ1666" s="1108" t="s">
        <v>58710</v>
      </c>
      <c r="GK1666" s="1108" t="s">
        <v>58709</v>
      </c>
    </row>
    <row r="1667" spans="1:193">
      <c r="A1667" s="1108" t="s">
        <v>59167</v>
      </c>
      <c r="B1667" s="1108" t="s">
        <v>59166</v>
      </c>
      <c r="C1667" s="1108">
        <v>341</v>
      </c>
      <c r="GJ1667" s="1108" t="s">
        <v>58710</v>
      </c>
      <c r="GK1667" s="1108" t="s">
        <v>58709</v>
      </c>
    </row>
    <row r="1668" spans="1:193">
      <c r="A1668" s="1108" t="s">
        <v>59165</v>
      </c>
      <c r="B1668" s="1108" t="s">
        <v>59164</v>
      </c>
      <c r="C1668" s="1108">
        <v>353</v>
      </c>
      <c r="GJ1668" s="1108" t="s">
        <v>58710</v>
      </c>
      <c r="GK1668" s="1108" t="s">
        <v>58709</v>
      </c>
    </row>
    <row r="1669" spans="1:193">
      <c r="A1669" s="1108" t="s">
        <v>59163</v>
      </c>
      <c r="B1669" s="1108" t="s">
        <v>59162</v>
      </c>
      <c r="C1669" s="1108">
        <v>35</v>
      </c>
      <c r="GJ1669" s="1108" t="s">
        <v>58710</v>
      </c>
      <c r="GK1669" s="1108" t="s">
        <v>58709</v>
      </c>
    </row>
    <row r="1670" spans="1:193">
      <c r="A1670" s="1108" t="s">
        <v>59161</v>
      </c>
      <c r="B1670" s="1108" t="s">
        <v>59160</v>
      </c>
      <c r="C1670" s="1108">
        <v>162</v>
      </c>
      <c r="GJ1670" s="1108" t="s">
        <v>58710</v>
      </c>
      <c r="GK1670" s="1108" t="s">
        <v>58709</v>
      </c>
    </row>
    <row r="1671" spans="1:193">
      <c r="A1671" s="1108" t="s">
        <v>59159</v>
      </c>
      <c r="B1671" s="1108" t="s">
        <v>59158</v>
      </c>
      <c r="C1671" s="1108">
        <v>162</v>
      </c>
      <c r="GJ1671" s="1108" t="s">
        <v>58710</v>
      </c>
      <c r="GK1671" s="1108" t="s">
        <v>58709</v>
      </c>
    </row>
    <row r="1672" spans="1:193">
      <c r="A1672" s="1108" t="s">
        <v>59157</v>
      </c>
      <c r="B1672" s="1108" t="s">
        <v>59156</v>
      </c>
      <c r="C1672" s="1108">
        <v>141</v>
      </c>
      <c r="GJ1672" s="1108" t="s">
        <v>58710</v>
      </c>
      <c r="GK1672" s="1108" t="s">
        <v>58709</v>
      </c>
    </row>
    <row r="1673" spans="1:193">
      <c r="A1673" s="1108" t="s">
        <v>59155</v>
      </c>
      <c r="B1673" s="1108" t="s">
        <v>59154</v>
      </c>
      <c r="C1673" s="1108">
        <v>162</v>
      </c>
      <c r="GJ1673" s="1108" t="s">
        <v>58710</v>
      </c>
      <c r="GK1673" s="1108" t="s">
        <v>58709</v>
      </c>
    </row>
    <row r="1674" spans="1:193">
      <c r="A1674" s="1108" t="s">
        <v>59153</v>
      </c>
      <c r="B1674" s="1108" t="s">
        <v>59152</v>
      </c>
      <c r="C1674" s="1108">
        <v>170</v>
      </c>
      <c r="GJ1674" s="1108" t="s">
        <v>58710</v>
      </c>
      <c r="GK1674" s="1108" t="s">
        <v>58709</v>
      </c>
    </row>
    <row r="1675" spans="1:193">
      <c r="A1675" s="1108" t="s">
        <v>59151</v>
      </c>
      <c r="B1675" s="1108" t="s">
        <v>59150</v>
      </c>
      <c r="C1675" s="1108">
        <v>134</v>
      </c>
      <c r="GJ1675" s="1108" t="s">
        <v>58710</v>
      </c>
      <c r="GK1675" s="1108" t="s">
        <v>58709</v>
      </c>
    </row>
    <row r="1676" spans="1:193">
      <c r="A1676" s="1108" t="s">
        <v>59149</v>
      </c>
      <c r="B1676" s="1108" t="s">
        <v>59148</v>
      </c>
      <c r="C1676" s="1108">
        <v>160</v>
      </c>
      <c r="GJ1676" s="1108" t="s">
        <v>58710</v>
      </c>
      <c r="GK1676" s="1108" t="s">
        <v>58709</v>
      </c>
    </row>
    <row r="1677" spans="1:193">
      <c r="A1677" s="1108" t="s">
        <v>59147</v>
      </c>
      <c r="B1677" s="1108" t="s">
        <v>59146</v>
      </c>
      <c r="C1677" s="1108">
        <v>45</v>
      </c>
      <c r="GJ1677" s="1108" t="s">
        <v>58710</v>
      </c>
      <c r="GK1677" s="1108" t="s">
        <v>58709</v>
      </c>
    </row>
    <row r="1678" spans="1:193">
      <c r="A1678" s="1108">
        <v>19161</v>
      </c>
      <c r="B1678" s="1108" t="s">
        <v>59145</v>
      </c>
      <c r="C1678" s="1108">
        <v>20</v>
      </c>
      <c r="GJ1678" s="1108" t="s">
        <v>58710</v>
      </c>
      <c r="GK1678" s="1108" t="s">
        <v>58709</v>
      </c>
    </row>
    <row r="1679" spans="1:193">
      <c r="A1679" s="1108">
        <v>19249</v>
      </c>
      <c r="B1679" s="1108" t="s">
        <v>59144</v>
      </c>
      <c r="C1679" s="1108">
        <v>23</v>
      </c>
      <c r="GJ1679" s="1108" t="s">
        <v>58710</v>
      </c>
      <c r="GK1679" s="1108" t="s">
        <v>58709</v>
      </c>
    </row>
    <row r="1680" spans="1:193">
      <c r="A1680" s="1108" t="s">
        <v>59143</v>
      </c>
      <c r="B1680" s="1108" t="s">
        <v>59142</v>
      </c>
      <c r="C1680" s="1108">
        <v>124</v>
      </c>
      <c r="GJ1680" s="1108" t="s">
        <v>58710</v>
      </c>
      <c r="GK1680" s="1108" t="s">
        <v>58709</v>
      </c>
    </row>
    <row r="1681" spans="1:193">
      <c r="A1681" s="1108" t="s">
        <v>59141</v>
      </c>
      <c r="B1681" s="1108" t="s">
        <v>59140</v>
      </c>
      <c r="C1681" s="1108">
        <v>101</v>
      </c>
      <c r="GJ1681" s="1108" t="s">
        <v>58710</v>
      </c>
      <c r="GK1681" s="1108" t="s">
        <v>58709</v>
      </c>
    </row>
    <row r="1682" spans="1:193">
      <c r="A1682" s="1108" t="s">
        <v>59139</v>
      </c>
      <c r="B1682" s="1108" t="s">
        <v>59138</v>
      </c>
      <c r="C1682" s="1108">
        <v>114</v>
      </c>
      <c r="GJ1682" s="1108" t="s">
        <v>58710</v>
      </c>
      <c r="GK1682" s="1108" t="s">
        <v>58709</v>
      </c>
    </row>
    <row r="1683" spans="1:193">
      <c r="A1683" s="1108" t="s">
        <v>59137</v>
      </c>
      <c r="B1683" s="1108" t="s">
        <v>59136</v>
      </c>
      <c r="C1683" s="1108">
        <v>223</v>
      </c>
      <c r="GJ1683" s="1108" t="s">
        <v>58710</v>
      </c>
      <c r="GK1683" s="1108" t="s">
        <v>58709</v>
      </c>
    </row>
    <row r="1684" spans="1:193">
      <c r="A1684" s="1108" t="s">
        <v>59135</v>
      </c>
      <c r="B1684" s="1108" t="s">
        <v>59134</v>
      </c>
      <c r="C1684" s="1108">
        <v>215</v>
      </c>
      <c r="GJ1684" s="1108" t="s">
        <v>58710</v>
      </c>
      <c r="GK1684" s="1108" t="s">
        <v>58709</v>
      </c>
    </row>
    <row r="1685" spans="1:193">
      <c r="A1685" s="1108" t="s">
        <v>59133</v>
      </c>
      <c r="B1685" s="1108" t="s">
        <v>59132</v>
      </c>
      <c r="C1685" s="1108">
        <v>237</v>
      </c>
      <c r="GJ1685" s="1108" t="s">
        <v>58710</v>
      </c>
      <c r="GK1685" s="1108" t="s">
        <v>58709</v>
      </c>
    </row>
    <row r="1686" spans="1:193">
      <c r="A1686" s="1108" t="s">
        <v>59131</v>
      </c>
      <c r="B1686" s="1108" t="s">
        <v>59130</v>
      </c>
      <c r="C1686" s="1108">
        <v>229</v>
      </c>
      <c r="GJ1686" s="1108" t="s">
        <v>58710</v>
      </c>
      <c r="GK1686" s="1108" t="s">
        <v>58709</v>
      </c>
    </row>
    <row r="1687" spans="1:193">
      <c r="A1687" s="1108" t="s">
        <v>59129</v>
      </c>
      <c r="B1687" s="1108" t="s">
        <v>59128</v>
      </c>
      <c r="C1687" s="1108">
        <v>48</v>
      </c>
      <c r="GJ1687" s="1108" t="s">
        <v>58710</v>
      </c>
      <c r="GK1687" s="1108" t="s">
        <v>58709</v>
      </c>
    </row>
    <row r="1688" spans="1:193">
      <c r="A1688" s="1108" t="s">
        <v>59127</v>
      </c>
      <c r="B1688" s="1108" t="s">
        <v>59126</v>
      </c>
      <c r="C1688" s="1108">
        <v>239</v>
      </c>
      <c r="GJ1688" s="1108" t="s">
        <v>58710</v>
      </c>
      <c r="GK1688" s="1108" t="s">
        <v>58709</v>
      </c>
    </row>
    <row r="1689" spans="1:193">
      <c r="A1689" s="1108" t="s">
        <v>59125</v>
      </c>
      <c r="B1689" s="1108" t="s">
        <v>59124</v>
      </c>
      <c r="C1689" s="1108">
        <v>245</v>
      </c>
      <c r="GJ1689" s="1108" t="s">
        <v>58710</v>
      </c>
      <c r="GK1689" s="1108" t="s">
        <v>58709</v>
      </c>
    </row>
    <row r="1690" spans="1:193">
      <c r="A1690" s="1108" t="s">
        <v>59123</v>
      </c>
      <c r="B1690" s="1108" t="s">
        <v>59122</v>
      </c>
      <c r="C1690" s="1108">
        <v>85</v>
      </c>
      <c r="GJ1690" s="1108" t="s">
        <v>58710</v>
      </c>
      <c r="GK1690" s="1108" t="s">
        <v>58709</v>
      </c>
    </row>
    <row r="1691" spans="1:193">
      <c r="A1691" s="1108" t="s">
        <v>59121</v>
      </c>
      <c r="B1691" s="1108" t="s">
        <v>59120</v>
      </c>
      <c r="C1691" s="1108">
        <v>53</v>
      </c>
      <c r="GJ1691" s="1108" t="s">
        <v>58710</v>
      </c>
      <c r="GK1691" s="1108" t="s">
        <v>58709</v>
      </c>
    </row>
    <row r="1692" spans="1:193">
      <c r="A1692" s="1108" t="s">
        <v>59119</v>
      </c>
      <c r="B1692" s="1108" t="s">
        <v>59118</v>
      </c>
      <c r="C1692" s="1108">
        <v>220</v>
      </c>
      <c r="GJ1692" s="1108" t="s">
        <v>58710</v>
      </c>
      <c r="GK1692" s="1108" t="s">
        <v>58709</v>
      </c>
    </row>
    <row r="1693" spans="1:193">
      <c r="A1693" s="1108" t="s">
        <v>59117</v>
      </c>
      <c r="B1693" s="1108" t="s">
        <v>59116</v>
      </c>
      <c r="C1693" s="1108">
        <v>51</v>
      </c>
      <c r="GJ1693" s="1108" t="s">
        <v>58710</v>
      </c>
      <c r="GK1693" s="1108" t="s">
        <v>58709</v>
      </c>
    </row>
    <row r="1694" spans="1:193">
      <c r="A1694" s="1108" t="s">
        <v>59115</v>
      </c>
      <c r="B1694" s="1108" t="s">
        <v>59114</v>
      </c>
      <c r="C1694" s="1108">
        <v>156</v>
      </c>
      <c r="GJ1694" s="1108" t="s">
        <v>58710</v>
      </c>
      <c r="GK1694" s="1108" t="s">
        <v>58709</v>
      </c>
    </row>
    <row r="1695" spans="1:193">
      <c r="A1695" s="1108" t="s">
        <v>59113</v>
      </c>
      <c r="B1695" s="1108" t="s">
        <v>59112</v>
      </c>
      <c r="C1695" s="1108">
        <v>68</v>
      </c>
      <c r="GJ1695" s="1108" t="s">
        <v>58710</v>
      </c>
      <c r="GK1695" s="1108" t="s">
        <v>58709</v>
      </c>
    </row>
    <row r="1696" spans="1:193">
      <c r="A1696" s="1108" t="s">
        <v>59111</v>
      </c>
      <c r="B1696" s="1108" t="s">
        <v>59110</v>
      </c>
      <c r="C1696" s="1108">
        <v>237</v>
      </c>
      <c r="GJ1696" s="1108" t="s">
        <v>58710</v>
      </c>
      <c r="GK1696" s="1108" t="s">
        <v>58709</v>
      </c>
    </row>
    <row r="1697" spans="1:193">
      <c r="A1697" s="1108" t="s">
        <v>59109</v>
      </c>
      <c r="B1697" s="1108" t="s">
        <v>59108</v>
      </c>
      <c r="C1697" s="1108">
        <v>46</v>
      </c>
      <c r="GJ1697" s="1108" t="s">
        <v>58710</v>
      </c>
      <c r="GK1697" s="1108" t="s">
        <v>58709</v>
      </c>
    </row>
    <row r="1698" spans="1:193">
      <c r="A1698" s="1108" t="s">
        <v>59107</v>
      </c>
      <c r="B1698" s="1108" t="s">
        <v>59106</v>
      </c>
      <c r="C1698" s="1108">
        <v>242</v>
      </c>
      <c r="GJ1698" s="1108" t="s">
        <v>58710</v>
      </c>
      <c r="GK1698" s="1108" t="s">
        <v>58709</v>
      </c>
    </row>
    <row r="1699" spans="1:193">
      <c r="A1699" s="1108" t="s">
        <v>59105</v>
      </c>
      <c r="B1699" s="1108" t="s">
        <v>59104</v>
      </c>
      <c r="C1699" s="1108">
        <v>243</v>
      </c>
      <c r="GJ1699" s="1108" t="s">
        <v>58710</v>
      </c>
      <c r="GK1699" s="1108" t="s">
        <v>58709</v>
      </c>
    </row>
    <row r="1700" spans="1:193">
      <c r="A1700" s="1108" t="s">
        <v>59103</v>
      </c>
      <c r="B1700" s="1108" t="s">
        <v>59102</v>
      </c>
      <c r="C1700" s="1108">
        <v>236</v>
      </c>
      <c r="GJ1700" s="1108" t="s">
        <v>58710</v>
      </c>
      <c r="GK1700" s="1108" t="s">
        <v>58709</v>
      </c>
    </row>
    <row r="1701" spans="1:193">
      <c r="A1701" s="1108" t="s">
        <v>59101</v>
      </c>
      <c r="B1701" s="1108" t="s">
        <v>59100</v>
      </c>
      <c r="C1701" s="1108">
        <v>235</v>
      </c>
      <c r="GJ1701" s="1108" t="s">
        <v>58710</v>
      </c>
      <c r="GK1701" s="1108" t="s">
        <v>58709</v>
      </c>
    </row>
    <row r="1702" spans="1:193">
      <c r="A1702" s="1108" t="s">
        <v>59099</v>
      </c>
      <c r="B1702" s="1108" t="s">
        <v>59098</v>
      </c>
      <c r="C1702" s="1108">
        <v>80</v>
      </c>
      <c r="GJ1702" s="1108" t="s">
        <v>58710</v>
      </c>
      <c r="GK1702" s="1108" t="s">
        <v>58709</v>
      </c>
    </row>
    <row r="1703" spans="1:193">
      <c r="A1703" s="1108" t="s">
        <v>59097</v>
      </c>
      <c r="B1703" s="1108" t="s">
        <v>59096</v>
      </c>
      <c r="C1703" s="1108">
        <v>74</v>
      </c>
      <c r="GJ1703" s="1108" t="s">
        <v>58710</v>
      </c>
      <c r="GK1703" s="1108" t="s">
        <v>58709</v>
      </c>
    </row>
    <row r="1704" spans="1:193">
      <c r="A1704" s="1108" t="s">
        <v>59095</v>
      </c>
      <c r="B1704" s="1108" t="s">
        <v>59094</v>
      </c>
      <c r="C1704" s="1108">
        <v>129</v>
      </c>
      <c r="GJ1704" s="1108" t="s">
        <v>58710</v>
      </c>
      <c r="GK1704" s="1108" t="s">
        <v>58709</v>
      </c>
    </row>
    <row r="1705" spans="1:193">
      <c r="A1705" s="1108" t="s">
        <v>59093</v>
      </c>
      <c r="B1705" s="1108" t="s">
        <v>59092</v>
      </c>
      <c r="C1705" s="1108">
        <v>129</v>
      </c>
      <c r="GJ1705" s="1108" t="s">
        <v>58710</v>
      </c>
      <c r="GK1705" s="1108" t="s">
        <v>58709</v>
      </c>
    </row>
    <row r="1706" spans="1:193">
      <c r="A1706" s="1108" t="s">
        <v>59091</v>
      </c>
      <c r="B1706" s="1108" t="s">
        <v>59090</v>
      </c>
      <c r="C1706" s="1108">
        <v>129</v>
      </c>
      <c r="GJ1706" s="1108" t="s">
        <v>58710</v>
      </c>
      <c r="GK1706" s="1108" t="s">
        <v>58709</v>
      </c>
    </row>
    <row r="1707" spans="1:193">
      <c r="A1707" s="1108" t="s">
        <v>59089</v>
      </c>
      <c r="B1707" s="1108" t="s">
        <v>59088</v>
      </c>
      <c r="C1707" s="1108">
        <v>129</v>
      </c>
      <c r="GJ1707" s="1108" t="s">
        <v>58710</v>
      </c>
      <c r="GK1707" s="1108" t="s">
        <v>58709</v>
      </c>
    </row>
    <row r="1708" spans="1:193">
      <c r="A1708" s="1108" t="s">
        <v>59087</v>
      </c>
      <c r="B1708" s="1108" t="s">
        <v>59086</v>
      </c>
      <c r="C1708" s="1108">
        <v>129</v>
      </c>
      <c r="GJ1708" s="1108" t="s">
        <v>58710</v>
      </c>
      <c r="GK1708" s="1108" t="s">
        <v>58709</v>
      </c>
    </row>
    <row r="1709" spans="1:193">
      <c r="A1709" s="1108" t="s">
        <v>59085</v>
      </c>
      <c r="B1709" s="1108" t="s">
        <v>59084</v>
      </c>
      <c r="C1709" s="1108">
        <v>129</v>
      </c>
      <c r="GJ1709" s="1108" t="s">
        <v>58710</v>
      </c>
      <c r="GK1709" s="1108" t="s">
        <v>58709</v>
      </c>
    </row>
    <row r="1710" spans="1:193">
      <c r="A1710" s="1108" t="s">
        <v>59083</v>
      </c>
      <c r="B1710" s="1108" t="s">
        <v>59082</v>
      </c>
      <c r="C1710" s="1108">
        <v>129</v>
      </c>
      <c r="GJ1710" s="1108" t="s">
        <v>58710</v>
      </c>
      <c r="GK1710" s="1108" t="s">
        <v>58709</v>
      </c>
    </row>
    <row r="1711" spans="1:193">
      <c r="A1711" s="1108" t="s">
        <v>59081</v>
      </c>
      <c r="B1711" s="1108" t="s">
        <v>59080</v>
      </c>
      <c r="C1711" s="1108">
        <v>129</v>
      </c>
      <c r="GJ1711" s="1108" t="s">
        <v>58710</v>
      </c>
      <c r="GK1711" s="1108" t="s">
        <v>58709</v>
      </c>
    </row>
    <row r="1712" spans="1:193">
      <c r="A1712" s="1108" t="s">
        <v>59079</v>
      </c>
      <c r="B1712" s="1108" t="s">
        <v>59078</v>
      </c>
      <c r="C1712" s="1108">
        <v>129</v>
      </c>
      <c r="GJ1712" s="1108" t="s">
        <v>58710</v>
      </c>
      <c r="GK1712" s="1108" t="s">
        <v>58709</v>
      </c>
    </row>
    <row r="1713" spans="1:193">
      <c r="A1713" s="1108" t="s">
        <v>59077</v>
      </c>
      <c r="B1713" s="1108" t="s">
        <v>59076</v>
      </c>
      <c r="C1713" s="1108">
        <v>45</v>
      </c>
      <c r="GJ1713" s="1108" t="s">
        <v>58710</v>
      </c>
      <c r="GK1713" s="1108" t="s">
        <v>58709</v>
      </c>
    </row>
    <row r="1714" spans="1:193">
      <c r="A1714" s="1108" t="s">
        <v>59075</v>
      </c>
      <c r="B1714" s="1108" t="s">
        <v>59074</v>
      </c>
      <c r="C1714" s="1108">
        <v>557</v>
      </c>
      <c r="GJ1714" s="1108" t="s">
        <v>58710</v>
      </c>
      <c r="GK1714" s="1108" t="s">
        <v>58709</v>
      </c>
    </row>
    <row r="1715" spans="1:193">
      <c r="A1715" s="1108" t="s">
        <v>59073</v>
      </c>
      <c r="B1715" s="1108" t="s">
        <v>59072</v>
      </c>
      <c r="C1715" s="1108">
        <v>285</v>
      </c>
      <c r="GJ1715" s="1108" t="s">
        <v>58710</v>
      </c>
      <c r="GK1715" s="1108" t="s">
        <v>58709</v>
      </c>
    </row>
    <row r="1716" spans="1:193">
      <c r="A1716" s="1108" t="s">
        <v>59071</v>
      </c>
      <c r="B1716" s="1108" t="s">
        <v>59070</v>
      </c>
      <c r="C1716" s="1108">
        <v>290</v>
      </c>
      <c r="GJ1716" s="1108" t="s">
        <v>58710</v>
      </c>
      <c r="GK1716" s="1108" t="s">
        <v>58709</v>
      </c>
    </row>
    <row r="1717" spans="1:193">
      <c r="A1717" s="1108" t="s">
        <v>59069</v>
      </c>
      <c r="B1717" s="1108" t="s">
        <v>59068</v>
      </c>
      <c r="C1717" s="1108">
        <v>161</v>
      </c>
      <c r="GJ1717" s="1108" t="s">
        <v>58710</v>
      </c>
      <c r="GK1717" s="1108" t="s">
        <v>58709</v>
      </c>
    </row>
    <row r="1718" spans="1:193">
      <c r="A1718" s="1108" t="s">
        <v>59067</v>
      </c>
      <c r="B1718" s="1108" t="s">
        <v>59066</v>
      </c>
      <c r="C1718" s="1108">
        <v>200</v>
      </c>
      <c r="GJ1718" s="1108" t="s">
        <v>58710</v>
      </c>
      <c r="GK1718" s="1108" t="s">
        <v>58709</v>
      </c>
    </row>
    <row r="1719" spans="1:193">
      <c r="A1719" s="1108" t="s">
        <v>59065</v>
      </c>
      <c r="B1719" s="1108" t="s">
        <v>59064</v>
      </c>
      <c r="C1719" s="1108">
        <v>200</v>
      </c>
      <c r="GJ1719" s="1108" t="s">
        <v>58710</v>
      </c>
      <c r="GK1719" s="1108" t="s">
        <v>58709</v>
      </c>
    </row>
    <row r="1720" spans="1:193">
      <c r="A1720" s="1108" t="s">
        <v>59063</v>
      </c>
      <c r="B1720" s="1108" t="s">
        <v>59062</v>
      </c>
      <c r="C1720" s="1108">
        <v>200</v>
      </c>
      <c r="GJ1720" s="1108" t="s">
        <v>58710</v>
      </c>
      <c r="GK1720" s="1108" t="s">
        <v>58709</v>
      </c>
    </row>
    <row r="1721" spans="1:193">
      <c r="A1721" s="1108" t="s">
        <v>59061</v>
      </c>
      <c r="B1721" s="1108" t="s">
        <v>59060</v>
      </c>
      <c r="C1721" s="1108">
        <v>200</v>
      </c>
      <c r="GJ1721" s="1108" t="s">
        <v>58710</v>
      </c>
      <c r="GK1721" s="1108" t="s">
        <v>58709</v>
      </c>
    </row>
    <row r="1722" spans="1:193">
      <c r="A1722" s="1108" t="s">
        <v>59059</v>
      </c>
      <c r="B1722" s="1108" t="s">
        <v>59058</v>
      </c>
      <c r="C1722" s="1108">
        <v>200</v>
      </c>
      <c r="GJ1722" s="1108" t="s">
        <v>58710</v>
      </c>
      <c r="GK1722" s="1108" t="s">
        <v>58709</v>
      </c>
    </row>
    <row r="1723" spans="1:193">
      <c r="A1723" s="1108" t="s">
        <v>59057</v>
      </c>
      <c r="B1723" s="1108" t="s">
        <v>59056</v>
      </c>
      <c r="C1723" s="1108">
        <v>200</v>
      </c>
      <c r="GJ1723" s="1108" t="s">
        <v>58710</v>
      </c>
      <c r="GK1723" s="1108" t="s">
        <v>58709</v>
      </c>
    </row>
    <row r="1724" spans="1:193">
      <c r="A1724" s="1108" t="s">
        <v>59055</v>
      </c>
      <c r="B1724" s="1108" t="s">
        <v>59054</v>
      </c>
      <c r="C1724" s="1108">
        <v>245</v>
      </c>
      <c r="GJ1724" s="1108" t="s">
        <v>58710</v>
      </c>
      <c r="GK1724" s="1108" t="s">
        <v>58709</v>
      </c>
    </row>
    <row r="1725" spans="1:193">
      <c r="A1725" s="1108" t="s">
        <v>59053</v>
      </c>
      <c r="B1725" s="1108" t="s">
        <v>59052</v>
      </c>
      <c r="C1725" s="1108">
        <v>58</v>
      </c>
      <c r="GJ1725" s="1108" t="s">
        <v>58710</v>
      </c>
      <c r="GK1725" s="1108" t="s">
        <v>58709</v>
      </c>
    </row>
    <row r="1726" spans="1:193">
      <c r="A1726" s="1108" t="s">
        <v>59051</v>
      </c>
      <c r="B1726" s="1108" t="s">
        <v>59050</v>
      </c>
      <c r="C1726" s="1108">
        <v>299</v>
      </c>
      <c r="GJ1726" s="1108" t="s">
        <v>58710</v>
      </c>
      <c r="GK1726" s="1108" t="s">
        <v>58709</v>
      </c>
    </row>
    <row r="1727" spans="1:193">
      <c r="A1727" s="1108">
        <v>14139</v>
      </c>
      <c r="B1727" s="1108" t="s">
        <v>59049</v>
      </c>
      <c r="C1727" s="1108">
        <v>28</v>
      </c>
      <c r="GJ1727" s="1108" t="s">
        <v>58710</v>
      </c>
      <c r="GK1727" s="1108" t="s">
        <v>58709</v>
      </c>
    </row>
    <row r="1728" spans="1:193">
      <c r="A1728" s="1108">
        <v>14140</v>
      </c>
      <c r="B1728" s="1108" t="s">
        <v>59048</v>
      </c>
      <c r="C1728" s="1108">
        <v>35</v>
      </c>
      <c r="GJ1728" s="1108" t="s">
        <v>58710</v>
      </c>
      <c r="GK1728" s="1108" t="s">
        <v>58709</v>
      </c>
    </row>
    <row r="1729" spans="1:193">
      <c r="A1729" s="1108">
        <v>14141</v>
      </c>
      <c r="B1729" s="1108" t="s">
        <v>59047</v>
      </c>
      <c r="C1729" s="1108">
        <v>16</v>
      </c>
      <c r="GJ1729" s="1108" t="s">
        <v>58710</v>
      </c>
      <c r="GK1729" s="1108" t="s">
        <v>58709</v>
      </c>
    </row>
    <row r="1730" spans="1:193">
      <c r="A1730" s="1108">
        <v>14142</v>
      </c>
      <c r="B1730" s="1108" t="s">
        <v>59046</v>
      </c>
      <c r="C1730" s="1108">
        <v>19</v>
      </c>
      <c r="GJ1730" s="1108" t="s">
        <v>58710</v>
      </c>
      <c r="GK1730" s="1108" t="s">
        <v>58709</v>
      </c>
    </row>
    <row r="1731" spans="1:193">
      <c r="A1731" s="1108">
        <v>14143</v>
      </c>
      <c r="B1731" s="1108" t="s">
        <v>59045</v>
      </c>
      <c r="C1731" s="1108">
        <v>22</v>
      </c>
      <c r="GJ1731" s="1108" t="s">
        <v>58710</v>
      </c>
      <c r="GK1731" s="1108" t="s">
        <v>58709</v>
      </c>
    </row>
    <row r="1732" spans="1:193">
      <c r="A1732" s="1108">
        <v>14144</v>
      </c>
      <c r="B1732" s="1108" t="s">
        <v>59044</v>
      </c>
      <c r="C1732" s="1108">
        <v>22</v>
      </c>
      <c r="GJ1732" s="1108" t="s">
        <v>58710</v>
      </c>
      <c r="GK1732" s="1108" t="s">
        <v>58709</v>
      </c>
    </row>
    <row r="1733" spans="1:193">
      <c r="A1733" s="1108">
        <v>14145</v>
      </c>
      <c r="B1733" s="1108" t="s">
        <v>59043</v>
      </c>
      <c r="C1733" s="1108">
        <v>12</v>
      </c>
      <c r="GJ1733" s="1108" t="s">
        <v>58710</v>
      </c>
      <c r="GK1733" s="1108" t="s">
        <v>58709</v>
      </c>
    </row>
    <row r="1734" spans="1:193">
      <c r="A1734" s="1108">
        <v>17238</v>
      </c>
      <c r="B1734" s="1108" t="s">
        <v>59042</v>
      </c>
      <c r="C1734" s="1108">
        <v>26</v>
      </c>
      <c r="GJ1734" s="1108" t="s">
        <v>58710</v>
      </c>
      <c r="GK1734" s="1108" t="s">
        <v>58709</v>
      </c>
    </row>
    <row r="1735" spans="1:193">
      <c r="A1735" s="1108">
        <v>17246</v>
      </c>
      <c r="B1735" s="1108" t="s">
        <v>59041</v>
      </c>
      <c r="C1735" s="1108">
        <v>49</v>
      </c>
      <c r="GJ1735" s="1108" t="s">
        <v>58710</v>
      </c>
      <c r="GK1735" s="1108" t="s">
        <v>58709</v>
      </c>
    </row>
    <row r="1736" spans="1:193">
      <c r="A1736" s="1108">
        <v>17354</v>
      </c>
      <c r="B1736" s="1108" t="s">
        <v>59040</v>
      </c>
      <c r="C1736" s="1108">
        <v>27</v>
      </c>
      <c r="GJ1736" s="1108" t="s">
        <v>58710</v>
      </c>
      <c r="GK1736" s="1108" t="s">
        <v>58709</v>
      </c>
    </row>
    <row r="1737" spans="1:193">
      <c r="A1737" s="1108">
        <v>17394</v>
      </c>
      <c r="B1737" s="1108" t="s">
        <v>59039</v>
      </c>
      <c r="C1737" s="1108">
        <v>10</v>
      </c>
      <c r="GJ1737" s="1108" t="s">
        <v>58710</v>
      </c>
      <c r="GK1737" s="1108" t="s">
        <v>58709</v>
      </c>
    </row>
    <row r="1738" spans="1:193">
      <c r="A1738" s="1108">
        <v>17463</v>
      </c>
      <c r="B1738" s="1108" t="s">
        <v>59038</v>
      </c>
      <c r="C1738" s="1108">
        <v>30</v>
      </c>
      <c r="GJ1738" s="1108" t="s">
        <v>58710</v>
      </c>
      <c r="GK1738" s="1108" t="s">
        <v>58709</v>
      </c>
    </row>
    <row r="1739" spans="1:193">
      <c r="A1739" s="1108">
        <v>17465</v>
      </c>
      <c r="B1739" s="1108" t="s">
        <v>59037</v>
      </c>
      <c r="C1739" s="1108">
        <v>16</v>
      </c>
      <c r="GJ1739" s="1108" t="s">
        <v>58710</v>
      </c>
      <c r="GK1739" s="1108" t="s">
        <v>58709</v>
      </c>
    </row>
    <row r="1740" spans="1:193">
      <c r="A1740" s="1108">
        <v>17467</v>
      </c>
      <c r="B1740" s="1108" t="s">
        <v>59036</v>
      </c>
      <c r="C1740" s="1108">
        <v>21</v>
      </c>
      <c r="GJ1740" s="1108" t="s">
        <v>58710</v>
      </c>
      <c r="GK1740" s="1108" t="s">
        <v>58709</v>
      </c>
    </row>
    <row r="1741" spans="1:193">
      <c r="A1741" s="1108">
        <v>17476</v>
      </c>
      <c r="B1741" s="1108" t="s">
        <v>59035</v>
      </c>
      <c r="C1741" s="1108">
        <v>10</v>
      </c>
      <c r="GJ1741" s="1108" t="s">
        <v>58710</v>
      </c>
      <c r="GK1741" s="1108" t="s">
        <v>58709</v>
      </c>
    </row>
    <row r="1742" spans="1:193">
      <c r="A1742" s="1108">
        <v>18387</v>
      </c>
      <c r="B1742" s="1108" t="s">
        <v>59034</v>
      </c>
      <c r="C1742" s="1108">
        <v>45</v>
      </c>
      <c r="GJ1742" s="1108" t="s">
        <v>58710</v>
      </c>
      <c r="GK1742" s="1108" t="s">
        <v>58709</v>
      </c>
    </row>
    <row r="1743" spans="1:193">
      <c r="A1743" s="1108">
        <v>18834</v>
      </c>
      <c r="B1743" s="1108" t="s">
        <v>59033</v>
      </c>
      <c r="C1743" s="1108">
        <v>20</v>
      </c>
      <c r="GJ1743" s="1108" t="s">
        <v>58710</v>
      </c>
      <c r="GK1743" s="1108" t="s">
        <v>58709</v>
      </c>
    </row>
    <row r="1744" spans="1:193">
      <c r="A1744" s="1108">
        <v>19753</v>
      </c>
      <c r="B1744" s="1108" t="s">
        <v>59032</v>
      </c>
      <c r="C1744" s="1108">
        <v>34</v>
      </c>
      <c r="GJ1744" s="1108" t="s">
        <v>58710</v>
      </c>
      <c r="GK1744" s="1108" t="s">
        <v>58709</v>
      </c>
    </row>
    <row r="1745" spans="1:193">
      <c r="A1745" s="1108">
        <v>19990</v>
      </c>
      <c r="B1745" s="1108" t="s">
        <v>59031</v>
      </c>
      <c r="C1745" s="1108">
        <v>30</v>
      </c>
      <c r="GJ1745" s="1108" t="s">
        <v>58710</v>
      </c>
      <c r="GK1745" s="1108" t="s">
        <v>58709</v>
      </c>
    </row>
    <row r="1746" spans="1:193">
      <c r="A1746" s="1108">
        <v>19991</v>
      </c>
      <c r="B1746" s="1108" t="s">
        <v>59030</v>
      </c>
      <c r="C1746" s="1108">
        <v>40</v>
      </c>
      <c r="GJ1746" s="1108" t="s">
        <v>58710</v>
      </c>
      <c r="GK1746" s="1108" t="s">
        <v>58709</v>
      </c>
    </row>
    <row r="1747" spans="1:193">
      <c r="A1747" s="1108">
        <v>20451</v>
      </c>
      <c r="B1747" s="1108" t="s">
        <v>59029</v>
      </c>
      <c r="C1747" s="1108">
        <v>21</v>
      </c>
      <c r="GJ1747" s="1108" t="s">
        <v>58710</v>
      </c>
      <c r="GK1747" s="1108" t="s">
        <v>58709</v>
      </c>
    </row>
    <row r="1748" spans="1:193">
      <c r="A1748" s="1108">
        <v>20783</v>
      </c>
      <c r="B1748" s="1108" t="s">
        <v>59028</v>
      </c>
      <c r="C1748" s="1108">
        <v>28</v>
      </c>
      <c r="GJ1748" s="1108" t="s">
        <v>58710</v>
      </c>
      <c r="GK1748" s="1108" t="s">
        <v>58709</v>
      </c>
    </row>
    <row r="1749" spans="1:193">
      <c r="A1749" s="1108">
        <v>20810</v>
      </c>
      <c r="B1749" s="1108" t="s">
        <v>59027</v>
      </c>
      <c r="C1749" s="1108">
        <v>32</v>
      </c>
      <c r="GJ1749" s="1108" t="s">
        <v>58710</v>
      </c>
      <c r="GK1749" s="1108" t="s">
        <v>58709</v>
      </c>
    </row>
    <row r="1750" spans="1:193">
      <c r="A1750" s="1108">
        <v>20856</v>
      </c>
      <c r="B1750" s="1108" t="s">
        <v>59026</v>
      </c>
      <c r="C1750" s="1108">
        <v>88</v>
      </c>
      <c r="GJ1750" s="1108" t="s">
        <v>58710</v>
      </c>
      <c r="GK1750" s="1108" t="s">
        <v>58709</v>
      </c>
    </row>
    <row r="1751" spans="1:193">
      <c r="A1751" s="1108">
        <v>20857</v>
      </c>
      <c r="B1751" s="1108" t="s">
        <v>59025</v>
      </c>
      <c r="C1751" s="1108">
        <v>28</v>
      </c>
      <c r="GJ1751" s="1108" t="s">
        <v>58710</v>
      </c>
      <c r="GK1751" s="1108" t="s">
        <v>58709</v>
      </c>
    </row>
    <row r="1752" spans="1:193">
      <c r="A1752" s="1108" t="s">
        <v>59024</v>
      </c>
      <c r="B1752" s="1108" t="s">
        <v>59023</v>
      </c>
      <c r="C1752" s="1108">
        <v>45</v>
      </c>
      <c r="GJ1752" s="1108" t="s">
        <v>58710</v>
      </c>
      <c r="GK1752" s="1108" t="s">
        <v>58709</v>
      </c>
    </row>
    <row r="1753" spans="1:193">
      <c r="A1753" s="1108" t="s">
        <v>59022</v>
      </c>
      <c r="B1753" s="1108" t="s">
        <v>59021</v>
      </c>
      <c r="C1753" s="1108">
        <v>26</v>
      </c>
      <c r="GJ1753" s="1108" t="s">
        <v>58710</v>
      </c>
      <c r="GK1753" s="1108" t="s">
        <v>58709</v>
      </c>
    </row>
    <row r="1754" spans="1:193">
      <c r="A1754" s="1108" t="s">
        <v>59020</v>
      </c>
      <c r="B1754" s="1108" t="s">
        <v>59019</v>
      </c>
      <c r="C1754" s="1108">
        <v>65</v>
      </c>
      <c r="GJ1754" s="1108" t="s">
        <v>58710</v>
      </c>
      <c r="GK1754" s="1108" t="s">
        <v>58709</v>
      </c>
    </row>
    <row r="1755" spans="1:193">
      <c r="A1755" s="1108" t="s">
        <v>59018</v>
      </c>
      <c r="B1755" s="1108" t="s">
        <v>59017</v>
      </c>
      <c r="C1755" s="1108">
        <v>20</v>
      </c>
      <c r="GJ1755" s="1108" t="s">
        <v>58710</v>
      </c>
      <c r="GK1755" s="1108" t="s">
        <v>58709</v>
      </c>
    </row>
    <row r="1756" spans="1:193">
      <c r="A1756" s="1108" t="s">
        <v>59016</v>
      </c>
      <c r="B1756" s="1108" t="s">
        <v>59015</v>
      </c>
      <c r="C1756" s="1108">
        <v>90</v>
      </c>
      <c r="GJ1756" s="1108" t="s">
        <v>58710</v>
      </c>
      <c r="GK1756" s="1108" t="s">
        <v>58709</v>
      </c>
    </row>
    <row r="1757" spans="1:193">
      <c r="A1757" s="1108" t="s">
        <v>59014</v>
      </c>
      <c r="B1757" s="1108" t="s">
        <v>59013</v>
      </c>
      <c r="C1757" s="1108">
        <v>35</v>
      </c>
      <c r="GJ1757" s="1108" t="s">
        <v>58710</v>
      </c>
      <c r="GK1757" s="1108" t="s">
        <v>58709</v>
      </c>
    </row>
    <row r="1758" spans="1:193">
      <c r="A1758" s="1108" t="s">
        <v>59012</v>
      </c>
      <c r="B1758" s="1108" t="s">
        <v>59011</v>
      </c>
      <c r="C1758" s="1108">
        <v>69</v>
      </c>
      <c r="GJ1758" s="1108" t="s">
        <v>58710</v>
      </c>
      <c r="GK1758" s="1108" t="s">
        <v>58709</v>
      </c>
    </row>
    <row r="1759" spans="1:193">
      <c r="A1759" s="1108" t="s">
        <v>59010</v>
      </c>
      <c r="B1759" s="1108" t="s">
        <v>59009</v>
      </c>
      <c r="C1759" s="1108">
        <v>100</v>
      </c>
      <c r="GJ1759" s="1108" t="s">
        <v>58710</v>
      </c>
      <c r="GK1759" s="1108" t="s">
        <v>58709</v>
      </c>
    </row>
    <row r="1760" spans="1:193">
      <c r="A1760" s="1108" t="s">
        <v>59008</v>
      </c>
      <c r="B1760" s="1108" t="s">
        <v>59007</v>
      </c>
      <c r="C1760" s="1108">
        <v>50</v>
      </c>
      <c r="GJ1760" s="1108" t="s">
        <v>58710</v>
      </c>
      <c r="GK1760" s="1108" t="s">
        <v>58709</v>
      </c>
    </row>
    <row r="1761" spans="1:193">
      <c r="A1761" s="1108" t="s">
        <v>59006</v>
      </c>
      <c r="B1761" s="1108" t="s">
        <v>59005</v>
      </c>
      <c r="C1761" s="1108">
        <v>65</v>
      </c>
      <c r="GJ1761" s="1108" t="s">
        <v>58710</v>
      </c>
      <c r="GK1761" s="1108" t="s">
        <v>58709</v>
      </c>
    </row>
    <row r="1762" spans="1:193">
      <c r="A1762" s="1108" t="s">
        <v>59004</v>
      </c>
      <c r="B1762" s="1108" t="s">
        <v>59003</v>
      </c>
      <c r="C1762" s="1108">
        <v>38</v>
      </c>
      <c r="GJ1762" s="1108" t="s">
        <v>58710</v>
      </c>
      <c r="GK1762" s="1108" t="s">
        <v>58709</v>
      </c>
    </row>
    <row r="1763" spans="1:193">
      <c r="A1763" s="1108" t="s">
        <v>59002</v>
      </c>
      <c r="B1763" s="1108" t="s">
        <v>59001</v>
      </c>
      <c r="C1763" s="1108">
        <v>50</v>
      </c>
      <c r="GJ1763" s="1108" t="s">
        <v>58710</v>
      </c>
      <c r="GK1763" s="1108" t="s">
        <v>58709</v>
      </c>
    </row>
    <row r="1764" spans="1:193">
      <c r="A1764" s="1108" t="s">
        <v>59000</v>
      </c>
      <c r="B1764" s="1108" t="s">
        <v>58999</v>
      </c>
      <c r="C1764" s="1108">
        <v>67</v>
      </c>
      <c r="GJ1764" s="1108" t="s">
        <v>58710</v>
      </c>
      <c r="GK1764" s="1108" t="s">
        <v>58709</v>
      </c>
    </row>
    <row r="1765" spans="1:193">
      <c r="A1765" s="1108" t="s">
        <v>58998</v>
      </c>
      <c r="B1765" s="1108" t="s">
        <v>58997</v>
      </c>
      <c r="C1765" s="1108">
        <v>45</v>
      </c>
      <c r="GJ1765" s="1108" t="s">
        <v>58710</v>
      </c>
      <c r="GK1765" s="1108" t="s">
        <v>58709</v>
      </c>
    </row>
    <row r="1766" spans="1:193">
      <c r="A1766" s="1108" t="s">
        <v>58996</v>
      </c>
      <c r="B1766" s="1108" t="s">
        <v>58995</v>
      </c>
      <c r="C1766" s="1108">
        <v>49</v>
      </c>
      <c r="GJ1766" s="1108" t="s">
        <v>58710</v>
      </c>
      <c r="GK1766" s="1108" t="s">
        <v>58709</v>
      </c>
    </row>
    <row r="1767" spans="1:193">
      <c r="A1767" s="1108" t="s">
        <v>58994</v>
      </c>
      <c r="B1767" s="1108" t="s">
        <v>58993</v>
      </c>
      <c r="C1767" s="1108">
        <v>87</v>
      </c>
      <c r="GJ1767" s="1108" t="s">
        <v>58710</v>
      </c>
      <c r="GK1767" s="1108" t="s">
        <v>58709</v>
      </c>
    </row>
    <row r="1768" spans="1:193">
      <c r="A1768" s="1108" t="s">
        <v>58992</v>
      </c>
      <c r="B1768" s="1108" t="s">
        <v>58991</v>
      </c>
      <c r="C1768" s="1108">
        <v>79</v>
      </c>
      <c r="GJ1768" s="1108" t="s">
        <v>58710</v>
      </c>
      <c r="GK1768" s="1108" t="s">
        <v>58709</v>
      </c>
    </row>
    <row r="1769" spans="1:193">
      <c r="A1769" s="1108" t="s">
        <v>58990</v>
      </c>
      <c r="B1769" s="1108" t="s">
        <v>58989</v>
      </c>
      <c r="C1769" s="1108">
        <v>67</v>
      </c>
      <c r="GJ1769" s="1108" t="s">
        <v>58710</v>
      </c>
      <c r="GK1769" s="1108" t="s">
        <v>58709</v>
      </c>
    </row>
    <row r="1770" spans="1:193">
      <c r="A1770" s="1108" t="s">
        <v>58988</v>
      </c>
      <c r="B1770" s="1108" t="s">
        <v>58987</v>
      </c>
      <c r="C1770" s="1108">
        <v>165</v>
      </c>
      <c r="GJ1770" s="1108" t="s">
        <v>58710</v>
      </c>
      <c r="GK1770" s="1108" t="s">
        <v>58709</v>
      </c>
    </row>
    <row r="1771" spans="1:193">
      <c r="A1771" s="1108" t="s">
        <v>58986</v>
      </c>
      <c r="B1771" s="1108" t="s">
        <v>58985</v>
      </c>
      <c r="C1771" s="1108">
        <v>61</v>
      </c>
      <c r="GJ1771" s="1108" t="s">
        <v>58710</v>
      </c>
      <c r="GK1771" s="1108" t="s">
        <v>58709</v>
      </c>
    </row>
    <row r="1772" spans="1:193">
      <c r="A1772" s="1108" t="s">
        <v>58984</v>
      </c>
      <c r="B1772" s="1108" t="s">
        <v>58983</v>
      </c>
      <c r="C1772" s="1108">
        <v>109</v>
      </c>
      <c r="GJ1772" s="1108" t="s">
        <v>58710</v>
      </c>
      <c r="GK1772" s="1108" t="s">
        <v>58709</v>
      </c>
    </row>
    <row r="1773" spans="1:193">
      <c r="A1773" s="1108" t="s">
        <v>58982</v>
      </c>
      <c r="B1773" s="1108" t="s">
        <v>58981</v>
      </c>
      <c r="C1773" s="1108">
        <v>92</v>
      </c>
      <c r="GJ1773" s="1108" t="s">
        <v>58710</v>
      </c>
      <c r="GK1773" s="1108" t="s">
        <v>58709</v>
      </c>
    </row>
    <row r="1774" spans="1:193">
      <c r="A1774" s="1108" t="s">
        <v>58980</v>
      </c>
      <c r="B1774" s="1108" t="s">
        <v>58979</v>
      </c>
      <c r="C1774" s="1108">
        <v>64</v>
      </c>
      <c r="GJ1774" s="1108" t="s">
        <v>58710</v>
      </c>
      <c r="GK1774" s="1108" t="s">
        <v>58709</v>
      </c>
    </row>
    <row r="1775" spans="1:193">
      <c r="A1775" s="1108" t="s">
        <v>58978</v>
      </c>
      <c r="B1775" s="1108" t="s">
        <v>58977</v>
      </c>
      <c r="C1775" s="1108">
        <v>40</v>
      </c>
      <c r="GJ1775" s="1108" t="s">
        <v>58710</v>
      </c>
      <c r="GK1775" s="1108" t="s">
        <v>58709</v>
      </c>
    </row>
    <row r="1776" spans="1:193">
      <c r="A1776" s="1108" t="s">
        <v>58976</v>
      </c>
      <c r="B1776" s="1108" t="s">
        <v>58975</v>
      </c>
      <c r="C1776" s="1108">
        <v>46</v>
      </c>
      <c r="GJ1776" s="1108" t="s">
        <v>58710</v>
      </c>
      <c r="GK1776" s="1108" t="s">
        <v>58709</v>
      </c>
    </row>
    <row r="1777" spans="1:193">
      <c r="A1777" s="1108" t="s">
        <v>58974</v>
      </c>
      <c r="B1777" s="1108" t="s">
        <v>58973</v>
      </c>
      <c r="C1777" s="1108">
        <v>39</v>
      </c>
      <c r="GJ1777" s="1108" t="s">
        <v>58710</v>
      </c>
      <c r="GK1777" s="1108" t="s">
        <v>58709</v>
      </c>
    </row>
    <row r="1778" spans="1:193">
      <c r="A1778" s="1108" t="s">
        <v>58972</v>
      </c>
      <c r="B1778" s="1108" t="s">
        <v>58971</v>
      </c>
      <c r="C1778" s="1108">
        <v>41</v>
      </c>
      <c r="GJ1778" s="1108" t="s">
        <v>58710</v>
      </c>
      <c r="GK1778" s="1108" t="s">
        <v>58709</v>
      </c>
    </row>
    <row r="1779" spans="1:193">
      <c r="A1779" s="1108" t="s">
        <v>58970</v>
      </c>
      <c r="B1779" s="1108" t="s">
        <v>58969</v>
      </c>
      <c r="C1779" s="1108">
        <v>50</v>
      </c>
      <c r="GJ1779" s="1108" t="s">
        <v>58710</v>
      </c>
      <c r="GK1779" s="1108" t="s">
        <v>58709</v>
      </c>
    </row>
    <row r="1780" spans="1:193">
      <c r="A1780" s="1108" t="s">
        <v>58968</v>
      </c>
      <c r="B1780" s="1108" t="s">
        <v>58967</v>
      </c>
      <c r="C1780" s="1108">
        <v>34</v>
      </c>
      <c r="GJ1780" s="1108" t="s">
        <v>58710</v>
      </c>
      <c r="GK1780" s="1108" t="s">
        <v>58709</v>
      </c>
    </row>
    <row r="1781" spans="1:193">
      <c r="A1781" s="1108" t="s">
        <v>58966</v>
      </c>
      <c r="B1781" s="1108" t="s">
        <v>58965</v>
      </c>
      <c r="C1781" s="1108">
        <v>60</v>
      </c>
      <c r="GJ1781" s="1108" t="s">
        <v>58710</v>
      </c>
      <c r="GK1781" s="1108" t="s">
        <v>58709</v>
      </c>
    </row>
    <row r="1782" spans="1:193">
      <c r="A1782" s="1108" t="s">
        <v>58964</v>
      </c>
      <c r="B1782" s="1108" t="s">
        <v>58963</v>
      </c>
      <c r="C1782" s="1108">
        <v>77</v>
      </c>
      <c r="GJ1782" s="1108" t="s">
        <v>58710</v>
      </c>
      <c r="GK1782" s="1108" t="s">
        <v>58709</v>
      </c>
    </row>
    <row r="1783" spans="1:193">
      <c r="A1783" s="1108" t="s">
        <v>58962</v>
      </c>
      <c r="B1783" s="1108" t="s">
        <v>58961</v>
      </c>
      <c r="C1783" s="1108">
        <v>65</v>
      </c>
      <c r="GJ1783" s="1108" t="s">
        <v>58710</v>
      </c>
      <c r="GK1783" s="1108" t="s">
        <v>58709</v>
      </c>
    </row>
    <row r="1784" spans="1:193">
      <c r="A1784" s="1108" t="s">
        <v>58960</v>
      </c>
      <c r="B1784" s="1108" t="s">
        <v>58959</v>
      </c>
      <c r="C1784" s="1108">
        <v>65</v>
      </c>
      <c r="GJ1784" s="1108" t="s">
        <v>58710</v>
      </c>
      <c r="GK1784" s="1108" t="s">
        <v>58709</v>
      </c>
    </row>
    <row r="1785" spans="1:193">
      <c r="A1785" s="1108" t="s">
        <v>58958</v>
      </c>
      <c r="B1785" s="1108" t="s">
        <v>58957</v>
      </c>
      <c r="C1785" s="1108">
        <v>96</v>
      </c>
      <c r="GJ1785" s="1108" t="s">
        <v>58710</v>
      </c>
      <c r="GK1785" s="1108" t="s">
        <v>58709</v>
      </c>
    </row>
    <row r="1786" spans="1:193">
      <c r="A1786" s="1108" t="s">
        <v>58956</v>
      </c>
      <c r="B1786" s="1108" t="s">
        <v>58955</v>
      </c>
      <c r="C1786" s="1108">
        <v>78</v>
      </c>
      <c r="GJ1786" s="1108" t="s">
        <v>58710</v>
      </c>
      <c r="GK1786" s="1108" t="s">
        <v>58709</v>
      </c>
    </row>
    <row r="1787" spans="1:193">
      <c r="A1787" s="1108" t="s">
        <v>58954</v>
      </c>
      <c r="B1787" s="1108" t="s">
        <v>58953</v>
      </c>
      <c r="C1787" s="1108">
        <v>59</v>
      </c>
      <c r="GJ1787" s="1108" t="s">
        <v>58710</v>
      </c>
      <c r="GK1787" s="1108" t="s">
        <v>58709</v>
      </c>
    </row>
    <row r="1788" spans="1:193">
      <c r="A1788" s="1108" t="s">
        <v>58952</v>
      </c>
      <c r="B1788" s="1108" t="s">
        <v>58951</v>
      </c>
      <c r="C1788" s="1108">
        <v>129</v>
      </c>
      <c r="GJ1788" s="1108" t="s">
        <v>58710</v>
      </c>
      <c r="GK1788" s="1108" t="s">
        <v>58709</v>
      </c>
    </row>
    <row r="1789" spans="1:193">
      <c r="A1789" s="1108" t="s">
        <v>58950</v>
      </c>
      <c r="B1789" s="1108" t="s">
        <v>58949</v>
      </c>
      <c r="C1789" s="1108">
        <v>105</v>
      </c>
      <c r="GJ1789" s="1108" t="s">
        <v>58710</v>
      </c>
      <c r="GK1789" s="1108" t="s">
        <v>58709</v>
      </c>
    </row>
    <row r="1790" spans="1:193">
      <c r="A1790" s="1108" t="s">
        <v>58948</v>
      </c>
      <c r="B1790" s="1108" t="s">
        <v>58947</v>
      </c>
      <c r="C1790" s="1108">
        <v>18</v>
      </c>
      <c r="GJ1790" s="1108" t="s">
        <v>58710</v>
      </c>
      <c r="GK1790" s="1108" t="s">
        <v>58709</v>
      </c>
    </row>
    <row r="1791" spans="1:193">
      <c r="A1791" s="1108" t="s">
        <v>58946</v>
      </c>
      <c r="B1791" s="1108" t="s">
        <v>58945</v>
      </c>
      <c r="C1791" s="1108">
        <v>256</v>
      </c>
      <c r="GJ1791" s="1108" t="s">
        <v>58710</v>
      </c>
      <c r="GK1791" s="1108" t="s">
        <v>58709</v>
      </c>
    </row>
    <row r="1792" spans="1:193">
      <c r="A1792" s="1108" t="s">
        <v>58944</v>
      </c>
      <c r="B1792" s="1108" t="s">
        <v>58943</v>
      </c>
      <c r="C1792" s="1108">
        <v>34</v>
      </c>
      <c r="GJ1792" s="1108" t="s">
        <v>58710</v>
      </c>
      <c r="GK1792" s="1108" t="s">
        <v>58709</v>
      </c>
    </row>
    <row r="1793" spans="1:193">
      <c r="A1793" s="1108" t="s">
        <v>58942</v>
      </c>
      <c r="B1793" s="1108" t="s">
        <v>58941</v>
      </c>
      <c r="C1793" s="1108">
        <v>69</v>
      </c>
      <c r="GJ1793" s="1108" t="s">
        <v>58710</v>
      </c>
      <c r="GK1793" s="1108" t="s">
        <v>58709</v>
      </c>
    </row>
    <row r="1794" spans="1:193">
      <c r="A1794" s="1108" t="s">
        <v>58940</v>
      </c>
      <c r="B1794" s="1108" t="s">
        <v>58939</v>
      </c>
      <c r="C1794" s="1108">
        <v>59</v>
      </c>
      <c r="GJ1794" s="1108" t="s">
        <v>58710</v>
      </c>
      <c r="GK1794" s="1108" t="s">
        <v>58709</v>
      </c>
    </row>
    <row r="1795" spans="1:193">
      <c r="A1795" s="1108" t="s">
        <v>58938</v>
      </c>
      <c r="B1795" s="1108" t="s">
        <v>58937</v>
      </c>
      <c r="C1795" s="1108">
        <v>73</v>
      </c>
      <c r="GJ1795" s="1108" t="s">
        <v>58710</v>
      </c>
      <c r="GK1795" s="1108" t="s">
        <v>58709</v>
      </c>
    </row>
    <row r="1796" spans="1:193">
      <c r="A1796" s="1108" t="s">
        <v>58936</v>
      </c>
      <c r="B1796" s="1108" t="s">
        <v>58935</v>
      </c>
      <c r="C1796" s="1108">
        <v>75</v>
      </c>
      <c r="GJ1796" s="1108" t="s">
        <v>58710</v>
      </c>
      <c r="GK1796" s="1108" t="s">
        <v>58709</v>
      </c>
    </row>
    <row r="1797" spans="1:193">
      <c r="A1797" s="1108" t="s">
        <v>58934</v>
      </c>
      <c r="B1797" s="1108" t="s">
        <v>58933</v>
      </c>
      <c r="C1797" s="1108">
        <v>62</v>
      </c>
      <c r="GJ1797" s="1108" t="s">
        <v>58710</v>
      </c>
      <c r="GK1797" s="1108" t="s">
        <v>58709</v>
      </c>
    </row>
    <row r="1798" spans="1:193">
      <c r="A1798" s="1108" t="s">
        <v>58932</v>
      </c>
      <c r="B1798" s="1108" t="s">
        <v>58931</v>
      </c>
      <c r="C1798" s="1108">
        <v>134</v>
      </c>
      <c r="GJ1798" s="1108" t="s">
        <v>58710</v>
      </c>
      <c r="GK1798" s="1108" t="s">
        <v>58709</v>
      </c>
    </row>
    <row r="1799" spans="1:193">
      <c r="A1799" s="1108" t="s">
        <v>58930</v>
      </c>
      <c r="B1799" s="1108" t="s">
        <v>58929</v>
      </c>
      <c r="C1799" s="1108">
        <v>114</v>
      </c>
      <c r="GJ1799" s="1108" t="s">
        <v>58710</v>
      </c>
      <c r="GK1799" s="1108" t="s">
        <v>58709</v>
      </c>
    </row>
    <row r="1800" spans="1:193">
      <c r="A1800" s="1108" t="s">
        <v>58928</v>
      </c>
      <c r="B1800" s="1108" t="s">
        <v>58927</v>
      </c>
      <c r="C1800" s="1108">
        <v>106</v>
      </c>
      <c r="GJ1800" s="1108" t="s">
        <v>58710</v>
      </c>
      <c r="GK1800" s="1108" t="s">
        <v>58709</v>
      </c>
    </row>
    <row r="1801" spans="1:193">
      <c r="A1801" s="1108" t="s">
        <v>58926</v>
      </c>
      <c r="B1801" s="1108" t="s">
        <v>58925</v>
      </c>
      <c r="C1801" s="1108">
        <v>118</v>
      </c>
      <c r="GJ1801" s="1108" t="s">
        <v>58710</v>
      </c>
      <c r="GK1801" s="1108" t="s">
        <v>58709</v>
      </c>
    </row>
    <row r="1802" spans="1:193">
      <c r="A1802" s="1108" t="s">
        <v>58924</v>
      </c>
      <c r="B1802" s="1108" t="s">
        <v>58923</v>
      </c>
      <c r="C1802" s="1108">
        <v>120</v>
      </c>
      <c r="GJ1802" s="1108" t="s">
        <v>58710</v>
      </c>
      <c r="GK1802" s="1108" t="s">
        <v>58709</v>
      </c>
    </row>
    <row r="1803" spans="1:193">
      <c r="A1803" s="1108" t="s">
        <v>58922</v>
      </c>
      <c r="B1803" s="1108" t="s">
        <v>58921</v>
      </c>
      <c r="C1803" s="1108">
        <v>123</v>
      </c>
      <c r="GJ1803" s="1108" t="s">
        <v>58710</v>
      </c>
      <c r="GK1803" s="1108" t="s">
        <v>58709</v>
      </c>
    </row>
    <row r="1804" spans="1:193">
      <c r="A1804" s="1108" t="s">
        <v>58920</v>
      </c>
      <c r="B1804" s="1108" t="s">
        <v>58919</v>
      </c>
      <c r="C1804" s="1108">
        <v>98</v>
      </c>
      <c r="GJ1804" s="1108" t="s">
        <v>58710</v>
      </c>
      <c r="GK1804" s="1108" t="s">
        <v>58709</v>
      </c>
    </row>
    <row r="1805" spans="1:193">
      <c r="A1805" s="1108" t="s">
        <v>58918</v>
      </c>
      <c r="B1805" s="1108" t="s">
        <v>58917</v>
      </c>
      <c r="C1805" s="1108">
        <v>144</v>
      </c>
      <c r="GJ1805" s="1108" t="s">
        <v>58710</v>
      </c>
      <c r="GK1805" s="1108" t="s">
        <v>58709</v>
      </c>
    </row>
    <row r="1806" spans="1:193">
      <c r="A1806" s="1108" t="s">
        <v>58916</v>
      </c>
      <c r="B1806" s="1108" t="s">
        <v>58915</v>
      </c>
      <c r="C1806" s="1108">
        <v>130</v>
      </c>
      <c r="GJ1806" s="1108" t="s">
        <v>58710</v>
      </c>
      <c r="GK1806" s="1108" t="s">
        <v>58709</v>
      </c>
    </row>
    <row r="1807" spans="1:193">
      <c r="A1807" s="1108" t="s">
        <v>58914</v>
      </c>
      <c r="B1807" s="1108" t="s">
        <v>58913</v>
      </c>
      <c r="C1807" s="1108">
        <v>178</v>
      </c>
      <c r="GJ1807" s="1108" t="s">
        <v>58710</v>
      </c>
      <c r="GK1807" s="1108" t="s">
        <v>58709</v>
      </c>
    </row>
    <row r="1808" spans="1:193">
      <c r="A1808" s="1108" t="s">
        <v>58912</v>
      </c>
      <c r="B1808" s="1108" t="s">
        <v>58911</v>
      </c>
      <c r="C1808" s="1108">
        <v>201</v>
      </c>
      <c r="GJ1808" s="1108" t="s">
        <v>58710</v>
      </c>
      <c r="GK1808" s="1108" t="s">
        <v>58709</v>
      </c>
    </row>
    <row r="1809" spans="1:193">
      <c r="A1809" s="1108" t="s">
        <v>58910</v>
      </c>
      <c r="B1809" s="1108" t="s">
        <v>58909</v>
      </c>
      <c r="C1809" s="1108">
        <v>135</v>
      </c>
      <c r="GJ1809" s="1108" t="s">
        <v>58710</v>
      </c>
      <c r="GK1809" s="1108" t="s">
        <v>58709</v>
      </c>
    </row>
    <row r="1810" spans="1:193">
      <c r="A1810" s="1108" t="s">
        <v>58908</v>
      </c>
      <c r="B1810" s="1108" t="s">
        <v>58907</v>
      </c>
      <c r="C1810" s="1108">
        <v>205</v>
      </c>
      <c r="GJ1810" s="1108" t="s">
        <v>58710</v>
      </c>
      <c r="GK1810" s="1108" t="s">
        <v>58709</v>
      </c>
    </row>
    <row r="1811" spans="1:193">
      <c r="A1811" s="1108" t="s">
        <v>58906</v>
      </c>
      <c r="B1811" s="1108" t="s">
        <v>58905</v>
      </c>
      <c r="C1811" s="1108">
        <v>191</v>
      </c>
      <c r="GJ1811" s="1108" t="s">
        <v>58710</v>
      </c>
      <c r="GK1811" s="1108" t="s">
        <v>58709</v>
      </c>
    </row>
    <row r="1812" spans="1:193">
      <c r="A1812" s="1108">
        <v>19990</v>
      </c>
      <c r="B1812" s="1108" t="s">
        <v>58904</v>
      </c>
      <c r="C1812" s="1108">
        <v>30</v>
      </c>
      <c r="GJ1812" s="1108" t="s">
        <v>58710</v>
      </c>
      <c r="GK1812" s="1108" t="s">
        <v>58709</v>
      </c>
    </row>
    <row r="1813" spans="1:193">
      <c r="A1813" s="1108">
        <v>19991</v>
      </c>
      <c r="B1813" s="1108" t="s">
        <v>58903</v>
      </c>
      <c r="C1813" s="1108">
        <v>40</v>
      </c>
      <c r="GJ1813" s="1108" t="s">
        <v>58710</v>
      </c>
      <c r="GK1813" s="1108" t="s">
        <v>58709</v>
      </c>
    </row>
    <row r="1814" spans="1:193">
      <c r="A1814" s="1108" t="s">
        <v>58902</v>
      </c>
      <c r="B1814" s="1108" t="s">
        <v>58901</v>
      </c>
      <c r="C1814" s="1108">
        <v>17</v>
      </c>
      <c r="GJ1814" s="1108" t="s">
        <v>58710</v>
      </c>
      <c r="GK1814" s="1108" t="s">
        <v>58709</v>
      </c>
    </row>
    <row r="1815" spans="1:193">
      <c r="A1815" s="1108" t="s">
        <v>58900</v>
      </c>
      <c r="B1815" s="1108" t="s">
        <v>58899</v>
      </c>
      <c r="C1815" s="1108">
        <v>399</v>
      </c>
      <c r="GJ1815" s="1108" t="s">
        <v>58710</v>
      </c>
      <c r="GK1815" s="1108" t="s">
        <v>58709</v>
      </c>
    </row>
    <row r="1816" spans="1:193">
      <c r="A1816" s="1108" t="s">
        <v>58898</v>
      </c>
      <c r="B1816" s="1108" t="s">
        <v>58897</v>
      </c>
      <c r="C1816" s="1108">
        <v>93</v>
      </c>
      <c r="GJ1816" s="1108" t="s">
        <v>58710</v>
      </c>
      <c r="GK1816" s="1108" t="s">
        <v>58709</v>
      </c>
    </row>
    <row r="1817" spans="1:193">
      <c r="A1817" s="1108" t="s">
        <v>58896</v>
      </c>
      <c r="B1817" s="1108" t="s">
        <v>58895</v>
      </c>
      <c r="C1817" s="1108">
        <v>274</v>
      </c>
      <c r="GJ1817" s="1108" t="s">
        <v>58710</v>
      </c>
      <c r="GK1817" s="1108" t="s">
        <v>58709</v>
      </c>
    </row>
    <row r="1818" spans="1:193">
      <c r="A1818" s="1108" t="s">
        <v>58894</v>
      </c>
      <c r="B1818" s="1108" t="s">
        <v>58893</v>
      </c>
      <c r="C1818" s="1108">
        <v>181</v>
      </c>
      <c r="GJ1818" s="1108" t="s">
        <v>58710</v>
      </c>
      <c r="GK1818" s="1108" t="s">
        <v>58709</v>
      </c>
    </row>
    <row r="1819" spans="1:193">
      <c r="A1819" s="1108" t="s">
        <v>58892</v>
      </c>
      <c r="B1819" s="1108" t="s">
        <v>58891</v>
      </c>
      <c r="C1819" s="1108">
        <v>61</v>
      </c>
      <c r="GJ1819" s="1108" t="s">
        <v>58710</v>
      </c>
      <c r="GK1819" s="1108" t="s">
        <v>58709</v>
      </c>
    </row>
    <row r="1820" spans="1:193">
      <c r="A1820" s="1108" t="s">
        <v>58890</v>
      </c>
      <c r="B1820" s="1108" t="s">
        <v>58889</v>
      </c>
      <c r="C1820" s="1108">
        <v>132</v>
      </c>
      <c r="GJ1820" s="1108" t="s">
        <v>58710</v>
      </c>
      <c r="GK1820" s="1108" t="s">
        <v>58709</v>
      </c>
    </row>
    <row r="1821" spans="1:193">
      <c r="A1821" s="1108" t="s">
        <v>58888</v>
      </c>
      <c r="B1821" s="1108" t="s">
        <v>58887</v>
      </c>
      <c r="C1821" s="1108">
        <v>145</v>
      </c>
      <c r="GJ1821" s="1108" t="s">
        <v>58710</v>
      </c>
      <c r="GK1821" s="1108" t="s">
        <v>58709</v>
      </c>
    </row>
    <row r="1822" spans="1:193">
      <c r="A1822" s="1108" t="s">
        <v>58886</v>
      </c>
      <c r="B1822" s="1108" t="s">
        <v>58885</v>
      </c>
      <c r="C1822" s="1108">
        <v>110</v>
      </c>
      <c r="GJ1822" s="1108" t="s">
        <v>58710</v>
      </c>
      <c r="GK1822" s="1108" t="s">
        <v>58709</v>
      </c>
    </row>
    <row r="1823" spans="1:193">
      <c r="A1823" s="1108" t="s">
        <v>58884</v>
      </c>
      <c r="B1823" s="1108" t="s">
        <v>58883</v>
      </c>
      <c r="C1823" s="1108">
        <v>109</v>
      </c>
      <c r="GJ1823" s="1108" t="s">
        <v>58710</v>
      </c>
      <c r="GK1823" s="1108" t="s">
        <v>58709</v>
      </c>
    </row>
    <row r="1824" spans="1:193">
      <c r="A1824" s="1108" t="s">
        <v>58882</v>
      </c>
      <c r="B1824" s="1108" t="s">
        <v>58881</v>
      </c>
      <c r="C1824" s="1108">
        <v>141</v>
      </c>
      <c r="GJ1824" s="1108" t="s">
        <v>58710</v>
      </c>
      <c r="GK1824" s="1108" t="s">
        <v>58709</v>
      </c>
    </row>
    <row r="1825" spans="1:193">
      <c r="A1825" s="1108" t="s">
        <v>58880</v>
      </c>
      <c r="B1825" s="1108" t="s">
        <v>58879</v>
      </c>
      <c r="C1825" s="1108">
        <v>147</v>
      </c>
      <c r="GJ1825" s="1108" t="s">
        <v>58710</v>
      </c>
      <c r="GK1825" s="1108" t="s">
        <v>58709</v>
      </c>
    </row>
    <row r="1826" spans="1:193">
      <c r="A1826" s="1108" t="s">
        <v>58878</v>
      </c>
      <c r="B1826" s="1108" t="s">
        <v>58877</v>
      </c>
      <c r="C1826" s="1108">
        <v>174</v>
      </c>
      <c r="GJ1826" s="1108" t="s">
        <v>58710</v>
      </c>
      <c r="GK1826" s="1108" t="s">
        <v>58709</v>
      </c>
    </row>
    <row r="1827" spans="1:193">
      <c r="A1827" s="1108" t="s">
        <v>58876</v>
      </c>
      <c r="B1827" s="1108" t="s">
        <v>58875</v>
      </c>
      <c r="C1827" s="1108">
        <v>136</v>
      </c>
      <c r="GJ1827" s="1108" t="s">
        <v>58710</v>
      </c>
      <c r="GK1827" s="1108" t="s">
        <v>58709</v>
      </c>
    </row>
    <row r="1828" spans="1:193">
      <c r="A1828" s="1108" t="s">
        <v>58874</v>
      </c>
      <c r="B1828" s="1108" t="s">
        <v>58873</v>
      </c>
      <c r="C1828" s="1108">
        <v>94</v>
      </c>
      <c r="GJ1828" s="1108" t="s">
        <v>58710</v>
      </c>
      <c r="GK1828" s="1108" t="s">
        <v>58709</v>
      </c>
    </row>
    <row r="1829" spans="1:193">
      <c r="A1829" s="1108" t="s">
        <v>58872</v>
      </c>
      <c r="B1829" s="1108" t="s">
        <v>58871</v>
      </c>
      <c r="C1829" s="1108">
        <v>116</v>
      </c>
      <c r="GJ1829" s="1108" t="s">
        <v>58710</v>
      </c>
      <c r="GK1829" s="1108" t="s">
        <v>58709</v>
      </c>
    </row>
    <row r="1830" spans="1:193">
      <c r="A1830" s="1108" t="s">
        <v>58870</v>
      </c>
      <c r="B1830" s="1108" t="s">
        <v>58869</v>
      </c>
      <c r="C1830" s="1108">
        <v>125</v>
      </c>
      <c r="GJ1830" s="1108" t="s">
        <v>58710</v>
      </c>
      <c r="GK1830" s="1108" t="s">
        <v>58709</v>
      </c>
    </row>
    <row r="1831" spans="1:193">
      <c r="A1831" s="1108">
        <v>16434</v>
      </c>
      <c r="B1831" s="1108" t="s">
        <v>58868</v>
      </c>
      <c r="C1831" s="1108">
        <v>37</v>
      </c>
      <c r="GJ1831" s="1108" t="s">
        <v>58710</v>
      </c>
      <c r="GK1831" s="1108" t="s">
        <v>58709</v>
      </c>
    </row>
    <row r="1832" spans="1:193">
      <c r="A1832" s="1108" t="s">
        <v>58867</v>
      </c>
      <c r="B1832" s="1108" t="s">
        <v>58866</v>
      </c>
      <c r="C1832" s="1108">
        <v>38</v>
      </c>
      <c r="GJ1832" s="1108" t="s">
        <v>58710</v>
      </c>
      <c r="GK1832" s="1108" t="s">
        <v>58709</v>
      </c>
    </row>
    <row r="1833" spans="1:193">
      <c r="A1833" s="1108" t="s">
        <v>58865</v>
      </c>
      <c r="B1833" s="1108" t="s">
        <v>58864</v>
      </c>
      <c r="C1833" s="1108">
        <v>393</v>
      </c>
      <c r="GJ1833" s="1108" t="s">
        <v>58710</v>
      </c>
      <c r="GK1833" s="1108" t="s">
        <v>58709</v>
      </c>
    </row>
    <row r="1834" spans="1:193">
      <c r="A1834" s="1108" t="s">
        <v>58863</v>
      </c>
      <c r="B1834" s="1108" t="s">
        <v>58862</v>
      </c>
      <c r="C1834" s="1108">
        <v>393</v>
      </c>
      <c r="GJ1834" s="1108" t="s">
        <v>58710</v>
      </c>
      <c r="GK1834" s="1108" t="s">
        <v>58709</v>
      </c>
    </row>
    <row r="1835" spans="1:193">
      <c r="A1835" s="1108" t="s">
        <v>58861</v>
      </c>
      <c r="B1835" s="1108" t="s">
        <v>58860</v>
      </c>
      <c r="C1835" s="1108">
        <v>190</v>
      </c>
      <c r="GJ1835" s="1108" t="s">
        <v>58710</v>
      </c>
      <c r="GK1835" s="1108" t="s">
        <v>58709</v>
      </c>
    </row>
    <row r="1836" spans="1:193">
      <c r="A1836" s="1108" t="s">
        <v>58859</v>
      </c>
      <c r="B1836" s="1108" t="s">
        <v>58858</v>
      </c>
      <c r="C1836" s="1108">
        <v>186</v>
      </c>
      <c r="GJ1836" s="1108" t="s">
        <v>58710</v>
      </c>
      <c r="GK1836" s="1108" t="s">
        <v>58709</v>
      </c>
    </row>
    <row r="1837" spans="1:193">
      <c r="A1837" s="1108" t="s">
        <v>58857</v>
      </c>
      <c r="B1837" s="1108" t="s">
        <v>58856</v>
      </c>
      <c r="C1837" s="1108">
        <v>221</v>
      </c>
      <c r="GJ1837" s="1108" t="s">
        <v>58710</v>
      </c>
      <c r="GK1837" s="1108" t="s">
        <v>58709</v>
      </c>
    </row>
    <row r="1838" spans="1:193">
      <c r="A1838" s="1108" t="s">
        <v>58855</v>
      </c>
      <c r="B1838" s="1108" t="s">
        <v>58854</v>
      </c>
      <c r="C1838" s="1108">
        <v>230</v>
      </c>
      <c r="GJ1838" s="1108" t="s">
        <v>58710</v>
      </c>
      <c r="GK1838" s="1108" t="s">
        <v>58709</v>
      </c>
    </row>
    <row r="1839" spans="1:193">
      <c r="A1839" s="1108" t="s">
        <v>58853</v>
      </c>
      <c r="B1839" s="1108" t="s">
        <v>58852</v>
      </c>
      <c r="C1839" s="1108">
        <v>300</v>
      </c>
      <c r="GJ1839" s="1108" t="s">
        <v>58710</v>
      </c>
      <c r="GK1839" s="1108" t="s">
        <v>58709</v>
      </c>
    </row>
    <row r="1840" spans="1:193">
      <c r="A1840" s="1108" t="s">
        <v>58851</v>
      </c>
      <c r="B1840" s="1108" t="s">
        <v>58850</v>
      </c>
      <c r="C1840" s="1108">
        <v>119</v>
      </c>
      <c r="GJ1840" s="1108" t="s">
        <v>58710</v>
      </c>
      <c r="GK1840" s="1108" t="s">
        <v>58709</v>
      </c>
    </row>
    <row r="1841" spans="1:193">
      <c r="A1841" s="1108" t="s">
        <v>58849</v>
      </c>
      <c r="B1841" s="1108" t="s">
        <v>58848</v>
      </c>
      <c r="C1841" s="1108">
        <v>322</v>
      </c>
      <c r="GJ1841" s="1108" t="s">
        <v>58710</v>
      </c>
      <c r="GK1841" s="1108" t="s">
        <v>58709</v>
      </c>
    </row>
    <row r="1842" spans="1:193">
      <c r="A1842" s="1108" t="s">
        <v>58847</v>
      </c>
      <c r="B1842" s="1108" t="s">
        <v>58846</v>
      </c>
      <c r="C1842" s="1108">
        <v>100</v>
      </c>
      <c r="GJ1842" s="1108" t="s">
        <v>58710</v>
      </c>
      <c r="GK1842" s="1108" t="s">
        <v>58709</v>
      </c>
    </row>
    <row r="1843" spans="1:193">
      <c r="A1843" s="1108" t="s">
        <v>58845</v>
      </c>
      <c r="B1843" s="1108" t="s">
        <v>58844</v>
      </c>
      <c r="C1843" s="1108">
        <v>133</v>
      </c>
      <c r="GJ1843" s="1108" t="s">
        <v>58710</v>
      </c>
      <c r="GK1843" s="1108" t="s">
        <v>58709</v>
      </c>
    </row>
    <row r="1844" spans="1:193">
      <c r="A1844" s="1108" t="s">
        <v>58843</v>
      </c>
      <c r="B1844" s="1108" t="s">
        <v>58842</v>
      </c>
      <c r="C1844" s="1108">
        <v>139</v>
      </c>
      <c r="GJ1844" s="1108" t="s">
        <v>58710</v>
      </c>
      <c r="GK1844" s="1108" t="s">
        <v>58709</v>
      </c>
    </row>
    <row r="1845" spans="1:193">
      <c r="A1845" s="1108" t="s">
        <v>58841</v>
      </c>
      <c r="B1845" s="1108" t="s">
        <v>58840</v>
      </c>
      <c r="C1845" s="1108">
        <v>176</v>
      </c>
      <c r="GJ1845" s="1108" t="s">
        <v>58710</v>
      </c>
      <c r="GK1845" s="1108" t="s">
        <v>58709</v>
      </c>
    </row>
    <row r="1846" spans="1:193">
      <c r="A1846" s="1108" t="s">
        <v>58839</v>
      </c>
      <c r="B1846" s="1108" t="s">
        <v>58838</v>
      </c>
      <c r="C1846" s="1108">
        <v>125</v>
      </c>
      <c r="GJ1846" s="1108" t="s">
        <v>58710</v>
      </c>
      <c r="GK1846" s="1108" t="s">
        <v>58709</v>
      </c>
    </row>
    <row r="1847" spans="1:193">
      <c r="A1847" s="1108" t="s">
        <v>58837</v>
      </c>
      <c r="B1847" s="1108" t="s">
        <v>58836</v>
      </c>
      <c r="C1847" s="1108">
        <v>303</v>
      </c>
      <c r="GJ1847" s="1108" t="s">
        <v>58710</v>
      </c>
      <c r="GK1847" s="1108" t="s">
        <v>58709</v>
      </c>
    </row>
    <row r="1848" spans="1:193">
      <c r="A1848" s="1108" t="s">
        <v>58835</v>
      </c>
      <c r="B1848" s="1108" t="s">
        <v>58834</v>
      </c>
      <c r="C1848" s="1108">
        <v>306</v>
      </c>
      <c r="GJ1848" s="1108" t="s">
        <v>58710</v>
      </c>
      <c r="GK1848" s="1108" t="s">
        <v>58709</v>
      </c>
    </row>
    <row r="1849" spans="1:193">
      <c r="A1849" s="1108" t="s">
        <v>58833</v>
      </c>
      <c r="B1849" s="1108" t="s">
        <v>58832</v>
      </c>
      <c r="C1849" s="1108">
        <v>419</v>
      </c>
      <c r="GJ1849" s="1108" t="s">
        <v>58710</v>
      </c>
      <c r="GK1849" s="1108" t="s">
        <v>58709</v>
      </c>
    </row>
    <row r="1850" spans="1:193">
      <c r="A1850" s="1108" t="s">
        <v>58831</v>
      </c>
      <c r="B1850" s="1108" t="s">
        <v>58830</v>
      </c>
      <c r="C1850" s="1108">
        <v>419</v>
      </c>
      <c r="GJ1850" s="1108" t="s">
        <v>58710</v>
      </c>
      <c r="GK1850" s="1108" t="s">
        <v>58709</v>
      </c>
    </row>
    <row r="1851" spans="1:193">
      <c r="A1851" s="1108" t="s">
        <v>58829</v>
      </c>
      <c r="B1851" s="1108" t="s">
        <v>58828</v>
      </c>
      <c r="C1851" s="1108">
        <v>352</v>
      </c>
      <c r="GJ1851" s="1108" t="s">
        <v>58710</v>
      </c>
      <c r="GK1851" s="1108" t="s">
        <v>58709</v>
      </c>
    </row>
    <row r="1852" spans="1:193">
      <c r="A1852" s="1108" t="s">
        <v>58827</v>
      </c>
      <c r="B1852" s="1108" t="s">
        <v>58826</v>
      </c>
      <c r="C1852" s="1108">
        <v>278</v>
      </c>
      <c r="GJ1852" s="1108" t="s">
        <v>58710</v>
      </c>
      <c r="GK1852" s="1108" t="s">
        <v>58709</v>
      </c>
    </row>
    <row r="1853" spans="1:193">
      <c r="A1853" s="1108" t="s">
        <v>58825</v>
      </c>
      <c r="B1853" s="1108" t="s">
        <v>58824</v>
      </c>
      <c r="C1853" s="1108">
        <v>315</v>
      </c>
      <c r="GJ1853" s="1108" t="s">
        <v>58710</v>
      </c>
      <c r="GK1853" s="1108" t="s">
        <v>58709</v>
      </c>
    </row>
    <row r="1854" spans="1:193">
      <c r="A1854" s="1108" t="s">
        <v>58823</v>
      </c>
      <c r="B1854" s="1108" t="s">
        <v>58822</v>
      </c>
      <c r="C1854" s="1108">
        <v>242</v>
      </c>
      <c r="GJ1854" s="1108" t="s">
        <v>58710</v>
      </c>
      <c r="GK1854" s="1108" t="s">
        <v>58709</v>
      </c>
    </row>
    <row r="1855" spans="1:193">
      <c r="A1855" s="1108" t="s">
        <v>58821</v>
      </c>
      <c r="B1855" s="1108" t="s">
        <v>58820</v>
      </c>
      <c r="C1855" s="1108">
        <v>315</v>
      </c>
      <c r="GJ1855" s="1108" t="s">
        <v>58710</v>
      </c>
      <c r="GK1855" s="1108" t="s">
        <v>58709</v>
      </c>
    </row>
    <row r="1856" spans="1:193">
      <c r="A1856" s="1108" t="s">
        <v>58819</v>
      </c>
      <c r="B1856" s="1108" t="s">
        <v>58818</v>
      </c>
      <c r="C1856" s="1108">
        <v>278</v>
      </c>
      <c r="GJ1856" s="1108" t="s">
        <v>58710</v>
      </c>
      <c r="GK1856" s="1108" t="s">
        <v>58709</v>
      </c>
    </row>
    <row r="1857" spans="1:193">
      <c r="A1857" s="1108" t="s">
        <v>58817</v>
      </c>
      <c r="B1857" s="1108" t="s">
        <v>58816</v>
      </c>
      <c r="C1857" s="1108">
        <v>155</v>
      </c>
      <c r="GJ1857" s="1108" t="s">
        <v>58710</v>
      </c>
      <c r="GK1857" s="1108" t="s">
        <v>58709</v>
      </c>
    </row>
    <row r="1858" spans="1:193">
      <c r="A1858" s="1108" t="s">
        <v>58815</v>
      </c>
      <c r="B1858" s="1108" t="s">
        <v>58814</v>
      </c>
      <c r="C1858" s="1108">
        <v>155</v>
      </c>
      <c r="GJ1858" s="1108" t="s">
        <v>58710</v>
      </c>
      <c r="GK1858" s="1108" t="s">
        <v>58709</v>
      </c>
    </row>
    <row r="1859" spans="1:193">
      <c r="A1859" s="1108" t="s">
        <v>58813</v>
      </c>
      <c r="B1859" s="1108" t="s">
        <v>58812</v>
      </c>
      <c r="C1859" s="1108">
        <v>52</v>
      </c>
      <c r="GJ1859" s="1108" t="s">
        <v>58710</v>
      </c>
      <c r="GK1859" s="1108" t="s">
        <v>58709</v>
      </c>
    </row>
    <row r="1860" spans="1:193">
      <c r="A1860" s="1108" t="s">
        <v>58811</v>
      </c>
      <c r="B1860" s="1108" t="s">
        <v>58810</v>
      </c>
      <c r="C1860" s="1108">
        <v>52</v>
      </c>
      <c r="GJ1860" s="1108" t="s">
        <v>58710</v>
      </c>
      <c r="GK1860" s="1108" t="s">
        <v>58709</v>
      </c>
    </row>
    <row r="1861" spans="1:193">
      <c r="A1861" s="1108" t="s">
        <v>58809</v>
      </c>
      <c r="B1861" s="1108" t="s">
        <v>58808</v>
      </c>
      <c r="C1861" s="1108">
        <v>83</v>
      </c>
      <c r="GJ1861" s="1108" t="s">
        <v>58710</v>
      </c>
      <c r="GK1861" s="1108" t="s">
        <v>58709</v>
      </c>
    </row>
    <row r="1862" spans="1:193">
      <c r="A1862" s="1108" t="s">
        <v>58807</v>
      </c>
      <c r="B1862" s="1108" t="s">
        <v>58806</v>
      </c>
      <c r="C1862" s="1108">
        <v>83</v>
      </c>
      <c r="GJ1862" s="1108" t="s">
        <v>58710</v>
      </c>
      <c r="GK1862" s="1108" t="s">
        <v>58709</v>
      </c>
    </row>
    <row r="1863" spans="1:193">
      <c r="A1863" s="1108" t="s">
        <v>58805</v>
      </c>
      <c r="B1863" s="1108" t="s">
        <v>58804</v>
      </c>
      <c r="C1863" s="1108">
        <v>33</v>
      </c>
      <c r="GJ1863" s="1108" t="s">
        <v>58710</v>
      </c>
      <c r="GK1863" s="1108" t="s">
        <v>58709</v>
      </c>
    </row>
    <row r="1864" spans="1:193">
      <c r="A1864" s="1108" t="s">
        <v>58803</v>
      </c>
      <c r="B1864" s="1108" t="s">
        <v>58802</v>
      </c>
      <c r="C1864" s="1108">
        <v>41</v>
      </c>
      <c r="GJ1864" s="1108" t="s">
        <v>58710</v>
      </c>
      <c r="GK1864" s="1108" t="s">
        <v>58709</v>
      </c>
    </row>
    <row r="1865" spans="1:193">
      <c r="A1865" s="1108" t="s">
        <v>58801</v>
      </c>
      <c r="B1865" s="1108" t="s">
        <v>58800</v>
      </c>
      <c r="C1865" s="1108">
        <v>88</v>
      </c>
      <c r="GJ1865" s="1108" t="s">
        <v>58710</v>
      </c>
      <c r="GK1865" s="1108" t="s">
        <v>58709</v>
      </c>
    </row>
    <row r="1866" spans="1:193">
      <c r="A1866" s="1108" t="s">
        <v>58799</v>
      </c>
      <c r="B1866" s="1108" t="s">
        <v>58798</v>
      </c>
      <c r="C1866" s="1108">
        <v>88</v>
      </c>
      <c r="GJ1866" s="1108" t="s">
        <v>58710</v>
      </c>
      <c r="GK1866" s="1108" t="s">
        <v>58709</v>
      </c>
    </row>
    <row r="1867" spans="1:193">
      <c r="A1867" s="1108" t="s">
        <v>58797</v>
      </c>
      <c r="B1867" s="1108" t="s">
        <v>58796</v>
      </c>
      <c r="C1867" s="1108">
        <v>44</v>
      </c>
      <c r="GJ1867" s="1108" t="s">
        <v>58710</v>
      </c>
      <c r="GK1867" s="1108" t="s">
        <v>58709</v>
      </c>
    </row>
    <row r="1868" spans="1:193">
      <c r="A1868" s="1108" t="s">
        <v>58795</v>
      </c>
      <c r="B1868" s="1108" t="s">
        <v>58794</v>
      </c>
      <c r="C1868" s="1108">
        <v>15</v>
      </c>
      <c r="GJ1868" s="1108" t="s">
        <v>58710</v>
      </c>
      <c r="GK1868" s="1108" t="s">
        <v>58709</v>
      </c>
    </row>
    <row r="1869" spans="1:193">
      <c r="A1869" s="1108" t="s">
        <v>58793</v>
      </c>
      <c r="B1869" s="1108" t="s">
        <v>58792</v>
      </c>
      <c r="C1869" s="1108">
        <v>23</v>
      </c>
      <c r="GJ1869" s="1108" t="s">
        <v>58710</v>
      </c>
      <c r="GK1869" s="1108" t="s">
        <v>58709</v>
      </c>
    </row>
    <row r="1870" spans="1:193">
      <c r="A1870" s="1108" t="s">
        <v>58791</v>
      </c>
      <c r="B1870" s="1108" t="s">
        <v>58790</v>
      </c>
      <c r="C1870" s="1108">
        <v>25</v>
      </c>
      <c r="GJ1870" s="1108" t="s">
        <v>58710</v>
      </c>
      <c r="GK1870" s="1108" t="s">
        <v>58709</v>
      </c>
    </row>
    <row r="1871" spans="1:193">
      <c r="A1871" s="1108" t="s">
        <v>58789</v>
      </c>
      <c r="B1871" s="1108" t="s">
        <v>58788</v>
      </c>
      <c r="C1871" s="1108">
        <v>20</v>
      </c>
      <c r="GJ1871" s="1108" t="s">
        <v>58710</v>
      </c>
      <c r="GK1871" s="1108" t="s">
        <v>58709</v>
      </c>
    </row>
    <row r="1872" spans="1:193">
      <c r="A1872" s="1108" t="s">
        <v>58787</v>
      </c>
      <c r="B1872" s="1108" t="s">
        <v>58786</v>
      </c>
      <c r="C1872" s="1108">
        <v>18</v>
      </c>
      <c r="GJ1872" s="1108" t="s">
        <v>58710</v>
      </c>
      <c r="GK1872" s="1108" t="s">
        <v>58709</v>
      </c>
    </row>
    <row r="1873" spans="1:193">
      <c r="A1873" s="1108" t="s">
        <v>58785</v>
      </c>
      <c r="B1873" s="1108" t="s">
        <v>58784</v>
      </c>
      <c r="C1873" s="1108">
        <v>20</v>
      </c>
      <c r="GJ1873" s="1108" t="s">
        <v>58710</v>
      </c>
      <c r="GK1873" s="1108" t="s">
        <v>58709</v>
      </c>
    </row>
    <row r="1874" spans="1:193">
      <c r="A1874" s="1108" t="s">
        <v>58783</v>
      </c>
      <c r="B1874" s="1108" t="s">
        <v>58782</v>
      </c>
      <c r="C1874" s="1108">
        <v>37</v>
      </c>
      <c r="GJ1874" s="1108" t="s">
        <v>58710</v>
      </c>
      <c r="GK1874" s="1108" t="s">
        <v>58709</v>
      </c>
    </row>
    <row r="1875" spans="1:193">
      <c r="A1875" s="1108" t="s">
        <v>58781</v>
      </c>
      <c r="B1875" s="1108" t="s">
        <v>58780</v>
      </c>
      <c r="C1875" s="1108">
        <v>37</v>
      </c>
      <c r="GJ1875" s="1108" t="s">
        <v>58710</v>
      </c>
      <c r="GK1875" s="1108" t="s">
        <v>58709</v>
      </c>
    </row>
    <row r="1876" spans="1:193">
      <c r="A1876" s="1108" t="s">
        <v>58779</v>
      </c>
      <c r="B1876" s="1108" t="s">
        <v>58778</v>
      </c>
      <c r="C1876" s="1108">
        <v>81.56</v>
      </c>
      <c r="GJ1876" s="1108" t="s">
        <v>58710</v>
      </c>
      <c r="GK1876" s="1108" t="s">
        <v>58709</v>
      </c>
    </row>
    <row r="1877" spans="1:193">
      <c r="A1877" s="1108">
        <v>17040</v>
      </c>
      <c r="B1877" s="1108" t="s">
        <v>58777</v>
      </c>
      <c r="C1877" s="1108">
        <v>42</v>
      </c>
      <c r="GJ1877" s="1108" t="s">
        <v>58710</v>
      </c>
      <c r="GK1877" s="1108" t="s">
        <v>58709</v>
      </c>
    </row>
    <row r="1878" spans="1:193">
      <c r="A1878" s="1108">
        <v>15371</v>
      </c>
      <c r="B1878" s="1108" t="s">
        <v>58776</v>
      </c>
      <c r="C1878" s="1108">
        <v>111</v>
      </c>
      <c r="GJ1878" s="1108" t="s">
        <v>58710</v>
      </c>
      <c r="GK1878" s="1108" t="s">
        <v>58709</v>
      </c>
    </row>
    <row r="1879" spans="1:193">
      <c r="A1879" s="1108" t="s">
        <v>58775</v>
      </c>
      <c r="B1879" s="1108" t="s">
        <v>58774</v>
      </c>
      <c r="C1879" s="1108">
        <v>280</v>
      </c>
      <c r="GJ1879" s="1108" t="s">
        <v>58710</v>
      </c>
      <c r="GK1879" s="1108" t="s">
        <v>58709</v>
      </c>
    </row>
    <row r="1880" spans="1:193">
      <c r="A1880" s="1108" t="s">
        <v>58773</v>
      </c>
      <c r="B1880" s="1108" t="s">
        <v>58772</v>
      </c>
      <c r="C1880" s="1108">
        <v>62</v>
      </c>
      <c r="GJ1880" s="1108" t="s">
        <v>58710</v>
      </c>
      <c r="GK1880" s="1108" t="s">
        <v>58709</v>
      </c>
    </row>
    <row r="1881" spans="1:193">
      <c r="A1881" s="1108">
        <v>14331</v>
      </c>
      <c r="B1881" s="1108" t="s">
        <v>58771</v>
      </c>
      <c r="C1881" s="1108">
        <v>30</v>
      </c>
      <c r="GJ1881" s="1108" t="s">
        <v>58710</v>
      </c>
      <c r="GK1881" s="1108" t="s">
        <v>58709</v>
      </c>
    </row>
    <row r="1882" spans="1:193">
      <c r="A1882" s="1108">
        <v>14332</v>
      </c>
      <c r="B1882" s="1108" t="s">
        <v>58770</v>
      </c>
      <c r="C1882" s="1108">
        <v>14</v>
      </c>
      <c r="GJ1882" s="1108" t="s">
        <v>58710</v>
      </c>
      <c r="GK1882" s="1108" t="s">
        <v>58709</v>
      </c>
    </row>
    <row r="1883" spans="1:193">
      <c r="A1883" s="1108">
        <v>14831</v>
      </c>
      <c r="B1883" s="1108" t="s">
        <v>58769</v>
      </c>
      <c r="C1883" s="1108">
        <v>18</v>
      </c>
      <c r="GJ1883" s="1108" t="s">
        <v>58710</v>
      </c>
      <c r="GK1883" s="1108" t="s">
        <v>58709</v>
      </c>
    </row>
    <row r="1884" spans="1:193">
      <c r="A1884" s="1108" t="s">
        <v>58768</v>
      </c>
      <c r="B1884" s="1108" t="s">
        <v>58767</v>
      </c>
      <c r="C1884" s="1108">
        <v>466</v>
      </c>
      <c r="GJ1884" s="1108" t="s">
        <v>58710</v>
      </c>
      <c r="GK1884" s="1108" t="s">
        <v>58709</v>
      </c>
    </row>
    <row r="1885" spans="1:193">
      <c r="A1885" s="1108" t="s">
        <v>58766</v>
      </c>
      <c r="B1885" s="1108" t="s">
        <v>58765</v>
      </c>
      <c r="C1885" s="1108">
        <v>466</v>
      </c>
      <c r="GJ1885" s="1108" t="s">
        <v>58710</v>
      </c>
      <c r="GK1885" s="1108" t="s">
        <v>58709</v>
      </c>
    </row>
    <row r="1886" spans="1:193">
      <c r="A1886" s="1108" t="s">
        <v>58764</v>
      </c>
      <c r="B1886" s="1108" t="s">
        <v>58763</v>
      </c>
      <c r="C1886" s="1108">
        <v>466</v>
      </c>
      <c r="GJ1886" s="1108" t="s">
        <v>58710</v>
      </c>
      <c r="GK1886" s="1108" t="s">
        <v>58709</v>
      </c>
    </row>
    <row r="1887" spans="1:193">
      <c r="A1887" s="1108" t="s">
        <v>58762</v>
      </c>
      <c r="B1887" s="1108" t="s">
        <v>58761</v>
      </c>
      <c r="C1887" s="1108">
        <v>466</v>
      </c>
      <c r="GJ1887" s="1108" t="s">
        <v>58710</v>
      </c>
      <c r="GK1887" s="1108" t="s">
        <v>58709</v>
      </c>
    </row>
    <row r="1888" spans="1:193">
      <c r="A1888" s="1108" t="s">
        <v>58760</v>
      </c>
      <c r="B1888" s="1108" t="s">
        <v>58759</v>
      </c>
      <c r="C1888" s="1108">
        <v>466</v>
      </c>
      <c r="GJ1888" s="1108" t="s">
        <v>58710</v>
      </c>
      <c r="GK1888" s="1108" t="s">
        <v>58709</v>
      </c>
    </row>
    <row r="1889" spans="1:193">
      <c r="A1889" s="1108" t="s">
        <v>58758</v>
      </c>
      <c r="B1889" s="1108" t="s">
        <v>58757</v>
      </c>
      <c r="C1889" s="1108">
        <v>466</v>
      </c>
      <c r="GJ1889" s="1108" t="s">
        <v>58710</v>
      </c>
      <c r="GK1889" s="1108" t="s">
        <v>58709</v>
      </c>
    </row>
    <row r="1890" spans="1:193">
      <c r="A1890" s="1108" t="s">
        <v>58756</v>
      </c>
      <c r="B1890" s="1108" t="s">
        <v>58755</v>
      </c>
      <c r="C1890" s="1108">
        <v>466</v>
      </c>
      <c r="GJ1890" s="1108" t="s">
        <v>58710</v>
      </c>
      <c r="GK1890" s="1108" t="s">
        <v>58709</v>
      </c>
    </row>
    <row r="1891" spans="1:193">
      <c r="A1891" s="1108" t="s">
        <v>58754</v>
      </c>
      <c r="B1891" s="1108" t="s">
        <v>58751</v>
      </c>
      <c r="C1891" s="1108">
        <v>525</v>
      </c>
      <c r="GJ1891" s="1108" t="s">
        <v>58710</v>
      </c>
      <c r="GK1891" s="1108" t="s">
        <v>58709</v>
      </c>
    </row>
    <row r="1892" spans="1:193">
      <c r="A1892" s="1108" t="s">
        <v>58753</v>
      </c>
      <c r="B1892" s="1108" t="s">
        <v>58751</v>
      </c>
      <c r="C1892" s="1108">
        <v>549</v>
      </c>
      <c r="GJ1892" s="1108" t="s">
        <v>58710</v>
      </c>
      <c r="GK1892" s="1108" t="s">
        <v>58709</v>
      </c>
    </row>
    <row r="1893" spans="1:193">
      <c r="A1893" s="1108" t="s">
        <v>58752</v>
      </c>
      <c r="B1893" s="1108" t="s">
        <v>58751</v>
      </c>
      <c r="C1893" s="1108">
        <v>549</v>
      </c>
      <c r="GJ1893" s="1108" t="s">
        <v>58710</v>
      </c>
      <c r="GK1893" s="1108" t="s">
        <v>58709</v>
      </c>
    </row>
    <row r="1894" spans="1:193">
      <c r="A1894" s="1108" t="s">
        <v>58750</v>
      </c>
      <c r="B1894" s="1108" t="s">
        <v>58749</v>
      </c>
      <c r="C1894" s="1108">
        <v>314</v>
      </c>
      <c r="GJ1894" s="1108" t="s">
        <v>58710</v>
      </c>
      <c r="GK1894" s="1108" t="s">
        <v>58709</v>
      </c>
    </row>
    <row r="1895" spans="1:193">
      <c r="A1895" s="1108" t="s">
        <v>58748</v>
      </c>
      <c r="B1895" s="1108" t="s">
        <v>58747</v>
      </c>
      <c r="C1895" s="1108">
        <v>438</v>
      </c>
      <c r="GJ1895" s="1108" t="s">
        <v>58710</v>
      </c>
      <c r="GK1895" s="1108" t="s">
        <v>58709</v>
      </c>
    </row>
    <row r="1896" spans="1:193">
      <c r="A1896" s="1108" t="s">
        <v>58746</v>
      </c>
      <c r="B1896" s="1108" t="s">
        <v>58745</v>
      </c>
      <c r="C1896" s="1108">
        <v>408</v>
      </c>
      <c r="GJ1896" s="1108" t="s">
        <v>58710</v>
      </c>
      <c r="GK1896" s="1108" t="s">
        <v>58709</v>
      </c>
    </row>
    <row r="1897" spans="1:193">
      <c r="A1897" s="1108" t="s">
        <v>58744</v>
      </c>
      <c r="B1897" s="1108" t="s">
        <v>58743</v>
      </c>
      <c r="C1897" s="1108">
        <v>466</v>
      </c>
      <c r="GJ1897" s="1108" t="s">
        <v>58710</v>
      </c>
      <c r="GK1897" s="1108" t="s">
        <v>58709</v>
      </c>
    </row>
    <row r="1898" spans="1:193">
      <c r="A1898" s="1108" t="s">
        <v>58742</v>
      </c>
      <c r="B1898" s="1108" t="s">
        <v>58741</v>
      </c>
      <c r="C1898" s="1108">
        <v>408</v>
      </c>
      <c r="GJ1898" s="1108" t="s">
        <v>58710</v>
      </c>
      <c r="GK1898" s="1108" t="s">
        <v>58709</v>
      </c>
    </row>
    <row r="1899" spans="1:193">
      <c r="A1899" s="1108" t="s">
        <v>58740</v>
      </c>
      <c r="B1899" s="1108" t="s">
        <v>58739</v>
      </c>
      <c r="C1899" s="1108">
        <v>461</v>
      </c>
      <c r="GJ1899" s="1108" t="s">
        <v>58710</v>
      </c>
      <c r="GK1899" s="1108" t="s">
        <v>58709</v>
      </c>
    </row>
    <row r="1900" spans="1:193">
      <c r="A1900" s="1108" t="s">
        <v>58738</v>
      </c>
      <c r="B1900" s="1108" t="s">
        <v>58737</v>
      </c>
      <c r="C1900" s="1108">
        <v>345</v>
      </c>
      <c r="GJ1900" s="1108" t="s">
        <v>58710</v>
      </c>
      <c r="GK1900" s="1108" t="s">
        <v>58709</v>
      </c>
    </row>
    <row r="1901" spans="1:193">
      <c r="A1901" s="1108" t="s">
        <v>58736</v>
      </c>
      <c r="B1901" s="1108" t="s">
        <v>58735</v>
      </c>
      <c r="C1901" s="1108">
        <v>407</v>
      </c>
      <c r="GJ1901" s="1108" t="s">
        <v>58710</v>
      </c>
      <c r="GK1901" s="1108" t="s">
        <v>58709</v>
      </c>
    </row>
    <row r="1902" spans="1:193">
      <c r="A1902" s="1108" t="s">
        <v>58734</v>
      </c>
      <c r="B1902" s="1108" t="s">
        <v>58733</v>
      </c>
      <c r="C1902" s="1108">
        <v>407</v>
      </c>
      <c r="GJ1902" s="1108" t="s">
        <v>58710</v>
      </c>
      <c r="GK1902" s="1108" t="s">
        <v>58709</v>
      </c>
    </row>
    <row r="1903" spans="1:193">
      <c r="A1903" s="1108" t="s">
        <v>58732</v>
      </c>
      <c r="B1903" s="1108" t="s">
        <v>58731</v>
      </c>
      <c r="C1903" s="1108">
        <v>386</v>
      </c>
      <c r="GJ1903" s="1108" t="s">
        <v>58710</v>
      </c>
      <c r="GK1903" s="1108" t="s">
        <v>58709</v>
      </c>
    </row>
    <row r="1904" spans="1:193">
      <c r="A1904" s="1108" t="s">
        <v>58730</v>
      </c>
      <c r="B1904" s="1108" t="s">
        <v>58729</v>
      </c>
      <c r="C1904" s="1108">
        <v>407</v>
      </c>
      <c r="GJ1904" s="1108" t="s">
        <v>58710</v>
      </c>
      <c r="GK1904" s="1108" t="s">
        <v>58709</v>
      </c>
    </row>
    <row r="1905" spans="1:193">
      <c r="A1905" s="1108" t="s">
        <v>58728</v>
      </c>
      <c r="B1905" s="1108" t="s">
        <v>58727</v>
      </c>
      <c r="C1905" s="1108">
        <v>108.9</v>
      </c>
      <c r="GJ1905" s="1108" t="s">
        <v>58710</v>
      </c>
      <c r="GK1905" s="1108" t="s">
        <v>58709</v>
      </c>
    </row>
    <row r="1906" spans="1:193">
      <c r="A1906" s="1108" t="s">
        <v>58726</v>
      </c>
      <c r="B1906" s="1108" t="s">
        <v>58725</v>
      </c>
      <c r="C1906" s="1108">
        <v>163.65</v>
      </c>
      <c r="GJ1906" s="1108" t="s">
        <v>58710</v>
      </c>
      <c r="GK1906" s="1108" t="s">
        <v>58709</v>
      </c>
    </row>
    <row r="1907" spans="1:193">
      <c r="A1907" s="1108" t="s">
        <v>58724</v>
      </c>
      <c r="B1907" s="1108" t="s">
        <v>58723</v>
      </c>
      <c r="C1907" s="1108">
        <v>333.08</v>
      </c>
      <c r="GJ1907" s="1108" t="s">
        <v>58710</v>
      </c>
      <c r="GK1907" s="1108" t="s">
        <v>58709</v>
      </c>
    </row>
    <row r="1908" spans="1:193">
      <c r="A1908" s="1108" t="s">
        <v>58722</v>
      </c>
      <c r="B1908" s="1108" t="s">
        <v>58721</v>
      </c>
      <c r="C1908" s="1108">
        <v>480</v>
      </c>
      <c r="GJ1908" s="1108" t="s">
        <v>58710</v>
      </c>
      <c r="GK1908" s="1108" t="s">
        <v>58709</v>
      </c>
    </row>
    <row r="1909" spans="1:193">
      <c r="A1909" s="1108" t="s">
        <v>58720</v>
      </c>
      <c r="B1909" s="1108" t="s">
        <v>58719</v>
      </c>
      <c r="C1909" s="1108">
        <v>118.98</v>
      </c>
      <c r="GJ1909" s="1108" t="s">
        <v>58710</v>
      </c>
      <c r="GK1909" s="1108" t="s">
        <v>58709</v>
      </c>
    </row>
    <row r="1910" spans="1:193">
      <c r="A1910" s="1108" t="s">
        <v>58718</v>
      </c>
      <c r="B1910" s="1108" t="s">
        <v>58717</v>
      </c>
      <c r="C1910" s="1108">
        <v>333.08</v>
      </c>
      <c r="GJ1910" s="1108" t="s">
        <v>58710</v>
      </c>
      <c r="GK1910" s="1108" t="s">
        <v>58709</v>
      </c>
    </row>
    <row r="1911" spans="1:193">
      <c r="A1911" s="1108" t="s">
        <v>58716</v>
      </c>
      <c r="B1911" s="1108" t="s">
        <v>58715</v>
      </c>
      <c r="C1911" s="1108">
        <v>695.52</v>
      </c>
      <c r="GJ1911" s="1108" t="s">
        <v>58710</v>
      </c>
      <c r="GK1911" s="1108" t="s">
        <v>58709</v>
      </c>
    </row>
    <row r="1912" spans="1:193">
      <c r="A1912" s="1108" t="s">
        <v>58714</v>
      </c>
      <c r="B1912" s="1108" t="s">
        <v>58713</v>
      </c>
      <c r="C1912" s="1108">
        <v>1014.7</v>
      </c>
      <c r="GJ1912" s="1108" t="s">
        <v>58710</v>
      </c>
      <c r="GK1912" s="1108" t="s">
        <v>58709</v>
      </c>
    </row>
    <row r="1913" spans="1:193">
      <c r="A1913" s="1108" t="s">
        <v>58712</v>
      </c>
      <c r="B1913" s="1108" t="s">
        <v>58711</v>
      </c>
      <c r="C1913" s="1108">
        <v>1061.3800000000001</v>
      </c>
      <c r="GJ1913" s="1108" t="s">
        <v>58710</v>
      </c>
      <c r="GK1913" s="1108" t="s">
        <v>58709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8FDE9-C998-4385-9490-3CB081514EB4}">
  <sheetPr>
    <tabColor theme="2" tint="-9.9978637043366805E-2"/>
  </sheetPr>
  <dimension ref="A1:D543"/>
  <sheetViews>
    <sheetView topLeftCell="A27" workbookViewId="0">
      <selection activeCell="C8" sqref="C8"/>
    </sheetView>
  </sheetViews>
  <sheetFormatPr defaultColWidth="10" defaultRowHeight="12.5"/>
  <cols>
    <col min="1" max="1" width="10" style="393" customWidth="1"/>
    <col min="2" max="2" width="17.36328125" style="393" customWidth="1"/>
    <col min="3" max="3" width="88" style="393" customWidth="1"/>
    <col min="4" max="5" width="10" style="393" customWidth="1"/>
    <col min="6" max="16384" width="10" style="393"/>
  </cols>
  <sheetData>
    <row r="1" spans="1:4" ht="20" customHeight="1">
      <c r="A1" s="395" t="s">
        <v>16693</v>
      </c>
      <c r="B1" s="395" t="s">
        <v>16692</v>
      </c>
      <c r="C1" s="395" t="s">
        <v>1</v>
      </c>
      <c r="D1" s="395" t="s">
        <v>263</v>
      </c>
    </row>
    <row r="2" spans="1:4" ht="50">
      <c r="A2" s="393" t="s">
        <v>16583</v>
      </c>
      <c r="B2" s="393" t="s">
        <v>16691</v>
      </c>
      <c r="C2" s="394" t="s">
        <v>16690</v>
      </c>
      <c r="D2" s="393">
        <v>3769</v>
      </c>
    </row>
    <row r="3" spans="1:4" ht="50">
      <c r="A3" s="393" t="s">
        <v>16583</v>
      </c>
      <c r="B3" s="393" t="s">
        <v>16689</v>
      </c>
      <c r="C3" s="394" t="s">
        <v>16688</v>
      </c>
      <c r="D3" s="393">
        <v>4069</v>
      </c>
    </row>
    <row r="4" spans="1:4" ht="50">
      <c r="A4" s="393" t="s">
        <v>16583</v>
      </c>
      <c r="B4" s="393" t="s">
        <v>16687</v>
      </c>
      <c r="C4" s="394" t="s">
        <v>16686</v>
      </c>
      <c r="D4" s="393">
        <v>4128</v>
      </c>
    </row>
    <row r="5" spans="1:4" ht="62.5">
      <c r="A5" s="393" t="s">
        <v>16583</v>
      </c>
      <c r="B5" s="393" t="s">
        <v>16685</v>
      </c>
      <c r="C5" s="394" t="s">
        <v>16684</v>
      </c>
      <c r="D5" s="393">
        <v>4348</v>
      </c>
    </row>
    <row r="6" spans="1:4" ht="50">
      <c r="A6" s="393" t="s">
        <v>16583</v>
      </c>
      <c r="B6" s="393" t="s">
        <v>16683</v>
      </c>
      <c r="C6" s="394" t="s">
        <v>16682</v>
      </c>
      <c r="D6" s="393">
        <v>4369</v>
      </c>
    </row>
    <row r="7" spans="1:4" ht="50">
      <c r="A7" s="393" t="s">
        <v>16583</v>
      </c>
      <c r="B7" s="393" t="s">
        <v>16681</v>
      </c>
      <c r="C7" s="394" t="s">
        <v>16680</v>
      </c>
      <c r="D7" s="393">
        <v>4377</v>
      </c>
    </row>
    <row r="8" spans="1:4" ht="50">
      <c r="A8" s="393" t="s">
        <v>16583</v>
      </c>
      <c r="B8" s="393" t="s">
        <v>16679</v>
      </c>
      <c r="C8" s="394" t="s">
        <v>16678</v>
      </c>
      <c r="D8" s="393">
        <v>4428</v>
      </c>
    </row>
    <row r="9" spans="1:4" ht="50">
      <c r="A9" s="393" t="s">
        <v>16583</v>
      </c>
      <c r="B9" s="393" t="s">
        <v>16677</v>
      </c>
      <c r="C9" s="394" t="s">
        <v>16676</v>
      </c>
      <c r="D9" s="393">
        <v>4468</v>
      </c>
    </row>
    <row r="10" spans="1:4" ht="62.5">
      <c r="A10" s="393" t="s">
        <v>16583</v>
      </c>
      <c r="B10" s="393" t="s">
        <v>16675</v>
      </c>
      <c r="C10" s="394" t="s">
        <v>16674</v>
      </c>
      <c r="D10" s="393">
        <v>4578</v>
      </c>
    </row>
    <row r="11" spans="1:4" ht="62.5">
      <c r="A11" s="393" t="s">
        <v>16583</v>
      </c>
      <c r="B11" s="393" t="s">
        <v>16673</v>
      </c>
      <c r="C11" s="394" t="s">
        <v>16672</v>
      </c>
      <c r="D11" s="393">
        <v>4617</v>
      </c>
    </row>
    <row r="12" spans="1:4" ht="50">
      <c r="A12" s="393" t="s">
        <v>16583</v>
      </c>
      <c r="B12" s="393" t="s">
        <v>16671</v>
      </c>
      <c r="C12" s="394" t="s">
        <v>16670</v>
      </c>
      <c r="D12" s="393">
        <v>4618</v>
      </c>
    </row>
    <row r="13" spans="1:4" ht="62.5">
      <c r="A13" s="393" t="s">
        <v>16583</v>
      </c>
      <c r="B13" s="393" t="s">
        <v>16669</v>
      </c>
      <c r="C13" s="394" t="s">
        <v>16668</v>
      </c>
      <c r="D13" s="393">
        <v>4648</v>
      </c>
    </row>
    <row r="14" spans="1:4" ht="50">
      <c r="A14" s="393" t="s">
        <v>16583</v>
      </c>
      <c r="B14" s="393" t="s">
        <v>16667</v>
      </c>
      <c r="C14" s="394" t="s">
        <v>16666</v>
      </c>
      <c r="D14" s="393">
        <v>4657</v>
      </c>
    </row>
    <row r="15" spans="1:4" ht="50">
      <c r="A15" s="393" t="s">
        <v>16583</v>
      </c>
      <c r="B15" s="393" t="s">
        <v>16665</v>
      </c>
      <c r="C15" s="394" t="s">
        <v>16664</v>
      </c>
      <c r="D15" s="393">
        <v>4677</v>
      </c>
    </row>
    <row r="16" spans="1:4" ht="62.5">
      <c r="A16" s="393" t="s">
        <v>16583</v>
      </c>
      <c r="B16" s="393" t="s">
        <v>16663</v>
      </c>
      <c r="C16" s="394" t="s">
        <v>16662</v>
      </c>
      <c r="D16" s="393">
        <v>4697</v>
      </c>
    </row>
    <row r="17" spans="1:4" ht="62.5">
      <c r="A17" s="393" t="s">
        <v>16583</v>
      </c>
      <c r="B17" s="393" t="s">
        <v>16661</v>
      </c>
      <c r="C17" s="394" t="s">
        <v>16660</v>
      </c>
      <c r="D17" s="393">
        <v>4768</v>
      </c>
    </row>
    <row r="18" spans="1:4" ht="62.5">
      <c r="A18" s="393" t="s">
        <v>16583</v>
      </c>
      <c r="B18" s="393" t="s">
        <v>16659</v>
      </c>
      <c r="C18" s="394" t="s">
        <v>16658</v>
      </c>
      <c r="D18" s="393">
        <v>4788</v>
      </c>
    </row>
    <row r="19" spans="1:4" ht="62.5">
      <c r="A19" s="393" t="s">
        <v>16583</v>
      </c>
      <c r="B19" s="393" t="s">
        <v>16657</v>
      </c>
      <c r="C19" s="394" t="s">
        <v>16656</v>
      </c>
      <c r="D19" s="393">
        <v>4819</v>
      </c>
    </row>
    <row r="20" spans="1:4" ht="62.5">
      <c r="A20" s="393" t="s">
        <v>16583</v>
      </c>
      <c r="B20" s="393" t="s">
        <v>16655</v>
      </c>
      <c r="C20" s="394" t="s">
        <v>16654</v>
      </c>
      <c r="D20" s="393">
        <v>4827</v>
      </c>
    </row>
    <row r="21" spans="1:4" ht="62.5">
      <c r="A21" s="393" t="s">
        <v>16583</v>
      </c>
      <c r="B21" s="393" t="s">
        <v>16653</v>
      </c>
      <c r="C21" s="394" t="s">
        <v>16652</v>
      </c>
      <c r="D21" s="393">
        <v>4847</v>
      </c>
    </row>
    <row r="22" spans="1:4" ht="62.5">
      <c r="A22" s="393" t="s">
        <v>16583</v>
      </c>
      <c r="B22" s="393" t="s">
        <v>16651</v>
      </c>
      <c r="C22" s="394" t="s">
        <v>16650</v>
      </c>
      <c r="D22" s="393">
        <v>4937</v>
      </c>
    </row>
    <row r="23" spans="1:4" ht="62.5">
      <c r="A23" s="393" t="s">
        <v>16583</v>
      </c>
      <c r="B23" s="393" t="s">
        <v>16649</v>
      </c>
      <c r="C23" s="394" t="s">
        <v>16648</v>
      </c>
      <c r="D23" s="393">
        <v>4948</v>
      </c>
    </row>
    <row r="24" spans="1:4" ht="50">
      <c r="A24" s="393" t="s">
        <v>16583</v>
      </c>
      <c r="B24" s="393" t="s">
        <v>16647</v>
      </c>
      <c r="C24" s="394" t="s">
        <v>16646</v>
      </c>
      <c r="D24" s="393">
        <v>4957</v>
      </c>
    </row>
    <row r="25" spans="1:4" ht="62.5">
      <c r="A25" s="393" t="s">
        <v>16583</v>
      </c>
      <c r="B25" s="393" t="s">
        <v>16645</v>
      </c>
      <c r="C25" s="394" t="s">
        <v>16644</v>
      </c>
      <c r="D25" s="393">
        <v>5006</v>
      </c>
    </row>
    <row r="26" spans="1:4" ht="62.5">
      <c r="A26" s="393" t="s">
        <v>16583</v>
      </c>
      <c r="B26" s="393" t="s">
        <v>16643</v>
      </c>
      <c r="C26" s="394" t="s">
        <v>16642</v>
      </c>
      <c r="D26" s="393">
        <v>5027</v>
      </c>
    </row>
    <row r="27" spans="1:4" ht="50">
      <c r="A27" s="393" t="s">
        <v>16583</v>
      </c>
      <c r="B27" s="393" t="s">
        <v>16641</v>
      </c>
      <c r="C27" s="394" t="s">
        <v>16640</v>
      </c>
      <c r="D27" s="393">
        <v>5068</v>
      </c>
    </row>
    <row r="28" spans="1:4" ht="50">
      <c r="A28" s="393" t="s">
        <v>16583</v>
      </c>
      <c r="B28" s="393" t="s">
        <v>16639</v>
      </c>
      <c r="C28" s="394" t="s">
        <v>16638</v>
      </c>
      <c r="D28" s="393">
        <v>5127</v>
      </c>
    </row>
    <row r="29" spans="1:4" ht="62.5">
      <c r="A29" s="393" t="s">
        <v>16583</v>
      </c>
      <c r="B29" s="393" t="s">
        <v>16637</v>
      </c>
      <c r="C29" s="394" t="s">
        <v>16636</v>
      </c>
      <c r="D29" s="393">
        <v>5157</v>
      </c>
    </row>
    <row r="30" spans="1:4" ht="62.5">
      <c r="A30" s="393" t="s">
        <v>16583</v>
      </c>
      <c r="B30" s="393" t="s">
        <v>16635</v>
      </c>
      <c r="C30" s="394" t="s">
        <v>16634</v>
      </c>
      <c r="D30" s="393">
        <v>5177</v>
      </c>
    </row>
    <row r="31" spans="1:4" ht="62.5">
      <c r="A31" s="393" t="s">
        <v>16583</v>
      </c>
      <c r="B31" s="393" t="s">
        <v>16633</v>
      </c>
      <c r="C31" s="394" t="s">
        <v>16632</v>
      </c>
      <c r="D31" s="393">
        <v>5197</v>
      </c>
    </row>
    <row r="32" spans="1:4" ht="62.5">
      <c r="A32" s="393" t="s">
        <v>16583</v>
      </c>
      <c r="B32" s="393" t="s">
        <v>16631</v>
      </c>
      <c r="C32" s="394" t="s">
        <v>16630</v>
      </c>
      <c r="D32" s="393">
        <v>5218</v>
      </c>
    </row>
    <row r="33" spans="1:4" ht="62.5">
      <c r="A33" s="393" t="s">
        <v>16583</v>
      </c>
      <c r="B33" s="393" t="s">
        <v>16629</v>
      </c>
      <c r="C33" s="394" t="s">
        <v>16628</v>
      </c>
      <c r="D33" s="393">
        <v>5277</v>
      </c>
    </row>
    <row r="34" spans="1:4" ht="62.5">
      <c r="A34" s="393" t="s">
        <v>16583</v>
      </c>
      <c r="B34" s="393" t="s">
        <v>16627</v>
      </c>
      <c r="C34" s="394" t="s">
        <v>16626</v>
      </c>
      <c r="D34" s="393">
        <v>5328</v>
      </c>
    </row>
    <row r="35" spans="1:4" ht="62.5">
      <c r="A35" s="393" t="s">
        <v>16583</v>
      </c>
      <c r="B35" s="393" t="s">
        <v>16625</v>
      </c>
      <c r="C35" s="394" t="s">
        <v>16624</v>
      </c>
      <c r="D35" s="393">
        <v>5356</v>
      </c>
    </row>
    <row r="36" spans="1:4" ht="62.5">
      <c r="A36" s="393" t="s">
        <v>16583</v>
      </c>
      <c r="B36" s="393" t="s">
        <v>16623</v>
      </c>
      <c r="C36" s="394" t="s">
        <v>16622</v>
      </c>
      <c r="D36" s="393">
        <v>5387</v>
      </c>
    </row>
    <row r="37" spans="1:4" ht="62.5">
      <c r="A37" s="393" t="s">
        <v>16583</v>
      </c>
      <c r="B37" s="393" t="s">
        <v>16621</v>
      </c>
      <c r="C37" s="394" t="s">
        <v>16620</v>
      </c>
      <c r="D37" s="393">
        <v>5396</v>
      </c>
    </row>
    <row r="38" spans="1:4" ht="62.5">
      <c r="A38" s="393" t="s">
        <v>16583</v>
      </c>
      <c r="B38" s="393" t="s">
        <v>16619</v>
      </c>
      <c r="C38" s="394" t="s">
        <v>16618</v>
      </c>
      <c r="D38" s="393">
        <v>5426</v>
      </c>
    </row>
    <row r="39" spans="1:4" ht="62.5">
      <c r="A39" s="393" t="s">
        <v>16583</v>
      </c>
      <c r="B39" s="393" t="s">
        <v>16617</v>
      </c>
      <c r="C39" s="394" t="s">
        <v>16616</v>
      </c>
      <c r="D39" s="393">
        <v>5467</v>
      </c>
    </row>
    <row r="40" spans="1:4" ht="62.5">
      <c r="A40" s="393" t="s">
        <v>16583</v>
      </c>
      <c r="B40" s="393" t="s">
        <v>16615</v>
      </c>
      <c r="C40" s="394" t="s">
        <v>16614</v>
      </c>
      <c r="D40" s="393">
        <v>5476</v>
      </c>
    </row>
    <row r="41" spans="1:4" ht="62.5">
      <c r="A41" s="393" t="s">
        <v>16583</v>
      </c>
      <c r="B41" s="393" t="s">
        <v>16613</v>
      </c>
      <c r="C41" s="394" t="s">
        <v>16612</v>
      </c>
      <c r="D41" s="393">
        <v>5497</v>
      </c>
    </row>
    <row r="42" spans="1:4" ht="62.5">
      <c r="A42" s="393" t="s">
        <v>16583</v>
      </c>
      <c r="B42" s="393" t="s">
        <v>16611</v>
      </c>
      <c r="C42" s="394" t="s">
        <v>16610</v>
      </c>
      <c r="D42" s="393">
        <v>5626</v>
      </c>
    </row>
    <row r="43" spans="1:4" ht="62.5">
      <c r="A43" s="393" t="s">
        <v>16583</v>
      </c>
      <c r="B43" s="393" t="s">
        <v>16609</v>
      </c>
      <c r="C43" s="394" t="s">
        <v>16608</v>
      </c>
      <c r="D43" s="393">
        <v>5647</v>
      </c>
    </row>
    <row r="44" spans="1:4" ht="62.5">
      <c r="A44" s="393" t="s">
        <v>16583</v>
      </c>
      <c r="B44" s="393" t="s">
        <v>16607</v>
      </c>
      <c r="C44" s="394" t="s">
        <v>16606</v>
      </c>
      <c r="D44" s="393">
        <v>5658</v>
      </c>
    </row>
    <row r="45" spans="1:4" ht="50">
      <c r="A45" s="393" t="s">
        <v>16583</v>
      </c>
      <c r="B45" s="393" t="s">
        <v>16605</v>
      </c>
      <c r="C45" s="394" t="s">
        <v>16604</v>
      </c>
      <c r="D45" s="393">
        <v>5668</v>
      </c>
    </row>
    <row r="46" spans="1:4" ht="50">
      <c r="A46" s="393" t="s">
        <v>16583</v>
      </c>
      <c r="B46" s="393" t="s">
        <v>16603</v>
      </c>
      <c r="C46" s="394" t="s">
        <v>16602</v>
      </c>
      <c r="D46" s="393">
        <v>5727</v>
      </c>
    </row>
    <row r="47" spans="1:4" ht="62.5">
      <c r="A47" s="393" t="s">
        <v>16583</v>
      </c>
      <c r="B47" s="393" t="s">
        <v>16601</v>
      </c>
      <c r="C47" s="394" t="s">
        <v>16600</v>
      </c>
      <c r="D47" s="393">
        <v>5796</v>
      </c>
    </row>
    <row r="48" spans="1:4" ht="62.5">
      <c r="A48" s="393" t="s">
        <v>16583</v>
      </c>
      <c r="B48" s="393" t="s">
        <v>16599</v>
      </c>
      <c r="C48" s="394" t="s">
        <v>16598</v>
      </c>
      <c r="D48" s="393">
        <v>5917</v>
      </c>
    </row>
    <row r="49" spans="1:4" ht="62.5">
      <c r="A49" s="393" t="s">
        <v>16583</v>
      </c>
      <c r="B49" s="393" t="s">
        <v>16597</v>
      </c>
      <c r="C49" s="394" t="s">
        <v>16596</v>
      </c>
      <c r="D49" s="393">
        <v>6015</v>
      </c>
    </row>
    <row r="50" spans="1:4" ht="62.5">
      <c r="A50" s="393" t="s">
        <v>16583</v>
      </c>
      <c r="B50" s="393" t="s">
        <v>16595</v>
      </c>
      <c r="C50" s="394" t="s">
        <v>16594</v>
      </c>
      <c r="D50" s="393">
        <v>6146</v>
      </c>
    </row>
    <row r="51" spans="1:4" ht="62.5">
      <c r="A51" s="393" t="s">
        <v>16583</v>
      </c>
      <c r="B51" s="393" t="s">
        <v>16593</v>
      </c>
      <c r="C51" s="394" t="s">
        <v>16592</v>
      </c>
      <c r="D51" s="393">
        <v>6177</v>
      </c>
    </row>
    <row r="52" spans="1:4" ht="62.5">
      <c r="A52" s="393" t="s">
        <v>16583</v>
      </c>
      <c r="B52" s="393" t="s">
        <v>16591</v>
      </c>
      <c r="C52" s="394" t="s">
        <v>16590</v>
      </c>
      <c r="D52" s="393">
        <v>6217</v>
      </c>
    </row>
    <row r="53" spans="1:4" ht="62.5">
      <c r="A53" s="393" t="s">
        <v>16583</v>
      </c>
      <c r="B53" s="393" t="s">
        <v>16589</v>
      </c>
      <c r="C53" s="394" t="s">
        <v>16588</v>
      </c>
      <c r="D53" s="393">
        <v>6296</v>
      </c>
    </row>
    <row r="54" spans="1:4" ht="62.5">
      <c r="A54" s="393" t="s">
        <v>16583</v>
      </c>
      <c r="B54" s="393" t="s">
        <v>16587</v>
      </c>
      <c r="C54" s="394" t="s">
        <v>16586</v>
      </c>
      <c r="D54" s="393">
        <v>6367</v>
      </c>
    </row>
    <row r="55" spans="1:4" ht="62.5">
      <c r="A55" s="393" t="s">
        <v>16583</v>
      </c>
      <c r="B55" s="393" t="s">
        <v>16585</v>
      </c>
      <c r="C55" s="394" t="s">
        <v>16584</v>
      </c>
      <c r="D55" s="393">
        <v>6527</v>
      </c>
    </row>
    <row r="56" spans="1:4" ht="62.5">
      <c r="A56" s="393" t="s">
        <v>16583</v>
      </c>
      <c r="B56" s="393" t="s">
        <v>16582</v>
      </c>
      <c r="C56" s="394" t="s">
        <v>16581</v>
      </c>
      <c r="D56" s="393">
        <v>5526</v>
      </c>
    </row>
    <row r="57" spans="1:4" ht="50">
      <c r="A57" s="393" t="s">
        <v>16480</v>
      </c>
      <c r="B57" s="393" t="s">
        <v>16580</v>
      </c>
      <c r="C57" s="394" t="s">
        <v>16579</v>
      </c>
      <c r="D57" s="393">
        <v>4119</v>
      </c>
    </row>
    <row r="58" spans="1:4" ht="50">
      <c r="A58" s="393" t="s">
        <v>16480</v>
      </c>
      <c r="B58" s="393" t="s">
        <v>16578</v>
      </c>
      <c r="C58" s="394" t="s">
        <v>16577</v>
      </c>
      <c r="D58" s="393">
        <v>4178</v>
      </c>
    </row>
    <row r="59" spans="1:4" ht="50">
      <c r="A59" s="393" t="s">
        <v>16480</v>
      </c>
      <c r="B59" s="393" t="s">
        <v>16576</v>
      </c>
      <c r="C59" s="394" t="s">
        <v>16575</v>
      </c>
      <c r="D59" s="393">
        <v>4419</v>
      </c>
    </row>
    <row r="60" spans="1:4" ht="50">
      <c r="A60" s="393" t="s">
        <v>16480</v>
      </c>
      <c r="B60" s="393" t="s">
        <v>16574</v>
      </c>
      <c r="C60" s="394" t="s">
        <v>16573</v>
      </c>
      <c r="D60" s="393">
        <v>4476</v>
      </c>
    </row>
    <row r="61" spans="1:4" ht="50">
      <c r="A61" s="393" t="s">
        <v>16480</v>
      </c>
      <c r="B61" s="393" t="s">
        <v>16572</v>
      </c>
      <c r="C61" s="394" t="s">
        <v>16571</v>
      </c>
      <c r="D61" s="393">
        <v>4527</v>
      </c>
    </row>
    <row r="62" spans="1:4" ht="62.5">
      <c r="A62" s="393" t="s">
        <v>16480</v>
      </c>
      <c r="B62" s="393" t="s">
        <v>16570</v>
      </c>
      <c r="C62" s="394" t="s">
        <v>16569</v>
      </c>
      <c r="D62" s="393">
        <v>4567</v>
      </c>
    </row>
    <row r="63" spans="1:4" ht="62.5">
      <c r="A63" s="393" t="s">
        <v>16480</v>
      </c>
      <c r="B63" s="393" t="s">
        <v>16568</v>
      </c>
      <c r="C63" s="394" t="s">
        <v>16567</v>
      </c>
      <c r="D63" s="393">
        <v>4677</v>
      </c>
    </row>
    <row r="64" spans="1:4" ht="50">
      <c r="A64" s="393" t="s">
        <v>16480</v>
      </c>
      <c r="B64" s="393" t="s">
        <v>16566</v>
      </c>
      <c r="C64" s="394" t="s">
        <v>16565</v>
      </c>
      <c r="D64" s="393">
        <v>4717</v>
      </c>
    </row>
    <row r="65" spans="1:4" ht="62.5">
      <c r="A65" s="393" t="s">
        <v>16480</v>
      </c>
      <c r="B65" s="393" t="s">
        <v>16564</v>
      </c>
      <c r="C65" s="394" t="s">
        <v>16563</v>
      </c>
      <c r="D65" s="393">
        <v>4747</v>
      </c>
    </row>
    <row r="66" spans="1:4" ht="62.5">
      <c r="A66" s="393" t="s">
        <v>16480</v>
      </c>
      <c r="B66" s="393" t="s">
        <v>16562</v>
      </c>
      <c r="C66" s="394" t="s">
        <v>16561</v>
      </c>
      <c r="D66" s="393">
        <v>4747</v>
      </c>
    </row>
    <row r="67" spans="1:4" ht="62.5">
      <c r="A67" s="393" t="s">
        <v>16480</v>
      </c>
      <c r="B67" s="393" t="s">
        <v>16560</v>
      </c>
      <c r="C67" s="394" t="s">
        <v>16559</v>
      </c>
      <c r="D67" s="393">
        <v>4756</v>
      </c>
    </row>
    <row r="68" spans="1:4" ht="50">
      <c r="A68" s="393" t="s">
        <v>16480</v>
      </c>
      <c r="B68" s="393" t="s">
        <v>16558</v>
      </c>
      <c r="C68" s="394" t="s">
        <v>16557</v>
      </c>
      <c r="D68" s="393">
        <v>4776</v>
      </c>
    </row>
    <row r="69" spans="1:4" ht="62.5">
      <c r="A69" s="393" t="s">
        <v>16480</v>
      </c>
      <c r="B69" s="393" t="s">
        <v>16556</v>
      </c>
      <c r="C69" s="394" t="s">
        <v>16555</v>
      </c>
      <c r="D69" s="393">
        <v>4845</v>
      </c>
    </row>
    <row r="70" spans="1:4" ht="50">
      <c r="A70" s="393" t="s">
        <v>16480</v>
      </c>
      <c r="B70" s="393" t="s">
        <v>16554</v>
      </c>
      <c r="C70" s="394" t="s">
        <v>16553</v>
      </c>
      <c r="D70" s="393">
        <v>4848</v>
      </c>
    </row>
    <row r="71" spans="1:4" ht="62.5">
      <c r="A71" s="393" t="s">
        <v>16480</v>
      </c>
      <c r="B71" s="393" t="s">
        <v>16552</v>
      </c>
      <c r="C71" s="394" t="s">
        <v>16551</v>
      </c>
      <c r="D71" s="393">
        <v>4867</v>
      </c>
    </row>
    <row r="72" spans="1:4" ht="50">
      <c r="A72" s="393" t="s">
        <v>16480</v>
      </c>
      <c r="B72" s="393" t="s">
        <v>16550</v>
      </c>
      <c r="C72" s="394" t="s">
        <v>16549</v>
      </c>
      <c r="D72" s="393">
        <v>4897</v>
      </c>
    </row>
    <row r="73" spans="1:4" ht="62.5">
      <c r="A73" s="393" t="s">
        <v>16480</v>
      </c>
      <c r="B73" s="393" t="s">
        <v>16548</v>
      </c>
      <c r="C73" s="394" t="s">
        <v>16547</v>
      </c>
      <c r="D73" s="393">
        <v>4918</v>
      </c>
    </row>
    <row r="74" spans="1:4" ht="62.5">
      <c r="A74" s="393" t="s">
        <v>16480</v>
      </c>
      <c r="B74" s="393" t="s">
        <v>16546</v>
      </c>
      <c r="C74" s="394" t="s">
        <v>16545</v>
      </c>
      <c r="D74" s="393">
        <v>5017</v>
      </c>
    </row>
    <row r="75" spans="1:4" ht="62.5">
      <c r="A75" s="393" t="s">
        <v>16480</v>
      </c>
      <c r="B75" s="393" t="s">
        <v>16544</v>
      </c>
      <c r="C75" s="394" t="s">
        <v>16543</v>
      </c>
      <c r="D75" s="393">
        <v>5047</v>
      </c>
    </row>
    <row r="76" spans="1:4" ht="62.5">
      <c r="A76" s="393" t="s">
        <v>16480</v>
      </c>
      <c r="B76" s="393" t="s">
        <v>16542</v>
      </c>
      <c r="C76" s="394" t="s">
        <v>16541</v>
      </c>
      <c r="D76" s="393">
        <v>5055</v>
      </c>
    </row>
    <row r="77" spans="1:4" ht="62.5">
      <c r="A77" s="393" t="s">
        <v>16480</v>
      </c>
      <c r="B77" s="393" t="s">
        <v>16540</v>
      </c>
      <c r="C77" s="394" t="s">
        <v>16539</v>
      </c>
      <c r="D77" s="393">
        <v>5056</v>
      </c>
    </row>
    <row r="78" spans="1:4" ht="62.5">
      <c r="A78" s="393" t="s">
        <v>16480</v>
      </c>
      <c r="B78" s="393" t="s">
        <v>16538</v>
      </c>
      <c r="C78" s="394" t="s">
        <v>16537</v>
      </c>
      <c r="D78" s="393">
        <v>5105</v>
      </c>
    </row>
    <row r="79" spans="1:4" ht="62.5">
      <c r="A79" s="393" t="s">
        <v>16480</v>
      </c>
      <c r="B79" s="393" t="s">
        <v>16536</v>
      </c>
      <c r="C79" s="394" t="s">
        <v>16535</v>
      </c>
      <c r="D79" s="393">
        <v>5126</v>
      </c>
    </row>
    <row r="80" spans="1:4" ht="50">
      <c r="A80" s="393" t="s">
        <v>16480</v>
      </c>
      <c r="B80" s="393" t="s">
        <v>16534</v>
      </c>
      <c r="C80" s="394" t="s">
        <v>16533</v>
      </c>
      <c r="D80" s="393">
        <v>5167</v>
      </c>
    </row>
    <row r="81" spans="1:4" ht="50">
      <c r="A81" s="393" t="s">
        <v>16480</v>
      </c>
      <c r="B81" s="393" t="s">
        <v>16532</v>
      </c>
      <c r="C81" s="394" t="s">
        <v>16531</v>
      </c>
      <c r="D81" s="393">
        <v>5226</v>
      </c>
    </row>
    <row r="82" spans="1:4" ht="62.5">
      <c r="A82" s="393" t="s">
        <v>16480</v>
      </c>
      <c r="B82" s="393" t="s">
        <v>16530</v>
      </c>
      <c r="C82" s="394" t="s">
        <v>16529</v>
      </c>
      <c r="D82" s="393">
        <v>5247</v>
      </c>
    </row>
    <row r="83" spans="1:4" ht="62.5">
      <c r="A83" s="393" t="s">
        <v>16480</v>
      </c>
      <c r="B83" s="393" t="s">
        <v>16528</v>
      </c>
      <c r="C83" s="394" t="s">
        <v>16527</v>
      </c>
      <c r="D83" s="393">
        <v>5247</v>
      </c>
    </row>
    <row r="84" spans="1:4" ht="62.5">
      <c r="A84" s="393" t="s">
        <v>16480</v>
      </c>
      <c r="B84" s="393" t="s">
        <v>16526</v>
      </c>
      <c r="C84" s="394" t="s">
        <v>16525</v>
      </c>
      <c r="D84" s="393">
        <v>5256</v>
      </c>
    </row>
    <row r="85" spans="1:4" ht="62.5">
      <c r="A85" s="393" t="s">
        <v>16480</v>
      </c>
      <c r="B85" s="393" t="s">
        <v>16524</v>
      </c>
      <c r="C85" s="394" t="s">
        <v>16523</v>
      </c>
      <c r="D85" s="393">
        <v>5276</v>
      </c>
    </row>
    <row r="86" spans="1:4" ht="62.5">
      <c r="A86" s="393" t="s">
        <v>16480</v>
      </c>
      <c r="B86" s="393" t="s">
        <v>16522</v>
      </c>
      <c r="C86" s="394" t="s">
        <v>16521</v>
      </c>
      <c r="D86" s="393">
        <v>5395</v>
      </c>
    </row>
    <row r="87" spans="1:4" ht="62.5">
      <c r="A87" s="393" t="s">
        <v>16480</v>
      </c>
      <c r="B87" s="393" t="s">
        <v>16520</v>
      </c>
      <c r="C87" s="394" t="s">
        <v>16519</v>
      </c>
      <c r="D87" s="393">
        <v>5425</v>
      </c>
    </row>
    <row r="88" spans="1:4" ht="62.5">
      <c r="A88" s="393" t="s">
        <v>16480</v>
      </c>
      <c r="B88" s="393" t="s">
        <v>16518</v>
      </c>
      <c r="C88" s="394" t="s">
        <v>16517</v>
      </c>
      <c r="D88" s="393">
        <v>5427</v>
      </c>
    </row>
    <row r="89" spans="1:4" ht="62.5">
      <c r="A89" s="393" t="s">
        <v>16480</v>
      </c>
      <c r="B89" s="393" t="s">
        <v>16516</v>
      </c>
      <c r="C89" s="394" t="s">
        <v>16515</v>
      </c>
      <c r="D89" s="393">
        <v>5446</v>
      </c>
    </row>
    <row r="90" spans="1:4" ht="62.5">
      <c r="A90" s="393" t="s">
        <v>16480</v>
      </c>
      <c r="B90" s="393" t="s">
        <v>16514</v>
      </c>
      <c r="C90" s="394" t="s">
        <v>16513</v>
      </c>
      <c r="D90" s="393">
        <v>5455</v>
      </c>
    </row>
    <row r="91" spans="1:4" ht="62.5">
      <c r="A91" s="393" t="s">
        <v>16480</v>
      </c>
      <c r="B91" s="393" t="s">
        <v>16512</v>
      </c>
      <c r="C91" s="394" t="s">
        <v>16511</v>
      </c>
      <c r="D91" s="393">
        <v>5486</v>
      </c>
    </row>
    <row r="92" spans="1:4" ht="62.5">
      <c r="A92" s="393" t="s">
        <v>16480</v>
      </c>
      <c r="B92" s="393" t="s">
        <v>16510</v>
      </c>
      <c r="C92" s="394" t="s">
        <v>16509</v>
      </c>
      <c r="D92" s="393">
        <v>5575</v>
      </c>
    </row>
    <row r="93" spans="1:4" ht="62.5">
      <c r="A93" s="393" t="s">
        <v>16480</v>
      </c>
      <c r="B93" s="393" t="s">
        <v>16508</v>
      </c>
      <c r="C93" s="394" t="s">
        <v>16507</v>
      </c>
      <c r="D93" s="393">
        <v>5654</v>
      </c>
    </row>
    <row r="94" spans="1:4" ht="62.5">
      <c r="A94" s="393" t="s">
        <v>16480</v>
      </c>
      <c r="B94" s="393" t="s">
        <v>16506</v>
      </c>
      <c r="C94" s="394" t="s">
        <v>16505</v>
      </c>
      <c r="D94" s="393">
        <v>5704</v>
      </c>
    </row>
    <row r="95" spans="1:4" ht="62.5">
      <c r="A95" s="393" t="s">
        <v>16480</v>
      </c>
      <c r="B95" s="393" t="s">
        <v>16504</v>
      </c>
      <c r="C95" s="394" t="s">
        <v>16503</v>
      </c>
      <c r="D95" s="393">
        <v>5716</v>
      </c>
    </row>
    <row r="96" spans="1:4" ht="75">
      <c r="A96" s="393" t="s">
        <v>16480</v>
      </c>
      <c r="B96" s="393" t="s">
        <v>16502</v>
      </c>
      <c r="C96" s="394" t="s">
        <v>16501</v>
      </c>
      <c r="D96" s="393">
        <v>5725</v>
      </c>
    </row>
    <row r="97" spans="1:4" ht="75">
      <c r="A97" s="393" t="s">
        <v>16480</v>
      </c>
      <c r="B97" s="393" t="s">
        <v>16500</v>
      </c>
      <c r="C97" s="394" t="s">
        <v>16499</v>
      </c>
      <c r="D97" s="393">
        <v>5745</v>
      </c>
    </row>
    <row r="98" spans="1:4" ht="62.5">
      <c r="A98" s="393" t="s">
        <v>16480</v>
      </c>
      <c r="B98" s="393" t="s">
        <v>16498</v>
      </c>
      <c r="C98" s="394" t="s">
        <v>16497</v>
      </c>
      <c r="D98" s="393">
        <v>5746</v>
      </c>
    </row>
    <row r="99" spans="1:4" ht="50">
      <c r="A99" s="393" t="s">
        <v>16480</v>
      </c>
      <c r="B99" s="393" t="s">
        <v>16496</v>
      </c>
      <c r="C99" s="394" t="s">
        <v>16495</v>
      </c>
      <c r="D99" s="393">
        <v>5826</v>
      </c>
    </row>
    <row r="100" spans="1:4" ht="50">
      <c r="A100" s="393" t="s">
        <v>16480</v>
      </c>
      <c r="B100" s="393" t="s">
        <v>16494</v>
      </c>
      <c r="C100" s="394" t="s">
        <v>16493</v>
      </c>
      <c r="D100" s="393">
        <v>5896</v>
      </c>
    </row>
    <row r="101" spans="1:4" ht="75">
      <c r="A101" s="393" t="s">
        <v>16480</v>
      </c>
      <c r="B101" s="393" t="s">
        <v>16492</v>
      </c>
      <c r="C101" s="394" t="s">
        <v>16491</v>
      </c>
      <c r="D101" s="393">
        <v>5943</v>
      </c>
    </row>
    <row r="102" spans="1:4" ht="62.5">
      <c r="A102" s="393" t="s">
        <v>16480</v>
      </c>
      <c r="B102" s="393" t="s">
        <v>16490</v>
      </c>
      <c r="C102" s="394" t="s">
        <v>16489</v>
      </c>
      <c r="D102" s="393">
        <v>6024</v>
      </c>
    </row>
    <row r="103" spans="1:4" ht="62.5">
      <c r="A103" s="393" t="s">
        <v>16480</v>
      </c>
      <c r="B103" s="393" t="s">
        <v>16488</v>
      </c>
      <c r="C103" s="394" t="s">
        <v>16487</v>
      </c>
      <c r="D103" s="393">
        <v>6224</v>
      </c>
    </row>
    <row r="104" spans="1:4" ht="62.5">
      <c r="A104" s="393" t="s">
        <v>16480</v>
      </c>
      <c r="B104" s="393" t="s">
        <v>16486</v>
      </c>
      <c r="C104" s="394" t="s">
        <v>16485</v>
      </c>
      <c r="D104" s="393">
        <v>6276</v>
      </c>
    </row>
    <row r="105" spans="1:4" ht="62.5">
      <c r="A105" s="393" t="s">
        <v>16480</v>
      </c>
      <c r="B105" s="393" t="s">
        <v>16484</v>
      </c>
      <c r="C105" s="394" t="s">
        <v>16483</v>
      </c>
      <c r="D105" s="393">
        <v>6466</v>
      </c>
    </row>
    <row r="106" spans="1:4" ht="62.5">
      <c r="A106" s="393" t="s">
        <v>16480</v>
      </c>
      <c r="B106" s="393" t="s">
        <v>16482</v>
      </c>
      <c r="C106" s="394" t="s">
        <v>16481</v>
      </c>
      <c r="D106" s="393">
        <v>6626</v>
      </c>
    </row>
    <row r="107" spans="1:4" ht="62.5">
      <c r="A107" s="393" t="s">
        <v>16480</v>
      </c>
      <c r="B107" s="393" t="s">
        <v>16479</v>
      </c>
      <c r="C107" s="394" t="s">
        <v>16478</v>
      </c>
      <c r="D107" s="393">
        <v>5625</v>
      </c>
    </row>
    <row r="108" spans="1:4" ht="50">
      <c r="A108" s="393" t="s">
        <v>16339</v>
      </c>
      <c r="B108" s="393" t="s">
        <v>16477</v>
      </c>
      <c r="C108" s="394" t="s">
        <v>16476</v>
      </c>
      <c r="D108" s="393">
        <v>2679</v>
      </c>
    </row>
    <row r="109" spans="1:4" ht="50">
      <c r="A109" s="393" t="s">
        <v>16339</v>
      </c>
      <c r="B109" s="393" t="s">
        <v>16475</v>
      </c>
      <c r="C109" s="394" t="s">
        <v>16474</v>
      </c>
      <c r="D109" s="393">
        <v>2738</v>
      </c>
    </row>
    <row r="110" spans="1:4" ht="50">
      <c r="A110" s="393" t="s">
        <v>16339</v>
      </c>
      <c r="B110" s="393" t="s">
        <v>16473</v>
      </c>
      <c r="C110" s="394" t="s">
        <v>16472</v>
      </c>
      <c r="D110" s="393">
        <v>2787</v>
      </c>
    </row>
    <row r="111" spans="1:4" ht="50">
      <c r="A111" s="393" t="s">
        <v>16339</v>
      </c>
      <c r="B111" s="393" t="s">
        <v>16471</v>
      </c>
      <c r="C111" s="394" t="s">
        <v>16470</v>
      </c>
      <c r="D111" s="393">
        <v>2808</v>
      </c>
    </row>
    <row r="112" spans="1:4" ht="50">
      <c r="A112" s="393" t="s">
        <v>16339</v>
      </c>
      <c r="B112" s="393" t="s">
        <v>16469</v>
      </c>
      <c r="C112" s="394" t="s">
        <v>16468</v>
      </c>
      <c r="D112" s="393">
        <v>2828</v>
      </c>
    </row>
    <row r="113" spans="1:4" ht="50">
      <c r="A113" s="393" t="s">
        <v>16339</v>
      </c>
      <c r="B113" s="393" t="s">
        <v>16467</v>
      </c>
      <c r="C113" s="394" t="s">
        <v>16466</v>
      </c>
      <c r="D113" s="393">
        <v>2928</v>
      </c>
    </row>
    <row r="114" spans="1:4" ht="50">
      <c r="A114" s="393" t="s">
        <v>16339</v>
      </c>
      <c r="B114" s="393" t="s">
        <v>16465</v>
      </c>
      <c r="C114" s="394" t="s">
        <v>16464</v>
      </c>
      <c r="D114" s="393">
        <v>2928</v>
      </c>
    </row>
    <row r="115" spans="1:4" ht="50">
      <c r="A115" s="393" t="s">
        <v>16339</v>
      </c>
      <c r="B115" s="393" t="s">
        <v>16463</v>
      </c>
      <c r="C115" s="394" t="s">
        <v>16462</v>
      </c>
      <c r="D115" s="393">
        <v>2979</v>
      </c>
    </row>
    <row r="116" spans="1:4" ht="50">
      <c r="A116" s="393" t="s">
        <v>16339</v>
      </c>
      <c r="B116" s="393" t="s">
        <v>16461</v>
      </c>
      <c r="C116" s="394" t="s">
        <v>16460</v>
      </c>
      <c r="D116" s="393">
        <v>3038</v>
      </c>
    </row>
    <row r="117" spans="1:4" ht="50">
      <c r="A117" s="393" t="s">
        <v>16339</v>
      </c>
      <c r="B117" s="393" t="s">
        <v>16459</v>
      </c>
      <c r="C117" s="394" t="s">
        <v>16458</v>
      </c>
      <c r="D117" s="393">
        <v>3057</v>
      </c>
    </row>
    <row r="118" spans="1:4" ht="50">
      <c r="A118" s="393" t="s">
        <v>16339</v>
      </c>
      <c r="B118" s="393" t="s">
        <v>16457</v>
      </c>
      <c r="C118" s="394" t="s">
        <v>16456</v>
      </c>
      <c r="D118" s="393">
        <v>3078</v>
      </c>
    </row>
    <row r="119" spans="1:4" ht="50">
      <c r="A119" s="393" t="s">
        <v>16339</v>
      </c>
      <c r="B119" s="393" t="s">
        <v>16455</v>
      </c>
      <c r="C119" s="394" t="s">
        <v>16454</v>
      </c>
      <c r="D119" s="393">
        <v>3108</v>
      </c>
    </row>
    <row r="120" spans="1:4" ht="50">
      <c r="A120" s="393" t="s">
        <v>16339</v>
      </c>
      <c r="B120" s="393" t="s">
        <v>16453</v>
      </c>
      <c r="C120" s="394" t="s">
        <v>16452</v>
      </c>
      <c r="D120" s="393">
        <v>3108</v>
      </c>
    </row>
    <row r="121" spans="1:4" ht="50">
      <c r="A121" s="393" t="s">
        <v>16339</v>
      </c>
      <c r="B121" s="393" t="s">
        <v>16451</v>
      </c>
      <c r="C121" s="394" t="s">
        <v>16450</v>
      </c>
      <c r="D121" s="393">
        <v>3128</v>
      </c>
    </row>
    <row r="122" spans="1:4" ht="50">
      <c r="A122" s="393" t="s">
        <v>16339</v>
      </c>
      <c r="B122" s="393" t="s">
        <v>16449</v>
      </c>
      <c r="C122" s="394" t="s">
        <v>16448</v>
      </c>
      <c r="D122" s="393">
        <v>3129</v>
      </c>
    </row>
    <row r="123" spans="1:4" ht="50">
      <c r="A123" s="393" t="s">
        <v>16339</v>
      </c>
      <c r="B123" s="393" t="s">
        <v>16447</v>
      </c>
      <c r="C123" s="394" t="s">
        <v>16446</v>
      </c>
      <c r="D123" s="393">
        <v>3188</v>
      </c>
    </row>
    <row r="124" spans="1:4" ht="50">
      <c r="A124" s="393" t="s">
        <v>16339</v>
      </c>
      <c r="B124" s="393" t="s">
        <v>16445</v>
      </c>
      <c r="C124" s="394" t="s">
        <v>16444</v>
      </c>
      <c r="D124" s="393">
        <v>3206</v>
      </c>
    </row>
    <row r="125" spans="1:4" ht="50">
      <c r="A125" s="393" t="s">
        <v>16339</v>
      </c>
      <c r="B125" s="393" t="s">
        <v>16443</v>
      </c>
      <c r="C125" s="394" t="s">
        <v>16442</v>
      </c>
      <c r="D125" s="393">
        <v>3208</v>
      </c>
    </row>
    <row r="126" spans="1:4" ht="50">
      <c r="A126" s="393" t="s">
        <v>16339</v>
      </c>
      <c r="B126" s="393" t="s">
        <v>16441</v>
      </c>
      <c r="C126" s="394" t="s">
        <v>16440</v>
      </c>
      <c r="D126" s="393">
        <v>3228</v>
      </c>
    </row>
    <row r="127" spans="1:4" ht="50">
      <c r="A127" s="393" t="s">
        <v>16339</v>
      </c>
      <c r="B127" s="393" t="s">
        <v>16439</v>
      </c>
      <c r="C127" s="394" t="s">
        <v>16438</v>
      </c>
      <c r="D127" s="393">
        <v>3228</v>
      </c>
    </row>
    <row r="128" spans="1:4" ht="50">
      <c r="A128" s="393" t="s">
        <v>16339</v>
      </c>
      <c r="B128" s="393" t="s">
        <v>16437</v>
      </c>
      <c r="C128" s="394" t="s">
        <v>16436</v>
      </c>
      <c r="D128" s="393">
        <v>3228</v>
      </c>
    </row>
    <row r="129" spans="1:4" ht="50">
      <c r="A129" s="393" t="s">
        <v>16339</v>
      </c>
      <c r="B129" s="393" t="s">
        <v>16435</v>
      </c>
      <c r="C129" s="394" t="s">
        <v>16434</v>
      </c>
      <c r="D129" s="393">
        <v>3278</v>
      </c>
    </row>
    <row r="130" spans="1:4" ht="50">
      <c r="A130" s="393" t="s">
        <v>16339</v>
      </c>
      <c r="B130" s="393" t="s">
        <v>16433</v>
      </c>
      <c r="C130" s="394" t="s">
        <v>16432</v>
      </c>
      <c r="D130" s="393">
        <v>3279</v>
      </c>
    </row>
    <row r="131" spans="1:4" ht="50">
      <c r="A131" s="393" t="s">
        <v>16339</v>
      </c>
      <c r="B131" s="393" t="s">
        <v>16431</v>
      </c>
      <c r="C131" s="394" t="s">
        <v>16430</v>
      </c>
      <c r="D131" s="393">
        <v>3287</v>
      </c>
    </row>
    <row r="132" spans="1:4" ht="50">
      <c r="A132" s="393" t="s">
        <v>16339</v>
      </c>
      <c r="B132" s="393" t="s">
        <v>16429</v>
      </c>
      <c r="C132" s="394" t="s">
        <v>16428</v>
      </c>
      <c r="D132" s="393">
        <v>3316</v>
      </c>
    </row>
    <row r="133" spans="1:4" ht="50">
      <c r="A133" s="393" t="s">
        <v>16339</v>
      </c>
      <c r="B133" s="393" t="s">
        <v>16427</v>
      </c>
      <c r="C133" s="394" t="s">
        <v>16426</v>
      </c>
      <c r="D133" s="393">
        <v>3328</v>
      </c>
    </row>
    <row r="134" spans="1:4" ht="50">
      <c r="A134" s="393" t="s">
        <v>16339</v>
      </c>
      <c r="B134" s="393" t="s">
        <v>16425</v>
      </c>
      <c r="C134" s="394" t="s">
        <v>16424</v>
      </c>
      <c r="D134" s="393">
        <v>3357</v>
      </c>
    </row>
    <row r="135" spans="1:4" ht="50">
      <c r="A135" s="393" t="s">
        <v>16339</v>
      </c>
      <c r="B135" s="393" t="s">
        <v>16423</v>
      </c>
      <c r="C135" s="394" t="s">
        <v>16422</v>
      </c>
      <c r="D135" s="393">
        <v>3357</v>
      </c>
    </row>
    <row r="136" spans="1:4" ht="50">
      <c r="A136" s="393" t="s">
        <v>16339</v>
      </c>
      <c r="B136" s="393" t="s">
        <v>16421</v>
      </c>
      <c r="C136" s="394" t="s">
        <v>16420</v>
      </c>
      <c r="D136" s="393">
        <v>3408</v>
      </c>
    </row>
    <row r="137" spans="1:4" ht="50">
      <c r="A137" s="393" t="s">
        <v>16339</v>
      </c>
      <c r="B137" s="393" t="s">
        <v>16419</v>
      </c>
      <c r="C137" s="394" t="s">
        <v>16418</v>
      </c>
      <c r="D137" s="393">
        <v>3429</v>
      </c>
    </row>
    <row r="138" spans="1:4" ht="50">
      <c r="A138" s="393" t="s">
        <v>16339</v>
      </c>
      <c r="B138" s="393" t="s">
        <v>16417</v>
      </c>
      <c r="C138" s="394" t="s">
        <v>16416</v>
      </c>
      <c r="D138" s="393">
        <v>3477</v>
      </c>
    </row>
    <row r="139" spans="1:4" ht="50">
      <c r="A139" s="393" t="s">
        <v>16339</v>
      </c>
      <c r="B139" s="393" t="s">
        <v>16415</v>
      </c>
      <c r="C139" s="394" t="s">
        <v>16414</v>
      </c>
      <c r="D139" s="393">
        <v>3478</v>
      </c>
    </row>
    <row r="140" spans="1:4" ht="50">
      <c r="A140" s="393" t="s">
        <v>16339</v>
      </c>
      <c r="B140" s="393" t="s">
        <v>16413</v>
      </c>
      <c r="C140" s="394" t="s">
        <v>16412</v>
      </c>
      <c r="D140" s="393">
        <v>3488</v>
      </c>
    </row>
    <row r="141" spans="1:4" ht="50">
      <c r="A141" s="393" t="s">
        <v>16339</v>
      </c>
      <c r="B141" s="393" t="s">
        <v>16411</v>
      </c>
      <c r="C141" s="394" t="s">
        <v>16410</v>
      </c>
      <c r="D141" s="393">
        <v>3507</v>
      </c>
    </row>
    <row r="142" spans="1:4" ht="50">
      <c r="A142" s="393" t="s">
        <v>16339</v>
      </c>
      <c r="B142" s="393" t="s">
        <v>16409</v>
      </c>
      <c r="C142" s="394" t="s">
        <v>16408</v>
      </c>
      <c r="D142" s="393">
        <v>3528</v>
      </c>
    </row>
    <row r="143" spans="1:4" ht="50">
      <c r="A143" s="393" t="s">
        <v>16339</v>
      </c>
      <c r="B143" s="393" t="s">
        <v>16407</v>
      </c>
      <c r="C143" s="394" t="s">
        <v>16406</v>
      </c>
      <c r="D143" s="393">
        <v>3536</v>
      </c>
    </row>
    <row r="144" spans="1:4" ht="50">
      <c r="A144" s="393" t="s">
        <v>16339</v>
      </c>
      <c r="B144" s="393" t="s">
        <v>16405</v>
      </c>
      <c r="C144" s="394" t="s">
        <v>16404</v>
      </c>
      <c r="D144" s="393">
        <v>3537</v>
      </c>
    </row>
    <row r="145" spans="1:4" ht="50">
      <c r="A145" s="393" t="s">
        <v>16339</v>
      </c>
      <c r="B145" s="393" t="s">
        <v>16403</v>
      </c>
      <c r="C145" s="394" t="s">
        <v>16402</v>
      </c>
      <c r="D145" s="393">
        <v>3558</v>
      </c>
    </row>
    <row r="146" spans="1:4" ht="50">
      <c r="A146" s="393" t="s">
        <v>16339</v>
      </c>
      <c r="B146" s="393" t="s">
        <v>16401</v>
      </c>
      <c r="C146" s="394" t="s">
        <v>16400</v>
      </c>
      <c r="D146" s="393">
        <v>3578</v>
      </c>
    </row>
    <row r="147" spans="1:4" ht="50">
      <c r="A147" s="393" t="s">
        <v>16339</v>
      </c>
      <c r="B147" s="393" t="s">
        <v>16399</v>
      </c>
      <c r="C147" s="394" t="s">
        <v>16398</v>
      </c>
      <c r="D147" s="393">
        <v>3587</v>
      </c>
    </row>
    <row r="148" spans="1:4" ht="50">
      <c r="A148" s="393" t="s">
        <v>16339</v>
      </c>
      <c r="B148" s="393" t="s">
        <v>16397</v>
      </c>
      <c r="C148" s="394" t="s">
        <v>16396</v>
      </c>
      <c r="D148" s="393">
        <v>3617</v>
      </c>
    </row>
    <row r="149" spans="1:4" ht="50">
      <c r="A149" s="393" t="s">
        <v>16339</v>
      </c>
      <c r="B149" s="393" t="s">
        <v>16395</v>
      </c>
      <c r="C149" s="394" t="s">
        <v>16394</v>
      </c>
      <c r="D149" s="393">
        <v>3678</v>
      </c>
    </row>
    <row r="150" spans="1:4" ht="50">
      <c r="A150" s="393" t="s">
        <v>16339</v>
      </c>
      <c r="B150" s="393" t="s">
        <v>16393</v>
      </c>
      <c r="C150" s="394" t="s">
        <v>16392</v>
      </c>
      <c r="D150" s="393">
        <v>3708</v>
      </c>
    </row>
    <row r="151" spans="1:4" ht="50">
      <c r="A151" s="393" t="s">
        <v>16339</v>
      </c>
      <c r="B151" s="393" t="s">
        <v>16391</v>
      </c>
      <c r="C151" s="394" t="s">
        <v>16390</v>
      </c>
      <c r="D151" s="393">
        <v>3727</v>
      </c>
    </row>
    <row r="152" spans="1:4" ht="50">
      <c r="A152" s="393" t="s">
        <v>16339</v>
      </c>
      <c r="B152" s="393" t="s">
        <v>16389</v>
      </c>
      <c r="C152" s="394" t="s">
        <v>16388</v>
      </c>
      <c r="D152" s="393">
        <v>3728</v>
      </c>
    </row>
    <row r="153" spans="1:4" ht="50">
      <c r="A153" s="393" t="s">
        <v>16339</v>
      </c>
      <c r="B153" s="393" t="s">
        <v>16387</v>
      </c>
      <c r="C153" s="394" t="s">
        <v>16386</v>
      </c>
      <c r="D153" s="393">
        <v>3737</v>
      </c>
    </row>
    <row r="154" spans="1:4" ht="50">
      <c r="A154" s="393" t="s">
        <v>16339</v>
      </c>
      <c r="B154" s="393" t="s">
        <v>16385</v>
      </c>
      <c r="C154" s="394" t="s">
        <v>16384</v>
      </c>
      <c r="D154" s="393">
        <v>3737</v>
      </c>
    </row>
    <row r="155" spans="1:4" ht="50">
      <c r="A155" s="393" t="s">
        <v>16339</v>
      </c>
      <c r="B155" s="393" t="s">
        <v>16383</v>
      </c>
      <c r="C155" s="394" t="s">
        <v>16382</v>
      </c>
      <c r="D155" s="393">
        <v>3827</v>
      </c>
    </row>
    <row r="156" spans="1:4" ht="62.5">
      <c r="A156" s="393" t="s">
        <v>16339</v>
      </c>
      <c r="B156" s="393" t="s">
        <v>16381</v>
      </c>
      <c r="C156" s="394" t="s">
        <v>16380</v>
      </c>
      <c r="D156" s="393">
        <v>3837</v>
      </c>
    </row>
    <row r="157" spans="1:4" ht="50">
      <c r="A157" s="393" t="s">
        <v>16339</v>
      </c>
      <c r="B157" s="393" t="s">
        <v>16379</v>
      </c>
      <c r="C157" s="394" t="s">
        <v>16378</v>
      </c>
      <c r="D157" s="393">
        <v>3978</v>
      </c>
    </row>
    <row r="158" spans="1:4" ht="50">
      <c r="A158" s="393" t="s">
        <v>16339</v>
      </c>
      <c r="B158" s="393" t="s">
        <v>16377</v>
      </c>
      <c r="C158" s="394" t="s">
        <v>16376</v>
      </c>
      <c r="D158" s="393">
        <v>3999</v>
      </c>
    </row>
    <row r="159" spans="1:4" ht="50">
      <c r="A159" s="393" t="s">
        <v>16339</v>
      </c>
      <c r="B159" s="393" t="s">
        <v>16375</v>
      </c>
      <c r="C159" s="394" t="s">
        <v>16374</v>
      </c>
      <c r="D159" s="393">
        <v>4015</v>
      </c>
    </row>
    <row r="160" spans="1:4" ht="62.5">
      <c r="A160" s="393" t="s">
        <v>16339</v>
      </c>
      <c r="B160" s="393" t="s">
        <v>16373</v>
      </c>
      <c r="C160" s="394" t="s">
        <v>16372</v>
      </c>
      <c r="D160" s="393">
        <v>4017</v>
      </c>
    </row>
    <row r="161" spans="1:4" ht="50">
      <c r="A161" s="393" t="s">
        <v>16339</v>
      </c>
      <c r="B161" s="393" t="s">
        <v>16371</v>
      </c>
      <c r="C161" s="394" t="s">
        <v>16370</v>
      </c>
      <c r="D161" s="393">
        <v>4017</v>
      </c>
    </row>
    <row r="162" spans="1:4" ht="50">
      <c r="A162" s="393" t="s">
        <v>16339</v>
      </c>
      <c r="B162" s="393" t="s">
        <v>16369</v>
      </c>
      <c r="C162" s="394" t="s">
        <v>16368</v>
      </c>
      <c r="D162" s="393">
        <v>4037</v>
      </c>
    </row>
    <row r="163" spans="1:4" ht="50">
      <c r="A163" s="393" t="s">
        <v>16339</v>
      </c>
      <c r="B163" s="393" t="s">
        <v>16367</v>
      </c>
      <c r="C163" s="394" t="s">
        <v>16366</v>
      </c>
      <c r="D163" s="393">
        <v>4058</v>
      </c>
    </row>
    <row r="164" spans="1:4" ht="62.5">
      <c r="A164" s="393" t="s">
        <v>16339</v>
      </c>
      <c r="B164" s="393" t="s">
        <v>16365</v>
      </c>
      <c r="C164" s="394" t="s">
        <v>16364</v>
      </c>
      <c r="D164" s="393">
        <v>4067</v>
      </c>
    </row>
    <row r="165" spans="1:4" ht="50">
      <c r="A165" s="393" t="s">
        <v>16339</v>
      </c>
      <c r="B165" s="393" t="s">
        <v>16363</v>
      </c>
      <c r="C165" s="394" t="s">
        <v>16362</v>
      </c>
      <c r="D165" s="393">
        <v>4086</v>
      </c>
    </row>
    <row r="166" spans="1:4" ht="50">
      <c r="A166" s="393" t="s">
        <v>16339</v>
      </c>
      <c r="B166" s="393" t="s">
        <v>16361</v>
      </c>
      <c r="C166" s="394" t="s">
        <v>16360</v>
      </c>
      <c r="D166" s="393">
        <v>4105</v>
      </c>
    </row>
    <row r="167" spans="1:4" ht="50">
      <c r="A167" s="393" t="s">
        <v>16339</v>
      </c>
      <c r="B167" s="393" t="s">
        <v>16359</v>
      </c>
      <c r="C167" s="394" t="s">
        <v>16358</v>
      </c>
      <c r="D167" s="393">
        <v>4256</v>
      </c>
    </row>
    <row r="168" spans="1:4" ht="50">
      <c r="A168" s="393" t="s">
        <v>16339</v>
      </c>
      <c r="B168" s="393" t="s">
        <v>16357</v>
      </c>
      <c r="C168" s="394" t="s">
        <v>16356</v>
      </c>
      <c r="D168" s="393">
        <v>4405</v>
      </c>
    </row>
    <row r="169" spans="1:4" ht="62.5">
      <c r="A169" s="393" t="s">
        <v>16339</v>
      </c>
      <c r="B169" s="393" t="s">
        <v>16355</v>
      </c>
      <c r="C169" s="394" t="s">
        <v>16354</v>
      </c>
      <c r="D169" s="393">
        <v>4566</v>
      </c>
    </row>
    <row r="170" spans="1:4" ht="50">
      <c r="A170" s="393" t="s">
        <v>16339</v>
      </c>
      <c r="B170" s="393" t="s">
        <v>16353</v>
      </c>
      <c r="C170" s="394" t="s">
        <v>16352</v>
      </c>
      <c r="D170" s="393">
        <v>4665</v>
      </c>
    </row>
    <row r="171" spans="1:4" ht="50">
      <c r="A171" s="393" t="s">
        <v>16339</v>
      </c>
      <c r="B171" s="393" t="s">
        <v>16351</v>
      </c>
      <c r="C171" s="394" t="s">
        <v>16350</v>
      </c>
      <c r="D171" s="393">
        <v>4828</v>
      </c>
    </row>
    <row r="172" spans="1:4" ht="62.5">
      <c r="A172" s="393" t="s">
        <v>16339</v>
      </c>
      <c r="B172" s="393" t="s">
        <v>16349</v>
      </c>
      <c r="C172" s="394" t="s">
        <v>16348</v>
      </c>
      <c r="D172" s="393">
        <v>4835</v>
      </c>
    </row>
    <row r="173" spans="1:4" ht="62.5">
      <c r="A173" s="393" t="s">
        <v>16339</v>
      </c>
      <c r="B173" s="393" t="s">
        <v>16347</v>
      </c>
      <c r="C173" s="394" t="s">
        <v>16346</v>
      </c>
      <c r="D173" s="393">
        <v>4963</v>
      </c>
    </row>
    <row r="174" spans="1:4" ht="62.5">
      <c r="A174" s="393" t="s">
        <v>16339</v>
      </c>
      <c r="B174" s="393" t="s">
        <v>16345</v>
      </c>
      <c r="C174" s="394" t="s">
        <v>16344</v>
      </c>
      <c r="D174" s="393">
        <v>5105</v>
      </c>
    </row>
    <row r="175" spans="1:4" ht="62.5">
      <c r="A175" s="393" t="s">
        <v>16339</v>
      </c>
      <c r="B175" s="393" t="s">
        <v>16343</v>
      </c>
      <c r="C175" s="394" t="s">
        <v>16342</v>
      </c>
      <c r="D175" s="393">
        <v>5165</v>
      </c>
    </row>
    <row r="176" spans="1:4" ht="62.5">
      <c r="A176" s="393" t="s">
        <v>16339</v>
      </c>
      <c r="B176" s="393" t="s">
        <v>16341</v>
      </c>
      <c r="C176" s="394" t="s">
        <v>16340</v>
      </c>
      <c r="D176" s="393">
        <v>5205</v>
      </c>
    </row>
    <row r="177" spans="1:4" ht="62.5">
      <c r="A177" s="393" t="s">
        <v>16339</v>
      </c>
      <c r="B177" s="393" t="s">
        <v>16338</v>
      </c>
      <c r="C177" s="394" t="s">
        <v>16337</v>
      </c>
      <c r="D177" s="393">
        <v>5666</v>
      </c>
    </row>
    <row r="178" spans="1:4" ht="50">
      <c r="A178" s="393" t="s">
        <v>16250</v>
      </c>
      <c r="B178" s="393" t="s">
        <v>16336</v>
      </c>
      <c r="C178" s="394" t="s">
        <v>16335</v>
      </c>
      <c r="D178" s="393">
        <v>3108</v>
      </c>
    </row>
    <row r="179" spans="1:4" ht="50">
      <c r="A179" s="393" t="s">
        <v>16250</v>
      </c>
      <c r="B179" s="393" t="s">
        <v>16334</v>
      </c>
      <c r="C179" s="394" t="s">
        <v>16333</v>
      </c>
      <c r="D179" s="393">
        <v>3207</v>
      </c>
    </row>
    <row r="180" spans="1:4" ht="50">
      <c r="A180" s="393" t="s">
        <v>16250</v>
      </c>
      <c r="B180" s="393" t="s">
        <v>16332</v>
      </c>
      <c r="C180" s="394" t="s">
        <v>16331</v>
      </c>
      <c r="D180" s="393">
        <v>3237</v>
      </c>
    </row>
    <row r="181" spans="1:4" ht="50">
      <c r="A181" s="393" t="s">
        <v>16250</v>
      </c>
      <c r="B181" s="393" t="s">
        <v>16330</v>
      </c>
      <c r="C181" s="394" t="s">
        <v>16329</v>
      </c>
      <c r="D181" s="393">
        <v>3297</v>
      </c>
    </row>
    <row r="182" spans="1:4" ht="50">
      <c r="A182" s="393" t="s">
        <v>16250</v>
      </c>
      <c r="B182" s="393" t="s">
        <v>16328</v>
      </c>
      <c r="C182" s="394" t="s">
        <v>16327</v>
      </c>
      <c r="D182" s="393">
        <v>3357</v>
      </c>
    </row>
    <row r="183" spans="1:4" ht="50">
      <c r="A183" s="393" t="s">
        <v>16250</v>
      </c>
      <c r="B183" s="393" t="s">
        <v>16326</v>
      </c>
      <c r="C183" s="394" t="s">
        <v>16325</v>
      </c>
      <c r="D183" s="393">
        <v>3408</v>
      </c>
    </row>
    <row r="184" spans="1:4" ht="50">
      <c r="A184" s="393" t="s">
        <v>16250</v>
      </c>
      <c r="B184" s="393" t="s">
        <v>16324</v>
      </c>
      <c r="C184" s="394" t="s">
        <v>16323</v>
      </c>
      <c r="D184" s="393">
        <v>3457</v>
      </c>
    </row>
    <row r="185" spans="1:4" ht="50">
      <c r="A185" s="393" t="s">
        <v>16250</v>
      </c>
      <c r="B185" s="393" t="s">
        <v>16322</v>
      </c>
      <c r="C185" s="394" t="s">
        <v>16321</v>
      </c>
      <c r="D185" s="393">
        <v>3537</v>
      </c>
    </row>
    <row r="186" spans="1:4" ht="50">
      <c r="A186" s="393" t="s">
        <v>16250</v>
      </c>
      <c r="B186" s="393" t="s">
        <v>16320</v>
      </c>
      <c r="C186" s="394" t="s">
        <v>16319</v>
      </c>
      <c r="D186" s="393">
        <v>3558</v>
      </c>
    </row>
    <row r="187" spans="1:4" ht="50">
      <c r="A187" s="393" t="s">
        <v>16250</v>
      </c>
      <c r="B187" s="393" t="s">
        <v>16318</v>
      </c>
      <c r="C187" s="394" t="s">
        <v>16317</v>
      </c>
      <c r="D187" s="393">
        <v>3597</v>
      </c>
    </row>
    <row r="188" spans="1:4" ht="62.5">
      <c r="A188" s="393" t="s">
        <v>16250</v>
      </c>
      <c r="B188" s="393" t="s">
        <v>16316</v>
      </c>
      <c r="C188" s="394" t="s">
        <v>16315</v>
      </c>
      <c r="D188" s="393">
        <v>3607</v>
      </c>
    </row>
    <row r="189" spans="1:4" ht="50">
      <c r="A189" s="393" t="s">
        <v>16250</v>
      </c>
      <c r="B189" s="393" t="s">
        <v>16314</v>
      </c>
      <c r="C189" s="394" t="s">
        <v>16313</v>
      </c>
      <c r="D189" s="393">
        <v>3628</v>
      </c>
    </row>
    <row r="190" spans="1:4" ht="50">
      <c r="A190" s="393" t="s">
        <v>16250</v>
      </c>
      <c r="B190" s="393" t="s">
        <v>16312</v>
      </c>
      <c r="C190" s="394" t="s">
        <v>16311</v>
      </c>
      <c r="D190" s="393">
        <v>3657</v>
      </c>
    </row>
    <row r="191" spans="1:4" ht="50">
      <c r="A191" s="393" t="s">
        <v>16250</v>
      </c>
      <c r="B191" s="393" t="s">
        <v>16310</v>
      </c>
      <c r="C191" s="394" t="s">
        <v>16309</v>
      </c>
      <c r="D191" s="393">
        <v>3686</v>
      </c>
    </row>
    <row r="192" spans="1:4" ht="62.5">
      <c r="A192" s="393" t="s">
        <v>16250</v>
      </c>
      <c r="B192" s="393" t="s">
        <v>16308</v>
      </c>
      <c r="C192" s="394" t="s">
        <v>16307</v>
      </c>
      <c r="D192" s="393">
        <v>3687</v>
      </c>
    </row>
    <row r="193" spans="1:4" ht="50">
      <c r="A193" s="393" t="s">
        <v>16250</v>
      </c>
      <c r="B193" s="393" t="s">
        <v>16306</v>
      </c>
      <c r="C193" s="394" t="s">
        <v>16305</v>
      </c>
      <c r="D193" s="393">
        <v>3687</v>
      </c>
    </row>
    <row r="194" spans="1:4" ht="50">
      <c r="A194" s="393" t="s">
        <v>16250</v>
      </c>
      <c r="B194" s="393" t="s">
        <v>16304</v>
      </c>
      <c r="C194" s="394" t="s">
        <v>16303</v>
      </c>
      <c r="D194" s="393">
        <v>3746</v>
      </c>
    </row>
    <row r="195" spans="1:4" ht="62.5">
      <c r="A195" s="393" t="s">
        <v>16250</v>
      </c>
      <c r="B195" s="393" t="s">
        <v>16302</v>
      </c>
      <c r="C195" s="394" t="s">
        <v>16301</v>
      </c>
      <c r="D195" s="393">
        <v>3747</v>
      </c>
    </row>
    <row r="196" spans="1:4" ht="50">
      <c r="A196" s="393" t="s">
        <v>16250</v>
      </c>
      <c r="B196" s="393" t="s">
        <v>16300</v>
      </c>
      <c r="C196" s="394" t="s">
        <v>16299</v>
      </c>
      <c r="D196" s="393">
        <v>3778</v>
      </c>
    </row>
    <row r="197" spans="1:4" ht="50">
      <c r="A197" s="393" t="s">
        <v>16250</v>
      </c>
      <c r="B197" s="393" t="s">
        <v>16298</v>
      </c>
      <c r="C197" s="394" t="s">
        <v>16297</v>
      </c>
      <c r="D197" s="393">
        <v>3807</v>
      </c>
    </row>
    <row r="198" spans="1:4" ht="50">
      <c r="A198" s="393" t="s">
        <v>16250</v>
      </c>
      <c r="B198" s="393" t="s">
        <v>16296</v>
      </c>
      <c r="C198" s="394" t="s">
        <v>16295</v>
      </c>
      <c r="D198" s="393">
        <v>3807</v>
      </c>
    </row>
    <row r="199" spans="1:4" ht="62.5">
      <c r="A199" s="393" t="s">
        <v>16250</v>
      </c>
      <c r="B199" s="393" t="s">
        <v>16294</v>
      </c>
      <c r="C199" s="394" t="s">
        <v>16293</v>
      </c>
      <c r="D199" s="393">
        <v>3828</v>
      </c>
    </row>
    <row r="200" spans="1:4" ht="50">
      <c r="A200" s="393" t="s">
        <v>16250</v>
      </c>
      <c r="B200" s="393" t="s">
        <v>16292</v>
      </c>
      <c r="C200" s="394" t="s">
        <v>16291</v>
      </c>
      <c r="D200" s="393">
        <v>3837</v>
      </c>
    </row>
    <row r="201" spans="1:4" ht="62.5">
      <c r="A201" s="393" t="s">
        <v>16250</v>
      </c>
      <c r="B201" s="393" t="s">
        <v>16290</v>
      </c>
      <c r="C201" s="394" t="s">
        <v>16289</v>
      </c>
      <c r="D201" s="393">
        <v>3856</v>
      </c>
    </row>
    <row r="202" spans="1:4" ht="50">
      <c r="A202" s="393" t="s">
        <v>16250</v>
      </c>
      <c r="B202" s="393" t="s">
        <v>16288</v>
      </c>
      <c r="C202" s="394" t="s">
        <v>16287</v>
      </c>
      <c r="D202" s="393">
        <v>3857</v>
      </c>
    </row>
    <row r="203" spans="1:4" ht="62.5">
      <c r="A203" s="393" t="s">
        <v>16250</v>
      </c>
      <c r="B203" s="393" t="s">
        <v>16286</v>
      </c>
      <c r="C203" s="394" t="s">
        <v>16285</v>
      </c>
      <c r="D203" s="393">
        <v>3907</v>
      </c>
    </row>
    <row r="204" spans="1:4" ht="62.5">
      <c r="A204" s="393" t="s">
        <v>16250</v>
      </c>
      <c r="B204" s="393" t="s">
        <v>16284</v>
      </c>
      <c r="C204" s="394" t="s">
        <v>16283</v>
      </c>
      <c r="D204" s="393">
        <v>4064</v>
      </c>
    </row>
    <row r="205" spans="1:4" ht="62.5">
      <c r="A205" s="393" t="s">
        <v>16250</v>
      </c>
      <c r="B205" s="393" t="s">
        <v>16282</v>
      </c>
      <c r="C205" s="394" t="s">
        <v>16281</v>
      </c>
      <c r="D205" s="393">
        <v>4087</v>
      </c>
    </row>
    <row r="206" spans="1:4" ht="62.5">
      <c r="A206" s="393" t="s">
        <v>16250</v>
      </c>
      <c r="B206" s="393" t="s">
        <v>16280</v>
      </c>
      <c r="C206" s="394" t="s">
        <v>16279</v>
      </c>
      <c r="D206" s="393">
        <v>4124</v>
      </c>
    </row>
    <row r="207" spans="1:4" ht="62.5">
      <c r="A207" s="393" t="s">
        <v>16250</v>
      </c>
      <c r="B207" s="393" t="s">
        <v>16278</v>
      </c>
      <c r="C207" s="394" t="s">
        <v>16277</v>
      </c>
      <c r="D207" s="393">
        <v>4137</v>
      </c>
    </row>
    <row r="208" spans="1:4" ht="62.5">
      <c r="A208" s="393" t="s">
        <v>16250</v>
      </c>
      <c r="B208" s="393" t="s">
        <v>16276</v>
      </c>
      <c r="C208" s="394" t="s">
        <v>16275</v>
      </c>
      <c r="D208" s="393">
        <v>4146</v>
      </c>
    </row>
    <row r="209" spans="1:4" ht="62.5">
      <c r="A209" s="393" t="s">
        <v>16250</v>
      </c>
      <c r="B209" s="393" t="s">
        <v>16274</v>
      </c>
      <c r="C209" s="394" t="s">
        <v>16273</v>
      </c>
      <c r="D209" s="393">
        <v>4156</v>
      </c>
    </row>
    <row r="210" spans="1:4" ht="62.5">
      <c r="A210" s="393" t="s">
        <v>16250</v>
      </c>
      <c r="B210" s="393" t="s">
        <v>16272</v>
      </c>
      <c r="C210" s="394" t="s">
        <v>16271</v>
      </c>
      <c r="D210" s="393">
        <v>4605</v>
      </c>
    </row>
    <row r="211" spans="1:4" ht="62.5">
      <c r="A211" s="393" t="s">
        <v>16250</v>
      </c>
      <c r="B211" s="393" t="s">
        <v>16270</v>
      </c>
      <c r="C211" s="394" t="s">
        <v>16269</v>
      </c>
      <c r="D211" s="393">
        <v>4626</v>
      </c>
    </row>
    <row r="212" spans="1:4" ht="62.5">
      <c r="A212" s="393" t="s">
        <v>16250</v>
      </c>
      <c r="B212" s="393" t="s">
        <v>16268</v>
      </c>
      <c r="C212" s="394" t="s">
        <v>16267</v>
      </c>
      <c r="D212" s="393">
        <v>4636</v>
      </c>
    </row>
    <row r="213" spans="1:4" ht="62.5">
      <c r="A213" s="393" t="s">
        <v>16250</v>
      </c>
      <c r="B213" s="393" t="s">
        <v>16266</v>
      </c>
      <c r="C213" s="394" t="s">
        <v>16265</v>
      </c>
      <c r="D213" s="393">
        <v>4686</v>
      </c>
    </row>
    <row r="214" spans="1:4" ht="62.5">
      <c r="A214" s="393" t="s">
        <v>16250</v>
      </c>
      <c r="B214" s="393" t="s">
        <v>16264</v>
      </c>
      <c r="C214" s="394" t="s">
        <v>16263</v>
      </c>
      <c r="D214" s="393">
        <v>4946</v>
      </c>
    </row>
    <row r="215" spans="1:4" ht="62.5">
      <c r="A215" s="393" t="s">
        <v>16250</v>
      </c>
      <c r="B215" s="393" t="s">
        <v>16262</v>
      </c>
      <c r="C215" s="394" t="s">
        <v>16261</v>
      </c>
      <c r="D215" s="393">
        <v>5004</v>
      </c>
    </row>
    <row r="216" spans="1:4" ht="50">
      <c r="A216" s="393" t="s">
        <v>16250</v>
      </c>
      <c r="B216" s="393" t="s">
        <v>16260</v>
      </c>
      <c r="C216" s="394" t="s">
        <v>16259</v>
      </c>
      <c r="D216" s="393">
        <v>3807</v>
      </c>
    </row>
    <row r="217" spans="1:4" ht="62.5">
      <c r="A217" s="393" t="s">
        <v>16250</v>
      </c>
      <c r="B217" s="393" t="s">
        <v>16258</v>
      </c>
      <c r="C217" s="394" t="s">
        <v>16257</v>
      </c>
      <c r="D217" s="393">
        <v>4578</v>
      </c>
    </row>
    <row r="218" spans="1:4" ht="50">
      <c r="A218" s="393" t="s">
        <v>16250</v>
      </c>
      <c r="B218" s="393" t="s">
        <v>16256</v>
      </c>
      <c r="C218" s="394" t="s">
        <v>16255</v>
      </c>
      <c r="D218" s="393">
        <v>4706</v>
      </c>
    </row>
    <row r="219" spans="1:4" ht="62.5">
      <c r="A219" s="393" t="s">
        <v>16250</v>
      </c>
      <c r="B219" s="393" t="s">
        <v>16254</v>
      </c>
      <c r="C219" s="394" t="s">
        <v>16253</v>
      </c>
      <c r="D219" s="393">
        <v>4957</v>
      </c>
    </row>
    <row r="220" spans="1:4" ht="62.5">
      <c r="A220" s="393" t="s">
        <v>16250</v>
      </c>
      <c r="B220" s="393" t="s">
        <v>16252</v>
      </c>
      <c r="C220" s="394" t="s">
        <v>16251</v>
      </c>
      <c r="D220" s="393">
        <v>5235</v>
      </c>
    </row>
    <row r="221" spans="1:4" ht="62.5">
      <c r="A221" s="393" t="s">
        <v>16250</v>
      </c>
      <c r="B221" s="393" t="s">
        <v>16249</v>
      </c>
      <c r="C221" s="394" t="s">
        <v>16248</v>
      </c>
      <c r="D221" s="393">
        <v>5436</v>
      </c>
    </row>
    <row r="222" spans="1:4" ht="50">
      <c r="A222" s="393" t="s">
        <v>16189</v>
      </c>
      <c r="B222" s="393" t="s">
        <v>16247</v>
      </c>
      <c r="C222" s="394" t="s">
        <v>16246</v>
      </c>
      <c r="D222" s="393">
        <v>3039</v>
      </c>
    </row>
    <row r="223" spans="1:4" ht="50">
      <c r="A223" s="393" t="s">
        <v>16189</v>
      </c>
      <c r="B223" s="393" t="s">
        <v>16245</v>
      </c>
      <c r="C223" s="394" t="s">
        <v>16244</v>
      </c>
      <c r="D223" s="393">
        <v>3098</v>
      </c>
    </row>
    <row r="224" spans="1:4" ht="50">
      <c r="A224" s="393" t="s">
        <v>16189</v>
      </c>
      <c r="B224" s="393" t="s">
        <v>16243</v>
      </c>
      <c r="C224" s="394" t="s">
        <v>16242</v>
      </c>
      <c r="D224" s="393">
        <v>3167</v>
      </c>
    </row>
    <row r="225" spans="1:4" ht="50">
      <c r="A225" s="393" t="s">
        <v>16189</v>
      </c>
      <c r="B225" s="393" t="s">
        <v>16241</v>
      </c>
      <c r="C225" s="394" t="s">
        <v>16240</v>
      </c>
      <c r="D225" s="393">
        <v>3188</v>
      </c>
    </row>
    <row r="226" spans="1:4" ht="50">
      <c r="A226" s="393" t="s">
        <v>16189</v>
      </c>
      <c r="B226" s="393" t="s">
        <v>16239</v>
      </c>
      <c r="C226" s="394" t="s">
        <v>16238</v>
      </c>
      <c r="D226" s="393">
        <v>3247</v>
      </c>
    </row>
    <row r="227" spans="1:4" ht="50">
      <c r="A227" s="393" t="s">
        <v>16189</v>
      </c>
      <c r="B227" s="393" t="s">
        <v>16237</v>
      </c>
      <c r="C227" s="394" t="s">
        <v>16236</v>
      </c>
      <c r="D227" s="393">
        <v>3288</v>
      </c>
    </row>
    <row r="228" spans="1:4" ht="50">
      <c r="A228" s="393" t="s">
        <v>16189</v>
      </c>
      <c r="B228" s="393" t="s">
        <v>16235</v>
      </c>
      <c r="C228" s="394" t="s">
        <v>16234</v>
      </c>
      <c r="D228" s="393">
        <v>3347</v>
      </c>
    </row>
    <row r="229" spans="1:4" ht="50">
      <c r="A229" s="393" t="s">
        <v>16189</v>
      </c>
      <c r="B229" s="393" t="s">
        <v>16233</v>
      </c>
      <c r="C229" s="394" t="s">
        <v>16232</v>
      </c>
      <c r="D229" s="393">
        <v>3398</v>
      </c>
    </row>
    <row r="230" spans="1:4" ht="50">
      <c r="A230" s="393" t="s">
        <v>16189</v>
      </c>
      <c r="B230" s="393" t="s">
        <v>16231</v>
      </c>
      <c r="C230" s="394" t="s">
        <v>16230</v>
      </c>
      <c r="D230" s="393">
        <v>3447</v>
      </c>
    </row>
    <row r="231" spans="1:4" ht="50">
      <c r="A231" s="393" t="s">
        <v>16189</v>
      </c>
      <c r="B231" s="393" t="s">
        <v>16229</v>
      </c>
      <c r="C231" s="394" t="s">
        <v>16228</v>
      </c>
      <c r="D231" s="393">
        <v>3568</v>
      </c>
    </row>
    <row r="232" spans="1:4" ht="50">
      <c r="A232" s="393" t="s">
        <v>16189</v>
      </c>
      <c r="B232" s="393" t="s">
        <v>16227</v>
      </c>
      <c r="C232" s="394" t="s">
        <v>16226</v>
      </c>
      <c r="D232" s="393">
        <v>3588</v>
      </c>
    </row>
    <row r="233" spans="1:4" ht="50">
      <c r="A233" s="393" t="s">
        <v>16189</v>
      </c>
      <c r="B233" s="393" t="s">
        <v>16225</v>
      </c>
      <c r="C233" s="394" t="s">
        <v>16224</v>
      </c>
      <c r="D233" s="393">
        <v>3647</v>
      </c>
    </row>
    <row r="234" spans="1:4" ht="62.5">
      <c r="A234" s="393" t="s">
        <v>16189</v>
      </c>
      <c r="B234" s="393" t="s">
        <v>16223</v>
      </c>
      <c r="C234" s="394" t="s">
        <v>16222</v>
      </c>
      <c r="D234" s="393">
        <v>3697</v>
      </c>
    </row>
    <row r="235" spans="1:4" ht="50">
      <c r="A235" s="393" t="s">
        <v>16189</v>
      </c>
      <c r="B235" s="393" t="s">
        <v>16221</v>
      </c>
      <c r="C235" s="394" t="s">
        <v>16220</v>
      </c>
      <c r="D235" s="393">
        <v>3797</v>
      </c>
    </row>
    <row r="236" spans="1:4" ht="62.5">
      <c r="A236" s="393" t="s">
        <v>16189</v>
      </c>
      <c r="B236" s="393" t="s">
        <v>16219</v>
      </c>
      <c r="C236" s="394" t="s">
        <v>16218</v>
      </c>
      <c r="D236" s="393">
        <v>3946</v>
      </c>
    </row>
    <row r="237" spans="1:4" ht="62.5">
      <c r="A237" s="393" t="s">
        <v>16189</v>
      </c>
      <c r="B237" s="393" t="s">
        <v>16217</v>
      </c>
      <c r="C237" s="394" t="s">
        <v>16216</v>
      </c>
      <c r="D237" s="393">
        <v>3997</v>
      </c>
    </row>
    <row r="238" spans="1:4" ht="62.5">
      <c r="A238" s="393" t="s">
        <v>16189</v>
      </c>
      <c r="B238" s="393" t="s">
        <v>16215</v>
      </c>
      <c r="C238" s="394" t="s">
        <v>16214</v>
      </c>
      <c r="D238" s="393">
        <v>4046</v>
      </c>
    </row>
    <row r="239" spans="1:4" ht="50">
      <c r="A239" s="393" t="s">
        <v>16189</v>
      </c>
      <c r="B239" s="393" t="s">
        <v>16213</v>
      </c>
      <c r="C239" s="394" t="s">
        <v>16212</v>
      </c>
      <c r="D239" s="393">
        <v>4146</v>
      </c>
    </row>
    <row r="240" spans="1:4" ht="50">
      <c r="A240" s="393" t="s">
        <v>16189</v>
      </c>
      <c r="B240" s="393" t="s">
        <v>16211</v>
      </c>
      <c r="C240" s="394" t="s">
        <v>16210</v>
      </c>
      <c r="D240" s="393">
        <v>4156</v>
      </c>
    </row>
    <row r="241" spans="1:4" ht="62.5">
      <c r="A241" s="393" t="s">
        <v>16189</v>
      </c>
      <c r="B241" s="393" t="s">
        <v>16209</v>
      </c>
      <c r="C241" s="394" t="s">
        <v>16208</v>
      </c>
      <c r="D241" s="393">
        <v>4167</v>
      </c>
    </row>
    <row r="242" spans="1:4" ht="50">
      <c r="A242" s="393" t="s">
        <v>16189</v>
      </c>
      <c r="B242" s="393" t="s">
        <v>16207</v>
      </c>
      <c r="C242" s="394" t="s">
        <v>16206</v>
      </c>
      <c r="D242" s="393">
        <v>4226</v>
      </c>
    </row>
    <row r="243" spans="1:4" ht="62.5">
      <c r="A243" s="393" t="s">
        <v>16189</v>
      </c>
      <c r="B243" s="393" t="s">
        <v>16205</v>
      </c>
      <c r="C243" s="394" t="s">
        <v>16204</v>
      </c>
      <c r="D243" s="393">
        <v>4345</v>
      </c>
    </row>
    <row r="244" spans="1:4" ht="62.5">
      <c r="A244" s="393" t="s">
        <v>16189</v>
      </c>
      <c r="B244" s="393" t="s">
        <v>16203</v>
      </c>
      <c r="C244" s="394" t="s">
        <v>16202</v>
      </c>
      <c r="D244" s="393">
        <v>4626</v>
      </c>
    </row>
    <row r="245" spans="1:4" ht="62.5">
      <c r="A245" s="393" t="s">
        <v>16189</v>
      </c>
      <c r="B245" s="393" t="s">
        <v>16201</v>
      </c>
      <c r="C245" s="394" t="s">
        <v>16200</v>
      </c>
      <c r="D245" s="393">
        <v>5515</v>
      </c>
    </row>
    <row r="246" spans="1:4" ht="50">
      <c r="A246" s="393" t="s">
        <v>16189</v>
      </c>
      <c r="B246" s="393" t="s">
        <v>16199</v>
      </c>
      <c r="C246" s="394" t="s">
        <v>16198</v>
      </c>
      <c r="D246" s="393">
        <v>3897</v>
      </c>
    </row>
    <row r="247" spans="1:4" ht="62.5">
      <c r="A247" s="393" t="s">
        <v>16189</v>
      </c>
      <c r="B247" s="393" t="s">
        <v>16197</v>
      </c>
      <c r="C247" s="394" t="s">
        <v>16196</v>
      </c>
      <c r="D247" s="393">
        <v>4496</v>
      </c>
    </row>
    <row r="248" spans="1:4" ht="62.5">
      <c r="A248" s="393" t="s">
        <v>16189</v>
      </c>
      <c r="B248" s="393" t="s">
        <v>16195</v>
      </c>
      <c r="C248" s="394" t="s">
        <v>16194</v>
      </c>
      <c r="D248" s="393">
        <v>4896</v>
      </c>
    </row>
    <row r="249" spans="1:4" ht="62.5">
      <c r="A249" s="393" t="s">
        <v>16189</v>
      </c>
      <c r="B249" s="393" t="s">
        <v>16193</v>
      </c>
      <c r="C249" s="394" t="s">
        <v>16192</v>
      </c>
      <c r="D249" s="393">
        <v>4955</v>
      </c>
    </row>
    <row r="250" spans="1:4" ht="62.5">
      <c r="A250" s="393" t="s">
        <v>16189</v>
      </c>
      <c r="B250" s="393" t="s">
        <v>16191</v>
      </c>
      <c r="C250" s="394" t="s">
        <v>16190</v>
      </c>
      <c r="D250" s="393">
        <v>5204</v>
      </c>
    </row>
    <row r="251" spans="1:4" ht="62.5">
      <c r="A251" s="393" t="s">
        <v>16189</v>
      </c>
      <c r="B251" s="393" t="s">
        <v>16188</v>
      </c>
      <c r="C251" s="394" t="s">
        <v>16187</v>
      </c>
      <c r="D251" s="393">
        <v>6165</v>
      </c>
    </row>
    <row r="252" spans="1:4" ht="37.5">
      <c r="A252" s="393" t="s">
        <v>16002</v>
      </c>
      <c r="B252" s="393" t="s">
        <v>16186</v>
      </c>
      <c r="C252" s="394" t="s">
        <v>16185</v>
      </c>
      <c r="D252" s="393">
        <v>2038</v>
      </c>
    </row>
    <row r="253" spans="1:4" ht="37.5">
      <c r="A253" s="393" t="s">
        <v>16002</v>
      </c>
      <c r="B253" s="393" t="s">
        <v>16184</v>
      </c>
      <c r="C253" s="394" t="s">
        <v>16183</v>
      </c>
      <c r="D253" s="393">
        <v>2098</v>
      </c>
    </row>
    <row r="254" spans="1:4" ht="50">
      <c r="A254" s="393" t="s">
        <v>16002</v>
      </c>
      <c r="B254" s="393" t="s">
        <v>16182</v>
      </c>
      <c r="C254" s="394" t="s">
        <v>16181</v>
      </c>
      <c r="D254" s="393">
        <v>2157</v>
      </c>
    </row>
    <row r="255" spans="1:4" ht="37.5">
      <c r="A255" s="393" t="s">
        <v>16002</v>
      </c>
      <c r="B255" s="393" t="s">
        <v>16180</v>
      </c>
      <c r="C255" s="394" t="s">
        <v>16179</v>
      </c>
      <c r="D255" s="393">
        <v>2167</v>
      </c>
    </row>
    <row r="256" spans="1:4" ht="37.5">
      <c r="A256" s="393" t="s">
        <v>16002</v>
      </c>
      <c r="B256" s="393" t="s">
        <v>16178</v>
      </c>
      <c r="C256" s="394" t="s">
        <v>16177</v>
      </c>
      <c r="D256" s="393">
        <v>2249</v>
      </c>
    </row>
    <row r="257" spans="1:4" ht="37.5">
      <c r="A257" s="393" t="s">
        <v>16002</v>
      </c>
      <c r="B257" s="393" t="s">
        <v>16176</v>
      </c>
      <c r="C257" s="394" t="s">
        <v>16175</v>
      </c>
      <c r="D257" s="393">
        <v>2338</v>
      </c>
    </row>
    <row r="258" spans="1:4" ht="50">
      <c r="A258" s="393" t="s">
        <v>16002</v>
      </c>
      <c r="B258" s="393" t="s">
        <v>16174</v>
      </c>
      <c r="C258" s="394" t="s">
        <v>16173</v>
      </c>
      <c r="D258" s="393">
        <v>2388</v>
      </c>
    </row>
    <row r="259" spans="1:4" ht="37.5">
      <c r="A259" s="393" t="s">
        <v>16002</v>
      </c>
      <c r="B259" s="393" t="s">
        <v>16172</v>
      </c>
      <c r="C259" s="394" t="s">
        <v>16171</v>
      </c>
      <c r="D259" s="393">
        <v>2398</v>
      </c>
    </row>
    <row r="260" spans="1:4" ht="50">
      <c r="A260" s="393" t="s">
        <v>16002</v>
      </c>
      <c r="B260" s="393" t="s">
        <v>16170</v>
      </c>
      <c r="C260" s="394" t="s">
        <v>16169</v>
      </c>
      <c r="D260" s="393">
        <v>2417</v>
      </c>
    </row>
    <row r="261" spans="1:4" ht="50">
      <c r="A261" s="393" t="s">
        <v>16002</v>
      </c>
      <c r="B261" s="393" t="s">
        <v>16168</v>
      </c>
      <c r="C261" s="394" t="s">
        <v>16167</v>
      </c>
      <c r="D261" s="393">
        <v>2457</v>
      </c>
    </row>
    <row r="262" spans="1:4" ht="50">
      <c r="A262" s="393" t="s">
        <v>16002</v>
      </c>
      <c r="B262" s="393" t="s">
        <v>16166</v>
      </c>
      <c r="C262" s="394" t="s">
        <v>16165</v>
      </c>
      <c r="D262" s="393">
        <v>2517</v>
      </c>
    </row>
    <row r="263" spans="1:4" ht="37.5">
      <c r="A263" s="393" t="s">
        <v>16002</v>
      </c>
      <c r="B263" s="393" t="s">
        <v>16164</v>
      </c>
      <c r="C263" s="394" t="s">
        <v>16163</v>
      </c>
      <c r="D263" s="393">
        <v>2537</v>
      </c>
    </row>
    <row r="264" spans="1:4" ht="50">
      <c r="A264" s="393" t="s">
        <v>16002</v>
      </c>
      <c r="B264" s="393" t="s">
        <v>16162</v>
      </c>
      <c r="C264" s="394" t="s">
        <v>16161</v>
      </c>
      <c r="D264" s="393">
        <v>2554</v>
      </c>
    </row>
    <row r="265" spans="1:4" ht="50">
      <c r="A265" s="393" t="s">
        <v>16002</v>
      </c>
      <c r="B265" s="393" t="s">
        <v>16160</v>
      </c>
      <c r="C265" s="394" t="s">
        <v>16159</v>
      </c>
      <c r="D265" s="393">
        <v>2577</v>
      </c>
    </row>
    <row r="266" spans="1:4" ht="50">
      <c r="A266" s="393" t="s">
        <v>16002</v>
      </c>
      <c r="B266" s="393" t="s">
        <v>16158</v>
      </c>
      <c r="C266" s="394" t="s">
        <v>16157</v>
      </c>
      <c r="D266" s="393">
        <v>2597</v>
      </c>
    </row>
    <row r="267" spans="1:4" ht="50">
      <c r="A267" s="393" t="s">
        <v>16002</v>
      </c>
      <c r="B267" s="393" t="s">
        <v>16156</v>
      </c>
      <c r="C267" s="394" t="s">
        <v>16155</v>
      </c>
      <c r="D267" s="393">
        <v>2646</v>
      </c>
    </row>
    <row r="268" spans="1:4" ht="50">
      <c r="A268" s="393" t="s">
        <v>16002</v>
      </c>
      <c r="B268" s="393" t="s">
        <v>16154</v>
      </c>
      <c r="C268" s="394" t="s">
        <v>16153</v>
      </c>
      <c r="D268" s="393">
        <v>2657</v>
      </c>
    </row>
    <row r="269" spans="1:4" ht="50">
      <c r="A269" s="393" t="s">
        <v>16002</v>
      </c>
      <c r="B269" s="393" t="s">
        <v>16152</v>
      </c>
      <c r="C269" s="394" t="s">
        <v>16151</v>
      </c>
      <c r="D269" s="393">
        <v>2666</v>
      </c>
    </row>
    <row r="270" spans="1:4" ht="50">
      <c r="A270" s="393" t="s">
        <v>16002</v>
      </c>
      <c r="B270" s="393" t="s">
        <v>16150</v>
      </c>
      <c r="C270" s="394" t="s">
        <v>16149</v>
      </c>
      <c r="D270" s="393">
        <v>2716</v>
      </c>
    </row>
    <row r="271" spans="1:4" ht="50">
      <c r="A271" s="393" t="s">
        <v>16002</v>
      </c>
      <c r="B271" s="393" t="s">
        <v>16148</v>
      </c>
      <c r="C271" s="394" t="s">
        <v>16147</v>
      </c>
      <c r="D271" s="393">
        <v>2717</v>
      </c>
    </row>
    <row r="272" spans="1:4" ht="50">
      <c r="A272" s="393" t="s">
        <v>16002</v>
      </c>
      <c r="B272" s="393" t="s">
        <v>16146</v>
      </c>
      <c r="C272" s="394" t="s">
        <v>16145</v>
      </c>
      <c r="D272" s="393">
        <v>2756</v>
      </c>
    </row>
    <row r="273" spans="1:4" ht="50">
      <c r="A273" s="393" t="s">
        <v>16002</v>
      </c>
      <c r="B273" s="393" t="s">
        <v>16144</v>
      </c>
      <c r="C273" s="394" t="s">
        <v>16143</v>
      </c>
      <c r="D273" s="393">
        <v>2757</v>
      </c>
    </row>
    <row r="274" spans="1:4" ht="50">
      <c r="A274" s="393" t="s">
        <v>16002</v>
      </c>
      <c r="B274" s="393" t="s">
        <v>16142</v>
      </c>
      <c r="C274" s="394" t="s">
        <v>16141</v>
      </c>
      <c r="D274" s="393">
        <v>2767</v>
      </c>
    </row>
    <row r="275" spans="1:4" ht="50">
      <c r="A275" s="393" t="s">
        <v>16002</v>
      </c>
      <c r="B275" s="393" t="s">
        <v>16140</v>
      </c>
      <c r="C275" s="394" t="s">
        <v>16139</v>
      </c>
      <c r="D275" s="393">
        <v>2817</v>
      </c>
    </row>
    <row r="276" spans="1:4" ht="50">
      <c r="A276" s="393" t="s">
        <v>16002</v>
      </c>
      <c r="B276" s="393" t="s">
        <v>16138</v>
      </c>
      <c r="C276" s="394" t="s">
        <v>16137</v>
      </c>
      <c r="D276" s="393">
        <v>2818</v>
      </c>
    </row>
    <row r="277" spans="1:4" ht="37.5">
      <c r="A277" s="393" t="s">
        <v>16002</v>
      </c>
      <c r="B277" s="393" t="s">
        <v>16136</v>
      </c>
      <c r="C277" s="394" t="s">
        <v>16135</v>
      </c>
      <c r="D277" s="393">
        <v>2837</v>
      </c>
    </row>
    <row r="278" spans="1:4" ht="50">
      <c r="A278" s="393" t="s">
        <v>16002</v>
      </c>
      <c r="B278" s="393" t="s">
        <v>16134</v>
      </c>
      <c r="C278" s="394" t="s">
        <v>16133</v>
      </c>
      <c r="D278" s="393">
        <v>2866</v>
      </c>
    </row>
    <row r="279" spans="1:4" ht="50">
      <c r="A279" s="393" t="s">
        <v>16002</v>
      </c>
      <c r="B279" s="393" t="s">
        <v>16132</v>
      </c>
      <c r="C279" s="394" t="s">
        <v>16131</v>
      </c>
      <c r="D279" s="393">
        <v>2867</v>
      </c>
    </row>
    <row r="280" spans="1:4" ht="50">
      <c r="A280" s="393" t="s">
        <v>16002</v>
      </c>
      <c r="B280" s="393" t="s">
        <v>16130</v>
      </c>
      <c r="C280" s="394" t="s">
        <v>16129</v>
      </c>
      <c r="D280" s="393">
        <v>2868</v>
      </c>
    </row>
    <row r="281" spans="1:4" ht="50">
      <c r="A281" s="393" t="s">
        <v>16002</v>
      </c>
      <c r="B281" s="393" t="s">
        <v>16128</v>
      </c>
      <c r="C281" s="394" t="s">
        <v>16127</v>
      </c>
      <c r="D281" s="393">
        <v>2875</v>
      </c>
    </row>
    <row r="282" spans="1:4" ht="50">
      <c r="A282" s="393" t="s">
        <v>16002</v>
      </c>
      <c r="B282" s="393" t="s">
        <v>16126</v>
      </c>
      <c r="C282" s="394" t="s">
        <v>16125</v>
      </c>
      <c r="D282" s="393">
        <v>2888</v>
      </c>
    </row>
    <row r="283" spans="1:4" ht="50">
      <c r="A283" s="393" t="s">
        <v>16002</v>
      </c>
      <c r="B283" s="393" t="s">
        <v>16124</v>
      </c>
      <c r="C283" s="394" t="s">
        <v>16123</v>
      </c>
      <c r="D283" s="393">
        <v>2937</v>
      </c>
    </row>
    <row r="284" spans="1:4" ht="50">
      <c r="A284" s="393" t="s">
        <v>16002</v>
      </c>
      <c r="B284" s="393" t="s">
        <v>16122</v>
      </c>
      <c r="C284" s="394" t="s">
        <v>16121</v>
      </c>
      <c r="D284" s="393">
        <v>2957</v>
      </c>
    </row>
    <row r="285" spans="1:4" ht="50">
      <c r="A285" s="393" t="s">
        <v>16002</v>
      </c>
      <c r="B285" s="393" t="s">
        <v>16120</v>
      </c>
      <c r="C285" s="394" t="s">
        <v>16119</v>
      </c>
      <c r="D285" s="393">
        <v>2967</v>
      </c>
    </row>
    <row r="286" spans="1:4" ht="50">
      <c r="A286" s="393" t="s">
        <v>16002</v>
      </c>
      <c r="B286" s="393" t="s">
        <v>16118</v>
      </c>
      <c r="C286" s="394" t="s">
        <v>16117</v>
      </c>
      <c r="D286" s="393">
        <v>3015</v>
      </c>
    </row>
    <row r="287" spans="1:4" ht="50">
      <c r="A287" s="393" t="s">
        <v>16002</v>
      </c>
      <c r="B287" s="393" t="s">
        <v>16116</v>
      </c>
      <c r="C287" s="394" t="s">
        <v>16115</v>
      </c>
      <c r="D287" s="393">
        <v>3017</v>
      </c>
    </row>
    <row r="288" spans="1:4" ht="62.5">
      <c r="A288" s="393" t="s">
        <v>16002</v>
      </c>
      <c r="B288" s="393" t="s">
        <v>16114</v>
      </c>
      <c r="C288" s="394" t="s">
        <v>16113</v>
      </c>
      <c r="D288" s="393">
        <v>3022</v>
      </c>
    </row>
    <row r="289" spans="1:4" ht="50">
      <c r="A289" s="393" t="s">
        <v>16002</v>
      </c>
      <c r="B289" s="393" t="s">
        <v>16112</v>
      </c>
      <c r="C289" s="394" t="s">
        <v>16111</v>
      </c>
      <c r="D289" s="393">
        <v>3037</v>
      </c>
    </row>
    <row r="290" spans="1:4" ht="50">
      <c r="A290" s="393" t="s">
        <v>16002</v>
      </c>
      <c r="B290" s="393" t="s">
        <v>16110</v>
      </c>
      <c r="C290" s="394" t="s">
        <v>16109</v>
      </c>
      <c r="D290" s="393">
        <v>3046</v>
      </c>
    </row>
    <row r="291" spans="1:4" ht="50">
      <c r="A291" s="393" t="s">
        <v>16002</v>
      </c>
      <c r="B291" s="393" t="s">
        <v>16108</v>
      </c>
      <c r="C291" s="394" t="s">
        <v>16107</v>
      </c>
      <c r="D291" s="393">
        <v>3066</v>
      </c>
    </row>
    <row r="292" spans="1:4" ht="50">
      <c r="A292" s="393" t="s">
        <v>16002</v>
      </c>
      <c r="B292" s="393" t="s">
        <v>16106</v>
      </c>
      <c r="C292" s="394" t="s">
        <v>16105</v>
      </c>
      <c r="D292" s="393">
        <v>3085</v>
      </c>
    </row>
    <row r="293" spans="1:4" ht="50">
      <c r="A293" s="393" t="s">
        <v>16002</v>
      </c>
      <c r="B293" s="393" t="s">
        <v>16104</v>
      </c>
      <c r="C293" s="394" t="s">
        <v>16103</v>
      </c>
      <c r="D293" s="393">
        <v>3167</v>
      </c>
    </row>
    <row r="294" spans="1:4" ht="62.5">
      <c r="A294" s="393" t="s">
        <v>16002</v>
      </c>
      <c r="B294" s="393" t="s">
        <v>16102</v>
      </c>
      <c r="C294" s="394" t="s">
        <v>16101</v>
      </c>
      <c r="D294" s="393">
        <v>3234</v>
      </c>
    </row>
    <row r="295" spans="1:4" ht="50">
      <c r="A295" s="393" t="s">
        <v>16002</v>
      </c>
      <c r="B295" s="393" t="s">
        <v>16100</v>
      </c>
      <c r="C295" s="394" t="s">
        <v>16099</v>
      </c>
      <c r="D295" s="393">
        <v>3237</v>
      </c>
    </row>
    <row r="296" spans="1:4" ht="50">
      <c r="A296" s="393" t="s">
        <v>16002</v>
      </c>
      <c r="B296" s="393" t="s">
        <v>16098</v>
      </c>
      <c r="C296" s="394" t="s">
        <v>16097</v>
      </c>
      <c r="D296" s="393">
        <v>3246</v>
      </c>
    </row>
    <row r="297" spans="1:4" ht="50">
      <c r="A297" s="393" t="s">
        <v>16002</v>
      </c>
      <c r="B297" s="393" t="s">
        <v>16096</v>
      </c>
      <c r="C297" s="394" t="s">
        <v>16095</v>
      </c>
      <c r="D297" s="393">
        <v>3253</v>
      </c>
    </row>
    <row r="298" spans="1:4" ht="50">
      <c r="A298" s="393" t="s">
        <v>16002</v>
      </c>
      <c r="B298" s="393" t="s">
        <v>16094</v>
      </c>
      <c r="C298" s="394" t="s">
        <v>16093</v>
      </c>
      <c r="D298" s="393">
        <v>3256</v>
      </c>
    </row>
    <row r="299" spans="1:4" ht="50">
      <c r="A299" s="393" t="s">
        <v>16002</v>
      </c>
      <c r="B299" s="393" t="s">
        <v>16092</v>
      </c>
      <c r="C299" s="394" t="s">
        <v>16091</v>
      </c>
      <c r="D299" s="393">
        <v>3266</v>
      </c>
    </row>
    <row r="300" spans="1:4" ht="50">
      <c r="A300" s="393" t="s">
        <v>16002</v>
      </c>
      <c r="B300" s="393" t="s">
        <v>16090</v>
      </c>
      <c r="C300" s="394" t="s">
        <v>16089</v>
      </c>
      <c r="D300" s="393">
        <v>3267</v>
      </c>
    </row>
    <row r="301" spans="1:4" ht="50">
      <c r="A301" s="393" t="s">
        <v>16002</v>
      </c>
      <c r="B301" s="393" t="s">
        <v>16088</v>
      </c>
      <c r="C301" s="394" t="s">
        <v>16087</v>
      </c>
      <c r="D301" s="393">
        <v>3286</v>
      </c>
    </row>
    <row r="302" spans="1:4" ht="50">
      <c r="A302" s="393" t="s">
        <v>16002</v>
      </c>
      <c r="B302" s="393" t="s">
        <v>16086</v>
      </c>
      <c r="C302" s="394" t="s">
        <v>16085</v>
      </c>
      <c r="D302" s="393">
        <v>3315</v>
      </c>
    </row>
    <row r="303" spans="1:4" ht="62.5">
      <c r="A303" s="393" t="s">
        <v>16002</v>
      </c>
      <c r="B303" s="393" t="s">
        <v>16084</v>
      </c>
      <c r="C303" s="394" t="s">
        <v>16083</v>
      </c>
      <c r="D303" s="393">
        <v>3334</v>
      </c>
    </row>
    <row r="304" spans="1:4" ht="50">
      <c r="A304" s="393" t="s">
        <v>16002</v>
      </c>
      <c r="B304" s="393" t="s">
        <v>16082</v>
      </c>
      <c r="C304" s="394" t="s">
        <v>16081</v>
      </c>
      <c r="D304" s="393">
        <v>3415</v>
      </c>
    </row>
    <row r="305" spans="1:4" ht="50">
      <c r="A305" s="393" t="s">
        <v>16002</v>
      </c>
      <c r="B305" s="393" t="s">
        <v>16080</v>
      </c>
      <c r="C305" s="394" t="s">
        <v>16079</v>
      </c>
      <c r="D305" s="393">
        <v>3416</v>
      </c>
    </row>
    <row r="306" spans="1:4" ht="50">
      <c r="A306" s="393" t="s">
        <v>16002</v>
      </c>
      <c r="B306" s="393" t="s">
        <v>16078</v>
      </c>
      <c r="C306" s="394" t="s">
        <v>16077</v>
      </c>
      <c r="D306" s="393">
        <v>3467</v>
      </c>
    </row>
    <row r="307" spans="1:4" ht="62.5">
      <c r="A307" s="393" t="s">
        <v>16002</v>
      </c>
      <c r="B307" s="393" t="s">
        <v>16076</v>
      </c>
      <c r="C307" s="394" t="s">
        <v>16075</v>
      </c>
      <c r="D307" s="393">
        <v>3476</v>
      </c>
    </row>
    <row r="308" spans="1:4" ht="50">
      <c r="A308" s="393" t="s">
        <v>16002</v>
      </c>
      <c r="B308" s="393" t="s">
        <v>16074</v>
      </c>
      <c r="C308" s="394" t="s">
        <v>16073</v>
      </c>
      <c r="D308" s="393">
        <v>3486</v>
      </c>
    </row>
    <row r="309" spans="1:4" ht="62.5">
      <c r="A309" s="393" t="s">
        <v>16002</v>
      </c>
      <c r="B309" s="393" t="s">
        <v>16072</v>
      </c>
      <c r="C309" s="394" t="s">
        <v>16071</v>
      </c>
      <c r="D309" s="393">
        <v>3515</v>
      </c>
    </row>
    <row r="310" spans="1:4" ht="62.5">
      <c r="A310" s="393" t="s">
        <v>16002</v>
      </c>
      <c r="B310" s="393" t="s">
        <v>16070</v>
      </c>
      <c r="C310" s="394" t="s">
        <v>16069</v>
      </c>
      <c r="D310" s="393">
        <v>3516</v>
      </c>
    </row>
    <row r="311" spans="1:4" ht="50">
      <c r="A311" s="393" t="s">
        <v>16002</v>
      </c>
      <c r="B311" s="393" t="s">
        <v>16068</v>
      </c>
      <c r="C311" s="394" t="s">
        <v>16067</v>
      </c>
      <c r="D311" s="393">
        <v>3536</v>
      </c>
    </row>
    <row r="312" spans="1:4" ht="50">
      <c r="A312" s="393" t="s">
        <v>16002</v>
      </c>
      <c r="B312" s="393" t="s">
        <v>16066</v>
      </c>
      <c r="C312" s="394" t="s">
        <v>16065</v>
      </c>
      <c r="D312" s="393">
        <v>3537</v>
      </c>
    </row>
    <row r="313" spans="1:4" ht="62.5">
      <c r="A313" s="393" t="s">
        <v>16002</v>
      </c>
      <c r="B313" s="393" t="s">
        <v>16064</v>
      </c>
      <c r="C313" s="394" t="s">
        <v>16063</v>
      </c>
      <c r="D313" s="393">
        <v>3625</v>
      </c>
    </row>
    <row r="314" spans="1:4" ht="62.5">
      <c r="A314" s="393" t="s">
        <v>16002</v>
      </c>
      <c r="B314" s="393" t="s">
        <v>16062</v>
      </c>
      <c r="C314" s="394" t="s">
        <v>16061</v>
      </c>
      <c r="D314" s="393">
        <v>3644</v>
      </c>
    </row>
    <row r="315" spans="1:4" ht="62.5">
      <c r="A315" s="393" t="s">
        <v>16002</v>
      </c>
      <c r="B315" s="393" t="s">
        <v>16060</v>
      </c>
      <c r="C315" s="394" t="s">
        <v>16059</v>
      </c>
      <c r="D315" s="393">
        <v>3674</v>
      </c>
    </row>
    <row r="316" spans="1:4" ht="50">
      <c r="A316" s="393" t="s">
        <v>16002</v>
      </c>
      <c r="B316" s="393" t="s">
        <v>16058</v>
      </c>
      <c r="C316" s="394" t="s">
        <v>16057</v>
      </c>
      <c r="D316" s="393">
        <v>3696</v>
      </c>
    </row>
    <row r="317" spans="1:4" ht="62.5">
      <c r="A317" s="393" t="s">
        <v>16002</v>
      </c>
      <c r="B317" s="393" t="s">
        <v>16056</v>
      </c>
      <c r="C317" s="394" t="s">
        <v>16055</v>
      </c>
      <c r="D317" s="393">
        <v>3705</v>
      </c>
    </row>
    <row r="318" spans="1:4" ht="50">
      <c r="A318" s="393" t="s">
        <v>16002</v>
      </c>
      <c r="B318" s="393" t="s">
        <v>16054</v>
      </c>
      <c r="C318" s="394" t="s">
        <v>16053</v>
      </c>
      <c r="D318" s="393">
        <v>3716</v>
      </c>
    </row>
    <row r="319" spans="1:4" ht="50">
      <c r="A319" s="393" t="s">
        <v>16002</v>
      </c>
      <c r="B319" s="393" t="s">
        <v>16052</v>
      </c>
      <c r="C319" s="394" t="s">
        <v>16051</v>
      </c>
      <c r="D319" s="393">
        <v>3717</v>
      </c>
    </row>
    <row r="320" spans="1:4" ht="50">
      <c r="A320" s="393" t="s">
        <v>16002</v>
      </c>
      <c r="B320" s="393" t="s">
        <v>16050</v>
      </c>
      <c r="C320" s="394" t="s">
        <v>16049</v>
      </c>
      <c r="D320" s="393">
        <v>3737</v>
      </c>
    </row>
    <row r="321" spans="1:4" ht="62.5">
      <c r="A321" s="393" t="s">
        <v>16002</v>
      </c>
      <c r="B321" s="393" t="s">
        <v>16048</v>
      </c>
      <c r="C321" s="394" t="s">
        <v>16047</v>
      </c>
      <c r="D321" s="393">
        <v>3746</v>
      </c>
    </row>
    <row r="322" spans="1:4" ht="62.5">
      <c r="A322" s="393" t="s">
        <v>16002</v>
      </c>
      <c r="B322" s="393" t="s">
        <v>16046</v>
      </c>
      <c r="C322" s="394" t="s">
        <v>16045</v>
      </c>
      <c r="D322" s="393">
        <v>3762</v>
      </c>
    </row>
    <row r="323" spans="1:4" ht="50">
      <c r="A323" s="393" t="s">
        <v>16002</v>
      </c>
      <c r="B323" s="393" t="s">
        <v>16044</v>
      </c>
      <c r="C323" s="394" t="s">
        <v>16043</v>
      </c>
      <c r="D323" s="393">
        <v>3766</v>
      </c>
    </row>
    <row r="324" spans="1:4" ht="50">
      <c r="A324" s="393" t="s">
        <v>16002</v>
      </c>
      <c r="B324" s="393" t="s">
        <v>16042</v>
      </c>
      <c r="C324" s="394" t="s">
        <v>16041</v>
      </c>
      <c r="D324" s="393">
        <v>3786</v>
      </c>
    </row>
    <row r="325" spans="1:4" ht="50">
      <c r="A325" s="393" t="s">
        <v>16002</v>
      </c>
      <c r="B325" s="393" t="s">
        <v>16040</v>
      </c>
      <c r="C325" s="394" t="s">
        <v>16039</v>
      </c>
      <c r="D325" s="393">
        <v>3807</v>
      </c>
    </row>
    <row r="326" spans="1:4" ht="62.5">
      <c r="A326" s="393" t="s">
        <v>16002</v>
      </c>
      <c r="B326" s="393" t="s">
        <v>16038</v>
      </c>
      <c r="C326" s="394" t="s">
        <v>16037</v>
      </c>
      <c r="D326" s="393">
        <v>3816</v>
      </c>
    </row>
    <row r="327" spans="1:4" ht="50">
      <c r="A327" s="393" t="s">
        <v>16002</v>
      </c>
      <c r="B327" s="393" t="s">
        <v>16036</v>
      </c>
      <c r="C327" s="394" t="s">
        <v>16035</v>
      </c>
      <c r="D327" s="393">
        <v>3865</v>
      </c>
    </row>
    <row r="328" spans="1:4" ht="50">
      <c r="A328" s="393" t="s">
        <v>16002</v>
      </c>
      <c r="B328" s="393" t="s">
        <v>16034</v>
      </c>
      <c r="C328" s="394" t="s">
        <v>16033</v>
      </c>
      <c r="D328" s="393">
        <v>3944</v>
      </c>
    </row>
    <row r="329" spans="1:4" ht="50">
      <c r="A329" s="393" t="s">
        <v>16002</v>
      </c>
      <c r="B329" s="393" t="s">
        <v>16032</v>
      </c>
      <c r="C329" s="394" t="s">
        <v>16031</v>
      </c>
      <c r="D329" s="393">
        <v>3965</v>
      </c>
    </row>
    <row r="330" spans="1:4" ht="50">
      <c r="A330" s="393" t="s">
        <v>16002</v>
      </c>
      <c r="B330" s="393" t="s">
        <v>16030</v>
      </c>
      <c r="C330" s="394" t="s">
        <v>16029</v>
      </c>
      <c r="D330" s="393">
        <v>4004</v>
      </c>
    </row>
    <row r="331" spans="1:4" ht="62.5">
      <c r="A331" s="393" t="s">
        <v>16002</v>
      </c>
      <c r="B331" s="393" t="s">
        <v>16028</v>
      </c>
      <c r="C331" s="394" t="s">
        <v>16027</v>
      </c>
      <c r="D331" s="393">
        <v>4004</v>
      </c>
    </row>
    <row r="332" spans="1:4" ht="50">
      <c r="A332" s="393" t="s">
        <v>16002</v>
      </c>
      <c r="B332" s="393" t="s">
        <v>16026</v>
      </c>
      <c r="C332" s="394" t="s">
        <v>16025</v>
      </c>
      <c r="D332" s="393">
        <v>4107</v>
      </c>
    </row>
    <row r="333" spans="1:4" ht="62.5">
      <c r="A333" s="393" t="s">
        <v>16002</v>
      </c>
      <c r="B333" s="393" t="s">
        <v>16024</v>
      </c>
      <c r="C333" s="394" t="s">
        <v>16023</v>
      </c>
      <c r="D333" s="393">
        <v>4122</v>
      </c>
    </row>
    <row r="334" spans="1:4" ht="62.5">
      <c r="A334" s="393" t="s">
        <v>16002</v>
      </c>
      <c r="B334" s="393" t="s">
        <v>16022</v>
      </c>
      <c r="C334" s="394" t="s">
        <v>16021</v>
      </c>
      <c r="D334" s="393">
        <v>4156</v>
      </c>
    </row>
    <row r="335" spans="1:4" ht="50">
      <c r="A335" s="393" t="s">
        <v>16002</v>
      </c>
      <c r="B335" s="393" t="s">
        <v>16020</v>
      </c>
      <c r="C335" s="394" t="s">
        <v>16019</v>
      </c>
      <c r="D335" s="393">
        <v>4333</v>
      </c>
    </row>
    <row r="336" spans="1:4" ht="62.5">
      <c r="A336" s="393" t="s">
        <v>16002</v>
      </c>
      <c r="B336" s="393" t="s">
        <v>16018</v>
      </c>
      <c r="C336" s="394" t="s">
        <v>16017</v>
      </c>
      <c r="D336" s="393">
        <v>4606</v>
      </c>
    </row>
    <row r="337" spans="1:4" ht="62.5">
      <c r="A337" s="393" t="s">
        <v>16002</v>
      </c>
      <c r="B337" s="393" t="s">
        <v>16016</v>
      </c>
      <c r="C337" s="394" t="s">
        <v>16015</v>
      </c>
      <c r="D337" s="393">
        <v>4651</v>
      </c>
    </row>
    <row r="338" spans="1:4" ht="62.5">
      <c r="A338" s="393" t="s">
        <v>16002</v>
      </c>
      <c r="B338" s="393" t="s">
        <v>16014</v>
      </c>
      <c r="C338" s="394" t="s">
        <v>16013</v>
      </c>
      <c r="D338" s="393">
        <v>4662</v>
      </c>
    </row>
    <row r="339" spans="1:4" ht="50">
      <c r="A339" s="393" t="s">
        <v>16002</v>
      </c>
      <c r="B339" s="393" t="s">
        <v>16012</v>
      </c>
      <c r="C339" s="394" t="s">
        <v>16011</v>
      </c>
      <c r="D339" s="393">
        <v>4755</v>
      </c>
    </row>
    <row r="340" spans="1:4" ht="62.5">
      <c r="A340" s="393" t="s">
        <v>16002</v>
      </c>
      <c r="B340" s="393" t="s">
        <v>16010</v>
      </c>
      <c r="C340" s="394" t="s">
        <v>16009</v>
      </c>
      <c r="D340" s="393">
        <v>4906</v>
      </c>
    </row>
    <row r="341" spans="1:4" ht="50">
      <c r="A341" s="393" t="s">
        <v>16002</v>
      </c>
      <c r="B341" s="393" t="s">
        <v>16008</v>
      </c>
      <c r="C341" s="394" t="s">
        <v>16007</v>
      </c>
      <c r="D341" s="393">
        <v>4935</v>
      </c>
    </row>
    <row r="342" spans="1:4" ht="75">
      <c r="A342" s="393" t="s">
        <v>16002</v>
      </c>
      <c r="B342" s="393" t="s">
        <v>16006</v>
      </c>
      <c r="C342" s="394" t="s">
        <v>16005</v>
      </c>
      <c r="D342" s="393">
        <v>5191</v>
      </c>
    </row>
    <row r="343" spans="1:4" ht="62.5">
      <c r="A343" s="393" t="s">
        <v>16002</v>
      </c>
      <c r="B343" s="393" t="s">
        <v>16004</v>
      </c>
      <c r="C343" s="394" t="s">
        <v>16003</v>
      </c>
      <c r="D343" s="393">
        <v>6202</v>
      </c>
    </row>
    <row r="344" spans="1:4" ht="62.5">
      <c r="A344" s="393" t="s">
        <v>16002</v>
      </c>
      <c r="B344" s="393" t="s">
        <v>16001</v>
      </c>
      <c r="C344" s="394" t="s">
        <v>16000</v>
      </c>
      <c r="D344" s="393">
        <v>7487</v>
      </c>
    </row>
    <row r="345" spans="1:4" ht="50">
      <c r="A345" s="393" t="s">
        <v>15951</v>
      </c>
      <c r="B345" s="393" t="s">
        <v>15999</v>
      </c>
      <c r="C345" s="394" t="s">
        <v>15998</v>
      </c>
      <c r="D345" s="393">
        <v>2269</v>
      </c>
    </row>
    <row r="346" spans="1:4" ht="50">
      <c r="A346" s="393" t="s">
        <v>15951</v>
      </c>
      <c r="B346" s="393" t="s">
        <v>15997</v>
      </c>
      <c r="C346" s="394" t="s">
        <v>15996</v>
      </c>
      <c r="D346" s="393">
        <v>2477</v>
      </c>
    </row>
    <row r="347" spans="1:4" ht="50">
      <c r="A347" s="393" t="s">
        <v>15951</v>
      </c>
      <c r="B347" s="393" t="s">
        <v>15995</v>
      </c>
      <c r="C347" s="394" t="s">
        <v>15994</v>
      </c>
      <c r="D347" s="393">
        <v>2777</v>
      </c>
    </row>
    <row r="348" spans="1:4" ht="50">
      <c r="A348" s="393" t="s">
        <v>15951</v>
      </c>
      <c r="B348" s="393" t="s">
        <v>15993</v>
      </c>
      <c r="C348" s="394" t="s">
        <v>15992</v>
      </c>
      <c r="D348" s="393">
        <v>2837</v>
      </c>
    </row>
    <row r="349" spans="1:4" ht="50">
      <c r="A349" s="393" t="s">
        <v>15951</v>
      </c>
      <c r="B349" s="393" t="s">
        <v>15991</v>
      </c>
      <c r="C349" s="394" t="s">
        <v>15990</v>
      </c>
      <c r="D349" s="393">
        <v>2887</v>
      </c>
    </row>
    <row r="350" spans="1:4" ht="50">
      <c r="A350" s="393" t="s">
        <v>15951</v>
      </c>
      <c r="B350" s="393" t="s">
        <v>15989</v>
      </c>
      <c r="C350" s="394" t="s">
        <v>15988</v>
      </c>
      <c r="D350" s="393">
        <v>3018</v>
      </c>
    </row>
    <row r="351" spans="1:4" ht="50">
      <c r="A351" s="393" t="s">
        <v>15951</v>
      </c>
      <c r="B351" s="393" t="s">
        <v>15987</v>
      </c>
      <c r="C351" s="394" t="s">
        <v>15986</v>
      </c>
      <c r="D351" s="393">
        <v>3137</v>
      </c>
    </row>
    <row r="352" spans="1:4" ht="62.5">
      <c r="A352" s="393" t="s">
        <v>15951</v>
      </c>
      <c r="B352" s="393" t="s">
        <v>15985</v>
      </c>
      <c r="C352" s="394" t="s">
        <v>15984</v>
      </c>
      <c r="D352" s="393">
        <v>3287</v>
      </c>
    </row>
    <row r="353" spans="1:4" ht="62.5">
      <c r="A353" s="393" t="s">
        <v>15951</v>
      </c>
      <c r="B353" s="393" t="s">
        <v>15983</v>
      </c>
      <c r="C353" s="394" t="s">
        <v>15982</v>
      </c>
      <c r="D353" s="393">
        <v>3357</v>
      </c>
    </row>
    <row r="354" spans="1:4" ht="62.5">
      <c r="A354" s="393" t="s">
        <v>15951</v>
      </c>
      <c r="B354" s="393" t="s">
        <v>15981</v>
      </c>
      <c r="C354" s="394" t="s">
        <v>15980</v>
      </c>
      <c r="D354" s="393">
        <v>3366</v>
      </c>
    </row>
    <row r="355" spans="1:4" ht="62.5">
      <c r="A355" s="393" t="s">
        <v>15951</v>
      </c>
      <c r="B355" s="393" t="s">
        <v>15979</v>
      </c>
      <c r="C355" s="394" t="s">
        <v>15978</v>
      </c>
      <c r="D355" s="393">
        <v>3407</v>
      </c>
    </row>
    <row r="356" spans="1:4" ht="62.5">
      <c r="A356" s="393" t="s">
        <v>15951</v>
      </c>
      <c r="B356" s="393" t="s">
        <v>15977</v>
      </c>
      <c r="C356" s="394" t="s">
        <v>15976</v>
      </c>
      <c r="D356" s="393">
        <v>3416</v>
      </c>
    </row>
    <row r="357" spans="1:4" ht="62.5">
      <c r="A357" s="393" t="s">
        <v>15951</v>
      </c>
      <c r="B357" s="393" t="s">
        <v>15975</v>
      </c>
      <c r="C357" s="394" t="s">
        <v>15974</v>
      </c>
      <c r="D357" s="393">
        <v>3657</v>
      </c>
    </row>
    <row r="358" spans="1:4" ht="62.5">
      <c r="A358" s="393" t="s">
        <v>15951</v>
      </c>
      <c r="B358" s="393" t="s">
        <v>15973</v>
      </c>
      <c r="C358" s="394" t="s">
        <v>15972</v>
      </c>
      <c r="D358" s="393">
        <v>3666</v>
      </c>
    </row>
    <row r="359" spans="1:4" ht="50">
      <c r="A359" s="393" t="s">
        <v>15951</v>
      </c>
      <c r="B359" s="393" t="s">
        <v>15971</v>
      </c>
      <c r="C359" s="394" t="s">
        <v>15970</v>
      </c>
      <c r="D359" s="393">
        <v>3705</v>
      </c>
    </row>
    <row r="360" spans="1:4" ht="62.5">
      <c r="A360" s="393" t="s">
        <v>15951</v>
      </c>
      <c r="B360" s="393" t="s">
        <v>15969</v>
      </c>
      <c r="C360" s="394" t="s">
        <v>15968</v>
      </c>
      <c r="D360" s="393">
        <v>3857</v>
      </c>
    </row>
    <row r="361" spans="1:4" ht="62.5">
      <c r="A361" s="393" t="s">
        <v>15951</v>
      </c>
      <c r="B361" s="393" t="s">
        <v>15967</v>
      </c>
      <c r="C361" s="394" t="s">
        <v>15966</v>
      </c>
      <c r="D361" s="393">
        <v>3886</v>
      </c>
    </row>
    <row r="362" spans="1:4" ht="62.5">
      <c r="A362" s="393" t="s">
        <v>15951</v>
      </c>
      <c r="B362" s="393" t="s">
        <v>15965</v>
      </c>
      <c r="C362" s="394" t="s">
        <v>15964</v>
      </c>
      <c r="D362" s="393">
        <v>3906</v>
      </c>
    </row>
    <row r="363" spans="1:4" ht="62.5">
      <c r="A363" s="393" t="s">
        <v>15951</v>
      </c>
      <c r="B363" s="393" t="s">
        <v>15963</v>
      </c>
      <c r="C363" s="394" t="s">
        <v>15962</v>
      </c>
      <c r="D363" s="393">
        <v>3927</v>
      </c>
    </row>
    <row r="364" spans="1:4" ht="62.5">
      <c r="A364" s="393" t="s">
        <v>15951</v>
      </c>
      <c r="B364" s="393" t="s">
        <v>15961</v>
      </c>
      <c r="C364" s="394" t="s">
        <v>15960</v>
      </c>
      <c r="D364" s="393">
        <v>4015</v>
      </c>
    </row>
    <row r="365" spans="1:4" ht="62.5">
      <c r="A365" s="393" t="s">
        <v>15951</v>
      </c>
      <c r="B365" s="393" t="s">
        <v>15959</v>
      </c>
      <c r="C365" s="394" t="s">
        <v>15958</v>
      </c>
      <c r="D365" s="393">
        <v>4166</v>
      </c>
    </row>
    <row r="366" spans="1:4" ht="62.5">
      <c r="A366" s="393" t="s">
        <v>15951</v>
      </c>
      <c r="B366" s="393" t="s">
        <v>15957</v>
      </c>
      <c r="C366" s="394" t="s">
        <v>15956</v>
      </c>
      <c r="D366" s="393">
        <v>4176</v>
      </c>
    </row>
    <row r="367" spans="1:4" ht="62.5">
      <c r="A367" s="393" t="s">
        <v>15951</v>
      </c>
      <c r="B367" s="393" t="s">
        <v>15955</v>
      </c>
      <c r="C367" s="394" t="s">
        <v>15954</v>
      </c>
      <c r="D367" s="393">
        <v>4416</v>
      </c>
    </row>
    <row r="368" spans="1:4" ht="62.5">
      <c r="A368" s="393" t="s">
        <v>15951</v>
      </c>
      <c r="B368" s="393" t="s">
        <v>15953</v>
      </c>
      <c r="C368" s="394" t="s">
        <v>15952</v>
      </c>
      <c r="D368" s="393">
        <v>4615</v>
      </c>
    </row>
    <row r="369" spans="1:4" ht="62.5">
      <c r="A369" s="393" t="s">
        <v>15951</v>
      </c>
      <c r="B369" s="393" t="s">
        <v>15950</v>
      </c>
      <c r="C369" s="394" t="s">
        <v>15949</v>
      </c>
      <c r="D369" s="393">
        <v>4806</v>
      </c>
    </row>
    <row r="370" spans="1:4" ht="50">
      <c r="A370" s="393" t="s">
        <v>15906</v>
      </c>
      <c r="B370" s="393" t="s">
        <v>15948</v>
      </c>
      <c r="C370" s="394" t="s">
        <v>15947</v>
      </c>
      <c r="D370" s="393">
        <v>2549</v>
      </c>
    </row>
    <row r="371" spans="1:4" ht="50">
      <c r="A371" s="393" t="s">
        <v>15906</v>
      </c>
      <c r="B371" s="393" t="s">
        <v>15946</v>
      </c>
      <c r="C371" s="394" t="s">
        <v>15945</v>
      </c>
      <c r="D371" s="393">
        <v>2707</v>
      </c>
    </row>
    <row r="372" spans="1:4" ht="50">
      <c r="A372" s="393" t="s">
        <v>15906</v>
      </c>
      <c r="B372" s="393" t="s">
        <v>15944</v>
      </c>
      <c r="C372" s="394" t="s">
        <v>15943</v>
      </c>
      <c r="D372" s="393">
        <v>2849</v>
      </c>
    </row>
    <row r="373" spans="1:4" ht="50">
      <c r="A373" s="393" t="s">
        <v>15906</v>
      </c>
      <c r="B373" s="393" t="s">
        <v>15942</v>
      </c>
      <c r="C373" s="394" t="s">
        <v>15941</v>
      </c>
      <c r="D373" s="393">
        <v>2898</v>
      </c>
    </row>
    <row r="374" spans="1:4" ht="50">
      <c r="A374" s="393" t="s">
        <v>15906</v>
      </c>
      <c r="B374" s="393" t="s">
        <v>15940</v>
      </c>
      <c r="C374" s="394" t="s">
        <v>15939</v>
      </c>
      <c r="D374" s="393">
        <v>3078</v>
      </c>
    </row>
    <row r="375" spans="1:4" ht="50">
      <c r="A375" s="393" t="s">
        <v>15906</v>
      </c>
      <c r="B375" s="393" t="s">
        <v>15938</v>
      </c>
      <c r="C375" s="394" t="s">
        <v>15937</v>
      </c>
      <c r="D375" s="393">
        <v>3126</v>
      </c>
    </row>
    <row r="376" spans="1:4" ht="50">
      <c r="A376" s="393" t="s">
        <v>15906</v>
      </c>
      <c r="B376" s="393" t="s">
        <v>15936</v>
      </c>
      <c r="C376" s="394" t="s">
        <v>15935</v>
      </c>
      <c r="D376" s="393">
        <v>3226</v>
      </c>
    </row>
    <row r="377" spans="1:4" ht="50">
      <c r="A377" s="393" t="s">
        <v>15906</v>
      </c>
      <c r="B377" s="393" t="s">
        <v>15934</v>
      </c>
      <c r="C377" s="394" t="s">
        <v>15933</v>
      </c>
      <c r="D377" s="393">
        <v>3227</v>
      </c>
    </row>
    <row r="378" spans="1:4" ht="50">
      <c r="A378" s="393" t="s">
        <v>15906</v>
      </c>
      <c r="B378" s="393" t="s">
        <v>15932</v>
      </c>
      <c r="C378" s="394" t="s">
        <v>15931</v>
      </c>
      <c r="D378" s="393">
        <v>3586</v>
      </c>
    </row>
    <row r="379" spans="1:4" ht="62.5">
      <c r="A379" s="393" t="s">
        <v>15906</v>
      </c>
      <c r="B379" s="393" t="s">
        <v>15930</v>
      </c>
      <c r="C379" s="394" t="s">
        <v>15929</v>
      </c>
      <c r="D379" s="393">
        <v>3707</v>
      </c>
    </row>
    <row r="380" spans="1:4" ht="50">
      <c r="A380" s="393" t="s">
        <v>15906</v>
      </c>
      <c r="B380" s="393" t="s">
        <v>15928</v>
      </c>
      <c r="C380" s="394" t="s">
        <v>15927</v>
      </c>
      <c r="D380" s="393">
        <v>3785</v>
      </c>
    </row>
    <row r="381" spans="1:4" ht="62.5">
      <c r="A381" s="393" t="s">
        <v>15906</v>
      </c>
      <c r="B381" s="393" t="s">
        <v>15926</v>
      </c>
      <c r="C381" s="394" t="s">
        <v>15925</v>
      </c>
      <c r="D381" s="393">
        <v>3785</v>
      </c>
    </row>
    <row r="382" spans="1:4" ht="50">
      <c r="A382" s="393" t="s">
        <v>15906</v>
      </c>
      <c r="B382" s="393" t="s">
        <v>15924</v>
      </c>
      <c r="C382" s="394" t="s">
        <v>15923</v>
      </c>
      <c r="D382" s="393">
        <v>3807</v>
      </c>
    </row>
    <row r="383" spans="1:4" ht="62.5">
      <c r="A383" s="393" t="s">
        <v>15906</v>
      </c>
      <c r="B383" s="393" t="s">
        <v>15922</v>
      </c>
      <c r="C383" s="394" t="s">
        <v>15921</v>
      </c>
      <c r="D383" s="393">
        <v>3936</v>
      </c>
    </row>
    <row r="384" spans="1:4" ht="62.5">
      <c r="A384" s="393" t="s">
        <v>15906</v>
      </c>
      <c r="B384" s="393" t="s">
        <v>15920</v>
      </c>
      <c r="C384" s="394" t="s">
        <v>15919</v>
      </c>
      <c r="D384" s="393">
        <v>4112</v>
      </c>
    </row>
    <row r="385" spans="1:4" ht="50">
      <c r="A385" s="393" t="s">
        <v>15906</v>
      </c>
      <c r="B385" s="393" t="s">
        <v>15918</v>
      </c>
      <c r="C385" s="394" t="s">
        <v>15917</v>
      </c>
      <c r="D385" s="393">
        <v>4155</v>
      </c>
    </row>
    <row r="386" spans="1:4" ht="62.5">
      <c r="A386" s="393" t="s">
        <v>15906</v>
      </c>
      <c r="B386" s="393" t="s">
        <v>15916</v>
      </c>
      <c r="C386" s="394" t="s">
        <v>15915</v>
      </c>
      <c r="D386" s="393">
        <v>4426</v>
      </c>
    </row>
    <row r="387" spans="1:4" ht="62.5">
      <c r="A387" s="393" t="s">
        <v>15906</v>
      </c>
      <c r="B387" s="393" t="s">
        <v>15914</v>
      </c>
      <c r="C387" s="394" t="s">
        <v>15913</v>
      </c>
      <c r="D387" s="393">
        <v>4486</v>
      </c>
    </row>
    <row r="388" spans="1:4" ht="62.5">
      <c r="A388" s="393" t="s">
        <v>15906</v>
      </c>
      <c r="B388" s="393" t="s">
        <v>15912</v>
      </c>
      <c r="C388" s="394" t="s">
        <v>15911</v>
      </c>
      <c r="D388" s="393">
        <v>4554</v>
      </c>
    </row>
    <row r="389" spans="1:4" ht="50">
      <c r="A389" s="393" t="s">
        <v>15906</v>
      </c>
      <c r="B389" s="393" t="s">
        <v>15910</v>
      </c>
      <c r="C389" s="394" t="s">
        <v>15909</v>
      </c>
      <c r="D389" s="393">
        <v>3227</v>
      </c>
    </row>
    <row r="390" spans="1:4" ht="62.5">
      <c r="A390" s="393" t="s">
        <v>15906</v>
      </c>
      <c r="B390" s="393" t="s">
        <v>15908</v>
      </c>
      <c r="C390" s="394" t="s">
        <v>15907</v>
      </c>
      <c r="D390" s="393">
        <v>3754</v>
      </c>
    </row>
    <row r="391" spans="1:4" ht="50">
      <c r="A391" s="393" t="s">
        <v>15906</v>
      </c>
      <c r="B391" s="393" t="s">
        <v>15905</v>
      </c>
      <c r="C391" s="394" t="s">
        <v>15904</v>
      </c>
      <c r="D391" s="393">
        <v>3797</v>
      </c>
    </row>
    <row r="392" spans="1:4" ht="50">
      <c r="A392" s="393" t="s">
        <v>15753</v>
      </c>
      <c r="B392" s="393" t="s">
        <v>15903</v>
      </c>
      <c r="C392" s="394" t="s">
        <v>15902</v>
      </c>
      <c r="D392" s="393">
        <v>3448</v>
      </c>
    </row>
    <row r="393" spans="1:4" ht="62.5">
      <c r="A393" s="393" t="s">
        <v>15753</v>
      </c>
      <c r="B393" s="393" t="s">
        <v>15901</v>
      </c>
      <c r="C393" s="394" t="s">
        <v>15900</v>
      </c>
      <c r="D393" s="393">
        <v>3507</v>
      </c>
    </row>
    <row r="394" spans="1:4" ht="62.5">
      <c r="A394" s="393" t="s">
        <v>15753</v>
      </c>
      <c r="B394" s="393" t="s">
        <v>15899</v>
      </c>
      <c r="C394" s="394" t="s">
        <v>15898</v>
      </c>
      <c r="D394" s="393">
        <v>3556</v>
      </c>
    </row>
    <row r="395" spans="1:4" ht="62.5">
      <c r="A395" s="393" t="s">
        <v>15753</v>
      </c>
      <c r="B395" s="393" t="s">
        <v>15897</v>
      </c>
      <c r="C395" s="394" t="s">
        <v>15896</v>
      </c>
      <c r="D395" s="393">
        <v>3706</v>
      </c>
    </row>
    <row r="396" spans="1:4" ht="62.5">
      <c r="A396" s="393" t="s">
        <v>15753</v>
      </c>
      <c r="B396" s="393" t="s">
        <v>15895</v>
      </c>
      <c r="C396" s="394" t="s">
        <v>15894</v>
      </c>
      <c r="D396" s="393">
        <v>3807</v>
      </c>
    </row>
    <row r="397" spans="1:4" ht="62.5">
      <c r="A397" s="393" t="s">
        <v>15753</v>
      </c>
      <c r="B397" s="393" t="s">
        <v>15893</v>
      </c>
      <c r="C397" s="394" t="s">
        <v>15892</v>
      </c>
      <c r="D397" s="393">
        <v>3856</v>
      </c>
    </row>
    <row r="398" spans="1:4" ht="50">
      <c r="A398" s="393" t="s">
        <v>15753</v>
      </c>
      <c r="B398" s="393" t="s">
        <v>15891</v>
      </c>
      <c r="C398" s="394" t="s">
        <v>15890</v>
      </c>
      <c r="D398" s="393">
        <v>3997</v>
      </c>
    </row>
    <row r="399" spans="1:4" ht="50">
      <c r="A399" s="393" t="s">
        <v>15753</v>
      </c>
      <c r="B399" s="393" t="s">
        <v>15889</v>
      </c>
      <c r="C399" s="394" t="s">
        <v>15888</v>
      </c>
      <c r="D399" s="393">
        <v>3997</v>
      </c>
    </row>
    <row r="400" spans="1:4" ht="50">
      <c r="A400" s="393" t="s">
        <v>15753</v>
      </c>
      <c r="B400" s="393" t="s">
        <v>15887</v>
      </c>
      <c r="C400" s="394" t="s">
        <v>15886</v>
      </c>
      <c r="D400" s="393">
        <v>3997</v>
      </c>
    </row>
    <row r="401" spans="1:4" ht="62.5">
      <c r="A401" s="393" t="s">
        <v>15753</v>
      </c>
      <c r="B401" s="393" t="s">
        <v>15885</v>
      </c>
      <c r="C401" s="394" t="s">
        <v>15884</v>
      </c>
      <c r="D401" s="393">
        <v>4027</v>
      </c>
    </row>
    <row r="402" spans="1:4" ht="62.5">
      <c r="A402" s="393" t="s">
        <v>15753</v>
      </c>
      <c r="B402" s="393" t="s">
        <v>15883</v>
      </c>
      <c r="C402" s="394" t="s">
        <v>15882</v>
      </c>
      <c r="D402" s="393">
        <v>4055</v>
      </c>
    </row>
    <row r="403" spans="1:4" ht="50">
      <c r="A403" s="393" t="s">
        <v>15753</v>
      </c>
      <c r="B403" s="393" t="s">
        <v>15881</v>
      </c>
      <c r="C403" s="394" t="s">
        <v>15880</v>
      </c>
      <c r="D403" s="393">
        <v>4056</v>
      </c>
    </row>
    <row r="404" spans="1:4" ht="62.5">
      <c r="A404" s="393" t="s">
        <v>15753</v>
      </c>
      <c r="B404" s="393" t="s">
        <v>15879</v>
      </c>
      <c r="C404" s="394" t="s">
        <v>15878</v>
      </c>
      <c r="D404" s="393">
        <v>4076</v>
      </c>
    </row>
    <row r="405" spans="1:4" ht="62.5">
      <c r="A405" s="393" t="s">
        <v>15753</v>
      </c>
      <c r="B405" s="393" t="s">
        <v>15877</v>
      </c>
      <c r="C405" s="394" t="s">
        <v>15876</v>
      </c>
      <c r="D405" s="393">
        <v>4105</v>
      </c>
    </row>
    <row r="406" spans="1:4" ht="50">
      <c r="A406" s="393" t="s">
        <v>15753</v>
      </c>
      <c r="B406" s="393" t="s">
        <v>15875</v>
      </c>
      <c r="C406" s="394" t="s">
        <v>15874</v>
      </c>
      <c r="D406" s="393">
        <v>4177</v>
      </c>
    </row>
    <row r="407" spans="1:4" ht="62.5">
      <c r="A407" s="393" t="s">
        <v>15753</v>
      </c>
      <c r="B407" s="393" t="s">
        <v>15873</v>
      </c>
      <c r="C407" s="394" t="s">
        <v>15872</v>
      </c>
      <c r="D407" s="393">
        <v>4196</v>
      </c>
    </row>
    <row r="408" spans="1:4" ht="50">
      <c r="A408" s="393" t="s">
        <v>15753</v>
      </c>
      <c r="B408" s="393" t="s">
        <v>15871</v>
      </c>
      <c r="C408" s="394" t="s">
        <v>15870</v>
      </c>
      <c r="D408" s="393">
        <v>4198</v>
      </c>
    </row>
    <row r="409" spans="1:4" ht="62.5">
      <c r="A409" s="393" t="s">
        <v>15753</v>
      </c>
      <c r="B409" s="393" t="s">
        <v>15869</v>
      </c>
      <c r="C409" s="394" t="s">
        <v>15868</v>
      </c>
      <c r="D409" s="393">
        <v>4225</v>
      </c>
    </row>
    <row r="410" spans="1:4" ht="62.5">
      <c r="A410" s="393" t="s">
        <v>15753</v>
      </c>
      <c r="B410" s="393" t="s">
        <v>15867</v>
      </c>
      <c r="C410" s="394" t="s">
        <v>15866</v>
      </c>
      <c r="D410" s="393">
        <v>4304</v>
      </c>
    </row>
    <row r="411" spans="1:4" ht="62.5">
      <c r="A411" s="393" t="s">
        <v>15753</v>
      </c>
      <c r="B411" s="393" t="s">
        <v>15865</v>
      </c>
      <c r="C411" s="394" t="s">
        <v>15864</v>
      </c>
      <c r="D411" s="393">
        <v>4327</v>
      </c>
    </row>
    <row r="412" spans="1:4" ht="62.5">
      <c r="A412" s="393" t="s">
        <v>15753</v>
      </c>
      <c r="B412" s="393" t="s">
        <v>15863</v>
      </c>
      <c r="C412" s="394" t="s">
        <v>15862</v>
      </c>
      <c r="D412" s="393">
        <v>4356</v>
      </c>
    </row>
    <row r="413" spans="1:4" ht="62.5">
      <c r="A413" s="393" t="s">
        <v>15753</v>
      </c>
      <c r="B413" s="393" t="s">
        <v>15861</v>
      </c>
      <c r="C413" s="394" t="s">
        <v>15860</v>
      </c>
      <c r="D413" s="393">
        <v>4376</v>
      </c>
    </row>
    <row r="414" spans="1:4" ht="62.5">
      <c r="A414" s="393" t="s">
        <v>15753</v>
      </c>
      <c r="B414" s="393" t="s">
        <v>15859</v>
      </c>
      <c r="C414" s="394" t="s">
        <v>15858</v>
      </c>
      <c r="D414" s="393">
        <v>4405</v>
      </c>
    </row>
    <row r="415" spans="1:4" ht="62.5">
      <c r="A415" s="393" t="s">
        <v>15753</v>
      </c>
      <c r="B415" s="393" t="s">
        <v>15857</v>
      </c>
      <c r="C415" s="394" t="s">
        <v>15856</v>
      </c>
      <c r="D415" s="393">
        <v>4476</v>
      </c>
    </row>
    <row r="416" spans="1:4" ht="62.5">
      <c r="A416" s="393" t="s">
        <v>15753</v>
      </c>
      <c r="B416" s="393" t="s">
        <v>15855</v>
      </c>
      <c r="C416" s="394" t="s">
        <v>15854</v>
      </c>
      <c r="D416" s="393">
        <v>4495</v>
      </c>
    </row>
    <row r="417" spans="1:4" ht="62.5">
      <c r="A417" s="393" t="s">
        <v>15753</v>
      </c>
      <c r="B417" s="393" t="s">
        <v>15853</v>
      </c>
      <c r="C417" s="394" t="s">
        <v>15852</v>
      </c>
      <c r="D417" s="393">
        <v>4526</v>
      </c>
    </row>
    <row r="418" spans="1:4" ht="62.5">
      <c r="A418" s="393" t="s">
        <v>15753</v>
      </c>
      <c r="B418" s="393" t="s">
        <v>15851</v>
      </c>
      <c r="C418" s="394" t="s">
        <v>15850</v>
      </c>
      <c r="D418" s="393">
        <v>4575</v>
      </c>
    </row>
    <row r="419" spans="1:4" ht="62.5">
      <c r="A419" s="393" t="s">
        <v>15753</v>
      </c>
      <c r="B419" s="393" t="s">
        <v>15849</v>
      </c>
      <c r="C419" s="394" t="s">
        <v>15848</v>
      </c>
      <c r="D419" s="393">
        <v>4576</v>
      </c>
    </row>
    <row r="420" spans="1:4" ht="62.5">
      <c r="A420" s="393" t="s">
        <v>15753</v>
      </c>
      <c r="B420" s="393" t="s">
        <v>15847</v>
      </c>
      <c r="C420" s="394" t="s">
        <v>15846</v>
      </c>
      <c r="D420" s="393">
        <v>4584</v>
      </c>
    </row>
    <row r="421" spans="1:4" ht="50">
      <c r="A421" s="393" t="s">
        <v>15753</v>
      </c>
      <c r="B421" s="393" t="s">
        <v>15845</v>
      </c>
      <c r="C421" s="394" t="s">
        <v>15844</v>
      </c>
      <c r="D421" s="393">
        <v>4597</v>
      </c>
    </row>
    <row r="422" spans="1:4" ht="62.5">
      <c r="A422" s="393" t="s">
        <v>15753</v>
      </c>
      <c r="B422" s="393" t="s">
        <v>15843</v>
      </c>
      <c r="C422" s="394" t="s">
        <v>15842</v>
      </c>
      <c r="D422" s="393">
        <v>4625</v>
      </c>
    </row>
    <row r="423" spans="1:4" ht="62.5">
      <c r="A423" s="393" t="s">
        <v>15753</v>
      </c>
      <c r="B423" s="393" t="s">
        <v>15841</v>
      </c>
      <c r="C423" s="394" t="s">
        <v>15840</v>
      </c>
      <c r="D423" s="393">
        <v>4626</v>
      </c>
    </row>
    <row r="424" spans="1:4" ht="62.5">
      <c r="A424" s="393" t="s">
        <v>15753</v>
      </c>
      <c r="B424" s="393" t="s">
        <v>15839</v>
      </c>
      <c r="C424" s="394" t="s">
        <v>15838</v>
      </c>
      <c r="D424" s="393">
        <v>4647</v>
      </c>
    </row>
    <row r="425" spans="1:4" ht="62.5">
      <c r="A425" s="393" t="s">
        <v>15753</v>
      </c>
      <c r="B425" s="393" t="s">
        <v>15837</v>
      </c>
      <c r="C425" s="394" t="s">
        <v>15836</v>
      </c>
      <c r="D425" s="393">
        <v>4676</v>
      </c>
    </row>
    <row r="426" spans="1:4" ht="62.5">
      <c r="A426" s="393" t="s">
        <v>15753</v>
      </c>
      <c r="B426" s="393" t="s">
        <v>15835</v>
      </c>
      <c r="C426" s="394" t="s">
        <v>15834</v>
      </c>
      <c r="D426" s="393">
        <v>4804</v>
      </c>
    </row>
    <row r="427" spans="1:4" ht="62.5">
      <c r="A427" s="393" t="s">
        <v>15753</v>
      </c>
      <c r="B427" s="393" t="s">
        <v>15833</v>
      </c>
      <c r="C427" s="394" t="s">
        <v>15832</v>
      </c>
      <c r="D427" s="393">
        <v>4824</v>
      </c>
    </row>
    <row r="428" spans="1:4" ht="62.5">
      <c r="A428" s="393" t="s">
        <v>15753</v>
      </c>
      <c r="B428" s="393" t="s">
        <v>15831</v>
      </c>
      <c r="C428" s="394" t="s">
        <v>15830</v>
      </c>
      <c r="D428" s="393">
        <v>4825</v>
      </c>
    </row>
    <row r="429" spans="1:4" ht="62.5">
      <c r="A429" s="393" t="s">
        <v>15753</v>
      </c>
      <c r="B429" s="393" t="s">
        <v>15829</v>
      </c>
      <c r="C429" s="394" t="s">
        <v>15828</v>
      </c>
      <c r="D429" s="393">
        <v>4827</v>
      </c>
    </row>
    <row r="430" spans="1:4" ht="62.5">
      <c r="A430" s="393" t="s">
        <v>15753</v>
      </c>
      <c r="B430" s="393" t="s">
        <v>15827</v>
      </c>
      <c r="C430" s="394" t="s">
        <v>15826</v>
      </c>
      <c r="D430" s="393">
        <v>4846</v>
      </c>
    </row>
    <row r="431" spans="1:4" ht="62.5">
      <c r="A431" s="393" t="s">
        <v>15753</v>
      </c>
      <c r="B431" s="393" t="s">
        <v>15825</v>
      </c>
      <c r="C431" s="394" t="s">
        <v>15824</v>
      </c>
      <c r="D431" s="393">
        <v>4856</v>
      </c>
    </row>
    <row r="432" spans="1:4" ht="62.5">
      <c r="A432" s="393" t="s">
        <v>15753</v>
      </c>
      <c r="B432" s="393" t="s">
        <v>15823</v>
      </c>
      <c r="C432" s="394" t="s">
        <v>15822</v>
      </c>
      <c r="D432" s="393">
        <v>4876</v>
      </c>
    </row>
    <row r="433" spans="1:4" ht="62.5">
      <c r="A433" s="393" t="s">
        <v>15753</v>
      </c>
      <c r="B433" s="393" t="s">
        <v>15821</v>
      </c>
      <c r="C433" s="394" t="s">
        <v>15820</v>
      </c>
      <c r="D433" s="393">
        <v>4897</v>
      </c>
    </row>
    <row r="434" spans="1:4" ht="62.5">
      <c r="A434" s="393" t="s">
        <v>15753</v>
      </c>
      <c r="B434" s="393" t="s">
        <v>15819</v>
      </c>
      <c r="C434" s="394" t="s">
        <v>15818</v>
      </c>
      <c r="D434" s="393">
        <v>4905</v>
      </c>
    </row>
    <row r="435" spans="1:4" ht="62.5">
      <c r="A435" s="393" t="s">
        <v>15753</v>
      </c>
      <c r="B435" s="393" t="s">
        <v>15817</v>
      </c>
      <c r="C435" s="394" t="s">
        <v>15816</v>
      </c>
      <c r="D435" s="393">
        <v>4925</v>
      </c>
    </row>
    <row r="436" spans="1:4" ht="62.5">
      <c r="A436" s="393" t="s">
        <v>15753</v>
      </c>
      <c r="B436" s="393" t="s">
        <v>15815</v>
      </c>
      <c r="C436" s="394" t="s">
        <v>15814</v>
      </c>
      <c r="D436" s="393">
        <v>4933</v>
      </c>
    </row>
    <row r="437" spans="1:4" ht="62.5">
      <c r="A437" s="393" t="s">
        <v>15753</v>
      </c>
      <c r="B437" s="393" t="s">
        <v>15813</v>
      </c>
      <c r="C437" s="394" t="s">
        <v>15812</v>
      </c>
      <c r="D437" s="393">
        <v>4946</v>
      </c>
    </row>
    <row r="438" spans="1:4" ht="62.5">
      <c r="A438" s="393" t="s">
        <v>15753</v>
      </c>
      <c r="B438" s="393" t="s">
        <v>15811</v>
      </c>
      <c r="C438" s="394" t="s">
        <v>15810</v>
      </c>
      <c r="D438" s="393">
        <v>4955</v>
      </c>
    </row>
    <row r="439" spans="1:4" ht="62.5">
      <c r="A439" s="393" t="s">
        <v>15753</v>
      </c>
      <c r="B439" s="393" t="s">
        <v>15809</v>
      </c>
      <c r="C439" s="394" t="s">
        <v>15808</v>
      </c>
      <c r="D439" s="393">
        <v>5016</v>
      </c>
    </row>
    <row r="440" spans="1:4" ht="62.5">
      <c r="A440" s="393" t="s">
        <v>15753</v>
      </c>
      <c r="B440" s="393" t="s">
        <v>15807</v>
      </c>
      <c r="C440" s="394" t="s">
        <v>15806</v>
      </c>
      <c r="D440" s="393">
        <v>5024</v>
      </c>
    </row>
    <row r="441" spans="1:4" ht="62.5">
      <c r="A441" s="393" t="s">
        <v>15753</v>
      </c>
      <c r="B441" s="393" t="s">
        <v>15805</v>
      </c>
      <c r="C441" s="394" t="s">
        <v>15804</v>
      </c>
      <c r="D441" s="393">
        <v>5054</v>
      </c>
    </row>
    <row r="442" spans="1:4" ht="62.5">
      <c r="A442" s="393" t="s">
        <v>15753</v>
      </c>
      <c r="B442" s="393" t="s">
        <v>15803</v>
      </c>
      <c r="C442" s="394" t="s">
        <v>15802</v>
      </c>
      <c r="D442" s="393">
        <v>5055</v>
      </c>
    </row>
    <row r="443" spans="1:4" ht="62.5">
      <c r="A443" s="393" t="s">
        <v>15753</v>
      </c>
      <c r="B443" s="393" t="s">
        <v>15801</v>
      </c>
      <c r="C443" s="394" t="s">
        <v>15800</v>
      </c>
      <c r="D443" s="393">
        <v>5075</v>
      </c>
    </row>
    <row r="444" spans="1:4" ht="62.5">
      <c r="A444" s="393" t="s">
        <v>15753</v>
      </c>
      <c r="B444" s="393" t="s">
        <v>15799</v>
      </c>
      <c r="C444" s="394" t="s">
        <v>15798</v>
      </c>
      <c r="D444" s="393">
        <v>5094</v>
      </c>
    </row>
    <row r="445" spans="1:4" ht="62.5">
      <c r="A445" s="393" t="s">
        <v>15753</v>
      </c>
      <c r="B445" s="393" t="s">
        <v>15797</v>
      </c>
      <c r="C445" s="394" t="s">
        <v>15796</v>
      </c>
      <c r="D445" s="393">
        <v>5104</v>
      </c>
    </row>
    <row r="446" spans="1:4" ht="62.5">
      <c r="A446" s="393" t="s">
        <v>15753</v>
      </c>
      <c r="B446" s="393" t="s">
        <v>15795</v>
      </c>
      <c r="C446" s="394" t="s">
        <v>15794</v>
      </c>
      <c r="D446" s="393">
        <v>5154</v>
      </c>
    </row>
    <row r="447" spans="1:4" ht="75">
      <c r="A447" s="393" t="s">
        <v>15753</v>
      </c>
      <c r="B447" s="393" t="s">
        <v>15793</v>
      </c>
      <c r="C447" s="394" t="s">
        <v>15792</v>
      </c>
      <c r="D447" s="393">
        <v>5172</v>
      </c>
    </row>
    <row r="448" spans="1:4" ht="62.5">
      <c r="A448" s="393" t="s">
        <v>15753</v>
      </c>
      <c r="B448" s="393" t="s">
        <v>15791</v>
      </c>
      <c r="C448" s="394" t="s">
        <v>15790</v>
      </c>
      <c r="D448" s="393">
        <v>5195</v>
      </c>
    </row>
    <row r="449" spans="1:4" ht="62.5">
      <c r="A449" s="393" t="s">
        <v>15753</v>
      </c>
      <c r="B449" s="393" t="s">
        <v>15789</v>
      </c>
      <c r="C449" s="394" t="s">
        <v>15788</v>
      </c>
      <c r="D449" s="393">
        <v>5195</v>
      </c>
    </row>
    <row r="450" spans="1:4" ht="62.5">
      <c r="A450" s="393" t="s">
        <v>15753</v>
      </c>
      <c r="B450" s="393" t="s">
        <v>15787</v>
      </c>
      <c r="C450" s="394" t="s">
        <v>15786</v>
      </c>
      <c r="D450" s="393">
        <v>5197</v>
      </c>
    </row>
    <row r="451" spans="1:4" ht="62.5">
      <c r="A451" s="393" t="s">
        <v>15753</v>
      </c>
      <c r="B451" s="393" t="s">
        <v>15785</v>
      </c>
      <c r="C451" s="394" t="s">
        <v>15784</v>
      </c>
      <c r="D451" s="393">
        <v>5246</v>
      </c>
    </row>
    <row r="452" spans="1:4" ht="75">
      <c r="A452" s="393" t="s">
        <v>15753</v>
      </c>
      <c r="B452" s="393" t="s">
        <v>15783</v>
      </c>
      <c r="C452" s="394" t="s">
        <v>15782</v>
      </c>
      <c r="D452" s="393">
        <v>5246</v>
      </c>
    </row>
    <row r="453" spans="1:4" ht="62.5">
      <c r="A453" s="393" t="s">
        <v>15753</v>
      </c>
      <c r="B453" s="393" t="s">
        <v>15781</v>
      </c>
      <c r="C453" s="394" t="s">
        <v>15780</v>
      </c>
      <c r="D453" s="393">
        <v>5275</v>
      </c>
    </row>
    <row r="454" spans="1:4" ht="62.5">
      <c r="A454" s="393" t="s">
        <v>15753</v>
      </c>
      <c r="B454" s="393" t="s">
        <v>15779</v>
      </c>
      <c r="C454" s="394" t="s">
        <v>15778</v>
      </c>
      <c r="D454" s="393">
        <v>5335</v>
      </c>
    </row>
    <row r="455" spans="1:4" ht="62.5">
      <c r="A455" s="393" t="s">
        <v>15753</v>
      </c>
      <c r="B455" s="393" t="s">
        <v>15777</v>
      </c>
      <c r="C455" s="394" t="s">
        <v>15776</v>
      </c>
      <c r="D455" s="393">
        <v>5353</v>
      </c>
    </row>
    <row r="456" spans="1:4" ht="62.5">
      <c r="A456" s="393" t="s">
        <v>15753</v>
      </c>
      <c r="B456" s="393" t="s">
        <v>15775</v>
      </c>
      <c r="C456" s="394" t="s">
        <v>15774</v>
      </c>
      <c r="D456" s="393">
        <v>5396</v>
      </c>
    </row>
    <row r="457" spans="1:4" ht="62.5">
      <c r="A457" s="393" t="s">
        <v>15753</v>
      </c>
      <c r="B457" s="393" t="s">
        <v>15773</v>
      </c>
      <c r="C457" s="394" t="s">
        <v>15772</v>
      </c>
      <c r="D457" s="393">
        <v>5495</v>
      </c>
    </row>
    <row r="458" spans="1:4" ht="62.5">
      <c r="A458" s="393" t="s">
        <v>15753</v>
      </c>
      <c r="B458" s="393" t="s">
        <v>15771</v>
      </c>
      <c r="C458" s="394" t="s">
        <v>15770</v>
      </c>
      <c r="D458" s="393">
        <v>5495</v>
      </c>
    </row>
    <row r="459" spans="1:4" ht="62.5">
      <c r="A459" s="393" t="s">
        <v>15753</v>
      </c>
      <c r="B459" s="393" t="s">
        <v>15769</v>
      </c>
      <c r="C459" s="394" t="s">
        <v>15768</v>
      </c>
      <c r="D459" s="393">
        <v>5554</v>
      </c>
    </row>
    <row r="460" spans="1:4" ht="62.5">
      <c r="A460" s="393" t="s">
        <v>15753</v>
      </c>
      <c r="B460" s="393" t="s">
        <v>15767</v>
      </c>
      <c r="C460" s="394" t="s">
        <v>15766</v>
      </c>
      <c r="D460" s="393">
        <v>5594</v>
      </c>
    </row>
    <row r="461" spans="1:4" ht="62.5">
      <c r="A461" s="393" t="s">
        <v>15753</v>
      </c>
      <c r="B461" s="393" t="s">
        <v>15765</v>
      </c>
      <c r="C461" s="394" t="s">
        <v>15764</v>
      </c>
      <c r="D461" s="393">
        <v>5614</v>
      </c>
    </row>
    <row r="462" spans="1:4" ht="62.5">
      <c r="A462" s="393" t="s">
        <v>15753</v>
      </c>
      <c r="B462" s="393" t="s">
        <v>15763</v>
      </c>
      <c r="C462" s="394" t="s">
        <v>15762</v>
      </c>
      <c r="D462" s="393">
        <v>5735</v>
      </c>
    </row>
    <row r="463" spans="1:4" ht="62.5">
      <c r="A463" s="393" t="s">
        <v>15753</v>
      </c>
      <c r="B463" s="393" t="s">
        <v>15761</v>
      </c>
      <c r="C463" s="394" t="s">
        <v>15760</v>
      </c>
      <c r="D463" s="393">
        <v>5823</v>
      </c>
    </row>
    <row r="464" spans="1:4" ht="62.5">
      <c r="A464" s="393" t="s">
        <v>15753</v>
      </c>
      <c r="B464" s="393" t="s">
        <v>15759</v>
      </c>
      <c r="C464" s="394" t="s">
        <v>15758</v>
      </c>
      <c r="D464" s="393">
        <v>5916</v>
      </c>
    </row>
    <row r="465" spans="1:4" ht="62.5">
      <c r="A465" s="393" t="s">
        <v>15753</v>
      </c>
      <c r="B465" s="393" t="s">
        <v>15757</v>
      </c>
      <c r="C465" s="394" t="s">
        <v>15756</v>
      </c>
      <c r="D465" s="393">
        <v>6024</v>
      </c>
    </row>
    <row r="466" spans="1:4" ht="62.5">
      <c r="A466" s="393" t="s">
        <v>15753</v>
      </c>
      <c r="B466" s="393" t="s">
        <v>15755</v>
      </c>
      <c r="C466" s="394" t="s">
        <v>15754</v>
      </c>
      <c r="D466" s="393">
        <v>6103</v>
      </c>
    </row>
    <row r="467" spans="1:4" ht="62.5">
      <c r="A467" s="393" t="s">
        <v>15753</v>
      </c>
      <c r="B467" s="393" t="s">
        <v>15752</v>
      </c>
      <c r="C467" s="394" t="s">
        <v>15751</v>
      </c>
      <c r="D467" s="393">
        <v>6214</v>
      </c>
    </row>
    <row r="468" spans="1:4" ht="50">
      <c r="A468" s="393" t="s">
        <v>15656</v>
      </c>
      <c r="B468" s="393" t="s">
        <v>15750</v>
      </c>
      <c r="C468" s="394" t="s">
        <v>15749</v>
      </c>
      <c r="D468" s="393">
        <v>4006</v>
      </c>
    </row>
    <row r="469" spans="1:4" ht="62.5">
      <c r="A469" s="393" t="s">
        <v>15656</v>
      </c>
      <c r="B469" s="393" t="s">
        <v>15748</v>
      </c>
      <c r="C469" s="394" t="s">
        <v>15747</v>
      </c>
      <c r="D469" s="393">
        <v>4345</v>
      </c>
    </row>
    <row r="470" spans="1:4" ht="62.5">
      <c r="A470" s="393" t="s">
        <v>15656</v>
      </c>
      <c r="B470" s="393" t="s">
        <v>15746</v>
      </c>
      <c r="C470" s="394" t="s">
        <v>15745</v>
      </c>
      <c r="D470" s="393">
        <v>4345</v>
      </c>
    </row>
    <row r="471" spans="1:4" ht="62.5">
      <c r="A471" s="393" t="s">
        <v>15656</v>
      </c>
      <c r="B471" s="393" t="s">
        <v>15744</v>
      </c>
      <c r="C471" s="394" t="s">
        <v>15743</v>
      </c>
      <c r="D471" s="393">
        <v>4453</v>
      </c>
    </row>
    <row r="472" spans="1:4" ht="62.5">
      <c r="A472" s="393" t="s">
        <v>15656</v>
      </c>
      <c r="B472" s="393" t="s">
        <v>15742</v>
      </c>
      <c r="C472" s="394" t="s">
        <v>15741</v>
      </c>
      <c r="D472" s="393">
        <v>4543</v>
      </c>
    </row>
    <row r="473" spans="1:4" ht="62.5">
      <c r="A473" s="393" t="s">
        <v>15656</v>
      </c>
      <c r="B473" s="393" t="s">
        <v>15740</v>
      </c>
      <c r="C473" s="394" t="s">
        <v>15739</v>
      </c>
      <c r="D473" s="393">
        <v>4694</v>
      </c>
    </row>
    <row r="474" spans="1:4" ht="62.5">
      <c r="A474" s="393" t="s">
        <v>15656</v>
      </c>
      <c r="B474" s="393" t="s">
        <v>15738</v>
      </c>
      <c r="C474" s="394" t="s">
        <v>15737</v>
      </c>
      <c r="D474" s="393">
        <v>4704</v>
      </c>
    </row>
    <row r="475" spans="1:4" ht="62.5">
      <c r="A475" s="393" t="s">
        <v>15656</v>
      </c>
      <c r="B475" s="393" t="s">
        <v>15736</v>
      </c>
      <c r="C475" s="394" t="s">
        <v>15735</v>
      </c>
      <c r="D475" s="393">
        <v>4753</v>
      </c>
    </row>
    <row r="476" spans="1:4" ht="62.5">
      <c r="A476" s="393" t="s">
        <v>15656</v>
      </c>
      <c r="B476" s="393" t="s">
        <v>15734</v>
      </c>
      <c r="C476" s="394" t="s">
        <v>15733</v>
      </c>
      <c r="D476" s="393">
        <v>4793</v>
      </c>
    </row>
    <row r="477" spans="1:4" ht="62.5">
      <c r="A477" s="393" t="s">
        <v>15656</v>
      </c>
      <c r="B477" s="393" t="s">
        <v>15732</v>
      </c>
      <c r="C477" s="394" t="s">
        <v>15731</v>
      </c>
      <c r="D477" s="393">
        <v>4794</v>
      </c>
    </row>
    <row r="478" spans="1:4" ht="62.5">
      <c r="A478" s="393" t="s">
        <v>15656</v>
      </c>
      <c r="B478" s="393" t="s">
        <v>15730</v>
      </c>
      <c r="C478" s="394" t="s">
        <v>15729</v>
      </c>
      <c r="D478" s="393">
        <v>4843</v>
      </c>
    </row>
    <row r="479" spans="1:4" ht="50">
      <c r="A479" s="393" t="s">
        <v>15656</v>
      </c>
      <c r="B479" s="393" t="s">
        <v>15728</v>
      </c>
      <c r="C479" s="394" t="s">
        <v>15727</v>
      </c>
      <c r="D479" s="393">
        <v>4873</v>
      </c>
    </row>
    <row r="480" spans="1:4" ht="62.5">
      <c r="A480" s="393" t="s">
        <v>15656</v>
      </c>
      <c r="B480" s="393" t="s">
        <v>15726</v>
      </c>
      <c r="C480" s="394" t="s">
        <v>15725</v>
      </c>
      <c r="D480" s="393">
        <v>4894</v>
      </c>
    </row>
    <row r="481" spans="1:4" ht="62.5">
      <c r="A481" s="393" t="s">
        <v>15656</v>
      </c>
      <c r="B481" s="393" t="s">
        <v>15724</v>
      </c>
      <c r="C481" s="394" t="s">
        <v>15723</v>
      </c>
      <c r="D481" s="393">
        <v>4945</v>
      </c>
    </row>
    <row r="482" spans="1:4" ht="62.5">
      <c r="A482" s="393" t="s">
        <v>15656</v>
      </c>
      <c r="B482" s="393" t="s">
        <v>15722</v>
      </c>
      <c r="C482" s="394" t="s">
        <v>15721</v>
      </c>
      <c r="D482" s="393">
        <v>5002</v>
      </c>
    </row>
    <row r="483" spans="1:4" ht="62.5">
      <c r="A483" s="393" t="s">
        <v>15656</v>
      </c>
      <c r="B483" s="393" t="s">
        <v>15720</v>
      </c>
      <c r="C483" s="394" t="s">
        <v>15719</v>
      </c>
      <c r="D483" s="393">
        <v>5053</v>
      </c>
    </row>
    <row r="484" spans="1:4" ht="62.5">
      <c r="A484" s="393" t="s">
        <v>15656</v>
      </c>
      <c r="B484" s="393" t="s">
        <v>15718</v>
      </c>
      <c r="C484" s="394" t="s">
        <v>15717</v>
      </c>
      <c r="D484" s="393">
        <v>5074</v>
      </c>
    </row>
    <row r="485" spans="1:4" ht="62.5">
      <c r="A485" s="393" t="s">
        <v>15656</v>
      </c>
      <c r="B485" s="393" t="s">
        <v>15716</v>
      </c>
      <c r="C485" s="394" t="s">
        <v>15715</v>
      </c>
      <c r="D485" s="393">
        <v>5093</v>
      </c>
    </row>
    <row r="486" spans="1:4" ht="62.5">
      <c r="A486" s="393" t="s">
        <v>15656</v>
      </c>
      <c r="B486" s="393" t="s">
        <v>15714</v>
      </c>
      <c r="C486" s="394" t="s">
        <v>15713</v>
      </c>
      <c r="D486" s="393">
        <v>5095</v>
      </c>
    </row>
    <row r="487" spans="1:4" ht="62.5">
      <c r="A487" s="393" t="s">
        <v>15656</v>
      </c>
      <c r="B487" s="393" t="s">
        <v>15712</v>
      </c>
      <c r="C487" s="394" t="s">
        <v>15711</v>
      </c>
      <c r="D487" s="393">
        <v>5105</v>
      </c>
    </row>
    <row r="488" spans="1:4" ht="62.5">
      <c r="A488" s="393" t="s">
        <v>15656</v>
      </c>
      <c r="B488" s="393" t="s">
        <v>15710</v>
      </c>
      <c r="C488" s="394" t="s">
        <v>15709</v>
      </c>
      <c r="D488" s="393">
        <v>5144</v>
      </c>
    </row>
    <row r="489" spans="1:4" ht="62.5">
      <c r="A489" s="393" t="s">
        <v>15656</v>
      </c>
      <c r="B489" s="393" t="s">
        <v>15708</v>
      </c>
      <c r="C489" s="394" t="s">
        <v>15707</v>
      </c>
      <c r="D489" s="393">
        <v>5153</v>
      </c>
    </row>
    <row r="490" spans="1:4" ht="62.5">
      <c r="A490" s="393" t="s">
        <v>15656</v>
      </c>
      <c r="B490" s="393" t="s">
        <v>15706</v>
      </c>
      <c r="C490" s="394" t="s">
        <v>15705</v>
      </c>
      <c r="D490" s="393">
        <v>5214</v>
      </c>
    </row>
    <row r="491" spans="1:4" ht="62.5">
      <c r="A491" s="393" t="s">
        <v>15656</v>
      </c>
      <c r="B491" s="393" t="s">
        <v>15704</v>
      </c>
      <c r="C491" s="394" t="s">
        <v>15703</v>
      </c>
      <c r="D491" s="393">
        <v>5216</v>
      </c>
    </row>
    <row r="492" spans="1:4" ht="62.5">
      <c r="A492" s="393" t="s">
        <v>15656</v>
      </c>
      <c r="B492" s="393" t="s">
        <v>15702</v>
      </c>
      <c r="C492" s="394" t="s">
        <v>15701</v>
      </c>
      <c r="D492" s="393">
        <v>5252</v>
      </c>
    </row>
    <row r="493" spans="1:4" ht="62.5">
      <c r="A493" s="393" t="s">
        <v>15656</v>
      </c>
      <c r="B493" s="393" t="s">
        <v>15700</v>
      </c>
      <c r="C493" s="394" t="s">
        <v>15699</v>
      </c>
      <c r="D493" s="393">
        <v>5273</v>
      </c>
    </row>
    <row r="494" spans="1:4" ht="50">
      <c r="A494" s="393" t="s">
        <v>15656</v>
      </c>
      <c r="B494" s="393" t="s">
        <v>15698</v>
      </c>
      <c r="C494" s="394" t="s">
        <v>15697</v>
      </c>
      <c r="D494" s="393">
        <v>5345</v>
      </c>
    </row>
    <row r="495" spans="1:4" ht="62.5">
      <c r="A495" s="393" t="s">
        <v>15656</v>
      </c>
      <c r="B495" s="393" t="s">
        <v>15696</v>
      </c>
      <c r="C495" s="394" t="s">
        <v>15695</v>
      </c>
      <c r="D495" s="393">
        <v>5394</v>
      </c>
    </row>
    <row r="496" spans="1:4" ht="62.5">
      <c r="A496" s="393" t="s">
        <v>15656</v>
      </c>
      <c r="B496" s="393" t="s">
        <v>15694</v>
      </c>
      <c r="C496" s="394" t="s">
        <v>15693</v>
      </c>
      <c r="D496" s="393">
        <v>5522</v>
      </c>
    </row>
    <row r="497" spans="1:4" ht="62.5">
      <c r="A497" s="393" t="s">
        <v>15656</v>
      </c>
      <c r="B497" s="393" t="s">
        <v>15692</v>
      </c>
      <c r="C497" s="394" t="s">
        <v>15691</v>
      </c>
      <c r="D497" s="393">
        <v>5542</v>
      </c>
    </row>
    <row r="498" spans="1:4" ht="62.5">
      <c r="A498" s="393" t="s">
        <v>15656</v>
      </c>
      <c r="B498" s="393" t="s">
        <v>15690</v>
      </c>
      <c r="C498" s="394" t="s">
        <v>15689</v>
      </c>
      <c r="D498" s="393">
        <v>5543</v>
      </c>
    </row>
    <row r="499" spans="1:4" ht="62.5">
      <c r="A499" s="393" t="s">
        <v>15656</v>
      </c>
      <c r="B499" s="393" t="s">
        <v>15688</v>
      </c>
      <c r="C499" s="394" t="s">
        <v>15687</v>
      </c>
      <c r="D499" s="393">
        <v>5544</v>
      </c>
    </row>
    <row r="500" spans="1:4" ht="62.5">
      <c r="A500" s="393" t="s">
        <v>15656</v>
      </c>
      <c r="B500" s="393" t="s">
        <v>15686</v>
      </c>
      <c r="C500" s="394" t="s">
        <v>15685</v>
      </c>
      <c r="D500" s="393">
        <v>5573</v>
      </c>
    </row>
    <row r="501" spans="1:4" ht="62.5">
      <c r="A501" s="393" t="s">
        <v>15656</v>
      </c>
      <c r="B501" s="393" t="s">
        <v>15684</v>
      </c>
      <c r="C501" s="394" t="s">
        <v>15683</v>
      </c>
      <c r="D501" s="393">
        <v>5594</v>
      </c>
    </row>
    <row r="502" spans="1:4" ht="62.5">
      <c r="A502" s="393" t="s">
        <v>15656</v>
      </c>
      <c r="B502" s="393" t="s">
        <v>15682</v>
      </c>
      <c r="C502" s="394" t="s">
        <v>15681</v>
      </c>
      <c r="D502" s="393">
        <v>5633</v>
      </c>
    </row>
    <row r="503" spans="1:4" ht="62.5">
      <c r="A503" s="393" t="s">
        <v>15656</v>
      </c>
      <c r="B503" s="393" t="s">
        <v>15680</v>
      </c>
      <c r="C503" s="394" t="s">
        <v>15679</v>
      </c>
      <c r="D503" s="393">
        <v>5644</v>
      </c>
    </row>
    <row r="504" spans="1:4" ht="62.5">
      <c r="A504" s="393" t="s">
        <v>15656</v>
      </c>
      <c r="B504" s="393" t="s">
        <v>15678</v>
      </c>
      <c r="C504" s="394" t="s">
        <v>15677</v>
      </c>
      <c r="D504" s="393">
        <v>5701</v>
      </c>
    </row>
    <row r="505" spans="1:4" ht="62.5">
      <c r="A505" s="393" t="s">
        <v>15656</v>
      </c>
      <c r="B505" s="393" t="s">
        <v>15676</v>
      </c>
      <c r="C505" s="394" t="s">
        <v>15675</v>
      </c>
      <c r="D505" s="393">
        <v>5733</v>
      </c>
    </row>
    <row r="506" spans="1:4" ht="62.5">
      <c r="A506" s="393" t="s">
        <v>15656</v>
      </c>
      <c r="B506" s="393" t="s">
        <v>15674</v>
      </c>
      <c r="C506" s="394" t="s">
        <v>15673</v>
      </c>
      <c r="D506" s="393">
        <v>5792</v>
      </c>
    </row>
    <row r="507" spans="1:4" ht="62.5">
      <c r="A507" s="393" t="s">
        <v>15656</v>
      </c>
      <c r="B507" s="393" t="s">
        <v>15672</v>
      </c>
      <c r="C507" s="394" t="s">
        <v>15671</v>
      </c>
      <c r="D507" s="393">
        <v>5843</v>
      </c>
    </row>
    <row r="508" spans="1:4" ht="62.5">
      <c r="A508" s="393" t="s">
        <v>15656</v>
      </c>
      <c r="B508" s="393" t="s">
        <v>15670</v>
      </c>
      <c r="C508" s="394" t="s">
        <v>15669</v>
      </c>
      <c r="D508" s="393">
        <v>5873</v>
      </c>
    </row>
    <row r="509" spans="1:4" ht="62.5">
      <c r="A509" s="393" t="s">
        <v>15656</v>
      </c>
      <c r="B509" s="393" t="s">
        <v>15668</v>
      </c>
      <c r="C509" s="394" t="s">
        <v>15667</v>
      </c>
      <c r="D509" s="393">
        <v>5993</v>
      </c>
    </row>
    <row r="510" spans="1:4" ht="62.5">
      <c r="A510" s="393" t="s">
        <v>15656</v>
      </c>
      <c r="B510" s="393" t="s">
        <v>15666</v>
      </c>
      <c r="C510" s="394" t="s">
        <v>15665</v>
      </c>
      <c r="D510" s="393">
        <v>6164</v>
      </c>
    </row>
    <row r="511" spans="1:4" ht="62.5">
      <c r="A511" s="393" t="s">
        <v>15656</v>
      </c>
      <c r="B511" s="393" t="s">
        <v>15664</v>
      </c>
      <c r="C511" s="394" t="s">
        <v>15663</v>
      </c>
      <c r="D511" s="393">
        <v>6192</v>
      </c>
    </row>
    <row r="512" spans="1:4" ht="62.5">
      <c r="A512" s="393" t="s">
        <v>15656</v>
      </c>
      <c r="B512" s="393" t="s">
        <v>15662</v>
      </c>
      <c r="C512" s="394" t="s">
        <v>15661</v>
      </c>
      <c r="D512" s="393">
        <v>6233</v>
      </c>
    </row>
    <row r="513" spans="1:4" ht="62.5">
      <c r="A513" s="393" t="s">
        <v>15656</v>
      </c>
      <c r="B513" s="393" t="s">
        <v>15660</v>
      </c>
      <c r="C513" s="394" t="s">
        <v>15659</v>
      </c>
      <c r="D513" s="393">
        <v>6244</v>
      </c>
    </row>
    <row r="514" spans="1:4" ht="62.5">
      <c r="A514" s="393" t="s">
        <v>15656</v>
      </c>
      <c r="B514" s="393" t="s">
        <v>15658</v>
      </c>
      <c r="C514" s="394" t="s">
        <v>15657</v>
      </c>
      <c r="D514" s="393">
        <v>6394</v>
      </c>
    </row>
    <row r="515" spans="1:4" ht="62.5">
      <c r="A515" s="393" t="s">
        <v>15656</v>
      </c>
      <c r="B515" s="393" t="s">
        <v>15655</v>
      </c>
      <c r="C515" s="394" t="s">
        <v>15654</v>
      </c>
      <c r="D515" s="393">
        <v>6492</v>
      </c>
    </row>
    <row r="516" spans="1:4" ht="50">
      <c r="A516" s="393" t="s">
        <v>15613</v>
      </c>
      <c r="B516" s="393" t="s">
        <v>15653</v>
      </c>
      <c r="C516" s="394" t="s">
        <v>15652</v>
      </c>
      <c r="D516" s="393">
        <v>1756</v>
      </c>
    </row>
    <row r="517" spans="1:4" ht="50">
      <c r="A517" s="393" t="s">
        <v>15613</v>
      </c>
      <c r="B517" s="393" t="s">
        <v>15651</v>
      </c>
      <c r="C517" s="394" t="s">
        <v>15650</v>
      </c>
      <c r="D517" s="393">
        <v>1905</v>
      </c>
    </row>
    <row r="518" spans="1:4" ht="50">
      <c r="A518" s="393" t="s">
        <v>15613</v>
      </c>
      <c r="B518" s="393" t="s">
        <v>15649</v>
      </c>
      <c r="C518" s="394" t="s">
        <v>15648</v>
      </c>
      <c r="D518" s="393">
        <v>1905</v>
      </c>
    </row>
    <row r="519" spans="1:4" ht="50">
      <c r="A519" s="393" t="s">
        <v>15613</v>
      </c>
      <c r="B519" s="393" t="s">
        <v>15647</v>
      </c>
      <c r="C519" s="394" t="s">
        <v>15646</v>
      </c>
      <c r="D519" s="393">
        <v>1955</v>
      </c>
    </row>
    <row r="520" spans="1:4" ht="50">
      <c r="A520" s="393" t="s">
        <v>15613</v>
      </c>
      <c r="B520" s="393" t="s">
        <v>15645</v>
      </c>
      <c r="C520" s="394" t="s">
        <v>15644</v>
      </c>
      <c r="D520" s="393">
        <v>1966</v>
      </c>
    </row>
    <row r="521" spans="1:4" ht="50">
      <c r="A521" s="393" t="s">
        <v>15613</v>
      </c>
      <c r="B521" s="393" t="s">
        <v>15643</v>
      </c>
      <c r="C521" s="394" t="s">
        <v>15642</v>
      </c>
      <c r="D521" s="393">
        <v>2005</v>
      </c>
    </row>
    <row r="522" spans="1:4" ht="50">
      <c r="A522" s="393" t="s">
        <v>15613</v>
      </c>
      <c r="B522" s="393" t="s">
        <v>15641</v>
      </c>
      <c r="C522" s="394" t="s">
        <v>15640</v>
      </c>
      <c r="D522" s="393">
        <v>2095</v>
      </c>
    </row>
    <row r="523" spans="1:4" ht="50">
      <c r="A523" s="393" t="s">
        <v>15613</v>
      </c>
      <c r="B523" s="393" t="s">
        <v>15639</v>
      </c>
      <c r="C523" s="394" t="s">
        <v>15638</v>
      </c>
      <c r="D523" s="393">
        <v>2104</v>
      </c>
    </row>
    <row r="524" spans="1:4" ht="50">
      <c r="A524" s="393" t="s">
        <v>15613</v>
      </c>
      <c r="B524" s="393" t="s">
        <v>15637</v>
      </c>
      <c r="C524" s="394" t="s">
        <v>15636</v>
      </c>
      <c r="D524" s="393">
        <v>2115</v>
      </c>
    </row>
    <row r="525" spans="1:4" ht="50">
      <c r="A525" s="393" t="s">
        <v>15613</v>
      </c>
      <c r="B525" s="393" t="s">
        <v>15635</v>
      </c>
      <c r="C525" s="394" t="s">
        <v>15634</v>
      </c>
      <c r="D525" s="393">
        <v>2154</v>
      </c>
    </row>
    <row r="526" spans="1:4" ht="50">
      <c r="A526" s="393" t="s">
        <v>15613</v>
      </c>
      <c r="B526" s="393" t="s">
        <v>15633</v>
      </c>
      <c r="C526" s="394" t="s">
        <v>15632</v>
      </c>
      <c r="D526" s="393">
        <v>2164</v>
      </c>
    </row>
    <row r="527" spans="1:4" ht="50">
      <c r="A527" s="393" t="s">
        <v>15613</v>
      </c>
      <c r="B527" s="393" t="s">
        <v>15631</v>
      </c>
      <c r="C527" s="394" t="s">
        <v>15630</v>
      </c>
      <c r="D527" s="393">
        <v>2204</v>
      </c>
    </row>
    <row r="528" spans="1:4" ht="50">
      <c r="A528" s="393" t="s">
        <v>15613</v>
      </c>
      <c r="B528" s="393" t="s">
        <v>15629</v>
      </c>
      <c r="C528" s="394" t="s">
        <v>15628</v>
      </c>
      <c r="D528" s="393">
        <v>2226</v>
      </c>
    </row>
    <row r="529" spans="1:4" ht="50">
      <c r="A529" s="393" t="s">
        <v>15613</v>
      </c>
      <c r="B529" s="393" t="s">
        <v>15627</v>
      </c>
      <c r="C529" s="394" t="s">
        <v>15626</v>
      </c>
      <c r="D529" s="393">
        <v>2274</v>
      </c>
    </row>
    <row r="530" spans="1:4" ht="50">
      <c r="A530" s="393" t="s">
        <v>15613</v>
      </c>
      <c r="B530" s="393" t="s">
        <v>15625</v>
      </c>
      <c r="C530" s="394" t="s">
        <v>15624</v>
      </c>
      <c r="D530" s="393">
        <v>2284</v>
      </c>
    </row>
    <row r="531" spans="1:4" ht="50">
      <c r="A531" s="393" t="s">
        <v>15613</v>
      </c>
      <c r="B531" s="393" t="s">
        <v>15623</v>
      </c>
      <c r="C531" s="394" t="s">
        <v>15622</v>
      </c>
      <c r="D531" s="393">
        <v>2294</v>
      </c>
    </row>
    <row r="532" spans="1:4" ht="50">
      <c r="A532" s="393" t="s">
        <v>15613</v>
      </c>
      <c r="B532" s="393" t="s">
        <v>15621</v>
      </c>
      <c r="C532" s="394" t="s">
        <v>15620</v>
      </c>
      <c r="D532" s="393">
        <v>2355</v>
      </c>
    </row>
    <row r="533" spans="1:4" ht="50">
      <c r="A533" s="393" t="s">
        <v>15613</v>
      </c>
      <c r="B533" s="393" t="s">
        <v>15619</v>
      </c>
      <c r="C533" s="394" t="s">
        <v>15618</v>
      </c>
      <c r="D533" s="393">
        <v>2375</v>
      </c>
    </row>
    <row r="534" spans="1:4" ht="50">
      <c r="A534" s="393" t="s">
        <v>15613</v>
      </c>
      <c r="B534" s="393" t="s">
        <v>15617</v>
      </c>
      <c r="C534" s="394" t="s">
        <v>15616</v>
      </c>
      <c r="D534" s="393">
        <v>2424</v>
      </c>
    </row>
    <row r="535" spans="1:4" ht="50">
      <c r="A535" s="393" t="s">
        <v>15613</v>
      </c>
      <c r="B535" s="393" t="s">
        <v>15615</v>
      </c>
      <c r="C535" s="394" t="s">
        <v>15614</v>
      </c>
      <c r="D535" s="393">
        <v>2544</v>
      </c>
    </row>
    <row r="536" spans="1:4" ht="50">
      <c r="A536" s="393" t="s">
        <v>15613</v>
      </c>
      <c r="B536" s="393" t="s">
        <v>15612</v>
      </c>
      <c r="C536" s="394" t="s">
        <v>15611</v>
      </c>
      <c r="D536" s="393">
        <v>2554</v>
      </c>
    </row>
    <row r="537" spans="1:4" ht="37.5">
      <c r="A537" s="393" t="s">
        <v>15598</v>
      </c>
      <c r="B537" s="393" t="s">
        <v>15610</v>
      </c>
      <c r="C537" s="394" t="s">
        <v>15609</v>
      </c>
      <c r="D537" s="393">
        <v>1349</v>
      </c>
    </row>
    <row r="538" spans="1:4" ht="50">
      <c r="A538" s="393" t="s">
        <v>15598</v>
      </c>
      <c r="B538" s="393" t="s">
        <v>15608</v>
      </c>
      <c r="C538" s="394" t="s">
        <v>15607</v>
      </c>
      <c r="D538" s="393">
        <v>1458</v>
      </c>
    </row>
    <row r="539" spans="1:4" ht="37.5">
      <c r="A539" s="393" t="s">
        <v>15598</v>
      </c>
      <c r="B539" s="393" t="s">
        <v>15606</v>
      </c>
      <c r="C539" s="394" t="s">
        <v>15605</v>
      </c>
      <c r="D539" s="393">
        <v>1487</v>
      </c>
    </row>
    <row r="540" spans="1:4" ht="50">
      <c r="A540" s="393" t="s">
        <v>15598</v>
      </c>
      <c r="B540" s="393" t="s">
        <v>15604</v>
      </c>
      <c r="C540" s="394" t="s">
        <v>15603</v>
      </c>
      <c r="D540" s="393">
        <v>1706</v>
      </c>
    </row>
    <row r="541" spans="1:4" ht="50">
      <c r="A541" s="393" t="s">
        <v>15598</v>
      </c>
      <c r="B541" s="393" t="s">
        <v>15602</v>
      </c>
      <c r="C541" s="394" t="s">
        <v>15601</v>
      </c>
      <c r="D541" s="393">
        <v>1726</v>
      </c>
    </row>
    <row r="542" spans="1:4" ht="50">
      <c r="A542" s="393" t="s">
        <v>15598</v>
      </c>
      <c r="B542" s="393" t="s">
        <v>15600</v>
      </c>
      <c r="C542" s="394" t="s">
        <v>15599</v>
      </c>
      <c r="D542" s="393">
        <v>1786</v>
      </c>
    </row>
    <row r="543" spans="1:4" ht="50">
      <c r="A543" s="393" t="s">
        <v>15598</v>
      </c>
      <c r="B543" s="393" t="s">
        <v>15597</v>
      </c>
      <c r="C543" s="394" t="s">
        <v>15596</v>
      </c>
      <c r="D543" s="393">
        <v>2074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113E6-15E9-4148-9C98-6502E4744C83}">
  <sheetPr>
    <tabColor theme="2" tint="-9.9978637043366805E-2"/>
  </sheetPr>
  <dimension ref="A1:F609"/>
  <sheetViews>
    <sheetView topLeftCell="B34" zoomScale="120" zoomScaleNormal="120" zoomScalePageLayoutView="80" workbookViewId="0">
      <selection activeCell="C8" sqref="C8"/>
    </sheetView>
  </sheetViews>
  <sheetFormatPr defaultColWidth="8.81640625" defaultRowHeight="17.25" customHeight="1"/>
  <cols>
    <col min="1" max="1" width="2.453125" style="1128" hidden="1" customWidth="1"/>
    <col min="2" max="2" width="27" style="1131" bestFit="1" customWidth="1"/>
    <col min="3" max="3" width="46.81640625" style="1130" customWidth="1"/>
    <col min="4" max="4" width="11.1796875" style="1129" bestFit="1" customWidth="1"/>
    <col min="5" max="16384" width="8.81640625" style="1128"/>
  </cols>
  <sheetData>
    <row r="1" spans="1:4" s="1148" customFormat="1" ht="14.5">
      <c r="B1" s="1151" t="s">
        <v>0</v>
      </c>
      <c r="C1" s="1150" t="s">
        <v>1</v>
      </c>
      <c r="D1" s="1149" t="s">
        <v>209</v>
      </c>
    </row>
    <row r="2" spans="1:4" s="500" customFormat="1" ht="17.25" customHeight="1">
      <c r="A2" s="500" t="s">
        <v>57393</v>
      </c>
      <c r="B2" s="1135" t="s">
        <v>58405</v>
      </c>
      <c r="C2" s="1134" t="s">
        <v>58404</v>
      </c>
      <c r="D2" s="1133">
        <v>341.09999999999997</v>
      </c>
    </row>
    <row r="3" spans="1:4" s="500" customFormat="1" ht="17.25" customHeight="1">
      <c r="A3" s="500" t="s">
        <v>57393</v>
      </c>
      <c r="B3" s="1135" t="s">
        <v>58403</v>
      </c>
      <c r="C3" s="1134" t="s">
        <v>58402</v>
      </c>
      <c r="D3" s="1133">
        <v>1962.7</v>
      </c>
    </row>
    <row r="4" spans="1:4" s="500" customFormat="1" ht="17.25" customHeight="1">
      <c r="A4" s="500" t="s">
        <v>57393</v>
      </c>
      <c r="B4" s="1135" t="s">
        <v>58401</v>
      </c>
      <c r="C4" s="1134" t="s">
        <v>58400</v>
      </c>
      <c r="D4" s="1133">
        <v>2005.5</v>
      </c>
    </row>
    <row r="5" spans="1:4" s="500" customFormat="1" ht="17.25" customHeight="1">
      <c r="A5" s="500" t="s">
        <v>57393</v>
      </c>
      <c r="B5" s="1135" t="s">
        <v>58399</v>
      </c>
      <c r="C5" s="1134" t="s">
        <v>58398</v>
      </c>
      <c r="D5" s="1133">
        <v>1847.1</v>
      </c>
    </row>
    <row r="6" spans="1:4" s="500" customFormat="1" ht="17.25" customHeight="1">
      <c r="A6" s="500" t="s">
        <v>57393</v>
      </c>
      <c r="B6" s="1135" t="s">
        <v>58397</v>
      </c>
      <c r="C6" s="1134" t="s">
        <v>58396</v>
      </c>
      <c r="D6" s="1133">
        <v>925</v>
      </c>
    </row>
    <row r="7" spans="1:4" s="500" customFormat="1" ht="17.25" customHeight="1">
      <c r="A7" s="500" t="s">
        <v>57393</v>
      </c>
      <c r="B7" s="1135" t="s">
        <v>58395</v>
      </c>
      <c r="C7" s="1134" t="s">
        <v>58394</v>
      </c>
      <c r="D7" s="1133">
        <v>967.90000000000009</v>
      </c>
    </row>
    <row r="8" spans="1:4" s="500" customFormat="1" ht="17.25" customHeight="1">
      <c r="A8" s="500" t="s">
        <v>57393</v>
      </c>
      <c r="B8" s="1135" t="s">
        <v>58393</v>
      </c>
      <c r="C8" s="1134" t="s">
        <v>58392</v>
      </c>
      <c r="D8" s="1133">
        <v>841.4</v>
      </c>
    </row>
    <row r="9" spans="1:4" s="500" customFormat="1" ht="17.25" customHeight="1">
      <c r="A9" s="500" t="s">
        <v>57393</v>
      </c>
      <c r="B9" s="1135" t="s">
        <v>58391</v>
      </c>
      <c r="C9" s="1134" t="s">
        <v>58390</v>
      </c>
      <c r="D9" s="1133">
        <v>1157.2</v>
      </c>
    </row>
    <row r="10" spans="1:4" s="500" customFormat="1" ht="17.25" customHeight="1">
      <c r="A10" s="500" t="s">
        <v>57410</v>
      </c>
      <c r="B10" s="1135" t="s">
        <v>58389</v>
      </c>
      <c r="C10" s="1134" t="s">
        <v>58388</v>
      </c>
      <c r="D10" s="1133">
        <v>1376.6</v>
      </c>
    </row>
    <row r="11" spans="1:4" s="500" customFormat="1" ht="17.25" customHeight="1">
      <c r="A11" s="500" t="s">
        <v>57410</v>
      </c>
      <c r="B11" s="1135" t="s">
        <v>58387</v>
      </c>
      <c r="C11" s="1134" t="s">
        <v>58386</v>
      </c>
      <c r="D11" s="1133">
        <v>1541.9</v>
      </c>
    </row>
    <row r="12" spans="1:4" s="500" customFormat="1" ht="17.25" customHeight="1">
      <c r="B12" s="1135" t="s">
        <v>58385</v>
      </c>
      <c r="C12" s="1134" t="s">
        <v>58384</v>
      </c>
      <c r="D12" s="1133">
        <v>1871.4</v>
      </c>
    </row>
    <row r="13" spans="1:4" s="500" customFormat="1" ht="17.25" customHeight="1">
      <c r="B13" s="1135" t="s">
        <v>58383</v>
      </c>
      <c r="C13" s="1134" t="s">
        <v>58382</v>
      </c>
      <c r="D13" s="1133">
        <v>329.6</v>
      </c>
    </row>
    <row r="14" spans="1:4" s="500" customFormat="1" ht="17.25" customHeight="1">
      <c r="B14" s="1135" t="s">
        <v>58381</v>
      </c>
      <c r="C14" s="1134" t="s">
        <v>58380</v>
      </c>
      <c r="D14" s="1133">
        <v>302.60000000000002</v>
      </c>
    </row>
    <row r="15" spans="1:4" s="500" customFormat="1" ht="17.25" customHeight="1">
      <c r="B15" s="1135" t="s">
        <v>58379</v>
      </c>
      <c r="C15" s="1134" t="s">
        <v>58267</v>
      </c>
      <c r="D15" s="1133">
        <v>157.19999999999999</v>
      </c>
    </row>
    <row r="16" spans="1:4" s="500" customFormat="1" ht="17.25" customHeight="1">
      <c r="B16" s="1135" t="s">
        <v>58378</v>
      </c>
      <c r="C16" s="1134" t="s">
        <v>58377</v>
      </c>
      <c r="D16" s="1133">
        <v>583.1</v>
      </c>
    </row>
    <row r="17" spans="1:4" s="500" customFormat="1" ht="17.25" customHeight="1">
      <c r="B17" s="1135" t="s">
        <v>58376</v>
      </c>
      <c r="C17" s="1134" t="s">
        <v>58375</v>
      </c>
      <c r="D17" s="1133">
        <v>627.9</v>
      </c>
    </row>
    <row r="18" spans="1:4" s="500" customFormat="1" ht="17.25" customHeight="1">
      <c r="A18" s="500" t="s">
        <v>57410</v>
      </c>
      <c r="B18" s="1135" t="s">
        <v>58374</v>
      </c>
      <c r="C18" s="1134" t="s">
        <v>58373</v>
      </c>
      <c r="D18" s="1133">
        <v>815.1</v>
      </c>
    </row>
    <row r="19" spans="1:4" s="500" customFormat="1" ht="17.25" customHeight="1">
      <c r="A19" s="500" t="s">
        <v>57410</v>
      </c>
      <c r="B19" s="1135" t="s">
        <v>58372</v>
      </c>
      <c r="C19" s="1134" t="s">
        <v>58371</v>
      </c>
      <c r="D19" s="1133">
        <v>959.1</v>
      </c>
    </row>
    <row r="20" spans="1:4" s="500" customFormat="1" ht="17.25" customHeight="1">
      <c r="A20" s="500" t="s">
        <v>57410</v>
      </c>
      <c r="B20" s="1135" t="s">
        <v>58216</v>
      </c>
      <c r="C20" s="1134" t="s">
        <v>58267</v>
      </c>
      <c r="D20" s="1133">
        <v>157.19999999999999</v>
      </c>
    </row>
    <row r="21" spans="1:4" s="500" customFormat="1" ht="17.25" customHeight="1">
      <c r="A21" s="500" t="s">
        <v>57410</v>
      </c>
      <c r="B21" s="1135" t="s">
        <v>58370</v>
      </c>
      <c r="C21" s="1134" t="s">
        <v>58369</v>
      </c>
      <c r="D21" s="1133">
        <v>815.1</v>
      </c>
    </row>
    <row r="22" spans="1:4" s="500" customFormat="1" ht="17.25" customHeight="1">
      <c r="A22" s="500" t="s">
        <v>57410</v>
      </c>
      <c r="B22" s="1135" t="s">
        <v>58368</v>
      </c>
      <c r="C22" s="1134" t="s">
        <v>58367</v>
      </c>
      <c r="D22" s="1133">
        <v>1136.3999999999999</v>
      </c>
    </row>
    <row r="23" spans="1:4" s="500" customFormat="1" ht="17.25" customHeight="1">
      <c r="A23" s="500" t="s">
        <v>57393</v>
      </c>
      <c r="B23" s="1135" t="s">
        <v>58366</v>
      </c>
      <c r="C23" s="1134" t="s">
        <v>58365</v>
      </c>
      <c r="D23" s="1133">
        <v>1364.3</v>
      </c>
    </row>
    <row r="24" spans="1:4" s="500" customFormat="1" ht="17.25" customHeight="1">
      <c r="A24" s="500" t="s">
        <v>57393</v>
      </c>
      <c r="B24" s="1135" t="s">
        <v>58364</v>
      </c>
      <c r="C24" s="1134" t="s">
        <v>58363</v>
      </c>
      <c r="D24" s="1133">
        <v>1684.3999999999999</v>
      </c>
    </row>
    <row r="25" spans="1:4" s="500" customFormat="1" ht="17.25" customHeight="1">
      <c r="A25" s="500" t="s">
        <v>57393</v>
      </c>
      <c r="B25" s="1135" t="s">
        <v>58362</v>
      </c>
      <c r="C25" s="1134" t="s">
        <v>58361</v>
      </c>
      <c r="D25" s="1133">
        <v>1811.7</v>
      </c>
    </row>
    <row r="26" spans="1:4" s="500" customFormat="1" ht="17.25" customHeight="1">
      <c r="A26" s="500" t="s">
        <v>57393</v>
      </c>
      <c r="B26" s="1135" t="s">
        <v>58360</v>
      </c>
      <c r="C26" s="1134" t="s">
        <v>58359</v>
      </c>
      <c r="D26" s="1133">
        <v>1858.6999999999998</v>
      </c>
    </row>
    <row r="27" spans="1:4" s="500" customFormat="1" ht="17.25" customHeight="1">
      <c r="A27" s="500" t="s">
        <v>57393</v>
      </c>
      <c r="B27" s="1135" t="s">
        <v>58358</v>
      </c>
      <c r="C27" s="1134" t="s">
        <v>58357</v>
      </c>
      <c r="D27" s="1133">
        <v>18.399999999999999</v>
      </c>
    </row>
    <row r="28" spans="1:4" s="500" customFormat="1" ht="17.25" customHeight="1">
      <c r="A28" s="500" t="s">
        <v>57393</v>
      </c>
      <c r="B28" s="1135" t="s">
        <v>58356</v>
      </c>
      <c r="C28" s="1134" t="s">
        <v>58355</v>
      </c>
      <c r="D28" s="1133">
        <v>1256.5</v>
      </c>
    </row>
    <row r="29" spans="1:4" s="500" customFormat="1" ht="17.25" customHeight="1">
      <c r="A29" s="500" t="s">
        <v>57393</v>
      </c>
      <c r="B29" s="1135" t="s">
        <v>58354</v>
      </c>
      <c r="C29" s="1134" t="s">
        <v>58353</v>
      </c>
      <c r="D29" s="1133">
        <v>1310.1000000000001</v>
      </c>
    </row>
    <row r="30" spans="1:4" s="500" customFormat="1" ht="17.25" customHeight="1">
      <c r="A30" s="500" t="s">
        <v>57393</v>
      </c>
      <c r="B30" s="1135" t="s">
        <v>58352</v>
      </c>
      <c r="C30" s="1134" t="s">
        <v>58351</v>
      </c>
      <c r="D30" s="1133">
        <v>1283.4000000000001</v>
      </c>
    </row>
    <row r="31" spans="1:4" s="500" customFormat="1" ht="17.25" customHeight="1">
      <c r="A31" s="500" t="s">
        <v>57393</v>
      </c>
      <c r="B31" s="1135" t="s">
        <v>58350</v>
      </c>
      <c r="C31" s="1134" t="s">
        <v>58349</v>
      </c>
      <c r="D31" s="1133">
        <v>795.5</v>
      </c>
    </row>
    <row r="32" spans="1:4" s="500" customFormat="1" ht="17.25" customHeight="1">
      <c r="A32" s="500" t="s">
        <v>57393</v>
      </c>
      <c r="B32" s="1135" t="s">
        <v>58348</v>
      </c>
      <c r="C32" s="1134" t="s">
        <v>58347</v>
      </c>
      <c r="D32" s="1133">
        <v>822.19999999999993</v>
      </c>
    </row>
    <row r="33" spans="1:4" s="500" customFormat="1" ht="17.25" customHeight="1">
      <c r="A33" s="500" t="s">
        <v>57393</v>
      </c>
      <c r="B33" s="1135" t="s">
        <v>58254</v>
      </c>
      <c r="C33" s="1134" t="s">
        <v>57902</v>
      </c>
      <c r="D33" s="1133">
        <v>71.399999999999991</v>
      </c>
    </row>
    <row r="34" spans="1:4" s="500" customFormat="1" ht="17.25" customHeight="1">
      <c r="A34" s="500" t="s">
        <v>57393</v>
      </c>
      <c r="B34" s="1135" t="s">
        <v>58346</v>
      </c>
      <c r="C34" s="1134" t="s">
        <v>58345</v>
      </c>
      <c r="D34" s="1133">
        <v>671</v>
      </c>
    </row>
    <row r="35" spans="1:4" s="500" customFormat="1" ht="17.25" customHeight="1">
      <c r="A35" s="500" t="s">
        <v>57393</v>
      </c>
      <c r="B35" s="1135" t="s">
        <v>58344</v>
      </c>
      <c r="C35" s="1134" t="s">
        <v>58271</v>
      </c>
      <c r="D35" s="1133">
        <v>169.4</v>
      </c>
    </row>
    <row r="36" spans="1:4" s="500" customFormat="1" ht="17.25" customHeight="1">
      <c r="A36" s="500" t="s">
        <v>57393</v>
      </c>
      <c r="B36" s="1135" t="s">
        <v>58343</v>
      </c>
      <c r="C36" s="1134" t="s">
        <v>58342</v>
      </c>
      <c r="D36" s="1133">
        <v>710.30000000000007</v>
      </c>
    </row>
    <row r="37" spans="1:4" s="500" customFormat="1" ht="17.25" customHeight="1">
      <c r="A37" s="500" t="s">
        <v>57393</v>
      </c>
      <c r="B37" s="1135" t="s">
        <v>58341</v>
      </c>
      <c r="C37" s="1134" t="s">
        <v>58340</v>
      </c>
      <c r="D37" s="1133">
        <v>872.6</v>
      </c>
    </row>
    <row r="38" spans="1:4" s="500" customFormat="1" ht="17.25" customHeight="1">
      <c r="A38" s="500" t="s">
        <v>57393</v>
      </c>
      <c r="B38" s="1135" t="s">
        <v>58339</v>
      </c>
      <c r="C38" s="1134" t="s">
        <v>58338</v>
      </c>
      <c r="D38" s="1133">
        <v>929.7</v>
      </c>
    </row>
    <row r="39" spans="1:4" s="500" customFormat="1" ht="17.25" customHeight="1">
      <c r="A39" s="500" t="s">
        <v>57393</v>
      </c>
      <c r="B39" s="1135" t="s">
        <v>58337</v>
      </c>
      <c r="C39" s="1134" t="s">
        <v>58336</v>
      </c>
      <c r="D39" s="1133">
        <v>902</v>
      </c>
    </row>
    <row r="40" spans="1:4" s="500" customFormat="1" ht="17.25" customHeight="1">
      <c r="A40" s="500" t="s">
        <v>57393</v>
      </c>
      <c r="B40" s="1135" t="s">
        <v>58335</v>
      </c>
      <c r="C40" s="1134" t="s">
        <v>58334</v>
      </c>
      <c r="D40" s="1133">
        <v>975.8</v>
      </c>
    </row>
    <row r="41" spans="1:4" s="500" customFormat="1" ht="17.25" customHeight="1">
      <c r="A41" s="500" t="s">
        <v>57393</v>
      </c>
      <c r="B41" s="1135" t="s">
        <v>58333</v>
      </c>
      <c r="C41" s="1134" t="s">
        <v>58332</v>
      </c>
      <c r="D41" s="1133">
        <v>1013.7</v>
      </c>
    </row>
    <row r="42" spans="1:4" s="500" customFormat="1" ht="17.25" customHeight="1">
      <c r="A42" s="500" t="s">
        <v>57393</v>
      </c>
      <c r="B42" s="1135" t="s">
        <v>58331</v>
      </c>
      <c r="C42" s="1134" t="s">
        <v>58330</v>
      </c>
      <c r="D42" s="1133">
        <v>1022.1999999999999</v>
      </c>
    </row>
    <row r="43" spans="1:4" s="500" customFormat="1" ht="17.25" customHeight="1">
      <c r="A43" s="500" t="s">
        <v>57393</v>
      </c>
      <c r="B43" s="1135" t="s">
        <v>58254</v>
      </c>
      <c r="C43" s="1134" t="s">
        <v>57902</v>
      </c>
      <c r="D43" s="1133">
        <v>71.399999999999991</v>
      </c>
    </row>
    <row r="44" spans="1:4" s="500" customFormat="1" ht="17.25" customHeight="1">
      <c r="A44" s="500" t="s">
        <v>57393</v>
      </c>
      <c r="B44" s="1135" t="s">
        <v>58274</v>
      </c>
      <c r="C44" s="1134" t="s">
        <v>58319</v>
      </c>
      <c r="D44" s="1133">
        <v>180.5</v>
      </c>
    </row>
    <row r="45" spans="1:4" s="500" customFormat="1" ht="17.25" customHeight="1">
      <c r="A45" s="500" t="s">
        <v>57393</v>
      </c>
      <c r="B45" s="1135" t="s">
        <v>58329</v>
      </c>
      <c r="C45" s="1134" t="s">
        <v>58328</v>
      </c>
      <c r="D45" s="1133">
        <v>1870.2</v>
      </c>
    </row>
    <row r="46" spans="1:4" s="500" customFormat="1" ht="17.25" customHeight="1">
      <c r="A46" s="500" t="s">
        <v>57393</v>
      </c>
      <c r="B46" s="1135" t="s">
        <v>58327</v>
      </c>
      <c r="C46" s="1134" t="s">
        <v>58326</v>
      </c>
      <c r="D46" s="1133">
        <v>1962.7</v>
      </c>
    </row>
    <row r="47" spans="1:4" s="500" customFormat="1" ht="17.25" customHeight="1">
      <c r="A47" s="500" t="s">
        <v>57393</v>
      </c>
      <c r="B47" s="1135" t="s">
        <v>58325</v>
      </c>
      <c r="C47" s="1134" t="s">
        <v>58324</v>
      </c>
      <c r="D47" s="1133">
        <v>1962.7</v>
      </c>
    </row>
    <row r="48" spans="1:4" s="500" customFormat="1" ht="17.25" customHeight="1">
      <c r="A48" s="500" t="s">
        <v>57393</v>
      </c>
      <c r="B48" s="1135" t="s">
        <v>58323</v>
      </c>
      <c r="C48" s="1134" t="s">
        <v>58322</v>
      </c>
      <c r="D48" s="1133">
        <v>735.4</v>
      </c>
    </row>
    <row r="49" spans="1:4" s="500" customFormat="1" ht="17.25" customHeight="1">
      <c r="A49" s="500" t="s">
        <v>57393</v>
      </c>
      <c r="B49" s="1135" t="s">
        <v>58321</v>
      </c>
      <c r="C49" s="1134" t="s">
        <v>58320</v>
      </c>
      <c r="D49" s="1133">
        <v>770.4</v>
      </c>
    </row>
    <row r="50" spans="1:4" s="500" customFormat="1" ht="17.25" customHeight="1">
      <c r="A50" s="500" t="s">
        <v>57393</v>
      </c>
      <c r="B50" s="1135" t="s">
        <v>58274</v>
      </c>
      <c r="C50" s="1134" t="s">
        <v>58319</v>
      </c>
      <c r="D50" s="1133">
        <v>180.5</v>
      </c>
    </row>
    <row r="51" spans="1:4" s="500" customFormat="1" ht="17.25" customHeight="1">
      <c r="A51" s="500" t="s">
        <v>57393</v>
      </c>
      <c r="B51" s="1135" t="s">
        <v>58318</v>
      </c>
      <c r="C51" s="1134" t="s">
        <v>58317</v>
      </c>
      <c r="D51" s="1133">
        <v>1319.6000000000001</v>
      </c>
    </row>
    <row r="52" spans="1:4" s="500" customFormat="1" ht="17.25" customHeight="1">
      <c r="A52" s="500" t="s">
        <v>57393</v>
      </c>
      <c r="B52" s="1135" t="s">
        <v>58316</v>
      </c>
      <c r="C52" s="1134" t="s">
        <v>58315</v>
      </c>
      <c r="D52" s="1133">
        <v>1356</v>
      </c>
    </row>
    <row r="53" spans="1:4" s="500" customFormat="1" ht="17.25" customHeight="1">
      <c r="A53" s="500" t="s">
        <v>57393</v>
      </c>
      <c r="B53" s="1135" t="s">
        <v>58314</v>
      </c>
      <c r="C53" s="1134" t="s">
        <v>58313</v>
      </c>
      <c r="D53" s="1133">
        <v>1381</v>
      </c>
    </row>
    <row r="54" spans="1:4" s="500" customFormat="1" ht="17.25" customHeight="1">
      <c r="A54" s="500" t="s">
        <v>57393</v>
      </c>
      <c r="B54" s="1135" t="s">
        <v>58312</v>
      </c>
      <c r="C54" s="1134" t="s">
        <v>58311</v>
      </c>
      <c r="D54" s="1133">
        <v>1395.1</v>
      </c>
    </row>
    <row r="55" spans="1:4" s="500" customFormat="1" ht="17.25" customHeight="1">
      <c r="A55" s="500" t="s">
        <v>57393</v>
      </c>
      <c r="B55" s="1135" t="s">
        <v>58310</v>
      </c>
      <c r="C55" s="1134" t="s">
        <v>57902</v>
      </c>
      <c r="D55" s="1133">
        <v>71.399999999999991</v>
      </c>
    </row>
    <row r="56" spans="1:4" s="500" customFormat="1" ht="17.25" customHeight="1">
      <c r="A56" s="500" t="s">
        <v>57393</v>
      </c>
      <c r="B56" s="1135" t="s">
        <v>58309</v>
      </c>
      <c r="C56" s="1134" t="s">
        <v>58308</v>
      </c>
      <c r="D56" s="1133">
        <v>671</v>
      </c>
    </row>
    <row r="57" spans="1:4" s="500" customFormat="1" ht="17.25" customHeight="1">
      <c r="A57" s="500" t="s">
        <v>57393</v>
      </c>
      <c r="B57" s="1135" t="s">
        <v>58307</v>
      </c>
      <c r="C57" s="1134" t="s">
        <v>58306</v>
      </c>
      <c r="D57" s="1133">
        <v>707.7</v>
      </c>
    </row>
    <row r="58" spans="1:4" s="500" customFormat="1" ht="17.25" customHeight="1">
      <c r="A58" s="500" t="s">
        <v>57393</v>
      </c>
      <c r="B58" s="1135" t="s">
        <v>58305</v>
      </c>
      <c r="C58" s="1134" t="s">
        <v>58267</v>
      </c>
      <c r="D58" s="1133">
        <v>157.19999999999999</v>
      </c>
    </row>
    <row r="59" spans="1:4" s="500" customFormat="1" ht="17.25" customHeight="1">
      <c r="A59" s="500" t="s">
        <v>57393</v>
      </c>
      <c r="B59" s="1135" t="s">
        <v>58304</v>
      </c>
      <c r="C59" s="1134" t="s">
        <v>58303</v>
      </c>
      <c r="D59" s="1133">
        <v>1003.8000000000001</v>
      </c>
    </row>
    <row r="60" spans="1:4" s="500" customFormat="1" ht="17.25" customHeight="1">
      <c r="A60" s="500" t="s">
        <v>57393</v>
      </c>
      <c r="B60" s="1135" t="s">
        <v>58302</v>
      </c>
      <c r="C60" s="1134" t="s">
        <v>58301</v>
      </c>
      <c r="D60" s="1133">
        <v>1040.2</v>
      </c>
    </row>
    <row r="61" spans="1:4" s="500" customFormat="1" ht="17.25" customHeight="1">
      <c r="A61" s="500" t="s">
        <v>57393</v>
      </c>
      <c r="B61" s="1135" t="s">
        <v>58300</v>
      </c>
      <c r="C61" s="1134" t="s">
        <v>58299</v>
      </c>
      <c r="D61" s="1133">
        <v>1016.8000000000001</v>
      </c>
    </row>
    <row r="62" spans="1:4" s="500" customFormat="1" ht="17.25" customHeight="1">
      <c r="A62" s="500" t="s">
        <v>57393</v>
      </c>
      <c r="B62" s="1135" t="s">
        <v>58298</v>
      </c>
      <c r="C62" s="1134" t="s">
        <v>58297</v>
      </c>
      <c r="D62" s="1133">
        <v>544.5</v>
      </c>
    </row>
    <row r="63" spans="1:4" s="500" customFormat="1" ht="17.25" customHeight="1">
      <c r="A63" s="500" t="s">
        <v>57393</v>
      </c>
      <c r="B63" s="1142" t="s">
        <v>58296</v>
      </c>
      <c r="C63" s="1144" t="s">
        <v>58295</v>
      </c>
      <c r="D63" s="1133">
        <v>1036.0999999999999</v>
      </c>
    </row>
    <row r="64" spans="1:4" s="500" customFormat="1" ht="17.25" customHeight="1">
      <c r="A64" s="500" t="s">
        <v>57393</v>
      </c>
      <c r="B64" s="1142" t="s">
        <v>58294</v>
      </c>
      <c r="C64" s="1144" t="s">
        <v>58293</v>
      </c>
      <c r="D64" s="1133">
        <v>1323.4</v>
      </c>
    </row>
    <row r="65" spans="1:4" s="500" customFormat="1" ht="17.25" customHeight="1">
      <c r="A65" s="500" t="s">
        <v>57393</v>
      </c>
      <c r="B65" s="1142" t="s">
        <v>58292</v>
      </c>
      <c r="C65" s="1144" t="s">
        <v>58291</v>
      </c>
      <c r="D65" s="1133">
        <v>1369.4</v>
      </c>
    </row>
    <row r="66" spans="1:4" s="500" customFormat="1" ht="17.25" customHeight="1">
      <c r="A66" s="500" t="s">
        <v>57393</v>
      </c>
      <c r="B66" s="1142" t="s">
        <v>58290</v>
      </c>
      <c r="C66" s="1144" t="s">
        <v>58289</v>
      </c>
      <c r="D66" s="1133">
        <v>314</v>
      </c>
    </row>
    <row r="67" spans="1:4" s="500" customFormat="1" ht="17.25" customHeight="1">
      <c r="A67" s="500" t="s">
        <v>57393</v>
      </c>
      <c r="B67" s="1142" t="s">
        <v>58288</v>
      </c>
      <c r="C67" s="1144" t="s">
        <v>58287</v>
      </c>
      <c r="D67" s="1133">
        <v>209.9</v>
      </c>
    </row>
    <row r="68" spans="1:4" s="500" customFormat="1" ht="17.25" customHeight="1">
      <c r="A68" s="500" t="s">
        <v>57393</v>
      </c>
      <c r="B68" s="1142" t="s">
        <v>58286</v>
      </c>
      <c r="C68" s="1144" t="s">
        <v>58283</v>
      </c>
      <c r="D68" s="1133">
        <v>192.7</v>
      </c>
    </row>
    <row r="69" spans="1:4" s="500" customFormat="1" ht="17.25" customHeight="1">
      <c r="A69" s="500" t="s">
        <v>57393</v>
      </c>
      <c r="B69" s="1142" t="s">
        <v>58285</v>
      </c>
      <c r="C69" s="1144" t="s">
        <v>58281</v>
      </c>
      <c r="D69" s="1133">
        <v>224.1</v>
      </c>
    </row>
    <row r="70" spans="1:4" s="500" customFormat="1" ht="17.25" customHeight="1">
      <c r="A70" s="500" t="s">
        <v>57410</v>
      </c>
      <c r="B70" s="1142" t="s">
        <v>58284</v>
      </c>
      <c r="C70" s="1144" t="s">
        <v>58283</v>
      </c>
      <c r="D70" s="1133">
        <v>210.5</v>
      </c>
    </row>
    <row r="71" spans="1:4" s="500" customFormat="1" ht="17.25" customHeight="1">
      <c r="A71" s="500" t="s">
        <v>57410</v>
      </c>
      <c r="B71" s="1142" t="s">
        <v>58282</v>
      </c>
      <c r="C71" s="1144" t="s">
        <v>58281</v>
      </c>
      <c r="D71" s="1133">
        <v>239.2</v>
      </c>
    </row>
    <row r="72" spans="1:4" s="500" customFormat="1" ht="17.25" customHeight="1">
      <c r="B72" s="1142" t="s">
        <v>57943</v>
      </c>
      <c r="C72" s="1144" t="s">
        <v>57942</v>
      </c>
      <c r="D72" s="1133">
        <v>315.2</v>
      </c>
    </row>
    <row r="73" spans="1:4" s="500" customFormat="1" ht="17.25" customHeight="1">
      <c r="A73" s="500" t="s">
        <v>57393</v>
      </c>
      <c r="B73" s="1142" t="s">
        <v>58280</v>
      </c>
      <c r="C73" s="1144" t="s">
        <v>58279</v>
      </c>
      <c r="D73" s="1133">
        <v>397.1</v>
      </c>
    </row>
    <row r="74" spans="1:4" s="500" customFormat="1" ht="17.25" customHeight="1">
      <c r="A74" s="500" t="s">
        <v>57393</v>
      </c>
      <c r="B74" s="1142" t="s">
        <v>58278</v>
      </c>
      <c r="C74" s="1144" t="s">
        <v>58277</v>
      </c>
      <c r="D74" s="1133">
        <v>157.19999999999999</v>
      </c>
    </row>
    <row r="75" spans="1:4" s="500" customFormat="1" ht="17.25" customHeight="1">
      <c r="A75" s="500" t="s">
        <v>57393</v>
      </c>
      <c r="B75" s="1142" t="s">
        <v>58276</v>
      </c>
      <c r="C75" s="1144" t="s">
        <v>58275</v>
      </c>
      <c r="D75" s="1133">
        <v>169.4</v>
      </c>
    </row>
    <row r="76" spans="1:4" s="500" customFormat="1" ht="17.25" customHeight="1">
      <c r="A76" s="500" t="s">
        <v>57410</v>
      </c>
      <c r="B76" s="1142" t="s">
        <v>58274</v>
      </c>
      <c r="C76" s="1144" t="s">
        <v>58273</v>
      </c>
      <c r="D76" s="1133">
        <v>180.5</v>
      </c>
    </row>
    <row r="77" spans="1:4" s="500" customFormat="1" ht="17.25" customHeight="1">
      <c r="B77" s="1142" t="s">
        <v>58216</v>
      </c>
      <c r="C77" s="1144" t="s">
        <v>58267</v>
      </c>
      <c r="D77" s="1133">
        <v>157.19999999999999</v>
      </c>
    </row>
    <row r="78" spans="1:4" s="1140" customFormat="1" ht="17.25" customHeight="1">
      <c r="A78" s="1140" t="s">
        <v>57393</v>
      </c>
      <c r="B78" s="1142" t="s">
        <v>58272</v>
      </c>
      <c r="C78" s="1144" t="s">
        <v>58271</v>
      </c>
      <c r="D78" s="1133">
        <v>169.4</v>
      </c>
    </row>
    <row r="79" spans="1:4" s="500" customFormat="1" ht="17.25" customHeight="1">
      <c r="A79" s="500" t="s">
        <v>57393</v>
      </c>
      <c r="B79" s="1142" t="s">
        <v>58270</v>
      </c>
      <c r="C79" s="1144" t="s">
        <v>58269</v>
      </c>
      <c r="D79" s="1133">
        <v>180.5</v>
      </c>
    </row>
    <row r="80" spans="1:4" s="500" customFormat="1" ht="17.25" customHeight="1">
      <c r="A80" s="500" t="s">
        <v>57393</v>
      </c>
      <c r="B80" s="1142" t="s">
        <v>58268</v>
      </c>
      <c r="C80" s="1144" t="s">
        <v>58267</v>
      </c>
      <c r="D80" s="1133">
        <v>157.19999999999999</v>
      </c>
    </row>
    <row r="81" spans="1:4" s="500" customFormat="1" ht="17.25" customHeight="1">
      <c r="A81" s="500" t="s">
        <v>57393</v>
      </c>
      <c r="B81" s="1142" t="s">
        <v>58266</v>
      </c>
      <c r="C81" s="1144" t="s">
        <v>58265</v>
      </c>
      <c r="D81" s="1133">
        <v>169.4</v>
      </c>
    </row>
    <row r="82" spans="1:4" s="500" customFormat="1" ht="17.25" customHeight="1">
      <c r="A82" s="500" t="s">
        <v>57393</v>
      </c>
      <c r="B82" s="1142" t="s">
        <v>58264</v>
      </c>
      <c r="C82" s="1144" t="s">
        <v>58263</v>
      </c>
      <c r="D82" s="1133">
        <v>121.8</v>
      </c>
    </row>
    <row r="83" spans="1:4" s="500" customFormat="1" ht="17.25" customHeight="1">
      <c r="A83" s="500" t="s">
        <v>57393</v>
      </c>
      <c r="B83" s="1142" t="s">
        <v>58262</v>
      </c>
      <c r="C83" s="1144" t="s">
        <v>58261</v>
      </c>
      <c r="D83" s="1133">
        <v>149.70000000000002</v>
      </c>
    </row>
    <row r="84" spans="1:4" s="500" customFormat="1" ht="17.25" customHeight="1">
      <c r="A84" s="500" t="s">
        <v>57393</v>
      </c>
      <c r="B84" s="1142" t="s">
        <v>58260</v>
      </c>
      <c r="C84" s="1144" t="s">
        <v>58259</v>
      </c>
      <c r="D84" s="1133">
        <v>246.39999999999998</v>
      </c>
    </row>
    <row r="85" spans="1:4" s="500" customFormat="1" ht="17.25" customHeight="1">
      <c r="A85" s="500" t="s">
        <v>57410</v>
      </c>
      <c r="B85" s="1142" t="s">
        <v>57903</v>
      </c>
      <c r="C85" s="1144" t="s">
        <v>57902</v>
      </c>
      <c r="D85" s="1133">
        <v>78.7</v>
      </c>
    </row>
    <row r="86" spans="1:4" s="500" customFormat="1" ht="17.25" customHeight="1">
      <c r="A86" s="500" t="s">
        <v>57410</v>
      </c>
      <c r="B86" s="1142" t="s">
        <v>58258</v>
      </c>
      <c r="C86" s="1144" t="s">
        <v>58255</v>
      </c>
      <c r="D86" s="1133">
        <v>54.5</v>
      </c>
    </row>
    <row r="87" spans="1:4" s="500" customFormat="1" ht="17.25" customHeight="1">
      <c r="A87" s="500" t="s">
        <v>57393</v>
      </c>
      <c r="B87" s="1142" t="s">
        <v>58257</v>
      </c>
      <c r="C87" s="1144" t="s">
        <v>58255</v>
      </c>
      <c r="D87" s="1133">
        <v>54.5</v>
      </c>
    </row>
    <row r="88" spans="1:4" s="500" customFormat="1" ht="17.25" customHeight="1">
      <c r="A88" s="500" t="s">
        <v>57393</v>
      </c>
      <c r="B88" s="1142" t="s">
        <v>58256</v>
      </c>
      <c r="C88" s="1144" t="s">
        <v>58255</v>
      </c>
      <c r="D88" s="1133">
        <v>54.5</v>
      </c>
    </row>
    <row r="89" spans="1:4" s="500" customFormat="1" ht="17.25" customHeight="1">
      <c r="A89" s="500" t="s">
        <v>57393</v>
      </c>
      <c r="B89" s="1142" t="s">
        <v>58254</v>
      </c>
      <c r="C89" s="1144" t="s">
        <v>57902</v>
      </c>
      <c r="D89" s="1133">
        <v>71.399999999999991</v>
      </c>
    </row>
    <row r="90" spans="1:4" s="500" customFormat="1" ht="17.25" customHeight="1">
      <c r="A90" s="500" t="s">
        <v>57393</v>
      </c>
      <c r="B90" s="1142" t="s">
        <v>58253</v>
      </c>
      <c r="C90" s="1144" t="s">
        <v>58252</v>
      </c>
      <c r="D90" s="1133">
        <v>45.5</v>
      </c>
    </row>
    <row r="91" spans="1:4" s="500" customFormat="1" ht="17.25" customHeight="1">
      <c r="A91" s="500" t="s">
        <v>57393</v>
      </c>
      <c r="B91" s="1142" t="s">
        <v>58251</v>
      </c>
      <c r="C91" s="1144" t="s">
        <v>58250</v>
      </c>
      <c r="D91" s="1133">
        <v>21.6</v>
      </c>
    </row>
    <row r="92" spans="1:4" s="500" customFormat="1" ht="17.25" customHeight="1">
      <c r="A92" s="500" t="s">
        <v>57393</v>
      </c>
      <c r="B92" s="1142" t="s">
        <v>58249</v>
      </c>
      <c r="C92" s="1144" t="s">
        <v>58248</v>
      </c>
      <c r="D92" s="1133">
        <v>121.1</v>
      </c>
    </row>
    <row r="93" spans="1:4" s="500" customFormat="1" ht="17.25" customHeight="1">
      <c r="A93" s="500" t="s">
        <v>57393</v>
      </c>
      <c r="B93" s="1142" t="s">
        <v>58247</v>
      </c>
      <c r="C93" s="1144" t="s">
        <v>57525</v>
      </c>
      <c r="D93" s="1133">
        <v>74.5</v>
      </c>
    </row>
    <row r="94" spans="1:4" s="500" customFormat="1" ht="17.25" customHeight="1">
      <c r="A94" s="500" t="s">
        <v>57410</v>
      </c>
      <c r="B94" s="1142" t="s">
        <v>58246</v>
      </c>
      <c r="C94" s="1144" t="s">
        <v>58245</v>
      </c>
      <c r="D94" s="1133">
        <v>80.099999999999994</v>
      </c>
    </row>
    <row r="95" spans="1:4" s="500" customFormat="1" ht="17.25" customHeight="1">
      <c r="A95" s="500" t="s">
        <v>57410</v>
      </c>
      <c r="B95" s="1142" t="s">
        <v>58244</v>
      </c>
      <c r="C95" s="1144" t="s">
        <v>58243</v>
      </c>
      <c r="D95" s="1133">
        <v>661.9</v>
      </c>
    </row>
    <row r="96" spans="1:4" s="500" customFormat="1" ht="17.25" customHeight="1">
      <c r="A96" s="500" t="s">
        <v>57410</v>
      </c>
      <c r="B96" s="1142" t="s">
        <v>58242</v>
      </c>
      <c r="C96" s="1144" t="s">
        <v>58241</v>
      </c>
      <c r="D96" s="1133">
        <v>610.69999999999993</v>
      </c>
    </row>
    <row r="97" spans="1:4" s="500" customFormat="1" ht="17.25" customHeight="1">
      <c r="A97" s="500" t="s">
        <v>57410</v>
      </c>
      <c r="B97" s="1142" t="s">
        <v>58240</v>
      </c>
      <c r="C97" s="1144" t="s">
        <v>58239</v>
      </c>
      <c r="D97" s="1133">
        <v>358.5</v>
      </c>
    </row>
    <row r="98" spans="1:4" s="500" customFormat="1" ht="17.25" customHeight="1">
      <c r="A98" s="500" t="s">
        <v>57410</v>
      </c>
      <c r="B98" s="1135" t="s">
        <v>58238</v>
      </c>
      <c r="C98" s="1134" t="s">
        <v>58237</v>
      </c>
      <c r="D98" s="1133">
        <v>292</v>
      </c>
    </row>
    <row r="99" spans="1:4" s="500" customFormat="1" ht="17.25" customHeight="1">
      <c r="A99" s="500" t="s">
        <v>57393</v>
      </c>
      <c r="B99" s="1135" t="s">
        <v>58236</v>
      </c>
      <c r="C99" s="1134" t="s">
        <v>58235</v>
      </c>
      <c r="D99" s="1133">
        <v>336.40000000000003</v>
      </c>
    </row>
    <row r="100" spans="1:4" s="500" customFormat="1" ht="17.25" customHeight="1">
      <c r="A100" s="500" t="s">
        <v>57393</v>
      </c>
      <c r="B100" s="1135" t="s">
        <v>58234</v>
      </c>
      <c r="C100" s="1134" t="s">
        <v>58233</v>
      </c>
      <c r="D100" s="1133">
        <v>292</v>
      </c>
    </row>
    <row r="101" spans="1:4" s="500" customFormat="1" ht="17.25" customHeight="1">
      <c r="A101" s="500" t="s">
        <v>57393</v>
      </c>
      <c r="B101" s="1135" t="s">
        <v>58232</v>
      </c>
      <c r="C101" s="1134" t="s">
        <v>58231</v>
      </c>
      <c r="D101" s="1133">
        <v>98.7</v>
      </c>
    </row>
    <row r="102" spans="1:4" s="500" customFormat="1" ht="17.25" customHeight="1">
      <c r="A102" s="500" t="s">
        <v>57393</v>
      </c>
      <c r="B102" s="1135" t="s">
        <v>58230</v>
      </c>
      <c r="C102" s="1134" t="s">
        <v>58229</v>
      </c>
      <c r="D102" s="1133">
        <v>54.5</v>
      </c>
    </row>
    <row r="103" spans="1:4" s="500" customFormat="1" ht="17.25" customHeight="1">
      <c r="A103" s="500" t="s">
        <v>57393</v>
      </c>
      <c r="B103" s="1135" t="s">
        <v>57710</v>
      </c>
      <c r="C103" s="1134" t="s">
        <v>58158</v>
      </c>
      <c r="D103" s="1133">
        <v>101.10000000000001</v>
      </c>
    </row>
    <row r="104" spans="1:4" s="500" customFormat="1" ht="17.25" customHeight="1">
      <c r="A104" s="500" t="s">
        <v>57393</v>
      </c>
      <c r="B104" s="1135" t="s">
        <v>58228</v>
      </c>
      <c r="C104" s="1134" t="s">
        <v>58227</v>
      </c>
      <c r="D104" s="1133">
        <v>372.40000000000003</v>
      </c>
    </row>
    <row r="105" spans="1:4" s="500" customFormat="1" ht="17.25" customHeight="1">
      <c r="A105" s="500" t="s">
        <v>57393</v>
      </c>
      <c r="B105" s="1135" t="s">
        <v>58226</v>
      </c>
      <c r="C105" s="1134" t="s">
        <v>58225</v>
      </c>
      <c r="D105" s="1133">
        <v>416.8</v>
      </c>
    </row>
    <row r="106" spans="1:4" s="500" customFormat="1" ht="17.25" customHeight="1">
      <c r="A106" s="500" t="s">
        <v>57393</v>
      </c>
      <c r="B106" s="1135" t="s">
        <v>58224</v>
      </c>
      <c r="C106" s="1134" t="s">
        <v>58223</v>
      </c>
      <c r="D106" s="1133">
        <v>406.7</v>
      </c>
    </row>
    <row r="107" spans="1:4" s="500" customFormat="1" ht="17.25" customHeight="1">
      <c r="B107" s="1135" t="s">
        <v>58216</v>
      </c>
      <c r="C107" s="1134" t="s">
        <v>58215</v>
      </c>
      <c r="D107" s="1133">
        <v>157.19999999999999</v>
      </c>
    </row>
    <row r="108" spans="1:4" s="500" customFormat="1" ht="17.25" customHeight="1">
      <c r="B108" s="1135" t="s">
        <v>58214</v>
      </c>
      <c r="C108" s="1134" t="s">
        <v>58213</v>
      </c>
      <c r="D108" s="1133">
        <v>271.7</v>
      </c>
    </row>
    <row r="109" spans="1:4" s="500" customFormat="1" ht="17.25" customHeight="1">
      <c r="B109" s="1135" t="s">
        <v>58222</v>
      </c>
      <c r="C109" s="1134" t="s">
        <v>58221</v>
      </c>
      <c r="D109" s="1133">
        <v>448.20000000000005</v>
      </c>
    </row>
    <row r="110" spans="1:4" s="500" customFormat="1" ht="17.25" customHeight="1">
      <c r="A110" s="500" t="s">
        <v>57410</v>
      </c>
      <c r="B110" s="1135" t="s">
        <v>58220</v>
      </c>
      <c r="C110" s="1134" t="s">
        <v>58219</v>
      </c>
      <c r="D110" s="1133">
        <v>492.6</v>
      </c>
    </row>
    <row r="111" spans="1:4" s="500" customFormat="1" ht="17.25" customHeight="1">
      <c r="A111" s="500" t="s">
        <v>57410</v>
      </c>
      <c r="B111" s="1135" t="s">
        <v>58218</v>
      </c>
      <c r="C111" s="1134" t="s">
        <v>58217</v>
      </c>
      <c r="D111" s="1133">
        <v>448.20000000000005</v>
      </c>
    </row>
    <row r="112" spans="1:4" s="500" customFormat="1" ht="17.25" customHeight="1">
      <c r="B112" s="1135" t="s">
        <v>58216</v>
      </c>
      <c r="C112" s="1134" t="s">
        <v>58215</v>
      </c>
      <c r="D112" s="1133">
        <v>157.19999999999999</v>
      </c>
    </row>
    <row r="113" spans="1:6" s="1140" customFormat="1" ht="17.25" customHeight="1">
      <c r="A113" s="1140" t="s">
        <v>57393</v>
      </c>
      <c r="B113" s="1135" t="s">
        <v>58214</v>
      </c>
      <c r="C113" s="1134" t="s">
        <v>58213</v>
      </c>
      <c r="D113" s="1133">
        <v>271.7</v>
      </c>
    </row>
    <row r="114" spans="1:6" s="500" customFormat="1" ht="17.25" customHeight="1">
      <c r="A114" s="500" t="s">
        <v>57393</v>
      </c>
      <c r="B114" s="1135" t="s">
        <v>58212</v>
      </c>
      <c r="C114" s="1134" t="s">
        <v>58210</v>
      </c>
      <c r="D114" s="1133">
        <v>716.69999999999993</v>
      </c>
    </row>
    <row r="115" spans="1:6" s="500" customFormat="1" ht="17.25" customHeight="1">
      <c r="A115" s="500" t="s">
        <v>57393</v>
      </c>
      <c r="B115" s="1135" t="s">
        <v>58211</v>
      </c>
      <c r="C115" s="1134" t="s">
        <v>58210</v>
      </c>
      <c r="D115" s="1133">
        <v>716.69999999999993</v>
      </c>
    </row>
    <row r="116" spans="1:6" s="500" customFormat="1" ht="17.25" customHeight="1">
      <c r="A116" s="500" t="s">
        <v>57393</v>
      </c>
      <c r="B116" s="1135" t="s">
        <v>58209</v>
      </c>
      <c r="C116" s="1134" t="s">
        <v>58208</v>
      </c>
      <c r="D116" s="1133">
        <v>950.6</v>
      </c>
    </row>
    <row r="117" spans="1:6" s="500" customFormat="1" ht="17.25" customHeight="1">
      <c r="A117" s="500" t="s">
        <v>57393</v>
      </c>
      <c r="B117" s="1135" t="s">
        <v>58207</v>
      </c>
      <c r="C117" s="1134" t="s">
        <v>58206</v>
      </c>
      <c r="D117" s="1133">
        <v>106.6</v>
      </c>
    </row>
    <row r="118" spans="1:6" s="500" customFormat="1" ht="17.25" customHeight="1">
      <c r="A118" s="500" t="s">
        <v>57393</v>
      </c>
      <c r="B118" s="1135" t="s">
        <v>58205</v>
      </c>
      <c r="C118" s="1134" t="s">
        <v>58204</v>
      </c>
      <c r="D118" s="1133">
        <v>106.6</v>
      </c>
    </row>
    <row r="119" spans="1:6" s="500" customFormat="1" ht="17.25" customHeight="1">
      <c r="A119" s="500" t="s">
        <v>57393</v>
      </c>
      <c r="B119" s="1135" t="s">
        <v>57702</v>
      </c>
      <c r="C119" s="1134" t="s">
        <v>58188</v>
      </c>
      <c r="D119" s="1133">
        <v>115.80000000000001</v>
      </c>
    </row>
    <row r="120" spans="1:6" s="500" customFormat="1" ht="17.25" customHeight="1">
      <c r="A120" s="500" t="s">
        <v>57393</v>
      </c>
      <c r="B120" s="1135" t="s">
        <v>57700</v>
      </c>
      <c r="C120" s="1134" t="s">
        <v>58187</v>
      </c>
      <c r="D120" s="1133">
        <v>115.30000000000001</v>
      </c>
    </row>
    <row r="121" spans="1:6" s="500" customFormat="1" ht="17.25" customHeight="1">
      <c r="A121" s="500" t="s">
        <v>57393</v>
      </c>
      <c r="B121" s="1135" t="s">
        <v>58203</v>
      </c>
      <c r="C121" s="1134" t="s">
        <v>58202</v>
      </c>
      <c r="D121" s="1133">
        <v>974.9</v>
      </c>
    </row>
    <row r="122" spans="1:6" s="500" customFormat="1" ht="17.25" customHeight="1">
      <c r="A122" s="500" t="s">
        <v>57393</v>
      </c>
      <c r="B122" s="1135" t="s">
        <v>58201</v>
      </c>
      <c r="C122" s="1134" t="s">
        <v>58200</v>
      </c>
      <c r="D122" s="1133">
        <v>974.9</v>
      </c>
    </row>
    <row r="123" spans="1:6" s="500" customFormat="1" ht="17.25" customHeight="1">
      <c r="A123" s="500" t="s">
        <v>57393</v>
      </c>
      <c r="B123" s="1135" t="s">
        <v>58199</v>
      </c>
      <c r="C123" s="1134" t="s">
        <v>58198</v>
      </c>
      <c r="D123" s="1133">
        <v>209.9</v>
      </c>
    </row>
    <row r="124" spans="1:6" s="500" customFormat="1" ht="17.25" customHeight="1">
      <c r="A124" s="500" t="s">
        <v>57393</v>
      </c>
      <c r="B124" s="1135" t="s">
        <v>58197</v>
      </c>
      <c r="C124" s="1134" t="s">
        <v>58196</v>
      </c>
      <c r="D124" s="1133">
        <v>196.29999999999998</v>
      </c>
    </row>
    <row r="125" spans="1:6" s="500" customFormat="1" ht="17.25" customHeight="1">
      <c r="A125" s="500" t="s">
        <v>57393</v>
      </c>
      <c r="B125" s="1135" t="s">
        <v>57702</v>
      </c>
      <c r="C125" s="1134" t="s">
        <v>58188</v>
      </c>
      <c r="D125" s="1133">
        <v>115.80000000000001</v>
      </c>
    </row>
    <row r="126" spans="1:6" s="500" customFormat="1" ht="17.25" customHeight="1">
      <c r="A126" s="500" t="s">
        <v>57393</v>
      </c>
      <c r="B126" s="1135" t="s">
        <v>57700</v>
      </c>
      <c r="C126" s="1134" t="s">
        <v>58187</v>
      </c>
      <c r="D126" s="1133">
        <v>115.30000000000001</v>
      </c>
    </row>
    <row r="127" spans="1:6" s="500" customFormat="1" ht="17.25" customHeight="1">
      <c r="B127" s="1135" t="s">
        <v>58195</v>
      </c>
      <c r="C127" s="1134" t="s">
        <v>58194</v>
      </c>
      <c r="D127" s="1133">
        <v>571.5</v>
      </c>
    </row>
    <row r="128" spans="1:6" s="500" customFormat="1" ht="17.25" customHeight="1">
      <c r="B128" s="1135" t="s">
        <v>58193</v>
      </c>
      <c r="C128" s="1134" t="s">
        <v>58192</v>
      </c>
      <c r="D128" s="1133">
        <v>571.5</v>
      </c>
      <c r="F128" s="500" t="s">
        <v>58191</v>
      </c>
    </row>
    <row r="129" spans="1:4" s="500" customFormat="1" ht="17.25" customHeight="1">
      <c r="B129" s="1135" t="s">
        <v>58190</v>
      </c>
      <c r="C129" s="1134" t="s">
        <v>58189</v>
      </c>
      <c r="D129" s="1133">
        <v>74.7</v>
      </c>
    </row>
    <row r="130" spans="1:4" s="500" customFormat="1" ht="17.25" customHeight="1">
      <c r="B130" s="1135" t="s">
        <v>57706</v>
      </c>
      <c r="C130" s="1134" t="s">
        <v>58188</v>
      </c>
      <c r="D130" s="1133">
        <v>102.4</v>
      </c>
    </row>
    <row r="131" spans="1:4" s="500" customFormat="1" ht="17.25" customHeight="1">
      <c r="B131" s="1135" t="s">
        <v>57704</v>
      </c>
      <c r="C131" s="1134" t="s">
        <v>58187</v>
      </c>
      <c r="D131" s="1133">
        <v>102.4</v>
      </c>
    </row>
    <row r="132" spans="1:4" s="500" customFormat="1" ht="17.25" customHeight="1">
      <c r="B132" s="1135" t="s">
        <v>58186</v>
      </c>
      <c r="C132" s="1134" t="s">
        <v>58185</v>
      </c>
      <c r="D132" s="1133">
        <v>505.3</v>
      </c>
    </row>
    <row r="133" spans="1:4" s="500" customFormat="1" ht="17.25" customHeight="1">
      <c r="B133" s="1135" t="s">
        <v>58184</v>
      </c>
      <c r="C133" s="1134" t="s">
        <v>58183</v>
      </c>
      <c r="D133" s="1133">
        <v>545.6</v>
      </c>
    </row>
    <row r="134" spans="1:4" s="500" customFormat="1" ht="17.25" customHeight="1">
      <c r="B134" s="1135" t="s">
        <v>58182</v>
      </c>
      <c r="C134" s="1134" t="s">
        <v>58181</v>
      </c>
      <c r="D134" s="1133">
        <v>643.30000000000007</v>
      </c>
    </row>
    <row r="135" spans="1:4" s="500" customFormat="1" ht="17.25" customHeight="1">
      <c r="B135" s="1135" t="s">
        <v>58180</v>
      </c>
      <c r="C135" s="1134" t="s">
        <v>58179</v>
      </c>
      <c r="D135" s="1133">
        <v>603.20000000000005</v>
      </c>
    </row>
    <row r="136" spans="1:4" s="500" customFormat="1" ht="17.25" customHeight="1">
      <c r="A136" s="500" t="s">
        <v>57393</v>
      </c>
      <c r="B136" s="1135" t="s">
        <v>58178</v>
      </c>
      <c r="C136" s="1134" t="s">
        <v>58177</v>
      </c>
      <c r="D136" s="1133">
        <v>643.30000000000007</v>
      </c>
    </row>
    <row r="137" spans="1:4" s="500" customFormat="1" ht="17.25" customHeight="1">
      <c r="A137" s="500" t="s">
        <v>57393</v>
      </c>
      <c r="B137" s="1135" t="s">
        <v>58176</v>
      </c>
      <c r="C137" s="1134" t="s">
        <v>58175</v>
      </c>
      <c r="D137" s="1133">
        <v>603.20000000000005</v>
      </c>
    </row>
    <row r="138" spans="1:4" s="500" customFormat="1" ht="17.25" customHeight="1">
      <c r="A138" s="500" t="s">
        <v>57393</v>
      </c>
      <c r="B138" s="1135" t="s">
        <v>58174</v>
      </c>
      <c r="C138" s="1134" t="s">
        <v>58173</v>
      </c>
      <c r="D138" s="1133">
        <v>643.30000000000007</v>
      </c>
    </row>
    <row r="139" spans="1:4" s="500" customFormat="1" ht="17.25" customHeight="1">
      <c r="A139" s="500" t="s">
        <v>57393</v>
      </c>
      <c r="B139" s="1135" t="s">
        <v>58172</v>
      </c>
      <c r="C139" s="1134" t="s">
        <v>58171</v>
      </c>
      <c r="D139" s="1133">
        <v>518.6</v>
      </c>
    </row>
    <row r="140" spans="1:4" s="500" customFormat="1" ht="17.25" customHeight="1">
      <c r="A140" s="500" t="s">
        <v>57393</v>
      </c>
      <c r="B140" s="1135" t="s">
        <v>58170</v>
      </c>
      <c r="C140" s="1134" t="s">
        <v>58169</v>
      </c>
      <c r="D140" s="1133">
        <v>558.9</v>
      </c>
    </row>
    <row r="141" spans="1:4" s="500" customFormat="1" ht="17.25" customHeight="1">
      <c r="A141" s="500" t="s">
        <v>57393</v>
      </c>
      <c r="B141" s="1135" t="s">
        <v>58168</v>
      </c>
      <c r="C141" s="1134" t="s">
        <v>58167</v>
      </c>
      <c r="D141" s="1133">
        <v>348.1</v>
      </c>
    </row>
    <row r="142" spans="1:4" s="500" customFormat="1" ht="17.25" customHeight="1">
      <c r="A142" s="500" t="s">
        <v>57393</v>
      </c>
      <c r="B142" s="1135" t="s">
        <v>58166</v>
      </c>
      <c r="C142" s="1134" t="s">
        <v>58165</v>
      </c>
      <c r="D142" s="1133">
        <v>348.1</v>
      </c>
    </row>
    <row r="143" spans="1:4" s="500" customFormat="1" ht="17.25" customHeight="1">
      <c r="A143" s="500" t="s">
        <v>57393</v>
      </c>
      <c r="B143" s="1135" t="s">
        <v>58164</v>
      </c>
      <c r="C143" s="1134" t="s">
        <v>58163</v>
      </c>
      <c r="D143" s="1133">
        <v>427.9</v>
      </c>
    </row>
    <row r="144" spans="1:4" s="500" customFormat="1" ht="17.25" customHeight="1">
      <c r="A144" s="500" t="s">
        <v>57393</v>
      </c>
      <c r="B144" s="1135" t="s">
        <v>58162</v>
      </c>
      <c r="C144" s="1134" t="s">
        <v>58161</v>
      </c>
      <c r="D144" s="1133">
        <v>427.9</v>
      </c>
    </row>
    <row r="145" spans="1:4" s="500" customFormat="1" ht="17.25" customHeight="1">
      <c r="A145" s="500" t="s">
        <v>57393</v>
      </c>
      <c r="B145" s="1135" t="s">
        <v>58160</v>
      </c>
      <c r="C145" s="1134" t="s">
        <v>58159</v>
      </c>
      <c r="D145" s="1133">
        <v>83.800000000000011</v>
      </c>
    </row>
    <row r="146" spans="1:4" s="500" customFormat="1" ht="17.25" customHeight="1">
      <c r="A146" s="500" t="s">
        <v>57393</v>
      </c>
      <c r="B146" s="1135" t="s">
        <v>57698</v>
      </c>
      <c r="C146" s="1134" t="s">
        <v>58158</v>
      </c>
      <c r="D146" s="1133">
        <v>149.10000000000002</v>
      </c>
    </row>
    <row r="147" spans="1:4" s="500" customFormat="1" ht="17.25" customHeight="1">
      <c r="A147" s="500" t="s">
        <v>57393</v>
      </c>
      <c r="B147" s="1135" t="s">
        <v>58157</v>
      </c>
      <c r="C147" s="1134" t="s">
        <v>57965</v>
      </c>
      <c r="D147" s="1133">
        <v>224.8</v>
      </c>
    </row>
    <row r="148" spans="1:4" s="500" customFormat="1" ht="17.25" customHeight="1">
      <c r="A148" s="500" t="s">
        <v>57393</v>
      </c>
      <c r="B148" s="1135" t="s">
        <v>57943</v>
      </c>
      <c r="C148" s="1134" t="s">
        <v>58156</v>
      </c>
      <c r="D148" s="1133">
        <v>315.2</v>
      </c>
    </row>
    <row r="149" spans="1:4" s="500" customFormat="1" ht="17.25" customHeight="1">
      <c r="A149" s="500" t="s">
        <v>57393</v>
      </c>
      <c r="B149" s="1135" t="s">
        <v>58155</v>
      </c>
      <c r="C149" s="1134" t="s">
        <v>58154</v>
      </c>
      <c r="D149" s="1133">
        <v>149.70000000000002</v>
      </c>
    </row>
    <row r="150" spans="1:4" s="500" customFormat="1" ht="17.25" customHeight="1">
      <c r="A150" s="500" t="s">
        <v>57393</v>
      </c>
      <c r="B150" s="1135" t="s">
        <v>58153</v>
      </c>
      <c r="C150" s="1134" t="s">
        <v>58152</v>
      </c>
      <c r="D150" s="1133">
        <v>149.70000000000002</v>
      </c>
    </row>
    <row r="151" spans="1:4" s="500" customFormat="1" ht="17.25" customHeight="1">
      <c r="A151" s="500" t="s">
        <v>57393</v>
      </c>
      <c r="B151" s="1135" t="s">
        <v>58151</v>
      </c>
      <c r="C151" s="1134" t="s">
        <v>58150</v>
      </c>
      <c r="D151" s="1133">
        <v>149.70000000000002</v>
      </c>
    </row>
    <row r="152" spans="1:4" s="500" customFormat="1" ht="17.25" customHeight="1">
      <c r="A152" s="500" t="s">
        <v>57393</v>
      </c>
      <c r="B152" s="1135" t="s">
        <v>58149</v>
      </c>
      <c r="C152" s="1134" t="s">
        <v>58148</v>
      </c>
      <c r="D152" s="1133">
        <v>149.70000000000002</v>
      </c>
    </row>
    <row r="153" spans="1:4" s="500" customFormat="1" ht="17.25" customHeight="1">
      <c r="A153" s="500" t="s">
        <v>57393</v>
      </c>
      <c r="B153" s="1135" t="s">
        <v>58147</v>
      </c>
      <c r="C153" s="1134" t="s">
        <v>58146</v>
      </c>
      <c r="D153" s="1133">
        <v>149.70000000000002</v>
      </c>
    </row>
    <row r="154" spans="1:4" s="500" customFormat="1" ht="17.25" customHeight="1">
      <c r="A154" s="500" t="s">
        <v>57393</v>
      </c>
      <c r="B154" s="1135" t="s">
        <v>58145</v>
      </c>
      <c r="C154" s="1134" t="s">
        <v>58144</v>
      </c>
      <c r="D154" s="1133">
        <v>149.70000000000002</v>
      </c>
    </row>
    <row r="155" spans="1:4" s="500" customFormat="1" ht="17.25" customHeight="1">
      <c r="A155" s="500" t="s">
        <v>57393</v>
      </c>
      <c r="B155" s="1135" t="s">
        <v>58143</v>
      </c>
      <c r="C155" s="1134" t="s">
        <v>58142</v>
      </c>
      <c r="D155" s="1133">
        <v>161.79999999999998</v>
      </c>
    </row>
    <row r="156" spans="1:4" s="500" customFormat="1" ht="17.25" customHeight="1">
      <c r="A156" s="500" t="s">
        <v>57393</v>
      </c>
      <c r="B156" s="1135" t="s">
        <v>58141</v>
      </c>
      <c r="C156" s="1134" t="s">
        <v>58140</v>
      </c>
      <c r="D156" s="1133">
        <v>161.79999999999998</v>
      </c>
    </row>
    <row r="157" spans="1:4" s="500" customFormat="1" ht="17.25" customHeight="1">
      <c r="A157" s="500" t="s">
        <v>57393</v>
      </c>
      <c r="B157" s="1135" t="s">
        <v>58139</v>
      </c>
      <c r="C157" s="1134" t="s">
        <v>58138</v>
      </c>
      <c r="D157" s="1133">
        <v>161.79999999999998</v>
      </c>
    </row>
    <row r="158" spans="1:4" s="500" customFormat="1" ht="17.25" customHeight="1">
      <c r="A158" s="500" t="s">
        <v>57393</v>
      </c>
      <c r="B158" s="1135" t="s">
        <v>58137</v>
      </c>
      <c r="C158" s="1134" t="s">
        <v>58136</v>
      </c>
      <c r="D158" s="1133">
        <v>161.79999999999998</v>
      </c>
    </row>
    <row r="159" spans="1:4" s="500" customFormat="1" ht="17.25" customHeight="1">
      <c r="A159" s="500" t="s">
        <v>57393</v>
      </c>
      <c r="B159" s="1135" t="s">
        <v>58135</v>
      </c>
      <c r="C159" s="1134" t="s">
        <v>58134</v>
      </c>
      <c r="D159" s="1133">
        <v>161.79999999999998</v>
      </c>
    </row>
    <row r="160" spans="1:4" s="500" customFormat="1" ht="17.25" customHeight="1">
      <c r="A160" s="500" t="s">
        <v>57393</v>
      </c>
      <c r="B160" s="1135" t="s">
        <v>58133</v>
      </c>
      <c r="C160" s="1134" t="s">
        <v>58132</v>
      </c>
      <c r="D160" s="1133">
        <v>161.79999999999998</v>
      </c>
    </row>
    <row r="161" spans="2:4" s="500" customFormat="1" ht="17.25" customHeight="1">
      <c r="B161" s="1135" t="s">
        <v>58131</v>
      </c>
      <c r="C161" s="1134" t="s">
        <v>58130</v>
      </c>
      <c r="D161" s="1133">
        <v>246.39999999999998</v>
      </c>
    </row>
    <row r="162" spans="2:4" s="500" customFormat="1" ht="17.25" customHeight="1">
      <c r="B162" s="1135" t="s">
        <v>58129</v>
      </c>
      <c r="C162" s="1134" t="s">
        <v>58128</v>
      </c>
      <c r="D162" s="1133">
        <v>246.39999999999998</v>
      </c>
    </row>
    <row r="163" spans="2:4" s="500" customFormat="1" ht="17.25" customHeight="1">
      <c r="B163" s="1135" t="s">
        <v>58127</v>
      </c>
      <c r="C163" s="1134" t="s">
        <v>58126</v>
      </c>
      <c r="D163" s="1133">
        <v>246.39999999999998</v>
      </c>
    </row>
    <row r="164" spans="2:4" s="500" customFormat="1" ht="17.25" customHeight="1">
      <c r="B164" s="1135" t="s">
        <v>58125</v>
      </c>
      <c r="C164" s="1134" t="s">
        <v>58124</v>
      </c>
      <c r="D164" s="1133">
        <v>246.39999999999998</v>
      </c>
    </row>
    <row r="165" spans="2:4" s="500" customFormat="1" ht="17.25" customHeight="1">
      <c r="B165" s="1135" t="s">
        <v>58123</v>
      </c>
      <c r="C165" s="1134" t="s">
        <v>58122</v>
      </c>
      <c r="D165" s="1133">
        <v>246.39999999999998</v>
      </c>
    </row>
    <row r="166" spans="2:4" s="500" customFormat="1" ht="17.25" customHeight="1">
      <c r="B166" s="1135" t="s">
        <v>58121</v>
      </c>
      <c r="C166" s="1134" t="s">
        <v>58120</v>
      </c>
      <c r="D166" s="1133">
        <v>246.39999999999998</v>
      </c>
    </row>
    <row r="167" spans="2:4" s="500" customFormat="1" ht="17.25" customHeight="1">
      <c r="B167" s="1135" t="s">
        <v>58119</v>
      </c>
      <c r="C167" s="1134" t="s">
        <v>58118</v>
      </c>
      <c r="D167" s="1133">
        <v>246.39999999999998</v>
      </c>
    </row>
    <row r="168" spans="2:4" s="500" customFormat="1" ht="17.25" customHeight="1">
      <c r="B168" s="1135" t="s">
        <v>58117</v>
      </c>
      <c r="C168" s="1134" t="s">
        <v>58116</v>
      </c>
      <c r="D168" s="1133">
        <v>246.39999999999998</v>
      </c>
    </row>
    <row r="169" spans="2:4" s="500" customFormat="1" ht="17.25" customHeight="1">
      <c r="B169" s="1135" t="s">
        <v>58115</v>
      </c>
      <c r="C169" s="1134" t="s">
        <v>58114</v>
      </c>
      <c r="D169" s="1133">
        <v>246.39999999999998</v>
      </c>
    </row>
    <row r="170" spans="2:4" s="500" customFormat="1" ht="17.25" customHeight="1">
      <c r="B170" s="1135" t="s">
        <v>58113</v>
      </c>
      <c r="C170" s="1134" t="s">
        <v>58112</v>
      </c>
      <c r="D170" s="1133">
        <v>246.39999999999998</v>
      </c>
    </row>
    <row r="171" spans="2:4" s="500" customFormat="1" ht="17.25" customHeight="1">
      <c r="B171" s="1135" t="s">
        <v>58111</v>
      </c>
      <c r="C171" s="1134" t="s">
        <v>58110</v>
      </c>
      <c r="D171" s="1133">
        <v>246.39999999999998</v>
      </c>
    </row>
    <row r="172" spans="2:4" s="500" customFormat="1" ht="17.25" customHeight="1">
      <c r="B172" s="1135" t="s">
        <v>58109</v>
      </c>
      <c r="C172" s="1134" t="s">
        <v>58108</v>
      </c>
      <c r="D172" s="1133">
        <v>246.39999999999998</v>
      </c>
    </row>
    <row r="173" spans="2:4" s="500" customFormat="1" ht="17.25" customHeight="1">
      <c r="B173" s="1135" t="s">
        <v>58107</v>
      </c>
      <c r="C173" s="1134" t="s">
        <v>58106</v>
      </c>
      <c r="D173" s="1133">
        <v>246.39999999999998</v>
      </c>
    </row>
    <row r="174" spans="2:4" s="500" customFormat="1" ht="17.25" customHeight="1">
      <c r="B174" s="1135" t="s">
        <v>58105</v>
      </c>
      <c r="C174" s="1134" t="s">
        <v>58104</v>
      </c>
      <c r="D174" s="1133">
        <v>246.39999999999998</v>
      </c>
    </row>
    <row r="175" spans="2:4" s="500" customFormat="1" ht="17.25" customHeight="1">
      <c r="B175" s="1135" t="s">
        <v>58103</v>
      </c>
      <c r="C175" s="1134" t="s">
        <v>58102</v>
      </c>
      <c r="D175" s="1133">
        <v>246.39999999999998</v>
      </c>
    </row>
    <row r="176" spans="2:4" s="500" customFormat="1" ht="17.25" customHeight="1">
      <c r="B176" s="1135" t="s">
        <v>58101</v>
      </c>
      <c r="C176" s="1134" t="s">
        <v>58100</v>
      </c>
      <c r="D176" s="1133">
        <v>246.39999999999998</v>
      </c>
    </row>
    <row r="177" spans="1:4" s="500" customFormat="1" ht="17.25" customHeight="1">
      <c r="B177" s="1135" t="s">
        <v>58099</v>
      </c>
      <c r="C177" s="1134" t="s">
        <v>58098</v>
      </c>
      <c r="D177" s="1133">
        <v>246.39999999999998</v>
      </c>
    </row>
    <row r="178" spans="1:4" s="500" customFormat="1" ht="17.25" customHeight="1">
      <c r="B178" s="1135" t="s">
        <v>58097</v>
      </c>
      <c r="C178" s="1134" t="s">
        <v>58096</v>
      </c>
      <c r="D178" s="1133">
        <v>246.39999999999998</v>
      </c>
    </row>
    <row r="179" spans="1:4" s="500" customFormat="1" ht="17.25" customHeight="1">
      <c r="B179" s="1135" t="s">
        <v>58095</v>
      </c>
      <c r="C179" s="1134" t="s">
        <v>58094</v>
      </c>
      <c r="D179" s="1133">
        <v>246.39999999999998</v>
      </c>
    </row>
    <row r="180" spans="1:4" s="500" customFormat="1" ht="17.25" customHeight="1">
      <c r="B180" s="1135" t="s">
        <v>58093</v>
      </c>
      <c r="C180" s="1134" t="s">
        <v>58092</v>
      </c>
      <c r="D180" s="1133">
        <v>246.39999999999998</v>
      </c>
    </row>
    <row r="181" spans="1:4" s="500" customFormat="1" ht="17.25" customHeight="1">
      <c r="B181" s="1135" t="s">
        <v>58091</v>
      </c>
      <c r="C181" s="1134" t="s">
        <v>58090</v>
      </c>
      <c r="D181" s="1133">
        <v>246.7</v>
      </c>
    </row>
    <row r="182" spans="1:4" s="500" customFormat="1" ht="17.25" customHeight="1">
      <c r="B182" s="1135" t="s">
        <v>58089</v>
      </c>
      <c r="C182" s="1134" t="s">
        <v>58088</v>
      </c>
      <c r="D182" s="1133">
        <v>246.39999999999998</v>
      </c>
    </row>
    <row r="183" spans="1:4" s="500" customFormat="1" ht="17.25" customHeight="1">
      <c r="B183" s="1135" t="s">
        <v>58087</v>
      </c>
      <c r="C183" s="1134" t="s">
        <v>58086</v>
      </c>
      <c r="D183" s="1133">
        <v>246.39999999999998</v>
      </c>
    </row>
    <row r="184" spans="1:4" s="500" customFormat="1" ht="17.25" customHeight="1">
      <c r="B184" s="1135" t="s">
        <v>58085</v>
      </c>
      <c r="C184" s="1134" t="s">
        <v>58084</v>
      </c>
      <c r="D184" s="1133">
        <v>246.39999999999998</v>
      </c>
    </row>
    <row r="185" spans="1:4" s="500" customFormat="1" ht="17.25" customHeight="1">
      <c r="A185" s="500" t="s">
        <v>57393</v>
      </c>
      <c r="B185" s="1135" t="s">
        <v>58083</v>
      </c>
      <c r="C185" s="1134" t="s">
        <v>58082</v>
      </c>
      <c r="D185" s="1133">
        <v>43.8</v>
      </c>
    </row>
    <row r="186" spans="1:4" s="500" customFormat="1" ht="17.25" customHeight="1">
      <c r="B186" s="1135" t="s">
        <v>58081</v>
      </c>
      <c r="C186" s="1134" t="s">
        <v>58080</v>
      </c>
      <c r="D186" s="1133">
        <v>43.8</v>
      </c>
    </row>
    <row r="187" spans="1:4" s="500" customFormat="1" ht="17.25" customHeight="1">
      <c r="B187" s="1135" t="s">
        <v>58079</v>
      </c>
      <c r="C187" s="1134" t="s">
        <v>58078</v>
      </c>
      <c r="D187" s="1133">
        <v>43.8</v>
      </c>
    </row>
    <row r="188" spans="1:4" s="500" customFormat="1" ht="17.25" customHeight="1">
      <c r="B188" s="1135" t="s">
        <v>58077</v>
      </c>
      <c r="C188" s="1134" t="s">
        <v>58076</v>
      </c>
      <c r="D188" s="1133">
        <v>43.8</v>
      </c>
    </row>
    <row r="189" spans="1:4" s="500" customFormat="1" ht="17.25" customHeight="1">
      <c r="B189" s="1135" t="s">
        <v>58075</v>
      </c>
      <c r="C189" s="1134" t="s">
        <v>58074</v>
      </c>
      <c r="D189" s="1133">
        <v>43.8</v>
      </c>
    </row>
    <row r="190" spans="1:4" s="500" customFormat="1" ht="17.25" customHeight="1">
      <c r="B190" s="1135" t="s">
        <v>58073</v>
      </c>
      <c r="C190" s="1134" t="s">
        <v>58072</v>
      </c>
      <c r="D190" s="1133">
        <v>43.8</v>
      </c>
    </row>
    <row r="191" spans="1:4" s="500" customFormat="1" ht="17.25" customHeight="1">
      <c r="B191" s="1135" t="s">
        <v>58071</v>
      </c>
      <c r="C191" s="1134" t="s">
        <v>58070</v>
      </c>
      <c r="D191" s="1133">
        <v>43.8</v>
      </c>
    </row>
    <row r="192" spans="1:4" s="500" customFormat="1" ht="17.25" customHeight="1">
      <c r="B192" s="1135" t="s">
        <v>58069</v>
      </c>
      <c r="C192" s="1134" t="s">
        <v>58068</v>
      </c>
      <c r="D192" s="1133">
        <v>43.8</v>
      </c>
    </row>
    <row r="193" spans="1:4" s="500" customFormat="1" ht="17.25" customHeight="1">
      <c r="B193" s="1135" t="s">
        <v>58067</v>
      </c>
      <c r="C193" s="1134" t="s">
        <v>58066</v>
      </c>
      <c r="D193" s="1133">
        <v>43.8</v>
      </c>
    </row>
    <row r="194" spans="1:4" s="500" customFormat="1" ht="17.25" customHeight="1">
      <c r="B194" s="1135" t="s">
        <v>58065</v>
      </c>
      <c r="C194" s="1134" t="s">
        <v>58064</v>
      </c>
      <c r="D194" s="1133">
        <v>43.8</v>
      </c>
    </row>
    <row r="195" spans="1:4" s="500" customFormat="1" ht="17.25" customHeight="1">
      <c r="B195" s="1135" t="s">
        <v>58063</v>
      </c>
      <c r="C195" s="1134" t="s">
        <v>58062</v>
      </c>
      <c r="D195" s="1133">
        <v>43.8</v>
      </c>
    </row>
    <row r="196" spans="1:4" s="500" customFormat="1" ht="17.25" customHeight="1">
      <c r="B196" s="1135" t="s">
        <v>58061</v>
      </c>
      <c r="C196" s="1134" t="s">
        <v>58060</v>
      </c>
      <c r="D196" s="1133">
        <v>43.8</v>
      </c>
    </row>
    <row r="197" spans="1:4" s="500" customFormat="1" ht="17.25" customHeight="1">
      <c r="B197" s="1135" t="s">
        <v>58059</v>
      </c>
      <c r="C197" s="1134" t="s">
        <v>58058</v>
      </c>
      <c r="D197" s="1133">
        <v>70.8</v>
      </c>
    </row>
    <row r="198" spans="1:4" s="500" customFormat="1" ht="17.25" customHeight="1">
      <c r="A198" s="500" t="s">
        <v>57393</v>
      </c>
      <c r="B198" s="1135" t="s">
        <v>58057</v>
      </c>
      <c r="C198" s="1134" t="s">
        <v>58056</v>
      </c>
      <c r="D198" s="1133">
        <v>70.8</v>
      </c>
    </row>
    <row r="199" spans="1:4" s="500" customFormat="1" ht="17.25" customHeight="1">
      <c r="B199" s="1135" t="s">
        <v>58055</v>
      </c>
      <c r="C199" s="1134" t="s">
        <v>58054</v>
      </c>
      <c r="D199" s="1133">
        <v>70.8</v>
      </c>
    </row>
    <row r="200" spans="1:4" s="500" customFormat="1" ht="17.25" customHeight="1">
      <c r="A200" s="500" t="s">
        <v>57393</v>
      </c>
      <c r="B200" s="1135" t="s">
        <v>58053</v>
      </c>
      <c r="C200" s="1134" t="s">
        <v>58052</v>
      </c>
      <c r="D200" s="1133">
        <v>70.8</v>
      </c>
    </row>
    <row r="201" spans="1:4" s="500" customFormat="1" ht="17.25" customHeight="1">
      <c r="A201" s="500" t="s">
        <v>57393</v>
      </c>
      <c r="B201" s="1135" t="s">
        <v>58051</v>
      </c>
      <c r="C201" s="1134" t="s">
        <v>58050</v>
      </c>
      <c r="D201" s="1133">
        <v>70.8</v>
      </c>
    </row>
    <row r="202" spans="1:4" s="500" customFormat="1" ht="17.25" customHeight="1">
      <c r="A202" s="500" t="s">
        <v>57393</v>
      </c>
      <c r="B202" s="1135" t="s">
        <v>58049</v>
      </c>
      <c r="C202" s="1134" t="s">
        <v>58048</v>
      </c>
      <c r="D202" s="1133">
        <v>70.8</v>
      </c>
    </row>
    <row r="203" spans="1:4" s="500" customFormat="1" ht="17.25" customHeight="1">
      <c r="A203" s="500" t="s">
        <v>57393</v>
      </c>
      <c r="B203" s="1135" t="s">
        <v>58047</v>
      </c>
      <c r="C203" s="1134" t="s">
        <v>58046</v>
      </c>
      <c r="D203" s="1133">
        <v>78.2</v>
      </c>
    </row>
    <row r="204" spans="1:4" s="500" customFormat="1" ht="17.25" customHeight="1">
      <c r="A204" s="500" t="s">
        <v>57393</v>
      </c>
      <c r="B204" s="1135" t="s">
        <v>58045</v>
      </c>
      <c r="C204" s="1134" t="s">
        <v>58044</v>
      </c>
      <c r="D204" s="1133">
        <v>78.2</v>
      </c>
    </row>
    <row r="205" spans="1:4" s="500" customFormat="1" ht="17.25" customHeight="1">
      <c r="A205" s="500" t="s">
        <v>57393</v>
      </c>
      <c r="B205" s="1135" t="s">
        <v>58043</v>
      </c>
      <c r="C205" s="1134" t="s">
        <v>58042</v>
      </c>
      <c r="D205" s="1133">
        <v>78.2</v>
      </c>
    </row>
    <row r="206" spans="1:4" s="500" customFormat="1" ht="17.25" customHeight="1">
      <c r="A206" s="500" t="s">
        <v>57393</v>
      </c>
      <c r="B206" s="1135" t="s">
        <v>58041</v>
      </c>
      <c r="C206" s="1134" t="s">
        <v>58040</v>
      </c>
      <c r="D206" s="1133">
        <v>78.2</v>
      </c>
    </row>
    <row r="207" spans="1:4" s="500" customFormat="1" ht="17.25" customHeight="1">
      <c r="A207" s="500" t="s">
        <v>57393</v>
      </c>
      <c r="B207" s="1135" t="s">
        <v>58039</v>
      </c>
      <c r="C207" s="1134" t="s">
        <v>58038</v>
      </c>
      <c r="D207" s="1133">
        <v>78.2</v>
      </c>
    </row>
    <row r="208" spans="1:4" s="500" customFormat="1" ht="17.25" customHeight="1">
      <c r="A208" s="500" t="s">
        <v>57393</v>
      </c>
      <c r="B208" s="1135" t="s">
        <v>58037</v>
      </c>
      <c r="C208" s="1134" t="s">
        <v>58036</v>
      </c>
      <c r="D208" s="1133">
        <v>78.2</v>
      </c>
    </row>
    <row r="209" spans="1:4" s="500" customFormat="1" ht="17.25" customHeight="1">
      <c r="A209" s="500" t="s">
        <v>57393</v>
      </c>
      <c r="B209" s="1135" t="s">
        <v>58035</v>
      </c>
      <c r="C209" s="1134" t="s">
        <v>58034</v>
      </c>
      <c r="D209" s="1133">
        <v>5</v>
      </c>
    </row>
    <row r="210" spans="1:4" s="500" customFormat="1" ht="17.25" customHeight="1">
      <c r="A210" s="500" t="s">
        <v>57393</v>
      </c>
      <c r="B210" s="1135" t="s">
        <v>58033</v>
      </c>
      <c r="C210" s="1134" t="s">
        <v>58032</v>
      </c>
      <c r="D210" s="1133">
        <v>5</v>
      </c>
    </row>
    <row r="211" spans="1:4" s="500" customFormat="1" ht="17.25" customHeight="1">
      <c r="A211" s="500" t="s">
        <v>57393</v>
      </c>
      <c r="B211" s="1135" t="s">
        <v>58031</v>
      </c>
      <c r="C211" s="1134" t="s">
        <v>58030</v>
      </c>
      <c r="D211" s="1133">
        <v>5</v>
      </c>
    </row>
    <row r="212" spans="1:4" s="500" customFormat="1" ht="17.25" customHeight="1">
      <c r="A212" s="500" t="s">
        <v>57393</v>
      </c>
      <c r="B212" s="1135" t="s">
        <v>58029</v>
      </c>
      <c r="C212" s="1134" t="s">
        <v>58028</v>
      </c>
      <c r="D212" s="1133">
        <v>5</v>
      </c>
    </row>
    <row r="213" spans="1:4" s="500" customFormat="1" ht="17.25" customHeight="1">
      <c r="A213" s="500" t="s">
        <v>57393</v>
      </c>
      <c r="B213" s="1135" t="s">
        <v>58027</v>
      </c>
      <c r="C213" s="1134" t="s">
        <v>58026</v>
      </c>
      <c r="D213" s="1133">
        <v>5</v>
      </c>
    </row>
    <row r="214" spans="1:4" s="500" customFormat="1" ht="17.25" customHeight="1">
      <c r="A214" s="500" t="s">
        <v>57393</v>
      </c>
      <c r="B214" s="1135" t="s">
        <v>58025</v>
      </c>
      <c r="C214" s="1134" t="s">
        <v>58024</v>
      </c>
      <c r="D214" s="1133">
        <v>5</v>
      </c>
    </row>
    <row r="215" spans="1:4" s="500" customFormat="1" ht="17.25" customHeight="1">
      <c r="A215" s="500" t="s">
        <v>57393</v>
      </c>
      <c r="B215" s="1135" t="s">
        <v>58023</v>
      </c>
      <c r="C215" s="1134" t="s">
        <v>58022</v>
      </c>
      <c r="D215" s="1133">
        <v>5</v>
      </c>
    </row>
    <row r="216" spans="1:4" s="500" customFormat="1" ht="17.25" customHeight="1">
      <c r="A216" s="500" t="s">
        <v>57393</v>
      </c>
      <c r="B216" s="1135" t="s">
        <v>58021</v>
      </c>
      <c r="C216" s="1134" t="s">
        <v>58020</v>
      </c>
      <c r="D216" s="1133">
        <v>23.7</v>
      </c>
    </row>
    <row r="217" spans="1:4" s="500" customFormat="1" ht="17.25" customHeight="1">
      <c r="A217" s="500" t="s">
        <v>57393</v>
      </c>
      <c r="B217" s="1135" t="s">
        <v>58019</v>
      </c>
      <c r="C217" s="1134" t="s">
        <v>58018</v>
      </c>
      <c r="D217" s="1133">
        <v>23.7</v>
      </c>
    </row>
    <row r="218" spans="1:4" s="500" customFormat="1" ht="17.25" customHeight="1">
      <c r="A218" s="500" t="s">
        <v>57393</v>
      </c>
      <c r="B218" s="1135" t="s">
        <v>58017</v>
      </c>
      <c r="C218" s="1134" t="s">
        <v>58016</v>
      </c>
      <c r="D218" s="1133">
        <v>5</v>
      </c>
    </row>
    <row r="219" spans="1:4" s="500" customFormat="1" ht="17.25" customHeight="1">
      <c r="A219" s="500" t="s">
        <v>57393</v>
      </c>
      <c r="B219" s="1135" t="s">
        <v>58015</v>
      </c>
      <c r="C219" s="1134" t="s">
        <v>58014</v>
      </c>
      <c r="D219" s="1133">
        <v>5</v>
      </c>
    </row>
    <row r="220" spans="1:4" s="500" customFormat="1" ht="17.25" customHeight="1">
      <c r="A220" s="500" t="s">
        <v>57393</v>
      </c>
      <c r="B220" s="1135" t="s">
        <v>58013</v>
      </c>
      <c r="C220" s="1134" t="s">
        <v>58012</v>
      </c>
      <c r="D220" s="1133">
        <v>5</v>
      </c>
    </row>
    <row r="221" spans="1:4" s="500" customFormat="1" ht="17.25" customHeight="1">
      <c r="A221" s="500" t="s">
        <v>57393</v>
      </c>
      <c r="B221" s="1135" t="s">
        <v>58011</v>
      </c>
      <c r="C221" s="1134" t="s">
        <v>58010</v>
      </c>
      <c r="D221" s="1133">
        <v>5</v>
      </c>
    </row>
    <row r="222" spans="1:4" s="500" customFormat="1" ht="17.25" customHeight="1">
      <c r="A222" s="500" t="s">
        <v>57393</v>
      </c>
      <c r="B222" s="1135" t="s">
        <v>58009</v>
      </c>
      <c r="C222" s="1134" t="s">
        <v>58008</v>
      </c>
      <c r="D222" s="1133">
        <v>5</v>
      </c>
    </row>
    <row r="223" spans="1:4" s="500" customFormat="1" ht="17.25" customHeight="1">
      <c r="A223" s="500" t="s">
        <v>57393</v>
      </c>
      <c r="B223" s="1135" t="s">
        <v>58007</v>
      </c>
      <c r="C223" s="1134" t="s">
        <v>58006</v>
      </c>
      <c r="D223" s="1133">
        <v>5</v>
      </c>
    </row>
    <row r="224" spans="1:4" s="500" customFormat="1" ht="17.25" customHeight="1">
      <c r="A224" s="500" t="s">
        <v>57393</v>
      </c>
      <c r="B224" s="1135" t="s">
        <v>58005</v>
      </c>
      <c r="C224" s="1134" t="s">
        <v>58004</v>
      </c>
      <c r="D224" s="1133">
        <v>5</v>
      </c>
    </row>
    <row r="225" spans="1:4" s="500" customFormat="1" ht="17.25" customHeight="1">
      <c r="A225" s="500" t="s">
        <v>57393</v>
      </c>
      <c r="B225" s="1135" t="s">
        <v>58003</v>
      </c>
      <c r="C225" s="1134" t="s">
        <v>57996</v>
      </c>
      <c r="D225" s="1133">
        <v>181.5</v>
      </c>
    </row>
    <row r="226" spans="1:4" s="500" customFormat="1" ht="17.25" customHeight="1">
      <c r="A226" s="500" t="s">
        <v>57393</v>
      </c>
      <c r="B226" s="1135" t="s">
        <v>58002</v>
      </c>
      <c r="C226" s="1134" t="s">
        <v>57994</v>
      </c>
      <c r="D226" s="1133">
        <v>202.5</v>
      </c>
    </row>
    <row r="227" spans="1:4" s="500" customFormat="1" ht="17.25" customHeight="1">
      <c r="A227" s="500" t="s">
        <v>57393</v>
      </c>
      <c r="B227" s="1135" t="s">
        <v>58001</v>
      </c>
      <c r="C227" s="1134" t="s">
        <v>57992</v>
      </c>
      <c r="D227" s="1133">
        <v>188.6</v>
      </c>
    </row>
    <row r="228" spans="1:4" s="500" customFormat="1" ht="17.25" customHeight="1">
      <c r="A228" s="500" t="s">
        <v>57393</v>
      </c>
      <c r="B228" s="1135" t="s">
        <v>58000</v>
      </c>
      <c r="C228" s="1134" t="s">
        <v>57996</v>
      </c>
      <c r="D228" s="1133">
        <v>98.100000000000009</v>
      </c>
    </row>
    <row r="229" spans="1:4" s="500" customFormat="1" ht="17.25" customHeight="1">
      <c r="A229" s="500" t="s">
        <v>57393</v>
      </c>
      <c r="B229" s="1135" t="s">
        <v>57999</v>
      </c>
      <c r="C229" s="1134" t="s">
        <v>57994</v>
      </c>
      <c r="D229" s="1133">
        <v>112</v>
      </c>
    </row>
    <row r="230" spans="1:4" s="500" customFormat="1" ht="17.25" customHeight="1">
      <c r="A230" s="500" t="s">
        <v>57393</v>
      </c>
      <c r="B230" s="1135" t="s">
        <v>57998</v>
      </c>
      <c r="C230" s="1134" t="s">
        <v>57992</v>
      </c>
      <c r="D230" s="1133">
        <v>116.30000000000001</v>
      </c>
    </row>
    <row r="231" spans="1:4" s="500" customFormat="1" ht="17.25" customHeight="1">
      <c r="A231" s="500" t="s">
        <v>57393</v>
      </c>
      <c r="B231" s="1135" t="s">
        <v>57997</v>
      </c>
      <c r="C231" s="1134" t="s">
        <v>57996</v>
      </c>
      <c r="D231" s="1133">
        <v>120.3</v>
      </c>
    </row>
    <row r="232" spans="1:4" s="500" customFormat="1" ht="17.25" customHeight="1">
      <c r="A232" s="500" t="s">
        <v>57393</v>
      </c>
      <c r="B232" s="1135" t="s">
        <v>57995</v>
      </c>
      <c r="C232" s="1134" t="s">
        <v>57994</v>
      </c>
      <c r="D232" s="1133">
        <v>132.80000000000001</v>
      </c>
    </row>
    <row r="233" spans="1:4" s="500" customFormat="1" ht="17.25" customHeight="1">
      <c r="A233" s="500" t="s">
        <v>57393</v>
      </c>
      <c r="B233" s="1135" t="s">
        <v>57993</v>
      </c>
      <c r="C233" s="1134" t="s">
        <v>57992</v>
      </c>
      <c r="D233" s="1133">
        <v>120.3</v>
      </c>
    </row>
    <row r="234" spans="1:4" s="500" customFormat="1" ht="17.25" customHeight="1">
      <c r="A234" s="500" t="s">
        <v>57393</v>
      </c>
      <c r="B234" s="1135" t="s">
        <v>57991</v>
      </c>
      <c r="C234" s="1134" t="s">
        <v>57990</v>
      </c>
      <c r="D234" s="1133">
        <v>73.699999999999989</v>
      </c>
    </row>
    <row r="235" spans="1:4" s="500" customFormat="1" ht="17.25" customHeight="1">
      <c r="A235" s="500" t="s">
        <v>57393</v>
      </c>
      <c r="B235" s="1135" t="s">
        <v>57989</v>
      </c>
      <c r="C235" s="1134" t="s">
        <v>57988</v>
      </c>
      <c r="D235" s="1133">
        <v>79.8</v>
      </c>
    </row>
    <row r="236" spans="1:4" s="500" customFormat="1" ht="17.25" customHeight="1">
      <c r="A236" s="500" t="s">
        <v>57393</v>
      </c>
      <c r="B236" s="1135" t="s">
        <v>57987</v>
      </c>
      <c r="C236" s="1134" t="s">
        <v>57986</v>
      </c>
      <c r="D236" s="1133">
        <v>226.9</v>
      </c>
    </row>
    <row r="237" spans="1:4" s="500" customFormat="1" ht="17.25" customHeight="1">
      <c r="A237" s="500" t="s">
        <v>57393</v>
      </c>
      <c r="B237" s="1135" t="s">
        <v>57985</v>
      </c>
      <c r="C237" s="1134" t="s">
        <v>57984</v>
      </c>
      <c r="D237" s="1133">
        <v>304.09999999999997</v>
      </c>
    </row>
    <row r="238" spans="1:4" s="500" customFormat="1" ht="17.25" customHeight="1">
      <c r="A238" s="500" t="s">
        <v>57393</v>
      </c>
      <c r="B238" s="1135" t="s">
        <v>57983</v>
      </c>
      <c r="C238" s="1134" t="s">
        <v>57982</v>
      </c>
      <c r="D238" s="1133">
        <v>42.300000000000004</v>
      </c>
    </row>
    <row r="239" spans="1:4" s="500" customFormat="1" ht="17.25" customHeight="1">
      <c r="B239" s="1135" t="s">
        <v>57981</v>
      </c>
      <c r="C239" s="1134" t="s">
        <v>57980</v>
      </c>
      <c r="D239" s="1133">
        <v>46.9</v>
      </c>
    </row>
    <row r="240" spans="1:4" s="500" customFormat="1" ht="17.25" customHeight="1">
      <c r="A240" s="500" t="s">
        <v>57393</v>
      </c>
      <c r="B240" s="1135" t="s">
        <v>57979</v>
      </c>
      <c r="C240" s="1134" t="s">
        <v>57978</v>
      </c>
      <c r="D240" s="1133">
        <v>45.3</v>
      </c>
    </row>
    <row r="241" spans="1:4" s="500" customFormat="1" ht="17.25" customHeight="1">
      <c r="A241" s="500" t="s">
        <v>57393</v>
      </c>
      <c r="B241" s="1135" t="s">
        <v>57977</v>
      </c>
      <c r="C241" s="1134" t="s">
        <v>57976</v>
      </c>
      <c r="D241" s="1133">
        <v>29.7</v>
      </c>
    </row>
    <row r="242" spans="1:4" s="500" customFormat="1" ht="17.25" customHeight="1">
      <c r="B242" s="1135" t="s">
        <v>57975</v>
      </c>
      <c r="C242" s="1134" t="s">
        <v>57974</v>
      </c>
      <c r="D242" s="1133">
        <v>45.3</v>
      </c>
    </row>
    <row r="243" spans="1:4" s="500" customFormat="1" ht="17.25" customHeight="1">
      <c r="A243" s="500" t="s">
        <v>57393</v>
      </c>
      <c r="B243" s="1135" t="s">
        <v>57973</v>
      </c>
      <c r="C243" s="1134" t="s">
        <v>57972</v>
      </c>
      <c r="D243" s="1133">
        <v>40.6</v>
      </c>
    </row>
    <row r="244" spans="1:4" s="500" customFormat="1" ht="17.25" customHeight="1">
      <c r="A244" s="500" t="s">
        <v>57393</v>
      </c>
      <c r="B244" s="1135" t="s">
        <v>57971</v>
      </c>
      <c r="C244" s="1134" t="s">
        <v>57970</v>
      </c>
      <c r="D244" s="1133">
        <v>10.9</v>
      </c>
    </row>
    <row r="245" spans="1:4" s="500" customFormat="1" ht="17.25" customHeight="1">
      <c r="A245" s="500" t="s">
        <v>57393</v>
      </c>
      <c r="B245" s="1135" t="s">
        <v>57969</v>
      </c>
      <c r="C245" s="1134" t="s">
        <v>57968</v>
      </c>
      <c r="D245" s="1133">
        <v>67</v>
      </c>
    </row>
    <row r="246" spans="1:4" s="500" customFormat="1" ht="17.25" customHeight="1">
      <c r="A246" s="500" t="s">
        <v>57393</v>
      </c>
      <c r="B246" s="1135" t="s">
        <v>57967</v>
      </c>
      <c r="C246" s="1134" t="s">
        <v>57966</v>
      </c>
      <c r="D246" s="1133">
        <v>143.1</v>
      </c>
    </row>
    <row r="247" spans="1:4" s="500" customFormat="1" ht="17.25" customHeight="1">
      <c r="A247" s="500" t="s">
        <v>57393</v>
      </c>
      <c r="B247" s="1137" t="s">
        <v>57937</v>
      </c>
      <c r="C247" s="1134" t="s">
        <v>57965</v>
      </c>
      <c r="D247" s="1133">
        <v>69</v>
      </c>
    </row>
    <row r="248" spans="1:4" s="500" customFormat="1" ht="17.25" customHeight="1">
      <c r="A248" s="500" t="s">
        <v>57393</v>
      </c>
      <c r="B248" s="1135" t="s">
        <v>57929</v>
      </c>
      <c r="C248" s="1134" t="s">
        <v>57928</v>
      </c>
      <c r="D248" s="1133">
        <v>226.7</v>
      </c>
    </row>
    <row r="249" spans="1:4" s="500" customFormat="1" ht="17.25" customHeight="1">
      <c r="A249" s="500" t="s">
        <v>57393</v>
      </c>
      <c r="B249" s="1135" t="s">
        <v>57938</v>
      </c>
      <c r="C249" s="1134" t="s">
        <v>57677</v>
      </c>
      <c r="D249" s="1133">
        <v>41</v>
      </c>
    </row>
    <row r="250" spans="1:4" s="500" customFormat="1" ht="17.25" customHeight="1">
      <c r="A250" s="500" t="s">
        <v>57393</v>
      </c>
      <c r="B250" s="1135" t="s">
        <v>57943</v>
      </c>
      <c r="C250" s="1134" t="s">
        <v>57942</v>
      </c>
      <c r="D250" s="1133">
        <v>315.2</v>
      </c>
    </row>
    <row r="251" spans="1:4" s="500" customFormat="1" ht="17.25" customHeight="1">
      <c r="A251" s="500" t="s">
        <v>57393</v>
      </c>
      <c r="B251" s="1135" t="s">
        <v>57941</v>
      </c>
      <c r="C251" s="1134" t="s">
        <v>57939</v>
      </c>
      <c r="D251" s="1133">
        <v>145.39999999999998</v>
      </c>
    </row>
    <row r="252" spans="1:4" s="500" customFormat="1" ht="17.25" customHeight="1">
      <c r="A252" s="500" t="s">
        <v>57393</v>
      </c>
      <c r="B252" s="1135" t="s">
        <v>57964</v>
      </c>
      <c r="C252" s="1134" t="s">
        <v>57963</v>
      </c>
      <c r="D252" s="1133">
        <v>726.45</v>
      </c>
    </row>
    <row r="253" spans="1:4" s="500" customFormat="1" ht="17.25" customHeight="1">
      <c r="A253" s="500" t="s">
        <v>57393</v>
      </c>
      <c r="B253" s="1135" t="s">
        <v>57962</v>
      </c>
      <c r="C253" s="1134" t="s">
        <v>57961</v>
      </c>
      <c r="D253" s="1133">
        <v>937.2</v>
      </c>
    </row>
    <row r="254" spans="1:4" s="500" customFormat="1" ht="17.25" customHeight="1">
      <c r="A254" s="500" t="s">
        <v>57393</v>
      </c>
      <c r="B254" s="1135" t="s">
        <v>57941</v>
      </c>
      <c r="C254" s="1134" t="s">
        <v>57939</v>
      </c>
      <c r="D254" s="1133">
        <v>145.39999999999998</v>
      </c>
    </row>
    <row r="255" spans="1:4" s="500" customFormat="1" ht="17.25" customHeight="1">
      <c r="A255" s="500" t="s">
        <v>57393</v>
      </c>
      <c r="B255" s="1135" t="s">
        <v>57938</v>
      </c>
      <c r="C255" s="1134" t="s">
        <v>57960</v>
      </c>
      <c r="D255" s="1133">
        <v>41</v>
      </c>
    </row>
    <row r="256" spans="1:4" s="500" customFormat="1" ht="17.25" customHeight="1">
      <c r="A256" s="500" t="s">
        <v>57393</v>
      </c>
      <c r="B256" s="1135" t="s">
        <v>57943</v>
      </c>
      <c r="C256" s="1134" t="s">
        <v>57942</v>
      </c>
      <c r="D256" s="1133">
        <v>315.2</v>
      </c>
    </row>
    <row r="257" spans="1:4" s="500" customFormat="1" ht="17.25" customHeight="1">
      <c r="A257" s="500" t="s">
        <v>57393</v>
      </c>
      <c r="B257" s="1135" t="s">
        <v>57959</v>
      </c>
      <c r="C257" s="1134" t="s">
        <v>57958</v>
      </c>
      <c r="D257" s="1133">
        <v>806.4</v>
      </c>
    </row>
    <row r="258" spans="1:4" s="500" customFormat="1" ht="17.25" customHeight="1">
      <c r="A258" s="500" t="s">
        <v>57393</v>
      </c>
      <c r="B258" s="1135" t="s">
        <v>57957</v>
      </c>
      <c r="C258" s="1134" t="s">
        <v>57956</v>
      </c>
      <c r="D258" s="1133">
        <v>806.4</v>
      </c>
    </row>
    <row r="259" spans="1:4" s="1140" customFormat="1" ht="17.25" customHeight="1">
      <c r="A259" s="1140" t="s">
        <v>57393</v>
      </c>
      <c r="B259" s="1135" t="s">
        <v>57955</v>
      </c>
      <c r="C259" s="1134" t="s">
        <v>57954</v>
      </c>
      <c r="D259" s="1133">
        <v>711</v>
      </c>
    </row>
    <row r="260" spans="1:4" s="500" customFormat="1" ht="17.25" customHeight="1">
      <c r="A260" s="500" t="s">
        <v>57393</v>
      </c>
      <c r="B260" s="1135" t="s">
        <v>57953</v>
      </c>
      <c r="C260" s="1134" t="s">
        <v>57952</v>
      </c>
      <c r="D260" s="1133">
        <v>922</v>
      </c>
    </row>
    <row r="261" spans="1:4" s="500" customFormat="1" ht="17.25" customHeight="1">
      <c r="B261" s="1135" t="s">
        <v>57951</v>
      </c>
      <c r="C261" s="1134" t="s">
        <v>57950</v>
      </c>
      <c r="D261" s="1133">
        <v>818.5</v>
      </c>
    </row>
    <row r="262" spans="1:4" s="500" customFormat="1" ht="17.25" customHeight="1">
      <c r="A262" s="500" t="s">
        <v>57393</v>
      </c>
      <c r="B262" s="1135" t="s">
        <v>57927</v>
      </c>
      <c r="C262" s="1134" t="s">
        <v>57926</v>
      </c>
      <c r="D262" s="1133">
        <v>238.7</v>
      </c>
    </row>
    <row r="263" spans="1:4" s="500" customFormat="1" ht="17.25" customHeight="1">
      <c r="A263" s="500" t="s">
        <v>57393</v>
      </c>
      <c r="B263" s="1135" t="s">
        <v>57940</v>
      </c>
      <c r="C263" s="1134" t="s">
        <v>57939</v>
      </c>
      <c r="D263" s="1133">
        <v>180.4</v>
      </c>
    </row>
    <row r="264" spans="1:4" s="500" customFormat="1" ht="17.25" customHeight="1">
      <c r="A264" s="500" t="s">
        <v>57393</v>
      </c>
      <c r="B264" s="1135" t="s">
        <v>57943</v>
      </c>
      <c r="C264" s="1134" t="s">
        <v>57942</v>
      </c>
      <c r="D264" s="1133">
        <v>315.2</v>
      </c>
    </row>
    <row r="265" spans="1:4" s="500" customFormat="1" ht="17.25" customHeight="1">
      <c r="A265" s="500" t="s">
        <v>57393</v>
      </c>
      <c r="B265" s="1135" t="s">
        <v>57680</v>
      </c>
      <c r="C265" s="1134" t="s">
        <v>57681</v>
      </c>
      <c r="D265" s="1133">
        <v>41</v>
      </c>
    </row>
    <row r="266" spans="1:4" s="500" customFormat="1" ht="17.25" customHeight="1">
      <c r="A266" s="500" t="s">
        <v>57393</v>
      </c>
      <c r="B266" s="1135" t="s">
        <v>57949</v>
      </c>
      <c r="C266" s="1134" t="s">
        <v>57948</v>
      </c>
      <c r="D266" s="1133">
        <v>818.19999999999993</v>
      </c>
    </row>
    <row r="267" spans="1:4" s="500" customFormat="1" ht="17.25" customHeight="1">
      <c r="A267" s="500" t="s">
        <v>57393</v>
      </c>
      <c r="B267" s="1135" t="s">
        <v>57947</v>
      </c>
      <c r="C267" s="1134" t="s">
        <v>57946</v>
      </c>
      <c r="D267" s="1133">
        <v>1045.1000000000001</v>
      </c>
    </row>
    <row r="268" spans="1:4" s="500" customFormat="1" ht="17.25" customHeight="1">
      <c r="A268" s="500" t="s">
        <v>57393</v>
      </c>
      <c r="B268" s="1135" t="s">
        <v>57945</v>
      </c>
      <c r="C268" s="1134" t="s">
        <v>57944</v>
      </c>
      <c r="D268" s="1133">
        <v>874.7</v>
      </c>
    </row>
    <row r="269" spans="1:4" s="500" customFormat="1" ht="17.25" customHeight="1">
      <c r="A269" s="500" t="s">
        <v>57393</v>
      </c>
      <c r="B269" s="1135" t="s">
        <v>57925</v>
      </c>
      <c r="C269" s="1134" t="s">
        <v>57924</v>
      </c>
      <c r="D269" s="1133">
        <v>226.7</v>
      </c>
    </row>
    <row r="270" spans="1:4" s="500" customFormat="1" ht="17.25" customHeight="1">
      <c r="A270" s="500" t="s">
        <v>57393</v>
      </c>
      <c r="B270" s="1135" t="s">
        <v>57940</v>
      </c>
      <c r="C270" s="1134" t="s">
        <v>57939</v>
      </c>
      <c r="D270" s="1133">
        <v>180.4</v>
      </c>
    </row>
    <row r="271" spans="1:4" s="500" customFormat="1" ht="17.25" customHeight="1">
      <c r="A271" s="500" t="s">
        <v>57393</v>
      </c>
      <c r="B271" s="1135" t="s">
        <v>57943</v>
      </c>
      <c r="C271" s="1134" t="s">
        <v>57942</v>
      </c>
      <c r="D271" s="1133">
        <v>315.2</v>
      </c>
    </row>
    <row r="272" spans="1:4" s="500" customFormat="1" ht="17.25" customHeight="1">
      <c r="A272" s="500" t="s">
        <v>57393</v>
      </c>
      <c r="B272" s="1135" t="s">
        <v>57680</v>
      </c>
      <c r="C272" s="1134" t="s">
        <v>57679</v>
      </c>
      <c r="D272" s="1133">
        <v>41</v>
      </c>
    </row>
    <row r="273" spans="1:4" s="500" customFormat="1" ht="17.25" customHeight="1">
      <c r="A273" s="500" t="s">
        <v>57393</v>
      </c>
      <c r="B273" s="1135" t="s">
        <v>57941</v>
      </c>
      <c r="C273" s="1134" t="s">
        <v>57939</v>
      </c>
      <c r="D273" s="1133">
        <v>145.39999999999998</v>
      </c>
    </row>
    <row r="274" spans="1:4" s="500" customFormat="1" ht="17.25" customHeight="1">
      <c r="A274" s="500" t="s">
        <v>57393</v>
      </c>
      <c r="B274" s="1135" t="s">
        <v>57940</v>
      </c>
      <c r="C274" s="1134" t="s">
        <v>57939</v>
      </c>
      <c r="D274" s="1133">
        <v>180.4</v>
      </c>
    </row>
    <row r="275" spans="1:4" s="500" customFormat="1" ht="17.25" customHeight="1">
      <c r="A275" s="500" t="s">
        <v>57393</v>
      </c>
      <c r="B275" s="1135" t="s">
        <v>57938</v>
      </c>
      <c r="C275" s="1134" t="s">
        <v>57677</v>
      </c>
      <c r="D275" s="1133">
        <v>41</v>
      </c>
    </row>
    <row r="276" spans="1:4" s="500" customFormat="1" ht="17.25" customHeight="1">
      <c r="A276" s="500" t="s">
        <v>57393</v>
      </c>
      <c r="B276" s="1135" t="s">
        <v>57682</v>
      </c>
      <c r="C276" s="1134" t="s">
        <v>57681</v>
      </c>
      <c r="D276" s="1133">
        <v>41</v>
      </c>
    </row>
    <row r="277" spans="1:4" s="500" customFormat="1" ht="17.25" customHeight="1">
      <c r="A277" s="500" t="s">
        <v>57393</v>
      </c>
      <c r="B277" s="1135" t="s">
        <v>57680</v>
      </c>
      <c r="C277" s="1134" t="s">
        <v>57679</v>
      </c>
      <c r="D277" s="1133">
        <v>41</v>
      </c>
    </row>
    <row r="278" spans="1:4" s="500" customFormat="1" ht="17.25" customHeight="1">
      <c r="A278" s="500" t="s">
        <v>57393</v>
      </c>
      <c r="B278" s="1135" t="s">
        <v>57937</v>
      </c>
      <c r="C278" s="1134" t="s">
        <v>57936</v>
      </c>
      <c r="D278" s="1133">
        <v>69</v>
      </c>
    </row>
    <row r="279" spans="1:4" s="500" customFormat="1" ht="17.25" customHeight="1">
      <c r="A279" s="500" t="s">
        <v>57393</v>
      </c>
      <c r="B279" s="1135" t="s">
        <v>57935</v>
      </c>
      <c r="C279" s="1134" t="s">
        <v>57934</v>
      </c>
      <c r="D279" s="1133">
        <v>76.5</v>
      </c>
    </row>
    <row r="280" spans="1:4" s="500" customFormat="1" ht="17.25" customHeight="1">
      <c r="A280" s="500" t="s">
        <v>57393</v>
      </c>
      <c r="B280" s="1135" t="s">
        <v>57933</v>
      </c>
      <c r="C280" s="1134" t="s">
        <v>57932</v>
      </c>
      <c r="D280" s="1133">
        <v>937.19999999999993</v>
      </c>
    </row>
    <row r="281" spans="1:4" s="500" customFormat="1" ht="17.25" customHeight="1">
      <c r="A281" s="500" t="s">
        <v>57393</v>
      </c>
      <c r="B281" s="1135" t="s">
        <v>57678</v>
      </c>
      <c r="C281" s="1134" t="s">
        <v>57677</v>
      </c>
      <c r="D281" s="1133">
        <v>41</v>
      </c>
    </row>
    <row r="282" spans="1:4" s="500" customFormat="1" ht="17.25" customHeight="1">
      <c r="A282" s="500" t="s">
        <v>57393</v>
      </c>
      <c r="B282" s="1135" t="s">
        <v>57931</v>
      </c>
      <c r="C282" s="1134" t="s">
        <v>57930</v>
      </c>
      <c r="D282" s="1133">
        <v>272.39999999999998</v>
      </c>
    </row>
    <row r="283" spans="1:4" s="500" customFormat="1" ht="17.25" customHeight="1">
      <c r="A283" s="500" t="s">
        <v>57393</v>
      </c>
      <c r="B283" s="1135" t="s">
        <v>57929</v>
      </c>
      <c r="C283" s="1134" t="s">
        <v>57928</v>
      </c>
      <c r="D283" s="1133">
        <v>226.7</v>
      </c>
    </row>
    <row r="284" spans="1:4" s="500" customFormat="1" ht="17.25" customHeight="1">
      <c r="A284" s="500" t="s">
        <v>57393</v>
      </c>
      <c r="B284" s="1135" t="s">
        <v>57927</v>
      </c>
      <c r="C284" s="1134" t="s">
        <v>57926</v>
      </c>
      <c r="D284" s="1133">
        <v>238.7</v>
      </c>
    </row>
    <row r="285" spans="1:4" s="500" customFormat="1" ht="17.25" customHeight="1">
      <c r="A285" s="500" t="s">
        <v>57393</v>
      </c>
      <c r="B285" s="1135" t="s">
        <v>57925</v>
      </c>
      <c r="C285" s="1134" t="s">
        <v>57924</v>
      </c>
      <c r="D285" s="1133">
        <v>226.7</v>
      </c>
    </row>
    <row r="286" spans="1:4" s="500" customFormat="1" ht="17.25" customHeight="1">
      <c r="A286" s="500" t="s">
        <v>57393</v>
      </c>
      <c r="B286" s="1135" t="s">
        <v>57923</v>
      </c>
      <c r="C286" s="1134" t="s">
        <v>57922</v>
      </c>
      <c r="D286" s="1133">
        <v>1539.5</v>
      </c>
    </row>
    <row r="287" spans="1:4" s="500" customFormat="1" ht="17.25" customHeight="1">
      <c r="A287" s="500" t="s">
        <v>57393</v>
      </c>
      <c r="B287" s="1135" t="s">
        <v>57921</v>
      </c>
      <c r="C287" s="1134" t="s">
        <v>57920</v>
      </c>
      <c r="D287" s="1133">
        <v>1646</v>
      </c>
    </row>
    <row r="288" spans="1:4" s="500" customFormat="1" ht="17.25" customHeight="1">
      <c r="A288" s="500" t="s">
        <v>57393</v>
      </c>
      <c r="B288" s="1135" t="s">
        <v>57919</v>
      </c>
      <c r="C288" s="1134" t="s">
        <v>57918</v>
      </c>
      <c r="D288" s="1133">
        <v>1689.7</v>
      </c>
    </row>
    <row r="289" spans="1:4" s="500" customFormat="1" ht="17.25" customHeight="1">
      <c r="B289" s="1135" t="s">
        <v>57917</v>
      </c>
      <c r="C289" s="1134" t="s">
        <v>57916</v>
      </c>
      <c r="D289" s="1133">
        <v>853.5</v>
      </c>
    </row>
    <row r="290" spans="1:4" s="500" customFormat="1" ht="17.25" customHeight="1">
      <c r="A290" s="500" t="s">
        <v>57393</v>
      </c>
      <c r="B290" s="1135" t="s">
        <v>57915</v>
      </c>
      <c r="C290" s="1134" t="s">
        <v>57914</v>
      </c>
      <c r="D290" s="1133">
        <v>979.5</v>
      </c>
    </row>
    <row r="291" spans="1:4" s="500" customFormat="1" ht="17.25" customHeight="1">
      <c r="A291" s="500" t="s">
        <v>57393</v>
      </c>
      <c r="B291" s="1135" t="s">
        <v>57913</v>
      </c>
      <c r="C291" s="1134" t="s">
        <v>57912</v>
      </c>
      <c r="D291" s="1133">
        <v>1024.9000000000001</v>
      </c>
    </row>
    <row r="292" spans="1:4" s="500" customFormat="1" ht="17.25" customHeight="1">
      <c r="A292" s="500" t="s">
        <v>57393</v>
      </c>
      <c r="B292" s="1135" t="s">
        <v>57911</v>
      </c>
      <c r="C292" s="1134" t="s">
        <v>57910</v>
      </c>
      <c r="D292" s="1133">
        <v>1624.5</v>
      </c>
    </row>
    <row r="293" spans="1:4" s="500" customFormat="1" ht="17.25" customHeight="1">
      <c r="A293" s="500" t="s">
        <v>57393</v>
      </c>
      <c r="B293" s="1135" t="s">
        <v>57909</v>
      </c>
      <c r="C293" s="1134" t="s">
        <v>57908</v>
      </c>
      <c r="D293" s="1133">
        <v>938.59999999999991</v>
      </c>
    </row>
    <row r="294" spans="1:4" s="500" customFormat="1" ht="17.25" customHeight="1">
      <c r="A294" s="500" t="s">
        <v>57393</v>
      </c>
      <c r="B294" s="1135" t="s">
        <v>57907</v>
      </c>
      <c r="C294" s="1134" t="s">
        <v>57906</v>
      </c>
      <c r="D294" s="1133">
        <v>1402.6000000000001</v>
      </c>
    </row>
    <row r="295" spans="1:4" s="500" customFormat="1" ht="17.25" customHeight="1">
      <c r="B295" s="1135" t="s">
        <v>57905</v>
      </c>
      <c r="C295" s="1134" t="s">
        <v>57904</v>
      </c>
      <c r="D295" s="1133">
        <v>711.90000000000009</v>
      </c>
    </row>
    <row r="296" spans="1:4" s="500" customFormat="1" ht="17.25" customHeight="1">
      <c r="A296" s="500" t="s">
        <v>57393</v>
      </c>
      <c r="B296" s="1135" t="s">
        <v>57903</v>
      </c>
      <c r="C296" s="1134" t="s">
        <v>57902</v>
      </c>
      <c r="D296" s="1133">
        <v>78.7</v>
      </c>
    </row>
    <row r="297" spans="1:4" s="500" customFormat="1" ht="17.25" customHeight="1">
      <c r="A297" s="500" t="s">
        <v>57393</v>
      </c>
      <c r="B297" s="1135" t="s">
        <v>57901</v>
      </c>
      <c r="C297" s="1134" t="s">
        <v>57900</v>
      </c>
      <c r="D297" s="1133">
        <v>1944.6999999999998</v>
      </c>
    </row>
    <row r="298" spans="1:4" s="1140" customFormat="1" ht="17.25" customHeight="1">
      <c r="A298" s="1140" t="s">
        <v>57393</v>
      </c>
      <c r="B298" s="1135" t="s">
        <v>57899</v>
      </c>
      <c r="C298" s="1134" t="s">
        <v>57898</v>
      </c>
      <c r="D298" s="1133">
        <v>1860</v>
      </c>
    </row>
    <row r="299" spans="1:4" s="500" customFormat="1" ht="17.25" customHeight="1">
      <c r="A299" s="500" t="s">
        <v>57393</v>
      </c>
      <c r="B299" s="1135" t="s">
        <v>57897</v>
      </c>
      <c r="C299" s="1134" t="s">
        <v>57896</v>
      </c>
      <c r="D299" s="1133">
        <v>2021.5</v>
      </c>
    </row>
    <row r="300" spans="1:4" s="500" customFormat="1" ht="17.25" customHeight="1">
      <c r="A300" s="500" t="s">
        <v>57393</v>
      </c>
      <c r="B300" s="1135" t="s">
        <v>57895</v>
      </c>
      <c r="C300" s="1134" t="s">
        <v>57894</v>
      </c>
      <c r="D300" s="1133">
        <v>1936.4</v>
      </c>
    </row>
    <row r="301" spans="1:4" s="500" customFormat="1" ht="17.25" customHeight="1">
      <c r="A301" s="500" t="s">
        <v>57393</v>
      </c>
      <c r="B301" s="1135" t="s">
        <v>57893</v>
      </c>
      <c r="C301" s="1134" t="s">
        <v>57892</v>
      </c>
      <c r="D301" s="1133">
        <v>1203.2</v>
      </c>
    </row>
    <row r="302" spans="1:4" s="500" customFormat="1" ht="17.25" customHeight="1">
      <c r="A302" s="500" t="s">
        <v>57393</v>
      </c>
      <c r="B302" s="1135" t="s">
        <v>57891</v>
      </c>
      <c r="C302" s="1134" t="s">
        <v>57890</v>
      </c>
      <c r="D302" s="1133">
        <v>1118.3999999999999</v>
      </c>
    </row>
    <row r="303" spans="1:4" s="500" customFormat="1" ht="17.25" customHeight="1">
      <c r="A303" s="500" t="s">
        <v>57393</v>
      </c>
      <c r="B303" s="1135" t="s">
        <v>57889</v>
      </c>
      <c r="C303" s="1134" t="s">
        <v>57888</v>
      </c>
      <c r="D303" s="1133">
        <v>1279.8</v>
      </c>
    </row>
    <row r="304" spans="1:4" s="500" customFormat="1" ht="17.25" customHeight="1">
      <c r="A304" s="500" t="s">
        <v>57393</v>
      </c>
      <c r="B304" s="1135" t="s">
        <v>57887</v>
      </c>
      <c r="C304" s="1134" t="s">
        <v>57886</v>
      </c>
      <c r="D304" s="1133">
        <v>1194.8</v>
      </c>
    </row>
    <row r="305" spans="1:4" s="500" customFormat="1" ht="17.25" customHeight="1">
      <c r="A305" s="500" t="s">
        <v>57393</v>
      </c>
      <c r="B305" s="1135" t="s">
        <v>57885</v>
      </c>
      <c r="C305" s="1134" t="s">
        <v>57884</v>
      </c>
      <c r="D305" s="1133">
        <v>1685.6999999999998</v>
      </c>
    </row>
    <row r="306" spans="1:4" s="500" customFormat="1" ht="17.25" customHeight="1">
      <c r="A306" s="500" t="s">
        <v>57393</v>
      </c>
      <c r="B306" s="1135" t="s">
        <v>57883</v>
      </c>
      <c r="C306" s="1134" t="s">
        <v>57882</v>
      </c>
      <c r="D306" s="1133">
        <v>1673.2</v>
      </c>
    </row>
    <row r="307" spans="1:4" s="500" customFormat="1" ht="17.25" customHeight="1">
      <c r="A307" s="500" t="s">
        <v>57393</v>
      </c>
      <c r="B307" s="1135" t="s">
        <v>57881</v>
      </c>
      <c r="C307" s="1134" t="s">
        <v>57880</v>
      </c>
      <c r="D307" s="1133">
        <v>2006.2</v>
      </c>
    </row>
    <row r="308" spans="1:4" s="500" customFormat="1" ht="17.25" customHeight="1">
      <c r="A308" s="500" t="s">
        <v>57393</v>
      </c>
      <c r="B308" s="1135" t="s">
        <v>57879</v>
      </c>
      <c r="C308" s="1134" t="s">
        <v>57878</v>
      </c>
      <c r="D308" s="1133">
        <v>1993.8999999999999</v>
      </c>
    </row>
    <row r="309" spans="1:4" s="500" customFormat="1" ht="17.25" customHeight="1">
      <c r="A309" s="500" t="s">
        <v>57393</v>
      </c>
      <c r="B309" s="1135" t="s">
        <v>57877</v>
      </c>
      <c r="C309" s="1134" t="s">
        <v>57876</v>
      </c>
      <c r="D309" s="1133">
        <v>2082.6999999999998</v>
      </c>
    </row>
    <row r="310" spans="1:4" s="500" customFormat="1" ht="17.25" customHeight="1">
      <c r="A310" s="500" t="s">
        <v>57393</v>
      </c>
      <c r="B310" s="1135" t="s">
        <v>57875</v>
      </c>
      <c r="C310" s="1134" t="s">
        <v>57874</v>
      </c>
      <c r="D310" s="1133">
        <v>2070.3000000000002</v>
      </c>
    </row>
    <row r="311" spans="1:4" s="500" customFormat="1" ht="17.25" customHeight="1">
      <c r="A311" s="500" t="s">
        <v>57393</v>
      </c>
      <c r="B311" s="1147" t="s">
        <v>57873</v>
      </c>
      <c r="C311" s="1146" t="s">
        <v>57872</v>
      </c>
      <c r="D311" s="1145">
        <v>330.90000000000003</v>
      </c>
    </row>
    <row r="312" spans="1:4" s="500" customFormat="1" ht="17.25" customHeight="1">
      <c r="A312" s="500" t="s">
        <v>57393</v>
      </c>
      <c r="B312" s="1147" t="s">
        <v>57871</v>
      </c>
      <c r="C312" s="1146" t="s">
        <v>57870</v>
      </c>
      <c r="D312" s="1145">
        <v>362.5</v>
      </c>
    </row>
    <row r="313" spans="1:4" s="500" customFormat="1" ht="17.25" customHeight="1">
      <c r="A313" s="500" t="s">
        <v>57393</v>
      </c>
      <c r="B313" s="1147" t="s">
        <v>57869</v>
      </c>
      <c r="C313" s="1146" t="s">
        <v>57868</v>
      </c>
      <c r="D313" s="1145">
        <v>498.5</v>
      </c>
    </row>
    <row r="314" spans="1:4" s="500" customFormat="1" ht="17.25" customHeight="1">
      <c r="A314" s="500" t="s">
        <v>57393</v>
      </c>
      <c r="B314" s="1147" t="s">
        <v>57867</v>
      </c>
      <c r="C314" s="1146" t="s">
        <v>57866</v>
      </c>
      <c r="D314" s="1145">
        <v>457.3</v>
      </c>
    </row>
    <row r="315" spans="1:4" s="500" customFormat="1" ht="17.25" customHeight="1">
      <c r="A315" s="500" t="s">
        <v>57393</v>
      </c>
      <c r="B315" s="1146" t="s">
        <v>57865</v>
      </c>
      <c r="C315" s="1146" t="s">
        <v>57864</v>
      </c>
      <c r="D315" s="1145">
        <v>1601.1499999999999</v>
      </c>
    </row>
    <row r="316" spans="1:4" s="500" customFormat="1" ht="17.25" customHeight="1">
      <c r="A316" s="500" t="s">
        <v>57410</v>
      </c>
      <c r="B316" s="1146" t="s">
        <v>57863</v>
      </c>
      <c r="C316" s="1146" t="s">
        <v>57862</v>
      </c>
      <c r="D316" s="1145">
        <v>849.8</v>
      </c>
    </row>
    <row r="317" spans="1:4" s="500" customFormat="1" ht="17.25" customHeight="1">
      <c r="A317" s="500" t="s">
        <v>57410</v>
      </c>
      <c r="B317" s="1146" t="s">
        <v>57861</v>
      </c>
      <c r="C317" s="1146" t="s">
        <v>57860</v>
      </c>
      <c r="D317" s="1145">
        <v>1599</v>
      </c>
    </row>
    <row r="318" spans="1:4" s="500" customFormat="1" ht="17.25" customHeight="1">
      <c r="A318" s="500" t="s">
        <v>57410</v>
      </c>
      <c r="B318" s="1146" t="s">
        <v>57859</v>
      </c>
      <c r="C318" s="1146" t="s">
        <v>57858</v>
      </c>
      <c r="D318" s="1145">
        <v>2309.7000000000003</v>
      </c>
    </row>
    <row r="319" spans="1:4" s="500" customFormat="1" ht="17.25" customHeight="1">
      <c r="A319" s="500" t="s">
        <v>57410</v>
      </c>
      <c r="B319" s="1135" t="s">
        <v>57857</v>
      </c>
      <c r="C319" s="1136" t="s">
        <v>57856</v>
      </c>
      <c r="D319" s="1133">
        <v>1786.8</v>
      </c>
    </row>
    <row r="320" spans="1:4" s="500" customFormat="1" ht="17.25" customHeight="1">
      <c r="A320" s="500" t="s">
        <v>57410</v>
      </c>
      <c r="B320" s="1135" t="s">
        <v>57855</v>
      </c>
      <c r="C320" s="1136" t="s">
        <v>57854</v>
      </c>
      <c r="D320" s="1133">
        <v>2941.2999999999997</v>
      </c>
    </row>
    <row r="321" spans="1:4" s="500" customFormat="1" ht="17.25" customHeight="1">
      <c r="A321" s="500" t="s">
        <v>57410</v>
      </c>
      <c r="B321" s="1135" t="s">
        <v>57853</v>
      </c>
      <c r="C321" s="1136" t="s">
        <v>57852</v>
      </c>
      <c r="D321" s="1133">
        <v>2363.2000000000003</v>
      </c>
    </row>
    <row r="322" spans="1:4" s="500" customFormat="1" ht="17.25" customHeight="1">
      <c r="A322" s="500" t="s">
        <v>57410</v>
      </c>
      <c r="B322" s="1142" t="s">
        <v>57851</v>
      </c>
      <c r="C322" s="1144" t="s">
        <v>57850</v>
      </c>
      <c r="D322" s="1133">
        <v>244.6</v>
      </c>
    </row>
    <row r="323" spans="1:4" s="500" customFormat="1" ht="17.25" customHeight="1">
      <c r="A323" s="500" t="s">
        <v>57410</v>
      </c>
      <c r="B323" s="1142" t="s">
        <v>57849</v>
      </c>
      <c r="C323" s="1144" t="s">
        <v>57848</v>
      </c>
      <c r="D323" s="1133">
        <v>271.7</v>
      </c>
    </row>
    <row r="324" spans="1:4" s="500" customFormat="1" ht="17.25" customHeight="1">
      <c r="A324" s="500" t="s">
        <v>57410</v>
      </c>
      <c r="B324" s="1142" t="s">
        <v>57847</v>
      </c>
      <c r="C324" s="1144" t="s">
        <v>57846</v>
      </c>
      <c r="D324" s="1133">
        <v>343.8</v>
      </c>
    </row>
    <row r="325" spans="1:4" s="500" customFormat="1" ht="17.25" customHeight="1">
      <c r="A325" s="500" t="s">
        <v>57410</v>
      </c>
      <c r="B325" s="1142" t="s">
        <v>57845</v>
      </c>
      <c r="C325" s="1144" t="s">
        <v>57844</v>
      </c>
      <c r="D325" s="1133">
        <v>652.20000000000005</v>
      </c>
    </row>
    <row r="326" spans="1:4" s="500" customFormat="1" ht="17.25" customHeight="1">
      <c r="A326" s="500" t="s">
        <v>57410</v>
      </c>
      <c r="B326" s="1142" t="s">
        <v>57843</v>
      </c>
      <c r="C326" s="1144" t="s">
        <v>57842</v>
      </c>
      <c r="D326" s="1133">
        <v>933.40000000000009</v>
      </c>
    </row>
    <row r="327" spans="1:4" s="500" customFormat="1" ht="17.25" customHeight="1">
      <c r="A327" s="500" t="s">
        <v>57410</v>
      </c>
      <c r="B327" s="1142" t="s">
        <v>57841</v>
      </c>
      <c r="C327" s="1144" t="s">
        <v>57840</v>
      </c>
      <c r="D327" s="1133">
        <v>1490.2</v>
      </c>
    </row>
    <row r="328" spans="1:4" s="500" customFormat="1" ht="17.25" customHeight="1">
      <c r="A328" s="500" t="s">
        <v>57410</v>
      </c>
      <c r="B328" s="1142" t="s">
        <v>57839</v>
      </c>
      <c r="C328" s="1144" t="s">
        <v>57838</v>
      </c>
      <c r="D328" s="1133">
        <v>2138.3000000000002</v>
      </c>
    </row>
    <row r="329" spans="1:4" s="500" customFormat="1" ht="17.25" customHeight="1">
      <c r="A329" s="500" t="s">
        <v>57410</v>
      </c>
      <c r="B329" s="1142" t="s">
        <v>57837</v>
      </c>
      <c r="C329" s="1144" t="s">
        <v>57836</v>
      </c>
      <c r="D329" s="1133">
        <v>1257.3999999999999</v>
      </c>
    </row>
    <row r="330" spans="1:4" s="500" customFormat="1" ht="17.25" customHeight="1">
      <c r="A330" s="500" t="s">
        <v>57410</v>
      </c>
      <c r="B330" s="1142" t="s">
        <v>57835</v>
      </c>
      <c r="C330" s="1144" t="s">
        <v>57834</v>
      </c>
      <c r="D330" s="1133">
        <v>1860.9</v>
      </c>
    </row>
    <row r="331" spans="1:4" s="500" customFormat="1" ht="17.25" customHeight="1">
      <c r="A331" s="500" t="s">
        <v>57410</v>
      </c>
      <c r="B331" s="1142" t="s">
        <v>57833</v>
      </c>
      <c r="C331" s="1144" t="s">
        <v>57832</v>
      </c>
      <c r="D331" s="1133">
        <v>153.1</v>
      </c>
    </row>
    <row r="332" spans="1:4" s="500" customFormat="1" ht="17.25" customHeight="1">
      <c r="A332" s="500" t="s">
        <v>57410</v>
      </c>
      <c r="B332" s="1142" t="s">
        <v>57831</v>
      </c>
      <c r="C332" s="1144" t="s">
        <v>57830</v>
      </c>
      <c r="D332" s="1133">
        <v>2312.9500000000003</v>
      </c>
    </row>
    <row r="333" spans="1:4" s="500" customFormat="1" ht="17.25" customHeight="1">
      <c r="A333" s="500" t="s">
        <v>57410</v>
      </c>
      <c r="B333" s="1142" t="s">
        <v>57829</v>
      </c>
      <c r="C333" s="1144" t="s">
        <v>57828</v>
      </c>
      <c r="D333" s="1133">
        <v>2794.9</v>
      </c>
    </row>
    <row r="334" spans="1:4" s="500" customFormat="1" ht="17.25" customHeight="1">
      <c r="A334" s="500" t="s">
        <v>57410</v>
      </c>
      <c r="B334" s="1142" t="s">
        <v>57827</v>
      </c>
      <c r="C334" s="1144" t="s">
        <v>57826</v>
      </c>
      <c r="D334" s="1133">
        <v>190.79999999999998</v>
      </c>
    </row>
    <row r="335" spans="1:4" s="500" customFormat="1" ht="17.25" customHeight="1">
      <c r="A335" s="500" t="s">
        <v>57410</v>
      </c>
      <c r="B335" s="1135" t="s">
        <v>57825</v>
      </c>
      <c r="C335" s="1134" t="s">
        <v>57824</v>
      </c>
      <c r="D335" s="1133">
        <v>929.30000000000007</v>
      </c>
    </row>
    <row r="336" spans="1:4" s="500" customFormat="1" ht="17.25" customHeight="1">
      <c r="A336" s="500" t="s">
        <v>57410</v>
      </c>
      <c r="B336" s="1142" t="s">
        <v>57823</v>
      </c>
      <c r="C336" s="1141" t="s">
        <v>57822</v>
      </c>
      <c r="D336" s="1133">
        <v>980.6</v>
      </c>
    </row>
    <row r="337" spans="1:4" s="500" customFormat="1" ht="17.25" customHeight="1">
      <c r="A337" s="500" t="s">
        <v>57410</v>
      </c>
      <c r="B337" s="1135" t="s">
        <v>57821</v>
      </c>
      <c r="C337" s="1134" t="s">
        <v>57820</v>
      </c>
      <c r="D337" s="1133">
        <v>287.79999999999995</v>
      </c>
    </row>
    <row r="338" spans="1:4" s="1140" customFormat="1" ht="17.25" customHeight="1">
      <c r="A338" s="1140" t="s">
        <v>57410</v>
      </c>
      <c r="B338" s="1142" t="s">
        <v>57819</v>
      </c>
      <c r="C338" s="1141" t="s">
        <v>57818</v>
      </c>
      <c r="D338" s="1133">
        <v>241.8</v>
      </c>
    </row>
    <row r="339" spans="1:4" s="500" customFormat="1" ht="17.25" customHeight="1">
      <c r="A339" s="500" t="s">
        <v>57410</v>
      </c>
      <c r="B339" s="1135" t="s">
        <v>57817</v>
      </c>
      <c r="C339" s="1134" t="s">
        <v>57816</v>
      </c>
      <c r="D339" s="1133">
        <v>389</v>
      </c>
    </row>
    <row r="340" spans="1:4" s="500" customFormat="1" ht="17.25" customHeight="1">
      <c r="A340" s="500" t="s">
        <v>57410</v>
      </c>
      <c r="B340" s="1142" t="s">
        <v>57815</v>
      </c>
      <c r="C340" s="1141" t="s">
        <v>57814</v>
      </c>
      <c r="D340" s="1133">
        <v>1072</v>
      </c>
    </row>
    <row r="341" spans="1:4" s="500" customFormat="1" ht="17.25" customHeight="1">
      <c r="A341" s="500" t="s">
        <v>57410</v>
      </c>
      <c r="B341" s="1135" t="s">
        <v>57813</v>
      </c>
      <c r="C341" s="1134" t="s">
        <v>57812</v>
      </c>
      <c r="D341" s="1133">
        <v>1817.8000000000002</v>
      </c>
    </row>
    <row r="342" spans="1:4" s="500" customFormat="1" ht="17.25" customHeight="1">
      <c r="A342" s="500" t="s">
        <v>57410</v>
      </c>
      <c r="B342" s="1142" t="s">
        <v>57811</v>
      </c>
      <c r="C342" s="1141" t="s">
        <v>57810</v>
      </c>
      <c r="D342" s="1133">
        <v>128.80000000000001</v>
      </c>
    </row>
    <row r="343" spans="1:4" s="500" customFormat="1" ht="17.25" customHeight="1">
      <c r="A343" s="500" t="s">
        <v>57410</v>
      </c>
      <c r="B343" s="1135" t="s">
        <v>57809</v>
      </c>
      <c r="C343" s="1134" t="s">
        <v>57808</v>
      </c>
      <c r="D343" s="1133">
        <v>96.6</v>
      </c>
    </row>
    <row r="344" spans="1:4" s="500" customFormat="1" ht="17.25" customHeight="1">
      <c r="A344" s="500" t="s">
        <v>57410</v>
      </c>
      <c r="B344" s="1142" t="s">
        <v>57807</v>
      </c>
      <c r="C344" s="1141" t="s">
        <v>57806</v>
      </c>
      <c r="D344" s="1133">
        <v>140.6</v>
      </c>
    </row>
    <row r="345" spans="1:4" s="500" customFormat="1" ht="17.25" customHeight="1">
      <c r="A345" s="500" t="s">
        <v>57410</v>
      </c>
      <c r="B345" s="1135" t="s">
        <v>57805</v>
      </c>
      <c r="C345" s="1134" t="s">
        <v>57804</v>
      </c>
      <c r="D345" s="1133">
        <v>191.29999999999998</v>
      </c>
    </row>
    <row r="346" spans="1:4" s="500" customFormat="1" ht="17.25" customHeight="1">
      <c r="A346" s="500" t="s">
        <v>57410</v>
      </c>
      <c r="B346" s="1142" t="s">
        <v>57803</v>
      </c>
      <c r="C346" s="1141" t="s">
        <v>57802</v>
      </c>
      <c r="D346" s="1133">
        <v>414.6</v>
      </c>
    </row>
    <row r="347" spans="1:4" s="500" customFormat="1" ht="17.25" customHeight="1">
      <c r="B347" s="1135" t="s">
        <v>57801</v>
      </c>
      <c r="C347" s="1134" t="s">
        <v>57800</v>
      </c>
      <c r="D347" s="1133">
        <v>528.19999999999993</v>
      </c>
    </row>
    <row r="348" spans="1:4" s="500" customFormat="1" ht="17.25" customHeight="1">
      <c r="A348" s="500" t="s">
        <v>57410</v>
      </c>
      <c r="B348" s="1142" t="s">
        <v>57799</v>
      </c>
      <c r="C348" s="1141" t="s">
        <v>57798</v>
      </c>
      <c r="D348" s="1133">
        <v>601.6</v>
      </c>
    </row>
    <row r="349" spans="1:4" s="500" customFormat="1" ht="17.25" customHeight="1">
      <c r="B349" s="1135" t="s">
        <v>57797</v>
      </c>
      <c r="C349" s="1134" t="s">
        <v>57796</v>
      </c>
      <c r="D349" s="1133">
        <v>848.90000000000009</v>
      </c>
    </row>
    <row r="350" spans="1:4" ht="17.25" customHeight="1">
      <c r="A350" s="1128" t="s">
        <v>57410</v>
      </c>
      <c r="B350" s="1142" t="s">
        <v>57795</v>
      </c>
      <c r="C350" s="1141" t="s">
        <v>57794</v>
      </c>
      <c r="D350" s="1133">
        <v>1136.3</v>
      </c>
    </row>
    <row r="351" spans="1:4" s="500" customFormat="1" ht="17.25" customHeight="1">
      <c r="B351" s="1135" t="s">
        <v>57793</v>
      </c>
      <c r="C351" s="1134" t="s">
        <v>57792</v>
      </c>
      <c r="D351" s="1133">
        <v>1303.4000000000001</v>
      </c>
    </row>
    <row r="352" spans="1:4" s="1143" customFormat="1" ht="17.25" customHeight="1">
      <c r="A352" s="1143" t="s">
        <v>57410</v>
      </c>
      <c r="B352" s="1142" t="s">
        <v>57791</v>
      </c>
      <c r="C352" s="1141" t="s">
        <v>57790</v>
      </c>
      <c r="D352" s="1133">
        <v>129.9</v>
      </c>
    </row>
    <row r="353" spans="1:4" ht="17.25" customHeight="1">
      <c r="A353" s="1128" t="s">
        <v>57410</v>
      </c>
      <c r="B353" s="1135" t="s">
        <v>57789</v>
      </c>
      <c r="C353" s="1134" t="s">
        <v>57788</v>
      </c>
      <c r="D353" s="1133">
        <v>124.5</v>
      </c>
    </row>
    <row r="354" spans="1:4" ht="17.25" customHeight="1">
      <c r="A354" s="1128" t="s">
        <v>57410</v>
      </c>
      <c r="B354" s="1142" t="s">
        <v>57787</v>
      </c>
      <c r="C354" s="1141" t="s">
        <v>57786</v>
      </c>
      <c r="D354" s="1133">
        <v>120.3</v>
      </c>
    </row>
    <row r="355" spans="1:4" ht="17.25" customHeight="1">
      <c r="A355" s="1128" t="s">
        <v>57410</v>
      </c>
      <c r="B355" s="1135" t="s">
        <v>57785</v>
      </c>
      <c r="C355" s="1134" t="s">
        <v>57784</v>
      </c>
      <c r="D355" s="1133">
        <v>176.4</v>
      </c>
    </row>
    <row r="356" spans="1:4" ht="17.25" customHeight="1">
      <c r="A356" s="1128" t="s">
        <v>57410</v>
      </c>
      <c r="B356" s="1142" t="s">
        <v>57783</v>
      </c>
      <c r="C356" s="1141" t="s">
        <v>57782</v>
      </c>
      <c r="D356" s="1133">
        <v>176.4</v>
      </c>
    </row>
    <row r="357" spans="1:4" ht="17.25" customHeight="1">
      <c r="B357" s="1135" t="s">
        <v>57781</v>
      </c>
      <c r="C357" s="1134" t="s">
        <v>57780</v>
      </c>
      <c r="D357" s="1133">
        <v>129.9</v>
      </c>
    </row>
    <row r="358" spans="1:4" ht="17.25" customHeight="1">
      <c r="B358" s="1142" t="s">
        <v>57779</v>
      </c>
      <c r="C358" s="1141" t="s">
        <v>57778</v>
      </c>
      <c r="D358" s="1133">
        <v>121.8</v>
      </c>
    </row>
    <row r="359" spans="1:4" ht="17.25" customHeight="1">
      <c r="B359" s="1135" t="s">
        <v>57777</v>
      </c>
      <c r="C359" s="1134" t="s">
        <v>57776</v>
      </c>
      <c r="D359" s="1133">
        <v>121.8</v>
      </c>
    </row>
    <row r="360" spans="1:4" ht="17.25" customHeight="1">
      <c r="A360" s="1128" t="s">
        <v>57410</v>
      </c>
      <c r="B360" s="1142" t="s">
        <v>57775</v>
      </c>
      <c r="C360" s="1141" t="s">
        <v>57774</v>
      </c>
      <c r="D360" s="1133">
        <v>201.1</v>
      </c>
    </row>
    <row r="361" spans="1:4" ht="17.25" customHeight="1">
      <c r="B361" s="1135" t="s">
        <v>57773</v>
      </c>
      <c r="C361" s="1134" t="s">
        <v>57772</v>
      </c>
      <c r="D361" s="1133">
        <v>447.6</v>
      </c>
    </row>
    <row r="362" spans="1:4" ht="17.25" customHeight="1">
      <c r="B362" s="1142" t="s">
        <v>57771</v>
      </c>
      <c r="C362" s="1141" t="s">
        <v>57770</v>
      </c>
      <c r="D362" s="1133">
        <v>198.10000000000002</v>
      </c>
    </row>
    <row r="363" spans="1:4" ht="17.25" customHeight="1">
      <c r="B363" s="1135" t="s">
        <v>57769</v>
      </c>
      <c r="C363" s="1134" t="s">
        <v>57768</v>
      </c>
      <c r="D363" s="1133">
        <v>198.10000000000002</v>
      </c>
    </row>
    <row r="364" spans="1:4" ht="17.25" customHeight="1">
      <c r="B364" s="1142" t="s">
        <v>57767</v>
      </c>
      <c r="C364" s="1141" t="s">
        <v>57766</v>
      </c>
      <c r="D364" s="1133">
        <v>256.7</v>
      </c>
    </row>
    <row r="365" spans="1:4" ht="17.25" customHeight="1">
      <c r="B365" s="1135" t="s">
        <v>57765</v>
      </c>
      <c r="C365" s="1134" t="s">
        <v>57764</v>
      </c>
      <c r="D365" s="1133">
        <v>139.5</v>
      </c>
    </row>
    <row r="366" spans="1:4" ht="17.25" customHeight="1">
      <c r="B366" s="1142" t="s">
        <v>57763</v>
      </c>
      <c r="C366" s="1141" t="s">
        <v>57762</v>
      </c>
      <c r="D366" s="1133">
        <v>139.5</v>
      </c>
    </row>
    <row r="367" spans="1:4" ht="17.25" customHeight="1">
      <c r="B367" s="1135" t="s">
        <v>57761</v>
      </c>
      <c r="C367" s="1134" t="s">
        <v>57760</v>
      </c>
      <c r="D367" s="1133">
        <v>27.400000000000002</v>
      </c>
    </row>
    <row r="368" spans="1:4" ht="17.25" customHeight="1">
      <c r="A368" s="1128" t="s">
        <v>57393</v>
      </c>
      <c r="B368" s="1142" t="s">
        <v>57759</v>
      </c>
      <c r="C368" s="1141" t="s">
        <v>57754</v>
      </c>
      <c r="D368" s="1133">
        <v>93.100000000000009</v>
      </c>
    </row>
    <row r="369" spans="1:4" ht="17.25" customHeight="1">
      <c r="A369" s="1128" t="s">
        <v>57393</v>
      </c>
      <c r="B369" s="1135" t="s">
        <v>57758</v>
      </c>
      <c r="C369" s="1134" t="s">
        <v>57754</v>
      </c>
      <c r="D369" s="1133">
        <v>93.100000000000009</v>
      </c>
    </row>
    <row r="370" spans="1:4" ht="17.25" customHeight="1">
      <c r="A370" s="1128" t="s">
        <v>57393</v>
      </c>
      <c r="B370" s="1142" t="s">
        <v>57757</v>
      </c>
      <c r="C370" s="1141" t="s">
        <v>57754</v>
      </c>
      <c r="D370" s="1133">
        <v>93.100000000000009</v>
      </c>
    </row>
    <row r="371" spans="1:4" ht="17.25" customHeight="1">
      <c r="B371" s="1135" t="s">
        <v>57756</v>
      </c>
      <c r="C371" s="1134" t="s">
        <v>57754</v>
      </c>
      <c r="D371" s="1133">
        <v>93.100000000000009</v>
      </c>
    </row>
    <row r="372" spans="1:4" ht="17.25" customHeight="1">
      <c r="B372" s="1142" t="s">
        <v>57755</v>
      </c>
      <c r="C372" s="1141" t="s">
        <v>57754</v>
      </c>
      <c r="D372" s="1133">
        <v>218.70000000000002</v>
      </c>
    </row>
    <row r="373" spans="1:4" ht="17.25" customHeight="1">
      <c r="A373" s="1128" t="s">
        <v>57410</v>
      </c>
      <c r="B373" s="1135" t="s">
        <v>57753</v>
      </c>
      <c r="C373" s="1134" t="s">
        <v>57751</v>
      </c>
      <c r="D373" s="1133">
        <v>109.60000000000001</v>
      </c>
    </row>
    <row r="374" spans="1:4" ht="17.25" customHeight="1">
      <c r="B374" s="1142" t="s">
        <v>57752</v>
      </c>
      <c r="C374" s="1141" t="s">
        <v>57751</v>
      </c>
      <c r="D374" s="1133">
        <v>109.60000000000001</v>
      </c>
    </row>
    <row r="375" spans="1:4" ht="17.25" customHeight="1">
      <c r="B375" s="1135" t="s">
        <v>57750</v>
      </c>
      <c r="C375" s="1134" t="s">
        <v>57745</v>
      </c>
      <c r="D375" s="1133">
        <v>120.3</v>
      </c>
    </row>
    <row r="376" spans="1:4" ht="17.25" customHeight="1">
      <c r="A376" s="1128" t="s">
        <v>57410</v>
      </c>
      <c r="B376" s="1142" t="s">
        <v>57749</v>
      </c>
      <c r="C376" s="1141" t="s">
        <v>57745</v>
      </c>
      <c r="D376" s="1133">
        <v>120.3</v>
      </c>
    </row>
    <row r="377" spans="1:4" s="1143" customFormat="1" ht="17.25" customHeight="1">
      <c r="A377" s="1143" t="s">
        <v>57410</v>
      </c>
      <c r="B377" s="1135" t="s">
        <v>57748</v>
      </c>
      <c r="C377" s="1134" t="s">
        <v>57745</v>
      </c>
      <c r="D377" s="1133">
        <v>120.3</v>
      </c>
    </row>
    <row r="378" spans="1:4" s="500" customFormat="1" ht="17.25" customHeight="1">
      <c r="A378" s="500" t="s">
        <v>57410</v>
      </c>
      <c r="B378" s="1142" t="s">
        <v>57747</v>
      </c>
      <c r="C378" s="1141" t="s">
        <v>57745</v>
      </c>
      <c r="D378" s="1133">
        <v>120.3</v>
      </c>
    </row>
    <row r="379" spans="1:4" ht="17.25" customHeight="1">
      <c r="A379" s="1128" t="s">
        <v>57410</v>
      </c>
      <c r="B379" s="1135" t="s">
        <v>57746</v>
      </c>
      <c r="C379" s="1134" t="s">
        <v>57745</v>
      </c>
      <c r="D379" s="1133">
        <v>225.4</v>
      </c>
    </row>
    <row r="380" spans="1:4" s="500" customFormat="1" ht="17.25" customHeight="1">
      <c r="A380" s="500" t="s">
        <v>57410</v>
      </c>
      <c r="B380" s="1142" t="s">
        <v>57744</v>
      </c>
      <c r="C380" s="1141" t="s">
        <v>57742</v>
      </c>
      <c r="D380" s="1133">
        <v>129.9</v>
      </c>
    </row>
    <row r="381" spans="1:4" ht="17.25" customHeight="1">
      <c r="A381" s="1128" t="s">
        <v>57410</v>
      </c>
      <c r="B381" s="1135" t="s">
        <v>57743</v>
      </c>
      <c r="C381" s="1134" t="s">
        <v>57742</v>
      </c>
      <c r="D381" s="1133">
        <v>129.9</v>
      </c>
    </row>
    <row r="382" spans="1:4" s="500" customFormat="1" ht="17.25" customHeight="1">
      <c r="A382" s="500" t="s">
        <v>57393</v>
      </c>
      <c r="B382" s="1142" t="s">
        <v>57741</v>
      </c>
      <c r="C382" s="1141" t="s">
        <v>57740</v>
      </c>
      <c r="D382" s="1133">
        <v>221.3</v>
      </c>
    </row>
    <row r="383" spans="1:4" ht="17.25" customHeight="1">
      <c r="A383" s="1128" t="s">
        <v>57393</v>
      </c>
      <c r="B383" s="1135" t="s">
        <v>57739</v>
      </c>
      <c r="C383" s="1134" t="s">
        <v>57738</v>
      </c>
      <c r="D383" s="1133">
        <v>124.5</v>
      </c>
    </row>
    <row r="384" spans="1:4" s="500" customFormat="1" ht="17.25" customHeight="1">
      <c r="A384" s="500" t="s">
        <v>57393</v>
      </c>
      <c r="B384" s="1142" t="s">
        <v>57737</v>
      </c>
      <c r="C384" s="1141" t="s">
        <v>57736</v>
      </c>
      <c r="D384" s="1133">
        <v>158.5</v>
      </c>
    </row>
    <row r="385" spans="1:4" ht="17.25" customHeight="1">
      <c r="A385" s="1128" t="s">
        <v>57410</v>
      </c>
      <c r="B385" s="1135" t="s">
        <v>57735</v>
      </c>
      <c r="C385" s="1134" t="s">
        <v>57734</v>
      </c>
      <c r="D385" s="1133">
        <v>158.5</v>
      </c>
    </row>
    <row r="386" spans="1:4" s="500" customFormat="1" ht="17.25" customHeight="1">
      <c r="A386" s="500" t="s">
        <v>57410</v>
      </c>
      <c r="B386" s="1142" t="s">
        <v>57733</v>
      </c>
      <c r="C386" s="1141" t="s">
        <v>57732</v>
      </c>
      <c r="D386" s="1133">
        <v>158.5</v>
      </c>
    </row>
    <row r="387" spans="1:4" ht="17.25" customHeight="1">
      <c r="A387" s="1128" t="s">
        <v>57410</v>
      </c>
      <c r="B387" s="1135" t="s">
        <v>57731</v>
      </c>
      <c r="C387" s="1134" t="s">
        <v>57730</v>
      </c>
      <c r="D387" s="1133">
        <v>110.9</v>
      </c>
    </row>
    <row r="388" spans="1:4" s="500" customFormat="1" ht="17.25" customHeight="1">
      <c r="A388" s="500" t="s">
        <v>57410</v>
      </c>
      <c r="B388" s="1142" t="s">
        <v>57729</v>
      </c>
      <c r="C388" s="1141" t="s">
        <v>57723</v>
      </c>
      <c r="D388" s="1133">
        <v>127.3</v>
      </c>
    </row>
    <row r="389" spans="1:4" ht="17.25" customHeight="1">
      <c r="A389" s="1128" t="s">
        <v>57410</v>
      </c>
      <c r="B389" s="1135" t="s">
        <v>57728</v>
      </c>
      <c r="C389" s="1134" t="s">
        <v>57723</v>
      </c>
      <c r="D389" s="1133">
        <v>127.3</v>
      </c>
    </row>
    <row r="390" spans="1:4" s="500" customFormat="1" ht="17.25" customHeight="1">
      <c r="A390" s="500" t="s">
        <v>57410</v>
      </c>
      <c r="B390" s="1142" t="s">
        <v>57727</v>
      </c>
      <c r="C390" s="1141" t="s">
        <v>57723</v>
      </c>
      <c r="D390" s="1133">
        <v>127.3</v>
      </c>
    </row>
    <row r="391" spans="1:4" ht="17.25" customHeight="1">
      <c r="A391" s="1128" t="s">
        <v>57410</v>
      </c>
      <c r="B391" s="1135" t="s">
        <v>57726</v>
      </c>
      <c r="C391" s="1134" t="s">
        <v>57723</v>
      </c>
      <c r="D391" s="1133">
        <v>127.3</v>
      </c>
    </row>
    <row r="392" spans="1:4" s="500" customFormat="1" ht="17.25" customHeight="1">
      <c r="A392" s="500" t="s">
        <v>57410</v>
      </c>
      <c r="B392" s="1142" t="s">
        <v>57725</v>
      </c>
      <c r="C392" s="1141" t="s">
        <v>57723</v>
      </c>
      <c r="D392" s="1133">
        <v>127.3</v>
      </c>
    </row>
    <row r="393" spans="1:4" ht="17.25" customHeight="1">
      <c r="A393" s="1128" t="s">
        <v>57410</v>
      </c>
      <c r="B393" s="1135" t="s">
        <v>57724</v>
      </c>
      <c r="C393" s="1134" t="s">
        <v>57723</v>
      </c>
      <c r="D393" s="1133">
        <v>127.3</v>
      </c>
    </row>
    <row r="394" spans="1:4" s="500" customFormat="1" ht="17.25" customHeight="1">
      <c r="A394" s="500" t="s">
        <v>57410</v>
      </c>
      <c r="B394" s="1142" t="s">
        <v>57722</v>
      </c>
      <c r="C394" s="1141" t="s">
        <v>57718</v>
      </c>
      <c r="D394" s="1133">
        <v>81.800000000000011</v>
      </c>
    </row>
    <row r="395" spans="1:4" ht="17.25" customHeight="1">
      <c r="A395" s="1128" t="s">
        <v>57410</v>
      </c>
      <c r="B395" s="1135" t="s">
        <v>57721</v>
      </c>
      <c r="C395" s="1134" t="s">
        <v>57718</v>
      </c>
      <c r="D395" s="1133">
        <v>81.800000000000011</v>
      </c>
    </row>
    <row r="396" spans="1:4" s="500" customFormat="1" ht="17.25" customHeight="1">
      <c r="A396" s="500" t="s">
        <v>57410</v>
      </c>
      <c r="B396" s="1142" t="s">
        <v>57720</v>
      </c>
      <c r="C396" s="1141" t="s">
        <v>57718</v>
      </c>
      <c r="D396" s="1133">
        <v>81.800000000000011</v>
      </c>
    </row>
    <row r="397" spans="1:4" ht="17.25" customHeight="1">
      <c r="A397" s="1128" t="s">
        <v>57410</v>
      </c>
      <c r="B397" s="1135" t="s">
        <v>57719</v>
      </c>
      <c r="C397" s="1134" t="s">
        <v>57718</v>
      </c>
      <c r="D397" s="1133">
        <v>81.800000000000011</v>
      </c>
    </row>
    <row r="398" spans="1:4" s="500" customFormat="1" ht="17.25" customHeight="1">
      <c r="A398" s="500" t="s">
        <v>57410</v>
      </c>
      <c r="B398" s="1142" t="s">
        <v>57717</v>
      </c>
      <c r="C398" s="1141" t="s">
        <v>57713</v>
      </c>
      <c r="D398" s="1133">
        <v>105.39999999999999</v>
      </c>
    </row>
    <row r="399" spans="1:4" ht="17.25" customHeight="1">
      <c r="A399" s="1128" t="s">
        <v>57410</v>
      </c>
      <c r="B399" s="1135" t="s">
        <v>57716</v>
      </c>
      <c r="C399" s="1134" t="s">
        <v>57713</v>
      </c>
      <c r="D399" s="1133">
        <v>105.39999999999999</v>
      </c>
    </row>
    <row r="400" spans="1:4" s="500" customFormat="1" ht="17.25" customHeight="1">
      <c r="A400" s="500" t="s">
        <v>57410</v>
      </c>
      <c r="B400" s="1142" t="s">
        <v>57715</v>
      </c>
      <c r="C400" s="1141" t="s">
        <v>57713</v>
      </c>
      <c r="D400" s="1133">
        <v>105.39999999999999</v>
      </c>
    </row>
    <row r="401" spans="1:4" ht="17.25" customHeight="1">
      <c r="A401" s="1128" t="s">
        <v>57410</v>
      </c>
      <c r="B401" s="1135" t="s">
        <v>57714</v>
      </c>
      <c r="C401" s="1134" t="s">
        <v>57713</v>
      </c>
      <c r="D401" s="1133">
        <v>105.39999999999999</v>
      </c>
    </row>
    <row r="402" spans="1:4" s="500" customFormat="1" ht="17.25" customHeight="1">
      <c r="A402" s="500" t="s">
        <v>57393</v>
      </c>
      <c r="B402" s="1142" t="s">
        <v>57712</v>
      </c>
      <c r="C402" s="1141" t="s">
        <v>57711</v>
      </c>
      <c r="D402" s="1133">
        <v>414.6</v>
      </c>
    </row>
    <row r="403" spans="1:4" s="500" customFormat="1" ht="17.25" customHeight="1">
      <c r="A403" s="500" t="s">
        <v>57393</v>
      </c>
      <c r="B403" s="1135" t="s">
        <v>57710</v>
      </c>
      <c r="C403" s="1134" t="s">
        <v>57709</v>
      </c>
      <c r="D403" s="1133">
        <v>101.10000000000001</v>
      </c>
    </row>
    <row r="404" spans="1:4" ht="17.25" customHeight="1">
      <c r="A404" s="1128" t="s">
        <v>57393</v>
      </c>
      <c r="B404" s="1135" t="s">
        <v>57708</v>
      </c>
      <c r="C404" s="1134" t="s">
        <v>57707</v>
      </c>
      <c r="D404" s="1133">
        <v>101.10000000000001</v>
      </c>
    </row>
    <row r="405" spans="1:4" s="500" customFormat="1" ht="17.25" customHeight="1">
      <c r="A405" s="500" t="s">
        <v>57393</v>
      </c>
      <c r="B405" s="1135" t="s">
        <v>57706</v>
      </c>
      <c r="C405" s="1134" t="s">
        <v>57705</v>
      </c>
      <c r="D405" s="1133">
        <v>102.4</v>
      </c>
    </row>
    <row r="406" spans="1:4" ht="17.25" customHeight="1">
      <c r="A406" s="1128" t="s">
        <v>57393</v>
      </c>
      <c r="B406" s="1135" t="s">
        <v>57704</v>
      </c>
      <c r="C406" s="1134" t="s">
        <v>57703</v>
      </c>
      <c r="D406" s="1133">
        <v>102.4</v>
      </c>
    </row>
    <row r="407" spans="1:4" s="500" customFormat="1" ht="17.25" customHeight="1">
      <c r="A407" s="500" t="s">
        <v>57393</v>
      </c>
      <c r="B407" s="1135" t="s">
        <v>57702</v>
      </c>
      <c r="C407" s="1134" t="s">
        <v>57701</v>
      </c>
      <c r="D407" s="1133">
        <v>115.80000000000001</v>
      </c>
    </row>
    <row r="408" spans="1:4" ht="17.25" customHeight="1">
      <c r="A408" s="1128" t="s">
        <v>57393</v>
      </c>
      <c r="B408" s="1135" t="s">
        <v>57700</v>
      </c>
      <c r="C408" s="1134" t="s">
        <v>57699</v>
      </c>
      <c r="D408" s="1133">
        <v>115.30000000000001</v>
      </c>
    </row>
    <row r="409" spans="1:4" s="500" customFormat="1" ht="17.25" customHeight="1">
      <c r="B409" s="1135" t="s">
        <v>57698</v>
      </c>
      <c r="C409" s="1134" t="s">
        <v>57697</v>
      </c>
      <c r="D409" s="1133">
        <v>149.10000000000002</v>
      </c>
    </row>
    <row r="410" spans="1:4" ht="17.25" customHeight="1">
      <c r="A410" s="1128" t="s">
        <v>57393</v>
      </c>
      <c r="B410" s="1135" t="s">
        <v>57696</v>
      </c>
      <c r="C410" s="1134" t="s">
        <v>57695</v>
      </c>
      <c r="D410" s="1133">
        <v>149.10000000000002</v>
      </c>
    </row>
    <row r="411" spans="1:4" s="500" customFormat="1" ht="17.25" customHeight="1">
      <c r="A411" s="500" t="s">
        <v>57393</v>
      </c>
      <c r="B411" s="1135" t="s">
        <v>57694</v>
      </c>
      <c r="C411" s="1134" t="s">
        <v>57693</v>
      </c>
      <c r="D411" s="1133">
        <v>107.19999999999999</v>
      </c>
    </row>
    <row r="412" spans="1:4" ht="17.25" customHeight="1">
      <c r="A412" s="1128" t="s">
        <v>57393</v>
      </c>
      <c r="B412" s="1135" t="s">
        <v>57692</v>
      </c>
      <c r="C412" s="1134" t="s">
        <v>57691</v>
      </c>
      <c r="D412" s="1133">
        <v>107.19999999999999</v>
      </c>
    </row>
    <row r="413" spans="1:4" s="500" customFormat="1" ht="17.25" customHeight="1">
      <c r="A413" s="500" t="s">
        <v>57393</v>
      </c>
      <c r="B413" s="1135" t="s">
        <v>57690</v>
      </c>
      <c r="C413" s="1134" t="s">
        <v>57689</v>
      </c>
      <c r="D413" s="1133">
        <v>44.599999999999994</v>
      </c>
    </row>
    <row r="414" spans="1:4" ht="17.25" customHeight="1">
      <c r="A414" s="1128" t="s">
        <v>57393</v>
      </c>
      <c r="B414" s="1135" t="s">
        <v>57688</v>
      </c>
      <c r="C414" s="1134" t="s">
        <v>57687</v>
      </c>
      <c r="D414" s="1133">
        <v>49</v>
      </c>
    </row>
    <row r="415" spans="1:4" s="500" customFormat="1" ht="17.25" customHeight="1">
      <c r="A415" s="500" t="s">
        <v>57393</v>
      </c>
      <c r="B415" s="1135" t="s">
        <v>57686</v>
      </c>
      <c r="C415" s="1134" t="s">
        <v>57685</v>
      </c>
      <c r="D415" s="1133">
        <v>49</v>
      </c>
    </row>
    <row r="416" spans="1:4" ht="17.25" customHeight="1">
      <c r="A416" s="1128" t="s">
        <v>57393</v>
      </c>
      <c r="B416" s="1135" t="s">
        <v>57684</v>
      </c>
      <c r="C416" s="1134" t="s">
        <v>57683</v>
      </c>
      <c r="D416" s="1133">
        <v>71.899999999999991</v>
      </c>
    </row>
    <row r="417" spans="1:4" s="500" customFormat="1" ht="17.25" customHeight="1">
      <c r="A417" s="500" t="s">
        <v>57393</v>
      </c>
      <c r="B417" s="1135" t="s">
        <v>57682</v>
      </c>
      <c r="C417" s="1134" t="s">
        <v>57681</v>
      </c>
      <c r="D417" s="1133">
        <v>41</v>
      </c>
    </row>
    <row r="418" spans="1:4" ht="17.25" customHeight="1">
      <c r="A418" s="1128" t="s">
        <v>57393</v>
      </c>
      <c r="B418" s="1135" t="s">
        <v>57680</v>
      </c>
      <c r="C418" s="1134" t="s">
        <v>57679</v>
      </c>
      <c r="D418" s="1133">
        <v>41</v>
      </c>
    </row>
    <row r="419" spans="1:4" s="500" customFormat="1" ht="17.25" customHeight="1">
      <c r="A419" s="500" t="s">
        <v>57393</v>
      </c>
      <c r="B419" s="1135" t="s">
        <v>57678</v>
      </c>
      <c r="C419" s="1134" t="s">
        <v>57677</v>
      </c>
      <c r="D419" s="1133">
        <v>41</v>
      </c>
    </row>
    <row r="420" spans="1:4" ht="17.25" customHeight="1">
      <c r="A420" s="1128" t="s">
        <v>57393</v>
      </c>
      <c r="B420" s="1135" t="s">
        <v>57676</v>
      </c>
      <c r="C420" s="1134" t="s">
        <v>57675</v>
      </c>
      <c r="D420" s="1133">
        <v>50.1</v>
      </c>
    </row>
    <row r="421" spans="1:4" s="500" customFormat="1" ht="17.25" customHeight="1">
      <c r="A421" s="500" t="s">
        <v>57393</v>
      </c>
      <c r="B421" s="1135" t="s">
        <v>57674</v>
      </c>
      <c r="C421" s="1134" t="s">
        <v>57673</v>
      </c>
      <c r="D421" s="1133">
        <v>50.1</v>
      </c>
    </row>
    <row r="422" spans="1:4" ht="17.25" customHeight="1">
      <c r="A422" s="1128" t="s">
        <v>57393</v>
      </c>
      <c r="B422" s="1135" t="s">
        <v>57672</v>
      </c>
      <c r="C422" s="1134" t="s">
        <v>57671</v>
      </c>
      <c r="D422" s="1133">
        <v>50.1</v>
      </c>
    </row>
    <row r="423" spans="1:4" s="500" customFormat="1" ht="17.25" customHeight="1">
      <c r="A423" s="500" t="s">
        <v>57393</v>
      </c>
      <c r="B423" s="1135" t="s">
        <v>57670</v>
      </c>
      <c r="C423" s="1134" t="s">
        <v>57669</v>
      </c>
      <c r="D423" s="1133">
        <v>50.1</v>
      </c>
    </row>
    <row r="424" spans="1:4" ht="17.25" customHeight="1">
      <c r="A424" s="1128" t="s">
        <v>57393</v>
      </c>
      <c r="B424" s="1135" t="s">
        <v>57668</v>
      </c>
      <c r="C424" s="1134" t="s">
        <v>57667</v>
      </c>
      <c r="D424" s="1133">
        <v>50.1</v>
      </c>
    </row>
    <row r="425" spans="1:4" s="500" customFormat="1" ht="17.25" customHeight="1">
      <c r="A425" s="500" t="s">
        <v>57393</v>
      </c>
      <c r="B425" s="1135" t="s">
        <v>57666</v>
      </c>
      <c r="C425" s="1134" t="s">
        <v>57665</v>
      </c>
      <c r="D425" s="1133">
        <v>50.1</v>
      </c>
    </row>
    <row r="426" spans="1:4" ht="17.25" customHeight="1">
      <c r="A426" s="1128" t="s">
        <v>57393</v>
      </c>
      <c r="B426" s="1135" t="s">
        <v>57664</v>
      </c>
      <c r="C426" s="1134" t="s">
        <v>57663</v>
      </c>
      <c r="D426" s="1133">
        <v>50.1</v>
      </c>
    </row>
    <row r="427" spans="1:4" s="500" customFormat="1" ht="17.25" customHeight="1">
      <c r="A427" s="500" t="s">
        <v>57393</v>
      </c>
      <c r="B427" s="1135" t="s">
        <v>57662</v>
      </c>
      <c r="C427" s="1134" t="s">
        <v>57661</v>
      </c>
      <c r="D427" s="1133">
        <v>50.1</v>
      </c>
    </row>
    <row r="428" spans="1:4" ht="17.25" customHeight="1">
      <c r="A428" s="1128" t="s">
        <v>57393</v>
      </c>
      <c r="B428" s="1135" t="s">
        <v>57660</v>
      </c>
      <c r="C428" s="1134" t="s">
        <v>57659</v>
      </c>
      <c r="D428" s="1133">
        <v>48.5</v>
      </c>
    </row>
    <row r="429" spans="1:4" s="500" customFormat="1" ht="17.25" customHeight="1">
      <c r="A429" s="500" t="s">
        <v>57393</v>
      </c>
      <c r="B429" s="1135" t="s">
        <v>57658</v>
      </c>
      <c r="C429" s="1134" t="s">
        <v>57657</v>
      </c>
      <c r="D429" s="1133">
        <v>28.900000000000002</v>
      </c>
    </row>
    <row r="430" spans="1:4" ht="17.25" customHeight="1">
      <c r="A430" s="1128" t="s">
        <v>57393</v>
      </c>
      <c r="B430" s="1135" t="s">
        <v>57656</v>
      </c>
      <c r="C430" s="1134" t="s">
        <v>57655</v>
      </c>
      <c r="D430" s="1133">
        <v>41.1</v>
      </c>
    </row>
    <row r="431" spans="1:4" s="500" customFormat="1" ht="17.25" customHeight="1">
      <c r="A431" s="500" t="s">
        <v>57393</v>
      </c>
      <c r="B431" s="1135" t="s">
        <v>57654</v>
      </c>
      <c r="C431" s="1134" t="s">
        <v>57653</v>
      </c>
      <c r="D431" s="1133">
        <v>50.1</v>
      </c>
    </row>
    <row r="432" spans="1:4" ht="17.25" customHeight="1">
      <c r="A432" s="1128" t="s">
        <v>57393</v>
      </c>
      <c r="B432" s="1135" t="s">
        <v>57652</v>
      </c>
      <c r="C432" s="1134" t="s">
        <v>57651</v>
      </c>
      <c r="D432" s="1133">
        <v>75.7</v>
      </c>
    </row>
    <row r="433" spans="1:4" s="500" customFormat="1" ht="17.25" customHeight="1">
      <c r="A433" s="500" t="s">
        <v>57393</v>
      </c>
      <c r="B433" s="1135" t="s">
        <v>57650</v>
      </c>
      <c r="C433" s="1134" t="s">
        <v>57649</v>
      </c>
      <c r="D433" s="1133">
        <v>58.900000000000006</v>
      </c>
    </row>
    <row r="434" spans="1:4" ht="17.25" customHeight="1">
      <c r="A434" s="1128" t="s">
        <v>57393</v>
      </c>
      <c r="B434" s="1135" t="s">
        <v>57648</v>
      </c>
      <c r="C434" s="1134" t="s">
        <v>57647</v>
      </c>
      <c r="D434" s="1133">
        <v>74.5</v>
      </c>
    </row>
    <row r="435" spans="1:4" s="500" customFormat="1" ht="17.25" customHeight="1">
      <c r="A435" s="500" t="s">
        <v>57393</v>
      </c>
      <c r="B435" s="1135" t="s">
        <v>57646</v>
      </c>
      <c r="C435" s="1134" t="s">
        <v>57645</v>
      </c>
      <c r="D435" s="1133">
        <v>81.900000000000006</v>
      </c>
    </row>
    <row r="436" spans="1:4" ht="17.25" customHeight="1">
      <c r="A436" s="1128" t="s">
        <v>57393</v>
      </c>
      <c r="B436" s="1135" t="s">
        <v>57644</v>
      </c>
      <c r="C436" s="1134" t="s">
        <v>57643</v>
      </c>
      <c r="D436" s="1133">
        <v>63.3</v>
      </c>
    </row>
    <row r="437" spans="1:4" s="500" customFormat="1" ht="17.25" customHeight="1">
      <c r="A437" s="500" t="s">
        <v>57393</v>
      </c>
      <c r="B437" s="1135" t="s">
        <v>57642</v>
      </c>
      <c r="C437" s="1134" t="s">
        <v>57641</v>
      </c>
      <c r="D437" s="1133">
        <v>66.7</v>
      </c>
    </row>
    <row r="438" spans="1:4" ht="17.25" customHeight="1">
      <c r="A438" s="1128" t="s">
        <v>57393</v>
      </c>
      <c r="B438" s="1135" t="s">
        <v>57640</v>
      </c>
      <c r="C438" s="1134" t="s">
        <v>57639</v>
      </c>
      <c r="D438" s="1133">
        <v>63.9</v>
      </c>
    </row>
    <row r="439" spans="1:4" s="500" customFormat="1" ht="17.25" customHeight="1">
      <c r="A439" s="500" t="s">
        <v>57393</v>
      </c>
      <c r="B439" s="1135" t="s">
        <v>57638</v>
      </c>
      <c r="C439" s="1134" t="s">
        <v>57637</v>
      </c>
      <c r="D439" s="1133">
        <v>63.9</v>
      </c>
    </row>
    <row r="440" spans="1:4" ht="17.25" customHeight="1">
      <c r="A440" s="1128" t="s">
        <v>57393</v>
      </c>
      <c r="B440" s="1135" t="s">
        <v>57636</v>
      </c>
      <c r="C440" s="1134" t="s">
        <v>57635</v>
      </c>
      <c r="D440" s="1133">
        <v>78.7</v>
      </c>
    </row>
    <row r="441" spans="1:4" s="500" customFormat="1" ht="17.25" customHeight="1">
      <c r="A441" s="500" t="s">
        <v>57393</v>
      </c>
      <c r="B441" s="1135" t="s">
        <v>57634</v>
      </c>
      <c r="C441" s="1134" t="s">
        <v>57633</v>
      </c>
      <c r="D441" s="1133">
        <v>66.7</v>
      </c>
    </row>
    <row r="442" spans="1:4" ht="17.25" customHeight="1">
      <c r="A442" s="1128" t="s">
        <v>57393</v>
      </c>
      <c r="B442" s="1135" t="s">
        <v>57632</v>
      </c>
      <c r="C442" s="1134" t="s">
        <v>57631</v>
      </c>
      <c r="D442" s="1133">
        <v>66.7</v>
      </c>
    </row>
    <row r="443" spans="1:4" s="500" customFormat="1" ht="17.25" customHeight="1">
      <c r="A443" s="500" t="s">
        <v>57393</v>
      </c>
      <c r="B443" s="1135" t="s">
        <v>57630</v>
      </c>
      <c r="C443" s="1134" t="s">
        <v>57629</v>
      </c>
      <c r="D443" s="1133">
        <v>65.3</v>
      </c>
    </row>
    <row r="444" spans="1:4" ht="17.25" customHeight="1">
      <c r="A444" s="1128" t="s">
        <v>57393</v>
      </c>
      <c r="B444" s="1135" t="s">
        <v>57628</v>
      </c>
      <c r="C444" s="1134" t="s">
        <v>57627</v>
      </c>
      <c r="D444" s="1133">
        <v>96</v>
      </c>
    </row>
    <row r="445" spans="1:4" s="1140" customFormat="1" ht="17.25" customHeight="1">
      <c r="A445" s="1140" t="s">
        <v>57393</v>
      </c>
      <c r="B445" s="1135" t="s">
        <v>57626</v>
      </c>
      <c r="C445" s="1134" t="s">
        <v>57625</v>
      </c>
      <c r="D445" s="1133">
        <v>108</v>
      </c>
    </row>
    <row r="446" spans="1:4" s="500" customFormat="1" ht="17.25" customHeight="1">
      <c r="A446" s="500" t="s">
        <v>57393</v>
      </c>
      <c r="B446" s="1135" t="s">
        <v>57624</v>
      </c>
      <c r="C446" s="1134" t="s">
        <v>57623</v>
      </c>
      <c r="D446" s="1133">
        <v>148.9</v>
      </c>
    </row>
    <row r="447" spans="1:4" s="500" customFormat="1" ht="17.25" customHeight="1">
      <c r="A447" s="500" t="s">
        <v>57393</v>
      </c>
      <c r="B447" s="1135" t="s">
        <v>57622</v>
      </c>
      <c r="C447" s="1134" t="s">
        <v>57621</v>
      </c>
      <c r="D447" s="1133">
        <v>37.300000000000004</v>
      </c>
    </row>
    <row r="448" spans="1:4" s="500" customFormat="1" ht="17.25" customHeight="1">
      <c r="A448" s="500" t="s">
        <v>57393</v>
      </c>
      <c r="B448" s="1135" t="s">
        <v>57620</v>
      </c>
      <c r="C448" s="1134" t="s">
        <v>57619</v>
      </c>
      <c r="D448" s="1133">
        <v>57.900000000000006</v>
      </c>
    </row>
    <row r="449" spans="1:4" s="500" customFormat="1" ht="17.25" customHeight="1">
      <c r="B449" s="1135" t="s">
        <v>57618</v>
      </c>
      <c r="C449" s="1134" t="s">
        <v>57617</v>
      </c>
      <c r="D449" s="1133">
        <v>1008</v>
      </c>
    </row>
    <row r="450" spans="1:4" s="500" customFormat="1" ht="17.25" customHeight="1">
      <c r="A450" s="500" t="s">
        <v>57410</v>
      </c>
      <c r="B450" s="1135" t="s">
        <v>57616</v>
      </c>
      <c r="C450" s="1134" t="s">
        <v>57615</v>
      </c>
      <c r="D450" s="1133">
        <v>1081.2</v>
      </c>
    </row>
    <row r="451" spans="1:4" s="500" customFormat="1" ht="17.25" customHeight="1">
      <c r="A451" s="500" t="s">
        <v>57410</v>
      </c>
      <c r="B451" s="1135" t="s">
        <v>57614</v>
      </c>
      <c r="C451" s="1134" t="s">
        <v>57613</v>
      </c>
      <c r="D451" s="1133">
        <v>620.1</v>
      </c>
    </row>
    <row r="452" spans="1:4" s="500" customFormat="1" ht="17.25" customHeight="1">
      <c r="A452" s="500" t="s">
        <v>57410</v>
      </c>
      <c r="B452" s="1135" t="s">
        <v>57612</v>
      </c>
      <c r="C452" s="1134" t="s">
        <v>57611</v>
      </c>
      <c r="D452" s="1133">
        <v>356.59999999999997</v>
      </c>
    </row>
    <row r="453" spans="1:4" s="500" customFormat="1" ht="17.25" customHeight="1">
      <c r="A453" s="500" t="s">
        <v>57410</v>
      </c>
      <c r="B453" s="1135" t="s">
        <v>57610</v>
      </c>
      <c r="C453" s="1134" t="s">
        <v>57609</v>
      </c>
      <c r="D453" s="1133">
        <v>255.5</v>
      </c>
    </row>
    <row r="454" spans="1:4" s="500" customFormat="1" ht="17.25" customHeight="1">
      <c r="A454" s="500" t="s">
        <v>57410</v>
      </c>
      <c r="B454" s="1135" t="s">
        <v>57608</v>
      </c>
      <c r="C454" s="1134" t="s">
        <v>57607</v>
      </c>
      <c r="D454" s="1133">
        <v>322.09999999999997</v>
      </c>
    </row>
    <row r="455" spans="1:4" s="500" customFormat="1" ht="17.25" customHeight="1">
      <c r="A455" s="500" t="s">
        <v>57410</v>
      </c>
      <c r="B455" s="1135" t="s">
        <v>57606</v>
      </c>
      <c r="C455" s="1134" t="s">
        <v>57605</v>
      </c>
      <c r="D455" s="1133">
        <v>110.9</v>
      </c>
    </row>
    <row r="456" spans="1:4" s="500" customFormat="1" ht="17.25" customHeight="1">
      <c r="A456" s="500" t="s">
        <v>57410</v>
      </c>
      <c r="B456" s="1135" t="s">
        <v>57604</v>
      </c>
      <c r="C456" s="1134" t="s">
        <v>57603</v>
      </c>
      <c r="D456" s="1133">
        <v>158.5</v>
      </c>
    </row>
    <row r="457" spans="1:4" s="500" customFormat="1" ht="17.25" customHeight="1">
      <c r="A457" s="500" t="s">
        <v>57410</v>
      </c>
      <c r="B457" s="1135" t="s">
        <v>57602</v>
      </c>
      <c r="C457" s="1134" t="s">
        <v>57601</v>
      </c>
      <c r="D457" s="1133">
        <v>176.4</v>
      </c>
    </row>
    <row r="458" spans="1:4" s="500" customFormat="1" ht="17.25" customHeight="1">
      <c r="A458" s="500" t="s">
        <v>57410</v>
      </c>
      <c r="B458" s="1135" t="s">
        <v>57600</v>
      </c>
      <c r="C458" s="1134" t="s">
        <v>57599</v>
      </c>
      <c r="D458" s="1133">
        <v>144.89999999999998</v>
      </c>
    </row>
    <row r="459" spans="1:4" s="500" customFormat="1" ht="17.25" customHeight="1">
      <c r="A459" s="500" t="s">
        <v>57410</v>
      </c>
      <c r="B459" s="1135" t="s">
        <v>57598</v>
      </c>
      <c r="C459" s="1134" t="s">
        <v>57597</v>
      </c>
      <c r="D459" s="1133">
        <v>172.4</v>
      </c>
    </row>
    <row r="460" spans="1:4" s="500" customFormat="1" ht="17.25" customHeight="1">
      <c r="B460" s="1135" t="s">
        <v>57596</v>
      </c>
      <c r="C460" s="1134" t="s">
        <v>57595</v>
      </c>
      <c r="D460" s="1133">
        <v>117.7</v>
      </c>
    </row>
    <row r="461" spans="1:4" s="500" customFormat="1" ht="17.25" customHeight="1">
      <c r="A461" s="500" t="s">
        <v>57410</v>
      </c>
      <c r="B461" s="1135" t="s">
        <v>57594</v>
      </c>
      <c r="C461" s="1134" t="s">
        <v>57593</v>
      </c>
      <c r="D461" s="1133">
        <v>157.79999999999998</v>
      </c>
    </row>
    <row r="462" spans="1:4" s="500" customFormat="1" ht="17.25" customHeight="1">
      <c r="A462" s="500" t="s">
        <v>57393</v>
      </c>
      <c r="B462" s="1135" t="s">
        <v>57592</v>
      </c>
      <c r="C462" s="1134" t="s">
        <v>57591</v>
      </c>
      <c r="D462" s="1133">
        <v>701.4</v>
      </c>
    </row>
    <row r="463" spans="1:4" s="500" customFormat="1" ht="17.25" customHeight="1">
      <c r="A463" s="500" t="s">
        <v>57393</v>
      </c>
      <c r="B463" s="1135" t="s">
        <v>57590</v>
      </c>
      <c r="C463" s="1134" t="s">
        <v>57589</v>
      </c>
      <c r="D463" s="1133">
        <v>1150</v>
      </c>
    </row>
    <row r="464" spans="1:4" s="500" customFormat="1" ht="17.25" customHeight="1">
      <c r="A464" s="500" t="s">
        <v>57393</v>
      </c>
      <c r="B464" s="1135" t="s">
        <v>57588</v>
      </c>
      <c r="C464" s="1134" t="s">
        <v>57587</v>
      </c>
      <c r="D464" s="1133">
        <v>421.5</v>
      </c>
    </row>
    <row r="465" spans="1:4" s="500" customFormat="1" ht="17.25" customHeight="1">
      <c r="A465" s="500" t="s">
        <v>57393</v>
      </c>
      <c r="B465" s="1135" t="s">
        <v>57586</v>
      </c>
      <c r="C465" s="1134" t="s">
        <v>57585</v>
      </c>
      <c r="D465" s="1133">
        <v>2726.5</v>
      </c>
    </row>
    <row r="466" spans="1:4" s="500" customFormat="1" ht="17.25" customHeight="1">
      <c r="A466" s="500" t="s">
        <v>57393</v>
      </c>
      <c r="B466" s="1135" t="s">
        <v>57584</v>
      </c>
      <c r="C466" s="1134" t="s">
        <v>57583</v>
      </c>
      <c r="D466" s="1133">
        <v>73.5</v>
      </c>
    </row>
    <row r="467" spans="1:4" s="500" customFormat="1" ht="17.25" customHeight="1">
      <c r="A467" s="500" t="s">
        <v>57393</v>
      </c>
      <c r="B467" s="1135" t="s">
        <v>57582</v>
      </c>
      <c r="C467" s="1134" t="s">
        <v>57581</v>
      </c>
      <c r="D467" s="1133">
        <v>73.5</v>
      </c>
    </row>
    <row r="468" spans="1:4" s="500" customFormat="1" ht="17.25" customHeight="1">
      <c r="A468" s="500" t="s">
        <v>57393</v>
      </c>
      <c r="B468" s="1135" t="s">
        <v>57580</v>
      </c>
      <c r="C468" s="1134" t="s">
        <v>57579</v>
      </c>
      <c r="D468" s="1133">
        <v>76.8</v>
      </c>
    </row>
    <row r="469" spans="1:4" s="500" customFormat="1" ht="17.25" customHeight="1">
      <c r="A469" s="500" t="s">
        <v>57393</v>
      </c>
      <c r="B469" s="1135" t="s">
        <v>57578</v>
      </c>
      <c r="C469" s="1134" t="s">
        <v>57577</v>
      </c>
      <c r="D469" s="1133">
        <v>110.9</v>
      </c>
    </row>
    <row r="470" spans="1:4" s="500" customFormat="1" ht="17.25" customHeight="1">
      <c r="A470" s="500" t="s">
        <v>57393</v>
      </c>
      <c r="B470" s="1135" t="s">
        <v>57576</v>
      </c>
      <c r="C470" s="1134" t="s">
        <v>57575</v>
      </c>
      <c r="D470" s="1133">
        <v>110.9</v>
      </c>
    </row>
    <row r="471" spans="1:4" s="500" customFormat="1" ht="17.25" customHeight="1">
      <c r="A471" s="500" t="s">
        <v>57393</v>
      </c>
      <c r="B471" s="1135" t="s">
        <v>57574</v>
      </c>
      <c r="C471" s="1134" t="s">
        <v>57573</v>
      </c>
      <c r="D471" s="1133">
        <v>127.5</v>
      </c>
    </row>
    <row r="472" spans="1:4" s="500" customFormat="1" ht="17.25" customHeight="1">
      <c r="A472" s="500" t="s">
        <v>57393</v>
      </c>
      <c r="B472" s="1135" t="s">
        <v>57572</v>
      </c>
      <c r="C472" s="1134" t="s">
        <v>57571</v>
      </c>
      <c r="D472" s="1133">
        <v>48.6</v>
      </c>
    </row>
    <row r="473" spans="1:4" s="500" customFormat="1" ht="17.25" customHeight="1">
      <c r="A473" s="500" t="s">
        <v>57393</v>
      </c>
      <c r="B473" s="1135" t="s">
        <v>57570</v>
      </c>
      <c r="C473" s="1134" t="s">
        <v>57569</v>
      </c>
      <c r="D473" s="1133">
        <v>48.6</v>
      </c>
    </row>
    <row r="474" spans="1:4" s="500" customFormat="1" ht="17.25" customHeight="1">
      <c r="A474" s="500" t="s">
        <v>57393</v>
      </c>
      <c r="B474" s="1135" t="s">
        <v>57568</v>
      </c>
      <c r="C474" s="1134" t="s">
        <v>57567</v>
      </c>
      <c r="D474" s="1133">
        <v>87.699999999999989</v>
      </c>
    </row>
    <row r="475" spans="1:4" s="500" customFormat="1" ht="17.25" customHeight="1">
      <c r="A475" s="500" t="s">
        <v>57393</v>
      </c>
      <c r="B475" s="1135" t="s">
        <v>57566</v>
      </c>
      <c r="C475" s="1134" t="s">
        <v>57565</v>
      </c>
      <c r="D475" s="1133">
        <v>45.3</v>
      </c>
    </row>
    <row r="476" spans="1:4" s="500" customFormat="1" ht="17.25" customHeight="1">
      <c r="A476" s="500" t="s">
        <v>57393</v>
      </c>
      <c r="B476" s="1135" t="s">
        <v>57564</v>
      </c>
      <c r="C476" s="1134" t="s">
        <v>57563</v>
      </c>
      <c r="D476" s="1133">
        <v>64.400000000000006</v>
      </c>
    </row>
    <row r="477" spans="1:4" s="500" customFormat="1" ht="17.25" customHeight="1">
      <c r="A477" s="500" t="s">
        <v>57393</v>
      </c>
      <c r="B477" s="1135" t="s">
        <v>57562</v>
      </c>
      <c r="C477" s="1134" t="s">
        <v>57561</v>
      </c>
      <c r="D477" s="1133">
        <v>57.6</v>
      </c>
    </row>
    <row r="478" spans="1:4" s="500" customFormat="1" ht="17.25" customHeight="1">
      <c r="A478" s="500" t="s">
        <v>57393</v>
      </c>
      <c r="B478" s="1135" t="s">
        <v>57560</v>
      </c>
      <c r="C478" s="1134" t="s">
        <v>57559</v>
      </c>
      <c r="D478" s="1133">
        <v>170.9</v>
      </c>
    </row>
    <row r="479" spans="1:4" s="500" customFormat="1" ht="17.25" customHeight="1">
      <c r="A479" s="500" t="s">
        <v>57393</v>
      </c>
      <c r="B479" s="1135" t="s">
        <v>57558</v>
      </c>
      <c r="C479" s="1134" t="s">
        <v>57557</v>
      </c>
      <c r="D479" s="1133">
        <v>170.9</v>
      </c>
    </row>
    <row r="480" spans="1:4" s="500" customFormat="1" ht="17.25" customHeight="1">
      <c r="A480" s="500" t="s">
        <v>57393</v>
      </c>
      <c r="B480" s="1135" t="s">
        <v>57556</v>
      </c>
      <c r="C480" s="1134" t="s">
        <v>57555</v>
      </c>
      <c r="D480" s="1133">
        <v>170.9</v>
      </c>
    </row>
    <row r="481" spans="1:4" s="500" customFormat="1" ht="17.25" customHeight="1">
      <c r="A481" s="500" t="s">
        <v>57393</v>
      </c>
      <c r="B481" s="1135" t="s">
        <v>57554</v>
      </c>
      <c r="C481" s="1134" t="s">
        <v>57553</v>
      </c>
      <c r="D481" s="1133">
        <v>170.9</v>
      </c>
    </row>
    <row r="482" spans="1:4" s="500" customFormat="1" ht="17.25" customHeight="1">
      <c r="A482" s="500" t="s">
        <v>57393</v>
      </c>
      <c r="B482" s="1135" t="s">
        <v>57552</v>
      </c>
      <c r="C482" s="1134" t="s">
        <v>57551</v>
      </c>
      <c r="D482" s="1133">
        <v>54.5</v>
      </c>
    </row>
    <row r="483" spans="1:4" s="500" customFormat="1" ht="17.25" customHeight="1">
      <c r="A483" s="500" t="s">
        <v>57393</v>
      </c>
      <c r="B483" s="1135" t="s">
        <v>57550</v>
      </c>
      <c r="C483" s="1134" t="s">
        <v>57549</v>
      </c>
      <c r="D483" s="1133">
        <v>54.5</v>
      </c>
    </row>
    <row r="484" spans="1:4" s="500" customFormat="1" ht="17.25" customHeight="1">
      <c r="A484" s="500" t="s">
        <v>57393</v>
      </c>
      <c r="B484" s="1135" t="s">
        <v>57548</v>
      </c>
      <c r="C484" s="1134" t="s">
        <v>57547</v>
      </c>
      <c r="D484" s="1133">
        <v>54.5</v>
      </c>
    </row>
    <row r="485" spans="1:4" s="500" customFormat="1" ht="17.25" customHeight="1">
      <c r="A485" s="500" t="s">
        <v>57393</v>
      </c>
      <c r="B485" s="1135" t="s">
        <v>57546</v>
      </c>
      <c r="C485" s="1134" t="s">
        <v>57545</v>
      </c>
      <c r="D485" s="1133">
        <v>176.4</v>
      </c>
    </row>
    <row r="486" spans="1:4" s="500" customFormat="1" ht="17.25" customHeight="1">
      <c r="A486" s="500" t="s">
        <v>57393</v>
      </c>
      <c r="B486" s="1135" t="s">
        <v>57544</v>
      </c>
      <c r="C486" s="1134" t="s">
        <v>57543</v>
      </c>
      <c r="D486" s="1133">
        <v>176.4</v>
      </c>
    </row>
    <row r="487" spans="1:4" s="500" customFormat="1" ht="17.25" customHeight="1">
      <c r="A487" s="500" t="s">
        <v>57393</v>
      </c>
      <c r="B487" s="1135" t="s">
        <v>57542</v>
      </c>
      <c r="C487" s="1134" t="s">
        <v>57541</v>
      </c>
      <c r="D487" s="1133">
        <v>121.8</v>
      </c>
    </row>
    <row r="488" spans="1:4" s="500" customFormat="1" ht="17.25" customHeight="1">
      <c r="A488" s="500" t="s">
        <v>57393</v>
      </c>
      <c r="B488" s="1135" t="s">
        <v>57540</v>
      </c>
      <c r="C488" s="1134" t="s">
        <v>57539</v>
      </c>
      <c r="D488" s="1133">
        <v>121.8</v>
      </c>
    </row>
    <row r="489" spans="1:4" s="500" customFormat="1" ht="17.25" customHeight="1">
      <c r="A489" s="500" t="s">
        <v>57393</v>
      </c>
      <c r="B489" s="1135" t="s">
        <v>57538</v>
      </c>
      <c r="C489" s="1134" t="s">
        <v>57537</v>
      </c>
      <c r="D489" s="1133">
        <v>74.5</v>
      </c>
    </row>
    <row r="490" spans="1:4" s="500" customFormat="1" ht="17.25" customHeight="1">
      <c r="A490" s="500" t="s">
        <v>57393</v>
      </c>
      <c r="B490" s="1135" t="s">
        <v>57536</v>
      </c>
      <c r="C490" s="1134" t="s">
        <v>57535</v>
      </c>
      <c r="D490" s="1133">
        <v>74.5</v>
      </c>
    </row>
    <row r="491" spans="1:4" s="1140" customFormat="1" ht="17.25" customHeight="1">
      <c r="A491" s="1140" t="s">
        <v>57393</v>
      </c>
      <c r="B491" s="1135" t="s">
        <v>57534</v>
      </c>
      <c r="C491" s="1134" t="s">
        <v>57533</v>
      </c>
      <c r="D491" s="1133">
        <v>74.5</v>
      </c>
    </row>
    <row r="492" spans="1:4" s="500" customFormat="1" ht="17.25" customHeight="1">
      <c r="A492" s="500" t="s">
        <v>57393</v>
      </c>
      <c r="B492" s="1135" t="s">
        <v>57532</v>
      </c>
      <c r="C492" s="1134" t="s">
        <v>57531</v>
      </c>
      <c r="D492" s="1133">
        <v>121.8</v>
      </c>
    </row>
    <row r="493" spans="1:4" s="500" customFormat="1" ht="17.25" customHeight="1">
      <c r="A493" s="500" t="s">
        <v>57393</v>
      </c>
      <c r="B493" s="1135" t="s">
        <v>57530</v>
      </c>
      <c r="C493" s="1134" t="s">
        <v>57529</v>
      </c>
      <c r="D493" s="1133">
        <v>121.8</v>
      </c>
    </row>
    <row r="494" spans="1:4" s="500" customFormat="1" ht="17.25" customHeight="1">
      <c r="B494" s="1135" t="s">
        <v>57528</v>
      </c>
      <c r="C494" s="1134" t="s">
        <v>57527</v>
      </c>
      <c r="D494" s="1133">
        <v>121.8</v>
      </c>
    </row>
    <row r="495" spans="1:4" s="500" customFormat="1" ht="17.25" customHeight="1">
      <c r="A495" s="500" t="s">
        <v>57410</v>
      </c>
      <c r="B495" s="1135" t="s">
        <v>57526</v>
      </c>
      <c r="C495" s="1134" t="s">
        <v>57525</v>
      </c>
      <c r="D495" s="1133">
        <v>74.5</v>
      </c>
    </row>
    <row r="496" spans="1:4" s="500" customFormat="1" ht="17.25" customHeight="1">
      <c r="A496" s="500" t="s">
        <v>57410</v>
      </c>
      <c r="B496" s="1135" t="s">
        <v>57524</v>
      </c>
      <c r="C496" s="1134" t="s">
        <v>57523</v>
      </c>
      <c r="D496" s="1133">
        <v>205</v>
      </c>
    </row>
    <row r="497" spans="1:4" s="500" customFormat="1" ht="17.25" customHeight="1">
      <c r="A497" s="500" t="s">
        <v>57410</v>
      </c>
      <c r="B497" s="1135" t="s">
        <v>57522</v>
      </c>
      <c r="C497" s="1134" t="s">
        <v>57521</v>
      </c>
      <c r="D497" s="1133">
        <v>36.700000000000003</v>
      </c>
    </row>
    <row r="498" spans="1:4" s="500" customFormat="1" ht="17.25" customHeight="1">
      <c r="B498" s="1139" t="s">
        <v>57520</v>
      </c>
      <c r="C498" s="1138" t="s">
        <v>57519</v>
      </c>
      <c r="D498" s="1133">
        <v>2.1</v>
      </c>
    </row>
    <row r="499" spans="1:4" s="500" customFormat="1" ht="17.25" customHeight="1">
      <c r="B499" s="1139" t="s">
        <v>57518</v>
      </c>
      <c r="C499" s="1138" t="s">
        <v>57517</v>
      </c>
      <c r="D499" s="1133">
        <v>33</v>
      </c>
    </row>
    <row r="500" spans="1:4" s="500" customFormat="1" ht="17.25" customHeight="1">
      <c r="B500" s="1139" t="s">
        <v>57516</v>
      </c>
      <c r="C500" s="1138" t="s">
        <v>57515</v>
      </c>
      <c r="D500" s="1133">
        <v>2.1</v>
      </c>
    </row>
    <row r="501" spans="1:4" s="500" customFormat="1" ht="17.25" customHeight="1">
      <c r="A501" s="500" t="s">
        <v>57410</v>
      </c>
      <c r="B501" s="1139" t="s">
        <v>57514</v>
      </c>
      <c r="C501" s="1138" t="s">
        <v>57513</v>
      </c>
      <c r="D501" s="1133">
        <v>2.1</v>
      </c>
    </row>
    <row r="502" spans="1:4" s="500" customFormat="1" ht="17.25" customHeight="1">
      <c r="A502" s="500" t="s">
        <v>57410</v>
      </c>
      <c r="B502" s="1139" t="s">
        <v>57512</v>
      </c>
      <c r="C502" s="1138" t="s">
        <v>57511</v>
      </c>
      <c r="D502" s="1133">
        <v>2.1</v>
      </c>
    </row>
    <row r="503" spans="1:4" s="500" customFormat="1" ht="17.25" customHeight="1">
      <c r="A503" s="500" t="s">
        <v>57410</v>
      </c>
      <c r="B503" s="1139" t="s">
        <v>57510</v>
      </c>
      <c r="C503" s="1138" t="s">
        <v>57509</v>
      </c>
      <c r="D503" s="1133">
        <v>6.4</v>
      </c>
    </row>
    <row r="504" spans="1:4" s="500" customFormat="1" ht="17.25" customHeight="1">
      <c r="A504" s="500" t="s">
        <v>57410</v>
      </c>
      <c r="B504" s="1139" t="s">
        <v>57508</v>
      </c>
      <c r="C504" s="1138" t="s">
        <v>57507</v>
      </c>
      <c r="D504" s="1133">
        <v>76.2</v>
      </c>
    </row>
    <row r="505" spans="1:4" s="500" customFormat="1" ht="17.25" customHeight="1">
      <c r="A505" s="500" t="s">
        <v>57410</v>
      </c>
      <c r="B505" s="1139" t="s">
        <v>57506</v>
      </c>
      <c r="C505" s="1138" t="s">
        <v>57505</v>
      </c>
      <c r="D505" s="1133">
        <v>2.1</v>
      </c>
    </row>
    <row r="506" spans="1:4" s="500" customFormat="1" ht="17.25" customHeight="1">
      <c r="A506" s="500" t="s">
        <v>57410</v>
      </c>
      <c r="B506" s="1139" t="s">
        <v>57504</v>
      </c>
      <c r="C506" s="1138" t="s">
        <v>57503</v>
      </c>
      <c r="D506" s="1133">
        <v>15.9</v>
      </c>
    </row>
    <row r="507" spans="1:4" s="500" customFormat="1" ht="17.25" customHeight="1">
      <c r="B507" s="1139" t="s">
        <v>57502</v>
      </c>
      <c r="C507" s="1138" t="s">
        <v>57501</v>
      </c>
      <c r="D507" s="1133">
        <v>6.4</v>
      </c>
    </row>
    <row r="508" spans="1:4" s="500" customFormat="1" ht="17.25" customHeight="1">
      <c r="B508" s="1139" t="s">
        <v>57500</v>
      </c>
      <c r="C508" s="1138" t="s">
        <v>57499</v>
      </c>
      <c r="D508" s="1133">
        <v>6.4</v>
      </c>
    </row>
    <row r="509" spans="1:4" s="500" customFormat="1" ht="17.25" customHeight="1">
      <c r="B509" s="1139" t="s">
        <v>57498</v>
      </c>
      <c r="C509" s="1138" t="s">
        <v>57497</v>
      </c>
      <c r="D509" s="1133">
        <v>5</v>
      </c>
    </row>
    <row r="510" spans="1:4" s="500" customFormat="1" ht="17.25" customHeight="1">
      <c r="B510" s="1139" t="s">
        <v>57496</v>
      </c>
      <c r="C510" s="1138" t="s">
        <v>57495</v>
      </c>
      <c r="D510" s="1133">
        <v>68.5</v>
      </c>
    </row>
    <row r="511" spans="1:4" s="500" customFormat="1" ht="17.25" customHeight="1">
      <c r="B511" s="1139" t="s">
        <v>57494</v>
      </c>
      <c r="C511" s="1138" t="s">
        <v>57493</v>
      </c>
      <c r="D511" s="1133">
        <v>110.10000000000001</v>
      </c>
    </row>
    <row r="512" spans="1:4" s="500" customFormat="1" ht="17.25" customHeight="1">
      <c r="A512" s="500" t="s">
        <v>57410</v>
      </c>
      <c r="B512" s="1139" t="s">
        <v>57492</v>
      </c>
      <c r="C512" s="1138" t="s">
        <v>57491</v>
      </c>
      <c r="D512" s="1133">
        <v>79.2</v>
      </c>
    </row>
    <row r="513" spans="1:4" s="500" customFormat="1" ht="17.25" customHeight="1">
      <c r="A513" s="500" t="s">
        <v>57410</v>
      </c>
      <c r="B513" s="1139" t="s">
        <v>57490</v>
      </c>
      <c r="C513" s="1138" t="s">
        <v>57489</v>
      </c>
      <c r="D513" s="1133">
        <v>68.5</v>
      </c>
    </row>
    <row r="514" spans="1:4" s="500" customFormat="1" ht="17.25" customHeight="1">
      <c r="A514" s="500" t="s">
        <v>57410</v>
      </c>
      <c r="B514" s="1139" t="s">
        <v>57488</v>
      </c>
      <c r="C514" s="1138" t="s">
        <v>57487</v>
      </c>
      <c r="D514" s="1133">
        <v>134.5</v>
      </c>
    </row>
    <row r="515" spans="1:4" s="500" customFormat="1" ht="17.25" customHeight="1">
      <c r="A515" s="500" t="s">
        <v>57410</v>
      </c>
      <c r="B515" s="1139" t="s">
        <v>57486</v>
      </c>
      <c r="C515" s="1138" t="s">
        <v>57485</v>
      </c>
      <c r="D515" s="1133">
        <v>177.2</v>
      </c>
    </row>
    <row r="516" spans="1:4" s="500" customFormat="1" ht="17.25" customHeight="1">
      <c r="A516" s="500" t="s">
        <v>57410</v>
      </c>
      <c r="B516" s="1139" t="s">
        <v>57484</v>
      </c>
      <c r="C516" s="1138" t="s">
        <v>57483</v>
      </c>
      <c r="D516" s="1133">
        <v>12.5</v>
      </c>
    </row>
    <row r="517" spans="1:4" s="500" customFormat="1" ht="17.25" customHeight="1">
      <c r="A517" s="500" t="s">
        <v>57410</v>
      </c>
      <c r="B517" s="1139" t="s">
        <v>57482</v>
      </c>
      <c r="C517" s="1138" t="s">
        <v>57481</v>
      </c>
      <c r="D517" s="1133">
        <v>42.300000000000004</v>
      </c>
    </row>
    <row r="518" spans="1:4" s="500" customFormat="1" ht="17.25" customHeight="1">
      <c r="B518" s="1139" t="s">
        <v>57480</v>
      </c>
      <c r="C518" s="1138" t="s">
        <v>57479</v>
      </c>
      <c r="D518" s="1133">
        <v>48.3</v>
      </c>
    </row>
    <row r="519" spans="1:4" s="500" customFormat="1" ht="17.25" customHeight="1">
      <c r="A519" s="500" t="s">
        <v>57393</v>
      </c>
      <c r="B519" s="1139" t="s">
        <v>57478</v>
      </c>
      <c r="C519" s="1138" t="s">
        <v>57477</v>
      </c>
      <c r="D519" s="1133">
        <v>43.8</v>
      </c>
    </row>
    <row r="520" spans="1:4" s="500" customFormat="1" ht="17.25" customHeight="1">
      <c r="B520" s="1139" t="s">
        <v>57476</v>
      </c>
      <c r="C520" s="1138" t="s">
        <v>57475</v>
      </c>
      <c r="D520" s="1133">
        <v>43.8</v>
      </c>
    </row>
    <row r="521" spans="1:4" s="500" customFormat="1" ht="17.25" customHeight="1">
      <c r="B521" s="1139" t="s">
        <v>57474</v>
      </c>
      <c r="C521" s="1138" t="s">
        <v>57473</v>
      </c>
      <c r="D521" s="1133">
        <v>17.3</v>
      </c>
    </row>
    <row r="522" spans="1:4" s="500" customFormat="1" ht="17.25" customHeight="1">
      <c r="A522" s="500" t="s">
        <v>57410</v>
      </c>
      <c r="B522" s="1139" t="s">
        <v>57472</v>
      </c>
      <c r="C522" s="1138" t="s">
        <v>57471</v>
      </c>
      <c r="D522" s="1133">
        <v>9.5</v>
      </c>
    </row>
    <row r="523" spans="1:4" s="500" customFormat="1" ht="17.25" customHeight="1">
      <c r="B523" s="1139" t="s">
        <v>57470</v>
      </c>
      <c r="C523" s="1138" t="s">
        <v>57469</v>
      </c>
      <c r="D523" s="1133">
        <v>20.6</v>
      </c>
    </row>
    <row r="524" spans="1:4" s="500" customFormat="1" ht="17.25" customHeight="1">
      <c r="A524" s="500" t="s">
        <v>57393</v>
      </c>
      <c r="B524" s="1139" t="s">
        <v>57468</v>
      </c>
      <c r="C524" s="1138" t="s">
        <v>57467</v>
      </c>
      <c r="D524" s="1133">
        <v>2.1</v>
      </c>
    </row>
    <row r="525" spans="1:4" s="500" customFormat="1" ht="17.25" customHeight="1">
      <c r="A525" s="500" t="s">
        <v>57393</v>
      </c>
      <c r="B525" s="1139" t="s">
        <v>57466</v>
      </c>
      <c r="C525" s="1138" t="s">
        <v>57465</v>
      </c>
      <c r="D525" s="1133">
        <v>15.9</v>
      </c>
    </row>
    <row r="526" spans="1:4" s="500" customFormat="1" ht="17.25" customHeight="1">
      <c r="A526" s="500" t="s">
        <v>57393</v>
      </c>
      <c r="B526" s="1139" t="s">
        <v>57464</v>
      </c>
      <c r="C526" s="1138" t="s">
        <v>57463</v>
      </c>
      <c r="D526" s="1133">
        <v>22.1</v>
      </c>
    </row>
    <row r="527" spans="1:4" s="500" customFormat="1" ht="17.25" customHeight="1">
      <c r="B527" s="1139" t="s">
        <v>57462</v>
      </c>
      <c r="C527" s="1138" t="s">
        <v>57461</v>
      </c>
      <c r="D527" s="1133">
        <v>85.2</v>
      </c>
    </row>
    <row r="528" spans="1:4" s="500" customFormat="1" ht="17.25" customHeight="1">
      <c r="B528" s="1139" t="s">
        <v>57460</v>
      </c>
      <c r="C528" s="1138" t="s">
        <v>57459</v>
      </c>
      <c r="D528" s="1133">
        <v>85.2</v>
      </c>
    </row>
    <row r="529" spans="1:4" s="500" customFormat="1" ht="17.25" customHeight="1">
      <c r="B529" s="1139" t="s">
        <v>57458</v>
      </c>
      <c r="C529" s="1138" t="s">
        <v>57457</v>
      </c>
      <c r="D529" s="1133">
        <v>85.2</v>
      </c>
    </row>
    <row r="530" spans="1:4" s="500" customFormat="1" ht="17.25" customHeight="1">
      <c r="B530" s="1139" t="s">
        <v>57456</v>
      </c>
      <c r="C530" s="1138" t="s">
        <v>57455</v>
      </c>
      <c r="D530" s="1133">
        <v>15.9</v>
      </c>
    </row>
    <row r="531" spans="1:4" s="500" customFormat="1" ht="17.25" customHeight="1">
      <c r="A531" s="500" t="s">
        <v>57393</v>
      </c>
      <c r="B531" s="1139" t="s">
        <v>57454</v>
      </c>
      <c r="C531" s="1138" t="s">
        <v>57453</v>
      </c>
      <c r="D531" s="1133">
        <v>3.6</v>
      </c>
    </row>
    <row r="532" spans="1:4" s="500" customFormat="1" ht="17.25" customHeight="1">
      <c r="A532" s="500" t="s">
        <v>57393</v>
      </c>
      <c r="B532" s="1139" t="s">
        <v>57452</v>
      </c>
      <c r="C532" s="1138" t="s">
        <v>57451</v>
      </c>
      <c r="D532" s="1133">
        <v>3.6</v>
      </c>
    </row>
    <row r="533" spans="1:4" s="500" customFormat="1" ht="17.25" customHeight="1">
      <c r="A533" s="500" t="s">
        <v>57393</v>
      </c>
      <c r="B533" s="1139" t="s">
        <v>57450</v>
      </c>
      <c r="C533" s="1138" t="s">
        <v>57449</v>
      </c>
      <c r="D533" s="1133">
        <v>8</v>
      </c>
    </row>
    <row r="534" spans="1:4" s="500" customFormat="1" ht="17.25" customHeight="1">
      <c r="A534" s="500" t="s">
        <v>57393</v>
      </c>
      <c r="B534" s="1139" t="s">
        <v>57448</v>
      </c>
      <c r="C534" s="1138" t="s">
        <v>57447</v>
      </c>
      <c r="D534" s="1133">
        <v>8</v>
      </c>
    </row>
    <row r="535" spans="1:4" s="500" customFormat="1" ht="17.25" customHeight="1">
      <c r="A535" s="500" t="s">
        <v>57393</v>
      </c>
      <c r="B535" s="1139" t="s">
        <v>57446</v>
      </c>
      <c r="C535" s="1138" t="s">
        <v>57445</v>
      </c>
      <c r="D535" s="1133">
        <v>25.8</v>
      </c>
    </row>
    <row r="536" spans="1:4" s="500" customFormat="1" ht="17.25" customHeight="1">
      <c r="B536" s="1139" t="s">
        <v>57444</v>
      </c>
      <c r="C536" s="1138" t="s">
        <v>57443</v>
      </c>
      <c r="D536" s="1133">
        <v>3.6</v>
      </c>
    </row>
    <row r="537" spans="1:4" s="500" customFormat="1" ht="17.25" customHeight="1">
      <c r="A537" s="500" t="s">
        <v>57393</v>
      </c>
      <c r="B537" s="1139" t="s">
        <v>57442</v>
      </c>
      <c r="C537" s="1138" t="s">
        <v>57441</v>
      </c>
      <c r="D537" s="1133">
        <v>6.4</v>
      </c>
    </row>
    <row r="538" spans="1:4" s="500" customFormat="1" ht="17.25" customHeight="1">
      <c r="A538" s="500" t="s">
        <v>57393</v>
      </c>
      <c r="B538" s="1139" t="s">
        <v>57440</v>
      </c>
      <c r="C538" s="1138" t="s">
        <v>57439</v>
      </c>
      <c r="D538" s="1133">
        <v>62.099999999999994</v>
      </c>
    </row>
    <row r="539" spans="1:4" s="1140" customFormat="1" ht="17.25" customHeight="1">
      <c r="A539" s="1140" t="s">
        <v>57393</v>
      </c>
      <c r="B539" s="1139" t="s">
        <v>57438</v>
      </c>
      <c r="C539" s="1138" t="s">
        <v>57437</v>
      </c>
      <c r="D539" s="1133">
        <v>46.9</v>
      </c>
    </row>
    <row r="540" spans="1:4" s="1140" customFormat="1" ht="17.25" customHeight="1">
      <c r="A540" s="1140" t="s">
        <v>57393</v>
      </c>
      <c r="B540" s="1139" t="s">
        <v>57436</v>
      </c>
      <c r="C540" s="1138" t="s">
        <v>57435</v>
      </c>
      <c r="D540" s="1133">
        <v>40.6</v>
      </c>
    </row>
    <row r="541" spans="1:4" s="500" customFormat="1" ht="17.25" customHeight="1">
      <c r="A541" s="500" t="s">
        <v>57393</v>
      </c>
      <c r="B541" s="1139" t="s">
        <v>57434</v>
      </c>
      <c r="C541" s="1138" t="s">
        <v>57433</v>
      </c>
      <c r="D541" s="1133">
        <v>40.6</v>
      </c>
    </row>
    <row r="542" spans="1:4" s="500" customFormat="1" ht="17.25" customHeight="1">
      <c r="A542" s="500" t="s">
        <v>57393</v>
      </c>
      <c r="B542" s="1139" t="s">
        <v>57432</v>
      </c>
      <c r="C542" s="1138" t="s">
        <v>57431</v>
      </c>
      <c r="D542" s="1133">
        <v>9.5</v>
      </c>
    </row>
    <row r="543" spans="1:4" s="500" customFormat="1" ht="17.25" customHeight="1">
      <c r="A543" s="500" t="s">
        <v>57393</v>
      </c>
      <c r="B543" s="1139" t="s">
        <v>57430</v>
      </c>
      <c r="C543" s="1138" t="s">
        <v>57429</v>
      </c>
      <c r="D543" s="1133">
        <v>9.5</v>
      </c>
    </row>
    <row r="544" spans="1:4" s="500" customFormat="1" ht="17.25" customHeight="1">
      <c r="A544" s="500" t="s">
        <v>57393</v>
      </c>
      <c r="B544" s="1139" t="s">
        <v>57428</v>
      </c>
      <c r="C544" s="1138" t="s">
        <v>57427</v>
      </c>
      <c r="D544" s="1133">
        <v>9.5</v>
      </c>
    </row>
    <row r="545" spans="1:4" s="500" customFormat="1" ht="17.25" customHeight="1">
      <c r="A545" s="500" t="s">
        <v>57393</v>
      </c>
      <c r="B545" s="1139" t="s">
        <v>57426</v>
      </c>
      <c r="C545" s="1138" t="s">
        <v>57425</v>
      </c>
      <c r="D545" s="1133">
        <v>22.1</v>
      </c>
    </row>
    <row r="546" spans="1:4" s="500" customFormat="1" ht="17.25" customHeight="1">
      <c r="A546" s="500" t="s">
        <v>57410</v>
      </c>
      <c r="B546" s="1139" t="s">
        <v>57424</v>
      </c>
      <c r="C546" s="1138" t="s">
        <v>57423</v>
      </c>
      <c r="D546" s="1133">
        <v>11.8</v>
      </c>
    </row>
    <row r="547" spans="1:4" s="500" customFormat="1" ht="17.25" customHeight="1">
      <c r="A547" s="500" t="s">
        <v>57410</v>
      </c>
      <c r="B547" s="1139" t="s">
        <v>57422</v>
      </c>
      <c r="C547" s="1138" t="s">
        <v>57421</v>
      </c>
      <c r="D547" s="1133">
        <v>6.4</v>
      </c>
    </row>
    <row r="548" spans="1:4" s="500" customFormat="1" ht="17.25" customHeight="1">
      <c r="A548" s="500" t="s">
        <v>57410</v>
      </c>
      <c r="B548" s="1139" t="s">
        <v>57420</v>
      </c>
      <c r="C548" s="1138" t="s">
        <v>57419</v>
      </c>
      <c r="D548" s="1133">
        <v>6.4</v>
      </c>
    </row>
    <row r="549" spans="1:4" s="500" customFormat="1" ht="17.25" customHeight="1">
      <c r="A549" s="500" t="s">
        <v>57410</v>
      </c>
      <c r="B549" s="1139" t="s">
        <v>57418</v>
      </c>
      <c r="C549" s="1138" t="s">
        <v>57417</v>
      </c>
      <c r="D549" s="1133">
        <v>45.3</v>
      </c>
    </row>
    <row r="550" spans="1:4" s="500" customFormat="1" ht="17.25" customHeight="1">
      <c r="A550" s="500" t="s">
        <v>57410</v>
      </c>
      <c r="B550" s="1139" t="s">
        <v>57416</v>
      </c>
      <c r="C550" s="1138" t="s">
        <v>57415</v>
      </c>
      <c r="D550" s="1133">
        <v>80.599999999999994</v>
      </c>
    </row>
    <row r="551" spans="1:4" s="500" customFormat="1" ht="17.25" customHeight="1">
      <c r="A551" s="500" t="s">
        <v>57410</v>
      </c>
      <c r="B551" s="1139" t="s">
        <v>57414</v>
      </c>
      <c r="C551" s="1138" t="s">
        <v>57413</v>
      </c>
      <c r="D551" s="1133">
        <v>80.599999999999994</v>
      </c>
    </row>
    <row r="552" spans="1:4" s="500" customFormat="1" ht="17.25" customHeight="1">
      <c r="A552" s="500" t="s">
        <v>57410</v>
      </c>
      <c r="B552" s="1139" t="s">
        <v>57412</v>
      </c>
      <c r="C552" s="1138" t="s">
        <v>57411</v>
      </c>
      <c r="D552" s="1133">
        <v>80.599999999999994</v>
      </c>
    </row>
    <row r="553" spans="1:4" s="500" customFormat="1" ht="17.25" customHeight="1">
      <c r="A553" s="500" t="s">
        <v>57410</v>
      </c>
      <c r="B553" s="1139" t="s">
        <v>57409</v>
      </c>
      <c r="C553" s="1138" t="s">
        <v>57408</v>
      </c>
      <c r="D553" s="1133">
        <v>12.5</v>
      </c>
    </row>
    <row r="554" spans="1:4" s="500" customFormat="1" ht="17.25" customHeight="1">
      <c r="A554" s="500" t="s">
        <v>57393</v>
      </c>
      <c r="B554" s="1139" t="s">
        <v>57407</v>
      </c>
      <c r="C554" s="1138" t="s">
        <v>57406</v>
      </c>
      <c r="D554" s="1133">
        <v>10.9</v>
      </c>
    </row>
    <row r="555" spans="1:4" s="500" customFormat="1" ht="17.25" customHeight="1">
      <c r="A555" s="500" t="s">
        <v>57393</v>
      </c>
      <c r="B555" s="1139" t="s">
        <v>57405</v>
      </c>
      <c r="C555" s="1138" t="s">
        <v>57404</v>
      </c>
      <c r="D555" s="1133">
        <v>11.8</v>
      </c>
    </row>
    <row r="556" spans="1:4" s="500" customFormat="1" ht="17.25" customHeight="1">
      <c r="A556" s="500" t="s">
        <v>57393</v>
      </c>
      <c r="B556" s="1139" t="s">
        <v>57403</v>
      </c>
      <c r="C556" s="1138" t="s">
        <v>57402</v>
      </c>
      <c r="D556" s="1133">
        <v>12.5</v>
      </c>
    </row>
    <row r="557" spans="1:4" s="500" customFormat="1" ht="17.25" customHeight="1">
      <c r="A557" s="500" t="s">
        <v>57393</v>
      </c>
      <c r="B557" s="1139" t="s">
        <v>57401</v>
      </c>
      <c r="C557" s="1138" t="s">
        <v>57400</v>
      </c>
      <c r="D557" s="1133">
        <v>22.1</v>
      </c>
    </row>
    <row r="558" spans="1:4" s="500" customFormat="1" ht="17.25" customHeight="1">
      <c r="A558" s="500" t="s">
        <v>57393</v>
      </c>
      <c r="B558" s="1139" t="s">
        <v>57399</v>
      </c>
      <c r="C558" s="1138" t="s">
        <v>57398</v>
      </c>
      <c r="D558" s="1133">
        <v>51.4</v>
      </c>
    </row>
    <row r="559" spans="1:4" s="500" customFormat="1" ht="17.25" customHeight="1">
      <c r="A559" s="500" t="s">
        <v>57393</v>
      </c>
      <c r="B559" s="1139" t="s">
        <v>57397</v>
      </c>
      <c r="C559" s="1138" t="s">
        <v>57396</v>
      </c>
      <c r="D559" s="1133">
        <v>6.4</v>
      </c>
    </row>
    <row r="560" spans="1:4" s="500" customFormat="1" ht="17.25" customHeight="1">
      <c r="A560" s="500" t="s">
        <v>57393</v>
      </c>
      <c r="B560" s="1139" t="s">
        <v>57395</v>
      </c>
      <c r="C560" s="1138" t="s">
        <v>57394</v>
      </c>
      <c r="D560" s="1133">
        <v>6.4</v>
      </c>
    </row>
    <row r="561" spans="1:4" s="500" customFormat="1" ht="17.25" customHeight="1">
      <c r="A561" s="500" t="s">
        <v>57393</v>
      </c>
      <c r="B561" s="1139" t="s">
        <v>57392</v>
      </c>
      <c r="C561" s="1138" t="s">
        <v>57391</v>
      </c>
      <c r="D561" s="1133">
        <v>282.39999999999998</v>
      </c>
    </row>
    <row r="562" spans="1:4" s="500" customFormat="1" ht="17.25" customHeight="1">
      <c r="B562" s="1139" t="s">
        <v>57390</v>
      </c>
      <c r="C562" s="1138" t="s">
        <v>57389</v>
      </c>
      <c r="D562" s="1133">
        <v>8.8000000000000007</v>
      </c>
    </row>
    <row r="563" spans="1:4" s="500" customFormat="1" ht="17.25" customHeight="1">
      <c r="B563" s="1139" t="s">
        <v>57388</v>
      </c>
      <c r="C563" s="1138" t="s">
        <v>57387</v>
      </c>
      <c r="D563" s="1133">
        <v>18</v>
      </c>
    </row>
    <row r="564" spans="1:4" s="500" customFormat="1" ht="17.25" customHeight="1">
      <c r="B564" s="1139" t="s">
        <v>57386</v>
      </c>
      <c r="C564" s="1138" t="s">
        <v>57385</v>
      </c>
      <c r="D564" s="1133">
        <v>21.1</v>
      </c>
    </row>
    <row r="565" spans="1:4" s="500" customFormat="1" ht="17.25" customHeight="1">
      <c r="B565" s="1139" t="s">
        <v>57384</v>
      </c>
      <c r="C565" s="1138" t="s">
        <v>57383</v>
      </c>
      <c r="D565" s="1133">
        <v>21.1</v>
      </c>
    </row>
    <row r="566" spans="1:4" s="500" customFormat="1" ht="17.25" customHeight="1">
      <c r="B566" s="1139" t="s">
        <v>57382</v>
      </c>
      <c r="C566" s="1138" t="s">
        <v>57381</v>
      </c>
      <c r="D566" s="1133">
        <v>109.2</v>
      </c>
    </row>
    <row r="567" spans="1:4" s="500" customFormat="1" ht="17.25" customHeight="1">
      <c r="B567" s="1139" t="s">
        <v>57380</v>
      </c>
      <c r="C567" s="1138" t="s">
        <v>57379</v>
      </c>
      <c r="D567" s="1133">
        <v>53.1</v>
      </c>
    </row>
    <row r="568" spans="1:4" s="500" customFormat="1" ht="17.25" customHeight="1">
      <c r="B568" s="1139" t="s">
        <v>57378</v>
      </c>
      <c r="C568" s="1138" t="s">
        <v>57377</v>
      </c>
      <c r="D568" s="1133">
        <v>18.8</v>
      </c>
    </row>
    <row r="569" spans="1:4" s="500" customFormat="1" ht="17.25" customHeight="1">
      <c r="B569" s="1139" t="s">
        <v>57376</v>
      </c>
      <c r="C569" s="1138" t="s">
        <v>57375</v>
      </c>
      <c r="D569" s="1133">
        <v>18.600000000000001</v>
      </c>
    </row>
    <row r="570" spans="1:4" s="500" customFormat="1" ht="17.25" customHeight="1">
      <c r="B570" s="1139" t="s">
        <v>57374</v>
      </c>
      <c r="C570" s="1138" t="s">
        <v>57373</v>
      </c>
      <c r="D570" s="1133">
        <v>21.400000000000002</v>
      </c>
    </row>
    <row r="571" spans="1:4" s="500" customFormat="1" ht="17.25" customHeight="1">
      <c r="B571" s="1139" t="s">
        <v>57372</v>
      </c>
      <c r="C571" s="1138" t="s">
        <v>57371</v>
      </c>
      <c r="D571" s="1133">
        <v>21.400000000000002</v>
      </c>
    </row>
    <row r="572" spans="1:4" s="500" customFormat="1" ht="17.25" customHeight="1">
      <c r="B572" s="1139" t="s">
        <v>57370</v>
      </c>
      <c r="C572" s="1138" t="s">
        <v>57369</v>
      </c>
      <c r="D572" s="1133">
        <v>37</v>
      </c>
    </row>
    <row r="573" spans="1:4" s="500" customFormat="1" ht="17.25" customHeight="1">
      <c r="B573" s="1139" t="s">
        <v>57368</v>
      </c>
      <c r="C573" s="1138" t="s">
        <v>57367</v>
      </c>
      <c r="D573" s="1133">
        <v>18.600000000000001</v>
      </c>
    </row>
    <row r="574" spans="1:4" s="500" customFormat="1" ht="17.25" customHeight="1">
      <c r="B574" s="1139" t="s">
        <v>57366</v>
      </c>
      <c r="C574" s="1138" t="s">
        <v>57365</v>
      </c>
      <c r="D574" s="1133">
        <v>319.7</v>
      </c>
    </row>
    <row r="575" spans="1:4" s="500" customFormat="1" ht="17.25" customHeight="1">
      <c r="B575" s="1139" t="s">
        <v>57364</v>
      </c>
      <c r="C575" s="1138" t="s">
        <v>57363</v>
      </c>
      <c r="D575" s="1133">
        <v>51.4</v>
      </c>
    </row>
    <row r="576" spans="1:4" s="500" customFormat="1" ht="17.25" customHeight="1">
      <c r="B576" s="1139" t="s">
        <v>57362</v>
      </c>
      <c r="C576" s="1138" t="s">
        <v>57361</v>
      </c>
      <c r="D576" s="1133">
        <v>234</v>
      </c>
    </row>
    <row r="577" spans="2:4" s="500" customFormat="1" ht="17.25" customHeight="1">
      <c r="B577" s="1139" t="s">
        <v>57360</v>
      </c>
      <c r="C577" s="1138" t="s">
        <v>57359</v>
      </c>
      <c r="D577" s="1133">
        <v>41.5</v>
      </c>
    </row>
    <row r="578" spans="2:4" s="500" customFormat="1" ht="17.25" customHeight="1">
      <c r="B578" s="1139" t="s">
        <v>57358</v>
      </c>
      <c r="C578" s="1138" t="s">
        <v>57357</v>
      </c>
      <c r="D578" s="1133">
        <v>112.2</v>
      </c>
    </row>
    <row r="579" spans="2:4" s="500" customFormat="1" ht="17.25" customHeight="1">
      <c r="B579" s="1139" t="s">
        <v>57356</v>
      </c>
      <c r="C579" s="1138" t="s">
        <v>57355</v>
      </c>
      <c r="D579" s="1133">
        <v>12.5</v>
      </c>
    </row>
    <row r="580" spans="2:4" s="500" customFormat="1" ht="17.25" customHeight="1">
      <c r="B580" s="1139" t="s">
        <v>57354</v>
      </c>
      <c r="C580" s="1138" t="s">
        <v>57353</v>
      </c>
      <c r="D580" s="1133">
        <v>98.300000000000011</v>
      </c>
    </row>
    <row r="581" spans="2:4" s="500" customFormat="1" ht="17.25" customHeight="1">
      <c r="B581" s="1139" t="s">
        <v>57352</v>
      </c>
      <c r="C581" s="1138" t="s">
        <v>57351</v>
      </c>
      <c r="D581" s="1133">
        <v>98.300000000000011</v>
      </c>
    </row>
    <row r="582" spans="2:4" s="500" customFormat="1" ht="17.25" customHeight="1">
      <c r="B582" s="1139" t="s">
        <v>57350</v>
      </c>
      <c r="C582" s="1138" t="s">
        <v>57349</v>
      </c>
      <c r="D582" s="1133">
        <v>5</v>
      </c>
    </row>
    <row r="583" spans="2:4" s="500" customFormat="1" ht="17.25" customHeight="1">
      <c r="B583" s="1139" t="s">
        <v>57348</v>
      </c>
      <c r="C583" s="1138" t="s">
        <v>57347</v>
      </c>
      <c r="D583" s="1133">
        <v>25.099999999999998</v>
      </c>
    </row>
    <row r="584" spans="2:4" s="500" customFormat="1" ht="17.25" customHeight="1">
      <c r="B584" s="1139" t="s">
        <v>57346</v>
      </c>
      <c r="C584" s="1138" t="s">
        <v>57345</v>
      </c>
      <c r="D584" s="1133">
        <v>25.099999999999998</v>
      </c>
    </row>
    <row r="585" spans="2:4" s="500" customFormat="1" ht="17.25" customHeight="1">
      <c r="B585" s="1139" t="s">
        <v>57344</v>
      </c>
      <c r="C585" s="1138" t="s">
        <v>57343</v>
      </c>
      <c r="D585" s="1133">
        <v>35.9</v>
      </c>
    </row>
    <row r="586" spans="2:4" s="500" customFormat="1" ht="17.25" customHeight="1">
      <c r="B586" s="1139" t="s">
        <v>57342</v>
      </c>
      <c r="C586" s="1138" t="s">
        <v>57341</v>
      </c>
      <c r="D586" s="1133">
        <v>23.599999999999998</v>
      </c>
    </row>
    <row r="587" spans="2:4" s="500" customFormat="1" ht="17.25" customHeight="1">
      <c r="B587" s="1139" t="s">
        <v>57340</v>
      </c>
      <c r="C587" s="1138" t="s">
        <v>57339</v>
      </c>
      <c r="D587" s="1133">
        <v>112.89999999999999</v>
      </c>
    </row>
    <row r="588" spans="2:4" s="500" customFormat="1" ht="17.25" customHeight="1">
      <c r="B588" s="1139" t="s">
        <v>57338</v>
      </c>
      <c r="C588" s="1138" t="s">
        <v>57337</v>
      </c>
      <c r="D588" s="1133">
        <v>112.89999999999999</v>
      </c>
    </row>
    <row r="589" spans="2:4" s="500" customFormat="1" ht="17.25" customHeight="1">
      <c r="B589" s="1139" t="s">
        <v>57336</v>
      </c>
      <c r="C589" s="1138" t="s">
        <v>57335</v>
      </c>
      <c r="D589" s="1133">
        <v>12.5</v>
      </c>
    </row>
    <row r="590" spans="2:4" s="500" customFormat="1" ht="17.25" customHeight="1">
      <c r="B590" s="1139" t="s">
        <v>57334</v>
      </c>
      <c r="C590" s="1138" t="s">
        <v>57333</v>
      </c>
      <c r="D590" s="1133">
        <v>12.5</v>
      </c>
    </row>
    <row r="591" spans="2:4" s="500" customFormat="1" ht="17.25" customHeight="1">
      <c r="B591" s="1137" t="s">
        <v>57332</v>
      </c>
      <c r="C591" s="1134" t="s">
        <v>57331</v>
      </c>
      <c r="D591" s="1133">
        <v>96.899999999999991</v>
      </c>
    </row>
    <row r="592" spans="2:4" s="500" customFormat="1" ht="17.25" customHeight="1">
      <c r="B592" s="1135" t="s">
        <v>57330</v>
      </c>
      <c r="C592" s="1136" t="s">
        <v>57329</v>
      </c>
      <c r="D592" s="1133">
        <v>51.4</v>
      </c>
    </row>
    <row r="593" spans="2:4" s="500" customFormat="1" ht="17.25" customHeight="1">
      <c r="B593" s="1135" t="s">
        <v>57328</v>
      </c>
      <c r="C593" s="1134" t="s">
        <v>57327</v>
      </c>
      <c r="D593" s="1133">
        <v>163.20000000000002</v>
      </c>
    </row>
    <row r="594" spans="2:4" s="500" customFormat="1" ht="17.25" customHeight="1">
      <c r="B594" s="1135" t="s">
        <v>57326</v>
      </c>
      <c r="C594" s="1136" t="s">
        <v>57325</v>
      </c>
      <c r="D594" s="1133">
        <v>146.80000000000001</v>
      </c>
    </row>
    <row r="595" spans="2:4" s="500" customFormat="1" ht="17.25" customHeight="1">
      <c r="B595" s="1135" t="s">
        <v>57324</v>
      </c>
      <c r="C595" s="1134" t="s">
        <v>57323</v>
      </c>
      <c r="D595" s="1133">
        <v>42.800000000000004</v>
      </c>
    </row>
    <row r="596" spans="2:4" s="500" customFormat="1" ht="17.25" customHeight="1">
      <c r="B596" s="1135" t="s">
        <v>57322</v>
      </c>
      <c r="C596" s="1136" t="s">
        <v>57321</v>
      </c>
      <c r="D596" s="1133">
        <v>80.5</v>
      </c>
    </row>
    <row r="597" spans="2:4" s="500" customFormat="1" ht="17.25" customHeight="1">
      <c r="B597" s="1135" t="s">
        <v>57320</v>
      </c>
      <c r="C597" s="1134" t="s">
        <v>57319</v>
      </c>
      <c r="D597" s="1133">
        <v>58.6</v>
      </c>
    </row>
    <row r="598" spans="2:4" s="500" customFormat="1" ht="17.25" customHeight="1">
      <c r="B598" s="1135" t="s">
        <v>57318</v>
      </c>
      <c r="C598" s="1136" t="s">
        <v>57317</v>
      </c>
      <c r="D598" s="1133">
        <v>63.199999999999996</v>
      </c>
    </row>
    <row r="599" spans="2:4" s="500" customFormat="1" ht="17.25" customHeight="1">
      <c r="B599" s="1135" t="s">
        <v>57316</v>
      </c>
      <c r="C599" s="1134" t="s">
        <v>57315</v>
      </c>
      <c r="D599" s="1133">
        <v>85.2</v>
      </c>
    </row>
    <row r="600" spans="2:4" s="500" customFormat="1" ht="17.25" customHeight="1">
      <c r="B600" s="1135" t="s">
        <v>57314</v>
      </c>
      <c r="C600" s="1136" t="s">
        <v>57313</v>
      </c>
      <c r="D600" s="1133">
        <v>147.4</v>
      </c>
    </row>
    <row r="601" spans="2:4" s="500" customFormat="1" ht="17.25" customHeight="1">
      <c r="B601" s="1135" t="s">
        <v>57312</v>
      </c>
      <c r="C601" s="1134" t="s">
        <v>57311</v>
      </c>
      <c r="D601" s="1133">
        <v>164.8</v>
      </c>
    </row>
    <row r="602" spans="2:4" s="500" customFormat="1" ht="17.25" customHeight="1">
      <c r="B602" s="1135" t="s">
        <v>57310</v>
      </c>
      <c r="C602" s="1136" t="s">
        <v>57309</v>
      </c>
      <c r="D602" s="1133">
        <v>233</v>
      </c>
    </row>
    <row r="603" spans="2:4" s="500" customFormat="1" ht="17.25" customHeight="1">
      <c r="B603" s="1135" t="s">
        <v>57308</v>
      </c>
      <c r="C603" s="1134" t="s">
        <v>57307</v>
      </c>
      <c r="D603" s="1133">
        <v>117.60000000000001</v>
      </c>
    </row>
    <row r="604" spans="2:4" ht="17.25" customHeight="1">
      <c r="B604" s="1128"/>
      <c r="C604" s="1128"/>
      <c r="D604" s="1128"/>
    </row>
    <row r="605" spans="2:4" s="1131" customFormat="1" ht="17.25" customHeight="1">
      <c r="B605" s="1132"/>
      <c r="C605" s="1132"/>
      <c r="D605" s="1132"/>
    </row>
    <row r="606" spans="2:4" s="1131" customFormat="1" ht="17.25" customHeight="1">
      <c r="B606" s="1132"/>
      <c r="C606" s="1132"/>
      <c r="D606" s="1132"/>
    </row>
    <row r="607" spans="2:4" s="1131" customFormat="1" ht="17.25" customHeight="1">
      <c r="B607" s="1132"/>
      <c r="C607" s="1132"/>
      <c r="D607" s="1132"/>
    </row>
    <row r="608" spans="2:4" s="1131" customFormat="1" ht="17.25" customHeight="1">
      <c r="B608" s="1132"/>
      <c r="C608" s="1132"/>
      <c r="D608" s="1132"/>
    </row>
    <row r="609" spans="2:4" s="1131" customFormat="1" ht="17.25" customHeight="1">
      <c r="B609" s="1132"/>
      <c r="C609" s="1132"/>
      <c r="D609" s="1132"/>
    </row>
  </sheetData>
  <mergeCells count="5">
    <mergeCell ref="B609:D609"/>
    <mergeCell ref="B608:D608"/>
    <mergeCell ref="B607:D607"/>
    <mergeCell ref="B606:D606"/>
    <mergeCell ref="B605:D605"/>
  </mergeCells>
  <printOptions horizontalCentered="1" gridLines="1"/>
  <pageMargins left="0" right="0" top="0.5" bottom="0.6" header="0.25" footer="0.15"/>
  <pageSetup scale="95" orientation="landscape" verticalDpi="300" r:id="rId1"/>
  <headerFooter>
    <oddHeader>&amp;C&amp;"Arial,Regular"&amp;10 2025 Domestic Dealer Price List - Catalog 1-1-2025</oddHeader>
    <oddFooter>&amp;C&amp;"Arial,Regular"&amp;10Kussmaul Electronics, 170 Cherry Avenue, West Sayville, NY 11796. &amp;"Arial,Italic"Price List Effective 1-1-2025&amp;"Arial,Regular"
Ph: 800-346-0857, www.kussmaul.com, sales@kussmaul.com</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BDFB-F159-47C0-8BB8-363D731687F9}">
  <sheetPr>
    <tabColor theme="2" tint="-9.9978637043366805E-2"/>
    <pageSetUpPr fitToPage="1"/>
  </sheetPr>
  <dimension ref="A1:C2503"/>
  <sheetViews>
    <sheetView zoomScale="75" zoomScaleNormal="75" zoomScaleSheetLayoutView="100" workbookViewId="0">
      <pane xSplit="1" ySplit="2" topLeftCell="B646" activePane="bottomRight" state="frozen"/>
      <selection activeCell="C8" sqref="C8"/>
      <selection pane="topRight" activeCell="C8" sqref="C8"/>
      <selection pane="bottomLeft" activeCell="C8" sqref="C8"/>
      <selection pane="bottomRight" activeCell="C8" sqref="C8"/>
    </sheetView>
  </sheetViews>
  <sheetFormatPr defaultColWidth="15.26953125" defaultRowHeight="15" customHeight="1"/>
  <cols>
    <col min="1" max="1" width="30.26953125" style="404" customWidth="1"/>
    <col min="2" max="2" width="142.54296875" style="403" customWidth="1"/>
    <col min="3" max="3" width="26.453125" style="402" customWidth="1"/>
    <col min="4" max="39" width="9.26953125" style="401" customWidth="1"/>
    <col min="40" max="219" width="15.26953125" style="401"/>
    <col min="220" max="220" width="19" style="401" customWidth="1"/>
    <col min="221" max="221" width="66.1796875" style="401" customWidth="1"/>
    <col min="222" max="223" width="16.81640625" style="401" customWidth="1"/>
    <col min="224" max="224" width="23.7265625" style="401" customWidth="1"/>
    <col min="225" max="225" width="21.453125" style="401" customWidth="1"/>
    <col min="226" max="295" width="9.26953125" style="401" customWidth="1"/>
    <col min="296" max="475" width="15.26953125" style="401"/>
    <col min="476" max="476" width="19" style="401" customWidth="1"/>
    <col min="477" max="477" width="66.1796875" style="401" customWidth="1"/>
    <col min="478" max="479" width="16.81640625" style="401" customWidth="1"/>
    <col min="480" max="480" width="23.7265625" style="401" customWidth="1"/>
    <col min="481" max="481" width="21.453125" style="401" customWidth="1"/>
    <col min="482" max="551" width="9.26953125" style="401" customWidth="1"/>
    <col min="552" max="731" width="15.26953125" style="401"/>
    <col min="732" max="732" width="19" style="401" customWidth="1"/>
    <col min="733" max="733" width="66.1796875" style="401" customWidth="1"/>
    <col min="734" max="735" width="16.81640625" style="401" customWidth="1"/>
    <col min="736" max="736" width="23.7265625" style="401" customWidth="1"/>
    <col min="737" max="737" width="21.453125" style="401" customWidth="1"/>
    <col min="738" max="807" width="9.26953125" style="401" customWidth="1"/>
    <col min="808" max="987" width="15.26953125" style="401"/>
    <col min="988" max="988" width="19" style="401" customWidth="1"/>
    <col min="989" max="989" width="66.1796875" style="401" customWidth="1"/>
    <col min="990" max="991" width="16.81640625" style="401" customWidth="1"/>
    <col min="992" max="992" width="23.7265625" style="401" customWidth="1"/>
    <col min="993" max="993" width="21.453125" style="401" customWidth="1"/>
    <col min="994" max="1063" width="9.26953125" style="401" customWidth="1"/>
    <col min="1064" max="1243" width="15.26953125" style="401"/>
    <col min="1244" max="1244" width="19" style="401" customWidth="1"/>
    <col min="1245" max="1245" width="66.1796875" style="401" customWidth="1"/>
    <col min="1246" max="1247" width="16.81640625" style="401" customWidth="1"/>
    <col min="1248" max="1248" width="23.7265625" style="401" customWidth="1"/>
    <col min="1249" max="1249" width="21.453125" style="401" customWidth="1"/>
    <col min="1250" max="1319" width="9.26953125" style="401" customWidth="1"/>
    <col min="1320" max="1499" width="15.26953125" style="401"/>
    <col min="1500" max="1500" width="19" style="401" customWidth="1"/>
    <col min="1501" max="1501" width="66.1796875" style="401" customWidth="1"/>
    <col min="1502" max="1503" width="16.81640625" style="401" customWidth="1"/>
    <col min="1504" max="1504" width="23.7265625" style="401" customWidth="1"/>
    <col min="1505" max="1505" width="21.453125" style="401" customWidth="1"/>
    <col min="1506" max="1575" width="9.26953125" style="401" customWidth="1"/>
    <col min="1576" max="1755" width="15.26953125" style="401"/>
    <col min="1756" max="1756" width="19" style="401" customWidth="1"/>
    <col min="1757" max="1757" width="66.1796875" style="401" customWidth="1"/>
    <col min="1758" max="1759" width="16.81640625" style="401" customWidth="1"/>
    <col min="1760" max="1760" width="23.7265625" style="401" customWidth="1"/>
    <col min="1761" max="1761" width="21.453125" style="401" customWidth="1"/>
    <col min="1762" max="1831" width="9.26953125" style="401" customWidth="1"/>
    <col min="1832" max="2011" width="15.26953125" style="401"/>
    <col min="2012" max="2012" width="19" style="401" customWidth="1"/>
    <col min="2013" max="2013" width="66.1796875" style="401" customWidth="1"/>
    <col min="2014" max="2015" width="16.81640625" style="401" customWidth="1"/>
    <col min="2016" max="2016" width="23.7265625" style="401" customWidth="1"/>
    <col min="2017" max="2017" width="21.453125" style="401" customWidth="1"/>
    <col min="2018" max="2087" width="9.26953125" style="401" customWidth="1"/>
    <col min="2088" max="2267" width="15.26953125" style="401"/>
    <col min="2268" max="2268" width="19" style="401" customWidth="1"/>
    <col min="2269" max="2269" width="66.1796875" style="401" customWidth="1"/>
    <col min="2270" max="2271" width="16.81640625" style="401" customWidth="1"/>
    <col min="2272" max="2272" width="23.7265625" style="401" customWidth="1"/>
    <col min="2273" max="2273" width="21.453125" style="401" customWidth="1"/>
    <col min="2274" max="2343" width="9.26953125" style="401" customWidth="1"/>
    <col min="2344" max="2523" width="15.26953125" style="401"/>
    <col min="2524" max="2524" width="19" style="401" customWidth="1"/>
    <col min="2525" max="2525" width="66.1796875" style="401" customWidth="1"/>
    <col min="2526" max="2527" width="16.81640625" style="401" customWidth="1"/>
    <col min="2528" max="2528" width="23.7265625" style="401" customWidth="1"/>
    <col min="2529" max="2529" width="21.453125" style="401" customWidth="1"/>
    <col min="2530" max="2599" width="9.26953125" style="401" customWidth="1"/>
    <col min="2600" max="2779" width="15.26953125" style="401"/>
    <col min="2780" max="2780" width="19" style="401" customWidth="1"/>
    <col min="2781" max="2781" width="66.1796875" style="401" customWidth="1"/>
    <col min="2782" max="2783" width="16.81640625" style="401" customWidth="1"/>
    <col min="2784" max="2784" width="23.7265625" style="401" customWidth="1"/>
    <col min="2785" max="2785" width="21.453125" style="401" customWidth="1"/>
    <col min="2786" max="2855" width="9.26953125" style="401" customWidth="1"/>
    <col min="2856" max="3035" width="15.26953125" style="401"/>
    <col min="3036" max="3036" width="19" style="401" customWidth="1"/>
    <col min="3037" max="3037" width="66.1796875" style="401" customWidth="1"/>
    <col min="3038" max="3039" width="16.81640625" style="401" customWidth="1"/>
    <col min="3040" max="3040" width="23.7265625" style="401" customWidth="1"/>
    <col min="3041" max="3041" width="21.453125" style="401" customWidth="1"/>
    <col min="3042" max="3111" width="9.26953125" style="401" customWidth="1"/>
    <col min="3112" max="3291" width="15.26953125" style="401"/>
    <col min="3292" max="3292" width="19" style="401" customWidth="1"/>
    <col min="3293" max="3293" width="66.1796875" style="401" customWidth="1"/>
    <col min="3294" max="3295" width="16.81640625" style="401" customWidth="1"/>
    <col min="3296" max="3296" width="23.7265625" style="401" customWidth="1"/>
    <col min="3297" max="3297" width="21.453125" style="401" customWidth="1"/>
    <col min="3298" max="3367" width="9.26953125" style="401" customWidth="1"/>
    <col min="3368" max="3547" width="15.26953125" style="401"/>
    <col min="3548" max="3548" width="19" style="401" customWidth="1"/>
    <col min="3549" max="3549" width="66.1796875" style="401" customWidth="1"/>
    <col min="3550" max="3551" width="16.81640625" style="401" customWidth="1"/>
    <col min="3552" max="3552" width="23.7265625" style="401" customWidth="1"/>
    <col min="3553" max="3553" width="21.453125" style="401" customWidth="1"/>
    <col min="3554" max="3623" width="9.26953125" style="401" customWidth="1"/>
    <col min="3624" max="3803" width="15.26953125" style="401"/>
    <col min="3804" max="3804" width="19" style="401" customWidth="1"/>
    <col min="3805" max="3805" width="66.1796875" style="401" customWidth="1"/>
    <col min="3806" max="3807" width="16.81640625" style="401" customWidth="1"/>
    <col min="3808" max="3808" width="23.7265625" style="401" customWidth="1"/>
    <col min="3809" max="3809" width="21.453125" style="401" customWidth="1"/>
    <col min="3810" max="3879" width="9.26953125" style="401" customWidth="1"/>
    <col min="3880" max="4059" width="15.26953125" style="401"/>
    <col min="4060" max="4060" width="19" style="401" customWidth="1"/>
    <col min="4061" max="4061" width="66.1796875" style="401" customWidth="1"/>
    <col min="4062" max="4063" width="16.81640625" style="401" customWidth="1"/>
    <col min="4064" max="4064" width="23.7265625" style="401" customWidth="1"/>
    <col min="4065" max="4065" width="21.453125" style="401" customWidth="1"/>
    <col min="4066" max="4135" width="9.26953125" style="401" customWidth="1"/>
    <col min="4136" max="4315" width="15.26953125" style="401"/>
    <col min="4316" max="4316" width="19" style="401" customWidth="1"/>
    <col min="4317" max="4317" width="66.1796875" style="401" customWidth="1"/>
    <col min="4318" max="4319" width="16.81640625" style="401" customWidth="1"/>
    <col min="4320" max="4320" width="23.7265625" style="401" customWidth="1"/>
    <col min="4321" max="4321" width="21.453125" style="401" customWidth="1"/>
    <col min="4322" max="4391" width="9.26953125" style="401" customWidth="1"/>
    <col min="4392" max="4571" width="15.26953125" style="401"/>
    <col min="4572" max="4572" width="19" style="401" customWidth="1"/>
    <col min="4573" max="4573" width="66.1796875" style="401" customWidth="1"/>
    <col min="4574" max="4575" width="16.81640625" style="401" customWidth="1"/>
    <col min="4576" max="4576" width="23.7265625" style="401" customWidth="1"/>
    <col min="4577" max="4577" width="21.453125" style="401" customWidth="1"/>
    <col min="4578" max="4647" width="9.26953125" style="401" customWidth="1"/>
    <col min="4648" max="4827" width="15.26953125" style="401"/>
    <col min="4828" max="4828" width="19" style="401" customWidth="1"/>
    <col min="4829" max="4829" width="66.1796875" style="401" customWidth="1"/>
    <col min="4830" max="4831" width="16.81640625" style="401" customWidth="1"/>
    <col min="4832" max="4832" width="23.7265625" style="401" customWidth="1"/>
    <col min="4833" max="4833" width="21.453125" style="401" customWidth="1"/>
    <col min="4834" max="4903" width="9.26953125" style="401" customWidth="1"/>
    <col min="4904" max="5083" width="15.26953125" style="401"/>
    <col min="5084" max="5084" width="19" style="401" customWidth="1"/>
    <col min="5085" max="5085" width="66.1796875" style="401" customWidth="1"/>
    <col min="5086" max="5087" width="16.81640625" style="401" customWidth="1"/>
    <col min="5088" max="5088" width="23.7265625" style="401" customWidth="1"/>
    <col min="5089" max="5089" width="21.453125" style="401" customWidth="1"/>
    <col min="5090" max="5159" width="9.26953125" style="401" customWidth="1"/>
    <col min="5160" max="5339" width="15.26953125" style="401"/>
    <col min="5340" max="5340" width="19" style="401" customWidth="1"/>
    <col min="5341" max="5341" width="66.1796875" style="401" customWidth="1"/>
    <col min="5342" max="5343" width="16.81640625" style="401" customWidth="1"/>
    <col min="5344" max="5344" width="23.7265625" style="401" customWidth="1"/>
    <col min="5345" max="5345" width="21.453125" style="401" customWidth="1"/>
    <col min="5346" max="5415" width="9.26953125" style="401" customWidth="1"/>
    <col min="5416" max="5595" width="15.26953125" style="401"/>
    <col min="5596" max="5596" width="19" style="401" customWidth="1"/>
    <col min="5597" max="5597" width="66.1796875" style="401" customWidth="1"/>
    <col min="5598" max="5599" width="16.81640625" style="401" customWidth="1"/>
    <col min="5600" max="5600" width="23.7265625" style="401" customWidth="1"/>
    <col min="5601" max="5601" width="21.453125" style="401" customWidth="1"/>
    <col min="5602" max="5671" width="9.26953125" style="401" customWidth="1"/>
    <col min="5672" max="5851" width="15.26953125" style="401"/>
    <col min="5852" max="5852" width="19" style="401" customWidth="1"/>
    <col min="5853" max="5853" width="66.1796875" style="401" customWidth="1"/>
    <col min="5854" max="5855" width="16.81640625" style="401" customWidth="1"/>
    <col min="5856" max="5856" width="23.7265625" style="401" customWidth="1"/>
    <col min="5857" max="5857" width="21.453125" style="401" customWidth="1"/>
    <col min="5858" max="5927" width="9.26953125" style="401" customWidth="1"/>
    <col min="5928" max="6107" width="15.26953125" style="401"/>
    <col min="6108" max="6108" width="19" style="401" customWidth="1"/>
    <col min="6109" max="6109" width="66.1796875" style="401" customWidth="1"/>
    <col min="6110" max="6111" width="16.81640625" style="401" customWidth="1"/>
    <col min="6112" max="6112" width="23.7265625" style="401" customWidth="1"/>
    <col min="6113" max="6113" width="21.453125" style="401" customWidth="1"/>
    <col min="6114" max="6183" width="9.26953125" style="401" customWidth="1"/>
    <col min="6184" max="6363" width="15.26953125" style="401"/>
    <col min="6364" max="6364" width="19" style="401" customWidth="1"/>
    <col min="6365" max="6365" width="66.1796875" style="401" customWidth="1"/>
    <col min="6366" max="6367" width="16.81640625" style="401" customWidth="1"/>
    <col min="6368" max="6368" width="23.7265625" style="401" customWidth="1"/>
    <col min="6369" max="6369" width="21.453125" style="401" customWidth="1"/>
    <col min="6370" max="6439" width="9.26953125" style="401" customWidth="1"/>
    <col min="6440" max="6619" width="15.26953125" style="401"/>
    <col min="6620" max="6620" width="19" style="401" customWidth="1"/>
    <col min="6621" max="6621" width="66.1796875" style="401" customWidth="1"/>
    <col min="6622" max="6623" width="16.81640625" style="401" customWidth="1"/>
    <col min="6624" max="6624" width="23.7265625" style="401" customWidth="1"/>
    <col min="6625" max="6625" width="21.453125" style="401" customWidth="1"/>
    <col min="6626" max="6695" width="9.26953125" style="401" customWidth="1"/>
    <col min="6696" max="6875" width="15.26953125" style="401"/>
    <col min="6876" max="6876" width="19" style="401" customWidth="1"/>
    <col min="6877" max="6877" width="66.1796875" style="401" customWidth="1"/>
    <col min="6878" max="6879" width="16.81640625" style="401" customWidth="1"/>
    <col min="6880" max="6880" width="23.7265625" style="401" customWidth="1"/>
    <col min="6881" max="6881" width="21.453125" style="401" customWidth="1"/>
    <col min="6882" max="6951" width="9.26953125" style="401" customWidth="1"/>
    <col min="6952" max="7131" width="15.26953125" style="401"/>
    <col min="7132" max="7132" width="19" style="401" customWidth="1"/>
    <col min="7133" max="7133" width="66.1796875" style="401" customWidth="1"/>
    <col min="7134" max="7135" width="16.81640625" style="401" customWidth="1"/>
    <col min="7136" max="7136" width="23.7265625" style="401" customWidth="1"/>
    <col min="7137" max="7137" width="21.453125" style="401" customWidth="1"/>
    <col min="7138" max="7207" width="9.26953125" style="401" customWidth="1"/>
    <col min="7208" max="7387" width="15.26953125" style="401"/>
    <col min="7388" max="7388" width="19" style="401" customWidth="1"/>
    <col min="7389" max="7389" width="66.1796875" style="401" customWidth="1"/>
    <col min="7390" max="7391" width="16.81640625" style="401" customWidth="1"/>
    <col min="7392" max="7392" width="23.7265625" style="401" customWidth="1"/>
    <col min="7393" max="7393" width="21.453125" style="401" customWidth="1"/>
    <col min="7394" max="7463" width="9.26953125" style="401" customWidth="1"/>
    <col min="7464" max="7643" width="15.26953125" style="401"/>
    <col min="7644" max="7644" width="19" style="401" customWidth="1"/>
    <col min="7645" max="7645" width="66.1796875" style="401" customWidth="1"/>
    <col min="7646" max="7647" width="16.81640625" style="401" customWidth="1"/>
    <col min="7648" max="7648" width="23.7265625" style="401" customWidth="1"/>
    <col min="7649" max="7649" width="21.453125" style="401" customWidth="1"/>
    <col min="7650" max="7719" width="9.26953125" style="401" customWidth="1"/>
    <col min="7720" max="7899" width="15.26953125" style="401"/>
    <col min="7900" max="7900" width="19" style="401" customWidth="1"/>
    <col min="7901" max="7901" width="66.1796875" style="401" customWidth="1"/>
    <col min="7902" max="7903" width="16.81640625" style="401" customWidth="1"/>
    <col min="7904" max="7904" width="23.7265625" style="401" customWidth="1"/>
    <col min="7905" max="7905" width="21.453125" style="401" customWidth="1"/>
    <col min="7906" max="7975" width="9.26953125" style="401" customWidth="1"/>
    <col min="7976" max="8155" width="15.26953125" style="401"/>
    <col min="8156" max="8156" width="19" style="401" customWidth="1"/>
    <col min="8157" max="8157" width="66.1796875" style="401" customWidth="1"/>
    <col min="8158" max="8159" width="16.81640625" style="401" customWidth="1"/>
    <col min="8160" max="8160" width="23.7265625" style="401" customWidth="1"/>
    <col min="8161" max="8161" width="21.453125" style="401" customWidth="1"/>
    <col min="8162" max="8231" width="9.26953125" style="401" customWidth="1"/>
    <col min="8232" max="8411" width="15.26953125" style="401"/>
    <col min="8412" max="8412" width="19" style="401" customWidth="1"/>
    <col min="8413" max="8413" width="66.1796875" style="401" customWidth="1"/>
    <col min="8414" max="8415" width="16.81640625" style="401" customWidth="1"/>
    <col min="8416" max="8416" width="23.7265625" style="401" customWidth="1"/>
    <col min="8417" max="8417" width="21.453125" style="401" customWidth="1"/>
    <col min="8418" max="8487" width="9.26953125" style="401" customWidth="1"/>
    <col min="8488" max="8667" width="15.26953125" style="401"/>
    <col min="8668" max="8668" width="19" style="401" customWidth="1"/>
    <col min="8669" max="8669" width="66.1796875" style="401" customWidth="1"/>
    <col min="8670" max="8671" width="16.81640625" style="401" customWidth="1"/>
    <col min="8672" max="8672" width="23.7265625" style="401" customWidth="1"/>
    <col min="8673" max="8673" width="21.453125" style="401" customWidth="1"/>
    <col min="8674" max="8743" width="9.26953125" style="401" customWidth="1"/>
    <col min="8744" max="8923" width="15.26953125" style="401"/>
    <col min="8924" max="8924" width="19" style="401" customWidth="1"/>
    <col min="8925" max="8925" width="66.1796875" style="401" customWidth="1"/>
    <col min="8926" max="8927" width="16.81640625" style="401" customWidth="1"/>
    <col min="8928" max="8928" width="23.7265625" style="401" customWidth="1"/>
    <col min="8929" max="8929" width="21.453125" style="401" customWidth="1"/>
    <col min="8930" max="8999" width="9.26953125" style="401" customWidth="1"/>
    <col min="9000" max="9179" width="15.26953125" style="401"/>
    <col min="9180" max="9180" width="19" style="401" customWidth="1"/>
    <col min="9181" max="9181" width="66.1796875" style="401" customWidth="1"/>
    <col min="9182" max="9183" width="16.81640625" style="401" customWidth="1"/>
    <col min="9184" max="9184" width="23.7265625" style="401" customWidth="1"/>
    <col min="9185" max="9185" width="21.453125" style="401" customWidth="1"/>
    <col min="9186" max="9255" width="9.26953125" style="401" customWidth="1"/>
    <col min="9256" max="9435" width="15.26953125" style="401"/>
    <col min="9436" max="9436" width="19" style="401" customWidth="1"/>
    <col min="9437" max="9437" width="66.1796875" style="401" customWidth="1"/>
    <col min="9438" max="9439" width="16.81640625" style="401" customWidth="1"/>
    <col min="9440" max="9440" width="23.7265625" style="401" customWidth="1"/>
    <col min="9441" max="9441" width="21.453125" style="401" customWidth="1"/>
    <col min="9442" max="9511" width="9.26953125" style="401" customWidth="1"/>
    <col min="9512" max="9691" width="15.26953125" style="401"/>
    <col min="9692" max="9692" width="19" style="401" customWidth="1"/>
    <col min="9693" max="9693" width="66.1796875" style="401" customWidth="1"/>
    <col min="9694" max="9695" width="16.81640625" style="401" customWidth="1"/>
    <col min="9696" max="9696" width="23.7265625" style="401" customWidth="1"/>
    <col min="9697" max="9697" width="21.453125" style="401" customWidth="1"/>
    <col min="9698" max="9767" width="9.26953125" style="401" customWidth="1"/>
    <col min="9768" max="9947" width="15.26953125" style="401"/>
    <col min="9948" max="9948" width="19" style="401" customWidth="1"/>
    <col min="9949" max="9949" width="66.1796875" style="401" customWidth="1"/>
    <col min="9950" max="9951" width="16.81640625" style="401" customWidth="1"/>
    <col min="9952" max="9952" width="23.7265625" style="401" customWidth="1"/>
    <col min="9953" max="9953" width="21.453125" style="401" customWidth="1"/>
    <col min="9954" max="10023" width="9.26953125" style="401" customWidth="1"/>
    <col min="10024" max="10203" width="15.26953125" style="401"/>
    <col min="10204" max="10204" width="19" style="401" customWidth="1"/>
    <col min="10205" max="10205" width="66.1796875" style="401" customWidth="1"/>
    <col min="10206" max="10207" width="16.81640625" style="401" customWidth="1"/>
    <col min="10208" max="10208" width="23.7265625" style="401" customWidth="1"/>
    <col min="10209" max="10209" width="21.453125" style="401" customWidth="1"/>
    <col min="10210" max="10279" width="9.26953125" style="401" customWidth="1"/>
    <col min="10280" max="10459" width="15.26953125" style="401"/>
    <col min="10460" max="10460" width="19" style="401" customWidth="1"/>
    <col min="10461" max="10461" width="66.1796875" style="401" customWidth="1"/>
    <col min="10462" max="10463" width="16.81640625" style="401" customWidth="1"/>
    <col min="10464" max="10464" width="23.7265625" style="401" customWidth="1"/>
    <col min="10465" max="10465" width="21.453125" style="401" customWidth="1"/>
    <col min="10466" max="10535" width="9.26953125" style="401" customWidth="1"/>
    <col min="10536" max="10715" width="15.26953125" style="401"/>
    <col min="10716" max="10716" width="19" style="401" customWidth="1"/>
    <col min="10717" max="10717" width="66.1796875" style="401" customWidth="1"/>
    <col min="10718" max="10719" width="16.81640625" style="401" customWidth="1"/>
    <col min="10720" max="10720" width="23.7265625" style="401" customWidth="1"/>
    <col min="10721" max="10721" width="21.453125" style="401" customWidth="1"/>
    <col min="10722" max="10791" width="9.26953125" style="401" customWidth="1"/>
    <col min="10792" max="10971" width="15.26953125" style="401"/>
    <col min="10972" max="10972" width="19" style="401" customWidth="1"/>
    <col min="10973" max="10973" width="66.1796875" style="401" customWidth="1"/>
    <col min="10974" max="10975" width="16.81640625" style="401" customWidth="1"/>
    <col min="10976" max="10976" width="23.7265625" style="401" customWidth="1"/>
    <col min="10977" max="10977" width="21.453125" style="401" customWidth="1"/>
    <col min="10978" max="11047" width="9.26953125" style="401" customWidth="1"/>
    <col min="11048" max="11227" width="15.26953125" style="401"/>
    <col min="11228" max="11228" width="19" style="401" customWidth="1"/>
    <col min="11229" max="11229" width="66.1796875" style="401" customWidth="1"/>
    <col min="11230" max="11231" width="16.81640625" style="401" customWidth="1"/>
    <col min="11232" max="11232" width="23.7265625" style="401" customWidth="1"/>
    <col min="11233" max="11233" width="21.453125" style="401" customWidth="1"/>
    <col min="11234" max="11303" width="9.26953125" style="401" customWidth="1"/>
    <col min="11304" max="11483" width="15.26953125" style="401"/>
    <col min="11484" max="11484" width="19" style="401" customWidth="1"/>
    <col min="11485" max="11485" width="66.1796875" style="401" customWidth="1"/>
    <col min="11486" max="11487" width="16.81640625" style="401" customWidth="1"/>
    <col min="11488" max="11488" width="23.7265625" style="401" customWidth="1"/>
    <col min="11489" max="11489" width="21.453125" style="401" customWidth="1"/>
    <col min="11490" max="11559" width="9.26953125" style="401" customWidth="1"/>
    <col min="11560" max="11739" width="15.26953125" style="401"/>
    <col min="11740" max="11740" width="19" style="401" customWidth="1"/>
    <col min="11741" max="11741" width="66.1796875" style="401" customWidth="1"/>
    <col min="11742" max="11743" width="16.81640625" style="401" customWidth="1"/>
    <col min="11744" max="11744" width="23.7265625" style="401" customWidth="1"/>
    <col min="11745" max="11745" width="21.453125" style="401" customWidth="1"/>
    <col min="11746" max="11815" width="9.26953125" style="401" customWidth="1"/>
    <col min="11816" max="11995" width="15.26953125" style="401"/>
    <col min="11996" max="11996" width="19" style="401" customWidth="1"/>
    <col min="11997" max="11997" width="66.1796875" style="401" customWidth="1"/>
    <col min="11998" max="11999" width="16.81640625" style="401" customWidth="1"/>
    <col min="12000" max="12000" width="23.7265625" style="401" customWidth="1"/>
    <col min="12001" max="12001" width="21.453125" style="401" customWidth="1"/>
    <col min="12002" max="12071" width="9.26953125" style="401" customWidth="1"/>
    <col min="12072" max="12251" width="15.26953125" style="401"/>
    <col min="12252" max="12252" width="19" style="401" customWidth="1"/>
    <col min="12253" max="12253" width="66.1796875" style="401" customWidth="1"/>
    <col min="12254" max="12255" width="16.81640625" style="401" customWidth="1"/>
    <col min="12256" max="12256" width="23.7265625" style="401" customWidth="1"/>
    <col min="12257" max="12257" width="21.453125" style="401" customWidth="1"/>
    <col min="12258" max="12327" width="9.26953125" style="401" customWidth="1"/>
    <col min="12328" max="12507" width="15.26953125" style="401"/>
    <col min="12508" max="12508" width="19" style="401" customWidth="1"/>
    <col min="12509" max="12509" width="66.1796875" style="401" customWidth="1"/>
    <col min="12510" max="12511" width="16.81640625" style="401" customWidth="1"/>
    <col min="12512" max="12512" width="23.7265625" style="401" customWidth="1"/>
    <col min="12513" max="12513" width="21.453125" style="401" customWidth="1"/>
    <col min="12514" max="12583" width="9.26953125" style="401" customWidth="1"/>
    <col min="12584" max="12763" width="15.26953125" style="401"/>
    <col min="12764" max="12764" width="19" style="401" customWidth="1"/>
    <col min="12765" max="12765" width="66.1796875" style="401" customWidth="1"/>
    <col min="12766" max="12767" width="16.81640625" style="401" customWidth="1"/>
    <col min="12768" max="12768" width="23.7265625" style="401" customWidth="1"/>
    <col min="12769" max="12769" width="21.453125" style="401" customWidth="1"/>
    <col min="12770" max="12839" width="9.26953125" style="401" customWidth="1"/>
    <col min="12840" max="13019" width="15.26953125" style="401"/>
    <col min="13020" max="13020" width="19" style="401" customWidth="1"/>
    <col min="13021" max="13021" width="66.1796875" style="401" customWidth="1"/>
    <col min="13022" max="13023" width="16.81640625" style="401" customWidth="1"/>
    <col min="13024" max="13024" width="23.7265625" style="401" customWidth="1"/>
    <col min="13025" max="13025" width="21.453125" style="401" customWidth="1"/>
    <col min="13026" max="13095" width="9.26953125" style="401" customWidth="1"/>
    <col min="13096" max="13275" width="15.26953125" style="401"/>
    <col min="13276" max="13276" width="19" style="401" customWidth="1"/>
    <col min="13277" max="13277" width="66.1796875" style="401" customWidth="1"/>
    <col min="13278" max="13279" width="16.81640625" style="401" customWidth="1"/>
    <col min="13280" max="13280" width="23.7265625" style="401" customWidth="1"/>
    <col min="13281" max="13281" width="21.453125" style="401" customWidth="1"/>
    <col min="13282" max="13351" width="9.26953125" style="401" customWidth="1"/>
    <col min="13352" max="13531" width="15.26953125" style="401"/>
    <col min="13532" max="13532" width="19" style="401" customWidth="1"/>
    <col min="13533" max="13533" width="66.1796875" style="401" customWidth="1"/>
    <col min="13534" max="13535" width="16.81640625" style="401" customWidth="1"/>
    <col min="13536" max="13536" width="23.7265625" style="401" customWidth="1"/>
    <col min="13537" max="13537" width="21.453125" style="401" customWidth="1"/>
    <col min="13538" max="13607" width="9.26953125" style="401" customWidth="1"/>
    <col min="13608" max="13787" width="15.26953125" style="401"/>
    <col min="13788" max="13788" width="19" style="401" customWidth="1"/>
    <col min="13789" max="13789" width="66.1796875" style="401" customWidth="1"/>
    <col min="13790" max="13791" width="16.81640625" style="401" customWidth="1"/>
    <col min="13792" max="13792" width="23.7265625" style="401" customWidth="1"/>
    <col min="13793" max="13793" width="21.453125" style="401" customWidth="1"/>
    <col min="13794" max="13863" width="9.26953125" style="401" customWidth="1"/>
    <col min="13864" max="14043" width="15.26953125" style="401"/>
    <col min="14044" max="14044" width="19" style="401" customWidth="1"/>
    <col min="14045" max="14045" width="66.1796875" style="401" customWidth="1"/>
    <col min="14046" max="14047" width="16.81640625" style="401" customWidth="1"/>
    <col min="14048" max="14048" width="23.7265625" style="401" customWidth="1"/>
    <col min="14049" max="14049" width="21.453125" style="401" customWidth="1"/>
    <col min="14050" max="14119" width="9.26953125" style="401" customWidth="1"/>
    <col min="14120" max="14299" width="15.26953125" style="401"/>
    <col min="14300" max="14300" width="19" style="401" customWidth="1"/>
    <col min="14301" max="14301" width="66.1796875" style="401" customWidth="1"/>
    <col min="14302" max="14303" width="16.81640625" style="401" customWidth="1"/>
    <col min="14304" max="14304" width="23.7265625" style="401" customWidth="1"/>
    <col min="14305" max="14305" width="21.453125" style="401" customWidth="1"/>
    <col min="14306" max="14375" width="9.26953125" style="401" customWidth="1"/>
    <col min="14376" max="14555" width="15.26953125" style="401"/>
    <col min="14556" max="14556" width="19" style="401" customWidth="1"/>
    <col min="14557" max="14557" width="66.1796875" style="401" customWidth="1"/>
    <col min="14558" max="14559" width="16.81640625" style="401" customWidth="1"/>
    <col min="14560" max="14560" width="23.7265625" style="401" customWidth="1"/>
    <col min="14561" max="14561" width="21.453125" style="401" customWidth="1"/>
    <col min="14562" max="14631" width="9.26953125" style="401" customWidth="1"/>
    <col min="14632" max="14811" width="15.26953125" style="401"/>
    <col min="14812" max="14812" width="19" style="401" customWidth="1"/>
    <col min="14813" max="14813" width="66.1796875" style="401" customWidth="1"/>
    <col min="14814" max="14815" width="16.81640625" style="401" customWidth="1"/>
    <col min="14816" max="14816" width="23.7265625" style="401" customWidth="1"/>
    <col min="14817" max="14817" width="21.453125" style="401" customWidth="1"/>
    <col min="14818" max="14887" width="9.26953125" style="401" customWidth="1"/>
    <col min="14888" max="15067" width="15.26953125" style="401"/>
    <col min="15068" max="15068" width="19" style="401" customWidth="1"/>
    <col min="15069" max="15069" width="66.1796875" style="401" customWidth="1"/>
    <col min="15070" max="15071" width="16.81640625" style="401" customWidth="1"/>
    <col min="15072" max="15072" width="23.7265625" style="401" customWidth="1"/>
    <col min="15073" max="15073" width="21.453125" style="401" customWidth="1"/>
    <col min="15074" max="15143" width="9.26953125" style="401" customWidth="1"/>
    <col min="15144" max="15323" width="15.26953125" style="401"/>
    <col min="15324" max="15324" width="19" style="401" customWidth="1"/>
    <col min="15325" max="15325" width="66.1796875" style="401" customWidth="1"/>
    <col min="15326" max="15327" width="16.81640625" style="401" customWidth="1"/>
    <col min="15328" max="15328" width="23.7265625" style="401" customWidth="1"/>
    <col min="15329" max="15329" width="21.453125" style="401" customWidth="1"/>
    <col min="15330" max="15399" width="9.26953125" style="401" customWidth="1"/>
    <col min="15400" max="15579" width="15.26953125" style="401"/>
    <col min="15580" max="15580" width="19" style="401" customWidth="1"/>
    <col min="15581" max="15581" width="66.1796875" style="401" customWidth="1"/>
    <col min="15582" max="15583" width="16.81640625" style="401" customWidth="1"/>
    <col min="15584" max="15584" width="23.7265625" style="401" customWidth="1"/>
    <col min="15585" max="15585" width="21.453125" style="401" customWidth="1"/>
    <col min="15586" max="15655" width="9.26953125" style="401" customWidth="1"/>
    <col min="15656" max="15835" width="15.26953125" style="401"/>
    <col min="15836" max="15836" width="19" style="401" customWidth="1"/>
    <col min="15837" max="15837" width="66.1796875" style="401" customWidth="1"/>
    <col min="15838" max="15839" width="16.81640625" style="401" customWidth="1"/>
    <col min="15840" max="15840" width="23.7265625" style="401" customWidth="1"/>
    <col min="15841" max="15841" width="21.453125" style="401" customWidth="1"/>
    <col min="15842" max="15911" width="9.26953125" style="401" customWidth="1"/>
    <col min="15912" max="16091" width="15.26953125" style="401"/>
    <col min="16092" max="16092" width="19" style="401" customWidth="1"/>
    <col min="16093" max="16093" width="66.1796875" style="401" customWidth="1"/>
    <col min="16094" max="16095" width="16.81640625" style="401" customWidth="1"/>
    <col min="16096" max="16096" width="23.7265625" style="401" customWidth="1"/>
    <col min="16097" max="16097" width="21.453125" style="401" customWidth="1"/>
    <col min="16098" max="16167" width="9.26953125" style="401" customWidth="1"/>
    <col min="16168" max="16384" width="15.26953125" style="401"/>
  </cols>
  <sheetData>
    <row r="1" spans="1:3" ht="85.9" customHeight="1">
      <c r="C1" s="589"/>
    </row>
    <row r="2" spans="1:3" s="584" customFormat="1" ht="15" customHeight="1">
      <c r="A2" s="588" t="s">
        <v>27048</v>
      </c>
      <c r="B2" s="587" t="s">
        <v>27047</v>
      </c>
      <c r="C2" s="586" t="s">
        <v>27046</v>
      </c>
    </row>
    <row r="3" spans="1:3" s="583" customFormat="1" ht="15" customHeight="1">
      <c r="A3" s="420" t="s">
        <v>27045</v>
      </c>
      <c r="B3" s="419" t="s">
        <v>27044</v>
      </c>
      <c r="C3" s="417">
        <v>282</v>
      </c>
    </row>
    <row r="4" spans="1:3" s="583" customFormat="1" ht="15" customHeight="1">
      <c r="A4" s="585" t="s">
        <v>27043</v>
      </c>
      <c r="B4" s="419" t="s">
        <v>27042</v>
      </c>
      <c r="C4" s="417">
        <v>257</v>
      </c>
    </row>
    <row r="5" spans="1:3" s="583" customFormat="1" ht="15" customHeight="1">
      <c r="A5" s="585" t="s">
        <v>27041</v>
      </c>
      <c r="B5" s="419" t="s">
        <v>27040</v>
      </c>
      <c r="C5" s="417">
        <v>257</v>
      </c>
    </row>
    <row r="6" spans="1:3" s="584" customFormat="1" ht="15" customHeight="1">
      <c r="A6" s="420" t="s">
        <v>27039</v>
      </c>
      <c r="B6" s="419" t="s">
        <v>27038</v>
      </c>
      <c r="C6" s="418">
        <v>162</v>
      </c>
    </row>
    <row r="7" spans="1:3" s="584" customFormat="1" ht="15" customHeight="1">
      <c r="A7" s="420" t="s">
        <v>27037</v>
      </c>
      <c r="B7" s="419" t="s">
        <v>27036</v>
      </c>
      <c r="C7" s="418">
        <v>17</v>
      </c>
    </row>
    <row r="8" spans="1:3" s="584" customFormat="1" ht="15" customHeight="1">
      <c r="A8" s="420" t="s">
        <v>27035</v>
      </c>
      <c r="B8" s="419" t="s">
        <v>27034</v>
      </c>
      <c r="C8" s="418">
        <v>45</v>
      </c>
    </row>
    <row r="9" spans="1:3" s="584" customFormat="1" ht="15" customHeight="1">
      <c r="A9" s="420" t="s">
        <v>27033</v>
      </c>
      <c r="B9" s="419" t="s">
        <v>27032</v>
      </c>
      <c r="C9" s="418">
        <v>47</v>
      </c>
    </row>
    <row r="10" spans="1:3" s="584" customFormat="1" ht="15" customHeight="1">
      <c r="A10" s="420" t="s">
        <v>27031</v>
      </c>
      <c r="B10" s="419" t="s">
        <v>27030</v>
      </c>
      <c r="C10" s="418">
        <v>6</v>
      </c>
    </row>
    <row r="11" spans="1:3" s="584" customFormat="1" ht="15" customHeight="1">
      <c r="A11" s="420" t="s">
        <v>27029</v>
      </c>
      <c r="B11" s="419" t="s">
        <v>27028</v>
      </c>
      <c r="C11" s="418">
        <v>6</v>
      </c>
    </row>
    <row r="12" spans="1:3" s="584" customFormat="1" ht="15" customHeight="1">
      <c r="A12" s="420" t="s">
        <v>27027</v>
      </c>
      <c r="B12" s="419" t="s">
        <v>27026</v>
      </c>
      <c r="C12" s="418">
        <v>218</v>
      </c>
    </row>
    <row r="13" spans="1:3" s="584" customFormat="1" ht="15" customHeight="1">
      <c r="A13" s="420" t="s">
        <v>27025</v>
      </c>
      <c r="B13" s="419" t="s">
        <v>27024</v>
      </c>
      <c r="C13" s="418">
        <v>229</v>
      </c>
    </row>
    <row r="14" spans="1:3" s="584" customFormat="1" ht="15" customHeight="1">
      <c r="A14" s="420" t="s">
        <v>27023</v>
      </c>
      <c r="B14" s="419" t="s">
        <v>27022</v>
      </c>
      <c r="C14" s="418">
        <v>103</v>
      </c>
    </row>
    <row r="15" spans="1:3" s="584" customFormat="1" ht="15" customHeight="1">
      <c r="A15" s="420" t="s">
        <v>27021</v>
      </c>
      <c r="B15" s="419" t="s">
        <v>27020</v>
      </c>
      <c r="C15" s="418">
        <v>133</v>
      </c>
    </row>
    <row r="16" spans="1:3" s="584" customFormat="1" ht="15" customHeight="1">
      <c r="A16" s="420" t="s">
        <v>27019</v>
      </c>
      <c r="B16" s="419" t="s">
        <v>27018</v>
      </c>
      <c r="C16" s="418">
        <v>144</v>
      </c>
    </row>
    <row r="17" spans="1:3" s="584" customFormat="1" ht="15" customHeight="1">
      <c r="A17" s="420" t="s">
        <v>27017</v>
      </c>
      <c r="B17" s="419" t="s">
        <v>27016</v>
      </c>
      <c r="C17" s="418">
        <v>56</v>
      </c>
    </row>
    <row r="18" spans="1:3" s="584" customFormat="1" ht="15" customHeight="1">
      <c r="A18" s="420" t="s">
        <v>27015</v>
      </c>
      <c r="B18" s="419" t="s">
        <v>27014</v>
      </c>
      <c r="C18" s="418">
        <v>99</v>
      </c>
    </row>
    <row r="19" spans="1:3" s="584" customFormat="1" ht="15" customHeight="1">
      <c r="A19" s="420" t="s">
        <v>27013</v>
      </c>
      <c r="B19" s="419" t="s">
        <v>27012</v>
      </c>
      <c r="C19" s="418">
        <v>17</v>
      </c>
    </row>
    <row r="20" spans="1:3" s="584" customFormat="1" ht="15" customHeight="1">
      <c r="A20" s="420" t="s">
        <v>27011</v>
      </c>
      <c r="B20" s="419" t="s">
        <v>27010</v>
      </c>
      <c r="C20" s="418">
        <v>113</v>
      </c>
    </row>
    <row r="21" spans="1:3" s="584" customFormat="1" ht="15" customHeight="1">
      <c r="A21" s="420" t="s">
        <v>27009</v>
      </c>
      <c r="B21" s="419" t="s">
        <v>27008</v>
      </c>
      <c r="C21" s="418">
        <v>205</v>
      </c>
    </row>
    <row r="22" spans="1:3" s="583" customFormat="1" ht="15" customHeight="1">
      <c r="A22" s="420" t="s">
        <v>27007</v>
      </c>
      <c r="B22" s="419" t="s">
        <v>27006</v>
      </c>
      <c r="C22" s="418">
        <v>205</v>
      </c>
    </row>
    <row r="23" spans="1:3" s="583" customFormat="1" ht="15" customHeight="1">
      <c r="A23" s="420" t="s">
        <v>27005</v>
      </c>
      <c r="B23" s="419" t="s">
        <v>27004</v>
      </c>
      <c r="C23" s="418">
        <v>72</v>
      </c>
    </row>
    <row r="24" spans="1:3" s="583" customFormat="1" ht="15" customHeight="1">
      <c r="A24" s="420" t="s">
        <v>27003</v>
      </c>
      <c r="B24" s="419" t="s">
        <v>27002</v>
      </c>
      <c r="C24" s="418">
        <v>66</v>
      </c>
    </row>
    <row r="25" spans="1:3" s="583" customFormat="1" ht="15" customHeight="1">
      <c r="A25" s="420" t="s">
        <v>27001</v>
      </c>
      <c r="B25" s="419" t="s">
        <v>27000</v>
      </c>
      <c r="C25" s="418">
        <v>124</v>
      </c>
    </row>
    <row r="26" spans="1:3" s="583" customFormat="1" ht="15" customHeight="1">
      <c r="A26" s="420" t="s">
        <v>26999</v>
      </c>
      <c r="B26" s="419" t="s">
        <v>26998</v>
      </c>
      <c r="C26" s="418">
        <v>99</v>
      </c>
    </row>
    <row r="27" spans="1:3" s="583" customFormat="1" ht="15" customHeight="1">
      <c r="A27" s="420" t="s">
        <v>26997</v>
      </c>
      <c r="B27" s="419" t="s">
        <v>26996</v>
      </c>
      <c r="C27" s="418">
        <v>121</v>
      </c>
    </row>
    <row r="28" spans="1:3" s="583" customFormat="1" ht="15" customHeight="1">
      <c r="A28" s="420" t="s">
        <v>26995</v>
      </c>
      <c r="B28" s="419" t="s">
        <v>26994</v>
      </c>
      <c r="C28" s="418">
        <v>99</v>
      </c>
    </row>
    <row r="29" spans="1:3" s="583" customFormat="1" ht="15" customHeight="1">
      <c r="A29" s="420" t="s">
        <v>26993</v>
      </c>
      <c r="B29" s="419" t="s">
        <v>26992</v>
      </c>
      <c r="C29" s="418">
        <v>103</v>
      </c>
    </row>
    <row r="30" spans="1:3" s="583" customFormat="1" ht="15" customHeight="1">
      <c r="A30" s="420" t="s">
        <v>26991</v>
      </c>
      <c r="B30" s="419" t="s">
        <v>26990</v>
      </c>
      <c r="C30" s="418">
        <v>124</v>
      </c>
    </row>
    <row r="31" spans="1:3" s="583" customFormat="1" ht="15" customHeight="1">
      <c r="A31" s="420" t="s">
        <v>26989</v>
      </c>
      <c r="B31" s="419" t="s">
        <v>26988</v>
      </c>
      <c r="C31" s="418">
        <v>132</v>
      </c>
    </row>
    <row r="32" spans="1:3" s="583" customFormat="1" ht="15" customHeight="1">
      <c r="A32" s="420" t="s">
        <v>26987</v>
      </c>
      <c r="B32" s="419" t="s">
        <v>26986</v>
      </c>
      <c r="C32" s="418">
        <v>237</v>
      </c>
    </row>
    <row r="33" spans="1:3" s="583" customFormat="1" ht="15" customHeight="1">
      <c r="A33" s="420" t="s">
        <v>26985</v>
      </c>
      <c r="B33" s="419" t="s">
        <v>26984</v>
      </c>
      <c r="C33" s="418">
        <v>105</v>
      </c>
    </row>
    <row r="34" spans="1:3" s="583" customFormat="1" ht="15" customHeight="1">
      <c r="A34" s="420" t="s">
        <v>26983</v>
      </c>
      <c r="B34" s="419" t="s">
        <v>26982</v>
      </c>
      <c r="C34" s="418">
        <v>115</v>
      </c>
    </row>
    <row r="35" spans="1:3" s="583" customFormat="1" ht="15" customHeight="1">
      <c r="A35" s="420" t="s">
        <v>26981</v>
      </c>
      <c r="B35" s="419" t="s">
        <v>26980</v>
      </c>
      <c r="C35" s="418">
        <v>130</v>
      </c>
    </row>
    <row r="36" spans="1:3" s="583" customFormat="1" ht="15" customHeight="1">
      <c r="A36" s="420" t="s">
        <v>26979</v>
      </c>
      <c r="B36" s="419" t="s">
        <v>26978</v>
      </c>
      <c r="C36" s="418">
        <v>255</v>
      </c>
    </row>
    <row r="37" spans="1:3" s="583" customFormat="1" ht="15" customHeight="1">
      <c r="A37" s="420" t="s">
        <v>26977</v>
      </c>
      <c r="B37" s="419" t="s">
        <v>26976</v>
      </c>
      <c r="C37" s="418">
        <v>264</v>
      </c>
    </row>
    <row r="38" spans="1:3" s="583" customFormat="1" ht="15" customHeight="1">
      <c r="A38" s="420" t="s">
        <v>26975</v>
      </c>
      <c r="B38" s="419" t="s">
        <v>26974</v>
      </c>
      <c r="C38" s="418">
        <v>111</v>
      </c>
    </row>
    <row r="39" spans="1:3" s="583" customFormat="1" ht="15" customHeight="1">
      <c r="A39" s="420" t="s">
        <v>26973</v>
      </c>
      <c r="B39" s="419" t="s">
        <v>26972</v>
      </c>
      <c r="C39" s="418">
        <v>161</v>
      </c>
    </row>
    <row r="40" spans="1:3" s="583" customFormat="1" ht="15" customHeight="1">
      <c r="A40" s="420" t="s">
        <v>26971</v>
      </c>
      <c r="B40" s="419" t="s">
        <v>26970</v>
      </c>
      <c r="C40" s="418">
        <v>159</v>
      </c>
    </row>
    <row r="41" spans="1:3" s="583" customFormat="1" ht="15" customHeight="1">
      <c r="A41" s="420" t="s">
        <v>26969</v>
      </c>
      <c r="B41" s="419" t="s">
        <v>26968</v>
      </c>
      <c r="C41" s="418">
        <v>161</v>
      </c>
    </row>
    <row r="42" spans="1:3" s="583" customFormat="1" ht="15" customHeight="1">
      <c r="A42" s="420" t="s">
        <v>26967</v>
      </c>
      <c r="B42" s="419" t="s">
        <v>26966</v>
      </c>
      <c r="C42" s="418">
        <v>80</v>
      </c>
    </row>
    <row r="43" spans="1:3" s="584" customFormat="1" ht="15" customHeight="1">
      <c r="A43" s="420" t="s">
        <v>26965</v>
      </c>
      <c r="B43" s="419" t="s">
        <v>26964</v>
      </c>
      <c r="C43" s="418">
        <v>131</v>
      </c>
    </row>
    <row r="44" spans="1:3" s="584" customFormat="1" ht="15" customHeight="1">
      <c r="A44" s="420" t="s">
        <v>26963</v>
      </c>
      <c r="B44" s="419" t="s">
        <v>26962</v>
      </c>
      <c r="C44" s="418">
        <v>101</v>
      </c>
    </row>
    <row r="45" spans="1:3" s="584" customFormat="1" ht="15" customHeight="1">
      <c r="A45" s="420" t="s">
        <v>26961</v>
      </c>
      <c r="B45" s="419" t="s">
        <v>26960</v>
      </c>
      <c r="C45" s="418">
        <v>72</v>
      </c>
    </row>
    <row r="46" spans="1:3" s="584" customFormat="1" ht="15" customHeight="1">
      <c r="A46" s="420" t="s">
        <v>26959</v>
      </c>
      <c r="B46" s="419" t="s">
        <v>26958</v>
      </c>
      <c r="C46" s="418">
        <v>105</v>
      </c>
    </row>
    <row r="47" spans="1:3" s="584" customFormat="1" ht="15" customHeight="1">
      <c r="A47" s="420" t="s">
        <v>26957</v>
      </c>
      <c r="B47" s="419" t="s">
        <v>26956</v>
      </c>
      <c r="C47" s="418">
        <v>156</v>
      </c>
    </row>
    <row r="48" spans="1:3" ht="15" customHeight="1">
      <c r="A48" s="420" t="s">
        <v>26955</v>
      </c>
      <c r="B48" s="419" t="s">
        <v>26954</v>
      </c>
      <c r="C48" s="418">
        <v>105</v>
      </c>
    </row>
    <row r="49" spans="1:3" s="583" customFormat="1" ht="15" customHeight="1">
      <c r="A49" s="420" t="s">
        <v>26953</v>
      </c>
      <c r="B49" s="419" t="s">
        <v>26952</v>
      </c>
      <c r="C49" s="418">
        <v>119</v>
      </c>
    </row>
    <row r="50" spans="1:3" s="583" customFormat="1" ht="15" customHeight="1">
      <c r="A50" s="420" t="s">
        <v>26951</v>
      </c>
      <c r="B50" s="419" t="s">
        <v>26950</v>
      </c>
      <c r="C50" s="418">
        <v>47</v>
      </c>
    </row>
    <row r="51" spans="1:3" s="583" customFormat="1" ht="15" customHeight="1">
      <c r="A51" s="420" t="s">
        <v>26949</v>
      </c>
      <c r="B51" s="419" t="s">
        <v>26948</v>
      </c>
      <c r="C51" s="418">
        <v>161</v>
      </c>
    </row>
    <row r="52" spans="1:3" s="583" customFormat="1" ht="15" customHeight="1">
      <c r="A52" s="420" t="s">
        <v>26947</v>
      </c>
      <c r="B52" s="419" t="s">
        <v>26946</v>
      </c>
      <c r="C52" s="418">
        <v>153</v>
      </c>
    </row>
    <row r="53" spans="1:3" s="583" customFormat="1" ht="15" customHeight="1">
      <c r="A53" s="420" t="s">
        <v>26945</v>
      </c>
      <c r="B53" s="419" t="s">
        <v>26944</v>
      </c>
      <c r="C53" s="418">
        <v>137</v>
      </c>
    </row>
    <row r="54" spans="1:3" s="583" customFormat="1" ht="15" customHeight="1">
      <c r="A54" s="420" t="s">
        <v>26943</v>
      </c>
      <c r="B54" s="419" t="s">
        <v>26942</v>
      </c>
      <c r="C54" s="418">
        <v>47</v>
      </c>
    </row>
    <row r="55" spans="1:3" s="583" customFormat="1" ht="15" customHeight="1">
      <c r="A55" s="420" t="s">
        <v>26941</v>
      </c>
      <c r="B55" s="419" t="s">
        <v>26940</v>
      </c>
      <c r="C55" s="418">
        <v>131</v>
      </c>
    </row>
    <row r="56" spans="1:3" s="583" customFormat="1" ht="15" customHeight="1">
      <c r="A56" s="420" t="s">
        <v>26939</v>
      </c>
      <c r="B56" s="419" t="s">
        <v>26938</v>
      </c>
      <c r="C56" s="418">
        <v>151</v>
      </c>
    </row>
    <row r="57" spans="1:3" s="583" customFormat="1" ht="15" customHeight="1">
      <c r="A57" s="420" t="s">
        <v>26937</v>
      </c>
      <c r="B57" s="419" t="s">
        <v>26936</v>
      </c>
      <c r="C57" s="418">
        <v>131</v>
      </c>
    </row>
    <row r="58" spans="1:3" s="583" customFormat="1" ht="15" customHeight="1">
      <c r="A58" s="420" t="s">
        <v>26935</v>
      </c>
      <c r="B58" s="419" t="s">
        <v>26934</v>
      </c>
      <c r="C58" s="418">
        <v>41</v>
      </c>
    </row>
    <row r="59" spans="1:3" s="583" customFormat="1" ht="15" customHeight="1">
      <c r="A59" s="420" t="s">
        <v>26933</v>
      </c>
      <c r="B59" s="419" t="s">
        <v>26932</v>
      </c>
      <c r="C59" s="418">
        <v>70</v>
      </c>
    </row>
    <row r="60" spans="1:3" s="583" customFormat="1" ht="15" customHeight="1">
      <c r="A60" s="420" t="s">
        <v>26931</v>
      </c>
      <c r="B60" s="419" t="s">
        <v>26930</v>
      </c>
      <c r="C60" s="418">
        <v>41</v>
      </c>
    </row>
    <row r="61" spans="1:3" s="583" customFormat="1" ht="15" customHeight="1">
      <c r="A61" s="420" t="s">
        <v>26929</v>
      </c>
      <c r="B61" s="419" t="s">
        <v>26928</v>
      </c>
      <c r="C61" s="418">
        <v>165</v>
      </c>
    </row>
    <row r="62" spans="1:3" s="583" customFormat="1" ht="15" customHeight="1">
      <c r="A62" s="420" t="s">
        <v>26927</v>
      </c>
      <c r="B62" s="419" t="s">
        <v>26926</v>
      </c>
      <c r="C62" s="418">
        <v>181</v>
      </c>
    </row>
    <row r="63" spans="1:3" s="583" customFormat="1" ht="15" customHeight="1">
      <c r="A63" s="420" t="s">
        <v>26925</v>
      </c>
      <c r="B63" s="419" t="s">
        <v>26924</v>
      </c>
      <c r="C63" s="418">
        <v>174</v>
      </c>
    </row>
    <row r="64" spans="1:3" s="583" customFormat="1" ht="15" customHeight="1">
      <c r="A64" s="420" t="s">
        <v>26923</v>
      </c>
      <c r="B64" s="419" t="s">
        <v>26922</v>
      </c>
      <c r="C64" s="418">
        <v>167</v>
      </c>
    </row>
    <row r="65" spans="1:3" s="583" customFormat="1" ht="15" customHeight="1">
      <c r="A65" s="420" t="s">
        <v>26921</v>
      </c>
      <c r="B65" s="419" t="s">
        <v>26920</v>
      </c>
      <c r="C65" s="418">
        <v>41</v>
      </c>
    </row>
    <row r="66" spans="1:3" s="583" customFormat="1" ht="15" customHeight="1">
      <c r="A66" s="420" t="s">
        <v>26919</v>
      </c>
      <c r="B66" s="419" t="s">
        <v>26918</v>
      </c>
      <c r="C66" s="418">
        <v>180</v>
      </c>
    </row>
    <row r="67" spans="1:3" s="583" customFormat="1" ht="15" customHeight="1">
      <c r="A67" s="420" t="s">
        <v>26917</v>
      </c>
      <c r="B67" s="419" t="s">
        <v>26916</v>
      </c>
      <c r="C67" s="418">
        <v>68</v>
      </c>
    </row>
    <row r="68" spans="1:3" s="583" customFormat="1" ht="15" customHeight="1">
      <c r="A68" s="420" t="s">
        <v>26915</v>
      </c>
      <c r="B68" s="419" t="s">
        <v>26914</v>
      </c>
      <c r="C68" s="418">
        <v>179</v>
      </c>
    </row>
    <row r="69" spans="1:3" s="583" customFormat="1" ht="15" customHeight="1">
      <c r="A69" s="420" t="s">
        <v>26913</v>
      </c>
      <c r="B69" s="419" t="s">
        <v>26912</v>
      </c>
      <c r="C69" s="418">
        <v>101</v>
      </c>
    </row>
    <row r="70" spans="1:3" s="583" customFormat="1" ht="15" customHeight="1">
      <c r="A70" s="420" t="s">
        <v>26911</v>
      </c>
      <c r="B70" s="419" t="s">
        <v>26910</v>
      </c>
      <c r="C70" s="418">
        <v>45</v>
      </c>
    </row>
    <row r="71" spans="1:3" s="583" customFormat="1" ht="15" customHeight="1">
      <c r="A71" s="420" t="s">
        <v>26909</v>
      </c>
      <c r="B71" s="419" t="s">
        <v>26908</v>
      </c>
      <c r="C71" s="418">
        <v>66</v>
      </c>
    </row>
    <row r="72" spans="1:3" s="583" customFormat="1" ht="15" customHeight="1">
      <c r="A72" s="420" t="s">
        <v>26907</v>
      </c>
      <c r="B72" s="419" t="s">
        <v>26906</v>
      </c>
      <c r="C72" s="418">
        <v>70</v>
      </c>
    </row>
    <row r="73" spans="1:3" s="583" customFormat="1" ht="15" customHeight="1">
      <c r="A73" s="420" t="s">
        <v>26905</v>
      </c>
      <c r="B73" s="419" t="s">
        <v>26904</v>
      </c>
      <c r="C73" s="418">
        <v>47</v>
      </c>
    </row>
    <row r="74" spans="1:3" s="583" customFormat="1" ht="15" customHeight="1">
      <c r="A74" s="420" t="s">
        <v>26903</v>
      </c>
      <c r="B74" s="419" t="s">
        <v>26902</v>
      </c>
      <c r="C74" s="418">
        <v>70</v>
      </c>
    </row>
    <row r="75" spans="1:3" s="583" customFormat="1" ht="15" customHeight="1">
      <c r="A75" s="420" t="s">
        <v>26901</v>
      </c>
      <c r="B75" s="419" t="s">
        <v>26900</v>
      </c>
      <c r="C75" s="418">
        <v>3</v>
      </c>
    </row>
    <row r="76" spans="1:3" s="583" customFormat="1" ht="15" customHeight="1">
      <c r="A76" s="420" t="s">
        <v>26899</v>
      </c>
      <c r="B76" s="419" t="s">
        <v>26898</v>
      </c>
      <c r="C76" s="418">
        <v>41</v>
      </c>
    </row>
    <row r="77" spans="1:3" s="583" customFormat="1" ht="15" customHeight="1">
      <c r="A77" s="420" t="s">
        <v>26897</v>
      </c>
      <c r="B77" s="419" t="s">
        <v>26896</v>
      </c>
      <c r="C77" s="418">
        <v>66</v>
      </c>
    </row>
    <row r="78" spans="1:3" s="583" customFormat="1" ht="15" customHeight="1">
      <c r="A78" s="420" t="s">
        <v>26895</v>
      </c>
      <c r="B78" s="419" t="s">
        <v>26894</v>
      </c>
      <c r="C78" s="418">
        <v>123</v>
      </c>
    </row>
    <row r="79" spans="1:3" s="583" customFormat="1" ht="15" customHeight="1">
      <c r="A79" s="420" t="s">
        <v>26893</v>
      </c>
      <c r="B79" s="419" t="s">
        <v>26892</v>
      </c>
      <c r="C79" s="418">
        <v>91</v>
      </c>
    </row>
    <row r="80" spans="1:3" s="583" customFormat="1" ht="15" customHeight="1">
      <c r="A80" s="420" t="s">
        <v>26891</v>
      </c>
      <c r="B80" s="419" t="s">
        <v>26890</v>
      </c>
      <c r="C80" s="418">
        <v>66</v>
      </c>
    </row>
    <row r="81" spans="1:3" ht="15" customHeight="1">
      <c r="A81" s="420" t="s">
        <v>26889</v>
      </c>
      <c r="B81" s="419" t="s">
        <v>26888</v>
      </c>
      <c r="C81" s="418">
        <v>274</v>
      </c>
    </row>
    <row r="82" spans="1:3" ht="15" customHeight="1">
      <c r="A82" s="420" t="s">
        <v>26887</v>
      </c>
      <c r="B82" s="419" t="s">
        <v>26886</v>
      </c>
      <c r="C82" s="418">
        <v>170</v>
      </c>
    </row>
    <row r="83" spans="1:3" ht="15" customHeight="1">
      <c r="A83" s="420" t="s">
        <v>26885</v>
      </c>
      <c r="B83" s="419" t="s">
        <v>26884</v>
      </c>
      <c r="C83" s="418">
        <v>78</v>
      </c>
    </row>
    <row r="84" spans="1:3" ht="15" customHeight="1">
      <c r="A84" s="420" t="s">
        <v>26883</v>
      </c>
      <c r="B84" s="419" t="s">
        <v>26882</v>
      </c>
      <c r="C84" s="418">
        <v>165</v>
      </c>
    </row>
    <row r="85" spans="1:3" ht="15" customHeight="1">
      <c r="A85" s="420" t="s">
        <v>26881</v>
      </c>
      <c r="B85" s="419" t="s">
        <v>26880</v>
      </c>
      <c r="C85" s="418">
        <v>70</v>
      </c>
    </row>
    <row r="86" spans="1:3" ht="15" customHeight="1">
      <c r="A86" s="420" t="s">
        <v>26879</v>
      </c>
      <c r="B86" s="419" t="s">
        <v>26878</v>
      </c>
      <c r="C86" s="418">
        <v>41</v>
      </c>
    </row>
    <row r="87" spans="1:3" ht="15" customHeight="1">
      <c r="A87" s="420" t="s">
        <v>26877</v>
      </c>
      <c r="B87" s="419" t="s">
        <v>26876</v>
      </c>
      <c r="C87" s="418">
        <v>41</v>
      </c>
    </row>
    <row r="88" spans="1:3" ht="15" customHeight="1">
      <c r="A88" s="420" t="s">
        <v>26875</v>
      </c>
      <c r="B88" s="419" t="s">
        <v>26874</v>
      </c>
      <c r="C88" s="418">
        <v>88</v>
      </c>
    </row>
    <row r="89" spans="1:3" ht="15" customHeight="1">
      <c r="A89" s="420" t="s">
        <v>26873</v>
      </c>
      <c r="B89" s="419" t="s">
        <v>26872</v>
      </c>
      <c r="C89" s="418">
        <v>92</v>
      </c>
    </row>
    <row r="90" spans="1:3" ht="15" customHeight="1">
      <c r="A90" s="420" t="s">
        <v>26871</v>
      </c>
      <c r="B90" s="419" t="s">
        <v>22444</v>
      </c>
      <c r="C90" s="418">
        <v>156</v>
      </c>
    </row>
    <row r="91" spans="1:3" ht="15" customHeight="1">
      <c r="A91" s="420" t="s">
        <v>26870</v>
      </c>
      <c r="B91" s="419" t="s">
        <v>26869</v>
      </c>
      <c r="C91" s="418">
        <v>185</v>
      </c>
    </row>
    <row r="92" spans="1:3" ht="15" customHeight="1">
      <c r="A92" s="420" t="s">
        <v>26868</v>
      </c>
      <c r="B92" s="419" t="s">
        <v>26867</v>
      </c>
      <c r="C92" s="418">
        <v>198</v>
      </c>
    </row>
    <row r="93" spans="1:3" ht="15" customHeight="1">
      <c r="A93" s="424" t="s">
        <v>26866</v>
      </c>
      <c r="B93" s="573" t="s">
        <v>26865</v>
      </c>
      <c r="C93" s="543">
        <v>275</v>
      </c>
    </row>
    <row r="94" spans="1:3" ht="15" customHeight="1">
      <c r="A94" s="424" t="s">
        <v>26864</v>
      </c>
      <c r="B94" s="419" t="s">
        <v>26863</v>
      </c>
      <c r="C94" s="543">
        <v>500</v>
      </c>
    </row>
    <row r="95" spans="1:3" ht="15" customHeight="1">
      <c r="A95" s="424" t="s">
        <v>26862</v>
      </c>
      <c r="B95" s="419" t="s">
        <v>26861</v>
      </c>
      <c r="C95" s="543">
        <v>185</v>
      </c>
    </row>
    <row r="96" spans="1:3" ht="15" customHeight="1">
      <c r="A96" s="86" t="s">
        <v>26860</v>
      </c>
      <c r="B96" s="547" t="s">
        <v>26859</v>
      </c>
      <c r="C96" s="530">
        <v>895</v>
      </c>
    </row>
    <row r="97" spans="1:3" ht="15" customHeight="1">
      <c r="A97" s="86" t="s">
        <v>26858</v>
      </c>
      <c r="B97" s="547" t="s">
        <v>26857</v>
      </c>
      <c r="C97" s="530">
        <v>800</v>
      </c>
    </row>
    <row r="98" spans="1:3" ht="15" customHeight="1">
      <c r="A98" s="86" t="s">
        <v>26856</v>
      </c>
      <c r="B98" s="547" t="s">
        <v>26855</v>
      </c>
      <c r="C98" s="530">
        <v>840</v>
      </c>
    </row>
    <row r="99" spans="1:3" ht="15" customHeight="1">
      <c r="A99" s="86" t="s">
        <v>26854</v>
      </c>
      <c r="B99" s="547" t="s">
        <v>26853</v>
      </c>
      <c r="C99" s="530">
        <v>1000</v>
      </c>
    </row>
    <row r="100" spans="1:3" s="524" customFormat="1" ht="15" customHeight="1">
      <c r="A100" s="420" t="s">
        <v>26852</v>
      </c>
      <c r="B100" s="419" t="s">
        <v>26851</v>
      </c>
      <c r="C100" s="418">
        <v>1255</v>
      </c>
    </row>
    <row r="101" spans="1:3" ht="15" customHeight="1">
      <c r="A101" s="424" t="s">
        <v>26850</v>
      </c>
      <c r="B101" s="573" t="s">
        <v>26849</v>
      </c>
      <c r="C101" s="543">
        <v>1125</v>
      </c>
    </row>
    <row r="102" spans="1:3" ht="15" customHeight="1">
      <c r="A102" s="86" t="s">
        <v>26848</v>
      </c>
      <c r="B102" s="547" t="s">
        <v>26847</v>
      </c>
      <c r="C102" s="543">
        <v>865</v>
      </c>
    </row>
    <row r="103" spans="1:3" ht="15" customHeight="1">
      <c r="A103" s="420" t="s">
        <v>26846</v>
      </c>
      <c r="B103" s="419" t="s">
        <v>26845</v>
      </c>
      <c r="C103" s="418">
        <v>1030</v>
      </c>
    </row>
    <row r="104" spans="1:3" ht="15" customHeight="1">
      <c r="A104" s="424" t="s">
        <v>26844</v>
      </c>
      <c r="B104" s="573" t="s">
        <v>26843</v>
      </c>
      <c r="C104" s="543">
        <v>990</v>
      </c>
    </row>
    <row r="105" spans="1:3" ht="15" customHeight="1">
      <c r="A105" s="86" t="s">
        <v>26842</v>
      </c>
      <c r="B105" s="547" t="s">
        <v>26841</v>
      </c>
      <c r="C105" s="543">
        <v>890</v>
      </c>
    </row>
    <row r="106" spans="1:3" ht="15" customHeight="1">
      <c r="A106" s="420" t="s">
        <v>26840</v>
      </c>
      <c r="B106" s="419" t="s">
        <v>26839</v>
      </c>
      <c r="C106" s="418">
        <v>1140</v>
      </c>
    </row>
    <row r="107" spans="1:3" ht="15" customHeight="1">
      <c r="A107" s="424" t="s">
        <v>26838</v>
      </c>
      <c r="B107" s="573" t="s">
        <v>26837</v>
      </c>
      <c r="C107" s="543">
        <v>1105</v>
      </c>
    </row>
    <row r="108" spans="1:3" ht="15" customHeight="1">
      <c r="A108" s="424" t="s">
        <v>26836</v>
      </c>
      <c r="B108" s="419" t="s">
        <v>26835</v>
      </c>
      <c r="C108" s="543">
        <v>1255</v>
      </c>
    </row>
    <row r="109" spans="1:3" ht="15" customHeight="1">
      <c r="A109" s="424" t="s">
        <v>26834</v>
      </c>
      <c r="B109" s="419" t="s">
        <v>26833</v>
      </c>
      <c r="C109" s="543">
        <v>1140</v>
      </c>
    </row>
    <row r="110" spans="1:3" ht="15" customHeight="1">
      <c r="A110" s="424" t="s">
        <v>26832</v>
      </c>
      <c r="B110" s="419" t="s">
        <v>26831</v>
      </c>
      <c r="C110" s="543">
        <v>1170</v>
      </c>
    </row>
    <row r="111" spans="1:3" ht="15" customHeight="1">
      <c r="A111" s="420" t="s">
        <v>26830</v>
      </c>
      <c r="B111" s="419" t="s">
        <v>26829</v>
      </c>
      <c r="C111" s="418">
        <v>845</v>
      </c>
    </row>
    <row r="112" spans="1:3" ht="15" customHeight="1">
      <c r="A112" s="420" t="s">
        <v>26828</v>
      </c>
      <c r="B112" s="419" t="s">
        <v>26827</v>
      </c>
      <c r="C112" s="418">
        <v>226</v>
      </c>
    </row>
    <row r="113" spans="1:3" ht="15" customHeight="1">
      <c r="A113" s="409" t="s">
        <v>26826</v>
      </c>
      <c r="B113" s="419" t="s">
        <v>26825</v>
      </c>
      <c r="C113" s="417">
        <v>820</v>
      </c>
    </row>
    <row r="114" spans="1:3" ht="15" customHeight="1">
      <c r="A114" s="420" t="s">
        <v>26824</v>
      </c>
      <c r="B114" s="419" t="s">
        <v>26823</v>
      </c>
      <c r="C114" s="418">
        <v>95</v>
      </c>
    </row>
    <row r="115" spans="1:3" ht="15" customHeight="1">
      <c r="A115" s="420" t="s">
        <v>26822</v>
      </c>
      <c r="B115" s="419" t="s">
        <v>26821</v>
      </c>
      <c r="C115" s="418">
        <v>97</v>
      </c>
    </row>
    <row r="116" spans="1:3" ht="15" customHeight="1">
      <c r="A116" s="420" t="s">
        <v>26820</v>
      </c>
      <c r="B116" s="419" t="s">
        <v>26819</v>
      </c>
      <c r="C116" s="418">
        <v>68</v>
      </c>
    </row>
    <row r="117" spans="1:3" ht="15" customHeight="1">
      <c r="A117" s="420" t="s">
        <v>26818</v>
      </c>
      <c r="B117" s="419" t="s">
        <v>26817</v>
      </c>
      <c r="C117" s="418">
        <v>70</v>
      </c>
    </row>
    <row r="118" spans="1:3" ht="15" customHeight="1">
      <c r="A118" s="420" t="s">
        <v>26816</v>
      </c>
      <c r="B118" s="419" t="s">
        <v>26815</v>
      </c>
      <c r="C118" s="418">
        <v>78</v>
      </c>
    </row>
    <row r="119" spans="1:3" ht="15" customHeight="1">
      <c r="A119" s="420" t="s">
        <v>26814</v>
      </c>
      <c r="B119" s="419" t="s">
        <v>26813</v>
      </c>
      <c r="C119" s="418">
        <v>95</v>
      </c>
    </row>
    <row r="120" spans="1:3" ht="15" customHeight="1">
      <c r="A120" s="420" t="s">
        <v>26812</v>
      </c>
      <c r="B120" s="419" t="s">
        <v>26811</v>
      </c>
      <c r="C120" s="418">
        <v>71</v>
      </c>
    </row>
    <row r="121" spans="1:3" ht="15" customHeight="1">
      <c r="A121" s="420" t="s">
        <v>26810</v>
      </c>
      <c r="B121" s="419" t="s">
        <v>26809</v>
      </c>
      <c r="C121" s="418">
        <v>78</v>
      </c>
    </row>
    <row r="122" spans="1:3" ht="15" customHeight="1">
      <c r="A122" s="420" t="s">
        <v>26808</v>
      </c>
      <c r="B122" s="419" t="s">
        <v>26807</v>
      </c>
      <c r="C122" s="418">
        <v>68</v>
      </c>
    </row>
    <row r="123" spans="1:3" ht="15" customHeight="1">
      <c r="A123" s="420" t="s">
        <v>26806</v>
      </c>
      <c r="B123" s="419" t="s">
        <v>26805</v>
      </c>
      <c r="C123" s="418">
        <v>95</v>
      </c>
    </row>
    <row r="124" spans="1:3" ht="15" customHeight="1">
      <c r="A124" s="420" t="s">
        <v>26804</v>
      </c>
      <c r="B124" s="419" t="s">
        <v>26803</v>
      </c>
      <c r="C124" s="418">
        <v>68</v>
      </c>
    </row>
    <row r="125" spans="1:3" ht="15" customHeight="1">
      <c r="A125" s="420" t="s">
        <v>26802</v>
      </c>
      <c r="B125" s="419" t="s">
        <v>26801</v>
      </c>
      <c r="C125" s="418">
        <v>68</v>
      </c>
    </row>
    <row r="126" spans="1:3" ht="15" customHeight="1">
      <c r="A126" s="487" t="s">
        <v>26800</v>
      </c>
      <c r="B126" s="430" t="s">
        <v>26799</v>
      </c>
      <c r="C126" s="417">
        <v>438</v>
      </c>
    </row>
    <row r="127" spans="1:3" ht="15" customHeight="1">
      <c r="A127" s="487" t="s">
        <v>26798</v>
      </c>
      <c r="B127" s="430" t="s">
        <v>26797</v>
      </c>
      <c r="C127" s="417">
        <v>485</v>
      </c>
    </row>
    <row r="128" spans="1:3" ht="15" customHeight="1">
      <c r="A128" s="487" t="s">
        <v>26796</v>
      </c>
      <c r="B128" s="430" t="s">
        <v>26795</v>
      </c>
      <c r="C128" s="417">
        <v>529</v>
      </c>
    </row>
    <row r="129" spans="1:3" ht="15" customHeight="1">
      <c r="A129" s="409" t="s">
        <v>26794</v>
      </c>
      <c r="B129" s="430" t="s">
        <v>26793</v>
      </c>
      <c r="C129" s="417">
        <v>608</v>
      </c>
    </row>
    <row r="130" spans="1:3" ht="15" customHeight="1">
      <c r="A130" s="409" t="s">
        <v>26792</v>
      </c>
      <c r="B130" s="419" t="s">
        <v>26791</v>
      </c>
      <c r="C130" s="417">
        <v>245</v>
      </c>
    </row>
    <row r="131" spans="1:3" ht="15" customHeight="1">
      <c r="A131" s="420" t="s">
        <v>26790</v>
      </c>
      <c r="B131" s="419" t="s">
        <v>26789</v>
      </c>
      <c r="C131" s="417">
        <v>812</v>
      </c>
    </row>
    <row r="132" spans="1:3" ht="15" customHeight="1">
      <c r="A132" s="487" t="s">
        <v>26788</v>
      </c>
      <c r="B132" s="430" t="s">
        <v>26787</v>
      </c>
      <c r="C132" s="417">
        <v>71</v>
      </c>
    </row>
    <row r="133" spans="1:3" ht="15" customHeight="1">
      <c r="A133" s="487" t="s">
        <v>26786</v>
      </c>
      <c r="B133" s="430" t="s">
        <v>26785</v>
      </c>
      <c r="C133" s="417">
        <v>43</v>
      </c>
    </row>
    <row r="134" spans="1:3" ht="15" customHeight="1">
      <c r="A134" s="487" t="s">
        <v>26784</v>
      </c>
      <c r="B134" s="430" t="s">
        <v>26783</v>
      </c>
      <c r="C134" s="417">
        <v>20</v>
      </c>
    </row>
    <row r="135" spans="1:3" ht="15" customHeight="1">
      <c r="A135" s="409" t="s">
        <v>26782</v>
      </c>
      <c r="B135" s="430" t="s">
        <v>26781</v>
      </c>
      <c r="C135" s="417">
        <v>62</v>
      </c>
    </row>
    <row r="136" spans="1:3" ht="15" customHeight="1">
      <c r="A136" s="409" t="s">
        <v>26780</v>
      </c>
      <c r="B136" s="430" t="s">
        <v>26779</v>
      </c>
      <c r="C136" s="417">
        <v>48</v>
      </c>
    </row>
    <row r="137" spans="1:3" ht="15" customHeight="1">
      <c r="A137" s="409" t="s">
        <v>26778</v>
      </c>
      <c r="B137" s="430" t="s">
        <v>26777</v>
      </c>
      <c r="C137" s="417">
        <v>34</v>
      </c>
    </row>
    <row r="138" spans="1:3" ht="15" customHeight="1">
      <c r="A138" s="409" t="s">
        <v>26776</v>
      </c>
      <c r="B138" s="430" t="s">
        <v>26775</v>
      </c>
      <c r="C138" s="417">
        <v>23</v>
      </c>
    </row>
    <row r="139" spans="1:3" ht="15" customHeight="1">
      <c r="A139" s="409" t="s">
        <v>26774</v>
      </c>
      <c r="B139" s="430" t="s">
        <v>26773</v>
      </c>
      <c r="C139" s="417">
        <v>31</v>
      </c>
    </row>
    <row r="140" spans="1:3" ht="15" customHeight="1">
      <c r="A140" s="409" t="s">
        <v>26772</v>
      </c>
      <c r="B140" s="430" t="s">
        <v>26771</v>
      </c>
      <c r="C140" s="417">
        <v>54</v>
      </c>
    </row>
    <row r="141" spans="1:3" ht="15" customHeight="1">
      <c r="A141" s="461" t="s">
        <v>26770</v>
      </c>
      <c r="B141" s="510" t="s">
        <v>26769</v>
      </c>
      <c r="C141" s="416">
        <v>26</v>
      </c>
    </row>
    <row r="142" spans="1:3" ht="15" customHeight="1">
      <c r="A142" s="503" t="s">
        <v>26768</v>
      </c>
      <c r="B142" s="510" t="s">
        <v>26767</v>
      </c>
      <c r="C142" s="416">
        <v>27</v>
      </c>
    </row>
    <row r="143" spans="1:3" ht="15" customHeight="1">
      <c r="A143" s="420" t="s">
        <v>26766</v>
      </c>
      <c r="B143" s="419" t="s">
        <v>26765</v>
      </c>
      <c r="C143" s="417">
        <v>30</v>
      </c>
    </row>
    <row r="144" spans="1:3" ht="15" customHeight="1">
      <c r="A144" s="461" t="s">
        <v>26764</v>
      </c>
      <c r="B144" s="510" t="s">
        <v>26763</v>
      </c>
      <c r="C144" s="416">
        <v>26</v>
      </c>
    </row>
    <row r="145" spans="1:3" ht="15" customHeight="1">
      <c r="A145" s="461" t="s">
        <v>26762</v>
      </c>
      <c r="B145" s="510" t="s">
        <v>26761</v>
      </c>
      <c r="C145" s="416">
        <v>27</v>
      </c>
    </row>
    <row r="146" spans="1:3" ht="15" customHeight="1">
      <c r="A146" s="461" t="s">
        <v>26760</v>
      </c>
      <c r="B146" s="510" t="s">
        <v>26759</v>
      </c>
      <c r="C146" s="416">
        <v>29</v>
      </c>
    </row>
    <row r="147" spans="1:3" ht="15" customHeight="1">
      <c r="A147" s="409" t="s">
        <v>26758</v>
      </c>
      <c r="B147" s="419" t="s">
        <v>26757</v>
      </c>
      <c r="C147" s="417">
        <v>53</v>
      </c>
    </row>
    <row r="148" spans="1:3" ht="15" customHeight="1">
      <c r="A148" s="409" t="s">
        <v>26756</v>
      </c>
      <c r="B148" s="419" t="s">
        <v>26755</v>
      </c>
      <c r="C148" s="416">
        <v>172</v>
      </c>
    </row>
    <row r="149" spans="1:3" ht="15" customHeight="1">
      <c r="A149" s="409" t="s">
        <v>26754</v>
      </c>
      <c r="B149" s="419" t="s">
        <v>26753</v>
      </c>
      <c r="C149" s="417">
        <v>66</v>
      </c>
    </row>
    <row r="150" spans="1:3" s="524" customFormat="1" ht="15" customHeight="1">
      <c r="A150" s="409" t="s">
        <v>26752</v>
      </c>
      <c r="B150" s="419" t="s">
        <v>26751</v>
      </c>
      <c r="C150" s="416">
        <v>218</v>
      </c>
    </row>
    <row r="151" spans="1:3" ht="15" customHeight="1">
      <c r="A151" s="409" t="s">
        <v>26750</v>
      </c>
      <c r="B151" s="419" t="s">
        <v>26749</v>
      </c>
      <c r="C151" s="417">
        <v>75</v>
      </c>
    </row>
    <row r="152" spans="1:3" ht="15" customHeight="1">
      <c r="A152" s="409" t="s">
        <v>26748</v>
      </c>
      <c r="B152" s="419" t="s">
        <v>26747</v>
      </c>
      <c r="C152" s="416">
        <v>186</v>
      </c>
    </row>
    <row r="153" spans="1:3" ht="15" customHeight="1">
      <c r="A153" s="409" t="s">
        <v>26746</v>
      </c>
      <c r="B153" s="419" t="s">
        <v>26745</v>
      </c>
      <c r="C153" s="416">
        <v>308</v>
      </c>
    </row>
    <row r="154" spans="1:3" ht="15" customHeight="1">
      <c r="A154" s="409" t="s">
        <v>26744</v>
      </c>
      <c r="B154" s="419" t="s">
        <v>26743</v>
      </c>
      <c r="C154" s="416">
        <v>109</v>
      </c>
    </row>
    <row r="155" spans="1:3" ht="15" customHeight="1">
      <c r="A155" s="409" t="s">
        <v>26742</v>
      </c>
      <c r="B155" s="419" t="s">
        <v>26741</v>
      </c>
      <c r="C155" s="416">
        <v>222</v>
      </c>
    </row>
    <row r="156" spans="1:3" ht="15" customHeight="1">
      <c r="A156" s="409" t="s">
        <v>26740</v>
      </c>
      <c r="B156" s="419" t="s">
        <v>26739</v>
      </c>
      <c r="C156" s="416">
        <v>234</v>
      </c>
    </row>
    <row r="157" spans="1:3" ht="15" customHeight="1">
      <c r="A157" s="409" t="s">
        <v>26738</v>
      </c>
      <c r="B157" s="419" t="s">
        <v>26737</v>
      </c>
      <c r="C157" s="416">
        <v>291</v>
      </c>
    </row>
    <row r="158" spans="1:3" ht="15" customHeight="1">
      <c r="A158" s="409" t="s">
        <v>26736</v>
      </c>
      <c r="B158" s="419" t="s">
        <v>26735</v>
      </c>
      <c r="C158" s="416">
        <v>68</v>
      </c>
    </row>
    <row r="159" spans="1:3" ht="15" customHeight="1">
      <c r="A159" s="472" t="s">
        <v>26734</v>
      </c>
      <c r="B159" s="419" t="s">
        <v>26733</v>
      </c>
      <c r="C159" s="416">
        <v>35</v>
      </c>
    </row>
    <row r="160" spans="1:3" ht="15" customHeight="1">
      <c r="A160" s="420" t="s">
        <v>26732</v>
      </c>
      <c r="B160" s="419" t="s">
        <v>26731</v>
      </c>
      <c r="C160" s="416">
        <v>57</v>
      </c>
    </row>
    <row r="161" spans="1:3" ht="15" customHeight="1">
      <c r="A161" s="420" t="s">
        <v>26730</v>
      </c>
      <c r="B161" s="419" t="s">
        <v>26729</v>
      </c>
      <c r="C161" s="416">
        <v>87</v>
      </c>
    </row>
    <row r="162" spans="1:3" ht="15" customHeight="1">
      <c r="A162" s="409" t="s">
        <v>26728</v>
      </c>
      <c r="B162" s="419" t="s">
        <v>26727</v>
      </c>
      <c r="C162" s="416">
        <v>39</v>
      </c>
    </row>
    <row r="163" spans="1:3" ht="15" customHeight="1">
      <c r="A163" s="472" t="s">
        <v>26726</v>
      </c>
      <c r="B163" s="419" t="s">
        <v>26725</v>
      </c>
      <c r="C163" s="416">
        <v>39</v>
      </c>
    </row>
    <row r="164" spans="1:3" s="524" customFormat="1" ht="15" customHeight="1">
      <c r="A164" s="409" t="s">
        <v>26724</v>
      </c>
      <c r="B164" s="430" t="s">
        <v>26723</v>
      </c>
      <c r="C164" s="416">
        <v>341</v>
      </c>
    </row>
    <row r="165" spans="1:3" ht="15" customHeight="1">
      <c r="A165" s="409" t="s">
        <v>26722</v>
      </c>
      <c r="B165" s="430" t="s">
        <v>26721</v>
      </c>
      <c r="C165" s="416">
        <v>117</v>
      </c>
    </row>
    <row r="166" spans="1:3" ht="15" customHeight="1">
      <c r="A166" s="409" t="s">
        <v>26720</v>
      </c>
      <c r="B166" s="430" t="s">
        <v>26719</v>
      </c>
      <c r="C166" s="416">
        <v>103</v>
      </c>
    </row>
    <row r="167" spans="1:3" ht="15" customHeight="1">
      <c r="A167" s="409" t="s">
        <v>26718</v>
      </c>
      <c r="B167" s="430" t="s">
        <v>26712</v>
      </c>
      <c r="C167" s="416">
        <v>215</v>
      </c>
    </row>
    <row r="168" spans="1:3" ht="15" customHeight="1">
      <c r="A168" s="409" t="s">
        <v>26717</v>
      </c>
      <c r="B168" s="430" t="s">
        <v>26716</v>
      </c>
      <c r="C168" s="416">
        <v>290</v>
      </c>
    </row>
    <row r="169" spans="1:3" ht="15" customHeight="1">
      <c r="A169" s="409" t="s">
        <v>26715</v>
      </c>
      <c r="B169" s="430" t="s">
        <v>26714</v>
      </c>
      <c r="C169" s="416">
        <v>277</v>
      </c>
    </row>
    <row r="170" spans="1:3" ht="15" customHeight="1">
      <c r="A170" s="409" t="s">
        <v>26713</v>
      </c>
      <c r="B170" s="430" t="s">
        <v>26712</v>
      </c>
      <c r="C170" s="416">
        <v>359</v>
      </c>
    </row>
    <row r="171" spans="1:3" ht="15" customHeight="1">
      <c r="A171" s="409" t="s">
        <v>26711</v>
      </c>
      <c r="B171" s="430" t="s">
        <v>26710</v>
      </c>
      <c r="C171" s="416">
        <v>182</v>
      </c>
    </row>
    <row r="172" spans="1:3" ht="15" customHeight="1">
      <c r="A172" s="420" t="s">
        <v>26709</v>
      </c>
      <c r="B172" s="419" t="s">
        <v>26708</v>
      </c>
      <c r="C172" s="417">
        <v>382</v>
      </c>
    </row>
    <row r="173" spans="1:3" ht="15" customHeight="1">
      <c r="A173" s="420" t="s">
        <v>26707</v>
      </c>
      <c r="B173" s="419" t="s">
        <v>26706</v>
      </c>
      <c r="C173" s="417">
        <v>180</v>
      </c>
    </row>
    <row r="174" spans="1:3" ht="15" customHeight="1">
      <c r="A174" s="420" t="s">
        <v>26705</v>
      </c>
      <c r="B174" s="419" t="s">
        <v>26704</v>
      </c>
      <c r="C174" s="417">
        <v>252</v>
      </c>
    </row>
    <row r="175" spans="1:3" ht="15" customHeight="1">
      <c r="A175" s="409" t="s">
        <v>26703</v>
      </c>
      <c r="B175" s="419" t="s">
        <v>26702</v>
      </c>
      <c r="C175" s="416">
        <v>360</v>
      </c>
    </row>
    <row r="176" spans="1:3" ht="15" customHeight="1">
      <c r="A176" s="409" t="s">
        <v>26701</v>
      </c>
      <c r="B176" s="419" t="s">
        <v>26700</v>
      </c>
      <c r="C176" s="416">
        <v>396</v>
      </c>
    </row>
    <row r="177" spans="1:3" ht="15" customHeight="1">
      <c r="A177" s="409" t="s">
        <v>26699</v>
      </c>
      <c r="B177" s="419" t="s">
        <v>26698</v>
      </c>
      <c r="C177" s="416">
        <v>420</v>
      </c>
    </row>
    <row r="178" spans="1:3" ht="15" customHeight="1">
      <c r="A178" s="409" t="s">
        <v>26697</v>
      </c>
      <c r="B178" s="419" t="s">
        <v>26696</v>
      </c>
      <c r="C178" s="416">
        <v>268</v>
      </c>
    </row>
    <row r="179" spans="1:3" ht="15" customHeight="1">
      <c r="A179" s="409" t="s">
        <v>26695</v>
      </c>
      <c r="B179" s="419" t="s">
        <v>26694</v>
      </c>
      <c r="C179" s="416">
        <v>533</v>
      </c>
    </row>
    <row r="180" spans="1:3" ht="15" customHeight="1">
      <c r="A180" s="409" t="s">
        <v>26693</v>
      </c>
      <c r="B180" s="419" t="s">
        <v>26692</v>
      </c>
      <c r="C180" s="416">
        <v>353</v>
      </c>
    </row>
    <row r="181" spans="1:3" ht="15" customHeight="1">
      <c r="A181" s="452" t="s">
        <v>26691</v>
      </c>
      <c r="B181" s="510" t="s">
        <v>26690</v>
      </c>
      <c r="C181" s="416">
        <v>195</v>
      </c>
    </row>
    <row r="182" spans="1:3" ht="15" customHeight="1">
      <c r="A182" s="452" t="s">
        <v>26689</v>
      </c>
      <c r="B182" s="510" t="s">
        <v>26688</v>
      </c>
      <c r="C182" s="416">
        <v>248</v>
      </c>
    </row>
    <row r="183" spans="1:3" ht="15" customHeight="1">
      <c r="A183" s="452" t="s">
        <v>26687</v>
      </c>
      <c r="B183" s="510" t="s">
        <v>26686</v>
      </c>
      <c r="C183" s="416">
        <v>277</v>
      </c>
    </row>
    <row r="184" spans="1:3" ht="15" customHeight="1">
      <c r="A184" s="452" t="s">
        <v>26685</v>
      </c>
      <c r="B184" s="510" t="s">
        <v>26684</v>
      </c>
      <c r="C184" s="416">
        <v>277</v>
      </c>
    </row>
    <row r="185" spans="1:3" ht="15" customHeight="1">
      <c r="A185" s="452" t="s">
        <v>26683</v>
      </c>
      <c r="B185" s="510" t="s">
        <v>26682</v>
      </c>
      <c r="C185" s="416">
        <v>554</v>
      </c>
    </row>
    <row r="186" spans="1:3" ht="15" customHeight="1">
      <c r="A186" s="452" t="s">
        <v>26681</v>
      </c>
      <c r="B186" s="510" t="s">
        <v>26680</v>
      </c>
      <c r="C186" s="416">
        <v>459</v>
      </c>
    </row>
    <row r="187" spans="1:3" ht="15" customHeight="1">
      <c r="A187" s="452" t="s">
        <v>26679</v>
      </c>
      <c r="B187" s="510" t="s">
        <v>26678</v>
      </c>
      <c r="C187" s="416">
        <v>480</v>
      </c>
    </row>
    <row r="188" spans="1:3" ht="15" customHeight="1">
      <c r="A188" s="452" t="s">
        <v>26677</v>
      </c>
      <c r="B188" s="510" t="s">
        <v>26676</v>
      </c>
      <c r="C188" s="416">
        <v>480</v>
      </c>
    </row>
    <row r="189" spans="1:3" ht="15" customHeight="1">
      <c r="A189" s="452" t="s">
        <v>26675</v>
      </c>
      <c r="B189" s="510" t="s">
        <v>26674</v>
      </c>
      <c r="C189" s="416">
        <v>317</v>
      </c>
    </row>
    <row r="190" spans="1:3" ht="15" customHeight="1">
      <c r="A190" s="420" t="s">
        <v>26673</v>
      </c>
      <c r="B190" s="419" t="s">
        <v>26672</v>
      </c>
      <c r="C190" s="417">
        <v>580</v>
      </c>
    </row>
    <row r="191" spans="1:3" ht="15" customHeight="1">
      <c r="A191" s="409" t="s">
        <v>26671</v>
      </c>
      <c r="B191" s="430" t="s">
        <v>26670</v>
      </c>
      <c r="C191" s="416">
        <v>280</v>
      </c>
    </row>
    <row r="192" spans="1:3" ht="15" customHeight="1">
      <c r="A192" s="409" t="s">
        <v>26669</v>
      </c>
      <c r="B192" s="430" t="s">
        <v>26668</v>
      </c>
      <c r="C192" s="416">
        <v>280</v>
      </c>
    </row>
    <row r="193" spans="1:3" ht="15" customHeight="1">
      <c r="A193" s="420" t="s">
        <v>26667</v>
      </c>
      <c r="B193" s="419" t="s">
        <v>26666</v>
      </c>
      <c r="C193" s="417">
        <v>550</v>
      </c>
    </row>
    <row r="194" spans="1:3" ht="15" customHeight="1">
      <c r="A194" s="409" t="s">
        <v>26665</v>
      </c>
      <c r="B194" s="430" t="s">
        <v>26664</v>
      </c>
      <c r="C194" s="416">
        <v>62</v>
      </c>
    </row>
    <row r="195" spans="1:3" ht="15" customHeight="1">
      <c r="A195" s="409" t="s">
        <v>26663</v>
      </c>
      <c r="B195" s="430" t="s">
        <v>26662</v>
      </c>
      <c r="C195" s="416">
        <v>25</v>
      </c>
    </row>
    <row r="196" spans="1:3" ht="15" customHeight="1">
      <c r="A196" s="409" t="s">
        <v>26661</v>
      </c>
      <c r="B196" s="430" t="s">
        <v>26660</v>
      </c>
      <c r="C196" s="416">
        <v>111</v>
      </c>
    </row>
    <row r="197" spans="1:3" ht="15" customHeight="1">
      <c r="A197" s="409" t="s">
        <v>26659</v>
      </c>
      <c r="B197" s="430" t="s">
        <v>26658</v>
      </c>
      <c r="C197" s="416">
        <v>188</v>
      </c>
    </row>
    <row r="198" spans="1:3" ht="15" customHeight="1">
      <c r="A198" s="409" t="s">
        <v>26657</v>
      </c>
      <c r="B198" s="430" t="s">
        <v>26656</v>
      </c>
      <c r="C198" s="416">
        <v>31</v>
      </c>
    </row>
    <row r="199" spans="1:3" ht="15" customHeight="1">
      <c r="A199" s="409" t="s">
        <v>26655</v>
      </c>
      <c r="B199" s="430" t="s">
        <v>26654</v>
      </c>
      <c r="C199" s="416">
        <v>135</v>
      </c>
    </row>
    <row r="200" spans="1:3" ht="15" customHeight="1">
      <c r="A200" s="409" t="s">
        <v>26653</v>
      </c>
      <c r="B200" s="430" t="s">
        <v>26652</v>
      </c>
      <c r="C200" s="416">
        <v>217</v>
      </c>
    </row>
    <row r="201" spans="1:3" ht="15" customHeight="1">
      <c r="A201" s="487" t="s">
        <v>26651</v>
      </c>
      <c r="B201" s="430" t="s">
        <v>26650</v>
      </c>
      <c r="C201" s="416">
        <v>177</v>
      </c>
    </row>
    <row r="202" spans="1:3" ht="15" customHeight="1">
      <c r="A202" s="409" t="s">
        <v>26649</v>
      </c>
      <c r="B202" s="430" t="s">
        <v>26648</v>
      </c>
      <c r="C202" s="416">
        <v>88</v>
      </c>
    </row>
    <row r="203" spans="1:3" ht="15" customHeight="1">
      <c r="A203" s="409" t="s">
        <v>26647</v>
      </c>
      <c r="B203" s="430" t="s">
        <v>26646</v>
      </c>
      <c r="C203" s="416">
        <v>162</v>
      </c>
    </row>
    <row r="204" spans="1:3" ht="15" customHeight="1">
      <c r="A204" s="409" t="s">
        <v>26645</v>
      </c>
      <c r="B204" s="430" t="s">
        <v>26644</v>
      </c>
      <c r="C204" s="416">
        <v>122</v>
      </c>
    </row>
    <row r="205" spans="1:3" ht="15" customHeight="1">
      <c r="A205" s="478" t="s">
        <v>26643</v>
      </c>
      <c r="B205" s="454" t="s">
        <v>26642</v>
      </c>
      <c r="C205" s="417">
        <v>27</v>
      </c>
    </row>
    <row r="206" spans="1:3" ht="15" customHeight="1">
      <c r="A206" s="452" t="s">
        <v>26641</v>
      </c>
      <c r="B206" s="576" t="s">
        <v>26640</v>
      </c>
      <c r="C206" s="417">
        <v>1113</v>
      </c>
    </row>
    <row r="207" spans="1:3" ht="15" customHeight="1">
      <c r="A207" s="409" t="s">
        <v>26639</v>
      </c>
      <c r="B207" s="419" t="s">
        <v>26638</v>
      </c>
      <c r="C207" s="417">
        <v>912</v>
      </c>
    </row>
    <row r="208" spans="1:3" ht="15" customHeight="1">
      <c r="A208" s="452" t="s">
        <v>26637</v>
      </c>
      <c r="B208" s="576" t="s">
        <v>26636</v>
      </c>
      <c r="C208" s="416">
        <v>743</v>
      </c>
    </row>
    <row r="209" spans="1:3" ht="15" customHeight="1">
      <c r="A209" s="453" t="s">
        <v>26635</v>
      </c>
      <c r="B209" s="419" t="s">
        <v>26634</v>
      </c>
      <c r="C209" s="416">
        <v>1260</v>
      </c>
    </row>
    <row r="210" spans="1:3" ht="15" customHeight="1">
      <c r="A210" s="420" t="s">
        <v>26633</v>
      </c>
      <c r="B210" s="419" t="s">
        <v>26632</v>
      </c>
      <c r="C210" s="417">
        <v>60</v>
      </c>
    </row>
    <row r="211" spans="1:3" ht="15" customHeight="1">
      <c r="A211" s="409" t="s">
        <v>26631</v>
      </c>
      <c r="B211" s="419" t="s">
        <v>26630</v>
      </c>
      <c r="C211" s="417">
        <v>69</v>
      </c>
    </row>
    <row r="212" spans="1:3" ht="15" customHeight="1">
      <c r="A212" s="420" t="s">
        <v>26629</v>
      </c>
      <c r="B212" s="564" t="s">
        <v>26628</v>
      </c>
      <c r="C212" s="417">
        <v>551</v>
      </c>
    </row>
    <row r="213" spans="1:3" ht="15" customHeight="1">
      <c r="A213" s="420" t="s">
        <v>26627</v>
      </c>
      <c r="B213" s="564" t="s">
        <v>26626</v>
      </c>
      <c r="C213" s="417">
        <v>585</v>
      </c>
    </row>
    <row r="214" spans="1:3" ht="15" customHeight="1">
      <c r="A214" s="420" t="s">
        <v>26625</v>
      </c>
      <c r="B214" s="564" t="s">
        <v>26624</v>
      </c>
      <c r="C214" s="417">
        <v>623</v>
      </c>
    </row>
    <row r="215" spans="1:3" ht="15" customHeight="1">
      <c r="A215" s="420" t="s">
        <v>26623</v>
      </c>
      <c r="B215" s="564" t="s">
        <v>26622</v>
      </c>
      <c r="C215" s="417">
        <v>719</v>
      </c>
    </row>
    <row r="216" spans="1:3" ht="15" customHeight="1">
      <c r="A216" s="420" t="s">
        <v>26621</v>
      </c>
      <c r="B216" s="564" t="s">
        <v>26620</v>
      </c>
      <c r="C216" s="417">
        <v>631</v>
      </c>
    </row>
    <row r="217" spans="1:3" ht="15" customHeight="1">
      <c r="A217" s="420" t="s">
        <v>26619</v>
      </c>
      <c r="B217" s="564" t="s">
        <v>26618</v>
      </c>
      <c r="C217" s="417">
        <v>573</v>
      </c>
    </row>
    <row r="218" spans="1:3" ht="15" customHeight="1">
      <c r="A218" s="420" t="s">
        <v>26617</v>
      </c>
      <c r="B218" s="491" t="s">
        <v>26616</v>
      </c>
      <c r="C218" s="417">
        <v>684</v>
      </c>
    </row>
    <row r="219" spans="1:3" ht="15" customHeight="1">
      <c r="A219" s="420" t="s">
        <v>26615</v>
      </c>
      <c r="B219" s="564" t="s">
        <v>26614</v>
      </c>
      <c r="C219" s="417">
        <v>885</v>
      </c>
    </row>
    <row r="220" spans="1:3" ht="15" customHeight="1">
      <c r="A220" s="420" t="s">
        <v>26613</v>
      </c>
      <c r="B220" s="564" t="s">
        <v>26612</v>
      </c>
      <c r="C220" s="417">
        <v>553</v>
      </c>
    </row>
    <row r="221" spans="1:3" ht="15" customHeight="1">
      <c r="A221" s="420" t="s">
        <v>26611</v>
      </c>
      <c r="B221" s="564" t="s">
        <v>26610</v>
      </c>
      <c r="C221" s="417">
        <v>627</v>
      </c>
    </row>
    <row r="222" spans="1:3" ht="15" customHeight="1">
      <c r="A222" s="453" t="s">
        <v>26609</v>
      </c>
      <c r="B222" s="419" t="s">
        <v>26608</v>
      </c>
      <c r="C222" s="417">
        <v>551</v>
      </c>
    </row>
    <row r="223" spans="1:3" ht="15" customHeight="1">
      <c r="A223" s="453" t="s">
        <v>26607</v>
      </c>
      <c r="B223" s="419" t="s">
        <v>26606</v>
      </c>
      <c r="C223" s="417">
        <v>561</v>
      </c>
    </row>
    <row r="224" spans="1:3" ht="15" customHeight="1">
      <c r="A224" s="453" t="s">
        <v>26605</v>
      </c>
      <c r="B224" s="419" t="s">
        <v>26604</v>
      </c>
      <c r="C224" s="417">
        <v>654</v>
      </c>
    </row>
    <row r="225" spans="1:3" ht="15" customHeight="1">
      <c r="A225" s="453" t="s">
        <v>26603</v>
      </c>
      <c r="B225" s="419" t="s">
        <v>26602</v>
      </c>
      <c r="C225" s="417">
        <v>551</v>
      </c>
    </row>
    <row r="226" spans="1:3" ht="15" customHeight="1">
      <c r="A226" s="420" t="s">
        <v>26601</v>
      </c>
      <c r="B226" s="564" t="s">
        <v>26600</v>
      </c>
      <c r="C226" s="417">
        <v>573</v>
      </c>
    </row>
    <row r="227" spans="1:3" ht="15" customHeight="1">
      <c r="A227" s="452" t="s">
        <v>26599</v>
      </c>
      <c r="B227" s="576" t="s">
        <v>26598</v>
      </c>
      <c r="C227" s="416">
        <v>79</v>
      </c>
    </row>
    <row r="228" spans="1:3" ht="15" customHeight="1">
      <c r="A228" s="420" t="s">
        <v>26597</v>
      </c>
      <c r="B228" s="564" t="s">
        <v>26596</v>
      </c>
      <c r="C228" s="416">
        <v>34</v>
      </c>
    </row>
    <row r="229" spans="1:3" ht="15" customHeight="1">
      <c r="A229" s="582" t="s">
        <v>26595</v>
      </c>
      <c r="B229" s="489" t="s">
        <v>26594</v>
      </c>
      <c r="C229" s="416">
        <v>34</v>
      </c>
    </row>
    <row r="230" spans="1:3" ht="15" customHeight="1">
      <c r="A230" s="582" t="s">
        <v>26593</v>
      </c>
      <c r="B230" s="489" t="s">
        <v>26592</v>
      </c>
      <c r="C230" s="416">
        <v>34</v>
      </c>
    </row>
    <row r="231" spans="1:3" ht="15" customHeight="1">
      <c r="A231" s="582" t="s">
        <v>26591</v>
      </c>
      <c r="B231" s="489" t="s">
        <v>26590</v>
      </c>
      <c r="C231" s="416">
        <v>34</v>
      </c>
    </row>
    <row r="232" spans="1:3" ht="15" customHeight="1">
      <c r="A232" s="582" t="s">
        <v>26589</v>
      </c>
      <c r="B232" s="489" t="s">
        <v>26588</v>
      </c>
      <c r="C232" s="416">
        <v>34</v>
      </c>
    </row>
    <row r="233" spans="1:3" ht="15" customHeight="1">
      <c r="A233" s="582" t="s">
        <v>26587</v>
      </c>
      <c r="B233" s="489" t="s">
        <v>26586</v>
      </c>
      <c r="C233" s="416">
        <v>34</v>
      </c>
    </row>
    <row r="234" spans="1:3" ht="15" customHeight="1">
      <c r="A234" s="582" t="s">
        <v>26585</v>
      </c>
      <c r="B234" s="489" t="s">
        <v>26584</v>
      </c>
      <c r="C234" s="416">
        <v>34</v>
      </c>
    </row>
    <row r="235" spans="1:3" ht="15" customHeight="1">
      <c r="A235" s="582" t="s">
        <v>26583</v>
      </c>
      <c r="B235" s="489" t="s">
        <v>26582</v>
      </c>
      <c r="C235" s="416">
        <v>34</v>
      </c>
    </row>
    <row r="236" spans="1:3" ht="15" customHeight="1">
      <c r="A236" s="420" t="s">
        <v>26581</v>
      </c>
      <c r="B236" s="489" t="s">
        <v>26580</v>
      </c>
      <c r="C236" s="416">
        <v>34</v>
      </c>
    </row>
    <row r="237" spans="1:3" ht="15" customHeight="1">
      <c r="A237" s="420" t="s">
        <v>26579</v>
      </c>
      <c r="B237" s="489" t="s">
        <v>26578</v>
      </c>
      <c r="C237" s="416">
        <v>34</v>
      </c>
    </row>
    <row r="238" spans="1:3" ht="15" customHeight="1">
      <c r="A238" s="420" t="s">
        <v>26577</v>
      </c>
      <c r="B238" s="489" t="s">
        <v>26576</v>
      </c>
      <c r="C238" s="416">
        <v>34</v>
      </c>
    </row>
    <row r="239" spans="1:3" ht="15" customHeight="1">
      <c r="A239" s="420" t="s">
        <v>26575</v>
      </c>
      <c r="B239" s="489" t="s">
        <v>26574</v>
      </c>
      <c r="C239" s="416">
        <v>34</v>
      </c>
    </row>
    <row r="240" spans="1:3" ht="15" customHeight="1">
      <c r="A240" s="420" t="s">
        <v>26573</v>
      </c>
      <c r="B240" s="489" t="s">
        <v>26572</v>
      </c>
      <c r="C240" s="416">
        <v>34</v>
      </c>
    </row>
    <row r="241" spans="1:3" ht="15" customHeight="1">
      <c r="A241" s="420" t="s">
        <v>26571</v>
      </c>
      <c r="B241" s="489" t="s">
        <v>26570</v>
      </c>
      <c r="C241" s="416">
        <v>34</v>
      </c>
    </row>
    <row r="242" spans="1:3" ht="15" customHeight="1">
      <c r="A242" s="420" t="s">
        <v>26569</v>
      </c>
      <c r="B242" s="489" t="s">
        <v>26568</v>
      </c>
      <c r="C242" s="416">
        <v>34</v>
      </c>
    </row>
    <row r="243" spans="1:3" ht="15" customHeight="1">
      <c r="A243" s="420" t="s">
        <v>26567</v>
      </c>
      <c r="B243" s="489" t="s">
        <v>26566</v>
      </c>
      <c r="C243" s="416">
        <v>34</v>
      </c>
    </row>
    <row r="244" spans="1:3" ht="15" customHeight="1">
      <c r="A244" s="420" t="s">
        <v>26565</v>
      </c>
      <c r="B244" s="489" t="s">
        <v>26564</v>
      </c>
      <c r="C244" s="416">
        <v>34</v>
      </c>
    </row>
    <row r="245" spans="1:3" ht="15" customHeight="1">
      <c r="A245" s="420" t="s">
        <v>26563</v>
      </c>
      <c r="B245" s="489" t="s">
        <v>26562</v>
      </c>
      <c r="C245" s="416">
        <v>34</v>
      </c>
    </row>
    <row r="246" spans="1:3" ht="15" customHeight="1">
      <c r="A246" s="420" t="s">
        <v>26561</v>
      </c>
      <c r="B246" s="489" t="s">
        <v>26560</v>
      </c>
      <c r="C246" s="416">
        <v>34</v>
      </c>
    </row>
    <row r="247" spans="1:3" ht="15" customHeight="1">
      <c r="A247" s="420" t="s">
        <v>26559</v>
      </c>
      <c r="B247" s="489" t="s">
        <v>26558</v>
      </c>
      <c r="C247" s="416">
        <v>34</v>
      </c>
    </row>
    <row r="248" spans="1:3" ht="15" customHeight="1">
      <c r="A248" s="420" t="s">
        <v>26557</v>
      </c>
      <c r="B248" s="419" t="s">
        <v>26556</v>
      </c>
      <c r="C248" s="416">
        <v>34</v>
      </c>
    </row>
    <row r="249" spans="1:3" ht="15" customHeight="1">
      <c r="A249" s="420" t="s">
        <v>26555</v>
      </c>
      <c r="B249" s="489" t="s">
        <v>26554</v>
      </c>
      <c r="C249" s="416">
        <v>34</v>
      </c>
    </row>
    <row r="250" spans="1:3" ht="15" customHeight="1">
      <c r="A250" s="420" t="s">
        <v>26553</v>
      </c>
      <c r="B250" s="489" t="s">
        <v>26552</v>
      </c>
      <c r="C250" s="416">
        <v>34</v>
      </c>
    </row>
    <row r="251" spans="1:3" ht="15" customHeight="1">
      <c r="A251" s="409" t="s">
        <v>26551</v>
      </c>
      <c r="B251" s="419" t="s">
        <v>26550</v>
      </c>
      <c r="C251" s="416">
        <v>34</v>
      </c>
    </row>
    <row r="252" spans="1:3" ht="15" customHeight="1">
      <c r="A252" s="420" t="s">
        <v>26549</v>
      </c>
      <c r="B252" s="489" t="s">
        <v>26548</v>
      </c>
      <c r="C252" s="416">
        <v>34</v>
      </c>
    </row>
    <row r="253" spans="1:3" ht="15" customHeight="1">
      <c r="A253" s="420" t="s">
        <v>26547</v>
      </c>
      <c r="B253" s="489" t="s">
        <v>26546</v>
      </c>
      <c r="C253" s="416">
        <v>34</v>
      </c>
    </row>
    <row r="254" spans="1:3" ht="15" customHeight="1">
      <c r="A254" s="420" t="s">
        <v>26545</v>
      </c>
      <c r="B254" s="489" t="s">
        <v>26544</v>
      </c>
      <c r="C254" s="416">
        <v>34</v>
      </c>
    </row>
    <row r="255" spans="1:3" ht="15" customHeight="1">
      <c r="A255" s="420" t="s">
        <v>26543</v>
      </c>
      <c r="B255" s="489" t="s">
        <v>26542</v>
      </c>
      <c r="C255" s="416">
        <v>34</v>
      </c>
    </row>
    <row r="256" spans="1:3" ht="15" customHeight="1">
      <c r="A256" s="420" t="s">
        <v>26541</v>
      </c>
      <c r="B256" s="489" t="s">
        <v>26540</v>
      </c>
      <c r="C256" s="416">
        <v>34</v>
      </c>
    </row>
    <row r="257" spans="1:3" ht="15" customHeight="1">
      <c r="A257" s="420" t="s">
        <v>26539</v>
      </c>
      <c r="B257" s="489" t="s">
        <v>26538</v>
      </c>
      <c r="C257" s="416">
        <v>34</v>
      </c>
    </row>
    <row r="258" spans="1:3" ht="15" customHeight="1">
      <c r="A258" s="420" t="s">
        <v>26537</v>
      </c>
      <c r="B258" s="489" t="s">
        <v>26536</v>
      </c>
      <c r="C258" s="416">
        <v>34</v>
      </c>
    </row>
    <row r="259" spans="1:3" ht="15" customHeight="1">
      <c r="A259" s="420" t="s">
        <v>26535</v>
      </c>
      <c r="B259" s="489" t="s">
        <v>26534</v>
      </c>
      <c r="C259" s="416">
        <v>34</v>
      </c>
    </row>
    <row r="260" spans="1:3" ht="15" customHeight="1">
      <c r="A260" s="420" t="s">
        <v>26533</v>
      </c>
      <c r="B260" s="489" t="s">
        <v>26532</v>
      </c>
      <c r="C260" s="416">
        <v>34</v>
      </c>
    </row>
    <row r="261" spans="1:3" ht="15" customHeight="1">
      <c r="A261" s="420" t="s">
        <v>26531</v>
      </c>
      <c r="B261" s="489" t="s">
        <v>26530</v>
      </c>
      <c r="C261" s="416">
        <v>34</v>
      </c>
    </row>
    <row r="262" spans="1:3" ht="15" customHeight="1">
      <c r="A262" s="420" t="s">
        <v>26529</v>
      </c>
      <c r="B262" s="489" t="s">
        <v>26527</v>
      </c>
      <c r="C262" s="416">
        <v>34</v>
      </c>
    </row>
    <row r="263" spans="1:3" ht="15" customHeight="1">
      <c r="A263" s="420" t="s">
        <v>26528</v>
      </c>
      <c r="B263" s="489" t="s">
        <v>26527</v>
      </c>
      <c r="C263" s="416">
        <v>34</v>
      </c>
    </row>
    <row r="264" spans="1:3" ht="15" customHeight="1">
      <c r="A264" s="420" t="s">
        <v>26526</v>
      </c>
      <c r="B264" s="489" t="s">
        <v>26525</v>
      </c>
      <c r="C264" s="416">
        <v>34</v>
      </c>
    </row>
    <row r="265" spans="1:3" ht="15" customHeight="1">
      <c r="A265" s="420" t="s">
        <v>26524</v>
      </c>
      <c r="B265" s="419" t="s">
        <v>26523</v>
      </c>
      <c r="C265" s="418">
        <v>34</v>
      </c>
    </row>
    <row r="266" spans="1:3" ht="15" customHeight="1">
      <c r="A266" s="420" t="s">
        <v>26522</v>
      </c>
      <c r="B266" s="489" t="s">
        <v>26521</v>
      </c>
      <c r="C266" s="416">
        <v>34</v>
      </c>
    </row>
    <row r="267" spans="1:3" ht="15" customHeight="1">
      <c r="A267" s="420" t="s">
        <v>26520</v>
      </c>
      <c r="B267" s="489" t="s">
        <v>26519</v>
      </c>
      <c r="C267" s="416">
        <v>34</v>
      </c>
    </row>
    <row r="268" spans="1:3" ht="15" customHeight="1">
      <c r="A268" s="420" t="s">
        <v>26518</v>
      </c>
      <c r="B268" s="489" t="s">
        <v>26517</v>
      </c>
      <c r="C268" s="416">
        <v>34</v>
      </c>
    </row>
    <row r="269" spans="1:3" ht="15" customHeight="1">
      <c r="A269" s="420" t="s">
        <v>26516</v>
      </c>
      <c r="B269" s="489" t="s">
        <v>26515</v>
      </c>
      <c r="C269" s="416">
        <v>34</v>
      </c>
    </row>
    <row r="270" spans="1:3" ht="15" customHeight="1">
      <c r="A270" s="420" t="s">
        <v>26514</v>
      </c>
      <c r="B270" s="489" t="s">
        <v>26513</v>
      </c>
      <c r="C270" s="416">
        <v>34</v>
      </c>
    </row>
    <row r="271" spans="1:3" ht="15" customHeight="1">
      <c r="A271" s="420" t="s">
        <v>26512</v>
      </c>
      <c r="B271" s="489" t="s">
        <v>26511</v>
      </c>
      <c r="C271" s="416">
        <v>34</v>
      </c>
    </row>
    <row r="272" spans="1:3" ht="15" customHeight="1">
      <c r="A272" s="420" t="s">
        <v>26510</v>
      </c>
      <c r="B272" s="489" t="s">
        <v>26509</v>
      </c>
      <c r="C272" s="416">
        <v>34</v>
      </c>
    </row>
    <row r="273" spans="1:3" ht="15" customHeight="1">
      <c r="A273" s="420" t="s">
        <v>26508</v>
      </c>
      <c r="B273" s="489" t="s">
        <v>26507</v>
      </c>
      <c r="C273" s="416">
        <v>34</v>
      </c>
    </row>
    <row r="274" spans="1:3" ht="15" customHeight="1">
      <c r="A274" s="420" t="s">
        <v>26506</v>
      </c>
      <c r="B274" s="489" t="s">
        <v>26505</v>
      </c>
      <c r="C274" s="416">
        <v>34</v>
      </c>
    </row>
    <row r="275" spans="1:3" ht="15" customHeight="1">
      <c r="A275" s="420" t="s">
        <v>26504</v>
      </c>
      <c r="B275" s="489" t="s">
        <v>26503</v>
      </c>
      <c r="C275" s="416">
        <v>34</v>
      </c>
    </row>
    <row r="276" spans="1:3" ht="15" customHeight="1">
      <c r="A276" s="420" t="s">
        <v>26502</v>
      </c>
      <c r="B276" s="489" t="s">
        <v>26501</v>
      </c>
      <c r="C276" s="416">
        <v>34</v>
      </c>
    </row>
    <row r="277" spans="1:3" ht="15" customHeight="1">
      <c r="A277" s="420" t="s">
        <v>26500</v>
      </c>
      <c r="B277" s="489" t="s">
        <v>26499</v>
      </c>
      <c r="C277" s="416">
        <v>34</v>
      </c>
    </row>
    <row r="278" spans="1:3" ht="15" customHeight="1">
      <c r="A278" s="420" t="s">
        <v>26498</v>
      </c>
      <c r="B278" s="489" t="s">
        <v>26497</v>
      </c>
      <c r="C278" s="416">
        <v>34</v>
      </c>
    </row>
    <row r="279" spans="1:3" ht="15" customHeight="1">
      <c r="A279" s="420" t="s">
        <v>26496</v>
      </c>
      <c r="B279" s="419" t="s">
        <v>26495</v>
      </c>
      <c r="C279" s="416">
        <v>34</v>
      </c>
    </row>
    <row r="280" spans="1:3" ht="15" customHeight="1">
      <c r="A280" s="420" t="s">
        <v>26494</v>
      </c>
      <c r="B280" s="489" t="s">
        <v>26493</v>
      </c>
      <c r="C280" s="416">
        <v>34</v>
      </c>
    </row>
    <row r="281" spans="1:3" ht="15" customHeight="1">
      <c r="A281" s="420" t="s">
        <v>26492</v>
      </c>
      <c r="B281" s="489" t="s">
        <v>26491</v>
      </c>
      <c r="C281" s="416">
        <v>34</v>
      </c>
    </row>
    <row r="282" spans="1:3" ht="15" customHeight="1">
      <c r="A282" s="420" t="s">
        <v>26490</v>
      </c>
      <c r="B282" s="489" t="s">
        <v>26489</v>
      </c>
      <c r="C282" s="416">
        <v>34</v>
      </c>
    </row>
    <row r="283" spans="1:3" ht="15" customHeight="1">
      <c r="A283" s="420" t="s">
        <v>26488</v>
      </c>
      <c r="B283" s="489" t="s">
        <v>26487</v>
      </c>
      <c r="C283" s="416">
        <v>34</v>
      </c>
    </row>
    <row r="284" spans="1:3" ht="15" customHeight="1">
      <c r="A284" s="420" t="s">
        <v>26486</v>
      </c>
      <c r="B284" s="489" t="s">
        <v>26485</v>
      </c>
      <c r="C284" s="416">
        <v>34</v>
      </c>
    </row>
    <row r="285" spans="1:3" ht="15" customHeight="1">
      <c r="A285" s="420" t="s">
        <v>26484</v>
      </c>
      <c r="B285" s="489" t="s">
        <v>26483</v>
      </c>
      <c r="C285" s="416">
        <v>34</v>
      </c>
    </row>
    <row r="286" spans="1:3" ht="15" customHeight="1">
      <c r="A286" s="420" t="s">
        <v>26482</v>
      </c>
      <c r="B286" s="489" t="s">
        <v>26481</v>
      </c>
      <c r="C286" s="416">
        <v>34</v>
      </c>
    </row>
    <row r="287" spans="1:3" ht="15" customHeight="1">
      <c r="A287" s="420" t="s">
        <v>26480</v>
      </c>
      <c r="B287" s="489" t="s">
        <v>26479</v>
      </c>
      <c r="C287" s="416">
        <v>34</v>
      </c>
    </row>
    <row r="288" spans="1:3" ht="15" customHeight="1">
      <c r="A288" s="420" t="s">
        <v>26478</v>
      </c>
      <c r="B288" s="489" t="s">
        <v>26477</v>
      </c>
      <c r="C288" s="416">
        <v>34</v>
      </c>
    </row>
    <row r="289" spans="1:3" ht="15" customHeight="1">
      <c r="A289" s="420" t="s">
        <v>26476</v>
      </c>
      <c r="B289" s="489" t="s">
        <v>26475</v>
      </c>
      <c r="C289" s="416">
        <v>34</v>
      </c>
    </row>
    <row r="290" spans="1:3" ht="15" customHeight="1">
      <c r="A290" s="420" t="s">
        <v>26474</v>
      </c>
      <c r="B290" s="489" t="s">
        <v>26473</v>
      </c>
      <c r="C290" s="416">
        <v>34</v>
      </c>
    </row>
    <row r="291" spans="1:3" ht="15" customHeight="1">
      <c r="A291" s="420" t="s">
        <v>26472</v>
      </c>
      <c r="B291" s="489" t="s">
        <v>26471</v>
      </c>
      <c r="C291" s="416">
        <v>34</v>
      </c>
    </row>
    <row r="292" spans="1:3" ht="15" customHeight="1">
      <c r="A292" s="420" t="s">
        <v>26470</v>
      </c>
      <c r="B292" s="489" t="s">
        <v>26469</v>
      </c>
      <c r="C292" s="416">
        <v>34</v>
      </c>
    </row>
    <row r="293" spans="1:3" ht="15" customHeight="1">
      <c r="A293" s="420" t="s">
        <v>26468</v>
      </c>
      <c r="B293" s="489" t="s">
        <v>26467</v>
      </c>
      <c r="C293" s="416">
        <v>34</v>
      </c>
    </row>
    <row r="294" spans="1:3" ht="15" customHeight="1">
      <c r="A294" s="420" t="s">
        <v>26466</v>
      </c>
      <c r="B294" s="489" t="s">
        <v>26465</v>
      </c>
      <c r="C294" s="416">
        <v>34</v>
      </c>
    </row>
    <row r="295" spans="1:3" ht="15" customHeight="1">
      <c r="A295" s="420" t="s">
        <v>26464</v>
      </c>
      <c r="B295" s="489" t="s">
        <v>26463</v>
      </c>
      <c r="C295" s="416">
        <v>34</v>
      </c>
    </row>
    <row r="296" spans="1:3" ht="15" customHeight="1">
      <c r="A296" s="420" t="s">
        <v>26462</v>
      </c>
      <c r="B296" s="489" t="s">
        <v>26461</v>
      </c>
      <c r="C296" s="416">
        <v>34</v>
      </c>
    </row>
    <row r="297" spans="1:3" ht="15" customHeight="1">
      <c r="A297" s="420" t="s">
        <v>26460</v>
      </c>
      <c r="B297" s="489" t="s">
        <v>26459</v>
      </c>
      <c r="C297" s="416">
        <v>34</v>
      </c>
    </row>
    <row r="298" spans="1:3" ht="15" customHeight="1">
      <c r="A298" s="420" t="s">
        <v>26458</v>
      </c>
      <c r="B298" s="489" t="s">
        <v>26457</v>
      </c>
      <c r="C298" s="416">
        <v>34</v>
      </c>
    </row>
    <row r="299" spans="1:3" ht="15" customHeight="1">
      <c r="A299" s="420" t="s">
        <v>26456</v>
      </c>
      <c r="B299" s="489" t="s">
        <v>26455</v>
      </c>
      <c r="C299" s="416">
        <v>34</v>
      </c>
    </row>
    <row r="300" spans="1:3" ht="15" customHeight="1">
      <c r="A300" s="420" t="s">
        <v>26454</v>
      </c>
      <c r="B300" s="489" t="s">
        <v>26453</v>
      </c>
      <c r="C300" s="416">
        <v>34</v>
      </c>
    </row>
    <row r="301" spans="1:3" ht="15" customHeight="1">
      <c r="A301" s="420" t="s">
        <v>26452</v>
      </c>
      <c r="B301" s="489" t="s">
        <v>26451</v>
      </c>
      <c r="C301" s="416">
        <v>34</v>
      </c>
    </row>
    <row r="302" spans="1:3" ht="15" customHeight="1">
      <c r="A302" s="420" t="s">
        <v>26450</v>
      </c>
      <c r="B302" s="489" t="s">
        <v>26449</v>
      </c>
      <c r="C302" s="416">
        <v>65</v>
      </c>
    </row>
    <row r="303" spans="1:3" ht="15" customHeight="1">
      <c r="A303" s="420" t="s">
        <v>26448</v>
      </c>
      <c r="B303" s="489" t="s">
        <v>26447</v>
      </c>
      <c r="C303" s="416">
        <v>34</v>
      </c>
    </row>
    <row r="304" spans="1:3" ht="15" customHeight="1">
      <c r="A304" s="420" t="s">
        <v>26446</v>
      </c>
      <c r="B304" s="489" t="s">
        <v>26445</v>
      </c>
      <c r="C304" s="416">
        <v>34</v>
      </c>
    </row>
    <row r="305" spans="1:3" ht="15" customHeight="1">
      <c r="A305" s="420" t="s">
        <v>26444</v>
      </c>
      <c r="B305" s="489" t="s">
        <v>26443</v>
      </c>
      <c r="C305" s="416">
        <v>34</v>
      </c>
    </row>
    <row r="306" spans="1:3" ht="15" customHeight="1">
      <c r="A306" s="420" t="s">
        <v>26442</v>
      </c>
      <c r="B306" s="489" t="s">
        <v>26441</v>
      </c>
      <c r="C306" s="416">
        <v>34</v>
      </c>
    </row>
    <row r="307" spans="1:3" ht="15" customHeight="1">
      <c r="A307" s="420" t="s">
        <v>26440</v>
      </c>
      <c r="B307" s="489" t="s">
        <v>26439</v>
      </c>
      <c r="C307" s="416">
        <v>34</v>
      </c>
    </row>
    <row r="308" spans="1:3" ht="15" customHeight="1">
      <c r="A308" s="420" t="s">
        <v>26438</v>
      </c>
      <c r="B308" s="489" t="s">
        <v>26437</v>
      </c>
      <c r="C308" s="416">
        <v>34</v>
      </c>
    </row>
    <row r="309" spans="1:3" ht="15" customHeight="1">
      <c r="A309" s="420" t="s">
        <v>26436</v>
      </c>
      <c r="B309" s="419" t="s">
        <v>26435</v>
      </c>
      <c r="C309" s="416">
        <v>34</v>
      </c>
    </row>
    <row r="310" spans="1:3" ht="15" customHeight="1">
      <c r="A310" s="420" t="s">
        <v>26434</v>
      </c>
      <c r="B310" s="489" t="s">
        <v>26433</v>
      </c>
      <c r="C310" s="416">
        <v>34</v>
      </c>
    </row>
    <row r="311" spans="1:3" ht="15" customHeight="1">
      <c r="A311" s="420" t="s">
        <v>26432</v>
      </c>
      <c r="B311" s="489" t="s">
        <v>26431</v>
      </c>
      <c r="C311" s="416">
        <v>34</v>
      </c>
    </row>
    <row r="312" spans="1:3" ht="15" customHeight="1">
      <c r="A312" s="420" t="s">
        <v>26430</v>
      </c>
      <c r="B312" s="489" t="s">
        <v>26429</v>
      </c>
      <c r="C312" s="416">
        <v>34</v>
      </c>
    </row>
    <row r="313" spans="1:3" ht="15" customHeight="1">
      <c r="A313" s="420" t="s">
        <v>26428</v>
      </c>
      <c r="B313" s="489" t="s">
        <v>26427</v>
      </c>
      <c r="C313" s="416">
        <v>34</v>
      </c>
    </row>
    <row r="314" spans="1:3" ht="15" customHeight="1">
      <c r="A314" s="420" t="s">
        <v>26426</v>
      </c>
      <c r="B314" s="489" t="s">
        <v>26425</v>
      </c>
      <c r="C314" s="416">
        <v>80</v>
      </c>
    </row>
    <row r="315" spans="1:3" ht="15" customHeight="1">
      <c r="A315" s="420" t="s">
        <v>26424</v>
      </c>
      <c r="B315" s="489" t="s">
        <v>26423</v>
      </c>
      <c r="C315" s="416">
        <v>34</v>
      </c>
    </row>
    <row r="316" spans="1:3" ht="15" customHeight="1">
      <c r="A316" s="420" t="s">
        <v>26422</v>
      </c>
      <c r="B316" s="489" t="s">
        <v>26421</v>
      </c>
      <c r="C316" s="416">
        <v>34</v>
      </c>
    </row>
    <row r="317" spans="1:3" ht="15" customHeight="1">
      <c r="A317" s="420" t="s">
        <v>26420</v>
      </c>
      <c r="B317" s="489" t="s">
        <v>26419</v>
      </c>
      <c r="C317" s="416">
        <v>34</v>
      </c>
    </row>
    <row r="318" spans="1:3" ht="15" customHeight="1">
      <c r="A318" s="420" t="s">
        <v>26418</v>
      </c>
      <c r="B318" s="489" t="s">
        <v>26417</v>
      </c>
      <c r="C318" s="416">
        <v>34</v>
      </c>
    </row>
    <row r="319" spans="1:3" ht="15" customHeight="1">
      <c r="A319" s="420" t="s">
        <v>26416</v>
      </c>
      <c r="B319" s="489" t="s">
        <v>26415</v>
      </c>
      <c r="C319" s="416">
        <v>34</v>
      </c>
    </row>
    <row r="320" spans="1:3" ht="15" customHeight="1">
      <c r="A320" s="420" t="s">
        <v>26414</v>
      </c>
      <c r="B320" s="489" t="s">
        <v>26413</v>
      </c>
      <c r="C320" s="416">
        <v>34</v>
      </c>
    </row>
    <row r="321" spans="1:3" ht="15" customHeight="1">
      <c r="A321" s="420" t="s">
        <v>26412</v>
      </c>
      <c r="B321" s="489" t="s">
        <v>26411</v>
      </c>
      <c r="C321" s="416">
        <v>34</v>
      </c>
    </row>
    <row r="322" spans="1:3" ht="15" customHeight="1">
      <c r="A322" s="575" t="s">
        <v>26410</v>
      </c>
      <c r="B322" s="419" t="s">
        <v>26409</v>
      </c>
      <c r="C322" s="416">
        <v>39</v>
      </c>
    </row>
    <row r="323" spans="1:3" ht="15" customHeight="1">
      <c r="A323" s="420" t="s">
        <v>26408</v>
      </c>
      <c r="B323" s="489" t="s">
        <v>26407</v>
      </c>
      <c r="C323" s="416">
        <v>39</v>
      </c>
    </row>
    <row r="324" spans="1:3" ht="15" customHeight="1">
      <c r="A324" s="420" t="s">
        <v>26406</v>
      </c>
      <c r="B324" s="489" t="s">
        <v>26405</v>
      </c>
      <c r="C324" s="416">
        <v>39</v>
      </c>
    </row>
    <row r="325" spans="1:3" ht="15" customHeight="1">
      <c r="A325" s="420" t="s">
        <v>26404</v>
      </c>
      <c r="B325" s="513" t="s">
        <v>26403</v>
      </c>
      <c r="C325" s="417">
        <v>39</v>
      </c>
    </row>
    <row r="326" spans="1:3" ht="15" customHeight="1">
      <c r="A326" s="420" t="s">
        <v>26402</v>
      </c>
      <c r="B326" s="513" t="s">
        <v>26401</v>
      </c>
      <c r="C326" s="417">
        <v>39</v>
      </c>
    </row>
    <row r="327" spans="1:3" ht="15" customHeight="1">
      <c r="A327" s="420" t="s">
        <v>26400</v>
      </c>
      <c r="B327" s="489" t="s">
        <v>26399</v>
      </c>
      <c r="C327" s="571">
        <v>39</v>
      </c>
    </row>
    <row r="328" spans="1:3" ht="15" customHeight="1">
      <c r="A328" s="420" t="s">
        <v>26398</v>
      </c>
      <c r="B328" s="489" t="s">
        <v>26397</v>
      </c>
      <c r="C328" s="416">
        <v>112</v>
      </c>
    </row>
    <row r="329" spans="1:3" ht="15" customHeight="1">
      <c r="A329" s="420" t="s">
        <v>26396</v>
      </c>
      <c r="B329" s="489" t="s">
        <v>26395</v>
      </c>
      <c r="C329" s="416">
        <v>39</v>
      </c>
    </row>
    <row r="330" spans="1:3" ht="15" customHeight="1">
      <c r="A330" s="452" t="s">
        <v>26394</v>
      </c>
      <c r="B330" s="576" t="s">
        <v>26393</v>
      </c>
      <c r="C330" s="416">
        <v>39</v>
      </c>
    </row>
    <row r="331" spans="1:3" ht="15" customHeight="1">
      <c r="A331" s="420" t="s">
        <v>26392</v>
      </c>
      <c r="B331" s="489" t="s">
        <v>26391</v>
      </c>
      <c r="C331" s="416">
        <v>39</v>
      </c>
    </row>
    <row r="332" spans="1:3" ht="15" customHeight="1">
      <c r="A332" s="420" t="s">
        <v>26390</v>
      </c>
      <c r="B332" s="489" t="s">
        <v>26389</v>
      </c>
      <c r="C332" s="416">
        <v>39</v>
      </c>
    </row>
    <row r="333" spans="1:3" ht="15" customHeight="1">
      <c r="A333" s="420" t="s">
        <v>26388</v>
      </c>
      <c r="B333" s="489" t="s">
        <v>26387</v>
      </c>
      <c r="C333" s="416">
        <v>39</v>
      </c>
    </row>
    <row r="334" spans="1:3" ht="15" customHeight="1">
      <c r="A334" s="420" t="s">
        <v>26386</v>
      </c>
      <c r="B334" s="489" t="s">
        <v>26385</v>
      </c>
      <c r="C334" s="416">
        <v>39</v>
      </c>
    </row>
    <row r="335" spans="1:3" ht="15" customHeight="1">
      <c r="A335" s="420" t="s">
        <v>26384</v>
      </c>
      <c r="B335" s="489" t="s">
        <v>26383</v>
      </c>
      <c r="C335" s="416">
        <v>39</v>
      </c>
    </row>
    <row r="336" spans="1:3" ht="15" customHeight="1">
      <c r="A336" s="420" t="s">
        <v>26382</v>
      </c>
      <c r="B336" s="489" t="s">
        <v>26381</v>
      </c>
      <c r="C336" s="416">
        <v>39</v>
      </c>
    </row>
    <row r="337" spans="1:3" ht="15" customHeight="1">
      <c r="A337" s="420" t="s">
        <v>26380</v>
      </c>
      <c r="B337" s="489" t="s">
        <v>26379</v>
      </c>
      <c r="C337" s="416">
        <v>39</v>
      </c>
    </row>
    <row r="338" spans="1:3" ht="15" customHeight="1">
      <c r="A338" s="420" t="s">
        <v>26378</v>
      </c>
      <c r="B338" s="489" t="s">
        <v>26377</v>
      </c>
      <c r="C338" s="416">
        <v>39</v>
      </c>
    </row>
    <row r="339" spans="1:3" ht="15" customHeight="1">
      <c r="A339" s="420" t="s">
        <v>26376</v>
      </c>
      <c r="B339" s="489" t="s">
        <v>26375</v>
      </c>
      <c r="C339" s="417">
        <v>39</v>
      </c>
    </row>
    <row r="340" spans="1:3" ht="15" customHeight="1">
      <c r="A340" s="420" t="s">
        <v>26374</v>
      </c>
      <c r="B340" s="489" t="s">
        <v>26373</v>
      </c>
      <c r="C340" s="417">
        <v>39</v>
      </c>
    </row>
    <row r="341" spans="1:3" ht="15" customHeight="1">
      <c r="A341" s="420" t="s">
        <v>26372</v>
      </c>
      <c r="B341" s="489" t="s">
        <v>26371</v>
      </c>
      <c r="C341" s="417">
        <v>39</v>
      </c>
    </row>
    <row r="342" spans="1:3" ht="15" customHeight="1">
      <c r="A342" s="420" t="s">
        <v>26370</v>
      </c>
      <c r="B342" s="489" t="s">
        <v>26369</v>
      </c>
      <c r="C342" s="416">
        <v>41</v>
      </c>
    </row>
    <row r="343" spans="1:3" ht="15" customHeight="1">
      <c r="A343" s="420" t="s">
        <v>26368</v>
      </c>
      <c r="B343" s="489" t="s">
        <v>26367</v>
      </c>
      <c r="C343" s="416">
        <v>39</v>
      </c>
    </row>
    <row r="344" spans="1:3" ht="15" customHeight="1">
      <c r="A344" s="420" t="s">
        <v>26366</v>
      </c>
      <c r="B344" s="489" t="s">
        <v>26365</v>
      </c>
      <c r="C344" s="416">
        <v>39</v>
      </c>
    </row>
    <row r="345" spans="1:3" ht="15" customHeight="1">
      <c r="A345" s="452" t="s">
        <v>26364</v>
      </c>
      <c r="B345" s="576" t="s">
        <v>26363</v>
      </c>
      <c r="C345" s="416">
        <v>39</v>
      </c>
    </row>
    <row r="346" spans="1:3" ht="15" customHeight="1">
      <c r="A346" s="420" t="s">
        <v>26362</v>
      </c>
      <c r="B346" s="489" t="s">
        <v>26361</v>
      </c>
      <c r="C346" s="416">
        <v>39</v>
      </c>
    </row>
    <row r="347" spans="1:3" ht="15" customHeight="1">
      <c r="A347" s="420" t="s">
        <v>26360</v>
      </c>
      <c r="B347" s="489" t="s">
        <v>26359</v>
      </c>
      <c r="C347" s="416">
        <v>39</v>
      </c>
    </row>
    <row r="348" spans="1:3" ht="15" customHeight="1">
      <c r="A348" s="420" t="s">
        <v>26358</v>
      </c>
      <c r="B348" s="489" t="s">
        <v>26357</v>
      </c>
      <c r="C348" s="416">
        <v>39</v>
      </c>
    </row>
    <row r="349" spans="1:3" ht="15" customHeight="1">
      <c r="A349" s="420" t="s">
        <v>26356</v>
      </c>
      <c r="B349" s="489" t="s">
        <v>26355</v>
      </c>
      <c r="C349" s="416">
        <v>39</v>
      </c>
    </row>
    <row r="350" spans="1:3" ht="15" customHeight="1">
      <c r="A350" s="420" t="s">
        <v>26354</v>
      </c>
      <c r="B350" s="489" t="s">
        <v>26353</v>
      </c>
      <c r="C350" s="416">
        <v>39</v>
      </c>
    </row>
    <row r="351" spans="1:3" ht="15" customHeight="1">
      <c r="A351" s="420" t="s">
        <v>26352</v>
      </c>
      <c r="B351" s="489" t="s">
        <v>26351</v>
      </c>
      <c r="C351" s="416">
        <v>39</v>
      </c>
    </row>
    <row r="352" spans="1:3" ht="15" customHeight="1">
      <c r="A352" s="420" t="s">
        <v>26350</v>
      </c>
      <c r="B352" s="489" t="s">
        <v>26349</v>
      </c>
      <c r="C352" s="416">
        <v>39</v>
      </c>
    </row>
    <row r="353" spans="1:3" ht="15" customHeight="1">
      <c r="A353" s="420" t="s">
        <v>26348</v>
      </c>
      <c r="B353" s="489" t="s">
        <v>26347</v>
      </c>
      <c r="C353" s="416">
        <v>39</v>
      </c>
    </row>
    <row r="354" spans="1:3" ht="15" customHeight="1">
      <c r="A354" s="420" t="s">
        <v>26346</v>
      </c>
      <c r="B354" s="489" t="s">
        <v>26345</v>
      </c>
      <c r="C354" s="416">
        <v>39</v>
      </c>
    </row>
    <row r="355" spans="1:3" ht="15" customHeight="1">
      <c r="A355" s="420" t="s">
        <v>26344</v>
      </c>
      <c r="B355" s="489" t="s">
        <v>26343</v>
      </c>
      <c r="C355" s="416">
        <v>39</v>
      </c>
    </row>
    <row r="356" spans="1:3" ht="15" customHeight="1">
      <c r="A356" s="420" t="s">
        <v>26342</v>
      </c>
      <c r="B356" s="489" t="s">
        <v>26341</v>
      </c>
      <c r="C356" s="416">
        <v>39</v>
      </c>
    </row>
    <row r="357" spans="1:3" ht="15" customHeight="1">
      <c r="A357" s="420" t="s">
        <v>26340</v>
      </c>
      <c r="B357" s="489" t="s">
        <v>26339</v>
      </c>
      <c r="C357" s="416">
        <v>39</v>
      </c>
    </row>
    <row r="358" spans="1:3" ht="15" customHeight="1">
      <c r="A358" s="420" t="s">
        <v>26338</v>
      </c>
      <c r="B358" s="419" t="s">
        <v>26337</v>
      </c>
      <c r="C358" s="417">
        <v>50</v>
      </c>
    </row>
    <row r="359" spans="1:3" ht="15" customHeight="1">
      <c r="A359" s="420" t="s">
        <v>26336</v>
      </c>
      <c r="B359" s="489" t="s">
        <v>26335</v>
      </c>
      <c r="C359" s="416">
        <v>39</v>
      </c>
    </row>
    <row r="360" spans="1:3" ht="15" customHeight="1">
      <c r="A360" s="420" t="s">
        <v>26334</v>
      </c>
      <c r="B360" s="489" t="s">
        <v>26333</v>
      </c>
      <c r="C360" s="416">
        <v>39</v>
      </c>
    </row>
    <row r="361" spans="1:3" ht="15" customHeight="1">
      <c r="A361" s="420" t="s">
        <v>26332</v>
      </c>
      <c r="B361" s="489" t="s">
        <v>26331</v>
      </c>
      <c r="C361" s="416">
        <v>39</v>
      </c>
    </row>
    <row r="362" spans="1:3" ht="15" customHeight="1">
      <c r="A362" s="409" t="s">
        <v>26330</v>
      </c>
      <c r="B362" s="581" t="s">
        <v>26329</v>
      </c>
      <c r="C362" s="416">
        <v>50</v>
      </c>
    </row>
    <row r="363" spans="1:3" ht="15" customHeight="1">
      <c r="A363" s="409" t="s">
        <v>26328</v>
      </c>
      <c r="B363" s="581" t="s">
        <v>26327</v>
      </c>
      <c r="C363" s="416">
        <v>50</v>
      </c>
    </row>
    <row r="364" spans="1:3" ht="15" customHeight="1">
      <c r="A364" s="409" t="s">
        <v>26326</v>
      </c>
      <c r="B364" s="581" t="s">
        <v>26325</v>
      </c>
      <c r="C364" s="416">
        <v>39</v>
      </c>
    </row>
    <row r="365" spans="1:3" ht="15" customHeight="1">
      <c r="A365" s="420" t="s">
        <v>26324</v>
      </c>
      <c r="B365" s="489" t="s">
        <v>26323</v>
      </c>
      <c r="C365" s="416">
        <v>50</v>
      </c>
    </row>
    <row r="366" spans="1:3" ht="15" customHeight="1">
      <c r="A366" s="420" t="s">
        <v>26322</v>
      </c>
      <c r="B366" s="489" t="s">
        <v>26321</v>
      </c>
      <c r="C366" s="416">
        <v>50</v>
      </c>
    </row>
    <row r="367" spans="1:3" ht="15" customHeight="1">
      <c r="A367" s="420" t="s">
        <v>26320</v>
      </c>
      <c r="B367" s="489" t="s">
        <v>26319</v>
      </c>
      <c r="C367" s="416">
        <v>39</v>
      </c>
    </row>
    <row r="368" spans="1:3" s="524" customFormat="1" ht="15" customHeight="1">
      <c r="A368" s="420" t="s">
        <v>26318</v>
      </c>
      <c r="B368" s="419" t="s">
        <v>26317</v>
      </c>
      <c r="C368" s="418">
        <v>37</v>
      </c>
    </row>
    <row r="369" spans="1:3" s="524" customFormat="1" ht="15" customHeight="1">
      <c r="A369" s="420" t="s">
        <v>26316</v>
      </c>
      <c r="B369" s="489" t="s">
        <v>26315</v>
      </c>
      <c r="C369" s="416">
        <v>39</v>
      </c>
    </row>
    <row r="370" spans="1:3" s="524" customFormat="1" ht="15" customHeight="1">
      <c r="A370" s="420" t="s">
        <v>26314</v>
      </c>
      <c r="B370" s="489" t="s">
        <v>26313</v>
      </c>
      <c r="C370" s="416">
        <v>79</v>
      </c>
    </row>
    <row r="371" spans="1:3" s="524" customFormat="1" ht="15" customHeight="1">
      <c r="A371" s="420" t="s">
        <v>26312</v>
      </c>
      <c r="B371" s="489" t="s">
        <v>26311</v>
      </c>
      <c r="C371" s="416">
        <v>21</v>
      </c>
    </row>
    <row r="372" spans="1:3" s="524" customFormat="1" ht="15" customHeight="1">
      <c r="A372" s="420" t="s">
        <v>26310</v>
      </c>
      <c r="B372" s="489" t="s">
        <v>26309</v>
      </c>
      <c r="C372" s="416">
        <v>21</v>
      </c>
    </row>
    <row r="373" spans="1:3" s="524" customFormat="1" ht="15" customHeight="1">
      <c r="A373" s="420" t="s">
        <v>26308</v>
      </c>
      <c r="B373" s="489" t="s">
        <v>26307</v>
      </c>
      <c r="C373" s="571">
        <v>21</v>
      </c>
    </row>
    <row r="374" spans="1:3" s="524" customFormat="1" ht="15" customHeight="1">
      <c r="A374" s="420" t="s">
        <v>26306</v>
      </c>
      <c r="B374" s="489" t="s">
        <v>26305</v>
      </c>
      <c r="C374" s="416">
        <v>21</v>
      </c>
    </row>
    <row r="375" spans="1:3" s="524" customFormat="1" ht="15" customHeight="1">
      <c r="A375" s="420" t="s">
        <v>26304</v>
      </c>
      <c r="B375" s="489" t="s">
        <v>26303</v>
      </c>
      <c r="C375" s="416">
        <v>21</v>
      </c>
    </row>
    <row r="376" spans="1:3" ht="15" customHeight="1">
      <c r="A376" s="420" t="s">
        <v>26302</v>
      </c>
      <c r="B376" s="489" t="s">
        <v>26301</v>
      </c>
      <c r="C376" s="416">
        <v>21</v>
      </c>
    </row>
    <row r="377" spans="1:3" s="524" customFormat="1" ht="15" customHeight="1">
      <c r="A377" s="453" t="s">
        <v>26300</v>
      </c>
      <c r="B377" s="510" t="s">
        <v>26299</v>
      </c>
      <c r="C377" s="416">
        <v>37</v>
      </c>
    </row>
    <row r="378" spans="1:3" ht="15" customHeight="1">
      <c r="A378" s="453" t="s">
        <v>26298</v>
      </c>
      <c r="B378" s="510" t="s">
        <v>26297</v>
      </c>
      <c r="C378" s="416">
        <v>37</v>
      </c>
    </row>
    <row r="379" spans="1:3" ht="15" customHeight="1">
      <c r="A379" s="420" t="s">
        <v>26296</v>
      </c>
      <c r="B379" s="419" t="s">
        <v>26295</v>
      </c>
      <c r="C379" s="416">
        <v>37</v>
      </c>
    </row>
    <row r="380" spans="1:3" ht="15" customHeight="1">
      <c r="A380" s="453" t="s">
        <v>26294</v>
      </c>
      <c r="B380" s="510" t="s">
        <v>26293</v>
      </c>
      <c r="C380" s="416">
        <v>37</v>
      </c>
    </row>
    <row r="381" spans="1:3" ht="15" customHeight="1">
      <c r="A381" s="453" t="s">
        <v>26292</v>
      </c>
      <c r="B381" s="510" t="s">
        <v>26291</v>
      </c>
      <c r="C381" s="416">
        <v>37</v>
      </c>
    </row>
    <row r="382" spans="1:3" ht="15" customHeight="1">
      <c r="A382" s="453" t="s">
        <v>26290</v>
      </c>
      <c r="B382" s="510" t="s">
        <v>26289</v>
      </c>
      <c r="C382" s="416">
        <v>37</v>
      </c>
    </row>
    <row r="383" spans="1:3" ht="15" customHeight="1">
      <c r="A383" s="453" t="s">
        <v>26288</v>
      </c>
      <c r="B383" s="510" t="s">
        <v>26287</v>
      </c>
      <c r="C383" s="416">
        <v>37</v>
      </c>
    </row>
    <row r="384" spans="1:3" ht="15" customHeight="1">
      <c r="A384" s="453" t="s">
        <v>26286</v>
      </c>
      <c r="B384" s="510" t="s">
        <v>26285</v>
      </c>
      <c r="C384" s="416">
        <v>37</v>
      </c>
    </row>
    <row r="385" spans="1:3" ht="15" customHeight="1">
      <c r="A385" s="472" t="s">
        <v>26284</v>
      </c>
      <c r="B385" s="419" t="s">
        <v>26282</v>
      </c>
      <c r="C385" s="416">
        <v>34</v>
      </c>
    </row>
    <row r="386" spans="1:3" ht="15" customHeight="1">
      <c r="A386" s="472" t="s">
        <v>26283</v>
      </c>
      <c r="B386" s="419" t="s">
        <v>26282</v>
      </c>
      <c r="C386" s="416">
        <v>34</v>
      </c>
    </row>
    <row r="387" spans="1:3" ht="15" customHeight="1">
      <c r="A387" s="472" t="s">
        <v>26281</v>
      </c>
      <c r="B387" s="513" t="s">
        <v>26280</v>
      </c>
      <c r="C387" s="416">
        <v>34</v>
      </c>
    </row>
    <row r="388" spans="1:3" ht="15" customHeight="1">
      <c r="A388" s="472" t="s">
        <v>26279</v>
      </c>
      <c r="B388" s="419" t="s">
        <v>26278</v>
      </c>
      <c r="C388" s="416">
        <v>34</v>
      </c>
    </row>
    <row r="389" spans="1:3" ht="15" customHeight="1">
      <c r="A389" s="472" t="s">
        <v>26277</v>
      </c>
      <c r="B389" s="419" t="s">
        <v>26276</v>
      </c>
      <c r="C389" s="417">
        <v>50</v>
      </c>
    </row>
    <row r="390" spans="1:3" ht="15" customHeight="1">
      <c r="A390" s="472" t="s">
        <v>26275</v>
      </c>
      <c r="B390" s="419" t="s">
        <v>26274</v>
      </c>
      <c r="C390" s="416">
        <v>34</v>
      </c>
    </row>
    <row r="391" spans="1:3" ht="15" customHeight="1">
      <c r="A391" s="472" t="s">
        <v>26273</v>
      </c>
      <c r="B391" s="419" t="s">
        <v>26272</v>
      </c>
      <c r="C391" s="416">
        <v>11</v>
      </c>
    </row>
    <row r="392" spans="1:3" ht="15" customHeight="1">
      <c r="A392" s="409" t="s">
        <v>26271</v>
      </c>
      <c r="B392" s="419" t="s">
        <v>26270</v>
      </c>
      <c r="C392" s="417">
        <v>83</v>
      </c>
    </row>
    <row r="393" spans="1:3" ht="15" customHeight="1">
      <c r="A393" s="487" t="s">
        <v>26269</v>
      </c>
      <c r="B393" s="419" t="s">
        <v>26268</v>
      </c>
      <c r="C393" s="417">
        <v>303</v>
      </c>
    </row>
    <row r="394" spans="1:3" ht="15" customHeight="1">
      <c r="A394" s="409" t="s">
        <v>26267</v>
      </c>
      <c r="B394" s="419" t="s">
        <v>26266</v>
      </c>
      <c r="C394" s="416">
        <v>94</v>
      </c>
    </row>
    <row r="395" spans="1:3" ht="15" customHeight="1">
      <c r="A395" s="580" t="s">
        <v>26265</v>
      </c>
      <c r="B395" s="489" t="s">
        <v>26264</v>
      </c>
      <c r="C395" s="417">
        <v>149</v>
      </c>
    </row>
    <row r="396" spans="1:3" ht="15" customHeight="1">
      <c r="A396" s="420" t="s">
        <v>26263</v>
      </c>
      <c r="B396" s="419" t="s">
        <v>26262</v>
      </c>
      <c r="C396" s="417">
        <v>196</v>
      </c>
    </row>
    <row r="397" spans="1:3" ht="15" customHeight="1">
      <c r="A397" s="420" t="s">
        <v>26261</v>
      </c>
      <c r="B397" s="419" t="s">
        <v>26260</v>
      </c>
      <c r="C397" s="417">
        <v>140</v>
      </c>
    </row>
    <row r="398" spans="1:3" ht="15" customHeight="1">
      <c r="A398" s="420" t="s">
        <v>26259</v>
      </c>
      <c r="B398" s="419" t="s">
        <v>26258</v>
      </c>
      <c r="C398" s="417">
        <v>134</v>
      </c>
    </row>
    <row r="399" spans="1:3" ht="15" customHeight="1">
      <c r="A399" s="409" t="s">
        <v>26257</v>
      </c>
      <c r="B399" s="419" t="s">
        <v>26256</v>
      </c>
      <c r="C399" s="416">
        <v>14</v>
      </c>
    </row>
    <row r="400" spans="1:3" ht="15" customHeight="1">
      <c r="A400" s="409" t="s">
        <v>26255</v>
      </c>
      <c r="B400" s="419" t="s">
        <v>26254</v>
      </c>
      <c r="C400" s="416">
        <v>14</v>
      </c>
    </row>
    <row r="401" spans="1:3" ht="15" customHeight="1">
      <c r="A401" s="409" t="s">
        <v>26253</v>
      </c>
      <c r="B401" s="419" t="s">
        <v>26252</v>
      </c>
      <c r="C401" s="416">
        <v>23</v>
      </c>
    </row>
    <row r="402" spans="1:3" ht="15" customHeight="1">
      <c r="A402" s="409" t="s">
        <v>26251</v>
      </c>
      <c r="B402" s="419" t="s">
        <v>26250</v>
      </c>
      <c r="C402" s="416">
        <v>14</v>
      </c>
    </row>
    <row r="403" spans="1:3" ht="15" customHeight="1">
      <c r="A403" s="409" t="s">
        <v>26249</v>
      </c>
      <c r="B403" s="419" t="s">
        <v>26248</v>
      </c>
      <c r="C403" s="416">
        <v>14</v>
      </c>
    </row>
    <row r="404" spans="1:3" ht="15" customHeight="1">
      <c r="A404" s="409" t="s">
        <v>26247</v>
      </c>
      <c r="B404" s="419" t="s">
        <v>26246</v>
      </c>
      <c r="C404" s="416">
        <v>14</v>
      </c>
    </row>
    <row r="405" spans="1:3" ht="15" customHeight="1">
      <c r="A405" s="409" t="s">
        <v>26245</v>
      </c>
      <c r="B405" s="419" t="s">
        <v>26244</v>
      </c>
      <c r="C405" s="416">
        <v>16</v>
      </c>
    </row>
    <row r="406" spans="1:3" ht="15" customHeight="1">
      <c r="A406" s="409" t="s">
        <v>26243</v>
      </c>
      <c r="B406" s="419" t="s">
        <v>26242</v>
      </c>
      <c r="C406" s="416">
        <v>16</v>
      </c>
    </row>
    <row r="407" spans="1:3" ht="15" customHeight="1">
      <c r="A407" s="409" t="s">
        <v>26241</v>
      </c>
      <c r="B407" s="419" t="s">
        <v>26240</v>
      </c>
      <c r="C407" s="416">
        <v>16</v>
      </c>
    </row>
    <row r="408" spans="1:3" ht="15" customHeight="1">
      <c r="A408" s="409" t="s">
        <v>26239</v>
      </c>
      <c r="B408" s="419" t="s">
        <v>26238</v>
      </c>
      <c r="C408" s="416">
        <v>16</v>
      </c>
    </row>
    <row r="409" spans="1:3" ht="15" customHeight="1">
      <c r="A409" s="409" t="s">
        <v>26237</v>
      </c>
      <c r="B409" s="419" t="s">
        <v>26236</v>
      </c>
      <c r="C409" s="416">
        <v>16</v>
      </c>
    </row>
    <row r="410" spans="1:3" ht="15" customHeight="1">
      <c r="A410" s="409" t="s">
        <v>26235</v>
      </c>
      <c r="B410" s="419" t="s">
        <v>26234</v>
      </c>
      <c r="C410" s="416">
        <v>19</v>
      </c>
    </row>
    <row r="411" spans="1:3" ht="15" customHeight="1">
      <c r="A411" s="420" t="s">
        <v>26233</v>
      </c>
      <c r="B411" s="489" t="s">
        <v>26232</v>
      </c>
      <c r="C411" s="416">
        <v>8</v>
      </c>
    </row>
    <row r="412" spans="1:3" ht="15" customHeight="1">
      <c r="A412" s="420" t="s">
        <v>26231</v>
      </c>
      <c r="B412" s="489" t="s">
        <v>26230</v>
      </c>
      <c r="C412" s="416">
        <v>8</v>
      </c>
    </row>
    <row r="413" spans="1:3" ht="15" customHeight="1">
      <c r="A413" s="409" t="s">
        <v>26229</v>
      </c>
      <c r="B413" s="489" t="s">
        <v>26228</v>
      </c>
      <c r="C413" s="416">
        <v>15</v>
      </c>
    </row>
    <row r="414" spans="1:3" ht="15" customHeight="1">
      <c r="A414" s="409" t="s">
        <v>26227</v>
      </c>
      <c r="B414" s="489" t="s">
        <v>26226</v>
      </c>
      <c r="C414" s="416">
        <v>16</v>
      </c>
    </row>
    <row r="415" spans="1:3" s="524" customFormat="1" ht="15" customHeight="1">
      <c r="A415" s="420" t="s">
        <v>26225</v>
      </c>
      <c r="B415" s="489" t="s">
        <v>26224</v>
      </c>
      <c r="C415" s="416">
        <v>9</v>
      </c>
    </row>
    <row r="416" spans="1:3" ht="15" customHeight="1">
      <c r="A416" s="420" t="s">
        <v>26223</v>
      </c>
      <c r="B416" s="489" t="s">
        <v>26222</v>
      </c>
      <c r="C416" s="416">
        <v>9</v>
      </c>
    </row>
    <row r="417" spans="1:3" ht="15" customHeight="1">
      <c r="A417" s="420" t="s">
        <v>26221</v>
      </c>
      <c r="B417" s="489" t="s">
        <v>26220</v>
      </c>
      <c r="C417" s="416">
        <v>9</v>
      </c>
    </row>
    <row r="418" spans="1:3" ht="15" customHeight="1">
      <c r="A418" s="420" t="s">
        <v>26219</v>
      </c>
      <c r="B418" s="489" t="s">
        <v>26218</v>
      </c>
      <c r="C418" s="416">
        <v>9</v>
      </c>
    </row>
    <row r="419" spans="1:3" ht="15" customHeight="1">
      <c r="A419" s="420" t="s">
        <v>26217</v>
      </c>
      <c r="B419" s="489" t="s">
        <v>26216</v>
      </c>
      <c r="C419" s="416">
        <v>9</v>
      </c>
    </row>
    <row r="420" spans="1:3" ht="15" customHeight="1">
      <c r="A420" s="420" t="s">
        <v>26215</v>
      </c>
      <c r="B420" s="489" t="s">
        <v>26214</v>
      </c>
      <c r="C420" s="416">
        <v>10</v>
      </c>
    </row>
    <row r="421" spans="1:3" ht="15" customHeight="1">
      <c r="A421" s="420" t="s">
        <v>26213</v>
      </c>
      <c r="B421" s="489" t="s">
        <v>26212</v>
      </c>
      <c r="C421" s="416">
        <v>10</v>
      </c>
    </row>
    <row r="422" spans="1:3" ht="15" customHeight="1">
      <c r="A422" s="409" t="s">
        <v>26211</v>
      </c>
      <c r="B422" s="489" t="s">
        <v>26210</v>
      </c>
      <c r="C422" s="416">
        <v>12</v>
      </c>
    </row>
    <row r="423" spans="1:3" ht="15" customHeight="1">
      <c r="A423" s="409" t="s">
        <v>26209</v>
      </c>
      <c r="B423" s="489" t="s">
        <v>26208</v>
      </c>
      <c r="C423" s="416">
        <v>13</v>
      </c>
    </row>
    <row r="424" spans="1:3" ht="15" customHeight="1">
      <c r="A424" s="409" t="s">
        <v>26207</v>
      </c>
      <c r="B424" s="419" t="s">
        <v>26206</v>
      </c>
      <c r="C424" s="416">
        <v>111</v>
      </c>
    </row>
    <row r="425" spans="1:3" ht="15" customHeight="1">
      <c r="A425" s="409" t="s">
        <v>26205</v>
      </c>
      <c r="B425" s="419" t="s">
        <v>26204</v>
      </c>
      <c r="C425" s="416">
        <v>10027</v>
      </c>
    </row>
    <row r="426" spans="1:3" ht="15" customHeight="1">
      <c r="A426" s="420" t="s">
        <v>26203</v>
      </c>
      <c r="B426" s="430" t="s">
        <v>26202</v>
      </c>
      <c r="C426" s="416">
        <v>437</v>
      </c>
    </row>
    <row r="427" spans="1:3" ht="15" customHeight="1">
      <c r="A427" s="420" t="s">
        <v>26201</v>
      </c>
      <c r="B427" s="430" t="s">
        <v>26200</v>
      </c>
      <c r="C427" s="416">
        <v>250</v>
      </c>
    </row>
    <row r="428" spans="1:3" ht="15" customHeight="1">
      <c r="A428" s="420" t="s">
        <v>26199</v>
      </c>
      <c r="B428" s="430" t="s">
        <v>26198</v>
      </c>
      <c r="C428" s="416">
        <v>233</v>
      </c>
    </row>
    <row r="429" spans="1:3" ht="15" customHeight="1">
      <c r="A429" s="420" t="s">
        <v>26197</v>
      </c>
      <c r="B429" s="430" t="s">
        <v>26196</v>
      </c>
      <c r="C429" s="416">
        <v>281</v>
      </c>
    </row>
    <row r="430" spans="1:3" ht="15" customHeight="1">
      <c r="A430" s="420" t="s">
        <v>26195</v>
      </c>
      <c r="B430" s="430" t="s">
        <v>26194</v>
      </c>
      <c r="C430" s="416">
        <v>146</v>
      </c>
    </row>
    <row r="431" spans="1:3" ht="15" customHeight="1">
      <c r="A431" s="420" t="s">
        <v>26193</v>
      </c>
      <c r="B431" s="430" t="s">
        <v>26192</v>
      </c>
      <c r="C431" s="416">
        <v>208</v>
      </c>
    </row>
    <row r="432" spans="1:3" ht="15" customHeight="1">
      <c r="A432" s="420" t="s">
        <v>26191</v>
      </c>
      <c r="B432" s="430" t="s">
        <v>26190</v>
      </c>
      <c r="C432" s="416">
        <v>224</v>
      </c>
    </row>
    <row r="433" spans="1:3" ht="15" customHeight="1">
      <c r="A433" s="409" t="s">
        <v>26189</v>
      </c>
      <c r="B433" s="430" t="s">
        <v>26188</v>
      </c>
      <c r="C433" s="416">
        <v>255</v>
      </c>
    </row>
    <row r="434" spans="1:3" ht="15" customHeight="1">
      <c r="A434" s="409" t="s">
        <v>26187</v>
      </c>
      <c r="B434" s="430" t="s">
        <v>26186</v>
      </c>
      <c r="C434" s="416">
        <v>304</v>
      </c>
    </row>
    <row r="435" spans="1:3" ht="15" customHeight="1">
      <c r="A435" s="409" t="s">
        <v>26185</v>
      </c>
      <c r="B435" s="430" t="s">
        <v>26184</v>
      </c>
      <c r="C435" s="416">
        <v>359</v>
      </c>
    </row>
    <row r="436" spans="1:3" ht="15" customHeight="1">
      <c r="A436" s="409" t="s">
        <v>26183</v>
      </c>
      <c r="B436" s="430" t="s">
        <v>26160</v>
      </c>
      <c r="C436" s="416">
        <v>237</v>
      </c>
    </row>
    <row r="437" spans="1:3" ht="15" customHeight="1">
      <c r="A437" s="409" t="s">
        <v>26182</v>
      </c>
      <c r="B437" s="419" t="s">
        <v>26181</v>
      </c>
      <c r="C437" s="417">
        <v>252</v>
      </c>
    </row>
    <row r="438" spans="1:3" ht="15" customHeight="1">
      <c r="A438" s="409" t="s">
        <v>26180</v>
      </c>
      <c r="B438" s="419" t="s">
        <v>26179</v>
      </c>
      <c r="C438" s="417">
        <v>253</v>
      </c>
    </row>
    <row r="439" spans="1:3" ht="15" customHeight="1">
      <c r="A439" s="409" t="s">
        <v>26178</v>
      </c>
      <c r="B439" s="419" t="s">
        <v>26177</v>
      </c>
      <c r="C439" s="417">
        <v>206</v>
      </c>
    </row>
    <row r="440" spans="1:3" ht="15" customHeight="1">
      <c r="A440" s="409" t="s">
        <v>26176</v>
      </c>
      <c r="B440" s="419" t="s">
        <v>26175</v>
      </c>
      <c r="C440" s="417">
        <v>232</v>
      </c>
    </row>
    <row r="441" spans="1:3" ht="15" customHeight="1">
      <c r="A441" s="420" t="s">
        <v>26174</v>
      </c>
      <c r="B441" s="419" t="s">
        <v>26173</v>
      </c>
      <c r="C441" s="417">
        <v>268</v>
      </c>
    </row>
    <row r="442" spans="1:3" ht="15" customHeight="1">
      <c r="A442" s="409" t="s">
        <v>26172</v>
      </c>
      <c r="B442" s="430" t="s">
        <v>26171</v>
      </c>
      <c r="C442" s="416">
        <v>232</v>
      </c>
    </row>
    <row r="443" spans="1:3" ht="15" customHeight="1">
      <c r="A443" s="409" t="s">
        <v>26170</v>
      </c>
      <c r="B443" s="430" t="s">
        <v>26156</v>
      </c>
      <c r="C443" s="416">
        <v>251</v>
      </c>
    </row>
    <row r="444" spans="1:3" ht="15" customHeight="1">
      <c r="A444" s="409" t="s">
        <v>26169</v>
      </c>
      <c r="B444" s="430" t="s">
        <v>26168</v>
      </c>
      <c r="C444" s="416">
        <v>110</v>
      </c>
    </row>
    <row r="445" spans="1:3" ht="15" customHeight="1">
      <c r="A445" s="409" t="s">
        <v>26167</v>
      </c>
      <c r="B445" s="419" t="s">
        <v>26166</v>
      </c>
      <c r="C445" s="417">
        <v>237</v>
      </c>
    </row>
    <row r="446" spans="1:3" ht="15" customHeight="1">
      <c r="A446" s="409" t="s">
        <v>26165</v>
      </c>
      <c r="B446" s="430" t="s">
        <v>26164</v>
      </c>
      <c r="C446" s="416">
        <v>100</v>
      </c>
    </row>
    <row r="447" spans="1:3" ht="15" customHeight="1">
      <c r="A447" s="409" t="s">
        <v>26163</v>
      </c>
      <c r="B447" s="430" t="s">
        <v>26162</v>
      </c>
      <c r="C447" s="416">
        <v>102</v>
      </c>
    </row>
    <row r="448" spans="1:3" ht="15" customHeight="1">
      <c r="A448" s="409" t="s">
        <v>26161</v>
      </c>
      <c r="B448" s="430" t="s">
        <v>26160</v>
      </c>
      <c r="C448" s="416">
        <v>201</v>
      </c>
    </row>
    <row r="449" spans="1:3" ht="15" customHeight="1">
      <c r="A449" s="409" t="s">
        <v>26159</v>
      </c>
      <c r="B449" s="430" t="s">
        <v>26158</v>
      </c>
      <c r="C449" s="416">
        <v>480</v>
      </c>
    </row>
    <row r="450" spans="1:3" ht="15" customHeight="1">
      <c r="A450" s="409" t="s">
        <v>26157</v>
      </c>
      <c r="B450" s="430" t="s">
        <v>26156</v>
      </c>
      <c r="C450" s="416">
        <v>260</v>
      </c>
    </row>
    <row r="451" spans="1:3" ht="15" customHeight="1">
      <c r="A451" s="409" t="s">
        <v>26155</v>
      </c>
      <c r="B451" s="430" t="s">
        <v>26154</v>
      </c>
      <c r="C451" s="416">
        <v>250</v>
      </c>
    </row>
    <row r="452" spans="1:3" ht="15" customHeight="1">
      <c r="A452" s="409" t="s">
        <v>26153</v>
      </c>
      <c r="B452" s="430" t="s">
        <v>26152</v>
      </c>
      <c r="C452" s="416">
        <v>187</v>
      </c>
    </row>
    <row r="453" spans="1:3" ht="15" customHeight="1">
      <c r="A453" s="409" t="s">
        <v>26151</v>
      </c>
      <c r="B453" s="430" t="s">
        <v>26150</v>
      </c>
      <c r="C453" s="416">
        <v>203</v>
      </c>
    </row>
    <row r="454" spans="1:3" ht="15" customHeight="1">
      <c r="A454" s="409" t="s">
        <v>26149</v>
      </c>
      <c r="B454" s="430" t="s">
        <v>26148</v>
      </c>
      <c r="C454" s="416">
        <v>210</v>
      </c>
    </row>
    <row r="455" spans="1:3" ht="15" customHeight="1">
      <c r="A455" s="409" t="s">
        <v>26147</v>
      </c>
      <c r="B455" s="430" t="s">
        <v>26146</v>
      </c>
      <c r="C455" s="416">
        <v>203</v>
      </c>
    </row>
    <row r="456" spans="1:3" ht="15" customHeight="1">
      <c r="A456" s="409" t="s">
        <v>26145</v>
      </c>
      <c r="B456" s="419" t="s">
        <v>26144</v>
      </c>
      <c r="C456" s="416">
        <v>348</v>
      </c>
    </row>
    <row r="457" spans="1:3" ht="15" customHeight="1">
      <c r="A457" s="487" t="s">
        <v>26143</v>
      </c>
      <c r="B457" s="430" t="s">
        <v>26142</v>
      </c>
      <c r="C457" s="416">
        <v>334</v>
      </c>
    </row>
    <row r="458" spans="1:3" ht="15" customHeight="1">
      <c r="A458" s="487" t="s">
        <v>26141</v>
      </c>
      <c r="B458" s="419" t="s">
        <v>26140</v>
      </c>
      <c r="C458" s="417">
        <v>412</v>
      </c>
    </row>
    <row r="459" spans="1:3" ht="15" customHeight="1">
      <c r="A459" s="409" t="s">
        <v>26139</v>
      </c>
      <c r="B459" s="430" t="s">
        <v>26138</v>
      </c>
      <c r="C459" s="416">
        <v>222</v>
      </c>
    </row>
    <row r="460" spans="1:3" ht="15" customHeight="1">
      <c r="A460" s="409" t="s">
        <v>26137</v>
      </c>
      <c r="B460" s="430" t="s">
        <v>26136</v>
      </c>
      <c r="C460" s="416">
        <v>332</v>
      </c>
    </row>
    <row r="461" spans="1:3" ht="15" customHeight="1">
      <c r="A461" s="409" t="s">
        <v>26135</v>
      </c>
      <c r="B461" s="430" t="s">
        <v>26134</v>
      </c>
      <c r="C461" s="416">
        <v>297</v>
      </c>
    </row>
    <row r="462" spans="1:3" ht="15" customHeight="1">
      <c r="A462" s="409" t="s">
        <v>26133</v>
      </c>
      <c r="B462" s="430" t="s">
        <v>26132</v>
      </c>
      <c r="C462" s="416">
        <v>440</v>
      </c>
    </row>
    <row r="463" spans="1:3" ht="15" customHeight="1">
      <c r="A463" s="409" t="s">
        <v>26131</v>
      </c>
      <c r="B463" s="430" t="s">
        <v>26130</v>
      </c>
      <c r="C463" s="416">
        <v>204</v>
      </c>
    </row>
    <row r="464" spans="1:3" ht="15" customHeight="1">
      <c r="A464" s="409" t="s">
        <v>26129</v>
      </c>
      <c r="B464" s="430" t="s">
        <v>26128</v>
      </c>
      <c r="C464" s="416">
        <v>204</v>
      </c>
    </row>
    <row r="465" spans="1:3" ht="15" customHeight="1">
      <c r="A465" s="409" t="s">
        <v>26127</v>
      </c>
      <c r="B465" s="430" t="s">
        <v>26126</v>
      </c>
      <c r="C465" s="416">
        <v>217</v>
      </c>
    </row>
    <row r="466" spans="1:3" ht="15" customHeight="1">
      <c r="A466" s="409" t="s">
        <v>26125</v>
      </c>
      <c r="B466" s="430" t="s">
        <v>26124</v>
      </c>
      <c r="C466" s="416">
        <v>245</v>
      </c>
    </row>
    <row r="467" spans="1:3" ht="15" customHeight="1">
      <c r="A467" s="409" t="s">
        <v>26123</v>
      </c>
      <c r="B467" s="430" t="s">
        <v>26122</v>
      </c>
      <c r="C467" s="416">
        <v>260</v>
      </c>
    </row>
    <row r="468" spans="1:3" ht="15" customHeight="1">
      <c r="A468" s="409" t="s">
        <v>26121</v>
      </c>
      <c r="B468" s="430" t="s">
        <v>26120</v>
      </c>
      <c r="C468" s="416">
        <v>240</v>
      </c>
    </row>
    <row r="469" spans="1:3" ht="15" customHeight="1">
      <c r="A469" s="409" t="s">
        <v>26119</v>
      </c>
      <c r="B469" s="430" t="s">
        <v>26118</v>
      </c>
      <c r="C469" s="416">
        <v>159</v>
      </c>
    </row>
    <row r="470" spans="1:3" ht="15" customHeight="1">
      <c r="A470" s="409" t="s">
        <v>26117</v>
      </c>
      <c r="B470" s="430" t="s">
        <v>26116</v>
      </c>
      <c r="C470" s="416">
        <v>159</v>
      </c>
    </row>
    <row r="471" spans="1:3" ht="15" customHeight="1">
      <c r="A471" s="409" t="s">
        <v>26115</v>
      </c>
      <c r="B471" s="430" t="s">
        <v>26114</v>
      </c>
      <c r="C471" s="416">
        <v>159</v>
      </c>
    </row>
    <row r="472" spans="1:3" ht="15" customHeight="1">
      <c r="A472" s="409" t="s">
        <v>26113</v>
      </c>
      <c r="B472" s="430" t="s">
        <v>26112</v>
      </c>
      <c r="C472" s="416">
        <v>170</v>
      </c>
    </row>
    <row r="473" spans="1:3" ht="15" customHeight="1">
      <c r="A473" s="409" t="s">
        <v>26111</v>
      </c>
      <c r="B473" s="430" t="s">
        <v>26110</v>
      </c>
      <c r="C473" s="416">
        <v>180</v>
      </c>
    </row>
    <row r="474" spans="1:3" ht="15" customHeight="1">
      <c r="A474" s="409" t="s">
        <v>26109</v>
      </c>
      <c r="B474" s="430" t="s">
        <v>26108</v>
      </c>
      <c r="C474" s="416">
        <v>190</v>
      </c>
    </row>
    <row r="475" spans="1:3" ht="15" customHeight="1">
      <c r="A475" s="409" t="s">
        <v>26107</v>
      </c>
      <c r="B475" s="430" t="s">
        <v>26106</v>
      </c>
      <c r="C475" s="416">
        <v>205</v>
      </c>
    </row>
    <row r="476" spans="1:3" ht="15" customHeight="1">
      <c r="A476" s="409" t="s">
        <v>26105</v>
      </c>
      <c r="B476" s="430" t="s">
        <v>26104</v>
      </c>
      <c r="C476" s="416">
        <v>366</v>
      </c>
    </row>
    <row r="477" spans="1:3" ht="15" customHeight="1">
      <c r="A477" s="420" t="s">
        <v>26103</v>
      </c>
      <c r="B477" s="419" t="s">
        <v>26102</v>
      </c>
      <c r="C477" s="417">
        <v>175</v>
      </c>
    </row>
    <row r="478" spans="1:3" ht="15" customHeight="1">
      <c r="A478" s="409" t="s">
        <v>26101</v>
      </c>
      <c r="B478" s="430" t="s">
        <v>26100</v>
      </c>
      <c r="C478" s="416">
        <v>451</v>
      </c>
    </row>
    <row r="479" spans="1:3" ht="15" customHeight="1">
      <c r="A479" s="455" t="s">
        <v>26099</v>
      </c>
      <c r="B479" s="523" t="s">
        <v>26098</v>
      </c>
      <c r="C479" s="416">
        <v>193</v>
      </c>
    </row>
    <row r="480" spans="1:3" ht="15" customHeight="1">
      <c r="A480" s="409" t="s">
        <v>26097</v>
      </c>
      <c r="B480" s="419" t="s">
        <v>26096</v>
      </c>
      <c r="C480" s="416">
        <v>19</v>
      </c>
    </row>
    <row r="481" spans="1:3" ht="15" customHeight="1">
      <c r="A481" s="487" t="s">
        <v>26095</v>
      </c>
      <c r="B481" s="419" t="s">
        <v>26094</v>
      </c>
      <c r="C481" s="416">
        <v>99</v>
      </c>
    </row>
    <row r="482" spans="1:3" ht="15" customHeight="1">
      <c r="A482" s="409" t="s">
        <v>26093</v>
      </c>
      <c r="B482" s="419" t="s">
        <v>26092</v>
      </c>
      <c r="C482" s="416">
        <v>111</v>
      </c>
    </row>
    <row r="483" spans="1:3" ht="15" customHeight="1">
      <c r="A483" s="409" t="s">
        <v>26091</v>
      </c>
      <c r="B483" s="419" t="s">
        <v>26090</v>
      </c>
      <c r="C483" s="416">
        <v>22</v>
      </c>
    </row>
    <row r="484" spans="1:3" ht="15" customHeight="1">
      <c r="A484" s="409" t="s">
        <v>26089</v>
      </c>
      <c r="B484" s="430" t="s">
        <v>26088</v>
      </c>
      <c r="C484" s="416">
        <v>82</v>
      </c>
    </row>
    <row r="485" spans="1:3" ht="15" customHeight="1">
      <c r="A485" s="409" t="s">
        <v>26087</v>
      </c>
      <c r="B485" s="430" t="s">
        <v>26086</v>
      </c>
      <c r="C485" s="416">
        <v>83</v>
      </c>
    </row>
    <row r="486" spans="1:3" ht="15" customHeight="1">
      <c r="A486" s="409" t="s">
        <v>26085</v>
      </c>
      <c r="B486" s="430" t="s">
        <v>26084</v>
      </c>
      <c r="C486" s="416">
        <v>71</v>
      </c>
    </row>
    <row r="487" spans="1:3" ht="15" customHeight="1">
      <c r="A487" s="409" t="s">
        <v>26083</v>
      </c>
      <c r="B487" s="430" t="s">
        <v>26082</v>
      </c>
      <c r="C487" s="416">
        <v>36</v>
      </c>
    </row>
    <row r="488" spans="1:3" s="524" customFormat="1" ht="15" customHeight="1">
      <c r="A488" s="409" t="s">
        <v>26081</v>
      </c>
      <c r="B488" s="430" t="s">
        <v>26080</v>
      </c>
      <c r="C488" s="416">
        <v>89</v>
      </c>
    </row>
    <row r="489" spans="1:3" ht="15" customHeight="1">
      <c r="A489" s="409" t="s">
        <v>26079</v>
      </c>
      <c r="B489" s="430" t="s">
        <v>26078</v>
      </c>
      <c r="C489" s="416">
        <v>89</v>
      </c>
    </row>
    <row r="490" spans="1:3" ht="15" customHeight="1">
      <c r="A490" s="409" t="s">
        <v>26077</v>
      </c>
      <c r="B490" s="430" t="s">
        <v>26076</v>
      </c>
      <c r="C490" s="416">
        <v>218</v>
      </c>
    </row>
    <row r="491" spans="1:3" ht="15" customHeight="1">
      <c r="A491" s="409" t="s">
        <v>26075</v>
      </c>
      <c r="B491" s="430" t="s">
        <v>26074</v>
      </c>
      <c r="C491" s="416">
        <v>162</v>
      </c>
    </row>
    <row r="492" spans="1:3" ht="15" customHeight="1">
      <c r="A492" s="409" t="s">
        <v>26073</v>
      </c>
      <c r="B492" s="430" t="s">
        <v>26072</v>
      </c>
      <c r="C492" s="416">
        <v>44</v>
      </c>
    </row>
    <row r="493" spans="1:3" ht="15" customHeight="1">
      <c r="A493" s="420" t="s">
        <v>26071</v>
      </c>
      <c r="B493" s="419" t="s">
        <v>26070</v>
      </c>
      <c r="C493" s="416">
        <v>14</v>
      </c>
    </row>
    <row r="494" spans="1:3" ht="15" customHeight="1">
      <c r="A494" s="409" t="s">
        <v>26069</v>
      </c>
      <c r="B494" s="419" t="s">
        <v>26068</v>
      </c>
      <c r="C494" s="416">
        <v>20</v>
      </c>
    </row>
    <row r="495" spans="1:3" ht="15" customHeight="1">
      <c r="A495" s="409" t="s">
        <v>26067</v>
      </c>
      <c r="B495" s="419" t="s">
        <v>26066</v>
      </c>
      <c r="C495" s="416">
        <v>13</v>
      </c>
    </row>
    <row r="496" spans="1:3" ht="15" customHeight="1">
      <c r="A496" s="455" t="s">
        <v>26065</v>
      </c>
      <c r="B496" s="579" t="s">
        <v>26064</v>
      </c>
      <c r="C496" s="416">
        <v>40</v>
      </c>
    </row>
    <row r="497" spans="1:3" ht="15" customHeight="1">
      <c r="A497" s="420" t="s">
        <v>26063</v>
      </c>
      <c r="B497" s="419" t="s">
        <v>26062</v>
      </c>
      <c r="C497" s="417">
        <v>227</v>
      </c>
    </row>
    <row r="498" spans="1:3" ht="15" customHeight="1">
      <c r="A498" s="420" t="s">
        <v>26061</v>
      </c>
      <c r="B498" s="419" t="s">
        <v>26060</v>
      </c>
      <c r="C498" s="417">
        <v>155</v>
      </c>
    </row>
    <row r="499" spans="1:3" ht="15" customHeight="1">
      <c r="A499" s="420" t="s">
        <v>26059</v>
      </c>
      <c r="B499" s="419" t="s">
        <v>26058</v>
      </c>
      <c r="C499" s="417">
        <v>155</v>
      </c>
    </row>
    <row r="500" spans="1:3" ht="15" customHeight="1">
      <c r="A500" s="409" t="s">
        <v>26057</v>
      </c>
      <c r="B500" s="419" t="s">
        <v>26056</v>
      </c>
      <c r="C500" s="416">
        <v>38</v>
      </c>
    </row>
    <row r="501" spans="1:3" ht="15" customHeight="1">
      <c r="A501" s="409" t="s">
        <v>26055</v>
      </c>
      <c r="B501" s="491" t="s">
        <v>26054</v>
      </c>
      <c r="C501" s="416">
        <v>142</v>
      </c>
    </row>
    <row r="502" spans="1:3" ht="15" customHeight="1">
      <c r="A502" s="409" t="s">
        <v>26053</v>
      </c>
      <c r="B502" s="491" t="s">
        <v>26052</v>
      </c>
      <c r="C502" s="416">
        <v>175</v>
      </c>
    </row>
    <row r="503" spans="1:3" ht="15" customHeight="1">
      <c r="A503" s="506" t="s">
        <v>26051</v>
      </c>
      <c r="B503" s="419" t="s">
        <v>26050</v>
      </c>
      <c r="C503" s="416">
        <v>45</v>
      </c>
    </row>
    <row r="504" spans="1:3" ht="15" customHeight="1">
      <c r="A504" s="409" t="s">
        <v>26049</v>
      </c>
      <c r="B504" s="430" t="s">
        <v>26048</v>
      </c>
      <c r="C504" s="416">
        <v>202</v>
      </c>
    </row>
    <row r="505" spans="1:3" ht="15" customHeight="1">
      <c r="A505" s="409" t="s">
        <v>26047</v>
      </c>
      <c r="B505" s="419" t="s">
        <v>26046</v>
      </c>
      <c r="C505" s="416">
        <v>67</v>
      </c>
    </row>
    <row r="506" spans="1:3" s="524" customFormat="1" ht="15" customHeight="1">
      <c r="A506" s="420" t="s">
        <v>26045</v>
      </c>
      <c r="B506" s="419" t="s">
        <v>26044</v>
      </c>
      <c r="C506" s="418">
        <v>255</v>
      </c>
    </row>
    <row r="507" spans="1:3" ht="15" customHeight="1">
      <c r="A507" s="409" t="s">
        <v>26043</v>
      </c>
      <c r="B507" s="419" t="s">
        <v>26042</v>
      </c>
      <c r="C507" s="416">
        <v>59</v>
      </c>
    </row>
    <row r="508" spans="1:3" s="524" customFormat="1" ht="15" customHeight="1">
      <c r="A508" s="478" t="s">
        <v>26041</v>
      </c>
      <c r="B508" s="454" t="s">
        <v>26040</v>
      </c>
      <c r="C508" s="417">
        <v>91</v>
      </c>
    </row>
    <row r="509" spans="1:3" ht="15" customHeight="1">
      <c r="A509" s="478" t="s">
        <v>26039</v>
      </c>
      <c r="B509" s="454" t="s">
        <v>26038</v>
      </c>
      <c r="C509" s="417">
        <v>59</v>
      </c>
    </row>
    <row r="510" spans="1:3" ht="15" customHeight="1">
      <c r="A510" s="478" t="s">
        <v>26037</v>
      </c>
      <c r="B510" s="454" t="s">
        <v>26036</v>
      </c>
      <c r="C510" s="417">
        <v>169</v>
      </c>
    </row>
    <row r="511" spans="1:3" ht="15" customHeight="1">
      <c r="A511" s="409" t="s">
        <v>26035</v>
      </c>
      <c r="B511" s="419" t="s">
        <v>26034</v>
      </c>
      <c r="C511" s="416">
        <v>83</v>
      </c>
    </row>
    <row r="512" spans="1:3" ht="15" customHeight="1">
      <c r="A512" s="478" t="s">
        <v>26033</v>
      </c>
      <c r="B512" s="454" t="s">
        <v>26032</v>
      </c>
      <c r="C512" s="417">
        <v>82</v>
      </c>
    </row>
    <row r="513" spans="1:3" ht="15" customHeight="1">
      <c r="A513" s="478" t="s">
        <v>26031</v>
      </c>
      <c r="B513" s="454" t="s">
        <v>26030</v>
      </c>
      <c r="C513" s="417">
        <v>192</v>
      </c>
    </row>
    <row r="514" spans="1:3" ht="15" customHeight="1">
      <c r="A514" s="409" t="s">
        <v>26029</v>
      </c>
      <c r="B514" s="419" t="s">
        <v>26028</v>
      </c>
      <c r="C514" s="416">
        <v>97</v>
      </c>
    </row>
    <row r="515" spans="1:3" ht="15" customHeight="1">
      <c r="A515" s="420" t="s">
        <v>26027</v>
      </c>
      <c r="B515" s="419" t="s">
        <v>26026</v>
      </c>
      <c r="C515" s="417">
        <v>16</v>
      </c>
    </row>
    <row r="516" spans="1:3" ht="15" customHeight="1">
      <c r="A516" s="409" t="s">
        <v>26025</v>
      </c>
      <c r="B516" s="430" t="s">
        <v>26024</v>
      </c>
      <c r="C516" s="416">
        <v>21</v>
      </c>
    </row>
    <row r="517" spans="1:3" ht="15" customHeight="1">
      <c r="A517" s="409" t="s">
        <v>26023</v>
      </c>
      <c r="B517" s="419" t="s">
        <v>26022</v>
      </c>
      <c r="C517" s="416">
        <v>129</v>
      </c>
    </row>
    <row r="518" spans="1:3" ht="15" customHeight="1">
      <c r="A518" s="409" t="s">
        <v>26021</v>
      </c>
      <c r="B518" s="430" t="s">
        <v>26020</v>
      </c>
      <c r="C518" s="417">
        <v>43.814999999999998</v>
      </c>
    </row>
    <row r="519" spans="1:3" ht="15" customHeight="1">
      <c r="A519" s="409" t="s">
        <v>26019</v>
      </c>
      <c r="B519" s="419" t="s">
        <v>26018</v>
      </c>
      <c r="C519" s="417">
        <v>147</v>
      </c>
    </row>
    <row r="520" spans="1:3" ht="15" customHeight="1">
      <c r="A520" s="420" t="s">
        <v>26017</v>
      </c>
      <c r="B520" s="419" t="s">
        <v>26016</v>
      </c>
      <c r="C520" s="417">
        <v>63</v>
      </c>
    </row>
    <row r="521" spans="1:3" ht="15" customHeight="1">
      <c r="A521" s="420" t="s">
        <v>26015</v>
      </c>
      <c r="B521" s="419" t="s">
        <v>26014</v>
      </c>
      <c r="C521" s="417">
        <v>17</v>
      </c>
    </row>
    <row r="522" spans="1:3" ht="15" customHeight="1">
      <c r="A522" s="420" t="s">
        <v>26013</v>
      </c>
      <c r="B522" s="419" t="s">
        <v>26012</v>
      </c>
      <c r="C522" s="417">
        <v>68</v>
      </c>
    </row>
    <row r="523" spans="1:3" ht="15" customHeight="1">
      <c r="A523" s="409" t="s">
        <v>26011</v>
      </c>
      <c r="B523" s="419" t="s">
        <v>26010</v>
      </c>
      <c r="C523" s="416">
        <v>47</v>
      </c>
    </row>
    <row r="524" spans="1:3" ht="15" customHeight="1">
      <c r="A524" s="409" t="s">
        <v>26009</v>
      </c>
      <c r="B524" s="430" t="s">
        <v>26008</v>
      </c>
      <c r="C524" s="416">
        <v>66</v>
      </c>
    </row>
    <row r="525" spans="1:3" ht="15" customHeight="1">
      <c r="A525" s="472" t="s">
        <v>26007</v>
      </c>
      <c r="B525" s="419" t="s">
        <v>26006</v>
      </c>
      <c r="C525" s="416">
        <v>193</v>
      </c>
    </row>
    <row r="526" spans="1:3" ht="15" customHeight="1">
      <c r="A526" s="472" t="s">
        <v>26005</v>
      </c>
      <c r="B526" s="419" t="s">
        <v>26004</v>
      </c>
      <c r="C526" s="416">
        <v>116</v>
      </c>
    </row>
    <row r="527" spans="1:3" ht="15" customHeight="1">
      <c r="A527" s="472" t="s">
        <v>26003</v>
      </c>
      <c r="B527" s="419" t="s">
        <v>26002</v>
      </c>
      <c r="C527" s="416">
        <v>580</v>
      </c>
    </row>
    <row r="528" spans="1:3" ht="15" customHeight="1">
      <c r="A528" s="472" t="s">
        <v>26001</v>
      </c>
      <c r="B528" s="419" t="s">
        <v>26000</v>
      </c>
      <c r="C528" s="416">
        <v>142</v>
      </c>
    </row>
    <row r="529" spans="1:3" ht="15" customHeight="1">
      <c r="A529" s="472" t="s">
        <v>25999</v>
      </c>
      <c r="B529" s="419" t="s">
        <v>25998</v>
      </c>
      <c r="C529" s="416">
        <v>377</v>
      </c>
    </row>
    <row r="530" spans="1:3" ht="15" customHeight="1">
      <c r="A530" s="487" t="s">
        <v>25997</v>
      </c>
      <c r="B530" s="430" t="s">
        <v>25996</v>
      </c>
      <c r="C530" s="416">
        <v>66</v>
      </c>
    </row>
    <row r="531" spans="1:3" ht="15" customHeight="1">
      <c r="A531" s="487" t="s">
        <v>25995</v>
      </c>
      <c r="B531" s="430" t="s">
        <v>25994</v>
      </c>
      <c r="C531" s="416">
        <v>132</v>
      </c>
    </row>
    <row r="532" spans="1:3" ht="15" customHeight="1">
      <c r="A532" s="409" t="s">
        <v>25993</v>
      </c>
      <c r="B532" s="419" t="s">
        <v>25992</v>
      </c>
      <c r="C532" s="416">
        <v>52</v>
      </c>
    </row>
    <row r="533" spans="1:3" ht="15" customHeight="1">
      <c r="A533" s="409" t="s">
        <v>25991</v>
      </c>
      <c r="B533" s="419" t="s">
        <v>25990</v>
      </c>
      <c r="C533" s="416">
        <v>82</v>
      </c>
    </row>
    <row r="534" spans="1:3" ht="15" customHeight="1">
      <c r="A534" s="466" t="s">
        <v>25989</v>
      </c>
      <c r="B534" s="490" t="s">
        <v>25988</v>
      </c>
      <c r="C534" s="416">
        <v>86</v>
      </c>
    </row>
    <row r="535" spans="1:3" ht="15" customHeight="1">
      <c r="A535" s="466" t="s">
        <v>25987</v>
      </c>
      <c r="B535" s="490" t="s">
        <v>25986</v>
      </c>
      <c r="C535" s="416">
        <v>186</v>
      </c>
    </row>
    <row r="536" spans="1:3" ht="15" customHeight="1">
      <c r="A536" s="452" t="s">
        <v>25985</v>
      </c>
      <c r="B536" s="578" t="s">
        <v>25984</v>
      </c>
      <c r="C536" s="417">
        <v>86</v>
      </c>
    </row>
    <row r="537" spans="1:3" ht="15" customHeight="1">
      <c r="A537" s="452" t="s">
        <v>25983</v>
      </c>
      <c r="B537" s="578" t="s">
        <v>25982</v>
      </c>
      <c r="C537" s="417">
        <v>186</v>
      </c>
    </row>
    <row r="538" spans="1:3" ht="15" customHeight="1">
      <c r="A538" s="409" t="s">
        <v>25981</v>
      </c>
      <c r="B538" s="419" t="s">
        <v>25980</v>
      </c>
      <c r="C538" s="417">
        <v>71</v>
      </c>
    </row>
    <row r="539" spans="1:3" ht="15" customHeight="1">
      <c r="A539" s="409" t="s">
        <v>25979</v>
      </c>
      <c r="B539" s="419" t="s">
        <v>25978</v>
      </c>
      <c r="C539" s="416">
        <v>182</v>
      </c>
    </row>
    <row r="540" spans="1:3" ht="15" customHeight="1">
      <c r="A540" s="409" t="s">
        <v>25977</v>
      </c>
      <c r="B540" s="419" t="s">
        <v>25976</v>
      </c>
      <c r="C540" s="416">
        <v>17</v>
      </c>
    </row>
    <row r="541" spans="1:3" ht="15" customHeight="1">
      <c r="A541" s="409" t="s">
        <v>25975</v>
      </c>
      <c r="B541" s="419" t="s">
        <v>25974</v>
      </c>
      <c r="C541" s="416">
        <v>20</v>
      </c>
    </row>
    <row r="542" spans="1:3" ht="15" customHeight="1">
      <c r="A542" s="409" t="s">
        <v>25973</v>
      </c>
      <c r="B542" s="419" t="s">
        <v>25972</v>
      </c>
      <c r="C542" s="416">
        <v>57</v>
      </c>
    </row>
    <row r="543" spans="1:3" ht="15" customHeight="1">
      <c r="A543" s="487" t="s">
        <v>25971</v>
      </c>
      <c r="B543" s="419" t="s">
        <v>25970</v>
      </c>
      <c r="C543" s="416">
        <v>379</v>
      </c>
    </row>
    <row r="544" spans="1:3" ht="15" customHeight="1">
      <c r="A544" s="409" t="s">
        <v>25969</v>
      </c>
      <c r="B544" s="419" t="s">
        <v>25968</v>
      </c>
      <c r="C544" s="417">
        <v>282</v>
      </c>
    </row>
    <row r="545" spans="1:3" ht="15" customHeight="1">
      <c r="A545" s="487" t="s">
        <v>25967</v>
      </c>
      <c r="B545" s="419" t="s">
        <v>25966</v>
      </c>
      <c r="C545" s="417">
        <v>506</v>
      </c>
    </row>
    <row r="546" spans="1:3" ht="15" customHeight="1">
      <c r="A546" s="487" t="s">
        <v>25965</v>
      </c>
      <c r="B546" s="419" t="s">
        <v>25964</v>
      </c>
      <c r="C546" s="416">
        <v>379</v>
      </c>
    </row>
    <row r="547" spans="1:3" ht="15" customHeight="1">
      <c r="A547" s="487" t="s">
        <v>25963</v>
      </c>
      <c r="B547" s="419" t="s">
        <v>25962</v>
      </c>
      <c r="C547" s="417">
        <v>239</v>
      </c>
    </row>
    <row r="548" spans="1:3" ht="15" customHeight="1">
      <c r="A548" s="409" t="s">
        <v>25961</v>
      </c>
      <c r="B548" s="419" t="s">
        <v>25960</v>
      </c>
      <c r="C548" s="416">
        <v>96</v>
      </c>
    </row>
    <row r="549" spans="1:3" ht="15" customHeight="1">
      <c r="A549" s="409" t="s">
        <v>25959</v>
      </c>
      <c r="B549" s="419" t="s">
        <v>25958</v>
      </c>
      <c r="C549" s="416">
        <v>96</v>
      </c>
    </row>
    <row r="550" spans="1:3" ht="15" customHeight="1">
      <c r="A550" s="409" t="s">
        <v>25957</v>
      </c>
      <c r="B550" s="419" t="s">
        <v>25956</v>
      </c>
      <c r="C550" s="416">
        <v>166</v>
      </c>
    </row>
    <row r="551" spans="1:3" ht="15" customHeight="1">
      <c r="A551" s="409" t="s">
        <v>25955</v>
      </c>
      <c r="B551" s="419" t="s">
        <v>25954</v>
      </c>
      <c r="C551" s="416">
        <v>455</v>
      </c>
    </row>
    <row r="552" spans="1:3" ht="15" customHeight="1">
      <c r="A552" s="521" t="s">
        <v>25953</v>
      </c>
      <c r="B552" s="491" t="s">
        <v>25952</v>
      </c>
      <c r="C552" s="416">
        <v>516</v>
      </c>
    </row>
    <row r="553" spans="1:3" ht="15" customHeight="1">
      <c r="A553" s="420" t="s">
        <v>25951</v>
      </c>
      <c r="B553" s="419" t="s">
        <v>25950</v>
      </c>
      <c r="C553" s="416">
        <v>110</v>
      </c>
    </row>
    <row r="554" spans="1:3" ht="15" customHeight="1">
      <c r="A554" s="420" t="s">
        <v>25949</v>
      </c>
      <c r="B554" s="419" t="s">
        <v>25948</v>
      </c>
      <c r="C554" s="416">
        <v>132</v>
      </c>
    </row>
    <row r="555" spans="1:3" ht="15" customHeight="1">
      <c r="A555" s="420" t="s">
        <v>25947</v>
      </c>
      <c r="B555" s="419" t="s">
        <v>25946</v>
      </c>
      <c r="C555" s="416">
        <v>75</v>
      </c>
    </row>
    <row r="556" spans="1:3" ht="15" customHeight="1">
      <c r="A556" s="420" t="s">
        <v>25945</v>
      </c>
      <c r="B556" s="430" t="s">
        <v>25944</v>
      </c>
      <c r="C556" s="416">
        <v>45</v>
      </c>
    </row>
    <row r="557" spans="1:3" ht="15" customHeight="1">
      <c r="A557" s="409" t="s">
        <v>25943</v>
      </c>
      <c r="B557" s="419" t="s">
        <v>25942</v>
      </c>
      <c r="C557" s="416">
        <v>262</v>
      </c>
    </row>
    <row r="558" spans="1:3" ht="15" customHeight="1">
      <c r="A558" s="487" t="s">
        <v>25941</v>
      </c>
      <c r="B558" s="419" t="s">
        <v>25940</v>
      </c>
      <c r="C558" s="416">
        <v>284</v>
      </c>
    </row>
    <row r="559" spans="1:3" s="524" customFormat="1" ht="15" customHeight="1">
      <c r="A559" s="487" t="s">
        <v>25939</v>
      </c>
      <c r="B559" s="419" t="s">
        <v>25938</v>
      </c>
      <c r="C559" s="416">
        <v>175</v>
      </c>
    </row>
    <row r="560" spans="1:3" ht="15" customHeight="1">
      <c r="A560" s="487" t="s">
        <v>25937</v>
      </c>
      <c r="B560" s="419" t="s">
        <v>25936</v>
      </c>
      <c r="C560" s="416">
        <v>438</v>
      </c>
    </row>
    <row r="561" spans="1:3" ht="15" customHeight="1">
      <c r="A561" s="487" t="s">
        <v>25935</v>
      </c>
      <c r="B561" s="419" t="s">
        <v>25934</v>
      </c>
      <c r="C561" s="416">
        <v>351</v>
      </c>
    </row>
    <row r="562" spans="1:3" ht="15" customHeight="1">
      <c r="A562" s="409" t="s">
        <v>25933</v>
      </c>
      <c r="B562" s="419" t="s">
        <v>25932</v>
      </c>
      <c r="C562" s="416">
        <v>55</v>
      </c>
    </row>
    <row r="563" spans="1:3" ht="15" customHeight="1">
      <c r="A563" s="409" t="s">
        <v>25931</v>
      </c>
      <c r="B563" s="419" t="s">
        <v>25930</v>
      </c>
      <c r="C563" s="416">
        <v>47</v>
      </c>
    </row>
    <row r="564" spans="1:3" ht="15" customHeight="1">
      <c r="A564" s="409" t="s">
        <v>25929</v>
      </c>
      <c r="B564" s="419" t="s">
        <v>25928</v>
      </c>
      <c r="C564" s="416">
        <v>52</v>
      </c>
    </row>
    <row r="565" spans="1:3" ht="15" customHeight="1">
      <c r="A565" s="409" t="s">
        <v>25927</v>
      </c>
      <c r="B565" s="419" t="s">
        <v>25926</v>
      </c>
      <c r="C565" s="417">
        <v>54</v>
      </c>
    </row>
    <row r="566" spans="1:3" ht="15" customHeight="1">
      <c r="A566" s="409" t="s">
        <v>25925</v>
      </c>
      <c r="B566" s="419" t="s">
        <v>25924</v>
      </c>
      <c r="C566" s="416">
        <v>124</v>
      </c>
    </row>
    <row r="567" spans="1:3" ht="15" customHeight="1">
      <c r="A567" s="470" t="s">
        <v>25923</v>
      </c>
      <c r="B567" s="419" t="s">
        <v>25922</v>
      </c>
      <c r="C567" s="416">
        <v>49</v>
      </c>
    </row>
    <row r="568" spans="1:3" ht="15" customHeight="1">
      <c r="A568" s="420" t="s">
        <v>25921</v>
      </c>
      <c r="B568" s="469" t="s">
        <v>25920</v>
      </c>
      <c r="C568" s="416">
        <v>51</v>
      </c>
    </row>
    <row r="569" spans="1:3" ht="15" customHeight="1">
      <c r="A569" s="420" t="s">
        <v>25919</v>
      </c>
      <c r="B569" s="419" t="s">
        <v>25918</v>
      </c>
      <c r="C569" s="416">
        <v>73</v>
      </c>
    </row>
    <row r="570" spans="1:3" ht="15" customHeight="1">
      <c r="A570" s="409" t="s">
        <v>25917</v>
      </c>
      <c r="B570" s="419" t="s">
        <v>25916</v>
      </c>
      <c r="C570" s="417">
        <v>104</v>
      </c>
    </row>
    <row r="571" spans="1:3" ht="15" customHeight="1">
      <c r="A571" s="409" t="s">
        <v>25915</v>
      </c>
      <c r="B571" s="419" t="s">
        <v>25914</v>
      </c>
      <c r="C571" s="417">
        <v>100</v>
      </c>
    </row>
    <row r="572" spans="1:3" ht="15" customHeight="1">
      <c r="A572" s="409" t="s">
        <v>25913</v>
      </c>
      <c r="B572" s="419" t="s">
        <v>25912</v>
      </c>
      <c r="C572" s="417">
        <v>155</v>
      </c>
    </row>
    <row r="573" spans="1:3" ht="15" customHeight="1">
      <c r="A573" s="420" t="s">
        <v>25911</v>
      </c>
      <c r="B573" s="419" t="s">
        <v>25910</v>
      </c>
      <c r="C573" s="577">
        <v>168</v>
      </c>
    </row>
    <row r="574" spans="1:3" ht="15" customHeight="1">
      <c r="A574" s="409" t="s">
        <v>25909</v>
      </c>
      <c r="B574" s="419" t="s">
        <v>25908</v>
      </c>
      <c r="C574" s="416">
        <v>110</v>
      </c>
    </row>
    <row r="575" spans="1:3" ht="15" customHeight="1">
      <c r="A575" s="420" t="s">
        <v>25907</v>
      </c>
      <c r="B575" s="419" t="s">
        <v>25906</v>
      </c>
      <c r="C575" s="416">
        <v>358</v>
      </c>
    </row>
    <row r="576" spans="1:3" ht="15" customHeight="1">
      <c r="A576" s="420" t="s">
        <v>25905</v>
      </c>
      <c r="B576" s="419" t="s">
        <v>25904</v>
      </c>
      <c r="C576" s="416">
        <v>52</v>
      </c>
    </row>
    <row r="577" spans="1:3" ht="15" customHeight="1">
      <c r="A577" s="420" t="s">
        <v>25903</v>
      </c>
      <c r="B577" s="419" t="s">
        <v>25902</v>
      </c>
      <c r="C577" s="416">
        <v>266</v>
      </c>
    </row>
    <row r="578" spans="1:3" ht="15" customHeight="1">
      <c r="A578" s="420" t="s">
        <v>25901</v>
      </c>
      <c r="B578" s="419" t="s">
        <v>25900</v>
      </c>
      <c r="C578" s="417">
        <v>50</v>
      </c>
    </row>
    <row r="579" spans="1:3" ht="15" customHeight="1">
      <c r="A579" s="420" t="s">
        <v>25899</v>
      </c>
      <c r="B579" s="419" t="s">
        <v>25898</v>
      </c>
      <c r="C579" s="416">
        <v>272</v>
      </c>
    </row>
    <row r="580" spans="1:3" ht="15" customHeight="1">
      <c r="A580" s="409" t="s">
        <v>25897</v>
      </c>
      <c r="B580" s="419" t="s">
        <v>25896</v>
      </c>
      <c r="C580" s="416">
        <v>98</v>
      </c>
    </row>
    <row r="581" spans="1:3" ht="15" customHeight="1">
      <c r="A581" s="420" t="s">
        <v>25895</v>
      </c>
      <c r="B581" s="419" t="s">
        <v>25894</v>
      </c>
      <c r="C581" s="417">
        <v>358</v>
      </c>
    </row>
    <row r="582" spans="1:3" ht="15" customHeight="1">
      <c r="A582" s="420" t="s">
        <v>25893</v>
      </c>
      <c r="B582" s="419" t="s">
        <v>25892</v>
      </c>
      <c r="C582" s="417">
        <v>366</v>
      </c>
    </row>
    <row r="583" spans="1:3" ht="15" customHeight="1">
      <c r="A583" s="472" t="s">
        <v>25891</v>
      </c>
      <c r="B583" s="419" t="s">
        <v>25890</v>
      </c>
      <c r="C583" s="416">
        <v>201</v>
      </c>
    </row>
    <row r="584" spans="1:3" ht="15" customHeight="1">
      <c r="A584" s="420" t="s">
        <v>25889</v>
      </c>
      <c r="B584" s="419" t="s">
        <v>25888</v>
      </c>
      <c r="C584" s="417">
        <v>201</v>
      </c>
    </row>
    <row r="585" spans="1:3" ht="15" customHeight="1">
      <c r="A585" s="420" t="s">
        <v>25887</v>
      </c>
      <c r="B585" s="419" t="s">
        <v>25886</v>
      </c>
      <c r="C585" s="417">
        <v>21</v>
      </c>
    </row>
    <row r="586" spans="1:3" ht="15" customHeight="1">
      <c r="A586" s="409" t="s">
        <v>25885</v>
      </c>
      <c r="B586" s="419" t="s">
        <v>25884</v>
      </c>
      <c r="C586" s="416">
        <v>30</v>
      </c>
    </row>
    <row r="587" spans="1:3" ht="15" customHeight="1">
      <c r="A587" s="409" t="s">
        <v>25883</v>
      </c>
      <c r="B587" s="419" t="s">
        <v>25882</v>
      </c>
      <c r="C587" s="416">
        <v>56</v>
      </c>
    </row>
    <row r="588" spans="1:3" ht="15" customHeight="1">
      <c r="A588" s="409" t="s">
        <v>25881</v>
      </c>
      <c r="B588" s="419" t="s">
        <v>25880</v>
      </c>
      <c r="C588" s="416">
        <v>977</v>
      </c>
    </row>
    <row r="589" spans="1:3" ht="15" customHeight="1">
      <c r="A589" s="409" t="s">
        <v>25879</v>
      </c>
      <c r="B589" s="419" t="s">
        <v>25878</v>
      </c>
      <c r="C589" s="416">
        <v>486</v>
      </c>
    </row>
    <row r="590" spans="1:3" ht="15" customHeight="1">
      <c r="A590" s="409" t="s">
        <v>25877</v>
      </c>
      <c r="B590" s="419" t="s">
        <v>25876</v>
      </c>
      <c r="C590" s="416">
        <v>901</v>
      </c>
    </row>
    <row r="591" spans="1:3" s="524" customFormat="1" ht="15" customHeight="1">
      <c r="A591" s="409" t="s">
        <v>25875</v>
      </c>
      <c r="B591" s="419" t="s">
        <v>25874</v>
      </c>
      <c r="C591" s="417">
        <v>1185</v>
      </c>
    </row>
    <row r="592" spans="1:3" ht="15" customHeight="1">
      <c r="A592" s="409" t="s">
        <v>25873</v>
      </c>
      <c r="B592" s="419" t="s">
        <v>25872</v>
      </c>
      <c r="C592" s="417">
        <v>836</v>
      </c>
    </row>
    <row r="593" spans="1:3" ht="15" customHeight="1">
      <c r="A593" s="409" t="s">
        <v>25871</v>
      </c>
      <c r="B593" s="419" t="s">
        <v>25870</v>
      </c>
      <c r="C593" s="417">
        <v>418</v>
      </c>
    </row>
    <row r="594" spans="1:3" s="524" customFormat="1" ht="15" customHeight="1">
      <c r="A594" s="409" t="s">
        <v>25869</v>
      </c>
      <c r="B594" s="419" t="s">
        <v>25868</v>
      </c>
      <c r="C594" s="417">
        <v>418</v>
      </c>
    </row>
    <row r="595" spans="1:3" s="524" customFormat="1" ht="15" customHeight="1">
      <c r="A595" s="420" t="s">
        <v>25867</v>
      </c>
      <c r="B595" s="419" t="s">
        <v>25866</v>
      </c>
      <c r="C595" s="417">
        <v>1150</v>
      </c>
    </row>
    <row r="596" spans="1:3" ht="15" customHeight="1">
      <c r="A596" s="409" t="s">
        <v>25865</v>
      </c>
      <c r="B596" s="430" t="s">
        <v>25864</v>
      </c>
      <c r="C596" s="416">
        <v>441</v>
      </c>
    </row>
    <row r="597" spans="1:3" s="524" customFormat="1" ht="15" customHeight="1">
      <c r="A597" s="409" t="s">
        <v>25863</v>
      </c>
      <c r="B597" s="430" t="s">
        <v>25862</v>
      </c>
      <c r="C597" s="416">
        <v>192</v>
      </c>
    </row>
    <row r="598" spans="1:3" ht="15" customHeight="1">
      <c r="A598" s="409" t="s">
        <v>25861</v>
      </c>
      <c r="B598" s="430" t="s">
        <v>25857</v>
      </c>
      <c r="C598" s="416">
        <v>97</v>
      </c>
    </row>
    <row r="599" spans="1:3" s="524" customFormat="1" ht="15" customHeight="1">
      <c r="A599" s="409" t="s">
        <v>25860</v>
      </c>
      <c r="B599" s="419" t="s">
        <v>25859</v>
      </c>
      <c r="C599" s="416">
        <v>209</v>
      </c>
    </row>
    <row r="600" spans="1:3" s="524" customFormat="1" ht="15" customHeight="1">
      <c r="A600" s="409" t="s">
        <v>25858</v>
      </c>
      <c r="B600" s="430" t="s">
        <v>25857</v>
      </c>
      <c r="C600" s="416">
        <v>77</v>
      </c>
    </row>
    <row r="601" spans="1:3" ht="15" customHeight="1">
      <c r="A601" s="420" t="s">
        <v>25856</v>
      </c>
      <c r="B601" s="419" t="s">
        <v>25855</v>
      </c>
      <c r="C601" s="418">
        <v>21</v>
      </c>
    </row>
    <row r="602" spans="1:3" ht="15" customHeight="1">
      <c r="A602" s="420" t="s">
        <v>25854</v>
      </c>
      <c r="B602" s="419" t="s">
        <v>25853</v>
      </c>
      <c r="C602" s="418">
        <v>21</v>
      </c>
    </row>
    <row r="603" spans="1:3" s="524" customFormat="1" ht="15" customHeight="1">
      <c r="A603" s="420" t="s">
        <v>25852</v>
      </c>
      <c r="B603" s="419" t="s">
        <v>25851</v>
      </c>
      <c r="C603" s="418">
        <v>21</v>
      </c>
    </row>
    <row r="604" spans="1:3" ht="15" customHeight="1">
      <c r="A604" s="420" t="s">
        <v>25850</v>
      </c>
      <c r="B604" s="419" t="s">
        <v>25849</v>
      </c>
      <c r="C604" s="418">
        <v>21</v>
      </c>
    </row>
    <row r="605" spans="1:3" ht="15" customHeight="1">
      <c r="A605" s="420" t="s">
        <v>25848</v>
      </c>
      <c r="B605" s="419" t="s">
        <v>25847</v>
      </c>
      <c r="C605" s="418">
        <v>21</v>
      </c>
    </row>
    <row r="606" spans="1:3" ht="15" customHeight="1">
      <c r="A606" s="420" t="s">
        <v>25846</v>
      </c>
      <c r="B606" s="419" t="s">
        <v>25845</v>
      </c>
      <c r="C606" s="418">
        <v>21</v>
      </c>
    </row>
    <row r="607" spans="1:3" ht="15" customHeight="1">
      <c r="A607" s="420" t="s">
        <v>25844</v>
      </c>
      <c r="B607" s="419" t="s">
        <v>25843</v>
      </c>
      <c r="C607" s="418">
        <v>21</v>
      </c>
    </row>
    <row r="608" spans="1:3" s="524" customFormat="1" ht="15" customHeight="1">
      <c r="A608" s="420" t="s">
        <v>25842</v>
      </c>
      <c r="B608" s="419" t="s">
        <v>25841</v>
      </c>
      <c r="C608" s="418">
        <v>62</v>
      </c>
    </row>
    <row r="609" spans="1:3" ht="15" customHeight="1">
      <c r="A609" s="420" t="s">
        <v>25840</v>
      </c>
      <c r="B609" s="419" t="s">
        <v>25839</v>
      </c>
      <c r="C609" s="418">
        <v>21</v>
      </c>
    </row>
    <row r="610" spans="1:3" ht="15" customHeight="1">
      <c r="A610" s="420" t="s">
        <v>25838</v>
      </c>
      <c r="B610" s="419" t="s">
        <v>25837</v>
      </c>
      <c r="C610" s="418">
        <v>21</v>
      </c>
    </row>
    <row r="611" spans="1:3" ht="15" customHeight="1">
      <c r="A611" s="420" t="s">
        <v>25836</v>
      </c>
      <c r="B611" s="419" t="s">
        <v>25835</v>
      </c>
      <c r="C611" s="418">
        <v>21</v>
      </c>
    </row>
    <row r="612" spans="1:3" ht="15" customHeight="1">
      <c r="A612" s="420" t="s">
        <v>25834</v>
      </c>
      <c r="B612" s="419" t="s">
        <v>25833</v>
      </c>
      <c r="C612" s="418">
        <v>27</v>
      </c>
    </row>
    <row r="613" spans="1:3" ht="15" customHeight="1">
      <c r="A613" s="420" t="s">
        <v>25832</v>
      </c>
      <c r="B613" s="419" t="s">
        <v>25831</v>
      </c>
      <c r="C613" s="418">
        <v>27</v>
      </c>
    </row>
    <row r="614" spans="1:3" s="524" customFormat="1" ht="15" customHeight="1">
      <c r="A614" s="420" t="s">
        <v>25830</v>
      </c>
      <c r="B614" s="419" t="s">
        <v>25829</v>
      </c>
      <c r="C614" s="418">
        <v>21</v>
      </c>
    </row>
    <row r="615" spans="1:3" ht="15" customHeight="1">
      <c r="A615" s="420" t="s">
        <v>25828</v>
      </c>
      <c r="B615" s="419" t="s">
        <v>25827</v>
      </c>
      <c r="C615" s="418">
        <v>21</v>
      </c>
    </row>
    <row r="616" spans="1:3" s="524" customFormat="1" ht="15" customHeight="1">
      <c r="A616" s="420" t="s">
        <v>25826</v>
      </c>
      <c r="B616" s="419" t="s">
        <v>25825</v>
      </c>
      <c r="C616" s="418">
        <v>21</v>
      </c>
    </row>
    <row r="617" spans="1:3" s="524" customFormat="1" ht="15" customHeight="1">
      <c r="A617" s="420" t="s">
        <v>25824</v>
      </c>
      <c r="B617" s="419" t="s">
        <v>25823</v>
      </c>
      <c r="C617" s="418">
        <v>21</v>
      </c>
    </row>
    <row r="618" spans="1:3" ht="15" customHeight="1">
      <c r="A618" s="420" t="s">
        <v>25822</v>
      </c>
      <c r="B618" s="419" t="s">
        <v>25821</v>
      </c>
      <c r="C618" s="418">
        <v>21</v>
      </c>
    </row>
    <row r="619" spans="1:3" ht="15" customHeight="1">
      <c r="A619" s="420" t="s">
        <v>25820</v>
      </c>
      <c r="B619" s="419" t="s">
        <v>25819</v>
      </c>
      <c r="C619" s="418">
        <v>21</v>
      </c>
    </row>
    <row r="620" spans="1:3" ht="15" customHeight="1">
      <c r="A620" s="420" t="s">
        <v>25818</v>
      </c>
      <c r="B620" s="419" t="s">
        <v>25817</v>
      </c>
      <c r="C620" s="418">
        <v>21</v>
      </c>
    </row>
    <row r="621" spans="1:3" ht="15" customHeight="1">
      <c r="A621" s="420" t="s">
        <v>25816</v>
      </c>
      <c r="B621" s="419" t="s">
        <v>25815</v>
      </c>
      <c r="C621" s="418">
        <v>25</v>
      </c>
    </row>
    <row r="622" spans="1:3" ht="15" customHeight="1">
      <c r="A622" s="420" t="s">
        <v>25814</v>
      </c>
      <c r="B622" s="419" t="s">
        <v>25813</v>
      </c>
      <c r="C622" s="418">
        <v>10</v>
      </c>
    </row>
    <row r="623" spans="1:3" s="524" customFormat="1" ht="15" customHeight="1">
      <c r="A623" s="420" t="s">
        <v>25812</v>
      </c>
      <c r="B623" s="419" t="s">
        <v>25811</v>
      </c>
      <c r="C623" s="418">
        <v>27</v>
      </c>
    </row>
    <row r="624" spans="1:3" ht="15" customHeight="1">
      <c r="A624" s="420" t="s">
        <v>25810</v>
      </c>
      <c r="B624" s="419" t="s">
        <v>25809</v>
      </c>
      <c r="C624" s="418">
        <v>26</v>
      </c>
    </row>
    <row r="625" spans="1:3" ht="15" customHeight="1">
      <c r="A625" s="420" t="s">
        <v>25808</v>
      </c>
      <c r="B625" s="419" t="s">
        <v>25807</v>
      </c>
      <c r="C625" s="418">
        <v>31</v>
      </c>
    </row>
    <row r="626" spans="1:3" s="524" customFormat="1" ht="15" customHeight="1">
      <c r="A626" s="409" t="s">
        <v>25806</v>
      </c>
      <c r="B626" s="419" t="s">
        <v>25805</v>
      </c>
      <c r="C626" s="416">
        <v>29</v>
      </c>
    </row>
    <row r="627" spans="1:3" ht="15" customHeight="1">
      <c r="A627" s="409" t="s">
        <v>25804</v>
      </c>
      <c r="B627" s="419" t="s">
        <v>25803</v>
      </c>
      <c r="C627" s="416">
        <v>28</v>
      </c>
    </row>
    <row r="628" spans="1:3" ht="15" customHeight="1">
      <c r="A628" s="409" t="s">
        <v>25802</v>
      </c>
      <c r="B628" s="419" t="s">
        <v>25801</v>
      </c>
      <c r="C628" s="417">
        <v>45</v>
      </c>
    </row>
    <row r="629" spans="1:3" s="524" customFormat="1" ht="15" customHeight="1">
      <c r="A629" s="409" t="s">
        <v>25800</v>
      </c>
      <c r="B629" s="419" t="s">
        <v>25799</v>
      </c>
      <c r="C629" s="416">
        <v>10</v>
      </c>
    </row>
    <row r="630" spans="1:3" ht="15" customHeight="1">
      <c r="A630" s="409" t="s">
        <v>25798</v>
      </c>
      <c r="B630" s="419" t="s">
        <v>25797</v>
      </c>
      <c r="C630" s="416">
        <v>1720</v>
      </c>
    </row>
    <row r="631" spans="1:3" ht="15" customHeight="1">
      <c r="A631" s="409" t="s">
        <v>25796</v>
      </c>
      <c r="B631" s="430" t="s">
        <v>25795</v>
      </c>
      <c r="C631" s="417">
        <v>26</v>
      </c>
    </row>
    <row r="632" spans="1:3" ht="15" customHeight="1">
      <c r="A632" s="420" t="s">
        <v>25794</v>
      </c>
      <c r="B632" s="419" t="s">
        <v>25793</v>
      </c>
      <c r="C632" s="417">
        <v>342</v>
      </c>
    </row>
    <row r="633" spans="1:3" ht="15" customHeight="1">
      <c r="A633" s="409" t="s">
        <v>25792</v>
      </c>
      <c r="B633" s="430" t="s">
        <v>25791</v>
      </c>
      <c r="C633" s="416">
        <v>171</v>
      </c>
    </row>
    <row r="634" spans="1:3" ht="15" customHeight="1">
      <c r="A634" s="453" t="s">
        <v>25790</v>
      </c>
      <c r="B634" s="576" t="s">
        <v>25789</v>
      </c>
      <c r="C634" s="416">
        <v>361</v>
      </c>
    </row>
    <row r="635" spans="1:3" ht="15" customHeight="1">
      <c r="A635" s="409" t="s">
        <v>25788</v>
      </c>
      <c r="B635" s="430" t="s">
        <v>25787</v>
      </c>
      <c r="C635" s="416">
        <v>227</v>
      </c>
    </row>
    <row r="636" spans="1:3" ht="15" customHeight="1">
      <c r="A636" s="409" t="s">
        <v>25786</v>
      </c>
      <c r="B636" s="430" t="s">
        <v>25785</v>
      </c>
      <c r="C636" s="416">
        <v>691</v>
      </c>
    </row>
    <row r="637" spans="1:3" ht="15" customHeight="1">
      <c r="A637" s="409" t="s">
        <v>25784</v>
      </c>
      <c r="B637" s="430" t="s">
        <v>25783</v>
      </c>
      <c r="C637" s="416">
        <v>271</v>
      </c>
    </row>
    <row r="638" spans="1:3" s="524" customFormat="1" ht="15" customHeight="1">
      <c r="A638" s="409" t="s">
        <v>25782</v>
      </c>
      <c r="B638" s="430" t="s">
        <v>25781</v>
      </c>
      <c r="C638" s="416">
        <v>313</v>
      </c>
    </row>
    <row r="639" spans="1:3" ht="15" customHeight="1">
      <c r="A639" s="420" t="s">
        <v>25780</v>
      </c>
      <c r="B639" s="430" t="s">
        <v>25779</v>
      </c>
      <c r="C639" s="417">
        <v>545</v>
      </c>
    </row>
    <row r="640" spans="1:3" ht="15" customHeight="1">
      <c r="A640" s="409" t="s">
        <v>25778</v>
      </c>
      <c r="B640" s="430" t="s">
        <v>25777</v>
      </c>
      <c r="C640" s="416">
        <v>513</v>
      </c>
    </row>
    <row r="641" spans="1:3" ht="15" customHeight="1">
      <c r="A641" s="409" t="s">
        <v>25776</v>
      </c>
      <c r="B641" s="430" t="s">
        <v>25775</v>
      </c>
      <c r="C641" s="417">
        <v>533</v>
      </c>
    </row>
    <row r="642" spans="1:3" ht="15" customHeight="1">
      <c r="A642" s="409" t="s">
        <v>25774</v>
      </c>
      <c r="B642" s="430" t="s">
        <v>25773</v>
      </c>
      <c r="C642" s="416">
        <v>242</v>
      </c>
    </row>
    <row r="643" spans="1:3" ht="15" customHeight="1">
      <c r="A643" s="409" t="s">
        <v>25772</v>
      </c>
      <c r="B643" s="430" t="s">
        <v>25771</v>
      </c>
      <c r="C643" s="416">
        <v>377</v>
      </c>
    </row>
    <row r="644" spans="1:3" ht="15" customHeight="1">
      <c r="A644" s="409" t="s">
        <v>25770</v>
      </c>
      <c r="B644" s="430" t="s">
        <v>25769</v>
      </c>
      <c r="C644" s="416">
        <v>354</v>
      </c>
    </row>
    <row r="645" spans="1:3" ht="15" customHeight="1">
      <c r="A645" s="409" t="s">
        <v>25768</v>
      </c>
      <c r="B645" s="419" t="s">
        <v>25767</v>
      </c>
      <c r="C645" s="416">
        <v>364</v>
      </c>
    </row>
    <row r="646" spans="1:3" ht="15" customHeight="1">
      <c r="A646" s="409" t="s">
        <v>25766</v>
      </c>
      <c r="B646" s="419" t="s">
        <v>25765</v>
      </c>
      <c r="C646" s="416">
        <v>364</v>
      </c>
    </row>
    <row r="647" spans="1:3" ht="15" customHeight="1">
      <c r="A647" s="409" t="s">
        <v>25764</v>
      </c>
      <c r="B647" s="419" t="s">
        <v>25763</v>
      </c>
      <c r="C647" s="416">
        <v>1072</v>
      </c>
    </row>
    <row r="648" spans="1:3" ht="15" customHeight="1">
      <c r="A648" s="427" t="s">
        <v>25762</v>
      </c>
      <c r="B648" s="484" t="s">
        <v>25761</v>
      </c>
      <c r="C648" s="417">
        <v>917</v>
      </c>
    </row>
    <row r="649" spans="1:3" ht="15" customHeight="1">
      <c r="A649" s="453" t="s">
        <v>25760</v>
      </c>
      <c r="B649" s="576" t="s">
        <v>25759</v>
      </c>
      <c r="C649" s="417">
        <v>180</v>
      </c>
    </row>
    <row r="650" spans="1:3" ht="15" customHeight="1">
      <c r="A650" s="409" t="s">
        <v>25758</v>
      </c>
      <c r="B650" s="419" t="s">
        <v>25757</v>
      </c>
      <c r="C650" s="416">
        <v>74</v>
      </c>
    </row>
    <row r="651" spans="1:3" ht="15" customHeight="1">
      <c r="A651" s="478" t="s">
        <v>25756</v>
      </c>
      <c r="B651" s="454" t="s">
        <v>25755</v>
      </c>
      <c r="C651" s="416">
        <v>1428</v>
      </c>
    </row>
    <row r="652" spans="1:3" ht="15" customHeight="1">
      <c r="A652" s="478" t="s">
        <v>25754</v>
      </c>
      <c r="B652" s="454" t="s">
        <v>25753</v>
      </c>
      <c r="C652" s="416">
        <v>1593</v>
      </c>
    </row>
    <row r="653" spans="1:3" ht="15" customHeight="1">
      <c r="A653" s="478" t="s">
        <v>25752</v>
      </c>
      <c r="B653" s="454" t="s">
        <v>25751</v>
      </c>
      <c r="C653" s="416">
        <v>1543</v>
      </c>
    </row>
    <row r="654" spans="1:3" ht="15" customHeight="1">
      <c r="A654" s="478" t="s">
        <v>25750</v>
      </c>
      <c r="B654" s="454" t="s">
        <v>25749</v>
      </c>
      <c r="C654" s="416">
        <v>1520</v>
      </c>
    </row>
    <row r="655" spans="1:3" ht="15" customHeight="1">
      <c r="A655" s="478" t="s">
        <v>25748</v>
      </c>
      <c r="B655" s="454" t="s">
        <v>25747</v>
      </c>
      <c r="C655" s="416">
        <v>1698</v>
      </c>
    </row>
    <row r="656" spans="1:3" ht="15" customHeight="1">
      <c r="A656" s="478" t="s">
        <v>25746</v>
      </c>
      <c r="B656" s="454" t="s">
        <v>25745</v>
      </c>
      <c r="C656" s="416">
        <v>1843</v>
      </c>
    </row>
    <row r="657" spans="1:3" ht="15" customHeight="1">
      <c r="A657" s="478" t="s">
        <v>25744</v>
      </c>
      <c r="B657" s="454" t="s">
        <v>25743</v>
      </c>
      <c r="C657" s="416">
        <v>270</v>
      </c>
    </row>
    <row r="658" spans="1:3" ht="15" customHeight="1">
      <c r="A658" s="478" t="s">
        <v>25742</v>
      </c>
      <c r="B658" s="454" t="s">
        <v>25741</v>
      </c>
      <c r="C658" s="416">
        <v>397</v>
      </c>
    </row>
    <row r="659" spans="1:3" ht="15" customHeight="1">
      <c r="A659" s="575" t="s">
        <v>25740</v>
      </c>
      <c r="B659" s="574" t="s">
        <v>25739</v>
      </c>
      <c r="C659" s="416">
        <v>221</v>
      </c>
    </row>
    <row r="660" spans="1:3" ht="15" customHeight="1">
      <c r="A660" s="409" t="s">
        <v>25738</v>
      </c>
      <c r="B660" s="419" t="s">
        <v>25737</v>
      </c>
      <c r="C660" s="416">
        <v>124</v>
      </c>
    </row>
    <row r="661" spans="1:3" ht="15" customHeight="1">
      <c r="A661" s="409" t="s">
        <v>25736</v>
      </c>
      <c r="B661" s="419" t="s">
        <v>25735</v>
      </c>
      <c r="C661" s="416">
        <v>74</v>
      </c>
    </row>
    <row r="662" spans="1:3" ht="15" customHeight="1">
      <c r="A662" s="409" t="s">
        <v>25734</v>
      </c>
      <c r="B662" s="419" t="s">
        <v>25733</v>
      </c>
      <c r="C662" s="416">
        <v>70</v>
      </c>
    </row>
    <row r="663" spans="1:3" ht="15" customHeight="1">
      <c r="A663" s="409" t="s">
        <v>25732</v>
      </c>
      <c r="B663" s="419" t="s">
        <v>25731</v>
      </c>
      <c r="C663" s="416">
        <v>94</v>
      </c>
    </row>
    <row r="664" spans="1:3" ht="15" customHeight="1">
      <c r="A664" s="409" t="s">
        <v>25730</v>
      </c>
      <c r="B664" s="419" t="s">
        <v>25729</v>
      </c>
      <c r="C664" s="416">
        <v>67</v>
      </c>
    </row>
    <row r="665" spans="1:3" ht="15" customHeight="1">
      <c r="A665" s="409" t="s">
        <v>25728</v>
      </c>
      <c r="B665" s="419" t="s">
        <v>25727</v>
      </c>
      <c r="C665" s="416">
        <v>34</v>
      </c>
    </row>
    <row r="666" spans="1:3" ht="15" customHeight="1">
      <c r="A666" s="409" t="s">
        <v>25726</v>
      </c>
      <c r="B666" s="419" t="s">
        <v>25725</v>
      </c>
      <c r="C666" s="416">
        <v>96</v>
      </c>
    </row>
    <row r="667" spans="1:3" ht="15" customHeight="1">
      <c r="A667" s="409" t="s">
        <v>25724</v>
      </c>
      <c r="B667" s="454" t="s">
        <v>25723</v>
      </c>
      <c r="C667" s="417">
        <v>108</v>
      </c>
    </row>
    <row r="668" spans="1:3" ht="15" customHeight="1">
      <c r="A668" s="420" t="s">
        <v>25722</v>
      </c>
      <c r="B668" s="419" t="s">
        <v>25721</v>
      </c>
      <c r="C668" s="417">
        <v>30</v>
      </c>
    </row>
    <row r="669" spans="1:3" ht="15" customHeight="1">
      <c r="A669" s="420" t="s">
        <v>25720</v>
      </c>
      <c r="B669" s="419" t="s">
        <v>25719</v>
      </c>
      <c r="C669" s="417">
        <v>728</v>
      </c>
    </row>
    <row r="670" spans="1:3" ht="15" customHeight="1">
      <c r="A670" s="420" t="s">
        <v>25718</v>
      </c>
      <c r="B670" s="419" t="s">
        <v>25717</v>
      </c>
      <c r="C670" s="416">
        <v>937</v>
      </c>
    </row>
    <row r="671" spans="1:3" ht="15" customHeight="1">
      <c r="A671" s="409" t="s">
        <v>25716</v>
      </c>
      <c r="B671" s="419" t="s">
        <v>25715</v>
      </c>
      <c r="C671" s="416">
        <v>842</v>
      </c>
    </row>
    <row r="672" spans="1:3" ht="15" customHeight="1">
      <c r="A672" s="472" t="s">
        <v>25714</v>
      </c>
      <c r="B672" s="419" t="s">
        <v>25713</v>
      </c>
      <c r="C672" s="416">
        <v>653</v>
      </c>
    </row>
    <row r="673" spans="1:3" ht="15" customHeight="1">
      <c r="A673" s="409" t="s">
        <v>25712</v>
      </c>
      <c r="B673" s="430" t="s">
        <v>25711</v>
      </c>
      <c r="C673" s="416">
        <v>610</v>
      </c>
    </row>
    <row r="674" spans="1:3" ht="15" customHeight="1">
      <c r="A674" s="409" t="s">
        <v>25710</v>
      </c>
      <c r="B674" s="430" t="s">
        <v>25709</v>
      </c>
      <c r="C674" s="416">
        <v>869</v>
      </c>
    </row>
    <row r="675" spans="1:3" ht="15" customHeight="1">
      <c r="A675" s="409" t="s">
        <v>25708</v>
      </c>
      <c r="B675" s="430" t="s">
        <v>25707</v>
      </c>
      <c r="C675" s="416">
        <v>1316</v>
      </c>
    </row>
    <row r="676" spans="1:3" ht="15" customHeight="1">
      <c r="A676" s="420" t="s">
        <v>25706</v>
      </c>
      <c r="B676" s="419" t="s">
        <v>25705</v>
      </c>
      <c r="C676" s="417">
        <v>888</v>
      </c>
    </row>
    <row r="677" spans="1:3" ht="15" customHeight="1">
      <c r="A677" s="487" t="s">
        <v>25704</v>
      </c>
      <c r="B677" s="430" t="s">
        <v>25703</v>
      </c>
      <c r="C677" s="416">
        <v>763</v>
      </c>
    </row>
    <row r="678" spans="1:3" ht="15" customHeight="1">
      <c r="A678" s="487" t="s">
        <v>25702</v>
      </c>
      <c r="B678" s="430" t="s">
        <v>25701</v>
      </c>
      <c r="C678" s="416">
        <v>770</v>
      </c>
    </row>
    <row r="679" spans="1:3" ht="15" customHeight="1">
      <c r="A679" s="409" t="s">
        <v>25700</v>
      </c>
      <c r="B679" s="419" t="s">
        <v>25699</v>
      </c>
      <c r="C679" s="416">
        <v>676</v>
      </c>
    </row>
    <row r="680" spans="1:3" ht="15" customHeight="1">
      <c r="A680" s="409" t="s">
        <v>25698</v>
      </c>
      <c r="B680" s="419" t="s">
        <v>25697</v>
      </c>
      <c r="C680" s="416">
        <v>804</v>
      </c>
    </row>
    <row r="681" spans="1:3" ht="15" customHeight="1">
      <c r="A681" s="420" t="s">
        <v>25696</v>
      </c>
      <c r="B681" s="514" t="s">
        <v>25695</v>
      </c>
      <c r="C681" s="441">
        <v>780</v>
      </c>
    </row>
    <row r="682" spans="1:3" ht="15" customHeight="1">
      <c r="A682" s="420" t="s">
        <v>25694</v>
      </c>
      <c r="B682" s="419" t="s">
        <v>25693</v>
      </c>
      <c r="C682" s="417">
        <v>155</v>
      </c>
    </row>
    <row r="683" spans="1:3" ht="15" customHeight="1">
      <c r="A683" s="409" t="s">
        <v>25692</v>
      </c>
      <c r="B683" s="564" t="s">
        <v>25691</v>
      </c>
      <c r="C683" s="416">
        <v>390</v>
      </c>
    </row>
    <row r="684" spans="1:3" ht="15" customHeight="1">
      <c r="A684" s="409" t="s">
        <v>25690</v>
      </c>
      <c r="B684" s="430" t="s">
        <v>25689</v>
      </c>
      <c r="C684" s="417">
        <v>384</v>
      </c>
    </row>
    <row r="685" spans="1:3" ht="15" customHeight="1">
      <c r="A685" s="487" t="s">
        <v>25688</v>
      </c>
      <c r="B685" s="430" t="s">
        <v>25687</v>
      </c>
      <c r="C685" s="417">
        <v>127</v>
      </c>
    </row>
    <row r="686" spans="1:3" ht="15" customHeight="1">
      <c r="A686" s="420" t="s">
        <v>25686</v>
      </c>
      <c r="B686" s="430" t="s">
        <v>25685</v>
      </c>
      <c r="C686" s="417">
        <v>550</v>
      </c>
    </row>
    <row r="687" spans="1:3" ht="15" customHeight="1">
      <c r="A687" s="409" t="s">
        <v>25684</v>
      </c>
      <c r="B687" s="430" t="s">
        <v>25683</v>
      </c>
      <c r="C687" s="416">
        <v>1514</v>
      </c>
    </row>
    <row r="688" spans="1:3" ht="15" customHeight="1">
      <c r="A688" s="409" t="s">
        <v>25682</v>
      </c>
      <c r="B688" s="430" t="s">
        <v>25681</v>
      </c>
      <c r="C688" s="416">
        <v>528</v>
      </c>
    </row>
    <row r="689" spans="1:3" ht="15" customHeight="1">
      <c r="A689" s="409" t="s">
        <v>25680</v>
      </c>
      <c r="B689" s="430" t="s">
        <v>25679</v>
      </c>
      <c r="C689" s="416">
        <v>393</v>
      </c>
    </row>
    <row r="690" spans="1:3" ht="15" customHeight="1">
      <c r="A690" s="409" t="s">
        <v>25678</v>
      </c>
      <c r="B690" s="430" t="s">
        <v>25677</v>
      </c>
      <c r="C690" s="416">
        <v>432</v>
      </c>
    </row>
    <row r="691" spans="1:3" ht="15" customHeight="1">
      <c r="A691" s="409" t="s">
        <v>25676</v>
      </c>
      <c r="B691" s="430" t="s">
        <v>25675</v>
      </c>
      <c r="C691" s="416">
        <v>807</v>
      </c>
    </row>
    <row r="692" spans="1:3" ht="15" customHeight="1">
      <c r="A692" s="409" t="s">
        <v>25674</v>
      </c>
      <c r="B692" s="430" t="s">
        <v>25673</v>
      </c>
      <c r="C692" s="417">
        <v>529</v>
      </c>
    </row>
    <row r="693" spans="1:3" ht="15" customHeight="1">
      <c r="A693" s="487" t="s">
        <v>25672</v>
      </c>
      <c r="B693" s="430" t="s">
        <v>25671</v>
      </c>
      <c r="C693" s="416">
        <v>648</v>
      </c>
    </row>
    <row r="694" spans="1:3" ht="15" customHeight="1">
      <c r="A694" s="409" t="s">
        <v>25670</v>
      </c>
      <c r="B694" s="430" t="s">
        <v>25669</v>
      </c>
      <c r="C694" s="417">
        <v>719</v>
      </c>
    </row>
    <row r="695" spans="1:3" ht="15" customHeight="1">
      <c r="A695" s="409" t="s">
        <v>25668</v>
      </c>
      <c r="B695" s="430" t="s">
        <v>25667</v>
      </c>
      <c r="C695" s="417">
        <v>747</v>
      </c>
    </row>
    <row r="696" spans="1:3" ht="15" customHeight="1">
      <c r="A696" s="409" t="s">
        <v>25666</v>
      </c>
      <c r="B696" s="430" t="s">
        <v>25665</v>
      </c>
      <c r="C696" s="416">
        <v>912</v>
      </c>
    </row>
    <row r="697" spans="1:3" ht="15" customHeight="1">
      <c r="A697" s="409" t="s">
        <v>25664</v>
      </c>
      <c r="B697" s="430" t="s">
        <v>25663</v>
      </c>
      <c r="C697" s="416">
        <v>810</v>
      </c>
    </row>
    <row r="698" spans="1:3" ht="15" customHeight="1">
      <c r="A698" s="409" t="s">
        <v>25662</v>
      </c>
      <c r="B698" s="430" t="s">
        <v>25661</v>
      </c>
      <c r="C698" s="416">
        <v>861</v>
      </c>
    </row>
    <row r="699" spans="1:3" ht="15" customHeight="1">
      <c r="A699" s="409" t="s">
        <v>25660</v>
      </c>
      <c r="B699" s="430" t="s">
        <v>25659</v>
      </c>
      <c r="C699" s="416">
        <v>1191</v>
      </c>
    </row>
    <row r="700" spans="1:3" ht="15" customHeight="1">
      <c r="A700" s="420" t="s">
        <v>25658</v>
      </c>
      <c r="B700" s="419" t="s">
        <v>25657</v>
      </c>
      <c r="C700" s="417">
        <v>685</v>
      </c>
    </row>
    <row r="701" spans="1:3" ht="15" customHeight="1">
      <c r="A701" s="487" t="s">
        <v>25656</v>
      </c>
      <c r="B701" s="430" t="s">
        <v>25655</v>
      </c>
      <c r="C701" s="416">
        <v>679</v>
      </c>
    </row>
    <row r="702" spans="1:3" ht="15" customHeight="1">
      <c r="A702" s="409" t="s">
        <v>25654</v>
      </c>
      <c r="B702" s="430" t="s">
        <v>25653</v>
      </c>
      <c r="C702" s="416">
        <v>542</v>
      </c>
    </row>
    <row r="703" spans="1:3" ht="15" customHeight="1">
      <c r="A703" s="409" t="s">
        <v>25652</v>
      </c>
      <c r="B703" s="430" t="s">
        <v>25651</v>
      </c>
      <c r="C703" s="417">
        <v>603</v>
      </c>
    </row>
    <row r="704" spans="1:3" ht="15" customHeight="1">
      <c r="A704" s="409" t="s">
        <v>25650</v>
      </c>
      <c r="B704" s="430" t="s">
        <v>25649</v>
      </c>
      <c r="C704" s="416">
        <v>573</v>
      </c>
    </row>
    <row r="705" spans="1:3" ht="15" customHeight="1">
      <c r="A705" s="420" t="s">
        <v>25648</v>
      </c>
      <c r="B705" s="419" t="s">
        <v>25647</v>
      </c>
      <c r="C705" s="417">
        <v>742</v>
      </c>
    </row>
    <row r="706" spans="1:3" ht="15" customHeight="1">
      <c r="A706" s="420" t="s">
        <v>25646</v>
      </c>
      <c r="B706" s="419" t="s">
        <v>25645</v>
      </c>
      <c r="C706" s="417">
        <v>720</v>
      </c>
    </row>
    <row r="707" spans="1:3" ht="15" customHeight="1">
      <c r="A707" s="420" t="s">
        <v>25644</v>
      </c>
      <c r="B707" s="419" t="s">
        <v>25643</v>
      </c>
      <c r="C707" s="417">
        <v>927</v>
      </c>
    </row>
    <row r="708" spans="1:3" ht="15" customHeight="1">
      <c r="A708" s="420" t="s">
        <v>25642</v>
      </c>
      <c r="B708" s="419" t="s">
        <v>25641</v>
      </c>
      <c r="C708" s="417">
        <v>927</v>
      </c>
    </row>
    <row r="709" spans="1:3" ht="15" customHeight="1">
      <c r="A709" s="420" t="s">
        <v>25640</v>
      </c>
      <c r="B709" s="419" t="s">
        <v>25639</v>
      </c>
      <c r="C709" s="417">
        <v>1194</v>
      </c>
    </row>
    <row r="710" spans="1:3" ht="15" customHeight="1">
      <c r="A710" s="409" t="s">
        <v>25638</v>
      </c>
      <c r="B710" s="491" t="s">
        <v>25637</v>
      </c>
      <c r="C710" s="416">
        <v>1030</v>
      </c>
    </row>
    <row r="711" spans="1:3" ht="15" customHeight="1">
      <c r="A711" s="409" t="s">
        <v>25636</v>
      </c>
      <c r="B711" s="491" t="s">
        <v>25635</v>
      </c>
      <c r="C711" s="416">
        <v>1242</v>
      </c>
    </row>
    <row r="712" spans="1:3" ht="15" customHeight="1">
      <c r="A712" s="409" t="s">
        <v>25634</v>
      </c>
      <c r="B712" s="491" t="s">
        <v>25633</v>
      </c>
      <c r="C712" s="417">
        <v>1206</v>
      </c>
    </row>
    <row r="713" spans="1:3" s="524" customFormat="1" ht="15" customHeight="1">
      <c r="A713" s="447" t="s">
        <v>25632</v>
      </c>
      <c r="B713" s="491" t="s">
        <v>25631</v>
      </c>
      <c r="C713" s="416">
        <v>924</v>
      </c>
    </row>
    <row r="714" spans="1:3" ht="15" customHeight="1">
      <c r="A714" s="420" t="s">
        <v>25630</v>
      </c>
      <c r="B714" s="514" t="s">
        <v>25629</v>
      </c>
      <c r="C714" s="441">
        <v>897</v>
      </c>
    </row>
    <row r="715" spans="1:3" ht="15" customHeight="1">
      <c r="A715" s="420" t="s">
        <v>25628</v>
      </c>
      <c r="B715" s="419" t="s">
        <v>25627</v>
      </c>
      <c r="C715" s="417">
        <v>933</v>
      </c>
    </row>
    <row r="716" spans="1:3" ht="15" customHeight="1">
      <c r="A716" s="420" t="s">
        <v>25626</v>
      </c>
      <c r="B716" s="419" t="s">
        <v>25625</v>
      </c>
      <c r="C716" s="417">
        <v>1036</v>
      </c>
    </row>
    <row r="717" spans="1:3" ht="15" customHeight="1">
      <c r="A717" s="420" t="s">
        <v>25624</v>
      </c>
      <c r="B717" s="419" t="s">
        <v>25623</v>
      </c>
      <c r="C717" s="417">
        <v>927</v>
      </c>
    </row>
    <row r="718" spans="1:3" ht="15" customHeight="1">
      <c r="A718" s="447" t="s">
        <v>25622</v>
      </c>
      <c r="B718" s="491" t="s">
        <v>25621</v>
      </c>
      <c r="C718" s="571">
        <v>1276</v>
      </c>
    </row>
    <row r="719" spans="1:3" s="524" customFormat="1" ht="15" customHeight="1">
      <c r="A719" s="447" t="s">
        <v>25620</v>
      </c>
      <c r="B719" s="491" t="s">
        <v>25619</v>
      </c>
      <c r="C719" s="571">
        <v>1283</v>
      </c>
    </row>
    <row r="720" spans="1:3" s="524" customFormat="1" ht="15" customHeight="1">
      <c r="A720" s="420" t="s">
        <v>25618</v>
      </c>
      <c r="B720" s="419" t="s">
        <v>25617</v>
      </c>
      <c r="C720" s="418">
        <v>1300</v>
      </c>
    </row>
    <row r="721" spans="1:3" s="524" customFormat="1" ht="15" customHeight="1">
      <c r="A721" s="409" t="s">
        <v>25616</v>
      </c>
      <c r="B721" s="430" t="s">
        <v>25615</v>
      </c>
      <c r="C721" s="416">
        <v>1466</v>
      </c>
    </row>
    <row r="722" spans="1:3" ht="15" customHeight="1">
      <c r="A722" s="409" t="s">
        <v>25614</v>
      </c>
      <c r="B722" s="430" t="s">
        <v>25613</v>
      </c>
      <c r="C722" s="416">
        <v>1474</v>
      </c>
    </row>
    <row r="723" spans="1:3" ht="15" customHeight="1">
      <c r="A723" s="487" t="s">
        <v>25612</v>
      </c>
      <c r="B723" s="430" t="s">
        <v>25611</v>
      </c>
      <c r="C723" s="417">
        <v>1065</v>
      </c>
    </row>
    <row r="724" spans="1:3" ht="15" customHeight="1">
      <c r="A724" s="420" t="s">
        <v>25610</v>
      </c>
      <c r="B724" s="419" t="s">
        <v>25609</v>
      </c>
      <c r="C724" s="417">
        <v>919</v>
      </c>
    </row>
    <row r="725" spans="1:3" ht="15" customHeight="1">
      <c r="A725" s="420" t="s">
        <v>25608</v>
      </c>
      <c r="B725" s="419" t="s">
        <v>25607</v>
      </c>
      <c r="C725" s="417">
        <v>919</v>
      </c>
    </row>
    <row r="726" spans="1:3" ht="15" customHeight="1">
      <c r="A726" s="420" t="s">
        <v>25606</v>
      </c>
      <c r="B726" s="419" t="s">
        <v>25605</v>
      </c>
      <c r="C726" s="417">
        <v>941</v>
      </c>
    </row>
    <row r="727" spans="1:3" ht="15" customHeight="1">
      <c r="A727" s="409" t="s">
        <v>25604</v>
      </c>
      <c r="B727" s="430" t="s">
        <v>25603</v>
      </c>
      <c r="C727" s="417">
        <v>941</v>
      </c>
    </row>
    <row r="728" spans="1:3" ht="15" customHeight="1">
      <c r="A728" s="420" t="s">
        <v>25602</v>
      </c>
      <c r="B728" s="430" t="s">
        <v>25601</v>
      </c>
      <c r="C728" s="417">
        <v>1218</v>
      </c>
    </row>
    <row r="729" spans="1:3" ht="15" customHeight="1">
      <c r="A729" s="420" t="s">
        <v>25600</v>
      </c>
      <c r="B729" s="430" t="s">
        <v>25599</v>
      </c>
      <c r="C729" s="417">
        <v>1146</v>
      </c>
    </row>
    <row r="730" spans="1:3" ht="15" customHeight="1">
      <c r="A730" s="420" t="s">
        <v>25598</v>
      </c>
      <c r="B730" s="430" t="s">
        <v>25597</v>
      </c>
      <c r="C730" s="417">
        <v>1076</v>
      </c>
    </row>
    <row r="731" spans="1:3" ht="15" customHeight="1">
      <c r="A731" s="420" t="s">
        <v>25596</v>
      </c>
      <c r="B731" s="419" t="s">
        <v>25595</v>
      </c>
      <c r="C731" s="417">
        <v>1090</v>
      </c>
    </row>
    <row r="732" spans="1:3" ht="15" customHeight="1">
      <c r="A732" s="472" t="s">
        <v>25594</v>
      </c>
      <c r="B732" s="419" t="s">
        <v>25593</v>
      </c>
      <c r="C732" s="416">
        <v>792</v>
      </c>
    </row>
    <row r="733" spans="1:3" ht="15" customHeight="1">
      <c r="A733" s="472" t="s">
        <v>25592</v>
      </c>
      <c r="B733" s="419" t="s">
        <v>25591</v>
      </c>
      <c r="C733" s="416">
        <v>1036</v>
      </c>
    </row>
    <row r="734" spans="1:3" ht="15" customHeight="1">
      <c r="A734" s="472" t="s">
        <v>25590</v>
      </c>
      <c r="B734" s="419" t="s">
        <v>25589</v>
      </c>
      <c r="C734" s="416">
        <v>1060</v>
      </c>
    </row>
    <row r="735" spans="1:3" ht="15" customHeight="1">
      <c r="A735" s="472" t="s">
        <v>25588</v>
      </c>
      <c r="B735" s="419" t="s">
        <v>25587</v>
      </c>
      <c r="C735" s="416">
        <v>1137</v>
      </c>
    </row>
    <row r="736" spans="1:3" ht="15" customHeight="1">
      <c r="A736" s="472" t="s">
        <v>25586</v>
      </c>
      <c r="B736" s="419" t="s">
        <v>25585</v>
      </c>
      <c r="C736" s="417">
        <v>1227</v>
      </c>
    </row>
    <row r="737" spans="1:3" ht="15" customHeight="1">
      <c r="A737" s="487" t="s">
        <v>25584</v>
      </c>
      <c r="B737" s="419" t="s">
        <v>25583</v>
      </c>
      <c r="C737" s="417">
        <v>1397</v>
      </c>
    </row>
    <row r="738" spans="1:3" ht="15" customHeight="1">
      <c r="A738" s="487" t="s">
        <v>25582</v>
      </c>
      <c r="B738" s="419" t="s">
        <v>25581</v>
      </c>
      <c r="C738" s="417">
        <v>1080</v>
      </c>
    </row>
    <row r="739" spans="1:3" ht="15" customHeight="1">
      <c r="A739" s="487" t="s">
        <v>25580</v>
      </c>
      <c r="B739" s="419" t="s">
        <v>25579</v>
      </c>
      <c r="C739" s="417">
        <v>1847</v>
      </c>
    </row>
    <row r="740" spans="1:3" ht="15" customHeight="1">
      <c r="A740" s="478" t="s">
        <v>25578</v>
      </c>
      <c r="B740" s="454" t="s">
        <v>25577</v>
      </c>
      <c r="C740" s="417">
        <v>16</v>
      </c>
    </row>
    <row r="741" spans="1:3" ht="15" customHeight="1">
      <c r="A741" s="478" t="s">
        <v>25576</v>
      </c>
      <c r="B741" s="454" t="s">
        <v>25575</v>
      </c>
      <c r="C741" s="417">
        <v>141</v>
      </c>
    </row>
    <row r="742" spans="1:3" ht="15" customHeight="1">
      <c r="A742" s="409" t="s">
        <v>25574</v>
      </c>
      <c r="B742" s="419" t="s">
        <v>25573</v>
      </c>
      <c r="C742" s="571">
        <v>44</v>
      </c>
    </row>
    <row r="743" spans="1:3" ht="15" customHeight="1">
      <c r="A743" s="409" t="s">
        <v>25572</v>
      </c>
      <c r="B743" s="419" t="s">
        <v>25571</v>
      </c>
      <c r="C743" s="416">
        <v>30</v>
      </c>
    </row>
    <row r="744" spans="1:3" ht="15" customHeight="1">
      <c r="A744" s="478" t="s">
        <v>25570</v>
      </c>
      <c r="B744" s="454" t="s">
        <v>25569</v>
      </c>
      <c r="C744" s="417">
        <v>124</v>
      </c>
    </row>
    <row r="745" spans="1:3" ht="15" customHeight="1">
      <c r="A745" s="478" t="s">
        <v>25568</v>
      </c>
      <c r="B745" s="454" t="s">
        <v>25567</v>
      </c>
      <c r="C745" s="417">
        <v>248</v>
      </c>
    </row>
    <row r="746" spans="1:3" ht="15" customHeight="1">
      <c r="A746" s="424" t="s">
        <v>25566</v>
      </c>
      <c r="B746" s="573" t="s">
        <v>25565</v>
      </c>
      <c r="C746" s="543">
        <v>275</v>
      </c>
    </row>
    <row r="747" spans="1:3" ht="15" customHeight="1">
      <c r="A747" s="409" t="s">
        <v>25564</v>
      </c>
      <c r="B747" s="419" t="s">
        <v>25563</v>
      </c>
      <c r="C747" s="571">
        <v>12</v>
      </c>
    </row>
    <row r="748" spans="1:3" ht="15" customHeight="1">
      <c r="A748" s="409" t="s">
        <v>25562</v>
      </c>
      <c r="B748" s="419" t="s">
        <v>25561</v>
      </c>
      <c r="C748" s="571">
        <v>12</v>
      </c>
    </row>
    <row r="749" spans="1:3" ht="15" customHeight="1">
      <c r="A749" s="409" t="s">
        <v>25560</v>
      </c>
      <c r="B749" s="419" t="s">
        <v>25559</v>
      </c>
      <c r="C749" s="571">
        <v>12</v>
      </c>
    </row>
    <row r="750" spans="1:3" ht="15" customHeight="1">
      <c r="A750" s="409" t="s">
        <v>25558</v>
      </c>
      <c r="B750" s="419" t="s">
        <v>25557</v>
      </c>
      <c r="C750" s="571">
        <v>12</v>
      </c>
    </row>
    <row r="751" spans="1:3" ht="15" customHeight="1">
      <c r="A751" s="463" t="s">
        <v>25556</v>
      </c>
      <c r="B751" s="570" t="s">
        <v>25555</v>
      </c>
      <c r="C751" s="571">
        <v>88</v>
      </c>
    </row>
    <row r="752" spans="1:3" ht="15" customHeight="1">
      <c r="A752" s="463" t="s">
        <v>25554</v>
      </c>
      <c r="B752" s="570" t="s">
        <v>25553</v>
      </c>
      <c r="C752" s="416">
        <v>112</v>
      </c>
    </row>
    <row r="753" spans="1:3" ht="15" customHeight="1">
      <c r="A753" s="463" t="s">
        <v>25552</v>
      </c>
      <c r="B753" s="570" t="s">
        <v>25551</v>
      </c>
      <c r="C753" s="416">
        <v>112</v>
      </c>
    </row>
    <row r="754" spans="1:3" ht="15" customHeight="1">
      <c r="A754" s="463" t="s">
        <v>25550</v>
      </c>
      <c r="B754" s="570" t="s">
        <v>25549</v>
      </c>
      <c r="C754" s="416">
        <v>112</v>
      </c>
    </row>
    <row r="755" spans="1:3" ht="15" customHeight="1">
      <c r="A755" s="463" t="s">
        <v>25548</v>
      </c>
      <c r="B755" s="570" t="s">
        <v>25547</v>
      </c>
      <c r="C755" s="416">
        <v>112</v>
      </c>
    </row>
    <row r="756" spans="1:3" ht="15" customHeight="1">
      <c r="A756" s="463" t="s">
        <v>25546</v>
      </c>
      <c r="B756" s="570" t="s">
        <v>25545</v>
      </c>
      <c r="C756" s="416">
        <v>112</v>
      </c>
    </row>
    <row r="757" spans="1:3" ht="15" customHeight="1">
      <c r="A757" s="463" t="s">
        <v>25544</v>
      </c>
      <c r="B757" s="570" t="s">
        <v>25543</v>
      </c>
      <c r="C757" s="416">
        <v>112</v>
      </c>
    </row>
    <row r="758" spans="1:3" ht="15" customHeight="1">
      <c r="A758" s="463" t="s">
        <v>25542</v>
      </c>
      <c r="B758" s="572" t="s">
        <v>25541</v>
      </c>
      <c r="C758" s="416">
        <v>112</v>
      </c>
    </row>
    <row r="759" spans="1:3" ht="15" customHeight="1">
      <c r="A759" s="463" t="s">
        <v>25540</v>
      </c>
      <c r="B759" s="570" t="s">
        <v>25539</v>
      </c>
      <c r="C759" s="416">
        <v>112</v>
      </c>
    </row>
    <row r="760" spans="1:3" ht="15" customHeight="1">
      <c r="A760" s="463" t="s">
        <v>25538</v>
      </c>
      <c r="B760" s="570" t="s">
        <v>25537</v>
      </c>
      <c r="C760" s="416">
        <v>112</v>
      </c>
    </row>
    <row r="761" spans="1:3" ht="15" customHeight="1">
      <c r="A761" s="463" t="s">
        <v>25536</v>
      </c>
      <c r="B761" s="570" t="s">
        <v>25535</v>
      </c>
      <c r="C761" s="416">
        <v>112</v>
      </c>
    </row>
    <row r="762" spans="1:3" ht="15" customHeight="1">
      <c r="A762" s="463" t="s">
        <v>25534</v>
      </c>
      <c r="B762" s="570" t="s">
        <v>25533</v>
      </c>
      <c r="C762" s="571">
        <v>85</v>
      </c>
    </row>
    <row r="763" spans="1:3" ht="15" customHeight="1">
      <c r="A763" s="463" t="s">
        <v>25532</v>
      </c>
      <c r="B763" s="570" t="s">
        <v>25531</v>
      </c>
      <c r="C763" s="416">
        <v>109</v>
      </c>
    </row>
    <row r="764" spans="1:3" ht="15" customHeight="1">
      <c r="A764" s="463" t="s">
        <v>25530</v>
      </c>
      <c r="B764" s="570" t="s">
        <v>25529</v>
      </c>
      <c r="C764" s="416">
        <v>109</v>
      </c>
    </row>
    <row r="765" spans="1:3" ht="15" customHeight="1">
      <c r="A765" s="463" t="s">
        <v>25528</v>
      </c>
      <c r="B765" s="570" t="s">
        <v>25527</v>
      </c>
      <c r="C765" s="416">
        <v>109</v>
      </c>
    </row>
    <row r="766" spans="1:3" ht="15" customHeight="1">
      <c r="A766" s="463" t="s">
        <v>25526</v>
      </c>
      <c r="B766" s="570" t="s">
        <v>25525</v>
      </c>
      <c r="C766" s="416">
        <v>109</v>
      </c>
    </row>
    <row r="767" spans="1:3" ht="15" customHeight="1">
      <c r="A767" s="463" t="s">
        <v>25524</v>
      </c>
      <c r="B767" s="570" t="s">
        <v>25523</v>
      </c>
      <c r="C767" s="416">
        <v>109</v>
      </c>
    </row>
    <row r="768" spans="1:3" ht="15" customHeight="1">
      <c r="A768" s="463" t="s">
        <v>25522</v>
      </c>
      <c r="B768" s="570" t="s">
        <v>25521</v>
      </c>
      <c r="C768" s="416">
        <v>109</v>
      </c>
    </row>
    <row r="769" spans="1:3" ht="15" customHeight="1">
      <c r="A769" s="463" t="s">
        <v>25520</v>
      </c>
      <c r="B769" s="570" t="s">
        <v>25519</v>
      </c>
      <c r="C769" s="416">
        <v>109</v>
      </c>
    </row>
    <row r="770" spans="1:3" ht="15" customHeight="1">
      <c r="A770" s="463" t="s">
        <v>25518</v>
      </c>
      <c r="B770" s="570" t="s">
        <v>25517</v>
      </c>
      <c r="C770" s="416">
        <v>109</v>
      </c>
    </row>
    <row r="771" spans="1:3" ht="15" customHeight="1">
      <c r="A771" s="463" t="s">
        <v>25516</v>
      </c>
      <c r="B771" s="570" t="s">
        <v>25515</v>
      </c>
      <c r="C771" s="416">
        <v>109</v>
      </c>
    </row>
    <row r="772" spans="1:3" ht="15" customHeight="1">
      <c r="A772" s="463" t="s">
        <v>25514</v>
      </c>
      <c r="B772" s="570" t="s">
        <v>25513</v>
      </c>
      <c r="C772" s="416">
        <v>109</v>
      </c>
    </row>
    <row r="773" spans="1:3" ht="15" customHeight="1">
      <c r="A773" s="493" t="s">
        <v>25512</v>
      </c>
      <c r="B773" s="525" t="s">
        <v>25511</v>
      </c>
      <c r="C773" s="417">
        <v>112</v>
      </c>
    </row>
    <row r="774" spans="1:3" ht="15" customHeight="1">
      <c r="A774" s="493" t="s">
        <v>25510</v>
      </c>
      <c r="B774" s="525" t="s">
        <v>25509</v>
      </c>
      <c r="C774" s="417">
        <v>136</v>
      </c>
    </row>
    <row r="775" spans="1:3" ht="15" customHeight="1">
      <c r="A775" s="493" t="s">
        <v>25508</v>
      </c>
      <c r="B775" s="525" t="s">
        <v>25507</v>
      </c>
      <c r="C775" s="417">
        <v>136</v>
      </c>
    </row>
    <row r="776" spans="1:3" ht="15" customHeight="1">
      <c r="A776" s="493" t="s">
        <v>25506</v>
      </c>
      <c r="B776" s="525" t="s">
        <v>25505</v>
      </c>
      <c r="C776" s="417">
        <v>136</v>
      </c>
    </row>
    <row r="777" spans="1:3" ht="15" customHeight="1">
      <c r="A777" s="493" t="s">
        <v>25504</v>
      </c>
      <c r="B777" s="525" t="s">
        <v>25503</v>
      </c>
      <c r="C777" s="417">
        <v>136</v>
      </c>
    </row>
    <row r="778" spans="1:3" ht="15" customHeight="1">
      <c r="A778" s="493" t="s">
        <v>25502</v>
      </c>
      <c r="B778" s="525" t="s">
        <v>25501</v>
      </c>
      <c r="C778" s="417">
        <v>136</v>
      </c>
    </row>
    <row r="779" spans="1:3" ht="15" customHeight="1">
      <c r="A779" s="493" t="s">
        <v>25500</v>
      </c>
      <c r="B779" s="525" t="s">
        <v>25499</v>
      </c>
      <c r="C779" s="417">
        <v>136</v>
      </c>
    </row>
    <row r="780" spans="1:3" ht="15" customHeight="1">
      <c r="A780" s="493" t="s">
        <v>25498</v>
      </c>
      <c r="B780" s="525" t="s">
        <v>25497</v>
      </c>
      <c r="C780" s="417">
        <v>136</v>
      </c>
    </row>
    <row r="781" spans="1:3" ht="15" customHeight="1">
      <c r="A781" s="493" t="s">
        <v>25496</v>
      </c>
      <c r="B781" s="525" t="s">
        <v>25495</v>
      </c>
      <c r="C781" s="417">
        <v>136</v>
      </c>
    </row>
    <row r="782" spans="1:3" ht="15" customHeight="1">
      <c r="A782" s="493" t="s">
        <v>25494</v>
      </c>
      <c r="B782" s="525" t="s">
        <v>25493</v>
      </c>
      <c r="C782" s="417">
        <v>136</v>
      </c>
    </row>
    <row r="783" spans="1:3" ht="15" customHeight="1">
      <c r="A783" s="493" t="s">
        <v>25492</v>
      </c>
      <c r="B783" s="525" t="s">
        <v>25491</v>
      </c>
      <c r="C783" s="417">
        <v>136</v>
      </c>
    </row>
    <row r="784" spans="1:3" ht="15" customHeight="1">
      <c r="A784" s="463" t="s">
        <v>25490</v>
      </c>
      <c r="B784" s="570" t="s">
        <v>25489</v>
      </c>
      <c r="C784" s="571">
        <v>100</v>
      </c>
    </row>
    <row r="785" spans="1:3" ht="15" customHeight="1">
      <c r="A785" s="463" t="s">
        <v>25488</v>
      </c>
      <c r="B785" s="570" t="s">
        <v>25487</v>
      </c>
      <c r="C785" s="416">
        <v>124</v>
      </c>
    </row>
    <row r="786" spans="1:3" ht="15" customHeight="1">
      <c r="A786" s="463" t="s">
        <v>25486</v>
      </c>
      <c r="B786" s="570" t="s">
        <v>25485</v>
      </c>
      <c r="C786" s="416">
        <v>124</v>
      </c>
    </row>
    <row r="787" spans="1:3" ht="15" customHeight="1">
      <c r="A787" s="463" t="s">
        <v>25484</v>
      </c>
      <c r="B787" s="570" t="s">
        <v>25483</v>
      </c>
      <c r="C787" s="416">
        <v>124</v>
      </c>
    </row>
    <row r="788" spans="1:3" ht="15" customHeight="1">
      <c r="A788" s="463" t="s">
        <v>25482</v>
      </c>
      <c r="B788" s="570" t="s">
        <v>25481</v>
      </c>
      <c r="C788" s="416">
        <v>124</v>
      </c>
    </row>
    <row r="789" spans="1:3" ht="15" customHeight="1">
      <c r="A789" s="463" t="s">
        <v>25480</v>
      </c>
      <c r="B789" s="570" t="s">
        <v>25479</v>
      </c>
      <c r="C789" s="416">
        <v>124</v>
      </c>
    </row>
    <row r="790" spans="1:3" ht="15" customHeight="1">
      <c r="A790" s="463" t="s">
        <v>25478</v>
      </c>
      <c r="B790" s="570" t="s">
        <v>25477</v>
      </c>
      <c r="C790" s="416">
        <v>124</v>
      </c>
    </row>
    <row r="791" spans="1:3" ht="15" customHeight="1">
      <c r="A791" s="463" t="s">
        <v>25476</v>
      </c>
      <c r="B791" s="570" t="s">
        <v>25475</v>
      </c>
      <c r="C791" s="416">
        <v>124</v>
      </c>
    </row>
    <row r="792" spans="1:3" ht="15" customHeight="1">
      <c r="A792" s="463" t="s">
        <v>25474</v>
      </c>
      <c r="B792" s="570" t="s">
        <v>25473</v>
      </c>
      <c r="C792" s="416">
        <v>124</v>
      </c>
    </row>
    <row r="793" spans="1:3" ht="15" customHeight="1">
      <c r="A793" s="463" t="s">
        <v>25472</v>
      </c>
      <c r="B793" s="570" t="s">
        <v>25471</v>
      </c>
      <c r="C793" s="416">
        <v>124</v>
      </c>
    </row>
    <row r="794" spans="1:3" ht="15" customHeight="1">
      <c r="A794" s="463" t="s">
        <v>25470</v>
      </c>
      <c r="B794" s="570" t="s">
        <v>25469</v>
      </c>
      <c r="C794" s="416">
        <v>124</v>
      </c>
    </row>
    <row r="795" spans="1:3" ht="15" customHeight="1">
      <c r="A795" s="463" t="s">
        <v>25468</v>
      </c>
      <c r="B795" s="570" t="s">
        <v>25467</v>
      </c>
      <c r="C795" s="571">
        <v>94</v>
      </c>
    </row>
    <row r="796" spans="1:3" ht="15" customHeight="1">
      <c r="A796" s="463" t="s">
        <v>25466</v>
      </c>
      <c r="B796" s="570" t="s">
        <v>25465</v>
      </c>
      <c r="C796" s="416">
        <v>118</v>
      </c>
    </row>
    <row r="797" spans="1:3" ht="15" customHeight="1">
      <c r="A797" s="463" t="s">
        <v>25464</v>
      </c>
      <c r="B797" s="570" t="s">
        <v>25463</v>
      </c>
      <c r="C797" s="416">
        <v>118</v>
      </c>
    </row>
    <row r="798" spans="1:3" ht="15" customHeight="1">
      <c r="A798" s="463" t="s">
        <v>25462</v>
      </c>
      <c r="B798" s="570" t="s">
        <v>25461</v>
      </c>
      <c r="C798" s="416">
        <v>118</v>
      </c>
    </row>
    <row r="799" spans="1:3" s="524" customFormat="1" ht="15" customHeight="1">
      <c r="A799" s="463" t="s">
        <v>25460</v>
      </c>
      <c r="B799" s="570" t="s">
        <v>25459</v>
      </c>
      <c r="C799" s="416">
        <v>118</v>
      </c>
    </row>
    <row r="800" spans="1:3" s="524" customFormat="1" ht="15" customHeight="1">
      <c r="A800" s="463" t="s">
        <v>25458</v>
      </c>
      <c r="B800" s="570" t="s">
        <v>25457</v>
      </c>
      <c r="C800" s="416">
        <v>118</v>
      </c>
    </row>
    <row r="801" spans="1:3" ht="15" customHeight="1">
      <c r="A801" s="463" t="s">
        <v>25456</v>
      </c>
      <c r="B801" s="570" t="s">
        <v>25455</v>
      </c>
      <c r="C801" s="416">
        <v>118</v>
      </c>
    </row>
    <row r="802" spans="1:3" ht="15" customHeight="1">
      <c r="A802" s="463" t="s">
        <v>25454</v>
      </c>
      <c r="B802" s="570" t="s">
        <v>25453</v>
      </c>
      <c r="C802" s="416">
        <v>118</v>
      </c>
    </row>
    <row r="803" spans="1:3" ht="15" customHeight="1">
      <c r="A803" s="463" t="s">
        <v>25452</v>
      </c>
      <c r="B803" s="570" t="s">
        <v>25451</v>
      </c>
      <c r="C803" s="416">
        <v>118</v>
      </c>
    </row>
    <row r="804" spans="1:3" ht="15" customHeight="1">
      <c r="A804" s="463" t="s">
        <v>25450</v>
      </c>
      <c r="B804" s="570" t="s">
        <v>25449</v>
      </c>
      <c r="C804" s="416">
        <v>118</v>
      </c>
    </row>
    <row r="805" spans="1:3" s="524" customFormat="1" ht="15" customHeight="1">
      <c r="A805" s="463" t="s">
        <v>25448</v>
      </c>
      <c r="B805" s="570" t="s">
        <v>25447</v>
      </c>
      <c r="C805" s="416">
        <v>118</v>
      </c>
    </row>
    <row r="806" spans="1:3" s="524" customFormat="1" ht="15" customHeight="1">
      <c r="A806" s="420" t="s">
        <v>25446</v>
      </c>
      <c r="B806" s="419" t="s">
        <v>25445</v>
      </c>
      <c r="C806" s="418">
        <v>159</v>
      </c>
    </row>
    <row r="807" spans="1:3" ht="15" customHeight="1">
      <c r="A807" s="420" t="s">
        <v>25444</v>
      </c>
      <c r="B807" s="419" t="s">
        <v>25443</v>
      </c>
      <c r="C807" s="418">
        <v>218</v>
      </c>
    </row>
    <row r="808" spans="1:3" ht="15" customHeight="1">
      <c r="A808" s="420" t="s">
        <v>25442</v>
      </c>
      <c r="B808" s="419" t="s">
        <v>25441</v>
      </c>
      <c r="C808" s="418">
        <v>181</v>
      </c>
    </row>
    <row r="809" spans="1:3" ht="15" customHeight="1">
      <c r="A809" s="420" t="s">
        <v>25440</v>
      </c>
      <c r="B809" s="419" t="s">
        <v>25439</v>
      </c>
      <c r="C809" s="418">
        <v>239</v>
      </c>
    </row>
    <row r="810" spans="1:3" ht="15" customHeight="1">
      <c r="A810" s="420" t="s">
        <v>25438</v>
      </c>
      <c r="B810" s="419" t="s">
        <v>25437</v>
      </c>
      <c r="C810" s="418">
        <v>181</v>
      </c>
    </row>
    <row r="811" spans="1:3" ht="15" customHeight="1">
      <c r="A811" s="420" t="s">
        <v>25436</v>
      </c>
      <c r="B811" s="419" t="s">
        <v>25435</v>
      </c>
      <c r="C811" s="418">
        <v>239</v>
      </c>
    </row>
    <row r="812" spans="1:3" ht="15" customHeight="1">
      <c r="A812" s="420" t="s">
        <v>25434</v>
      </c>
      <c r="B812" s="419" t="s">
        <v>25433</v>
      </c>
      <c r="C812" s="418">
        <v>239</v>
      </c>
    </row>
    <row r="813" spans="1:3" ht="15" customHeight="1">
      <c r="A813" s="420" t="s">
        <v>25432</v>
      </c>
      <c r="B813" s="419" t="s">
        <v>25431</v>
      </c>
      <c r="C813" s="418">
        <v>297</v>
      </c>
    </row>
    <row r="814" spans="1:3" ht="15" customHeight="1">
      <c r="A814" s="420" t="s">
        <v>25430</v>
      </c>
      <c r="B814" s="419" t="s">
        <v>25429</v>
      </c>
      <c r="C814" s="418">
        <v>257</v>
      </c>
    </row>
    <row r="815" spans="1:3" ht="15" customHeight="1">
      <c r="A815" s="420" t="s">
        <v>25428</v>
      </c>
      <c r="B815" s="419" t="s">
        <v>25427</v>
      </c>
      <c r="C815" s="418">
        <v>358</v>
      </c>
    </row>
    <row r="816" spans="1:3" ht="15" customHeight="1">
      <c r="A816" s="420" t="s">
        <v>25426</v>
      </c>
      <c r="B816" s="419" t="s">
        <v>25425</v>
      </c>
      <c r="C816" s="418">
        <v>257</v>
      </c>
    </row>
    <row r="817" spans="1:3" ht="15" customHeight="1">
      <c r="A817" s="420" t="s">
        <v>25424</v>
      </c>
      <c r="B817" s="419" t="s">
        <v>25423</v>
      </c>
      <c r="C817" s="418">
        <v>358</v>
      </c>
    </row>
    <row r="818" spans="1:3" ht="15" customHeight="1">
      <c r="A818" s="409" t="s">
        <v>25422</v>
      </c>
      <c r="B818" s="419" t="s">
        <v>25421</v>
      </c>
      <c r="C818" s="417">
        <v>79</v>
      </c>
    </row>
    <row r="819" spans="1:3" ht="15" customHeight="1">
      <c r="A819" s="409" t="s">
        <v>25420</v>
      </c>
      <c r="B819" s="419" t="s">
        <v>25419</v>
      </c>
      <c r="C819" s="416">
        <v>73</v>
      </c>
    </row>
    <row r="820" spans="1:3" ht="15" customHeight="1">
      <c r="A820" s="409" t="s">
        <v>25418</v>
      </c>
      <c r="B820" s="419" t="s">
        <v>25417</v>
      </c>
      <c r="C820" s="416">
        <v>92</v>
      </c>
    </row>
    <row r="821" spans="1:3" ht="15" customHeight="1">
      <c r="A821" s="409" t="s">
        <v>25416</v>
      </c>
      <c r="B821" s="419" t="s">
        <v>25415</v>
      </c>
      <c r="C821" s="416">
        <v>116</v>
      </c>
    </row>
    <row r="822" spans="1:3" ht="15" customHeight="1">
      <c r="A822" s="566" t="s">
        <v>25414</v>
      </c>
      <c r="B822" s="510" t="s">
        <v>25413</v>
      </c>
      <c r="C822" s="416">
        <v>103</v>
      </c>
    </row>
    <row r="823" spans="1:3" ht="15" customHeight="1">
      <c r="A823" s="566" t="s">
        <v>25412</v>
      </c>
      <c r="B823" s="491" t="s">
        <v>25411</v>
      </c>
      <c r="C823" s="417">
        <v>14</v>
      </c>
    </row>
    <row r="824" spans="1:3" ht="15" customHeight="1">
      <c r="A824" s="420" t="s">
        <v>25410</v>
      </c>
      <c r="B824" s="419" t="s">
        <v>25409</v>
      </c>
      <c r="C824" s="418">
        <v>95</v>
      </c>
    </row>
    <row r="825" spans="1:3" ht="15" customHeight="1">
      <c r="A825" s="409" t="s">
        <v>25408</v>
      </c>
      <c r="B825" s="419" t="s">
        <v>25407</v>
      </c>
      <c r="C825" s="416">
        <v>68</v>
      </c>
    </row>
    <row r="826" spans="1:3" ht="15" customHeight="1">
      <c r="A826" s="409" t="s">
        <v>25406</v>
      </c>
      <c r="B826" s="419" t="s">
        <v>25405</v>
      </c>
      <c r="C826" s="416">
        <v>51</v>
      </c>
    </row>
    <row r="827" spans="1:3" ht="15" customHeight="1">
      <c r="A827" s="409" t="s">
        <v>25404</v>
      </c>
      <c r="B827" s="430" t="s">
        <v>25403</v>
      </c>
      <c r="C827" s="416">
        <v>100</v>
      </c>
    </row>
    <row r="828" spans="1:3" ht="15" customHeight="1">
      <c r="A828" s="409" t="s">
        <v>25402</v>
      </c>
      <c r="B828" s="419" t="s">
        <v>25401</v>
      </c>
      <c r="C828" s="416">
        <v>38</v>
      </c>
    </row>
    <row r="829" spans="1:3" ht="15" customHeight="1">
      <c r="A829" s="409" t="s">
        <v>25400</v>
      </c>
      <c r="B829" s="419" t="s">
        <v>25399</v>
      </c>
      <c r="C829" s="416">
        <v>34</v>
      </c>
    </row>
    <row r="830" spans="1:3" ht="15" customHeight="1">
      <c r="A830" s="409" t="s">
        <v>25398</v>
      </c>
      <c r="B830" s="419" t="s">
        <v>25397</v>
      </c>
      <c r="C830" s="416">
        <v>38</v>
      </c>
    </row>
    <row r="831" spans="1:3" ht="15" customHeight="1">
      <c r="A831" s="409" t="s">
        <v>25396</v>
      </c>
      <c r="B831" s="419" t="s">
        <v>25395</v>
      </c>
      <c r="C831" s="416">
        <v>41</v>
      </c>
    </row>
    <row r="832" spans="1:3" ht="15" customHeight="1">
      <c r="A832" s="409" t="s">
        <v>25394</v>
      </c>
      <c r="B832" s="419" t="s">
        <v>25393</v>
      </c>
      <c r="C832" s="416">
        <v>32</v>
      </c>
    </row>
    <row r="833" spans="1:3" ht="15" customHeight="1">
      <c r="A833" s="409" t="s">
        <v>25392</v>
      </c>
      <c r="B833" s="419" t="s">
        <v>25391</v>
      </c>
      <c r="C833" s="416">
        <v>62</v>
      </c>
    </row>
    <row r="834" spans="1:3" ht="15" customHeight="1">
      <c r="A834" s="420" t="s">
        <v>25390</v>
      </c>
      <c r="B834" s="419" t="s">
        <v>25389</v>
      </c>
      <c r="C834" s="417">
        <v>46</v>
      </c>
    </row>
    <row r="835" spans="1:3" ht="15" customHeight="1">
      <c r="A835" s="420" t="s">
        <v>25388</v>
      </c>
      <c r="B835" s="419" t="s">
        <v>25387</v>
      </c>
      <c r="C835" s="417">
        <v>46</v>
      </c>
    </row>
    <row r="836" spans="1:3" ht="15" customHeight="1">
      <c r="A836" s="409" t="s">
        <v>25386</v>
      </c>
      <c r="B836" s="419" t="s">
        <v>25385</v>
      </c>
      <c r="C836" s="416">
        <v>33</v>
      </c>
    </row>
    <row r="837" spans="1:3" ht="15" customHeight="1">
      <c r="A837" s="409" t="s">
        <v>25384</v>
      </c>
      <c r="B837" s="419" t="s">
        <v>25383</v>
      </c>
      <c r="C837" s="416">
        <v>33</v>
      </c>
    </row>
    <row r="838" spans="1:3" ht="15" customHeight="1">
      <c r="A838" s="409" t="s">
        <v>25382</v>
      </c>
      <c r="B838" s="419" t="s">
        <v>25381</v>
      </c>
      <c r="C838" s="416">
        <v>86</v>
      </c>
    </row>
    <row r="839" spans="1:3" ht="15" customHeight="1">
      <c r="A839" s="409" t="s">
        <v>25380</v>
      </c>
      <c r="B839" s="419" t="s">
        <v>25379</v>
      </c>
      <c r="C839" s="416">
        <v>111</v>
      </c>
    </row>
    <row r="840" spans="1:3" ht="15" customHeight="1">
      <c r="A840" s="409" t="s">
        <v>25378</v>
      </c>
      <c r="B840" s="419" t="s">
        <v>25377</v>
      </c>
      <c r="C840" s="405">
        <v>75</v>
      </c>
    </row>
    <row r="841" spans="1:3" s="524" customFormat="1" ht="15" customHeight="1">
      <c r="A841" s="409" t="s">
        <v>25376</v>
      </c>
      <c r="B841" s="419" t="s">
        <v>25375</v>
      </c>
      <c r="C841" s="405">
        <v>181</v>
      </c>
    </row>
    <row r="842" spans="1:3" ht="15" customHeight="1">
      <c r="A842" s="569" t="s">
        <v>25374</v>
      </c>
      <c r="B842" s="419" t="s">
        <v>25373</v>
      </c>
      <c r="C842" s="405">
        <v>38</v>
      </c>
    </row>
    <row r="843" spans="1:3" s="524" customFormat="1" ht="15" customHeight="1">
      <c r="A843" s="569" t="s">
        <v>25372</v>
      </c>
      <c r="B843" s="419" t="s">
        <v>25371</v>
      </c>
      <c r="C843" s="405">
        <v>49</v>
      </c>
    </row>
    <row r="844" spans="1:3" ht="15" customHeight="1">
      <c r="A844" s="568" t="s">
        <v>25370</v>
      </c>
      <c r="B844" s="419" t="s">
        <v>25369</v>
      </c>
      <c r="C844" s="410">
        <v>70</v>
      </c>
    </row>
    <row r="845" spans="1:3" ht="15" customHeight="1">
      <c r="A845" s="569" t="s">
        <v>25368</v>
      </c>
      <c r="B845" s="419" t="s">
        <v>25367</v>
      </c>
      <c r="C845" s="405">
        <v>41</v>
      </c>
    </row>
    <row r="846" spans="1:3" s="524" customFormat="1" ht="15" customHeight="1">
      <c r="A846" s="568" t="s">
        <v>25366</v>
      </c>
      <c r="B846" s="419" t="s">
        <v>25365</v>
      </c>
      <c r="C846" s="410">
        <v>77</v>
      </c>
    </row>
    <row r="847" spans="1:3" ht="15" customHeight="1">
      <c r="A847" s="568" t="s">
        <v>25364</v>
      </c>
      <c r="B847" s="431" t="s">
        <v>25363</v>
      </c>
      <c r="C847" s="410">
        <v>42</v>
      </c>
    </row>
    <row r="848" spans="1:3" ht="15" customHeight="1">
      <c r="A848" s="420" t="s">
        <v>25362</v>
      </c>
      <c r="B848" s="419" t="s">
        <v>25361</v>
      </c>
      <c r="C848" s="417">
        <v>60</v>
      </c>
    </row>
    <row r="849" spans="1:3" ht="15" customHeight="1">
      <c r="A849" s="420" t="s">
        <v>25360</v>
      </c>
      <c r="B849" s="419" t="s">
        <v>25359</v>
      </c>
      <c r="C849" s="417">
        <v>22</v>
      </c>
    </row>
    <row r="850" spans="1:3" ht="15" customHeight="1">
      <c r="A850" s="420" t="s">
        <v>25358</v>
      </c>
      <c r="B850" s="419" t="s">
        <v>25357</v>
      </c>
      <c r="C850" s="417">
        <v>35</v>
      </c>
    </row>
    <row r="851" spans="1:3" ht="15" customHeight="1">
      <c r="A851" s="420" t="s">
        <v>25356</v>
      </c>
      <c r="B851" s="419" t="s">
        <v>25355</v>
      </c>
      <c r="C851" s="417">
        <v>73</v>
      </c>
    </row>
    <row r="852" spans="1:3" ht="15" customHeight="1">
      <c r="A852" s="420" t="s">
        <v>25354</v>
      </c>
      <c r="B852" s="419" t="s">
        <v>25353</v>
      </c>
      <c r="C852" s="567">
        <v>25</v>
      </c>
    </row>
    <row r="853" spans="1:3" ht="15" customHeight="1">
      <c r="A853" s="420" t="s">
        <v>25352</v>
      </c>
      <c r="B853" s="419" t="s">
        <v>25351</v>
      </c>
      <c r="C853" s="567">
        <v>15</v>
      </c>
    </row>
    <row r="854" spans="1:3" ht="15" customHeight="1">
      <c r="A854" s="420" t="s">
        <v>25350</v>
      </c>
      <c r="B854" s="419" t="s">
        <v>25349</v>
      </c>
      <c r="C854" s="567">
        <v>25</v>
      </c>
    </row>
    <row r="855" spans="1:3" ht="15" customHeight="1">
      <c r="A855" s="409" t="s">
        <v>25348</v>
      </c>
      <c r="B855" s="419" t="s">
        <v>25347</v>
      </c>
      <c r="C855" s="416">
        <v>118</v>
      </c>
    </row>
    <row r="856" spans="1:3" ht="15" customHeight="1">
      <c r="A856" s="409" t="s">
        <v>25346</v>
      </c>
      <c r="B856" s="419" t="s">
        <v>25345</v>
      </c>
      <c r="C856" s="416">
        <v>96</v>
      </c>
    </row>
    <row r="857" spans="1:3" ht="15" customHeight="1">
      <c r="A857" s="409" t="s">
        <v>25344</v>
      </c>
      <c r="B857" s="419" t="s">
        <v>25343</v>
      </c>
      <c r="C857" s="416">
        <v>96</v>
      </c>
    </row>
    <row r="858" spans="1:3" ht="15" customHeight="1">
      <c r="A858" s="409" t="s">
        <v>25342</v>
      </c>
      <c r="B858" s="419" t="s">
        <v>25341</v>
      </c>
      <c r="C858" s="416">
        <v>96</v>
      </c>
    </row>
    <row r="859" spans="1:3" ht="15" customHeight="1">
      <c r="A859" s="409" t="s">
        <v>25340</v>
      </c>
      <c r="B859" s="419" t="s">
        <v>25339</v>
      </c>
      <c r="C859" s="416">
        <v>96</v>
      </c>
    </row>
    <row r="860" spans="1:3" ht="15" customHeight="1">
      <c r="A860" s="409" t="s">
        <v>25338</v>
      </c>
      <c r="B860" s="419" t="s">
        <v>25337</v>
      </c>
      <c r="C860" s="416">
        <v>96</v>
      </c>
    </row>
    <row r="861" spans="1:3" ht="15" customHeight="1">
      <c r="A861" s="409" t="s">
        <v>25336</v>
      </c>
      <c r="B861" s="419" t="s">
        <v>25335</v>
      </c>
      <c r="C861" s="416">
        <v>96</v>
      </c>
    </row>
    <row r="862" spans="1:3" ht="15" customHeight="1">
      <c r="A862" s="409" t="s">
        <v>25334</v>
      </c>
      <c r="B862" s="419" t="s">
        <v>25333</v>
      </c>
      <c r="C862" s="416">
        <v>96</v>
      </c>
    </row>
    <row r="863" spans="1:3" ht="15" customHeight="1">
      <c r="A863" s="409" t="s">
        <v>25332</v>
      </c>
      <c r="B863" s="419" t="s">
        <v>25331</v>
      </c>
      <c r="C863" s="416">
        <v>96</v>
      </c>
    </row>
    <row r="864" spans="1:3" ht="15" customHeight="1">
      <c r="A864" s="452" t="s">
        <v>25330</v>
      </c>
      <c r="B864" s="510" t="s">
        <v>25329</v>
      </c>
      <c r="C864" s="416">
        <v>96</v>
      </c>
    </row>
    <row r="865" spans="1:3" ht="15" customHeight="1">
      <c r="A865" s="409" t="s">
        <v>25328</v>
      </c>
      <c r="B865" s="419" t="s">
        <v>25327</v>
      </c>
      <c r="C865" s="416">
        <v>12</v>
      </c>
    </row>
    <row r="866" spans="1:3" ht="15" customHeight="1">
      <c r="A866" s="409" t="s">
        <v>25326</v>
      </c>
      <c r="B866" s="419" t="s">
        <v>25325</v>
      </c>
      <c r="C866" s="416">
        <v>12</v>
      </c>
    </row>
    <row r="867" spans="1:3" ht="15" customHeight="1">
      <c r="A867" s="409" t="s">
        <v>25324</v>
      </c>
      <c r="B867" s="419" t="s">
        <v>25323</v>
      </c>
      <c r="C867" s="416">
        <v>12</v>
      </c>
    </row>
    <row r="868" spans="1:3" ht="15" customHeight="1">
      <c r="A868" s="409" t="s">
        <v>25322</v>
      </c>
      <c r="B868" s="419" t="s">
        <v>25321</v>
      </c>
      <c r="C868" s="416">
        <v>254</v>
      </c>
    </row>
    <row r="869" spans="1:3" ht="15" customHeight="1">
      <c r="A869" s="409" t="s">
        <v>25320</v>
      </c>
      <c r="B869" s="419" t="s">
        <v>25319</v>
      </c>
      <c r="C869" s="416">
        <v>582</v>
      </c>
    </row>
    <row r="870" spans="1:3" ht="15" customHeight="1">
      <c r="A870" s="420" t="s">
        <v>25318</v>
      </c>
      <c r="B870" s="419" t="s">
        <v>25317</v>
      </c>
      <c r="C870" s="417">
        <v>409</v>
      </c>
    </row>
    <row r="871" spans="1:3" ht="15" customHeight="1">
      <c r="A871" s="420" t="s">
        <v>25316</v>
      </c>
      <c r="B871" s="419" t="s">
        <v>25315</v>
      </c>
      <c r="C871" s="417">
        <v>444</v>
      </c>
    </row>
    <row r="872" spans="1:3" ht="15" customHeight="1">
      <c r="A872" s="409" t="s">
        <v>25314</v>
      </c>
      <c r="B872" s="419" t="s">
        <v>25313</v>
      </c>
      <c r="C872" s="416">
        <v>800</v>
      </c>
    </row>
    <row r="873" spans="1:3" ht="15" customHeight="1">
      <c r="A873" s="420" t="s">
        <v>25312</v>
      </c>
      <c r="B873" s="419" t="s">
        <v>25311</v>
      </c>
      <c r="C873" s="416">
        <v>46</v>
      </c>
    </row>
    <row r="874" spans="1:3" ht="15" customHeight="1">
      <c r="A874" s="420" t="s">
        <v>25310</v>
      </c>
      <c r="B874" s="419" t="s">
        <v>25309</v>
      </c>
      <c r="C874" s="416">
        <v>46</v>
      </c>
    </row>
    <row r="875" spans="1:3" ht="15" customHeight="1">
      <c r="A875" s="420" t="s">
        <v>25308</v>
      </c>
      <c r="B875" s="419" t="s">
        <v>25307</v>
      </c>
      <c r="C875" s="416">
        <v>63</v>
      </c>
    </row>
    <row r="876" spans="1:3" ht="15" customHeight="1">
      <c r="A876" s="420" t="s">
        <v>25306</v>
      </c>
      <c r="B876" s="419" t="s">
        <v>25305</v>
      </c>
      <c r="C876" s="416">
        <v>69</v>
      </c>
    </row>
    <row r="877" spans="1:3" ht="15" customHeight="1">
      <c r="A877" s="420" t="s">
        <v>25304</v>
      </c>
      <c r="B877" s="419" t="s">
        <v>25303</v>
      </c>
      <c r="C877" s="416">
        <v>46</v>
      </c>
    </row>
    <row r="878" spans="1:3" ht="15" customHeight="1">
      <c r="A878" s="420" t="s">
        <v>25302</v>
      </c>
      <c r="B878" s="419" t="s">
        <v>25301</v>
      </c>
      <c r="C878" s="416">
        <v>109</v>
      </c>
    </row>
    <row r="879" spans="1:3" ht="15" customHeight="1">
      <c r="A879" s="420" t="s">
        <v>25300</v>
      </c>
      <c r="B879" s="419" t="s">
        <v>25299</v>
      </c>
      <c r="C879" s="416">
        <v>109</v>
      </c>
    </row>
    <row r="880" spans="1:3" ht="15" customHeight="1">
      <c r="A880" s="420" t="s">
        <v>25298</v>
      </c>
      <c r="B880" s="419" t="s">
        <v>25297</v>
      </c>
      <c r="C880" s="416">
        <v>109</v>
      </c>
    </row>
    <row r="881" spans="1:3" ht="15" customHeight="1">
      <c r="A881" s="420" t="s">
        <v>25296</v>
      </c>
      <c r="B881" s="419" t="s">
        <v>25295</v>
      </c>
      <c r="C881" s="416">
        <v>148</v>
      </c>
    </row>
    <row r="882" spans="1:3" ht="15" customHeight="1">
      <c r="A882" s="420" t="s">
        <v>25294</v>
      </c>
      <c r="B882" s="419" t="s">
        <v>25293</v>
      </c>
      <c r="C882" s="416">
        <v>109</v>
      </c>
    </row>
    <row r="883" spans="1:3" ht="15" customHeight="1">
      <c r="A883" s="498" t="s">
        <v>25292</v>
      </c>
      <c r="B883" s="411" t="s">
        <v>25291</v>
      </c>
      <c r="C883" s="417">
        <v>1757</v>
      </c>
    </row>
    <row r="884" spans="1:3" ht="15" customHeight="1">
      <c r="A884" s="498" t="s">
        <v>25290</v>
      </c>
      <c r="B884" s="411" t="s">
        <v>25289</v>
      </c>
      <c r="C884" s="417">
        <v>2121</v>
      </c>
    </row>
    <row r="885" spans="1:3" ht="15" customHeight="1">
      <c r="A885" s="498" t="s">
        <v>25288</v>
      </c>
      <c r="B885" s="411" t="s">
        <v>25287</v>
      </c>
      <c r="C885" s="417">
        <v>333</v>
      </c>
    </row>
    <row r="886" spans="1:3" ht="15" customHeight="1">
      <c r="A886" s="498" t="s">
        <v>25286</v>
      </c>
      <c r="B886" s="411" t="s">
        <v>25285</v>
      </c>
      <c r="C886" s="417">
        <v>783</v>
      </c>
    </row>
    <row r="887" spans="1:3" ht="15" customHeight="1">
      <c r="A887" s="498" t="s">
        <v>25284</v>
      </c>
      <c r="B887" s="411" t="s">
        <v>25283</v>
      </c>
      <c r="C887" s="417">
        <v>1028</v>
      </c>
    </row>
    <row r="888" spans="1:3" ht="15" customHeight="1">
      <c r="A888" s="498" t="s">
        <v>25282</v>
      </c>
      <c r="B888" s="411" t="s">
        <v>25281</v>
      </c>
      <c r="C888" s="417">
        <v>1065</v>
      </c>
    </row>
    <row r="889" spans="1:3" ht="15" customHeight="1">
      <c r="A889" s="498" t="s">
        <v>25280</v>
      </c>
      <c r="B889" s="411" t="s">
        <v>25279</v>
      </c>
      <c r="C889" s="417">
        <v>983</v>
      </c>
    </row>
    <row r="890" spans="1:3" ht="15" customHeight="1">
      <c r="A890" s="498" t="s">
        <v>25278</v>
      </c>
      <c r="B890" s="411" t="s">
        <v>25277</v>
      </c>
      <c r="C890" s="417">
        <v>1228</v>
      </c>
    </row>
    <row r="891" spans="1:3" ht="15" customHeight="1">
      <c r="A891" s="498" t="s">
        <v>25276</v>
      </c>
      <c r="B891" s="411" t="s">
        <v>25275</v>
      </c>
      <c r="C891" s="417">
        <v>1265</v>
      </c>
    </row>
    <row r="892" spans="1:3" ht="15" customHeight="1">
      <c r="A892" s="566" t="s">
        <v>25274</v>
      </c>
      <c r="B892" s="419" t="s">
        <v>25273</v>
      </c>
      <c r="C892" s="417">
        <v>1277</v>
      </c>
    </row>
    <row r="893" spans="1:3" ht="15" customHeight="1">
      <c r="A893" s="566" t="s">
        <v>25272</v>
      </c>
      <c r="B893" s="419" t="s">
        <v>25271</v>
      </c>
      <c r="C893" s="417">
        <v>1598</v>
      </c>
    </row>
    <row r="894" spans="1:3" ht="15" customHeight="1">
      <c r="A894" s="566" t="s">
        <v>25270</v>
      </c>
      <c r="B894" s="419" t="s">
        <v>25268</v>
      </c>
      <c r="C894" s="417">
        <v>1642</v>
      </c>
    </row>
    <row r="895" spans="1:3" s="524" customFormat="1" ht="15" customHeight="1">
      <c r="A895" s="566" t="s">
        <v>25269</v>
      </c>
      <c r="B895" s="419" t="s">
        <v>25268</v>
      </c>
      <c r="C895" s="417">
        <v>1962</v>
      </c>
    </row>
    <row r="896" spans="1:3" s="524" customFormat="1" ht="15" customHeight="1">
      <c r="A896" s="566" t="s">
        <v>25267</v>
      </c>
      <c r="B896" s="510" t="s">
        <v>25266</v>
      </c>
      <c r="C896" s="417">
        <v>721</v>
      </c>
    </row>
    <row r="897" spans="1:3" s="524" customFormat="1" ht="15" customHeight="1">
      <c r="A897" s="566" t="s">
        <v>25265</v>
      </c>
      <c r="B897" s="510" t="s">
        <v>25264</v>
      </c>
      <c r="C897" s="417">
        <v>769.97649999999999</v>
      </c>
    </row>
    <row r="898" spans="1:3" s="524" customFormat="1" ht="15" customHeight="1">
      <c r="A898" s="566" t="s">
        <v>25263</v>
      </c>
      <c r="B898" s="419" t="s">
        <v>25262</v>
      </c>
      <c r="C898" s="417">
        <v>1040</v>
      </c>
    </row>
    <row r="899" spans="1:3" s="524" customFormat="1" ht="15" customHeight="1">
      <c r="A899" s="566" t="s">
        <v>25261</v>
      </c>
      <c r="B899" s="419" t="s">
        <v>25260</v>
      </c>
      <c r="C899" s="417">
        <v>1360</v>
      </c>
    </row>
    <row r="900" spans="1:3" s="524" customFormat="1" ht="15" customHeight="1">
      <c r="A900" s="566" t="s">
        <v>25259</v>
      </c>
      <c r="B900" s="419" t="s">
        <v>25258</v>
      </c>
      <c r="C900" s="417">
        <v>1406</v>
      </c>
    </row>
    <row r="901" spans="1:3" s="524" customFormat="1" ht="15" customHeight="1">
      <c r="A901" s="566" t="s">
        <v>25257</v>
      </c>
      <c r="B901" s="419" t="s">
        <v>25256</v>
      </c>
      <c r="C901" s="417">
        <v>1726</v>
      </c>
    </row>
    <row r="902" spans="1:3" s="524" customFormat="1" ht="15" customHeight="1">
      <c r="A902" s="420" t="s">
        <v>25255</v>
      </c>
      <c r="B902" s="419" t="s">
        <v>25254</v>
      </c>
      <c r="C902" s="417">
        <v>1143</v>
      </c>
    </row>
    <row r="903" spans="1:3" s="524" customFormat="1" ht="15" customHeight="1">
      <c r="A903" s="420" t="s">
        <v>25253</v>
      </c>
      <c r="B903" s="419" t="s">
        <v>25252</v>
      </c>
      <c r="C903" s="417">
        <v>1378</v>
      </c>
    </row>
    <row r="904" spans="1:3" s="524" customFormat="1" ht="15" customHeight="1">
      <c r="A904" s="420" t="s">
        <v>25251</v>
      </c>
      <c r="B904" s="419" t="s">
        <v>25250</v>
      </c>
      <c r="C904" s="417">
        <v>1325</v>
      </c>
    </row>
    <row r="905" spans="1:3" s="524" customFormat="1" ht="15" customHeight="1">
      <c r="A905" s="420" t="s">
        <v>25249</v>
      </c>
      <c r="B905" s="419" t="s">
        <v>25248</v>
      </c>
      <c r="C905" s="417">
        <v>1560</v>
      </c>
    </row>
    <row r="906" spans="1:3" s="524" customFormat="1" ht="15" customHeight="1">
      <c r="A906" s="420" t="s">
        <v>25247</v>
      </c>
      <c r="B906" s="419" t="s">
        <v>25246</v>
      </c>
      <c r="C906" s="417">
        <v>1425</v>
      </c>
    </row>
    <row r="907" spans="1:3" s="524" customFormat="1" ht="15" customHeight="1">
      <c r="A907" s="420" t="s">
        <v>25245</v>
      </c>
      <c r="B907" s="419" t="s">
        <v>25244</v>
      </c>
      <c r="C907" s="417">
        <v>1660</v>
      </c>
    </row>
    <row r="908" spans="1:3" s="524" customFormat="1" ht="15" customHeight="1">
      <c r="A908" s="420" t="s">
        <v>25243</v>
      </c>
      <c r="B908" s="419" t="s">
        <v>25242</v>
      </c>
      <c r="C908" s="417">
        <v>553</v>
      </c>
    </row>
    <row r="909" spans="1:3" ht="15" customHeight="1">
      <c r="A909" s="420" t="s">
        <v>25241</v>
      </c>
      <c r="B909" s="419" t="s">
        <v>25240</v>
      </c>
      <c r="C909" s="417">
        <v>929</v>
      </c>
    </row>
    <row r="910" spans="1:3" ht="15" customHeight="1">
      <c r="A910" s="420" t="s">
        <v>25239</v>
      </c>
      <c r="B910" s="419" t="s">
        <v>25238</v>
      </c>
      <c r="C910" s="417">
        <v>1164</v>
      </c>
    </row>
    <row r="911" spans="1:3" ht="15" customHeight="1">
      <c r="A911" s="420" t="s">
        <v>25237</v>
      </c>
      <c r="B911" s="419" t="s">
        <v>25236</v>
      </c>
      <c r="C911" s="417">
        <v>1125</v>
      </c>
    </row>
    <row r="912" spans="1:3" ht="15" customHeight="1">
      <c r="A912" s="420" t="s">
        <v>25235</v>
      </c>
      <c r="B912" s="419" t="s">
        <v>25234</v>
      </c>
      <c r="C912" s="417">
        <v>1360</v>
      </c>
    </row>
    <row r="913" spans="1:3" ht="15" customHeight="1">
      <c r="A913" s="420" t="s">
        <v>25233</v>
      </c>
      <c r="B913" s="419" t="s">
        <v>25232</v>
      </c>
      <c r="C913" s="417">
        <v>1211</v>
      </c>
    </row>
    <row r="914" spans="1:3" ht="15" customHeight="1">
      <c r="A914" s="420" t="s">
        <v>25231</v>
      </c>
      <c r="B914" s="419" t="s">
        <v>25230</v>
      </c>
      <c r="C914" s="417">
        <v>1446</v>
      </c>
    </row>
    <row r="915" spans="1:3" ht="15" customHeight="1">
      <c r="A915" s="409" t="s">
        <v>25229</v>
      </c>
      <c r="B915" s="510" t="s">
        <v>25228</v>
      </c>
      <c r="C915" s="439">
        <v>899.84</v>
      </c>
    </row>
    <row r="916" spans="1:3" ht="15" customHeight="1">
      <c r="A916" s="409" t="s">
        <v>25227</v>
      </c>
      <c r="B916" s="510" t="s">
        <v>25226</v>
      </c>
      <c r="C916" s="417">
        <v>1218.6400000000001</v>
      </c>
    </row>
    <row r="917" spans="1:3" ht="15" customHeight="1">
      <c r="A917" s="409" t="s">
        <v>25225</v>
      </c>
      <c r="B917" s="510" t="s">
        <v>25224</v>
      </c>
      <c r="C917" s="410">
        <v>375</v>
      </c>
    </row>
    <row r="918" spans="1:3" ht="15" customHeight="1">
      <c r="A918" s="487" t="s">
        <v>25223</v>
      </c>
      <c r="B918" s="510" t="s">
        <v>25222</v>
      </c>
      <c r="C918" s="410">
        <v>618</v>
      </c>
    </row>
    <row r="919" spans="1:3" ht="15" customHeight="1">
      <c r="A919" s="505" t="s">
        <v>25221</v>
      </c>
      <c r="B919" s="510" t="s">
        <v>25220</v>
      </c>
      <c r="C919" s="405">
        <v>823.35</v>
      </c>
    </row>
    <row r="920" spans="1:3" ht="15" customHeight="1">
      <c r="A920" s="505" t="s">
        <v>25219</v>
      </c>
      <c r="B920" s="510" t="s">
        <v>25218</v>
      </c>
      <c r="C920" s="405">
        <v>1142.07</v>
      </c>
    </row>
    <row r="921" spans="1:3" ht="15" customHeight="1">
      <c r="A921" s="420" t="s">
        <v>25217</v>
      </c>
      <c r="B921" s="472" t="s">
        <v>25216</v>
      </c>
      <c r="C921" s="410">
        <v>1154</v>
      </c>
    </row>
    <row r="922" spans="1:3" ht="15" customHeight="1">
      <c r="A922" s="420" t="s">
        <v>25215</v>
      </c>
      <c r="B922" s="472" t="s">
        <v>25214</v>
      </c>
      <c r="C922" s="410">
        <v>1360</v>
      </c>
    </row>
    <row r="923" spans="1:3" ht="15" customHeight="1">
      <c r="A923" s="420" t="s">
        <v>25213</v>
      </c>
      <c r="B923" s="472" t="s">
        <v>25212</v>
      </c>
      <c r="C923" s="410">
        <v>1334</v>
      </c>
    </row>
    <row r="924" spans="1:3" ht="15" customHeight="1">
      <c r="A924" s="420" t="s">
        <v>25211</v>
      </c>
      <c r="B924" s="472" t="s">
        <v>25210</v>
      </c>
      <c r="C924" s="410">
        <v>1540</v>
      </c>
    </row>
    <row r="925" spans="1:3" ht="15" customHeight="1">
      <c r="A925" s="420" t="s">
        <v>25209</v>
      </c>
      <c r="B925" s="472" t="s">
        <v>25208</v>
      </c>
      <c r="C925" s="410">
        <v>364</v>
      </c>
    </row>
    <row r="926" spans="1:3" ht="15" customHeight="1">
      <c r="A926" s="420" t="s">
        <v>25207</v>
      </c>
      <c r="B926" s="472" t="s">
        <v>25206</v>
      </c>
      <c r="C926" s="410">
        <v>570</v>
      </c>
    </row>
    <row r="927" spans="1:3" ht="15" customHeight="1">
      <c r="A927" s="420" t="s">
        <v>25205</v>
      </c>
      <c r="B927" s="472" t="s">
        <v>25204</v>
      </c>
      <c r="C927" s="410">
        <v>879</v>
      </c>
    </row>
    <row r="928" spans="1:3" ht="15" customHeight="1">
      <c r="A928" s="420" t="s">
        <v>25203</v>
      </c>
      <c r="B928" s="472" t="s">
        <v>25202</v>
      </c>
      <c r="C928" s="410">
        <v>1085</v>
      </c>
    </row>
    <row r="929" spans="1:3" ht="15" customHeight="1">
      <c r="A929" s="420" t="s">
        <v>25201</v>
      </c>
      <c r="B929" s="472" t="s">
        <v>25200</v>
      </c>
      <c r="C929" s="410">
        <v>1139</v>
      </c>
    </row>
    <row r="930" spans="1:3" ht="15" customHeight="1">
      <c r="A930" s="420" t="s">
        <v>25199</v>
      </c>
      <c r="B930" s="472" t="s">
        <v>25198</v>
      </c>
      <c r="C930" s="410">
        <v>1345</v>
      </c>
    </row>
    <row r="931" spans="1:3" ht="15" customHeight="1">
      <c r="A931" s="420" t="s">
        <v>25197</v>
      </c>
      <c r="B931" s="472" t="s">
        <v>25196</v>
      </c>
      <c r="C931" s="410">
        <v>1161</v>
      </c>
    </row>
    <row r="932" spans="1:3" ht="15" customHeight="1">
      <c r="A932" s="420" t="s">
        <v>25195</v>
      </c>
      <c r="B932" s="472" t="s">
        <v>25194</v>
      </c>
      <c r="C932" s="410">
        <v>1367</v>
      </c>
    </row>
    <row r="933" spans="1:3" ht="15" customHeight="1">
      <c r="A933" s="565" t="s">
        <v>25193</v>
      </c>
      <c r="B933" s="513" t="s">
        <v>25192</v>
      </c>
      <c r="C933" s="410">
        <v>1345</v>
      </c>
    </row>
    <row r="934" spans="1:3" ht="15" customHeight="1">
      <c r="A934" s="565" t="s">
        <v>25191</v>
      </c>
      <c r="B934" s="513" t="s">
        <v>25190</v>
      </c>
      <c r="C934" s="410">
        <v>1111</v>
      </c>
    </row>
    <row r="935" spans="1:3" ht="15" customHeight="1">
      <c r="A935" s="565" t="s">
        <v>25189</v>
      </c>
      <c r="B935" s="513" t="s">
        <v>25188</v>
      </c>
      <c r="C935" s="410">
        <v>1371</v>
      </c>
    </row>
    <row r="936" spans="1:3" ht="15" customHeight="1">
      <c r="A936" s="565" t="s">
        <v>25187</v>
      </c>
      <c r="B936" s="513" t="s">
        <v>25186</v>
      </c>
      <c r="C936" s="410">
        <v>1577</v>
      </c>
    </row>
    <row r="937" spans="1:3" ht="15" customHeight="1">
      <c r="A937" s="565" t="s">
        <v>25185</v>
      </c>
      <c r="B937" s="513" t="s">
        <v>25184</v>
      </c>
      <c r="C937" s="417">
        <v>1393</v>
      </c>
    </row>
    <row r="938" spans="1:3" ht="15" customHeight="1">
      <c r="A938" s="565" t="s">
        <v>25183</v>
      </c>
      <c r="B938" s="513" t="s">
        <v>25182</v>
      </c>
      <c r="C938" s="410">
        <v>1599</v>
      </c>
    </row>
    <row r="939" spans="1:3" ht="15" customHeight="1">
      <c r="A939" s="420" t="s">
        <v>25181</v>
      </c>
      <c r="B939" s="430" t="s">
        <v>25180</v>
      </c>
      <c r="C939" s="405">
        <v>1351</v>
      </c>
    </row>
    <row r="940" spans="1:3" ht="15" customHeight="1">
      <c r="A940" s="420" t="s">
        <v>25179</v>
      </c>
      <c r="B940" s="430" t="s">
        <v>25178</v>
      </c>
      <c r="C940" s="416">
        <v>1452</v>
      </c>
    </row>
    <row r="941" spans="1:3" ht="15" customHeight="1">
      <c r="A941" s="420" t="s">
        <v>25177</v>
      </c>
      <c r="B941" s="430" t="s">
        <v>25176</v>
      </c>
      <c r="C941" s="416">
        <v>1969</v>
      </c>
    </row>
    <row r="942" spans="1:3" ht="15" customHeight="1">
      <c r="A942" s="420" t="s">
        <v>25175</v>
      </c>
      <c r="B942" s="430" t="s">
        <v>25174</v>
      </c>
      <c r="C942" s="416">
        <v>2093</v>
      </c>
    </row>
    <row r="943" spans="1:3" ht="15" customHeight="1">
      <c r="A943" s="420" t="s">
        <v>25173</v>
      </c>
      <c r="B943" s="430" t="s">
        <v>25172</v>
      </c>
      <c r="C943" s="416">
        <v>747</v>
      </c>
    </row>
    <row r="944" spans="1:3" ht="15" customHeight="1">
      <c r="A944" s="420" t="s">
        <v>25171</v>
      </c>
      <c r="B944" s="430" t="s">
        <v>25170</v>
      </c>
      <c r="C944" s="416">
        <v>850</v>
      </c>
    </row>
    <row r="945" spans="1:3" ht="15" customHeight="1">
      <c r="A945" s="420" t="s">
        <v>25169</v>
      </c>
      <c r="B945" s="430" t="s">
        <v>25168</v>
      </c>
      <c r="C945" s="416">
        <v>1256</v>
      </c>
    </row>
    <row r="946" spans="1:3" ht="15" customHeight="1">
      <c r="A946" s="420" t="s">
        <v>25167</v>
      </c>
      <c r="B946" s="430" t="s">
        <v>25166</v>
      </c>
      <c r="C946" s="416">
        <v>1387</v>
      </c>
    </row>
    <row r="947" spans="1:3" ht="15" customHeight="1">
      <c r="A947" s="409" t="s">
        <v>25165</v>
      </c>
      <c r="B947" s="419" t="s">
        <v>25164</v>
      </c>
      <c r="C947" s="416">
        <v>696</v>
      </c>
    </row>
    <row r="948" spans="1:3" ht="15" customHeight="1">
      <c r="A948" s="409" t="s">
        <v>25163</v>
      </c>
      <c r="B948" s="419" t="s">
        <v>25162</v>
      </c>
      <c r="C948" s="416">
        <v>884</v>
      </c>
    </row>
    <row r="949" spans="1:3" ht="15" customHeight="1">
      <c r="A949" s="409" t="s">
        <v>25161</v>
      </c>
      <c r="B949" s="419" t="s">
        <v>25160</v>
      </c>
      <c r="C949" s="416">
        <v>1134</v>
      </c>
    </row>
    <row r="950" spans="1:3" ht="15" customHeight="1">
      <c r="A950" s="409" t="s">
        <v>25159</v>
      </c>
      <c r="B950" s="419" t="s">
        <v>25158</v>
      </c>
      <c r="C950" s="416">
        <v>1373</v>
      </c>
    </row>
    <row r="951" spans="1:3" ht="15" customHeight="1">
      <c r="A951" s="409" t="s">
        <v>25157</v>
      </c>
      <c r="B951" s="419" t="s">
        <v>25156</v>
      </c>
      <c r="C951" s="416">
        <v>375</v>
      </c>
    </row>
    <row r="952" spans="1:3" ht="15" customHeight="1">
      <c r="A952" s="409" t="s">
        <v>25155</v>
      </c>
      <c r="B952" s="419" t="s">
        <v>25154</v>
      </c>
      <c r="C952" s="416">
        <v>567</v>
      </c>
    </row>
    <row r="953" spans="1:3" ht="15" customHeight="1">
      <c r="A953" s="409" t="s">
        <v>25153</v>
      </c>
      <c r="B953" s="419" t="s">
        <v>25152</v>
      </c>
      <c r="C953" s="416">
        <v>769</v>
      </c>
    </row>
    <row r="954" spans="1:3" ht="15" customHeight="1">
      <c r="A954" s="409" t="s">
        <v>25151</v>
      </c>
      <c r="B954" s="419" t="s">
        <v>25150</v>
      </c>
      <c r="C954" s="416">
        <v>1008</v>
      </c>
    </row>
    <row r="955" spans="1:3" ht="15" customHeight="1">
      <c r="A955" s="409" t="s">
        <v>25149</v>
      </c>
      <c r="B955" s="430" t="s">
        <v>25148</v>
      </c>
      <c r="C955" s="416">
        <v>1022</v>
      </c>
    </row>
    <row r="956" spans="1:3" ht="15" customHeight="1">
      <c r="A956" s="409" t="s">
        <v>25147</v>
      </c>
      <c r="B956" s="430" t="s">
        <v>25146</v>
      </c>
      <c r="C956" s="416">
        <v>1211</v>
      </c>
    </row>
    <row r="957" spans="1:3" ht="15" customHeight="1">
      <c r="A957" s="409" t="s">
        <v>25145</v>
      </c>
      <c r="B957" s="430" t="s">
        <v>25144</v>
      </c>
      <c r="C957" s="416">
        <v>1553</v>
      </c>
    </row>
    <row r="958" spans="1:3" ht="15" customHeight="1">
      <c r="A958" s="409" t="s">
        <v>25143</v>
      </c>
      <c r="B958" s="430" t="s">
        <v>25142</v>
      </c>
      <c r="C958" s="416">
        <v>1793</v>
      </c>
    </row>
    <row r="959" spans="1:3" ht="15" customHeight="1">
      <c r="A959" s="409" t="s">
        <v>25141</v>
      </c>
      <c r="B959" s="430" t="s">
        <v>25140</v>
      </c>
      <c r="C959" s="416">
        <v>1449</v>
      </c>
    </row>
    <row r="960" spans="1:3" ht="15" customHeight="1">
      <c r="A960" s="409" t="s">
        <v>25139</v>
      </c>
      <c r="B960" s="430" t="s">
        <v>25138</v>
      </c>
      <c r="C960" s="416">
        <v>1260</v>
      </c>
    </row>
    <row r="961" spans="1:3" ht="15" customHeight="1">
      <c r="A961" s="409" t="s">
        <v>25137</v>
      </c>
      <c r="B961" s="430" t="s">
        <v>25136</v>
      </c>
      <c r="C961" s="416">
        <v>536</v>
      </c>
    </row>
    <row r="962" spans="1:3" ht="15" customHeight="1">
      <c r="A962" s="409" t="s">
        <v>25135</v>
      </c>
      <c r="B962" s="430" t="s">
        <v>25134</v>
      </c>
      <c r="C962" s="416">
        <v>728</v>
      </c>
    </row>
    <row r="963" spans="1:3" ht="15" customHeight="1">
      <c r="A963" s="409" t="s">
        <v>25133</v>
      </c>
      <c r="B963" s="430" t="s">
        <v>25132</v>
      </c>
      <c r="C963" s="416">
        <v>979</v>
      </c>
    </row>
    <row r="964" spans="1:3" ht="15" customHeight="1">
      <c r="A964" s="409" t="s">
        <v>25131</v>
      </c>
      <c r="B964" s="430" t="s">
        <v>25130</v>
      </c>
      <c r="C964" s="416">
        <v>1220</v>
      </c>
    </row>
    <row r="965" spans="1:3" ht="15" customHeight="1">
      <c r="A965" s="503" t="s">
        <v>25129</v>
      </c>
      <c r="B965" s="451" t="s">
        <v>25128</v>
      </c>
      <c r="C965" s="416">
        <v>579</v>
      </c>
    </row>
    <row r="966" spans="1:3" ht="15" customHeight="1">
      <c r="A966" s="503" t="s">
        <v>25127</v>
      </c>
      <c r="B966" s="451" t="s">
        <v>25126</v>
      </c>
      <c r="C966" s="416">
        <v>771</v>
      </c>
    </row>
    <row r="967" spans="1:3" ht="15" customHeight="1">
      <c r="A967" s="503" t="s">
        <v>25125</v>
      </c>
      <c r="B967" s="451" t="s">
        <v>25124</v>
      </c>
      <c r="C967" s="416">
        <v>1036</v>
      </c>
    </row>
    <row r="968" spans="1:3" ht="15" customHeight="1">
      <c r="A968" s="503" t="s">
        <v>25123</v>
      </c>
      <c r="B968" s="451" t="s">
        <v>25122</v>
      </c>
      <c r="C968" s="405">
        <v>1275</v>
      </c>
    </row>
    <row r="969" spans="1:3" ht="15" customHeight="1">
      <c r="A969" s="503" t="s">
        <v>25121</v>
      </c>
      <c r="B969" s="451" t="s">
        <v>25120</v>
      </c>
      <c r="C969" s="405">
        <v>343</v>
      </c>
    </row>
    <row r="970" spans="1:3" ht="15" customHeight="1">
      <c r="A970" s="503" t="s">
        <v>25119</v>
      </c>
      <c r="B970" s="451" t="s">
        <v>25118</v>
      </c>
      <c r="C970" s="416">
        <v>535</v>
      </c>
    </row>
    <row r="971" spans="1:3" ht="15" customHeight="1">
      <c r="A971" s="503" t="s">
        <v>25117</v>
      </c>
      <c r="B971" s="451" t="s">
        <v>25116</v>
      </c>
      <c r="C971" s="416">
        <v>727</v>
      </c>
    </row>
    <row r="972" spans="1:3" ht="15" customHeight="1">
      <c r="A972" s="503" t="s">
        <v>25115</v>
      </c>
      <c r="B972" s="451" t="s">
        <v>25114</v>
      </c>
      <c r="C972" s="416">
        <v>966</v>
      </c>
    </row>
    <row r="973" spans="1:3" ht="15" customHeight="1">
      <c r="A973" s="498" t="s">
        <v>25113</v>
      </c>
      <c r="B973" s="564" t="s">
        <v>25112</v>
      </c>
      <c r="C973" s="417">
        <v>950</v>
      </c>
    </row>
    <row r="974" spans="1:3" ht="15" customHeight="1">
      <c r="A974" s="498" t="s">
        <v>25111</v>
      </c>
      <c r="B974" s="564" t="s">
        <v>25110</v>
      </c>
      <c r="C974" s="417">
        <v>1139</v>
      </c>
    </row>
    <row r="975" spans="1:3" ht="15" customHeight="1">
      <c r="A975" s="498" t="s">
        <v>25109</v>
      </c>
      <c r="B975" s="497" t="s">
        <v>25108</v>
      </c>
      <c r="C975" s="410">
        <v>1458</v>
      </c>
    </row>
    <row r="976" spans="1:3" ht="15" customHeight="1">
      <c r="A976" s="498" t="s">
        <v>25107</v>
      </c>
      <c r="B976" s="497" t="s">
        <v>25106</v>
      </c>
      <c r="C976" s="410">
        <v>1699</v>
      </c>
    </row>
    <row r="977" spans="1:3" ht="15" customHeight="1">
      <c r="A977" s="498" t="s">
        <v>25105</v>
      </c>
      <c r="B977" s="497" t="s">
        <v>25104</v>
      </c>
      <c r="C977" s="417">
        <v>1377</v>
      </c>
    </row>
    <row r="978" spans="1:3" ht="15" customHeight="1">
      <c r="A978" s="498" t="s">
        <v>25103</v>
      </c>
      <c r="B978" s="497" t="s">
        <v>25102</v>
      </c>
      <c r="C978" s="417">
        <v>1188</v>
      </c>
    </row>
    <row r="979" spans="1:3" ht="15" customHeight="1">
      <c r="A979" s="498" t="s">
        <v>25101</v>
      </c>
      <c r="B979" s="497" t="s">
        <v>25100</v>
      </c>
      <c r="C979" s="417">
        <v>460</v>
      </c>
    </row>
    <row r="980" spans="1:3" ht="15" customHeight="1">
      <c r="A980" s="498" t="s">
        <v>25099</v>
      </c>
      <c r="B980" s="497" t="s">
        <v>25098</v>
      </c>
      <c r="C980" s="417">
        <v>649</v>
      </c>
    </row>
    <row r="981" spans="1:3" ht="15" customHeight="1">
      <c r="A981" s="498" t="s">
        <v>25097</v>
      </c>
      <c r="B981" s="497" t="s">
        <v>25096</v>
      </c>
      <c r="C981" s="410">
        <v>863</v>
      </c>
    </row>
    <row r="982" spans="1:3" ht="15" customHeight="1">
      <c r="A982" s="498" t="s">
        <v>25095</v>
      </c>
      <c r="B982" s="497" t="s">
        <v>25094</v>
      </c>
      <c r="C982" s="410">
        <v>1103</v>
      </c>
    </row>
    <row r="983" spans="1:3" ht="15" customHeight="1">
      <c r="A983" s="498" t="s">
        <v>25093</v>
      </c>
      <c r="B983" s="497" t="s">
        <v>25092</v>
      </c>
      <c r="C983" s="416">
        <v>887</v>
      </c>
    </row>
    <row r="984" spans="1:3" ht="15" customHeight="1">
      <c r="A984" s="498" t="s">
        <v>25091</v>
      </c>
      <c r="B984" s="497" t="s">
        <v>25090</v>
      </c>
      <c r="C984" s="416">
        <v>698</v>
      </c>
    </row>
    <row r="985" spans="1:3" ht="15" customHeight="1">
      <c r="A985" s="86" t="s">
        <v>25089</v>
      </c>
      <c r="B985" s="563" t="s">
        <v>25088</v>
      </c>
      <c r="C985" s="530">
        <v>569</v>
      </c>
    </row>
    <row r="986" spans="1:3" ht="15" customHeight="1">
      <c r="A986" s="86" t="s">
        <v>25087</v>
      </c>
      <c r="B986" s="563" t="s">
        <v>25086</v>
      </c>
      <c r="C986" s="530">
        <v>630</v>
      </c>
    </row>
    <row r="987" spans="1:3" ht="15" customHeight="1">
      <c r="A987" s="86" t="s">
        <v>25085</v>
      </c>
      <c r="B987" s="563" t="s">
        <v>25084</v>
      </c>
      <c r="C987" s="530">
        <v>641</v>
      </c>
    </row>
    <row r="988" spans="1:3" ht="15" customHeight="1">
      <c r="A988" s="86" t="s">
        <v>25083</v>
      </c>
      <c r="B988" s="563" t="s">
        <v>25082</v>
      </c>
      <c r="C988" s="479">
        <v>702</v>
      </c>
    </row>
    <row r="989" spans="1:3" ht="15" customHeight="1">
      <c r="A989" s="86" t="s">
        <v>25081</v>
      </c>
      <c r="B989" s="563" t="s">
        <v>25080</v>
      </c>
      <c r="C989" s="479">
        <v>346</v>
      </c>
    </row>
    <row r="990" spans="1:3" ht="15" customHeight="1">
      <c r="A990" s="86" t="s">
        <v>25079</v>
      </c>
      <c r="B990" s="563" t="s">
        <v>25078</v>
      </c>
      <c r="C990" s="530">
        <v>412</v>
      </c>
    </row>
    <row r="991" spans="1:3" ht="15" customHeight="1">
      <c r="A991" s="86" t="s">
        <v>25077</v>
      </c>
      <c r="B991" s="563" t="s">
        <v>25076</v>
      </c>
      <c r="C991" s="530">
        <v>574</v>
      </c>
    </row>
    <row r="992" spans="1:3" ht="15" customHeight="1">
      <c r="A992" s="86" t="s">
        <v>25075</v>
      </c>
      <c r="B992" s="563" t="s">
        <v>25074</v>
      </c>
      <c r="C992" s="530">
        <v>640</v>
      </c>
    </row>
    <row r="993" spans="1:3" ht="15" customHeight="1">
      <c r="A993" s="420" t="s">
        <v>25073</v>
      </c>
      <c r="B993" s="419" t="s">
        <v>25072</v>
      </c>
      <c r="C993" s="495">
        <v>830</v>
      </c>
    </row>
    <row r="994" spans="1:3" ht="15" customHeight="1">
      <c r="A994" s="420" t="s">
        <v>25071</v>
      </c>
      <c r="B994" s="419" t="s">
        <v>25070</v>
      </c>
      <c r="C994" s="494">
        <v>990</v>
      </c>
    </row>
    <row r="995" spans="1:3" ht="15" customHeight="1">
      <c r="A995" s="420" t="s">
        <v>25069</v>
      </c>
      <c r="B995" s="419" t="s">
        <v>25068</v>
      </c>
      <c r="C995" s="495">
        <v>1228</v>
      </c>
    </row>
    <row r="996" spans="1:3" ht="15" customHeight="1">
      <c r="A996" s="420" t="s">
        <v>25067</v>
      </c>
      <c r="B996" s="419" t="s">
        <v>25066</v>
      </c>
      <c r="C996" s="562">
        <v>1068</v>
      </c>
    </row>
    <row r="997" spans="1:3" s="524" customFormat="1" ht="15" customHeight="1">
      <c r="A997" s="420" t="s">
        <v>25065</v>
      </c>
      <c r="B997" s="419" t="s">
        <v>25064</v>
      </c>
      <c r="C997" s="561">
        <v>429</v>
      </c>
    </row>
    <row r="998" spans="1:3" ht="15" customHeight="1">
      <c r="A998" s="420" t="s">
        <v>25063</v>
      </c>
      <c r="B998" s="419" t="s">
        <v>25062</v>
      </c>
      <c r="C998" s="494">
        <v>589</v>
      </c>
    </row>
    <row r="999" spans="1:3" ht="15" customHeight="1">
      <c r="A999" s="420" t="s">
        <v>25061</v>
      </c>
      <c r="B999" s="419" t="s">
        <v>25060</v>
      </c>
      <c r="C999" s="495">
        <v>938</v>
      </c>
    </row>
    <row r="1000" spans="1:3" s="524" customFormat="1" ht="15" customHeight="1">
      <c r="A1000" s="420" t="s">
        <v>25059</v>
      </c>
      <c r="B1000" s="419" t="s">
        <v>25058</v>
      </c>
      <c r="C1000" s="494">
        <v>1098</v>
      </c>
    </row>
    <row r="1001" spans="1:3" ht="15" customHeight="1">
      <c r="A1001" s="420" t="s">
        <v>25057</v>
      </c>
      <c r="B1001" s="419" t="s">
        <v>25056</v>
      </c>
      <c r="C1001" s="495">
        <v>1336</v>
      </c>
    </row>
    <row r="1002" spans="1:3" ht="15" customHeight="1">
      <c r="A1002" s="420" t="s">
        <v>25055</v>
      </c>
      <c r="B1002" s="419" t="s">
        <v>25054</v>
      </c>
      <c r="C1002" s="494">
        <v>1176</v>
      </c>
    </row>
    <row r="1003" spans="1:3" ht="15" customHeight="1">
      <c r="A1003" s="420" t="s">
        <v>25053</v>
      </c>
      <c r="B1003" s="419" t="s">
        <v>25052</v>
      </c>
      <c r="C1003" s="562">
        <v>659</v>
      </c>
    </row>
    <row r="1004" spans="1:3" ht="15" customHeight="1">
      <c r="A1004" s="420" t="s">
        <v>25051</v>
      </c>
      <c r="B1004" s="419" t="s">
        <v>25050</v>
      </c>
      <c r="C1004" s="561">
        <v>819</v>
      </c>
    </row>
    <row r="1005" spans="1:3" ht="15" customHeight="1">
      <c r="A1005" s="420" t="s">
        <v>25049</v>
      </c>
      <c r="B1005" s="419" t="s">
        <v>25048</v>
      </c>
      <c r="C1005" s="495">
        <v>1057</v>
      </c>
    </row>
    <row r="1006" spans="1:3" ht="15" customHeight="1">
      <c r="A1006" s="420" t="s">
        <v>25047</v>
      </c>
      <c r="B1006" s="419" t="s">
        <v>25046</v>
      </c>
      <c r="C1006" s="494">
        <v>897</v>
      </c>
    </row>
    <row r="1007" spans="1:3" ht="15" customHeight="1">
      <c r="A1007" s="420" t="s">
        <v>25045</v>
      </c>
      <c r="B1007" s="419" t="s">
        <v>25044</v>
      </c>
      <c r="C1007" s="494">
        <v>320</v>
      </c>
    </row>
    <row r="1008" spans="1:3" ht="15" customHeight="1">
      <c r="A1008" s="420" t="s">
        <v>25043</v>
      </c>
      <c r="B1008" s="419" t="s">
        <v>25042</v>
      </c>
      <c r="C1008" s="495">
        <v>480</v>
      </c>
    </row>
    <row r="1009" spans="1:3" ht="15" customHeight="1">
      <c r="A1009" s="420" t="s">
        <v>25041</v>
      </c>
      <c r="B1009" s="419" t="s">
        <v>25040</v>
      </c>
      <c r="C1009" s="494">
        <v>767</v>
      </c>
    </row>
    <row r="1010" spans="1:3" ht="15" customHeight="1">
      <c r="A1010" s="420" t="s">
        <v>25039</v>
      </c>
      <c r="B1010" s="419" t="s">
        <v>25038</v>
      </c>
      <c r="C1010" s="495">
        <v>927</v>
      </c>
    </row>
    <row r="1011" spans="1:3" ht="15" customHeight="1">
      <c r="A1011" s="420" t="s">
        <v>25037</v>
      </c>
      <c r="B1011" s="419" t="s">
        <v>25036</v>
      </c>
      <c r="C1011" s="439">
        <v>1165</v>
      </c>
    </row>
    <row r="1012" spans="1:3" ht="15" customHeight="1">
      <c r="A1012" s="420" t="s">
        <v>25035</v>
      </c>
      <c r="B1012" s="419" t="s">
        <v>25034</v>
      </c>
      <c r="C1012" s="560">
        <v>1005</v>
      </c>
    </row>
    <row r="1013" spans="1:3" ht="15" customHeight="1">
      <c r="A1013" s="559" t="s">
        <v>25033</v>
      </c>
      <c r="B1013" s="419" t="s">
        <v>25032</v>
      </c>
      <c r="C1013" s="416">
        <v>683</v>
      </c>
    </row>
    <row r="1014" spans="1:3" ht="15" customHeight="1">
      <c r="A1014" s="559" t="s">
        <v>25031</v>
      </c>
      <c r="B1014" s="419" t="s">
        <v>25030</v>
      </c>
      <c r="C1014" s="416">
        <v>872</v>
      </c>
    </row>
    <row r="1015" spans="1:3" ht="15" customHeight="1">
      <c r="A1015" s="559" t="s">
        <v>25029</v>
      </c>
      <c r="B1015" s="419" t="s">
        <v>25028</v>
      </c>
      <c r="C1015" s="416">
        <v>1120</v>
      </c>
    </row>
    <row r="1016" spans="1:3" ht="15" customHeight="1">
      <c r="A1016" s="559" t="s">
        <v>25027</v>
      </c>
      <c r="B1016" s="419" t="s">
        <v>25026</v>
      </c>
      <c r="C1016" s="416">
        <v>1359</v>
      </c>
    </row>
    <row r="1017" spans="1:3" ht="15" customHeight="1">
      <c r="A1017" s="559" t="s">
        <v>25025</v>
      </c>
      <c r="B1017" s="419" t="s">
        <v>25024</v>
      </c>
      <c r="C1017" s="416">
        <v>1110</v>
      </c>
    </row>
    <row r="1018" spans="1:3" ht="15" customHeight="1">
      <c r="A1018" s="559" t="s">
        <v>25023</v>
      </c>
      <c r="B1018" s="419" t="s">
        <v>25022</v>
      </c>
      <c r="C1018" s="416">
        <v>921</v>
      </c>
    </row>
    <row r="1019" spans="1:3" ht="15" customHeight="1">
      <c r="A1019" s="559" t="s">
        <v>25021</v>
      </c>
      <c r="B1019" s="419" t="s">
        <v>25020</v>
      </c>
      <c r="C1019" s="416">
        <v>366</v>
      </c>
    </row>
    <row r="1020" spans="1:3" ht="15" customHeight="1">
      <c r="A1020" s="559" t="s">
        <v>25019</v>
      </c>
      <c r="B1020" s="419" t="s">
        <v>25018</v>
      </c>
      <c r="C1020" s="416">
        <v>556</v>
      </c>
    </row>
    <row r="1021" spans="1:3" ht="15" customHeight="1">
      <c r="A1021" s="559" t="s">
        <v>25017</v>
      </c>
      <c r="B1021" s="419" t="s">
        <v>25016</v>
      </c>
      <c r="C1021" s="416">
        <v>756</v>
      </c>
    </row>
    <row r="1022" spans="1:3" ht="15" customHeight="1">
      <c r="A1022" s="559" t="s">
        <v>25015</v>
      </c>
      <c r="B1022" s="419" t="s">
        <v>25014</v>
      </c>
      <c r="C1022" s="416">
        <v>995</v>
      </c>
    </row>
    <row r="1023" spans="1:3" ht="15" customHeight="1">
      <c r="A1023" s="409" t="s">
        <v>25013</v>
      </c>
      <c r="B1023" s="419" t="s">
        <v>25012</v>
      </c>
      <c r="C1023" s="416">
        <v>537</v>
      </c>
    </row>
    <row r="1024" spans="1:3" ht="15" customHeight="1">
      <c r="A1024" s="409" t="s">
        <v>25011</v>
      </c>
      <c r="B1024" s="419" t="s">
        <v>25010</v>
      </c>
      <c r="C1024" s="416">
        <v>972</v>
      </c>
    </row>
    <row r="1025" spans="1:3" ht="15" customHeight="1">
      <c r="A1025" s="409" t="s">
        <v>25009</v>
      </c>
      <c r="B1025" s="419" t="s">
        <v>25008</v>
      </c>
      <c r="C1025" s="416">
        <v>1002</v>
      </c>
    </row>
    <row r="1026" spans="1:3" ht="15" customHeight="1">
      <c r="A1026" s="409" t="s">
        <v>25007</v>
      </c>
      <c r="B1026" s="419" t="s">
        <v>25006</v>
      </c>
      <c r="C1026" s="416">
        <v>1226</v>
      </c>
    </row>
    <row r="1027" spans="1:3" ht="15" customHeight="1">
      <c r="A1027" s="409" t="s">
        <v>25005</v>
      </c>
      <c r="B1027" s="419" t="s">
        <v>25004</v>
      </c>
      <c r="C1027" s="416">
        <v>1530</v>
      </c>
    </row>
    <row r="1028" spans="1:3" ht="15" customHeight="1">
      <c r="A1028" s="409" t="s">
        <v>25003</v>
      </c>
      <c r="B1028" s="419" t="s">
        <v>25002</v>
      </c>
      <c r="C1028" s="416">
        <v>1815</v>
      </c>
    </row>
    <row r="1029" spans="1:3" ht="15" customHeight="1">
      <c r="A1029" s="420" t="s">
        <v>25001</v>
      </c>
      <c r="B1029" s="419" t="s">
        <v>25000</v>
      </c>
      <c r="C1029" s="416">
        <v>760</v>
      </c>
    </row>
    <row r="1030" spans="1:3" ht="15" customHeight="1">
      <c r="A1030" s="420" t="s">
        <v>24999</v>
      </c>
      <c r="B1030" s="419" t="s">
        <v>24998</v>
      </c>
      <c r="C1030" s="416">
        <v>1257</v>
      </c>
    </row>
    <row r="1031" spans="1:3" ht="15" customHeight="1">
      <c r="A1031" s="409" t="s">
        <v>24997</v>
      </c>
      <c r="B1031" s="419" t="s">
        <v>24996</v>
      </c>
      <c r="C1031" s="416">
        <v>597</v>
      </c>
    </row>
    <row r="1032" spans="1:3" ht="15" customHeight="1">
      <c r="A1032" s="409" t="s">
        <v>24995</v>
      </c>
      <c r="B1032" s="419" t="s">
        <v>24994</v>
      </c>
      <c r="C1032" s="416">
        <v>720</v>
      </c>
    </row>
    <row r="1033" spans="1:3" ht="15" customHeight="1">
      <c r="A1033" s="409" t="s">
        <v>24993</v>
      </c>
      <c r="B1033" s="419" t="s">
        <v>24992</v>
      </c>
      <c r="C1033" s="416">
        <v>1009</v>
      </c>
    </row>
    <row r="1034" spans="1:3" ht="15" customHeight="1">
      <c r="A1034" s="409" t="s">
        <v>24991</v>
      </c>
      <c r="B1034" s="419" t="s">
        <v>24990</v>
      </c>
      <c r="C1034" s="416">
        <v>1151</v>
      </c>
    </row>
    <row r="1035" spans="1:3" ht="15" customHeight="1">
      <c r="A1035" s="409" t="s">
        <v>24989</v>
      </c>
      <c r="B1035" s="419" t="s">
        <v>24988</v>
      </c>
      <c r="C1035" s="416">
        <v>304</v>
      </c>
    </row>
    <row r="1036" spans="1:3" ht="15" customHeight="1">
      <c r="A1036" s="409" t="s">
        <v>24987</v>
      </c>
      <c r="B1036" s="419" t="s">
        <v>24986</v>
      </c>
      <c r="C1036" s="416">
        <v>428</v>
      </c>
    </row>
    <row r="1037" spans="1:3" ht="15" customHeight="1">
      <c r="A1037" s="420" t="s">
        <v>24985</v>
      </c>
      <c r="B1037" s="419" t="s">
        <v>24984</v>
      </c>
      <c r="C1037" s="417">
        <v>522</v>
      </c>
    </row>
    <row r="1038" spans="1:3" ht="15" customHeight="1">
      <c r="A1038" s="420" t="s">
        <v>24983</v>
      </c>
      <c r="B1038" s="419" t="s">
        <v>24982</v>
      </c>
      <c r="C1038" s="417">
        <v>745</v>
      </c>
    </row>
    <row r="1039" spans="1:3" ht="15" customHeight="1">
      <c r="A1039" s="420" t="s">
        <v>24981</v>
      </c>
      <c r="B1039" s="419" t="s">
        <v>24980</v>
      </c>
      <c r="C1039" s="416">
        <v>1044</v>
      </c>
    </row>
    <row r="1040" spans="1:3" ht="15" customHeight="1">
      <c r="A1040" s="420" t="s">
        <v>24979</v>
      </c>
      <c r="B1040" s="419" t="s">
        <v>24978</v>
      </c>
      <c r="C1040" s="416">
        <v>1236</v>
      </c>
    </row>
    <row r="1041" spans="1:3" ht="15" customHeight="1">
      <c r="A1041" s="420" t="s">
        <v>24977</v>
      </c>
      <c r="B1041" s="419" t="s">
        <v>24976</v>
      </c>
      <c r="C1041" s="416">
        <v>475</v>
      </c>
    </row>
    <row r="1042" spans="1:3" ht="15" customHeight="1">
      <c r="A1042" s="420" t="s">
        <v>24975</v>
      </c>
      <c r="B1042" s="419" t="s">
        <v>24974</v>
      </c>
      <c r="C1042" s="416">
        <v>670</v>
      </c>
    </row>
    <row r="1043" spans="1:3" ht="15" customHeight="1">
      <c r="A1043" s="420" t="s">
        <v>24973</v>
      </c>
      <c r="B1043" s="419" t="s">
        <v>24972</v>
      </c>
      <c r="C1043" s="416">
        <v>1592</v>
      </c>
    </row>
    <row r="1044" spans="1:3" ht="15" customHeight="1">
      <c r="A1044" s="420" t="s">
        <v>24971</v>
      </c>
      <c r="B1044" s="419" t="s">
        <v>24970</v>
      </c>
      <c r="C1044" s="416">
        <v>1836</v>
      </c>
    </row>
    <row r="1045" spans="1:3" ht="15" customHeight="1">
      <c r="A1045" s="420" t="s">
        <v>24969</v>
      </c>
      <c r="B1045" s="419" t="s">
        <v>24968</v>
      </c>
      <c r="C1045" s="416">
        <v>1474</v>
      </c>
    </row>
    <row r="1046" spans="1:3" ht="15" customHeight="1">
      <c r="A1046" s="420" t="s">
        <v>24967</v>
      </c>
      <c r="B1046" s="419" t="s">
        <v>24966</v>
      </c>
      <c r="C1046" s="416">
        <v>1282</v>
      </c>
    </row>
    <row r="1047" spans="1:3" ht="15" customHeight="1">
      <c r="A1047" s="420" t="s">
        <v>24965</v>
      </c>
      <c r="B1047" s="419" t="s">
        <v>24964</v>
      </c>
      <c r="C1047" s="416">
        <v>900</v>
      </c>
    </row>
    <row r="1048" spans="1:3" ht="15" customHeight="1">
      <c r="A1048" s="420" t="s">
        <v>24963</v>
      </c>
      <c r="B1048" s="419" t="s">
        <v>24962</v>
      </c>
      <c r="C1048" s="416">
        <v>1144</v>
      </c>
    </row>
    <row r="1049" spans="1:3" ht="15" customHeight="1">
      <c r="A1049" s="420" t="s">
        <v>24961</v>
      </c>
      <c r="B1049" s="430" t="s">
        <v>24960</v>
      </c>
      <c r="C1049" s="416">
        <v>501</v>
      </c>
    </row>
    <row r="1050" spans="1:3" ht="15" customHeight="1">
      <c r="A1050" s="420" t="s">
        <v>24959</v>
      </c>
      <c r="B1050" s="430" t="s">
        <v>24958</v>
      </c>
      <c r="C1050" s="416">
        <v>633</v>
      </c>
    </row>
    <row r="1051" spans="1:3" ht="15" customHeight="1">
      <c r="A1051" s="420" t="s">
        <v>24957</v>
      </c>
      <c r="B1051" s="430" t="s">
        <v>24956</v>
      </c>
      <c r="C1051" s="416">
        <v>778</v>
      </c>
    </row>
    <row r="1052" spans="1:3" ht="15" customHeight="1">
      <c r="A1052" s="420" t="s">
        <v>24955</v>
      </c>
      <c r="B1052" s="430" t="s">
        <v>24954</v>
      </c>
      <c r="C1052" s="416">
        <v>927</v>
      </c>
    </row>
    <row r="1053" spans="1:3" ht="15" customHeight="1">
      <c r="A1053" s="420" t="s">
        <v>24953</v>
      </c>
      <c r="B1053" s="430" t="s">
        <v>24952</v>
      </c>
      <c r="C1053" s="416">
        <v>479</v>
      </c>
    </row>
    <row r="1054" spans="1:3" ht="15" customHeight="1">
      <c r="A1054" s="420" t="s">
        <v>24951</v>
      </c>
      <c r="B1054" s="430" t="s">
        <v>24950</v>
      </c>
      <c r="C1054" s="416">
        <v>613</v>
      </c>
    </row>
    <row r="1055" spans="1:3" ht="15" customHeight="1">
      <c r="A1055" s="420" t="s">
        <v>24949</v>
      </c>
      <c r="B1055" s="430" t="s">
        <v>24948</v>
      </c>
      <c r="C1055" s="416">
        <v>439</v>
      </c>
    </row>
    <row r="1056" spans="1:3" ht="15" customHeight="1">
      <c r="A1056" s="420" t="s">
        <v>24947</v>
      </c>
      <c r="B1056" s="430" t="s">
        <v>24946</v>
      </c>
      <c r="C1056" s="416">
        <v>574</v>
      </c>
    </row>
    <row r="1057" spans="1:3" ht="15" customHeight="1">
      <c r="A1057" s="420" t="s">
        <v>24945</v>
      </c>
      <c r="B1057" s="430" t="s">
        <v>24944</v>
      </c>
      <c r="C1057" s="416">
        <v>778</v>
      </c>
    </row>
    <row r="1058" spans="1:3" ht="15" customHeight="1">
      <c r="A1058" s="420" t="s">
        <v>24943</v>
      </c>
      <c r="B1058" s="430" t="s">
        <v>24942</v>
      </c>
      <c r="C1058" s="416">
        <v>927</v>
      </c>
    </row>
    <row r="1059" spans="1:3" ht="15" customHeight="1">
      <c r="A1059" s="420" t="s">
        <v>24941</v>
      </c>
      <c r="B1059" s="430" t="s">
        <v>24940</v>
      </c>
      <c r="C1059" s="416">
        <v>729</v>
      </c>
    </row>
    <row r="1060" spans="1:3" ht="15" customHeight="1">
      <c r="A1060" s="420" t="s">
        <v>24939</v>
      </c>
      <c r="B1060" s="430" t="s">
        <v>24938</v>
      </c>
      <c r="C1060" s="416">
        <v>879</v>
      </c>
    </row>
    <row r="1061" spans="1:3" ht="15" customHeight="1">
      <c r="A1061" s="409" t="s">
        <v>24937</v>
      </c>
      <c r="B1061" s="430" t="s">
        <v>24936</v>
      </c>
      <c r="C1061" s="416">
        <v>1024</v>
      </c>
    </row>
    <row r="1062" spans="1:3" ht="15" customHeight="1">
      <c r="A1062" s="409" t="s">
        <v>24935</v>
      </c>
      <c r="B1062" s="430" t="s">
        <v>24934</v>
      </c>
      <c r="C1062" s="416">
        <v>1119</v>
      </c>
    </row>
    <row r="1063" spans="1:3" ht="15" customHeight="1">
      <c r="A1063" s="409" t="s">
        <v>24933</v>
      </c>
      <c r="B1063" s="430" t="s">
        <v>24932</v>
      </c>
      <c r="C1063" s="405">
        <v>1558</v>
      </c>
    </row>
    <row r="1064" spans="1:3" ht="15" customHeight="1">
      <c r="A1064" s="409" t="s">
        <v>24931</v>
      </c>
      <c r="B1064" s="430" t="s">
        <v>24930</v>
      </c>
      <c r="C1064" s="405">
        <v>1674</v>
      </c>
    </row>
    <row r="1065" spans="1:3" ht="15" customHeight="1">
      <c r="A1065" s="409" t="s">
        <v>24929</v>
      </c>
      <c r="B1065" s="419" t="s">
        <v>24928</v>
      </c>
      <c r="C1065" s="405">
        <v>484</v>
      </c>
    </row>
    <row r="1066" spans="1:3" ht="15" customHeight="1">
      <c r="A1066" s="409" t="s">
        <v>24927</v>
      </c>
      <c r="B1066" s="419" t="s">
        <v>24926</v>
      </c>
      <c r="C1066" s="405">
        <v>579</v>
      </c>
    </row>
    <row r="1067" spans="1:3" ht="15" customHeight="1">
      <c r="A1067" s="409" t="s">
        <v>24925</v>
      </c>
      <c r="B1067" s="419" t="s">
        <v>24924</v>
      </c>
      <c r="C1067" s="405">
        <v>902</v>
      </c>
    </row>
    <row r="1068" spans="1:3" ht="15" customHeight="1">
      <c r="A1068" s="409" t="s">
        <v>24923</v>
      </c>
      <c r="B1068" s="419" t="s">
        <v>24922</v>
      </c>
      <c r="C1068" s="405">
        <v>1018</v>
      </c>
    </row>
    <row r="1069" spans="1:3" ht="15" customHeight="1">
      <c r="A1069" s="420" t="s">
        <v>24921</v>
      </c>
      <c r="B1069" s="430" t="s">
        <v>24920</v>
      </c>
      <c r="C1069" s="405">
        <v>1130</v>
      </c>
    </row>
    <row r="1070" spans="1:3" ht="15" customHeight="1">
      <c r="A1070" s="420" t="s">
        <v>24919</v>
      </c>
      <c r="B1070" s="430" t="s">
        <v>24918</v>
      </c>
      <c r="C1070" s="405">
        <v>1224</v>
      </c>
    </row>
    <row r="1071" spans="1:3" ht="15" customHeight="1">
      <c r="A1071" s="420" t="s">
        <v>24917</v>
      </c>
      <c r="B1071" s="430" t="s">
        <v>24916</v>
      </c>
      <c r="C1071" s="405">
        <v>1679</v>
      </c>
    </row>
    <row r="1072" spans="1:3" ht="15" customHeight="1">
      <c r="A1072" s="420" t="s">
        <v>24915</v>
      </c>
      <c r="B1072" s="430" t="s">
        <v>24914</v>
      </c>
      <c r="C1072" s="416">
        <v>1795</v>
      </c>
    </row>
    <row r="1073" spans="1:3" ht="15" customHeight="1">
      <c r="A1073" s="401" t="s">
        <v>24913</v>
      </c>
      <c r="B1073" s="445" t="s">
        <v>24912</v>
      </c>
      <c r="C1073" s="416">
        <v>572</v>
      </c>
    </row>
    <row r="1074" spans="1:3" ht="15" customHeight="1">
      <c r="A1074" s="401" t="s">
        <v>24911</v>
      </c>
      <c r="B1074" s="445" t="s">
        <v>24910</v>
      </c>
      <c r="C1074" s="416">
        <v>670</v>
      </c>
    </row>
    <row r="1075" spans="1:3" ht="15" customHeight="1">
      <c r="A1075" s="401" t="s">
        <v>24909</v>
      </c>
      <c r="B1075" s="445" t="s">
        <v>24908</v>
      </c>
      <c r="C1075" s="416">
        <v>1026</v>
      </c>
    </row>
    <row r="1076" spans="1:3" ht="15" customHeight="1">
      <c r="A1076" s="401" t="s">
        <v>24907</v>
      </c>
      <c r="B1076" s="445" t="s">
        <v>24906</v>
      </c>
      <c r="C1076" s="416">
        <v>1143</v>
      </c>
    </row>
    <row r="1077" spans="1:3" ht="15" customHeight="1">
      <c r="A1077" s="401" t="s">
        <v>24905</v>
      </c>
      <c r="B1077" s="445" t="s">
        <v>24904</v>
      </c>
      <c r="C1077" s="417">
        <v>810</v>
      </c>
    </row>
    <row r="1078" spans="1:3" ht="15" customHeight="1">
      <c r="A1078" s="401" t="s">
        <v>24903</v>
      </c>
      <c r="B1078" s="445" t="s">
        <v>24902</v>
      </c>
      <c r="C1078" s="417">
        <v>899</v>
      </c>
    </row>
    <row r="1079" spans="1:3" ht="15" customHeight="1">
      <c r="A1079" s="557" t="s">
        <v>24901</v>
      </c>
      <c r="B1079" s="501" t="s">
        <v>24900</v>
      </c>
      <c r="C1079" s="416">
        <v>1334</v>
      </c>
    </row>
    <row r="1080" spans="1:3" ht="15" customHeight="1">
      <c r="A1080" s="557" t="s">
        <v>24899</v>
      </c>
      <c r="B1080" s="445" t="s">
        <v>24898</v>
      </c>
      <c r="C1080" s="416">
        <v>1448</v>
      </c>
    </row>
    <row r="1081" spans="1:3" ht="15" customHeight="1">
      <c r="A1081" s="557" t="s">
        <v>24897</v>
      </c>
      <c r="B1081" s="445" t="s">
        <v>24896</v>
      </c>
      <c r="C1081" s="549">
        <v>2135</v>
      </c>
    </row>
    <row r="1082" spans="1:3" ht="15" customHeight="1">
      <c r="A1082" s="557" t="s">
        <v>24895</v>
      </c>
      <c r="B1082" s="445" t="s">
        <v>24894</v>
      </c>
      <c r="C1082" s="549">
        <v>2289</v>
      </c>
    </row>
    <row r="1083" spans="1:3" ht="15" customHeight="1">
      <c r="A1083" s="527" t="s">
        <v>24893</v>
      </c>
      <c r="B1083" s="558" t="s">
        <v>24892</v>
      </c>
      <c r="C1083" s="530">
        <v>1591</v>
      </c>
    </row>
    <row r="1084" spans="1:3" ht="15" customHeight="1">
      <c r="A1084" s="527" t="s">
        <v>24891</v>
      </c>
      <c r="B1084" s="558" t="s">
        <v>24890</v>
      </c>
      <c r="C1084" s="530">
        <v>1705</v>
      </c>
    </row>
    <row r="1085" spans="1:3" ht="15" customHeight="1">
      <c r="A1085" s="557" t="s">
        <v>24889</v>
      </c>
      <c r="B1085" s="445" t="s">
        <v>24888</v>
      </c>
      <c r="C1085" s="416">
        <v>674</v>
      </c>
    </row>
    <row r="1086" spans="1:3" ht="15" customHeight="1">
      <c r="A1086" s="401" t="s">
        <v>24887</v>
      </c>
      <c r="B1086" s="501" t="s">
        <v>24886</v>
      </c>
      <c r="C1086" s="416">
        <v>1217</v>
      </c>
    </row>
    <row r="1087" spans="1:3" ht="15" customHeight="1">
      <c r="A1087" s="401" t="s">
        <v>24885</v>
      </c>
      <c r="B1087" s="554" t="s">
        <v>24884</v>
      </c>
      <c r="C1087" s="405">
        <v>1330</v>
      </c>
    </row>
    <row r="1088" spans="1:3" ht="15" customHeight="1">
      <c r="A1088" s="401" t="s">
        <v>24883</v>
      </c>
      <c r="B1088" s="554" t="s">
        <v>24882</v>
      </c>
      <c r="C1088" s="556">
        <v>1977</v>
      </c>
    </row>
    <row r="1089" spans="1:3" ht="15" customHeight="1">
      <c r="A1089" s="401" t="s">
        <v>24881</v>
      </c>
      <c r="B1089" s="554" t="s">
        <v>24880</v>
      </c>
      <c r="C1089" s="556">
        <v>2129</v>
      </c>
    </row>
    <row r="1090" spans="1:3" ht="15" customHeight="1">
      <c r="A1090" s="527" t="s">
        <v>24879</v>
      </c>
      <c r="B1090" s="555" t="s">
        <v>24878</v>
      </c>
      <c r="C1090" s="479">
        <v>1474</v>
      </c>
    </row>
    <row r="1091" spans="1:3" ht="15" customHeight="1">
      <c r="A1091" s="527" t="s">
        <v>24877</v>
      </c>
      <c r="B1091" s="555" t="s">
        <v>24876</v>
      </c>
      <c r="C1091" s="479">
        <v>1587</v>
      </c>
    </row>
    <row r="1092" spans="1:3" ht="15" customHeight="1">
      <c r="A1092" s="557" t="s">
        <v>24875</v>
      </c>
      <c r="B1092" s="552" t="s">
        <v>24874</v>
      </c>
      <c r="C1092" s="405">
        <v>1379</v>
      </c>
    </row>
    <row r="1093" spans="1:3" s="524" customFormat="1" ht="15" customHeight="1">
      <c r="A1093" s="557" t="s">
        <v>24873</v>
      </c>
      <c r="B1093" s="552" t="s">
        <v>24872</v>
      </c>
      <c r="C1093" s="405">
        <v>1481</v>
      </c>
    </row>
    <row r="1094" spans="1:3" s="524" customFormat="1" ht="15" customHeight="1">
      <c r="A1094" s="557" t="s">
        <v>24871</v>
      </c>
      <c r="B1094" s="552" t="s">
        <v>24870</v>
      </c>
      <c r="C1094" s="556">
        <v>2266</v>
      </c>
    </row>
    <row r="1095" spans="1:3" ht="15" customHeight="1">
      <c r="A1095" s="557" t="s">
        <v>24869</v>
      </c>
      <c r="B1095" s="552" t="s">
        <v>24868</v>
      </c>
      <c r="C1095" s="556">
        <v>2403</v>
      </c>
    </row>
    <row r="1096" spans="1:3" ht="15" customHeight="1">
      <c r="A1096" s="527" t="s">
        <v>24867</v>
      </c>
      <c r="B1096" s="555" t="s">
        <v>24866</v>
      </c>
      <c r="C1096" s="479">
        <v>1636</v>
      </c>
    </row>
    <row r="1097" spans="1:3" s="524" customFormat="1" ht="15" customHeight="1">
      <c r="A1097" s="527" t="s">
        <v>24865</v>
      </c>
      <c r="B1097" s="555" t="s">
        <v>24864</v>
      </c>
      <c r="C1097" s="479">
        <v>1738</v>
      </c>
    </row>
    <row r="1098" spans="1:3" s="524" customFormat="1" ht="15" customHeight="1">
      <c r="A1098" s="557" t="s">
        <v>24863</v>
      </c>
      <c r="B1098" s="554" t="s">
        <v>24862</v>
      </c>
      <c r="C1098" s="405">
        <v>762</v>
      </c>
    </row>
    <row r="1099" spans="1:3" ht="15" customHeight="1">
      <c r="A1099" s="401" t="s">
        <v>24861</v>
      </c>
      <c r="B1099" s="554" t="s">
        <v>24860</v>
      </c>
      <c r="C1099" s="405">
        <v>1257</v>
      </c>
    </row>
    <row r="1100" spans="1:3" ht="15" customHeight="1">
      <c r="A1100" s="401" t="s">
        <v>24859</v>
      </c>
      <c r="B1100" s="554" t="s">
        <v>24858</v>
      </c>
      <c r="C1100" s="405">
        <v>1359</v>
      </c>
    </row>
    <row r="1101" spans="1:3" ht="15" customHeight="1">
      <c r="A1101" s="401" t="s">
        <v>24857</v>
      </c>
      <c r="B1101" s="554" t="s">
        <v>24856</v>
      </c>
      <c r="C1101" s="556">
        <v>2101</v>
      </c>
    </row>
    <row r="1102" spans="1:3" ht="15" customHeight="1">
      <c r="A1102" s="401" t="s">
        <v>24855</v>
      </c>
      <c r="B1102" s="554" t="s">
        <v>24854</v>
      </c>
      <c r="C1102" s="556">
        <v>2239</v>
      </c>
    </row>
    <row r="1103" spans="1:3" ht="15" customHeight="1">
      <c r="A1103" s="527" t="s">
        <v>24853</v>
      </c>
      <c r="B1103" s="555" t="s">
        <v>24852</v>
      </c>
      <c r="C1103" s="479">
        <v>1514</v>
      </c>
    </row>
    <row r="1104" spans="1:3" ht="15" customHeight="1">
      <c r="A1104" s="527" t="s">
        <v>24851</v>
      </c>
      <c r="B1104" s="555" t="s">
        <v>24850</v>
      </c>
      <c r="C1104" s="479">
        <v>1616</v>
      </c>
    </row>
    <row r="1105" spans="1:3" ht="15" customHeight="1">
      <c r="A1105" s="401" t="s">
        <v>24849</v>
      </c>
      <c r="B1105" s="552" t="s">
        <v>24848</v>
      </c>
      <c r="C1105" s="553">
        <v>2023</v>
      </c>
    </row>
    <row r="1106" spans="1:3" ht="15" customHeight="1">
      <c r="A1106" s="401" t="s">
        <v>24847</v>
      </c>
      <c r="B1106" s="552" t="s">
        <v>24846</v>
      </c>
      <c r="C1106" s="553">
        <v>2208</v>
      </c>
    </row>
    <row r="1107" spans="1:3" ht="15" customHeight="1">
      <c r="A1107" s="401" t="s">
        <v>24845</v>
      </c>
      <c r="B1107" s="552" t="s">
        <v>24844</v>
      </c>
      <c r="C1107" s="553">
        <v>2567</v>
      </c>
    </row>
    <row r="1108" spans="1:3" ht="15" customHeight="1">
      <c r="A1108" s="401" t="s">
        <v>24843</v>
      </c>
      <c r="B1108" s="552" t="s">
        <v>24842</v>
      </c>
      <c r="C1108" s="553">
        <v>2753</v>
      </c>
    </row>
    <row r="1109" spans="1:3" ht="15" customHeight="1">
      <c r="A1109" s="401" t="s">
        <v>24841</v>
      </c>
      <c r="B1109" s="554" t="s">
        <v>24840</v>
      </c>
      <c r="C1109" s="553">
        <v>1064</v>
      </c>
    </row>
    <row r="1110" spans="1:3" ht="15" customHeight="1">
      <c r="A1110" s="401" t="s">
        <v>24839</v>
      </c>
      <c r="B1110" s="552" t="s">
        <v>24838</v>
      </c>
      <c r="C1110" s="553">
        <v>2216</v>
      </c>
    </row>
    <row r="1111" spans="1:3" ht="15" customHeight="1">
      <c r="A1111" s="401" t="s">
        <v>24837</v>
      </c>
      <c r="B1111" s="552" t="s">
        <v>24836</v>
      </c>
      <c r="C1111" s="553">
        <v>2401</v>
      </c>
    </row>
    <row r="1112" spans="1:3" ht="15" customHeight="1">
      <c r="A1112" s="401" t="s">
        <v>24835</v>
      </c>
      <c r="B1112" s="552" t="s">
        <v>24834</v>
      </c>
      <c r="C1112" s="551">
        <v>2760</v>
      </c>
    </row>
    <row r="1113" spans="1:3" ht="15" customHeight="1">
      <c r="A1113" s="401" t="s">
        <v>24833</v>
      </c>
      <c r="B1113" s="552" t="s">
        <v>24832</v>
      </c>
      <c r="C1113" s="551">
        <v>2946</v>
      </c>
    </row>
    <row r="1114" spans="1:3" ht="15" customHeight="1">
      <c r="A1114" s="401" t="s">
        <v>24831</v>
      </c>
      <c r="B1114" s="550" t="s">
        <v>24830</v>
      </c>
      <c r="C1114" s="425">
        <v>1109</v>
      </c>
    </row>
    <row r="1115" spans="1:3" ht="15" customHeight="1">
      <c r="A1115" s="401" t="s">
        <v>24829</v>
      </c>
      <c r="B1115" s="550" t="s">
        <v>24828</v>
      </c>
      <c r="C1115" s="421">
        <v>1211</v>
      </c>
    </row>
    <row r="1116" spans="1:3" ht="15" customHeight="1">
      <c r="A1116" s="401" t="s">
        <v>24827</v>
      </c>
      <c r="B1116" s="550" t="s">
        <v>24826</v>
      </c>
      <c r="C1116" s="421">
        <v>1366</v>
      </c>
    </row>
    <row r="1117" spans="1:3" ht="15" customHeight="1">
      <c r="A1117" s="401" t="s">
        <v>24825</v>
      </c>
      <c r="B1117" s="550" t="s">
        <v>24824</v>
      </c>
      <c r="C1117" s="421">
        <v>1468</v>
      </c>
    </row>
    <row r="1118" spans="1:3" ht="15" customHeight="1">
      <c r="A1118" s="401" t="s">
        <v>24823</v>
      </c>
      <c r="B1118" s="550" t="s">
        <v>24822</v>
      </c>
      <c r="C1118" s="421">
        <v>583</v>
      </c>
    </row>
    <row r="1119" spans="1:3" ht="15" customHeight="1">
      <c r="A1119" s="420" t="s">
        <v>24821</v>
      </c>
      <c r="B1119" s="544" t="s">
        <v>24820</v>
      </c>
      <c r="C1119" s="543">
        <v>1215</v>
      </c>
    </row>
    <row r="1120" spans="1:3" ht="15" customHeight="1">
      <c r="A1120" s="420" t="s">
        <v>24819</v>
      </c>
      <c r="B1120" s="544" t="s">
        <v>24818</v>
      </c>
      <c r="C1120" s="543">
        <v>1317</v>
      </c>
    </row>
    <row r="1121" spans="1:3" ht="15" customHeight="1">
      <c r="A1121" s="420" t="s">
        <v>24817</v>
      </c>
      <c r="B1121" s="544" t="s">
        <v>24816</v>
      </c>
      <c r="C1121" s="543">
        <v>1472</v>
      </c>
    </row>
    <row r="1122" spans="1:3" ht="15" customHeight="1">
      <c r="A1122" s="420" t="s">
        <v>24815</v>
      </c>
      <c r="B1122" s="544" t="s">
        <v>24814</v>
      </c>
      <c r="C1122" s="543">
        <v>1574</v>
      </c>
    </row>
    <row r="1123" spans="1:3" ht="15" customHeight="1">
      <c r="A1123" s="420" t="s">
        <v>24813</v>
      </c>
      <c r="B1123" s="419" t="s">
        <v>24812</v>
      </c>
      <c r="C1123" s="416">
        <v>361</v>
      </c>
    </row>
    <row r="1124" spans="1:3" ht="15" customHeight="1">
      <c r="A1124" s="420" t="s">
        <v>24811</v>
      </c>
      <c r="B1124" s="419" t="s">
        <v>24810</v>
      </c>
      <c r="C1124" s="416">
        <v>476</v>
      </c>
    </row>
    <row r="1125" spans="1:3" ht="15" customHeight="1">
      <c r="A1125" s="420" t="s">
        <v>24809</v>
      </c>
      <c r="B1125" s="419" t="s">
        <v>24808</v>
      </c>
      <c r="C1125" s="416">
        <v>216</v>
      </c>
    </row>
    <row r="1126" spans="1:3" ht="15" customHeight="1">
      <c r="A1126" s="409" t="s">
        <v>24807</v>
      </c>
      <c r="B1126" s="419" t="s">
        <v>24806</v>
      </c>
      <c r="C1126" s="416">
        <v>790</v>
      </c>
    </row>
    <row r="1127" spans="1:3" ht="15" customHeight="1">
      <c r="A1127" s="409" t="s">
        <v>24805</v>
      </c>
      <c r="B1127" s="419" t="s">
        <v>24804</v>
      </c>
      <c r="C1127" s="416">
        <v>985</v>
      </c>
    </row>
    <row r="1128" spans="1:3" ht="15" customHeight="1">
      <c r="A1128" s="409" t="s">
        <v>24803</v>
      </c>
      <c r="B1128" s="491" t="s">
        <v>24802</v>
      </c>
      <c r="C1128" s="416">
        <v>435</v>
      </c>
    </row>
    <row r="1129" spans="1:3" ht="15" customHeight="1">
      <c r="A1129" s="505" t="s">
        <v>24801</v>
      </c>
      <c r="B1129" s="510" t="s">
        <v>24800</v>
      </c>
      <c r="C1129" s="416">
        <v>1177</v>
      </c>
    </row>
    <row r="1130" spans="1:3" ht="15" customHeight="1">
      <c r="A1130" s="505" t="s">
        <v>24799</v>
      </c>
      <c r="B1130" s="510" t="s">
        <v>24798</v>
      </c>
      <c r="C1130" s="416">
        <v>1434</v>
      </c>
    </row>
    <row r="1131" spans="1:3" ht="15" customHeight="1">
      <c r="A1131" s="505" t="s">
        <v>24797</v>
      </c>
      <c r="B1131" s="510" t="s">
        <v>24796</v>
      </c>
      <c r="C1131" s="549">
        <v>1981</v>
      </c>
    </row>
    <row r="1132" spans="1:3" ht="15" customHeight="1">
      <c r="A1132" s="505" t="s">
        <v>24795</v>
      </c>
      <c r="B1132" s="510" t="s">
        <v>24794</v>
      </c>
      <c r="C1132" s="549">
        <v>2328</v>
      </c>
    </row>
    <row r="1133" spans="1:3" ht="15" customHeight="1">
      <c r="A1133" s="440" t="s">
        <v>24793</v>
      </c>
      <c r="B1133" s="548" t="s">
        <v>24792</v>
      </c>
      <c r="C1133" s="530">
        <v>1434</v>
      </c>
    </row>
    <row r="1134" spans="1:3" ht="15" customHeight="1">
      <c r="A1134" s="440" t="s">
        <v>24791</v>
      </c>
      <c r="B1134" s="548" t="s">
        <v>24790</v>
      </c>
      <c r="C1134" s="530">
        <v>1691</v>
      </c>
    </row>
    <row r="1135" spans="1:3" ht="15" customHeight="1">
      <c r="A1135" s="505" t="s">
        <v>24789</v>
      </c>
      <c r="B1135" s="510" t="s">
        <v>24788</v>
      </c>
      <c r="C1135" s="416">
        <v>648</v>
      </c>
    </row>
    <row r="1136" spans="1:3" ht="15" customHeight="1">
      <c r="A1136" s="505" t="s">
        <v>24787</v>
      </c>
      <c r="B1136" s="510" t="s">
        <v>24786</v>
      </c>
      <c r="C1136" s="416">
        <v>1430</v>
      </c>
    </row>
    <row r="1137" spans="1:3" ht="15" customHeight="1">
      <c r="A1137" s="505" t="s">
        <v>24785</v>
      </c>
      <c r="B1137" s="510" t="s">
        <v>24784</v>
      </c>
      <c r="C1137" s="416">
        <v>1687</v>
      </c>
    </row>
    <row r="1138" spans="1:3" ht="15" customHeight="1">
      <c r="A1138" s="505" t="s">
        <v>24783</v>
      </c>
      <c r="B1138" s="510" t="s">
        <v>24782</v>
      </c>
      <c r="C1138" s="549">
        <v>2322</v>
      </c>
    </row>
    <row r="1139" spans="1:3" ht="15" customHeight="1">
      <c r="A1139" s="505" t="s">
        <v>24781</v>
      </c>
      <c r="B1139" s="510" t="s">
        <v>24780</v>
      </c>
      <c r="C1139" s="549">
        <v>2669</v>
      </c>
    </row>
    <row r="1140" spans="1:3" s="524" customFormat="1" ht="15" customHeight="1">
      <c r="A1140" s="440" t="s">
        <v>24779</v>
      </c>
      <c r="B1140" s="548" t="s">
        <v>24778</v>
      </c>
      <c r="C1140" s="530">
        <v>1687</v>
      </c>
    </row>
    <row r="1141" spans="1:3" s="524" customFormat="1" ht="15" customHeight="1">
      <c r="A1141" s="440" t="s">
        <v>24777</v>
      </c>
      <c r="B1141" s="548" t="s">
        <v>24776</v>
      </c>
      <c r="C1141" s="530">
        <v>1944</v>
      </c>
    </row>
    <row r="1142" spans="1:3" ht="15" customHeight="1">
      <c r="A1142" s="447" t="s">
        <v>24775</v>
      </c>
      <c r="B1142" s="430" t="s">
        <v>24774</v>
      </c>
      <c r="C1142" s="416">
        <v>1043</v>
      </c>
    </row>
    <row r="1143" spans="1:3" ht="15" customHeight="1">
      <c r="A1143" s="447" t="s">
        <v>24773</v>
      </c>
      <c r="B1143" s="430" t="s">
        <v>24772</v>
      </c>
      <c r="C1143" s="416">
        <v>1232</v>
      </c>
    </row>
    <row r="1144" spans="1:3" ht="15" customHeight="1">
      <c r="A1144" s="447" t="s">
        <v>24771</v>
      </c>
      <c r="B1144" s="430" t="s">
        <v>24770</v>
      </c>
      <c r="C1144" s="549">
        <v>1809</v>
      </c>
    </row>
    <row r="1145" spans="1:3" ht="15" customHeight="1">
      <c r="A1145" s="447" t="s">
        <v>24769</v>
      </c>
      <c r="B1145" s="430" t="s">
        <v>24768</v>
      </c>
      <c r="C1145" s="549">
        <v>2065</v>
      </c>
    </row>
    <row r="1146" spans="1:3" ht="15" customHeight="1">
      <c r="A1146" s="440" t="s">
        <v>24767</v>
      </c>
      <c r="B1146" s="548" t="s">
        <v>24766</v>
      </c>
      <c r="C1146" s="530">
        <v>1300</v>
      </c>
    </row>
    <row r="1147" spans="1:3" ht="15" customHeight="1">
      <c r="A1147" s="440" t="s">
        <v>24765</v>
      </c>
      <c r="B1147" s="548" t="s">
        <v>24764</v>
      </c>
      <c r="C1147" s="530">
        <v>1489</v>
      </c>
    </row>
    <row r="1148" spans="1:3" ht="15" customHeight="1">
      <c r="A1148" s="447" t="s">
        <v>24763</v>
      </c>
      <c r="B1148" s="430" t="s">
        <v>24762</v>
      </c>
      <c r="C1148" s="416">
        <v>478</v>
      </c>
    </row>
    <row r="1149" spans="1:3" ht="15" customHeight="1">
      <c r="A1149" s="420" t="s">
        <v>24761</v>
      </c>
      <c r="B1149" s="419" t="s">
        <v>24760</v>
      </c>
      <c r="C1149" s="416">
        <v>952</v>
      </c>
    </row>
    <row r="1150" spans="1:3" ht="15" customHeight="1">
      <c r="A1150" s="420" t="s">
        <v>24759</v>
      </c>
      <c r="B1150" s="419" t="s">
        <v>24758</v>
      </c>
      <c r="C1150" s="416">
        <v>1140</v>
      </c>
    </row>
    <row r="1151" spans="1:3" ht="15" customHeight="1">
      <c r="A1151" s="420" t="s">
        <v>24757</v>
      </c>
      <c r="B1151" s="419" t="s">
        <v>24756</v>
      </c>
      <c r="C1151" s="549">
        <v>1687</v>
      </c>
    </row>
    <row r="1152" spans="1:3" ht="15" customHeight="1">
      <c r="A1152" s="420" t="s">
        <v>24755</v>
      </c>
      <c r="B1152" s="491" t="s">
        <v>24754</v>
      </c>
      <c r="C1152" s="549">
        <v>1942</v>
      </c>
    </row>
    <row r="1153" spans="1:3" ht="15" customHeight="1">
      <c r="A1153" s="440" t="s">
        <v>24753</v>
      </c>
      <c r="B1153" s="548" t="s">
        <v>24752</v>
      </c>
      <c r="C1153" s="530">
        <v>1209</v>
      </c>
    </row>
    <row r="1154" spans="1:3" ht="15" customHeight="1">
      <c r="A1154" s="440" t="s">
        <v>24751</v>
      </c>
      <c r="B1154" s="548" t="s">
        <v>24750</v>
      </c>
      <c r="C1154" s="530">
        <v>1398</v>
      </c>
    </row>
    <row r="1155" spans="1:3" ht="15" customHeight="1">
      <c r="A1155" s="447" t="s">
        <v>24749</v>
      </c>
      <c r="B1155" s="430" t="s">
        <v>24748</v>
      </c>
      <c r="C1155" s="416">
        <v>1047</v>
      </c>
    </row>
    <row r="1156" spans="1:3" ht="15" customHeight="1">
      <c r="A1156" s="447" t="s">
        <v>24747</v>
      </c>
      <c r="B1156" s="430" t="s">
        <v>24746</v>
      </c>
      <c r="C1156" s="416">
        <v>735</v>
      </c>
    </row>
    <row r="1157" spans="1:3" ht="15" customHeight="1">
      <c r="A1157" s="409" t="s">
        <v>24745</v>
      </c>
      <c r="B1157" s="430" t="s">
        <v>24744</v>
      </c>
      <c r="C1157" s="416">
        <v>684</v>
      </c>
    </row>
    <row r="1158" spans="1:3" ht="15" customHeight="1">
      <c r="A1158" s="409" t="s">
        <v>24743</v>
      </c>
      <c r="B1158" s="430" t="s">
        <v>24742</v>
      </c>
      <c r="C1158" s="416">
        <v>904</v>
      </c>
    </row>
    <row r="1159" spans="1:3" ht="15" customHeight="1">
      <c r="A1159" s="409" t="s">
        <v>24741</v>
      </c>
      <c r="B1159" s="430" t="s">
        <v>24740</v>
      </c>
      <c r="C1159" s="549">
        <v>1271</v>
      </c>
    </row>
    <row r="1160" spans="1:3" ht="15" customHeight="1">
      <c r="A1160" s="409" t="s">
        <v>24739</v>
      </c>
      <c r="B1160" s="430" t="s">
        <v>24738</v>
      </c>
      <c r="C1160" s="549">
        <v>1568</v>
      </c>
    </row>
    <row r="1161" spans="1:3" ht="15" customHeight="1">
      <c r="A1161" s="440" t="s">
        <v>24737</v>
      </c>
      <c r="B1161" s="548" t="s">
        <v>24736</v>
      </c>
      <c r="C1161" s="530">
        <v>931</v>
      </c>
    </row>
    <row r="1162" spans="1:3" ht="15" customHeight="1">
      <c r="A1162" s="440" t="s">
        <v>24735</v>
      </c>
      <c r="B1162" s="548" t="s">
        <v>24734</v>
      </c>
      <c r="C1162" s="530">
        <v>1161</v>
      </c>
    </row>
    <row r="1163" spans="1:3" ht="15" customHeight="1">
      <c r="A1163" s="409" t="s">
        <v>24733</v>
      </c>
      <c r="B1163" s="430" t="s">
        <v>24732</v>
      </c>
      <c r="C1163" s="416">
        <v>339</v>
      </c>
    </row>
    <row r="1164" spans="1:3" ht="15" customHeight="1">
      <c r="A1164" s="420" t="s">
        <v>24731</v>
      </c>
      <c r="B1164" s="419" t="s">
        <v>24730</v>
      </c>
      <c r="C1164" s="416">
        <v>632</v>
      </c>
    </row>
    <row r="1165" spans="1:3" ht="15" customHeight="1">
      <c r="A1165" s="420" t="s">
        <v>24729</v>
      </c>
      <c r="B1165" s="419" t="s">
        <v>24728</v>
      </c>
      <c r="C1165" s="416">
        <v>851</v>
      </c>
    </row>
    <row r="1166" spans="1:3" ht="15" customHeight="1">
      <c r="A1166" s="420" t="s">
        <v>24727</v>
      </c>
      <c r="B1166" s="419" t="s">
        <v>24726</v>
      </c>
      <c r="C1166" s="549">
        <v>1201</v>
      </c>
    </row>
    <row r="1167" spans="1:3" ht="15" customHeight="1">
      <c r="A1167" s="420" t="s">
        <v>24725</v>
      </c>
      <c r="B1167" s="419" t="s">
        <v>24724</v>
      </c>
      <c r="C1167" s="549">
        <v>1498</v>
      </c>
    </row>
    <row r="1168" spans="1:3" ht="15" customHeight="1">
      <c r="A1168" s="440" t="s">
        <v>24723</v>
      </c>
      <c r="B1168" s="548" t="s">
        <v>24722</v>
      </c>
      <c r="C1168" s="530">
        <v>889</v>
      </c>
    </row>
    <row r="1169" spans="1:3" ht="15" customHeight="1">
      <c r="A1169" s="440" t="s">
        <v>24721</v>
      </c>
      <c r="B1169" s="548" t="s">
        <v>24720</v>
      </c>
      <c r="C1169" s="530">
        <v>1109</v>
      </c>
    </row>
    <row r="1170" spans="1:3" ht="15" customHeight="1">
      <c r="A1170" s="420" t="s">
        <v>24719</v>
      </c>
      <c r="B1170" s="419" t="s">
        <v>24718</v>
      </c>
      <c r="C1170" s="416">
        <v>198</v>
      </c>
    </row>
    <row r="1171" spans="1:3" ht="15" customHeight="1">
      <c r="A1171" s="444" t="s">
        <v>24717</v>
      </c>
      <c r="B1171" s="411" t="s">
        <v>24716</v>
      </c>
      <c r="C1171" s="417">
        <v>746</v>
      </c>
    </row>
    <row r="1172" spans="1:3" ht="15" customHeight="1">
      <c r="A1172" s="444" t="s">
        <v>24715</v>
      </c>
      <c r="B1172" s="411" t="s">
        <v>24714</v>
      </c>
      <c r="C1172" s="417">
        <v>972</v>
      </c>
    </row>
    <row r="1173" spans="1:3" ht="15" customHeight="1">
      <c r="A1173" s="420" t="s">
        <v>24713</v>
      </c>
      <c r="B1173" s="442" t="s">
        <v>24712</v>
      </c>
      <c r="C1173" s="441">
        <v>520</v>
      </c>
    </row>
    <row r="1174" spans="1:3" ht="15" customHeight="1">
      <c r="A1174" s="463" t="s">
        <v>24711</v>
      </c>
      <c r="B1174" s="451" t="s">
        <v>24710</v>
      </c>
      <c r="C1174" s="416">
        <v>688</v>
      </c>
    </row>
    <row r="1175" spans="1:3" ht="15" customHeight="1">
      <c r="A1175" s="463" t="s">
        <v>24709</v>
      </c>
      <c r="B1175" s="451" t="s">
        <v>24708</v>
      </c>
      <c r="C1175" s="416">
        <v>964</v>
      </c>
    </row>
    <row r="1176" spans="1:3" ht="15" customHeight="1">
      <c r="A1176" s="463" t="s">
        <v>24707</v>
      </c>
      <c r="B1176" s="451" t="s">
        <v>24706</v>
      </c>
      <c r="C1176" s="416">
        <v>414</v>
      </c>
    </row>
    <row r="1177" spans="1:3" ht="15" customHeight="1">
      <c r="A1177" s="463" t="s">
        <v>24705</v>
      </c>
      <c r="B1177" s="451" t="s">
        <v>24704</v>
      </c>
      <c r="C1177" s="416">
        <v>1171</v>
      </c>
    </row>
    <row r="1178" spans="1:3" ht="15" customHeight="1">
      <c r="A1178" s="463" t="s">
        <v>24703</v>
      </c>
      <c r="B1178" s="451" t="s">
        <v>24702</v>
      </c>
      <c r="C1178" s="416">
        <v>1317</v>
      </c>
    </row>
    <row r="1179" spans="1:3" ht="15" customHeight="1">
      <c r="A1179" s="463" t="s">
        <v>24701</v>
      </c>
      <c r="B1179" s="451" t="s">
        <v>24700</v>
      </c>
      <c r="C1179" s="416">
        <v>750</v>
      </c>
    </row>
    <row r="1180" spans="1:3" ht="15" customHeight="1">
      <c r="A1180" s="463" t="s">
        <v>24699</v>
      </c>
      <c r="B1180" s="451" t="s">
        <v>24698</v>
      </c>
      <c r="C1180" s="416">
        <v>1025</v>
      </c>
    </row>
    <row r="1181" spans="1:3" ht="15" customHeight="1">
      <c r="A1181" s="463" t="s">
        <v>24697</v>
      </c>
      <c r="B1181" s="451" t="s">
        <v>24696</v>
      </c>
      <c r="C1181" s="416">
        <v>45</v>
      </c>
    </row>
    <row r="1182" spans="1:3" ht="15" customHeight="1">
      <c r="A1182" s="463" t="s">
        <v>24695</v>
      </c>
      <c r="B1182" s="451" t="s">
        <v>24694</v>
      </c>
      <c r="C1182" s="416">
        <v>1232</v>
      </c>
    </row>
    <row r="1183" spans="1:3" ht="15" customHeight="1">
      <c r="A1183" s="463" t="s">
        <v>24693</v>
      </c>
      <c r="B1183" s="451" t="s">
        <v>24692</v>
      </c>
      <c r="C1183" s="416">
        <v>1377</v>
      </c>
    </row>
    <row r="1184" spans="1:3" ht="15" customHeight="1">
      <c r="A1184" s="493" t="s">
        <v>24691</v>
      </c>
      <c r="B1184" s="513" t="s">
        <v>24690</v>
      </c>
      <c r="C1184" s="417">
        <v>688</v>
      </c>
    </row>
    <row r="1185" spans="1:3" ht="15" customHeight="1">
      <c r="A1185" s="493" t="s">
        <v>24689</v>
      </c>
      <c r="B1185" s="513" t="s">
        <v>24688</v>
      </c>
      <c r="C1185" s="417">
        <v>597</v>
      </c>
    </row>
    <row r="1186" spans="1:3" ht="15" customHeight="1">
      <c r="A1186" s="493" t="s">
        <v>24687</v>
      </c>
      <c r="B1186" s="513" t="s">
        <v>24686</v>
      </c>
      <c r="C1186" s="417">
        <v>732</v>
      </c>
    </row>
    <row r="1187" spans="1:3" ht="15" customHeight="1">
      <c r="A1187" s="493" t="s">
        <v>24685</v>
      </c>
      <c r="B1187" s="513" t="s">
        <v>24684</v>
      </c>
      <c r="C1187" s="417">
        <v>325</v>
      </c>
    </row>
    <row r="1188" spans="1:3" ht="15" customHeight="1">
      <c r="A1188" s="493" t="s">
        <v>24683</v>
      </c>
      <c r="B1188" s="513" t="s">
        <v>24682</v>
      </c>
      <c r="C1188" s="417">
        <v>859</v>
      </c>
    </row>
    <row r="1189" spans="1:3" ht="15" customHeight="1">
      <c r="A1189" s="493" t="s">
        <v>24681</v>
      </c>
      <c r="B1189" s="513" t="s">
        <v>24680</v>
      </c>
      <c r="C1189" s="417">
        <v>778</v>
      </c>
    </row>
    <row r="1190" spans="1:3" ht="15" customHeight="1">
      <c r="A1190" s="440" t="s">
        <v>24679</v>
      </c>
      <c r="B1190" s="442" t="s">
        <v>24678</v>
      </c>
      <c r="C1190" s="439">
        <v>869</v>
      </c>
    </row>
    <row r="1191" spans="1:3" ht="15" customHeight="1">
      <c r="A1191" s="440" t="s">
        <v>24677</v>
      </c>
      <c r="B1191" s="442" t="s">
        <v>24676</v>
      </c>
      <c r="C1191" s="439">
        <v>1059</v>
      </c>
    </row>
    <row r="1192" spans="1:3" ht="15" customHeight="1">
      <c r="A1192" s="440" t="s">
        <v>24675</v>
      </c>
      <c r="B1192" s="442" t="s">
        <v>24674</v>
      </c>
      <c r="C1192" s="439">
        <v>1094</v>
      </c>
    </row>
    <row r="1193" spans="1:3" ht="15" customHeight="1">
      <c r="A1193" s="440" t="s">
        <v>24673</v>
      </c>
      <c r="B1193" s="442" t="s">
        <v>24672</v>
      </c>
      <c r="C1193" s="439">
        <v>1284</v>
      </c>
    </row>
    <row r="1194" spans="1:3" ht="15" customHeight="1">
      <c r="A1194" s="440" t="s">
        <v>24671</v>
      </c>
      <c r="B1194" s="442" t="s">
        <v>24670</v>
      </c>
      <c r="C1194" s="439">
        <v>356</v>
      </c>
    </row>
    <row r="1195" spans="1:3" ht="15" customHeight="1">
      <c r="A1195" s="420" t="s">
        <v>24669</v>
      </c>
      <c r="B1195" s="419" t="s">
        <v>24668</v>
      </c>
      <c r="C1195" s="518">
        <v>654</v>
      </c>
    </row>
    <row r="1196" spans="1:3" ht="15" customHeight="1">
      <c r="A1196" s="420" t="s">
        <v>24667</v>
      </c>
      <c r="B1196" s="419" t="s">
        <v>24666</v>
      </c>
      <c r="C1196" s="518">
        <v>804</v>
      </c>
    </row>
    <row r="1197" spans="1:3" ht="15" customHeight="1">
      <c r="A1197" s="420" t="s">
        <v>24665</v>
      </c>
      <c r="B1197" s="419" t="s">
        <v>24664</v>
      </c>
      <c r="C1197" s="518">
        <v>295</v>
      </c>
    </row>
    <row r="1198" spans="1:3" ht="15" customHeight="1">
      <c r="A1198" s="420" t="s">
        <v>24663</v>
      </c>
      <c r="B1198" s="419" t="s">
        <v>24662</v>
      </c>
      <c r="C1198" s="518">
        <v>759</v>
      </c>
    </row>
    <row r="1199" spans="1:3" ht="15" customHeight="1">
      <c r="A1199" s="420" t="s">
        <v>24661</v>
      </c>
      <c r="B1199" s="419" t="s">
        <v>24660</v>
      </c>
      <c r="C1199" s="518">
        <v>909</v>
      </c>
    </row>
    <row r="1200" spans="1:3" ht="15" customHeight="1">
      <c r="A1200" s="493" t="s">
        <v>24659</v>
      </c>
      <c r="B1200" s="411" t="s">
        <v>24658</v>
      </c>
      <c r="C1200" s="417">
        <v>109</v>
      </c>
    </row>
    <row r="1201" spans="1:3" ht="15" customHeight="1">
      <c r="A1201" s="493" t="s">
        <v>24657</v>
      </c>
      <c r="B1201" s="411" t="s">
        <v>24656</v>
      </c>
      <c r="C1201" s="417">
        <v>109</v>
      </c>
    </row>
    <row r="1202" spans="1:3" ht="15" customHeight="1">
      <c r="A1202" s="420" t="s">
        <v>24655</v>
      </c>
      <c r="B1202" s="419" t="s">
        <v>24654</v>
      </c>
      <c r="C1202" s="417">
        <v>150</v>
      </c>
    </row>
    <row r="1203" spans="1:3" ht="15" customHeight="1">
      <c r="A1203" s="409" t="s">
        <v>24653</v>
      </c>
      <c r="B1203" s="419" t="s">
        <v>24652</v>
      </c>
      <c r="C1203" s="416">
        <v>457</v>
      </c>
    </row>
    <row r="1204" spans="1:3" ht="15" customHeight="1">
      <c r="A1204" s="529" t="s">
        <v>24651</v>
      </c>
      <c r="B1204" s="411" t="s">
        <v>24650</v>
      </c>
      <c r="C1204" s="417">
        <v>339</v>
      </c>
    </row>
    <row r="1205" spans="1:3" ht="15" customHeight="1">
      <c r="A1205" s="529" t="s">
        <v>24649</v>
      </c>
      <c r="B1205" s="411" t="s">
        <v>24648</v>
      </c>
      <c r="C1205" s="417">
        <v>410</v>
      </c>
    </row>
    <row r="1206" spans="1:3" ht="15" customHeight="1">
      <c r="A1206" s="529" t="s">
        <v>24647</v>
      </c>
      <c r="B1206" s="411" t="s">
        <v>24646</v>
      </c>
      <c r="C1206" s="417">
        <v>88</v>
      </c>
    </row>
    <row r="1207" spans="1:3" ht="15" customHeight="1">
      <c r="A1207" s="529" t="s">
        <v>24645</v>
      </c>
      <c r="B1207" s="411" t="s">
        <v>24644</v>
      </c>
      <c r="C1207" s="417">
        <v>204</v>
      </c>
    </row>
    <row r="1208" spans="1:3" ht="15" customHeight="1">
      <c r="A1208" s="86" t="s">
        <v>24643</v>
      </c>
      <c r="B1208" s="419" t="s">
        <v>24642</v>
      </c>
      <c r="C1208" s="417">
        <v>257</v>
      </c>
    </row>
    <row r="1209" spans="1:3" ht="15" customHeight="1">
      <c r="A1209" s="86" t="s">
        <v>24641</v>
      </c>
      <c r="B1209" s="419" t="s">
        <v>24640</v>
      </c>
      <c r="C1209" s="417">
        <v>257</v>
      </c>
    </row>
    <row r="1210" spans="1:3" ht="15" customHeight="1">
      <c r="A1210" s="529" t="s">
        <v>24639</v>
      </c>
      <c r="B1210" s="411" t="s">
        <v>24638</v>
      </c>
      <c r="C1210" s="417">
        <v>256</v>
      </c>
    </row>
    <row r="1211" spans="1:3" ht="15" customHeight="1">
      <c r="A1211" s="86" t="s">
        <v>24637</v>
      </c>
      <c r="B1211" s="419" t="s">
        <v>24636</v>
      </c>
      <c r="C1211" s="410">
        <v>307</v>
      </c>
    </row>
    <row r="1212" spans="1:3" ht="15" customHeight="1">
      <c r="A1212" s="86" t="s">
        <v>24635</v>
      </c>
      <c r="B1212" s="419" t="s">
        <v>24634</v>
      </c>
      <c r="C1212" s="410">
        <v>317</v>
      </c>
    </row>
    <row r="1213" spans="1:3" ht="15" customHeight="1">
      <c r="A1213" s="478" t="s">
        <v>24633</v>
      </c>
      <c r="B1213" s="454" t="s">
        <v>24632</v>
      </c>
      <c r="C1213" s="417">
        <v>320</v>
      </c>
    </row>
    <row r="1214" spans="1:3" ht="15" customHeight="1">
      <c r="A1214" s="478" t="s">
        <v>24631</v>
      </c>
      <c r="B1214" s="454" t="s">
        <v>24630</v>
      </c>
      <c r="C1214" s="417">
        <v>399</v>
      </c>
    </row>
    <row r="1215" spans="1:3" ht="15" customHeight="1">
      <c r="A1215" s="478" t="s">
        <v>24629</v>
      </c>
      <c r="B1215" s="454" t="s">
        <v>24628</v>
      </c>
      <c r="C1215" s="417">
        <v>412</v>
      </c>
    </row>
    <row r="1216" spans="1:3" ht="15" customHeight="1">
      <c r="A1216" s="478" t="s">
        <v>24627</v>
      </c>
      <c r="B1216" s="454" t="s">
        <v>24626</v>
      </c>
      <c r="C1216" s="417">
        <v>492</v>
      </c>
    </row>
    <row r="1217" spans="1:3" ht="15" customHeight="1">
      <c r="A1217" s="478" t="s">
        <v>24625</v>
      </c>
      <c r="B1217" s="454" t="s">
        <v>24624</v>
      </c>
      <c r="C1217" s="417">
        <v>180</v>
      </c>
    </row>
    <row r="1218" spans="1:3" ht="15" customHeight="1">
      <c r="A1218" s="478" t="s">
        <v>24623</v>
      </c>
      <c r="B1218" s="454" t="s">
        <v>24622</v>
      </c>
      <c r="C1218" s="410">
        <v>260</v>
      </c>
    </row>
    <row r="1219" spans="1:3" ht="15" customHeight="1">
      <c r="A1219" s="478" t="s">
        <v>24621</v>
      </c>
      <c r="B1219" s="454" t="s">
        <v>24620</v>
      </c>
      <c r="C1219" s="410">
        <v>260</v>
      </c>
    </row>
    <row r="1220" spans="1:3" ht="15" customHeight="1">
      <c r="A1220" s="478" t="s">
        <v>24619</v>
      </c>
      <c r="B1220" s="454" t="s">
        <v>24618</v>
      </c>
      <c r="C1220" s="410">
        <v>340</v>
      </c>
    </row>
    <row r="1221" spans="1:3" ht="15" customHeight="1">
      <c r="A1221" s="478" t="s">
        <v>24617</v>
      </c>
      <c r="B1221" s="454" t="s">
        <v>24616</v>
      </c>
      <c r="C1221" s="410">
        <v>353</v>
      </c>
    </row>
    <row r="1222" spans="1:3" ht="15" customHeight="1">
      <c r="A1222" s="478" t="s">
        <v>24615</v>
      </c>
      <c r="B1222" s="454" t="s">
        <v>24614</v>
      </c>
      <c r="C1222" s="417">
        <v>432</v>
      </c>
    </row>
    <row r="1223" spans="1:3" ht="15" customHeight="1">
      <c r="A1223" s="420" t="s">
        <v>24613</v>
      </c>
      <c r="B1223" s="454" t="s">
        <v>24612</v>
      </c>
      <c r="C1223" s="441">
        <v>286</v>
      </c>
    </row>
    <row r="1224" spans="1:3" ht="15" customHeight="1">
      <c r="A1224" s="420" t="s">
        <v>24611</v>
      </c>
      <c r="B1224" s="454" t="s">
        <v>24610</v>
      </c>
      <c r="C1224" s="482">
        <v>345</v>
      </c>
    </row>
    <row r="1225" spans="1:3" ht="15" customHeight="1">
      <c r="A1225" s="420" t="s">
        <v>24609</v>
      </c>
      <c r="B1225" s="454" t="s">
        <v>24608</v>
      </c>
      <c r="C1225" s="410">
        <v>332</v>
      </c>
    </row>
    <row r="1226" spans="1:3" ht="15" customHeight="1">
      <c r="A1226" s="420" t="s">
        <v>24607</v>
      </c>
      <c r="B1226" s="454" t="s">
        <v>24606</v>
      </c>
      <c r="C1226" s="410">
        <v>390</v>
      </c>
    </row>
    <row r="1227" spans="1:3" ht="15" customHeight="1">
      <c r="A1227" s="420" t="s">
        <v>24605</v>
      </c>
      <c r="B1227" s="454" t="s">
        <v>24604</v>
      </c>
      <c r="C1227" s="410">
        <v>357</v>
      </c>
    </row>
    <row r="1228" spans="1:3" ht="15" customHeight="1">
      <c r="A1228" s="420" t="s">
        <v>24603</v>
      </c>
      <c r="B1228" s="454" t="s">
        <v>24602</v>
      </c>
      <c r="C1228" s="417">
        <v>415</v>
      </c>
    </row>
    <row r="1229" spans="1:3" ht="15" customHeight="1">
      <c r="A1229" s="420" t="s">
        <v>24601</v>
      </c>
      <c r="B1229" s="454" t="s">
        <v>24600</v>
      </c>
      <c r="C1229" s="441">
        <v>139</v>
      </c>
    </row>
    <row r="1230" spans="1:3" ht="15" customHeight="1">
      <c r="A1230" s="420" t="s">
        <v>24599</v>
      </c>
      <c r="B1230" s="454" t="s">
        <v>24598</v>
      </c>
      <c r="C1230" s="441">
        <v>232</v>
      </c>
    </row>
    <row r="1231" spans="1:3" ht="15" customHeight="1">
      <c r="A1231" s="420" t="s">
        <v>24597</v>
      </c>
      <c r="B1231" s="454" t="s">
        <v>24596</v>
      </c>
      <c r="C1231" s="482">
        <v>291</v>
      </c>
    </row>
    <row r="1232" spans="1:3" ht="15" customHeight="1">
      <c r="A1232" s="420" t="s">
        <v>24595</v>
      </c>
      <c r="B1232" s="454" t="s">
        <v>24594</v>
      </c>
      <c r="C1232" s="410">
        <v>282</v>
      </c>
    </row>
    <row r="1233" spans="1:3" ht="15" customHeight="1">
      <c r="A1233" s="420" t="s">
        <v>24593</v>
      </c>
      <c r="B1233" s="454" t="s">
        <v>24592</v>
      </c>
      <c r="C1233" s="410">
        <v>340</v>
      </c>
    </row>
    <row r="1234" spans="1:3" ht="15" customHeight="1">
      <c r="A1234" s="420" t="s">
        <v>24591</v>
      </c>
      <c r="B1234" s="454" t="s">
        <v>24590</v>
      </c>
      <c r="C1234" s="410">
        <v>304</v>
      </c>
    </row>
    <row r="1235" spans="1:3" ht="15" customHeight="1">
      <c r="A1235" s="420" t="s">
        <v>24589</v>
      </c>
      <c r="B1235" s="454" t="s">
        <v>24588</v>
      </c>
      <c r="C1235" s="417">
        <v>362</v>
      </c>
    </row>
    <row r="1236" spans="1:3" ht="15" customHeight="1">
      <c r="A1236" s="409" t="s">
        <v>24587</v>
      </c>
      <c r="B1236" s="510" t="s">
        <v>24586</v>
      </c>
      <c r="C1236" s="417">
        <v>224.98</v>
      </c>
    </row>
    <row r="1237" spans="1:3" ht="15" customHeight="1">
      <c r="A1237" s="409" t="s">
        <v>24585</v>
      </c>
      <c r="B1237" s="510" t="s">
        <v>24584</v>
      </c>
      <c r="C1237" s="417">
        <v>304.64</v>
      </c>
    </row>
    <row r="1238" spans="1:3" ht="15" customHeight="1">
      <c r="A1238" s="409" t="s">
        <v>24583</v>
      </c>
      <c r="B1238" s="510" t="s">
        <v>24582</v>
      </c>
      <c r="C1238" s="417">
        <v>95</v>
      </c>
    </row>
    <row r="1239" spans="1:3" s="524" customFormat="1" ht="15" customHeight="1">
      <c r="A1239" s="409" t="s">
        <v>24581</v>
      </c>
      <c r="B1239" s="510" t="s">
        <v>24580</v>
      </c>
      <c r="C1239" s="417">
        <v>156</v>
      </c>
    </row>
    <row r="1240" spans="1:3" ht="15" customHeight="1">
      <c r="A1240" s="511" t="s">
        <v>24579</v>
      </c>
      <c r="B1240" s="510" t="s">
        <v>24578</v>
      </c>
      <c r="C1240" s="416">
        <v>205.83</v>
      </c>
    </row>
    <row r="1241" spans="1:3" s="524" customFormat="1" ht="15" customHeight="1">
      <c r="A1241" s="420" t="s">
        <v>24577</v>
      </c>
      <c r="B1241" s="510" t="s">
        <v>24576</v>
      </c>
      <c r="C1241" s="417">
        <v>289</v>
      </c>
    </row>
    <row r="1242" spans="1:3" ht="15" customHeight="1">
      <c r="A1242" s="420" t="s">
        <v>24575</v>
      </c>
      <c r="B1242" s="510" t="s">
        <v>24574</v>
      </c>
      <c r="C1242" s="417">
        <v>341</v>
      </c>
    </row>
    <row r="1243" spans="1:3" ht="15" customHeight="1">
      <c r="A1243" s="420" t="s">
        <v>24573</v>
      </c>
      <c r="B1243" s="510" t="s">
        <v>24572</v>
      </c>
      <c r="C1243" s="417">
        <v>334</v>
      </c>
    </row>
    <row r="1244" spans="1:3" ht="15" customHeight="1">
      <c r="A1244" s="420" t="s">
        <v>24571</v>
      </c>
      <c r="B1244" s="510" t="s">
        <v>24570</v>
      </c>
      <c r="C1244" s="417">
        <v>385</v>
      </c>
    </row>
    <row r="1245" spans="1:3" ht="15" customHeight="1">
      <c r="A1245" s="420" t="s">
        <v>24569</v>
      </c>
      <c r="B1245" s="510" t="s">
        <v>24568</v>
      </c>
      <c r="C1245" s="417">
        <v>91</v>
      </c>
    </row>
    <row r="1246" spans="1:3" ht="15" customHeight="1">
      <c r="A1246" s="420" t="s">
        <v>24567</v>
      </c>
      <c r="B1246" s="510" t="s">
        <v>24566</v>
      </c>
      <c r="C1246" s="417">
        <v>143</v>
      </c>
    </row>
    <row r="1247" spans="1:3" ht="15" customHeight="1">
      <c r="A1247" s="420" t="s">
        <v>24565</v>
      </c>
      <c r="B1247" s="510" t="s">
        <v>24564</v>
      </c>
      <c r="C1247" s="417">
        <v>220</v>
      </c>
    </row>
    <row r="1248" spans="1:3" ht="15" customHeight="1">
      <c r="A1248" s="420" t="s">
        <v>24563</v>
      </c>
      <c r="B1248" s="510" t="s">
        <v>24562</v>
      </c>
      <c r="C1248" s="417">
        <v>272</v>
      </c>
    </row>
    <row r="1249" spans="1:3" ht="15" customHeight="1">
      <c r="A1249" s="420" t="s">
        <v>24561</v>
      </c>
      <c r="B1249" s="547" t="s">
        <v>24560</v>
      </c>
      <c r="C1249" s="417">
        <v>285</v>
      </c>
    </row>
    <row r="1250" spans="1:3" ht="15" customHeight="1">
      <c r="A1250" s="420" t="s">
        <v>24559</v>
      </c>
      <c r="B1250" s="547" t="s">
        <v>24558</v>
      </c>
      <c r="C1250" s="417">
        <v>337</v>
      </c>
    </row>
    <row r="1251" spans="1:3" ht="15" customHeight="1">
      <c r="A1251" s="420" t="s">
        <v>24557</v>
      </c>
      <c r="B1251" s="547" t="s">
        <v>24555</v>
      </c>
      <c r="C1251" s="417">
        <v>291</v>
      </c>
    </row>
    <row r="1252" spans="1:3" ht="15" customHeight="1">
      <c r="A1252" s="420" t="s">
        <v>24556</v>
      </c>
      <c r="B1252" s="547" t="s">
        <v>24555</v>
      </c>
      <c r="C1252" s="417">
        <v>343</v>
      </c>
    </row>
    <row r="1253" spans="1:3" ht="15" customHeight="1">
      <c r="A1253" s="420" t="s">
        <v>24554</v>
      </c>
      <c r="B1253" s="510" t="s">
        <v>24553</v>
      </c>
      <c r="C1253" s="417">
        <v>278</v>
      </c>
    </row>
    <row r="1254" spans="1:3" ht="15" customHeight="1">
      <c r="A1254" s="420" t="s">
        <v>24552</v>
      </c>
      <c r="B1254" s="510" t="s">
        <v>24551</v>
      </c>
      <c r="C1254" s="417">
        <v>330</v>
      </c>
    </row>
    <row r="1255" spans="1:3" ht="15" customHeight="1">
      <c r="A1255" s="420" t="s">
        <v>24550</v>
      </c>
      <c r="B1255" s="547" t="s">
        <v>24549</v>
      </c>
      <c r="C1255" s="417">
        <v>343</v>
      </c>
    </row>
    <row r="1256" spans="1:3" ht="15" customHeight="1">
      <c r="A1256" s="420" t="s">
        <v>24548</v>
      </c>
      <c r="B1256" s="547" t="s">
        <v>24547</v>
      </c>
      <c r="C1256" s="417">
        <v>395</v>
      </c>
    </row>
    <row r="1257" spans="1:3" ht="15" customHeight="1">
      <c r="A1257" s="420" t="s">
        <v>24546</v>
      </c>
      <c r="B1257" s="547" t="s">
        <v>24545</v>
      </c>
      <c r="C1257" s="417">
        <v>349</v>
      </c>
    </row>
    <row r="1258" spans="1:3" ht="15" customHeight="1">
      <c r="A1258" s="420" t="s">
        <v>24544</v>
      </c>
      <c r="B1258" s="547" t="s">
        <v>24543</v>
      </c>
      <c r="C1258" s="417">
        <v>401</v>
      </c>
    </row>
    <row r="1259" spans="1:3" ht="15" customHeight="1">
      <c r="A1259" s="409" t="s">
        <v>24542</v>
      </c>
      <c r="B1259" s="419" t="s">
        <v>24541</v>
      </c>
      <c r="C1259" s="416">
        <v>339</v>
      </c>
    </row>
    <row r="1260" spans="1:3" ht="15" customHeight="1">
      <c r="A1260" s="409" t="s">
        <v>24540</v>
      </c>
      <c r="B1260" s="419" t="s">
        <v>24539</v>
      </c>
      <c r="C1260" s="405">
        <v>365</v>
      </c>
    </row>
    <row r="1261" spans="1:3" ht="15" customHeight="1">
      <c r="A1261" s="409" t="s">
        <v>24538</v>
      </c>
      <c r="B1261" s="419" t="s">
        <v>24537</v>
      </c>
      <c r="C1261" s="405">
        <v>493</v>
      </c>
    </row>
    <row r="1262" spans="1:3" ht="15" customHeight="1">
      <c r="A1262" s="409" t="s">
        <v>24536</v>
      </c>
      <c r="B1262" s="419" t="s">
        <v>24535</v>
      </c>
      <c r="C1262" s="405">
        <v>524</v>
      </c>
    </row>
    <row r="1263" spans="1:3" ht="15" customHeight="1">
      <c r="A1263" s="409" t="s">
        <v>24534</v>
      </c>
      <c r="B1263" s="419" t="s">
        <v>24533</v>
      </c>
      <c r="C1263" s="405">
        <v>187</v>
      </c>
    </row>
    <row r="1264" spans="1:3" ht="15" customHeight="1">
      <c r="A1264" s="409" t="s">
        <v>24532</v>
      </c>
      <c r="B1264" s="419" t="s">
        <v>24531</v>
      </c>
      <c r="C1264" s="416">
        <v>214</v>
      </c>
    </row>
    <row r="1265" spans="1:3" ht="15" customHeight="1">
      <c r="A1265" s="409" t="s">
        <v>24530</v>
      </c>
      <c r="B1265" s="419" t="s">
        <v>24529</v>
      </c>
      <c r="C1265" s="416">
        <v>315</v>
      </c>
    </row>
    <row r="1266" spans="1:3" ht="15" customHeight="1">
      <c r="A1266" s="409" t="s">
        <v>24528</v>
      </c>
      <c r="B1266" s="419" t="s">
        <v>24527</v>
      </c>
      <c r="C1266" s="416">
        <v>347</v>
      </c>
    </row>
    <row r="1267" spans="1:3" ht="15" customHeight="1">
      <c r="A1267" s="420" t="s">
        <v>24526</v>
      </c>
      <c r="B1267" s="419" t="s">
        <v>24525</v>
      </c>
      <c r="C1267" s="405">
        <v>175</v>
      </c>
    </row>
    <row r="1268" spans="1:3" ht="15" customHeight="1">
      <c r="A1268" s="420" t="s">
        <v>24524</v>
      </c>
      <c r="B1268" s="419" t="s">
        <v>24523</v>
      </c>
      <c r="C1268" s="405">
        <v>222</v>
      </c>
    </row>
    <row r="1269" spans="1:3" ht="15" customHeight="1">
      <c r="A1269" s="420" t="s">
        <v>24522</v>
      </c>
      <c r="B1269" s="419" t="s">
        <v>24521</v>
      </c>
      <c r="C1269" s="405">
        <v>284</v>
      </c>
    </row>
    <row r="1270" spans="1:3" ht="15" customHeight="1">
      <c r="A1270" s="420" t="s">
        <v>24520</v>
      </c>
      <c r="B1270" s="419" t="s">
        <v>24519</v>
      </c>
      <c r="C1270" s="405">
        <v>345</v>
      </c>
    </row>
    <row r="1271" spans="1:3" ht="15" customHeight="1">
      <c r="A1271" s="420" t="s">
        <v>24518</v>
      </c>
      <c r="B1271" s="419" t="s">
        <v>24517</v>
      </c>
      <c r="C1271" s="416">
        <v>94</v>
      </c>
    </row>
    <row r="1272" spans="1:3" ht="15" customHeight="1">
      <c r="A1272" s="420" t="s">
        <v>24516</v>
      </c>
      <c r="B1272" s="419" t="s">
        <v>24515</v>
      </c>
      <c r="C1272" s="416">
        <v>144</v>
      </c>
    </row>
    <row r="1273" spans="1:3" ht="15" customHeight="1">
      <c r="A1273" s="420" t="s">
        <v>24514</v>
      </c>
      <c r="B1273" s="419" t="s">
        <v>24513</v>
      </c>
      <c r="C1273" s="405">
        <v>184</v>
      </c>
    </row>
    <row r="1274" spans="1:3" ht="15" customHeight="1">
      <c r="A1274" s="420" t="s">
        <v>24512</v>
      </c>
      <c r="B1274" s="419" t="s">
        <v>24511</v>
      </c>
      <c r="C1274" s="405">
        <v>253</v>
      </c>
    </row>
    <row r="1275" spans="1:3" ht="15" customHeight="1">
      <c r="A1275" s="453" t="s">
        <v>24510</v>
      </c>
      <c r="B1275" s="510" t="s">
        <v>24509</v>
      </c>
      <c r="C1275" s="405">
        <v>256</v>
      </c>
    </row>
    <row r="1276" spans="1:3" ht="15" customHeight="1">
      <c r="A1276" s="453" t="s">
        <v>24508</v>
      </c>
      <c r="B1276" s="510" t="s">
        <v>24507</v>
      </c>
      <c r="C1276" s="416">
        <v>304</v>
      </c>
    </row>
    <row r="1277" spans="1:3" ht="15" customHeight="1">
      <c r="A1277" s="453" t="s">
        <v>24506</v>
      </c>
      <c r="B1277" s="510" t="s">
        <v>24505</v>
      </c>
      <c r="C1277" s="546">
        <v>332</v>
      </c>
    </row>
    <row r="1278" spans="1:3" ht="15" customHeight="1">
      <c r="A1278" s="453" t="s">
        <v>24504</v>
      </c>
      <c r="B1278" s="510" t="s">
        <v>24503</v>
      </c>
      <c r="C1278" s="417">
        <v>342</v>
      </c>
    </row>
    <row r="1279" spans="1:3" ht="15" customHeight="1">
      <c r="A1279" s="344" t="s">
        <v>24502</v>
      </c>
      <c r="B1279" s="532" t="s">
        <v>24501</v>
      </c>
      <c r="C1279" s="530">
        <v>363</v>
      </c>
    </row>
    <row r="1280" spans="1:3" ht="15" customHeight="1">
      <c r="A1280" s="344" t="s">
        <v>24500</v>
      </c>
      <c r="B1280" s="531" t="s">
        <v>24499</v>
      </c>
      <c r="C1280" s="479">
        <v>316</v>
      </c>
    </row>
    <row r="1281" spans="1:3" ht="15" customHeight="1">
      <c r="A1281" s="453" t="s">
        <v>24498</v>
      </c>
      <c r="B1281" s="510" t="s">
        <v>24497</v>
      </c>
      <c r="C1281" s="405">
        <v>134</v>
      </c>
    </row>
    <row r="1282" spans="1:3" ht="15" customHeight="1">
      <c r="A1282" s="453" t="s">
        <v>24496</v>
      </c>
      <c r="B1282" s="510" t="s">
        <v>24495</v>
      </c>
      <c r="C1282" s="405">
        <v>184</v>
      </c>
    </row>
    <row r="1283" spans="1:3" ht="15" customHeight="1">
      <c r="A1283" s="453" t="s">
        <v>24494</v>
      </c>
      <c r="B1283" s="510" t="s">
        <v>24493</v>
      </c>
      <c r="C1283" s="405">
        <v>246</v>
      </c>
    </row>
    <row r="1284" spans="1:3" ht="15" customHeight="1">
      <c r="A1284" s="453" t="s">
        <v>24492</v>
      </c>
      <c r="B1284" s="510" t="s">
        <v>24491</v>
      </c>
      <c r="C1284" s="416">
        <v>306</v>
      </c>
    </row>
    <row r="1285" spans="1:3" ht="15" customHeight="1">
      <c r="A1285" s="503" t="s">
        <v>24490</v>
      </c>
      <c r="B1285" s="451" t="s">
        <v>24489</v>
      </c>
      <c r="C1285" s="416">
        <v>146</v>
      </c>
    </row>
    <row r="1286" spans="1:3" ht="15" customHeight="1">
      <c r="A1286" s="503" t="s">
        <v>24488</v>
      </c>
      <c r="B1286" s="451" t="s">
        <v>24487</v>
      </c>
      <c r="C1286" s="416">
        <v>194</v>
      </c>
    </row>
    <row r="1287" spans="1:3" ht="15" customHeight="1">
      <c r="A1287" s="503" t="s">
        <v>24486</v>
      </c>
      <c r="B1287" s="451" t="s">
        <v>24485</v>
      </c>
      <c r="C1287" s="416">
        <v>260</v>
      </c>
    </row>
    <row r="1288" spans="1:3" ht="15" customHeight="1">
      <c r="A1288" s="503" t="s">
        <v>24484</v>
      </c>
      <c r="B1288" s="451" t="s">
        <v>24483</v>
      </c>
      <c r="C1288" s="405">
        <v>319</v>
      </c>
    </row>
    <row r="1289" spans="1:3" ht="15" customHeight="1">
      <c r="A1289" s="503" t="s">
        <v>24482</v>
      </c>
      <c r="B1289" s="451" t="s">
        <v>24481</v>
      </c>
      <c r="C1289" s="405">
        <v>86</v>
      </c>
    </row>
    <row r="1290" spans="1:3" ht="15" customHeight="1">
      <c r="A1290" s="503" t="s">
        <v>24480</v>
      </c>
      <c r="B1290" s="451" t="s">
        <v>24479</v>
      </c>
      <c r="C1290" s="405">
        <v>135</v>
      </c>
    </row>
    <row r="1291" spans="1:3" ht="15" customHeight="1">
      <c r="A1291" s="503" t="s">
        <v>24478</v>
      </c>
      <c r="B1291" s="451" t="s">
        <v>24477</v>
      </c>
      <c r="C1291" s="405">
        <v>183</v>
      </c>
    </row>
    <row r="1292" spans="1:3" ht="15" customHeight="1">
      <c r="A1292" s="503" t="s">
        <v>24476</v>
      </c>
      <c r="B1292" s="451" t="s">
        <v>24475</v>
      </c>
      <c r="C1292" s="416">
        <v>242</v>
      </c>
    </row>
    <row r="1293" spans="1:3" ht="15" customHeight="1">
      <c r="A1293" s="498" t="s">
        <v>24474</v>
      </c>
      <c r="B1293" s="537" t="s">
        <v>24473</v>
      </c>
      <c r="C1293" s="439">
        <v>238</v>
      </c>
    </row>
    <row r="1294" spans="1:3" ht="15" customHeight="1">
      <c r="A1294" s="498" t="s">
        <v>24472</v>
      </c>
      <c r="B1294" s="537" t="s">
        <v>24471</v>
      </c>
      <c r="C1294" s="439">
        <v>285</v>
      </c>
    </row>
    <row r="1295" spans="1:3" ht="15" customHeight="1">
      <c r="A1295" s="498" t="s">
        <v>24470</v>
      </c>
      <c r="B1295" s="537" t="s">
        <v>24469</v>
      </c>
      <c r="C1295" s="410">
        <v>279</v>
      </c>
    </row>
    <row r="1296" spans="1:3" ht="15" customHeight="1">
      <c r="A1296" s="498" t="s">
        <v>24468</v>
      </c>
      <c r="B1296" s="537" t="s">
        <v>24467</v>
      </c>
      <c r="C1296" s="410">
        <v>325</v>
      </c>
    </row>
    <row r="1297" spans="1:3" ht="15" customHeight="1">
      <c r="A1297" s="344" t="s">
        <v>24466</v>
      </c>
      <c r="B1297" s="532" t="s">
        <v>24465</v>
      </c>
      <c r="C1297" s="479">
        <v>345</v>
      </c>
    </row>
    <row r="1298" spans="1:3" ht="15" customHeight="1">
      <c r="A1298" s="344" t="s">
        <v>24464</v>
      </c>
      <c r="B1298" s="531" t="s">
        <v>24463</v>
      </c>
      <c r="C1298" s="479">
        <v>298</v>
      </c>
    </row>
    <row r="1299" spans="1:3" ht="15" customHeight="1">
      <c r="A1299" s="498" t="s">
        <v>24462</v>
      </c>
      <c r="B1299" s="537" t="s">
        <v>24461</v>
      </c>
      <c r="C1299" s="439">
        <v>116</v>
      </c>
    </row>
    <row r="1300" spans="1:3" ht="15" customHeight="1">
      <c r="A1300" s="498" t="s">
        <v>24460</v>
      </c>
      <c r="B1300" s="537" t="s">
        <v>24459</v>
      </c>
      <c r="C1300" s="439">
        <v>163</v>
      </c>
    </row>
    <row r="1301" spans="1:3" ht="15" customHeight="1">
      <c r="A1301" s="498" t="s">
        <v>24458</v>
      </c>
      <c r="B1301" s="537" t="s">
        <v>24457</v>
      </c>
      <c r="C1301" s="417">
        <v>165</v>
      </c>
    </row>
    <row r="1302" spans="1:3" ht="15" customHeight="1">
      <c r="A1302" s="498" t="s">
        <v>24456</v>
      </c>
      <c r="B1302" s="537" t="s">
        <v>24455</v>
      </c>
      <c r="C1302" s="417">
        <v>211</v>
      </c>
    </row>
    <row r="1303" spans="1:3" ht="15" customHeight="1">
      <c r="A1303" s="344" t="s">
        <v>24454</v>
      </c>
      <c r="B1303" s="532" t="s">
        <v>24453</v>
      </c>
      <c r="C1303" s="530">
        <v>222</v>
      </c>
    </row>
    <row r="1304" spans="1:3" ht="15" customHeight="1">
      <c r="A1304" s="344" t="s">
        <v>24452</v>
      </c>
      <c r="B1304" s="531" t="s">
        <v>24451</v>
      </c>
      <c r="C1304" s="530">
        <v>175</v>
      </c>
    </row>
    <row r="1305" spans="1:3" ht="15" customHeight="1">
      <c r="A1305" s="86" t="s">
        <v>24450</v>
      </c>
      <c r="B1305" s="547" t="s">
        <v>24449</v>
      </c>
      <c r="C1305" s="540">
        <v>143</v>
      </c>
    </row>
    <row r="1306" spans="1:3" ht="15" customHeight="1">
      <c r="A1306" s="86" t="s">
        <v>24448</v>
      </c>
      <c r="B1306" s="547" t="s">
        <v>24447</v>
      </c>
      <c r="C1306" s="540">
        <v>158</v>
      </c>
    </row>
    <row r="1307" spans="1:3" ht="15" customHeight="1">
      <c r="A1307" s="86" t="s">
        <v>24446</v>
      </c>
      <c r="B1307" s="547" t="s">
        <v>24445</v>
      </c>
      <c r="C1307" s="540">
        <v>161</v>
      </c>
    </row>
    <row r="1308" spans="1:3" ht="15" customHeight="1">
      <c r="A1308" s="86" t="s">
        <v>24444</v>
      </c>
      <c r="B1308" s="547" t="s">
        <v>24443</v>
      </c>
      <c r="C1308" s="540">
        <v>176</v>
      </c>
    </row>
    <row r="1309" spans="1:3" ht="15" customHeight="1">
      <c r="A1309" s="86" t="s">
        <v>24442</v>
      </c>
      <c r="B1309" s="547" t="s">
        <v>24441</v>
      </c>
      <c r="C1309" s="540">
        <v>87</v>
      </c>
    </row>
    <row r="1310" spans="1:3" ht="15" customHeight="1">
      <c r="A1310" s="86" t="s">
        <v>24440</v>
      </c>
      <c r="B1310" s="547" t="s">
        <v>24439</v>
      </c>
      <c r="C1310" s="540">
        <v>104</v>
      </c>
    </row>
    <row r="1311" spans="1:3" ht="15" customHeight="1">
      <c r="A1311" s="86" t="s">
        <v>24438</v>
      </c>
      <c r="B1311" s="547" t="s">
        <v>24437</v>
      </c>
      <c r="C1311" s="540">
        <v>144</v>
      </c>
    </row>
    <row r="1312" spans="1:3" ht="15" customHeight="1">
      <c r="A1312" s="86" t="s">
        <v>24436</v>
      </c>
      <c r="B1312" s="547" t="s">
        <v>24435</v>
      </c>
      <c r="C1312" s="540">
        <v>161</v>
      </c>
    </row>
    <row r="1313" spans="1:3" ht="15" customHeight="1">
      <c r="A1313" s="420" t="s">
        <v>24434</v>
      </c>
      <c r="B1313" s="86" t="s">
        <v>24433</v>
      </c>
      <c r="C1313" s="535">
        <v>208</v>
      </c>
    </row>
    <row r="1314" spans="1:3" ht="15" customHeight="1">
      <c r="A1314" s="420" t="s">
        <v>24432</v>
      </c>
      <c r="B1314" s="86" t="s">
        <v>24431</v>
      </c>
      <c r="C1314" s="535">
        <v>248</v>
      </c>
    </row>
    <row r="1315" spans="1:3" ht="15" customHeight="1">
      <c r="A1315" s="420" t="s">
        <v>24430</v>
      </c>
      <c r="B1315" s="86" t="s">
        <v>24429</v>
      </c>
      <c r="C1315" s="535">
        <v>307</v>
      </c>
    </row>
    <row r="1316" spans="1:3" ht="15" customHeight="1">
      <c r="A1316" s="420" t="s">
        <v>24428</v>
      </c>
      <c r="B1316" s="86" t="s">
        <v>24427</v>
      </c>
      <c r="C1316" s="535">
        <v>267</v>
      </c>
    </row>
    <row r="1317" spans="1:3" ht="15" customHeight="1">
      <c r="A1317" s="420" t="s">
        <v>24426</v>
      </c>
      <c r="B1317" s="86" t="s">
        <v>24425</v>
      </c>
      <c r="C1317" s="535">
        <v>108</v>
      </c>
    </row>
    <row r="1318" spans="1:3" ht="15" customHeight="1">
      <c r="A1318" s="420" t="s">
        <v>24424</v>
      </c>
      <c r="B1318" s="86" t="s">
        <v>24423</v>
      </c>
      <c r="C1318" s="535">
        <v>148</v>
      </c>
    </row>
    <row r="1319" spans="1:3" ht="15" customHeight="1">
      <c r="A1319" s="420" t="s">
        <v>24422</v>
      </c>
      <c r="B1319" s="86" t="s">
        <v>24421</v>
      </c>
      <c r="C1319" s="535">
        <v>235</v>
      </c>
    </row>
    <row r="1320" spans="1:3" ht="15" customHeight="1">
      <c r="A1320" s="420" t="s">
        <v>24420</v>
      </c>
      <c r="B1320" s="86" t="s">
        <v>24419</v>
      </c>
      <c r="C1320" s="535">
        <v>275</v>
      </c>
    </row>
    <row r="1321" spans="1:3" ht="15" customHeight="1">
      <c r="A1321" s="420" t="s">
        <v>24418</v>
      </c>
      <c r="B1321" s="86" t="s">
        <v>24417</v>
      </c>
      <c r="C1321" s="535">
        <v>334</v>
      </c>
    </row>
    <row r="1322" spans="1:3" ht="15" customHeight="1">
      <c r="A1322" s="420" t="s">
        <v>24416</v>
      </c>
      <c r="B1322" s="86" t="s">
        <v>24415</v>
      </c>
      <c r="C1322" s="535">
        <v>294</v>
      </c>
    </row>
    <row r="1323" spans="1:3" ht="15" customHeight="1">
      <c r="A1323" s="420" t="s">
        <v>24414</v>
      </c>
      <c r="B1323" s="86" t="s">
        <v>24413</v>
      </c>
      <c r="C1323" s="535">
        <v>165</v>
      </c>
    </row>
    <row r="1324" spans="1:3" ht="15" customHeight="1">
      <c r="A1324" s="420" t="s">
        <v>24412</v>
      </c>
      <c r="B1324" s="86" t="s">
        <v>24411</v>
      </c>
      <c r="C1324" s="535">
        <v>205</v>
      </c>
    </row>
    <row r="1325" spans="1:3" s="524" customFormat="1" ht="15" customHeight="1">
      <c r="A1325" s="420" t="s">
        <v>24410</v>
      </c>
      <c r="B1325" s="86" t="s">
        <v>24409</v>
      </c>
      <c r="C1325" s="535">
        <v>265</v>
      </c>
    </row>
    <row r="1326" spans="1:3" s="524" customFormat="1" ht="15" customHeight="1">
      <c r="A1326" s="420" t="s">
        <v>24408</v>
      </c>
      <c r="B1326" s="86" t="s">
        <v>24407</v>
      </c>
      <c r="C1326" s="535">
        <v>225</v>
      </c>
    </row>
    <row r="1327" spans="1:3" s="524" customFormat="1" ht="15" customHeight="1">
      <c r="A1327" s="420" t="s">
        <v>24406</v>
      </c>
      <c r="B1327" s="86" t="s">
        <v>24405</v>
      </c>
      <c r="C1327" s="535">
        <v>80</v>
      </c>
    </row>
    <row r="1328" spans="1:3" s="524" customFormat="1" ht="15" customHeight="1">
      <c r="A1328" s="420" t="s">
        <v>24404</v>
      </c>
      <c r="B1328" s="86" t="s">
        <v>24403</v>
      </c>
      <c r="C1328" s="535">
        <v>120</v>
      </c>
    </row>
    <row r="1329" spans="1:3" s="524" customFormat="1" ht="15" customHeight="1">
      <c r="A1329" s="420" t="s">
        <v>24402</v>
      </c>
      <c r="B1329" s="86" t="s">
        <v>24401</v>
      </c>
      <c r="C1329" s="535">
        <v>192</v>
      </c>
    </row>
    <row r="1330" spans="1:3" s="524" customFormat="1" ht="15" customHeight="1">
      <c r="A1330" s="420" t="s">
        <v>24400</v>
      </c>
      <c r="B1330" s="86" t="s">
        <v>24399</v>
      </c>
      <c r="C1330" s="535">
        <v>232</v>
      </c>
    </row>
    <row r="1331" spans="1:3" s="524" customFormat="1" ht="15" customHeight="1">
      <c r="A1331" s="420" t="s">
        <v>24398</v>
      </c>
      <c r="B1331" s="86" t="s">
        <v>24397</v>
      </c>
      <c r="C1331" s="535">
        <v>292</v>
      </c>
    </row>
    <row r="1332" spans="1:3" s="524" customFormat="1" ht="15" customHeight="1">
      <c r="A1332" s="420" t="s">
        <v>24396</v>
      </c>
      <c r="B1332" s="86" t="s">
        <v>24395</v>
      </c>
      <c r="C1332" s="535">
        <v>252</v>
      </c>
    </row>
    <row r="1333" spans="1:3" s="524" customFormat="1" ht="15" customHeight="1">
      <c r="A1333" s="447" t="s">
        <v>24394</v>
      </c>
      <c r="B1333" s="469" t="s">
        <v>24393</v>
      </c>
      <c r="C1333" s="416">
        <v>171</v>
      </c>
    </row>
    <row r="1334" spans="1:3" ht="15" customHeight="1">
      <c r="A1334" s="447" t="s">
        <v>24392</v>
      </c>
      <c r="B1334" s="469" t="s">
        <v>24391</v>
      </c>
      <c r="C1334" s="416">
        <v>220</v>
      </c>
    </row>
    <row r="1335" spans="1:3" s="524" customFormat="1" ht="15" customHeight="1">
      <c r="A1335" s="447" t="s">
        <v>24390</v>
      </c>
      <c r="B1335" s="469" t="s">
        <v>24389</v>
      </c>
      <c r="C1335" s="416">
        <v>281</v>
      </c>
    </row>
    <row r="1336" spans="1:3" ht="15" customHeight="1">
      <c r="A1336" s="447" t="s">
        <v>24388</v>
      </c>
      <c r="B1336" s="469" t="s">
        <v>24387</v>
      </c>
      <c r="C1336" s="416">
        <v>341</v>
      </c>
    </row>
    <row r="1337" spans="1:3" ht="15" customHeight="1">
      <c r="A1337" s="344" t="s">
        <v>24386</v>
      </c>
      <c r="B1337" s="532" t="s">
        <v>24385</v>
      </c>
      <c r="C1337" s="530">
        <v>278</v>
      </c>
    </row>
    <row r="1338" spans="1:3" ht="15" customHeight="1">
      <c r="A1338" s="344" t="s">
        <v>24384</v>
      </c>
      <c r="B1338" s="531" t="s">
        <v>24383</v>
      </c>
      <c r="C1338" s="530">
        <v>231</v>
      </c>
    </row>
    <row r="1339" spans="1:3" ht="15" customHeight="1">
      <c r="A1339" s="447" t="s">
        <v>24382</v>
      </c>
      <c r="B1339" s="469" t="s">
        <v>24381</v>
      </c>
      <c r="C1339" s="416">
        <v>92</v>
      </c>
    </row>
    <row r="1340" spans="1:3" ht="15" customHeight="1">
      <c r="A1340" s="447" t="s">
        <v>24380</v>
      </c>
      <c r="B1340" s="469" t="s">
        <v>24379</v>
      </c>
      <c r="C1340" s="416">
        <v>139</v>
      </c>
    </row>
    <row r="1341" spans="1:3" ht="15" customHeight="1">
      <c r="A1341" s="447" t="s">
        <v>24378</v>
      </c>
      <c r="B1341" s="469" t="s">
        <v>24377</v>
      </c>
      <c r="C1341" s="416">
        <v>189</v>
      </c>
    </row>
    <row r="1342" spans="1:3" ht="15" customHeight="1">
      <c r="A1342" s="447" t="s">
        <v>24376</v>
      </c>
      <c r="B1342" s="469" t="s">
        <v>24375</v>
      </c>
      <c r="C1342" s="416">
        <v>250</v>
      </c>
    </row>
    <row r="1343" spans="1:3" ht="15" customHeight="1">
      <c r="A1343" s="409" t="s">
        <v>24374</v>
      </c>
      <c r="B1343" s="419" t="s">
        <v>24373</v>
      </c>
      <c r="C1343" s="416">
        <v>135</v>
      </c>
    </row>
    <row r="1344" spans="1:3" ht="15" customHeight="1">
      <c r="A1344" s="409" t="s">
        <v>24372</v>
      </c>
      <c r="B1344" s="419" t="s">
        <v>24371</v>
      </c>
      <c r="C1344" s="416">
        <v>251</v>
      </c>
    </row>
    <row r="1345" spans="1:3" ht="15" customHeight="1">
      <c r="A1345" s="409" t="s">
        <v>24370</v>
      </c>
      <c r="B1345" s="419" t="s">
        <v>24369</v>
      </c>
      <c r="C1345" s="416">
        <v>307</v>
      </c>
    </row>
    <row r="1346" spans="1:3" ht="15" customHeight="1">
      <c r="A1346" s="409" t="s">
        <v>24368</v>
      </c>
      <c r="B1346" s="419" t="s">
        <v>24367</v>
      </c>
      <c r="C1346" s="416">
        <v>384</v>
      </c>
    </row>
    <row r="1347" spans="1:3" ht="15" customHeight="1">
      <c r="A1347" s="409" t="s">
        <v>24366</v>
      </c>
      <c r="B1347" s="419" t="s">
        <v>24365</v>
      </c>
      <c r="C1347" s="416">
        <v>454</v>
      </c>
    </row>
    <row r="1348" spans="1:3" ht="15" customHeight="1">
      <c r="A1348" s="409" t="s">
        <v>24364</v>
      </c>
      <c r="B1348" s="419" t="s">
        <v>24363</v>
      </c>
      <c r="C1348" s="416">
        <v>193</v>
      </c>
    </row>
    <row r="1349" spans="1:3" ht="15" customHeight="1">
      <c r="A1349" s="409" t="s">
        <v>24362</v>
      </c>
      <c r="B1349" s="419" t="s">
        <v>24361</v>
      </c>
      <c r="C1349" s="416">
        <v>150</v>
      </c>
    </row>
    <row r="1350" spans="1:3" ht="15" customHeight="1">
      <c r="A1350" s="409" t="s">
        <v>24360</v>
      </c>
      <c r="B1350" s="419" t="s">
        <v>24359</v>
      </c>
      <c r="C1350" s="416">
        <v>181</v>
      </c>
    </row>
    <row r="1351" spans="1:3" ht="15" customHeight="1">
      <c r="A1351" s="409" t="s">
        <v>24358</v>
      </c>
      <c r="B1351" s="419" t="s">
        <v>24357</v>
      </c>
      <c r="C1351" s="416">
        <v>253</v>
      </c>
    </row>
    <row r="1352" spans="1:3" ht="15" customHeight="1">
      <c r="A1352" s="409" t="s">
        <v>24356</v>
      </c>
      <c r="B1352" s="419" t="s">
        <v>24355</v>
      </c>
      <c r="C1352" s="416">
        <v>288</v>
      </c>
    </row>
    <row r="1353" spans="1:3" ht="15" customHeight="1">
      <c r="A1353" s="409" t="s">
        <v>24354</v>
      </c>
      <c r="B1353" s="419" t="s">
        <v>24353</v>
      </c>
      <c r="C1353" s="416">
        <v>76</v>
      </c>
    </row>
    <row r="1354" spans="1:3" s="545" customFormat="1" ht="15" customHeight="1">
      <c r="A1354" s="409" t="s">
        <v>24352</v>
      </c>
      <c r="B1354" s="419" t="s">
        <v>24351</v>
      </c>
      <c r="C1354" s="416">
        <v>108</v>
      </c>
    </row>
    <row r="1355" spans="1:3" s="545" customFormat="1" ht="15" customHeight="1">
      <c r="A1355" s="420" t="s">
        <v>24350</v>
      </c>
      <c r="B1355" s="472" t="s">
        <v>24349</v>
      </c>
      <c r="C1355" s="417">
        <v>122</v>
      </c>
    </row>
    <row r="1356" spans="1:3" s="545" customFormat="1" ht="15" customHeight="1">
      <c r="A1356" s="420" t="s">
        <v>24348</v>
      </c>
      <c r="B1356" s="472" t="s">
        <v>24347</v>
      </c>
      <c r="C1356" s="546">
        <v>187</v>
      </c>
    </row>
    <row r="1357" spans="1:3" ht="15" customHeight="1">
      <c r="A1357" s="409" t="s">
        <v>24346</v>
      </c>
      <c r="B1357" s="419" t="s">
        <v>24345</v>
      </c>
      <c r="C1357" s="416">
        <v>261</v>
      </c>
    </row>
    <row r="1358" spans="1:3" ht="15" customHeight="1">
      <c r="A1358" s="409" t="s">
        <v>24344</v>
      </c>
      <c r="B1358" s="419" t="s">
        <v>24343</v>
      </c>
      <c r="C1358" s="416">
        <v>310</v>
      </c>
    </row>
    <row r="1359" spans="1:3" ht="15" customHeight="1">
      <c r="A1359" s="409" t="s">
        <v>24342</v>
      </c>
      <c r="B1359" s="419" t="s">
        <v>24341</v>
      </c>
      <c r="C1359" s="416">
        <v>119</v>
      </c>
    </row>
    <row r="1360" spans="1:3" ht="15" customHeight="1">
      <c r="A1360" s="409" t="s">
        <v>24340</v>
      </c>
      <c r="B1360" s="419" t="s">
        <v>24339</v>
      </c>
      <c r="C1360" s="416">
        <v>168</v>
      </c>
    </row>
    <row r="1361" spans="1:3" ht="15" customHeight="1">
      <c r="A1361" s="409" t="s">
        <v>24338</v>
      </c>
      <c r="B1361" s="419" t="s">
        <v>24337</v>
      </c>
      <c r="C1361" s="416">
        <v>399</v>
      </c>
    </row>
    <row r="1362" spans="1:3" ht="15" customHeight="1">
      <c r="A1362" s="409" t="s">
        <v>24336</v>
      </c>
      <c r="B1362" s="419" t="s">
        <v>24335</v>
      </c>
      <c r="C1362" s="416">
        <v>459</v>
      </c>
    </row>
    <row r="1363" spans="1:3" ht="15" customHeight="1">
      <c r="A1363" s="344" t="s">
        <v>24334</v>
      </c>
      <c r="B1363" s="532" t="s">
        <v>24333</v>
      </c>
      <c r="C1363" s="530">
        <v>369</v>
      </c>
    </row>
    <row r="1364" spans="1:3" ht="15" customHeight="1">
      <c r="A1364" s="344" t="s">
        <v>24332</v>
      </c>
      <c r="B1364" s="531" t="s">
        <v>24331</v>
      </c>
      <c r="C1364" s="530">
        <v>321</v>
      </c>
    </row>
    <row r="1365" spans="1:3" ht="15" customHeight="1">
      <c r="A1365" s="409" t="s">
        <v>24330</v>
      </c>
      <c r="B1365" s="419" t="s">
        <v>24329</v>
      </c>
      <c r="C1365" s="416">
        <v>126</v>
      </c>
    </row>
    <row r="1366" spans="1:3" ht="15" customHeight="1">
      <c r="A1366" s="409" t="s">
        <v>24328</v>
      </c>
      <c r="B1366" s="419" t="s">
        <v>24327</v>
      </c>
      <c r="C1366" s="416">
        <v>159</v>
      </c>
    </row>
    <row r="1367" spans="1:3" ht="15" customHeight="1">
      <c r="A1367" s="409" t="s">
        <v>24326</v>
      </c>
      <c r="B1367" s="419" t="s">
        <v>24325</v>
      </c>
      <c r="C1367" s="416">
        <v>149</v>
      </c>
    </row>
    <row r="1368" spans="1:3" ht="15" customHeight="1">
      <c r="A1368" s="409" t="s">
        <v>24324</v>
      </c>
      <c r="B1368" s="419" t="s">
        <v>24323</v>
      </c>
      <c r="C1368" s="416">
        <v>178</v>
      </c>
    </row>
    <row r="1369" spans="1:3" ht="15" customHeight="1">
      <c r="A1369" s="409" t="s">
        <v>24322</v>
      </c>
      <c r="B1369" s="419" t="s">
        <v>24321</v>
      </c>
      <c r="C1369" s="416">
        <v>113</v>
      </c>
    </row>
    <row r="1370" spans="1:3" ht="15" customHeight="1">
      <c r="A1370" s="409" t="s">
        <v>24320</v>
      </c>
      <c r="B1370" s="419" t="s">
        <v>24319</v>
      </c>
      <c r="C1370" s="416">
        <v>124</v>
      </c>
    </row>
    <row r="1371" spans="1:3" ht="15" customHeight="1">
      <c r="A1371" s="409" t="s">
        <v>24318</v>
      </c>
      <c r="B1371" s="419" t="s">
        <v>24317</v>
      </c>
      <c r="C1371" s="416">
        <v>150</v>
      </c>
    </row>
    <row r="1372" spans="1:3" ht="15" customHeight="1">
      <c r="A1372" s="409" t="s">
        <v>24316</v>
      </c>
      <c r="B1372" s="419" t="s">
        <v>24315</v>
      </c>
      <c r="C1372" s="416">
        <v>136</v>
      </c>
    </row>
    <row r="1373" spans="1:3" ht="15" customHeight="1">
      <c r="A1373" s="409" t="s">
        <v>24314</v>
      </c>
      <c r="B1373" s="419" t="s">
        <v>24313</v>
      </c>
      <c r="C1373" s="416">
        <v>149</v>
      </c>
    </row>
    <row r="1374" spans="1:3" ht="15" customHeight="1">
      <c r="A1374" s="409" t="s">
        <v>24312</v>
      </c>
      <c r="B1374" s="419" t="s">
        <v>24311</v>
      </c>
      <c r="C1374" s="416">
        <v>178</v>
      </c>
    </row>
    <row r="1375" spans="1:3" s="524" customFormat="1" ht="15" customHeight="1">
      <c r="A1375" s="409" t="s">
        <v>24310</v>
      </c>
      <c r="B1375" s="419" t="s">
        <v>24309</v>
      </c>
      <c r="C1375" s="416">
        <v>140</v>
      </c>
    </row>
    <row r="1376" spans="1:3" ht="15" customHeight="1">
      <c r="A1376" s="409" t="s">
        <v>24308</v>
      </c>
      <c r="B1376" s="419" t="s">
        <v>24307</v>
      </c>
      <c r="C1376" s="416">
        <v>168</v>
      </c>
    </row>
    <row r="1377" spans="1:3" ht="15" customHeight="1">
      <c r="A1377" s="409" t="s">
        <v>24306</v>
      </c>
      <c r="B1377" s="419" t="s">
        <v>24305</v>
      </c>
      <c r="C1377" s="416">
        <v>258</v>
      </c>
    </row>
    <row r="1378" spans="1:3" ht="15" customHeight="1">
      <c r="A1378" s="409" t="s">
        <v>24304</v>
      </c>
      <c r="B1378" s="419" t="s">
        <v>24303</v>
      </c>
      <c r="C1378" s="416">
        <v>280</v>
      </c>
    </row>
    <row r="1379" spans="1:3" s="524" customFormat="1" ht="15" customHeight="1">
      <c r="A1379" s="409" t="s">
        <v>24302</v>
      </c>
      <c r="B1379" s="419" t="s">
        <v>24301</v>
      </c>
      <c r="C1379" s="416">
        <v>391</v>
      </c>
    </row>
    <row r="1380" spans="1:3" ht="15" customHeight="1">
      <c r="A1380" s="409" t="s">
        <v>24300</v>
      </c>
      <c r="B1380" s="419" t="s">
        <v>24299</v>
      </c>
      <c r="C1380" s="416">
        <v>419</v>
      </c>
    </row>
    <row r="1381" spans="1:3" ht="15" customHeight="1">
      <c r="A1381" s="409" t="s">
        <v>24298</v>
      </c>
      <c r="B1381" s="419" t="s">
        <v>24297</v>
      </c>
      <c r="C1381" s="416">
        <v>122</v>
      </c>
    </row>
    <row r="1382" spans="1:3" ht="15" customHeight="1">
      <c r="A1382" s="409" t="s">
        <v>24296</v>
      </c>
      <c r="B1382" s="419" t="s">
        <v>24295</v>
      </c>
      <c r="C1382" s="416">
        <v>147</v>
      </c>
    </row>
    <row r="1383" spans="1:3" s="524" customFormat="1" ht="15" customHeight="1">
      <c r="A1383" s="409" t="s">
        <v>24294</v>
      </c>
      <c r="B1383" s="419" t="s">
        <v>24293</v>
      </c>
      <c r="C1383" s="416">
        <v>226</v>
      </c>
    </row>
    <row r="1384" spans="1:3" ht="15" customHeight="1">
      <c r="A1384" s="409" t="s">
        <v>24292</v>
      </c>
      <c r="B1384" s="419" t="s">
        <v>24291</v>
      </c>
      <c r="C1384" s="416">
        <v>256</v>
      </c>
    </row>
    <row r="1385" spans="1:3" ht="15" customHeight="1">
      <c r="A1385" s="409" t="s">
        <v>24290</v>
      </c>
      <c r="B1385" s="419" t="s">
        <v>24289</v>
      </c>
      <c r="C1385" s="416">
        <v>283</v>
      </c>
    </row>
    <row r="1386" spans="1:3" ht="15" customHeight="1">
      <c r="A1386" s="409" t="s">
        <v>24288</v>
      </c>
      <c r="B1386" s="419" t="s">
        <v>24287</v>
      </c>
      <c r="C1386" s="405">
        <v>307</v>
      </c>
    </row>
    <row r="1387" spans="1:3" s="524" customFormat="1" ht="15" customHeight="1">
      <c r="A1387" s="409" t="s">
        <v>24286</v>
      </c>
      <c r="B1387" s="419" t="s">
        <v>24285</v>
      </c>
      <c r="C1387" s="405">
        <v>420</v>
      </c>
    </row>
    <row r="1388" spans="1:3" ht="15" customHeight="1">
      <c r="A1388" s="409" t="s">
        <v>24284</v>
      </c>
      <c r="B1388" s="419" t="s">
        <v>24283</v>
      </c>
      <c r="C1388" s="416">
        <v>450</v>
      </c>
    </row>
    <row r="1389" spans="1:3" ht="15" customHeight="1">
      <c r="A1389" s="409" t="s">
        <v>24282</v>
      </c>
      <c r="B1389" s="419" t="s">
        <v>24281</v>
      </c>
      <c r="C1389" s="416">
        <v>144</v>
      </c>
    </row>
    <row r="1390" spans="1:3" ht="15" customHeight="1">
      <c r="A1390" s="409" t="s">
        <v>24280</v>
      </c>
      <c r="B1390" s="419" t="s">
        <v>24279</v>
      </c>
      <c r="C1390" s="416">
        <v>169</v>
      </c>
    </row>
    <row r="1391" spans="1:3" ht="15" customHeight="1">
      <c r="A1391" s="409" t="s">
        <v>24278</v>
      </c>
      <c r="B1391" s="419" t="s">
        <v>24277</v>
      </c>
      <c r="C1391" s="416">
        <v>257</v>
      </c>
    </row>
    <row r="1392" spans="1:3" s="524" customFormat="1" ht="15" customHeight="1">
      <c r="A1392" s="409" t="s">
        <v>24276</v>
      </c>
      <c r="B1392" s="419" t="s">
        <v>24275</v>
      </c>
      <c r="C1392" s="416">
        <v>287</v>
      </c>
    </row>
    <row r="1393" spans="1:3" s="524" customFormat="1" ht="15" customHeight="1">
      <c r="A1393" s="447" t="s">
        <v>24274</v>
      </c>
      <c r="B1393" s="419" t="s">
        <v>24273</v>
      </c>
      <c r="C1393" s="416">
        <v>334</v>
      </c>
    </row>
    <row r="1394" spans="1:3" ht="15" customHeight="1">
      <c r="A1394" s="447" t="s">
        <v>24272</v>
      </c>
      <c r="B1394" s="419" t="s">
        <v>24271</v>
      </c>
      <c r="C1394" s="416">
        <v>362</v>
      </c>
    </row>
    <row r="1395" spans="1:3" ht="15" customHeight="1">
      <c r="A1395" s="447" t="s">
        <v>24270</v>
      </c>
      <c r="B1395" s="419" t="s">
        <v>24269</v>
      </c>
      <c r="C1395" s="542">
        <v>535</v>
      </c>
    </row>
    <row r="1396" spans="1:3" ht="15" customHeight="1">
      <c r="A1396" s="447" t="s">
        <v>24268</v>
      </c>
      <c r="B1396" s="419" t="s">
        <v>24267</v>
      </c>
      <c r="C1396" s="542">
        <v>573</v>
      </c>
    </row>
    <row r="1397" spans="1:3" ht="15" customHeight="1">
      <c r="A1397" s="447" t="s">
        <v>24266</v>
      </c>
      <c r="B1397" s="419" t="s">
        <v>24265</v>
      </c>
      <c r="C1397" s="416">
        <v>399</v>
      </c>
    </row>
    <row r="1398" spans="1:3" ht="15" customHeight="1">
      <c r="A1398" s="447" t="s">
        <v>24264</v>
      </c>
      <c r="B1398" s="419" t="s">
        <v>24263</v>
      </c>
      <c r="C1398" s="416">
        <v>427</v>
      </c>
    </row>
    <row r="1399" spans="1:3" ht="15" customHeight="1">
      <c r="A1399" s="447" t="s">
        <v>24262</v>
      </c>
      <c r="B1399" s="419" t="s">
        <v>24261</v>
      </c>
      <c r="C1399" s="416">
        <v>169</v>
      </c>
    </row>
    <row r="1400" spans="1:3" ht="15" customHeight="1">
      <c r="A1400" s="529" t="s">
        <v>24260</v>
      </c>
      <c r="B1400" s="419" t="s">
        <v>24259</v>
      </c>
      <c r="C1400" s="417">
        <v>305</v>
      </c>
    </row>
    <row r="1401" spans="1:3" ht="15" customHeight="1">
      <c r="A1401" s="529" t="s">
        <v>24258</v>
      </c>
      <c r="B1401" s="419" t="s">
        <v>24257</v>
      </c>
      <c r="C1401" s="417">
        <v>333</v>
      </c>
    </row>
    <row r="1402" spans="1:3" ht="15" customHeight="1">
      <c r="A1402" s="529" t="s">
        <v>24256</v>
      </c>
      <c r="B1402" s="419" t="s">
        <v>24255</v>
      </c>
      <c r="C1402" s="542">
        <v>495</v>
      </c>
    </row>
    <row r="1403" spans="1:3" ht="15" customHeight="1">
      <c r="A1403" s="529" t="s">
        <v>24254</v>
      </c>
      <c r="B1403" s="419" t="s">
        <v>24253</v>
      </c>
      <c r="C1403" s="542">
        <v>534</v>
      </c>
    </row>
    <row r="1404" spans="1:3" s="524" customFormat="1" ht="15" customHeight="1">
      <c r="A1404" s="529" t="s">
        <v>24252</v>
      </c>
      <c r="B1404" s="419" t="s">
        <v>24251</v>
      </c>
      <c r="C1404" s="530">
        <v>369</v>
      </c>
    </row>
    <row r="1405" spans="1:3" ht="15" customHeight="1">
      <c r="A1405" s="529" t="s">
        <v>24250</v>
      </c>
      <c r="B1405" s="419" t="s">
        <v>24249</v>
      </c>
      <c r="C1405" s="530">
        <v>398</v>
      </c>
    </row>
    <row r="1406" spans="1:3" ht="15" customHeight="1">
      <c r="A1406" s="447" t="s">
        <v>24248</v>
      </c>
      <c r="B1406" s="419" t="s">
        <v>24247</v>
      </c>
      <c r="C1406" s="416">
        <v>345</v>
      </c>
    </row>
    <row r="1407" spans="1:3" s="524" customFormat="1" ht="15" customHeight="1">
      <c r="A1407" s="447" t="s">
        <v>24246</v>
      </c>
      <c r="B1407" s="419" t="s">
        <v>24245</v>
      </c>
      <c r="C1407" s="416">
        <v>371</v>
      </c>
    </row>
    <row r="1408" spans="1:3" ht="15" customHeight="1">
      <c r="A1408" s="447" t="s">
        <v>24244</v>
      </c>
      <c r="B1408" s="419" t="s">
        <v>24243</v>
      </c>
      <c r="C1408" s="542">
        <v>567</v>
      </c>
    </row>
    <row r="1409" spans="1:3" ht="15" customHeight="1">
      <c r="A1409" s="447" t="s">
        <v>24242</v>
      </c>
      <c r="B1409" s="419" t="s">
        <v>24241</v>
      </c>
      <c r="C1409" s="542">
        <v>601</v>
      </c>
    </row>
    <row r="1410" spans="1:3" s="524" customFormat="1" ht="15" customHeight="1">
      <c r="A1410" s="447" t="s">
        <v>24240</v>
      </c>
      <c r="B1410" s="419" t="s">
        <v>24239</v>
      </c>
      <c r="C1410" s="530">
        <v>410</v>
      </c>
    </row>
    <row r="1411" spans="1:3" ht="15" customHeight="1">
      <c r="A1411" s="447" t="s">
        <v>24238</v>
      </c>
      <c r="B1411" s="419" t="s">
        <v>24237</v>
      </c>
      <c r="C1411" s="530">
        <v>435</v>
      </c>
    </row>
    <row r="1412" spans="1:3" ht="15" customHeight="1">
      <c r="A1412" s="447" t="s">
        <v>24236</v>
      </c>
      <c r="B1412" s="419" t="s">
        <v>24235</v>
      </c>
      <c r="C1412" s="416">
        <v>191</v>
      </c>
    </row>
    <row r="1413" spans="1:3" s="524" customFormat="1" ht="15" customHeight="1">
      <c r="A1413" s="447" t="s">
        <v>24234</v>
      </c>
      <c r="B1413" s="419" t="s">
        <v>24233</v>
      </c>
      <c r="C1413" s="417">
        <v>315</v>
      </c>
    </row>
    <row r="1414" spans="1:3" ht="15" customHeight="1">
      <c r="A1414" s="447" t="s">
        <v>24232</v>
      </c>
      <c r="B1414" s="419" t="s">
        <v>24231</v>
      </c>
      <c r="C1414" s="417">
        <v>340</v>
      </c>
    </row>
    <row r="1415" spans="1:3" ht="15" customHeight="1">
      <c r="A1415" s="447" t="s">
        <v>24230</v>
      </c>
      <c r="B1415" s="419" t="s">
        <v>24229</v>
      </c>
      <c r="C1415" s="542">
        <v>526</v>
      </c>
    </row>
    <row r="1416" spans="1:3" ht="15" customHeight="1">
      <c r="A1416" s="447" t="s">
        <v>24228</v>
      </c>
      <c r="B1416" s="419" t="s">
        <v>24227</v>
      </c>
      <c r="C1416" s="542">
        <v>561</v>
      </c>
    </row>
    <row r="1417" spans="1:3" s="524" customFormat="1" ht="15" customHeight="1">
      <c r="A1417" s="447" t="s">
        <v>24226</v>
      </c>
      <c r="B1417" s="419" t="s">
        <v>24225</v>
      </c>
      <c r="C1417" s="530">
        <v>379</v>
      </c>
    </row>
    <row r="1418" spans="1:3" s="524" customFormat="1" ht="15" customHeight="1">
      <c r="A1418" s="447" t="s">
        <v>24224</v>
      </c>
      <c r="B1418" s="419" t="s">
        <v>24223</v>
      </c>
      <c r="C1418" s="530">
        <v>405</v>
      </c>
    </row>
    <row r="1419" spans="1:3" ht="15" customHeight="1">
      <c r="A1419" s="409" t="s">
        <v>24222</v>
      </c>
      <c r="B1419" s="419" t="s">
        <v>24221</v>
      </c>
      <c r="C1419" s="416">
        <v>376</v>
      </c>
    </row>
    <row r="1420" spans="1:3" ht="15" customHeight="1">
      <c r="A1420" s="409" t="s">
        <v>24220</v>
      </c>
      <c r="B1420" s="419" t="s">
        <v>24219</v>
      </c>
      <c r="C1420" s="416">
        <v>410</v>
      </c>
    </row>
    <row r="1421" spans="1:3" ht="15" customHeight="1">
      <c r="A1421" s="409" t="s">
        <v>24218</v>
      </c>
      <c r="B1421" s="445" t="s">
        <v>24217</v>
      </c>
      <c r="C1421" s="416">
        <v>476</v>
      </c>
    </row>
    <row r="1422" spans="1:3" ht="15" customHeight="1">
      <c r="A1422" s="409" t="s">
        <v>24216</v>
      </c>
      <c r="B1422" s="419" t="s">
        <v>24215</v>
      </c>
      <c r="C1422" s="416">
        <v>511</v>
      </c>
    </row>
    <row r="1423" spans="1:3" s="524" customFormat="1" ht="15" customHeight="1">
      <c r="A1423" s="409" t="s">
        <v>24214</v>
      </c>
      <c r="B1423" s="419" t="s">
        <v>24213</v>
      </c>
      <c r="C1423" s="416">
        <v>198</v>
      </c>
    </row>
    <row r="1424" spans="1:3" ht="15" customHeight="1">
      <c r="A1424" s="409" t="s">
        <v>24212</v>
      </c>
      <c r="B1424" s="419" t="s">
        <v>24211</v>
      </c>
      <c r="C1424" s="416">
        <v>411</v>
      </c>
    </row>
    <row r="1425" spans="1:3" ht="15" customHeight="1">
      <c r="A1425" s="409" t="s">
        <v>24210</v>
      </c>
      <c r="B1425" s="419" t="s">
        <v>24209</v>
      </c>
      <c r="C1425" s="416">
        <v>446</v>
      </c>
    </row>
    <row r="1426" spans="1:3" ht="15" customHeight="1">
      <c r="A1426" s="409" t="s">
        <v>24208</v>
      </c>
      <c r="B1426" s="419" t="s">
        <v>24207</v>
      </c>
      <c r="C1426" s="530">
        <v>512</v>
      </c>
    </row>
    <row r="1427" spans="1:3" ht="15" customHeight="1">
      <c r="A1427" s="409" t="s">
        <v>24206</v>
      </c>
      <c r="B1427" s="419" t="s">
        <v>24205</v>
      </c>
      <c r="C1427" s="530">
        <v>546</v>
      </c>
    </row>
    <row r="1428" spans="1:3" ht="15" customHeight="1">
      <c r="A1428" s="420" t="s">
        <v>24204</v>
      </c>
      <c r="B1428" s="544" t="s">
        <v>24203</v>
      </c>
      <c r="C1428" s="543">
        <v>278</v>
      </c>
    </row>
    <row r="1429" spans="1:3" ht="15" customHeight="1">
      <c r="A1429" s="420" t="s">
        <v>24202</v>
      </c>
      <c r="B1429" s="544" t="s">
        <v>24201</v>
      </c>
      <c r="C1429" s="543">
        <v>303</v>
      </c>
    </row>
    <row r="1430" spans="1:3" ht="15" customHeight="1">
      <c r="A1430" s="420" t="s">
        <v>24200</v>
      </c>
      <c r="B1430" s="544" t="s">
        <v>24199</v>
      </c>
      <c r="C1430" s="543">
        <v>342</v>
      </c>
    </row>
    <row r="1431" spans="1:3" ht="15" customHeight="1">
      <c r="A1431" s="420" t="s">
        <v>24198</v>
      </c>
      <c r="B1431" s="544" t="s">
        <v>24197</v>
      </c>
      <c r="C1431" s="543">
        <v>368</v>
      </c>
    </row>
    <row r="1432" spans="1:3" ht="15" customHeight="1">
      <c r="A1432" s="420" t="s">
        <v>24196</v>
      </c>
      <c r="B1432" s="544" t="s">
        <v>24195</v>
      </c>
      <c r="C1432" s="543">
        <v>146</v>
      </c>
    </row>
    <row r="1433" spans="1:3" ht="15" customHeight="1">
      <c r="A1433" s="420" t="s">
        <v>24194</v>
      </c>
      <c r="B1433" s="544" t="s">
        <v>24193</v>
      </c>
      <c r="C1433" s="543">
        <v>304</v>
      </c>
    </row>
    <row r="1434" spans="1:3" ht="15" customHeight="1">
      <c r="A1434" s="420" t="s">
        <v>24192</v>
      </c>
      <c r="B1434" s="544" t="s">
        <v>24191</v>
      </c>
      <c r="C1434" s="543">
        <v>330</v>
      </c>
    </row>
    <row r="1435" spans="1:3" s="524" customFormat="1" ht="15" customHeight="1">
      <c r="A1435" s="420" t="s">
        <v>24190</v>
      </c>
      <c r="B1435" s="544" t="s">
        <v>24189</v>
      </c>
      <c r="C1435" s="543">
        <v>369</v>
      </c>
    </row>
    <row r="1436" spans="1:3" ht="15" customHeight="1">
      <c r="A1436" s="420" t="s">
        <v>24188</v>
      </c>
      <c r="B1436" s="544" t="s">
        <v>24187</v>
      </c>
      <c r="C1436" s="543">
        <v>394</v>
      </c>
    </row>
    <row r="1437" spans="1:3" ht="15" customHeight="1">
      <c r="A1437" s="409" t="s">
        <v>24186</v>
      </c>
      <c r="B1437" s="419" t="s">
        <v>24185</v>
      </c>
      <c r="C1437" s="416">
        <v>91</v>
      </c>
    </row>
    <row r="1438" spans="1:3" s="524" customFormat="1" ht="15" customHeight="1">
      <c r="A1438" s="409" t="s">
        <v>24184</v>
      </c>
      <c r="B1438" s="419" t="s">
        <v>24183</v>
      </c>
      <c r="C1438" s="416">
        <v>119</v>
      </c>
    </row>
    <row r="1439" spans="1:3" s="524" customFormat="1" ht="15" customHeight="1">
      <c r="A1439" s="409" t="s">
        <v>24182</v>
      </c>
      <c r="B1439" s="419" t="s">
        <v>24181</v>
      </c>
      <c r="C1439" s="416">
        <v>198</v>
      </c>
    </row>
    <row r="1440" spans="1:3" s="524" customFormat="1" ht="15" customHeight="1">
      <c r="A1440" s="409" t="s">
        <v>24180</v>
      </c>
      <c r="B1440" s="419" t="s">
        <v>24179</v>
      </c>
      <c r="C1440" s="416">
        <v>246</v>
      </c>
    </row>
    <row r="1441" spans="1:3" ht="15" customHeight="1">
      <c r="A1441" s="409" t="s">
        <v>24178</v>
      </c>
      <c r="B1441" s="419" t="s">
        <v>24177</v>
      </c>
      <c r="C1441" s="416">
        <v>110</v>
      </c>
    </row>
    <row r="1442" spans="1:3" ht="15" customHeight="1">
      <c r="A1442" s="493" t="s">
        <v>24176</v>
      </c>
      <c r="B1442" s="419" t="s">
        <v>24175</v>
      </c>
      <c r="C1442" s="417">
        <v>295</v>
      </c>
    </row>
    <row r="1443" spans="1:3" ht="15" customHeight="1">
      <c r="A1443" s="493" t="s">
        <v>24174</v>
      </c>
      <c r="B1443" s="419" t="s">
        <v>24173</v>
      </c>
      <c r="C1443" s="417">
        <v>360</v>
      </c>
    </row>
    <row r="1444" spans="1:3" ht="15" customHeight="1">
      <c r="A1444" s="493" t="s">
        <v>24172</v>
      </c>
      <c r="B1444" s="419" t="s">
        <v>24171</v>
      </c>
      <c r="C1444" s="542">
        <v>496</v>
      </c>
    </row>
    <row r="1445" spans="1:3" ht="15" customHeight="1">
      <c r="A1445" s="493" t="s">
        <v>24170</v>
      </c>
      <c r="B1445" s="419" t="s">
        <v>24169</v>
      </c>
      <c r="C1445" s="542">
        <v>582</v>
      </c>
    </row>
    <row r="1446" spans="1:3" ht="15" customHeight="1">
      <c r="A1446" s="493" t="s">
        <v>24168</v>
      </c>
      <c r="B1446" s="419" t="s">
        <v>24167</v>
      </c>
      <c r="C1446" s="530">
        <v>357</v>
      </c>
    </row>
    <row r="1447" spans="1:3" ht="15" customHeight="1">
      <c r="A1447" s="493" t="s">
        <v>24166</v>
      </c>
      <c r="B1447" s="419" t="s">
        <v>24165</v>
      </c>
      <c r="C1447" s="530">
        <v>427</v>
      </c>
    </row>
    <row r="1448" spans="1:3" ht="15" customHeight="1">
      <c r="A1448" s="493" t="s">
        <v>24164</v>
      </c>
      <c r="B1448" s="419" t="s">
        <v>24163</v>
      </c>
      <c r="C1448" s="417">
        <v>163</v>
      </c>
    </row>
    <row r="1449" spans="1:3" ht="15" customHeight="1">
      <c r="A1449" s="493" t="s">
        <v>24162</v>
      </c>
      <c r="B1449" s="419" t="s">
        <v>24161</v>
      </c>
      <c r="C1449" s="417">
        <v>359</v>
      </c>
    </row>
    <row r="1450" spans="1:3" ht="15" customHeight="1">
      <c r="A1450" s="493" t="s">
        <v>24160</v>
      </c>
      <c r="B1450" s="419" t="s">
        <v>24159</v>
      </c>
      <c r="C1450" s="417">
        <v>423</v>
      </c>
    </row>
    <row r="1451" spans="1:3" ht="15" customHeight="1">
      <c r="A1451" s="493" t="s">
        <v>24158</v>
      </c>
      <c r="B1451" s="419" t="s">
        <v>24157</v>
      </c>
      <c r="C1451" s="542">
        <v>581</v>
      </c>
    </row>
    <row r="1452" spans="1:3" ht="15" customHeight="1">
      <c r="A1452" s="493" t="s">
        <v>24156</v>
      </c>
      <c r="B1452" s="419" t="s">
        <v>24155</v>
      </c>
      <c r="C1452" s="542">
        <v>669</v>
      </c>
    </row>
    <row r="1453" spans="1:3" ht="15" customHeight="1">
      <c r="A1453" s="493" t="s">
        <v>24154</v>
      </c>
      <c r="B1453" s="419" t="s">
        <v>24153</v>
      </c>
      <c r="C1453" s="530">
        <v>422</v>
      </c>
    </row>
    <row r="1454" spans="1:3" ht="15" customHeight="1">
      <c r="A1454" s="493" t="s">
        <v>24152</v>
      </c>
      <c r="B1454" s="419" t="s">
        <v>24151</v>
      </c>
      <c r="C1454" s="530">
        <v>487</v>
      </c>
    </row>
    <row r="1455" spans="1:3" ht="15" customHeight="1">
      <c r="A1455" s="447" t="s">
        <v>24150</v>
      </c>
      <c r="B1455" s="469" t="s">
        <v>24149</v>
      </c>
      <c r="C1455" s="416">
        <v>261</v>
      </c>
    </row>
    <row r="1456" spans="1:3" ht="15" customHeight="1">
      <c r="A1456" s="447" t="s">
        <v>24148</v>
      </c>
      <c r="B1456" s="469" t="s">
        <v>24147</v>
      </c>
      <c r="C1456" s="416">
        <v>309</v>
      </c>
    </row>
    <row r="1457" spans="1:3" ht="15" customHeight="1">
      <c r="A1457" s="447" t="s">
        <v>24146</v>
      </c>
      <c r="B1457" s="469" t="s">
        <v>24145</v>
      </c>
      <c r="C1457" s="542">
        <v>453</v>
      </c>
    </row>
    <row r="1458" spans="1:3" ht="15" customHeight="1">
      <c r="A1458" s="447" t="s">
        <v>24144</v>
      </c>
      <c r="B1458" s="469" t="s">
        <v>24143</v>
      </c>
      <c r="C1458" s="542">
        <v>492</v>
      </c>
    </row>
    <row r="1459" spans="1:3" ht="15" customHeight="1">
      <c r="A1459" s="447" t="s">
        <v>24142</v>
      </c>
      <c r="B1459" s="469" t="s">
        <v>24141</v>
      </c>
      <c r="C1459" s="530">
        <v>326</v>
      </c>
    </row>
    <row r="1460" spans="1:3" ht="15" customHeight="1">
      <c r="A1460" s="447" t="s">
        <v>24140</v>
      </c>
      <c r="B1460" s="469" t="s">
        <v>24139</v>
      </c>
      <c r="C1460" s="416">
        <v>373</v>
      </c>
    </row>
    <row r="1461" spans="1:3" ht="15" customHeight="1">
      <c r="A1461" s="447" t="s">
        <v>24138</v>
      </c>
      <c r="B1461" s="469" t="s">
        <v>24137</v>
      </c>
      <c r="C1461" s="416">
        <v>120</v>
      </c>
    </row>
    <row r="1462" spans="1:3" ht="15" customHeight="1">
      <c r="A1462" s="447" t="s">
        <v>24136</v>
      </c>
      <c r="B1462" s="469" t="s">
        <v>24135</v>
      </c>
      <c r="C1462" s="417">
        <v>239</v>
      </c>
    </row>
    <row r="1463" spans="1:3" ht="15" customHeight="1">
      <c r="A1463" s="447" t="s">
        <v>24134</v>
      </c>
      <c r="B1463" s="469" t="s">
        <v>24133</v>
      </c>
      <c r="C1463" s="417">
        <v>286</v>
      </c>
    </row>
    <row r="1464" spans="1:3" ht="15" customHeight="1">
      <c r="A1464" s="447" t="s">
        <v>24132</v>
      </c>
      <c r="B1464" s="469" t="s">
        <v>24131</v>
      </c>
      <c r="C1464" s="542">
        <v>423</v>
      </c>
    </row>
    <row r="1465" spans="1:3" ht="15" customHeight="1">
      <c r="A1465" s="447" t="s">
        <v>24130</v>
      </c>
      <c r="B1465" s="469" t="s">
        <v>24129</v>
      </c>
      <c r="C1465" s="542">
        <v>486</v>
      </c>
    </row>
    <row r="1466" spans="1:3" ht="15" customHeight="1">
      <c r="A1466" s="447" t="s">
        <v>24128</v>
      </c>
      <c r="B1466" s="469" t="s">
        <v>24127</v>
      </c>
      <c r="C1466" s="530">
        <v>303</v>
      </c>
    </row>
    <row r="1467" spans="1:3" ht="15" customHeight="1">
      <c r="A1467" s="447" t="s">
        <v>24126</v>
      </c>
      <c r="B1467" s="469" t="s">
        <v>24125</v>
      </c>
      <c r="C1467" s="530">
        <v>351</v>
      </c>
    </row>
    <row r="1468" spans="1:3" ht="15" customHeight="1">
      <c r="A1468" s="447" t="s">
        <v>24124</v>
      </c>
      <c r="B1468" s="469" t="s">
        <v>24123</v>
      </c>
      <c r="C1468" s="416">
        <v>262</v>
      </c>
    </row>
    <row r="1469" spans="1:3" ht="15" customHeight="1">
      <c r="A1469" s="447" t="s">
        <v>24122</v>
      </c>
      <c r="B1469" s="469" t="s">
        <v>24121</v>
      </c>
      <c r="C1469" s="416">
        <v>185</v>
      </c>
    </row>
    <row r="1470" spans="1:3" ht="15" customHeight="1">
      <c r="A1470" s="409" t="s">
        <v>24120</v>
      </c>
      <c r="B1470" s="419" t="s">
        <v>24119</v>
      </c>
      <c r="C1470" s="416">
        <v>171</v>
      </c>
    </row>
    <row r="1471" spans="1:3" ht="15" customHeight="1">
      <c r="A1471" s="409" t="s">
        <v>24118</v>
      </c>
      <c r="B1471" s="419" t="s">
        <v>24117</v>
      </c>
      <c r="C1471" s="416">
        <v>226</v>
      </c>
    </row>
    <row r="1472" spans="1:3" ht="15" customHeight="1">
      <c r="A1472" s="409" t="s">
        <v>24116</v>
      </c>
      <c r="B1472" s="419" t="s">
        <v>24115</v>
      </c>
      <c r="C1472" s="542">
        <v>319</v>
      </c>
    </row>
    <row r="1473" spans="1:3" ht="15" customHeight="1">
      <c r="A1473" s="409" t="s">
        <v>24114</v>
      </c>
      <c r="B1473" s="419" t="s">
        <v>24113</v>
      </c>
      <c r="C1473" s="542">
        <v>393</v>
      </c>
    </row>
    <row r="1474" spans="1:3" ht="15" customHeight="1">
      <c r="A1474" s="409" t="s">
        <v>24112</v>
      </c>
      <c r="B1474" s="419" t="s">
        <v>24111</v>
      </c>
      <c r="C1474" s="530">
        <v>236</v>
      </c>
    </row>
    <row r="1475" spans="1:3" ht="15" customHeight="1">
      <c r="A1475" s="409" t="s">
        <v>24110</v>
      </c>
      <c r="B1475" s="419" t="s">
        <v>24109</v>
      </c>
      <c r="C1475" s="530">
        <v>291</v>
      </c>
    </row>
    <row r="1476" spans="1:3" ht="15" customHeight="1">
      <c r="A1476" s="409" t="s">
        <v>24108</v>
      </c>
      <c r="B1476" s="419" t="s">
        <v>24107</v>
      </c>
      <c r="C1476" s="416">
        <v>85</v>
      </c>
    </row>
    <row r="1477" spans="1:3" ht="15" customHeight="1">
      <c r="A1477" s="409" t="s">
        <v>24106</v>
      </c>
      <c r="B1477" s="419" t="s">
        <v>24105</v>
      </c>
      <c r="C1477" s="416">
        <v>158</v>
      </c>
    </row>
    <row r="1478" spans="1:3" ht="15" customHeight="1">
      <c r="A1478" s="409" t="s">
        <v>24104</v>
      </c>
      <c r="B1478" s="419" t="s">
        <v>24103</v>
      </c>
      <c r="C1478" s="416">
        <v>213</v>
      </c>
    </row>
    <row r="1479" spans="1:3" ht="15" customHeight="1">
      <c r="A1479" s="409" t="s">
        <v>24102</v>
      </c>
      <c r="B1479" s="419" t="s">
        <v>24101</v>
      </c>
      <c r="C1479" s="542">
        <v>302</v>
      </c>
    </row>
    <row r="1480" spans="1:3" ht="15" customHeight="1">
      <c r="A1480" s="409" t="s">
        <v>24100</v>
      </c>
      <c r="B1480" s="419" t="s">
        <v>24099</v>
      </c>
      <c r="C1480" s="542">
        <v>376</v>
      </c>
    </row>
    <row r="1481" spans="1:3" ht="15" customHeight="1">
      <c r="A1481" s="409" t="s">
        <v>24098</v>
      </c>
      <c r="B1481" s="419" t="s">
        <v>24097</v>
      </c>
      <c r="C1481" s="530">
        <v>223</v>
      </c>
    </row>
    <row r="1482" spans="1:3" ht="15" customHeight="1">
      <c r="A1482" s="409" t="s">
        <v>24096</v>
      </c>
      <c r="B1482" s="419" t="s">
        <v>24095</v>
      </c>
      <c r="C1482" s="530">
        <v>278</v>
      </c>
    </row>
    <row r="1483" spans="1:3" ht="15" customHeight="1">
      <c r="A1483" s="529" t="s">
        <v>24094</v>
      </c>
      <c r="B1483" s="528" t="s">
        <v>24093</v>
      </c>
      <c r="C1483" s="417">
        <v>415</v>
      </c>
    </row>
    <row r="1484" spans="1:3" ht="15" customHeight="1">
      <c r="A1484" s="529" t="s">
        <v>24092</v>
      </c>
      <c r="B1484" s="528" t="s">
        <v>24091</v>
      </c>
      <c r="C1484" s="417">
        <v>415</v>
      </c>
    </row>
    <row r="1485" spans="1:3" ht="15" customHeight="1">
      <c r="A1485" s="529" t="s">
        <v>24090</v>
      </c>
      <c r="B1485" s="528" t="s">
        <v>24089</v>
      </c>
      <c r="C1485" s="417">
        <v>320</v>
      </c>
    </row>
    <row r="1486" spans="1:3" ht="15" customHeight="1">
      <c r="A1486" s="529" t="s">
        <v>24088</v>
      </c>
      <c r="B1486" s="528" t="s">
        <v>24087</v>
      </c>
      <c r="C1486" s="417">
        <v>409</v>
      </c>
    </row>
    <row r="1487" spans="1:3" ht="15" customHeight="1">
      <c r="A1487" s="529" t="s">
        <v>24086</v>
      </c>
      <c r="B1487" s="541" t="s">
        <v>24085</v>
      </c>
      <c r="C1487" s="417">
        <v>409</v>
      </c>
    </row>
    <row r="1488" spans="1:3" ht="15" customHeight="1">
      <c r="A1488" s="529" t="s">
        <v>24084</v>
      </c>
      <c r="B1488" s="528" t="s">
        <v>24083</v>
      </c>
      <c r="C1488" s="417">
        <v>314</v>
      </c>
    </row>
    <row r="1489" spans="1:3" ht="15" customHeight="1">
      <c r="A1489" s="409" t="s">
        <v>24082</v>
      </c>
      <c r="B1489" s="419" t="s">
        <v>24081</v>
      </c>
      <c r="C1489" s="416">
        <v>361</v>
      </c>
    </row>
    <row r="1490" spans="1:3" ht="15" customHeight="1">
      <c r="A1490" s="409" t="s">
        <v>24080</v>
      </c>
      <c r="B1490" s="419" t="s">
        <v>24079</v>
      </c>
      <c r="C1490" s="416">
        <v>386</v>
      </c>
    </row>
    <row r="1491" spans="1:3" ht="15" customHeight="1">
      <c r="A1491" s="409" t="s">
        <v>24078</v>
      </c>
      <c r="B1491" s="419" t="s">
        <v>24077</v>
      </c>
      <c r="C1491" s="416">
        <v>536</v>
      </c>
    </row>
    <row r="1492" spans="1:3" ht="15" customHeight="1">
      <c r="A1492" s="409" t="s">
        <v>24076</v>
      </c>
      <c r="B1492" s="419" t="s">
        <v>24075</v>
      </c>
      <c r="C1492" s="416">
        <v>567</v>
      </c>
    </row>
    <row r="1493" spans="1:3" ht="15" customHeight="1">
      <c r="A1493" s="344" t="s">
        <v>24074</v>
      </c>
      <c r="B1493" s="532" t="s">
        <v>24073</v>
      </c>
      <c r="C1493" s="540">
        <v>458</v>
      </c>
    </row>
    <row r="1494" spans="1:3" ht="15" customHeight="1">
      <c r="A1494" s="344" t="s">
        <v>24072</v>
      </c>
      <c r="B1494" s="531" t="s">
        <v>24071</v>
      </c>
      <c r="C1494" s="530">
        <v>433</v>
      </c>
    </row>
    <row r="1495" spans="1:3" ht="15" customHeight="1">
      <c r="A1495" s="409" t="s">
        <v>24070</v>
      </c>
      <c r="B1495" s="419" t="s">
        <v>24069</v>
      </c>
      <c r="C1495" s="416">
        <v>275</v>
      </c>
    </row>
    <row r="1496" spans="1:3" ht="15" customHeight="1">
      <c r="A1496" s="409" t="s">
        <v>24068</v>
      </c>
      <c r="B1496" s="419" t="s">
        <v>24067</v>
      </c>
      <c r="C1496" s="416">
        <v>306</v>
      </c>
    </row>
    <row r="1497" spans="1:3" ht="15" customHeight="1">
      <c r="A1497" s="409" t="s">
        <v>24066</v>
      </c>
      <c r="B1497" s="419" t="s">
        <v>24065</v>
      </c>
      <c r="C1497" s="416">
        <v>482</v>
      </c>
    </row>
    <row r="1498" spans="1:3" ht="15" customHeight="1">
      <c r="A1498" s="409" t="s">
        <v>24064</v>
      </c>
      <c r="B1498" s="419" t="s">
        <v>24063</v>
      </c>
      <c r="C1498" s="416">
        <v>513</v>
      </c>
    </row>
    <row r="1499" spans="1:3" ht="15" customHeight="1">
      <c r="A1499" s="505" t="s">
        <v>24062</v>
      </c>
      <c r="B1499" s="510" t="s">
        <v>24061</v>
      </c>
      <c r="C1499" s="416">
        <v>523</v>
      </c>
    </row>
    <row r="1500" spans="1:3" ht="15" customHeight="1">
      <c r="A1500" s="505" t="s">
        <v>24060</v>
      </c>
      <c r="B1500" s="510" t="s">
        <v>24059</v>
      </c>
      <c r="C1500" s="416">
        <v>554</v>
      </c>
    </row>
    <row r="1501" spans="1:3" ht="15" customHeight="1">
      <c r="A1501" s="409" t="s">
        <v>24058</v>
      </c>
      <c r="B1501" s="510" t="s">
        <v>24057</v>
      </c>
      <c r="C1501" s="416">
        <v>358</v>
      </c>
    </row>
    <row r="1502" spans="1:3" ht="15" customHeight="1">
      <c r="A1502" s="409" t="s">
        <v>24056</v>
      </c>
      <c r="B1502" s="510" t="s">
        <v>24055</v>
      </c>
      <c r="C1502" s="416">
        <v>389</v>
      </c>
    </row>
    <row r="1503" spans="1:3" ht="15" customHeight="1">
      <c r="A1503" s="409" t="s">
        <v>24054</v>
      </c>
      <c r="B1503" s="510" t="s">
        <v>24053</v>
      </c>
      <c r="C1503" s="416">
        <v>304</v>
      </c>
    </row>
    <row r="1504" spans="1:3" ht="15" customHeight="1">
      <c r="A1504" s="409" t="s">
        <v>24052</v>
      </c>
      <c r="B1504" s="510" t="s">
        <v>24051</v>
      </c>
      <c r="C1504" s="416">
        <v>335</v>
      </c>
    </row>
    <row r="1505" spans="1:3" ht="15" customHeight="1">
      <c r="A1505" s="505" t="s">
        <v>24050</v>
      </c>
      <c r="B1505" s="510" t="s">
        <v>24049</v>
      </c>
      <c r="C1505" s="416">
        <v>345</v>
      </c>
    </row>
    <row r="1506" spans="1:3" ht="15" customHeight="1">
      <c r="A1506" s="505" t="s">
        <v>24048</v>
      </c>
      <c r="B1506" s="510" t="s">
        <v>24047</v>
      </c>
      <c r="C1506" s="416">
        <v>376</v>
      </c>
    </row>
    <row r="1507" spans="1:3" ht="15" customHeight="1">
      <c r="A1507" s="344" t="s">
        <v>24046</v>
      </c>
      <c r="B1507" s="532" t="s">
        <v>24045</v>
      </c>
      <c r="C1507" s="417">
        <v>192</v>
      </c>
    </row>
    <row r="1508" spans="1:3" ht="15" customHeight="1">
      <c r="A1508" s="344" t="s">
        <v>24044</v>
      </c>
      <c r="B1508" s="531" t="s">
        <v>24043</v>
      </c>
      <c r="C1508" s="417">
        <v>233</v>
      </c>
    </row>
    <row r="1509" spans="1:3" ht="15" customHeight="1">
      <c r="A1509" s="344" t="s">
        <v>24042</v>
      </c>
      <c r="B1509" s="532" t="s">
        <v>24041</v>
      </c>
      <c r="C1509" s="530">
        <v>293</v>
      </c>
    </row>
    <row r="1510" spans="1:3" ht="15" customHeight="1">
      <c r="A1510" s="344" t="s">
        <v>24040</v>
      </c>
      <c r="B1510" s="531" t="s">
        <v>24039</v>
      </c>
      <c r="C1510" s="530">
        <v>248</v>
      </c>
    </row>
    <row r="1511" spans="1:3" ht="15" customHeight="1">
      <c r="A1511" s="409" t="s">
        <v>24038</v>
      </c>
      <c r="B1511" s="419" t="s">
        <v>24037</v>
      </c>
      <c r="C1511" s="416">
        <v>280</v>
      </c>
    </row>
    <row r="1512" spans="1:3" ht="15" customHeight="1">
      <c r="A1512" s="409" t="s">
        <v>24036</v>
      </c>
      <c r="B1512" s="419" t="s">
        <v>24035</v>
      </c>
      <c r="C1512" s="416">
        <v>328</v>
      </c>
    </row>
    <row r="1513" spans="1:3" ht="15" customHeight="1">
      <c r="A1513" s="409" t="s">
        <v>24034</v>
      </c>
      <c r="B1513" s="419" t="s">
        <v>24033</v>
      </c>
      <c r="C1513" s="416">
        <v>330</v>
      </c>
    </row>
    <row r="1514" spans="1:3" ht="15" customHeight="1">
      <c r="A1514" s="409" t="s">
        <v>24032</v>
      </c>
      <c r="B1514" s="419" t="s">
        <v>24031</v>
      </c>
      <c r="C1514" s="416">
        <v>376</v>
      </c>
    </row>
    <row r="1515" spans="1:3" ht="15" customHeight="1">
      <c r="A1515" s="344" t="s">
        <v>24030</v>
      </c>
      <c r="B1515" s="532" t="s">
        <v>24029</v>
      </c>
      <c r="C1515" s="530">
        <v>398</v>
      </c>
    </row>
    <row r="1516" spans="1:3" ht="15" customHeight="1">
      <c r="A1516" s="344" t="s">
        <v>24028</v>
      </c>
      <c r="B1516" s="531" t="s">
        <v>24027</v>
      </c>
      <c r="C1516" s="530">
        <v>351</v>
      </c>
    </row>
    <row r="1517" spans="1:3" ht="15" customHeight="1">
      <c r="A1517" s="409" t="s">
        <v>24026</v>
      </c>
      <c r="B1517" s="419" t="s">
        <v>24025</v>
      </c>
      <c r="C1517" s="416">
        <v>206</v>
      </c>
    </row>
    <row r="1518" spans="1:3" ht="15" customHeight="1">
      <c r="A1518" s="409" t="s">
        <v>24024</v>
      </c>
      <c r="B1518" s="419" t="s">
        <v>24023</v>
      </c>
      <c r="C1518" s="416">
        <v>266</v>
      </c>
    </row>
    <row r="1519" spans="1:3" ht="15" customHeight="1">
      <c r="A1519" s="409" t="s">
        <v>24022</v>
      </c>
      <c r="B1519" s="419" t="s">
        <v>24021</v>
      </c>
      <c r="C1519" s="416">
        <v>301</v>
      </c>
    </row>
    <row r="1520" spans="1:3" ht="15" customHeight="1">
      <c r="A1520" s="538" t="s">
        <v>24020</v>
      </c>
      <c r="B1520" s="419" t="s">
        <v>24019</v>
      </c>
      <c r="C1520" s="416">
        <v>348</v>
      </c>
    </row>
    <row r="1521" spans="1:3" ht="15" customHeight="1">
      <c r="A1521" s="538" t="s">
        <v>24018</v>
      </c>
      <c r="B1521" s="419" t="s">
        <v>24017</v>
      </c>
      <c r="C1521" s="416">
        <v>321</v>
      </c>
    </row>
    <row r="1522" spans="1:3" ht="15" customHeight="1">
      <c r="A1522" s="538" t="s">
        <v>24016</v>
      </c>
      <c r="B1522" s="419" t="s">
        <v>24015</v>
      </c>
      <c r="C1522" s="416">
        <v>367</v>
      </c>
    </row>
    <row r="1523" spans="1:3" ht="15" customHeight="1">
      <c r="A1523" s="539" t="s">
        <v>24014</v>
      </c>
      <c r="B1523" s="532" t="s">
        <v>24013</v>
      </c>
      <c r="C1523" s="530">
        <v>387</v>
      </c>
    </row>
    <row r="1524" spans="1:3" ht="15" customHeight="1">
      <c r="A1524" s="344" t="s">
        <v>24012</v>
      </c>
      <c r="B1524" s="531" t="s">
        <v>24011</v>
      </c>
      <c r="C1524" s="530">
        <v>340</v>
      </c>
    </row>
    <row r="1525" spans="1:3" ht="15" customHeight="1">
      <c r="A1525" s="409" t="s">
        <v>24010</v>
      </c>
      <c r="B1525" s="419" t="s">
        <v>24009</v>
      </c>
      <c r="C1525" s="416">
        <v>289</v>
      </c>
    </row>
    <row r="1526" spans="1:3" ht="15" customHeight="1">
      <c r="A1526" s="538" t="s">
        <v>24008</v>
      </c>
      <c r="B1526" s="419" t="s">
        <v>24007</v>
      </c>
      <c r="C1526" s="416">
        <v>350</v>
      </c>
    </row>
    <row r="1527" spans="1:3" ht="15" customHeight="1">
      <c r="A1527" s="538" t="s">
        <v>24006</v>
      </c>
      <c r="B1527" s="419" t="s">
        <v>24005</v>
      </c>
      <c r="C1527" s="416">
        <v>275</v>
      </c>
    </row>
    <row r="1528" spans="1:3" ht="15" customHeight="1">
      <c r="A1528" s="538" t="s">
        <v>24004</v>
      </c>
      <c r="B1528" s="419" t="s">
        <v>24003</v>
      </c>
      <c r="C1528" s="416">
        <v>335</v>
      </c>
    </row>
    <row r="1529" spans="1:3" ht="15" customHeight="1">
      <c r="A1529" s="538" t="s">
        <v>24002</v>
      </c>
      <c r="B1529" s="419" t="s">
        <v>24001</v>
      </c>
      <c r="C1529" s="416">
        <v>234</v>
      </c>
    </row>
    <row r="1530" spans="1:3" ht="15" customHeight="1">
      <c r="A1530" s="409" t="s">
        <v>24000</v>
      </c>
      <c r="B1530" s="419" t="s">
        <v>23999</v>
      </c>
      <c r="C1530" s="416">
        <v>295</v>
      </c>
    </row>
    <row r="1531" spans="1:3" ht="15" customHeight="1">
      <c r="A1531" s="503" t="s">
        <v>23998</v>
      </c>
      <c r="B1531" s="451" t="s">
        <v>23997</v>
      </c>
      <c r="C1531" s="416">
        <v>219</v>
      </c>
    </row>
    <row r="1532" spans="1:3" ht="15" customHeight="1">
      <c r="A1532" s="503" t="s">
        <v>23996</v>
      </c>
      <c r="B1532" s="451" t="s">
        <v>23995</v>
      </c>
      <c r="C1532" s="416">
        <v>280</v>
      </c>
    </row>
    <row r="1533" spans="1:3" ht="15" customHeight="1">
      <c r="A1533" s="503" t="s">
        <v>23994</v>
      </c>
      <c r="B1533" s="451" t="s">
        <v>23993</v>
      </c>
      <c r="C1533" s="416">
        <v>275</v>
      </c>
    </row>
    <row r="1534" spans="1:3" ht="15" customHeight="1">
      <c r="A1534" s="503" t="s">
        <v>23992</v>
      </c>
      <c r="B1534" s="451" t="s">
        <v>23991</v>
      </c>
      <c r="C1534" s="416">
        <v>334</v>
      </c>
    </row>
    <row r="1535" spans="1:3" ht="15" customHeight="1">
      <c r="A1535" s="503" t="s">
        <v>23990</v>
      </c>
      <c r="B1535" s="451" t="s">
        <v>23989</v>
      </c>
      <c r="C1535" s="416">
        <v>142</v>
      </c>
    </row>
    <row r="1536" spans="1:3" ht="15" customHeight="1">
      <c r="A1536" s="503" t="s">
        <v>23988</v>
      </c>
      <c r="B1536" s="451" t="s">
        <v>23987</v>
      </c>
      <c r="C1536" s="416">
        <v>202</v>
      </c>
    </row>
    <row r="1537" spans="1:3" ht="15" customHeight="1">
      <c r="A1537" s="344" t="s">
        <v>23986</v>
      </c>
      <c r="B1537" s="532" t="s">
        <v>23985</v>
      </c>
      <c r="C1537" s="530">
        <v>210</v>
      </c>
    </row>
    <row r="1538" spans="1:3" ht="15" customHeight="1">
      <c r="A1538" s="344" t="s">
        <v>23984</v>
      </c>
      <c r="B1538" s="531" t="s">
        <v>23983</v>
      </c>
      <c r="C1538" s="530">
        <v>164</v>
      </c>
    </row>
    <row r="1539" spans="1:3" ht="15" customHeight="1">
      <c r="A1539" s="503" t="s">
        <v>23982</v>
      </c>
      <c r="B1539" s="451" t="s">
        <v>23981</v>
      </c>
      <c r="C1539" s="416">
        <v>198</v>
      </c>
    </row>
    <row r="1540" spans="1:3" ht="15" customHeight="1">
      <c r="A1540" s="503" t="s">
        <v>23980</v>
      </c>
      <c r="B1540" s="451" t="s">
        <v>23979</v>
      </c>
      <c r="C1540" s="416">
        <v>257</v>
      </c>
    </row>
    <row r="1541" spans="1:3" ht="15" customHeight="1">
      <c r="A1541" s="498" t="s">
        <v>23978</v>
      </c>
      <c r="B1541" s="537" t="s">
        <v>23977</v>
      </c>
      <c r="C1541" s="439">
        <v>261</v>
      </c>
    </row>
    <row r="1542" spans="1:3" ht="15" customHeight="1">
      <c r="A1542" s="498" t="s">
        <v>23976</v>
      </c>
      <c r="B1542" s="537" t="s">
        <v>23975</v>
      </c>
      <c r="C1542" s="439">
        <v>308</v>
      </c>
    </row>
    <row r="1543" spans="1:3" ht="15" customHeight="1">
      <c r="A1543" s="498" t="s">
        <v>23974</v>
      </c>
      <c r="B1543" s="537" t="s">
        <v>23973</v>
      </c>
      <c r="C1543" s="536">
        <v>314</v>
      </c>
    </row>
    <row r="1544" spans="1:3" ht="15" customHeight="1">
      <c r="A1544" s="498" t="s">
        <v>23972</v>
      </c>
      <c r="B1544" s="537" t="s">
        <v>23971</v>
      </c>
      <c r="C1544" s="536">
        <v>360</v>
      </c>
    </row>
    <row r="1545" spans="1:3" ht="15" customHeight="1">
      <c r="A1545" s="344" t="s">
        <v>23970</v>
      </c>
      <c r="B1545" s="532" t="s">
        <v>23969</v>
      </c>
      <c r="C1545" s="530">
        <v>380</v>
      </c>
    </row>
    <row r="1546" spans="1:3" ht="15" customHeight="1">
      <c r="A1546" s="344" t="s">
        <v>23968</v>
      </c>
      <c r="B1546" s="531" t="s">
        <v>23967</v>
      </c>
      <c r="C1546" s="530">
        <v>333</v>
      </c>
    </row>
    <row r="1547" spans="1:3" ht="15" customHeight="1">
      <c r="A1547" s="498" t="s">
        <v>23966</v>
      </c>
      <c r="B1547" s="537" t="s">
        <v>23965</v>
      </c>
      <c r="C1547" s="439">
        <v>137</v>
      </c>
    </row>
    <row r="1548" spans="1:3" ht="15" customHeight="1">
      <c r="A1548" s="498" t="s">
        <v>23964</v>
      </c>
      <c r="B1548" s="537" t="s">
        <v>23963</v>
      </c>
      <c r="C1548" s="439">
        <v>186</v>
      </c>
    </row>
    <row r="1549" spans="1:3" ht="15" customHeight="1">
      <c r="A1549" s="498" t="s">
        <v>23962</v>
      </c>
      <c r="B1549" s="537" t="s">
        <v>23961</v>
      </c>
      <c r="C1549" s="439">
        <v>282</v>
      </c>
    </row>
    <row r="1550" spans="1:3" ht="15" customHeight="1">
      <c r="A1550" s="498" t="s">
        <v>23960</v>
      </c>
      <c r="B1550" s="537" t="s">
        <v>23959</v>
      </c>
      <c r="C1550" s="439">
        <v>331</v>
      </c>
    </row>
    <row r="1551" spans="1:3" ht="15" customHeight="1">
      <c r="A1551" s="498" t="s">
        <v>23958</v>
      </c>
      <c r="B1551" s="537" t="s">
        <v>23957</v>
      </c>
      <c r="C1551" s="536">
        <v>189</v>
      </c>
    </row>
    <row r="1552" spans="1:3" ht="15" customHeight="1">
      <c r="A1552" s="498" t="s">
        <v>23956</v>
      </c>
      <c r="B1552" s="537" t="s">
        <v>23955</v>
      </c>
      <c r="C1552" s="536">
        <v>235</v>
      </c>
    </row>
    <row r="1553" spans="1:3" ht="15" customHeight="1">
      <c r="A1553" s="344" t="s">
        <v>23954</v>
      </c>
      <c r="B1553" s="532" t="s">
        <v>23953</v>
      </c>
      <c r="C1553" s="530">
        <v>246</v>
      </c>
    </row>
    <row r="1554" spans="1:3" ht="15" customHeight="1">
      <c r="A1554" s="344" t="s">
        <v>23952</v>
      </c>
      <c r="B1554" s="531" t="s">
        <v>23951</v>
      </c>
      <c r="C1554" s="530">
        <v>199</v>
      </c>
    </row>
    <row r="1555" spans="1:3" ht="15" customHeight="1">
      <c r="A1555" s="420" t="s">
        <v>23950</v>
      </c>
      <c r="B1555" s="86" t="s">
        <v>23949</v>
      </c>
      <c r="C1555" s="535">
        <v>232</v>
      </c>
    </row>
    <row r="1556" spans="1:3" ht="15" customHeight="1">
      <c r="A1556" s="420" t="s">
        <v>23948</v>
      </c>
      <c r="B1556" s="86" t="s">
        <v>23947</v>
      </c>
      <c r="C1556" s="535">
        <v>272</v>
      </c>
    </row>
    <row r="1557" spans="1:3" ht="15" customHeight="1">
      <c r="A1557" s="420" t="s">
        <v>23946</v>
      </c>
      <c r="B1557" s="86" t="s">
        <v>23945</v>
      </c>
      <c r="C1557" s="535">
        <v>331</v>
      </c>
    </row>
    <row r="1558" spans="1:3" ht="15" customHeight="1">
      <c r="A1558" s="420" t="s">
        <v>23944</v>
      </c>
      <c r="B1558" s="86" t="s">
        <v>23943</v>
      </c>
      <c r="C1558" s="535">
        <v>291</v>
      </c>
    </row>
    <row r="1559" spans="1:3" ht="15" customHeight="1">
      <c r="A1559" s="420" t="s">
        <v>23942</v>
      </c>
      <c r="B1559" s="86" t="s">
        <v>23941</v>
      </c>
      <c r="C1559" s="535">
        <v>132</v>
      </c>
    </row>
    <row r="1560" spans="1:3" ht="15" customHeight="1">
      <c r="A1560" s="420" t="s">
        <v>23940</v>
      </c>
      <c r="B1560" s="86" t="s">
        <v>23939</v>
      </c>
      <c r="C1560" s="535">
        <v>172</v>
      </c>
    </row>
    <row r="1561" spans="1:3" ht="15" customHeight="1">
      <c r="A1561" s="420" t="s">
        <v>23938</v>
      </c>
      <c r="B1561" s="86" t="s">
        <v>23937</v>
      </c>
      <c r="C1561" s="535">
        <v>259</v>
      </c>
    </row>
    <row r="1562" spans="1:3" ht="15" customHeight="1">
      <c r="A1562" s="420" t="s">
        <v>23936</v>
      </c>
      <c r="B1562" s="86" t="s">
        <v>23935</v>
      </c>
      <c r="C1562" s="535">
        <v>299</v>
      </c>
    </row>
    <row r="1563" spans="1:3" ht="15" customHeight="1">
      <c r="A1563" s="420" t="s">
        <v>23934</v>
      </c>
      <c r="B1563" s="86" t="s">
        <v>23933</v>
      </c>
      <c r="C1563" s="535">
        <v>358</v>
      </c>
    </row>
    <row r="1564" spans="1:3" ht="15" customHeight="1">
      <c r="A1564" s="420" t="s">
        <v>23932</v>
      </c>
      <c r="B1564" s="86" t="s">
        <v>23931</v>
      </c>
      <c r="C1564" s="535">
        <v>318</v>
      </c>
    </row>
    <row r="1565" spans="1:3" ht="15" customHeight="1">
      <c r="A1565" s="420" t="s">
        <v>23930</v>
      </c>
      <c r="B1565" s="86" t="s">
        <v>23929</v>
      </c>
      <c r="C1565" s="535">
        <v>343</v>
      </c>
    </row>
    <row r="1566" spans="1:3" ht="15" customHeight="1">
      <c r="A1566" s="420" t="s">
        <v>23928</v>
      </c>
      <c r="B1566" s="86" t="s">
        <v>23927</v>
      </c>
      <c r="C1566" s="535">
        <v>303</v>
      </c>
    </row>
    <row r="1567" spans="1:3" ht="15" customHeight="1">
      <c r="A1567" s="420" t="s">
        <v>23926</v>
      </c>
      <c r="B1567" s="86" t="s">
        <v>23925</v>
      </c>
      <c r="C1567" s="535">
        <v>370</v>
      </c>
    </row>
    <row r="1568" spans="1:3" ht="15" customHeight="1">
      <c r="A1568" s="420" t="s">
        <v>23924</v>
      </c>
      <c r="B1568" s="86" t="s">
        <v>23923</v>
      </c>
      <c r="C1568" s="535">
        <v>330</v>
      </c>
    </row>
    <row r="1569" spans="1:3" ht="15" customHeight="1">
      <c r="A1569" s="447" t="s">
        <v>23922</v>
      </c>
      <c r="B1569" s="469" t="s">
        <v>23921</v>
      </c>
      <c r="C1569" s="416">
        <v>225</v>
      </c>
    </row>
    <row r="1570" spans="1:3" ht="15" customHeight="1">
      <c r="A1570" s="447" t="s">
        <v>23920</v>
      </c>
      <c r="B1570" s="534" t="s">
        <v>23919</v>
      </c>
      <c r="C1570" s="416">
        <v>271</v>
      </c>
    </row>
    <row r="1571" spans="1:3" ht="15" customHeight="1">
      <c r="A1571" s="344" t="s">
        <v>23918</v>
      </c>
      <c r="B1571" s="532" t="s">
        <v>23917</v>
      </c>
      <c r="C1571" s="530">
        <v>289</v>
      </c>
    </row>
    <row r="1572" spans="1:3" ht="15" customHeight="1">
      <c r="A1572" s="344" t="s">
        <v>23916</v>
      </c>
      <c r="B1572" s="531" t="s">
        <v>23915</v>
      </c>
      <c r="C1572" s="530">
        <v>242</v>
      </c>
    </row>
    <row r="1573" spans="1:3" ht="15" customHeight="1">
      <c r="A1573" s="447" t="s">
        <v>23914</v>
      </c>
      <c r="B1573" s="469" t="s">
        <v>23913</v>
      </c>
      <c r="C1573" s="416">
        <v>241</v>
      </c>
    </row>
    <row r="1574" spans="1:3" ht="15" customHeight="1">
      <c r="A1574" s="447" t="s">
        <v>23912</v>
      </c>
      <c r="B1574" s="469" t="s">
        <v>23911</v>
      </c>
      <c r="C1574" s="416">
        <v>300</v>
      </c>
    </row>
    <row r="1575" spans="1:3" ht="15" customHeight="1">
      <c r="A1575" s="447" t="s">
        <v>23910</v>
      </c>
      <c r="B1575" s="469" t="s">
        <v>23909</v>
      </c>
      <c r="C1575" s="416">
        <v>204</v>
      </c>
    </row>
    <row r="1576" spans="1:3" ht="15" customHeight="1">
      <c r="A1576" s="447" t="s">
        <v>23908</v>
      </c>
      <c r="B1576" s="469" t="s">
        <v>23907</v>
      </c>
      <c r="C1576" s="416">
        <v>264</v>
      </c>
    </row>
    <row r="1577" spans="1:3" ht="15" customHeight="1">
      <c r="A1577" s="447" t="s">
        <v>23906</v>
      </c>
      <c r="B1577" s="469" t="s">
        <v>23905</v>
      </c>
      <c r="C1577" s="416">
        <v>149</v>
      </c>
    </row>
    <row r="1578" spans="1:3" ht="15" customHeight="1">
      <c r="A1578" s="447" t="s">
        <v>23904</v>
      </c>
      <c r="B1578" s="469" t="s">
        <v>23903</v>
      </c>
      <c r="C1578" s="416">
        <v>210</v>
      </c>
    </row>
    <row r="1579" spans="1:3" ht="15" customHeight="1">
      <c r="A1579" s="533" t="s">
        <v>23902</v>
      </c>
      <c r="B1579" s="469" t="s">
        <v>23901</v>
      </c>
      <c r="C1579" s="416">
        <v>161</v>
      </c>
    </row>
    <row r="1580" spans="1:3" ht="15" customHeight="1">
      <c r="A1580" s="533" t="s">
        <v>23900</v>
      </c>
      <c r="B1580" s="469" t="s">
        <v>23899</v>
      </c>
      <c r="C1580" s="416">
        <v>276</v>
      </c>
    </row>
    <row r="1581" spans="1:3" ht="15" customHeight="1">
      <c r="A1581" s="533" t="s">
        <v>23898</v>
      </c>
      <c r="B1581" s="469" t="s">
        <v>23897</v>
      </c>
      <c r="C1581" s="416">
        <v>333</v>
      </c>
    </row>
    <row r="1582" spans="1:3" ht="15" customHeight="1">
      <c r="A1582" s="533" t="s">
        <v>23896</v>
      </c>
      <c r="B1582" s="469" t="s">
        <v>23895</v>
      </c>
      <c r="C1582" s="416">
        <v>192</v>
      </c>
    </row>
    <row r="1583" spans="1:3" ht="15" customHeight="1">
      <c r="A1583" s="344" t="s">
        <v>23894</v>
      </c>
      <c r="B1583" s="532" t="s">
        <v>23893</v>
      </c>
      <c r="C1583" s="530">
        <v>404</v>
      </c>
    </row>
    <row r="1584" spans="1:3" ht="15" customHeight="1">
      <c r="A1584" s="344" t="s">
        <v>23892</v>
      </c>
      <c r="B1584" s="531" t="s">
        <v>23891</v>
      </c>
      <c r="C1584" s="530">
        <v>357</v>
      </c>
    </row>
    <row r="1585" spans="1:3" ht="15" customHeight="1">
      <c r="A1585" s="533" t="s">
        <v>23890</v>
      </c>
      <c r="B1585" s="531" t="s">
        <v>23889</v>
      </c>
      <c r="C1585" s="530">
        <v>308</v>
      </c>
    </row>
    <row r="1586" spans="1:3" ht="15" customHeight="1">
      <c r="A1586" s="533" t="s">
        <v>23888</v>
      </c>
      <c r="B1586" s="531" t="s">
        <v>23887</v>
      </c>
      <c r="C1586" s="530">
        <v>356</v>
      </c>
    </row>
    <row r="1587" spans="1:3" ht="15" customHeight="1">
      <c r="A1587" s="533" t="s">
        <v>23886</v>
      </c>
      <c r="B1587" s="531" t="s">
        <v>23885</v>
      </c>
      <c r="C1587" s="530">
        <v>279</v>
      </c>
    </row>
    <row r="1588" spans="1:3" ht="15" customHeight="1">
      <c r="A1588" s="533" t="s">
        <v>23884</v>
      </c>
      <c r="B1588" s="531" t="s">
        <v>23883</v>
      </c>
      <c r="C1588" s="530">
        <v>303</v>
      </c>
    </row>
    <row r="1589" spans="1:3" ht="15" customHeight="1">
      <c r="A1589" s="344" t="s">
        <v>23882</v>
      </c>
      <c r="B1589" s="532" t="s">
        <v>23881</v>
      </c>
      <c r="C1589" s="530">
        <v>351</v>
      </c>
    </row>
    <row r="1590" spans="1:3" ht="15" customHeight="1">
      <c r="A1590" s="344" t="s">
        <v>23880</v>
      </c>
      <c r="B1590" s="531" t="s">
        <v>23879</v>
      </c>
      <c r="C1590" s="530">
        <v>327</v>
      </c>
    </row>
    <row r="1591" spans="1:3" ht="15" customHeight="1">
      <c r="A1591" s="409" t="s">
        <v>23878</v>
      </c>
      <c r="B1591" s="419" t="s">
        <v>23877</v>
      </c>
      <c r="C1591" s="416">
        <v>305</v>
      </c>
    </row>
    <row r="1592" spans="1:3" ht="15" customHeight="1">
      <c r="A1592" s="409" t="s">
        <v>23876</v>
      </c>
      <c r="B1592" s="419" t="s">
        <v>23875</v>
      </c>
      <c r="C1592" s="416">
        <v>329</v>
      </c>
    </row>
    <row r="1593" spans="1:3" ht="15" customHeight="1">
      <c r="A1593" s="409" t="s">
        <v>23874</v>
      </c>
      <c r="B1593" s="419" t="s">
        <v>23873</v>
      </c>
      <c r="C1593" s="416">
        <v>332</v>
      </c>
    </row>
    <row r="1594" spans="1:3" ht="15" customHeight="1">
      <c r="A1594" s="409" t="s">
        <v>23872</v>
      </c>
      <c r="B1594" s="419" t="s">
        <v>23871</v>
      </c>
      <c r="C1594" s="416">
        <v>354</v>
      </c>
    </row>
    <row r="1595" spans="1:3" ht="15" customHeight="1">
      <c r="A1595" s="344" t="s">
        <v>23870</v>
      </c>
      <c r="B1595" s="532" t="s">
        <v>23869</v>
      </c>
      <c r="C1595" s="530">
        <v>377</v>
      </c>
    </row>
    <row r="1596" spans="1:3" s="524" customFormat="1" ht="15" customHeight="1">
      <c r="A1596" s="344" t="s">
        <v>23868</v>
      </c>
      <c r="B1596" s="531" t="s">
        <v>23867</v>
      </c>
      <c r="C1596" s="530">
        <v>354</v>
      </c>
    </row>
    <row r="1597" spans="1:3" ht="15" customHeight="1">
      <c r="A1597" s="409" t="s">
        <v>23866</v>
      </c>
      <c r="B1597" s="419" t="s">
        <v>23865</v>
      </c>
      <c r="C1597" s="416">
        <v>216</v>
      </c>
    </row>
    <row r="1598" spans="1:3" ht="15" customHeight="1">
      <c r="A1598" s="409" t="s">
        <v>23864</v>
      </c>
      <c r="B1598" s="419" t="s">
        <v>23863</v>
      </c>
      <c r="C1598" s="416">
        <v>246</v>
      </c>
    </row>
    <row r="1599" spans="1:3" ht="15" customHeight="1">
      <c r="A1599" s="409" t="s">
        <v>23862</v>
      </c>
      <c r="B1599" s="419" t="s">
        <v>23861</v>
      </c>
      <c r="C1599" s="416">
        <v>272</v>
      </c>
    </row>
    <row r="1600" spans="1:3" ht="15" customHeight="1">
      <c r="A1600" s="409" t="s">
        <v>23860</v>
      </c>
      <c r="B1600" s="419" t="s">
        <v>23859</v>
      </c>
      <c r="C1600" s="416">
        <v>302</v>
      </c>
    </row>
    <row r="1601" spans="1:3" ht="15" customHeight="1">
      <c r="A1601" s="529" t="s">
        <v>23858</v>
      </c>
      <c r="B1601" s="528" t="s">
        <v>23857</v>
      </c>
      <c r="C1601" s="417">
        <v>68</v>
      </c>
    </row>
    <row r="1602" spans="1:3" ht="15" customHeight="1">
      <c r="A1602" s="529" t="s">
        <v>23856</v>
      </c>
      <c r="B1602" s="528" t="s">
        <v>23855</v>
      </c>
      <c r="C1602" s="417">
        <v>74</v>
      </c>
    </row>
    <row r="1603" spans="1:3" ht="15" customHeight="1">
      <c r="A1603" s="529" t="s">
        <v>23854</v>
      </c>
      <c r="B1603" s="528" t="s">
        <v>23853</v>
      </c>
      <c r="C1603" s="417">
        <v>187</v>
      </c>
    </row>
    <row r="1604" spans="1:3" ht="15" customHeight="1">
      <c r="A1604" s="529" t="s">
        <v>23852</v>
      </c>
      <c r="B1604" s="528" t="s">
        <v>23851</v>
      </c>
      <c r="C1604" s="417">
        <v>243</v>
      </c>
    </row>
    <row r="1605" spans="1:3" ht="15" customHeight="1">
      <c r="A1605" s="529" t="s">
        <v>23850</v>
      </c>
      <c r="B1605" s="528" t="s">
        <v>23849</v>
      </c>
      <c r="C1605" s="417">
        <v>130</v>
      </c>
    </row>
    <row r="1606" spans="1:3" ht="15" customHeight="1">
      <c r="A1606" s="440" t="s">
        <v>23848</v>
      </c>
      <c r="B1606" s="526" t="s">
        <v>23847</v>
      </c>
      <c r="C1606" s="417">
        <v>255</v>
      </c>
    </row>
    <row r="1607" spans="1:3" ht="15" customHeight="1">
      <c r="A1607" s="440" t="s">
        <v>23846</v>
      </c>
      <c r="B1607" s="526" t="s">
        <v>23845</v>
      </c>
      <c r="C1607" s="417">
        <v>255</v>
      </c>
    </row>
    <row r="1608" spans="1:3" ht="15" customHeight="1">
      <c r="A1608" s="527" t="s">
        <v>23844</v>
      </c>
      <c r="B1608" s="526" t="s">
        <v>23843</v>
      </c>
      <c r="C1608" s="417">
        <v>345</v>
      </c>
    </row>
    <row r="1609" spans="1:3" ht="15" customHeight="1">
      <c r="A1609" s="527" t="s">
        <v>23842</v>
      </c>
      <c r="B1609" s="526" t="s">
        <v>23841</v>
      </c>
      <c r="C1609" s="417">
        <v>255</v>
      </c>
    </row>
    <row r="1610" spans="1:3" ht="15" customHeight="1">
      <c r="A1610" s="527" t="s">
        <v>23840</v>
      </c>
      <c r="B1610" s="526" t="s">
        <v>23839</v>
      </c>
      <c r="C1610" s="417">
        <v>255</v>
      </c>
    </row>
    <row r="1611" spans="1:3" ht="15" customHeight="1">
      <c r="A1611" s="440" t="s">
        <v>23838</v>
      </c>
      <c r="B1611" s="472" t="s">
        <v>23837</v>
      </c>
      <c r="C1611" s="417">
        <v>345</v>
      </c>
    </row>
    <row r="1612" spans="1:3" ht="15" customHeight="1">
      <c r="A1612" s="440" t="s">
        <v>23836</v>
      </c>
      <c r="B1612" s="472" t="s">
        <v>23835</v>
      </c>
      <c r="C1612" s="417">
        <v>255</v>
      </c>
    </row>
    <row r="1613" spans="1:3" ht="15" customHeight="1">
      <c r="A1613" s="440" t="s">
        <v>23834</v>
      </c>
      <c r="B1613" s="472" t="s">
        <v>23833</v>
      </c>
      <c r="C1613" s="417">
        <v>255</v>
      </c>
    </row>
    <row r="1614" spans="1:3" ht="15" customHeight="1">
      <c r="A1614" s="440" t="s">
        <v>23832</v>
      </c>
      <c r="B1614" s="472" t="s">
        <v>23831</v>
      </c>
      <c r="C1614" s="417">
        <v>255</v>
      </c>
    </row>
    <row r="1615" spans="1:3" ht="15" customHeight="1">
      <c r="A1615" s="420" t="s">
        <v>23830</v>
      </c>
      <c r="B1615" s="472" t="s">
        <v>23829</v>
      </c>
      <c r="C1615" s="417">
        <v>255</v>
      </c>
    </row>
    <row r="1616" spans="1:3" ht="15" customHeight="1">
      <c r="A1616" s="463" t="s">
        <v>23828</v>
      </c>
      <c r="B1616" s="451" t="s">
        <v>23827</v>
      </c>
      <c r="C1616" s="416">
        <v>172</v>
      </c>
    </row>
    <row r="1617" spans="1:3" ht="15" customHeight="1">
      <c r="A1617" s="463" t="s">
        <v>23826</v>
      </c>
      <c r="B1617" s="451" t="s">
        <v>23825</v>
      </c>
      <c r="C1617" s="416">
        <v>242</v>
      </c>
    </row>
    <row r="1618" spans="1:3" ht="15" customHeight="1">
      <c r="A1618" s="463" t="s">
        <v>23824</v>
      </c>
      <c r="B1618" s="451" t="s">
        <v>23823</v>
      </c>
      <c r="C1618" s="416">
        <v>104</v>
      </c>
    </row>
    <row r="1619" spans="1:3" ht="15" customHeight="1">
      <c r="A1619" s="463" t="s">
        <v>23822</v>
      </c>
      <c r="B1619" s="451" t="s">
        <v>23821</v>
      </c>
      <c r="C1619" s="416">
        <v>293</v>
      </c>
    </row>
    <row r="1620" spans="1:3" ht="15" customHeight="1">
      <c r="A1620" s="463" t="s">
        <v>23820</v>
      </c>
      <c r="B1620" s="451" t="s">
        <v>23819</v>
      </c>
      <c r="C1620" s="416">
        <v>330</v>
      </c>
    </row>
    <row r="1621" spans="1:3" ht="15" customHeight="1">
      <c r="A1621" s="463" t="s">
        <v>23818</v>
      </c>
      <c r="B1621" s="451" t="s">
        <v>23817</v>
      </c>
      <c r="C1621" s="416">
        <v>188</v>
      </c>
    </row>
    <row r="1622" spans="1:3" ht="15" customHeight="1">
      <c r="A1622" s="463" t="s">
        <v>23816</v>
      </c>
      <c r="B1622" s="451" t="s">
        <v>23815</v>
      </c>
      <c r="C1622" s="416">
        <v>254</v>
      </c>
    </row>
    <row r="1623" spans="1:3" ht="15" customHeight="1">
      <c r="A1623" s="463" t="s">
        <v>23814</v>
      </c>
      <c r="B1623" s="451" t="s">
        <v>23813</v>
      </c>
      <c r="C1623" s="416">
        <v>113</v>
      </c>
    </row>
    <row r="1624" spans="1:3" ht="15" customHeight="1">
      <c r="A1624" s="463" t="s">
        <v>23812</v>
      </c>
      <c r="B1624" s="451" t="s">
        <v>23811</v>
      </c>
      <c r="C1624" s="416">
        <v>308</v>
      </c>
    </row>
    <row r="1625" spans="1:3" ht="15" customHeight="1">
      <c r="A1625" s="463" t="s">
        <v>23810</v>
      </c>
      <c r="B1625" s="451" t="s">
        <v>23809</v>
      </c>
      <c r="C1625" s="416">
        <v>345</v>
      </c>
    </row>
    <row r="1626" spans="1:3" ht="15" customHeight="1">
      <c r="A1626" s="493" t="s">
        <v>23808</v>
      </c>
      <c r="B1626" s="525" t="s">
        <v>23807</v>
      </c>
      <c r="C1626" s="417">
        <v>173</v>
      </c>
    </row>
    <row r="1627" spans="1:3" ht="15" customHeight="1">
      <c r="A1627" s="493" t="s">
        <v>23806</v>
      </c>
      <c r="B1627" s="525" t="s">
        <v>23805</v>
      </c>
      <c r="C1627" s="417">
        <v>150</v>
      </c>
    </row>
    <row r="1628" spans="1:3" ht="15" customHeight="1">
      <c r="A1628" s="493" t="s">
        <v>23804</v>
      </c>
      <c r="B1628" s="525" t="s">
        <v>23803</v>
      </c>
      <c r="C1628" s="417">
        <v>184</v>
      </c>
    </row>
    <row r="1629" spans="1:3" ht="15" customHeight="1">
      <c r="A1629" s="493" t="s">
        <v>23802</v>
      </c>
      <c r="B1629" s="525" t="s">
        <v>23801</v>
      </c>
      <c r="C1629" s="417">
        <v>82</v>
      </c>
    </row>
    <row r="1630" spans="1:3" ht="15" customHeight="1">
      <c r="A1630" s="493" t="s">
        <v>23800</v>
      </c>
      <c r="B1630" s="525" t="s">
        <v>23799</v>
      </c>
      <c r="C1630" s="417">
        <v>215</v>
      </c>
    </row>
    <row r="1631" spans="1:3" ht="15" customHeight="1">
      <c r="A1631" s="493" t="s">
        <v>23798</v>
      </c>
      <c r="B1631" s="525" t="s">
        <v>23797</v>
      </c>
      <c r="C1631" s="417">
        <v>195</v>
      </c>
    </row>
    <row r="1632" spans="1:3" ht="15" customHeight="1">
      <c r="A1632" s="440" t="s">
        <v>23796</v>
      </c>
      <c r="B1632" s="525" t="s">
        <v>23795</v>
      </c>
      <c r="C1632" s="439">
        <v>227</v>
      </c>
    </row>
    <row r="1633" spans="1:3" ht="15" customHeight="1">
      <c r="A1633" s="440" t="s">
        <v>23794</v>
      </c>
      <c r="B1633" s="525" t="s">
        <v>23793</v>
      </c>
      <c r="C1633" s="439">
        <v>276</v>
      </c>
    </row>
    <row r="1634" spans="1:3" ht="15" customHeight="1">
      <c r="A1634" s="440" t="s">
        <v>23792</v>
      </c>
      <c r="B1634" s="525" t="s">
        <v>23791</v>
      </c>
      <c r="C1634" s="439">
        <v>285</v>
      </c>
    </row>
    <row r="1635" spans="1:3" ht="15" customHeight="1">
      <c r="A1635" s="440" t="s">
        <v>23790</v>
      </c>
      <c r="B1635" s="525" t="s">
        <v>23789</v>
      </c>
      <c r="C1635" s="439">
        <v>334</v>
      </c>
    </row>
    <row r="1636" spans="1:3" ht="15" customHeight="1">
      <c r="A1636" s="440" t="s">
        <v>23788</v>
      </c>
      <c r="B1636" s="525" t="s">
        <v>23787</v>
      </c>
      <c r="C1636" s="439">
        <v>93</v>
      </c>
    </row>
    <row r="1637" spans="1:3" ht="15" customHeight="1">
      <c r="A1637" s="420" t="s">
        <v>23786</v>
      </c>
      <c r="B1637" s="525" t="s">
        <v>23785</v>
      </c>
      <c r="C1637" s="418">
        <v>163</v>
      </c>
    </row>
    <row r="1638" spans="1:3" ht="15" customHeight="1">
      <c r="A1638" s="420" t="s">
        <v>23784</v>
      </c>
      <c r="B1638" s="525" t="s">
        <v>23783</v>
      </c>
      <c r="C1638" s="418">
        <v>201</v>
      </c>
    </row>
    <row r="1639" spans="1:3" ht="15" customHeight="1">
      <c r="A1639" s="420" t="s">
        <v>23782</v>
      </c>
      <c r="B1639" s="525" t="s">
        <v>23781</v>
      </c>
      <c r="C1639" s="418">
        <v>74</v>
      </c>
    </row>
    <row r="1640" spans="1:3" ht="15" customHeight="1">
      <c r="A1640" s="420" t="s">
        <v>23780</v>
      </c>
      <c r="B1640" s="525" t="s">
        <v>23779</v>
      </c>
      <c r="C1640" s="418">
        <v>190</v>
      </c>
    </row>
    <row r="1641" spans="1:3" ht="15" customHeight="1">
      <c r="A1641" s="420" t="s">
        <v>23778</v>
      </c>
      <c r="B1641" s="525" t="s">
        <v>23777</v>
      </c>
      <c r="C1641" s="418">
        <v>227</v>
      </c>
    </row>
    <row r="1642" spans="1:3" s="524" customFormat="1" ht="15" customHeight="1">
      <c r="A1642" s="409" t="s">
        <v>23776</v>
      </c>
      <c r="B1642" s="419" t="s">
        <v>23775</v>
      </c>
      <c r="C1642" s="416">
        <v>153</v>
      </c>
    </row>
    <row r="1643" spans="1:3" ht="15" customHeight="1">
      <c r="A1643" s="420" t="s">
        <v>23774</v>
      </c>
      <c r="B1643" s="419" t="s">
        <v>23773</v>
      </c>
      <c r="C1643" s="418">
        <v>36</v>
      </c>
    </row>
    <row r="1644" spans="1:3" s="524" customFormat="1" ht="15" customHeight="1">
      <c r="A1644" s="420" t="s">
        <v>23772</v>
      </c>
      <c r="B1644" s="419" t="s">
        <v>23771</v>
      </c>
      <c r="C1644" s="417">
        <v>29</v>
      </c>
    </row>
    <row r="1645" spans="1:3" ht="15" customHeight="1">
      <c r="A1645" s="420" t="s">
        <v>23770</v>
      </c>
      <c r="B1645" s="419" t="s">
        <v>23769</v>
      </c>
      <c r="C1645" s="417">
        <v>35</v>
      </c>
    </row>
    <row r="1646" spans="1:3" ht="15" customHeight="1">
      <c r="A1646" s="420" t="s">
        <v>23768</v>
      </c>
      <c r="B1646" s="419" t="s">
        <v>23767</v>
      </c>
      <c r="C1646" s="417">
        <v>35</v>
      </c>
    </row>
    <row r="1647" spans="1:3" ht="15" customHeight="1">
      <c r="A1647" s="420" t="s">
        <v>23766</v>
      </c>
      <c r="B1647" s="419" t="s">
        <v>23765</v>
      </c>
      <c r="C1647" s="417">
        <v>260</v>
      </c>
    </row>
    <row r="1648" spans="1:3" ht="15" customHeight="1">
      <c r="A1648" s="420" t="s">
        <v>23764</v>
      </c>
      <c r="B1648" s="419" t="s">
        <v>23763</v>
      </c>
      <c r="C1648" s="417">
        <v>3450</v>
      </c>
    </row>
    <row r="1649" spans="1:3" ht="15" customHeight="1">
      <c r="A1649" s="420" t="s">
        <v>23762</v>
      </c>
      <c r="B1649" s="419" t="s">
        <v>23761</v>
      </c>
      <c r="C1649" s="417">
        <v>3526</v>
      </c>
    </row>
    <row r="1650" spans="1:3" ht="15" customHeight="1">
      <c r="A1650" s="420" t="s">
        <v>23760</v>
      </c>
      <c r="B1650" s="419" t="s">
        <v>23759</v>
      </c>
      <c r="C1650" s="417">
        <v>3628</v>
      </c>
    </row>
    <row r="1651" spans="1:3" ht="15" customHeight="1">
      <c r="A1651" s="420" t="s">
        <v>23758</v>
      </c>
      <c r="B1651" s="419" t="s">
        <v>23757</v>
      </c>
      <c r="C1651" s="417">
        <v>3731</v>
      </c>
    </row>
    <row r="1652" spans="1:3" ht="15" customHeight="1">
      <c r="A1652" s="420" t="s">
        <v>23756</v>
      </c>
      <c r="B1652" s="419" t="s">
        <v>23755</v>
      </c>
      <c r="C1652" s="418">
        <v>3800</v>
      </c>
    </row>
    <row r="1653" spans="1:3" ht="15" customHeight="1">
      <c r="A1653" s="420" t="s">
        <v>23754</v>
      </c>
      <c r="B1653" s="419" t="s">
        <v>23753</v>
      </c>
      <c r="C1653" s="417">
        <v>3883</v>
      </c>
    </row>
    <row r="1654" spans="1:3" ht="15" customHeight="1">
      <c r="A1654" s="420" t="s">
        <v>23752</v>
      </c>
      <c r="B1654" s="419" t="s">
        <v>23751</v>
      </c>
      <c r="C1654" s="417">
        <v>4038</v>
      </c>
    </row>
    <row r="1655" spans="1:3" ht="15" customHeight="1">
      <c r="A1655" s="420" t="s">
        <v>23750</v>
      </c>
      <c r="B1655" s="419" t="s">
        <v>23749</v>
      </c>
      <c r="C1655" s="417">
        <v>4139</v>
      </c>
    </row>
    <row r="1656" spans="1:3" s="524" customFormat="1" ht="15" customHeight="1">
      <c r="A1656" s="420" t="s">
        <v>23748</v>
      </c>
      <c r="B1656" s="419" t="s">
        <v>23747</v>
      </c>
      <c r="C1656" s="417">
        <v>4139</v>
      </c>
    </row>
    <row r="1657" spans="1:3" ht="15" customHeight="1">
      <c r="A1657" s="420" t="s">
        <v>23746</v>
      </c>
      <c r="B1657" s="419" t="s">
        <v>23745</v>
      </c>
      <c r="C1657" s="417">
        <v>4100</v>
      </c>
    </row>
    <row r="1658" spans="1:3" ht="15" customHeight="1">
      <c r="A1658" s="420" t="s">
        <v>23744</v>
      </c>
      <c r="B1658" s="512" t="s">
        <v>23743</v>
      </c>
      <c r="C1658" s="417">
        <v>6100</v>
      </c>
    </row>
    <row r="1659" spans="1:3" ht="15" customHeight="1">
      <c r="A1659" s="420" t="s">
        <v>23742</v>
      </c>
      <c r="B1659" s="419" t="s">
        <v>23741</v>
      </c>
      <c r="C1659" s="417">
        <v>6600</v>
      </c>
    </row>
    <row r="1660" spans="1:3" s="524" customFormat="1" ht="15" customHeight="1">
      <c r="A1660" s="409" t="s">
        <v>22081</v>
      </c>
      <c r="B1660" s="419" t="s">
        <v>23740</v>
      </c>
      <c r="C1660" s="416">
        <v>246</v>
      </c>
    </row>
    <row r="1661" spans="1:3" s="524" customFormat="1" ht="15" customHeight="1">
      <c r="A1661" s="409" t="s">
        <v>22082</v>
      </c>
      <c r="B1661" s="419" t="s">
        <v>23739</v>
      </c>
      <c r="C1661" s="416">
        <v>89</v>
      </c>
    </row>
    <row r="1662" spans="1:3" s="524" customFormat="1" ht="15" customHeight="1">
      <c r="A1662" s="409" t="s">
        <v>22083</v>
      </c>
      <c r="B1662" s="419" t="s">
        <v>23738</v>
      </c>
      <c r="C1662" s="416">
        <v>696</v>
      </c>
    </row>
    <row r="1663" spans="1:3" s="524" customFormat="1" ht="15" customHeight="1">
      <c r="A1663" s="409" t="s">
        <v>23737</v>
      </c>
      <c r="B1663" s="419" t="s">
        <v>23736</v>
      </c>
      <c r="C1663" s="416">
        <v>1180</v>
      </c>
    </row>
    <row r="1664" spans="1:3" ht="15" customHeight="1">
      <c r="A1664" s="409" t="s">
        <v>23735</v>
      </c>
      <c r="B1664" s="419" t="s">
        <v>23734</v>
      </c>
      <c r="C1664" s="416">
        <v>1157</v>
      </c>
    </row>
    <row r="1665" spans="1:3" ht="15" customHeight="1">
      <c r="A1665" s="409" t="s">
        <v>23733</v>
      </c>
      <c r="B1665" s="419" t="s">
        <v>23732</v>
      </c>
      <c r="C1665" s="416">
        <v>284</v>
      </c>
    </row>
    <row r="1666" spans="1:3" ht="15" customHeight="1">
      <c r="A1666" s="409" t="s">
        <v>23731</v>
      </c>
      <c r="B1666" s="419" t="s">
        <v>23730</v>
      </c>
      <c r="C1666" s="416">
        <v>284</v>
      </c>
    </row>
    <row r="1667" spans="1:3" ht="15" customHeight="1">
      <c r="A1667" s="521" t="s">
        <v>23729</v>
      </c>
      <c r="B1667" s="491" t="s">
        <v>23728</v>
      </c>
      <c r="C1667" s="416">
        <v>1523</v>
      </c>
    </row>
    <row r="1668" spans="1:3" ht="15" customHeight="1">
      <c r="A1668" s="521" t="s">
        <v>23727</v>
      </c>
      <c r="B1668" s="491" t="s">
        <v>23726</v>
      </c>
      <c r="C1668" s="416">
        <v>1523</v>
      </c>
    </row>
    <row r="1669" spans="1:3" ht="15" customHeight="1">
      <c r="A1669" s="472" t="s">
        <v>23725</v>
      </c>
      <c r="B1669" s="419" t="s">
        <v>23724</v>
      </c>
      <c r="C1669" s="416">
        <v>1325</v>
      </c>
    </row>
    <row r="1670" spans="1:3" s="524" customFormat="1" ht="15" customHeight="1">
      <c r="A1670" s="472" t="s">
        <v>23723</v>
      </c>
      <c r="B1670" s="419" t="s">
        <v>23722</v>
      </c>
      <c r="C1670" s="416">
        <v>1325</v>
      </c>
    </row>
    <row r="1671" spans="1:3" s="524" customFormat="1" ht="15" customHeight="1">
      <c r="A1671" s="420" t="s">
        <v>23721</v>
      </c>
      <c r="B1671" s="419" t="s">
        <v>23720</v>
      </c>
      <c r="C1671" s="417">
        <v>1760</v>
      </c>
    </row>
    <row r="1672" spans="1:3" ht="15" customHeight="1">
      <c r="A1672" s="420" t="s">
        <v>23719</v>
      </c>
      <c r="B1672" s="419" t="s">
        <v>23718</v>
      </c>
      <c r="C1672" s="417">
        <v>1760</v>
      </c>
    </row>
    <row r="1673" spans="1:3" ht="15" customHeight="1">
      <c r="A1673" s="409" t="s">
        <v>22084</v>
      </c>
      <c r="B1673" s="419" t="s">
        <v>23717</v>
      </c>
      <c r="C1673" s="416">
        <v>3460</v>
      </c>
    </row>
    <row r="1674" spans="1:3" ht="15" customHeight="1">
      <c r="A1674" s="409" t="s">
        <v>22085</v>
      </c>
      <c r="B1674" s="419" t="s">
        <v>23717</v>
      </c>
      <c r="C1674" s="416">
        <v>2450</v>
      </c>
    </row>
    <row r="1675" spans="1:3" ht="15" customHeight="1">
      <c r="A1675" s="409" t="s">
        <v>22086</v>
      </c>
      <c r="B1675" s="419" t="s">
        <v>23716</v>
      </c>
      <c r="C1675" s="416">
        <v>660</v>
      </c>
    </row>
    <row r="1676" spans="1:3" ht="15" customHeight="1">
      <c r="A1676" s="420" t="s">
        <v>23715</v>
      </c>
      <c r="B1676" s="419" t="s">
        <v>23714</v>
      </c>
      <c r="C1676" s="417">
        <v>249</v>
      </c>
    </row>
    <row r="1677" spans="1:3" ht="15" customHeight="1">
      <c r="A1677" s="409" t="s">
        <v>22087</v>
      </c>
      <c r="B1677" s="419" t="s">
        <v>23713</v>
      </c>
      <c r="C1677" s="416">
        <v>365</v>
      </c>
    </row>
    <row r="1678" spans="1:3" ht="15" customHeight="1">
      <c r="A1678" s="409" t="s">
        <v>22089</v>
      </c>
      <c r="B1678" s="419" t="s">
        <v>23712</v>
      </c>
      <c r="C1678" s="416">
        <v>490</v>
      </c>
    </row>
    <row r="1679" spans="1:3" ht="15" customHeight="1">
      <c r="A1679" s="455" t="s">
        <v>22090</v>
      </c>
      <c r="B1679" s="523" t="s">
        <v>23711</v>
      </c>
      <c r="C1679" s="416">
        <v>969</v>
      </c>
    </row>
    <row r="1680" spans="1:3" ht="15" customHeight="1">
      <c r="A1680" s="522" t="s">
        <v>22069</v>
      </c>
      <c r="B1680" s="469" t="s">
        <v>23710</v>
      </c>
      <c r="C1680" s="416">
        <v>5118</v>
      </c>
    </row>
    <row r="1681" spans="1:3" ht="15" customHeight="1">
      <c r="A1681" s="522" t="s">
        <v>23709</v>
      </c>
      <c r="B1681" s="469" t="s">
        <v>23708</v>
      </c>
      <c r="C1681" s="416">
        <v>5118</v>
      </c>
    </row>
    <row r="1682" spans="1:3" ht="15" customHeight="1">
      <c r="A1682" s="522" t="s">
        <v>23707</v>
      </c>
      <c r="B1682" s="469" t="s">
        <v>23706</v>
      </c>
      <c r="C1682" s="416">
        <v>6481</v>
      </c>
    </row>
    <row r="1683" spans="1:3" ht="15" customHeight="1">
      <c r="A1683" s="522" t="s">
        <v>23705</v>
      </c>
      <c r="B1683" s="469" t="s">
        <v>23704</v>
      </c>
      <c r="C1683" s="416">
        <v>6481</v>
      </c>
    </row>
    <row r="1684" spans="1:3" ht="15" customHeight="1">
      <c r="A1684" s="472" t="s">
        <v>23703</v>
      </c>
      <c r="B1684" s="419" t="s">
        <v>23702</v>
      </c>
      <c r="C1684" s="416">
        <v>6471</v>
      </c>
    </row>
    <row r="1685" spans="1:3" ht="15" customHeight="1">
      <c r="A1685" s="472" t="s">
        <v>23701</v>
      </c>
      <c r="B1685" s="419" t="s">
        <v>23700</v>
      </c>
      <c r="C1685" s="416">
        <v>6471</v>
      </c>
    </row>
    <row r="1686" spans="1:3" ht="15" customHeight="1">
      <c r="A1686" s="522" t="s">
        <v>23699</v>
      </c>
      <c r="B1686" s="469" t="s">
        <v>23698</v>
      </c>
      <c r="C1686" s="417">
        <v>6695</v>
      </c>
    </row>
    <row r="1687" spans="1:3" ht="15" customHeight="1">
      <c r="A1687" s="522" t="s">
        <v>23697</v>
      </c>
      <c r="B1687" s="469" t="s">
        <v>23696</v>
      </c>
      <c r="C1687" s="417">
        <v>6695</v>
      </c>
    </row>
    <row r="1688" spans="1:3" ht="15" customHeight="1">
      <c r="A1688" s="472" t="s">
        <v>23695</v>
      </c>
      <c r="B1688" s="419" t="s">
        <v>23694</v>
      </c>
      <c r="C1688" s="417">
        <v>6695</v>
      </c>
    </row>
    <row r="1689" spans="1:3" ht="15" customHeight="1">
      <c r="A1689" s="472" t="s">
        <v>23693</v>
      </c>
      <c r="B1689" s="419" t="s">
        <v>23692</v>
      </c>
      <c r="C1689" s="417">
        <v>6695</v>
      </c>
    </row>
    <row r="1690" spans="1:3" ht="15" customHeight="1">
      <c r="A1690" s="522" t="s">
        <v>23691</v>
      </c>
      <c r="B1690" s="469" t="s">
        <v>23690</v>
      </c>
      <c r="C1690" s="416">
        <v>5118</v>
      </c>
    </row>
    <row r="1691" spans="1:3" ht="15" customHeight="1">
      <c r="A1691" s="522" t="s">
        <v>23689</v>
      </c>
      <c r="B1691" s="469" t="s">
        <v>23688</v>
      </c>
      <c r="C1691" s="416">
        <v>5118</v>
      </c>
    </row>
    <row r="1692" spans="1:3" ht="15" customHeight="1">
      <c r="A1692" s="522" t="s">
        <v>23687</v>
      </c>
      <c r="B1692" s="469" t="s">
        <v>23686</v>
      </c>
      <c r="C1692" s="416">
        <v>6292</v>
      </c>
    </row>
    <row r="1693" spans="1:3" ht="15" customHeight="1">
      <c r="A1693" s="522" t="s">
        <v>23685</v>
      </c>
      <c r="B1693" s="469" t="s">
        <v>23684</v>
      </c>
      <c r="C1693" s="416">
        <v>6292</v>
      </c>
    </row>
    <row r="1694" spans="1:3" ht="15" customHeight="1">
      <c r="A1694" s="420" t="s">
        <v>23683</v>
      </c>
      <c r="B1694" s="419" t="s">
        <v>23682</v>
      </c>
      <c r="C1694" s="418">
        <v>8052</v>
      </c>
    </row>
    <row r="1695" spans="1:3" ht="15" customHeight="1">
      <c r="A1695" s="420" t="s">
        <v>23681</v>
      </c>
      <c r="B1695" s="419" t="s">
        <v>23680</v>
      </c>
      <c r="C1695" s="418">
        <v>8052</v>
      </c>
    </row>
    <row r="1696" spans="1:3" ht="15" customHeight="1">
      <c r="A1696" s="409" t="s">
        <v>23679</v>
      </c>
      <c r="B1696" s="419" t="s">
        <v>23678</v>
      </c>
      <c r="C1696" s="416">
        <v>5310</v>
      </c>
    </row>
    <row r="1697" spans="1:3" ht="15" customHeight="1">
      <c r="A1697" s="409" t="s">
        <v>23677</v>
      </c>
      <c r="B1697" s="419" t="s">
        <v>23676</v>
      </c>
      <c r="C1697" s="416">
        <v>5310</v>
      </c>
    </row>
    <row r="1698" spans="1:3" ht="15" customHeight="1">
      <c r="A1698" s="409" t="s">
        <v>22071</v>
      </c>
      <c r="B1698" s="419" t="s">
        <v>23675</v>
      </c>
      <c r="C1698" s="416">
        <v>5128</v>
      </c>
    </row>
    <row r="1699" spans="1:3" ht="15" customHeight="1">
      <c r="A1699" s="409" t="s">
        <v>23674</v>
      </c>
      <c r="B1699" s="419" t="s">
        <v>23673</v>
      </c>
      <c r="C1699" s="416">
        <v>5128</v>
      </c>
    </row>
    <row r="1700" spans="1:3" ht="15" customHeight="1">
      <c r="A1700" s="409" t="s">
        <v>23672</v>
      </c>
      <c r="B1700" s="419" t="s">
        <v>23671</v>
      </c>
      <c r="C1700" s="416">
        <v>6481</v>
      </c>
    </row>
    <row r="1701" spans="1:3" ht="15" customHeight="1">
      <c r="A1701" s="409" t="s">
        <v>23670</v>
      </c>
      <c r="B1701" s="419" t="s">
        <v>23669</v>
      </c>
      <c r="C1701" s="416">
        <v>6481</v>
      </c>
    </row>
    <row r="1702" spans="1:3" ht="15" customHeight="1">
      <c r="A1702" s="453" t="s">
        <v>23668</v>
      </c>
      <c r="B1702" s="510" t="s">
        <v>23667</v>
      </c>
      <c r="C1702" s="416">
        <v>6944</v>
      </c>
    </row>
    <row r="1703" spans="1:3" ht="15" customHeight="1">
      <c r="A1703" s="453" t="s">
        <v>23666</v>
      </c>
      <c r="B1703" s="510" t="s">
        <v>23665</v>
      </c>
      <c r="C1703" s="416">
        <v>6944</v>
      </c>
    </row>
    <row r="1704" spans="1:3" ht="15" customHeight="1">
      <c r="A1704" s="420" t="s">
        <v>23664</v>
      </c>
      <c r="B1704" s="419" t="s">
        <v>23663</v>
      </c>
      <c r="C1704" s="417">
        <v>8240</v>
      </c>
    </row>
    <row r="1705" spans="1:3" ht="15" customHeight="1">
      <c r="A1705" s="420" t="s">
        <v>23662</v>
      </c>
      <c r="B1705" s="419" t="s">
        <v>23661</v>
      </c>
      <c r="C1705" s="417">
        <v>8240</v>
      </c>
    </row>
    <row r="1706" spans="1:3" ht="15" customHeight="1">
      <c r="A1706" s="420" t="s">
        <v>23660</v>
      </c>
      <c r="B1706" s="419" t="s">
        <v>23659</v>
      </c>
      <c r="C1706" s="416">
        <v>7146</v>
      </c>
    </row>
    <row r="1707" spans="1:3" ht="15" customHeight="1">
      <c r="A1707" s="420" t="s">
        <v>23658</v>
      </c>
      <c r="B1707" s="419" t="s">
        <v>23657</v>
      </c>
      <c r="C1707" s="416">
        <v>7146</v>
      </c>
    </row>
    <row r="1708" spans="1:3" ht="15" customHeight="1">
      <c r="A1708" s="521" t="s">
        <v>23656</v>
      </c>
      <c r="B1708" s="491" t="s">
        <v>23655</v>
      </c>
      <c r="C1708" s="416">
        <v>8241</v>
      </c>
    </row>
    <row r="1709" spans="1:3" ht="15" customHeight="1">
      <c r="A1709" s="521" t="s">
        <v>23654</v>
      </c>
      <c r="B1709" s="491" t="s">
        <v>23653</v>
      </c>
      <c r="C1709" s="416">
        <v>8241</v>
      </c>
    </row>
    <row r="1710" spans="1:3" ht="15" customHeight="1">
      <c r="A1710" s="409" t="s">
        <v>22067</v>
      </c>
      <c r="B1710" s="419" t="s">
        <v>23652</v>
      </c>
      <c r="C1710" s="416">
        <v>5217</v>
      </c>
    </row>
    <row r="1711" spans="1:3" ht="15" customHeight="1">
      <c r="A1711" s="409" t="s">
        <v>23651</v>
      </c>
      <c r="B1711" s="419" t="s">
        <v>23650</v>
      </c>
      <c r="C1711" s="416">
        <v>5217</v>
      </c>
    </row>
    <row r="1712" spans="1:3" ht="15" customHeight="1">
      <c r="A1712" s="453" t="s">
        <v>22065</v>
      </c>
      <c r="B1712" s="454" t="s">
        <v>23649</v>
      </c>
      <c r="C1712" s="416">
        <v>6921</v>
      </c>
    </row>
    <row r="1713" spans="1:3" ht="15" customHeight="1">
      <c r="A1713" s="453" t="s">
        <v>23648</v>
      </c>
      <c r="B1713" s="454" t="s">
        <v>23647</v>
      </c>
      <c r="C1713" s="416">
        <v>6921</v>
      </c>
    </row>
    <row r="1714" spans="1:3" ht="15" customHeight="1">
      <c r="A1714" s="521" t="s">
        <v>23646</v>
      </c>
      <c r="B1714" s="419" t="s">
        <v>23645</v>
      </c>
      <c r="C1714" s="416">
        <v>6921</v>
      </c>
    </row>
    <row r="1715" spans="1:3" ht="15" customHeight="1">
      <c r="A1715" s="521" t="s">
        <v>23644</v>
      </c>
      <c r="B1715" s="419" t="s">
        <v>23643</v>
      </c>
      <c r="C1715" s="416">
        <v>6911</v>
      </c>
    </row>
    <row r="1716" spans="1:3" ht="15" customHeight="1">
      <c r="A1716" s="521" t="s">
        <v>23642</v>
      </c>
      <c r="B1716" s="491" t="s">
        <v>23641</v>
      </c>
      <c r="C1716" s="416">
        <v>7118</v>
      </c>
    </row>
    <row r="1717" spans="1:3" ht="15" customHeight="1">
      <c r="A1717" s="521" t="s">
        <v>23640</v>
      </c>
      <c r="B1717" s="491" t="s">
        <v>23639</v>
      </c>
      <c r="C1717" s="416">
        <v>7118</v>
      </c>
    </row>
    <row r="1718" spans="1:3" ht="15" customHeight="1">
      <c r="A1718" s="521" t="s">
        <v>23638</v>
      </c>
      <c r="B1718" s="491" t="s">
        <v>23637</v>
      </c>
      <c r="C1718" s="417">
        <v>7991</v>
      </c>
    </row>
    <row r="1719" spans="1:3" ht="15" customHeight="1">
      <c r="A1719" s="521" t="s">
        <v>23636</v>
      </c>
      <c r="B1719" s="491" t="s">
        <v>23635</v>
      </c>
      <c r="C1719" s="417">
        <v>7991</v>
      </c>
    </row>
    <row r="1720" spans="1:3" ht="15" customHeight="1">
      <c r="A1720" s="420" t="s">
        <v>23634</v>
      </c>
      <c r="B1720" s="419" t="s">
        <v>23633</v>
      </c>
      <c r="C1720" s="418">
        <v>6950</v>
      </c>
    </row>
    <row r="1721" spans="1:3" ht="15" customHeight="1">
      <c r="A1721" s="420" t="s">
        <v>23632</v>
      </c>
      <c r="B1721" s="419" t="s">
        <v>23631</v>
      </c>
      <c r="C1721" s="418">
        <v>6950</v>
      </c>
    </row>
    <row r="1722" spans="1:3" ht="15" customHeight="1">
      <c r="A1722" s="420" t="s">
        <v>23630</v>
      </c>
      <c r="B1722" s="419" t="s">
        <v>23629</v>
      </c>
      <c r="C1722" s="418">
        <v>8100</v>
      </c>
    </row>
    <row r="1723" spans="1:3" ht="15" customHeight="1">
      <c r="A1723" s="420" t="s">
        <v>23628</v>
      </c>
      <c r="B1723" s="419" t="s">
        <v>23627</v>
      </c>
      <c r="C1723" s="418">
        <v>8100</v>
      </c>
    </row>
    <row r="1724" spans="1:3" ht="15" customHeight="1">
      <c r="A1724" s="420" t="s">
        <v>23626</v>
      </c>
      <c r="B1724" s="442" t="s">
        <v>23625</v>
      </c>
      <c r="C1724" s="417">
        <v>599</v>
      </c>
    </row>
    <row r="1725" spans="1:3" ht="15" customHeight="1">
      <c r="A1725" s="420" t="s">
        <v>23624</v>
      </c>
      <c r="B1725" s="442" t="s">
        <v>23623</v>
      </c>
      <c r="C1725" s="417">
        <v>599</v>
      </c>
    </row>
    <row r="1726" spans="1:3" ht="15" customHeight="1">
      <c r="A1726" s="420" t="s">
        <v>23622</v>
      </c>
      <c r="B1726" s="442" t="s">
        <v>23621</v>
      </c>
      <c r="C1726" s="417">
        <v>599</v>
      </c>
    </row>
    <row r="1727" spans="1:3" ht="15" customHeight="1">
      <c r="A1727" s="420" t="s">
        <v>23620</v>
      </c>
      <c r="B1727" s="512" t="s">
        <v>23619</v>
      </c>
      <c r="C1727" s="417">
        <v>583</v>
      </c>
    </row>
    <row r="1728" spans="1:3" ht="15" customHeight="1">
      <c r="A1728" s="409" t="s">
        <v>23618</v>
      </c>
      <c r="B1728" s="491" t="s">
        <v>23617</v>
      </c>
      <c r="C1728" s="416">
        <v>718</v>
      </c>
    </row>
    <row r="1729" spans="1:3" ht="15" customHeight="1">
      <c r="A1729" s="409" t="s">
        <v>23616</v>
      </c>
      <c r="B1729" s="491" t="s">
        <v>23615</v>
      </c>
      <c r="C1729" s="416">
        <v>859</v>
      </c>
    </row>
    <row r="1730" spans="1:3" ht="15" customHeight="1">
      <c r="A1730" s="520" t="s">
        <v>23614</v>
      </c>
      <c r="B1730" s="510" t="s">
        <v>23613</v>
      </c>
      <c r="C1730" s="416">
        <v>596</v>
      </c>
    </row>
    <row r="1731" spans="1:3" ht="15" customHeight="1">
      <c r="A1731" s="520" t="s">
        <v>23612</v>
      </c>
      <c r="B1731" s="510" t="s">
        <v>23611</v>
      </c>
      <c r="C1731" s="416">
        <v>696</v>
      </c>
    </row>
    <row r="1732" spans="1:3" ht="15" customHeight="1">
      <c r="A1732" s="520" t="s">
        <v>23610</v>
      </c>
      <c r="B1732" s="510" t="s">
        <v>23609</v>
      </c>
      <c r="C1732" s="416">
        <v>709</v>
      </c>
    </row>
    <row r="1733" spans="1:3" ht="15" customHeight="1">
      <c r="A1733" s="520" t="s">
        <v>23608</v>
      </c>
      <c r="B1733" s="510" t="s">
        <v>23607</v>
      </c>
      <c r="C1733" s="416">
        <v>773</v>
      </c>
    </row>
    <row r="1734" spans="1:3" ht="15" customHeight="1">
      <c r="A1734" s="420" t="s">
        <v>23606</v>
      </c>
      <c r="B1734" s="86" t="s">
        <v>23605</v>
      </c>
      <c r="C1734" s="418">
        <v>58</v>
      </c>
    </row>
    <row r="1735" spans="1:3" s="486" customFormat="1" ht="15" customHeight="1">
      <c r="A1735" s="420" t="s">
        <v>23604</v>
      </c>
      <c r="B1735" s="419" t="s">
        <v>23603</v>
      </c>
      <c r="C1735" s="418">
        <v>2</v>
      </c>
    </row>
    <row r="1736" spans="1:3" s="486" customFormat="1" ht="15" customHeight="1">
      <c r="A1736" s="420" t="s">
        <v>23602</v>
      </c>
      <c r="B1736" s="519" t="s">
        <v>23601</v>
      </c>
      <c r="C1736" s="518">
        <v>303</v>
      </c>
    </row>
    <row r="1737" spans="1:3" s="486" customFormat="1" ht="15" customHeight="1">
      <c r="A1737" s="420" t="s">
        <v>23600</v>
      </c>
      <c r="B1737" s="519" t="s">
        <v>23599</v>
      </c>
      <c r="C1737" s="518">
        <v>304</v>
      </c>
    </row>
    <row r="1738" spans="1:3" s="486" customFormat="1" ht="15" customHeight="1">
      <c r="A1738" s="420" t="s">
        <v>23598</v>
      </c>
      <c r="B1738" s="519" t="s">
        <v>23597</v>
      </c>
      <c r="C1738" s="518">
        <v>324</v>
      </c>
    </row>
    <row r="1739" spans="1:3" s="486" customFormat="1" ht="15" customHeight="1">
      <c r="A1739" s="409" t="s">
        <v>23596</v>
      </c>
      <c r="B1739" s="516" t="s">
        <v>23595</v>
      </c>
      <c r="C1739" s="416">
        <v>251</v>
      </c>
    </row>
    <row r="1740" spans="1:3" s="486" customFormat="1" ht="15" customHeight="1">
      <c r="A1740" s="409" t="s">
        <v>23594</v>
      </c>
      <c r="B1740" s="516" t="s">
        <v>23593</v>
      </c>
      <c r="C1740" s="416">
        <v>303</v>
      </c>
    </row>
    <row r="1741" spans="1:3" s="486" customFormat="1" ht="15" customHeight="1">
      <c r="A1741" s="409" t="s">
        <v>23592</v>
      </c>
      <c r="B1741" s="516" t="s">
        <v>23591</v>
      </c>
      <c r="C1741" s="416">
        <v>307</v>
      </c>
    </row>
    <row r="1742" spans="1:3" s="486" customFormat="1" ht="15" customHeight="1">
      <c r="A1742" s="409" t="s">
        <v>23590</v>
      </c>
      <c r="B1742" s="516" t="s">
        <v>23589</v>
      </c>
      <c r="C1742" s="416">
        <v>308</v>
      </c>
    </row>
    <row r="1743" spans="1:3" s="486" customFormat="1" ht="15" customHeight="1">
      <c r="A1743" s="409" t="s">
        <v>23588</v>
      </c>
      <c r="B1743" s="516" t="s">
        <v>23587</v>
      </c>
      <c r="C1743" s="416">
        <v>261</v>
      </c>
    </row>
    <row r="1744" spans="1:3" s="486" customFormat="1" ht="15" customHeight="1">
      <c r="A1744" s="409" t="s">
        <v>23586</v>
      </c>
      <c r="B1744" s="516" t="s">
        <v>23585</v>
      </c>
      <c r="C1744" s="416">
        <v>264</v>
      </c>
    </row>
    <row r="1745" spans="1:3" s="486" customFormat="1" ht="15" customHeight="1">
      <c r="A1745" s="409" t="s">
        <v>23584</v>
      </c>
      <c r="B1745" s="516" t="s">
        <v>23583</v>
      </c>
      <c r="C1745" s="416">
        <v>559</v>
      </c>
    </row>
    <row r="1746" spans="1:3" s="486" customFormat="1" ht="15" customHeight="1">
      <c r="A1746" s="409" t="s">
        <v>23582</v>
      </c>
      <c r="B1746" s="516" t="s">
        <v>23581</v>
      </c>
      <c r="C1746" s="416">
        <v>559</v>
      </c>
    </row>
    <row r="1747" spans="1:3" s="486" customFormat="1" ht="15" customHeight="1">
      <c r="A1747" s="409" t="s">
        <v>23580</v>
      </c>
      <c r="B1747" s="516" t="s">
        <v>23579</v>
      </c>
      <c r="C1747" s="416">
        <v>604</v>
      </c>
    </row>
    <row r="1748" spans="1:3" s="486" customFormat="1" ht="15" customHeight="1">
      <c r="A1748" s="409" t="s">
        <v>23578</v>
      </c>
      <c r="B1748" s="516" t="s">
        <v>23577</v>
      </c>
      <c r="C1748" s="416">
        <v>604</v>
      </c>
    </row>
    <row r="1749" spans="1:3" s="486" customFormat="1" ht="15" customHeight="1">
      <c r="A1749" s="409" t="s">
        <v>23576</v>
      </c>
      <c r="B1749" s="516" t="s">
        <v>23575</v>
      </c>
      <c r="C1749" s="416">
        <v>601</v>
      </c>
    </row>
    <row r="1750" spans="1:3" s="486" customFormat="1" ht="15" customHeight="1">
      <c r="A1750" s="409" t="s">
        <v>23574</v>
      </c>
      <c r="B1750" s="516" t="s">
        <v>23573</v>
      </c>
      <c r="C1750" s="416">
        <v>601</v>
      </c>
    </row>
    <row r="1751" spans="1:3" s="486" customFormat="1" ht="15" customHeight="1">
      <c r="A1751" s="409" t="s">
        <v>23572</v>
      </c>
      <c r="B1751" s="517" t="s">
        <v>23571</v>
      </c>
      <c r="C1751" s="416">
        <v>628</v>
      </c>
    </row>
    <row r="1752" spans="1:3" s="486" customFormat="1" ht="15" customHeight="1">
      <c r="A1752" s="409" t="s">
        <v>23570</v>
      </c>
      <c r="B1752" s="517" t="s">
        <v>23569</v>
      </c>
      <c r="C1752" s="416">
        <v>628</v>
      </c>
    </row>
    <row r="1753" spans="1:3" s="486" customFormat="1" ht="15" customHeight="1">
      <c r="A1753" s="409" t="s">
        <v>23568</v>
      </c>
      <c r="B1753" s="516" t="s">
        <v>23567</v>
      </c>
      <c r="C1753" s="416">
        <v>294</v>
      </c>
    </row>
    <row r="1754" spans="1:3" s="486" customFormat="1" ht="15" customHeight="1">
      <c r="A1754" s="487" t="s">
        <v>23566</v>
      </c>
      <c r="B1754" s="516" t="s">
        <v>23565</v>
      </c>
      <c r="C1754" s="416">
        <v>286</v>
      </c>
    </row>
    <row r="1755" spans="1:3" s="486" customFormat="1" ht="15" customHeight="1">
      <c r="A1755" s="487" t="s">
        <v>23564</v>
      </c>
      <c r="B1755" s="516" t="s">
        <v>23563</v>
      </c>
      <c r="C1755" s="416">
        <v>293</v>
      </c>
    </row>
    <row r="1756" spans="1:3" s="486" customFormat="1" ht="15" customHeight="1">
      <c r="A1756" s="409" t="s">
        <v>23562</v>
      </c>
      <c r="B1756" s="430" t="s">
        <v>23561</v>
      </c>
      <c r="C1756" s="416">
        <v>238</v>
      </c>
    </row>
    <row r="1757" spans="1:3" s="486" customFormat="1" ht="15" customHeight="1">
      <c r="A1757" s="420" t="s">
        <v>23560</v>
      </c>
      <c r="B1757" s="419" t="s">
        <v>23559</v>
      </c>
      <c r="C1757" s="417">
        <v>238</v>
      </c>
    </row>
    <row r="1758" spans="1:3" s="486" customFormat="1" ht="15" customHeight="1">
      <c r="A1758" s="487" t="s">
        <v>23558</v>
      </c>
      <c r="B1758" s="430" t="s">
        <v>23557</v>
      </c>
      <c r="C1758" s="416">
        <v>701</v>
      </c>
    </row>
    <row r="1759" spans="1:3" s="486" customFormat="1" ht="15" customHeight="1">
      <c r="A1759" s="487" t="s">
        <v>23556</v>
      </c>
      <c r="B1759" s="430" t="s">
        <v>23555</v>
      </c>
      <c r="C1759" s="416">
        <v>701</v>
      </c>
    </row>
    <row r="1760" spans="1:3" s="486" customFormat="1" ht="15" customHeight="1">
      <c r="A1760" s="487" t="s">
        <v>23554</v>
      </c>
      <c r="B1760" s="430" t="s">
        <v>23553</v>
      </c>
      <c r="C1760" s="416">
        <v>326</v>
      </c>
    </row>
    <row r="1761" spans="1:3" s="486" customFormat="1" ht="15" customHeight="1">
      <c r="A1761" s="487" t="s">
        <v>23552</v>
      </c>
      <c r="B1761" s="516" t="s">
        <v>23551</v>
      </c>
      <c r="C1761" s="416">
        <v>307</v>
      </c>
    </row>
    <row r="1762" spans="1:3" s="486" customFormat="1" ht="15" customHeight="1">
      <c r="A1762" s="487" t="s">
        <v>23550</v>
      </c>
      <c r="B1762" s="516" t="s">
        <v>23549</v>
      </c>
      <c r="C1762" s="416">
        <v>555</v>
      </c>
    </row>
    <row r="1763" spans="1:3" s="486" customFormat="1" ht="15" customHeight="1">
      <c r="A1763" s="487" t="s">
        <v>23548</v>
      </c>
      <c r="B1763" s="516" t="s">
        <v>23547</v>
      </c>
      <c r="C1763" s="416">
        <v>555</v>
      </c>
    </row>
    <row r="1764" spans="1:3" s="486" customFormat="1" ht="15" customHeight="1">
      <c r="A1764" s="487" t="s">
        <v>23546</v>
      </c>
      <c r="B1764" s="430" t="s">
        <v>23545</v>
      </c>
      <c r="C1764" s="416">
        <v>424</v>
      </c>
    </row>
    <row r="1765" spans="1:3" s="486" customFormat="1" ht="15" customHeight="1">
      <c r="A1765" s="487" t="s">
        <v>23544</v>
      </c>
      <c r="B1765" s="430" t="s">
        <v>23543</v>
      </c>
      <c r="C1765" s="416">
        <v>416</v>
      </c>
    </row>
    <row r="1766" spans="1:3" s="486" customFormat="1" ht="15" customHeight="1">
      <c r="A1766" s="487" t="s">
        <v>23542</v>
      </c>
      <c r="B1766" s="430" t="s">
        <v>23541</v>
      </c>
      <c r="C1766" s="416">
        <v>58</v>
      </c>
    </row>
    <row r="1767" spans="1:3" s="486" customFormat="1" ht="15" customHeight="1">
      <c r="A1767" s="487" t="s">
        <v>23540</v>
      </c>
      <c r="B1767" s="510" t="s">
        <v>23539</v>
      </c>
      <c r="C1767" s="416">
        <v>155</v>
      </c>
    </row>
    <row r="1768" spans="1:3" s="486" customFormat="1" ht="15" customHeight="1">
      <c r="A1768" s="487" t="s">
        <v>23538</v>
      </c>
      <c r="B1768" s="516" t="s">
        <v>23537</v>
      </c>
      <c r="C1768" s="416">
        <v>216</v>
      </c>
    </row>
    <row r="1769" spans="1:3" s="486" customFormat="1" ht="15" customHeight="1">
      <c r="A1769" s="487" t="s">
        <v>23536</v>
      </c>
      <c r="B1769" s="516" t="s">
        <v>23535</v>
      </c>
      <c r="C1769" s="416">
        <v>147</v>
      </c>
    </row>
    <row r="1770" spans="1:3" s="486" customFormat="1" ht="15" customHeight="1">
      <c r="A1770" s="420" t="s">
        <v>23534</v>
      </c>
      <c r="B1770" s="419" t="s">
        <v>23533</v>
      </c>
      <c r="C1770" s="417">
        <v>248</v>
      </c>
    </row>
    <row r="1771" spans="1:3" s="486" customFormat="1" ht="15" customHeight="1">
      <c r="A1771" s="487" t="s">
        <v>23532</v>
      </c>
      <c r="B1771" s="516" t="s">
        <v>23531</v>
      </c>
      <c r="C1771" s="416">
        <v>248</v>
      </c>
    </row>
    <row r="1772" spans="1:3" s="486" customFormat="1" ht="15" customHeight="1">
      <c r="A1772" s="487" t="s">
        <v>23530</v>
      </c>
      <c r="B1772" s="430" t="s">
        <v>23529</v>
      </c>
      <c r="C1772" s="416">
        <v>247</v>
      </c>
    </row>
    <row r="1773" spans="1:3" s="486" customFormat="1" ht="15" customHeight="1">
      <c r="A1773" s="487" t="s">
        <v>23528</v>
      </c>
      <c r="B1773" s="430" t="s">
        <v>23527</v>
      </c>
      <c r="C1773" s="416">
        <v>459</v>
      </c>
    </row>
    <row r="1774" spans="1:3" s="486" customFormat="1" ht="15" customHeight="1">
      <c r="A1774" s="487" t="s">
        <v>23526</v>
      </c>
      <c r="B1774" s="430" t="s">
        <v>23525</v>
      </c>
      <c r="C1774" s="416">
        <v>418</v>
      </c>
    </row>
    <row r="1775" spans="1:3" s="486" customFormat="1" ht="15" customHeight="1">
      <c r="A1775" s="487" t="s">
        <v>23524</v>
      </c>
      <c r="B1775" s="430" t="s">
        <v>23523</v>
      </c>
      <c r="C1775" s="416">
        <v>242</v>
      </c>
    </row>
    <row r="1776" spans="1:3" s="486" customFormat="1" ht="15" customHeight="1">
      <c r="A1776" s="409" t="s">
        <v>23522</v>
      </c>
      <c r="B1776" s="510" t="s">
        <v>23521</v>
      </c>
      <c r="C1776" s="417">
        <v>410</v>
      </c>
    </row>
    <row r="1777" spans="1:3" s="486" customFormat="1" ht="15" customHeight="1">
      <c r="A1777" s="409" t="s">
        <v>23520</v>
      </c>
      <c r="B1777" s="510" t="s">
        <v>23519</v>
      </c>
      <c r="C1777" s="417">
        <v>238</v>
      </c>
    </row>
    <row r="1778" spans="1:3" s="486" customFormat="1" ht="15" customHeight="1">
      <c r="A1778" s="420" t="s">
        <v>23518</v>
      </c>
      <c r="B1778" s="419" t="s">
        <v>23517</v>
      </c>
      <c r="C1778" s="417">
        <v>349</v>
      </c>
    </row>
    <row r="1779" spans="1:3" s="486" customFormat="1" ht="15" customHeight="1">
      <c r="A1779" s="420" t="s">
        <v>23516</v>
      </c>
      <c r="B1779" s="419" t="s">
        <v>23515</v>
      </c>
      <c r="C1779" s="417">
        <v>309</v>
      </c>
    </row>
    <row r="1780" spans="1:3" s="486" customFormat="1" ht="15" customHeight="1">
      <c r="A1780" s="515" t="s">
        <v>23514</v>
      </c>
      <c r="B1780" s="514" t="s">
        <v>23513</v>
      </c>
      <c r="C1780" s="441">
        <v>199</v>
      </c>
    </row>
    <row r="1781" spans="1:3" s="486" customFormat="1" ht="15" customHeight="1">
      <c r="A1781" s="515" t="s">
        <v>23512</v>
      </c>
      <c r="B1781" s="514" t="s">
        <v>23511</v>
      </c>
      <c r="C1781" s="441">
        <v>274</v>
      </c>
    </row>
    <row r="1782" spans="1:3" s="486" customFormat="1" ht="15" customHeight="1">
      <c r="A1782" s="420" t="s">
        <v>23510</v>
      </c>
      <c r="B1782" s="513" t="s">
        <v>23509</v>
      </c>
      <c r="C1782" s="417">
        <v>334</v>
      </c>
    </row>
    <row r="1783" spans="1:3" s="486" customFormat="1" ht="15" customHeight="1">
      <c r="A1783" s="420" t="s">
        <v>23508</v>
      </c>
      <c r="B1783" s="513" t="s">
        <v>23507</v>
      </c>
      <c r="C1783" s="417">
        <v>607</v>
      </c>
    </row>
    <row r="1784" spans="1:3" s="486" customFormat="1" ht="15" customHeight="1">
      <c r="A1784" s="420" t="s">
        <v>23506</v>
      </c>
      <c r="B1784" s="513" t="s">
        <v>23505</v>
      </c>
      <c r="C1784" s="417">
        <v>607</v>
      </c>
    </row>
    <row r="1785" spans="1:3" s="486" customFormat="1" ht="15" customHeight="1">
      <c r="A1785" s="420" t="s">
        <v>23504</v>
      </c>
      <c r="B1785" s="513" t="s">
        <v>23503</v>
      </c>
      <c r="C1785" s="417">
        <v>661</v>
      </c>
    </row>
    <row r="1786" spans="1:3" s="486" customFormat="1" ht="15" customHeight="1">
      <c r="A1786" s="440" t="s">
        <v>23502</v>
      </c>
      <c r="B1786" s="513" t="s">
        <v>23501</v>
      </c>
      <c r="C1786" s="439">
        <v>332</v>
      </c>
    </row>
    <row r="1787" spans="1:3" s="486" customFormat="1" ht="15" customHeight="1">
      <c r="A1787" s="440" t="s">
        <v>23500</v>
      </c>
      <c r="B1787" s="513" t="s">
        <v>23499</v>
      </c>
      <c r="C1787" s="439">
        <v>645</v>
      </c>
    </row>
    <row r="1788" spans="1:3" s="486" customFormat="1" ht="15" customHeight="1">
      <c r="A1788" s="440" t="s">
        <v>23498</v>
      </c>
      <c r="B1788" s="513" t="s">
        <v>23497</v>
      </c>
      <c r="C1788" s="439">
        <v>645</v>
      </c>
    </row>
    <row r="1789" spans="1:3" s="486" customFormat="1" ht="15" customHeight="1">
      <c r="A1789" s="440" t="s">
        <v>23496</v>
      </c>
      <c r="B1789" s="419" t="s">
        <v>23495</v>
      </c>
      <c r="C1789" s="417">
        <v>370</v>
      </c>
    </row>
    <row r="1790" spans="1:3" s="486" customFormat="1" ht="15" customHeight="1">
      <c r="A1790" s="440" t="s">
        <v>23494</v>
      </c>
      <c r="B1790" s="419" t="s">
        <v>23493</v>
      </c>
      <c r="C1790" s="417">
        <v>599</v>
      </c>
    </row>
    <row r="1791" spans="1:3" s="486" customFormat="1" ht="15" customHeight="1">
      <c r="A1791" s="440" t="s">
        <v>23492</v>
      </c>
      <c r="B1791" s="419" t="s">
        <v>23491</v>
      </c>
      <c r="C1791" s="417">
        <v>599</v>
      </c>
    </row>
    <row r="1792" spans="1:3" s="486" customFormat="1" ht="15" customHeight="1">
      <c r="A1792" s="420" t="s">
        <v>23490</v>
      </c>
      <c r="B1792" s="419" t="s">
        <v>23489</v>
      </c>
      <c r="C1792" s="417">
        <v>329</v>
      </c>
    </row>
    <row r="1793" spans="1:3" s="486" customFormat="1" ht="15" customHeight="1">
      <c r="A1793" s="420" t="s">
        <v>23488</v>
      </c>
      <c r="B1793" s="419" t="s">
        <v>23486</v>
      </c>
      <c r="C1793" s="417">
        <v>341</v>
      </c>
    </row>
    <row r="1794" spans="1:3" s="486" customFormat="1" ht="15" customHeight="1">
      <c r="A1794" s="420" t="s">
        <v>23487</v>
      </c>
      <c r="B1794" s="419" t="s">
        <v>23486</v>
      </c>
      <c r="C1794" s="417">
        <v>154</v>
      </c>
    </row>
    <row r="1795" spans="1:3" s="486" customFormat="1" ht="15" customHeight="1">
      <c r="A1795" s="398" t="s">
        <v>23485</v>
      </c>
      <c r="B1795" s="445" t="s">
        <v>23483</v>
      </c>
      <c r="C1795" s="417">
        <v>89</v>
      </c>
    </row>
    <row r="1796" spans="1:3" s="486" customFormat="1" ht="15" customHeight="1">
      <c r="A1796" s="398" t="s">
        <v>23484</v>
      </c>
      <c r="B1796" s="445" t="s">
        <v>23483</v>
      </c>
      <c r="C1796" s="417">
        <v>89</v>
      </c>
    </row>
    <row r="1797" spans="1:3" s="486" customFormat="1" ht="15" customHeight="1">
      <c r="A1797" s="409" t="s">
        <v>23482</v>
      </c>
      <c r="B1797" s="445" t="s">
        <v>23481</v>
      </c>
      <c r="C1797" s="416">
        <v>45</v>
      </c>
    </row>
    <row r="1798" spans="1:3" s="486" customFormat="1" ht="15" customHeight="1">
      <c r="A1798" s="409" t="s">
        <v>23480</v>
      </c>
      <c r="B1798" s="419" t="s">
        <v>23479</v>
      </c>
      <c r="C1798" s="416">
        <v>45</v>
      </c>
    </row>
    <row r="1799" spans="1:3" s="486" customFormat="1" ht="15" customHeight="1">
      <c r="A1799" s="409" t="s">
        <v>23478</v>
      </c>
      <c r="B1799" s="419" t="s">
        <v>23477</v>
      </c>
      <c r="C1799" s="416">
        <v>46</v>
      </c>
    </row>
    <row r="1800" spans="1:3" s="486" customFormat="1" ht="15" customHeight="1">
      <c r="A1800" s="420" t="s">
        <v>23476</v>
      </c>
      <c r="B1800" s="419" t="s">
        <v>23475</v>
      </c>
      <c r="C1800" s="417">
        <v>1728</v>
      </c>
    </row>
    <row r="1801" spans="1:3" s="486" customFormat="1" ht="15" customHeight="1">
      <c r="A1801" s="420" t="s">
        <v>23474</v>
      </c>
      <c r="B1801" s="512" t="s">
        <v>23473</v>
      </c>
      <c r="C1801" s="417">
        <v>2777</v>
      </c>
    </row>
    <row r="1802" spans="1:3" s="486" customFormat="1" ht="15" customHeight="1">
      <c r="A1802" s="420" t="s">
        <v>23472</v>
      </c>
      <c r="B1802" s="419" t="s">
        <v>23471</v>
      </c>
      <c r="C1802" s="418">
        <v>195</v>
      </c>
    </row>
    <row r="1803" spans="1:3" s="486" customFormat="1" ht="15" customHeight="1">
      <c r="A1803" s="420" t="s">
        <v>23470</v>
      </c>
      <c r="B1803" s="489" t="s">
        <v>23469</v>
      </c>
      <c r="C1803" s="416">
        <v>77</v>
      </c>
    </row>
    <row r="1804" spans="1:3" s="486" customFormat="1" ht="15" customHeight="1">
      <c r="A1804" s="420" t="s">
        <v>23468</v>
      </c>
      <c r="B1804" s="489" t="s">
        <v>23467</v>
      </c>
      <c r="C1804" s="416">
        <v>121</v>
      </c>
    </row>
    <row r="1805" spans="1:3" s="486" customFormat="1" ht="15" customHeight="1">
      <c r="A1805" s="420" t="s">
        <v>23466</v>
      </c>
      <c r="B1805" s="419" t="s">
        <v>23465</v>
      </c>
      <c r="C1805" s="416">
        <v>190</v>
      </c>
    </row>
    <row r="1806" spans="1:3" s="486" customFormat="1" ht="15" customHeight="1">
      <c r="A1806" s="420" t="s">
        <v>23464</v>
      </c>
      <c r="B1806" s="419" t="s">
        <v>23463</v>
      </c>
      <c r="C1806" s="417">
        <v>284</v>
      </c>
    </row>
    <row r="1807" spans="1:3" s="486" customFormat="1" ht="15" customHeight="1">
      <c r="A1807" s="420" t="s">
        <v>23462</v>
      </c>
      <c r="B1807" s="419" t="s">
        <v>23461</v>
      </c>
      <c r="C1807" s="417">
        <v>297</v>
      </c>
    </row>
    <row r="1808" spans="1:3" s="486" customFormat="1" ht="15" customHeight="1">
      <c r="A1808" s="420" t="s">
        <v>23460</v>
      </c>
      <c r="B1808" s="419" t="s">
        <v>23459</v>
      </c>
      <c r="C1808" s="417">
        <v>497</v>
      </c>
    </row>
    <row r="1809" spans="1:3" s="486" customFormat="1" ht="15" customHeight="1">
      <c r="A1809" s="420" t="s">
        <v>23458</v>
      </c>
      <c r="B1809" s="419" t="s">
        <v>23457</v>
      </c>
      <c r="C1809" s="417">
        <v>210</v>
      </c>
    </row>
    <row r="1810" spans="1:3" s="486" customFormat="1" ht="15" customHeight="1">
      <c r="A1810" s="420" t="s">
        <v>23456</v>
      </c>
      <c r="B1810" s="419" t="s">
        <v>23455</v>
      </c>
      <c r="C1810" s="417">
        <v>19</v>
      </c>
    </row>
    <row r="1811" spans="1:3" s="486" customFormat="1" ht="15" customHeight="1">
      <c r="A1811" s="472" t="s">
        <v>23454</v>
      </c>
      <c r="B1811" s="419" t="s">
        <v>23453</v>
      </c>
      <c r="C1811" s="416">
        <v>156</v>
      </c>
    </row>
    <row r="1812" spans="1:3" s="486" customFormat="1" ht="15" customHeight="1">
      <c r="A1812" s="506" t="s">
        <v>23452</v>
      </c>
      <c r="B1812" s="419" t="s">
        <v>23451</v>
      </c>
      <c r="C1812" s="416">
        <v>201</v>
      </c>
    </row>
    <row r="1813" spans="1:3" s="486" customFormat="1" ht="15" customHeight="1">
      <c r="A1813" s="472" t="s">
        <v>23450</v>
      </c>
      <c r="B1813" s="419" t="s">
        <v>23449</v>
      </c>
      <c r="C1813" s="416">
        <v>134</v>
      </c>
    </row>
    <row r="1814" spans="1:3" s="486" customFormat="1" ht="15" customHeight="1">
      <c r="A1814" s="506" t="s">
        <v>23448</v>
      </c>
      <c r="B1814" s="419" t="s">
        <v>23447</v>
      </c>
      <c r="C1814" s="416">
        <v>179</v>
      </c>
    </row>
    <row r="1815" spans="1:3" s="486" customFormat="1" ht="15" customHeight="1">
      <c r="A1815" s="472" t="s">
        <v>23446</v>
      </c>
      <c r="B1815" s="419" t="s">
        <v>23445</v>
      </c>
      <c r="C1815" s="416">
        <v>156</v>
      </c>
    </row>
    <row r="1816" spans="1:3" s="486" customFormat="1" ht="15" customHeight="1">
      <c r="A1816" s="506" t="s">
        <v>23444</v>
      </c>
      <c r="B1816" s="419" t="s">
        <v>23443</v>
      </c>
      <c r="C1816" s="416">
        <v>201</v>
      </c>
    </row>
    <row r="1817" spans="1:3" s="486" customFormat="1" ht="15" customHeight="1">
      <c r="A1817" s="472" t="s">
        <v>23442</v>
      </c>
      <c r="B1817" s="419" t="s">
        <v>23441</v>
      </c>
      <c r="C1817" s="416">
        <v>156</v>
      </c>
    </row>
    <row r="1818" spans="1:3" s="486" customFormat="1" ht="15" customHeight="1">
      <c r="A1818" s="506" t="s">
        <v>23440</v>
      </c>
      <c r="B1818" s="419" t="s">
        <v>23439</v>
      </c>
      <c r="C1818" s="416">
        <v>201</v>
      </c>
    </row>
    <row r="1819" spans="1:3" s="486" customFormat="1" ht="15" customHeight="1">
      <c r="A1819" s="420" t="s">
        <v>23438</v>
      </c>
      <c r="B1819" s="419" t="s">
        <v>23437</v>
      </c>
      <c r="C1819" s="416">
        <v>258</v>
      </c>
    </row>
    <row r="1820" spans="1:3" s="486" customFormat="1" ht="15" customHeight="1">
      <c r="A1820" s="487" t="s">
        <v>23436</v>
      </c>
      <c r="B1820" s="419" t="s">
        <v>23435</v>
      </c>
      <c r="C1820" s="416">
        <v>118</v>
      </c>
    </row>
    <row r="1821" spans="1:3" s="486" customFormat="1" ht="15" customHeight="1">
      <c r="A1821" s="487" t="s">
        <v>23434</v>
      </c>
      <c r="B1821" s="419" t="s">
        <v>23433</v>
      </c>
      <c r="C1821" s="416">
        <v>130</v>
      </c>
    </row>
    <row r="1822" spans="1:3" s="486" customFormat="1" ht="15" customHeight="1">
      <c r="A1822" s="487" t="s">
        <v>23432</v>
      </c>
      <c r="B1822" s="419" t="s">
        <v>23431</v>
      </c>
      <c r="C1822" s="416">
        <v>399</v>
      </c>
    </row>
    <row r="1823" spans="1:3" s="486" customFormat="1" ht="15" customHeight="1">
      <c r="A1823" s="487" t="s">
        <v>23430</v>
      </c>
      <c r="B1823" s="419" t="s">
        <v>23429</v>
      </c>
      <c r="C1823" s="416">
        <v>194</v>
      </c>
    </row>
    <row r="1824" spans="1:3" s="486" customFormat="1" ht="15" customHeight="1">
      <c r="A1824" s="487" t="s">
        <v>23428</v>
      </c>
      <c r="B1824" s="419" t="s">
        <v>23427</v>
      </c>
      <c r="C1824" s="416">
        <v>143</v>
      </c>
    </row>
    <row r="1825" spans="1:3" s="486" customFormat="1" ht="15" customHeight="1">
      <c r="A1825" s="487" t="s">
        <v>23426</v>
      </c>
      <c r="B1825" s="419" t="s">
        <v>23425</v>
      </c>
      <c r="C1825" s="416">
        <v>196</v>
      </c>
    </row>
    <row r="1826" spans="1:3" s="486" customFormat="1" ht="15" customHeight="1">
      <c r="A1826" s="487" t="s">
        <v>23424</v>
      </c>
      <c r="B1826" s="419" t="s">
        <v>23423</v>
      </c>
      <c r="C1826" s="416">
        <v>188</v>
      </c>
    </row>
    <row r="1827" spans="1:3" s="486" customFormat="1" ht="15" customHeight="1">
      <c r="A1827" s="487" t="s">
        <v>23422</v>
      </c>
      <c r="B1827" s="419" t="s">
        <v>23421</v>
      </c>
      <c r="C1827" s="416">
        <v>257</v>
      </c>
    </row>
    <row r="1828" spans="1:3" s="486" customFormat="1" ht="15" customHeight="1">
      <c r="A1828" s="420" t="s">
        <v>23420</v>
      </c>
      <c r="B1828" s="419" t="s">
        <v>23419</v>
      </c>
      <c r="C1828" s="416">
        <v>155</v>
      </c>
    </row>
    <row r="1829" spans="1:3" s="486" customFormat="1" ht="15" customHeight="1">
      <c r="A1829" s="420" t="s">
        <v>23418</v>
      </c>
      <c r="B1829" s="419" t="s">
        <v>23417</v>
      </c>
      <c r="C1829" s="416">
        <v>181</v>
      </c>
    </row>
    <row r="1830" spans="1:3" s="486" customFormat="1" ht="15" customHeight="1">
      <c r="A1830" s="420" t="s">
        <v>23416</v>
      </c>
      <c r="B1830" s="419" t="s">
        <v>23415</v>
      </c>
      <c r="C1830" s="417">
        <v>60</v>
      </c>
    </row>
    <row r="1831" spans="1:3" s="486" customFormat="1" ht="15" customHeight="1">
      <c r="A1831" s="420" t="s">
        <v>23414</v>
      </c>
      <c r="B1831" s="419" t="s">
        <v>23413</v>
      </c>
      <c r="C1831" s="417">
        <v>96</v>
      </c>
    </row>
    <row r="1832" spans="1:3" s="486" customFormat="1" ht="15" customHeight="1">
      <c r="A1832" s="511" t="s">
        <v>23412</v>
      </c>
      <c r="B1832" s="510" t="s">
        <v>23411</v>
      </c>
      <c r="C1832" s="417">
        <v>202</v>
      </c>
    </row>
    <row r="1833" spans="1:3" s="486" customFormat="1" ht="15" customHeight="1">
      <c r="A1833" s="511" t="s">
        <v>23410</v>
      </c>
      <c r="B1833" s="510" t="s">
        <v>23409</v>
      </c>
      <c r="C1833" s="417">
        <v>178</v>
      </c>
    </row>
    <row r="1834" spans="1:3" s="486" customFormat="1" ht="15" customHeight="1">
      <c r="A1834" s="511" t="s">
        <v>23408</v>
      </c>
      <c r="B1834" s="510" t="s">
        <v>23407</v>
      </c>
      <c r="C1834" s="417">
        <v>202</v>
      </c>
    </row>
    <row r="1835" spans="1:3" s="486" customFormat="1" ht="15" customHeight="1">
      <c r="A1835" s="409" t="s">
        <v>23406</v>
      </c>
      <c r="B1835" s="510" t="s">
        <v>23405</v>
      </c>
      <c r="C1835" s="417">
        <v>202</v>
      </c>
    </row>
    <row r="1836" spans="1:3" s="486" customFormat="1" ht="15" customHeight="1">
      <c r="A1836" s="420" t="s">
        <v>23404</v>
      </c>
      <c r="B1836" s="419" t="s">
        <v>23403</v>
      </c>
      <c r="C1836" s="418">
        <v>109</v>
      </c>
    </row>
    <row r="1837" spans="1:3" s="486" customFormat="1" ht="15" customHeight="1">
      <c r="A1837" s="420" t="s">
        <v>23402</v>
      </c>
      <c r="B1837" s="419" t="s">
        <v>23401</v>
      </c>
      <c r="C1837" s="418">
        <v>121</v>
      </c>
    </row>
    <row r="1838" spans="1:3" s="486" customFormat="1" ht="15" customHeight="1">
      <c r="A1838" s="420" t="s">
        <v>23400</v>
      </c>
      <c r="B1838" s="419" t="s">
        <v>23399</v>
      </c>
      <c r="C1838" s="418">
        <v>80</v>
      </c>
    </row>
    <row r="1839" spans="1:3" s="486" customFormat="1" ht="15" customHeight="1">
      <c r="A1839" s="420" t="s">
        <v>23398</v>
      </c>
      <c r="B1839" s="419" t="s">
        <v>23397</v>
      </c>
      <c r="C1839" s="418">
        <v>91</v>
      </c>
    </row>
    <row r="1840" spans="1:3" s="486" customFormat="1" ht="15" customHeight="1">
      <c r="A1840" s="420" t="s">
        <v>23396</v>
      </c>
      <c r="B1840" s="419" t="s">
        <v>23395</v>
      </c>
      <c r="C1840" s="418">
        <v>128</v>
      </c>
    </row>
    <row r="1841" spans="1:3" s="486" customFormat="1" ht="15" customHeight="1">
      <c r="A1841" s="420" t="s">
        <v>23394</v>
      </c>
      <c r="B1841" s="419" t="s">
        <v>23393</v>
      </c>
      <c r="C1841" s="418">
        <v>140</v>
      </c>
    </row>
    <row r="1842" spans="1:3" s="486" customFormat="1" ht="15" customHeight="1">
      <c r="A1842" s="420" t="s">
        <v>23392</v>
      </c>
      <c r="B1842" s="419" t="s">
        <v>23391</v>
      </c>
      <c r="C1842" s="418">
        <v>41</v>
      </c>
    </row>
    <row r="1843" spans="1:3" s="486" customFormat="1" ht="15" customHeight="1">
      <c r="A1843" s="420" t="s">
        <v>23390</v>
      </c>
      <c r="B1843" s="419" t="s">
        <v>23389</v>
      </c>
      <c r="C1843" s="418">
        <v>80</v>
      </c>
    </row>
    <row r="1844" spans="1:3" s="486" customFormat="1" ht="15" customHeight="1">
      <c r="A1844" s="420" t="s">
        <v>23388</v>
      </c>
      <c r="B1844" s="419" t="s">
        <v>23387</v>
      </c>
      <c r="C1844" s="418">
        <v>21</v>
      </c>
    </row>
    <row r="1845" spans="1:3" s="486" customFormat="1" ht="15" customHeight="1">
      <c r="A1845" s="420" t="s">
        <v>23386</v>
      </c>
      <c r="B1845" s="419" t="s">
        <v>23385</v>
      </c>
      <c r="C1845" s="418">
        <v>37</v>
      </c>
    </row>
    <row r="1846" spans="1:3" s="486" customFormat="1" ht="15" customHeight="1">
      <c r="A1846" s="420" t="s">
        <v>23384</v>
      </c>
      <c r="B1846" s="419" t="s">
        <v>23383</v>
      </c>
      <c r="C1846" s="418">
        <v>60</v>
      </c>
    </row>
    <row r="1847" spans="1:3" s="486" customFormat="1" ht="15" customHeight="1">
      <c r="A1847" s="420" t="s">
        <v>23382</v>
      </c>
      <c r="B1847" s="419" t="s">
        <v>23381</v>
      </c>
      <c r="C1847" s="418">
        <v>70</v>
      </c>
    </row>
    <row r="1848" spans="1:3" s="486" customFormat="1" ht="15" customHeight="1">
      <c r="A1848" s="420" t="s">
        <v>23380</v>
      </c>
      <c r="B1848" s="419" t="s">
        <v>23379</v>
      </c>
      <c r="C1848" s="418">
        <v>142</v>
      </c>
    </row>
    <row r="1849" spans="1:3" s="486" customFormat="1" ht="15" customHeight="1">
      <c r="A1849" s="420" t="s">
        <v>23378</v>
      </c>
      <c r="B1849" s="419" t="s">
        <v>23377</v>
      </c>
      <c r="C1849" s="418">
        <v>66</v>
      </c>
    </row>
    <row r="1850" spans="1:3" s="486" customFormat="1" ht="15" customHeight="1">
      <c r="A1850" s="420" t="s">
        <v>23376</v>
      </c>
      <c r="B1850" s="419" t="s">
        <v>23375</v>
      </c>
      <c r="C1850" s="418">
        <v>105</v>
      </c>
    </row>
    <row r="1851" spans="1:3" s="486" customFormat="1" ht="15" customHeight="1">
      <c r="A1851" s="420" t="s">
        <v>23374</v>
      </c>
      <c r="B1851" s="419" t="s">
        <v>23373</v>
      </c>
      <c r="C1851" s="418">
        <v>142</v>
      </c>
    </row>
    <row r="1852" spans="1:3" s="486" customFormat="1" ht="15" customHeight="1">
      <c r="A1852" s="420" t="s">
        <v>23372</v>
      </c>
      <c r="B1852" s="419" t="s">
        <v>23371</v>
      </c>
      <c r="C1852" s="418">
        <v>72</v>
      </c>
    </row>
    <row r="1853" spans="1:3" s="486" customFormat="1" ht="15" customHeight="1">
      <c r="A1853" s="420" t="s">
        <v>23370</v>
      </c>
      <c r="B1853" s="419" t="s">
        <v>23369</v>
      </c>
      <c r="C1853" s="418">
        <v>84</v>
      </c>
    </row>
    <row r="1854" spans="1:3" s="486" customFormat="1" ht="15" customHeight="1">
      <c r="A1854" s="420" t="s">
        <v>23368</v>
      </c>
      <c r="B1854" s="419" t="s">
        <v>23367</v>
      </c>
      <c r="C1854" s="418">
        <v>84</v>
      </c>
    </row>
    <row r="1855" spans="1:3" s="486" customFormat="1" ht="15" customHeight="1">
      <c r="A1855" s="420" t="s">
        <v>23366</v>
      </c>
      <c r="B1855" s="419" t="s">
        <v>23365</v>
      </c>
      <c r="C1855" s="418">
        <v>161</v>
      </c>
    </row>
    <row r="1856" spans="1:3" s="486" customFormat="1" ht="15" customHeight="1">
      <c r="A1856" s="420" t="s">
        <v>23364</v>
      </c>
      <c r="B1856" s="419" t="s">
        <v>23363</v>
      </c>
      <c r="C1856" s="418">
        <v>167</v>
      </c>
    </row>
    <row r="1857" spans="1:3" s="486" customFormat="1" ht="15" customHeight="1">
      <c r="A1857" s="420" t="s">
        <v>23362</v>
      </c>
      <c r="B1857" s="419" t="s">
        <v>23361</v>
      </c>
      <c r="C1857" s="418">
        <v>175</v>
      </c>
    </row>
    <row r="1858" spans="1:3" s="486" customFormat="1" ht="15" customHeight="1">
      <c r="A1858" s="420" t="s">
        <v>23360</v>
      </c>
      <c r="B1858" s="419" t="s">
        <v>23359</v>
      </c>
      <c r="C1858" s="418">
        <v>121</v>
      </c>
    </row>
    <row r="1859" spans="1:3" s="486" customFormat="1" ht="15" customHeight="1">
      <c r="A1859" s="420" t="s">
        <v>23358</v>
      </c>
      <c r="B1859" s="419" t="s">
        <v>23357</v>
      </c>
      <c r="C1859" s="418">
        <v>270</v>
      </c>
    </row>
    <row r="1860" spans="1:3" s="486" customFormat="1" ht="15" customHeight="1">
      <c r="A1860" s="420" t="s">
        <v>23356</v>
      </c>
      <c r="B1860" s="419" t="s">
        <v>23355</v>
      </c>
      <c r="C1860" s="418">
        <v>278</v>
      </c>
    </row>
    <row r="1861" spans="1:3" s="486" customFormat="1" ht="15" customHeight="1">
      <c r="A1861" s="420" t="s">
        <v>23354</v>
      </c>
      <c r="B1861" s="419" t="s">
        <v>23353</v>
      </c>
      <c r="C1861" s="418">
        <v>17</v>
      </c>
    </row>
    <row r="1862" spans="1:3" s="486" customFormat="1" ht="15" customHeight="1">
      <c r="A1862" s="420" t="s">
        <v>23352</v>
      </c>
      <c r="B1862" s="419" t="s">
        <v>23351</v>
      </c>
      <c r="C1862" s="418">
        <v>239</v>
      </c>
    </row>
    <row r="1863" spans="1:3" s="486" customFormat="1" ht="15" customHeight="1">
      <c r="A1863" s="420" t="s">
        <v>23350</v>
      </c>
      <c r="B1863" s="419" t="s">
        <v>23349</v>
      </c>
      <c r="C1863" s="418">
        <v>339</v>
      </c>
    </row>
    <row r="1864" spans="1:3" s="486" customFormat="1" ht="15" customHeight="1">
      <c r="A1864" s="420" t="s">
        <v>23348</v>
      </c>
      <c r="B1864" s="419" t="s">
        <v>23347</v>
      </c>
      <c r="C1864" s="418">
        <v>259</v>
      </c>
    </row>
    <row r="1865" spans="1:3" s="486" customFormat="1" ht="15" customHeight="1">
      <c r="A1865" s="420" t="s">
        <v>23346</v>
      </c>
      <c r="B1865" s="86" t="s">
        <v>23345</v>
      </c>
      <c r="C1865" s="418">
        <v>150</v>
      </c>
    </row>
    <row r="1866" spans="1:3" s="486" customFormat="1" ht="15" customHeight="1">
      <c r="A1866" s="420" t="s">
        <v>23344</v>
      </c>
      <c r="B1866" s="467" t="s">
        <v>23343</v>
      </c>
      <c r="C1866" s="417">
        <v>125</v>
      </c>
    </row>
    <row r="1867" spans="1:3" s="486" customFormat="1" ht="15" customHeight="1">
      <c r="A1867" s="420" t="s">
        <v>23342</v>
      </c>
      <c r="B1867" s="508" t="s">
        <v>23341</v>
      </c>
      <c r="C1867" s="417" t="s">
        <v>22944</v>
      </c>
    </row>
    <row r="1868" spans="1:3" s="486" customFormat="1" ht="15" customHeight="1">
      <c r="A1868" s="509" t="s">
        <v>23340</v>
      </c>
      <c r="B1868" s="508" t="s">
        <v>23339</v>
      </c>
      <c r="C1868" s="417">
        <v>50</v>
      </c>
    </row>
    <row r="1869" spans="1:3" s="486" customFormat="1" ht="15" customHeight="1">
      <c r="A1869" s="509" t="s">
        <v>23338</v>
      </c>
      <c r="B1869" s="508" t="s">
        <v>23337</v>
      </c>
      <c r="C1869" s="417">
        <v>50</v>
      </c>
    </row>
    <row r="1870" spans="1:3" s="486" customFormat="1" ht="15" customHeight="1">
      <c r="A1870" s="409" t="s">
        <v>23336</v>
      </c>
      <c r="B1870" s="419" t="s">
        <v>23335</v>
      </c>
      <c r="C1870" s="417">
        <v>2279</v>
      </c>
    </row>
    <row r="1871" spans="1:3" s="486" customFormat="1" ht="15" customHeight="1">
      <c r="A1871" s="409" t="s">
        <v>23334</v>
      </c>
      <c r="B1871" s="419" t="s">
        <v>23333</v>
      </c>
      <c r="C1871" s="417">
        <v>2279</v>
      </c>
    </row>
    <row r="1872" spans="1:3" s="486" customFormat="1" ht="15" customHeight="1">
      <c r="A1872" s="409" t="s">
        <v>23332</v>
      </c>
      <c r="B1872" s="419" t="s">
        <v>23331</v>
      </c>
      <c r="C1872" s="417">
        <v>2051</v>
      </c>
    </row>
    <row r="1873" spans="1:3" s="486" customFormat="1" ht="15" customHeight="1">
      <c r="A1873" s="409" t="s">
        <v>23330</v>
      </c>
      <c r="B1873" s="419" t="s">
        <v>23329</v>
      </c>
      <c r="C1873" s="417">
        <v>2636</v>
      </c>
    </row>
    <row r="1874" spans="1:3" s="486" customFormat="1" ht="15" customHeight="1">
      <c r="A1874" s="420" t="s">
        <v>23328</v>
      </c>
      <c r="B1874" s="419" t="s">
        <v>23327</v>
      </c>
      <c r="C1874" s="416">
        <v>298</v>
      </c>
    </row>
    <row r="1875" spans="1:3" s="486" customFormat="1" ht="15" customHeight="1">
      <c r="A1875" s="506" t="s">
        <v>23326</v>
      </c>
      <c r="B1875" s="419" t="s">
        <v>23325</v>
      </c>
      <c r="C1875" s="416">
        <v>343</v>
      </c>
    </row>
    <row r="1876" spans="1:3" s="486" customFormat="1" ht="15" customHeight="1">
      <c r="A1876" s="420" t="s">
        <v>23324</v>
      </c>
      <c r="B1876" s="419" t="s">
        <v>23323</v>
      </c>
      <c r="C1876" s="416">
        <v>276</v>
      </c>
    </row>
    <row r="1877" spans="1:3" s="486" customFormat="1" ht="15" customHeight="1">
      <c r="A1877" s="506" t="s">
        <v>23322</v>
      </c>
      <c r="B1877" s="419" t="s">
        <v>23321</v>
      </c>
      <c r="C1877" s="416">
        <v>321</v>
      </c>
    </row>
    <row r="1878" spans="1:3" s="486" customFormat="1" ht="15" customHeight="1">
      <c r="A1878" s="420" t="s">
        <v>23320</v>
      </c>
      <c r="B1878" s="419" t="s">
        <v>23319</v>
      </c>
      <c r="C1878" s="416">
        <v>298</v>
      </c>
    </row>
    <row r="1879" spans="1:3" s="486" customFormat="1" ht="15" customHeight="1">
      <c r="A1879" s="506" t="s">
        <v>23318</v>
      </c>
      <c r="B1879" s="419" t="s">
        <v>23317</v>
      </c>
      <c r="C1879" s="416">
        <v>343</v>
      </c>
    </row>
    <row r="1880" spans="1:3" s="486" customFormat="1" ht="15" customHeight="1">
      <c r="A1880" s="420" t="s">
        <v>23316</v>
      </c>
      <c r="B1880" s="419" t="s">
        <v>23315</v>
      </c>
      <c r="C1880" s="416">
        <v>298</v>
      </c>
    </row>
    <row r="1881" spans="1:3" s="486" customFormat="1" ht="15" customHeight="1">
      <c r="A1881" s="506" t="s">
        <v>23314</v>
      </c>
      <c r="B1881" s="419" t="s">
        <v>23313</v>
      </c>
      <c r="C1881" s="416">
        <v>343</v>
      </c>
    </row>
    <row r="1882" spans="1:3" s="486" customFormat="1" ht="15" customHeight="1">
      <c r="A1882" s="398" t="s">
        <v>23312</v>
      </c>
      <c r="B1882" s="507" t="s">
        <v>23311</v>
      </c>
      <c r="C1882" s="417">
        <v>2236</v>
      </c>
    </row>
    <row r="1883" spans="1:3" s="486" customFormat="1" ht="15" customHeight="1">
      <c r="A1883" s="398" t="s">
        <v>23310</v>
      </c>
      <c r="B1883" s="419" t="s">
        <v>23309</v>
      </c>
      <c r="C1883" s="417">
        <v>2080</v>
      </c>
    </row>
    <row r="1884" spans="1:3" s="486" customFormat="1" ht="15" customHeight="1">
      <c r="A1884" s="398" t="s">
        <v>23308</v>
      </c>
      <c r="B1884" s="419" t="s">
        <v>23307</v>
      </c>
      <c r="C1884" s="417">
        <v>1891</v>
      </c>
    </row>
    <row r="1885" spans="1:3" s="486" customFormat="1" ht="15" customHeight="1">
      <c r="A1885" s="506" t="s">
        <v>23306</v>
      </c>
      <c r="B1885" s="419" t="s">
        <v>23305</v>
      </c>
      <c r="C1885" s="416">
        <v>83</v>
      </c>
    </row>
    <row r="1886" spans="1:3" s="486" customFormat="1" ht="15" customHeight="1">
      <c r="A1886" s="420" t="s">
        <v>23304</v>
      </c>
      <c r="B1886" s="419" t="s">
        <v>23303</v>
      </c>
      <c r="C1886" s="416">
        <v>170</v>
      </c>
    </row>
    <row r="1887" spans="1:3" s="486" customFormat="1" ht="15" customHeight="1">
      <c r="A1887" s="444" t="s">
        <v>23302</v>
      </c>
      <c r="B1887" s="411" t="s">
        <v>23301</v>
      </c>
      <c r="C1887" s="417">
        <v>1657</v>
      </c>
    </row>
    <row r="1888" spans="1:3" s="486" customFormat="1" ht="15" customHeight="1">
      <c r="A1888" s="444" t="s">
        <v>23300</v>
      </c>
      <c r="B1888" s="411" t="s">
        <v>23299</v>
      </c>
      <c r="C1888" s="417">
        <v>1657</v>
      </c>
    </row>
    <row r="1889" spans="1:3" s="486" customFormat="1" ht="15" customHeight="1">
      <c r="A1889" s="444" t="s">
        <v>23298</v>
      </c>
      <c r="B1889" s="411" t="s">
        <v>23297</v>
      </c>
      <c r="C1889" s="417">
        <v>1277</v>
      </c>
    </row>
    <row r="1890" spans="1:3" s="486" customFormat="1" ht="15" customHeight="1">
      <c r="A1890" s="444" t="s">
        <v>23296</v>
      </c>
      <c r="B1890" s="411" t="s">
        <v>23295</v>
      </c>
      <c r="C1890" s="417">
        <v>1631</v>
      </c>
    </row>
    <row r="1891" spans="1:3" s="486" customFormat="1" ht="15" customHeight="1">
      <c r="A1891" s="444" t="s">
        <v>23294</v>
      </c>
      <c r="B1891" s="411" t="s">
        <v>23293</v>
      </c>
      <c r="C1891" s="417">
        <v>1631</v>
      </c>
    </row>
    <row r="1892" spans="1:3" s="486" customFormat="1" ht="15" customHeight="1">
      <c r="A1892" s="444" t="s">
        <v>23292</v>
      </c>
      <c r="B1892" s="411" t="s">
        <v>23291</v>
      </c>
      <c r="C1892" s="417">
        <v>1251</v>
      </c>
    </row>
    <row r="1893" spans="1:3" s="486" customFormat="1" ht="15" customHeight="1">
      <c r="A1893" s="420" t="s">
        <v>23290</v>
      </c>
      <c r="B1893" s="430" t="s">
        <v>23289</v>
      </c>
      <c r="C1893" s="416">
        <v>1447</v>
      </c>
    </row>
    <row r="1894" spans="1:3" s="486" customFormat="1" ht="15" customHeight="1">
      <c r="A1894" s="420" t="s">
        <v>23288</v>
      </c>
      <c r="B1894" s="430" t="s">
        <v>23287</v>
      </c>
      <c r="C1894" s="416">
        <v>1548</v>
      </c>
    </row>
    <row r="1895" spans="1:3" s="486" customFormat="1" ht="15" customHeight="1">
      <c r="A1895" s="420" t="s">
        <v>23286</v>
      </c>
      <c r="B1895" s="430" t="s">
        <v>23285</v>
      </c>
      <c r="C1895" s="416">
        <v>2144</v>
      </c>
    </row>
    <row r="1896" spans="1:3" s="486" customFormat="1" ht="15" customHeight="1">
      <c r="A1896" s="420" t="s">
        <v>23284</v>
      </c>
      <c r="B1896" s="430" t="s">
        <v>23283</v>
      </c>
      <c r="C1896" s="416">
        <v>2268</v>
      </c>
    </row>
    <row r="1897" spans="1:3" s="486" customFormat="1" ht="15" customHeight="1">
      <c r="A1897" s="420" t="s">
        <v>23282</v>
      </c>
      <c r="B1897" s="430" t="s">
        <v>23281</v>
      </c>
      <c r="C1897" s="416">
        <v>1831</v>
      </c>
    </row>
    <row r="1898" spans="1:3" s="486" customFormat="1" ht="15" customHeight="1">
      <c r="A1898" s="420" t="s">
        <v>23280</v>
      </c>
      <c r="B1898" s="430" t="s">
        <v>23279</v>
      </c>
      <c r="C1898" s="416">
        <v>1730</v>
      </c>
    </row>
    <row r="1899" spans="1:3" s="486" customFormat="1" ht="15" customHeight="1">
      <c r="A1899" s="420" t="s">
        <v>23278</v>
      </c>
      <c r="B1899" s="430" t="s">
        <v>23277</v>
      </c>
      <c r="C1899" s="416">
        <v>1097</v>
      </c>
    </row>
    <row r="1900" spans="1:3" s="486" customFormat="1" ht="15" customHeight="1">
      <c r="A1900" s="420" t="s">
        <v>23276</v>
      </c>
      <c r="B1900" s="430" t="s">
        <v>23275</v>
      </c>
      <c r="C1900" s="416">
        <v>1221</v>
      </c>
    </row>
    <row r="1901" spans="1:3" s="486" customFormat="1" ht="15" customHeight="1">
      <c r="A1901" s="420" t="s">
        <v>23274</v>
      </c>
      <c r="B1901" s="430" t="s">
        <v>23273</v>
      </c>
      <c r="C1901" s="416">
        <v>1926</v>
      </c>
    </row>
    <row r="1902" spans="1:3" s="486" customFormat="1" ht="15" customHeight="1">
      <c r="A1902" s="420" t="s">
        <v>23272</v>
      </c>
      <c r="B1902" s="430" t="s">
        <v>23271</v>
      </c>
      <c r="C1902" s="416">
        <v>2050</v>
      </c>
    </row>
    <row r="1903" spans="1:3" s="486" customFormat="1" ht="15" customHeight="1">
      <c r="A1903" s="505" t="s">
        <v>23270</v>
      </c>
      <c r="B1903" s="430" t="s">
        <v>23269</v>
      </c>
      <c r="C1903" s="416">
        <v>2086</v>
      </c>
    </row>
    <row r="1904" spans="1:3" s="486" customFormat="1" ht="15" customHeight="1">
      <c r="A1904" s="505" t="s">
        <v>23268</v>
      </c>
      <c r="B1904" s="430" t="s">
        <v>23267</v>
      </c>
      <c r="C1904" s="416">
        <v>2210</v>
      </c>
    </row>
    <row r="1905" spans="1:3" s="486" customFormat="1" ht="15" customHeight="1">
      <c r="A1905" s="420" t="s">
        <v>23266</v>
      </c>
      <c r="B1905" s="430" t="s">
        <v>23265</v>
      </c>
      <c r="C1905" s="416">
        <v>1431</v>
      </c>
    </row>
    <row r="1906" spans="1:3" s="486" customFormat="1" ht="15" customHeight="1">
      <c r="A1906" s="420" t="s">
        <v>23264</v>
      </c>
      <c r="B1906" s="430" t="s">
        <v>23263</v>
      </c>
      <c r="C1906" s="416">
        <v>1556</v>
      </c>
    </row>
    <row r="1907" spans="1:3" s="486" customFormat="1" ht="15" customHeight="1">
      <c r="A1907" s="420" t="s">
        <v>23262</v>
      </c>
      <c r="B1907" s="430" t="s">
        <v>23261</v>
      </c>
      <c r="C1907" s="416">
        <v>1213</v>
      </c>
    </row>
    <row r="1908" spans="1:3" s="486" customFormat="1" ht="15" customHeight="1">
      <c r="A1908" s="420" t="s">
        <v>23260</v>
      </c>
      <c r="B1908" s="430" t="s">
        <v>23259</v>
      </c>
      <c r="C1908" s="416">
        <v>1337</v>
      </c>
    </row>
    <row r="1909" spans="1:3" s="486" customFormat="1" ht="15" customHeight="1">
      <c r="A1909" s="505" t="s">
        <v>23258</v>
      </c>
      <c r="B1909" s="430" t="s">
        <v>23257</v>
      </c>
      <c r="C1909" s="416">
        <v>1373</v>
      </c>
    </row>
    <row r="1910" spans="1:3" s="486" customFormat="1" ht="15" customHeight="1">
      <c r="A1910" s="505" t="s">
        <v>23256</v>
      </c>
      <c r="B1910" s="430" t="s">
        <v>23255</v>
      </c>
      <c r="C1910" s="416">
        <v>1498</v>
      </c>
    </row>
    <row r="1911" spans="1:3" s="486" customFormat="1" ht="15" customHeight="1">
      <c r="A1911" s="409" t="s">
        <v>23254</v>
      </c>
      <c r="B1911" s="419" t="s">
        <v>23253</v>
      </c>
      <c r="C1911" s="416">
        <v>786</v>
      </c>
    </row>
    <row r="1912" spans="1:3" s="486" customFormat="1" ht="15" customHeight="1">
      <c r="A1912" s="409" t="s">
        <v>23252</v>
      </c>
      <c r="B1912" s="419" t="s">
        <v>23251</v>
      </c>
      <c r="C1912" s="416">
        <v>974</v>
      </c>
    </row>
    <row r="1913" spans="1:3" s="486" customFormat="1" ht="15" customHeight="1">
      <c r="A1913" s="409" t="s">
        <v>23250</v>
      </c>
      <c r="B1913" s="419" t="s">
        <v>23249</v>
      </c>
      <c r="C1913" s="416">
        <v>1193</v>
      </c>
    </row>
    <row r="1914" spans="1:3" s="486" customFormat="1" ht="15" customHeight="1">
      <c r="A1914" s="409" t="s">
        <v>23248</v>
      </c>
      <c r="B1914" s="419" t="s">
        <v>23247</v>
      </c>
      <c r="C1914" s="416">
        <v>1431</v>
      </c>
    </row>
    <row r="1915" spans="1:3" s="486" customFormat="1" ht="15" customHeight="1">
      <c r="A1915" s="409" t="s">
        <v>23246</v>
      </c>
      <c r="B1915" s="419" t="s">
        <v>23245</v>
      </c>
      <c r="C1915" s="416">
        <v>1167</v>
      </c>
    </row>
    <row r="1916" spans="1:3" s="486" customFormat="1" ht="15" customHeight="1">
      <c r="A1916" s="504" t="s">
        <v>23244</v>
      </c>
      <c r="B1916" s="419" t="s">
        <v>23243</v>
      </c>
      <c r="C1916" s="405">
        <v>979</v>
      </c>
    </row>
    <row r="1917" spans="1:3" s="486" customFormat="1" ht="15" customHeight="1">
      <c r="A1917" s="504" t="s">
        <v>23242</v>
      </c>
      <c r="B1917" s="419" t="s">
        <v>23241</v>
      </c>
      <c r="C1917" s="405">
        <v>608</v>
      </c>
    </row>
    <row r="1918" spans="1:3" s="486" customFormat="1" ht="15" customHeight="1">
      <c r="A1918" s="504" t="s">
        <v>23240</v>
      </c>
      <c r="B1918" s="419" t="s">
        <v>23239</v>
      </c>
      <c r="C1918" s="405">
        <v>847</v>
      </c>
    </row>
    <row r="1919" spans="1:3" s="486" customFormat="1" ht="15" customHeight="1">
      <c r="A1919" s="504" t="s">
        <v>23238</v>
      </c>
      <c r="B1919" s="419" t="s">
        <v>23237</v>
      </c>
      <c r="C1919" s="405">
        <v>827</v>
      </c>
    </row>
    <row r="1920" spans="1:3" s="486" customFormat="1" ht="15" customHeight="1">
      <c r="A1920" s="504" t="s">
        <v>23236</v>
      </c>
      <c r="B1920" s="419" t="s">
        <v>23235</v>
      </c>
      <c r="C1920" s="405">
        <v>1066</v>
      </c>
    </row>
    <row r="1921" spans="1:3" s="486" customFormat="1" ht="15" customHeight="1">
      <c r="A1921" s="504" t="s">
        <v>23234</v>
      </c>
      <c r="B1921" s="430" t="s">
        <v>23233</v>
      </c>
      <c r="C1921" s="405">
        <v>1118</v>
      </c>
    </row>
    <row r="1922" spans="1:3" s="486" customFormat="1" ht="15" customHeight="1">
      <c r="A1922" s="409" t="s">
        <v>23232</v>
      </c>
      <c r="B1922" s="430" t="s">
        <v>23231</v>
      </c>
      <c r="C1922" s="416">
        <v>1307</v>
      </c>
    </row>
    <row r="1923" spans="1:3" s="486" customFormat="1" ht="15" customHeight="1">
      <c r="A1923" s="409" t="s">
        <v>23230</v>
      </c>
      <c r="B1923" s="430" t="s">
        <v>23229</v>
      </c>
      <c r="C1923" s="416">
        <v>1728</v>
      </c>
    </row>
    <row r="1924" spans="1:3" s="486" customFormat="1" ht="15" customHeight="1">
      <c r="A1924" s="409" t="s">
        <v>23228</v>
      </c>
      <c r="B1924" s="430" t="s">
        <v>23227</v>
      </c>
      <c r="C1924" s="416">
        <v>1969</v>
      </c>
    </row>
    <row r="1925" spans="1:3" s="486" customFormat="1" ht="15" customHeight="1">
      <c r="A1925" s="409" t="s">
        <v>23226</v>
      </c>
      <c r="B1925" s="430" t="s">
        <v>23225</v>
      </c>
      <c r="C1925" s="416">
        <v>1590</v>
      </c>
    </row>
    <row r="1926" spans="1:3" s="486" customFormat="1" ht="15" customHeight="1">
      <c r="A1926" s="409" t="s">
        <v>23224</v>
      </c>
      <c r="B1926" s="430" t="s">
        <v>23223</v>
      </c>
      <c r="C1926" s="416">
        <v>1401</v>
      </c>
    </row>
    <row r="1927" spans="1:3" s="486" customFormat="1" ht="15" customHeight="1">
      <c r="A1927" s="409" t="s">
        <v>23222</v>
      </c>
      <c r="B1927" s="430" t="s">
        <v>23221</v>
      </c>
      <c r="C1927" s="416">
        <v>820</v>
      </c>
    </row>
    <row r="1928" spans="1:3" s="486" customFormat="1" ht="15" customHeight="1">
      <c r="A1928" s="409" t="s">
        <v>23220</v>
      </c>
      <c r="B1928" s="430" t="s">
        <v>23219</v>
      </c>
      <c r="C1928" s="416">
        <v>1060</v>
      </c>
    </row>
    <row r="1929" spans="1:3" s="486" customFormat="1" ht="15" customHeight="1">
      <c r="A1929" s="409" t="s">
        <v>23218</v>
      </c>
      <c r="B1929" s="430" t="s">
        <v>23217</v>
      </c>
      <c r="C1929" s="416">
        <v>1208</v>
      </c>
    </row>
    <row r="1930" spans="1:3" s="486" customFormat="1" ht="15" customHeight="1">
      <c r="A1930" s="409" t="s">
        <v>23216</v>
      </c>
      <c r="B1930" s="430" t="s">
        <v>23215</v>
      </c>
      <c r="C1930" s="416">
        <v>1397</v>
      </c>
    </row>
    <row r="1931" spans="1:3" s="486" customFormat="1" ht="15" customHeight="1">
      <c r="A1931" s="409" t="s">
        <v>23214</v>
      </c>
      <c r="B1931" s="430" t="s">
        <v>23213</v>
      </c>
      <c r="C1931" s="416">
        <v>1670</v>
      </c>
    </row>
    <row r="1932" spans="1:3" s="486" customFormat="1" ht="15" customHeight="1">
      <c r="A1932" s="409" t="s">
        <v>23212</v>
      </c>
      <c r="B1932" s="430" t="s">
        <v>23211</v>
      </c>
      <c r="C1932" s="416">
        <v>1911</v>
      </c>
    </row>
    <row r="1933" spans="1:3" s="486" customFormat="1" ht="15" customHeight="1">
      <c r="A1933" s="409" t="s">
        <v>23210</v>
      </c>
      <c r="B1933" s="430" t="s">
        <v>23209</v>
      </c>
      <c r="C1933" s="416">
        <v>1545</v>
      </c>
    </row>
    <row r="1934" spans="1:3" s="486" customFormat="1" ht="15" customHeight="1">
      <c r="A1934" s="409" t="s">
        <v>23208</v>
      </c>
      <c r="B1934" s="430" t="s">
        <v>23207</v>
      </c>
      <c r="C1934" s="416">
        <v>1356</v>
      </c>
    </row>
    <row r="1935" spans="1:3" s="486" customFormat="1" ht="15" customHeight="1">
      <c r="A1935" s="409" t="s">
        <v>23206</v>
      </c>
      <c r="B1935" s="430" t="s">
        <v>23205</v>
      </c>
      <c r="C1935" s="416">
        <v>1155</v>
      </c>
    </row>
    <row r="1936" spans="1:3" s="486" customFormat="1" ht="15" customHeight="1">
      <c r="A1936" s="409" t="s">
        <v>23204</v>
      </c>
      <c r="B1936" s="430" t="s">
        <v>23203</v>
      </c>
      <c r="C1936" s="416">
        <v>1395</v>
      </c>
    </row>
    <row r="1937" spans="1:3" s="486" customFormat="1" ht="15" customHeight="1">
      <c r="A1937" s="409" t="s">
        <v>23202</v>
      </c>
      <c r="B1937" s="430" t="s">
        <v>23201</v>
      </c>
      <c r="C1937" s="416">
        <v>1097</v>
      </c>
    </row>
    <row r="1938" spans="1:3" s="486" customFormat="1" ht="15" customHeight="1">
      <c r="A1938" s="409" t="s">
        <v>23200</v>
      </c>
      <c r="B1938" s="430" t="s">
        <v>23199</v>
      </c>
      <c r="C1938" s="416">
        <v>1337</v>
      </c>
    </row>
    <row r="1939" spans="1:3" s="486" customFormat="1" ht="15" customHeight="1">
      <c r="A1939" s="409" t="s">
        <v>23198</v>
      </c>
      <c r="B1939" s="430" t="s">
        <v>23197</v>
      </c>
      <c r="C1939" s="416">
        <v>936</v>
      </c>
    </row>
    <row r="1940" spans="1:3" s="486" customFormat="1" ht="15" customHeight="1">
      <c r="A1940" s="409" t="s">
        <v>23196</v>
      </c>
      <c r="B1940" s="430" t="s">
        <v>23195</v>
      </c>
      <c r="C1940" s="416">
        <v>1176</v>
      </c>
    </row>
    <row r="1941" spans="1:3" s="486" customFormat="1" ht="15" customHeight="1">
      <c r="A1941" s="503" t="s">
        <v>23194</v>
      </c>
      <c r="B1941" s="430" t="s">
        <v>23193</v>
      </c>
      <c r="C1941" s="416">
        <v>875</v>
      </c>
    </row>
    <row r="1942" spans="1:3" s="486" customFormat="1" ht="15" customHeight="1">
      <c r="A1942" s="503" t="s">
        <v>23192</v>
      </c>
      <c r="B1942" s="430" t="s">
        <v>23191</v>
      </c>
      <c r="C1942" s="416">
        <v>1114</v>
      </c>
    </row>
    <row r="1943" spans="1:3" s="486" customFormat="1" ht="15" customHeight="1">
      <c r="A1943" s="503" t="s">
        <v>23190</v>
      </c>
      <c r="B1943" s="430" t="s">
        <v>23189</v>
      </c>
      <c r="C1943" s="416">
        <v>1094</v>
      </c>
    </row>
    <row r="1944" spans="1:3" s="486" customFormat="1" ht="15" customHeight="1">
      <c r="A1944" s="503" t="s">
        <v>23188</v>
      </c>
      <c r="B1944" s="430" t="s">
        <v>23187</v>
      </c>
      <c r="C1944" s="416">
        <v>1333</v>
      </c>
    </row>
    <row r="1945" spans="1:3" s="486" customFormat="1" ht="15" customHeight="1">
      <c r="A1945" s="503" t="s">
        <v>23186</v>
      </c>
      <c r="B1945" s="430" t="s">
        <v>23185</v>
      </c>
      <c r="C1945" s="416">
        <v>566</v>
      </c>
    </row>
    <row r="1946" spans="1:3" s="486" customFormat="1" ht="15" customHeight="1">
      <c r="A1946" s="503" t="s">
        <v>23184</v>
      </c>
      <c r="B1946" s="430" t="s">
        <v>23183</v>
      </c>
      <c r="C1946" s="416">
        <v>805</v>
      </c>
    </row>
    <row r="1947" spans="1:3" s="486" customFormat="1" ht="15" customHeight="1">
      <c r="A1947" s="503" t="s">
        <v>23182</v>
      </c>
      <c r="B1947" s="430" t="s">
        <v>23181</v>
      </c>
      <c r="C1947" s="416">
        <v>837</v>
      </c>
    </row>
    <row r="1948" spans="1:3" s="486" customFormat="1" ht="15" customHeight="1">
      <c r="A1948" s="503" t="s">
        <v>23180</v>
      </c>
      <c r="B1948" s="430" t="s">
        <v>23179</v>
      </c>
      <c r="C1948" s="416">
        <v>651</v>
      </c>
    </row>
    <row r="1949" spans="1:3" s="486" customFormat="1" ht="15" customHeight="1">
      <c r="A1949" s="503" t="s">
        <v>23178</v>
      </c>
      <c r="B1949" s="430" t="s">
        <v>23177</v>
      </c>
      <c r="C1949" s="416">
        <v>785</v>
      </c>
    </row>
    <row r="1950" spans="1:3" s="486" customFormat="1" ht="15" customHeight="1">
      <c r="A1950" s="502" t="s">
        <v>23176</v>
      </c>
      <c r="B1950" s="501" t="s">
        <v>23175</v>
      </c>
      <c r="C1950" s="416">
        <v>1024</v>
      </c>
    </row>
    <row r="1951" spans="1:3" s="486" customFormat="1" ht="15" customHeight="1">
      <c r="A1951" s="500" t="s">
        <v>23174</v>
      </c>
      <c r="B1951" s="499" t="s">
        <v>23173</v>
      </c>
      <c r="C1951" s="417">
        <v>1046</v>
      </c>
    </row>
    <row r="1952" spans="1:3" s="486" customFormat="1" ht="15" customHeight="1">
      <c r="A1952" s="500" t="s">
        <v>23172</v>
      </c>
      <c r="B1952" s="499" t="s">
        <v>23171</v>
      </c>
      <c r="C1952" s="417">
        <v>1235</v>
      </c>
    </row>
    <row r="1953" spans="1:3" s="486" customFormat="1" ht="15" customHeight="1">
      <c r="A1953" s="498" t="s">
        <v>23170</v>
      </c>
      <c r="B1953" s="497" t="s">
        <v>23169</v>
      </c>
      <c r="C1953" s="417">
        <v>1634</v>
      </c>
    </row>
    <row r="1954" spans="1:3" s="486" customFormat="1" ht="15" customHeight="1">
      <c r="A1954" s="498" t="s">
        <v>23168</v>
      </c>
      <c r="B1954" s="497" t="s">
        <v>23167</v>
      </c>
      <c r="C1954" s="417">
        <v>1874</v>
      </c>
    </row>
    <row r="1955" spans="1:3" s="486" customFormat="1" ht="15" customHeight="1">
      <c r="A1955" s="498" t="s">
        <v>23166</v>
      </c>
      <c r="B1955" s="497" t="s">
        <v>23165</v>
      </c>
      <c r="C1955" s="417">
        <v>1518</v>
      </c>
    </row>
    <row r="1956" spans="1:3" s="486" customFormat="1" ht="15" customHeight="1">
      <c r="A1956" s="498" t="s">
        <v>23164</v>
      </c>
      <c r="B1956" s="497" t="s">
        <v>23163</v>
      </c>
      <c r="C1956" s="417">
        <v>1329</v>
      </c>
    </row>
    <row r="1957" spans="1:3" s="486" customFormat="1" ht="15" customHeight="1">
      <c r="A1957" s="498" t="s">
        <v>23162</v>
      </c>
      <c r="B1957" s="497" t="s">
        <v>23161</v>
      </c>
      <c r="C1957" s="417">
        <v>554</v>
      </c>
    </row>
    <row r="1958" spans="1:3" s="486" customFormat="1" ht="15" customHeight="1">
      <c r="A1958" s="498" t="s">
        <v>23160</v>
      </c>
      <c r="B1958" s="497" t="s">
        <v>23159</v>
      </c>
      <c r="C1958" s="417">
        <v>745</v>
      </c>
    </row>
    <row r="1959" spans="1:3" s="486" customFormat="1" ht="15" customHeight="1">
      <c r="A1959" s="498" t="s">
        <v>23158</v>
      </c>
      <c r="B1959" s="497" t="s">
        <v>23157</v>
      </c>
      <c r="C1959" s="417">
        <v>1136</v>
      </c>
    </row>
    <row r="1960" spans="1:3" s="486" customFormat="1" ht="15" customHeight="1">
      <c r="A1960" s="498" t="s">
        <v>23156</v>
      </c>
      <c r="B1960" s="497" t="s">
        <v>23155</v>
      </c>
      <c r="C1960" s="417">
        <v>1325</v>
      </c>
    </row>
    <row r="1961" spans="1:3" s="486" customFormat="1" ht="15" customHeight="1">
      <c r="A1961" s="498" t="s">
        <v>23154</v>
      </c>
      <c r="B1961" s="497" t="s">
        <v>23153</v>
      </c>
      <c r="C1961" s="417">
        <v>981</v>
      </c>
    </row>
    <row r="1962" spans="1:3" s="486" customFormat="1" ht="15" customHeight="1">
      <c r="A1962" s="498" t="s">
        <v>23152</v>
      </c>
      <c r="B1962" s="497" t="s">
        <v>23151</v>
      </c>
      <c r="C1962" s="417">
        <v>1221</v>
      </c>
    </row>
    <row r="1963" spans="1:3" s="486" customFormat="1" ht="15" customHeight="1">
      <c r="A1963" s="420" t="s">
        <v>23150</v>
      </c>
      <c r="B1963" s="419" t="s">
        <v>23149</v>
      </c>
      <c r="C1963" s="418">
        <v>983</v>
      </c>
    </row>
    <row r="1964" spans="1:3" s="486" customFormat="1" ht="15" customHeight="1">
      <c r="A1964" s="420" t="s">
        <v>23148</v>
      </c>
      <c r="B1964" s="419" t="s">
        <v>23147</v>
      </c>
      <c r="C1964" s="418">
        <v>794</v>
      </c>
    </row>
    <row r="1965" spans="1:3" s="486" customFormat="1" ht="15" customHeight="1">
      <c r="A1965" s="420" t="s">
        <v>23146</v>
      </c>
      <c r="B1965" s="419" t="s">
        <v>23145</v>
      </c>
      <c r="C1965" s="496">
        <v>926</v>
      </c>
    </row>
    <row r="1966" spans="1:3" s="486" customFormat="1" ht="15" customHeight="1">
      <c r="A1966" s="420" t="s">
        <v>23144</v>
      </c>
      <c r="B1966" s="419" t="s">
        <v>23143</v>
      </c>
      <c r="C1966" s="494">
        <v>1086</v>
      </c>
    </row>
    <row r="1967" spans="1:3" s="486" customFormat="1" ht="15" customHeight="1">
      <c r="A1967" s="420" t="s">
        <v>23142</v>
      </c>
      <c r="B1967" s="419" t="s">
        <v>23141</v>
      </c>
      <c r="C1967" s="495">
        <v>1324</v>
      </c>
    </row>
    <row r="1968" spans="1:3" s="486" customFormat="1" ht="15" customHeight="1">
      <c r="A1968" s="420" t="s">
        <v>23140</v>
      </c>
      <c r="B1968" s="419" t="s">
        <v>23139</v>
      </c>
      <c r="C1968" s="494">
        <v>1164</v>
      </c>
    </row>
    <row r="1969" spans="1:3" s="486" customFormat="1" ht="15" customHeight="1">
      <c r="A1969" s="420" t="s">
        <v>23138</v>
      </c>
      <c r="B1969" s="419" t="s">
        <v>23137</v>
      </c>
      <c r="C1969" s="495">
        <v>525</v>
      </c>
    </row>
    <row r="1970" spans="1:3" s="486" customFormat="1" ht="15" customHeight="1">
      <c r="A1970" s="420" t="s">
        <v>23136</v>
      </c>
      <c r="B1970" s="419" t="s">
        <v>23135</v>
      </c>
      <c r="C1970" s="494">
        <v>685</v>
      </c>
    </row>
    <row r="1971" spans="1:3" s="486" customFormat="1" ht="15" customHeight="1">
      <c r="A1971" s="420" t="s">
        <v>23134</v>
      </c>
      <c r="B1971" s="419" t="s">
        <v>23133</v>
      </c>
      <c r="C1971" s="496">
        <v>1034</v>
      </c>
    </row>
    <row r="1972" spans="1:3" s="486" customFormat="1" ht="15" customHeight="1">
      <c r="A1972" s="420" t="s">
        <v>23132</v>
      </c>
      <c r="B1972" s="419" t="s">
        <v>23131</v>
      </c>
      <c r="C1972" s="494">
        <v>1194</v>
      </c>
    </row>
    <row r="1973" spans="1:3" s="486" customFormat="1" ht="15" customHeight="1">
      <c r="A1973" s="420" t="s">
        <v>23130</v>
      </c>
      <c r="B1973" s="419" t="s">
        <v>23129</v>
      </c>
      <c r="C1973" s="495">
        <v>1432</v>
      </c>
    </row>
    <row r="1974" spans="1:3" s="486" customFormat="1" ht="15" customHeight="1">
      <c r="A1974" s="420" t="s">
        <v>23128</v>
      </c>
      <c r="B1974" s="419" t="s">
        <v>23127</v>
      </c>
      <c r="C1974" s="494">
        <v>1272</v>
      </c>
    </row>
    <row r="1975" spans="1:3" s="486" customFormat="1" ht="15" customHeight="1">
      <c r="A1975" s="420" t="s">
        <v>23126</v>
      </c>
      <c r="B1975" s="419" t="s">
        <v>23125</v>
      </c>
      <c r="C1975" s="495">
        <v>1369</v>
      </c>
    </row>
    <row r="1976" spans="1:3" s="486" customFormat="1" ht="15" customHeight="1">
      <c r="A1976" s="420" t="s">
        <v>23124</v>
      </c>
      <c r="B1976" s="419" t="s">
        <v>23123</v>
      </c>
      <c r="C1976" s="494">
        <v>1209</v>
      </c>
    </row>
    <row r="1977" spans="1:3" s="486" customFormat="1" ht="15" customHeight="1">
      <c r="A1977" s="420" t="s">
        <v>23122</v>
      </c>
      <c r="B1977" s="419" t="s">
        <v>23121</v>
      </c>
      <c r="C1977" s="495">
        <v>1477</v>
      </c>
    </row>
    <row r="1978" spans="1:3" s="486" customFormat="1" ht="15" customHeight="1">
      <c r="A1978" s="420" t="s">
        <v>23120</v>
      </c>
      <c r="B1978" s="419" t="s">
        <v>23119</v>
      </c>
      <c r="C1978" s="494">
        <v>1317</v>
      </c>
    </row>
    <row r="1979" spans="1:3" s="486" customFormat="1" ht="15" customHeight="1">
      <c r="A1979" s="447" t="s">
        <v>23118</v>
      </c>
      <c r="B1979" s="419" t="s">
        <v>23117</v>
      </c>
      <c r="C1979" s="416">
        <v>1149</v>
      </c>
    </row>
    <row r="1980" spans="1:3" s="486" customFormat="1" ht="15" customHeight="1">
      <c r="A1980" s="447" t="s">
        <v>23116</v>
      </c>
      <c r="B1980" s="419" t="s">
        <v>23115</v>
      </c>
      <c r="C1980" s="416">
        <v>1396</v>
      </c>
    </row>
    <row r="1981" spans="1:3" s="486" customFormat="1" ht="15" customHeight="1">
      <c r="A1981" s="447" t="s">
        <v>23114</v>
      </c>
      <c r="B1981" s="419" t="s">
        <v>23113</v>
      </c>
      <c r="C1981" s="416">
        <v>1155</v>
      </c>
    </row>
    <row r="1982" spans="1:3" s="486" customFormat="1" ht="15" customHeight="1">
      <c r="A1982" s="447" t="s">
        <v>23112</v>
      </c>
      <c r="B1982" s="419" t="s">
        <v>23111</v>
      </c>
      <c r="C1982" s="416">
        <v>966</v>
      </c>
    </row>
    <row r="1983" spans="1:3" s="486" customFormat="1" ht="15" customHeight="1">
      <c r="A1983" s="447" t="s">
        <v>23110</v>
      </c>
      <c r="B1983" s="419" t="s">
        <v>23109</v>
      </c>
      <c r="C1983" s="416">
        <v>959</v>
      </c>
    </row>
    <row r="1984" spans="1:3" s="486" customFormat="1" ht="15" customHeight="1">
      <c r="A1984" s="447" t="s">
        <v>23108</v>
      </c>
      <c r="B1984" s="419" t="s">
        <v>23107</v>
      </c>
      <c r="C1984" s="416">
        <v>1198</v>
      </c>
    </row>
    <row r="1985" spans="1:3" s="486" customFormat="1" ht="15" customHeight="1">
      <c r="A1985" s="447" t="s">
        <v>23106</v>
      </c>
      <c r="B1985" s="419" t="s">
        <v>23105</v>
      </c>
      <c r="C1985" s="416">
        <v>815</v>
      </c>
    </row>
    <row r="1986" spans="1:3" s="486" customFormat="1" ht="15" customHeight="1">
      <c r="A1986" s="447" t="s">
        <v>23104</v>
      </c>
      <c r="B1986" s="419" t="s">
        <v>23103</v>
      </c>
      <c r="C1986" s="416">
        <v>1053</v>
      </c>
    </row>
    <row r="1987" spans="1:3" s="486" customFormat="1" ht="15" customHeight="1">
      <c r="A1987" s="447" t="s">
        <v>23102</v>
      </c>
      <c r="B1987" s="419" t="s">
        <v>23101</v>
      </c>
      <c r="C1987" s="416">
        <v>596</v>
      </c>
    </row>
    <row r="1988" spans="1:3" s="486" customFormat="1" ht="15" customHeight="1">
      <c r="A1988" s="447" t="s">
        <v>23100</v>
      </c>
      <c r="B1988" s="419" t="s">
        <v>23099</v>
      </c>
      <c r="C1988" s="416">
        <v>835</v>
      </c>
    </row>
    <row r="1989" spans="1:3" s="486" customFormat="1" ht="15" customHeight="1">
      <c r="A1989" s="420" t="s">
        <v>23098</v>
      </c>
      <c r="B1989" s="419" t="s">
        <v>23097</v>
      </c>
      <c r="C1989" s="416">
        <v>634</v>
      </c>
    </row>
    <row r="1990" spans="1:3" s="486" customFormat="1" ht="15" customHeight="1">
      <c r="A1990" s="420" t="s">
        <v>23096</v>
      </c>
      <c r="B1990" s="430" t="s">
        <v>23095</v>
      </c>
      <c r="C1990" s="416">
        <v>1104</v>
      </c>
    </row>
    <row r="1991" spans="1:3" s="486" customFormat="1" ht="15" customHeight="1">
      <c r="A1991" s="420" t="s">
        <v>23094</v>
      </c>
      <c r="B1991" s="430" t="s">
        <v>23093</v>
      </c>
      <c r="C1991" s="416">
        <v>1330</v>
      </c>
    </row>
    <row r="1992" spans="1:3" s="486" customFormat="1" ht="15" customHeight="1">
      <c r="A1992" s="420" t="s">
        <v>23092</v>
      </c>
      <c r="B1992" s="430" t="s">
        <v>23091</v>
      </c>
      <c r="C1992" s="416">
        <v>1647</v>
      </c>
    </row>
    <row r="1993" spans="1:3" s="486" customFormat="1" ht="15" customHeight="1">
      <c r="A1993" s="420" t="s">
        <v>23090</v>
      </c>
      <c r="B1993" s="430" t="s">
        <v>23089</v>
      </c>
      <c r="C1993" s="416">
        <v>1932</v>
      </c>
    </row>
    <row r="1994" spans="1:3" s="486" customFormat="1" ht="15" customHeight="1">
      <c r="A1994" s="420" t="s">
        <v>23088</v>
      </c>
      <c r="B1994" s="430" t="s">
        <v>23087</v>
      </c>
      <c r="C1994" s="416">
        <v>1098</v>
      </c>
    </row>
    <row r="1995" spans="1:3" s="486" customFormat="1" ht="15" customHeight="1">
      <c r="A1995" s="420" t="s">
        <v>23086</v>
      </c>
      <c r="B1995" s="430" t="s">
        <v>23085</v>
      </c>
      <c r="C1995" s="416">
        <v>1375</v>
      </c>
    </row>
    <row r="1996" spans="1:3" s="486" customFormat="1" ht="15" customHeight="1">
      <c r="A1996" s="420" t="s">
        <v>23084</v>
      </c>
      <c r="B1996" s="430" t="s">
        <v>23083</v>
      </c>
      <c r="C1996" s="416">
        <v>1433</v>
      </c>
    </row>
    <row r="1997" spans="1:3" s="486" customFormat="1" ht="15" customHeight="1">
      <c r="A1997" s="420" t="s">
        <v>23082</v>
      </c>
      <c r="B1997" s="430" t="s">
        <v>23081</v>
      </c>
      <c r="C1997" s="416">
        <v>1677</v>
      </c>
    </row>
    <row r="1998" spans="1:3" s="486" customFormat="1" ht="15" customHeight="1">
      <c r="A1998" s="420" t="s">
        <v>23080</v>
      </c>
      <c r="B1998" s="430" t="s">
        <v>23079</v>
      </c>
      <c r="C1998" s="416">
        <v>570</v>
      </c>
    </row>
    <row r="1999" spans="1:3" s="486" customFormat="1" ht="15" customHeight="1">
      <c r="A1999" s="420" t="s">
        <v>23078</v>
      </c>
      <c r="B1999" s="430" t="s">
        <v>23077</v>
      </c>
      <c r="C1999" s="416">
        <v>767</v>
      </c>
    </row>
    <row r="2000" spans="1:3" s="486" customFormat="1" ht="15" customHeight="1">
      <c r="A2000" s="420" t="s">
        <v>23076</v>
      </c>
      <c r="B2000" s="430" t="s">
        <v>23075</v>
      </c>
      <c r="C2000" s="416">
        <v>1768</v>
      </c>
    </row>
    <row r="2001" spans="1:3" s="486" customFormat="1" ht="15" customHeight="1">
      <c r="A2001" s="420" t="s">
        <v>23074</v>
      </c>
      <c r="B2001" s="430" t="s">
        <v>23073</v>
      </c>
      <c r="C2001" s="416">
        <v>2012</v>
      </c>
    </row>
    <row r="2002" spans="1:3" s="486" customFormat="1" ht="15" customHeight="1">
      <c r="A2002" s="420" t="s">
        <v>23072</v>
      </c>
      <c r="B2002" s="419" t="s">
        <v>23071</v>
      </c>
      <c r="C2002" s="418">
        <v>1615</v>
      </c>
    </row>
    <row r="2003" spans="1:3" s="486" customFormat="1" ht="15" customHeight="1">
      <c r="A2003" s="420" t="s">
        <v>23070</v>
      </c>
      <c r="B2003" s="419" t="s">
        <v>23069</v>
      </c>
      <c r="C2003" s="418">
        <v>1423</v>
      </c>
    </row>
    <row r="2004" spans="1:3" s="486" customFormat="1" ht="15" customHeight="1">
      <c r="A2004" s="420" t="s">
        <v>23068</v>
      </c>
      <c r="B2004" s="430" t="s">
        <v>23067</v>
      </c>
      <c r="C2004" s="416">
        <v>1075</v>
      </c>
    </row>
    <row r="2005" spans="1:3" s="486" customFormat="1" ht="15" customHeight="1">
      <c r="A2005" s="420" t="s">
        <v>23066</v>
      </c>
      <c r="B2005" s="430" t="s">
        <v>23065</v>
      </c>
      <c r="C2005" s="416">
        <v>1319</v>
      </c>
    </row>
    <row r="2006" spans="1:3" s="486" customFormat="1" ht="15" customHeight="1">
      <c r="A2006" s="420" t="s">
        <v>23064</v>
      </c>
      <c r="B2006" s="430" t="s">
        <v>23063</v>
      </c>
      <c r="C2006" s="416">
        <v>1230</v>
      </c>
    </row>
    <row r="2007" spans="1:3" s="486" customFormat="1" ht="15" customHeight="1">
      <c r="A2007" s="420" t="s">
        <v>23062</v>
      </c>
      <c r="B2007" s="430" t="s">
        <v>23061</v>
      </c>
      <c r="C2007" s="416">
        <v>1422</v>
      </c>
    </row>
    <row r="2008" spans="1:3" s="486" customFormat="1" ht="15" customHeight="1">
      <c r="A2008" s="420" t="s">
        <v>23060</v>
      </c>
      <c r="B2008" s="430" t="s">
        <v>23059</v>
      </c>
      <c r="C2008" s="416">
        <v>1114</v>
      </c>
    </row>
    <row r="2009" spans="1:3" s="486" customFormat="1" ht="15" customHeight="1">
      <c r="A2009" s="420" t="s">
        <v>23058</v>
      </c>
      <c r="B2009" s="430" t="s">
        <v>23057</v>
      </c>
      <c r="C2009" s="416">
        <v>1209</v>
      </c>
    </row>
    <row r="2010" spans="1:3" s="486" customFormat="1" ht="15" customHeight="1">
      <c r="A2010" s="420" t="s">
        <v>23056</v>
      </c>
      <c r="B2010" s="430" t="s">
        <v>23055</v>
      </c>
      <c r="C2010" s="416">
        <v>1616</v>
      </c>
    </row>
    <row r="2011" spans="1:3" s="486" customFormat="1" ht="15" customHeight="1">
      <c r="A2011" s="420" t="s">
        <v>23054</v>
      </c>
      <c r="B2011" s="430" t="s">
        <v>23053</v>
      </c>
      <c r="C2011" s="416">
        <v>1733</v>
      </c>
    </row>
    <row r="2012" spans="1:3" s="486" customFormat="1" ht="15" customHeight="1">
      <c r="A2012" s="420" t="s">
        <v>23052</v>
      </c>
      <c r="B2012" s="430" t="s">
        <v>23051</v>
      </c>
      <c r="C2012" s="416">
        <v>1400</v>
      </c>
    </row>
    <row r="2013" spans="1:3" s="486" customFormat="1" ht="15" customHeight="1">
      <c r="A2013" s="420" t="s">
        <v>23050</v>
      </c>
      <c r="B2013" s="430" t="s">
        <v>23049</v>
      </c>
      <c r="C2013" s="416">
        <v>1307</v>
      </c>
    </row>
    <row r="2014" spans="1:3" s="486" customFormat="1" ht="15" customHeight="1">
      <c r="A2014" s="420" t="s">
        <v>23048</v>
      </c>
      <c r="B2014" s="430" t="s">
        <v>23047</v>
      </c>
      <c r="C2014" s="416">
        <v>742</v>
      </c>
    </row>
    <row r="2015" spans="1:3" s="486" customFormat="1" ht="15" customHeight="1">
      <c r="A2015" s="420" t="s">
        <v>23046</v>
      </c>
      <c r="B2015" s="430" t="s">
        <v>23045</v>
      </c>
      <c r="C2015" s="416">
        <v>800</v>
      </c>
    </row>
    <row r="2016" spans="1:3" s="486" customFormat="1" ht="15" customHeight="1">
      <c r="A2016" s="420" t="s">
        <v>23044</v>
      </c>
      <c r="B2016" s="430" t="s">
        <v>23043</v>
      </c>
      <c r="C2016" s="416">
        <v>960</v>
      </c>
    </row>
    <row r="2017" spans="1:3" s="486" customFormat="1" ht="15" customHeight="1">
      <c r="A2017" s="420" t="s">
        <v>23042</v>
      </c>
      <c r="B2017" s="430" t="s">
        <v>23041</v>
      </c>
      <c r="C2017" s="416">
        <v>1076</v>
      </c>
    </row>
    <row r="2018" spans="1:3" s="486" customFormat="1" ht="15" customHeight="1">
      <c r="A2018" s="420" t="s">
        <v>23040</v>
      </c>
      <c r="B2018" s="430" t="s">
        <v>23039</v>
      </c>
      <c r="C2018" s="416">
        <v>1220</v>
      </c>
    </row>
    <row r="2019" spans="1:3" s="486" customFormat="1" ht="15" customHeight="1">
      <c r="A2019" s="420" t="s">
        <v>23038</v>
      </c>
      <c r="B2019" s="430" t="s">
        <v>23037</v>
      </c>
      <c r="C2019" s="416">
        <v>1313</v>
      </c>
    </row>
    <row r="2020" spans="1:3" s="486" customFormat="1" ht="15" customHeight="1">
      <c r="A2020" s="420" t="s">
        <v>23036</v>
      </c>
      <c r="B2020" s="430" t="s">
        <v>23035</v>
      </c>
      <c r="C2020" s="416">
        <v>1737</v>
      </c>
    </row>
    <row r="2021" spans="1:3" s="486" customFormat="1" ht="15" customHeight="1">
      <c r="A2021" s="420" t="s">
        <v>23034</v>
      </c>
      <c r="B2021" s="430" t="s">
        <v>23033</v>
      </c>
      <c r="C2021" s="416">
        <v>1853</v>
      </c>
    </row>
    <row r="2022" spans="1:3" s="486" customFormat="1" ht="15" customHeight="1">
      <c r="A2022" s="420" t="s">
        <v>23032</v>
      </c>
      <c r="B2022" s="430" t="s">
        <v>23031</v>
      </c>
      <c r="C2022" s="416">
        <v>1507</v>
      </c>
    </row>
    <row r="2023" spans="1:3" s="486" customFormat="1" ht="15" customHeight="1">
      <c r="A2023" s="420" t="s">
        <v>23030</v>
      </c>
      <c r="B2023" s="430" t="s">
        <v>23029</v>
      </c>
      <c r="C2023" s="416">
        <v>1413</v>
      </c>
    </row>
    <row r="2024" spans="1:3" s="486" customFormat="1" ht="15" customHeight="1">
      <c r="A2024" s="420" t="s">
        <v>23028</v>
      </c>
      <c r="B2024" s="430" t="s">
        <v>23027</v>
      </c>
      <c r="C2024" s="416">
        <v>866</v>
      </c>
    </row>
    <row r="2025" spans="1:3" s="486" customFormat="1" ht="15" customHeight="1">
      <c r="A2025" s="420" t="s">
        <v>23026</v>
      </c>
      <c r="B2025" s="430" t="s">
        <v>23025</v>
      </c>
      <c r="C2025" s="416">
        <v>982</v>
      </c>
    </row>
    <row r="2026" spans="1:3" s="486" customFormat="1" ht="15" customHeight="1">
      <c r="A2026" s="420" t="s">
        <v>23024</v>
      </c>
      <c r="B2026" s="430" t="s">
        <v>23023</v>
      </c>
      <c r="C2026" s="416">
        <v>1085</v>
      </c>
    </row>
    <row r="2027" spans="1:3" s="486" customFormat="1" ht="15" customHeight="1">
      <c r="A2027" s="420" t="s">
        <v>23022</v>
      </c>
      <c r="B2027" s="430" t="s">
        <v>23021</v>
      </c>
      <c r="C2027" s="416">
        <v>1201</v>
      </c>
    </row>
    <row r="2028" spans="1:3" s="486" customFormat="1" ht="15" customHeight="1">
      <c r="A2028" s="493" t="s">
        <v>23020</v>
      </c>
      <c r="B2028" s="411" t="s">
        <v>23019</v>
      </c>
      <c r="C2028" s="417">
        <v>139</v>
      </c>
    </row>
    <row r="2029" spans="1:3" s="486" customFormat="1" ht="15" customHeight="1">
      <c r="A2029" s="493" t="s">
        <v>23018</v>
      </c>
      <c r="B2029" s="411" t="s">
        <v>23017</v>
      </c>
      <c r="C2029" s="417">
        <v>139</v>
      </c>
    </row>
    <row r="2030" spans="1:3" s="486" customFormat="1" ht="15" customHeight="1">
      <c r="A2030" s="493" t="s">
        <v>23016</v>
      </c>
      <c r="B2030" s="419" t="s">
        <v>23015</v>
      </c>
      <c r="C2030" s="417">
        <v>180</v>
      </c>
    </row>
    <row r="2031" spans="1:3" s="486" customFormat="1" ht="15" customHeight="1">
      <c r="A2031" s="409" t="s">
        <v>23014</v>
      </c>
      <c r="B2031" s="419" t="s">
        <v>23013</v>
      </c>
      <c r="C2031" s="417">
        <v>177</v>
      </c>
    </row>
    <row r="2032" spans="1:3" s="486" customFormat="1" ht="15" customHeight="1">
      <c r="A2032" s="487" t="s">
        <v>23012</v>
      </c>
      <c r="B2032" s="419" t="s">
        <v>23011</v>
      </c>
      <c r="C2032" s="417">
        <v>385</v>
      </c>
    </row>
    <row r="2033" spans="1:3" s="486" customFormat="1" ht="15" customHeight="1">
      <c r="A2033" s="409" t="s">
        <v>23010</v>
      </c>
      <c r="B2033" s="442" t="s">
        <v>23009</v>
      </c>
      <c r="C2033" s="416">
        <v>726</v>
      </c>
    </row>
    <row r="2034" spans="1:3" s="486" customFormat="1" ht="15" customHeight="1">
      <c r="A2034" s="409" t="s">
        <v>23008</v>
      </c>
      <c r="B2034" s="442" t="s">
        <v>23007</v>
      </c>
      <c r="C2034" s="416">
        <v>726</v>
      </c>
    </row>
    <row r="2035" spans="1:3" s="486" customFormat="1" ht="15" customHeight="1">
      <c r="A2035" s="409" t="s">
        <v>23006</v>
      </c>
      <c r="B2035" s="442" t="s">
        <v>23005</v>
      </c>
      <c r="C2035" s="416">
        <v>726</v>
      </c>
    </row>
    <row r="2036" spans="1:3" s="486" customFormat="1" ht="15" customHeight="1">
      <c r="A2036" s="409" t="s">
        <v>23004</v>
      </c>
      <c r="B2036" s="442" t="s">
        <v>23003</v>
      </c>
      <c r="C2036" s="416">
        <v>725</v>
      </c>
    </row>
    <row r="2037" spans="1:3" s="486" customFormat="1" ht="15" customHeight="1">
      <c r="A2037" s="409" t="s">
        <v>23002</v>
      </c>
      <c r="B2037" s="491" t="s">
        <v>23001</v>
      </c>
      <c r="C2037" s="416">
        <v>860</v>
      </c>
    </row>
    <row r="2038" spans="1:3" s="486" customFormat="1" ht="15" customHeight="1">
      <c r="A2038" s="409" t="s">
        <v>23000</v>
      </c>
      <c r="B2038" s="491" t="s">
        <v>22999</v>
      </c>
      <c r="C2038" s="416">
        <v>1001</v>
      </c>
    </row>
    <row r="2039" spans="1:3" s="486" customFormat="1" ht="15" customHeight="1">
      <c r="A2039" s="409" t="s">
        <v>22998</v>
      </c>
      <c r="B2039" s="491" t="s">
        <v>22997</v>
      </c>
      <c r="C2039" s="416">
        <v>1184</v>
      </c>
    </row>
    <row r="2040" spans="1:3" s="486" customFormat="1" ht="15" customHeight="1">
      <c r="A2040" s="409" t="s">
        <v>22996</v>
      </c>
      <c r="B2040" s="491" t="s">
        <v>22995</v>
      </c>
      <c r="C2040" s="416">
        <v>1005</v>
      </c>
    </row>
    <row r="2041" spans="1:3" s="486" customFormat="1" ht="15" customHeight="1">
      <c r="A2041" s="409" t="s">
        <v>22994</v>
      </c>
      <c r="B2041" s="491" t="s">
        <v>22993</v>
      </c>
      <c r="C2041" s="416">
        <v>1070</v>
      </c>
    </row>
    <row r="2042" spans="1:3" s="486" customFormat="1" ht="15" customHeight="1">
      <c r="A2042" s="409" t="s">
        <v>22992</v>
      </c>
      <c r="B2042" s="442" t="s">
        <v>22991</v>
      </c>
      <c r="C2042" s="416">
        <v>950</v>
      </c>
    </row>
    <row r="2043" spans="1:3" s="486" customFormat="1" ht="15" customHeight="1">
      <c r="A2043" s="409" t="s">
        <v>22990</v>
      </c>
      <c r="B2043" s="442" t="s">
        <v>22989</v>
      </c>
      <c r="C2043" s="416">
        <v>950</v>
      </c>
    </row>
    <row r="2044" spans="1:3" s="486" customFormat="1" ht="15" customHeight="1">
      <c r="A2044" s="492" t="s">
        <v>22988</v>
      </c>
      <c r="B2044" s="442" t="s">
        <v>22987</v>
      </c>
      <c r="C2044" s="416">
        <v>950</v>
      </c>
    </row>
    <row r="2045" spans="1:3" s="486" customFormat="1" ht="15" customHeight="1">
      <c r="A2045" s="492" t="s">
        <v>22986</v>
      </c>
      <c r="B2045" s="442" t="s">
        <v>22985</v>
      </c>
      <c r="C2045" s="416">
        <v>924</v>
      </c>
    </row>
    <row r="2046" spans="1:3" s="486" customFormat="1" ht="15" customHeight="1">
      <c r="A2046" s="492" t="s">
        <v>22984</v>
      </c>
      <c r="B2046" s="491" t="s">
        <v>22983</v>
      </c>
      <c r="C2046" s="416">
        <v>1069</v>
      </c>
    </row>
    <row r="2047" spans="1:3" s="486" customFormat="1" ht="15" customHeight="1">
      <c r="A2047" s="492" t="s">
        <v>22982</v>
      </c>
      <c r="B2047" s="491" t="s">
        <v>22981</v>
      </c>
      <c r="C2047" s="416">
        <v>1210</v>
      </c>
    </row>
    <row r="2048" spans="1:3" s="486" customFormat="1" ht="15" customHeight="1">
      <c r="A2048" s="492" t="s">
        <v>22980</v>
      </c>
      <c r="B2048" s="491" t="s">
        <v>22979</v>
      </c>
      <c r="C2048" s="416">
        <v>1436</v>
      </c>
    </row>
    <row r="2049" spans="1:3" s="486" customFormat="1" ht="15" customHeight="1">
      <c r="A2049" s="409" t="s">
        <v>22978</v>
      </c>
      <c r="B2049" s="491" t="s">
        <v>22977</v>
      </c>
      <c r="C2049" s="416">
        <v>1256</v>
      </c>
    </row>
    <row r="2050" spans="1:3" s="486" customFormat="1" ht="15" customHeight="1">
      <c r="A2050" s="409" t="s">
        <v>22976</v>
      </c>
      <c r="B2050" s="491" t="s">
        <v>22975</v>
      </c>
      <c r="C2050" s="416">
        <v>1321</v>
      </c>
    </row>
    <row r="2051" spans="1:3" s="486" customFormat="1" ht="15" customHeight="1">
      <c r="A2051" s="466" t="s">
        <v>22974</v>
      </c>
      <c r="B2051" s="490" t="s">
        <v>22973</v>
      </c>
      <c r="C2051" s="416">
        <v>122</v>
      </c>
    </row>
    <row r="2052" spans="1:3" s="486" customFormat="1" ht="15" customHeight="1">
      <c r="A2052" s="420" t="s">
        <v>22972</v>
      </c>
      <c r="B2052" s="419" t="s">
        <v>22971</v>
      </c>
      <c r="C2052" s="417">
        <v>246</v>
      </c>
    </row>
    <row r="2053" spans="1:3" s="486" customFormat="1" ht="15" customHeight="1">
      <c r="A2053" s="420" t="s">
        <v>22970</v>
      </c>
      <c r="B2053" s="489" t="s">
        <v>22969</v>
      </c>
      <c r="C2053" s="416">
        <v>207</v>
      </c>
    </row>
    <row r="2054" spans="1:3" s="486" customFormat="1" ht="15" customHeight="1">
      <c r="A2054" s="420" t="s">
        <v>22968</v>
      </c>
      <c r="B2054" s="419" t="s">
        <v>22967</v>
      </c>
      <c r="C2054" s="416">
        <v>374</v>
      </c>
    </row>
    <row r="2055" spans="1:3" s="486" customFormat="1" ht="15" customHeight="1">
      <c r="A2055" s="420" t="s">
        <v>22966</v>
      </c>
      <c r="B2055" s="419" t="s">
        <v>22965</v>
      </c>
      <c r="C2055" s="416">
        <v>358</v>
      </c>
    </row>
    <row r="2056" spans="1:3" s="486" customFormat="1" ht="15" customHeight="1">
      <c r="A2056" s="420" t="s">
        <v>22964</v>
      </c>
      <c r="B2056" s="419" t="s">
        <v>22963</v>
      </c>
      <c r="C2056" s="416">
        <v>336</v>
      </c>
    </row>
    <row r="2057" spans="1:3" s="486" customFormat="1" ht="15" customHeight="1">
      <c r="A2057" s="420" t="s">
        <v>22962</v>
      </c>
      <c r="B2057" s="419" t="s">
        <v>22961</v>
      </c>
      <c r="C2057" s="416">
        <v>358</v>
      </c>
    </row>
    <row r="2058" spans="1:3" s="486" customFormat="1" ht="15" customHeight="1">
      <c r="A2058" s="420" t="s">
        <v>22960</v>
      </c>
      <c r="B2058" s="419" t="s">
        <v>22959</v>
      </c>
      <c r="C2058" s="416">
        <v>358</v>
      </c>
    </row>
    <row r="2059" spans="1:3" s="486" customFormat="1" ht="15" customHeight="1">
      <c r="A2059" s="487" t="s">
        <v>22958</v>
      </c>
      <c r="B2059" s="419" t="s">
        <v>22957</v>
      </c>
      <c r="C2059" s="416">
        <v>370</v>
      </c>
    </row>
    <row r="2060" spans="1:3" s="486" customFormat="1" ht="15" customHeight="1">
      <c r="A2060" s="420" t="s">
        <v>22956</v>
      </c>
      <c r="B2060" s="419" t="s">
        <v>22955</v>
      </c>
      <c r="C2060" s="416">
        <v>397</v>
      </c>
    </row>
    <row r="2061" spans="1:3" s="486" customFormat="1" ht="15" customHeight="1">
      <c r="A2061" s="420" t="s">
        <v>22954</v>
      </c>
      <c r="B2061" s="419" t="s">
        <v>22953</v>
      </c>
      <c r="C2061" s="417">
        <v>118</v>
      </c>
    </row>
    <row r="2062" spans="1:3" s="486" customFormat="1" ht="15" customHeight="1">
      <c r="A2062" s="420" t="s">
        <v>22952</v>
      </c>
      <c r="B2062" s="419" t="s">
        <v>22951</v>
      </c>
      <c r="C2062" s="417">
        <v>300</v>
      </c>
    </row>
    <row r="2063" spans="1:3" s="486" customFormat="1" ht="15" customHeight="1">
      <c r="A2063" s="420" t="s">
        <v>22950</v>
      </c>
      <c r="B2063" s="419" t="s">
        <v>22949</v>
      </c>
      <c r="C2063" s="417">
        <v>104</v>
      </c>
    </row>
    <row r="2064" spans="1:3" s="486" customFormat="1" ht="15" customHeight="1">
      <c r="A2064" s="420" t="s">
        <v>22948</v>
      </c>
      <c r="B2064" s="419" t="s">
        <v>22947</v>
      </c>
      <c r="C2064" s="416">
        <v>350</v>
      </c>
    </row>
    <row r="2065" spans="1:3" s="486" customFormat="1" ht="15" customHeight="1">
      <c r="A2065" s="420" t="s">
        <v>22946</v>
      </c>
      <c r="B2065" s="488" t="s">
        <v>22945</v>
      </c>
      <c r="C2065" s="417" t="s">
        <v>22944</v>
      </c>
    </row>
    <row r="2066" spans="1:3" s="486" customFormat="1" ht="15" customHeight="1">
      <c r="A2066" s="420" t="s">
        <v>22943</v>
      </c>
      <c r="B2066" s="488" t="s">
        <v>22942</v>
      </c>
      <c r="C2066" s="417">
        <v>175</v>
      </c>
    </row>
    <row r="2067" spans="1:3" s="486" customFormat="1" ht="15" customHeight="1">
      <c r="A2067" s="420" t="s">
        <v>22941</v>
      </c>
      <c r="B2067" s="488" t="s">
        <v>22940</v>
      </c>
      <c r="C2067" s="417">
        <v>175</v>
      </c>
    </row>
    <row r="2068" spans="1:3" s="486" customFormat="1" ht="15" customHeight="1">
      <c r="A2068" s="420" t="s">
        <v>22939</v>
      </c>
      <c r="B2068" s="419" t="s">
        <v>22938</v>
      </c>
      <c r="C2068" s="416">
        <v>203</v>
      </c>
    </row>
    <row r="2069" spans="1:3" s="486" customFormat="1" ht="15" customHeight="1">
      <c r="A2069" s="420" t="s">
        <v>22937</v>
      </c>
      <c r="B2069" s="419" t="s">
        <v>22936</v>
      </c>
      <c r="C2069" s="416">
        <v>350</v>
      </c>
    </row>
    <row r="2070" spans="1:3" s="486" customFormat="1" ht="15" customHeight="1">
      <c r="A2070" s="487" t="s">
        <v>22935</v>
      </c>
      <c r="B2070" s="419" t="s">
        <v>22934</v>
      </c>
      <c r="C2070" s="416">
        <v>290</v>
      </c>
    </row>
    <row r="2071" spans="1:3" s="486" customFormat="1" ht="15" customHeight="1">
      <c r="A2071" s="420" t="s">
        <v>22933</v>
      </c>
      <c r="B2071" s="419" t="s">
        <v>22932</v>
      </c>
      <c r="C2071" s="416">
        <v>275</v>
      </c>
    </row>
    <row r="2072" spans="1:3" s="486" customFormat="1" ht="15" customHeight="1">
      <c r="A2072" s="420" t="s">
        <v>22931</v>
      </c>
      <c r="B2072" s="419" t="s">
        <v>22930</v>
      </c>
      <c r="C2072" s="417">
        <v>252</v>
      </c>
    </row>
    <row r="2073" spans="1:3" s="486" customFormat="1" ht="15" customHeight="1">
      <c r="A2073" s="420" t="s">
        <v>22929</v>
      </c>
      <c r="B2073" s="419" t="s">
        <v>22928</v>
      </c>
      <c r="C2073" s="416">
        <v>288</v>
      </c>
    </row>
    <row r="2074" spans="1:3" s="486" customFormat="1" ht="15" customHeight="1">
      <c r="A2074" s="420" t="s">
        <v>22927</v>
      </c>
      <c r="B2074" s="419" t="s">
        <v>22926</v>
      </c>
      <c r="C2074" s="416">
        <v>189</v>
      </c>
    </row>
    <row r="2075" spans="1:3" s="486" customFormat="1" ht="15" customHeight="1">
      <c r="A2075" s="420" t="s">
        <v>22925</v>
      </c>
      <c r="B2075" s="419" t="s">
        <v>22924</v>
      </c>
      <c r="C2075" s="416">
        <v>299</v>
      </c>
    </row>
    <row r="2076" spans="1:3" s="486" customFormat="1" ht="15" customHeight="1">
      <c r="A2076" s="420" t="s">
        <v>22923</v>
      </c>
      <c r="B2076" s="430" t="s">
        <v>22922</v>
      </c>
      <c r="C2076" s="416">
        <v>627</v>
      </c>
    </row>
    <row r="2077" spans="1:3" s="486" customFormat="1" ht="15" customHeight="1">
      <c r="A2077" s="420" t="s">
        <v>22921</v>
      </c>
      <c r="B2077" s="430" t="s">
        <v>22920</v>
      </c>
      <c r="C2077" s="416">
        <v>742</v>
      </c>
    </row>
    <row r="2078" spans="1:3" s="486" customFormat="1" ht="15" customHeight="1">
      <c r="A2078" s="420" t="s">
        <v>22919</v>
      </c>
      <c r="B2078" s="430" t="s">
        <v>22918</v>
      </c>
      <c r="C2078" s="416">
        <v>610</v>
      </c>
    </row>
    <row r="2079" spans="1:3" s="486" customFormat="1" ht="15" customHeight="1">
      <c r="A2079" s="420" t="s">
        <v>22917</v>
      </c>
      <c r="B2079" s="430" t="s">
        <v>22916</v>
      </c>
      <c r="C2079" s="416">
        <v>725</v>
      </c>
    </row>
    <row r="2080" spans="1:3" s="486" customFormat="1" ht="15" customHeight="1">
      <c r="A2080" s="420" t="s">
        <v>22915</v>
      </c>
      <c r="B2080" s="430" t="s">
        <v>22914</v>
      </c>
      <c r="C2080" s="416">
        <v>658</v>
      </c>
    </row>
    <row r="2081" spans="1:3" s="486" customFormat="1" ht="15" customHeight="1">
      <c r="A2081" s="420" t="s">
        <v>22913</v>
      </c>
      <c r="B2081" s="430" t="s">
        <v>22912</v>
      </c>
      <c r="C2081" s="416">
        <v>773</v>
      </c>
    </row>
    <row r="2082" spans="1:3" s="486" customFormat="1" ht="15" customHeight="1">
      <c r="A2082" s="420" t="s">
        <v>22911</v>
      </c>
      <c r="B2082" s="430" t="s">
        <v>22910</v>
      </c>
      <c r="C2082" s="416">
        <v>523</v>
      </c>
    </row>
    <row r="2083" spans="1:3" s="486" customFormat="1" ht="15" customHeight="1">
      <c r="A2083" s="420" t="s">
        <v>22909</v>
      </c>
      <c r="B2083" s="430" t="s">
        <v>22908</v>
      </c>
      <c r="C2083" s="416">
        <v>638</v>
      </c>
    </row>
    <row r="2084" spans="1:3" s="486" customFormat="1" ht="15" customHeight="1">
      <c r="A2084" s="420" t="s">
        <v>22907</v>
      </c>
      <c r="B2084" s="430" t="s">
        <v>22906</v>
      </c>
      <c r="C2084" s="416">
        <v>585</v>
      </c>
    </row>
    <row r="2085" spans="1:3" s="486" customFormat="1" ht="15" customHeight="1">
      <c r="A2085" s="420" t="s">
        <v>22905</v>
      </c>
      <c r="B2085" s="430" t="s">
        <v>22904</v>
      </c>
      <c r="C2085" s="416">
        <v>700</v>
      </c>
    </row>
    <row r="2086" spans="1:3" s="486" customFormat="1" ht="15" customHeight="1">
      <c r="A2086" s="420" t="s">
        <v>22903</v>
      </c>
      <c r="B2086" s="430" t="s">
        <v>22902</v>
      </c>
      <c r="C2086" s="416">
        <v>601</v>
      </c>
    </row>
    <row r="2087" spans="1:3" s="486" customFormat="1" ht="15" customHeight="1">
      <c r="A2087" s="420" t="s">
        <v>22901</v>
      </c>
      <c r="B2087" s="430" t="s">
        <v>22900</v>
      </c>
      <c r="C2087" s="416">
        <v>716</v>
      </c>
    </row>
    <row r="2088" spans="1:3" s="486" customFormat="1" ht="15" customHeight="1">
      <c r="A2088" s="409" t="s">
        <v>22899</v>
      </c>
      <c r="B2088" s="430" t="s">
        <v>22898</v>
      </c>
      <c r="C2088" s="416">
        <v>632</v>
      </c>
    </row>
    <row r="2089" spans="1:3" s="486" customFormat="1" ht="15" customHeight="1">
      <c r="A2089" s="409" t="s">
        <v>22897</v>
      </c>
      <c r="B2089" s="430" t="s">
        <v>22896</v>
      </c>
      <c r="C2089" s="416">
        <v>747</v>
      </c>
    </row>
    <row r="2090" spans="1:3" s="486" customFormat="1" ht="15" customHeight="1">
      <c r="A2090" s="409" t="s">
        <v>22895</v>
      </c>
      <c r="B2090" s="430" t="s">
        <v>22894</v>
      </c>
      <c r="C2090" s="416">
        <v>736</v>
      </c>
    </row>
    <row r="2091" spans="1:3" s="486" customFormat="1" ht="15" customHeight="1">
      <c r="A2091" s="409" t="s">
        <v>22893</v>
      </c>
      <c r="B2091" s="430" t="s">
        <v>22892</v>
      </c>
      <c r="C2091" s="416">
        <v>851</v>
      </c>
    </row>
    <row r="2092" spans="1:3" s="486" customFormat="1" ht="15" customHeight="1">
      <c r="A2092" s="409" t="s">
        <v>22891</v>
      </c>
      <c r="B2092" s="419" t="s">
        <v>22890</v>
      </c>
      <c r="C2092" s="417">
        <v>629</v>
      </c>
    </row>
    <row r="2093" spans="1:3" s="486" customFormat="1" ht="15" customHeight="1">
      <c r="A2093" s="420" t="s">
        <v>22889</v>
      </c>
      <c r="B2093" s="430" t="s">
        <v>22888</v>
      </c>
      <c r="C2093" s="417">
        <v>630</v>
      </c>
    </row>
    <row r="2094" spans="1:3" s="486" customFormat="1" ht="15" customHeight="1">
      <c r="A2094" s="420" t="s">
        <v>22887</v>
      </c>
      <c r="B2094" s="430" t="s">
        <v>22886</v>
      </c>
      <c r="C2094" s="416">
        <v>745</v>
      </c>
    </row>
    <row r="2095" spans="1:3" s="486" customFormat="1" ht="15" customHeight="1">
      <c r="A2095" s="420" t="s">
        <v>22885</v>
      </c>
      <c r="B2095" s="419" t="s">
        <v>22884</v>
      </c>
      <c r="C2095" s="416">
        <v>622</v>
      </c>
    </row>
    <row r="2096" spans="1:3" s="486" customFormat="1" ht="15" customHeight="1">
      <c r="A2096" s="420" t="s">
        <v>22883</v>
      </c>
      <c r="B2096" s="419" t="s">
        <v>22882</v>
      </c>
      <c r="C2096" s="416">
        <v>737</v>
      </c>
    </row>
    <row r="2097" spans="1:3" s="486" customFormat="1" ht="15" customHeight="1">
      <c r="A2097" s="420" t="s">
        <v>22881</v>
      </c>
      <c r="B2097" s="430" t="s">
        <v>22880</v>
      </c>
      <c r="C2097" s="416">
        <v>635</v>
      </c>
    </row>
    <row r="2098" spans="1:3" s="486" customFormat="1" ht="15" customHeight="1">
      <c r="A2098" s="420" t="s">
        <v>22879</v>
      </c>
      <c r="B2098" s="430" t="s">
        <v>22878</v>
      </c>
      <c r="C2098" s="416">
        <v>750</v>
      </c>
    </row>
    <row r="2099" spans="1:3" s="486" customFormat="1" ht="15" customHeight="1">
      <c r="A2099" s="420" t="s">
        <v>22877</v>
      </c>
      <c r="B2099" s="430" t="s">
        <v>22876</v>
      </c>
      <c r="C2099" s="416">
        <v>645</v>
      </c>
    </row>
    <row r="2100" spans="1:3" s="486" customFormat="1" ht="15" customHeight="1">
      <c r="A2100" s="420" t="s">
        <v>22875</v>
      </c>
      <c r="B2100" s="430" t="s">
        <v>22874</v>
      </c>
      <c r="C2100" s="416">
        <v>760</v>
      </c>
    </row>
    <row r="2101" spans="1:3" ht="15" customHeight="1">
      <c r="A2101" s="409" t="s">
        <v>22873</v>
      </c>
      <c r="B2101" s="430" t="s">
        <v>22872</v>
      </c>
      <c r="C2101" s="416">
        <v>635</v>
      </c>
    </row>
    <row r="2102" spans="1:3" ht="15" customHeight="1">
      <c r="A2102" s="409" t="s">
        <v>22871</v>
      </c>
      <c r="B2102" s="430" t="s">
        <v>22870</v>
      </c>
      <c r="C2102" s="416">
        <v>750</v>
      </c>
    </row>
    <row r="2103" spans="1:3" ht="15" customHeight="1">
      <c r="A2103" s="409" t="s">
        <v>22869</v>
      </c>
      <c r="B2103" s="430" t="s">
        <v>22868</v>
      </c>
      <c r="C2103" s="416">
        <v>628</v>
      </c>
    </row>
    <row r="2104" spans="1:3" ht="15" customHeight="1">
      <c r="A2104" s="409" t="s">
        <v>22867</v>
      </c>
      <c r="B2104" s="430" t="s">
        <v>22866</v>
      </c>
      <c r="C2104" s="416">
        <v>743</v>
      </c>
    </row>
    <row r="2105" spans="1:3" ht="15" customHeight="1">
      <c r="A2105" s="409" t="s">
        <v>22865</v>
      </c>
      <c r="B2105" s="430" t="s">
        <v>22864</v>
      </c>
      <c r="C2105" s="416">
        <v>857</v>
      </c>
    </row>
    <row r="2106" spans="1:3" ht="15" customHeight="1">
      <c r="A2106" s="409" t="s">
        <v>22863</v>
      </c>
      <c r="B2106" s="430" t="s">
        <v>22862</v>
      </c>
      <c r="C2106" s="416">
        <v>972</v>
      </c>
    </row>
    <row r="2107" spans="1:3" ht="15" customHeight="1">
      <c r="A2107" s="409" t="s">
        <v>22861</v>
      </c>
      <c r="B2107" s="430" t="s">
        <v>22859</v>
      </c>
      <c r="C2107" s="416">
        <v>637</v>
      </c>
    </row>
    <row r="2108" spans="1:3" ht="15" customHeight="1">
      <c r="A2108" s="409" t="s">
        <v>22860</v>
      </c>
      <c r="B2108" s="430" t="s">
        <v>22859</v>
      </c>
      <c r="C2108" s="416">
        <v>752</v>
      </c>
    </row>
    <row r="2109" spans="1:3" ht="15" customHeight="1">
      <c r="A2109" s="409" t="s">
        <v>22858</v>
      </c>
      <c r="B2109" s="430" t="s">
        <v>22857</v>
      </c>
      <c r="C2109" s="416">
        <v>627</v>
      </c>
    </row>
    <row r="2110" spans="1:3" ht="15" customHeight="1">
      <c r="A2110" s="409" t="s">
        <v>22856</v>
      </c>
      <c r="B2110" s="430" t="s">
        <v>22855</v>
      </c>
      <c r="C2110" s="416">
        <v>746</v>
      </c>
    </row>
    <row r="2111" spans="1:3" ht="15" customHeight="1">
      <c r="A2111" s="409" t="s">
        <v>22854</v>
      </c>
      <c r="B2111" s="430" t="s">
        <v>22853</v>
      </c>
      <c r="C2111" s="416">
        <v>564</v>
      </c>
    </row>
    <row r="2112" spans="1:3" ht="15" customHeight="1">
      <c r="A2112" s="409" t="s">
        <v>22852</v>
      </c>
      <c r="B2112" s="430" t="s">
        <v>22851</v>
      </c>
      <c r="C2112" s="416">
        <v>616</v>
      </c>
    </row>
    <row r="2113" spans="1:3" ht="15" customHeight="1">
      <c r="A2113" s="409" t="s">
        <v>22850</v>
      </c>
      <c r="B2113" s="430" t="s">
        <v>22849</v>
      </c>
      <c r="C2113" s="416">
        <v>731</v>
      </c>
    </row>
    <row r="2114" spans="1:3" ht="15" customHeight="1">
      <c r="A2114" s="409" t="s">
        <v>22848</v>
      </c>
      <c r="B2114" s="430" t="s">
        <v>22847</v>
      </c>
      <c r="C2114" s="416">
        <v>587</v>
      </c>
    </row>
    <row r="2115" spans="1:3" ht="15" customHeight="1">
      <c r="A2115" s="409" t="s">
        <v>22846</v>
      </c>
      <c r="B2115" s="430" t="s">
        <v>22845</v>
      </c>
      <c r="C2115" s="416">
        <v>580</v>
      </c>
    </row>
    <row r="2116" spans="1:3" ht="15" customHeight="1">
      <c r="A2116" s="409" t="s">
        <v>22844</v>
      </c>
      <c r="B2116" s="430" t="s">
        <v>22843</v>
      </c>
      <c r="C2116" s="416">
        <v>695</v>
      </c>
    </row>
    <row r="2117" spans="1:3" ht="15" customHeight="1">
      <c r="A2117" s="409" t="s">
        <v>22842</v>
      </c>
      <c r="B2117" s="430" t="s">
        <v>22841</v>
      </c>
      <c r="C2117" s="416">
        <v>725</v>
      </c>
    </row>
    <row r="2118" spans="1:3" ht="15" customHeight="1">
      <c r="A2118" s="409" t="s">
        <v>22840</v>
      </c>
      <c r="B2118" s="430" t="s">
        <v>22839</v>
      </c>
      <c r="C2118" s="416">
        <v>711</v>
      </c>
    </row>
    <row r="2119" spans="1:3" ht="15" customHeight="1">
      <c r="A2119" s="409" t="s">
        <v>22838</v>
      </c>
      <c r="B2119" s="430" t="s">
        <v>22837</v>
      </c>
      <c r="C2119" s="416">
        <v>826</v>
      </c>
    </row>
    <row r="2120" spans="1:3" ht="15" customHeight="1">
      <c r="A2120" s="409" t="s">
        <v>22836</v>
      </c>
      <c r="B2120" s="419" t="s">
        <v>22835</v>
      </c>
      <c r="C2120" s="417">
        <v>789</v>
      </c>
    </row>
    <row r="2121" spans="1:3" ht="15" customHeight="1">
      <c r="A2121" s="409" t="s">
        <v>22834</v>
      </c>
      <c r="B2121" s="430" t="s">
        <v>22833</v>
      </c>
      <c r="C2121" s="416">
        <v>588</v>
      </c>
    </row>
    <row r="2122" spans="1:3" ht="15" customHeight="1">
      <c r="A2122" s="409" t="s">
        <v>22832</v>
      </c>
      <c r="B2122" s="430" t="s">
        <v>22831</v>
      </c>
      <c r="C2122" s="416">
        <v>703</v>
      </c>
    </row>
    <row r="2123" spans="1:3" ht="15" customHeight="1">
      <c r="A2123" s="409" t="s">
        <v>22830</v>
      </c>
      <c r="B2123" s="430" t="s">
        <v>22829</v>
      </c>
      <c r="C2123" s="416">
        <v>709</v>
      </c>
    </row>
    <row r="2124" spans="1:3" ht="15" customHeight="1">
      <c r="A2124" s="409" t="s">
        <v>22828</v>
      </c>
      <c r="B2124" s="430" t="s">
        <v>22827</v>
      </c>
      <c r="C2124" s="416">
        <v>674</v>
      </c>
    </row>
    <row r="2125" spans="1:3" ht="15" customHeight="1">
      <c r="A2125" s="409" t="s">
        <v>22826</v>
      </c>
      <c r="B2125" s="430" t="s">
        <v>22825</v>
      </c>
      <c r="C2125" s="416">
        <v>817</v>
      </c>
    </row>
    <row r="2126" spans="1:3" ht="15" customHeight="1">
      <c r="A2126" s="409" t="s">
        <v>22824</v>
      </c>
      <c r="B2126" s="430" t="s">
        <v>22823</v>
      </c>
      <c r="C2126" s="416">
        <v>932</v>
      </c>
    </row>
    <row r="2127" spans="1:3" ht="15" customHeight="1">
      <c r="A2127" s="420" t="s">
        <v>22822</v>
      </c>
      <c r="B2127" s="430" t="s">
        <v>22821</v>
      </c>
      <c r="C2127" s="416">
        <v>928</v>
      </c>
    </row>
    <row r="2128" spans="1:3" ht="15" customHeight="1">
      <c r="A2128" s="420" t="s">
        <v>22820</v>
      </c>
      <c r="B2128" s="430" t="s">
        <v>22819</v>
      </c>
      <c r="C2128" s="416">
        <v>1065</v>
      </c>
    </row>
    <row r="2129" spans="1:3" ht="15" customHeight="1">
      <c r="A2129" s="420" t="s">
        <v>22818</v>
      </c>
      <c r="B2129" s="430" t="s">
        <v>22817</v>
      </c>
      <c r="C2129" s="416">
        <v>898</v>
      </c>
    </row>
    <row r="2130" spans="1:3" ht="15" customHeight="1">
      <c r="A2130" s="420" t="s">
        <v>22816</v>
      </c>
      <c r="B2130" s="430" t="s">
        <v>22815</v>
      </c>
      <c r="C2130" s="416">
        <v>1035</v>
      </c>
    </row>
    <row r="2131" spans="1:3" ht="15" customHeight="1">
      <c r="A2131" s="420" t="s">
        <v>22814</v>
      </c>
      <c r="B2131" s="430" t="s">
        <v>22813</v>
      </c>
      <c r="C2131" s="416">
        <v>946</v>
      </c>
    </row>
    <row r="2132" spans="1:3" ht="15" customHeight="1">
      <c r="A2132" s="420" t="s">
        <v>22812</v>
      </c>
      <c r="B2132" s="430" t="s">
        <v>22811</v>
      </c>
      <c r="C2132" s="416">
        <v>1083</v>
      </c>
    </row>
    <row r="2133" spans="1:3" ht="15" customHeight="1">
      <c r="A2133" s="420" t="s">
        <v>22810</v>
      </c>
      <c r="B2133" s="430" t="s">
        <v>22809</v>
      </c>
      <c r="C2133" s="416">
        <v>824</v>
      </c>
    </row>
    <row r="2134" spans="1:3" ht="15" customHeight="1">
      <c r="A2134" s="420" t="s">
        <v>22808</v>
      </c>
      <c r="B2134" s="430" t="s">
        <v>22807</v>
      </c>
      <c r="C2134" s="416">
        <v>961</v>
      </c>
    </row>
    <row r="2135" spans="1:3" ht="15" customHeight="1">
      <c r="A2135" s="420" t="s">
        <v>22806</v>
      </c>
      <c r="B2135" s="430" t="s">
        <v>22805</v>
      </c>
      <c r="C2135" s="416">
        <v>873</v>
      </c>
    </row>
    <row r="2136" spans="1:3" ht="15" customHeight="1">
      <c r="A2136" s="420" t="s">
        <v>22804</v>
      </c>
      <c r="B2136" s="430" t="s">
        <v>22803</v>
      </c>
      <c r="C2136" s="416">
        <v>1010</v>
      </c>
    </row>
    <row r="2137" spans="1:3" ht="15" customHeight="1">
      <c r="A2137" s="420" t="s">
        <v>22802</v>
      </c>
      <c r="B2137" s="430" t="s">
        <v>22801</v>
      </c>
      <c r="C2137" s="416">
        <v>889</v>
      </c>
    </row>
    <row r="2138" spans="1:3" ht="15" customHeight="1">
      <c r="A2138" s="420" t="s">
        <v>22800</v>
      </c>
      <c r="B2138" s="430" t="s">
        <v>22799</v>
      </c>
      <c r="C2138" s="416">
        <v>1026</v>
      </c>
    </row>
    <row r="2139" spans="1:3" ht="15" customHeight="1">
      <c r="A2139" s="409" t="s">
        <v>22798</v>
      </c>
      <c r="B2139" s="430" t="s">
        <v>22797</v>
      </c>
      <c r="C2139" s="416">
        <v>920</v>
      </c>
    </row>
    <row r="2140" spans="1:3" ht="15" customHeight="1">
      <c r="A2140" s="409" t="s">
        <v>22796</v>
      </c>
      <c r="B2140" s="430" t="s">
        <v>22795</v>
      </c>
      <c r="C2140" s="416">
        <v>1057</v>
      </c>
    </row>
    <row r="2141" spans="1:3" ht="15" customHeight="1">
      <c r="A2141" s="409" t="s">
        <v>22794</v>
      </c>
      <c r="B2141" s="430" t="s">
        <v>22793</v>
      </c>
      <c r="C2141" s="416">
        <v>1037</v>
      </c>
    </row>
    <row r="2142" spans="1:3" ht="15" customHeight="1">
      <c r="A2142" s="409" t="s">
        <v>22792</v>
      </c>
      <c r="B2142" s="430" t="s">
        <v>22791</v>
      </c>
      <c r="C2142" s="416">
        <v>1174</v>
      </c>
    </row>
    <row r="2143" spans="1:3" ht="15" customHeight="1">
      <c r="A2143" s="409" t="s">
        <v>22790</v>
      </c>
      <c r="B2143" s="419" t="s">
        <v>22789</v>
      </c>
      <c r="C2143" s="417">
        <v>917</v>
      </c>
    </row>
    <row r="2144" spans="1:3" ht="15" customHeight="1">
      <c r="A2144" s="409" t="s">
        <v>22788</v>
      </c>
      <c r="B2144" s="430" t="s">
        <v>22787</v>
      </c>
      <c r="C2144" s="417">
        <v>918</v>
      </c>
    </row>
    <row r="2145" spans="1:3" ht="15" customHeight="1">
      <c r="A2145" s="420" t="s">
        <v>22786</v>
      </c>
      <c r="B2145" s="430" t="s">
        <v>22785</v>
      </c>
      <c r="C2145" s="416">
        <v>1055</v>
      </c>
    </row>
    <row r="2146" spans="1:3" ht="15" customHeight="1">
      <c r="A2146" s="420" t="s">
        <v>22784</v>
      </c>
      <c r="B2146" s="430" t="s">
        <v>22783</v>
      </c>
      <c r="C2146" s="416">
        <v>884</v>
      </c>
    </row>
    <row r="2147" spans="1:3" ht="15" customHeight="1">
      <c r="A2147" s="420" t="s">
        <v>22782</v>
      </c>
      <c r="B2147" s="485" t="s">
        <v>22781</v>
      </c>
      <c r="C2147" s="416">
        <v>1021</v>
      </c>
    </row>
    <row r="2148" spans="1:3" ht="15" customHeight="1">
      <c r="A2148" s="420" t="s">
        <v>22780</v>
      </c>
      <c r="B2148" s="430" t="s">
        <v>22779</v>
      </c>
      <c r="C2148" s="416">
        <v>910</v>
      </c>
    </row>
    <row r="2149" spans="1:3" ht="15" customHeight="1">
      <c r="A2149" s="420" t="s">
        <v>22778</v>
      </c>
      <c r="B2149" s="430" t="s">
        <v>22777</v>
      </c>
      <c r="C2149" s="416">
        <v>1047</v>
      </c>
    </row>
    <row r="2150" spans="1:3" ht="15" customHeight="1">
      <c r="A2150" s="420" t="s">
        <v>22776</v>
      </c>
      <c r="B2150" s="430" t="s">
        <v>22775</v>
      </c>
      <c r="C2150" s="416">
        <v>933</v>
      </c>
    </row>
    <row r="2151" spans="1:3" ht="15" customHeight="1">
      <c r="A2151" s="420" t="s">
        <v>22774</v>
      </c>
      <c r="B2151" s="430" t="s">
        <v>22773</v>
      </c>
      <c r="C2151" s="416">
        <v>1080</v>
      </c>
    </row>
    <row r="2152" spans="1:3" ht="15" customHeight="1">
      <c r="A2152" s="409" t="s">
        <v>22772</v>
      </c>
      <c r="B2152" s="430" t="s">
        <v>22771</v>
      </c>
      <c r="C2152" s="416">
        <v>897</v>
      </c>
    </row>
    <row r="2153" spans="1:3" ht="15" customHeight="1">
      <c r="A2153" s="409" t="s">
        <v>22770</v>
      </c>
      <c r="B2153" s="430" t="s">
        <v>22769</v>
      </c>
      <c r="C2153" s="416">
        <v>1034</v>
      </c>
    </row>
    <row r="2154" spans="1:3" ht="15" customHeight="1">
      <c r="A2154" s="409" t="s">
        <v>22768</v>
      </c>
      <c r="B2154" s="430" t="s">
        <v>22760</v>
      </c>
      <c r="C2154" s="416">
        <v>847</v>
      </c>
    </row>
    <row r="2155" spans="1:3" ht="15" customHeight="1">
      <c r="A2155" s="409" t="s">
        <v>22767</v>
      </c>
      <c r="B2155" s="430" t="s">
        <v>22766</v>
      </c>
      <c r="C2155" s="416">
        <v>984</v>
      </c>
    </row>
    <row r="2156" spans="1:3" ht="15" customHeight="1">
      <c r="A2156" s="409" t="s">
        <v>22765</v>
      </c>
      <c r="B2156" s="430" t="s">
        <v>22764</v>
      </c>
      <c r="C2156" s="416">
        <v>1076</v>
      </c>
    </row>
    <row r="2157" spans="1:3" ht="15" customHeight="1">
      <c r="A2157" s="409" t="s">
        <v>22763</v>
      </c>
      <c r="B2157" s="430" t="s">
        <v>22762</v>
      </c>
      <c r="C2157" s="416">
        <v>1213</v>
      </c>
    </row>
    <row r="2158" spans="1:3" ht="15" customHeight="1">
      <c r="A2158" s="409" t="s">
        <v>22761</v>
      </c>
      <c r="B2158" s="430" t="s">
        <v>22760</v>
      </c>
      <c r="C2158" s="416">
        <v>938</v>
      </c>
    </row>
    <row r="2159" spans="1:3" ht="15" customHeight="1">
      <c r="A2159" s="409" t="s">
        <v>22759</v>
      </c>
      <c r="B2159" s="430" t="s">
        <v>22758</v>
      </c>
      <c r="C2159" s="416">
        <v>1072</v>
      </c>
    </row>
    <row r="2160" spans="1:3" ht="15" customHeight="1">
      <c r="A2160" s="409" t="s">
        <v>22757</v>
      </c>
      <c r="B2160" s="430" t="s">
        <v>22756</v>
      </c>
      <c r="C2160" s="416">
        <v>918</v>
      </c>
    </row>
    <row r="2161" spans="1:3" ht="15" customHeight="1">
      <c r="A2161" s="409" t="s">
        <v>22755</v>
      </c>
      <c r="B2161" s="430" t="s">
        <v>22754</v>
      </c>
      <c r="C2161" s="416">
        <v>1049</v>
      </c>
    </row>
    <row r="2162" spans="1:3" ht="15" customHeight="1">
      <c r="A2162" s="409" t="s">
        <v>22753</v>
      </c>
      <c r="B2162" s="430" t="s">
        <v>22752</v>
      </c>
      <c r="C2162" s="416">
        <v>852</v>
      </c>
    </row>
    <row r="2163" spans="1:3" ht="15" customHeight="1">
      <c r="A2163" s="409" t="s">
        <v>22751</v>
      </c>
      <c r="B2163" s="430" t="s">
        <v>22750</v>
      </c>
      <c r="C2163" s="416">
        <v>904</v>
      </c>
    </row>
    <row r="2164" spans="1:3" ht="15" customHeight="1">
      <c r="A2164" s="409" t="s">
        <v>22749</v>
      </c>
      <c r="B2164" s="430" t="s">
        <v>22748</v>
      </c>
      <c r="C2164" s="416">
        <v>1041</v>
      </c>
    </row>
    <row r="2165" spans="1:3" ht="15" customHeight="1">
      <c r="A2165" s="409" t="s">
        <v>22747</v>
      </c>
      <c r="B2165" s="430" t="s">
        <v>22746</v>
      </c>
      <c r="C2165" s="416">
        <v>875</v>
      </c>
    </row>
    <row r="2166" spans="1:3" ht="15" customHeight="1">
      <c r="A2166" s="409" t="s">
        <v>22745</v>
      </c>
      <c r="B2166" s="430" t="s">
        <v>22744</v>
      </c>
      <c r="C2166" s="416">
        <v>868</v>
      </c>
    </row>
    <row r="2167" spans="1:3" ht="15" customHeight="1">
      <c r="A2167" s="409" t="s">
        <v>22743</v>
      </c>
      <c r="B2167" s="430" t="s">
        <v>22742</v>
      </c>
      <c r="C2167" s="416">
        <v>1002</v>
      </c>
    </row>
    <row r="2168" spans="1:3" ht="15" customHeight="1">
      <c r="A2168" s="409" t="s">
        <v>22741</v>
      </c>
      <c r="B2168" s="430" t="s">
        <v>22740</v>
      </c>
      <c r="C2168" s="416">
        <v>1013</v>
      </c>
    </row>
    <row r="2169" spans="1:3" ht="15" customHeight="1">
      <c r="A2169" s="409" t="s">
        <v>22739</v>
      </c>
      <c r="B2169" s="430" t="s">
        <v>22738</v>
      </c>
      <c r="C2169" s="416">
        <v>930</v>
      </c>
    </row>
    <row r="2170" spans="1:3" ht="15" customHeight="1">
      <c r="A2170" s="409" t="s">
        <v>22737</v>
      </c>
      <c r="B2170" s="430" t="s">
        <v>22736</v>
      </c>
      <c r="C2170" s="416">
        <v>1067</v>
      </c>
    </row>
    <row r="2171" spans="1:3" ht="15" customHeight="1">
      <c r="A2171" s="409" t="s">
        <v>22735</v>
      </c>
      <c r="B2171" s="430" t="s">
        <v>22734</v>
      </c>
      <c r="C2171" s="417">
        <v>1079</v>
      </c>
    </row>
    <row r="2172" spans="1:3" ht="15" customHeight="1">
      <c r="A2172" s="409" t="s">
        <v>22733</v>
      </c>
      <c r="B2172" s="430" t="s">
        <v>22732</v>
      </c>
      <c r="C2172" s="416">
        <v>887</v>
      </c>
    </row>
    <row r="2173" spans="1:3" ht="15" customHeight="1">
      <c r="A2173" s="409" t="s">
        <v>22731</v>
      </c>
      <c r="B2173" s="430" t="s">
        <v>22730</v>
      </c>
      <c r="C2173" s="416">
        <v>1024</v>
      </c>
    </row>
    <row r="2174" spans="1:3" ht="15" customHeight="1">
      <c r="A2174" s="409" t="s">
        <v>22729</v>
      </c>
      <c r="B2174" s="430" t="s">
        <v>22728</v>
      </c>
      <c r="C2174" s="416">
        <v>999</v>
      </c>
    </row>
    <row r="2175" spans="1:3" ht="15" customHeight="1">
      <c r="A2175" s="409" t="s">
        <v>22727</v>
      </c>
      <c r="B2175" s="430" t="s">
        <v>22726</v>
      </c>
      <c r="C2175" s="416">
        <v>862</v>
      </c>
    </row>
    <row r="2176" spans="1:3" ht="15" customHeight="1">
      <c r="A2176" s="409" t="s">
        <v>22725</v>
      </c>
      <c r="B2176" s="430" t="s">
        <v>22724</v>
      </c>
      <c r="C2176" s="416">
        <v>1094</v>
      </c>
    </row>
    <row r="2177" spans="1:3" ht="15" customHeight="1">
      <c r="A2177" s="409" t="s">
        <v>22723</v>
      </c>
      <c r="B2177" s="430" t="s">
        <v>22722</v>
      </c>
      <c r="C2177" s="416">
        <v>1231</v>
      </c>
    </row>
    <row r="2178" spans="1:3" ht="15" customHeight="1">
      <c r="A2178" s="427" t="s">
        <v>22721</v>
      </c>
      <c r="B2178" s="484" t="s">
        <v>22720</v>
      </c>
      <c r="C2178" s="417">
        <v>1958</v>
      </c>
    </row>
    <row r="2179" spans="1:3" ht="15" customHeight="1">
      <c r="A2179" s="420" t="s">
        <v>22719</v>
      </c>
      <c r="B2179" s="419" t="s">
        <v>22718</v>
      </c>
      <c r="C2179" s="417">
        <v>1463</v>
      </c>
    </row>
    <row r="2180" spans="1:3" ht="15" customHeight="1">
      <c r="A2180" s="420" t="s">
        <v>22717</v>
      </c>
      <c r="B2180" s="419" t="s">
        <v>22716</v>
      </c>
      <c r="C2180" s="417">
        <v>2431</v>
      </c>
    </row>
    <row r="2181" spans="1:3" ht="15" customHeight="1">
      <c r="A2181" s="420" t="s">
        <v>22715</v>
      </c>
      <c r="B2181" s="419" t="s">
        <v>22714</v>
      </c>
      <c r="C2181" s="417">
        <v>2165</v>
      </c>
    </row>
    <row r="2182" spans="1:3" ht="15" customHeight="1">
      <c r="A2182" s="420" t="s">
        <v>22713</v>
      </c>
      <c r="B2182" s="419" t="s">
        <v>22712</v>
      </c>
      <c r="C2182" s="417">
        <v>3605</v>
      </c>
    </row>
    <row r="2183" spans="1:3" ht="15" customHeight="1">
      <c r="A2183" s="401" t="s">
        <v>22711</v>
      </c>
      <c r="B2183" s="419" t="s">
        <v>22710</v>
      </c>
      <c r="C2183" s="410">
        <v>4695</v>
      </c>
    </row>
    <row r="2184" spans="1:3" ht="15" customHeight="1">
      <c r="A2184" s="401" t="s">
        <v>22709</v>
      </c>
      <c r="B2184" s="431" t="s">
        <v>22708</v>
      </c>
      <c r="C2184" s="410">
        <v>4592</v>
      </c>
    </row>
    <row r="2185" spans="1:3" ht="15" customHeight="1">
      <c r="A2185" s="401" t="s">
        <v>22707</v>
      </c>
      <c r="B2185" s="442" t="s">
        <v>22706</v>
      </c>
      <c r="C2185" s="482">
        <v>1020</v>
      </c>
    </row>
    <row r="2186" spans="1:3" ht="15" customHeight="1">
      <c r="A2186" s="420" t="s">
        <v>22705</v>
      </c>
      <c r="B2186" s="483" t="s">
        <v>22704</v>
      </c>
      <c r="C2186" s="482">
        <v>1020</v>
      </c>
    </row>
    <row r="2187" spans="1:3" ht="15" customHeight="1">
      <c r="A2187" s="420" t="s">
        <v>22703</v>
      </c>
      <c r="B2187" s="483" t="s">
        <v>22702</v>
      </c>
      <c r="C2187" s="482">
        <v>1377</v>
      </c>
    </row>
    <row r="2188" spans="1:3" ht="15" customHeight="1">
      <c r="A2188" s="420" t="s">
        <v>22701</v>
      </c>
      <c r="B2188" s="483" t="s">
        <v>22700</v>
      </c>
      <c r="C2188" s="482">
        <v>1020</v>
      </c>
    </row>
    <row r="2189" spans="1:3" ht="15" customHeight="1">
      <c r="A2189" s="420" t="s">
        <v>22699</v>
      </c>
      <c r="B2189" s="483" t="s">
        <v>22698</v>
      </c>
      <c r="C2189" s="482">
        <v>1020</v>
      </c>
    </row>
    <row r="2190" spans="1:3" ht="15" customHeight="1">
      <c r="A2190" s="420" t="s">
        <v>22697</v>
      </c>
      <c r="B2190" s="483" t="s">
        <v>22696</v>
      </c>
      <c r="C2190" s="482">
        <v>1377</v>
      </c>
    </row>
    <row r="2191" spans="1:3" ht="15" customHeight="1">
      <c r="A2191" s="420" t="s">
        <v>22695</v>
      </c>
      <c r="B2191" s="483" t="s">
        <v>22694</v>
      </c>
      <c r="C2191" s="482">
        <v>1020</v>
      </c>
    </row>
    <row r="2192" spans="1:3" ht="15" customHeight="1">
      <c r="A2192" s="420" t="s">
        <v>22693</v>
      </c>
      <c r="B2192" s="483" t="s">
        <v>22692</v>
      </c>
      <c r="C2192" s="482">
        <v>1377</v>
      </c>
    </row>
    <row r="2193" spans="1:3" ht="15" customHeight="1">
      <c r="A2193" s="420" t="s">
        <v>22691</v>
      </c>
      <c r="B2193" s="483" t="s">
        <v>22690</v>
      </c>
      <c r="C2193" s="482">
        <v>1020</v>
      </c>
    </row>
    <row r="2194" spans="1:3" ht="15" customHeight="1">
      <c r="A2194" s="420" t="s">
        <v>22689</v>
      </c>
      <c r="B2194" s="445" t="s">
        <v>22688</v>
      </c>
      <c r="C2194" s="410">
        <v>1020</v>
      </c>
    </row>
    <row r="2195" spans="1:3" ht="15" customHeight="1">
      <c r="A2195" s="420" t="s">
        <v>22687</v>
      </c>
      <c r="B2195" s="445" t="s">
        <v>22686</v>
      </c>
      <c r="C2195" s="410">
        <v>1020</v>
      </c>
    </row>
    <row r="2196" spans="1:3" ht="15" customHeight="1">
      <c r="A2196" s="344" t="s">
        <v>22685</v>
      </c>
      <c r="B2196" s="480" t="s">
        <v>22684</v>
      </c>
      <c r="C2196" s="479">
        <v>1379</v>
      </c>
    </row>
    <row r="2197" spans="1:3" ht="15" customHeight="1">
      <c r="A2197" s="344" t="s">
        <v>22683</v>
      </c>
      <c r="B2197" s="480" t="s">
        <v>22682</v>
      </c>
      <c r="C2197" s="479">
        <v>1293</v>
      </c>
    </row>
    <row r="2198" spans="1:3" ht="15" customHeight="1">
      <c r="A2198" s="481" t="s">
        <v>22681</v>
      </c>
      <c r="B2198" s="480" t="s">
        <v>22680</v>
      </c>
      <c r="C2198" s="479">
        <v>1589</v>
      </c>
    </row>
    <row r="2199" spans="1:3" ht="15" customHeight="1">
      <c r="A2199" s="344" t="s">
        <v>22679</v>
      </c>
      <c r="B2199" s="480" t="s">
        <v>22678</v>
      </c>
      <c r="C2199" s="479">
        <v>1504</v>
      </c>
    </row>
    <row r="2200" spans="1:3" ht="15" customHeight="1">
      <c r="A2200" s="344" t="s">
        <v>22677</v>
      </c>
      <c r="B2200" s="480" t="s">
        <v>22676</v>
      </c>
      <c r="C2200" s="479">
        <v>773</v>
      </c>
    </row>
    <row r="2201" spans="1:3" ht="15" customHeight="1">
      <c r="A2201" s="344" t="s">
        <v>22675</v>
      </c>
      <c r="B2201" s="480" t="s">
        <v>22674</v>
      </c>
      <c r="C2201" s="479">
        <v>752</v>
      </c>
    </row>
    <row r="2202" spans="1:3" ht="15" customHeight="1">
      <c r="A2202" s="344" t="s">
        <v>22673</v>
      </c>
      <c r="B2202" s="480" t="s">
        <v>22672</v>
      </c>
      <c r="C2202" s="479">
        <v>1159</v>
      </c>
    </row>
    <row r="2203" spans="1:3" ht="15" customHeight="1">
      <c r="A2203" s="344" t="s">
        <v>22671</v>
      </c>
      <c r="B2203" s="480" t="s">
        <v>22670</v>
      </c>
      <c r="C2203" s="479">
        <v>1073</v>
      </c>
    </row>
    <row r="2204" spans="1:3" ht="15" customHeight="1">
      <c r="A2204" s="420" t="s">
        <v>22669</v>
      </c>
      <c r="B2204" s="445" t="s">
        <v>22668</v>
      </c>
      <c r="C2204" s="410">
        <v>2067</v>
      </c>
    </row>
    <row r="2205" spans="1:3" ht="15" customHeight="1">
      <c r="A2205" s="478" t="s">
        <v>22667</v>
      </c>
      <c r="B2205" s="476" t="s">
        <v>22666</v>
      </c>
      <c r="C2205" s="405">
        <v>3019</v>
      </c>
    </row>
    <row r="2206" spans="1:3" ht="15" customHeight="1">
      <c r="A2206" s="477" t="s">
        <v>22665</v>
      </c>
      <c r="B2206" s="476" t="s">
        <v>22664</v>
      </c>
      <c r="C2206" s="405">
        <v>3269</v>
      </c>
    </row>
    <row r="2207" spans="1:3" ht="15" customHeight="1">
      <c r="A2207" s="437" t="s">
        <v>22663</v>
      </c>
      <c r="B2207" s="445" t="s">
        <v>22662</v>
      </c>
      <c r="C2207" s="446">
        <v>388</v>
      </c>
    </row>
    <row r="2208" spans="1:3" ht="15" customHeight="1">
      <c r="A2208" s="437" t="s">
        <v>22661</v>
      </c>
      <c r="B2208" s="431" t="s">
        <v>22660</v>
      </c>
      <c r="C2208" s="446">
        <v>388</v>
      </c>
    </row>
    <row r="2209" spans="1:3" ht="15" customHeight="1">
      <c r="A2209" s="420" t="s">
        <v>22659</v>
      </c>
      <c r="B2209" s="419" t="s">
        <v>22658</v>
      </c>
      <c r="C2209" s="417">
        <v>1570</v>
      </c>
    </row>
    <row r="2210" spans="1:3" ht="15" customHeight="1">
      <c r="A2210" s="420" t="s">
        <v>22657</v>
      </c>
      <c r="B2210" s="419" t="s">
        <v>22656</v>
      </c>
      <c r="C2210" s="417">
        <v>1435</v>
      </c>
    </row>
    <row r="2211" spans="1:3" ht="15" customHeight="1">
      <c r="A2211" s="475" t="s">
        <v>22655</v>
      </c>
      <c r="B2211" s="431" t="s">
        <v>22654</v>
      </c>
      <c r="C2211" s="446">
        <v>1204</v>
      </c>
    </row>
    <row r="2212" spans="1:3" ht="15" customHeight="1">
      <c r="A2212" s="475" t="s">
        <v>22653</v>
      </c>
      <c r="B2212" s="431" t="s">
        <v>22652</v>
      </c>
      <c r="C2212" s="446">
        <v>2064</v>
      </c>
    </row>
    <row r="2213" spans="1:3" ht="15" customHeight="1">
      <c r="A2213" s="475" t="s">
        <v>22651</v>
      </c>
      <c r="B2213" s="431" t="s">
        <v>22650</v>
      </c>
      <c r="C2213" s="446">
        <v>2195</v>
      </c>
    </row>
    <row r="2214" spans="1:3" ht="15" customHeight="1">
      <c r="A2214" s="440" t="s">
        <v>22649</v>
      </c>
      <c r="B2214" s="419" t="s">
        <v>22648</v>
      </c>
      <c r="C2214" s="417">
        <v>2017</v>
      </c>
    </row>
    <row r="2215" spans="1:3" ht="15" customHeight="1">
      <c r="A2215" s="471" t="s">
        <v>22647</v>
      </c>
      <c r="B2215" s="431" t="s">
        <v>22646</v>
      </c>
      <c r="C2215" s="433">
        <v>908</v>
      </c>
    </row>
    <row r="2216" spans="1:3" ht="15" customHeight="1">
      <c r="A2216" s="474" t="s">
        <v>22645</v>
      </c>
      <c r="B2216" s="473" t="s">
        <v>22644</v>
      </c>
      <c r="C2216" s="433">
        <v>1628</v>
      </c>
    </row>
    <row r="2217" spans="1:3" ht="15" customHeight="1">
      <c r="A2217" s="474" t="s">
        <v>22643</v>
      </c>
      <c r="B2217" s="473" t="s">
        <v>22642</v>
      </c>
      <c r="C2217" s="433">
        <v>1978</v>
      </c>
    </row>
    <row r="2218" spans="1:3" ht="15" customHeight="1">
      <c r="A2218" s="470" t="s">
        <v>22641</v>
      </c>
      <c r="B2218" s="469" t="s">
        <v>22640</v>
      </c>
      <c r="C2218" s="416">
        <v>1817</v>
      </c>
    </row>
    <row r="2219" spans="1:3" ht="15" customHeight="1">
      <c r="A2219" s="472" t="s">
        <v>22639</v>
      </c>
      <c r="B2219" s="419" t="s">
        <v>22638</v>
      </c>
      <c r="C2219" s="416">
        <v>1152</v>
      </c>
    </row>
    <row r="2220" spans="1:3" ht="15" customHeight="1">
      <c r="A2220" s="470" t="s">
        <v>22637</v>
      </c>
      <c r="B2220" s="469" t="s">
        <v>22636</v>
      </c>
      <c r="C2220" s="416">
        <v>1872</v>
      </c>
    </row>
    <row r="2221" spans="1:3" ht="15" customHeight="1">
      <c r="A2221" s="470" t="s">
        <v>22635</v>
      </c>
      <c r="B2221" s="469" t="s">
        <v>22634</v>
      </c>
      <c r="C2221" s="416">
        <v>2222</v>
      </c>
    </row>
    <row r="2222" spans="1:3" ht="15" customHeight="1">
      <c r="A2222" s="471" t="s">
        <v>22633</v>
      </c>
      <c r="B2222" s="431" t="s">
        <v>22632</v>
      </c>
      <c r="C2222" s="433">
        <v>1176</v>
      </c>
    </row>
    <row r="2223" spans="1:3" ht="15" customHeight="1">
      <c r="A2223" s="470" t="s">
        <v>22631</v>
      </c>
      <c r="B2223" s="469" t="s">
        <v>22630</v>
      </c>
      <c r="C2223" s="416">
        <v>1896</v>
      </c>
    </row>
    <row r="2224" spans="1:3" ht="15" customHeight="1">
      <c r="A2224" s="470" t="s">
        <v>22629</v>
      </c>
      <c r="B2224" s="469" t="s">
        <v>22628</v>
      </c>
      <c r="C2224" s="416">
        <v>2246</v>
      </c>
    </row>
    <row r="2225" spans="1:3" ht="15" customHeight="1">
      <c r="A2225" s="470" t="s">
        <v>22627</v>
      </c>
      <c r="B2225" s="469" t="s">
        <v>22626</v>
      </c>
      <c r="C2225" s="416">
        <v>2039</v>
      </c>
    </row>
    <row r="2226" spans="1:3" ht="15" customHeight="1">
      <c r="A2226" s="470" t="s">
        <v>22625</v>
      </c>
      <c r="B2226" s="469" t="s">
        <v>22624</v>
      </c>
      <c r="C2226" s="416">
        <v>2039</v>
      </c>
    </row>
    <row r="2227" spans="1:3" ht="15" customHeight="1">
      <c r="A2227" s="447" t="s">
        <v>22623</v>
      </c>
      <c r="B2227" s="469" t="s">
        <v>22622</v>
      </c>
      <c r="C2227" s="416">
        <v>1253</v>
      </c>
    </row>
    <row r="2228" spans="1:3" ht="15" customHeight="1">
      <c r="A2228" s="447" t="s">
        <v>22621</v>
      </c>
      <c r="B2228" s="469" t="s">
        <v>22620</v>
      </c>
      <c r="C2228" s="416">
        <v>2176</v>
      </c>
    </row>
    <row r="2229" spans="1:3" ht="15" customHeight="1">
      <c r="A2229" s="447" t="s">
        <v>22619</v>
      </c>
      <c r="B2229" s="469" t="s">
        <v>22618</v>
      </c>
      <c r="C2229" s="416">
        <v>2528</v>
      </c>
    </row>
    <row r="2230" spans="1:3" ht="15" customHeight="1">
      <c r="A2230" s="468" t="s">
        <v>22617</v>
      </c>
      <c r="B2230" s="467" t="s">
        <v>22616</v>
      </c>
      <c r="C2230" s="417">
        <v>1343</v>
      </c>
    </row>
    <row r="2231" spans="1:3" ht="15" customHeight="1">
      <c r="A2231" s="468" t="s">
        <v>22615</v>
      </c>
      <c r="B2231" s="467" t="s">
        <v>22614</v>
      </c>
      <c r="C2231" s="417">
        <v>2266</v>
      </c>
    </row>
    <row r="2232" spans="1:3" ht="15" customHeight="1">
      <c r="A2232" s="468" t="s">
        <v>22613</v>
      </c>
      <c r="B2232" s="467" t="s">
        <v>22612</v>
      </c>
      <c r="C2232" s="417">
        <v>2211</v>
      </c>
    </row>
    <row r="2233" spans="1:3" ht="15" customHeight="1">
      <c r="A2233" s="466" t="s">
        <v>22611</v>
      </c>
      <c r="B2233" s="419" t="s">
        <v>22610</v>
      </c>
      <c r="C2233" s="416">
        <v>82</v>
      </c>
    </row>
    <row r="2234" spans="1:3" ht="15" customHeight="1">
      <c r="A2234" s="466" t="s">
        <v>22609</v>
      </c>
      <c r="B2234" s="419" t="s">
        <v>22608</v>
      </c>
      <c r="C2234" s="416">
        <v>94</v>
      </c>
    </row>
    <row r="2235" spans="1:3" ht="15" customHeight="1">
      <c r="A2235" s="420" t="s">
        <v>22607</v>
      </c>
      <c r="B2235" s="419" t="s">
        <v>22606</v>
      </c>
      <c r="C2235" s="417">
        <v>115</v>
      </c>
    </row>
    <row r="2236" spans="1:3" ht="15" customHeight="1">
      <c r="A2236" s="409" t="s">
        <v>22605</v>
      </c>
      <c r="B2236" s="419" t="s">
        <v>22604</v>
      </c>
      <c r="C2236" s="417">
        <v>815</v>
      </c>
    </row>
    <row r="2237" spans="1:3" ht="15" customHeight="1">
      <c r="A2237" s="414" t="s">
        <v>22603</v>
      </c>
      <c r="B2237" s="431" t="s">
        <v>22602</v>
      </c>
      <c r="C2237" s="433">
        <v>221</v>
      </c>
    </row>
    <row r="2238" spans="1:3" ht="15" customHeight="1">
      <c r="A2238" s="409" t="s">
        <v>22601</v>
      </c>
      <c r="B2238" s="419" t="s">
        <v>22600</v>
      </c>
      <c r="C2238" s="416">
        <v>546</v>
      </c>
    </row>
    <row r="2239" spans="1:3" ht="15" customHeight="1">
      <c r="A2239" s="409" t="s">
        <v>22599</v>
      </c>
      <c r="B2239" s="419" t="s">
        <v>22598</v>
      </c>
      <c r="C2239" s="416">
        <v>794</v>
      </c>
    </row>
    <row r="2240" spans="1:3" ht="15" customHeight="1">
      <c r="A2240" s="409" t="s">
        <v>22597</v>
      </c>
      <c r="B2240" s="419" t="s">
        <v>22594</v>
      </c>
      <c r="C2240" s="416">
        <v>380</v>
      </c>
    </row>
    <row r="2241" spans="1:3" ht="15" customHeight="1">
      <c r="A2241" s="414" t="s">
        <v>22596</v>
      </c>
      <c r="B2241" s="431" t="s">
        <v>22594</v>
      </c>
      <c r="C2241" s="433">
        <v>380</v>
      </c>
    </row>
    <row r="2242" spans="1:3" ht="15" customHeight="1">
      <c r="A2242" s="409" t="s">
        <v>22595</v>
      </c>
      <c r="B2242" s="419" t="s">
        <v>22594</v>
      </c>
      <c r="C2242" s="416">
        <v>284</v>
      </c>
    </row>
    <row r="2243" spans="1:3" ht="15" customHeight="1">
      <c r="A2243" s="409" t="s">
        <v>22593</v>
      </c>
      <c r="B2243" s="419" t="s">
        <v>22592</v>
      </c>
      <c r="C2243" s="416">
        <v>636</v>
      </c>
    </row>
    <row r="2244" spans="1:3" ht="15" customHeight="1">
      <c r="A2244" s="409" t="s">
        <v>22591</v>
      </c>
      <c r="B2244" s="419" t="s">
        <v>22590</v>
      </c>
      <c r="C2244" s="416">
        <v>520</v>
      </c>
    </row>
    <row r="2245" spans="1:3" ht="15" customHeight="1">
      <c r="A2245" s="414" t="s">
        <v>22589</v>
      </c>
      <c r="B2245" s="431" t="s">
        <v>22588</v>
      </c>
      <c r="C2245" s="446">
        <v>613</v>
      </c>
    </row>
    <row r="2246" spans="1:3" ht="15" customHeight="1">
      <c r="A2246" s="409" t="s">
        <v>22587</v>
      </c>
      <c r="B2246" s="419" t="s">
        <v>22586</v>
      </c>
      <c r="C2246" s="416">
        <v>536</v>
      </c>
    </row>
    <row r="2247" spans="1:3" ht="15" customHeight="1">
      <c r="A2247" s="409" t="s">
        <v>22585</v>
      </c>
      <c r="B2247" s="419" t="s">
        <v>22584</v>
      </c>
      <c r="C2247" s="416">
        <v>1076</v>
      </c>
    </row>
    <row r="2248" spans="1:3" ht="15" customHeight="1">
      <c r="A2248" s="409" t="s">
        <v>22583</v>
      </c>
      <c r="B2248" s="419" t="s">
        <v>22582</v>
      </c>
      <c r="C2248" s="416">
        <v>1076</v>
      </c>
    </row>
    <row r="2249" spans="1:3" ht="15" customHeight="1">
      <c r="A2249" s="409" t="s">
        <v>22581</v>
      </c>
      <c r="B2249" s="419" t="s">
        <v>22580</v>
      </c>
      <c r="C2249" s="416">
        <v>1452</v>
      </c>
    </row>
    <row r="2250" spans="1:3" ht="15" customHeight="1">
      <c r="A2250" s="409" t="s">
        <v>22579</v>
      </c>
      <c r="B2250" s="419" t="s">
        <v>22578</v>
      </c>
      <c r="C2250" s="416">
        <v>1531</v>
      </c>
    </row>
    <row r="2251" spans="1:3" ht="15" customHeight="1">
      <c r="A2251" s="409" t="s">
        <v>22577</v>
      </c>
      <c r="B2251" s="419" t="s">
        <v>22576</v>
      </c>
      <c r="C2251" s="416">
        <v>2067</v>
      </c>
    </row>
    <row r="2252" spans="1:3" ht="15" customHeight="1">
      <c r="A2252" s="409" t="s">
        <v>22575</v>
      </c>
      <c r="B2252" s="419" t="s">
        <v>22574</v>
      </c>
      <c r="C2252" s="416">
        <v>2067</v>
      </c>
    </row>
    <row r="2253" spans="1:3" ht="15" customHeight="1">
      <c r="A2253" s="414" t="s">
        <v>22573</v>
      </c>
      <c r="B2253" s="431" t="s">
        <v>22572</v>
      </c>
      <c r="C2253" s="433">
        <v>34</v>
      </c>
    </row>
    <row r="2254" spans="1:3" ht="15" customHeight="1">
      <c r="A2254" s="437" t="s">
        <v>22571</v>
      </c>
      <c r="B2254" s="431" t="s">
        <v>22570</v>
      </c>
      <c r="C2254" s="435">
        <v>3</v>
      </c>
    </row>
    <row r="2255" spans="1:3" ht="15" customHeight="1">
      <c r="A2255" s="420" t="s">
        <v>22569</v>
      </c>
      <c r="B2255" s="419" t="s">
        <v>22568</v>
      </c>
      <c r="C2255" s="418">
        <v>21</v>
      </c>
    </row>
    <row r="2256" spans="1:3" ht="15" customHeight="1">
      <c r="A2256" s="420" t="s">
        <v>22567</v>
      </c>
      <c r="B2256" s="419" t="s">
        <v>22566</v>
      </c>
      <c r="C2256" s="418">
        <v>222</v>
      </c>
    </row>
    <row r="2257" spans="1:3" ht="15" customHeight="1">
      <c r="A2257" s="414" t="s">
        <v>22565</v>
      </c>
      <c r="B2257" s="431" t="s">
        <v>22557</v>
      </c>
      <c r="C2257" s="433">
        <v>1095</v>
      </c>
    </row>
    <row r="2258" spans="1:3" ht="15" customHeight="1">
      <c r="A2258" s="414" t="s">
        <v>22564</v>
      </c>
      <c r="B2258" s="431" t="s">
        <v>22563</v>
      </c>
      <c r="C2258" s="446">
        <v>1137</v>
      </c>
    </row>
    <row r="2259" spans="1:3" ht="15" customHeight="1">
      <c r="A2259" s="409" t="s">
        <v>22562</v>
      </c>
      <c r="B2259" s="419" t="s">
        <v>22561</v>
      </c>
      <c r="C2259" s="416">
        <v>1141</v>
      </c>
    </row>
    <row r="2260" spans="1:3" ht="15" customHeight="1">
      <c r="A2260" s="414" t="s">
        <v>22560</v>
      </c>
      <c r="B2260" s="431" t="s">
        <v>22559</v>
      </c>
      <c r="C2260" s="446">
        <v>1831</v>
      </c>
    </row>
    <row r="2261" spans="1:3" ht="15" customHeight="1">
      <c r="A2261" s="414" t="s">
        <v>22558</v>
      </c>
      <c r="B2261" s="431" t="s">
        <v>22557</v>
      </c>
      <c r="C2261" s="433">
        <v>1035</v>
      </c>
    </row>
    <row r="2262" spans="1:3" ht="15" customHeight="1">
      <c r="A2262" s="414" t="s">
        <v>22556</v>
      </c>
      <c r="B2262" s="431" t="s">
        <v>22555</v>
      </c>
      <c r="C2262" s="433">
        <v>1182</v>
      </c>
    </row>
    <row r="2263" spans="1:3" ht="15" customHeight="1">
      <c r="A2263" s="409" t="s">
        <v>22554</v>
      </c>
      <c r="B2263" s="419" t="s">
        <v>22553</v>
      </c>
      <c r="C2263" s="417">
        <v>1274</v>
      </c>
    </row>
    <row r="2264" spans="1:3" ht="15" customHeight="1">
      <c r="A2264" s="409" t="s">
        <v>22552</v>
      </c>
      <c r="B2264" s="419" t="s">
        <v>22551</v>
      </c>
      <c r="C2264" s="416">
        <v>6467</v>
      </c>
    </row>
    <row r="2265" spans="1:3" ht="15" customHeight="1">
      <c r="A2265" s="409" t="s">
        <v>22550</v>
      </c>
      <c r="B2265" s="419" t="s">
        <v>22549</v>
      </c>
      <c r="C2265" s="416">
        <v>5689</v>
      </c>
    </row>
    <row r="2266" spans="1:3" ht="15" customHeight="1">
      <c r="A2266" s="409" t="s">
        <v>22548</v>
      </c>
      <c r="B2266" s="419" t="s">
        <v>22547</v>
      </c>
      <c r="C2266" s="416">
        <v>5949</v>
      </c>
    </row>
    <row r="2267" spans="1:3" ht="15" customHeight="1">
      <c r="A2267" s="409" t="s">
        <v>22546</v>
      </c>
      <c r="B2267" s="419" t="s">
        <v>22545</v>
      </c>
      <c r="C2267" s="416">
        <v>1040</v>
      </c>
    </row>
    <row r="2268" spans="1:3" ht="15" customHeight="1">
      <c r="A2268" s="409" t="s">
        <v>22544</v>
      </c>
      <c r="B2268" s="419" t="s">
        <v>22540</v>
      </c>
      <c r="C2268" s="416">
        <v>967</v>
      </c>
    </row>
    <row r="2269" spans="1:3" ht="15" customHeight="1">
      <c r="A2269" s="409" t="s">
        <v>22543</v>
      </c>
      <c r="B2269" s="419" t="s">
        <v>22540</v>
      </c>
      <c r="C2269" s="416">
        <v>445</v>
      </c>
    </row>
    <row r="2270" spans="1:3" ht="15" customHeight="1">
      <c r="A2270" s="409" t="s">
        <v>22542</v>
      </c>
      <c r="B2270" s="419" t="s">
        <v>22540</v>
      </c>
      <c r="C2270" s="416">
        <v>445</v>
      </c>
    </row>
    <row r="2271" spans="1:3" ht="15" customHeight="1">
      <c r="A2271" s="409" t="s">
        <v>22541</v>
      </c>
      <c r="B2271" s="419" t="s">
        <v>22540</v>
      </c>
      <c r="C2271" s="416">
        <v>569</v>
      </c>
    </row>
    <row r="2272" spans="1:3" ht="15" customHeight="1">
      <c r="A2272" s="409" t="s">
        <v>22539</v>
      </c>
      <c r="B2272" s="419" t="s">
        <v>22538</v>
      </c>
      <c r="C2272" s="417">
        <v>2007</v>
      </c>
    </row>
    <row r="2273" spans="1:3" ht="15" customHeight="1">
      <c r="A2273" s="414" t="s">
        <v>22537</v>
      </c>
      <c r="B2273" s="431" t="s">
        <v>22536</v>
      </c>
      <c r="C2273" s="446">
        <v>2683</v>
      </c>
    </row>
    <row r="2274" spans="1:3" ht="15" customHeight="1">
      <c r="A2274" s="409" t="s">
        <v>22535</v>
      </c>
      <c r="B2274" s="419" t="s">
        <v>22534</v>
      </c>
      <c r="C2274" s="417">
        <v>3302</v>
      </c>
    </row>
    <row r="2275" spans="1:3" ht="15" customHeight="1">
      <c r="A2275" s="414" t="s">
        <v>22533</v>
      </c>
      <c r="B2275" s="431" t="s">
        <v>22532</v>
      </c>
      <c r="C2275" s="433">
        <v>3935</v>
      </c>
    </row>
    <row r="2276" spans="1:3" ht="15" customHeight="1">
      <c r="A2276" s="409" t="s">
        <v>22531</v>
      </c>
      <c r="B2276" s="419" t="s">
        <v>22530</v>
      </c>
      <c r="C2276" s="417">
        <v>307</v>
      </c>
    </row>
    <row r="2277" spans="1:3" ht="15" customHeight="1">
      <c r="A2277" s="420" t="s">
        <v>22529</v>
      </c>
      <c r="B2277" s="419" t="s">
        <v>22528</v>
      </c>
      <c r="C2277" s="417">
        <v>3526</v>
      </c>
    </row>
    <row r="2278" spans="1:3" ht="15" customHeight="1">
      <c r="A2278" s="409" t="s">
        <v>22527</v>
      </c>
      <c r="B2278" s="419" t="s">
        <v>22526</v>
      </c>
      <c r="C2278" s="416">
        <v>1080</v>
      </c>
    </row>
    <row r="2279" spans="1:3" ht="15" customHeight="1">
      <c r="A2279" s="409" t="s">
        <v>22525</v>
      </c>
      <c r="B2279" s="465" t="s">
        <v>22524</v>
      </c>
      <c r="C2279" s="416">
        <v>1653</v>
      </c>
    </row>
    <row r="2280" spans="1:3" ht="15" customHeight="1">
      <c r="A2280" s="409" t="s">
        <v>22523</v>
      </c>
      <c r="B2280" s="465" t="s">
        <v>22522</v>
      </c>
      <c r="C2280" s="416">
        <v>970</v>
      </c>
    </row>
    <row r="2281" spans="1:3" ht="15" customHeight="1">
      <c r="A2281" s="420" t="s">
        <v>22521</v>
      </c>
      <c r="B2281" s="465" t="s">
        <v>22520</v>
      </c>
      <c r="C2281" s="417">
        <v>970</v>
      </c>
    </row>
    <row r="2282" spans="1:3" ht="15" customHeight="1">
      <c r="A2282" s="409" t="s">
        <v>22519</v>
      </c>
      <c r="B2282" s="465" t="s">
        <v>22518</v>
      </c>
      <c r="C2282" s="416">
        <v>65</v>
      </c>
    </row>
    <row r="2283" spans="1:3" ht="15" customHeight="1">
      <c r="A2283" s="409" t="s">
        <v>22517</v>
      </c>
      <c r="B2283" s="465" t="s">
        <v>22516</v>
      </c>
      <c r="C2283" s="416">
        <v>679</v>
      </c>
    </row>
    <row r="2284" spans="1:3" ht="15" customHeight="1">
      <c r="A2284" s="409" t="s">
        <v>22515</v>
      </c>
      <c r="B2284" s="465" t="s">
        <v>22514</v>
      </c>
      <c r="C2284" s="417">
        <v>1137</v>
      </c>
    </row>
    <row r="2285" spans="1:3" ht="15" customHeight="1">
      <c r="A2285" s="409" t="s">
        <v>22513</v>
      </c>
      <c r="B2285" s="465" t="s">
        <v>22512</v>
      </c>
      <c r="C2285" s="417">
        <v>312</v>
      </c>
    </row>
    <row r="2286" spans="1:3" ht="15" customHeight="1">
      <c r="A2286" s="409" t="s">
        <v>22511</v>
      </c>
      <c r="B2286" s="465" t="s">
        <v>22510</v>
      </c>
      <c r="C2286" s="417">
        <v>429</v>
      </c>
    </row>
    <row r="2287" spans="1:3" ht="15" customHeight="1">
      <c r="A2287" s="409" t="s">
        <v>22509</v>
      </c>
      <c r="B2287" s="419" t="s">
        <v>22508</v>
      </c>
      <c r="C2287" s="417">
        <v>431</v>
      </c>
    </row>
    <row r="2288" spans="1:3" ht="15" customHeight="1">
      <c r="A2288" s="409" t="s">
        <v>22507</v>
      </c>
      <c r="B2288" s="419" t="s">
        <v>22506</v>
      </c>
      <c r="C2288" s="416">
        <v>195</v>
      </c>
    </row>
    <row r="2289" spans="1:3" ht="15" customHeight="1">
      <c r="A2289" s="409" t="s">
        <v>22505</v>
      </c>
      <c r="B2289" s="419" t="s">
        <v>22504</v>
      </c>
      <c r="C2289" s="416">
        <v>513</v>
      </c>
    </row>
    <row r="2290" spans="1:3" ht="15" customHeight="1">
      <c r="A2290" s="409" t="s">
        <v>22503</v>
      </c>
      <c r="B2290" s="465" t="s">
        <v>22502</v>
      </c>
      <c r="C2290" s="417">
        <v>840</v>
      </c>
    </row>
    <row r="2291" spans="1:3" ht="15" customHeight="1">
      <c r="A2291" s="420" t="s">
        <v>22501</v>
      </c>
      <c r="B2291" s="419" t="s">
        <v>22500</v>
      </c>
      <c r="C2291" s="416">
        <v>1150</v>
      </c>
    </row>
    <row r="2292" spans="1:3" ht="15" customHeight="1">
      <c r="A2292" s="420" t="s">
        <v>22499</v>
      </c>
      <c r="B2292" s="419" t="s">
        <v>22498</v>
      </c>
      <c r="C2292" s="417">
        <v>603</v>
      </c>
    </row>
    <row r="2293" spans="1:3" ht="15" customHeight="1">
      <c r="A2293" s="409" t="s">
        <v>22497</v>
      </c>
      <c r="B2293" s="419" t="s">
        <v>22496</v>
      </c>
      <c r="C2293" s="417">
        <v>986</v>
      </c>
    </row>
    <row r="2294" spans="1:3" ht="15" customHeight="1">
      <c r="A2294" s="420" t="s">
        <v>22495</v>
      </c>
      <c r="B2294" s="419" t="s">
        <v>22494</v>
      </c>
      <c r="C2294" s="417">
        <v>145</v>
      </c>
    </row>
    <row r="2295" spans="1:3" ht="15" customHeight="1">
      <c r="A2295" s="409" t="s">
        <v>22493</v>
      </c>
      <c r="B2295" s="411" t="s">
        <v>22480</v>
      </c>
      <c r="C2295" s="416">
        <v>20457</v>
      </c>
    </row>
    <row r="2296" spans="1:3" ht="15" customHeight="1">
      <c r="A2296" s="409" t="s">
        <v>22492</v>
      </c>
      <c r="B2296" s="411" t="s">
        <v>22480</v>
      </c>
      <c r="C2296" s="416">
        <v>22847</v>
      </c>
    </row>
    <row r="2297" spans="1:3" ht="15" customHeight="1">
      <c r="A2297" s="409" t="s">
        <v>22491</v>
      </c>
      <c r="B2297" s="411" t="s">
        <v>22478</v>
      </c>
      <c r="C2297" s="416">
        <v>24320</v>
      </c>
    </row>
    <row r="2298" spans="1:3" ht="15" customHeight="1">
      <c r="A2298" s="409" t="s">
        <v>22490</v>
      </c>
      <c r="B2298" s="411" t="s">
        <v>22466</v>
      </c>
      <c r="C2298" s="416">
        <v>18508</v>
      </c>
    </row>
    <row r="2299" spans="1:3" ht="15" customHeight="1">
      <c r="A2299" s="409" t="s">
        <v>22489</v>
      </c>
      <c r="B2299" s="411" t="s">
        <v>22470</v>
      </c>
      <c r="C2299" s="416">
        <v>22731</v>
      </c>
    </row>
    <row r="2300" spans="1:3" ht="15" customHeight="1">
      <c r="A2300" s="409" t="s">
        <v>22488</v>
      </c>
      <c r="B2300" s="411" t="s">
        <v>22468</v>
      </c>
      <c r="C2300" s="416">
        <v>28558</v>
      </c>
    </row>
    <row r="2301" spans="1:3" ht="15" customHeight="1">
      <c r="A2301" s="414" t="s">
        <v>22487</v>
      </c>
      <c r="B2301" s="413" t="s">
        <v>22480</v>
      </c>
      <c r="C2301" s="433">
        <v>23533</v>
      </c>
    </row>
    <row r="2302" spans="1:3" ht="15" customHeight="1">
      <c r="A2302" s="409" t="s">
        <v>22486</v>
      </c>
      <c r="B2302" s="411" t="s">
        <v>22468</v>
      </c>
      <c r="C2302" s="416">
        <v>31197</v>
      </c>
    </row>
    <row r="2303" spans="1:3" ht="15" customHeight="1">
      <c r="A2303" s="409" t="s">
        <v>22485</v>
      </c>
      <c r="B2303" s="411" t="s">
        <v>22480</v>
      </c>
      <c r="C2303" s="416">
        <v>20169</v>
      </c>
    </row>
    <row r="2304" spans="1:3" ht="15" customHeight="1">
      <c r="A2304" s="409" t="s">
        <v>22484</v>
      </c>
      <c r="B2304" s="411" t="s">
        <v>22480</v>
      </c>
      <c r="C2304" s="416">
        <v>24358</v>
      </c>
    </row>
    <row r="2305" spans="1:3" ht="15" customHeight="1">
      <c r="A2305" s="409" t="s">
        <v>22483</v>
      </c>
      <c r="B2305" s="411" t="s">
        <v>22478</v>
      </c>
      <c r="C2305" s="416">
        <v>28179</v>
      </c>
    </row>
    <row r="2306" spans="1:3" ht="15" customHeight="1">
      <c r="A2306" s="409" t="s">
        <v>22482</v>
      </c>
      <c r="B2306" s="411" t="s">
        <v>22466</v>
      </c>
      <c r="C2306" s="416">
        <v>20559</v>
      </c>
    </row>
    <row r="2307" spans="1:3" ht="15" customHeight="1">
      <c r="A2307" s="409" t="s">
        <v>22481</v>
      </c>
      <c r="B2307" s="411" t="s">
        <v>22480</v>
      </c>
      <c r="C2307" s="416">
        <v>21485</v>
      </c>
    </row>
    <row r="2308" spans="1:3" ht="15" customHeight="1">
      <c r="A2308" s="409" t="s">
        <v>22479</v>
      </c>
      <c r="B2308" s="411" t="s">
        <v>22478</v>
      </c>
      <c r="C2308" s="416">
        <v>28563</v>
      </c>
    </row>
    <row r="2309" spans="1:3" ht="15" customHeight="1">
      <c r="A2309" s="409" t="s">
        <v>22477</v>
      </c>
      <c r="B2309" s="411" t="s">
        <v>22470</v>
      </c>
      <c r="C2309" s="416">
        <v>23435</v>
      </c>
    </row>
    <row r="2310" spans="1:3" ht="15" customHeight="1">
      <c r="A2310" s="409" t="s">
        <v>22476</v>
      </c>
      <c r="B2310" s="411" t="s">
        <v>22470</v>
      </c>
      <c r="C2310" s="416">
        <v>25476</v>
      </c>
    </row>
    <row r="2311" spans="1:3" ht="15" customHeight="1">
      <c r="A2311" s="409" t="s">
        <v>22475</v>
      </c>
      <c r="B2311" s="411" t="s">
        <v>22468</v>
      </c>
      <c r="C2311" s="416">
        <v>29263</v>
      </c>
    </row>
    <row r="2312" spans="1:3" ht="15" customHeight="1">
      <c r="A2312" s="409" t="s">
        <v>22474</v>
      </c>
      <c r="B2312" s="411" t="s">
        <v>22473</v>
      </c>
      <c r="C2312" s="417">
        <v>30192</v>
      </c>
    </row>
    <row r="2313" spans="1:3" ht="15" customHeight="1">
      <c r="A2313" s="409" t="s">
        <v>22472</v>
      </c>
      <c r="B2313" s="411" t="s">
        <v>22470</v>
      </c>
      <c r="C2313" s="416">
        <v>23818</v>
      </c>
    </row>
    <row r="2314" spans="1:3" ht="15" customHeight="1">
      <c r="A2314" s="414" t="s">
        <v>22471</v>
      </c>
      <c r="B2314" s="413" t="s">
        <v>22470</v>
      </c>
      <c r="C2314" s="433">
        <v>25815</v>
      </c>
    </row>
    <row r="2315" spans="1:3" ht="15" customHeight="1">
      <c r="A2315" s="409" t="s">
        <v>22469</v>
      </c>
      <c r="B2315" s="411" t="s">
        <v>22468</v>
      </c>
      <c r="C2315" s="416">
        <v>29646</v>
      </c>
    </row>
    <row r="2316" spans="1:3" ht="15" customHeight="1">
      <c r="A2316" s="414" t="s">
        <v>22467</v>
      </c>
      <c r="B2316" s="413" t="s">
        <v>22466</v>
      </c>
      <c r="C2316" s="446">
        <v>22941</v>
      </c>
    </row>
    <row r="2317" spans="1:3" ht="15" customHeight="1">
      <c r="A2317" s="420" t="s">
        <v>22465</v>
      </c>
      <c r="B2317" s="419" t="s">
        <v>22464</v>
      </c>
      <c r="C2317" s="418">
        <v>129</v>
      </c>
    </row>
    <row r="2318" spans="1:3" ht="15" customHeight="1">
      <c r="A2318" s="420" t="s">
        <v>22463</v>
      </c>
      <c r="B2318" s="419" t="s">
        <v>22462</v>
      </c>
      <c r="C2318" s="418">
        <v>129</v>
      </c>
    </row>
    <row r="2319" spans="1:3" ht="15" customHeight="1">
      <c r="A2319" s="420" t="s">
        <v>22461</v>
      </c>
      <c r="B2319" s="419" t="s">
        <v>22460</v>
      </c>
      <c r="C2319" s="418">
        <v>191</v>
      </c>
    </row>
    <row r="2320" spans="1:3" ht="15" customHeight="1">
      <c r="A2320" s="420" t="s">
        <v>22459</v>
      </c>
      <c r="B2320" s="419" t="s">
        <v>22458</v>
      </c>
      <c r="C2320" s="418">
        <v>245</v>
      </c>
    </row>
    <row r="2321" spans="1:3" ht="15" customHeight="1">
      <c r="A2321" s="420" t="s">
        <v>22457</v>
      </c>
      <c r="B2321" s="419" t="s">
        <v>22456</v>
      </c>
      <c r="C2321" s="418">
        <v>160</v>
      </c>
    </row>
    <row r="2322" spans="1:3" ht="15" customHeight="1">
      <c r="A2322" s="420" t="s">
        <v>22455</v>
      </c>
      <c r="B2322" s="419" t="s">
        <v>22454</v>
      </c>
      <c r="C2322" s="418">
        <v>77</v>
      </c>
    </row>
    <row r="2323" spans="1:3" ht="15" customHeight="1">
      <c r="A2323" s="437" t="s">
        <v>22453</v>
      </c>
      <c r="B2323" s="431" t="s">
        <v>22452</v>
      </c>
      <c r="C2323" s="435">
        <v>35</v>
      </c>
    </row>
    <row r="2324" spans="1:3" ht="15" customHeight="1">
      <c r="A2324" s="420" t="s">
        <v>22451</v>
      </c>
      <c r="B2324" s="419" t="s">
        <v>22450</v>
      </c>
      <c r="C2324" s="418">
        <v>245</v>
      </c>
    </row>
    <row r="2325" spans="1:3" ht="15" customHeight="1">
      <c r="A2325" s="420" t="s">
        <v>22449</v>
      </c>
      <c r="B2325" s="419" t="s">
        <v>22448</v>
      </c>
      <c r="C2325" s="418">
        <v>245</v>
      </c>
    </row>
    <row r="2326" spans="1:3" ht="15" customHeight="1">
      <c r="A2326" s="420" t="s">
        <v>22447</v>
      </c>
      <c r="B2326" s="419" t="s">
        <v>22446</v>
      </c>
      <c r="C2326" s="418">
        <v>70</v>
      </c>
    </row>
    <row r="2327" spans="1:3" ht="15" customHeight="1">
      <c r="A2327" s="420" t="s">
        <v>22445</v>
      </c>
      <c r="B2327" s="419" t="s">
        <v>22444</v>
      </c>
      <c r="C2327" s="418">
        <v>152</v>
      </c>
    </row>
    <row r="2328" spans="1:3" ht="15" customHeight="1">
      <c r="A2328" s="420" t="s">
        <v>22443</v>
      </c>
      <c r="B2328" s="419" t="s">
        <v>22442</v>
      </c>
      <c r="C2328" s="416">
        <v>1276</v>
      </c>
    </row>
    <row r="2329" spans="1:3" ht="15" customHeight="1">
      <c r="A2329" s="420" t="s">
        <v>22441</v>
      </c>
      <c r="B2329" s="419" t="s">
        <v>22440</v>
      </c>
      <c r="C2329" s="416">
        <v>1717</v>
      </c>
    </row>
    <row r="2330" spans="1:3" ht="15" customHeight="1">
      <c r="A2330" s="420" t="s">
        <v>22439</v>
      </c>
      <c r="B2330" s="419" t="s">
        <v>22438</v>
      </c>
      <c r="C2330" s="416">
        <v>1406</v>
      </c>
    </row>
    <row r="2331" spans="1:3" ht="15" customHeight="1">
      <c r="A2331" s="437" t="s">
        <v>22437</v>
      </c>
      <c r="B2331" s="431" t="s">
        <v>22436</v>
      </c>
      <c r="C2331" s="433">
        <v>1841</v>
      </c>
    </row>
    <row r="2332" spans="1:3" ht="15" customHeight="1">
      <c r="A2332" s="437" t="s">
        <v>22435</v>
      </c>
      <c r="B2332" s="431" t="s">
        <v>22434</v>
      </c>
      <c r="C2332" s="433">
        <v>2025</v>
      </c>
    </row>
    <row r="2333" spans="1:3" ht="15" customHeight="1">
      <c r="A2333" s="420" t="s">
        <v>22433</v>
      </c>
      <c r="B2333" s="419" t="s">
        <v>22432</v>
      </c>
      <c r="C2333" s="416">
        <v>2039</v>
      </c>
    </row>
    <row r="2334" spans="1:3" ht="15" customHeight="1">
      <c r="A2334" s="460" t="s">
        <v>22431</v>
      </c>
      <c r="B2334" s="454" t="s">
        <v>22430</v>
      </c>
      <c r="C2334" s="416">
        <v>2097</v>
      </c>
    </row>
    <row r="2335" spans="1:3" ht="15" customHeight="1">
      <c r="A2335" s="463" t="s">
        <v>22429</v>
      </c>
      <c r="B2335" s="454" t="s">
        <v>22428</v>
      </c>
      <c r="C2335" s="416">
        <v>1256</v>
      </c>
    </row>
    <row r="2336" spans="1:3" ht="15" customHeight="1">
      <c r="A2336" s="463" t="s">
        <v>22427</v>
      </c>
      <c r="B2336" s="464" t="s">
        <v>22426</v>
      </c>
      <c r="C2336" s="416">
        <v>1655</v>
      </c>
    </row>
    <row r="2337" spans="1:3" ht="15" customHeight="1">
      <c r="A2337" s="462" t="s">
        <v>22425</v>
      </c>
      <c r="B2337" s="449" t="s">
        <v>22424</v>
      </c>
      <c r="C2337" s="433">
        <v>1391</v>
      </c>
    </row>
    <row r="2338" spans="1:3" ht="15" customHeight="1">
      <c r="A2338" s="463" t="s">
        <v>22423</v>
      </c>
      <c r="B2338" s="451" t="s">
        <v>22422</v>
      </c>
      <c r="C2338" s="416">
        <v>1790</v>
      </c>
    </row>
    <row r="2339" spans="1:3" ht="15" customHeight="1">
      <c r="A2339" s="462" t="s">
        <v>22421</v>
      </c>
      <c r="B2339" s="449" t="s">
        <v>22420</v>
      </c>
      <c r="C2339" s="433">
        <v>2041</v>
      </c>
    </row>
    <row r="2340" spans="1:3" ht="15" customHeight="1">
      <c r="A2340" s="437" t="s">
        <v>22419</v>
      </c>
      <c r="B2340" s="431" t="s">
        <v>22418</v>
      </c>
      <c r="C2340" s="433">
        <v>804</v>
      </c>
    </row>
    <row r="2341" spans="1:3" ht="15" customHeight="1">
      <c r="A2341" s="437" t="s">
        <v>22417</v>
      </c>
      <c r="B2341" s="431" t="s">
        <v>22416</v>
      </c>
      <c r="C2341" s="433">
        <v>188</v>
      </c>
    </row>
    <row r="2342" spans="1:3" ht="15" customHeight="1">
      <c r="A2342" s="420" t="s">
        <v>22415</v>
      </c>
      <c r="B2342" s="419" t="s">
        <v>22414</v>
      </c>
      <c r="C2342" s="416">
        <v>274</v>
      </c>
    </row>
    <row r="2343" spans="1:3" ht="15" customHeight="1">
      <c r="A2343" s="420" t="s">
        <v>22413</v>
      </c>
      <c r="B2343" s="451" t="s">
        <v>22412</v>
      </c>
      <c r="C2343" s="416">
        <v>316</v>
      </c>
    </row>
    <row r="2344" spans="1:3" ht="15" customHeight="1">
      <c r="A2344" s="420" t="s">
        <v>22411</v>
      </c>
      <c r="B2344" s="451" t="s">
        <v>22410</v>
      </c>
      <c r="C2344" s="416">
        <v>265</v>
      </c>
    </row>
    <row r="2345" spans="1:3" ht="15" customHeight="1">
      <c r="A2345" s="461" t="s">
        <v>22409</v>
      </c>
      <c r="B2345" s="451" t="s">
        <v>22408</v>
      </c>
      <c r="C2345" s="416">
        <v>1181</v>
      </c>
    </row>
    <row r="2346" spans="1:3" ht="15" customHeight="1">
      <c r="A2346" s="461" t="s">
        <v>22407</v>
      </c>
      <c r="B2346" s="451" t="s">
        <v>22406</v>
      </c>
      <c r="C2346" s="416">
        <v>892</v>
      </c>
    </row>
    <row r="2347" spans="1:3" ht="15" customHeight="1">
      <c r="A2347" s="420" t="s">
        <v>22405</v>
      </c>
      <c r="B2347" s="419" t="s">
        <v>22404</v>
      </c>
      <c r="C2347" s="416">
        <v>145</v>
      </c>
    </row>
    <row r="2348" spans="1:3" ht="15" customHeight="1">
      <c r="A2348" s="420" t="s">
        <v>22403</v>
      </c>
      <c r="B2348" s="419" t="s">
        <v>22402</v>
      </c>
      <c r="C2348" s="416">
        <v>201</v>
      </c>
    </row>
    <row r="2349" spans="1:3" ht="15" customHeight="1">
      <c r="A2349" s="420" t="s">
        <v>22401</v>
      </c>
      <c r="B2349" s="419" t="s">
        <v>22400</v>
      </c>
      <c r="C2349" s="416">
        <v>106</v>
      </c>
    </row>
    <row r="2350" spans="1:3" ht="15" customHeight="1">
      <c r="A2350" s="420" t="s">
        <v>22399</v>
      </c>
      <c r="B2350" s="419" t="s">
        <v>22398</v>
      </c>
      <c r="C2350" s="416">
        <v>138</v>
      </c>
    </row>
    <row r="2351" spans="1:3" ht="15" customHeight="1">
      <c r="A2351" s="420" t="s">
        <v>22397</v>
      </c>
      <c r="B2351" s="419" t="s">
        <v>22396</v>
      </c>
      <c r="C2351" s="416">
        <v>39</v>
      </c>
    </row>
    <row r="2352" spans="1:3" ht="15" customHeight="1">
      <c r="A2352" s="420" t="s">
        <v>22395</v>
      </c>
      <c r="B2352" s="419" t="s">
        <v>22394</v>
      </c>
      <c r="C2352" s="417">
        <v>39</v>
      </c>
    </row>
    <row r="2353" spans="1:3" ht="15" customHeight="1">
      <c r="A2353" s="420" t="s">
        <v>22393</v>
      </c>
      <c r="B2353" s="419" t="s">
        <v>22392</v>
      </c>
      <c r="C2353" s="416">
        <v>79</v>
      </c>
    </row>
    <row r="2354" spans="1:3" ht="15" customHeight="1">
      <c r="A2354" s="453" t="s">
        <v>22391</v>
      </c>
      <c r="B2354" s="419" t="s">
        <v>22390</v>
      </c>
      <c r="C2354" s="416">
        <v>463</v>
      </c>
    </row>
    <row r="2355" spans="1:3" ht="15" customHeight="1">
      <c r="A2355" s="452" t="s">
        <v>22389</v>
      </c>
      <c r="B2355" s="451" t="s">
        <v>22388</v>
      </c>
      <c r="C2355" s="417">
        <v>150</v>
      </c>
    </row>
    <row r="2356" spans="1:3" ht="15" customHeight="1">
      <c r="A2356" s="460" t="s">
        <v>22387</v>
      </c>
      <c r="B2356" s="451" t="s">
        <v>22386</v>
      </c>
      <c r="C2356" s="416">
        <v>634</v>
      </c>
    </row>
    <row r="2357" spans="1:3" ht="15" customHeight="1">
      <c r="A2357" s="453" t="s">
        <v>22385</v>
      </c>
      <c r="B2357" s="451" t="s">
        <v>22384</v>
      </c>
      <c r="C2357" s="416">
        <v>476</v>
      </c>
    </row>
    <row r="2358" spans="1:3" ht="15" customHeight="1">
      <c r="A2358" s="453" t="s">
        <v>22383</v>
      </c>
      <c r="B2358" s="451" t="s">
        <v>22382</v>
      </c>
      <c r="C2358" s="416">
        <v>152</v>
      </c>
    </row>
    <row r="2359" spans="1:3" ht="15" customHeight="1">
      <c r="A2359" s="460" t="s">
        <v>22381</v>
      </c>
      <c r="B2359" s="451" t="s">
        <v>22380</v>
      </c>
      <c r="C2359" s="417">
        <v>251</v>
      </c>
    </row>
    <row r="2360" spans="1:3" ht="15" customHeight="1">
      <c r="A2360" s="458" t="s">
        <v>22379</v>
      </c>
      <c r="B2360" s="457" t="s">
        <v>22378</v>
      </c>
      <c r="C2360" s="459">
        <v>304</v>
      </c>
    </row>
    <row r="2361" spans="1:3" ht="15" customHeight="1">
      <c r="A2361" s="458" t="s">
        <v>22377</v>
      </c>
      <c r="B2361" s="457" t="s">
        <v>22376</v>
      </c>
      <c r="C2361" s="456">
        <v>331</v>
      </c>
    </row>
    <row r="2362" spans="1:3" ht="15" customHeight="1">
      <c r="A2362" s="455" t="s">
        <v>22375</v>
      </c>
      <c r="B2362" s="419" t="s">
        <v>22374</v>
      </c>
      <c r="C2362" s="417">
        <v>55</v>
      </c>
    </row>
    <row r="2363" spans="1:3" ht="15" customHeight="1">
      <c r="A2363" s="420" t="s">
        <v>22373</v>
      </c>
      <c r="B2363" s="419" t="s">
        <v>22372</v>
      </c>
      <c r="C2363" s="416">
        <v>601</v>
      </c>
    </row>
    <row r="2364" spans="1:3" ht="15" customHeight="1">
      <c r="A2364" s="420" t="s">
        <v>22371</v>
      </c>
      <c r="B2364" s="419" t="s">
        <v>22370</v>
      </c>
      <c r="C2364" s="416">
        <v>500</v>
      </c>
    </row>
    <row r="2365" spans="1:3" ht="15" customHeight="1">
      <c r="A2365" s="437" t="s">
        <v>22369</v>
      </c>
      <c r="B2365" s="431" t="s">
        <v>22368</v>
      </c>
      <c r="C2365" s="433">
        <v>867</v>
      </c>
    </row>
    <row r="2366" spans="1:3" ht="15" customHeight="1">
      <c r="A2366" s="420" t="s">
        <v>22367</v>
      </c>
      <c r="B2366" s="419" t="s">
        <v>22366</v>
      </c>
      <c r="C2366" s="416">
        <v>774</v>
      </c>
    </row>
    <row r="2367" spans="1:3" ht="15" customHeight="1">
      <c r="A2367" s="420" t="s">
        <v>22365</v>
      </c>
      <c r="B2367" s="419" t="s">
        <v>22364</v>
      </c>
      <c r="C2367" s="416">
        <v>836</v>
      </c>
    </row>
    <row r="2368" spans="1:3" ht="15" customHeight="1">
      <c r="A2368" s="420" t="s">
        <v>22363</v>
      </c>
      <c r="B2368" s="419" t="s">
        <v>22362</v>
      </c>
      <c r="C2368" s="416">
        <v>650</v>
      </c>
    </row>
    <row r="2369" spans="1:3" ht="15" customHeight="1">
      <c r="A2369" s="420" t="s">
        <v>22361</v>
      </c>
      <c r="B2369" s="419" t="s">
        <v>22360</v>
      </c>
      <c r="C2369" s="416">
        <v>686</v>
      </c>
    </row>
    <row r="2370" spans="1:3" ht="15" customHeight="1">
      <c r="A2370" s="420" t="s">
        <v>22359</v>
      </c>
      <c r="B2370" s="419" t="s">
        <v>22358</v>
      </c>
      <c r="C2370" s="416">
        <v>288</v>
      </c>
    </row>
    <row r="2371" spans="1:3" ht="15" customHeight="1">
      <c r="A2371" s="453" t="s">
        <v>22357</v>
      </c>
      <c r="B2371" s="454" t="s">
        <v>22356</v>
      </c>
      <c r="C2371" s="416">
        <v>679</v>
      </c>
    </row>
    <row r="2372" spans="1:3" ht="15" customHeight="1">
      <c r="A2372" s="453" t="s">
        <v>22355</v>
      </c>
      <c r="B2372" s="454" t="s">
        <v>22354</v>
      </c>
      <c r="C2372" s="416">
        <v>1228</v>
      </c>
    </row>
    <row r="2373" spans="1:3" ht="15" customHeight="1">
      <c r="A2373" s="453" t="s">
        <v>22353</v>
      </c>
      <c r="B2373" s="454" t="s">
        <v>22352</v>
      </c>
      <c r="C2373" s="416">
        <v>1436</v>
      </c>
    </row>
    <row r="2374" spans="1:3" ht="15" customHeight="1">
      <c r="A2374" s="453" t="s">
        <v>22351</v>
      </c>
      <c r="B2374" s="419" t="s">
        <v>22350</v>
      </c>
      <c r="C2374" s="416">
        <v>928</v>
      </c>
    </row>
    <row r="2375" spans="1:3" ht="15" customHeight="1">
      <c r="A2375" s="420" t="s">
        <v>22349</v>
      </c>
      <c r="B2375" s="419" t="s">
        <v>22348</v>
      </c>
      <c r="C2375" s="416">
        <v>433</v>
      </c>
    </row>
    <row r="2376" spans="1:3" ht="15" customHeight="1">
      <c r="A2376" s="452" t="s">
        <v>22347</v>
      </c>
      <c r="B2376" s="451" t="s">
        <v>22346</v>
      </c>
      <c r="C2376" s="416">
        <v>1491</v>
      </c>
    </row>
    <row r="2377" spans="1:3" ht="15" customHeight="1">
      <c r="A2377" s="450" t="s">
        <v>22345</v>
      </c>
      <c r="B2377" s="449" t="s">
        <v>22344</v>
      </c>
      <c r="C2377" s="433">
        <v>1745</v>
      </c>
    </row>
    <row r="2378" spans="1:3" ht="15" customHeight="1">
      <c r="A2378" s="437" t="s">
        <v>22343</v>
      </c>
      <c r="B2378" s="445" t="s">
        <v>22342</v>
      </c>
      <c r="C2378" s="446">
        <v>1067</v>
      </c>
    </row>
    <row r="2379" spans="1:3" ht="15" customHeight="1">
      <c r="A2379" s="448" t="s">
        <v>22341</v>
      </c>
      <c r="B2379" s="445" t="s">
        <v>22340</v>
      </c>
      <c r="C2379" s="433">
        <v>146</v>
      </c>
    </row>
    <row r="2380" spans="1:3" ht="15" customHeight="1">
      <c r="A2380" s="447" t="s">
        <v>22339</v>
      </c>
      <c r="B2380" s="419" t="s">
        <v>22338</v>
      </c>
      <c r="C2380" s="416">
        <v>152</v>
      </c>
    </row>
    <row r="2381" spans="1:3" ht="15" customHeight="1">
      <c r="A2381" s="437" t="s">
        <v>22337</v>
      </c>
      <c r="B2381" s="431" t="s">
        <v>22336</v>
      </c>
      <c r="C2381" s="446">
        <v>561</v>
      </c>
    </row>
    <row r="2382" spans="1:3" ht="15" customHeight="1">
      <c r="A2382" s="437" t="s">
        <v>22335</v>
      </c>
      <c r="B2382" s="445" t="s">
        <v>22334</v>
      </c>
      <c r="C2382" s="435">
        <v>121</v>
      </c>
    </row>
    <row r="2383" spans="1:3" ht="15" customHeight="1">
      <c r="A2383" s="437" t="s">
        <v>22333</v>
      </c>
      <c r="B2383" s="445" t="s">
        <v>22332</v>
      </c>
      <c r="C2383" s="435">
        <v>101</v>
      </c>
    </row>
    <row r="2384" spans="1:3" ht="15" customHeight="1">
      <c r="A2384" s="437" t="s">
        <v>22331</v>
      </c>
      <c r="B2384" s="431" t="s">
        <v>22330</v>
      </c>
      <c r="C2384" s="435">
        <v>66</v>
      </c>
    </row>
    <row r="2385" spans="1:3" ht="15" customHeight="1">
      <c r="A2385" s="437" t="s">
        <v>22329</v>
      </c>
      <c r="B2385" s="431" t="s">
        <v>22328</v>
      </c>
      <c r="C2385" s="435">
        <v>144</v>
      </c>
    </row>
    <row r="2386" spans="1:3" ht="15" customHeight="1">
      <c r="A2386" s="437" t="s">
        <v>22327</v>
      </c>
      <c r="B2386" s="431" t="s">
        <v>22326</v>
      </c>
      <c r="C2386" s="435">
        <v>395</v>
      </c>
    </row>
    <row r="2387" spans="1:3" ht="15" customHeight="1">
      <c r="A2387" s="420" t="s">
        <v>22325</v>
      </c>
      <c r="B2387" s="419" t="s">
        <v>22324</v>
      </c>
      <c r="C2387" s="418">
        <v>185</v>
      </c>
    </row>
    <row r="2388" spans="1:3" ht="15" customHeight="1">
      <c r="A2388" s="420" t="s">
        <v>22323</v>
      </c>
      <c r="B2388" s="419" t="s">
        <v>22322</v>
      </c>
      <c r="C2388" s="418">
        <v>43</v>
      </c>
    </row>
    <row r="2389" spans="1:3" ht="15" customHeight="1">
      <c r="A2389" s="420" t="s">
        <v>22321</v>
      </c>
      <c r="B2389" s="419" t="s">
        <v>22320</v>
      </c>
      <c r="C2389" s="418">
        <v>64</v>
      </c>
    </row>
    <row r="2390" spans="1:3" ht="15" customHeight="1">
      <c r="A2390" s="420" t="s">
        <v>22319</v>
      </c>
      <c r="B2390" s="419" t="s">
        <v>22318</v>
      </c>
      <c r="C2390" s="418">
        <v>74</v>
      </c>
    </row>
    <row r="2391" spans="1:3" ht="15" customHeight="1">
      <c r="A2391" s="420" t="s">
        <v>22317</v>
      </c>
      <c r="B2391" s="419" t="s">
        <v>22316</v>
      </c>
      <c r="C2391" s="418">
        <v>387</v>
      </c>
    </row>
    <row r="2392" spans="1:3" ht="15" customHeight="1">
      <c r="A2392" s="420" t="s">
        <v>22315</v>
      </c>
      <c r="B2392" s="419" t="s">
        <v>22314</v>
      </c>
      <c r="C2392" s="418">
        <v>630</v>
      </c>
    </row>
    <row r="2393" spans="1:3" ht="15" customHeight="1">
      <c r="A2393" s="420" t="s">
        <v>22313</v>
      </c>
      <c r="B2393" s="419" t="s">
        <v>22312</v>
      </c>
      <c r="C2393" s="418">
        <v>970</v>
      </c>
    </row>
    <row r="2394" spans="1:3" ht="15" customHeight="1">
      <c r="A2394" s="420" t="s">
        <v>22311</v>
      </c>
      <c r="B2394" s="419" t="s">
        <v>22310</v>
      </c>
      <c r="C2394" s="418">
        <v>1184</v>
      </c>
    </row>
    <row r="2395" spans="1:3" ht="15" customHeight="1">
      <c r="A2395" s="420" t="s">
        <v>22309</v>
      </c>
      <c r="B2395" s="419" t="s">
        <v>22308</v>
      </c>
      <c r="C2395" s="418">
        <v>711</v>
      </c>
    </row>
    <row r="2396" spans="1:3" ht="15" customHeight="1">
      <c r="A2396" s="420" t="s">
        <v>22307</v>
      </c>
      <c r="B2396" s="419" t="s">
        <v>22306</v>
      </c>
      <c r="C2396" s="418">
        <v>739</v>
      </c>
    </row>
    <row r="2397" spans="1:3" ht="15" customHeight="1">
      <c r="A2397" s="420" t="s">
        <v>22305</v>
      </c>
      <c r="B2397" s="419" t="s">
        <v>22304</v>
      </c>
      <c r="C2397" s="418">
        <v>204</v>
      </c>
    </row>
    <row r="2398" spans="1:3" ht="15" customHeight="1">
      <c r="A2398" s="420" t="s">
        <v>22303</v>
      </c>
      <c r="B2398" s="419" t="s">
        <v>22302</v>
      </c>
      <c r="C2398" s="418">
        <v>1751</v>
      </c>
    </row>
    <row r="2399" spans="1:3" ht="15" customHeight="1">
      <c r="A2399" s="420" t="s">
        <v>22301</v>
      </c>
      <c r="B2399" s="419" t="s">
        <v>22300</v>
      </c>
      <c r="C2399" s="418">
        <v>1780</v>
      </c>
    </row>
    <row r="2400" spans="1:3" ht="15" customHeight="1">
      <c r="A2400" s="420" t="s">
        <v>22299</v>
      </c>
      <c r="B2400" s="419" t="s">
        <v>22298</v>
      </c>
      <c r="C2400" s="418">
        <v>521</v>
      </c>
    </row>
    <row r="2401" spans="1:3" ht="15" customHeight="1">
      <c r="A2401" s="420" t="s">
        <v>22297</v>
      </c>
      <c r="B2401" s="419" t="s">
        <v>22296</v>
      </c>
      <c r="C2401" s="418">
        <v>419</v>
      </c>
    </row>
    <row r="2402" spans="1:3" ht="15" customHeight="1">
      <c r="A2402" s="420" t="s">
        <v>22295</v>
      </c>
      <c r="B2402" s="419" t="s">
        <v>22294</v>
      </c>
      <c r="C2402" s="418">
        <v>804</v>
      </c>
    </row>
    <row r="2403" spans="1:3" ht="15" customHeight="1">
      <c r="A2403" s="420" t="s">
        <v>22293</v>
      </c>
      <c r="B2403" s="419" t="s">
        <v>22292</v>
      </c>
      <c r="C2403" s="418">
        <v>844</v>
      </c>
    </row>
    <row r="2404" spans="1:3" ht="15" customHeight="1">
      <c r="A2404" s="420" t="s">
        <v>22291</v>
      </c>
      <c r="B2404" s="86" t="s">
        <v>22290</v>
      </c>
      <c r="C2404" s="418">
        <v>11</v>
      </c>
    </row>
    <row r="2405" spans="1:3" ht="15" customHeight="1">
      <c r="A2405" s="420" t="s">
        <v>22289</v>
      </c>
      <c r="B2405" s="419" t="s">
        <v>22288</v>
      </c>
      <c r="C2405" s="417">
        <v>660</v>
      </c>
    </row>
    <row r="2406" spans="1:3" ht="15" customHeight="1">
      <c r="A2406" s="444" t="s">
        <v>22287</v>
      </c>
      <c r="B2406" s="411" t="s">
        <v>22286</v>
      </c>
      <c r="C2406" s="417">
        <v>305</v>
      </c>
    </row>
    <row r="2407" spans="1:3" ht="15" customHeight="1">
      <c r="A2407" s="444" t="s">
        <v>22285</v>
      </c>
      <c r="B2407" s="411" t="s">
        <v>22284</v>
      </c>
      <c r="C2407" s="417">
        <v>279</v>
      </c>
    </row>
    <row r="2408" spans="1:3" ht="15" customHeight="1">
      <c r="A2408" s="437" t="s">
        <v>22283</v>
      </c>
      <c r="B2408" s="431" t="s">
        <v>22282</v>
      </c>
      <c r="C2408" s="435">
        <v>117</v>
      </c>
    </row>
    <row r="2409" spans="1:3" ht="15" customHeight="1">
      <c r="A2409" s="420" t="s">
        <v>22281</v>
      </c>
      <c r="B2409" s="419" t="s">
        <v>22280</v>
      </c>
      <c r="C2409" s="418">
        <v>89</v>
      </c>
    </row>
    <row r="2410" spans="1:3" ht="15" customHeight="1">
      <c r="A2410" s="420" t="s">
        <v>22279</v>
      </c>
      <c r="B2410" s="419" t="s">
        <v>22278</v>
      </c>
      <c r="C2410" s="418">
        <v>117</v>
      </c>
    </row>
    <row r="2411" spans="1:3" ht="15" customHeight="1">
      <c r="A2411" s="420" t="s">
        <v>22277</v>
      </c>
      <c r="B2411" s="419" t="s">
        <v>22276</v>
      </c>
      <c r="C2411" s="418">
        <v>89</v>
      </c>
    </row>
    <row r="2412" spans="1:3" ht="15" customHeight="1">
      <c r="A2412" s="420" t="s">
        <v>22275</v>
      </c>
      <c r="B2412" s="442" t="s">
        <v>22274</v>
      </c>
      <c r="C2412" s="441">
        <v>240</v>
      </c>
    </row>
    <row r="2413" spans="1:3" ht="15" customHeight="1">
      <c r="A2413" s="437" t="s">
        <v>22273</v>
      </c>
      <c r="B2413" s="442" t="s">
        <v>22272</v>
      </c>
      <c r="C2413" s="443">
        <v>240</v>
      </c>
    </row>
    <row r="2414" spans="1:3" ht="15" customHeight="1">
      <c r="A2414" s="420" t="s">
        <v>22271</v>
      </c>
      <c r="B2414" s="442" t="s">
        <v>22270</v>
      </c>
      <c r="C2414" s="441">
        <v>324</v>
      </c>
    </row>
    <row r="2415" spans="1:3" ht="15" customHeight="1">
      <c r="A2415" s="420" t="s">
        <v>22269</v>
      </c>
      <c r="B2415" s="442" t="s">
        <v>22268</v>
      </c>
      <c r="C2415" s="441">
        <v>240</v>
      </c>
    </row>
    <row r="2416" spans="1:3" ht="15" customHeight="1">
      <c r="A2416" s="420" t="s">
        <v>22267</v>
      </c>
      <c r="B2416" s="442" t="s">
        <v>22266</v>
      </c>
      <c r="C2416" s="441">
        <v>324</v>
      </c>
    </row>
    <row r="2417" spans="1:3" ht="15" customHeight="1">
      <c r="A2417" s="420" t="s">
        <v>22265</v>
      </c>
      <c r="B2417" s="442" t="s">
        <v>22264</v>
      </c>
      <c r="C2417" s="441">
        <v>240</v>
      </c>
    </row>
    <row r="2418" spans="1:3" ht="15" customHeight="1">
      <c r="A2418" s="420" t="s">
        <v>22263</v>
      </c>
      <c r="B2418" s="442" t="s">
        <v>22262</v>
      </c>
      <c r="C2418" s="441">
        <v>324</v>
      </c>
    </row>
    <row r="2419" spans="1:3" ht="15" customHeight="1">
      <c r="A2419" s="420" t="s">
        <v>22261</v>
      </c>
      <c r="B2419" s="442" t="s">
        <v>22260</v>
      </c>
      <c r="C2419" s="441">
        <v>240</v>
      </c>
    </row>
    <row r="2420" spans="1:3" ht="15" customHeight="1">
      <c r="A2420" s="420" t="s">
        <v>22259</v>
      </c>
      <c r="B2420" s="442" t="s">
        <v>22258</v>
      </c>
      <c r="C2420" s="441">
        <v>220</v>
      </c>
    </row>
    <row r="2421" spans="1:3" ht="15" customHeight="1">
      <c r="A2421" s="420" t="s">
        <v>22257</v>
      </c>
      <c r="B2421" s="442" t="s">
        <v>22256</v>
      </c>
      <c r="C2421" s="441">
        <v>240</v>
      </c>
    </row>
    <row r="2422" spans="1:3" ht="15" customHeight="1">
      <c r="A2422" s="440" t="s">
        <v>22255</v>
      </c>
      <c r="B2422" s="419" t="s">
        <v>22254</v>
      </c>
      <c r="C2422" s="439">
        <v>918</v>
      </c>
    </row>
    <row r="2423" spans="1:3" ht="15" customHeight="1">
      <c r="A2423" s="440" t="s">
        <v>22253</v>
      </c>
      <c r="B2423" s="419" t="s">
        <v>22252</v>
      </c>
      <c r="C2423" s="439">
        <v>1134</v>
      </c>
    </row>
    <row r="2424" spans="1:3" ht="15" customHeight="1">
      <c r="A2424" s="440" t="s">
        <v>22251</v>
      </c>
      <c r="B2424" s="419" t="s">
        <v>22250</v>
      </c>
      <c r="C2424" s="439">
        <v>1674</v>
      </c>
    </row>
    <row r="2425" spans="1:3" ht="15" customHeight="1">
      <c r="A2425" s="440" t="s">
        <v>22249</v>
      </c>
      <c r="B2425" s="419" t="s">
        <v>22248</v>
      </c>
      <c r="C2425" s="439">
        <v>2484</v>
      </c>
    </row>
    <row r="2426" spans="1:3" ht="15" customHeight="1">
      <c r="A2426" s="440" t="s">
        <v>22247</v>
      </c>
      <c r="B2426" s="419" t="s">
        <v>22246</v>
      </c>
      <c r="C2426" s="439">
        <v>448</v>
      </c>
    </row>
    <row r="2427" spans="1:3" ht="15" customHeight="1">
      <c r="A2427" s="440" t="s">
        <v>22245</v>
      </c>
      <c r="B2427" s="419" t="s">
        <v>22244</v>
      </c>
      <c r="C2427" s="439">
        <v>691</v>
      </c>
    </row>
    <row r="2428" spans="1:3" ht="15" customHeight="1">
      <c r="A2428" s="423" t="s">
        <v>22243</v>
      </c>
      <c r="B2428" s="431" t="s">
        <v>22242</v>
      </c>
      <c r="C2428" s="438">
        <v>1165</v>
      </c>
    </row>
    <row r="2429" spans="1:3" ht="15" customHeight="1">
      <c r="A2429" s="423" t="s">
        <v>22241</v>
      </c>
      <c r="B2429" s="431" t="s">
        <v>22240</v>
      </c>
      <c r="C2429" s="438">
        <v>1759</v>
      </c>
    </row>
    <row r="2430" spans="1:3" ht="15" customHeight="1">
      <c r="A2430" s="423" t="s">
        <v>22239</v>
      </c>
      <c r="B2430" s="431" t="s">
        <v>22238</v>
      </c>
      <c r="C2430" s="438">
        <v>2952</v>
      </c>
    </row>
    <row r="2431" spans="1:3" ht="15" customHeight="1">
      <c r="A2431" s="423" t="s">
        <v>22237</v>
      </c>
      <c r="B2431" s="431" t="s">
        <v>22236</v>
      </c>
      <c r="C2431" s="438">
        <v>770</v>
      </c>
    </row>
    <row r="2432" spans="1:3" ht="15" customHeight="1">
      <c r="A2432" s="414" t="s">
        <v>22235</v>
      </c>
      <c r="B2432" s="431" t="s">
        <v>22234</v>
      </c>
      <c r="C2432" s="433">
        <v>1825</v>
      </c>
    </row>
    <row r="2433" spans="1:3" ht="15" customHeight="1">
      <c r="A2433" s="437" t="s">
        <v>22233</v>
      </c>
      <c r="B2433" s="436" t="s">
        <v>22232</v>
      </c>
      <c r="C2433" s="435">
        <v>3</v>
      </c>
    </row>
    <row r="2434" spans="1:3" ht="15" customHeight="1">
      <c r="A2434" s="414" t="s">
        <v>22231</v>
      </c>
      <c r="B2434" s="434" t="s">
        <v>22230</v>
      </c>
      <c r="C2434" s="433">
        <v>350</v>
      </c>
    </row>
    <row r="2435" spans="1:3" ht="15" customHeight="1">
      <c r="A2435" s="414" t="s">
        <v>22229</v>
      </c>
      <c r="B2435" s="431" t="s">
        <v>22228</v>
      </c>
      <c r="C2435" s="433">
        <v>77</v>
      </c>
    </row>
    <row r="2436" spans="1:3" ht="15" customHeight="1">
      <c r="A2436" s="409" t="s">
        <v>22227</v>
      </c>
      <c r="B2436" s="430" t="s">
        <v>22226</v>
      </c>
      <c r="C2436" s="416">
        <v>275</v>
      </c>
    </row>
    <row r="2437" spans="1:3" ht="15" customHeight="1">
      <c r="A2437" s="409" t="s">
        <v>22225</v>
      </c>
      <c r="B2437" s="430" t="s">
        <v>22224</v>
      </c>
      <c r="C2437" s="416">
        <v>350</v>
      </c>
    </row>
    <row r="2438" spans="1:3" ht="15" customHeight="1">
      <c r="A2438" s="409" t="s">
        <v>22223</v>
      </c>
      <c r="B2438" s="419" t="s">
        <v>22222</v>
      </c>
      <c r="C2438" s="416">
        <v>77</v>
      </c>
    </row>
    <row r="2439" spans="1:3" ht="15" customHeight="1">
      <c r="A2439" s="409" t="s">
        <v>22221</v>
      </c>
      <c r="B2439" s="430" t="s">
        <v>22220</v>
      </c>
      <c r="C2439" s="416">
        <v>355</v>
      </c>
    </row>
    <row r="2440" spans="1:3" ht="15" customHeight="1">
      <c r="A2440" s="409" t="s">
        <v>22219</v>
      </c>
      <c r="B2440" s="419" t="s">
        <v>22218</v>
      </c>
      <c r="C2440" s="416">
        <v>82</v>
      </c>
    </row>
    <row r="2441" spans="1:3" ht="15" customHeight="1">
      <c r="A2441" s="409" t="s">
        <v>22217</v>
      </c>
      <c r="B2441" s="430" t="s">
        <v>22216</v>
      </c>
      <c r="C2441" s="416">
        <v>381</v>
      </c>
    </row>
    <row r="2442" spans="1:3" ht="15" customHeight="1">
      <c r="A2442" s="409" t="s">
        <v>22215</v>
      </c>
      <c r="B2442" s="419" t="s">
        <v>22214</v>
      </c>
      <c r="C2442" s="416">
        <v>108</v>
      </c>
    </row>
    <row r="2443" spans="1:3" ht="15" customHeight="1">
      <c r="A2443" s="420" t="s">
        <v>22213</v>
      </c>
      <c r="B2443" s="430" t="s">
        <v>22212</v>
      </c>
      <c r="C2443" s="416">
        <v>365</v>
      </c>
    </row>
    <row r="2444" spans="1:3" ht="15" customHeight="1">
      <c r="A2444" s="420" t="s">
        <v>22211</v>
      </c>
      <c r="B2444" s="432" t="s">
        <v>22210</v>
      </c>
      <c r="C2444" s="416">
        <v>92</v>
      </c>
    </row>
    <row r="2445" spans="1:3" ht="15" customHeight="1">
      <c r="A2445" s="409" t="s">
        <v>22209</v>
      </c>
      <c r="B2445" s="430" t="s">
        <v>22208</v>
      </c>
      <c r="C2445" s="416">
        <v>320</v>
      </c>
    </row>
    <row r="2446" spans="1:3" ht="15" customHeight="1">
      <c r="A2446" s="409" t="s">
        <v>22207</v>
      </c>
      <c r="B2446" s="419" t="s">
        <v>22206</v>
      </c>
      <c r="C2446" s="416">
        <v>78</v>
      </c>
    </row>
    <row r="2447" spans="1:3" ht="15" customHeight="1">
      <c r="A2447" s="409" t="s">
        <v>22205</v>
      </c>
      <c r="B2447" s="419" t="s">
        <v>22204</v>
      </c>
      <c r="C2447" s="416">
        <v>244</v>
      </c>
    </row>
    <row r="2448" spans="1:3" ht="15" customHeight="1">
      <c r="A2448" s="409" t="s">
        <v>22203</v>
      </c>
      <c r="B2448" s="430" t="s">
        <v>22202</v>
      </c>
      <c r="C2448" s="416">
        <v>320</v>
      </c>
    </row>
    <row r="2449" spans="1:3" ht="15" customHeight="1">
      <c r="A2449" s="409" t="s">
        <v>22201</v>
      </c>
      <c r="B2449" s="419" t="s">
        <v>22200</v>
      </c>
      <c r="C2449" s="416">
        <v>78</v>
      </c>
    </row>
    <row r="2450" spans="1:3" ht="15" customHeight="1">
      <c r="A2450" s="409" t="s">
        <v>22199</v>
      </c>
      <c r="B2450" s="430" t="s">
        <v>22198</v>
      </c>
      <c r="C2450" s="416">
        <v>320</v>
      </c>
    </row>
    <row r="2451" spans="1:3" ht="15" customHeight="1">
      <c r="A2451" s="409" t="s">
        <v>22197</v>
      </c>
      <c r="B2451" s="419" t="s">
        <v>22196</v>
      </c>
      <c r="C2451" s="416">
        <v>78</v>
      </c>
    </row>
    <row r="2452" spans="1:3" ht="15" customHeight="1">
      <c r="A2452" s="409" t="s">
        <v>22195</v>
      </c>
      <c r="B2452" s="430" t="s">
        <v>22194</v>
      </c>
      <c r="C2452" s="416">
        <v>330</v>
      </c>
    </row>
    <row r="2453" spans="1:3" ht="15" customHeight="1">
      <c r="A2453" s="409" t="s">
        <v>22193</v>
      </c>
      <c r="B2453" s="419" t="s">
        <v>22192</v>
      </c>
      <c r="C2453" s="416">
        <v>89</v>
      </c>
    </row>
    <row r="2454" spans="1:3" ht="15" customHeight="1">
      <c r="A2454" s="409" t="s">
        <v>22191</v>
      </c>
      <c r="B2454" s="430" t="s">
        <v>22190</v>
      </c>
      <c r="C2454" s="416">
        <v>320</v>
      </c>
    </row>
    <row r="2455" spans="1:3" ht="15" customHeight="1">
      <c r="A2455" s="409" t="s">
        <v>22189</v>
      </c>
      <c r="B2455" s="419" t="s">
        <v>22188</v>
      </c>
      <c r="C2455" s="416">
        <v>78</v>
      </c>
    </row>
    <row r="2456" spans="1:3" ht="15" customHeight="1">
      <c r="A2456" s="409" t="s">
        <v>22187</v>
      </c>
      <c r="B2456" s="430" t="s">
        <v>22186</v>
      </c>
      <c r="C2456" s="416">
        <v>350</v>
      </c>
    </row>
    <row r="2457" spans="1:3" ht="15" customHeight="1">
      <c r="A2457" s="409" t="s">
        <v>22185</v>
      </c>
      <c r="B2457" s="419" t="s">
        <v>22184</v>
      </c>
      <c r="C2457" s="416">
        <v>108</v>
      </c>
    </row>
    <row r="2458" spans="1:3" ht="15" customHeight="1">
      <c r="A2458" s="409" t="s">
        <v>22183</v>
      </c>
      <c r="B2458" s="430" t="s">
        <v>22182</v>
      </c>
      <c r="C2458" s="416">
        <v>338</v>
      </c>
    </row>
    <row r="2459" spans="1:3" ht="15" customHeight="1">
      <c r="A2459" s="414" t="s">
        <v>22181</v>
      </c>
      <c r="B2459" s="431" t="s">
        <v>22180</v>
      </c>
      <c r="C2459" s="416">
        <v>96</v>
      </c>
    </row>
    <row r="2460" spans="1:3" ht="15" customHeight="1">
      <c r="A2460" s="409" t="s">
        <v>22179</v>
      </c>
      <c r="B2460" s="430" t="s">
        <v>22178</v>
      </c>
      <c r="C2460" s="405">
        <v>384</v>
      </c>
    </row>
    <row r="2461" spans="1:3" ht="15" customHeight="1">
      <c r="A2461" s="409" t="s">
        <v>22177</v>
      </c>
      <c r="B2461" s="419" t="s">
        <v>22176</v>
      </c>
      <c r="C2461" s="405">
        <v>142</v>
      </c>
    </row>
    <row r="2462" spans="1:3" ht="15" customHeight="1">
      <c r="A2462" s="420" t="s">
        <v>22175</v>
      </c>
      <c r="B2462" s="429" t="s">
        <v>22174</v>
      </c>
      <c r="C2462" s="405">
        <v>320</v>
      </c>
    </row>
    <row r="2463" spans="1:3" ht="15" customHeight="1">
      <c r="A2463" s="420" t="s">
        <v>22173</v>
      </c>
      <c r="B2463" s="428" t="s">
        <v>22172</v>
      </c>
      <c r="C2463" s="405">
        <v>78</v>
      </c>
    </row>
    <row r="2464" spans="1:3" ht="15" customHeight="1">
      <c r="A2464" s="420" t="s">
        <v>22171</v>
      </c>
      <c r="B2464" s="406" t="s">
        <v>22170</v>
      </c>
      <c r="C2464" s="410">
        <v>344</v>
      </c>
    </row>
    <row r="2465" spans="1:3" ht="15" customHeight="1">
      <c r="A2465" s="420" t="s">
        <v>22169</v>
      </c>
      <c r="B2465" s="406" t="s">
        <v>22168</v>
      </c>
      <c r="C2465" s="410">
        <v>102</v>
      </c>
    </row>
    <row r="2466" spans="1:3" ht="15" customHeight="1">
      <c r="A2466" s="420" t="s">
        <v>22167</v>
      </c>
      <c r="B2466" s="406" t="s">
        <v>22166</v>
      </c>
      <c r="C2466" s="410">
        <v>331</v>
      </c>
    </row>
    <row r="2467" spans="1:3" ht="15" customHeight="1">
      <c r="A2467" s="420" t="s">
        <v>22165</v>
      </c>
      <c r="B2467" s="406" t="s">
        <v>22164</v>
      </c>
      <c r="C2467" s="410">
        <v>88</v>
      </c>
    </row>
    <row r="2468" spans="1:3" ht="15" customHeight="1">
      <c r="A2468" s="420" t="s">
        <v>22163</v>
      </c>
      <c r="B2468" s="406" t="s">
        <v>22162</v>
      </c>
      <c r="C2468" s="410">
        <v>344</v>
      </c>
    </row>
    <row r="2469" spans="1:3" ht="15" customHeight="1">
      <c r="A2469" s="420" t="s">
        <v>22161</v>
      </c>
      <c r="B2469" s="406" t="s">
        <v>22160</v>
      </c>
      <c r="C2469" s="410">
        <v>102</v>
      </c>
    </row>
    <row r="2470" spans="1:3" ht="15" customHeight="1">
      <c r="A2470" s="427" t="s">
        <v>22159</v>
      </c>
      <c r="B2470" s="426" t="s">
        <v>22158</v>
      </c>
      <c r="C2470" s="410">
        <v>316</v>
      </c>
    </row>
    <row r="2471" spans="1:3" ht="15" customHeight="1">
      <c r="A2471" s="427" t="s">
        <v>22157</v>
      </c>
      <c r="B2471" s="426" t="s">
        <v>22156</v>
      </c>
      <c r="C2471" s="410">
        <v>74</v>
      </c>
    </row>
    <row r="2472" spans="1:3" ht="15" customHeight="1">
      <c r="A2472" s="427" t="s">
        <v>22155</v>
      </c>
      <c r="B2472" s="426" t="s">
        <v>22154</v>
      </c>
      <c r="C2472" s="410">
        <v>366</v>
      </c>
    </row>
    <row r="2473" spans="1:3" ht="15" customHeight="1">
      <c r="A2473" s="427" t="s">
        <v>22153</v>
      </c>
      <c r="B2473" s="426" t="s">
        <v>22152</v>
      </c>
      <c r="C2473" s="410">
        <v>124</v>
      </c>
    </row>
    <row r="2474" spans="1:3" ht="15" customHeight="1">
      <c r="A2474" s="427" t="s">
        <v>22151</v>
      </c>
      <c r="B2474" s="426" t="s">
        <v>22150</v>
      </c>
      <c r="C2474" s="410">
        <v>336</v>
      </c>
    </row>
    <row r="2475" spans="1:3" ht="15" customHeight="1">
      <c r="A2475" s="427" t="s">
        <v>22149</v>
      </c>
      <c r="B2475" s="426" t="s">
        <v>22148</v>
      </c>
      <c r="C2475" s="410">
        <v>102</v>
      </c>
    </row>
    <row r="2476" spans="1:3" ht="15" customHeight="1">
      <c r="A2476" s="409" t="s">
        <v>22147</v>
      </c>
      <c r="B2476" s="406" t="s">
        <v>22146</v>
      </c>
      <c r="C2476" s="405">
        <v>201</v>
      </c>
    </row>
    <row r="2477" spans="1:3" ht="15" customHeight="1">
      <c r="A2477" s="409" t="s">
        <v>22145</v>
      </c>
      <c r="B2477" s="406" t="s">
        <v>22144</v>
      </c>
      <c r="C2477" s="405">
        <v>49</v>
      </c>
    </row>
    <row r="2478" spans="1:3" ht="15" customHeight="1">
      <c r="A2478" s="420" t="s">
        <v>22143</v>
      </c>
      <c r="B2478" s="406" t="s">
        <v>22142</v>
      </c>
      <c r="C2478" s="425">
        <v>140</v>
      </c>
    </row>
    <row r="2479" spans="1:3" ht="15" customHeight="1">
      <c r="A2479" s="420" t="s">
        <v>22141</v>
      </c>
      <c r="B2479" s="406" t="s">
        <v>22140</v>
      </c>
      <c r="C2479" s="410">
        <v>665</v>
      </c>
    </row>
    <row r="2480" spans="1:3" ht="15" customHeight="1">
      <c r="A2480" s="420" t="s">
        <v>22139</v>
      </c>
      <c r="B2480" s="406" t="s">
        <v>22138</v>
      </c>
      <c r="C2480" s="425">
        <v>237</v>
      </c>
    </row>
    <row r="2481" spans="1:3" ht="15" customHeight="1">
      <c r="A2481" s="424" t="s">
        <v>22137</v>
      </c>
      <c r="B2481" s="422" t="s">
        <v>22136</v>
      </c>
      <c r="C2481" s="421">
        <v>199</v>
      </c>
    </row>
    <row r="2482" spans="1:3" ht="15" customHeight="1">
      <c r="A2482" s="424" t="s">
        <v>22135</v>
      </c>
      <c r="B2482" s="422" t="s">
        <v>22134</v>
      </c>
      <c r="C2482" s="421">
        <v>214</v>
      </c>
    </row>
    <row r="2483" spans="1:3" ht="15" customHeight="1">
      <c r="A2483" s="423" t="s">
        <v>22133</v>
      </c>
      <c r="B2483" s="422" t="s">
        <v>22132</v>
      </c>
      <c r="C2483" s="421">
        <v>142</v>
      </c>
    </row>
    <row r="2484" spans="1:3" ht="15" customHeight="1">
      <c r="A2484" s="420" t="s">
        <v>22131</v>
      </c>
      <c r="B2484" s="419" t="s">
        <v>22130</v>
      </c>
      <c r="C2484" s="418">
        <v>99</v>
      </c>
    </row>
    <row r="2485" spans="1:3" ht="15" customHeight="1">
      <c r="A2485" s="420" t="s">
        <v>22129</v>
      </c>
      <c r="B2485" s="419" t="s">
        <v>22128</v>
      </c>
      <c r="C2485" s="418">
        <v>74</v>
      </c>
    </row>
    <row r="2486" spans="1:3" ht="15" customHeight="1">
      <c r="A2486" s="409" t="s">
        <v>22127</v>
      </c>
      <c r="B2486" s="411" t="s">
        <v>22126</v>
      </c>
      <c r="C2486" s="417">
        <v>1011</v>
      </c>
    </row>
    <row r="2487" spans="1:3" ht="15" customHeight="1">
      <c r="A2487" s="409" t="s">
        <v>22125</v>
      </c>
      <c r="B2487" s="411" t="s">
        <v>22124</v>
      </c>
      <c r="C2487" s="416">
        <v>856</v>
      </c>
    </row>
    <row r="2488" spans="1:3" ht="15" customHeight="1">
      <c r="A2488" s="409" t="s">
        <v>22123</v>
      </c>
      <c r="B2488" s="411" t="s">
        <v>22122</v>
      </c>
      <c r="C2488" s="416">
        <v>114</v>
      </c>
    </row>
    <row r="2489" spans="1:3" ht="15" customHeight="1">
      <c r="A2489" s="409" t="s">
        <v>22121</v>
      </c>
      <c r="B2489" s="411" t="s">
        <v>22120</v>
      </c>
      <c r="C2489" s="416">
        <v>2261</v>
      </c>
    </row>
    <row r="2490" spans="1:3" ht="15" customHeight="1">
      <c r="A2490" s="409" t="s">
        <v>22119</v>
      </c>
      <c r="B2490" s="411" t="s">
        <v>22118</v>
      </c>
      <c r="C2490" s="417">
        <v>2907</v>
      </c>
    </row>
    <row r="2491" spans="1:3" ht="15" customHeight="1">
      <c r="A2491" s="409" t="s">
        <v>22117</v>
      </c>
      <c r="B2491" s="411" t="s">
        <v>22116</v>
      </c>
      <c r="C2491" s="416">
        <v>370</v>
      </c>
    </row>
    <row r="2492" spans="1:3" ht="15" customHeight="1">
      <c r="A2492" s="409" t="s">
        <v>22115</v>
      </c>
      <c r="B2492" s="411" t="s">
        <v>22114</v>
      </c>
      <c r="C2492" s="415">
        <v>1924</v>
      </c>
    </row>
    <row r="2493" spans="1:3" ht="15" customHeight="1">
      <c r="A2493" s="414" t="s">
        <v>22113</v>
      </c>
      <c r="B2493" s="413" t="s">
        <v>22112</v>
      </c>
      <c r="C2493" s="412">
        <v>2474</v>
      </c>
    </row>
    <row r="2494" spans="1:3" ht="15" customHeight="1">
      <c r="A2494" s="409" t="s">
        <v>22111</v>
      </c>
      <c r="B2494" s="411" t="s">
        <v>22110</v>
      </c>
      <c r="C2494" s="405">
        <v>315</v>
      </c>
    </row>
    <row r="2495" spans="1:3" ht="15" customHeight="1">
      <c r="A2495" s="409" t="s">
        <v>22109</v>
      </c>
      <c r="B2495" s="411" t="s">
        <v>22108</v>
      </c>
      <c r="C2495" s="405">
        <v>2039</v>
      </c>
    </row>
    <row r="2496" spans="1:3" ht="15" customHeight="1">
      <c r="A2496" s="409" t="s">
        <v>22107</v>
      </c>
      <c r="B2496" s="408" t="s">
        <v>22106</v>
      </c>
      <c r="C2496" s="405">
        <v>1741</v>
      </c>
    </row>
    <row r="2497" spans="1:3" ht="15" customHeight="1">
      <c r="A2497" s="409" t="s">
        <v>22105</v>
      </c>
      <c r="B2497" s="408" t="s">
        <v>22104</v>
      </c>
      <c r="C2497" s="405">
        <v>2105</v>
      </c>
    </row>
    <row r="2498" spans="1:3" ht="15" customHeight="1">
      <c r="A2498" s="409" t="s">
        <v>22103</v>
      </c>
      <c r="B2498" s="408" t="s">
        <v>22102</v>
      </c>
      <c r="C2498" s="405">
        <v>2039</v>
      </c>
    </row>
    <row r="2499" spans="1:3" ht="15" customHeight="1">
      <c r="A2499" s="409" t="s">
        <v>22101</v>
      </c>
      <c r="B2499" s="408" t="s">
        <v>22100</v>
      </c>
      <c r="C2499" s="405">
        <v>1741</v>
      </c>
    </row>
    <row r="2500" spans="1:3" ht="15" customHeight="1">
      <c r="A2500" s="409" t="s">
        <v>22099</v>
      </c>
      <c r="B2500" s="408" t="s">
        <v>22098</v>
      </c>
      <c r="C2500" s="410">
        <v>2191</v>
      </c>
    </row>
    <row r="2501" spans="1:3" ht="15" customHeight="1">
      <c r="A2501" s="409" t="s">
        <v>22097</v>
      </c>
      <c r="B2501" s="408" t="s">
        <v>22096</v>
      </c>
      <c r="C2501" s="405">
        <v>364</v>
      </c>
    </row>
    <row r="2502" spans="1:3" ht="15" customHeight="1">
      <c r="A2502" s="409" t="s">
        <v>22095</v>
      </c>
      <c r="B2502" s="408" t="s">
        <v>22094</v>
      </c>
      <c r="C2502" s="405">
        <v>669</v>
      </c>
    </row>
    <row r="2503" spans="1:3" ht="15" customHeight="1">
      <c r="A2503" s="407" t="s">
        <v>22093</v>
      </c>
      <c r="B2503" s="406" t="s">
        <v>22092</v>
      </c>
      <c r="C2503" s="405">
        <v>119</v>
      </c>
    </row>
  </sheetData>
  <conditionalFormatting sqref="A39">
    <cfRule type="duplicateValues" dxfId="201" priority="186"/>
  </conditionalFormatting>
  <conditionalFormatting sqref="A321">
    <cfRule type="duplicateValues" dxfId="200" priority="185"/>
  </conditionalFormatting>
  <conditionalFormatting sqref="A456">
    <cfRule type="duplicateValues" dxfId="199" priority="59"/>
  </conditionalFormatting>
  <conditionalFormatting sqref="A515">
    <cfRule type="duplicateValues" dxfId="198" priority="168"/>
    <cfRule type="duplicateValues" dxfId="197" priority="169"/>
    <cfRule type="duplicateValues" dxfId="196" priority="170"/>
  </conditionalFormatting>
  <conditionalFormatting sqref="A548">
    <cfRule type="duplicateValues" dxfId="195" priority="178"/>
  </conditionalFormatting>
  <conditionalFormatting sqref="A709:A711">
    <cfRule type="duplicateValues" dxfId="194" priority="6"/>
  </conditionalFormatting>
  <conditionalFormatting sqref="A775:A776">
    <cfRule type="duplicateValues" dxfId="193" priority="188"/>
  </conditionalFormatting>
  <conditionalFormatting sqref="A777:A796">
    <cfRule type="duplicateValues" dxfId="192" priority="199"/>
    <cfRule type="duplicateValues" dxfId="191" priority="200"/>
  </conditionalFormatting>
  <conditionalFormatting sqref="A824">
    <cfRule type="duplicateValues" dxfId="190" priority="164"/>
  </conditionalFormatting>
  <conditionalFormatting sqref="A825">
    <cfRule type="duplicateValues" dxfId="189" priority="163"/>
  </conditionalFormatting>
  <conditionalFormatting sqref="A826">
    <cfRule type="duplicateValues" dxfId="188" priority="162"/>
  </conditionalFormatting>
  <conditionalFormatting sqref="A827 A829">
    <cfRule type="duplicateValues" dxfId="187" priority="161"/>
  </conditionalFormatting>
  <conditionalFormatting sqref="A828">
    <cfRule type="duplicateValues" dxfId="186" priority="47"/>
  </conditionalFormatting>
  <conditionalFormatting sqref="A830">
    <cfRule type="duplicateValues" dxfId="185" priority="160"/>
  </conditionalFormatting>
  <conditionalFormatting sqref="A831">
    <cfRule type="duplicateValues" dxfId="184" priority="159"/>
  </conditionalFormatting>
  <conditionalFormatting sqref="A832">
    <cfRule type="duplicateValues" dxfId="183" priority="155"/>
    <cfRule type="duplicateValues" dxfId="182" priority="158"/>
  </conditionalFormatting>
  <conditionalFormatting sqref="A833">
    <cfRule type="duplicateValues" dxfId="181" priority="156"/>
    <cfRule type="duplicateValues" dxfId="180" priority="157"/>
  </conditionalFormatting>
  <conditionalFormatting sqref="A990">
    <cfRule type="duplicateValues" dxfId="179" priority="180"/>
  </conditionalFormatting>
  <conditionalFormatting sqref="A1011:A1015">
    <cfRule type="duplicateValues" dxfId="178" priority="58"/>
  </conditionalFormatting>
  <conditionalFormatting sqref="A1023:A1024">
    <cfRule type="duplicateValues" dxfId="177" priority="189"/>
    <cfRule type="duplicateValues" dxfId="176" priority="190"/>
  </conditionalFormatting>
  <conditionalFormatting sqref="A1068">
    <cfRule type="duplicateValues" dxfId="175" priority="1"/>
    <cfRule type="duplicateValues" dxfId="174" priority="2"/>
  </conditionalFormatting>
  <conditionalFormatting sqref="A1073:A1074">
    <cfRule type="duplicateValues" dxfId="173" priority="9"/>
  </conditionalFormatting>
  <conditionalFormatting sqref="A1075:A1076">
    <cfRule type="duplicateValues" dxfId="172" priority="8"/>
  </conditionalFormatting>
  <conditionalFormatting sqref="A1081:A1082">
    <cfRule type="duplicateValues" dxfId="171" priority="7"/>
  </conditionalFormatting>
  <conditionalFormatting sqref="A1083:A1118">
    <cfRule type="duplicateValues" dxfId="170" priority="201"/>
  </conditionalFormatting>
  <conditionalFormatting sqref="A1142">
    <cfRule type="duplicateValues" dxfId="169" priority="42"/>
    <cfRule type="duplicateValues" dxfId="168" priority="45"/>
  </conditionalFormatting>
  <conditionalFormatting sqref="A1143">
    <cfRule type="duplicateValues" dxfId="167" priority="43"/>
    <cfRule type="duplicateValues" dxfId="166" priority="44"/>
  </conditionalFormatting>
  <conditionalFormatting sqref="A1144">
    <cfRule type="duplicateValues" dxfId="165" priority="118"/>
  </conditionalFormatting>
  <conditionalFormatting sqref="A1145">
    <cfRule type="duplicateValues" dxfId="164" priority="117"/>
  </conditionalFormatting>
  <conditionalFormatting sqref="A1146">
    <cfRule type="duplicateValues" dxfId="163" priority="116"/>
  </conditionalFormatting>
  <conditionalFormatting sqref="A1147">
    <cfRule type="duplicateValues" dxfId="162" priority="115"/>
  </conditionalFormatting>
  <conditionalFormatting sqref="A1148">
    <cfRule type="duplicateValues" dxfId="161" priority="114"/>
  </conditionalFormatting>
  <conditionalFormatting sqref="A1149">
    <cfRule type="duplicateValues" dxfId="160" priority="113"/>
  </conditionalFormatting>
  <conditionalFormatting sqref="A1150">
    <cfRule type="duplicateValues" dxfId="159" priority="109"/>
    <cfRule type="duplicateValues" dxfId="158" priority="112"/>
  </conditionalFormatting>
  <conditionalFormatting sqref="A1151">
    <cfRule type="duplicateValues" dxfId="157" priority="110"/>
    <cfRule type="duplicateValues" dxfId="156" priority="111"/>
  </conditionalFormatting>
  <conditionalFormatting sqref="A1345">
    <cfRule type="duplicateValues" dxfId="155" priority="86"/>
    <cfRule type="duplicateValues" dxfId="154" priority="98"/>
  </conditionalFormatting>
  <conditionalFormatting sqref="A1346">
    <cfRule type="duplicateValues" dxfId="153" priority="87"/>
    <cfRule type="duplicateValues" dxfId="152" priority="97"/>
  </conditionalFormatting>
  <conditionalFormatting sqref="A1347">
    <cfRule type="duplicateValues" dxfId="151" priority="88"/>
    <cfRule type="duplicateValues" dxfId="150" priority="96"/>
  </conditionalFormatting>
  <conditionalFormatting sqref="A1348">
    <cfRule type="duplicateValues" dxfId="149" priority="89"/>
    <cfRule type="duplicateValues" dxfId="148" priority="95"/>
  </conditionalFormatting>
  <conditionalFormatting sqref="A1349">
    <cfRule type="duplicateValues" dxfId="147" priority="90"/>
    <cfRule type="duplicateValues" dxfId="146" priority="94"/>
  </conditionalFormatting>
  <conditionalFormatting sqref="A1350">
    <cfRule type="duplicateValues" dxfId="145" priority="91"/>
  </conditionalFormatting>
  <conditionalFormatting sqref="A1351">
    <cfRule type="duplicateValues" dxfId="144" priority="92"/>
  </conditionalFormatting>
  <conditionalFormatting sqref="A1352">
    <cfRule type="duplicateValues" dxfId="143" priority="93"/>
  </conditionalFormatting>
  <conditionalFormatting sqref="A1375">
    <cfRule type="duplicateValues" dxfId="142" priority="56"/>
  </conditionalFormatting>
  <conditionalFormatting sqref="A1376">
    <cfRule type="duplicateValues" dxfId="141" priority="57"/>
  </conditionalFormatting>
  <conditionalFormatting sqref="A1451:A1452">
    <cfRule type="duplicateValues" dxfId="140" priority="66"/>
  </conditionalFormatting>
  <conditionalFormatting sqref="A1564:A1565">
    <cfRule type="duplicateValues" dxfId="139" priority="10"/>
    <cfRule type="duplicateValues" dxfId="138" priority="11"/>
    <cfRule type="duplicateValues" dxfId="137" priority="12"/>
    <cfRule type="duplicateValues" dxfId="136" priority="13"/>
  </conditionalFormatting>
  <conditionalFormatting sqref="A1623">
    <cfRule type="duplicateValues" dxfId="135" priority="26"/>
    <cfRule type="duplicateValues" dxfId="134" priority="27"/>
    <cfRule type="duplicateValues" dxfId="133" priority="28"/>
    <cfRule type="duplicateValues" dxfId="132" priority="29"/>
  </conditionalFormatting>
  <conditionalFormatting sqref="A1624">
    <cfRule type="duplicateValues" dxfId="131" priority="22"/>
    <cfRule type="duplicateValues" dxfId="130" priority="23"/>
    <cfRule type="duplicateValues" dxfId="129" priority="24"/>
    <cfRule type="duplicateValues" dxfId="128" priority="25"/>
  </conditionalFormatting>
  <conditionalFormatting sqref="A1679">
    <cfRule type="duplicateValues" dxfId="127" priority="132"/>
    <cfRule type="duplicateValues" dxfId="126" priority="144"/>
  </conditionalFormatting>
  <conditionalFormatting sqref="A1680">
    <cfRule type="duplicateValues" dxfId="125" priority="133"/>
    <cfRule type="duplicateValues" dxfId="124" priority="143"/>
  </conditionalFormatting>
  <conditionalFormatting sqref="A1681">
    <cfRule type="duplicateValues" dxfId="123" priority="134"/>
    <cfRule type="duplicateValues" dxfId="122" priority="142"/>
  </conditionalFormatting>
  <conditionalFormatting sqref="A1682 A1684">
    <cfRule type="duplicateValues" dxfId="121" priority="135"/>
    <cfRule type="duplicateValues" dxfId="120" priority="141"/>
  </conditionalFormatting>
  <conditionalFormatting sqref="A1683">
    <cfRule type="duplicateValues" dxfId="119" priority="36"/>
    <cfRule type="duplicateValues" dxfId="118" priority="37"/>
  </conditionalFormatting>
  <conditionalFormatting sqref="A1685">
    <cfRule type="duplicateValues" dxfId="117" priority="18"/>
    <cfRule type="duplicateValues" dxfId="116" priority="21"/>
  </conditionalFormatting>
  <conditionalFormatting sqref="A1686">
    <cfRule type="duplicateValues" dxfId="115" priority="19"/>
    <cfRule type="duplicateValues" dxfId="114" priority="20"/>
  </conditionalFormatting>
  <conditionalFormatting sqref="A1687">
    <cfRule type="duplicateValues" dxfId="113" priority="136"/>
    <cfRule type="duplicateValues" dxfId="112" priority="140"/>
  </conditionalFormatting>
  <conditionalFormatting sqref="A1688">
    <cfRule type="duplicateValues" dxfId="111" priority="137"/>
  </conditionalFormatting>
  <conditionalFormatting sqref="A1689">
    <cfRule type="duplicateValues" dxfId="110" priority="138"/>
  </conditionalFormatting>
  <conditionalFormatting sqref="A1690">
    <cfRule type="duplicateValues" dxfId="109" priority="139"/>
  </conditionalFormatting>
  <conditionalFormatting sqref="A1744">
    <cfRule type="duplicateValues" dxfId="108" priority="52"/>
  </conditionalFormatting>
  <conditionalFormatting sqref="A1745">
    <cfRule type="duplicateValues" dxfId="107" priority="53"/>
  </conditionalFormatting>
  <conditionalFormatting sqref="A1746">
    <cfRule type="duplicateValues" dxfId="106" priority="65"/>
  </conditionalFormatting>
  <conditionalFormatting sqref="A1748">
    <cfRule type="duplicateValues" dxfId="105" priority="64"/>
  </conditionalFormatting>
  <conditionalFormatting sqref="A1750">
    <cfRule type="duplicateValues" dxfId="104" priority="63"/>
  </conditionalFormatting>
  <conditionalFormatting sqref="A1754">
    <cfRule type="duplicateValues" dxfId="103" priority="62"/>
  </conditionalFormatting>
  <conditionalFormatting sqref="A1756">
    <cfRule type="duplicateValues" dxfId="102" priority="61"/>
  </conditionalFormatting>
  <conditionalFormatting sqref="A1759">
    <cfRule type="duplicateValues" dxfId="101" priority="60"/>
  </conditionalFormatting>
  <conditionalFormatting sqref="A1805:A1806">
    <cfRule type="duplicateValues" dxfId="100" priority="184"/>
  </conditionalFormatting>
  <conditionalFormatting sqref="A1808">
    <cfRule type="duplicateValues" dxfId="99" priority="183"/>
  </conditionalFormatting>
  <conditionalFormatting sqref="A1809">
    <cfRule type="duplicateValues" dxfId="98" priority="167"/>
  </conditionalFormatting>
  <conditionalFormatting sqref="A1810">
    <cfRule type="duplicateValues" dxfId="97" priority="166"/>
  </conditionalFormatting>
  <conditionalFormatting sqref="A1856:A1857">
    <cfRule type="duplicateValues" dxfId="96" priority="182"/>
  </conditionalFormatting>
  <conditionalFormatting sqref="A1860:A1861">
    <cfRule type="duplicateValues" dxfId="95" priority="165"/>
  </conditionalFormatting>
  <conditionalFormatting sqref="A1889">
    <cfRule type="duplicateValues" dxfId="94" priority="171"/>
    <cfRule type="duplicateValues" dxfId="93" priority="172"/>
    <cfRule type="duplicateValues" dxfId="92" priority="173"/>
  </conditionalFormatting>
  <conditionalFormatting sqref="A1897">
    <cfRule type="duplicateValues" dxfId="91" priority="68"/>
  </conditionalFormatting>
  <conditionalFormatting sqref="A1899">
    <cfRule type="duplicateValues" dxfId="90" priority="69"/>
  </conditionalFormatting>
  <conditionalFormatting sqref="A1900">
    <cfRule type="duplicateValues" dxfId="89" priority="179"/>
  </conditionalFormatting>
  <conditionalFormatting sqref="A1902">
    <cfRule type="duplicateValues" dxfId="88" priority="67"/>
  </conditionalFormatting>
  <conditionalFormatting sqref="A1912:A1915">
    <cfRule type="duplicateValues" dxfId="87" priority="202"/>
  </conditionalFormatting>
  <conditionalFormatting sqref="A1923">
    <cfRule type="duplicateValues" dxfId="86" priority="49"/>
  </conditionalFormatting>
  <conditionalFormatting sqref="A1924">
    <cfRule type="duplicateValues" dxfId="85" priority="48"/>
  </conditionalFormatting>
  <conditionalFormatting sqref="A2082">
    <cfRule type="duplicateValues" dxfId="84" priority="181"/>
  </conditionalFormatting>
  <conditionalFormatting sqref="A2128:A2129">
    <cfRule type="duplicateValues" dxfId="83" priority="177"/>
  </conditionalFormatting>
  <conditionalFormatting sqref="A2130:A2131">
    <cfRule type="duplicateValues" dxfId="82" priority="70"/>
    <cfRule type="duplicateValues" dxfId="81" priority="71"/>
    <cfRule type="duplicateValues" dxfId="80" priority="72"/>
  </conditionalFormatting>
  <conditionalFormatting sqref="A2132:A2133">
    <cfRule type="duplicateValues" dxfId="79" priority="174"/>
    <cfRule type="duplicateValues" dxfId="78" priority="175"/>
    <cfRule type="duplicateValues" dxfId="77" priority="176"/>
  </conditionalFormatting>
  <conditionalFormatting sqref="A2161:A2163">
    <cfRule type="duplicateValues" dxfId="76" priority="195"/>
    <cfRule type="duplicateValues" dxfId="75" priority="196"/>
    <cfRule type="duplicateValues" dxfId="74" priority="197"/>
    <cfRule type="duplicateValues" dxfId="73" priority="198"/>
  </conditionalFormatting>
  <conditionalFormatting sqref="A2167:A2179">
    <cfRule type="duplicateValues" dxfId="72" priority="191"/>
    <cfRule type="duplicateValues" dxfId="71" priority="192"/>
    <cfRule type="duplicateValues" dxfId="70" priority="193"/>
    <cfRule type="duplicateValues" dxfId="69" priority="194"/>
  </conditionalFormatting>
  <conditionalFormatting sqref="A2180:A2182">
    <cfRule type="duplicateValues" dxfId="68" priority="30"/>
    <cfRule type="duplicateValues" dxfId="67" priority="31"/>
    <cfRule type="duplicateValues" dxfId="66" priority="32"/>
    <cfRule type="duplicateValues" dxfId="65" priority="33"/>
  </conditionalFormatting>
  <conditionalFormatting sqref="A2428:A1048576 A1807 A1:A38 A1901 A1858:A1859 A516:A547 A1353:A1374 A1898 A1903:A1911 A1747 A1749 A1751:A1753 A1755 A1757:A1758 A1916:A1922 A1890:A1896 A1925:A2081 A322:A455 A1811:A1855 A1862:A1888 A1377:A1450 A834:A989 A1691:A1743 A2134:A2160 A2083:A2127 A1625:A1678 A457:A514 A1566:A1607 A1119:A1141 A1016:A1072 A1760:A1804 A991:A1010 A40:A320 A549:A708 A712:A823 A1152:A1344 A1453:A1519 A1524:A1525 A1530:A1563 A1611:A1622 A2183:A2386">
    <cfRule type="duplicateValues" dxfId="64" priority="187"/>
  </conditionalFormatting>
  <conditionalFormatting sqref="B824">
    <cfRule type="duplicateValues" dxfId="63" priority="154"/>
  </conditionalFormatting>
  <conditionalFormatting sqref="B825">
    <cfRule type="duplicateValues" dxfId="62" priority="153"/>
  </conditionalFormatting>
  <conditionalFormatting sqref="B826">
    <cfRule type="duplicateValues" dxfId="61" priority="152"/>
  </conditionalFormatting>
  <conditionalFormatting sqref="B827 B829">
    <cfRule type="duplicateValues" dxfId="60" priority="151"/>
  </conditionalFormatting>
  <conditionalFormatting sqref="B828">
    <cfRule type="duplicateValues" dxfId="59" priority="46"/>
  </conditionalFormatting>
  <conditionalFormatting sqref="B830">
    <cfRule type="duplicateValues" dxfId="58" priority="150"/>
  </conditionalFormatting>
  <conditionalFormatting sqref="B831">
    <cfRule type="duplicateValues" dxfId="57" priority="149"/>
  </conditionalFormatting>
  <conditionalFormatting sqref="B832">
    <cfRule type="duplicateValues" dxfId="56" priority="145"/>
    <cfRule type="duplicateValues" dxfId="55" priority="148"/>
  </conditionalFormatting>
  <conditionalFormatting sqref="B833">
    <cfRule type="duplicateValues" dxfId="54" priority="146"/>
    <cfRule type="duplicateValues" dxfId="53" priority="147"/>
  </conditionalFormatting>
  <conditionalFormatting sqref="B1142">
    <cfRule type="duplicateValues" dxfId="52" priority="38"/>
    <cfRule type="duplicateValues" dxfId="51" priority="41"/>
  </conditionalFormatting>
  <conditionalFormatting sqref="B1143">
    <cfRule type="duplicateValues" dxfId="50" priority="39"/>
    <cfRule type="duplicateValues" dxfId="49" priority="40"/>
  </conditionalFormatting>
  <conditionalFormatting sqref="B1144">
    <cfRule type="duplicateValues" dxfId="48" priority="108"/>
  </conditionalFormatting>
  <conditionalFormatting sqref="B1145">
    <cfRule type="duplicateValues" dxfId="47" priority="107"/>
  </conditionalFormatting>
  <conditionalFormatting sqref="B1146">
    <cfRule type="duplicateValues" dxfId="46" priority="106"/>
  </conditionalFormatting>
  <conditionalFormatting sqref="B1147">
    <cfRule type="duplicateValues" dxfId="45" priority="105"/>
  </conditionalFormatting>
  <conditionalFormatting sqref="B1148">
    <cfRule type="duplicateValues" dxfId="44" priority="104"/>
  </conditionalFormatting>
  <conditionalFormatting sqref="B1149">
    <cfRule type="duplicateValues" dxfId="43" priority="103"/>
  </conditionalFormatting>
  <conditionalFormatting sqref="B1150">
    <cfRule type="duplicateValues" dxfId="42" priority="99"/>
    <cfRule type="duplicateValues" dxfId="41" priority="102"/>
  </conditionalFormatting>
  <conditionalFormatting sqref="B1151">
    <cfRule type="duplicateValues" dxfId="40" priority="100"/>
    <cfRule type="duplicateValues" dxfId="39" priority="101"/>
  </conditionalFormatting>
  <conditionalFormatting sqref="B1345">
    <cfRule type="duplicateValues" dxfId="38" priority="73"/>
    <cfRule type="duplicateValues" dxfId="37" priority="85"/>
  </conditionalFormatting>
  <conditionalFormatting sqref="B1346">
    <cfRule type="duplicateValues" dxfId="36" priority="74"/>
    <cfRule type="duplicateValues" dxfId="35" priority="84"/>
  </conditionalFormatting>
  <conditionalFormatting sqref="B1347">
    <cfRule type="duplicateValues" dxfId="34" priority="75"/>
    <cfRule type="duplicateValues" dxfId="33" priority="83"/>
  </conditionalFormatting>
  <conditionalFormatting sqref="B1348">
    <cfRule type="duplicateValues" dxfId="32" priority="76"/>
    <cfRule type="duplicateValues" dxfId="31" priority="82"/>
  </conditionalFormatting>
  <conditionalFormatting sqref="B1349">
    <cfRule type="duplicateValues" dxfId="30" priority="77"/>
    <cfRule type="duplicateValues" dxfId="29" priority="81"/>
  </conditionalFormatting>
  <conditionalFormatting sqref="B1350">
    <cfRule type="duplicateValues" dxfId="28" priority="78"/>
  </conditionalFormatting>
  <conditionalFormatting sqref="B1351">
    <cfRule type="duplicateValues" dxfId="27" priority="79"/>
  </conditionalFormatting>
  <conditionalFormatting sqref="B1352">
    <cfRule type="duplicateValues" dxfId="26" priority="80"/>
  </conditionalFormatting>
  <conditionalFormatting sqref="B1375">
    <cfRule type="duplicateValues" dxfId="25" priority="54"/>
  </conditionalFormatting>
  <conditionalFormatting sqref="B1376">
    <cfRule type="duplicateValues" dxfId="24" priority="55"/>
  </conditionalFormatting>
  <conditionalFormatting sqref="B1380:B1382">
    <cfRule type="duplicateValues" dxfId="23" priority="4"/>
  </conditionalFormatting>
  <conditionalFormatting sqref="B1383:B1384">
    <cfRule type="duplicateValues" dxfId="22" priority="5"/>
  </conditionalFormatting>
  <conditionalFormatting sqref="B1385:B1386">
    <cfRule type="duplicateValues" dxfId="21" priority="3"/>
  </conditionalFormatting>
  <conditionalFormatting sqref="B1679">
    <cfRule type="duplicateValues" dxfId="20" priority="119"/>
    <cfRule type="duplicateValues" dxfId="19" priority="131"/>
  </conditionalFormatting>
  <conditionalFormatting sqref="B1680">
    <cfRule type="duplicateValues" dxfId="18" priority="120"/>
    <cfRule type="duplicateValues" dxfId="17" priority="130"/>
  </conditionalFormatting>
  <conditionalFormatting sqref="B1681">
    <cfRule type="duplicateValues" dxfId="16" priority="121"/>
    <cfRule type="duplicateValues" dxfId="15" priority="129"/>
  </conditionalFormatting>
  <conditionalFormatting sqref="B1682 B1684">
    <cfRule type="duplicateValues" dxfId="14" priority="122"/>
    <cfRule type="duplicateValues" dxfId="13" priority="128"/>
  </conditionalFormatting>
  <conditionalFormatting sqref="B1683">
    <cfRule type="duplicateValues" dxfId="12" priority="34"/>
    <cfRule type="duplicateValues" dxfId="11" priority="35"/>
  </conditionalFormatting>
  <conditionalFormatting sqref="B1685">
    <cfRule type="duplicateValues" dxfId="10" priority="14"/>
    <cfRule type="duplicateValues" dxfId="9" priority="17"/>
  </conditionalFormatting>
  <conditionalFormatting sqref="B1686">
    <cfRule type="duplicateValues" dxfId="8" priority="15"/>
    <cfRule type="duplicateValues" dxfId="7" priority="16"/>
  </conditionalFormatting>
  <conditionalFormatting sqref="B1687">
    <cfRule type="duplicateValues" dxfId="6" priority="123"/>
    <cfRule type="duplicateValues" dxfId="5" priority="127"/>
  </conditionalFormatting>
  <conditionalFormatting sqref="B1688">
    <cfRule type="duplicateValues" dxfId="4" priority="124"/>
  </conditionalFormatting>
  <conditionalFormatting sqref="B1689">
    <cfRule type="duplicateValues" dxfId="3" priority="125"/>
  </conditionalFormatting>
  <conditionalFormatting sqref="B1690">
    <cfRule type="duplicateValues" dxfId="2" priority="126"/>
  </conditionalFormatting>
  <conditionalFormatting sqref="B1744">
    <cfRule type="duplicateValues" dxfId="1" priority="50"/>
  </conditionalFormatting>
  <conditionalFormatting sqref="B1745">
    <cfRule type="duplicateValues" dxfId="0" priority="51"/>
  </conditionalFormatting>
  <pageMargins left="0.25" right="0.25" top="0.75" bottom="0.75" header="0.3" footer="0.3"/>
  <pageSetup scale="38" fitToHeight="0" orientation="portrait" verticalDpi="120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69449-B906-487A-9F17-C6D8849EBB1F}">
  <sheetPr>
    <tabColor theme="2" tint="-9.9978637043366805E-2"/>
    <pageSetUpPr fitToPage="1"/>
  </sheetPr>
  <dimension ref="A1:J716"/>
  <sheetViews>
    <sheetView zoomScale="110" zoomScaleNormal="110" zoomScaleSheetLayoutView="90" workbookViewId="0">
      <pane ySplit="2" topLeftCell="A3" activePane="bottomLeft" state="frozen"/>
      <selection activeCell="C8" sqref="C8"/>
      <selection pane="bottomLeft" activeCell="C8" sqref="C8"/>
    </sheetView>
  </sheetViews>
  <sheetFormatPr defaultRowHeight="13"/>
  <cols>
    <col min="1" max="1" width="22.6328125" style="756" customWidth="1"/>
    <col min="2" max="2" width="78.36328125" style="657" customWidth="1"/>
    <col min="3" max="3" width="10.36328125" style="778" customWidth="1"/>
    <col min="4" max="4" width="8.7265625" style="777"/>
    <col min="5" max="16384" width="8.7265625" style="657"/>
  </cols>
  <sheetData>
    <row r="1" spans="1:3" ht="60" customHeight="1">
      <c r="A1" s="776"/>
      <c r="B1" s="775" t="s">
        <v>5148</v>
      </c>
      <c r="C1" s="838" t="s">
        <v>5147</v>
      </c>
    </row>
    <row r="2" spans="1:3" ht="15.75" customHeight="1">
      <c r="A2" s="774" t="s">
        <v>293</v>
      </c>
      <c r="B2" s="773" t="s">
        <v>1</v>
      </c>
      <c r="C2" s="837" t="s">
        <v>5146</v>
      </c>
    </row>
    <row r="3" spans="1:3" ht="18" customHeight="1">
      <c r="A3" s="1078" t="s">
        <v>5145</v>
      </c>
      <c r="B3" s="1078"/>
      <c r="C3" s="1078"/>
    </row>
    <row r="4" spans="1:3" ht="12.75" customHeight="1">
      <c r="A4" s="809" t="s">
        <v>4352</v>
      </c>
      <c r="B4" s="761" t="s">
        <v>4351</v>
      </c>
      <c r="C4" s="79">
        <v>79</v>
      </c>
    </row>
    <row r="5" spans="1:3">
      <c r="A5" s="771" t="s">
        <v>4911</v>
      </c>
      <c r="B5" s="77" t="s">
        <v>4910</v>
      </c>
      <c r="C5" s="80">
        <v>599</v>
      </c>
    </row>
    <row r="6" spans="1:3">
      <c r="A6" s="771" t="s">
        <v>4909</v>
      </c>
      <c r="B6" s="77" t="s">
        <v>4908</v>
      </c>
      <c r="C6" s="80">
        <v>899</v>
      </c>
    </row>
    <row r="7" spans="1:3">
      <c r="A7" s="771" t="s">
        <v>4907</v>
      </c>
      <c r="B7" s="77" t="s">
        <v>4906</v>
      </c>
      <c r="C7" s="80">
        <v>599</v>
      </c>
    </row>
    <row r="8" spans="1:3">
      <c r="A8" s="771" t="s">
        <v>4905</v>
      </c>
      <c r="B8" s="77" t="s">
        <v>4904</v>
      </c>
      <c r="C8" s="80">
        <v>899</v>
      </c>
    </row>
    <row r="9" spans="1:3">
      <c r="A9" s="771" t="s">
        <v>4903</v>
      </c>
      <c r="B9" s="77" t="s">
        <v>4902</v>
      </c>
      <c r="C9" s="80">
        <v>599</v>
      </c>
    </row>
    <row r="10" spans="1:3">
      <c r="A10" s="771" t="s">
        <v>5144</v>
      </c>
      <c r="B10" s="77" t="s">
        <v>4900</v>
      </c>
      <c r="C10" s="80">
        <v>899</v>
      </c>
    </row>
    <row r="11" spans="1:3">
      <c r="A11" s="771" t="s">
        <v>4899</v>
      </c>
      <c r="B11" s="77" t="s">
        <v>4898</v>
      </c>
      <c r="C11" s="80" t="s">
        <v>4895</v>
      </c>
    </row>
    <row r="12" spans="1:3">
      <c r="A12" s="771" t="s">
        <v>4897</v>
      </c>
      <c r="B12" s="77" t="s">
        <v>4896</v>
      </c>
      <c r="C12" s="80" t="s">
        <v>4895</v>
      </c>
    </row>
    <row r="13" spans="1:3">
      <c r="A13" s="771" t="s">
        <v>4894</v>
      </c>
      <c r="B13" s="77" t="s">
        <v>4893</v>
      </c>
      <c r="C13" s="80">
        <v>199</v>
      </c>
    </row>
    <row r="14" spans="1:3">
      <c r="A14" s="771" t="s">
        <v>4892</v>
      </c>
      <c r="B14" s="77" t="s">
        <v>4891</v>
      </c>
      <c r="C14" s="80">
        <v>159</v>
      </c>
    </row>
    <row r="15" spans="1:3" ht="12.75" customHeight="1">
      <c r="A15" s="763" t="s">
        <v>4930</v>
      </c>
      <c r="B15" s="762" t="s">
        <v>4929</v>
      </c>
      <c r="C15" s="79">
        <v>89.5</v>
      </c>
    </row>
    <row r="16" spans="1:3" ht="12.75" customHeight="1">
      <c r="A16" s="763" t="s">
        <v>4928</v>
      </c>
      <c r="B16" s="762" t="s">
        <v>4927</v>
      </c>
      <c r="C16" s="79">
        <v>89.5</v>
      </c>
    </row>
    <row r="17" spans="1:3" ht="37.5">
      <c r="A17" s="771" t="s">
        <v>5082</v>
      </c>
      <c r="B17" s="81" t="s">
        <v>5081</v>
      </c>
      <c r="C17" s="80">
        <v>1061.6540000000002</v>
      </c>
    </row>
    <row r="18" spans="1:3" ht="39.75" customHeight="1">
      <c r="A18" s="771" t="s">
        <v>5066</v>
      </c>
      <c r="B18" s="81" t="s">
        <v>5065</v>
      </c>
      <c r="C18" s="80">
        <v>1482.9665000000002</v>
      </c>
    </row>
    <row r="19" spans="1:3" ht="37.5">
      <c r="A19" s="766" t="s">
        <v>5004</v>
      </c>
      <c r="B19" s="81" t="s">
        <v>52221</v>
      </c>
      <c r="C19" s="80">
        <v>925.22</v>
      </c>
    </row>
    <row r="20" spans="1:3" ht="37.5">
      <c r="A20" s="766" t="s">
        <v>5003</v>
      </c>
      <c r="B20" s="81" t="s">
        <v>52220</v>
      </c>
      <c r="C20" s="80">
        <v>928.65</v>
      </c>
    </row>
    <row r="21" spans="1:3" ht="37.5">
      <c r="A21" s="766" t="s">
        <v>5002</v>
      </c>
      <c r="B21" s="81" t="s">
        <v>52219</v>
      </c>
      <c r="C21" s="80">
        <v>957.44</v>
      </c>
    </row>
    <row r="22" spans="1:3" ht="37.5">
      <c r="A22" s="766" t="s">
        <v>5001</v>
      </c>
      <c r="B22" s="81" t="s">
        <v>52218</v>
      </c>
      <c r="C22" s="80">
        <v>1344.76</v>
      </c>
    </row>
    <row r="23" spans="1:3" ht="37.5">
      <c r="A23" s="766" t="s">
        <v>5000</v>
      </c>
      <c r="B23" s="81" t="s">
        <v>52217</v>
      </c>
      <c r="C23" s="80">
        <v>1376.05</v>
      </c>
    </row>
    <row r="24" spans="1:3" ht="38">
      <c r="A24" s="766" t="s">
        <v>5026</v>
      </c>
      <c r="B24" s="81" t="s">
        <v>5025</v>
      </c>
      <c r="C24" s="80">
        <v>1095.3590000000002</v>
      </c>
    </row>
    <row r="25" spans="1:3" ht="50">
      <c r="A25" s="771" t="s">
        <v>5016</v>
      </c>
      <c r="B25" s="81" t="s">
        <v>5015</v>
      </c>
      <c r="C25" s="80">
        <v>1494.2015000000001</v>
      </c>
    </row>
    <row r="26" spans="1:3">
      <c r="A26" s="763" t="s">
        <v>4466</v>
      </c>
      <c r="B26" s="762" t="s">
        <v>4465</v>
      </c>
      <c r="C26" s="79">
        <v>398.78899999999999</v>
      </c>
    </row>
    <row r="27" spans="1:3" ht="12.75" customHeight="1">
      <c r="A27" s="763" t="s">
        <v>3982</v>
      </c>
      <c r="B27" s="762" t="s">
        <v>3981</v>
      </c>
      <c r="C27" s="79">
        <v>270.50670000000002</v>
      </c>
    </row>
    <row r="28" spans="1:3" ht="12.75" customHeight="1">
      <c r="A28" s="763" t="s">
        <v>3980</v>
      </c>
      <c r="B28" s="762" t="s">
        <v>3979</v>
      </c>
      <c r="C28" s="79">
        <v>302.16800000000001</v>
      </c>
    </row>
    <row r="29" spans="1:3" ht="12.75" customHeight="1">
      <c r="A29" s="763" t="s">
        <v>3978</v>
      </c>
      <c r="B29" s="762" t="s">
        <v>3977</v>
      </c>
      <c r="C29" s="79">
        <v>302.16800000000001</v>
      </c>
    </row>
    <row r="30" spans="1:3" ht="12.75" customHeight="1">
      <c r="A30" s="763" t="s">
        <v>3968</v>
      </c>
      <c r="B30" s="789" t="s">
        <v>3967</v>
      </c>
      <c r="C30" s="79">
        <v>301.74</v>
      </c>
    </row>
    <row r="31" spans="1:3">
      <c r="A31" s="763" t="s">
        <v>3966</v>
      </c>
      <c r="B31" s="789" t="s">
        <v>3965</v>
      </c>
      <c r="C31" s="79">
        <v>301.74</v>
      </c>
    </row>
    <row r="32" spans="1:3" ht="12.75" customHeight="1">
      <c r="A32" s="763" t="s">
        <v>3924</v>
      </c>
      <c r="B32" s="789" t="s">
        <v>3923</v>
      </c>
      <c r="C32" s="79">
        <v>196.70505500000002</v>
      </c>
    </row>
    <row r="33" spans="1:3" ht="12.75" customHeight="1">
      <c r="A33" s="763" t="s">
        <v>3922</v>
      </c>
      <c r="B33" s="789" t="s">
        <v>3921</v>
      </c>
      <c r="C33" s="79">
        <v>261.22766000000001</v>
      </c>
    </row>
    <row r="34" spans="1:3" ht="12.75" customHeight="1">
      <c r="A34" s="763" t="s">
        <v>3920</v>
      </c>
      <c r="B34" s="789" t="s">
        <v>3919</v>
      </c>
      <c r="C34" s="80">
        <v>307.67314999999996</v>
      </c>
    </row>
    <row r="35" spans="1:3" ht="25">
      <c r="A35" s="763" t="s">
        <v>3918</v>
      </c>
      <c r="B35" s="81" t="s">
        <v>3917</v>
      </c>
      <c r="C35" s="80">
        <v>365.084</v>
      </c>
    </row>
    <row r="36" spans="1:3" ht="25">
      <c r="A36" s="763" t="s">
        <v>3916</v>
      </c>
      <c r="B36" s="81" t="s">
        <v>3915</v>
      </c>
      <c r="C36" s="80">
        <v>365.084</v>
      </c>
    </row>
    <row r="37" spans="1:3" ht="25">
      <c r="A37" s="763" t="s">
        <v>3914</v>
      </c>
      <c r="B37" s="81" t="s">
        <v>3913</v>
      </c>
      <c r="C37" s="80">
        <v>365.084</v>
      </c>
    </row>
    <row r="38" spans="1:3" ht="25">
      <c r="A38" s="763" t="s">
        <v>3912</v>
      </c>
      <c r="B38" s="81" t="s">
        <v>3911</v>
      </c>
      <c r="C38" s="80">
        <v>365.084</v>
      </c>
    </row>
    <row r="39" spans="1:3" ht="12.75" customHeight="1">
      <c r="A39" s="788" t="s">
        <v>3908</v>
      </c>
      <c r="B39" s="762" t="s">
        <v>3907</v>
      </c>
      <c r="C39" s="79">
        <v>189.14390000000003</v>
      </c>
    </row>
    <row r="40" spans="1:3" ht="12.75" customHeight="1">
      <c r="A40" s="763" t="s">
        <v>4595</v>
      </c>
      <c r="B40" s="789" t="s">
        <v>4594</v>
      </c>
      <c r="C40" s="79">
        <v>123.69200000000001</v>
      </c>
    </row>
    <row r="41" spans="1:3">
      <c r="A41" s="85" t="s">
        <v>4889</v>
      </c>
      <c r="B41" s="81" t="s">
        <v>4888</v>
      </c>
      <c r="C41" s="80">
        <v>1450</v>
      </c>
    </row>
    <row r="42" spans="1:3">
      <c r="A42" s="771" t="s">
        <v>4886</v>
      </c>
      <c r="B42" s="760" t="s">
        <v>5143</v>
      </c>
      <c r="C42" s="79">
        <v>995</v>
      </c>
    </row>
    <row r="43" spans="1:3">
      <c r="A43" s="763" t="s">
        <v>4464</v>
      </c>
      <c r="B43" s="791" t="s">
        <v>4463</v>
      </c>
      <c r="C43" s="80">
        <v>195</v>
      </c>
    </row>
    <row r="44" spans="1:3">
      <c r="A44" s="766" t="s">
        <v>4480</v>
      </c>
      <c r="B44" s="811" t="s">
        <v>4479</v>
      </c>
      <c r="C44" s="80">
        <v>129</v>
      </c>
    </row>
    <row r="45" spans="1:3" ht="14">
      <c r="A45" s="770"/>
      <c r="B45" s="769" t="s">
        <v>5006</v>
      </c>
      <c r="C45" s="836"/>
    </row>
    <row r="46" spans="1:3">
      <c r="A46" s="768"/>
      <c r="B46" s="767" t="s">
        <v>5142</v>
      </c>
      <c r="C46" s="835"/>
    </row>
    <row r="47" spans="1:3" ht="39">
      <c r="A47" s="764"/>
      <c r="B47" s="772" t="s">
        <v>5141</v>
      </c>
      <c r="C47" s="80"/>
    </row>
    <row r="48" spans="1:3" ht="37.5">
      <c r="A48" s="765" t="s">
        <v>5140</v>
      </c>
      <c r="B48" s="761" t="s">
        <v>5139</v>
      </c>
      <c r="C48" s="80">
        <v>954.92150000000015</v>
      </c>
    </row>
    <row r="49" spans="1:3" ht="37.5">
      <c r="A49" s="765" t="s">
        <v>5138</v>
      </c>
      <c r="B49" s="761" t="s">
        <v>5137</v>
      </c>
      <c r="C49" s="80">
        <v>938.06900000000007</v>
      </c>
    </row>
    <row r="50" spans="1:3" ht="37.5">
      <c r="A50" s="765" t="s">
        <v>5136</v>
      </c>
      <c r="B50" s="761" t="s">
        <v>5135</v>
      </c>
      <c r="C50" s="80">
        <v>966.15650000000005</v>
      </c>
    </row>
    <row r="51" spans="1:3" ht="37.5">
      <c r="A51" s="759" t="s">
        <v>5134</v>
      </c>
      <c r="B51" s="81" t="s">
        <v>5133</v>
      </c>
      <c r="C51" s="80">
        <v>1151.5340000000001</v>
      </c>
    </row>
    <row r="52" spans="1:3" ht="37.5">
      <c r="A52" s="759" t="s">
        <v>5132</v>
      </c>
      <c r="B52" s="81" t="s">
        <v>5131</v>
      </c>
      <c r="C52" s="80">
        <v>1336.9115000000002</v>
      </c>
    </row>
    <row r="53" spans="1:3" ht="37.5">
      <c r="A53" s="759" t="s">
        <v>5130</v>
      </c>
      <c r="B53" s="81" t="s">
        <v>5129</v>
      </c>
      <c r="C53" s="80">
        <v>1359.3815000000002</v>
      </c>
    </row>
    <row r="54" spans="1:3" ht="50">
      <c r="A54" s="759" t="s">
        <v>5128</v>
      </c>
      <c r="B54" s="81" t="s">
        <v>5127</v>
      </c>
      <c r="C54" s="80">
        <v>1499.8190000000002</v>
      </c>
    </row>
    <row r="55" spans="1:3" ht="25">
      <c r="A55" s="765" t="s">
        <v>5126</v>
      </c>
      <c r="B55" s="761" t="s">
        <v>5125</v>
      </c>
      <c r="C55" s="80">
        <v>954.92150000000015</v>
      </c>
    </row>
    <row r="56" spans="1:3" ht="37.5">
      <c r="A56" s="765" t="s">
        <v>5124</v>
      </c>
      <c r="B56" s="761" t="s">
        <v>5123</v>
      </c>
      <c r="C56" s="80">
        <v>1071.7655000000002</v>
      </c>
    </row>
    <row r="57" spans="1:3" ht="37.5">
      <c r="A57" s="765" t="s">
        <v>5122</v>
      </c>
      <c r="B57" s="761" t="s">
        <v>5121</v>
      </c>
      <c r="C57" s="80">
        <v>1077.3830000000003</v>
      </c>
    </row>
    <row r="58" spans="1:3" ht="37.5">
      <c r="A58" s="765" t="s">
        <v>5120</v>
      </c>
      <c r="B58" s="761" t="s">
        <v>5119</v>
      </c>
      <c r="C58" s="80">
        <v>1108.8410000000003</v>
      </c>
    </row>
    <row r="59" spans="1:3" ht="50">
      <c r="A59" s="759" t="s">
        <v>5118</v>
      </c>
      <c r="B59" s="81" t="s">
        <v>5117</v>
      </c>
      <c r="C59" s="80">
        <v>1270.625</v>
      </c>
    </row>
    <row r="60" spans="1:3" ht="38.25" customHeight="1">
      <c r="A60" s="759" t="s">
        <v>5116</v>
      </c>
      <c r="B60" s="81" t="s">
        <v>5115</v>
      </c>
      <c r="C60" s="80">
        <v>1395.3335000000002</v>
      </c>
    </row>
    <row r="61" spans="1:3" ht="37.5">
      <c r="A61" s="759" t="s">
        <v>5114</v>
      </c>
      <c r="B61" s="81" t="s">
        <v>5113</v>
      </c>
      <c r="C61" s="80">
        <v>1551.5</v>
      </c>
    </row>
    <row r="62" spans="1:3" ht="37.5">
      <c r="A62" s="759" t="s">
        <v>5112</v>
      </c>
      <c r="B62" s="81" t="s">
        <v>5111</v>
      </c>
      <c r="C62" s="80">
        <v>1571.7230000000002</v>
      </c>
    </row>
    <row r="63" spans="1:3" ht="50">
      <c r="A63" s="759" t="s">
        <v>5110</v>
      </c>
      <c r="B63" s="81" t="s">
        <v>5109</v>
      </c>
      <c r="C63" s="80">
        <v>1684.0730000000001</v>
      </c>
    </row>
    <row r="64" spans="1:3" ht="25">
      <c r="A64" s="765" t="s">
        <v>5108</v>
      </c>
      <c r="B64" s="761" t="s">
        <v>5107</v>
      </c>
      <c r="C64" s="80">
        <v>1082.54</v>
      </c>
    </row>
    <row r="65" spans="1:3" ht="37.5">
      <c r="A65" s="765" t="s">
        <v>5106</v>
      </c>
      <c r="B65" s="761" t="s">
        <v>5105</v>
      </c>
      <c r="C65" s="80">
        <v>938.06900000000007</v>
      </c>
    </row>
    <row r="66" spans="1:3" ht="37.5">
      <c r="A66" s="759" t="s">
        <v>5104</v>
      </c>
      <c r="B66" s="761" t="s">
        <v>5103</v>
      </c>
      <c r="C66" s="80">
        <v>921.21650000000011</v>
      </c>
    </row>
    <row r="67" spans="1:3" ht="37.5">
      <c r="A67" s="759" t="s">
        <v>5102</v>
      </c>
      <c r="B67" s="761" t="s">
        <v>5101</v>
      </c>
      <c r="C67" s="80">
        <v>953.79800000000012</v>
      </c>
    </row>
    <row r="68" spans="1:3" ht="37.5">
      <c r="A68" s="759" t="s">
        <v>5100</v>
      </c>
      <c r="B68" s="81" t="s">
        <v>5099</v>
      </c>
      <c r="C68" s="80">
        <v>1106.5940000000001</v>
      </c>
    </row>
    <row r="69" spans="1:3" ht="37.5">
      <c r="A69" s="759" t="s">
        <v>5098</v>
      </c>
      <c r="B69" s="81" t="s">
        <v>5097</v>
      </c>
      <c r="C69" s="80">
        <v>1341.4055000000001</v>
      </c>
    </row>
    <row r="70" spans="1:3" ht="37.5">
      <c r="A70" s="759" t="s">
        <v>5096</v>
      </c>
      <c r="B70" s="81" t="s">
        <v>5095</v>
      </c>
      <c r="C70" s="80">
        <v>1407.6920000000002</v>
      </c>
    </row>
    <row r="71" spans="1:3" ht="50">
      <c r="A71" s="759" t="s">
        <v>5094</v>
      </c>
      <c r="B71" s="81" t="s">
        <v>5093</v>
      </c>
      <c r="C71" s="80">
        <v>1490</v>
      </c>
    </row>
    <row r="72" spans="1:3" ht="37.5">
      <c r="A72" s="759" t="s">
        <v>5092</v>
      </c>
      <c r="B72" s="81" t="s">
        <v>5091</v>
      </c>
      <c r="C72" s="80">
        <v>1218.9440000000002</v>
      </c>
    </row>
    <row r="73" spans="1:3" ht="25">
      <c r="A73" s="759" t="s">
        <v>5090</v>
      </c>
      <c r="B73" s="81" t="s">
        <v>5089</v>
      </c>
      <c r="C73" s="80">
        <v>993.07</v>
      </c>
    </row>
    <row r="74" spans="1:3" ht="37.5">
      <c r="A74" s="765" t="s">
        <v>5088</v>
      </c>
      <c r="B74" s="761" t="s">
        <v>5087</v>
      </c>
      <c r="C74" s="80">
        <v>966.15650000000005</v>
      </c>
    </row>
    <row r="75" spans="1:3" ht="38">
      <c r="A75" s="765" t="s">
        <v>5086</v>
      </c>
      <c r="B75" s="761" t="s">
        <v>5085</v>
      </c>
      <c r="C75" s="80">
        <v>1084.124</v>
      </c>
    </row>
    <row r="76" spans="1:3" ht="37.5">
      <c r="A76" s="759" t="s">
        <v>5084</v>
      </c>
      <c r="B76" s="761" t="s">
        <v>5083</v>
      </c>
      <c r="C76" s="80">
        <v>949.30400000000009</v>
      </c>
    </row>
    <row r="77" spans="1:3" ht="37.5">
      <c r="A77" s="771" t="s">
        <v>5082</v>
      </c>
      <c r="B77" s="81" t="s">
        <v>5081</v>
      </c>
      <c r="C77" s="80">
        <v>1061.6540000000002</v>
      </c>
    </row>
    <row r="78" spans="1:3" ht="38">
      <c r="A78" s="759" t="s">
        <v>5080</v>
      </c>
      <c r="B78" s="81" t="s">
        <v>5079</v>
      </c>
      <c r="C78" s="80">
        <v>1117.8290000000002</v>
      </c>
    </row>
    <row r="79" spans="1:3" ht="37.5">
      <c r="A79" s="759" t="s">
        <v>5078</v>
      </c>
      <c r="B79" s="761" t="s">
        <v>5077</v>
      </c>
      <c r="C79" s="80">
        <v>971.77400000000011</v>
      </c>
    </row>
    <row r="80" spans="1:3" ht="38.5">
      <c r="A80" s="759" t="s">
        <v>5076</v>
      </c>
      <c r="B80" s="761" t="s">
        <v>5075</v>
      </c>
      <c r="C80" s="80">
        <v>1118.9525000000001</v>
      </c>
    </row>
    <row r="81" spans="1:3" ht="37.5">
      <c r="A81" s="759" t="s">
        <v>5074</v>
      </c>
      <c r="B81" s="81" t="s">
        <v>5073</v>
      </c>
      <c r="C81" s="80">
        <v>1157.1515000000002</v>
      </c>
    </row>
    <row r="82" spans="1:3" ht="50.5">
      <c r="A82" s="759" t="s">
        <v>5072</v>
      </c>
      <c r="B82" s="81" t="s">
        <v>5071</v>
      </c>
      <c r="C82" s="80">
        <v>1296.9149000000002</v>
      </c>
    </row>
    <row r="83" spans="1:3" ht="50">
      <c r="A83" s="759" t="s">
        <v>5070</v>
      </c>
      <c r="B83" s="81" t="s">
        <v>5069</v>
      </c>
      <c r="C83" s="80">
        <v>1393.0865000000001</v>
      </c>
    </row>
    <row r="84" spans="1:3" ht="37.5">
      <c r="A84" s="759" t="s">
        <v>5068</v>
      </c>
      <c r="B84" s="81" t="s">
        <v>5067</v>
      </c>
      <c r="C84" s="80">
        <v>1370.6165000000001</v>
      </c>
    </row>
    <row r="85" spans="1:3" ht="39.75" customHeight="1">
      <c r="A85" s="771" t="s">
        <v>5066</v>
      </c>
      <c r="B85" s="81" t="s">
        <v>5065</v>
      </c>
      <c r="C85" s="80">
        <v>1482.9665000000002</v>
      </c>
    </row>
    <row r="86" spans="1:3" ht="38">
      <c r="A86" s="759" t="s">
        <v>5064</v>
      </c>
      <c r="B86" s="81" t="s">
        <v>5063</v>
      </c>
      <c r="C86" s="80">
        <v>1509.9305000000002</v>
      </c>
    </row>
    <row r="87" spans="1:3" ht="37.5">
      <c r="A87" s="759" t="s">
        <v>5062</v>
      </c>
      <c r="B87" s="81" t="s">
        <v>5061</v>
      </c>
      <c r="C87" s="80">
        <v>1364.999</v>
      </c>
    </row>
    <row r="88" spans="1:3" ht="39.75" customHeight="1">
      <c r="A88" s="759" t="s">
        <v>5060</v>
      </c>
      <c r="B88" s="81" t="s">
        <v>5059</v>
      </c>
      <c r="C88" s="80">
        <v>1600.9340000000002</v>
      </c>
    </row>
    <row r="89" spans="1:3" ht="37.5">
      <c r="A89" s="759" t="s">
        <v>5058</v>
      </c>
      <c r="B89" s="81" t="s">
        <v>5057</v>
      </c>
      <c r="C89" s="80">
        <v>1522.2890000000002</v>
      </c>
    </row>
    <row r="90" spans="1:3" ht="50.5">
      <c r="A90" s="759" t="s">
        <v>5056</v>
      </c>
      <c r="B90" s="81" t="s">
        <v>5055</v>
      </c>
      <c r="C90" s="80">
        <v>1741.3715000000002</v>
      </c>
    </row>
    <row r="91" spans="1:3" ht="37.5">
      <c r="A91" s="759" t="s">
        <v>5054</v>
      </c>
      <c r="B91" s="81" t="s">
        <v>5053</v>
      </c>
      <c r="C91" s="80">
        <v>1269.5015000000001</v>
      </c>
    </row>
    <row r="92" spans="1:3" ht="25">
      <c r="A92" s="759" t="s">
        <v>5052</v>
      </c>
      <c r="B92" s="761" t="s">
        <v>5051</v>
      </c>
      <c r="C92" s="80">
        <v>975.92</v>
      </c>
    </row>
    <row r="93" spans="1:3" ht="37.5">
      <c r="A93" s="764" t="s">
        <v>5050</v>
      </c>
      <c r="B93" s="81" t="s">
        <v>5049</v>
      </c>
      <c r="C93" s="80">
        <v>902.95</v>
      </c>
    </row>
    <row r="94" spans="1:3" ht="38">
      <c r="A94" s="764" t="s">
        <v>5048</v>
      </c>
      <c r="B94" s="81" t="s">
        <v>5047</v>
      </c>
      <c r="C94" s="80">
        <v>926.83400000000006</v>
      </c>
    </row>
    <row r="95" spans="1:3" ht="38">
      <c r="A95" s="764" t="s">
        <v>5046</v>
      </c>
      <c r="B95" s="81" t="s">
        <v>5045</v>
      </c>
      <c r="C95" s="80">
        <v>954.92150000000015</v>
      </c>
    </row>
    <row r="96" spans="1:3" ht="38">
      <c r="A96" s="764" t="s">
        <v>5044</v>
      </c>
      <c r="B96" s="81" t="s">
        <v>5043</v>
      </c>
      <c r="C96" s="80">
        <v>1080.7535</v>
      </c>
    </row>
    <row r="97" spans="1:3" ht="25">
      <c r="A97" s="764" t="s">
        <v>5042</v>
      </c>
      <c r="B97" s="81" t="s">
        <v>5041</v>
      </c>
      <c r="C97" s="80">
        <v>1150.8599000000002</v>
      </c>
    </row>
    <row r="98" spans="1:3" ht="37.5">
      <c r="A98" s="759" t="s">
        <v>5040</v>
      </c>
      <c r="B98" s="81" t="s">
        <v>5039</v>
      </c>
      <c r="C98" s="80">
        <v>1318.9355000000003</v>
      </c>
    </row>
    <row r="99" spans="1:3" ht="37.5">
      <c r="A99" s="759" t="s">
        <v>5038</v>
      </c>
      <c r="B99" s="81" t="s">
        <v>5037</v>
      </c>
      <c r="C99" s="80">
        <v>1371.74</v>
      </c>
    </row>
    <row r="100" spans="1:3" ht="37.5">
      <c r="A100" s="759" t="s">
        <v>5036</v>
      </c>
      <c r="B100" s="81" t="s">
        <v>5035</v>
      </c>
      <c r="C100" s="80">
        <v>1486.3370000000002</v>
      </c>
    </row>
    <row r="101" spans="1:3" ht="37.5">
      <c r="A101" s="759" t="s">
        <v>5034</v>
      </c>
      <c r="B101" s="81" t="s">
        <v>5033</v>
      </c>
      <c r="C101" s="80">
        <v>1265.0075000000002</v>
      </c>
    </row>
    <row r="102" spans="1:3" ht="25">
      <c r="A102" s="759" t="s">
        <v>5032</v>
      </c>
      <c r="B102" s="81" t="s">
        <v>5031</v>
      </c>
      <c r="C102" s="80">
        <v>940.54</v>
      </c>
    </row>
    <row r="103" spans="1:3" ht="37.5">
      <c r="A103" s="764" t="s">
        <v>5030</v>
      </c>
      <c r="B103" s="81" t="s">
        <v>5029</v>
      </c>
      <c r="C103" s="80">
        <v>999.86150000000009</v>
      </c>
    </row>
    <row r="104" spans="1:3" ht="38">
      <c r="A104" s="764" t="s">
        <v>5028</v>
      </c>
      <c r="B104" s="81" t="s">
        <v>5027</v>
      </c>
      <c r="C104" s="80">
        <v>983.00900000000013</v>
      </c>
    </row>
    <row r="105" spans="1:3" ht="38">
      <c r="A105" s="766" t="s">
        <v>5026</v>
      </c>
      <c r="B105" s="81" t="s">
        <v>5025</v>
      </c>
      <c r="C105" s="80">
        <v>1095.3590000000002</v>
      </c>
    </row>
    <row r="106" spans="1:3" ht="38">
      <c r="A106" s="764" t="s">
        <v>5024</v>
      </c>
      <c r="B106" s="81" t="s">
        <v>5023</v>
      </c>
      <c r="C106" s="80">
        <v>1011.0965000000001</v>
      </c>
    </row>
    <row r="107" spans="1:3" ht="38">
      <c r="A107" s="764" t="s">
        <v>5022</v>
      </c>
      <c r="B107" s="81" t="s">
        <v>5021</v>
      </c>
      <c r="C107" s="80">
        <v>1218.9440000000002</v>
      </c>
    </row>
    <row r="108" spans="1:3" ht="50.5">
      <c r="A108" s="764" t="s">
        <v>5020</v>
      </c>
      <c r="B108" s="81" t="s">
        <v>5019</v>
      </c>
      <c r="C108" s="80">
        <v>1432.4090000000001</v>
      </c>
    </row>
    <row r="109" spans="1:3" ht="37.5">
      <c r="A109" s="759" t="s">
        <v>5018</v>
      </c>
      <c r="B109" s="81" t="s">
        <v>5017</v>
      </c>
      <c r="C109" s="80">
        <v>1381.8515000000002</v>
      </c>
    </row>
    <row r="110" spans="1:3" ht="50">
      <c r="A110" s="771" t="s">
        <v>5016</v>
      </c>
      <c r="B110" s="81" t="s">
        <v>5015</v>
      </c>
      <c r="C110" s="80">
        <v>1494.2015000000001</v>
      </c>
    </row>
    <row r="111" spans="1:3" ht="37.5">
      <c r="A111" s="759" t="s">
        <v>5014</v>
      </c>
      <c r="B111" s="81" t="s">
        <v>5013</v>
      </c>
      <c r="C111" s="80">
        <v>1415.5565000000001</v>
      </c>
    </row>
    <row r="112" spans="1:3" ht="50">
      <c r="A112" s="759" t="s">
        <v>5012</v>
      </c>
      <c r="B112" s="81" t="s">
        <v>5011</v>
      </c>
      <c r="C112" s="80">
        <v>1550.3765000000001</v>
      </c>
    </row>
    <row r="113" spans="1:3" ht="37.5">
      <c r="A113" s="759" t="s">
        <v>5010</v>
      </c>
      <c r="B113" s="81" t="s">
        <v>5009</v>
      </c>
      <c r="C113" s="80">
        <v>1331.2940000000001</v>
      </c>
    </row>
    <row r="114" spans="1:3" ht="25">
      <c r="A114" s="759" t="s">
        <v>5008</v>
      </c>
      <c r="B114" s="81" t="s">
        <v>5007</v>
      </c>
      <c r="C114" s="80">
        <v>1012.67</v>
      </c>
    </row>
    <row r="115" spans="1:3" ht="14">
      <c r="A115" s="770"/>
      <c r="B115" s="769" t="s">
        <v>5006</v>
      </c>
      <c r="C115" s="836"/>
    </row>
    <row r="116" spans="1:3">
      <c r="A116" s="768"/>
      <c r="B116" s="767" t="s">
        <v>5005</v>
      </c>
      <c r="C116" s="835"/>
    </row>
    <row r="117" spans="1:3" ht="37.5">
      <c r="A117" s="766" t="s">
        <v>5004</v>
      </c>
      <c r="B117" s="81" t="s">
        <v>52221</v>
      </c>
      <c r="C117" s="80">
        <v>925.22</v>
      </c>
    </row>
    <row r="118" spans="1:3" ht="37.5">
      <c r="A118" s="766" t="s">
        <v>5003</v>
      </c>
      <c r="B118" s="81" t="s">
        <v>52220</v>
      </c>
      <c r="C118" s="80">
        <v>928.65</v>
      </c>
    </row>
    <row r="119" spans="1:3" ht="37.5">
      <c r="A119" s="766" t="s">
        <v>5002</v>
      </c>
      <c r="B119" s="81" t="s">
        <v>52219</v>
      </c>
      <c r="C119" s="80">
        <v>957.44</v>
      </c>
    </row>
    <row r="120" spans="1:3" ht="37.5">
      <c r="A120" s="766" t="s">
        <v>5001</v>
      </c>
      <c r="B120" s="81" t="s">
        <v>52218</v>
      </c>
      <c r="C120" s="80">
        <v>1344.76</v>
      </c>
    </row>
    <row r="121" spans="1:3" ht="37.5">
      <c r="A121" s="766" t="s">
        <v>5000</v>
      </c>
      <c r="B121" s="81" t="s">
        <v>52217</v>
      </c>
      <c r="C121" s="80">
        <v>1376.05</v>
      </c>
    </row>
    <row r="122" spans="1:3" ht="12.75" customHeight="1">
      <c r="A122" s="1069" t="s">
        <v>4999</v>
      </c>
      <c r="B122" s="1069"/>
      <c r="C122" s="1069"/>
    </row>
    <row r="123" spans="1:3" ht="12.75" customHeight="1">
      <c r="A123" s="759" t="s">
        <v>4998</v>
      </c>
      <c r="B123" s="81" t="s">
        <v>4997</v>
      </c>
      <c r="C123" s="79">
        <v>175</v>
      </c>
    </row>
    <row r="124" spans="1:3" ht="12.75" customHeight="1">
      <c r="A124" s="759" t="s">
        <v>4996</v>
      </c>
      <c r="B124" s="761" t="s">
        <v>4995</v>
      </c>
      <c r="C124" s="79">
        <v>213.41149999999999</v>
      </c>
    </row>
    <row r="125" spans="1:3" ht="12.75" customHeight="1">
      <c r="A125" s="759" t="s">
        <v>4994</v>
      </c>
      <c r="B125" s="761" t="s">
        <v>4993</v>
      </c>
      <c r="C125" s="79">
        <v>69.13</v>
      </c>
    </row>
    <row r="126" spans="1:3" ht="12.75" customHeight="1">
      <c r="A126" s="759" t="s">
        <v>4992</v>
      </c>
      <c r="B126" s="761" t="s">
        <v>4991</v>
      </c>
      <c r="C126" s="79">
        <v>106.67900000000002</v>
      </c>
    </row>
    <row r="127" spans="1:3" ht="12.75" customHeight="1">
      <c r="A127" s="765" t="s">
        <v>4990</v>
      </c>
      <c r="B127" s="761" t="s">
        <v>4989</v>
      </c>
      <c r="C127" s="80">
        <v>245.78</v>
      </c>
    </row>
    <row r="128" spans="1:3" ht="12.75" customHeight="1">
      <c r="A128" s="765" t="s">
        <v>4988</v>
      </c>
      <c r="B128" s="761" t="s">
        <v>4987</v>
      </c>
      <c r="C128" s="80">
        <v>207.79400000000001</v>
      </c>
    </row>
    <row r="129" spans="1:3" ht="12.75" customHeight="1">
      <c r="A129" s="765" t="s">
        <v>4986</v>
      </c>
      <c r="B129" s="761" t="s">
        <v>4985</v>
      </c>
      <c r="C129" s="80">
        <v>207.79400000000001</v>
      </c>
    </row>
    <row r="130" spans="1:3" ht="12.75" customHeight="1">
      <c r="A130" s="765" t="s">
        <v>4984</v>
      </c>
      <c r="B130" s="761" t="s">
        <v>4983</v>
      </c>
      <c r="C130" s="80">
        <v>365.084</v>
      </c>
    </row>
    <row r="131" spans="1:3" ht="12.75" customHeight="1">
      <c r="A131" s="765" t="s">
        <v>4982</v>
      </c>
      <c r="B131" s="761" t="s">
        <v>4981</v>
      </c>
      <c r="C131" s="80">
        <v>146.00149999999999</v>
      </c>
    </row>
    <row r="132" spans="1:3" ht="12.75" customHeight="1">
      <c r="A132" s="765" t="s">
        <v>4980</v>
      </c>
      <c r="B132" s="761" t="s">
        <v>4979</v>
      </c>
      <c r="C132" s="80">
        <v>335.87299999999999</v>
      </c>
    </row>
    <row r="133" spans="1:3" ht="12.75" customHeight="1">
      <c r="A133" s="765" t="s">
        <v>4978</v>
      </c>
      <c r="B133" s="761" t="s">
        <v>4977</v>
      </c>
      <c r="C133" s="80">
        <v>301.52999999999997</v>
      </c>
    </row>
    <row r="134" spans="1:3" ht="12.75" customHeight="1">
      <c r="A134" s="765" t="s">
        <v>4976</v>
      </c>
      <c r="B134" s="761" t="s">
        <v>4975</v>
      </c>
      <c r="C134" s="80">
        <v>609.03</v>
      </c>
    </row>
    <row r="135" spans="1:3" ht="12.75" customHeight="1">
      <c r="A135" s="765" t="s">
        <v>4974</v>
      </c>
      <c r="B135" s="761" t="s">
        <v>4973</v>
      </c>
      <c r="C135" s="80">
        <v>241.499</v>
      </c>
    </row>
    <row r="136" spans="1:3" ht="12.75" customHeight="1">
      <c r="A136" s="765" t="s">
        <v>4972</v>
      </c>
      <c r="B136" s="761" t="s">
        <v>4971</v>
      </c>
      <c r="C136" s="80">
        <v>370.70150000000001</v>
      </c>
    </row>
    <row r="137" spans="1:3" ht="12.75" customHeight="1">
      <c r="A137" s="759" t="s">
        <v>4970</v>
      </c>
      <c r="B137" s="761" t="s">
        <v>4969</v>
      </c>
      <c r="C137" s="79">
        <v>157.23650000000001</v>
      </c>
    </row>
    <row r="138" spans="1:3" ht="12.75" customHeight="1">
      <c r="A138" s="765" t="s">
        <v>4968</v>
      </c>
      <c r="B138" s="761" t="s">
        <v>4967</v>
      </c>
      <c r="C138" s="80">
        <v>196.559</v>
      </c>
    </row>
    <row r="139" spans="1:3" ht="12.75" customHeight="1">
      <c r="A139" s="759" t="s">
        <v>4966</v>
      </c>
      <c r="B139" s="761" t="s">
        <v>4965</v>
      </c>
      <c r="C139" s="79">
        <v>102.03</v>
      </c>
    </row>
    <row r="140" spans="1:3" ht="12.75" customHeight="1">
      <c r="A140" s="759" t="s">
        <v>4964</v>
      </c>
      <c r="B140" s="761" t="s">
        <v>4963</v>
      </c>
      <c r="C140" s="79">
        <v>112.23</v>
      </c>
    </row>
    <row r="141" spans="1:3" ht="12.75" customHeight="1">
      <c r="A141" s="764" t="s">
        <v>4962</v>
      </c>
      <c r="B141" s="81" t="s">
        <v>4961</v>
      </c>
      <c r="C141" s="80">
        <v>223.52300000000002</v>
      </c>
    </row>
    <row r="142" spans="1:3" ht="12.75" customHeight="1">
      <c r="A142" s="759" t="s">
        <v>4960</v>
      </c>
      <c r="B142" s="761" t="s">
        <v>4959</v>
      </c>
      <c r="C142" s="79">
        <v>146.00149999999999</v>
      </c>
    </row>
    <row r="143" spans="1:3" ht="12.75" customHeight="1">
      <c r="A143" s="765" t="s">
        <v>4958</v>
      </c>
      <c r="B143" s="761" t="s">
        <v>4957</v>
      </c>
      <c r="C143" s="80">
        <v>331.37900000000002</v>
      </c>
    </row>
    <row r="144" spans="1:3" ht="12.75" customHeight="1">
      <c r="A144" s="765" t="s">
        <v>4956</v>
      </c>
      <c r="B144" s="761" t="s">
        <v>4955</v>
      </c>
      <c r="C144" s="80">
        <v>247.1165</v>
      </c>
    </row>
    <row r="145" spans="1:3" ht="12.75" customHeight="1">
      <c r="A145" s="764" t="s">
        <v>4954</v>
      </c>
      <c r="B145" s="81" t="s">
        <v>4953</v>
      </c>
      <c r="C145" s="80">
        <v>249</v>
      </c>
    </row>
    <row r="146" spans="1:3" ht="12.75" customHeight="1">
      <c r="A146" s="759" t="s">
        <v>4952</v>
      </c>
      <c r="B146" s="761" t="s">
        <v>4951</v>
      </c>
      <c r="C146" s="79">
        <v>147.22999999999999</v>
      </c>
    </row>
    <row r="147" spans="1:3" ht="12.75" customHeight="1">
      <c r="A147" s="759" t="s">
        <v>4950</v>
      </c>
      <c r="B147" s="761" t="s">
        <v>4949</v>
      </c>
      <c r="C147" s="834">
        <v>60</v>
      </c>
    </row>
    <row r="148" spans="1:3" ht="12.75" customHeight="1">
      <c r="A148" s="759" t="s">
        <v>4948</v>
      </c>
      <c r="B148" s="761" t="s">
        <v>4947</v>
      </c>
      <c r="C148" s="79">
        <v>106.67900000000002</v>
      </c>
    </row>
    <row r="149" spans="1:3">
      <c r="A149" s="759" t="s">
        <v>4946</v>
      </c>
      <c r="B149" s="761" t="s">
        <v>4945</v>
      </c>
      <c r="C149" s="79">
        <v>308.90899999999999</v>
      </c>
    </row>
    <row r="150" spans="1:3" ht="12.75" customHeight="1">
      <c r="A150" s="759" t="s">
        <v>4944</v>
      </c>
      <c r="B150" s="81" t="s">
        <v>4943</v>
      </c>
      <c r="C150" s="80">
        <v>196.559</v>
      </c>
    </row>
    <row r="151" spans="1:3">
      <c r="A151" s="759" t="s">
        <v>4942</v>
      </c>
      <c r="B151" s="761" t="s">
        <v>4941</v>
      </c>
      <c r="C151" s="79">
        <v>196.559</v>
      </c>
    </row>
    <row r="152" spans="1:3">
      <c r="A152" s="759" t="s">
        <v>4940</v>
      </c>
      <c r="B152" s="761" t="s">
        <v>4939</v>
      </c>
      <c r="C152" s="79">
        <v>146.00149999999999</v>
      </c>
    </row>
    <row r="153" spans="1:3">
      <c r="A153" s="759" t="s">
        <v>4938</v>
      </c>
      <c r="B153" s="77" t="s">
        <v>4937</v>
      </c>
      <c r="C153" s="79">
        <v>213.41149999999999</v>
      </c>
    </row>
    <row r="154" spans="1:3">
      <c r="A154" s="759" t="s">
        <v>4936</v>
      </c>
      <c r="B154" s="657" t="s">
        <v>4935</v>
      </c>
      <c r="C154" s="79">
        <v>308.90899999999999</v>
      </c>
    </row>
    <row r="155" spans="1:3">
      <c r="A155" s="759" t="s">
        <v>4934</v>
      </c>
      <c r="B155" s="761" t="s">
        <v>4933</v>
      </c>
      <c r="C155" s="79">
        <v>50.504000000000005</v>
      </c>
    </row>
    <row r="156" spans="1:3">
      <c r="A156" s="759" t="s">
        <v>4932</v>
      </c>
      <c r="B156" s="761" t="s">
        <v>4931</v>
      </c>
      <c r="C156" s="79">
        <v>50.504000000000005</v>
      </c>
    </row>
    <row r="157" spans="1:3" ht="12.75" customHeight="1">
      <c r="A157" s="763" t="s">
        <v>4930</v>
      </c>
      <c r="B157" s="762" t="s">
        <v>4929</v>
      </c>
      <c r="C157" s="79">
        <v>89.5</v>
      </c>
    </row>
    <row r="158" spans="1:3" ht="12.75" customHeight="1">
      <c r="A158" s="763" t="s">
        <v>4928</v>
      </c>
      <c r="B158" s="762" t="s">
        <v>4927</v>
      </c>
      <c r="C158" s="79">
        <v>89.5</v>
      </c>
    </row>
    <row r="159" spans="1:3">
      <c r="A159" s="759" t="s">
        <v>4926</v>
      </c>
      <c r="B159" s="761" t="s">
        <v>4925</v>
      </c>
      <c r="C159" s="79">
        <v>76.930000000000007</v>
      </c>
    </row>
    <row r="160" spans="1:3">
      <c r="A160" s="759" t="s">
        <v>4924</v>
      </c>
      <c r="B160" s="761" t="s">
        <v>4923</v>
      </c>
      <c r="C160" s="79">
        <v>62.862500000000011</v>
      </c>
    </row>
    <row r="161" spans="1:3">
      <c r="A161" s="759" t="s">
        <v>4922</v>
      </c>
      <c r="B161" s="761" t="s">
        <v>4921</v>
      </c>
      <c r="C161" s="79">
        <v>37.75</v>
      </c>
    </row>
    <row r="162" spans="1:3">
      <c r="A162" s="759" t="s">
        <v>4920</v>
      </c>
      <c r="B162" s="761" t="s">
        <v>4919</v>
      </c>
      <c r="C162" s="79">
        <v>52.9</v>
      </c>
    </row>
    <row r="163" spans="1:3">
      <c r="A163" s="759" t="s">
        <v>4918</v>
      </c>
      <c r="B163" s="761" t="s">
        <v>4917</v>
      </c>
      <c r="C163" s="79">
        <v>62.59</v>
      </c>
    </row>
    <row r="164" spans="1:3">
      <c r="A164" s="759" t="s">
        <v>4916</v>
      </c>
      <c r="B164" s="760" t="s">
        <v>4915</v>
      </c>
      <c r="C164" s="80">
        <v>106.67900000000002</v>
      </c>
    </row>
    <row r="165" spans="1:3">
      <c r="A165" s="759" t="s">
        <v>4914</v>
      </c>
      <c r="B165" s="657" t="s">
        <v>4913</v>
      </c>
      <c r="C165" s="79">
        <v>269.5865</v>
      </c>
    </row>
    <row r="166" spans="1:3" ht="16.5">
      <c r="A166" s="1078" t="s">
        <v>4912</v>
      </c>
      <c r="B166" s="1078"/>
      <c r="C166" s="1078"/>
    </row>
    <row r="167" spans="1:3">
      <c r="A167" s="771" t="s">
        <v>4911</v>
      </c>
      <c r="B167" s="77" t="s">
        <v>4910</v>
      </c>
      <c r="C167" s="80">
        <v>599</v>
      </c>
    </row>
    <row r="168" spans="1:3">
      <c r="A168" s="771" t="s">
        <v>4909</v>
      </c>
      <c r="B168" s="77" t="s">
        <v>4908</v>
      </c>
      <c r="C168" s="80">
        <v>899</v>
      </c>
    </row>
    <row r="169" spans="1:3">
      <c r="A169" s="771" t="s">
        <v>4907</v>
      </c>
      <c r="B169" s="77" t="s">
        <v>4906</v>
      </c>
      <c r="C169" s="80">
        <v>599</v>
      </c>
    </row>
    <row r="170" spans="1:3">
      <c r="A170" s="771" t="s">
        <v>4905</v>
      </c>
      <c r="B170" s="77" t="s">
        <v>4904</v>
      </c>
      <c r="C170" s="80">
        <v>899</v>
      </c>
    </row>
    <row r="171" spans="1:3">
      <c r="A171" s="771" t="s">
        <v>4903</v>
      </c>
      <c r="B171" s="77" t="s">
        <v>4902</v>
      </c>
      <c r="C171" s="80">
        <v>599</v>
      </c>
    </row>
    <row r="172" spans="1:3">
      <c r="A172" s="771" t="s">
        <v>4901</v>
      </c>
      <c r="B172" s="77" t="s">
        <v>4900</v>
      </c>
      <c r="C172" s="80">
        <v>899</v>
      </c>
    </row>
    <row r="173" spans="1:3">
      <c r="A173" s="771" t="s">
        <v>4899</v>
      </c>
      <c r="B173" s="77" t="s">
        <v>4898</v>
      </c>
      <c r="C173" s="80" t="s">
        <v>4895</v>
      </c>
    </row>
    <row r="174" spans="1:3">
      <c r="A174" s="771" t="s">
        <v>4897</v>
      </c>
      <c r="B174" s="77" t="s">
        <v>4896</v>
      </c>
      <c r="C174" s="80" t="s">
        <v>4895</v>
      </c>
    </row>
    <row r="175" spans="1:3">
      <c r="A175" s="771" t="s">
        <v>4894</v>
      </c>
      <c r="B175" s="77" t="s">
        <v>4893</v>
      </c>
      <c r="C175" s="80">
        <v>199</v>
      </c>
    </row>
    <row r="176" spans="1:3">
      <c r="A176" s="771" t="s">
        <v>4892</v>
      </c>
      <c r="B176" s="77" t="s">
        <v>4891</v>
      </c>
      <c r="C176" s="80">
        <v>159</v>
      </c>
    </row>
    <row r="177" spans="1:3" ht="16.5">
      <c r="A177" s="1078" t="s">
        <v>4890</v>
      </c>
      <c r="B177" s="1078"/>
      <c r="C177" s="1078"/>
    </row>
    <row r="178" spans="1:3">
      <c r="A178" s="85" t="s">
        <v>4889</v>
      </c>
      <c r="B178" s="81" t="s">
        <v>4888</v>
      </c>
      <c r="C178" s="80">
        <v>1450</v>
      </c>
    </row>
    <row r="179" spans="1:3" ht="16.5">
      <c r="A179" s="1078" t="s">
        <v>4887</v>
      </c>
      <c r="B179" s="1078"/>
      <c r="C179" s="1078"/>
    </row>
    <row r="180" spans="1:3">
      <c r="A180" s="771" t="s">
        <v>4886</v>
      </c>
      <c r="B180" s="760" t="s">
        <v>4885</v>
      </c>
      <c r="C180" s="79">
        <v>995</v>
      </c>
    </row>
    <row r="181" spans="1:3">
      <c r="A181" s="759" t="s">
        <v>4884</v>
      </c>
      <c r="B181" s="760" t="s">
        <v>4883</v>
      </c>
      <c r="C181" s="79">
        <v>1069</v>
      </c>
    </row>
    <row r="182" spans="1:3">
      <c r="A182" s="759" t="s">
        <v>4882</v>
      </c>
      <c r="B182" s="760" t="s">
        <v>4881</v>
      </c>
      <c r="C182" s="79">
        <v>1495</v>
      </c>
    </row>
    <row r="183" spans="1:3">
      <c r="A183" s="759" t="s">
        <v>4880</v>
      </c>
      <c r="B183" s="760" t="s">
        <v>4879</v>
      </c>
      <c r="C183" s="79">
        <v>1725</v>
      </c>
    </row>
    <row r="184" spans="1:3" ht="16.5">
      <c r="A184" s="1078" t="s">
        <v>4878</v>
      </c>
      <c r="B184" s="1078"/>
      <c r="C184" s="1078"/>
    </row>
    <row r="185" spans="1:3" ht="25.5">
      <c r="A185" s="84" t="s">
        <v>4877</v>
      </c>
      <c r="B185" s="81" t="s">
        <v>4876</v>
      </c>
      <c r="C185" s="80">
        <v>1468.9</v>
      </c>
    </row>
    <row r="186" spans="1:3" ht="38.5">
      <c r="A186" s="803" t="s">
        <v>4875</v>
      </c>
      <c r="B186" s="833" t="s">
        <v>4874</v>
      </c>
      <c r="C186" s="80">
        <v>1709.48</v>
      </c>
    </row>
    <row r="187" spans="1:3" ht="25.5">
      <c r="A187" s="803" t="s">
        <v>4873</v>
      </c>
      <c r="B187" s="833" t="s">
        <v>4872</v>
      </c>
      <c r="C187" s="80">
        <v>1709.48</v>
      </c>
    </row>
    <row r="188" spans="1:3" ht="25.5">
      <c r="A188" s="803" t="s">
        <v>4871</v>
      </c>
      <c r="B188" s="833" t="s">
        <v>4870</v>
      </c>
      <c r="C188" s="80">
        <v>2506</v>
      </c>
    </row>
    <row r="189" spans="1:3" ht="25.5">
      <c r="A189" s="803" t="s">
        <v>4869</v>
      </c>
      <c r="B189" s="833" t="s">
        <v>4868</v>
      </c>
      <c r="C189" s="80">
        <v>2398.85</v>
      </c>
    </row>
    <row r="190" spans="1:3">
      <c r="A190" s="82" t="s">
        <v>4867</v>
      </c>
      <c r="B190" s="760" t="s">
        <v>4866</v>
      </c>
      <c r="C190" s="80">
        <v>262.45</v>
      </c>
    </row>
    <row r="191" spans="1:3">
      <c r="A191" s="803" t="s">
        <v>4865</v>
      </c>
      <c r="B191" s="833" t="s">
        <v>4864</v>
      </c>
      <c r="C191" s="80">
        <v>765</v>
      </c>
    </row>
    <row r="192" spans="1:3">
      <c r="A192" s="803" t="s">
        <v>4863</v>
      </c>
      <c r="B192" s="833" t="s">
        <v>4862</v>
      </c>
      <c r="C192" s="80">
        <v>712.9</v>
      </c>
    </row>
    <row r="193" spans="1:3" ht="25.5">
      <c r="A193" s="803" t="s">
        <v>4861</v>
      </c>
      <c r="B193" s="833" t="s">
        <v>4860</v>
      </c>
      <c r="C193" s="80">
        <v>418.9</v>
      </c>
    </row>
    <row r="194" spans="1:3">
      <c r="A194" s="803" t="s">
        <v>4859</v>
      </c>
      <c r="B194" s="802" t="s">
        <v>4858</v>
      </c>
      <c r="C194" s="80">
        <v>275.05</v>
      </c>
    </row>
    <row r="195" spans="1:3" ht="16.5">
      <c r="A195" s="1078" t="s">
        <v>4857</v>
      </c>
      <c r="B195" s="1078"/>
      <c r="C195" s="1078"/>
    </row>
    <row r="196" spans="1:3" ht="37.5">
      <c r="A196" s="829" t="s">
        <v>4856</v>
      </c>
      <c r="B196" s="791" t="s">
        <v>4855</v>
      </c>
      <c r="C196" s="80">
        <v>875.15300000000013</v>
      </c>
    </row>
    <row r="197" spans="1:3" ht="37.5">
      <c r="A197" s="832" t="s">
        <v>4854</v>
      </c>
      <c r="B197" s="789" t="s">
        <v>4853</v>
      </c>
      <c r="C197" s="80">
        <v>893.12900000000013</v>
      </c>
    </row>
    <row r="198" spans="1:3" ht="49.5">
      <c r="A198" s="832" t="s">
        <v>4852</v>
      </c>
      <c r="B198" s="789" t="s">
        <v>4851</v>
      </c>
      <c r="C198" s="80">
        <v>893.12900000000013</v>
      </c>
    </row>
    <row r="199" spans="1:3" ht="37.5">
      <c r="A199" s="829" t="s">
        <v>4850</v>
      </c>
      <c r="B199" s="81" t="s">
        <v>4849</v>
      </c>
      <c r="C199" s="80">
        <v>1232.5945250000002</v>
      </c>
    </row>
    <row r="200" spans="1:3" ht="37.5">
      <c r="A200" s="829" t="s">
        <v>4848</v>
      </c>
      <c r="B200" s="81" t="s">
        <v>4847</v>
      </c>
      <c r="C200" s="80">
        <v>1206.5855000000001</v>
      </c>
    </row>
    <row r="201" spans="1:3" ht="37.5">
      <c r="A201" s="829" t="s">
        <v>4846</v>
      </c>
      <c r="B201" s="81" t="s">
        <v>4845</v>
      </c>
      <c r="C201" s="80">
        <v>1126.8507050000001</v>
      </c>
    </row>
    <row r="202" spans="1:3" ht="37.5">
      <c r="A202" s="829" t="s">
        <v>4844</v>
      </c>
      <c r="B202" s="81" t="s">
        <v>4843</v>
      </c>
      <c r="C202" s="80">
        <v>1533.5240000000001</v>
      </c>
    </row>
    <row r="203" spans="1:3" ht="16.5">
      <c r="A203" s="1078" t="s">
        <v>4842</v>
      </c>
      <c r="B203" s="1078"/>
      <c r="C203" s="1078"/>
    </row>
    <row r="204" spans="1:3" ht="25.5">
      <c r="A204" s="828" t="s">
        <v>4841</v>
      </c>
      <c r="B204" s="81" t="s">
        <v>4840</v>
      </c>
      <c r="C204" s="80">
        <v>257.22800000000001</v>
      </c>
    </row>
    <row r="205" spans="1:3" ht="25.5">
      <c r="A205" s="828" t="s">
        <v>4839</v>
      </c>
      <c r="B205" s="81" t="s">
        <v>4838</v>
      </c>
      <c r="C205" s="80">
        <v>376.31900000000002</v>
      </c>
    </row>
    <row r="206" spans="1:3" ht="25.5">
      <c r="A206" s="831" t="s">
        <v>4837</v>
      </c>
      <c r="B206" s="791" t="s">
        <v>4836</v>
      </c>
      <c r="C206" s="80">
        <v>360.59000000000003</v>
      </c>
    </row>
    <row r="207" spans="1:3" ht="25.5">
      <c r="A207" s="828" t="s">
        <v>4835</v>
      </c>
      <c r="B207" s="81" t="s">
        <v>4834</v>
      </c>
      <c r="C207" s="80">
        <v>325.76150000000001</v>
      </c>
    </row>
    <row r="208" spans="1:3" ht="25.5">
      <c r="A208" s="828" t="s">
        <v>4833</v>
      </c>
      <c r="B208" s="81" t="s">
        <v>4832</v>
      </c>
      <c r="C208" s="80">
        <v>381.93650000000002</v>
      </c>
    </row>
    <row r="209" spans="1:3" ht="25">
      <c r="A209" s="828" t="s">
        <v>4831</v>
      </c>
      <c r="B209" s="81" t="s">
        <v>4830</v>
      </c>
      <c r="C209" s="80">
        <v>558.32600000000014</v>
      </c>
    </row>
    <row r="210" spans="1:3" ht="25">
      <c r="A210" s="829" t="s">
        <v>4829</v>
      </c>
      <c r="B210" s="789" t="s">
        <v>4828</v>
      </c>
      <c r="C210" s="80">
        <v>816.73100000000011</v>
      </c>
    </row>
    <row r="211" spans="1:3" ht="25.5">
      <c r="A211" s="829" t="s">
        <v>4827</v>
      </c>
      <c r="B211" s="81" t="s">
        <v>4826</v>
      </c>
      <c r="C211" s="80">
        <v>188.69450000000001</v>
      </c>
    </row>
    <row r="212" spans="1:3" ht="25.5">
      <c r="A212" s="829" t="s">
        <v>4825</v>
      </c>
      <c r="B212" s="81" t="s">
        <v>4824</v>
      </c>
      <c r="C212" s="80">
        <v>348.23149999999998</v>
      </c>
    </row>
    <row r="213" spans="1:3" ht="25.5">
      <c r="A213" s="829" t="s">
        <v>4823</v>
      </c>
      <c r="B213" s="81" t="s">
        <v>4822</v>
      </c>
      <c r="C213" s="80">
        <v>386.43049999999999</v>
      </c>
    </row>
    <row r="214" spans="1:3" ht="25.5">
      <c r="A214" s="829" t="s">
        <v>4821</v>
      </c>
      <c r="B214" s="81" t="s">
        <v>4820</v>
      </c>
      <c r="C214" s="80">
        <v>431.37050000000005</v>
      </c>
    </row>
    <row r="215" spans="1:3" ht="25.5">
      <c r="A215" s="829" t="s">
        <v>4819</v>
      </c>
      <c r="B215" s="81" t="s">
        <v>4818</v>
      </c>
      <c r="C215" s="80">
        <v>492.03950000000003</v>
      </c>
    </row>
    <row r="216" spans="1:3" ht="25.5">
      <c r="A216" s="829" t="s">
        <v>4817</v>
      </c>
      <c r="B216" s="81" t="s">
        <v>4816</v>
      </c>
      <c r="C216" s="80">
        <v>552.70850000000007</v>
      </c>
    </row>
    <row r="217" spans="1:3" ht="25.5">
      <c r="A217" s="829" t="s">
        <v>4815</v>
      </c>
      <c r="B217" s="81" t="s">
        <v>4814</v>
      </c>
      <c r="C217" s="80">
        <v>552.70850000000007</v>
      </c>
    </row>
    <row r="218" spans="1:3" ht="25.5">
      <c r="A218" s="829" t="s">
        <v>4813</v>
      </c>
      <c r="B218" s="81" t="s">
        <v>4812</v>
      </c>
      <c r="C218" s="80">
        <v>583.04300000000012</v>
      </c>
    </row>
    <row r="219" spans="1:3" ht="25.5">
      <c r="A219" s="829" t="s">
        <v>4811</v>
      </c>
      <c r="B219" s="81" t="s">
        <v>4810</v>
      </c>
      <c r="C219" s="80">
        <v>604.38950000000011</v>
      </c>
    </row>
    <row r="220" spans="1:3" ht="26">
      <c r="A220" s="829" t="s">
        <v>4809</v>
      </c>
      <c r="B220" s="81" t="s">
        <v>4808</v>
      </c>
      <c r="C220" s="80">
        <v>286.43900000000002</v>
      </c>
    </row>
    <row r="221" spans="1:3" ht="26">
      <c r="A221" s="829" t="s">
        <v>4807</v>
      </c>
      <c r="B221" s="81" t="s">
        <v>4806</v>
      </c>
      <c r="C221" s="80">
        <v>340.36700000000002</v>
      </c>
    </row>
    <row r="222" spans="1:3" ht="26">
      <c r="A222" s="829" t="s">
        <v>4805</v>
      </c>
      <c r="B222" s="81" t="s">
        <v>4804</v>
      </c>
      <c r="C222" s="80">
        <v>376.31900000000002</v>
      </c>
    </row>
    <row r="223" spans="1:3" ht="26">
      <c r="A223" s="829" t="s">
        <v>4803</v>
      </c>
      <c r="B223" s="81" t="s">
        <v>4802</v>
      </c>
      <c r="C223" s="80">
        <v>376.31900000000002</v>
      </c>
    </row>
    <row r="224" spans="1:3" ht="37.5">
      <c r="A224" s="829" t="s">
        <v>4801</v>
      </c>
      <c r="B224" s="830" t="s">
        <v>4800</v>
      </c>
      <c r="C224" s="80">
        <v>560.57300000000009</v>
      </c>
    </row>
    <row r="225" spans="1:3" ht="37.5">
      <c r="A225" s="829" t="s">
        <v>4799</v>
      </c>
      <c r="B225" s="830" t="s">
        <v>4798</v>
      </c>
      <c r="C225" s="80">
        <v>560.57300000000009</v>
      </c>
    </row>
    <row r="226" spans="1:3" ht="38">
      <c r="A226" s="829" t="s">
        <v>4797</v>
      </c>
      <c r="B226" s="791" t="s">
        <v>4796</v>
      </c>
      <c r="C226" s="80">
        <v>477.43400000000003</v>
      </c>
    </row>
    <row r="227" spans="1:3" ht="25.5">
      <c r="A227" s="829" t="s">
        <v>4795</v>
      </c>
      <c r="B227" s="791" t="s">
        <v>4794</v>
      </c>
      <c r="C227" s="80">
        <v>443.72900000000004</v>
      </c>
    </row>
    <row r="228" spans="1:3" ht="25.5">
      <c r="A228" s="829" t="s">
        <v>4793</v>
      </c>
      <c r="B228" s="791" t="s">
        <v>4792</v>
      </c>
      <c r="C228" s="80">
        <v>263.96899999999999</v>
      </c>
    </row>
    <row r="229" spans="1:3" ht="25.5">
      <c r="A229" s="829" t="s">
        <v>4791</v>
      </c>
      <c r="B229" s="791" t="s">
        <v>4790</v>
      </c>
      <c r="C229" s="80">
        <v>263.96899999999999</v>
      </c>
    </row>
    <row r="230" spans="1:3" ht="25.5">
      <c r="A230" s="829" t="s">
        <v>4789</v>
      </c>
      <c r="B230" s="791" t="s">
        <v>4788</v>
      </c>
      <c r="C230" s="80">
        <v>263.96899999999999</v>
      </c>
    </row>
    <row r="231" spans="1:3" ht="39.75" customHeight="1">
      <c r="A231" s="829" t="s">
        <v>4787</v>
      </c>
      <c r="B231" s="791" t="s">
        <v>4786</v>
      </c>
      <c r="C231" s="80">
        <v>594.27800000000013</v>
      </c>
    </row>
    <row r="232" spans="1:3" ht="50.5">
      <c r="A232" s="829" t="s">
        <v>4785</v>
      </c>
      <c r="B232" s="791" t="s">
        <v>4784</v>
      </c>
      <c r="C232" s="80">
        <v>594.27800000000013</v>
      </c>
    </row>
    <row r="233" spans="1:3" ht="39.75" customHeight="1">
      <c r="A233" s="829" t="s">
        <v>4783</v>
      </c>
      <c r="B233" s="791" t="s">
        <v>4782</v>
      </c>
      <c r="C233" s="80">
        <v>594.27800000000013</v>
      </c>
    </row>
    <row r="234" spans="1:3" ht="50.5">
      <c r="A234" s="829" t="s">
        <v>4781</v>
      </c>
      <c r="B234" s="791" t="s">
        <v>4780</v>
      </c>
      <c r="C234" s="80">
        <v>594.27800000000013</v>
      </c>
    </row>
    <row r="235" spans="1:3" ht="25.5">
      <c r="A235" s="829" t="s">
        <v>4779</v>
      </c>
      <c r="B235" s="81" t="s">
        <v>4778</v>
      </c>
      <c r="C235" s="80">
        <v>393.17150000000004</v>
      </c>
    </row>
    <row r="236" spans="1:3" ht="37.5">
      <c r="A236" s="829" t="s">
        <v>4777</v>
      </c>
      <c r="B236" s="81" t="s">
        <v>4776</v>
      </c>
      <c r="C236" s="80">
        <v>571.80800000000011</v>
      </c>
    </row>
    <row r="237" spans="1:3" ht="37.5">
      <c r="A237" s="829" t="s">
        <v>4775</v>
      </c>
      <c r="B237" s="81" t="s">
        <v>4774</v>
      </c>
      <c r="C237" s="80">
        <v>571.80800000000011</v>
      </c>
    </row>
    <row r="238" spans="1:3" ht="37.5">
      <c r="A238" s="829" t="s">
        <v>4773</v>
      </c>
      <c r="B238" s="81" t="s">
        <v>4772</v>
      </c>
      <c r="C238" s="80">
        <v>571.80800000000011</v>
      </c>
    </row>
    <row r="239" spans="1:3" ht="37.5">
      <c r="A239" s="829" t="s">
        <v>4771</v>
      </c>
      <c r="B239" s="81" t="s">
        <v>4770</v>
      </c>
      <c r="C239" s="80">
        <v>571.80800000000011</v>
      </c>
    </row>
    <row r="240" spans="1:3" ht="38.5">
      <c r="A240" s="829" t="s">
        <v>4769</v>
      </c>
      <c r="B240" s="791" t="s">
        <v>4768</v>
      </c>
      <c r="C240" s="80">
        <v>369.57799999999997</v>
      </c>
    </row>
    <row r="241" spans="1:3" ht="25.5">
      <c r="A241" s="829" t="s">
        <v>4767</v>
      </c>
      <c r="B241" s="791" t="s">
        <v>4766</v>
      </c>
      <c r="C241" s="80">
        <v>369.57799999999997</v>
      </c>
    </row>
    <row r="242" spans="1:3" ht="25.5">
      <c r="A242" s="829" t="s">
        <v>4765</v>
      </c>
      <c r="B242" s="791" t="s">
        <v>4764</v>
      </c>
      <c r="C242" s="80">
        <v>369.57799999999997</v>
      </c>
    </row>
    <row r="243" spans="1:3" ht="25.5">
      <c r="A243" s="829" t="s">
        <v>4763</v>
      </c>
      <c r="B243" s="791" t="s">
        <v>4762</v>
      </c>
      <c r="C243" s="80">
        <v>369.57799999999997</v>
      </c>
    </row>
    <row r="244" spans="1:3" ht="25.5">
      <c r="A244" s="829" t="s">
        <v>4761</v>
      </c>
      <c r="B244" s="791" t="s">
        <v>4760</v>
      </c>
      <c r="C244" s="80">
        <v>369.57799999999997</v>
      </c>
    </row>
    <row r="245" spans="1:3" ht="25.5">
      <c r="A245" s="829" t="s">
        <v>4759</v>
      </c>
      <c r="B245" s="791" t="s">
        <v>4757</v>
      </c>
      <c r="C245" s="80">
        <v>369.57799999999997</v>
      </c>
    </row>
    <row r="246" spans="1:3" ht="39.75" customHeight="1">
      <c r="A246" s="829" t="s">
        <v>4758</v>
      </c>
      <c r="B246" s="791" t="s">
        <v>4757</v>
      </c>
      <c r="C246" s="80">
        <v>369.57799999999997</v>
      </c>
    </row>
    <row r="247" spans="1:3" ht="39.75" customHeight="1">
      <c r="A247" s="829" t="s">
        <v>4756</v>
      </c>
      <c r="B247" s="791" t="s">
        <v>4755</v>
      </c>
      <c r="C247" s="80">
        <v>369.57799999999997</v>
      </c>
    </row>
    <row r="248" spans="1:3" ht="51">
      <c r="A248" s="829" t="s">
        <v>4754</v>
      </c>
      <c r="B248" s="791" t="s">
        <v>4753</v>
      </c>
      <c r="C248" s="80">
        <v>504.39800000000008</v>
      </c>
    </row>
    <row r="249" spans="1:3" ht="51">
      <c r="A249" s="829" t="s">
        <v>4752</v>
      </c>
      <c r="B249" s="791" t="s">
        <v>4751</v>
      </c>
      <c r="C249" s="80">
        <v>504.39800000000008</v>
      </c>
    </row>
    <row r="250" spans="1:3" ht="51">
      <c r="A250" s="829" t="s">
        <v>4750</v>
      </c>
      <c r="B250" s="791" t="s">
        <v>4749</v>
      </c>
      <c r="C250" s="80">
        <v>504.39800000000008</v>
      </c>
    </row>
    <row r="251" spans="1:3" ht="25">
      <c r="A251" s="829" t="s">
        <v>4748</v>
      </c>
      <c r="B251" s="789" t="s">
        <v>4747</v>
      </c>
      <c r="C251" s="80">
        <v>677.41700000000003</v>
      </c>
    </row>
    <row r="252" spans="1:3" ht="24">
      <c r="A252" s="829" t="s">
        <v>4746</v>
      </c>
      <c r="B252" s="81" t="s">
        <v>4745</v>
      </c>
      <c r="C252" s="80">
        <v>677.41700000000003</v>
      </c>
    </row>
    <row r="253" spans="1:3" ht="50">
      <c r="A253" s="829" t="s">
        <v>4744</v>
      </c>
      <c r="B253" s="791" t="s">
        <v>4743</v>
      </c>
      <c r="C253" s="80">
        <v>454.964</v>
      </c>
    </row>
    <row r="254" spans="1:3" ht="37.5">
      <c r="A254" s="829" t="s">
        <v>4742</v>
      </c>
      <c r="B254" s="791" t="s">
        <v>4741</v>
      </c>
      <c r="C254" s="80">
        <v>454.964</v>
      </c>
    </row>
    <row r="255" spans="1:3" ht="37.5">
      <c r="A255" s="829" t="s">
        <v>4740</v>
      </c>
      <c r="B255" s="791" t="s">
        <v>4739</v>
      </c>
      <c r="C255" s="80">
        <v>454.964</v>
      </c>
    </row>
    <row r="256" spans="1:3" ht="37.5">
      <c r="A256" s="829" t="s">
        <v>4738</v>
      </c>
      <c r="B256" s="791" t="s">
        <v>4737</v>
      </c>
      <c r="C256" s="80">
        <v>454.964</v>
      </c>
    </row>
    <row r="257" spans="1:3" ht="37.5">
      <c r="A257" s="829" t="s">
        <v>4736</v>
      </c>
      <c r="B257" s="791" t="s">
        <v>4735</v>
      </c>
      <c r="C257" s="80">
        <v>454.964</v>
      </c>
    </row>
    <row r="258" spans="1:3" ht="39.75" customHeight="1">
      <c r="A258" s="829" t="s">
        <v>4734</v>
      </c>
      <c r="B258" s="791" t="s">
        <v>4733</v>
      </c>
      <c r="C258" s="80">
        <v>454.964</v>
      </c>
    </row>
    <row r="259" spans="1:3" ht="39" customHeight="1">
      <c r="A259" s="829" t="s">
        <v>4732</v>
      </c>
      <c r="B259" s="791" t="s">
        <v>4731</v>
      </c>
      <c r="C259" s="80">
        <v>454.964</v>
      </c>
    </row>
    <row r="260" spans="1:3" ht="37.5">
      <c r="A260" s="829" t="s">
        <v>4730</v>
      </c>
      <c r="B260" s="791" t="s">
        <v>4729</v>
      </c>
      <c r="C260" s="80">
        <v>454.964</v>
      </c>
    </row>
    <row r="261" spans="1:3" ht="37.5">
      <c r="A261" s="829" t="s">
        <v>4728</v>
      </c>
      <c r="B261" s="791" t="s">
        <v>4727</v>
      </c>
      <c r="C261" s="80">
        <v>454.964</v>
      </c>
    </row>
    <row r="262" spans="1:3" ht="53.25" customHeight="1">
      <c r="A262" s="829" t="s">
        <v>4726</v>
      </c>
      <c r="B262" s="791" t="s">
        <v>4725</v>
      </c>
      <c r="C262" s="80">
        <v>497.65700000000004</v>
      </c>
    </row>
    <row r="263" spans="1:3" ht="50">
      <c r="A263" s="828" t="s">
        <v>4724</v>
      </c>
      <c r="B263" s="791" t="s">
        <v>4723</v>
      </c>
      <c r="C263" s="80">
        <v>534.73250000000007</v>
      </c>
    </row>
    <row r="264" spans="1:3" ht="38.25" customHeight="1">
      <c r="A264" s="828" t="s">
        <v>4722</v>
      </c>
      <c r="B264" s="791" t="s">
        <v>4721</v>
      </c>
      <c r="C264" s="80">
        <v>534.73250000000007</v>
      </c>
    </row>
    <row r="265" spans="1:3" ht="25.5" customHeight="1">
      <c r="A265" s="828" t="s">
        <v>4720</v>
      </c>
      <c r="B265" s="791" t="s">
        <v>4719</v>
      </c>
      <c r="C265" s="80">
        <v>534.73250000000007</v>
      </c>
    </row>
    <row r="266" spans="1:3" ht="25.5" customHeight="1">
      <c r="A266" s="828" t="s">
        <v>4718</v>
      </c>
      <c r="B266" s="791" t="s">
        <v>4717</v>
      </c>
      <c r="C266" s="80">
        <v>534.73250000000007</v>
      </c>
    </row>
    <row r="267" spans="1:3" ht="38.25" customHeight="1">
      <c r="A267" s="829" t="s">
        <v>4716</v>
      </c>
      <c r="B267" s="811" t="s">
        <v>4715</v>
      </c>
      <c r="C267" s="80">
        <v>606.63650000000007</v>
      </c>
    </row>
    <row r="268" spans="1:3" ht="37.5">
      <c r="A268" s="829" t="s">
        <v>4714</v>
      </c>
      <c r="B268" s="811" t="s">
        <v>4713</v>
      </c>
      <c r="C268" s="80">
        <v>606.63650000000007</v>
      </c>
    </row>
    <row r="269" spans="1:3" ht="50">
      <c r="A269" s="828" t="s">
        <v>4712</v>
      </c>
      <c r="B269" s="811" t="s">
        <v>4711</v>
      </c>
      <c r="C269" s="80">
        <v>601.01900000000012</v>
      </c>
    </row>
    <row r="270" spans="1:3" ht="50.5">
      <c r="A270" s="828" t="s">
        <v>4710</v>
      </c>
      <c r="B270" s="811" t="s">
        <v>4709</v>
      </c>
      <c r="C270" s="80">
        <v>601.01900000000012</v>
      </c>
    </row>
    <row r="271" spans="1:3" ht="50">
      <c r="A271" s="828" t="s">
        <v>4708</v>
      </c>
      <c r="B271" s="811" t="s">
        <v>4707</v>
      </c>
      <c r="C271" s="80">
        <v>601.01900000000012</v>
      </c>
    </row>
    <row r="272" spans="1:3" ht="50.5">
      <c r="A272" s="828" t="s">
        <v>4706</v>
      </c>
      <c r="B272" s="811" t="s">
        <v>4705</v>
      </c>
      <c r="C272" s="80">
        <v>601.01900000000012</v>
      </c>
    </row>
    <row r="273" spans="1:3" ht="50">
      <c r="A273" s="828" t="s">
        <v>4704</v>
      </c>
      <c r="B273" s="811" t="s">
        <v>4703</v>
      </c>
      <c r="C273" s="80">
        <v>601.01900000000012</v>
      </c>
    </row>
    <row r="274" spans="1:3" ht="50.5">
      <c r="A274" s="828" t="s">
        <v>4702</v>
      </c>
      <c r="B274" s="811" t="s">
        <v>4701</v>
      </c>
      <c r="C274" s="80">
        <v>601.01900000000012</v>
      </c>
    </row>
    <row r="275" spans="1:3" ht="50">
      <c r="A275" s="828" t="s">
        <v>4700</v>
      </c>
      <c r="B275" s="811" t="s">
        <v>4699</v>
      </c>
      <c r="C275" s="80">
        <v>601.01900000000012</v>
      </c>
    </row>
    <row r="276" spans="1:3" ht="50.5">
      <c r="A276" s="828" t="s">
        <v>4698</v>
      </c>
      <c r="B276" s="811" t="s">
        <v>4697</v>
      </c>
      <c r="C276" s="80">
        <v>601.01900000000012</v>
      </c>
    </row>
    <row r="277" spans="1:3" ht="37.5">
      <c r="A277" s="828" t="s">
        <v>4696</v>
      </c>
      <c r="B277" s="791" t="s">
        <v>4695</v>
      </c>
      <c r="C277" s="80">
        <v>774.03800000000012</v>
      </c>
    </row>
    <row r="278" spans="1:3" ht="38.5">
      <c r="A278" s="829" t="s">
        <v>4694</v>
      </c>
      <c r="B278" s="791" t="s">
        <v>4693</v>
      </c>
      <c r="C278" s="80">
        <v>645.95900000000006</v>
      </c>
    </row>
    <row r="279" spans="1:3" ht="38.5">
      <c r="A279" s="829" t="s">
        <v>4692</v>
      </c>
      <c r="B279" s="791" t="s">
        <v>4691</v>
      </c>
      <c r="C279" s="80">
        <v>560.57300000000009</v>
      </c>
    </row>
    <row r="280" spans="1:3" ht="50.5">
      <c r="A280" s="828" t="s">
        <v>4690</v>
      </c>
      <c r="B280" s="791" t="s">
        <v>4689</v>
      </c>
      <c r="C280" s="80">
        <v>1067.2715000000001</v>
      </c>
    </row>
    <row r="281" spans="1:3" ht="51">
      <c r="A281" s="828" t="s">
        <v>4688</v>
      </c>
      <c r="B281" s="791" t="s">
        <v>4687</v>
      </c>
      <c r="C281" s="80">
        <v>897.62300000000016</v>
      </c>
    </row>
    <row r="282" spans="1:3" ht="29.25" customHeight="1">
      <c r="A282" s="1081" t="s">
        <v>4686</v>
      </c>
      <c r="B282" s="1082"/>
      <c r="C282" s="1082"/>
    </row>
    <row r="283" spans="1:3" ht="12.75" customHeight="1">
      <c r="A283" s="1083" t="s">
        <v>4685</v>
      </c>
      <c r="B283" s="1083"/>
      <c r="C283" s="1083"/>
    </row>
    <row r="284" spans="1:3" ht="12.75" customHeight="1">
      <c r="A284" s="83" t="s">
        <v>4684</v>
      </c>
      <c r="B284" s="77" t="s">
        <v>4683</v>
      </c>
      <c r="C284" s="79">
        <v>16.798999999999999</v>
      </c>
    </row>
    <row r="285" spans="1:3" ht="12.75" customHeight="1">
      <c r="A285" s="787" t="s">
        <v>4682</v>
      </c>
      <c r="B285" s="804" t="s">
        <v>4681</v>
      </c>
      <c r="C285" s="801">
        <v>21.292999999999999</v>
      </c>
    </row>
    <row r="286" spans="1:3" ht="12.75" customHeight="1">
      <c r="A286" s="787" t="s">
        <v>4667</v>
      </c>
      <c r="B286" s="804" t="s">
        <v>4680</v>
      </c>
      <c r="C286" s="801">
        <v>32.528000000000006</v>
      </c>
    </row>
    <row r="287" spans="1:3" ht="12.75" customHeight="1">
      <c r="A287" s="787" t="s">
        <v>4679</v>
      </c>
      <c r="B287" s="804" t="s">
        <v>4678</v>
      </c>
      <c r="C287" s="801">
        <v>63.986000000000011</v>
      </c>
    </row>
    <row r="288" spans="1:3" ht="12.75" customHeight="1">
      <c r="A288" s="787" t="s">
        <v>4677</v>
      </c>
      <c r="B288" s="804" t="s">
        <v>4676</v>
      </c>
      <c r="C288" s="801">
        <v>92.073500000000024</v>
      </c>
    </row>
    <row r="289" spans="1:3" ht="12.75" customHeight="1">
      <c r="A289" s="787" t="s">
        <v>4675</v>
      </c>
      <c r="B289" s="804" t="s">
        <v>4674</v>
      </c>
      <c r="C289" s="801">
        <v>53.274532012144505</v>
      </c>
    </row>
    <row r="290" spans="1:3" ht="12.75" customHeight="1">
      <c r="A290" s="787" t="s">
        <v>4673</v>
      </c>
      <c r="B290" s="804" t="s">
        <v>4672</v>
      </c>
      <c r="C290" s="801">
        <v>112.99486220000962</v>
      </c>
    </row>
    <row r="291" spans="1:3" ht="12.75" customHeight="1">
      <c r="A291" s="787" t="s">
        <v>4671</v>
      </c>
      <c r="B291" s="804" t="s">
        <v>4670</v>
      </c>
      <c r="C291" s="801">
        <v>58.368500000000004</v>
      </c>
    </row>
    <row r="292" spans="1:3" ht="12.75" customHeight="1">
      <c r="A292" s="826" t="s">
        <v>4669</v>
      </c>
      <c r="B292" s="827" t="s">
        <v>4668</v>
      </c>
      <c r="C292" s="79">
        <v>79.715000000000003</v>
      </c>
    </row>
    <row r="293" spans="1:3" ht="12.75" customHeight="1">
      <c r="A293" s="787" t="s">
        <v>4667</v>
      </c>
      <c r="B293" s="804" t="s">
        <v>4666</v>
      </c>
      <c r="C293" s="801">
        <v>32.528000000000006</v>
      </c>
    </row>
    <row r="294" spans="1:3" ht="12.75" customHeight="1">
      <c r="A294" s="787" t="s">
        <v>4665</v>
      </c>
      <c r="B294" s="804" t="s">
        <v>4664</v>
      </c>
      <c r="C294" s="801">
        <v>34.775000000000013</v>
      </c>
    </row>
    <row r="295" spans="1:3" ht="12.75" customHeight="1">
      <c r="A295" s="787" t="s">
        <v>4663</v>
      </c>
      <c r="B295" s="804" t="s">
        <v>4662</v>
      </c>
      <c r="C295" s="801">
        <v>134.24795429361146</v>
      </c>
    </row>
    <row r="296" spans="1:3" ht="12.75" customHeight="1">
      <c r="A296" s="787" t="s">
        <v>4661</v>
      </c>
      <c r="B296" s="804" t="s">
        <v>4660</v>
      </c>
      <c r="C296" s="801">
        <v>82.475593672628648</v>
      </c>
    </row>
    <row r="297" spans="1:3" ht="12.75" customHeight="1">
      <c r="A297" s="787" t="s">
        <v>4659</v>
      </c>
      <c r="B297" s="804" t="s">
        <v>4658</v>
      </c>
      <c r="C297" s="801">
        <v>73.295494265217215</v>
      </c>
    </row>
    <row r="298" spans="1:3" ht="12.75" customHeight="1">
      <c r="A298" s="787" t="s">
        <v>4657</v>
      </c>
      <c r="B298" s="804" t="s">
        <v>4656</v>
      </c>
      <c r="C298" s="801">
        <v>31.067036991124695</v>
      </c>
    </row>
    <row r="299" spans="1:3" ht="12.75" customHeight="1">
      <c r="A299" s="787" t="s">
        <v>4655</v>
      </c>
      <c r="B299" s="804" t="s">
        <v>4654</v>
      </c>
      <c r="C299" s="801">
        <v>36.575096635571548</v>
      </c>
    </row>
    <row r="300" spans="1:3" ht="12.75" customHeight="1">
      <c r="A300" s="787" t="s">
        <v>4653</v>
      </c>
      <c r="B300" s="804" t="s">
        <v>4652</v>
      </c>
      <c r="C300" s="801">
        <v>54.935295450394371</v>
      </c>
    </row>
    <row r="301" spans="1:3" ht="12.75" customHeight="1">
      <c r="A301" s="826" t="s">
        <v>4651</v>
      </c>
      <c r="B301" s="825" t="s">
        <v>4650</v>
      </c>
      <c r="C301" s="79">
        <v>92.608407338000035</v>
      </c>
    </row>
    <row r="302" spans="1:3" ht="12.75" customHeight="1">
      <c r="A302" s="787" t="s">
        <v>4649</v>
      </c>
      <c r="B302" s="804" t="s">
        <v>4648</v>
      </c>
      <c r="C302" s="801">
        <v>171.52243199722977</v>
      </c>
    </row>
    <row r="303" spans="1:3" ht="12.75" customHeight="1">
      <c r="A303" s="787" t="s">
        <v>4647</v>
      </c>
      <c r="B303" s="804" t="s">
        <v>4646</v>
      </c>
      <c r="C303" s="801">
        <v>12.811667801486005</v>
      </c>
    </row>
    <row r="304" spans="1:3" ht="12.75" customHeight="1">
      <c r="A304" s="787" t="s">
        <v>4645</v>
      </c>
      <c r="B304" s="804" t="s">
        <v>4644</v>
      </c>
      <c r="C304" s="801">
        <v>12.811667801486005</v>
      </c>
    </row>
    <row r="305" spans="1:4" ht="12.75" customHeight="1">
      <c r="A305" s="78" t="s">
        <v>4643</v>
      </c>
      <c r="B305" s="77" t="s">
        <v>4642</v>
      </c>
      <c r="C305" s="79">
        <v>73.295494265217215</v>
      </c>
    </row>
    <row r="306" spans="1:4" ht="12.75" customHeight="1">
      <c r="A306" s="787" t="s">
        <v>4641</v>
      </c>
      <c r="B306" s="804" t="s">
        <v>4640</v>
      </c>
      <c r="C306" s="801">
        <v>75.548280198144226</v>
      </c>
    </row>
    <row r="307" spans="1:4" ht="12.75" customHeight="1">
      <c r="A307" s="787" t="s">
        <v>4639</v>
      </c>
      <c r="B307" s="804" t="s">
        <v>4638</v>
      </c>
      <c r="C307" s="801">
        <v>81.799238200513301</v>
      </c>
    </row>
    <row r="308" spans="1:4" ht="12.75" customHeight="1">
      <c r="A308" s="787" t="s">
        <v>4637</v>
      </c>
      <c r="B308" s="804" t="s">
        <v>4636</v>
      </c>
      <c r="C308" s="801">
        <v>83.191703421380026</v>
      </c>
    </row>
    <row r="309" spans="1:4" s="824" customFormat="1" ht="12.75" customHeight="1">
      <c r="A309" s="787" t="s">
        <v>4635</v>
      </c>
      <c r="B309" s="804" t="s">
        <v>4634</v>
      </c>
      <c r="C309" s="801">
        <v>223.52300000000002</v>
      </c>
      <c r="D309" s="777"/>
    </row>
    <row r="310" spans="1:4" ht="12.75" customHeight="1">
      <c r="A310" s="787" t="s">
        <v>4633</v>
      </c>
      <c r="B310" s="804" t="s">
        <v>4632</v>
      </c>
      <c r="C310" s="801">
        <v>223.52300000000002</v>
      </c>
    </row>
    <row r="311" spans="1:4" ht="12.75" customHeight="1">
      <c r="A311" s="787" t="s">
        <v>4631</v>
      </c>
      <c r="B311" s="804" t="s">
        <v>4630</v>
      </c>
      <c r="C311" s="801">
        <v>235.88149999999999</v>
      </c>
    </row>
    <row r="312" spans="1:4" ht="12.75" customHeight="1">
      <c r="A312" s="787" t="s">
        <v>4629</v>
      </c>
      <c r="B312" s="804" t="s">
        <v>4628</v>
      </c>
      <c r="C312" s="801">
        <v>235.88149999999999</v>
      </c>
    </row>
    <row r="313" spans="1:4" ht="12.75" customHeight="1">
      <c r="A313" s="787" t="s">
        <v>4627</v>
      </c>
      <c r="B313" s="804" t="s">
        <v>4626</v>
      </c>
      <c r="C313" s="801">
        <v>235.88149999999999</v>
      </c>
    </row>
    <row r="314" spans="1:4" ht="12.75" customHeight="1">
      <c r="A314" s="787" t="s">
        <v>4625</v>
      </c>
      <c r="B314" s="804" t="s">
        <v>4624</v>
      </c>
      <c r="C314" s="801">
        <v>235.88149999999999</v>
      </c>
    </row>
    <row r="315" spans="1:4" ht="12.75" customHeight="1">
      <c r="A315" s="787" t="s">
        <v>4623</v>
      </c>
      <c r="B315" s="804" t="s">
        <v>4622</v>
      </c>
      <c r="C315" s="801">
        <v>61.739000000000004</v>
      </c>
    </row>
    <row r="316" spans="1:4" ht="12.75" customHeight="1">
      <c r="A316" s="787" t="s">
        <v>4621</v>
      </c>
      <c r="B316" s="804" t="s">
        <v>4620</v>
      </c>
      <c r="C316" s="801">
        <v>111.32995813158205</v>
      </c>
    </row>
    <row r="317" spans="1:4" ht="12.75" customHeight="1">
      <c r="A317" s="787" t="s">
        <v>4619</v>
      </c>
      <c r="B317" s="804" t="s">
        <v>4618</v>
      </c>
      <c r="C317" s="801">
        <v>268.25748623420003</v>
      </c>
    </row>
    <row r="318" spans="1:4" ht="12.75" customHeight="1">
      <c r="A318" s="787" t="s">
        <v>4617</v>
      </c>
      <c r="B318" s="804" t="s">
        <v>4616</v>
      </c>
      <c r="C318" s="801">
        <v>11.1815</v>
      </c>
    </row>
    <row r="319" spans="1:4" ht="12.75" customHeight="1">
      <c r="A319" s="787" t="s">
        <v>4615</v>
      </c>
      <c r="B319" s="804" t="s">
        <v>4614</v>
      </c>
      <c r="C319" s="801">
        <v>43.763000000000005</v>
      </c>
    </row>
    <row r="320" spans="1:4" ht="12.75" customHeight="1">
      <c r="A320" s="787" t="s">
        <v>4613</v>
      </c>
      <c r="B320" s="804" t="s">
        <v>4612</v>
      </c>
      <c r="C320" s="801">
        <v>21.292999999999999</v>
      </c>
    </row>
    <row r="321" spans="1:3" ht="12.75" customHeight="1">
      <c r="A321" s="787" t="s">
        <v>4611</v>
      </c>
      <c r="B321" s="804" t="s">
        <v>4610</v>
      </c>
      <c r="C321" s="801">
        <v>140.38399999999999</v>
      </c>
    </row>
    <row r="322" spans="1:3" ht="12.75" customHeight="1">
      <c r="A322" s="787" t="s">
        <v>4609</v>
      </c>
      <c r="B322" s="804" t="s">
        <v>4608</v>
      </c>
      <c r="C322" s="801">
        <v>146.00149999999999</v>
      </c>
    </row>
    <row r="323" spans="1:3" ht="12.75" customHeight="1">
      <c r="A323" s="787" t="s">
        <v>4607</v>
      </c>
      <c r="B323" s="804" t="s">
        <v>4606</v>
      </c>
      <c r="C323" s="801">
        <v>212.28800000000001</v>
      </c>
    </row>
    <row r="324" spans="1:3" ht="12.75" customHeight="1">
      <c r="A324" s="787" t="s">
        <v>4605</v>
      </c>
      <c r="B324" s="804" t="s">
        <v>4604</v>
      </c>
      <c r="C324" s="801">
        <v>18.989825</v>
      </c>
    </row>
    <row r="325" spans="1:3" ht="12.75" customHeight="1">
      <c r="A325" s="787" t="s">
        <v>4603</v>
      </c>
      <c r="B325" s="804" t="s">
        <v>4602</v>
      </c>
      <c r="C325" s="801">
        <v>30.224824999999999</v>
      </c>
    </row>
    <row r="326" spans="1:3" ht="12.75" customHeight="1">
      <c r="A326" s="78" t="s">
        <v>4601</v>
      </c>
      <c r="B326" s="823" t="s">
        <v>4600</v>
      </c>
      <c r="C326" s="801">
        <v>61.739000000000004</v>
      </c>
    </row>
    <row r="327" spans="1:3" ht="12.75" customHeight="1">
      <c r="A327" s="78" t="s">
        <v>4599</v>
      </c>
      <c r="B327" s="77" t="s">
        <v>4598</v>
      </c>
      <c r="C327" s="79">
        <v>58.177505000000011</v>
      </c>
    </row>
    <row r="328" spans="1:3" ht="12.75" customHeight="1">
      <c r="A328" s="787" t="s">
        <v>4597</v>
      </c>
      <c r="B328" s="804" t="s">
        <v>4596</v>
      </c>
      <c r="C328" s="801">
        <v>121.28450000000002</v>
      </c>
    </row>
    <row r="329" spans="1:3" ht="12.75" customHeight="1">
      <c r="A329" s="763" t="s">
        <v>4595</v>
      </c>
      <c r="B329" s="789" t="s">
        <v>4594</v>
      </c>
      <c r="C329" s="79">
        <v>123.69200000000001</v>
      </c>
    </row>
    <row r="330" spans="1:3" ht="12.75" customHeight="1">
      <c r="A330" s="787" t="s">
        <v>4593</v>
      </c>
      <c r="B330" s="804" t="s">
        <v>4592</v>
      </c>
      <c r="C330" s="801">
        <v>76.344500000000011</v>
      </c>
    </row>
    <row r="331" spans="1:3">
      <c r="A331" s="787" t="s">
        <v>4591</v>
      </c>
      <c r="B331" s="804" t="s">
        <v>4590</v>
      </c>
      <c r="C331" s="801">
        <v>109.95400435602203</v>
      </c>
    </row>
    <row r="332" spans="1:3">
      <c r="A332" s="787" t="s">
        <v>4589</v>
      </c>
      <c r="B332" s="804" t="s">
        <v>4588</v>
      </c>
      <c r="C332" s="801">
        <v>123.71354211162203</v>
      </c>
    </row>
    <row r="333" spans="1:3">
      <c r="A333" s="787" t="s">
        <v>4587</v>
      </c>
      <c r="B333" s="804" t="s">
        <v>4586</v>
      </c>
      <c r="C333" s="801">
        <v>69.569795000000013</v>
      </c>
    </row>
    <row r="334" spans="1:3">
      <c r="A334" s="787" t="s">
        <v>4585</v>
      </c>
      <c r="B334" s="804" t="s">
        <v>4584</v>
      </c>
      <c r="C334" s="801">
        <v>83.186615000000018</v>
      </c>
    </row>
    <row r="335" spans="1:3">
      <c r="A335" s="787" t="s">
        <v>4583</v>
      </c>
      <c r="B335" s="804" t="s">
        <v>4582</v>
      </c>
      <c r="C335" s="801">
        <v>109.95962000000002</v>
      </c>
    </row>
    <row r="336" spans="1:3">
      <c r="A336" s="787" t="s">
        <v>4581</v>
      </c>
      <c r="B336" s="804" t="s">
        <v>4580</v>
      </c>
      <c r="C336" s="801">
        <v>123.71126000000001</v>
      </c>
    </row>
    <row r="337" spans="1:3">
      <c r="A337" s="787" t="s">
        <v>4579</v>
      </c>
      <c r="B337" s="804" t="s">
        <v>4578</v>
      </c>
      <c r="C337" s="801">
        <v>142.78829000000002</v>
      </c>
    </row>
    <row r="338" spans="1:3">
      <c r="A338" s="787" t="s">
        <v>4577</v>
      </c>
      <c r="B338" s="804" t="s">
        <v>4576</v>
      </c>
      <c r="C338" s="801">
        <v>142.78829000000002</v>
      </c>
    </row>
    <row r="339" spans="1:3" ht="12.75" customHeight="1">
      <c r="A339" s="787" t="s">
        <v>4575</v>
      </c>
      <c r="B339" s="804" t="s">
        <v>4574</v>
      </c>
      <c r="C339" s="801">
        <v>88.703000000000017</v>
      </c>
    </row>
    <row r="340" spans="1:3" ht="12.75" customHeight="1">
      <c r="A340" s="787" t="s">
        <v>4573</v>
      </c>
      <c r="B340" s="804" t="s">
        <v>4572</v>
      </c>
      <c r="C340" s="801">
        <v>46.010000000000012</v>
      </c>
    </row>
    <row r="341" spans="1:3" ht="12.75" customHeight="1">
      <c r="A341" s="78" t="s">
        <v>4571</v>
      </c>
      <c r="B341" s="77" t="s">
        <v>4570</v>
      </c>
      <c r="C341" s="79">
        <v>60.615500000000011</v>
      </c>
    </row>
    <row r="342" spans="1:3" ht="12.75" customHeight="1">
      <c r="A342" s="787" t="s">
        <v>4569</v>
      </c>
      <c r="B342" s="804" t="s">
        <v>4568</v>
      </c>
      <c r="C342" s="801">
        <v>50.504000000000005</v>
      </c>
    </row>
    <row r="343" spans="1:3" ht="12.75" customHeight="1">
      <c r="A343" s="1068" t="s">
        <v>4567</v>
      </c>
      <c r="B343" s="1068"/>
      <c r="C343" s="1068"/>
    </row>
    <row r="344" spans="1:3">
      <c r="A344" s="822" t="s">
        <v>4566</v>
      </c>
      <c r="B344" s="821" t="s">
        <v>4565</v>
      </c>
      <c r="C344" s="820">
        <v>38.145500000000006</v>
      </c>
    </row>
    <row r="345" spans="1:3" ht="34.5">
      <c r="A345" s="82" t="s">
        <v>4564</v>
      </c>
      <c r="B345" s="818" t="s">
        <v>4563</v>
      </c>
      <c r="C345" s="80">
        <v>50.504000000000005</v>
      </c>
    </row>
    <row r="346" spans="1:3" ht="12.75" customHeight="1">
      <c r="A346" s="819" t="s">
        <v>4562</v>
      </c>
      <c r="B346" s="818" t="s">
        <v>4561</v>
      </c>
      <c r="C346" s="80">
        <v>67.356500000000011</v>
      </c>
    </row>
    <row r="347" spans="1:3" ht="23.25" customHeight="1">
      <c r="A347" s="1085" t="s">
        <v>4560</v>
      </c>
      <c r="B347" s="1086"/>
      <c r="C347" s="1086"/>
    </row>
    <row r="348" spans="1:3" ht="12.75" customHeight="1">
      <c r="A348" s="787" t="s">
        <v>4559</v>
      </c>
      <c r="B348" s="804" t="s">
        <v>4558</v>
      </c>
      <c r="C348" s="79">
        <v>15.675500000000001</v>
      </c>
    </row>
    <row r="349" spans="1:3">
      <c r="A349" s="787" t="s">
        <v>4557</v>
      </c>
      <c r="B349" s="804" t="s">
        <v>4556</v>
      </c>
      <c r="C349" s="79">
        <v>17.922499999999999</v>
      </c>
    </row>
    <row r="350" spans="1:3">
      <c r="A350" s="787" t="s">
        <v>4555</v>
      </c>
      <c r="B350" s="817" t="s">
        <v>4554</v>
      </c>
      <c r="C350" s="79">
        <v>20.169500000000003</v>
      </c>
    </row>
    <row r="351" spans="1:3" ht="12.75" customHeight="1">
      <c r="A351" s="787" t="s">
        <v>4553</v>
      </c>
      <c r="B351" s="817" t="s">
        <v>4552</v>
      </c>
      <c r="C351" s="79">
        <v>24.663500000000003</v>
      </c>
    </row>
    <row r="352" spans="1:3" ht="12.75" customHeight="1">
      <c r="A352" s="78" t="s">
        <v>4551</v>
      </c>
      <c r="B352" s="77" t="s">
        <v>4550</v>
      </c>
      <c r="C352" s="79">
        <v>23.540000000000003</v>
      </c>
    </row>
    <row r="353" spans="1:3" ht="12.75" customHeight="1">
      <c r="A353" s="78" t="s">
        <v>4549</v>
      </c>
      <c r="B353" s="77" t="s">
        <v>4548</v>
      </c>
      <c r="C353" s="79">
        <v>25.787000000000003</v>
      </c>
    </row>
    <row r="354" spans="1:3" ht="12.75" customHeight="1">
      <c r="A354" s="78" t="s">
        <v>4547</v>
      </c>
      <c r="B354" s="77" t="s">
        <v>4546</v>
      </c>
      <c r="C354" s="79">
        <v>52.751000000000005</v>
      </c>
    </row>
    <row r="355" spans="1:3" ht="12.75" customHeight="1">
      <c r="A355" s="78" t="s">
        <v>4545</v>
      </c>
      <c r="B355" s="815" t="s">
        <v>4544</v>
      </c>
      <c r="C355" s="79">
        <v>24.663500000000003</v>
      </c>
    </row>
    <row r="356" spans="1:3" ht="12.75" customHeight="1">
      <c r="A356" s="78" t="s">
        <v>4543</v>
      </c>
      <c r="B356" s="815" t="s">
        <v>4542</v>
      </c>
      <c r="C356" s="79">
        <v>26.910500000000003</v>
      </c>
    </row>
    <row r="357" spans="1:3" ht="12.75" customHeight="1">
      <c r="A357" s="82" t="s">
        <v>4541</v>
      </c>
      <c r="B357" s="816" t="s">
        <v>4540</v>
      </c>
      <c r="C357" s="80">
        <v>24.663500000000003</v>
      </c>
    </row>
    <row r="358" spans="1:3" ht="12.75" customHeight="1">
      <c r="A358" s="78" t="s">
        <v>4539</v>
      </c>
      <c r="B358" s="815" t="s">
        <v>4538</v>
      </c>
      <c r="C358" s="79">
        <v>28.034000000000002</v>
      </c>
    </row>
    <row r="359" spans="1:3" ht="12.75" customHeight="1">
      <c r="A359" s="78" t="s">
        <v>4537</v>
      </c>
      <c r="B359" s="77" t="s">
        <v>4536</v>
      </c>
      <c r="C359" s="79">
        <v>29.157500000000002</v>
      </c>
    </row>
    <row r="360" spans="1:3" ht="12.75" customHeight="1">
      <c r="A360" s="78" t="s">
        <v>4535</v>
      </c>
      <c r="B360" s="77" t="s">
        <v>4534</v>
      </c>
      <c r="C360" s="79">
        <v>29.157500000000002</v>
      </c>
    </row>
    <row r="361" spans="1:3" ht="12.75" customHeight="1">
      <c r="A361" s="1068" t="s">
        <v>4533</v>
      </c>
      <c r="B361" s="1068"/>
      <c r="C361" s="1068"/>
    </row>
    <row r="362" spans="1:3" ht="12.75" customHeight="1">
      <c r="A362" s="787" t="s">
        <v>4532</v>
      </c>
      <c r="B362" s="804" t="s">
        <v>4531</v>
      </c>
      <c r="C362" s="801">
        <v>54.998000000000012</v>
      </c>
    </row>
    <row r="363" spans="1:3" ht="12.75" customHeight="1">
      <c r="A363" s="78" t="s">
        <v>4530</v>
      </c>
      <c r="B363" s="761" t="s">
        <v>4529</v>
      </c>
      <c r="C363" s="79">
        <v>76.344500000000011</v>
      </c>
    </row>
    <row r="364" spans="1:3" ht="12.75" customHeight="1">
      <c r="A364" s="78" t="s">
        <v>4528</v>
      </c>
      <c r="B364" s="761" t="s">
        <v>4527</v>
      </c>
      <c r="C364" s="79">
        <v>98.81450000000001</v>
      </c>
    </row>
    <row r="365" spans="1:3">
      <c r="A365" s="78" t="s">
        <v>4526</v>
      </c>
      <c r="B365" s="761" t="s">
        <v>4525</v>
      </c>
      <c r="C365" s="79">
        <v>113.42000000000002</v>
      </c>
    </row>
    <row r="366" spans="1:3">
      <c r="A366" s="82" t="s">
        <v>4524</v>
      </c>
      <c r="B366" s="761" t="s">
        <v>4523</v>
      </c>
      <c r="C366" s="79">
        <v>194.31200000000001</v>
      </c>
    </row>
    <row r="367" spans="1:3" ht="12.75" customHeight="1">
      <c r="A367" s="82" t="s">
        <v>4522</v>
      </c>
      <c r="B367" s="761" t="s">
        <v>4521</v>
      </c>
      <c r="C367" s="79">
        <v>96.56750000000001</v>
      </c>
    </row>
    <row r="368" spans="1:3" ht="12.75" customHeight="1">
      <c r="A368" s="787" t="s">
        <v>4520</v>
      </c>
      <c r="B368" s="804" t="s">
        <v>4519</v>
      </c>
      <c r="C368" s="801">
        <v>47.133500000000005</v>
      </c>
    </row>
    <row r="369" spans="1:3" ht="12.75" customHeight="1">
      <c r="A369" s="82" t="s">
        <v>4518</v>
      </c>
      <c r="B369" s="761" t="s">
        <v>4517</v>
      </c>
      <c r="C369" s="79">
        <v>276.32750000000004</v>
      </c>
    </row>
    <row r="370" spans="1:3" ht="12.75" customHeight="1">
      <c r="A370" s="82" t="s">
        <v>4516</v>
      </c>
      <c r="B370" s="761" t="s">
        <v>4515</v>
      </c>
      <c r="C370" s="79">
        <v>335.87299999999999</v>
      </c>
    </row>
    <row r="371" spans="1:3" ht="12.75" customHeight="1">
      <c r="A371" s="82" t="s">
        <v>4514</v>
      </c>
      <c r="B371" s="761" t="s">
        <v>4513</v>
      </c>
      <c r="C371" s="79">
        <v>393.17150000000004</v>
      </c>
    </row>
    <row r="372" spans="1:3" ht="12.75" customHeight="1">
      <c r="A372" s="82" t="s">
        <v>4512</v>
      </c>
      <c r="B372" s="761" t="s">
        <v>4511</v>
      </c>
      <c r="C372" s="79">
        <v>348.23149999999998</v>
      </c>
    </row>
    <row r="373" spans="1:3" ht="12.75" customHeight="1">
      <c r="A373" s="82" t="s">
        <v>4510</v>
      </c>
      <c r="B373" s="761" t="s">
        <v>4509</v>
      </c>
      <c r="C373" s="79">
        <v>277.45100000000002</v>
      </c>
    </row>
    <row r="374" spans="1:3" ht="12.75" customHeight="1">
      <c r="A374" s="82" t="s">
        <v>4508</v>
      </c>
      <c r="B374" s="761" t="s">
        <v>4507</v>
      </c>
      <c r="C374" s="79">
        <v>224.6465</v>
      </c>
    </row>
    <row r="375" spans="1:3" ht="14.25" customHeight="1">
      <c r="A375" s="82" t="s">
        <v>4506</v>
      </c>
      <c r="B375" s="761" t="s">
        <v>4505</v>
      </c>
      <c r="C375" s="79">
        <v>224.6465</v>
      </c>
    </row>
    <row r="376" spans="1:3" ht="12.75" customHeight="1">
      <c r="A376" s="82" t="s">
        <v>4504</v>
      </c>
      <c r="B376" s="761" t="s">
        <v>4503</v>
      </c>
      <c r="C376" s="79">
        <v>393.17150000000004</v>
      </c>
    </row>
    <row r="377" spans="1:3" ht="12.75" customHeight="1">
      <c r="A377" s="78" t="s">
        <v>4502</v>
      </c>
      <c r="B377" s="760" t="s">
        <v>4501</v>
      </c>
      <c r="C377" s="80">
        <v>331.37900000000002</v>
      </c>
    </row>
    <row r="378" spans="1:3" ht="12.75" customHeight="1">
      <c r="A378" s="78" t="s">
        <v>4500</v>
      </c>
      <c r="B378" s="760" t="s">
        <v>4499</v>
      </c>
      <c r="C378" s="80">
        <v>67.356500000000011</v>
      </c>
    </row>
    <row r="379" spans="1:3" ht="12.75" customHeight="1">
      <c r="A379" s="82" t="s">
        <v>4498</v>
      </c>
      <c r="B379" s="761" t="s">
        <v>4497</v>
      </c>
      <c r="C379" s="79">
        <v>258.35149999999999</v>
      </c>
    </row>
    <row r="380" spans="1:3" ht="12.75" customHeight="1">
      <c r="A380" s="82" t="s">
        <v>4496</v>
      </c>
      <c r="B380" s="761" t="s">
        <v>4495</v>
      </c>
      <c r="C380" s="79">
        <v>314.5265</v>
      </c>
    </row>
    <row r="381" spans="1:3" ht="12.75" customHeight="1">
      <c r="A381" s="82" t="s">
        <v>4494</v>
      </c>
      <c r="B381" s="761" t="s">
        <v>4493</v>
      </c>
      <c r="C381" s="79">
        <v>80.83850000000001</v>
      </c>
    </row>
    <row r="382" spans="1:3" ht="12.75" customHeight="1">
      <c r="A382" s="82" t="s">
        <v>4492</v>
      </c>
      <c r="B382" s="761" t="s">
        <v>4491</v>
      </c>
      <c r="C382" s="79">
        <v>234.75800000000001</v>
      </c>
    </row>
    <row r="383" spans="1:3" ht="12.75" customHeight="1">
      <c r="A383" s="82" t="s">
        <v>4490</v>
      </c>
      <c r="B383" s="761" t="s">
        <v>4489</v>
      </c>
      <c r="C383" s="79">
        <v>301.04450000000003</v>
      </c>
    </row>
    <row r="384" spans="1:3" ht="12.75" customHeight="1">
      <c r="A384" s="82" t="s">
        <v>4488</v>
      </c>
      <c r="B384" s="81" t="s">
        <v>4487</v>
      </c>
      <c r="C384" s="80">
        <v>263.96899999999999</v>
      </c>
    </row>
    <row r="385" spans="1:3" ht="12.75" customHeight="1">
      <c r="A385" s="82" t="s">
        <v>4486</v>
      </c>
      <c r="B385" s="81" t="s">
        <v>4485</v>
      </c>
      <c r="C385" s="80">
        <v>263.96899999999999</v>
      </c>
    </row>
    <row r="386" spans="1:3" ht="12.75" customHeight="1">
      <c r="A386" s="82" t="s">
        <v>4484</v>
      </c>
      <c r="B386" s="761" t="s">
        <v>4483</v>
      </c>
      <c r="C386" s="79">
        <v>254.98100000000002</v>
      </c>
    </row>
    <row r="387" spans="1:3" ht="12.75" customHeight="1">
      <c r="A387" s="1080" t="s">
        <v>4482</v>
      </c>
      <c r="B387" s="1080"/>
      <c r="C387" s="1080"/>
    </row>
    <row r="388" spans="1:3" ht="12.75" customHeight="1">
      <c r="A388" s="1068" t="s">
        <v>4481</v>
      </c>
      <c r="B388" s="1068"/>
      <c r="C388" s="1068"/>
    </row>
    <row r="389" spans="1:3" ht="12.75" customHeight="1">
      <c r="A389" s="766" t="s">
        <v>4480</v>
      </c>
      <c r="B389" s="811" t="s">
        <v>4479</v>
      </c>
      <c r="C389" s="80">
        <v>129</v>
      </c>
    </row>
    <row r="390" spans="1:3" ht="12.75" customHeight="1">
      <c r="A390" s="82" t="s">
        <v>4478</v>
      </c>
      <c r="B390" s="81" t="s">
        <v>4477</v>
      </c>
      <c r="C390" s="80">
        <v>454.964</v>
      </c>
    </row>
    <row r="391" spans="1:3" ht="25.5">
      <c r="A391" s="82" t="s">
        <v>4476</v>
      </c>
      <c r="B391" s="81" t="s">
        <v>4475</v>
      </c>
      <c r="C391" s="80">
        <v>398.78899999999999</v>
      </c>
    </row>
    <row r="392" spans="1:3" ht="25">
      <c r="A392" s="82" t="s">
        <v>4474</v>
      </c>
      <c r="B392" s="81" t="s">
        <v>4473</v>
      </c>
      <c r="C392" s="80">
        <v>398.78899999999999</v>
      </c>
    </row>
    <row r="393" spans="1:3">
      <c r="A393" s="78" t="s">
        <v>4472</v>
      </c>
      <c r="B393" s="77" t="s">
        <v>4471</v>
      </c>
      <c r="C393" s="79">
        <v>398.78899999999999</v>
      </c>
    </row>
    <row r="394" spans="1:3">
      <c r="A394" s="78" t="s">
        <v>4470</v>
      </c>
      <c r="B394" s="77" t="s">
        <v>4469</v>
      </c>
      <c r="C394" s="79">
        <v>398.78899999999999</v>
      </c>
    </row>
    <row r="395" spans="1:3" ht="12.75" customHeight="1">
      <c r="A395" s="78" t="s">
        <v>4468</v>
      </c>
      <c r="B395" s="77" t="s">
        <v>4467</v>
      </c>
      <c r="C395" s="76">
        <v>398.78899999999999</v>
      </c>
    </row>
    <row r="396" spans="1:3" ht="12.75" customHeight="1">
      <c r="A396" s="763" t="s">
        <v>4466</v>
      </c>
      <c r="B396" s="762" t="s">
        <v>4465</v>
      </c>
      <c r="C396" s="79">
        <v>398.78899999999999</v>
      </c>
    </row>
    <row r="397" spans="1:3" ht="12.75" customHeight="1">
      <c r="A397" s="763" t="s">
        <v>4464</v>
      </c>
      <c r="B397" s="791" t="s">
        <v>4463</v>
      </c>
      <c r="C397" s="80">
        <v>195</v>
      </c>
    </row>
    <row r="398" spans="1:3" ht="12.75" customHeight="1">
      <c r="A398" s="764" t="s">
        <v>4462</v>
      </c>
      <c r="B398" s="791" t="s">
        <v>4461</v>
      </c>
      <c r="C398" s="80">
        <v>252.73400000000001</v>
      </c>
    </row>
    <row r="399" spans="1:3">
      <c r="A399" s="82" t="s">
        <v>4385</v>
      </c>
      <c r="B399" s="762" t="s">
        <v>4460</v>
      </c>
      <c r="C399" s="79">
        <v>189.81800000000001</v>
      </c>
    </row>
    <row r="400" spans="1:3" ht="23">
      <c r="A400" s="759" t="s">
        <v>4459</v>
      </c>
      <c r="B400" s="791" t="s">
        <v>4458</v>
      </c>
      <c r="C400" s="80"/>
    </row>
    <row r="401" spans="1:10">
      <c r="A401" s="78" t="s">
        <v>4457</v>
      </c>
      <c r="B401" s="77" t="s">
        <v>4456</v>
      </c>
      <c r="C401" s="79">
        <v>538.10300000000007</v>
      </c>
    </row>
    <row r="402" spans="1:10">
      <c r="A402" s="78" t="s">
        <v>4455</v>
      </c>
      <c r="B402" s="77" t="s">
        <v>4454</v>
      </c>
      <c r="C402" s="79">
        <v>624.61250000000018</v>
      </c>
    </row>
    <row r="403" spans="1:10">
      <c r="A403" s="78" t="s">
        <v>4453</v>
      </c>
      <c r="B403" s="77" t="s">
        <v>4452</v>
      </c>
      <c r="C403" s="79">
        <v>639.21800000000019</v>
      </c>
    </row>
    <row r="404" spans="1:10">
      <c r="A404" s="82" t="s">
        <v>4451</v>
      </c>
      <c r="B404" s="760" t="s">
        <v>4450</v>
      </c>
      <c r="C404" s="79">
        <v>639.21800000000019</v>
      </c>
    </row>
    <row r="405" spans="1:10">
      <c r="A405" s="82" t="s">
        <v>4449</v>
      </c>
      <c r="B405" s="760" t="s">
        <v>4448</v>
      </c>
      <c r="C405" s="79">
        <v>12.261286291262</v>
      </c>
    </row>
    <row r="406" spans="1:10">
      <c r="A406" s="1084" t="s">
        <v>4447</v>
      </c>
      <c r="B406" s="1084"/>
      <c r="C406" s="1084"/>
      <c r="D406" s="814"/>
      <c r="E406" s="813"/>
      <c r="F406" s="813"/>
      <c r="G406" s="813"/>
      <c r="H406" s="813"/>
      <c r="I406" s="813"/>
      <c r="J406" s="812"/>
    </row>
    <row r="407" spans="1:10" ht="37.5">
      <c r="A407" s="82" t="s">
        <v>4446</v>
      </c>
      <c r="B407" s="811" t="s">
        <v>4445</v>
      </c>
      <c r="C407" s="80">
        <v>756.72107655800016</v>
      </c>
    </row>
    <row r="408" spans="1:10" ht="25">
      <c r="A408" s="82" t="s">
        <v>4444</v>
      </c>
      <c r="B408" s="791" t="s">
        <v>4443</v>
      </c>
      <c r="C408" s="80">
        <v>702.13400000000013</v>
      </c>
    </row>
    <row r="409" spans="1:10" ht="25">
      <c r="A409" s="82" t="s">
        <v>4442</v>
      </c>
      <c r="B409" s="81" t="s">
        <v>4441</v>
      </c>
      <c r="C409" s="80">
        <v>756.72107655800016</v>
      </c>
    </row>
    <row r="410" spans="1:10" ht="25.5">
      <c r="A410" s="82" t="s">
        <v>4440</v>
      </c>
      <c r="B410" s="811" t="s">
        <v>4439</v>
      </c>
      <c r="C410" s="80">
        <v>335.87299999999999</v>
      </c>
    </row>
    <row r="411" spans="1:10" ht="25.5">
      <c r="A411" s="82" t="s">
        <v>4438</v>
      </c>
      <c r="B411" s="791" t="s">
        <v>4437</v>
      </c>
      <c r="C411" s="80">
        <v>392.048</v>
      </c>
    </row>
    <row r="412" spans="1:10" ht="25.5">
      <c r="A412" s="82" t="s">
        <v>4436</v>
      </c>
      <c r="B412" s="791" t="s">
        <v>4435</v>
      </c>
      <c r="C412" s="80">
        <v>392.048</v>
      </c>
    </row>
    <row r="413" spans="1:10" ht="25.5">
      <c r="A413" s="82" t="s">
        <v>4434</v>
      </c>
      <c r="B413" s="791" t="s">
        <v>4433</v>
      </c>
      <c r="C413" s="80">
        <v>392.048</v>
      </c>
    </row>
    <row r="414" spans="1:10" ht="38.5">
      <c r="A414" s="82" t="s">
        <v>4432</v>
      </c>
      <c r="B414" s="791" t="s">
        <v>4431</v>
      </c>
      <c r="C414" s="80">
        <v>392.048</v>
      </c>
    </row>
    <row r="415" spans="1:10" ht="25.5">
      <c r="A415" s="82" t="s">
        <v>4430</v>
      </c>
      <c r="B415" s="791" t="s">
        <v>4429</v>
      </c>
      <c r="C415" s="80">
        <v>297.67399999999998</v>
      </c>
    </row>
    <row r="416" spans="1:10" ht="25.5">
      <c r="A416" s="82" t="s">
        <v>4428</v>
      </c>
      <c r="B416" s="791" t="s">
        <v>4422</v>
      </c>
      <c r="C416" s="80">
        <v>392.048</v>
      </c>
    </row>
    <row r="417" spans="1:3" ht="25.5">
      <c r="A417" s="82" t="s">
        <v>4427</v>
      </c>
      <c r="B417" s="791" t="s">
        <v>4420</v>
      </c>
      <c r="C417" s="80">
        <v>392.048</v>
      </c>
    </row>
    <row r="418" spans="1:3" ht="25.5">
      <c r="A418" s="82" t="s">
        <v>4426</v>
      </c>
      <c r="B418" s="791" t="s">
        <v>4418</v>
      </c>
      <c r="C418" s="80">
        <v>392.048</v>
      </c>
    </row>
    <row r="419" spans="1:3" ht="38.5">
      <c r="A419" s="82" t="s">
        <v>4425</v>
      </c>
      <c r="B419" s="791" t="s">
        <v>4416</v>
      </c>
      <c r="C419" s="80">
        <v>392.048</v>
      </c>
    </row>
    <row r="420" spans="1:3" ht="25.5">
      <c r="A420" s="82" t="s">
        <v>4424</v>
      </c>
      <c r="B420" s="791" t="s">
        <v>4414</v>
      </c>
      <c r="C420" s="80">
        <v>297.67399999999998</v>
      </c>
    </row>
    <row r="421" spans="1:3" ht="25.5">
      <c r="A421" s="82" t="s">
        <v>4423</v>
      </c>
      <c r="B421" s="791" t="s">
        <v>4422</v>
      </c>
      <c r="C421" s="80">
        <v>392.048</v>
      </c>
    </row>
    <row r="422" spans="1:3" ht="25.5">
      <c r="A422" s="82" t="s">
        <v>4421</v>
      </c>
      <c r="B422" s="791" t="s">
        <v>4420</v>
      </c>
      <c r="C422" s="80">
        <v>392.048</v>
      </c>
    </row>
    <row r="423" spans="1:3" ht="25.5">
      <c r="A423" s="82" t="s">
        <v>4419</v>
      </c>
      <c r="B423" s="791" t="s">
        <v>4418</v>
      </c>
      <c r="C423" s="80">
        <v>392.048</v>
      </c>
    </row>
    <row r="424" spans="1:3" ht="38.5">
      <c r="A424" s="82" t="s">
        <v>4417</v>
      </c>
      <c r="B424" s="791" t="s">
        <v>4416</v>
      </c>
      <c r="C424" s="80">
        <v>392.048</v>
      </c>
    </row>
    <row r="425" spans="1:3" ht="25.5">
      <c r="A425" s="82" t="s">
        <v>4415</v>
      </c>
      <c r="B425" s="791" t="s">
        <v>4414</v>
      </c>
      <c r="C425" s="80">
        <v>297.67399999999998</v>
      </c>
    </row>
    <row r="426" spans="1:3" ht="27" customHeight="1">
      <c r="A426" s="82" t="s">
        <v>4413</v>
      </c>
      <c r="B426" s="791" t="s">
        <v>4412</v>
      </c>
      <c r="C426" s="80">
        <v>542.59700000000009</v>
      </c>
    </row>
    <row r="427" spans="1:3" ht="25">
      <c r="A427" s="82" t="s">
        <v>4411</v>
      </c>
      <c r="B427" s="791" t="s">
        <v>4410</v>
      </c>
      <c r="C427" s="80">
        <v>542.59700000000009</v>
      </c>
    </row>
    <row r="428" spans="1:3" ht="12.75" customHeight="1">
      <c r="A428" s="764" t="s">
        <v>4365</v>
      </c>
      <c r="B428" s="791" t="s">
        <v>4409</v>
      </c>
      <c r="C428" s="80">
        <v>235.88149999999999</v>
      </c>
    </row>
    <row r="429" spans="1:3" ht="12.75" customHeight="1">
      <c r="A429" s="1077" t="s">
        <v>4408</v>
      </c>
      <c r="B429" s="1077"/>
      <c r="C429" s="1077"/>
    </row>
    <row r="430" spans="1:3" ht="12.75" customHeight="1">
      <c r="A430" s="78" t="s">
        <v>4407</v>
      </c>
      <c r="B430" s="77" t="s">
        <v>4406</v>
      </c>
      <c r="C430" s="79">
        <v>99.938000000000017</v>
      </c>
    </row>
    <row r="431" spans="1:3">
      <c r="A431" s="759" t="s">
        <v>4405</v>
      </c>
      <c r="B431" s="760" t="s">
        <v>4404</v>
      </c>
      <c r="C431" s="80">
        <v>178.58300000000003</v>
      </c>
    </row>
    <row r="432" spans="1:3" ht="12.75" customHeight="1">
      <c r="A432" s="82" t="s">
        <v>4403</v>
      </c>
      <c r="B432" s="762" t="s">
        <v>4402</v>
      </c>
      <c r="C432" s="79">
        <v>146.73628952450852</v>
      </c>
    </row>
    <row r="433" spans="1:3" ht="12.75" customHeight="1">
      <c r="A433" s="82" t="s">
        <v>4401</v>
      </c>
      <c r="B433" s="762" t="s">
        <v>4400</v>
      </c>
      <c r="C433" s="79">
        <v>146.73049686918972</v>
      </c>
    </row>
    <row r="434" spans="1:3" ht="12.75" customHeight="1">
      <c r="A434" s="82" t="s">
        <v>4399</v>
      </c>
      <c r="B434" s="762" t="s">
        <v>4398</v>
      </c>
      <c r="C434" s="79">
        <v>34.830877748163374</v>
      </c>
    </row>
    <row r="435" spans="1:3" ht="12.75" customHeight="1">
      <c r="A435" s="82" t="s">
        <v>4397</v>
      </c>
      <c r="B435" s="762" t="s">
        <v>4396</v>
      </c>
      <c r="C435" s="79">
        <v>34.830877748163374</v>
      </c>
    </row>
    <row r="436" spans="1:3" ht="12.75" customHeight="1">
      <c r="A436" s="78" t="s">
        <v>4395</v>
      </c>
      <c r="B436" s="810" t="s">
        <v>4394</v>
      </c>
      <c r="C436" s="79">
        <v>59.447144307296227</v>
      </c>
    </row>
    <row r="437" spans="1:3" ht="12.75" customHeight="1">
      <c r="A437" s="78" t="s">
        <v>4393</v>
      </c>
      <c r="B437" s="762" t="s">
        <v>4392</v>
      </c>
      <c r="C437" s="79">
        <v>69.715255496326748</v>
      </c>
    </row>
    <row r="438" spans="1:3" ht="12.75" customHeight="1">
      <c r="A438" s="78" t="s">
        <v>4391</v>
      </c>
      <c r="B438" s="762" t="s">
        <v>4390</v>
      </c>
      <c r="C438" s="79">
        <v>78.89535490373818</v>
      </c>
    </row>
    <row r="439" spans="1:3" ht="12.75" customHeight="1">
      <c r="A439" s="82" t="s">
        <v>4389</v>
      </c>
      <c r="B439" s="77" t="s">
        <v>4388</v>
      </c>
      <c r="C439" s="79">
        <v>238.53728359862265</v>
      </c>
    </row>
    <row r="440" spans="1:3" ht="12.75" customHeight="1">
      <c r="A440" s="82" t="s">
        <v>4387</v>
      </c>
      <c r="B440" s="762" t="s">
        <v>4386</v>
      </c>
      <c r="C440" s="79">
        <v>156.11300000000003</v>
      </c>
    </row>
    <row r="441" spans="1:3" ht="12.75" customHeight="1">
      <c r="A441" s="82" t="s">
        <v>4385</v>
      </c>
      <c r="B441" s="762" t="s">
        <v>4384</v>
      </c>
      <c r="C441" s="79">
        <v>189.81800000000001</v>
      </c>
    </row>
    <row r="442" spans="1:3" ht="12.75" customHeight="1">
      <c r="A442" s="82" t="s">
        <v>4383</v>
      </c>
      <c r="B442" s="77" t="s">
        <v>4382</v>
      </c>
      <c r="C442" s="79">
        <v>192.065</v>
      </c>
    </row>
    <row r="443" spans="1:3" ht="12.75" customHeight="1">
      <c r="A443" s="82" t="s">
        <v>4381</v>
      </c>
      <c r="B443" s="77" t="s">
        <v>4380</v>
      </c>
      <c r="C443" s="79">
        <v>220.3192566936896</v>
      </c>
    </row>
    <row r="444" spans="1:3" ht="12.75" customHeight="1">
      <c r="A444" s="82" t="s">
        <v>4379</v>
      </c>
      <c r="B444" s="77" t="s">
        <v>4378</v>
      </c>
      <c r="C444" s="79">
        <v>229.44898518528538</v>
      </c>
    </row>
    <row r="445" spans="1:3" ht="12.75" customHeight="1">
      <c r="A445" s="82" t="s">
        <v>4377</v>
      </c>
      <c r="B445" s="77" t="s">
        <v>4376</v>
      </c>
      <c r="C445" s="79">
        <v>305.86481265994155</v>
      </c>
    </row>
    <row r="446" spans="1:3" ht="12.75" customHeight="1">
      <c r="A446" s="82" t="s">
        <v>4375</v>
      </c>
      <c r="B446" s="785" t="s">
        <v>4374</v>
      </c>
      <c r="C446" s="80">
        <v>238.53728359862265</v>
      </c>
    </row>
    <row r="447" spans="1:3" ht="12.75" customHeight="1">
      <c r="A447" s="82" t="s">
        <v>4373</v>
      </c>
      <c r="B447" s="761" t="s">
        <v>4372</v>
      </c>
      <c r="C447" s="79">
        <v>348.23149999999998</v>
      </c>
    </row>
    <row r="448" spans="1:3" ht="12.75" customHeight="1">
      <c r="A448" s="82" t="s">
        <v>4371</v>
      </c>
      <c r="B448" s="761" t="s">
        <v>4370</v>
      </c>
      <c r="C448" s="79">
        <v>339.24350000000004</v>
      </c>
    </row>
    <row r="449" spans="1:3" ht="12.75" customHeight="1">
      <c r="A449" s="82" t="s">
        <v>4369</v>
      </c>
      <c r="B449" s="761" t="s">
        <v>4368</v>
      </c>
      <c r="C449" s="79">
        <v>339.24350000000004</v>
      </c>
    </row>
    <row r="450" spans="1:3" ht="12.75" customHeight="1">
      <c r="A450" s="82" t="s">
        <v>4367</v>
      </c>
      <c r="B450" s="761" t="s">
        <v>4366</v>
      </c>
      <c r="C450" s="79">
        <v>331.37900000000002</v>
      </c>
    </row>
    <row r="451" spans="1:3" ht="12.75" customHeight="1">
      <c r="A451" s="764" t="s">
        <v>4365</v>
      </c>
      <c r="B451" s="791" t="s">
        <v>4364</v>
      </c>
      <c r="C451" s="80">
        <v>305.86481265994155</v>
      </c>
    </row>
    <row r="452" spans="1:3" ht="12.75" customHeight="1">
      <c r="A452" s="82" t="s">
        <v>4363</v>
      </c>
      <c r="B452" s="762" t="s">
        <v>4362</v>
      </c>
      <c r="C452" s="79">
        <v>126.63187182227756</v>
      </c>
    </row>
    <row r="453" spans="1:3" ht="12.75" customHeight="1">
      <c r="A453" s="82" t="s">
        <v>4361</v>
      </c>
      <c r="B453" s="762" t="s">
        <v>4360</v>
      </c>
      <c r="C453" s="79">
        <v>254.86426039654472</v>
      </c>
    </row>
    <row r="454" spans="1:3" ht="12.75" customHeight="1">
      <c r="A454" s="82" t="s">
        <v>4359</v>
      </c>
      <c r="B454" s="762" t="s">
        <v>4358</v>
      </c>
      <c r="C454" s="79">
        <v>254.86426039654472</v>
      </c>
    </row>
    <row r="455" spans="1:3" ht="12.75" customHeight="1">
      <c r="A455" s="1068" t="s">
        <v>4357</v>
      </c>
      <c r="B455" s="1068"/>
      <c r="C455" s="1068"/>
    </row>
    <row r="456" spans="1:3" ht="12.75" customHeight="1">
      <c r="A456" s="82" t="s">
        <v>4356</v>
      </c>
      <c r="B456" s="81" t="s">
        <v>4355</v>
      </c>
      <c r="C456" s="800">
        <v>387.55400000000003</v>
      </c>
    </row>
    <row r="457" spans="1:3" ht="12.75" customHeight="1">
      <c r="A457" s="78" t="s">
        <v>4354</v>
      </c>
      <c r="B457" s="761" t="s">
        <v>4353</v>
      </c>
      <c r="C457" s="801">
        <v>353.84899999999999</v>
      </c>
    </row>
    <row r="458" spans="1:3" ht="12.75" customHeight="1">
      <c r="A458" s="809" t="s">
        <v>4352</v>
      </c>
      <c r="B458" s="761" t="s">
        <v>4351</v>
      </c>
      <c r="C458" s="79">
        <v>79</v>
      </c>
    </row>
    <row r="459" spans="1:3" ht="12.75" customHeight="1">
      <c r="A459" s="787" t="s">
        <v>4350</v>
      </c>
      <c r="B459" s="762" t="s">
        <v>4349</v>
      </c>
      <c r="C459" s="79">
        <v>27.486798222234238</v>
      </c>
    </row>
    <row r="460" spans="1:3" ht="12.75" customHeight="1">
      <c r="A460" s="82" t="s">
        <v>4348</v>
      </c>
      <c r="B460" s="761" t="s">
        <v>4347</v>
      </c>
      <c r="C460" s="79">
        <v>53.191076562986204</v>
      </c>
    </row>
    <row r="461" spans="1:3" ht="12.75" customHeight="1">
      <c r="A461" s="78" t="s">
        <v>4346</v>
      </c>
      <c r="B461" s="77" t="s">
        <v>4345</v>
      </c>
      <c r="C461" s="79">
        <v>62.371175970397623</v>
      </c>
    </row>
    <row r="462" spans="1:3">
      <c r="A462" s="78" t="s">
        <v>4344</v>
      </c>
      <c r="B462" s="77" t="s">
        <v>4343</v>
      </c>
      <c r="C462" s="79">
        <v>69.569761043336015</v>
      </c>
    </row>
    <row r="463" spans="1:3" ht="12.75" customHeight="1">
      <c r="A463" s="78" t="s">
        <v>4342</v>
      </c>
      <c r="B463" s="77" t="s">
        <v>4341</v>
      </c>
      <c r="C463" s="79">
        <v>87.732350880728035</v>
      </c>
    </row>
    <row r="464" spans="1:3" ht="12.75" customHeight="1">
      <c r="A464" s="78" t="s">
        <v>4340</v>
      </c>
      <c r="B464" s="762" t="s">
        <v>4339</v>
      </c>
      <c r="C464" s="79">
        <v>140.38399999999999</v>
      </c>
    </row>
    <row r="465" spans="1:3" ht="12.75" customHeight="1">
      <c r="A465" s="78" t="s">
        <v>4338</v>
      </c>
      <c r="B465" s="77" t="s">
        <v>4337</v>
      </c>
      <c r="C465" s="79">
        <v>25.55897734667785</v>
      </c>
    </row>
    <row r="466" spans="1:3" ht="12.75" customHeight="1">
      <c r="A466" s="787" t="s">
        <v>4336</v>
      </c>
      <c r="B466" s="77" t="s">
        <v>4335</v>
      </c>
      <c r="C466" s="801">
        <v>51.263255687429826</v>
      </c>
    </row>
    <row r="467" spans="1:3" ht="12.75" customHeight="1">
      <c r="A467" s="787" t="s">
        <v>4334</v>
      </c>
      <c r="B467" s="804" t="s">
        <v>4333</v>
      </c>
      <c r="C467" s="801">
        <v>51.263255687429826</v>
      </c>
    </row>
    <row r="468" spans="1:3" ht="12.75" customHeight="1">
      <c r="A468" s="787" t="s">
        <v>4332</v>
      </c>
      <c r="B468" s="804" t="s">
        <v>4331</v>
      </c>
      <c r="C468" s="801">
        <v>54.935295450394371</v>
      </c>
    </row>
    <row r="469" spans="1:3" ht="12.75" customHeight="1">
      <c r="A469" s="787" t="s">
        <v>4330</v>
      </c>
      <c r="B469" s="804" t="s">
        <v>4329</v>
      </c>
      <c r="C469" s="801">
        <v>128.37609070968571</v>
      </c>
    </row>
    <row r="470" spans="1:3" ht="12.75" customHeight="1">
      <c r="A470" s="787" t="s">
        <v>4328</v>
      </c>
      <c r="B470" s="804" t="s">
        <v>4327</v>
      </c>
      <c r="C470" s="801">
        <v>82.567394666702768</v>
      </c>
    </row>
    <row r="471" spans="1:3" ht="12.75" customHeight="1">
      <c r="A471" s="787" t="s">
        <v>4326</v>
      </c>
      <c r="B471" s="808" t="s">
        <v>4325</v>
      </c>
      <c r="C471" s="801">
        <v>45.846997037057086</v>
      </c>
    </row>
    <row r="472" spans="1:3" ht="12.75" customHeight="1">
      <c r="A472" s="787" t="s">
        <v>4324</v>
      </c>
      <c r="B472" s="808" t="s">
        <v>4323</v>
      </c>
      <c r="C472" s="801">
        <v>102.26242275064165</v>
      </c>
    </row>
    <row r="473" spans="1:3" ht="12.75" customHeight="1">
      <c r="A473" s="787" t="s">
        <v>4322</v>
      </c>
      <c r="B473" s="808" t="s">
        <v>4321</v>
      </c>
      <c r="C473" s="801">
        <v>55.354507397270552</v>
      </c>
    </row>
    <row r="474" spans="1:3" ht="12.75" customHeight="1">
      <c r="A474" s="82" t="s">
        <v>4320</v>
      </c>
      <c r="B474" s="81" t="s">
        <v>4319</v>
      </c>
      <c r="C474" s="80">
        <v>47.959272500000004</v>
      </c>
    </row>
    <row r="475" spans="1:3" ht="12.75" customHeight="1">
      <c r="A475" s="82" t="s">
        <v>4318</v>
      </c>
      <c r="B475" s="81" t="s">
        <v>4317</v>
      </c>
      <c r="C475" s="80">
        <v>65.109500000000011</v>
      </c>
    </row>
    <row r="476" spans="1:3" ht="12.75" customHeight="1">
      <c r="A476" s="803" t="s">
        <v>4316</v>
      </c>
      <c r="B476" s="807" t="s">
        <v>4315</v>
      </c>
      <c r="C476" s="800">
        <v>128.37609070968571</v>
      </c>
    </row>
    <row r="477" spans="1:3" ht="12.75" customHeight="1">
      <c r="A477" s="787" t="s">
        <v>4314</v>
      </c>
      <c r="B477" s="804" t="s">
        <v>4313</v>
      </c>
      <c r="C477" s="801">
        <v>247.1165</v>
      </c>
    </row>
    <row r="478" spans="1:3" ht="12.75" customHeight="1">
      <c r="A478" s="787" t="s">
        <v>4312</v>
      </c>
      <c r="B478" s="804" t="s">
        <v>4311</v>
      </c>
      <c r="C478" s="801">
        <v>269.5865</v>
      </c>
    </row>
    <row r="479" spans="1:3" ht="12.75" customHeight="1">
      <c r="A479" s="787" t="s">
        <v>4310</v>
      </c>
      <c r="B479" s="804" t="s">
        <v>4309</v>
      </c>
      <c r="C479" s="801">
        <v>64.207195851879902</v>
      </c>
    </row>
    <row r="480" spans="1:3" ht="12.75" customHeight="1">
      <c r="A480" s="806" t="s">
        <v>4308</v>
      </c>
      <c r="B480" s="804" t="s">
        <v>4307</v>
      </c>
      <c r="C480" s="801">
        <v>64.207195851879902</v>
      </c>
    </row>
    <row r="481" spans="1:3" ht="12.75" customHeight="1">
      <c r="A481" s="787" t="s">
        <v>4306</v>
      </c>
      <c r="B481" s="804" t="s">
        <v>4305</v>
      </c>
      <c r="C481" s="801">
        <v>133.97595134820671</v>
      </c>
    </row>
    <row r="482" spans="1:3" ht="12.75" customHeight="1">
      <c r="A482" s="787" t="s">
        <v>4304</v>
      </c>
      <c r="B482" s="804" t="s">
        <v>4303</v>
      </c>
      <c r="C482" s="801">
        <v>163.35226945192321</v>
      </c>
    </row>
    <row r="483" spans="1:3" ht="12.75" customHeight="1">
      <c r="A483" s="787" t="s">
        <v>4302</v>
      </c>
      <c r="B483" s="804" t="s">
        <v>4301</v>
      </c>
      <c r="C483" s="801">
        <v>64.207195851879902</v>
      </c>
    </row>
    <row r="484" spans="1:3" ht="12.75" customHeight="1">
      <c r="A484" s="787" t="s">
        <v>4300</v>
      </c>
      <c r="B484" s="804" t="s">
        <v>4299</v>
      </c>
      <c r="C484" s="801">
        <v>133.97595134820671</v>
      </c>
    </row>
    <row r="485" spans="1:3" ht="12.75" customHeight="1">
      <c r="A485" s="82" t="s">
        <v>4298</v>
      </c>
      <c r="B485" s="762" t="s">
        <v>4297</v>
      </c>
      <c r="C485" s="79">
        <v>179.70650000000001</v>
      </c>
    </row>
    <row r="486" spans="1:3" ht="12.75" customHeight="1">
      <c r="A486" s="78" t="s">
        <v>4296</v>
      </c>
      <c r="B486" s="77" t="s">
        <v>4295</v>
      </c>
      <c r="C486" s="79">
        <v>86.456000000000017</v>
      </c>
    </row>
    <row r="487" spans="1:3" ht="12.75" customHeight="1">
      <c r="A487" s="78" t="s">
        <v>4294</v>
      </c>
      <c r="B487" s="77" t="s">
        <v>4293</v>
      </c>
      <c r="C487" s="79">
        <v>104.43200000000002</v>
      </c>
    </row>
    <row r="488" spans="1:3" ht="12.75" customHeight="1">
      <c r="A488" s="78" t="s">
        <v>4292</v>
      </c>
      <c r="B488" s="77" t="s">
        <v>4291</v>
      </c>
      <c r="C488" s="79">
        <v>104.43200000000002</v>
      </c>
    </row>
    <row r="489" spans="1:3" ht="12.75" customHeight="1">
      <c r="A489" s="82" t="s">
        <v>4290</v>
      </c>
      <c r="B489" s="760" t="s">
        <v>4289</v>
      </c>
      <c r="C489" s="80">
        <v>106.67900000000002</v>
      </c>
    </row>
    <row r="490" spans="1:3" ht="12.75" customHeight="1">
      <c r="A490" s="78" t="s">
        <v>4288</v>
      </c>
      <c r="B490" s="77" t="s">
        <v>4287</v>
      </c>
      <c r="C490" s="79">
        <v>106.67900000000002</v>
      </c>
    </row>
    <row r="491" spans="1:3" ht="12.75" customHeight="1">
      <c r="A491" s="78" t="s">
        <v>4286</v>
      </c>
      <c r="B491" s="77" t="s">
        <v>4285</v>
      </c>
      <c r="C491" s="79">
        <v>136.16592378044004</v>
      </c>
    </row>
    <row r="492" spans="1:3">
      <c r="A492" s="82" t="s">
        <v>4284</v>
      </c>
      <c r="B492" s="81" t="s">
        <v>4283</v>
      </c>
      <c r="C492" s="792">
        <v>123.53150000000001</v>
      </c>
    </row>
    <row r="493" spans="1:3" ht="12.75" customHeight="1">
      <c r="A493" s="78" t="s">
        <v>4282</v>
      </c>
      <c r="B493" s="805" t="s">
        <v>4281</v>
      </c>
      <c r="C493" s="79">
        <v>50.019769494971349</v>
      </c>
    </row>
    <row r="494" spans="1:3" ht="12.75" customHeight="1">
      <c r="A494" s="787" t="s">
        <v>4280</v>
      </c>
      <c r="B494" s="804" t="s">
        <v>4279</v>
      </c>
      <c r="C494" s="801">
        <v>98.423930006777013</v>
      </c>
    </row>
    <row r="495" spans="1:3" ht="12.75" customHeight="1">
      <c r="A495" s="803" t="s">
        <v>4278</v>
      </c>
      <c r="B495" s="802" t="s">
        <v>4277</v>
      </c>
      <c r="C495" s="800">
        <v>67.356500000000011</v>
      </c>
    </row>
    <row r="496" spans="1:3" ht="12.75" customHeight="1">
      <c r="A496" s="1068" t="s">
        <v>4276</v>
      </c>
      <c r="B496" s="1068"/>
      <c r="C496" s="1068"/>
    </row>
    <row r="497" spans="1:3" ht="12.75" customHeight="1">
      <c r="A497" s="796" t="s">
        <v>4275</v>
      </c>
      <c r="B497" s="762" t="s">
        <v>4274</v>
      </c>
      <c r="C497" s="801">
        <v>161.85007136707407</v>
      </c>
    </row>
    <row r="498" spans="1:3" ht="12.75" customHeight="1">
      <c r="A498" s="796" t="s">
        <v>4273</v>
      </c>
      <c r="B498" s="762" t="s">
        <v>4272</v>
      </c>
      <c r="C498" s="801">
        <v>161.84892657353276</v>
      </c>
    </row>
    <row r="499" spans="1:3" ht="12.75" customHeight="1">
      <c r="A499" s="796" t="s">
        <v>4271</v>
      </c>
      <c r="B499" s="762" t="s">
        <v>4270</v>
      </c>
      <c r="C499" s="801">
        <v>140.18370880507524</v>
      </c>
    </row>
    <row r="500" spans="1:3" ht="12.75" customHeight="1">
      <c r="A500" s="796" t="s">
        <v>4269</v>
      </c>
      <c r="B500" s="762" t="s">
        <v>4268</v>
      </c>
      <c r="C500" s="801">
        <v>140.18370880507524</v>
      </c>
    </row>
    <row r="501" spans="1:3" ht="12.75" customHeight="1">
      <c r="A501" s="796" t="s">
        <v>4267</v>
      </c>
      <c r="B501" s="762" t="s">
        <v>4266</v>
      </c>
      <c r="C501" s="801">
        <v>126.79878272059409</v>
      </c>
    </row>
    <row r="502" spans="1:3" ht="12.75" customHeight="1">
      <c r="A502" s="759" t="s">
        <v>4265</v>
      </c>
      <c r="B502" s="785" t="s">
        <v>4264</v>
      </c>
      <c r="C502" s="800">
        <v>126.80393429152981</v>
      </c>
    </row>
    <row r="503" spans="1:3" ht="12.75" customHeight="1">
      <c r="A503" s="78" t="s">
        <v>4263</v>
      </c>
      <c r="B503" s="77" t="s">
        <v>4262</v>
      </c>
      <c r="C503" s="79">
        <v>72.974000000000004</v>
      </c>
    </row>
    <row r="504" spans="1:3" ht="12.75" customHeight="1">
      <c r="A504" s="78" t="s">
        <v>4261</v>
      </c>
      <c r="B504" s="77" t="s">
        <v>4260</v>
      </c>
      <c r="C504" s="79">
        <v>98.81450000000001</v>
      </c>
    </row>
    <row r="505" spans="1:3">
      <c r="A505" s="759" t="s">
        <v>4259</v>
      </c>
      <c r="B505" s="760" t="s">
        <v>4258</v>
      </c>
      <c r="C505" s="80">
        <v>223.52300000000002</v>
      </c>
    </row>
    <row r="506" spans="1:3" ht="12.75" customHeight="1">
      <c r="A506" s="82" t="s">
        <v>4257</v>
      </c>
      <c r="B506" s="761" t="s">
        <v>4256</v>
      </c>
      <c r="C506" s="79">
        <v>207.79400000000001</v>
      </c>
    </row>
    <row r="507" spans="1:3" ht="12.75" customHeight="1">
      <c r="A507" s="82" t="s">
        <v>4255</v>
      </c>
      <c r="B507" s="761" t="s">
        <v>4254</v>
      </c>
      <c r="C507" s="79">
        <v>347.108</v>
      </c>
    </row>
    <row r="508" spans="1:3" ht="12.75" customHeight="1">
      <c r="A508" s="82" t="s">
        <v>4253</v>
      </c>
      <c r="B508" s="761" t="s">
        <v>4252</v>
      </c>
      <c r="C508" s="79">
        <v>369.57799999999997</v>
      </c>
    </row>
    <row r="509" spans="1:3" ht="12.75" customHeight="1">
      <c r="A509" s="78" t="s">
        <v>4251</v>
      </c>
      <c r="B509" s="77" t="s">
        <v>4250</v>
      </c>
      <c r="C509" s="79">
        <v>178.58300000000003</v>
      </c>
    </row>
    <row r="510" spans="1:3" ht="12.75" customHeight="1">
      <c r="A510" s="82" t="s">
        <v>4249</v>
      </c>
      <c r="B510" s="761" t="s">
        <v>4248</v>
      </c>
      <c r="C510" s="79">
        <v>174.089</v>
      </c>
    </row>
    <row r="511" spans="1:3" ht="12.75" customHeight="1">
      <c r="A511" s="78" t="s">
        <v>4247</v>
      </c>
      <c r="B511" s="761" t="s">
        <v>4246</v>
      </c>
      <c r="C511" s="79">
        <v>313.40300000000002</v>
      </c>
    </row>
    <row r="512" spans="1:3" ht="12.75" customHeight="1">
      <c r="A512" s="78" t="s">
        <v>4245</v>
      </c>
      <c r="B512" s="761" t="s">
        <v>4244</v>
      </c>
      <c r="C512" s="79">
        <v>335.87299999999999</v>
      </c>
    </row>
    <row r="513" spans="1:3" ht="12.75" customHeight="1">
      <c r="A513" s="759" t="s">
        <v>4243</v>
      </c>
      <c r="B513" s="791" t="s">
        <v>4242</v>
      </c>
      <c r="C513" s="80">
        <v>212.28800000000001</v>
      </c>
    </row>
    <row r="514" spans="1:3" ht="12.75" customHeight="1">
      <c r="A514" s="759" t="s">
        <v>4241</v>
      </c>
      <c r="B514" s="791" t="s">
        <v>4240</v>
      </c>
      <c r="C514" s="80">
        <v>203.94870905358701</v>
      </c>
    </row>
    <row r="515" spans="1:3" ht="12.75" customHeight="1">
      <c r="A515" s="82" t="s">
        <v>4239</v>
      </c>
      <c r="B515" s="791" t="s">
        <v>4238</v>
      </c>
      <c r="C515" s="80">
        <v>219.41112720182002</v>
      </c>
    </row>
    <row r="516" spans="1:3" ht="12.75" customHeight="1">
      <c r="A516" s="82" t="s">
        <v>4237</v>
      </c>
      <c r="B516" s="791" t="s">
        <v>4236</v>
      </c>
      <c r="C516" s="80">
        <v>313.40300000000002</v>
      </c>
    </row>
    <row r="517" spans="1:3" ht="12.75" customHeight="1">
      <c r="A517" s="82" t="s">
        <v>4235</v>
      </c>
      <c r="B517" s="785" t="s">
        <v>4234</v>
      </c>
      <c r="C517" s="80">
        <v>189.49855257895794</v>
      </c>
    </row>
    <row r="518" spans="1:3" ht="12.75" customHeight="1">
      <c r="A518" s="82" t="s">
        <v>4233</v>
      </c>
      <c r="B518" s="791" t="s">
        <v>4232</v>
      </c>
      <c r="C518" s="80">
        <v>241.499</v>
      </c>
    </row>
    <row r="519" spans="1:3" ht="12.75" customHeight="1">
      <c r="A519" s="82" t="s">
        <v>4231</v>
      </c>
      <c r="B519" s="791" t="s">
        <v>4230</v>
      </c>
      <c r="C519" s="80">
        <v>235.88149999999999</v>
      </c>
    </row>
    <row r="520" spans="1:3" ht="12.75" customHeight="1">
      <c r="A520" s="82" t="s">
        <v>4229</v>
      </c>
      <c r="B520" s="785" t="s">
        <v>4228</v>
      </c>
      <c r="C520" s="80">
        <v>196.559</v>
      </c>
    </row>
    <row r="521" spans="1:3" ht="12.75" customHeight="1">
      <c r="A521" s="82" t="s">
        <v>4227</v>
      </c>
      <c r="B521" s="791" t="s">
        <v>4226</v>
      </c>
      <c r="C521" s="80">
        <v>201.05300000000003</v>
      </c>
    </row>
    <row r="522" spans="1:3" ht="12.75" customHeight="1">
      <c r="A522" s="82" t="s">
        <v>4225</v>
      </c>
      <c r="B522" s="81" t="s">
        <v>4224</v>
      </c>
      <c r="C522" s="80">
        <v>301.04450000000003</v>
      </c>
    </row>
    <row r="523" spans="1:3" ht="12.75" customHeight="1">
      <c r="A523" s="82" t="s">
        <v>4223</v>
      </c>
      <c r="B523" s="791" t="s">
        <v>4222</v>
      </c>
      <c r="C523" s="80">
        <v>223.52300000000002</v>
      </c>
    </row>
    <row r="524" spans="1:3" ht="12.75" customHeight="1">
      <c r="A524" s="799" t="s">
        <v>4221</v>
      </c>
      <c r="B524" s="798" t="s">
        <v>4220</v>
      </c>
      <c r="C524" s="80">
        <v>223.951774661168</v>
      </c>
    </row>
    <row r="525" spans="1:3" ht="12.75" customHeight="1">
      <c r="A525" s="82" t="s">
        <v>4219</v>
      </c>
      <c r="B525" s="77" t="s">
        <v>4218</v>
      </c>
      <c r="C525" s="80">
        <v>263.96899999999999</v>
      </c>
    </row>
    <row r="526" spans="1:3" ht="12.75" customHeight="1">
      <c r="A526" s="78" t="s">
        <v>4217</v>
      </c>
      <c r="B526" s="761" t="s">
        <v>4216</v>
      </c>
      <c r="C526" s="79">
        <v>150.16630848491408</v>
      </c>
    </row>
    <row r="527" spans="1:3" ht="12.75" customHeight="1">
      <c r="A527" s="78" t="s">
        <v>4215</v>
      </c>
      <c r="B527" s="762" t="s">
        <v>4214</v>
      </c>
      <c r="C527" s="79">
        <v>235.88149999999999</v>
      </c>
    </row>
    <row r="528" spans="1:3" ht="12.75" customHeight="1">
      <c r="A528" s="78" t="s">
        <v>4213</v>
      </c>
      <c r="B528" s="762" t="s">
        <v>4212</v>
      </c>
      <c r="C528" s="79">
        <v>202.24869064480717</v>
      </c>
    </row>
    <row r="529" spans="1:3" ht="12.75" customHeight="1">
      <c r="A529" s="78" t="s">
        <v>4211</v>
      </c>
      <c r="B529" s="77" t="s">
        <v>4210</v>
      </c>
      <c r="C529" s="79">
        <v>411.14750000000004</v>
      </c>
    </row>
    <row r="530" spans="1:3" ht="12.75" customHeight="1">
      <c r="A530" s="78" t="s">
        <v>4209</v>
      </c>
      <c r="B530" s="77" t="s">
        <v>4208</v>
      </c>
      <c r="C530" s="79">
        <v>205.71552500000004</v>
      </c>
    </row>
    <row r="531" spans="1:3" ht="12.75" customHeight="1">
      <c r="A531" s="78" t="s">
        <v>4207</v>
      </c>
      <c r="B531" s="77" t="s">
        <v>4206</v>
      </c>
      <c r="C531" s="79">
        <v>152.09814758580029</v>
      </c>
    </row>
    <row r="532" spans="1:3" ht="12.75" customHeight="1">
      <c r="A532" s="78" t="s">
        <v>4205</v>
      </c>
      <c r="B532" s="77" t="s">
        <v>4204</v>
      </c>
      <c r="C532" s="79">
        <v>168.47149999999999</v>
      </c>
    </row>
    <row r="533" spans="1:3" ht="12.75" customHeight="1">
      <c r="A533" s="78" t="s">
        <v>4203</v>
      </c>
      <c r="B533" s="77" t="s">
        <v>4202</v>
      </c>
      <c r="C533" s="79">
        <v>223.52300000000002</v>
      </c>
    </row>
    <row r="534" spans="1:3" ht="12.75" customHeight="1">
      <c r="A534" s="82" t="s">
        <v>4201</v>
      </c>
      <c r="B534" s="81" t="s">
        <v>4200</v>
      </c>
      <c r="C534" s="797">
        <v>252.73400000000001</v>
      </c>
    </row>
    <row r="535" spans="1:3" ht="12.75" customHeight="1">
      <c r="A535" s="78" t="s">
        <v>4199</v>
      </c>
      <c r="B535" s="77" t="s">
        <v>4198</v>
      </c>
      <c r="C535" s="79">
        <v>84.403414548185026</v>
      </c>
    </row>
    <row r="536" spans="1:3" ht="12.75" customHeight="1">
      <c r="A536" s="78" t="s">
        <v>4197</v>
      </c>
      <c r="B536" s="77" t="s">
        <v>4196</v>
      </c>
      <c r="C536" s="79">
        <v>178.58300000000003</v>
      </c>
    </row>
    <row r="537" spans="1:3" ht="12.75" customHeight="1">
      <c r="A537" s="78" t="s">
        <v>4195</v>
      </c>
      <c r="B537" s="77" t="s">
        <v>4194</v>
      </c>
      <c r="C537" s="79">
        <v>69.715255496326748</v>
      </c>
    </row>
    <row r="538" spans="1:3" ht="12.75" customHeight="1">
      <c r="A538" s="78" t="s">
        <v>4193</v>
      </c>
      <c r="B538" s="77" t="s">
        <v>4192</v>
      </c>
      <c r="C538" s="79">
        <v>77.076964842791384</v>
      </c>
    </row>
    <row r="539" spans="1:3" ht="12.75" customHeight="1">
      <c r="A539" s="78" t="s">
        <v>4191</v>
      </c>
      <c r="B539" s="77" t="s">
        <v>4190</v>
      </c>
      <c r="C539" s="79">
        <v>150.50013028154723</v>
      </c>
    </row>
    <row r="540" spans="1:3" ht="12.75" customHeight="1">
      <c r="A540" s="78" t="s">
        <v>4189</v>
      </c>
      <c r="B540" s="77" t="s">
        <v>4188</v>
      </c>
      <c r="C540" s="79">
        <v>161.51624957044089</v>
      </c>
    </row>
    <row r="541" spans="1:3" ht="12.75" customHeight="1">
      <c r="A541" s="78" t="s">
        <v>4187</v>
      </c>
      <c r="B541" s="77" t="s">
        <v>4186</v>
      </c>
      <c r="C541" s="79">
        <v>74.747309986315244</v>
      </c>
    </row>
    <row r="542" spans="1:3" ht="12.75" customHeight="1">
      <c r="A542" s="78" t="s">
        <v>4185</v>
      </c>
      <c r="B542" s="77" t="s">
        <v>4184</v>
      </c>
      <c r="C542" s="79">
        <v>236.79306471121447</v>
      </c>
    </row>
    <row r="543" spans="1:3" ht="12.75" customHeight="1">
      <c r="A543" s="78" t="s">
        <v>4183</v>
      </c>
      <c r="B543" s="77" t="s">
        <v>4182</v>
      </c>
      <c r="C543" s="79">
        <v>69.715255496326748</v>
      </c>
    </row>
    <row r="544" spans="1:3" ht="12.75" customHeight="1">
      <c r="A544" s="78" t="s">
        <v>4181</v>
      </c>
      <c r="B544" s="77" t="s">
        <v>4180</v>
      </c>
      <c r="C544" s="79">
        <v>77.076964842791384</v>
      </c>
    </row>
    <row r="545" spans="1:3" ht="12.75" customHeight="1">
      <c r="A545" s="78" t="s">
        <v>4179</v>
      </c>
      <c r="B545" s="77" t="s">
        <v>4178</v>
      </c>
      <c r="C545" s="79">
        <v>150.50013028154723</v>
      </c>
    </row>
    <row r="546" spans="1:3" ht="12.75" customHeight="1">
      <c r="A546" s="78" t="s">
        <v>4177</v>
      </c>
      <c r="B546" s="77" t="s">
        <v>4176</v>
      </c>
      <c r="C546" s="79">
        <v>255.15326352603734</v>
      </c>
    </row>
    <row r="547" spans="1:3" ht="12.75" customHeight="1">
      <c r="A547" s="78" t="s">
        <v>4175</v>
      </c>
      <c r="B547" s="77" t="s">
        <v>4174</v>
      </c>
      <c r="C547" s="79">
        <v>161.51624957044089</v>
      </c>
    </row>
    <row r="548" spans="1:3" ht="12.75" customHeight="1">
      <c r="A548" s="78" t="s">
        <v>4173</v>
      </c>
      <c r="B548" s="77" t="s">
        <v>4172</v>
      </c>
      <c r="C548" s="79">
        <v>73.387295259291335</v>
      </c>
    </row>
    <row r="549" spans="1:3">
      <c r="A549" s="78" t="s">
        <v>4171</v>
      </c>
      <c r="B549" s="77" t="s">
        <v>4170</v>
      </c>
      <c r="C549" s="79">
        <v>166.78625000000002</v>
      </c>
    </row>
    <row r="550" spans="1:3">
      <c r="A550" s="78" t="s">
        <v>4169</v>
      </c>
      <c r="B550" s="77" t="s">
        <v>4168</v>
      </c>
      <c r="C550" s="79">
        <v>80.276750000000007</v>
      </c>
    </row>
    <row r="551" spans="1:3">
      <c r="A551" s="78" t="s">
        <v>4167</v>
      </c>
      <c r="B551" s="77" t="s">
        <v>4166</v>
      </c>
      <c r="C551" s="79">
        <v>122.40800000000002</v>
      </c>
    </row>
    <row r="552" spans="1:3">
      <c r="A552" s="78" t="s">
        <v>4165</v>
      </c>
      <c r="B552" s="77" t="s">
        <v>4164</v>
      </c>
      <c r="C552" s="79">
        <v>122.40800000000002</v>
      </c>
    </row>
    <row r="553" spans="1:3">
      <c r="A553" s="796" t="s">
        <v>4163</v>
      </c>
      <c r="B553" s="762" t="s">
        <v>4162</v>
      </c>
      <c r="C553" s="79">
        <v>122.40800000000002</v>
      </c>
    </row>
    <row r="554" spans="1:3">
      <c r="A554" s="796" t="s">
        <v>4161</v>
      </c>
      <c r="B554" s="762" t="s">
        <v>4160</v>
      </c>
      <c r="C554" s="79">
        <v>122.40800000000002</v>
      </c>
    </row>
    <row r="555" spans="1:3">
      <c r="A555" s="796" t="s">
        <v>4159</v>
      </c>
      <c r="B555" s="762" t="s">
        <v>4158</v>
      </c>
      <c r="C555" s="79">
        <v>119.03750000000002</v>
      </c>
    </row>
    <row r="556" spans="1:3">
      <c r="A556" s="796" t="s">
        <v>4157</v>
      </c>
      <c r="B556" s="762" t="s">
        <v>4156</v>
      </c>
      <c r="C556" s="79">
        <v>119.03750000000002</v>
      </c>
    </row>
    <row r="557" spans="1:3">
      <c r="A557" s="796" t="s">
        <v>4155</v>
      </c>
      <c r="B557" s="762" t="s">
        <v>4154</v>
      </c>
      <c r="C557" s="79">
        <v>84.209000000000003</v>
      </c>
    </row>
    <row r="558" spans="1:3">
      <c r="A558" s="796" t="s">
        <v>4153</v>
      </c>
      <c r="B558" s="762" t="s">
        <v>4152</v>
      </c>
      <c r="C558" s="79">
        <v>84.209000000000003</v>
      </c>
    </row>
    <row r="559" spans="1:3">
      <c r="A559" s="78" t="s">
        <v>4151</v>
      </c>
      <c r="B559" s="77" t="s">
        <v>4150</v>
      </c>
      <c r="C559" s="79">
        <v>69.603500000000011</v>
      </c>
    </row>
    <row r="560" spans="1:3">
      <c r="A560" s="82" t="s">
        <v>4149</v>
      </c>
      <c r="B560" s="760" t="s">
        <v>4148</v>
      </c>
      <c r="C560" s="80">
        <v>149.37200000000001</v>
      </c>
    </row>
    <row r="561" spans="1:3" ht="15.5">
      <c r="A561" s="1069" t="s">
        <v>4147</v>
      </c>
      <c r="B561" s="1069"/>
      <c r="C561" s="1069"/>
    </row>
    <row r="562" spans="1:3">
      <c r="A562" s="78" t="s">
        <v>4146</v>
      </c>
      <c r="B562" s="77" t="s">
        <v>4145</v>
      </c>
      <c r="C562" s="79" t="s">
        <v>4128</v>
      </c>
    </row>
    <row r="563" spans="1:3">
      <c r="A563" s="78" t="s">
        <v>4144</v>
      </c>
      <c r="B563" s="77" t="s">
        <v>4143</v>
      </c>
      <c r="C563" s="79" t="s">
        <v>4128</v>
      </c>
    </row>
    <row r="564" spans="1:3">
      <c r="A564" s="78" t="s">
        <v>4142</v>
      </c>
      <c r="B564" s="77" t="s">
        <v>4141</v>
      </c>
      <c r="C564" s="79" t="s">
        <v>4128</v>
      </c>
    </row>
    <row r="565" spans="1:3">
      <c r="A565" s="78" t="s">
        <v>4140</v>
      </c>
      <c r="B565" s="77" t="s">
        <v>4139</v>
      </c>
      <c r="C565" s="79" t="s">
        <v>4128</v>
      </c>
    </row>
    <row r="566" spans="1:3">
      <c r="A566" s="78" t="s">
        <v>4138</v>
      </c>
      <c r="B566" s="77" t="s">
        <v>4137</v>
      </c>
      <c r="C566" s="79" t="s">
        <v>4128</v>
      </c>
    </row>
    <row r="567" spans="1:3">
      <c r="A567" s="78" t="s">
        <v>4136</v>
      </c>
      <c r="B567" s="77" t="s">
        <v>4135</v>
      </c>
      <c r="C567" s="79" t="s">
        <v>4128</v>
      </c>
    </row>
    <row r="568" spans="1:3">
      <c r="A568" s="78" t="s">
        <v>4134</v>
      </c>
      <c r="B568" s="77" t="s">
        <v>4133</v>
      </c>
      <c r="C568" s="79" t="s">
        <v>4128</v>
      </c>
    </row>
    <row r="569" spans="1:3">
      <c r="A569" s="78" t="s">
        <v>4132</v>
      </c>
      <c r="B569" s="77" t="s">
        <v>4131</v>
      </c>
      <c r="C569" s="79" t="s">
        <v>4128</v>
      </c>
    </row>
    <row r="570" spans="1:3">
      <c r="A570" s="82" t="s">
        <v>4130</v>
      </c>
      <c r="B570" s="760" t="s">
        <v>4129</v>
      </c>
      <c r="C570" s="79" t="s">
        <v>4128</v>
      </c>
    </row>
    <row r="571" spans="1:3" ht="15.5">
      <c r="A571" s="1079" t="s">
        <v>4127</v>
      </c>
      <c r="B571" s="1079"/>
      <c r="C571" s="1079"/>
    </row>
    <row r="572" spans="1:3" ht="12.75" customHeight="1">
      <c r="A572" s="78" t="s">
        <v>4126</v>
      </c>
      <c r="B572" s="77" t="s">
        <v>4125</v>
      </c>
      <c r="C572" s="80">
        <v>268.46300000000002</v>
      </c>
    </row>
    <row r="573" spans="1:3" ht="12.75" customHeight="1">
      <c r="A573" s="759" t="s">
        <v>4124</v>
      </c>
      <c r="B573" s="789" t="s">
        <v>4123</v>
      </c>
      <c r="C573" s="80">
        <v>533.60900000000004</v>
      </c>
    </row>
    <row r="574" spans="1:3" ht="12.75" customHeight="1">
      <c r="A574" s="759" t="s">
        <v>4122</v>
      </c>
      <c r="B574" s="789" t="s">
        <v>4121</v>
      </c>
      <c r="C574" s="80">
        <v>594.27800000000013</v>
      </c>
    </row>
    <row r="575" spans="1:3" ht="12.75" customHeight="1">
      <c r="A575" s="759" t="s">
        <v>4120</v>
      </c>
      <c r="B575" s="789" t="s">
        <v>4119</v>
      </c>
      <c r="C575" s="80">
        <v>594.27800000000013</v>
      </c>
    </row>
    <row r="576" spans="1:3" ht="12.75" customHeight="1">
      <c r="A576" s="759" t="s">
        <v>4118</v>
      </c>
      <c r="B576" s="789" t="s">
        <v>4117</v>
      </c>
      <c r="C576" s="80">
        <v>594.27800000000013</v>
      </c>
    </row>
    <row r="577" spans="1:5" ht="12.75" customHeight="1">
      <c r="A577" s="759" t="s">
        <v>4116</v>
      </c>
      <c r="B577" s="761" t="s">
        <v>4115</v>
      </c>
      <c r="C577" s="79">
        <v>268.46300000000002</v>
      </c>
    </row>
    <row r="578" spans="1:5" ht="12.75" customHeight="1">
      <c r="A578" s="759" t="s">
        <v>4114</v>
      </c>
      <c r="B578" s="761" t="s">
        <v>4113</v>
      </c>
      <c r="C578" s="79">
        <v>297.67399999999998</v>
      </c>
    </row>
    <row r="579" spans="1:5" ht="12.75" customHeight="1">
      <c r="A579" s="78" t="s">
        <v>4112</v>
      </c>
      <c r="B579" s="77" t="s">
        <v>4111</v>
      </c>
      <c r="C579" s="79">
        <v>215.26155882837679</v>
      </c>
    </row>
    <row r="580" spans="1:5" ht="12.75" customHeight="1">
      <c r="A580" s="759" t="s">
        <v>4110</v>
      </c>
      <c r="B580" s="761" t="s">
        <v>4109</v>
      </c>
      <c r="C580" s="80">
        <v>268.46300000000002</v>
      </c>
    </row>
    <row r="581" spans="1:5" ht="12.75" customHeight="1">
      <c r="A581" s="759" t="s">
        <v>4108</v>
      </c>
      <c r="B581" s="761" t="s">
        <v>4107</v>
      </c>
      <c r="C581" s="79">
        <v>297.67399999999998</v>
      </c>
      <c r="E581" s="657" t="s">
        <v>293</v>
      </c>
    </row>
    <row r="582" spans="1:5" ht="12.75" customHeight="1">
      <c r="A582" s="1077" t="s">
        <v>4106</v>
      </c>
      <c r="B582" s="1077"/>
      <c r="C582" s="1077"/>
    </row>
    <row r="583" spans="1:5" ht="12.75" customHeight="1">
      <c r="A583" s="759" t="s">
        <v>4105</v>
      </c>
      <c r="B583" s="760" t="s">
        <v>4104</v>
      </c>
      <c r="C583" s="79">
        <v>893.12900000000013</v>
      </c>
    </row>
    <row r="584" spans="1:5" ht="12.75" customHeight="1">
      <c r="A584" s="759" t="s">
        <v>4103</v>
      </c>
      <c r="B584" s="760" t="s">
        <v>4102</v>
      </c>
      <c r="C584" s="79">
        <v>522.37400000000002</v>
      </c>
    </row>
    <row r="585" spans="1:5" ht="12.75" customHeight="1">
      <c r="A585" s="795" t="s">
        <v>4101</v>
      </c>
      <c r="B585" s="794" t="s">
        <v>4100</v>
      </c>
      <c r="C585" s="79">
        <v>336.15387500000003</v>
      </c>
    </row>
    <row r="586" spans="1:5" ht="12.75" customHeight="1">
      <c r="A586" s="795" t="s">
        <v>4099</v>
      </c>
      <c r="B586" s="794" t="s">
        <v>4098</v>
      </c>
      <c r="C586" s="79">
        <v>392.32887500000004</v>
      </c>
    </row>
    <row r="587" spans="1:5" ht="12.75" customHeight="1">
      <c r="A587" s="795" t="s">
        <v>4097</v>
      </c>
      <c r="B587" s="794" t="s">
        <v>4096</v>
      </c>
      <c r="C587" s="79">
        <v>111.17300000000002</v>
      </c>
    </row>
    <row r="588" spans="1:5" ht="12.75" customHeight="1">
      <c r="A588" s="78" t="s">
        <v>4095</v>
      </c>
      <c r="B588" s="77" t="s">
        <v>4094</v>
      </c>
      <c r="C588" s="79">
        <v>765</v>
      </c>
    </row>
    <row r="589" spans="1:5" ht="12.75" customHeight="1">
      <c r="A589" s="78" t="s">
        <v>4093</v>
      </c>
      <c r="B589" s="77" t="s">
        <v>4092</v>
      </c>
      <c r="C589" s="79">
        <v>712.9</v>
      </c>
    </row>
    <row r="590" spans="1:5" ht="12.75" customHeight="1">
      <c r="A590" s="78" t="s">
        <v>4091</v>
      </c>
      <c r="B590" s="77" t="s">
        <v>4090</v>
      </c>
      <c r="C590" s="79">
        <v>201.82368604261208</v>
      </c>
    </row>
    <row r="591" spans="1:5" ht="12.75" customHeight="1">
      <c r="A591" s="78" t="s">
        <v>4089</v>
      </c>
      <c r="B591" s="77" t="s">
        <v>4088</v>
      </c>
      <c r="C591" s="79">
        <v>358.83927518686608</v>
      </c>
    </row>
    <row r="592" spans="1:5" ht="12.75" customHeight="1">
      <c r="A592" s="78" t="s">
        <v>4087</v>
      </c>
      <c r="B592" s="77" t="s">
        <v>4086</v>
      </c>
      <c r="C592" s="79">
        <v>603.85261209328428</v>
      </c>
    </row>
    <row r="593" spans="1:3" ht="12.75" customHeight="1">
      <c r="A593" s="78" t="s">
        <v>4085</v>
      </c>
      <c r="B593" s="77" t="s">
        <v>4084</v>
      </c>
      <c r="C593" s="79">
        <v>714.34170027075197</v>
      </c>
    </row>
    <row r="594" spans="1:3" ht="12.75" customHeight="1">
      <c r="A594" s="78" t="s">
        <v>4083</v>
      </c>
      <c r="B594" s="77" t="s">
        <v>4082</v>
      </c>
      <c r="C594" s="793">
        <v>-60</v>
      </c>
    </row>
    <row r="595" spans="1:3" ht="12.75" customHeight="1">
      <c r="A595" s="78" t="s">
        <v>4081</v>
      </c>
      <c r="B595" s="77" t="s">
        <v>4080</v>
      </c>
      <c r="C595" s="79">
        <v>111.17300000000002</v>
      </c>
    </row>
    <row r="596" spans="1:3" ht="12.75" customHeight="1">
      <c r="A596" s="78" t="s">
        <v>4079</v>
      </c>
      <c r="B596" s="77" t="s">
        <v>4078</v>
      </c>
      <c r="C596" s="79">
        <v>222.39950000000002</v>
      </c>
    </row>
    <row r="597" spans="1:3" ht="12.75" customHeight="1">
      <c r="A597" s="78" t="s">
        <v>4077</v>
      </c>
      <c r="B597" s="77" t="s">
        <v>4076</v>
      </c>
      <c r="C597" s="79">
        <v>108.16526444779403</v>
      </c>
    </row>
    <row r="598" spans="1:3" ht="12.75" customHeight="1">
      <c r="A598" s="78" t="s">
        <v>4075</v>
      </c>
      <c r="B598" s="77" t="s">
        <v>4074</v>
      </c>
      <c r="C598" s="79">
        <v>620.50165277756025</v>
      </c>
    </row>
    <row r="599" spans="1:3" ht="12.75" customHeight="1">
      <c r="A599" s="78" t="s">
        <v>4073</v>
      </c>
      <c r="B599" s="77" t="s">
        <v>4072</v>
      </c>
      <c r="C599" s="79">
        <v>251.80107907850251</v>
      </c>
    </row>
    <row r="600" spans="1:3" ht="12.75" customHeight="1">
      <c r="A600" s="78" t="s">
        <v>4071</v>
      </c>
      <c r="B600" s="77" t="s">
        <v>4070</v>
      </c>
      <c r="C600" s="79">
        <v>825.71900000000005</v>
      </c>
    </row>
    <row r="601" spans="1:3" ht="12.75" customHeight="1">
      <c r="A601" s="78" t="s">
        <v>4069</v>
      </c>
      <c r="B601" s="77" t="s">
        <v>4068</v>
      </c>
      <c r="C601" s="79">
        <v>825.71900000000005</v>
      </c>
    </row>
    <row r="602" spans="1:3" ht="12.75" customHeight="1">
      <c r="A602" s="78" t="s">
        <v>4067</v>
      </c>
      <c r="B602" s="77" t="s">
        <v>4066</v>
      </c>
      <c r="C602" s="79">
        <v>825.71900000000005</v>
      </c>
    </row>
    <row r="603" spans="1:3" ht="12.75" customHeight="1">
      <c r="A603" s="78" t="s">
        <v>4065</v>
      </c>
      <c r="B603" s="77" t="s">
        <v>4064</v>
      </c>
      <c r="C603" s="79">
        <v>825.71900000000005</v>
      </c>
    </row>
    <row r="604" spans="1:3" ht="12.75" customHeight="1">
      <c r="A604" s="78" t="s">
        <v>4063</v>
      </c>
      <c r="B604" s="77" t="s">
        <v>4062</v>
      </c>
      <c r="C604" s="79">
        <v>825.71900000000005</v>
      </c>
    </row>
    <row r="605" spans="1:3" ht="12.75" customHeight="1">
      <c r="A605" s="78" t="s">
        <v>4061</v>
      </c>
      <c r="B605" s="77" t="s">
        <v>4060</v>
      </c>
      <c r="C605" s="79">
        <v>825.71900000000005</v>
      </c>
    </row>
    <row r="606" spans="1:3" ht="12.75" customHeight="1">
      <c r="A606" s="78" t="s">
        <v>4059</v>
      </c>
      <c r="B606" s="77" t="s">
        <v>4058</v>
      </c>
      <c r="C606" s="79">
        <v>825.71900000000005</v>
      </c>
    </row>
    <row r="607" spans="1:3" ht="12.75" customHeight="1">
      <c r="A607" s="78" t="s">
        <v>4057</v>
      </c>
      <c r="B607" s="77" t="s">
        <v>4056</v>
      </c>
      <c r="C607" s="79">
        <v>825.71900000000005</v>
      </c>
    </row>
    <row r="608" spans="1:3" ht="12.75" customHeight="1">
      <c r="A608" s="78" t="s">
        <v>4055</v>
      </c>
      <c r="B608" s="77" t="s">
        <v>4054</v>
      </c>
      <c r="C608" s="79">
        <v>825.71900000000005</v>
      </c>
    </row>
    <row r="609" spans="1:3" ht="12.75" customHeight="1">
      <c r="A609" s="78" t="s">
        <v>4053</v>
      </c>
      <c r="B609" s="77" t="s">
        <v>4052</v>
      </c>
      <c r="C609" s="79">
        <v>938.06900000000007</v>
      </c>
    </row>
    <row r="610" spans="1:3" ht="12.75" customHeight="1">
      <c r="A610" s="78" t="s">
        <v>4051</v>
      </c>
      <c r="B610" s="77" t="s">
        <v>4050</v>
      </c>
      <c r="C610" s="79">
        <v>825.71900000000005</v>
      </c>
    </row>
    <row r="611" spans="1:3">
      <c r="A611" s="78" t="s">
        <v>4049</v>
      </c>
      <c r="B611" s="81" t="s">
        <v>4048</v>
      </c>
      <c r="C611" s="79">
        <v>1376.2340000000002</v>
      </c>
    </row>
    <row r="612" spans="1:3" ht="12.75" customHeight="1">
      <c r="A612" s="78" t="s">
        <v>4047</v>
      </c>
      <c r="B612" s="77" t="s">
        <v>4046</v>
      </c>
      <c r="C612" s="79">
        <v>1121.1995000000002</v>
      </c>
    </row>
    <row r="613" spans="1:3" ht="12.75" customHeight="1">
      <c r="A613" s="78" t="s">
        <v>4045</v>
      </c>
      <c r="B613" s="77" t="s">
        <v>4044</v>
      </c>
      <c r="C613" s="79">
        <v>1039.1840000000002</v>
      </c>
    </row>
    <row r="614" spans="1:3">
      <c r="A614" s="78" t="s">
        <v>4043</v>
      </c>
      <c r="B614" s="77" t="s">
        <v>4042</v>
      </c>
      <c r="C614" s="79">
        <v>1121.1995000000002</v>
      </c>
    </row>
    <row r="615" spans="1:3" ht="12.75" customHeight="1">
      <c r="A615" s="78" t="s">
        <v>4041</v>
      </c>
      <c r="B615" s="77" t="s">
        <v>4040</v>
      </c>
      <c r="C615" s="79">
        <v>1121.1995000000002</v>
      </c>
    </row>
    <row r="616" spans="1:3" ht="12.75" customHeight="1">
      <c r="A616" s="78" t="s">
        <v>4039</v>
      </c>
      <c r="B616" s="77" t="s">
        <v>4038</v>
      </c>
      <c r="C616" s="79">
        <v>1039.1840000000002</v>
      </c>
    </row>
    <row r="617" spans="1:3" ht="12.75" customHeight="1">
      <c r="A617" s="78" t="s">
        <v>4037</v>
      </c>
      <c r="B617" s="77" t="s">
        <v>4036</v>
      </c>
      <c r="C617" s="79">
        <v>1121.1995000000002</v>
      </c>
    </row>
    <row r="618" spans="1:3" ht="12.75" customHeight="1">
      <c r="A618" s="78" t="s">
        <v>4035</v>
      </c>
      <c r="B618" s="77" t="s">
        <v>4034</v>
      </c>
      <c r="C618" s="79">
        <v>1071.8144911612403</v>
      </c>
    </row>
    <row r="619" spans="1:3" ht="12.75" customHeight="1">
      <c r="A619" s="78" t="s">
        <v>4033</v>
      </c>
      <c r="B619" s="77" t="s">
        <v>4032</v>
      </c>
      <c r="C619" s="79">
        <v>976.18935500000009</v>
      </c>
    </row>
    <row r="620" spans="1:3" ht="12.75" customHeight="1">
      <c r="A620" s="82" t="s">
        <v>4031</v>
      </c>
      <c r="B620" s="789" t="s">
        <v>4030</v>
      </c>
      <c r="C620" s="80">
        <v>998.73800000000017</v>
      </c>
    </row>
    <row r="621" spans="1:3" ht="25.5">
      <c r="A621" s="82" t="s">
        <v>4029</v>
      </c>
      <c r="B621" s="789" t="s">
        <v>4028</v>
      </c>
      <c r="C621" s="80">
        <v>1009.9730000000002</v>
      </c>
    </row>
    <row r="622" spans="1:3" ht="12.75" customHeight="1">
      <c r="A622" s="82" t="s">
        <v>4027</v>
      </c>
      <c r="B622" s="789" t="s">
        <v>4026</v>
      </c>
      <c r="C622" s="80">
        <v>111.17300000000002</v>
      </c>
    </row>
    <row r="623" spans="1:3" ht="12.75" customHeight="1">
      <c r="A623" s="82" t="s">
        <v>4025</v>
      </c>
      <c r="B623" s="789" t="s">
        <v>4024</v>
      </c>
      <c r="C623" s="80">
        <v>42.639500000000005</v>
      </c>
    </row>
    <row r="624" spans="1:3" ht="12.75" customHeight="1">
      <c r="A624" s="78" t="s">
        <v>4023</v>
      </c>
      <c r="B624" s="77" t="s">
        <v>4022</v>
      </c>
      <c r="C624" s="79">
        <v>859.42400000000009</v>
      </c>
    </row>
    <row r="625" spans="1:3" ht="12.75" customHeight="1">
      <c r="A625" s="78" t="s">
        <v>4021</v>
      </c>
      <c r="B625" s="77" t="s">
        <v>4020</v>
      </c>
      <c r="C625" s="79">
        <v>942.61805150000021</v>
      </c>
    </row>
    <row r="626" spans="1:3" ht="12.75" customHeight="1">
      <c r="A626" s="78" t="s">
        <v>4019</v>
      </c>
      <c r="B626" s="77" t="s">
        <v>4018</v>
      </c>
      <c r="C626" s="79">
        <v>859.42400000000009</v>
      </c>
    </row>
    <row r="627" spans="1:3" ht="12.75" customHeight="1">
      <c r="A627" s="78" t="s">
        <v>4017</v>
      </c>
      <c r="B627" s="77" t="s">
        <v>4016</v>
      </c>
      <c r="C627" s="79">
        <v>54.998000000000012</v>
      </c>
    </row>
    <row r="628" spans="1:3" ht="12.75" customHeight="1">
      <c r="A628" s="82" t="s">
        <v>4015</v>
      </c>
      <c r="B628" s="761" t="s">
        <v>4014</v>
      </c>
      <c r="C628" s="80">
        <v>1391</v>
      </c>
    </row>
    <row r="629" spans="1:3" ht="12.75" customHeight="1">
      <c r="A629" s="78" t="s">
        <v>4013</v>
      </c>
      <c r="B629" s="760" t="s">
        <v>4012</v>
      </c>
      <c r="C629" s="79">
        <v>201.05300000000003</v>
      </c>
    </row>
    <row r="630" spans="1:3" ht="25">
      <c r="A630" s="82" t="s">
        <v>4011</v>
      </c>
      <c r="B630" s="761" t="s">
        <v>4010</v>
      </c>
      <c r="C630" s="80">
        <v>1709.48</v>
      </c>
    </row>
    <row r="631" spans="1:3" ht="25">
      <c r="A631" s="82" t="s">
        <v>4009</v>
      </c>
      <c r="B631" s="761" t="s">
        <v>4008</v>
      </c>
      <c r="C631" s="80">
        <v>1792</v>
      </c>
    </row>
    <row r="632" spans="1:3">
      <c r="A632" s="82" t="s">
        <v>4007</v>
      </c>
      <c r="B632" s="81" t="s">
        <v>4006</v>
      </c>
      <c r="C632" s="792">
        <v>458.33450000000005</v>
      </c>
    </row>
    <row r="633" spans="1:3" ht="12.75" customHeight="1">
      <c r="A633" s="78" t="s">
        <v>4005</v>
      </c>
      <c r="B633" s="77" t="s">
        <v>4004</v>
      </c>
      <c r="C633" s="79">
        <v>1125</v>
      </c>
    </row>
    <row r="634" spans="1:3" ht="12.75" customHeight="1">
      <c r="A634" s="78" t="s">
        <v>4003</v>
      </c>
      <c r="B634" s="77" t="s">
        <v>4002</v>
      </c>
      <c r="C634" s="79">
        <v>1468.9</v>
      </c>
    </row>
    <row r="635" spans="1:3" ht="12.75" customHeight="1">
      <c r="A635" s="78" t="s">
        <v>4001</v>
      </c>
      <c r="B635" s="77" t="s">
        <v>4000</v>
      </c>
      <c r="C635" s="79">
        <v>1468.9</v>
      </c>
    </row>
    <row r="636" spans="1:3" ht="12.75" customHeight="1">
      <c r="A636" s="78" t="s">
        <v>3999</v>
      </c>
      <c r="B636" s="77" t="s">
        <v>3998</v>
      </c>
      <c r="C636" s="79">
        <v>403.28300000000002</v>
      </c>
    </row>
    <row r="637" spans="1:3" ht="12.75" customHeight="1">
      <c r="A637" s="78" t="s">
        <v>3997</v>
      </c>
      <c r="B637" s="77" t="s">
        <v>3996</v>
      </c>
      <c r="C637" s="79">
        <v>416.25</v>
      </c>
    </row>
    <row r="638" spans="1:3" ht="12.75" customHeight="1">
      <c r="A638" s="78" t="s">
        <v>3995</v>
      </c>
      <c r="B638" s="77" t="s">
        <v>3994</v>
      </c>
      <c r="C638" s="79">
        <v>2860.4993612382182</v>
      </c>
    </row>
    <row r="639" spans="1:3" ht="12.75" customHeight="1">
      <c r="A639" s="78" t="s">
        <v>3993</v>
      </c>
      <c r="B639" s="77" t="s">
        <v>3992</v>
      </c>
      <c r="C639" s="79">
        <v>2860.5009642911605</v>
      </c>
    </row>
    <row r="640" spans="1:3" ht="14.25" customHeight="1">
      <c r="A640" s="784" t="s">
        <v>3991</v>
      </c>
      <c r="B640" s="81" t="s">
        <v>3990</v>
      </c>
      <c r="C640" s="80">
        <v>2506</v>
      </c>
    </row>
    <row r="641" spans="1:3" ht="14.25" customHeight="1">
      <c r="A641" s="82" t="s">
        <v>3989</v>
      </c>
      <c r="B641" s="760" t="s">
        <v>3988</v>
      </c>
      <c r="C641" s="80">
        <v>2391.85</v>
      </c>
    </row>
    <row r="642" spans="1:3" ht="25">
      <c r="A642" s="82" t="s">
        <v>3987</v>
      </c>
      <c r="B642" s="791" t="s">
        <v>3986</v>
      </c>
      <c r="C642" s="80">
        <v>392.048</v>
      </c>
    </row>
    <row r="643" spans="1:3" ht="25">
      <c r="A643" s="82" t="s">
        <v>3985</v>
      </c>
      <c r="B643" s="791" t="s">
        <v>3984</v>
      </c>
      <c r="C643" s="80">
        <v>403.28300000000002</v>
      </c>
    </row>
    <row r="644" spans="1:3" ht="12.75" customHeight="1">
      <c r="A644" s="1077" t="s">
        <v>3983</v>
      </c>
      <c r="B644" s="1077"/>
      <c r="C644" s="1077"/>
    </row>
    <row r="645" spans="1:3" ht="12.75" customHeight="1">
      <c r="A645" s="763" t="s">
        <v>3982</v>
      </c>
      <c r="B645" s="762" t="s">
        <v>3981</v>
      </c>
      <c r="C645" s="79">
        <v>270.50670000000002</v>
      </c>
    </row>
    <row r="646" spans="1:3" ht="12.75" customHeight="1">
      <c r="A646" s="763" t="s">
        <v>3980</v>
      </c>
      <c r="B646" s="762" t="s">
        <v>3979</v>
      </c>
      <c r="C646" s="79">
        <v>302.16800000000001</v>
      </c>
    </row>
    <row r="647" spans="1:3" ht="12.75" customHeight="1">
      <c r="A647" s="763" t="s">
        <v>3978</v>
      </c>
      <c r="B647" s="762" t="s">
        <v>3977</v>
      </c>
      <c r="C647" s="79">
        <v>302.16800000000001</v>
      </c>
    </row>
    <row r="648" spans="1:3" ht="12.75" customHeight="1">
      <c r="A648" s="82" t="s">
        <v>3976</v>
      </c>
      <c r="B648" s="762" t="s">
        <v>3975</v>
      </c>
      <c r="C648" s="79">
        <v>302.16800000000001</v>
      </c>
    </row>
    <row r="649" spans="1:3" ht="12.75" customHeight="1">
      <c r="A649" s="82" t="s">
        <v>3974</v>
      </c>
      <c r="B649" s="762" t="s">
        <v>3973</v>
      </c>
      <c r="C649" s="79">
        <v>302.16800000000001</v>
      </c>
    </row>
    <row r="650" spans="1:3" ht="12.75" customHeight="1">
      <c r="A650" s="82" t="s">
        <v>3972</v>
      </c>
      <c r="B650" s="762" t="s">
        <v>3971</v>
      </c>
      <c r="C650" s="79">
        <v>311.47700000000003</v>
      </c>
    </row>
    <row r="651" spans="1:3" ht="12.75" customHeight="1">
      <c r="A651" s="82" t="s">
        <v>3970</v>
      </c>
      <c r="B651" s="762" t="s">
        <v>3969</v>
      </c>
      <c r="C651" s="79">
        <v>311.47700000000003</v>
      </c>
    </row>
    <row r="652" spans="1:3" ht="12.75" customHeight="1">
      <c r="A652" s="763" t="s">
        <v>3968</v>
      </c>
      <c r="B652" s="789" t="s">
        <v>3967</v>
      </c>
      <c r="C652" s="79">
        <v>301.74</v>
      </c>
    </row>
    <row r="653" spans="1:3" ht="12.75" customHeight="1">
      <c r="A653" s="763" t="s">
        <v>3966</v>
      </c>
      <c r="B653" s="789" t="s">
        <v>3965</v>
      </c>
      <c r="C653" s="79">
        <v>301.74</v>
      </c>
    </row>
    <row r="654" spans="1:3" ht="12.75" customHeight="1">
      <c r="A654" s="82" t="s">
        <v>3964</v>
      </c>
      <c r="B654" s="762" t="s">
        <v>3963</v>
      </c>
      <c r="C654" s="79">
        <v>270.18981950000006</v>
      </c>
    </row>
    <row r="655" spans="1:3" ht="12.75" customHeight="1">
      <c r="A655" s="82" t="s">
        <v>3962</v>
      </c>
      <c r="B655" s="762" t="s">
        <v>3961</v>
      </c>
      <c r="C655" s="79">
        <v>302.16800000000001</v>
      </c>
    </row>
    <row r="656" spans="1:3" ht="12.75" customHeight="1">
      <c r="A656" s="82" t="s">
        <v>3960</v>
      </c>
      <c r="B656" s="762" t="s">
        <v>3959</v>
      </c>
      <c r="C656" s="79">
        <v>258.76340518283604</v>
      </c>
    </row>
    <row r="657" spans="1:3" ht="12.75" customHeight="1">
      <c r="A657" s="82" t="s">
        <v>3958</v>
      </c>
      <c r="B657" s="762" t="s">
        <v>3957</v>
      </c>
      <c r="C657" s="79">
        <v>311.47312180640006</v>
      </c>
    </row>
    <row r="658" spans="1:3" ht="12.75" customHeight="1">
      <c r="A658" s="82" t="s">
        <v>3956</v>
      </c>
      <c r="B658" s="762" t="s">
        <v>3955</v>
      </c>
      <c r="C658" s="79">
        <v>258.76340518283604</v>
      </c>
    </row>
    <row r="659" spans="1:3" ht="12.75" customHeight="1">
      <c r="A659" s="82" t="s">
        <v>3954</v>
      </c>
      <c r="B659" s="762" t="s">
        <v>3953</v>
      </c>
      <c r="C659" s="79">
        <v>311.47312180640006</v>
      </c>
    </row>
    <row r="660" spans="1:3" ht="12.75" customHeight="1">
      <c r="A660" s="82" t="s">
        <v>3952</v>
      </c>
      <c r="B660" s="762" t="s">
        <v>3951</v>
      </c>
      <c r="C660" s="79">
        <v>255.73630687660406</v>
      </c>
    </row>
    <row r="661" spans="1:3" ht="12.75" customHeight="1">
      <c r="A661" s="82" t="s">
        <v>3950</v>
      </c>
      <c r="B661" s="762" t="s">
        <v>3949</v>
      </c>
      <c r="C661" s="79">
        <v>89.245900033843995</v>
      </c>
    </row>
    <row r="662" spans="1:3" ht="12.75" customHeight="1">
      <c r="A662" s="82" t="s">
        <v>3948</v>
      </c>
      <c r="B662" s="762" t="s">
        <v>3947</v>
      </c>
      <c r="C662" s="79">
        <v>106.67900000000002</v>
      </c>
    </row>
    <row r="663" spans="1:3" ht="12.75" customHeight="1">
      <c r="A663" s="82" t="s">
        <v>3946</v>
      </c>
      <c r="B663" s="762" t="s">
        <v>3945</v>
      </c>
      <c r="C663" s="79">
        <v>109.93715000000003</v>
      </c>
    </row>
    <row r="664" spans="1:3" ht="12.75" customHeight="1">
      <c r="A664" s="78" t="s">
        <v>3944</v>
      </c>
      <c r="B664" s="762" t="s">
        <v>3943</v>
      </c>
      <c r="C664" s="79">
        <v>261.22625236478643</v>
      </c>
    </row>
    <row r="665" spans="1:3" ht="12.75" customHeight="1">
      <c r="A665" s="78" t="s">
        <v>3942</v>
      </c>
      <c r="B665" s="762" t="s">
        <v>3941</v>
      </c>
      <c r="C665" s="79">
        <v>196.70788990508004</v>
      </c>
    </row>
    <row r="666" spans="1:3" ht="12.75" customHeight="1">
      <c r="A666" s="78" t="s">
        <v>3940</v>
      </c>
      <c r="B666" s="762" t="s">
        <v>3939</v>
      </c>
      <c r="C666" s="79">
        <v>261.22625236478643</v>
      </c>
    </row>
    <row r="667" spans="1:3" ht="25">
      <c r="A667" s="82" t="s">
        <v>3938</v>
      </c>
      <c r="B667" s="81" t="s">
        <v>3937</v>
      </c>
      <c r="C667" s="80">
        <v>286.00728993892409</v>
      </c>
    </row>
    <row r="668" spans="1:3" ht="25">
      <c r="A668" s="82" t="s">
        <v>3936</v>
      </c>
      <c r="B668" s="81" t="s">
        <v>3935</v>
      </c>
      <c r="C668" s="80">
        <v>286.00728993892409</v>
      </c>
    </row>
    <row r="669" spans="1:3" ht="25">
      <c r="A669" s="82" t="s">
        <v>3934</v>
      </c>
      <c r="B669" s="81" t="s">
        <v>3933</v>
      </c>
      <c r="C669" s="80">
        <v>307.67314999999996</v>
      </c>
    </row>
    <row r="670" spans="1:3" ht="12.75" customHeight="1">
      <c r="A670" s="78" t="s">
        <v>3932</v>
      </c>
      <c r="B670" s="791" t="s">
        <v>3931</v>
      </c>
      <c r="C670" s="79">
        <v>365.084</v>
      </c>
    </row>
    <row r="671" spans="1:3" ht="12.75" customHeight="1">
      <c r="A671" s="78" t="s">
        <v>3930</v>
      </c>
      <c r="B671" s="791" t="s">
        <v>3929</v>
      </c>
      <c r="C671" s="79">
        <v>365.084</v>
      </c>
    </row>
    <row r="672" spans="1:3" ht="12.75" customHeight="1">
      <c r="A672" s="78" t="s">
        <v>3928</v>
      </c>
      <c r="B672" s="790" t="s">
        <v>3927</v>
      </c>
      <c r="C672" s="79">
        <v>365.084</v>
      </c>
    </row>
    <row r="673" spans="1:3" ht="12.75" customHeight="1">
      <c r="A673" s="78" t="s">
        <v>3926</v>
      </c>
      <c r="B673" s="790" t="s">
        <v>3925</v>
      </c>
      <c r="C673" s="79">
        <v>365.084</v>
      </c>
    </row>
    <row r="674" spans="1:3" ht="12.75" customHeight="1">
      <c r="A674" s="763" t="s">
        <v>3924</v>
      </c>
      <c r="B674" s="789" t="s">
        <v>3923</v>
      </c>
      <c r="C674" s="79">
        <v>196.70505500000002</v>
      </c>
    </row>
    <row r="675" spans="1:3">
      <c r="A675" s="763" t="s">
        <v>3922</v>
      </c>
      <c r="B675" s="789" t="s">
        <v>3921</v>
      </c>
      <c r="C675" s="79">
        <v>261.22766000000001</v>
      </c>
    </row>
    <row r="676" spans="1:3" ht="25">
      <c r="A676" s="763" t="s">
        <v>3920</v>
      </c>
      <c r="B676" s="789" t="s">
        <v>3919</v>
      </c>
      <c r="C676" s="80">
        <v>307.67314999999996</v>
      </c>
    </row>
    <row r="677" spans="1:3" ht="25">
      <c r="A677" s="763" t="s">
        <v>3918</v>
      </c>
      <c r="B677" s="789" t="s">
        <v>3917</v>
      </c>
      <c r="C677" s="80">
        <v>365.084</v>
      </c>
    </row>
    <row r="678" spans="1:3" ht="25">
      <c r="A678" s="763" t="s">
        <v>3916</v>
      </c>
      <c r="B678" s="789" t="s">
        <v>3915</v>
      </c>
      <c r="C678" s="80">
        <v>365.084</v>
      </c>
    </row>
    <row r="679" spans="1:3" ht="25">
      <c r="A679" s="763" t="s">
        <v>3914</v>
      </c>
      <c r="B679" s="789" t="s">
        <v>3913</v>
      </c>
      <c r="C679" s="80">
        <v>365.084</v>
      </c>
    </row>
    <row r="680" spans="1:3" ht="25">
      <c r="A680" s="763" t="s">
        <v>3912</v>
      </c>
      <c r="B680" s="789" t="s">
        <v>3911</v>
      </c>
      <c r="C680" s="80">
        <v>365.084</v>
      </c>
    </row>
    <row r="681" spans="1:3" ht="12.75" customHeight="1">
      <c r="A681" s="78" t="s">
        <v>3910</v>
      </c>
      <c r="B681" s="762" t="s">
        <v>3909</v>
      </c>
      <c r="C681" s="79">
        <v>84.209000000000003</v>
      </c>
    </row>
    <row r="682" spans="1:3">
      <c r="A682" s="788" t="s">
        <v>3908</v>
      </c>
      <c r="B682" s="762" t="s">
        <v>3907</v>
      </c>
      <c r="C682" s="79">
        <v>189.14390000000003</v>
      </c>
    </row>
    <row r="683" spans="1:3">
      <c r="A683" s="78" t="s">
        <v>3906</v>
      </c>
      <c r="B683" s="762" t="s">
        <v>3905</v>
      </c>
      <c r="C683" s="79">
        <v>84.209000000000003</v>
      </c>
    </row>
    <row r="684" spans="1:3" ht="12.75" customHeight="1">
      <c r="A684" s="78" t="s">
        <v>3904</v>
      </c>
      <c r="B684" s="762" t="s">
        <v>3903</v>
      </c>
      <c r="C684" s="79">
        <v>176.39606027026329</v>
      </c>
    </row>
    <row r="685" spans="1:3" ht="12.75" customHeight="1">
      <c r="A685" s="787" t="s">
        <v>3902</v>
      </c>
      <c r="B685" s="786" t="s">
        <v>3901</v>
      </c>
      <c r="C685" s="79">
        <v>189.13657747640005</v>
      </c>
    </row>
    <row r="686" spans="1:3">
      <c r="A686" s="78" t="s">
        <v>3900</v>
      </c>
      <c r="B686" s="762" t="s">
        <v>3899</v>
      </c>
      <c r="C686" s="79">
        <v>189.14390000000003</v>
      </c>
    </row>
    <row r="687" spans="1:3" ht="12.75" customHeight="1">
      <c r="A687" s="82" t="s">
        <v>3898</v>
      </c>
      <c r="B687" s="785" t="s">
        <v>3897</v>
      </c>
      <c r="C687" s="80">
        <v>189.14014413950005</v>
      </c>
    </row>
    <row r="688" spans="1:3" ht="12.75" customHeight="1">
      <c r="A688" s="78" t="s">
        <v>3896</v>
      </c>
      <c r="B688" s="762" t="s">
        <v>3895</v>
      </c>
      <c r="C688" s="79">
        <v>44.081593304862572</v>
      </c>
    </row>
    <row r="689" spans="1:3" ht="12.75" customHeight="1">
      <c r="A689" s="78" t="s">
        <v>3894</v>
      </c>
      <c r="B689" s="762" t="s">
        <v>3893</v>
      </c>
      <c r="C689" s="79">
        <v>365.8433341028001</v>
      </c>
    </row>
    <row r="690" spans="1:3" ht="12.75" customHeight="1">
      <c r="A690" s="78" t="s">
        <v>3892</v>
      </c>
      <c r="B690" s="762" t="s">
        <v>3891</v>
      </c>
      <c r="C690" s="79">
        <v>365.8433341028001</v>
      </c>
    </row>
    <row r="691" spans="1:3" ht="12.75" customHeight="1">
      <c r="A691" s="78" t="s">
        <v>3890</v>
      </c>
      <c r="B691" s="762" t="s">
        <v>3889</v>
      </c>
      <c r="C691" s="79">
        <v>365.8433341028001</v>
      </c>
    </row>
    <row r="692" spans="1:3" ht="12.75" customHeight="1">
      <c r="A692" s="1068" t="s">
        <v>3888</v>
      </c>
      <c r="B692" s="1068"/>
      <c r="C692" s="1068"/>
    </row>
    <row r="693" spans="1:3" ht="12.75" customHeight="1">
      <c r="A693" s="78" t="s">
        <v>3887</v>
      </c>
      <c r="B693" s="77" t="s">
        <v>3886</v>
      </c>
      <c r="C693" s="79">
        <v>102.48257535473122</v>
      </c>
    </row>
    <row r="694" spans="1:3" ht="12.75" customHeight="1">
      <c r="A694" s="78" t="s">
        <v>3885</v>
      </c>
      <c r="B694" s="77" t="s">
        <v>3884</v>
      </c>
      <c r="C694" s="79">
        <v>82.434928844822011</v>
      </c>
    </row>
    <row r="695" spans="1:3" ht="12.75" customHeight="1">
      <c r="A695" s="78" t="s">
        <v>3883</v>
      </c>
      <c r="B695" s="77" t="s">
        <v>3882</v>
      </c>
      <c r="C695" s="79">
        <v>101.76707939144001</v>
      </c>
    </row>
    <row r="696" spans="1:3" ht="12.75" customHeight="1">
      <c r="A696" s="78" t="s">
        <v>3881</v>
      </c>
      <c r="B696" s="77" t="s">
        <v>3880</v>
      </c>
      <c r="C696" s="79">
        <v>128.02027742912483</v>
      </c>
    </row>
    <row r="697" spans="1:3" ht="12.75" customHeight="1">
      <c r="A697" s="78" t="s">
        <v>3879</v>
      </c>
      <c r="B697" s="77" t="s">
        <v>3878</v>
      </c>
      <c r="C697" s="79">
        <v>128.02550000000002</v>
      </c>
    </row>
    <row r="698" spans="1:3">
      <c r="A698" s="784" t="s">
        <v>3877</v>
      </c>
      <c r="B698" s="762" t="s">
        <v>3876</v>
      </c>
      <c r="C698" s="79">
        <v>307.17881</v>
      </c>
    </row>
    <row r="699" spans="1:3">
      <c r="C699" s="783"/>
    </row>
    <row r="700" spans="1:3" ht="18">
      <c r="A700" s="1071" t="s">
        <v>3875</v>
      </c>
      <c r="B700" s="1071"/>
      <c r="C700" s="782"/>
    </row>
    <row r="701" spans="1:3" ht="18">
      <c r="A701" s="758"/>
      <c r="B701" s="758"/>
      <c r="C701" s="781"/>
    </row>
    <row r="702" spans="1:3" ht="15.5">
      <c r="A702" s="1072" t="s">
        <v>3874</v>
      </c>
      <c r="B702" s="1072"/>
      <c r="C702" s="1072"/>
    </row>
    <row r="703" spans="1:3" ht="15.5">
      <c r="A703" s="1072" t="s">
        <v>3873</v>
      </c>
      <c r="B703" s="1072"/>
      <c r="C703" s="1072"/>
    </row>
    <row r="704" spans="1:3" ht="15.5">
      <c r="A704" s="1076" t="s">
        <v>3872</v>
      </c>
      <c r="B704" s="1076"/>
      <c r="C704" s="780"/>
    </row>
    <row r="705" spans="1:3" ht="15.5">
      <c r="A705" s="1076" t="s">
        <v>3871</v>
      </c>
      <c r="B705" s="1076"/>
      <c r="C705" s="780"/>
    </row>
    <row r="706" spans="1:3" ht="18">
      <c r="A706" s="757"/>
      <c r="C706" s="779"/>
    </row>
    <row r="707" spans="1:3" ht="17.5">
      <c r="A707" s="1073" t="s">
        <v>3870</v>
      </c>
      <c r="B707" s="1073"/>
      <c r="C707" s="1073"/>
    </row>
    <row r="708" spans="1:3">
      <c r="C708" s="779"/>
    </row>
    <row r="709" spans="1:3" ht="20">
      <c r="A709" s="1074" t="s">
        <v>3869</v>
      </c>
      <c r="B709" s="1074"/>
      <c r="C709" s="1074"/>
    </row>
    <row r="710" spans="1:3" ht="20">
      <c r="A710" s="1075" t="s">
        <v>3868</v>
      </c>
      <c r="B710" s="1075"/>
      <c r="C710" s="1075"/>
    </row>
    <row r="711" spans="1:3" ht="20">
      <c r="A711" s="1074" t="s">
        <v>3867</v>
      </c>
      <c r="B711" s="1074"/>
      <c r="C711" s="1074"/>
    </row>
    <row r="712" spans="1:3">
      <c r="C712" s="779"/>
    </row>
    <row r="713" spans="1:3" ht="23.5">
      <c r="A713" s="1070" t="s">
        <v>3866</v>
      </c>
      <c r="B713" s="1070"/>
      <c r="C713" s="1070"/>
    </row>
    <row r="714" spans="1:3">
      <c r="C714" s="779"/>
    </row>
    <row r="715" spans="1:3">
      <c r="C715" s="779"/>
    </row>
    <row r="716" spans="1:3">
      <c r="C716" s="779"/>
    </row>
  </sheetData>
  <mergeCells count="34">
    <mergeCell ref="A3:C3"/>
    <mergeCell ref="A282:C282"/>
    <mergeCell ref="A429:C429"/>
    <mergeCell ref="A283:C283"/>
    <mergeCell ref="A195:C195"/>
    <mergeCell ref="A203:C203"/>
    <mergeCell ref="A406:C406"/>
    <mergeCell ref="A177:C177"/>
    <mergeCell ref="A184:C184"/>
    <mergeCell ref="A347:C347"/>
    <mergeCell ref="A343:C343"/>
    <mergeCell ref="A361:C361"/>
    <mergeCell ref="A166:C166"/>
    <mergeCell ref="A122:C122"/>
    <mergeCell ref="A644:C644"/>
    <mergeCell ref="A571:C571"/>
    <mergeCell ref="A387:C387"/>
    <mergeCell ref="A388:C388"/>
    <mergeCell ref="A179:C179"/>
    <mergeCell ref="A692:C692"/>
    <mergeCell ref="A561:C561"/>
    <mergeCell ref="A455:C455"/>
    <mergeCell ref="A713:C713"/>
    <mergeCell ref="A700:B700"/>
    <mergeCell ref="A702:C702"/>
    <mergeCell ref="A707:C707"/>
    <mergeCell ref="A709:C709"/>
    <mergeCell ref="A703:C703"/>
    <mergeCell ref="A710:C710"/>
    <mergeCell ref="A711:C711"/>
    <mergeCell ref="A705:B705"/>
    <mergeCell ref="A704:B704"/>
    <mergeCell ref="A496:C496"/>
    <mergeCell ref="A582:C582"/>
  </mergeCells>
  <printOptions horizontalCentered="1" verticalCentered="1"/>
  <pageMargins left="0.25" right="0.25" top="0.25" bottom="0.5" header="0" footer="0.25"/>
  <pageSetup scale="93" fitToHeight="28" orientation="portrait" r:id="rId1"/>
  <headerFooter alignWithMargins="0">
    <oddFooter>&amp;C&amp;P</oddFooter>
  </headerFooter>
  <rowBreaks count="3" manualBreakCount="3">
    <brk id="296" max="2" man="1"/>
    <brk id="360" max="2" man="1"/>
    <brk id="387"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75AC7-C670-4766-90E2-D0F019216ECA}">
  <sheetPr>
    <tabColor theme="2" tint="-9.9978637043366805E-2"/>
    <pageSetUpPr fitToPage="1"/>
  </sheetPr>
  <dimension ref="A1:C136"/>
  <sheetViews>
    <sheetView zoomScale="110" zoomScaleNormal="110" zoomScaleSheetLayoutView="90" workbookViewId="0">
      <pane ySplit="2" topLeftCell="A35" activePane="bottomLeft" state="frozen"/>
      <selection activeCell="C8" sqref="C8"/>
      <selection pane="bottomLeft" activeCell="C8" sqref="C8"/>
    </sheetView>
  </sheetViews>
  <sheetFormatPr defaultRowHeight="13"/>
  <cols>
    <col min="1" max="1" width="22.6328125" style="756" customWidth="1"/>
    <col min="2" max="2" width="78.36328125" style="657" customWidth="1"/>
    <col min="3" max="3" width="8.90625" style="755" bestFit="1" customWidth="1"/>
    <col min="4" max="16384" width="8.7265625" style="657"/>
  </cols>
  <sheetData>
    <row r="1" spans="1:3" ht="60" customHeight="1">
      <c r="A1" s="776"/>
      <c r="B1" s="775" t="s">
        <v>52222</v>
      </c>
    </row>
    <row r="2" spans="1:3" ht="15.75" customHeight="1">
      <c r="A2" s="774" t="s">
        <v>293</v>
      </c>
      <c r="B2" s="773" t="s">
        <v>1</v>
      </c>
    </row>
    <row r="3" spans="1:3" ht="14">
      <c r="A3" s="770"/>
      <c r="B3" s="769" t="s">
        <v>5006</v>
      </c>
      <c r="C3" s="755" t="s">
        <v>5146</v>
      </c>
    </row>
    <row r="4" spans="1:3">
      <c r="A4" s="768"/>
      <c r="B4" s="767" t="s">
        <v>5142</v>
      </c>
    </row>
    <row r="5" spans="1:3" ht="39">
      <c r="A5" s="764"/>
      <c r="B5" s="772" t="s">
        <v>5141</v>
      </c>
    </row>
    <row r="6" spans="1:3" ht="37.5">
      <c r="A6" s="765" t="s">
        <v>5140</v>
      </c>
      <c r="B6" s="761" t="s">
        <v>5139</v>
      </c>
      <c r="C6" s="755">
        <v>1002.6675750000002</v>
      </c>
    </row>
    <row r="7" spans="1:3" ht="37.5">
      <c r="A7" s="765" t="s">
        <v>5138</v>
      </c>
      <c r="B7" s="761" t="s">
        <v>5137</v>
      </c>
      <c r="C7" s="755">
        <v>984.97245000000009</v>
      </c>
    </row>
    <row r="8" spans="1:3" ht="37.5">
      <c r="A8" s="765" t="s">
        <v>5136</v>
      </c>
      <c r="B8" s="761" t="s">
        <v>5135</v>
      </c>
      <c r="C8" s="755">
        <v>1014.4643250000001</v>
      </c>
    </row>
    <row r="9" spans="1:3" ht="37.5">
      <c r="A9" s="759" t="s">
        <v>5134</v>
      </c>
      <c r="B9" s="81" t="s">
        <v>5133</v>
      </c>
      <c r="C9" s="755">
        <v>1209.1107000000002</v>
      </c>
    </row>
    <row r="10" spans="1:3" ht="37.5">
      <c r="A10" s="759" t="s">
        <v>5132</v>
      </c>
      <c r="B10" s="81" t="s">
        <v>5131</v>
      </c>
      <c r="C10" s="755">
        <v>1403.7570750000002</v>
      </c>
    </row>
    <row r="11" spans="1:3" ht="37.5">
      <c r="A11" s="759" t="s">
        <v>5130</v>
      </c>
      <c r="B11" s="81" t="s">
        <v>5129</v>
      </c>
      <c r="C11" s="755">
        <v>1427.3505750000002</v>
      </c>
    </row>
    <row r="12" spans="1:3" ht="50">
      <c r="A12" s="759" t="s">
        <v>5128</v>
      </c>
      <c r="B12" s="81" t="s">
        <v>5127</v>
      </c>
      <c r="C12" s="755">
        <v>1574.8099500000003</v>
      </c>
    </row>
    <row r="13" spans="1:3" ht="25">
      <c r="A13" s="765" t="s">
        <v>5126</v>
      </c>
      <c r="B13" s="761" t="s">
        <v>5125</v>
      </c>
      <c r="C13" s="755">
        <v>1002.6675750000002</v>
      </c>
    </row>
    <row r="14" spans="1:3" ht="37.5">
      <c r="A14" s="765" t="s">
        <v>5124</v>
      </c>
      <c r="B14" s="761" t="s">
        <v>5123</v>
      </c>
      <c r="C14" s="755">
        <v>1125.3537750000003</v>
      </c>
    </row>
    <row r="15" spans="1:3" ht="37.5">
      <c r="A15" s="765" t="s">
        <v>5122</v>
      </c>
      <c r="B15" s="761" t="s">
        <v>5121</v>
      </c>
      <c r="C15" s="755">
        <v>1131.2521500000003</v>
      </c>
    </row>
    <row r="16" spans="1:3" ht="37.5">
      <c r="A16" s="765" t="s">
        <v>5120</v>
      </c>
      <c r="B16" s="761" t="s">
        <v>5119</v>
      </c>
      <c r="C16" s="755">
        <v>1164.2830500000005</v>
      </c>
    </row>
    <row r="17" spans="1:3" ht="50">
      <c r="A17" s="759" t="s">
        <v>5118</v>
      </c>
      <c r="B17" s="81" t="s">
        <v>5117</v>
      </c>
      <c r="C17" s="755">
        <v>1334.15625</v>
      </c>
    </row>
    <row r="18" spans="1:3" ht="38.25" customHeight="1">
      <c r="A18" s="759" t="s">
        <v>5116</v>
      </c>
      <c r="B18" s="81" t="s">
        <v>5115</v>
      </c>
      <c r="C18" s="755">
        <v>1465.1001750000003</v>
      </c>
    </row>
    <row r="19" spans="1:3" ht="37.5">
      <c r="A19" s="759" t="s">
        <v>5114</v>
      </c>
      <c r="B19" s="81" t="s">
        <v>5113</v>
      </c>
      <c r="C19" s="755">
        <v>1629.075</v>
      </c>
    </row>
    <row r="20" spans="1:3" ht="37.5">
      <c r="A20" s="759" t="s">
        <v>5112</v>
      </c>
      <c r="B20" s="81" t="s">
        <v>5111</v>
      </c>
      <c r="C20" s="755">
        <v>1650.3091500000003</v>
      </c>
    </row>
    <row r="21" spans="1:3" ht="50">
      <c r="A21" s="759" t="s">
        <v>5110</v>
      </c>
      <c r="B21" s="81" t="s">
        <v>5109</v>
      </c>
      <c r="C21" s="755">
        <v>1768.2766500000002</v>
      </c>
    </row>
    <row r="22" spans="1:3" ht="25">
      <c r="A22" s="765" t="s">
        <v>5108</v>
      </c>
      <c r="B22" s="761" t="s">
        <v>5107</v>
      </c>
      <c r="C22" s="755">
        <v>1136.6669999999999</v>
      </c>
    </row>
    <row r="23" spans="1:3" ht="37.5">
      <c r="A23" s="765" t="s">
        <v>5106</v>
      </c>
      <c r="B23" s="761" t="s">
        <v>5105</v>
      </c>
      <c r="C23" s="755">
        <v>984.97245000000009</v>
      </c>
    </row>
    <row r="24" spans="1:3" ht="37.5">
      <c r="A24" s="759" t="s">
        <v>5104</v>
      </c>
      <c r="B24" s="761" t="s">
        <v>5103</v>
      </c>
      <c r="C24" s="755">
        <v>967.27732500000013</v>
      </c>
    </row>
    <row r="25" spans="1:3" ht="37.5">
      <c r="A25" s="759" t="s">
        <v>5102</v>
      </c>
      <c r="B25" s="761" t="s">
        <v>5101</v>
      </c>
      <c r="C25" s="755">
        <v>1001.4879000000002</v>
      </c>
    </row>
    <row r="26" spans="1:3" ht="37.5">
      <c r="A26" s="759" t="s">
        <v>5100</v>
      </c>
      <c r="B26" s="81" t="s">
        <v>5099</v>
      </c>
      <c r="C26" s="755">
        <v>1161.9237000000001</v>
      </c>
    </row>
    <row r="27" spans="1:3" ht="37.5">
      <c r="A27" s="759" t="s">
        <v>5098</v>
      </c>
      <c r="B27" s="81" t="s">
        <v>5097</v>
      </c>
      <c r="C27" s="755">
        <v>1408.4757750000001</v>
      </c>
    </row>
    <row r="28" spans="1:3" ht="37.5">
      <c r="A28" s="759" t="s">
        <v>5096</v>
      </c>
      <c r="B28" s="81" t="s">
        <v>5095</v>
      </c>
      <c r="C28" s="755">
        <v>1478.0766000000003</v>
      </c>
    </row>
    <row r="29" spans="1:3" ht="50">
      <c r="A29" s="759" t="s">
        <v>5094</v>
      </c>
      <c r="B29" s="81" t="s">
        <v>5093</v>
      </c>
      <c r="C29" s="755">
        <v>1564.5</v>
      </c>
    </row>
    <row r="30" spans="1:3" ht="37.5">
      <c r="A30" s="759" t="s">
        <v>5092</v>
      </c>
      <c r="B30" s="81" t="s">
        <v>5091</v>
      </c>
      <c r="C30" s="755">
        <v>1279.8912000000003</v>
      </c>
    </row>
    <row r="31" spans="1:3" ht="25">
      <c r="A31" s="759" t="s">
        <v>5090</v>
      </c>
      <c r="B31" s="81" t="s">
        <v>5089</v>
      </c>
      <c r="C31" s="755">
        <v>1042.7235000000001</v>
      </c>
    </row>
    <row r="32" spans="1:3" ht="37.5">
      <c r="A32" s="765" t="s">
        <v>5088</v>
      </c>
      <c r="B32" s="761" t="s">
        <v>5087</v>
      </c>
      <c r="C32" s="755">
        <v>1014.4643250000001</v>
      </c>
    </row>
    <row r="33" spans="1:3" ht="38">
      <c r="A33" s="765" t="s">
        <v>5086</v>
      </c>
      <c r="B33" s="761" t="s">
        <v>5085</v>
      </c>
      <c r="C33" s="755">
        <v>1138.3302000000001</v>
      </c>
    </row>
    <row r="34" spans="1:3" ht="37.5">
      <c r="A34" s="759" t="s">
        <v>5084</v>
      </c>
      <c r="B34" s="761" t="s">
        <v>5083</v>
      </c>
      <c r="C34" s="755">
        <v>996.76920000000018</v>
      </c>
    </row>
    <row r="35" spans="1:3" ht="37.5">
      <c r="A35" s="771" t="s">
        <v>5082</v>
      </c>
      <c r="B35" s="81" t="s">
        <v>5081</v>
      </c>
      <c r="C35" s="755">
        <v>1114.7367000000004</v>
      </c>
    </row>
    <row r="36" spans="1:3" ht="38">
      <c r="A36" s="759" t="s">
        <v>5080</v>
      </c>
      <c r="B36" s="81" t="s">
        <v>5079</v>
      </c>
      <c r="C36" s="755">
        <v>1173.7204500000003</v>
      </c>
    </row>
    <row r="37" spans="1:3" ht="37.5">
      <c r="A37" s="759" t="s">
        <v>5078</v>
      </c>
      <c r="B37" s="761" t="s">
        <v>5077</v>
      </c>
      <c r="C37" s="755">
        <v>1020.3627000000001</v>
      </c>
    </row>
    <row r="38" spans="1:3" ht="38.5">
      <c r="A38" s="759" t="s">
        <v>5076</v>
      </c>
      <c r="B38" s="761" t="s">
        <v>5075</v>
      </c>
      <c r="C38" s="755">
        <v>1174.9001250000001</v>
      </c>
    </row>
    <row r="39" spans="1:3" ht="37.5">
      <c r="A39" s="759" t="s">
        <v>5074</v>
      </c>
      <c r="B39" s="81" t="s">
        <v>5073</v>
      </c>
      <c r="C39" s="755">
        <v>1215.0090750000002</v>
      </c>
    </row>
    <row r="40" spans="1:3" ht="50.5">
      <c r="A40" s="759" t="s">
        <v>5072</v>
      </c>
      <c r="B40" s="81" t="s">
        <v>5071</v>
      </c>
      <c r="C40" s="755">
        <v>1361.7606450000003</v>
      </c>
    </row>
    <row r="41" spans="1:3" ht="50">
      <c r="A41" s="759" t="s">
        <v>5070</v>
      </c>
      <c r="B41" s="81" t="s">
        <v>5069</v>
      </c>
      <c r="C41" s="755">
        <v>1462.7408250000001</v>
      </c>
    </row>
    <row r="42" spans="1:3" ht="37.5">
      <c r="A42" s="759" t="s">
        <v>5068</v>
      </c>
      <c r="B42" s="81" t="s">
        <v>5067</v>
      </c>
      <c r="C42" s="755">
        <v>1439.1473250000001</v>
      </c>
    </row>
    <row r="43" spans="1:3" ht="37.5">
      <c r="A43" s="771" t="s">
        <v>5066</v>
      </c>
      <c r="B43" s="81" t="s">
        <v>5065</v>
      </c>
      <c r="C43" s="755">
        <v>1557.1148250000003</v>
      </c>
    </row>
    <row r="44" spans="1:3" ht="38">
      <c r="A44" s="759" t="s">
        <v>5064</v>
      </c>
      <c r="B44" s="81" t="s">
        <v>5063</v>
      </c>
      <c r="C44" s="755">
        <v>1585.4270250000002</v>
      </c>
    </row>
    <row r="45" spans="1:3" ht="37.5">
      <c r="A45" s="759" t="s">
        <v>5062</v>
      </c>
      <c r="B45" s="81" t="s">
        <v>5061</v>
      </c>
      <c r="C45" s="755">
        <v>1433.2489500000001</v>
      </c>
    </row>
    <row r="46" spans="1:3" ht="39.75" customHeight="1">
      <c r="A46" s="759" t="s">
        <v>5060</v>
      </c>
      <c r="B46" s="81" t="s">
        <v>5059</v>
      </c>
      <c r="C46" s="755">
        <v>1680.9807000000003</v>
      </c>
    </row>
    <row r="47" spans="1:3" ht="37.5">
      <c r="A47" s="759" t="s">
        <v>5058</v>
      </c>
      <c r="B47" s="81" t="s">
        <v>5057</v>
      </c>
      <c r="C47" s="755">
        <v>1598.4034500000002</v>
      </c>
    </row>
    <row r="48" spans="1:3" ht="50.5">
      <c r="A48" s="759" t="s">
        <v>5056</v>
      </c>
      <c r="B48" s="81" t="s">
        <v>5055</v>
      </c>
      <c r="C48" s="755">
        <v>1828.4400750000002</v>
      </c>
    </row>
    <row r="49" spans="1:3" ht="37.5">
      <c r="A49" s="759" t="s">
        <v>5054</v>
      </c>
      <c r="B49" s="81" t="s">
        <v>5053</v>
      </c>
      <c r="C49" s="755">
        <v>1332.9765750000001</v>
      </c>
    </row>
    <row r="50" spans="1:3" ht="25">
      <c r="A50" s="759" t="s">
        <v>5052</v>
      </c>
      <c r="B50" s="761" t="s">
        <v>5051</v>
      </c>
      <c r="C50" s="755">
        <v>1024.7159999999999</v>
      </c>
    </row>
    <row r="51" spans="1:3" ht="37.5">
      <c r="A51" s="764" t="s">
        <v>5050</v>
      </c>
      <c r="B51" s="81" t="s">
        <v>5049</v>
      </c>
      <c r="C51" s="755">
        <v>948.09750000000008</v>
      </c>
    </row>
    <row r="52" spans="1:3" ht="38">
      <c r="A52" s="764" t="s">
        <v>5048</v>
      </c>
      <c r="B52" s="81" t="s">
        <v>5047</v>
      </c>
      <c r="C52" s="755">
        <v>973.17570000000012</v>
      </c>
    </row>
    <row r="53" spans="1:3" ht="38">
      <c r="A53" s="764" t="s">
        <v>5046</v>
      </c>
      <c r="B53" s="81" t="s">
        <v>5045</v>
      </c>
      <c r="C53" s="755">
        <v>1002.6675750000002</v>
      </c>
    </row>
    <row r="54" spans="1:3" ht="38">
      <c r="A54" s="764" t="s">
        <v>5044</v>
      </c>
      <c r="B54" s="81" t="s">
        <v>5043</v>
      </c>
      <c r="C54" s="755">
        <v>1134.7911750000001</v>
      </c>
    </row>
    <row r="55" spans="1:3" ht="25">
      <c r="A55" s="764" t="s">
        <v>5042</v>
      </c>
      <c r="B55" s="81" t="s">
        <v>5041</v>
      </c>
      <c r="C55" s="755">
        <v>1208.4028950000002</v>
      </c>
    </row>
    <row r="56" spans="1:3" ht="37.5">
      <c r="A56" s="759" t="s">
        <v>5040</v>
      </c>
      <c r="B56" s="81" t="s">
        <v>5039</v>
      </c>
      <c r="C56" s="755">
        <v>1384.8822750000004</v>
      </c>
    </row>
    <row r="57" spans="1:3" ht="37.5">
      <c r="A57" s="759" t="s">
        <v>5038</v>
      </c>
      <c r="B57" s="81" t="s">
        <v>5037</v>
      </c>
      <c r="C57" s="755">
        <v>1440.327</v>
      </c>
    </row>
    <row r="58" spans="1:3" ht="37.5">
      <c r="A58" s="759" t="s">
        <v>5036</v>
      </c>
      <c r="B58" s="81" t="s">
        <v>5035</v>
      </c>
      <c r="C58" s="755">
        <v>1560.6538500000004</v>
      </c>
    </row>
    <row r="59" spans="1:3" ht="37.5">
      <c r="A59" s="759" t="s">
        <v>5034</v>
      </c>
      <c r="B59" s="81" t="s">
        <v>5033</v>
      </c>
      <c r="C59" s="755">
        <v>1328.2578750000002</v>
      </c>
    </row>
    <row r="60" spans="1:3" ht="25">
      <c r="A60" s="759" t="s">
        <v>5032</v>
      </c>
      <c r="B60" s="81" t="s">
        <v>5031</v>
      </c>
      <c r="C60" s="755">
        <v>987.56700000000001</v>
      </c>
    </row>
    <row r="61" spans="1:3" ht="37.5">
      <c r="A61" s="764" t="s">
        <v>5030</v>
      </c>
      <c r="B61" s="81" t="s">
        <v>5029</v>
      </c>
      <c r="C61" s="755">
        <v>1049.8545750000001</v>
      </c>
    </row>
    <row r="62" spans="1:3" ht="38">
      <c r="A62" s="764" t="s">
        <v>5028</v>
      </c>
      <c r="B62" s="81" t="s">
        <v>5027</v>
      </c>
      <c r="C62" s="755">
        <v>1032.1594500000001</v>
      </c>
    </row>
    <row r="63" spans="1:3" ht="38">
      <c r="A63" s="766" t="s">
        <v>5026</v>
      </c>
      <c r="B63" s="81" t="s">
        <v>5025</v>
      </c>
      <c r="C63" s="755">
        <v>1150.1269500000003</v>
      </c>
    </row>
    <row r="64" spans="1:3" ht="38">
      <c r="A64" s="764" t="s">
        <v>5024</v>
      </c>
      <c r="B64" s="81" t="s">
        <v>5023</v>
      </c>
      <c r="C64" s="755">
        <v>1061.651325</v>
      </c>
    </row>
    <row r="65" spans="1:3" ht="38">
      <c r="A65" s="764" t="s">
        <v>5022</v>
      </c>
      <c r="B65" s="81" t="s">
        <v>5021</v>
      </c>
      <c r="C65" s="755">
        <v>1279.8912000000003</v>
      </c>
    </row>
    <row r="66" spans="1:3" ht="50.5">
      <c r="A66" s="764" t="s">
        <v>5020</v>
      </c>
      <c r="B66" s="81" t="s">
        <v>5019</v>
      </c>
      <c r="C66" s="755">
        <v>1504.0294500000002</v>
      </c>
    </row>
    <row r="67" spans="1:3" ht="37.5">
      <c r="A67" s="759" t="s">
        <v>5018</v>
      </c>
      <c r="B67" s="81" t="s">
        <v>5017</v>
      </c>
      <c r="C67" s="755">
        <v>1450.9440750000003</v>
      </c>
    </row>
    <row r="68" spans="1:3" ht="50">
      <c r="A68" s="771" t="s">
        <v>5016</v>
      </c>
      <c r="B68" s="81" t="s">
        <v>5015</v>
      </c>
      <c r="C68" s="755">
        <v>1568.91</v>
      </c>
    </row>
    <row r="69" spans="1:3" ht="37.5">
      <c r="A69" s="759" t="s">
        <v>5014</v>
      </c>
      <c r="B69" s="81" t="s">
        <v>5013</v>
      </c>
      <c r="C69" s="755">
        <v>1486.3343250000003</v>
      </c>
    </row>
    <row r="70" spans="1:3" ht="50">
      <c r="A70" s="759" t="s">
        <v>5012</v>
      </c>
      <c r="B70" s="81" t="s">
        <v>5011</v>
      </c>
      <c r="C70" s="755">
        <v>1627.8953250000002</v>
      </c>
    </row>
    <row r="71" spans="1:3" ht="37.5">
      <c r="A71" s="759" t="s">
        <v>5010</v>
      </c>
      <c r="B71" s="81" t="s">
        <v>5009</v>
      </c>
      <c r="C71" s="755">
        <v>1397.8587000000002</v>
      </c>
    </row>
    <row r="72" spans="1:3" ht="25">
      <c r="A72" s="759" t="s">
        <v>5008</v>
      </c>
      <c r="B72" s="81" t="s">
        <v>5007</v>
      </c>
      <c r="C72" s="755">
        <v>1063.3035</v>
      </c>
    </row>
    <row r="73" spans="1:3" ht="14">
      <c r="A73" s="770"/>
      <c r="B73" s="769" t="s">
        <v>5006</v>
      </c>
    </row>
    <row r="74" spans="1:3">
      <c r="A74" s="768"/>
      <c r="B74" s="767" t="s">
        <v>5005</v>
      </c>
    </row>
    <row r="75" spans="1:3" ht="37.5">
      <c r="A75" s="766" t="s">
        <v>5004</v>
      </c>
      <c r="B75" s="81" t="s">
        <v>52221</v>
      </c>
      <c r="C75" s="755">
        <v>971.48100000000011</v>
      </c>
    </row>
    <row r="76" spans="1:3" ht="37.5">
      <c r="A76" s="766" t="s">
        <v>5003</v>
      </c>
      <c r="B76" s="81" t="s">
        <v>52220</v>
      </c>
      <c r="C76" s="755">
        <v>975.08249999999998</v>
      </c>
    </row>
    <row r="77" spans="1:3" ht="37.5">
      <c r="A77" s="766" t="s">
        <v>5002</v>
      </c>
      <c r="B77" s="81" t="s">
        <v>52219</v>
      </c>
      <c r="C77" s="755">
        <v>1005.3120000000001</v>
      </c>
    </row>
    <row r="78" spans="1:3" ht="37.5">
      <c r="A78" s="766" t="s">
        <v>5001</v>
      </c>
      <c r="B78" s="81" t="s">
        <v>52218</v>
      </c>
      <c r="C78" s="755">
        <v>1411.998</v>
      </c>
    </row>
    <row r="79" spans="1:3" ht="37.5">
      <c r="A79" s="766" t="s">
        <v>5000</v>
      </c>
      <c r="B79" s="81" t="s">
        <v>52217</v>
      </c>
      <c r="C79" s="755">
        <v>1444.8525</v>
      </c>
    </row>
    <row r="80" spans="1:3" ht="12.75" customHeight="1">
      <c r="A80" s="1069" t="s">
        <v>4999</v>
      </c>
      <c r="B80" s="1069"/>
    </row>
    <row r="81" spans="1:3" ht="12.75" customHeight="1">
      <c r="A81" s="759" t="s">
        <v>4998</v>
      </c>
      <c r="B81" s="81" t="s">
        <v>4997</v>
      </c>
      <c r="C81" s="755">
        <v>183.75</v>
      </c>
    </row>
    <row r="82" spans="1:3" ht="12.75" customHeight="1">
      <c r="A82" s="759" t="s">
        <v>4996</v>
      </c>
      <c r="B82" s="761" t="s">
        <v>4995</v>
      </c>
      <c r="C82" s="755">
        <v>224.082075</v>
      </c>
    </row>
    <row r="83" spans="1:3" ht="12.75" customHeight="1">
      <c r="A83" s="759" t="s">
        <v>4994</v>
      </c>
      <c r="B83" s="761" t="s">
        <v>4993</v>
      </c>
      <c r="C83" s="755">
        <v>72.586500000000001</v>
      </c>
    </row>
    <row r="84" spans="1:3" ht="12.75" customHeight="1">
      <c r="A84" s="759" t="s">
        <v>4992</v>
      </c>
      <c r="B84" s="761" t="s">
        <v>4991</v>
      </c>
      <c r="C84" s="755">
        <v>112.01295000000002</v>
      </c>
    </row>
    <row r="85" spans="1:3" ht="12.75" customHeight="1">
      <c r="A85" s="765" t="s">
        <v>4990</v>
      </c>
      <c r="B85" s="761" t="s">
        <v>4989</v>
      </c>
      <c r="C85" s="755">
        <v>258.06900000000002</v>
      </c>
    </row>
    <row r="86" spans="1:3" ht="12.75" customHeight="1">
      <c r="A86" s="765" t="s">
        <v>4988</v>
      </c>
      <c r="B86" s="761" t="s">
        <v>4987</v>
      </c>
      <c r="C86" s="755">
        <v>218.18370000000002</v>
      </c>
    </row>
    <row r="87" spans="1:3" ht="12.75" customHeight="1">
      <c r="A87" s="765" t="s">
        <v>4986</v>
      </c>
      <c r="B87" s="761" t="s">
        <v>4985</v>
      </c>
      <c r="C87" s="755">
        <v>218.18370000000002</v>
      </c>
    </row>
    <row r="88" spans="1:3" ht="12.75" customHeight="1">
      <c r="A88" s="765" t="s">
        <v>4984</v>
      </c>
      <c r="B88" s="761" t="s">
        <v>4983</v>
      </c>
      <c r="C88" s="755">
        <v>383.33820000000003</v>
      </c>
    </row>
    <row r="89" spans="1:3" ht="12.75" customHeight="1">
      <c r="A89" s="765" t="s">
        <v>4982</v>
      </c>
      <c r="B89" s="761" t="s">
        <v>4981</v>
      </c>
      <c r="C89" s="755">
        <v>153.30157499999999</v>
      </c>
    </row>
    <row r="90" spans="1:3" ht="12.75" customHeight="1">
      <c r="A90" s="765" t="s">
        <v>4980</v>
      </c>
      <c r="B90" s="761" t="s">
        <v>4979</v>
      </c>
      <c r="C90" s="755">
        <v>352.66665</v>
      </c>
    </row>
    <row r="91" spans="1:3" ht="12.75" customHeight="1">
      <c r="A91" s="765" t="s">
        <v>4978</v>
      </c>
      <c r="B91" s="761" t="s">
        <v>4977</v>
      </c>
      <c r="C91" s="755">
        <v>316.60649999999998</v>
      </c>
    </row>
    <row r="92" spans="1:3" ht="12.75" customHeight="1">
      <c r="A92" s="765" t="s">
        <v>4976</v>
      </c>
      <c r="B92" s="761" t="s">
        <v>4975</v>
      </c>
      <c r="C92" s="755">
        <v>639.48149999999998</v>
      </c>
    </row>
    <row r="93" spans="1:3" ht="12.75" customHeight="1">
      <c r="A93" s="765" t="s">
        <v>4974</v>
      </c>
      <c r="B93" s="761" t="s">
        <v>4973</v>
      </c>
      <c r="C93" s="755">
        <v>253.57395</v>
      </c>
    </row>
    <row r="94" spans="1:3" ht="12.75" customHeight="1">
      <c r="A94" s="765" t="s">
        <v>4972</v>
      </c>
      <c r="B94" s="761" t="s">
        <v>4971</v>
      </c>
      <c r="C94" s="755">
        <v>389.23657500000002</v>
      </c>
    </row>
    <row r="95" spans="1:3" ht="12.75" customHeight="1">
      <c r="A95" s="759" t="s">
        <v>4970</v>
      </c>
      <c r="B95" s="761" t="s">
        <v>4969</v>
      </c>
      <c r="C95" s="755">
        <v>165.09832500000002</v>
      </c>
    </row>
    <row r="96" spans="1:3" ht="12.75" customHeight="1">
      <c r="A96" s="765" t="s">
        <v>4968</v>
      </c>
      <c r="B96" s="761" t="s">
        <v>4967</v>
      </c>
      <c r="C96" s="755">
        <v>206.38695000000001</v>
      </c>
    </row>
    <row r="97" spans="1:3" ht="12.75" customHeight="1">
      <c r="A97" s="759" t="s">
        <v>4966</v>
      </c>
      <c r="B97" s="761" t="s">
        <v>4965</v>
      </c>
      <c r="C97" s="755">
        <v>107.1315</v>
      </c>
    </row>
    <row r="98" spans="1:3" ht="12.75" customHeight="1">
      <c r="A98" s="759" t="s">
        <v>4964</v>
      </c>
      <c r="B98" s="761" t="s">
        <v>4963</v>
      </c>
      <c r="C98" s="755">
        <v>117.84150000000001</v>
      </c>
    </row>
    <row r="99" spans="1:3" ht="12.75" customHeight="1">
      <c r="A99" s="764" t="s">
        <v>4962</v>
      </c>
      <c r="B99" s="81" t="s">
        <v>4961</v>
      </c>
      <c r="C99" s="755">
        <v>234.69915000000003</v>
      </c>
    </row>
    <row r="100" spans="1:3" ht="12.75" customHeight="1">
      <c r="A100" s="759" t="s">
        <v>4960</v>
      </c>
      <c r="B100" s="761" t="s">
        <v>4959</v>
      </c>
      <c r="C100" s="755">
        <v>153.30157499999999</v>
      </c>
    </row>
    <row r="101" spans="1:3" ht="12.75" customHeight="1">
      <c r="A101" s="765" t="s">
        <v>4958</v>
      </c>
      <c r="B101" s="761" t="s">
        <v>4957</v>
      </c>
      <c r="C101" s="755">
        <v>347.94795000000005</v>
      </c>
    </row>
    <row r="102" spans="1:3" ht="12.75" customHeight="1">
      <c r="A102" s="765" t="s">
        <v>4956</v>
      </c>
      <c r="B102" s="761" t="s">
        <v>4955</v>
      </c>
      <c r="C102" s="755">
        <v>259.47232500000001</v>
      </c>
    </row>
    <row r="103" spans="1:3" ht="12.75" customHeight="1">
      <c r="A103" s="764" t="s">
        <v>4954</v>
      </c>
      <c r="B103" s="81" t="s">
        <v>4953</v>
      </c>
      <c r="C103" s="755">
        <v>261.45</v>
      </c>
    </row>
    <row r="104" spans="1:3" ht="12.75" customHeight="1">
      <c r="A104" s="759" t="s">
        <v>4952</v>
      </c>
      <c r="B104" s="761" t="s">
        <v>4951</v>
      </c>
      <c r="C104" s="755">
        <v>154.5915</v>
      </c>
    </row>
    <row r="105" spans="1:3" ht="12.75" customHeight="1">
      <c r="A105" s="759" t="s">
        <v>4950</v>
      </c>
      <c r="B105" s="761" t="s">
        <v>4949</v>
      </c>
      <c r="C105" s="755">
        <v>63</v>
      </c>
    </row>
    <row r="106" spans="1:3" ht="12.75" customHeight="1">
      <c r="A106" s="759" t="s">
        <v>4948</v>
      </c>
      <c r="B106" s="761" t="s">
        <v>4947</v>
      </c>
      <c r="C106" s="755">
        <v>112.01295000000002</v>
      </c>
    </row>
    <row r="107" spans="1:3">
      <c r="A107" s="759" t="s">
        <v>4946</v>
      </c>
      <c r="B107" s="761" t="s">
        <v>4945</v>
      </c>
      <c r="C107" s="755">
        <v>324.35444999999999</v>
      </c>
    </row>
    <row r="108" spans="1:3" ht="12.75" customHeight="1">
      <c r="A108" s="759" t="s">
        <v>4944</v>
      </c>
      <c r="B108" s="81" t="s">
        <v>4943</v>
      </c>
      <c r="C108" s="755">
        <v>206.38695000000001</v>
      </c>
    </row>
    <row r="109" spans="1:3">
      <c r="A109" s="759" t="s">
        <v>4942</v>
      </c>
      <c r="B109" s="761" t="s">
        <v>4941</v>
      </c>
      <c r="C109" s="755">
        <v>206.38695000000001</v>
      </c>
    </row>
    <row r="110" spans="1:3">
      <c r="A110" s="759" t="s">
        <v>4940</v>
      </c>
      <c r="B110" s="761" t="s">
        <v>4939</v>
      </c>
      <c r="C110" s="755">
        <v>153.30157499999999</v>
      </c>
    </row>
    <row r="111" spans="1:3">
      <c r="A111" s="759" t="s">
        <v>4938</v>
      </c>
      <c r="B111" s="77" t="s">
        <v>4937</v>
      </c>
      <c r="C111" s="755">
        <v>224.082075</v>
      </c>
    </row>
    <row r="112" spans="1:3">
      <c r="A112" s="759" t="s">
        <v>4936</v>
      </c>
      <c r="B112" s="657" t="s">
        <v>4935</v>
      </c>
      <c r="C112" s="755">
        <v>324.35444999999999</v>
      </c>
    </row>
    <row r="113" spans="1:3">
      <c r="A113" s="759" t="s">
        <v>4934</v>
      </c>
      <c r="B113" s="761" t="s">
        <v>4933</v>
      </c>
      <c r="C113" s="755">
        <v>53.02920000000001</v>
      </c>
    </row>
    <row r="114" spans="1:3">
      <c r="A114" s="759" t="s">
        <v>4932</v>
      </c>
      <c r="B114" s="761" t="s">
        <v>4931</v>
      </c>
      <c r="C114" s="755">
        <v>53.02920000000001</v>
      </c>
    </row>
    <row r="115" spans="1:3" ht="12.75" customHeight="1">
      <c r="A115" s="763" t="s">
        <v>4930</v>
      </c>
      <c r="B115" s="762" t="s">
        <v>4929</v>
      </c>
      <c r="C115" s="755">
        <v>93.975000000000009</v>
      </c>
    </row>
    <row r="116" spans="1:3" ht="12.75" customHeight="1">
      <c r="A116" s="763" t="s">
        <v>4928</v>
      </c>
      <c r="B116" s="762" t="s">
        <v>4927</v>
      </c>
      <c r="C116" s="755">
        <v>93.975000000000009</v>
      </c>
    </row>
    <row r="117" spans="1:3">
      <c r="A117" s="759" t="s">
        <v>4926</v>
      </c>
      <c r="B117" s="761" t="s">
        <v>4925</v>
      </c>
      <c r="C117" s="755">
        <v>80.776500000000013</v>
      </c>
    </row>
    <row r="118" spans="1:3">
      <c r="A118" s="759" t="s">
        <v>4924</v>
      </c>
      <c r="B118" s="761" t="s">
        <v>4923</v>
      </c>
      <c r="C118" s="755">
        <v>66.005625000000009</v>
      </c>
    </row>
    <row r="119" spans="1:3">
      <c r="A119" s="759" t="s">
        <v>4922</v>
      </c>
      <c r="B119" s="761" t="s">
        <v>4921</v>
      </c>
      <c r="C119" s="755">
        <v>39.637500000000003</v>
      </c>
    </row>
    <row r="120" spans="1:3">
      <c r="A120" s="759" t="s">
        <v>4920</v>
      </c>
      <c r="B120" s="761" t="s">
        <v>4919</v>
      </c>
      <c r="C120" s="755">
        <v>55.545000000000002</v>
      </c>
    </row>
    <row r="121" spans="1:3">
      <c r="A121" s="759" t="s">
        <v>4918</v>
      </c>
      <c r="B121" s="761" t="s">
        <v>4917</v>
      </c>
      <c r="C121" s="755">
        <v>65.719500000000011</v>
      </c>
    </row>
    <row r="122" spans="1:3">
      <c r="A122" s="759" t="s">
        <v>4916</v>
      </c>
      <c r="B122" s="760" t="s">
        <v>4915</v>
      </c>
      <c r="C122" s="755">
        <v>112.01295000000002</v>
      </c>
    </row>
    <row r="123" spans="1:3">
      <c r="A123" s="759" t="s">
        <v>4914</v>
      </c>
      <c r="B123" s="77" t="s">
        <v>4913</v>
      </c>
      <c r="C123" s="755">
        <v>283.06582500000002</v>
      </c>
    </row>
    <row r="125" spans="1:3" ht="18">
      <c r="A125" s="1071" t="s">
        <v>3875</v>
      </c>
      <c r="B125" s="1071"/>
    </row>
    <row r="126" spans="1:3" ht="18">
      <c r="A126" s="758"/>
      <c r="B126" s="758"/>
    </row>
    <row r="127" spans="1:3" ht="15.5">
      <c r="A127" s="1072" t="s">
        <v>52216</v>
      </c>
      <c r="B127" s="1072"/>
    </row>
    <row r="128" spans="1:3" ht="15.5">
      <c r="A128" s="1076" t="s">
        <v>3871</v>
      </c>
      <c r="B128" s="1076"/>
    </row>
    <row r="129" spans="1:2" ht="18">
      <c r="A129" s="757"/>
    </row>
    <row r="130" spans="1:2" ht="17.5">
      <c r="A130" s="1073" t="s">
        <v>3870</v>
      </c>
      <c r="B130" s="1073"/>
    </row>
    <row r="132" spans="1:2" ht="20">
      <c r="A132" s="1074" t="s">
        <v>3869</v>
      </c>
      <c r="B132" s="1074"/>
    </row>
    <row r="133" spans="1:2" ht="20">
      <c r="A133" s="1075" t="s">
        <v>3868</v>
      </c>
      <c r="B133" s="1075"/>
    </row>
    <row r="134" spans="1:2" ht="20">
      <c r="A134" s="1074" t="s">
        <v>3867</v>
      </c>
      <c r="B134" s="1074"/>
    </row>
    <row r="136" spans="1:2" ht="23.5">
      <c r="A136" s="1070" t="s">
        <v>3866</v>
      </c>
      <c r="B136" s="1070"/>
    </row>
  </sheetData>
  <mergeCells count="9">
    <mergeCell ref="A80:B80"/>
    <mergeCell ref="A136:B136"/>
    <mergeCell ref="A125:B125"/>
    <mergeCell ref="A130:B130"/>
    <mergeCell ref="A132:B132"/>
    <mergeCell ref="A127:B127"/>
    <mergeCell ref="A133:B133"/>
    <mergeCell ref="A134:B134"/>
    <mergeCell ref="A128:B128"/>
  </mergeCells>
  <printOptions horizontalCentered="1" verticalCentered="1"/>
  <pageMargins left="0.25" right="0.25" top="0.25" bottom="0.5" header="0" footer="0.25"/>
  <pageSetup scale="93" fitToHeight="28" orientation="portrait" r:id="rId1"/>
  <headerFooter alignWithMargins="0">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B5A4F-8E38-4479-9795-A6D27049477E}">
  <sheetPr>
    <tabColor theme="2" tint="-9.9978637043366805E-2"/>
  </sheetPr>
  <dimension ref="A1:D468"/>
  <sheetViews>
    <sheetView workbookViewId="0">
      <selection activeCell="C8" sqref="C8"/>
    </sheetView>
  </sheetViews>
  <sheetFormatPr defaultRowHeight="13"/>
  <cols>
    <col min="1" max="2" width="15.7265625" style="980" customWidth="1"/>
    <col min="3" max="3" width="55.1796875" style="980" customWidth="1"/>
    <col min="4" max="4" width="14.7265625" style="980" customWidth="1"/>
    <col min="5" max="16384" width="8.7265625" style="980"/>
  </cols>
  <sheetData>
    <row r="1" spans="1:4" ht="29.25" customHeight="1">
      <c r="A1" s="1009" t="s">
        <v>55195</v>
      </c>
      <c r="B1" s="1009"/>
      <c r="C1" s="1009"/>
      <c r="D1" s="1009"/>
    </row>
    <row r="2" spans="1:4" ht="100.5" customHeight="1">
      <c r="A2" s="1010" t="s">
        <v>55194</v>
      </c>
      <c r="B2" s="1009"/>
      <c r="C2" s="1009"/>
      <c r="D2" s="1009"/>
    </row>
    <row r="3" spans="1:4" ht="15.75" customHeight="1">
      <c r="A3" s="1011" t="s">
        <v>55193</v>
      </c>
      <c r="B3" s="1012"/>
      <c r="C3" s="1012"/>
      <c r="D3" s="1013"/>
    </row>
    <row r="4" spans="1:4" ht="18" customHeight="1">
      <c r="A4" s="987" t="s">
        <v>54395</v>
      </c>
      <c r="B4" s="987" t="s">
        <v>55077</v>
      </c>
      <c r="C4" s="987" t="s">
        <v>54394</v>
      </c>
      <c r="D4" s="987" t="s">
        <v>54393</v>
      </c>
    </row>
    <row r="5" spans="1:4" ht="12" customHeight="1">
      <c r="A5" s="984">
        <v>1001</v>
      </c>
      <c r="B5" s="983"/>
      <c r="C5" s="991" t="s">
        <v>55192</v>
      </c>
      <c r="D5" s="990">
        <v>36.950000000000003</v>
      </c>
    </row>
    <row r="6" spans="1:4" ht="12" customHeight="1">
      <c r="A6" s="982" t="s">
        <v>55191</v>
      </c>
      <c r="B6" s="982" t="s">
        <v>54977</v>
      </c>
      <c r="C6" s="991" t="s">
        <v>55190</v>
      </c>
      <c r="D6" s="990">
        <v>54.95</v>
      </c>
    </row>
    <row r="7" spans="1:4" ht="12" customHeight="1">
      <c r="A7" s="982" t="s">
        <v>55189</v>
      </c>
      <c r="B7" s="982" t="s">
        <v>54977</v>
      </c>
      <c r="C7" s="991" t="s">
        <v>55188</v>
      </c>
      <c r="D7" s="990">
        <v>52.95</v>
      </c>
    </row>
    <row r="8" spans="1:4" ht="12" customHeight="1">
      <c r="A8" s="982" t="s">
        <v>55187</v>
      </c>
      <c r="B8" s="982" t="s">
        <v>54977</v>
      </c>
      <c r="C8" s="991" t="s">
        <v>55186</v>
      </c>
      <c r="D8" s="990">
        <v>35.950000000000003</v>
      </c>
    </row>
    <row r="9" spans="1:4" ht="12" customHeight="1">
      <c r="A9" s="984">
        <v>1004</v>
      </c>
      <c r="B9" s="982" t="s">
        <v>54977</v>
      </c>
      <c r="C9" s="991" t="s">
        <v>55185</v>
      </c>
      <c r="D9" s="990">
        <v>44.95</v>
      </c>
    </row>
    <row r="10" spans="1:4" ht="12" customHeight="1">
      <c r="A10" s="982" t="s">
        <v>55184</v>
      </c>
      <c r="B10" s="982" t="s">
        <v>55183</v>
      </c>
      <c r="C10" s="982" t="s">
        <v>55182</v>
      </c>
      <c r="D10" s="990">
        <v>49.95</v>
      </c>
    </row>
    <row r="11" spans="1:4" ht="12" customHeight="1">
      <c r="A11" s="982" t="s">
        <v>55181</v>
      </c>
      <c r="B11" s="982" t="s">
        <v>55180</v>
      </c>
      <c r="C11" s="982" t="s">
        <v>55179</v>
      </c>
      <c r="D11" s="990">
        <v>49.95</v>
      </c>
    </row>
    <row r="12" spans="1:4" ht="12" customHeight="1">
      <c r="A12" s="984">
        <v>1005</v>
      </c>
      <c r="B12" s="982" t="s">
        <v>54977</v>
      </c>
      <c r="C12" s="991" t="s">
        <v>55178</v>
      </c>
      <c r="D12" s="990">
        <v>50.95</v>
      </c>
    </row>
    <row r="13" spans="1:4" ht="12" customHeight="1">
      <c r="A13" s="982" t="s">
        <v>55177</v>
      </c>
      <c r="B13" s="982" t="s">
        <v>54977</v>
      </c>
      <c r="C13" s="991" t="s">
        <v>55176</v>
      </c>
      <c r="D13" s="990">
        <v>48.95</v>
      </c>
    </row>
    <row r="14" spans="1:4" ht="12" customHeight="1">
      <c r="A14" s="984">
        <v>1006</v>
      </c>
      <c r="B14" s="982" t="s">
        <v>54977</v>
      </c>
      <c r="C14" s="991" t="s">
        <v>55175</v>
      </c>
      <c r="D14" s="990">
        <v>67.95</v>
      </c>
    </row>
    <row r="15" spans="1:4" ht="12" customHeight="1">
      <c r="A15" s="982" t="s">
        <v>55174</v>
      </c>
      <c r="B15" s="983"/>
      <c r="C15" s="991" t="s">
        <v>55173</v>
      </c>
      <c r="D15" s="990">
        <v>18.95</v>
      </c>
    </row>
    <row r="16" spans="1:4" ht="12" customHeight="1">
      <c r="A16" s="984">
        <v>1009</v>
      </c>
      <c r="B16" s="983"/>
      <c r="C16" s="991" t="s">
        <v>55172</v>
      </c>
      <c r="D16" s="990">
        <v>47.95</v>
      </c>
    </row>
    <row r="17" spans="1:4" ht="12" customHeight="1">
      <c r="A17" s="982" t="s">
        <v>55171</v>
      </c>
      <c r="B17" s="983"/>
      <c r="C17" s="991" t="s">
        <v>55170</v>
      </c>
      <c r="D17" s="990">
        <v>62.95</v>
      </c>
    </row>
    <row r="18" spans="1:4" ht="12" customHeight="1">
      <c r="A18" s="984">
        <v>1011</v>
      </c>
      <c r="B18" s="983"/>
      <c r="C18" s="991" t="s">
        <v>55169</v>
      </c>
      <c r="D18" s="990">
        <v>85.95</v>
      </c>
    </row>
    <row r="19" spans="1:4" ht="12" customHeight="1">
      <c r="A19" s="984">
        <v>1012</v>
      </c>
      <c r="B19" s="983"/>
      <c r="C19" s="991" t="s">
        <v>55168</v>
      </c>
      <c r="D19" s="990">
        <v>112.95</v>
      </c>
    </row>
    <row r="20" spans="1:4" ht="12" customHeight="1">
      <c r="A20" s="984">
        <v>1016</v>
      </c>
      <c r="B20" s="983"/>
      <c r="C20" s="991" t="s">
        <v>55167</v>
      </c>
      <c r="D20" s="990">
        <v>48.95</v>
      </c>
    </row>
    <row r="21" spans="1:4" ht="12" customHeight="1">
      <c r="A21" s="984">
        <v>1017</v>
      </c>
      <c r="B21" s="983"/>
      <c r="C21" s="991" t="s">
        <v>55166</v>
      </c>
      <c r="D21" s="990">
        <v>60.95</v>
      </c>
    </row>
    <row r="22" spans="1:4" ht="12" customHeight="1">
      <c r="A22" s="984">
        <v>1019</v>
      </c>
      <c r="B22" s="983"/>
      <c r="C22" s="991" t="s">
        <v>55165</v>
      </c>
      <c r="D22" s="990">
        <v>24.95</v>
      </c>
    </row>
    <row r="23" spans="1:4" ht="12" customHeight="1">
      <c r="A23" s="984">
        <v>1020</v>
      </c>
      <c r="B23" s="982" t="s">
        <v>54977</v>
      </c>
      <c r="C23" s="991" t="s">
        <v>55164</v>
      </c>
      <c r="D23" s="990">
        <v>126.95</v>
      </c>
    </row>
    <row r="24" spans="1:4" ht="12" customHeight="1">
      <c r="A24" s="984">
        <v>1021</v>
      </c>
      <c r="B24" s="982" t="s">
        <v>54977</v>
      </c>
      <c r="C24" s="991" t="s">
        <v>55163</v>
      </c>
      <c r="D24" s="990">
        <v>44.95</v>
      </c>
    </row>
    <row r="25" spans="1:4" ht="12" customHeight="1">
      <c r="A25" s="984">
        <v>1022</v>
      </c>
      <c r="B25" s="983"/>
      <c r="C25" s="991" t="s">
        <v>55162</v>
      </c>
      <c r="D25" s="990">
        <v>98.95</v>
      </c>
    </row>
    <row r="26" spans="1:4" ht="12" customHeight="1">
      <c r="A26" s="984">
        <v>1023</v>
      </c>
      <c r="B26" s="982" t="s">
        <v>54977</v>
      </c>
      <c r="C26" s="982" t="s">
        <v>55161</v>
      </c>
      <c r="D26" s="990">
        <v>99.95</v>
      </c>
    </row>
    <row r="27" spans="1:4" ht="12" customHeight="1">
      <c r="A27" s="982" t="s">
        <v>55160</v>
      </c>
      <c r="B27" s="983"/>
      <c r="C27" s="982" t="s">
        <v>55159</v>
      </c>
      <c r="D27" s="990">
        <v>109.95</v>
      </c>
    </row>
    <row r="28" spans="1:4" ht="12" customHeight="1">
      <c r="A28" s="984">
        <v>1026</v>
      </c>
      <c r="B28" s="983"/>
      <c r="C28" s="982" t="s">
        <v>55158</v>
      </c>
      <c r="D28" s="990">
        <v>51.95</v>
      </c>
    </row>
    <row r="29" spans="1:4" ht="12" customHeight="1">
      <c r="A29" s="984">
        <v>1027</v>
      </c>
      <c r="B29" s="983"/>
      <c r="C29" s="991" t="s">
        <v>55157</v>
      </c>
      <c r="D29" s="990">
        <v>21.95</v>
      </c>
    </row>
    <row r="30" spans="1:4" ht="12" customHeight="1">
      <c r="A30" s="982" t="s">
        <v>55156</v>
      </c>
      <c r="B30" s="983"/>
      <c r="C30" s="991" t="s">
        <v>55155</v>
      </c>
      <c r="D30" s="990">
        <v>21.95</v>
      </c>
    </row>
    <row r="31" spans="1:4" ht="12" customHeight="1">
      <c r="A31" s="984">
        <v>1028</v>
      </c>
      <c r="B31" s="983"/>
      <c r="C31" s="991" t="s">
        <v>55154</v>
      </c>
      <c r="D31" s="990">
        <v>17.95</v>
      </c>
    </row>
    <row r="32" spans="1:4" ht="12" customHeight="1">
      <c r="A32" s="982" t="s">
        <v>55153</v>
      </c>
      <c r="B32" s="983"/>
      <c r="C32" s="991" t="s">
        <v>55152</v>
      </c>
      <c r="D32" s="990">
        <v>20.95</v>
      </c>
    </row>
    <row r="33" spans="1:4" ht="12" customHeight="1">
      <c r="A33" s="984">
        <v>1029</v>
      </c>
      <c r="B33" s="983"/>
      <c r="C33" s="991" t="s">
        <v>55151</v>
      </c>
      <c r="D33" s="990">
        <v>20.95</v>
      </c>
    </row>
    <row r="34" spans="1:4" ht="12" customHeight="1">
      <c r="A34" s="984">
        <v>1033</v>
      </c>
      <c r="B34" s="983"/>
      <c r="C34" s="982" t="s">
        <v>55150</v>
      </c>
      <c r="D34" s="990">
        <v>16.95</v>
      </c>
    </row>
    <row r="35" spans="1:4" ht="12" customHeight="1">
      <c r="A35" s="984">
        <v>1035</v>
      </c>
      <c r="B35" s="983"/>
      <c r="C35" s="991" t="s">
        <v>55149</v>
      </c>
      <c r="D35" s="990">
        <v>152.94999999999999</v>
      </c>
    </row>
    <row r="36" spans="1:4" ht="12" customHeight="1">
      <c r="A36" s="982" t="s">
        <v>55148</v>
      </c>
      <c r="B36" s="983"/>
      <c r="C36" s="991" t="s">
        <v>55147</v>
      </c>
      <c r="D36" s="990">
        <v>50.95</v>
      </c>
    </row>
    <row r="37" spans="1:4" ht="12" customHeight="1">
      <c r="A37" s="982" t="s">
        <v>55146</v>
      </c>
      <c r="B37" s="983"/>
      <c r="C37" s="991" t="s">
        <v>55145</v>
      </c>
      <c r="D37" s="990">
        <v>58.95</v>
      </c>
    </row>
    <row r="38" spans="1:4" ht="12" customHeight="1">
      <c r="A38" s="982" t="s">
        <v>55144</v>
      </c>
      <c r="B38" s="983"/>
      <c r="C38" s="991" t="s">
        <v>55143</v>
      </c>
      <c r="D38" s="990">
        <v>84.95</v>
      </c>
    </row>
    <row r="39" spans="1:4" ht="12" customHeight="1">
      <c r="A39" s="984">
        <v>1041</v>
      </c>
      <c r="B39" s="983"/>
      <c r="C39" s="991" t="s">
        <v>55142</v>
      </c>
      <c r="D39" s="990">
        <v>101.95</v>
      </c>
    </row>
    <row r="40" spans="1:4" ht="12" customHeight="1">
      <c r="A40" s="982" t="s">
        <v>55141</v>
      </c>
      <c r="B40" s="983"/>
      <c r="C40" s="991" t="s">
        <v>55140</v>
      </c>
      <c r="D40" s="990">
        <v>123.95</v>
      </c>
    </row>
    <row r="41" spans="1:4" ht="12" customHeight="1">
      <c r="A41" s="982" t="s">
        <v>55139</v>
      </c>
      <c r="B41" s="983"/>
      <c r="C41" s="991" t="s">
        <v>55138</v>
      </c>
      <c r="D41" s="990">
        <v>51.95</v>
      </c>
    </row>
    <row r="42" spans="1:4" ht="12" customHeight="1">
      <c r="A42" s="982" t="s">
        <v>55137</v>
      </c>
      <c r="B42" s="983"/>
      <c r="C42" s="982" t="s">
        <v>55136</v>
      </c>
      <c r="D42" s="990">
        <v>67.95</v>
      </c>
    </row>
    <row r="43" spans="1:4" ht="12" customHeight="1">
      <c r="A43" s="982" t="s">
        <v>55135</v>
      </c>
      <c r="B43" s="983"/>
      <c r="C43" s="991" t="s">
        <v>55134</v>
      </c>
      <c r="D43" s="990">
        <v>57.95</v>
      </c>
    </row>
    <row r="44" spans="1:4" ht="12" customHeight="1">
      <c r="A44" s="982" t="s">
        <v>55133</v>
      </c>
      <c r="B44" s="983"/>
      <c r="C44" s="991" t="s">
        <v>55132</v>
      </c>
      <c r="D44" s="990">
        <v>74.95</v>
      </c>
    </row>
    <row r="45" spans="1:4" ht="12" customHeight="1">
      <c r="A45" s="982" t="s">
        <v>55131</v>
      </c>
      <c r="B45" s="983"/>
      <c r="C45" s="1000" t="s">
        <v>55130</v>
      </c>
      <c r="D45" s="990">
        <v>37.950000000000003</v>
      </c>
    </row>
    <row r="46" spans="1:4" ht="12" customHeight="1">
      <c r="A46" s="982" t="s">
        <v>55129</v>
      </c>
      <c r="B46" s="983"/>
      <c r="C46" s="1000" t="s">
        <v>55128</v>
      </c>
      <c r="D46" s="990">
        <v>48.95</v>
      </c>
    </row>
    <row r="47" spans="1:4" ht="12" customHeight="1">
      <c r="A47" s="982" t="s">
        <v>55127</v>
      </c>
      <c r="B47" s="983"/>
      <c r="C47" s="1000" t="s">
        <v>55126</v>
      </c>
      <c r="D47" s="990">
        <v>48.95</v>
      </c>
    </row>
    <row r="48" spans="1:4" ht="12" customHeight="1">
      <c r="A48" s="982" t="s">
        <v>55125</v>
      </c>
      <c r="B48" s="983"/>
      <c r="C48" s="999" t="s">
        <v>55124</v>
      </c>
      <c r="D48" s="990">
        <v>53.95</v>
      </c>
    </row>
    <row r="49" spans="1:4" ht="12" customHeight="1">
      <c r="A49" s="982" t="s">
        <v>55123</v>
      </c>
      <c r="B49" s="983"/>
      <c r="C49" s="1000" t="s">
        <v>55122</v>
      </c>
      <c r="D49" s="990">
        <v>55.95</v>
      </c>
    </row>
    <row r="50" spans="1:4" ht="12" customHeight="1">
      <c r="A50" s="982" t="s">
        <v>55121</v>
      </c>
      <c r="B50" s="983"/>
      <c r="C50" s="991" t="s">
        <v>55120</v>
      </c>
      <c r="D50" s="990">
        <v>57.95</v>
      </c>
    </row>
    <row r="51" spans="1:4" ht="12" customHeight="1">
      <c r="A51" s="982" t="s">
        <v>55119</v>
      </c>
      <c r="B51" s="983"/>
      <c r="C51" s="991" t="s">
        <v>55118</v>
      </c>
      <c r="D51" s="990">
        <v>73.95</v>
      </c>
    </row>
    <row r="52" spans="1:4" ht="12" customHeight="1">
      <c r="A52" s="982" t="s">
        <v>55117</v>
      </c>
      <c r="B52" s="983"/>
      <c r="C52" s="1002" t="s">
        <v>55116</v>
      </c>
      <c r="D52" s="990">
        <v>53.95</v>
      </c>
    </row>
    <row r="53" spans="1:4" ht="12" customHeight="1">
      <c r="A53" s="982" t="s">
        <v>55115</v>
      </c>
      <c r="B53" s="983"/>
      <c r="C53" s="1000" t="s">
        <v>55114</v>
      </c>
      <c r="D53" s="990">
        <v>50.95</v>
      </c>
    </row>
    <row r="54" spans="1:4" ht="12" customHeight="1">
      <c r="A54" s="982" t="s">
        <v>55113</v>
      </c>
      <c r="B54" s="983"/>
      <c r="C54" s="1000" t="s">
        <v>55112</v>
      </c>
      <c r="D54" s="990">
        <v>86.95</v>
      </c>
    </row>
    <row r="55" spans="1:4" ht="12" customHeight="1">
      <c r="A55" s="982" t="s">
        <v>55111</v>
      </c>
      <c r="B55" s="983"/>
      <c r="C55" s="1002" t="s">
        <v>55110</v>
      </c>
      <c r="D55" s="990">
        <v>90.95</v>
      </c>
    </row>
    <row r="56" spans="1:4" ht="12" customHeight="1">
      <c r="A56" s="982" t="s">
        <v>55109</v>
      </c>
      <c r="B56" s="983"/>
      <c r="C56" s="1001" t="s">
        <v>55108</v>
      </c>
      <c r="D56" s="990">
        <v>44.95</v>
      </c>
    </row>
    <row r="57" spans="1:4" ht="12" customHeight="1">
      <c r="A57" s="984">
        <v>1050</v>
      </c>
      <c r="B57" s="982" t="s">
        <v>54977</v>
      </c>
      <c r="C57" s="996" t="s">
        <v>55107</v>
      </c>
      <c r="D57" s="990">
        <v>71.95</v>
      </c>
    </row>
    <row r="58" spans="1:4" ht="12" customHeight="1">
      <c r="A58" s="984">
        <v>1070</v>
      </c>
      <c r="B58" s="982" t="s">
        <v>54977</v>
      </c>
      <c r="C58" s="991" t="s">
        <v>55106</v>
      </c>
      <c r="D58" s="990">
        <v>70.95</v>
      </c>
    </row>
    <row r="59" spans="1:4" ht="12" customHeight="1">
      <c r="A59" s="984">
        <v>1081</v>
      </c>
      <c r="B59" s="983"/>
      <c r="C59" s="1001" t="s">
        <v>55105</v>
      </c>
      <c r="D59" s="990">
        <v>88.95</v>
      </c>
    </row>
    <row r="60" spans="1:4" ht="12" customHeight="1">
      <c r="A60" s="984">
        <v>1085</v>
      </c>
      <c r="B60" s="982" t="s">
        <v>54977</v>
      </c>
      <c r="C60" s="991" t="s">
        <v>55104</v>
      </c>
      <c r="D60" s="990">
        <v>55.95</v>
      </c>
    </row>
    <row r="61" spans="1:4" ht="12" customHeight="1">
      <c r="A61" s="984">
        <v>1101</v>
      </c>
      <c r="B61" s="983"/>
      <c r="C61" s="991" t="s">
        <v>55103</v>
      </c>
      <c r="D61" s="990">
        <v>15.95</v>
      </c>
    </row>
    <row r="62" spans="1:4" ht="12" customHeight="1">
      <c r="A62" s="984">
        <v>1102</v>
      </c>
      <c r="B62" s="983"/>
      <c r="C62" s="991" t="s">
        <v>55102</v>
      </c>
      <c r="D62" s="990">
        <v>17.95</v>
      </c>
    </row>
    <row r="63" spans="1:4" ht="12" customHeight="1">
      <c r="A63" s="984">
        <v>1110</v>
      </c>
      <c r="B63" s="983"/>
      <c r="C63" s="991" t="s">
        <v>55101</v>
      </c>
      <c r="D63" s="990">
        <v>22.95</v>
      </c>
    </row>
    <row r="64" spans="1:4" ht="12" customHeight="1">
      <c r="A64" s="984">
        <v>1116</v>
      </c>
      <c r="B64" s="983"/>
      <c r="C64" s="991" t="s">
        <v>55100</v>
      </c>
      <c r="D64" s="990">
        <v>25.95</v>
      </c>
    </row>
    <row r="65" spans="1:4" ht="12" customHeight="1">
      <c r="A65" s="984">
        <v>2076</v>
      </c>
      <c r="B65" s="983"/>
      <c r="C65" s="991" t="s">
        <v>55099</v>
      </c>
      <c r="D65" s="990">
        <v>34.950000000000003</v>
      </c>
    </row>
    <row r="66" spans="1:4" ht="8" customHeight="1">
      <c r="A66" s="1005"/>
      <c r="B66" s="1005"/>
      <c r="C66" s="1005"/>
      <c r="D66" s="1005"/>
    </row>
    <row r="67" spans="1:4" ht="15.75" customHeight="1">
      <c r="A67" s="1006" t="s">
        <v>55098</v>
      </c>
      <c r="B67" s="1007"/>
      <c r="C67" s="1007"/>
      <c r="D67" s="1008"/>
    </row>
    <row r="68" spans="1:4" ht="18" customHeight="1">
      <c r="A68" s="987" t="s">
        <v>54395</v>
      </c>
      <c r="B68" s="988"/>
      <c r="C68" s="987" t="s">
        <v>54394</v>
      </c>
      <c r="D68" s="987" t="s">
        <v>54393</v>
      </c>
    </row>
    <row r="69" spans="1:4" ht="12" customHeight="1">
      <c r="A69" s="982" t="s">
        <v>55097</v>
      </c>
      <c r="B69" s="983"/>
      <c r="C69" s="1001" t="s">
        <v>55096</v>
      </c>
      <c r="D69" s="990">
        <v>247.95</v>
      </c>
    </row>
    <row r="70" spans="1:4" ht="12" customHeight="1">
      <c r="A70" s="982" t="s">
        <v>55095</v>
      </c>
      <c r="B70" s="983"/>
      <c r="C70" s="996" t="s">
        <v>55094</v>
      </c>
      <c r="D70" s="993">
        <v>2303.9499999999998</v>
      </c>
    </row>
    <row r="71" spans="1:4" ht="12" customHeight="1">
      <c r="A71" s="982" t="s">
        <v>55093</v>
      </c>
      <c r="B71" s="983"/>
      <c r="C71" s="996" t="s">
        <v>55092</v>
      </c>
      <c r="D71" s="993">
        <v>2967.95</v>
      </c>
    </row>
    <row r="72" spans="1:4" ht="12" customHeight="1">
      <c r="A72" s="982" t="s">
        <v>55091</v>
      </c>
      <c r="B72" s="983"/>
      <c r="C72" s="1001" t="s">
        <v>55090</v>
      </c>
      <c r="D72" s="990">
        <v>301.95</v>
      </c>
    </row>
    <row r="73" spans="1:4" ht="12" customHeight="1">
      <c r="A73" s="982" t="s">
        <v>55089</v>
      </c>
      <c r="B73" s="983"/>
      <c r="C73" s="1004" t="s">
        <v>55088</v>
      </c>
      <c r="D73" s="990">
        <v>70.95</v>
      </c>
    </row>
    <row r="74" spans="1:4" ht="12" customHeight="1">
      <c r="A74" s="982" t="s">
        <v>55087</v>
      </c>
      <c r="B74" s="983"/>
      <c r="C74" s="996" t="s">
        <v>55086</v>
      </c>
      <c r="D74" s="993">
        <v>2515.9499999999998</v>
      </c>
    </row>
    <row r="75" spans="1:4" ht="12" customHeight="1">
      <c r="A75" s="982" t="s">
        <v>55085</v>
      </c>
      <c r="B75" s="983"/>
      <c r="C75" s="996" t="s">
        <v>55084</v>
      </c>
      <c r="D75" s="993">
        <v>3250.95</v>
      </c>
    </row>
    <row r="76" spans="1:4" ht="12" customHeight="1">
      <c r="A76" s="982" t="s">
        <v>55083</v>
      </c>
      <c r="B76" s="982" t="s">
        <v>55080</v>
      </c>
      <c r="C76" s="982" t="s">
        <v>55082</v>
      </c>
      <c r="D76" s="990">
        <v>78.95</v>
      </c>
    </row>
    <row r="77" spans="1:4" ht="12" customHeight="1">
      <c r="A77" s="982" t="s">
        <v>55081</v>
      </c>
      <c r="B77" s="982" t="s">
        <v>55080</v>
      </c>
      <c r="C77" s="982" t="s">
        <v>55079</v>
      </c>
      <c r="D77" s="990">
        <v>156.94999999999999</v>
      </c>
    </row>
    <row r="78" spans="1:4" ht="8" customHeight="1">
      <c r="A78" s="1005"/>
      <c r="B78" s="1005"/>
      <c r="C78" s="1005"/>
      <c r="D78" s="1005"/>
    </row>
    <row r="79" spans="1:4" ht="15.75" customHeight="1">
      <c r="A79" s="1006" t="s">
        <v>55078</v>
      </c>
      <c r="B79" s="1007"/>
      <c r="C79" s="1007"/>
      <c r="D79" s="1008"/>
    </row>
    <row r="80" spans="1:4" ht="18" customHeight="1">
      <c r="A80" s="987" t="s">
        <v>54395</v>
      </c>
      <c r="B80" s="987" t="s">
        <v>55077</v>
      </c>
      <c r="C80" s="987" t="s">
        <v>54394</v>
      </c>
      <c r="D80" s="987" t="s">
        <v>54393</v>
      </c>
    </row>
    <row r="81" spans="1:4" ht="12" customHeight="1">
      <c r="A81" s="982" t="s">
        <v>55076</v>
      </c>
      <c r="B81" s="983"/>
      <c r="C81" s="982" t="s">
        <v>55075</v>
      </c>
      <c r="D81" s="990">
        <v>41.95</v>
      </c>
    </row>
    <row r="82" spans="1:4" ht="12" customHeight="1">
      <c r="A82" s="982" t="s">
        <v>55074</v>
      </c>
      <c r="B82" s="982" t="s">
        <v>54977</v>
      </c>
      <c r="C82" s="989" t="s">
        <v>55073</v>
      </c>
      <c r="D82" s="990">
        <v>219.95</v>
      </c>
    </row>
    <row r="83" spans="1:4" ht="12" customHeight="1">
      <c r="A83" s="982" t="s">
        <v>55072</v>
      </c>
      <c r="B83" s="982" t="s">
        <v>54977</v>
      </c>
      <c r="C83" s="1001" t="s">
        <v>55071</v>
      </c>
      <c r="D83" s="990">
        <v>214.95</v>
      </c>
    </row>
    <row r="84" spans="1:4" ht="12" customHeight="1">
      <c r="A84" s="982" t="s">
        <v>55070</v>
      </c>
      <c r="B84" s="982" t="s">
        <v>54977</v>
      </c>
      <c r="C84" s="998" t="s">
        <v>55069</v>
      </c>
      <c r="D84" s="990">
        <v>155.94999999999999</v>
      </c>
    </row>
    <row r="85" spans="1:4" ht="12" customHeight="1">
      <c r="A85" s="982" t="s">
        <v>55068</v>
      </c>
      <c r="B85" s="982" t="s">
        <v>54977</v>
      </c>
      <c r="C85" s="1003" t="s">
        <v>55067</v>
      </c>
      <c r="D85" s="990">
        <v>173.95</v>
      </c>
    </row>
    <row r="86" spans="1:4" ht="12" customHeight="1">
      <c r="A86" s="982" t="s">
        <v>55066</v>
      </c>
      <c r="B86" s="983"/>
      <c r="C86" s="991" t="s">
        <v>55065</v>
      </c>
      <c r="D86" s="990">
        <v>90.95</v>
      </c>
    </row>
    <row r="87" spans="1:4" ht="12" customHeight="1">
      <c r="A87" s="982" t="s">
        <v>55064</v>
      </c>
      <c r="B87" s="983"/>
      <c r="C87" s="1001" t="s">
        <v>55063</v>
      </c>
      <c r="D87" s="990">
        <v>59.95</v>
      </c>
    </row>
    <row r="88" spans="1:4" ht="12" customHeight="1">
      <c r="A88" s="982" t="s">
        <v>55062</v>
      </c>
      <c r="B88" s="982" t="s">
        <v>54977</v>
      </c>
      <c r="C88" s="991" t="s">
        <v>55061</v>
      </c>
      <c r="D88" s="990">
        <v>294.95</v>
      </c>
    </row>
    <row r="89" spans="1:4" ht="12" customHeight="1">
      <c r="A89" s="982" t="s">
        <v>55060</v>
      </c>
      <c r="B89" s="982" t="s">
        <v>54977</v>
      </c>
      <c r="C89" s="991" t="s">
        <v>55059</v>
      </c>
      <c r="D89" s="990">
        <v>355.95</v>
      </c>
    </row>
    <row r="90" spans="1:4" ht="12" customHeight="1">
      <c r="A90" s="982" t="s">
        <v>55058</v>
      </c>
      <c r="B90" s="982" t="s">
        <v>54977</v>
      </c>
      <c r="C90" s="1000" t="s">
        <v>55057</v>
      </c>
      <c r="D90" s="990">
        <v>64.95</v>
      </c>
    </row>
    <row r="91" spans="1:4" ht="12" customHeight="1">
      <c r="A91" s="982" t="s">
        <v>55056</v>
      </c>
      <c r="B91" s="982" t="s">
        <v>54977</v>
      </c>
      <c r="C91" s="999" t="s">
        <v>55055</v>
      </c>
      <c r="D91" s="990">
        <v>75.95</v>
      </c>
    </row>
    <row r="92" spans="1:4" ht="12" customHeight="1">
      <c r="A92" s="982" t="s">
        <v>55054</v>
      </c>
      <c r="B92" s="982" t="s">
        <v>54977</v>
      </c>
      <c r="C92" s="1001" t="s">
        <v>55053</v>
      </c>
      <c r="D92" s="990">
        <v>82.95</v>
      </c>
    </row>
    <row r="93" spans="1:4" ht="12" customHeight="1">
      <c r="A93" s="982" t="s">
        <v>55052</v>
      </c>
      <c r="B93" s="982" t="s">
        <v>54977</v>
      </c>
      <c r="C93" s="999" t="s">
        <v>55051</v>
      </c>
      <c r="D93" s="990">
        <v>63.95</v>
      </c>
    </row>
    <row r="94" spans="1:4" ht="12" customHeight="1">
      <c r="A94" s="982" t="s">
        <v>55050</v>
      </c>
      <c r="B94" s="982" t="s">
        <v>54977</v>
      </c>
      <c r="C94" s="1001" t="s">
        <v>55049</v>
      </c>
      <c r="D94" s="990">
        <v>76.95</v>
      </c>
    </row>
    <row r="95" spans="1:4" ht="12" customHeight="1">
      <c r="A95" s="982" t="s">
        <v>55048</v>
      </c>
      <c r="B95" s="982" t="s">
        <v>54977</v>
      </c>
      <c r="C95" s="999" t="s">
        <v>55047</v>
      </c>
      <c r="D95" s="990">
        <v>82.95</v>
      </c>
    </row>
    <row r="96" spans="1:4" ht="12" customHeight="1">
      <c r="A96" s="982" t="s">
        <v>55046</v>
      </c>
      <c r="B96" s="982" t="s">
        <v>54977</v>
      </c>
      <c r="C96" s="991" t="s">
        <v>55045</v>
      </c>
      <c r="D96" s="990">
        <v>87.95</v>
      </c>
    </row>
    <row r="97" spans="1:4" ht="12" customHeight="1">
      <c r="A97" s="982" t="s">
        <v>55044</v>
      </c>
      <c r="B97" s="982" t="s">
        <v>54977</v>
      </c>
      <c r="C97" s="1001" t="s">
        <v>55043</v>
      </c>
      <c r="D97" s="990">
        <v>99.95</v>
      </c>
    </row>
    <row r="98" spans="1:4" ht="12" customHeight="1">
      <c r="A98" s="982" t="s">
        <v>55042</v>
      </c>
      <c r="B98" s="982" t="s">
        <v>54977</v>
      </c>
      <c r="C98" s="1001" t="s">
        <v>55041</v>
      </c>
      <c r="D98" s="990">
        <v>125.95</v>
      </c>
    </row>
    <row r="99" spans="1:4" ht="12" customHeight="1">
      <c r="A99" s="982" t="s">
        <v>55040</v>
      </c>
      <c r="B99" s="982" t="s">
        <v>54977</v>
      </c>
      <c r="C99" s="1001" t="s">
        <v>55039</v>
      </c>
      <c r="D99" s="990">
        <v>154.94999999999999</v>
      </c>
    </row>
    <row r="100" spans="1:4" ht="12" customHeight="1">
      <c r="A100" s="982" t="s">
        <v>55038</v>
      </c>
      <c r="B100" s="983"/>
      <c r="C100" s="1001" t="s">
        <v>55037</v>
      </c>
      <c r="D100" s="990">
        <v>155.94999999999999</v>
      </c>
    </row>
    <row r="101" spans="1:4" ht="12" customHeight="1">
      <c r="A101" s="982" t="s">
        <v>55036</v>
      </c>
      <c r="B101" s="982" t="s">
        <v>54977</v>
      </c>
      <c r="C101" s="1002" t="s">
        <v>55035</v>
      </c>
      <c r="D101" s="990">
        <v>134.94999999999999</v>
      </c>
    </row>
    <row r="102" spans="1:4" ht="12" customHeight="1">
      <c r="A102" s="982" t="s">
        <v>55034</v>
      </c>
      <c r="B102" s="982" t="s">
        <v>54977</v>
      </c>
      <c r="C102" s="991" t="s">
        <v>55033</v>
      </c>
      <c r="D102" s="990">
        <v>151.94999999999999</v>
      </c>
    </row>
    <row r="103" spans="1:4" ht="12" customHeight="1">
      <c r="A103" s="982" t="s">
        <v>55032</v>
      </c>
      <c r="B103" s="982" t="s">
        <v>54977</v>
      </c>
      <c r="C103" s="998" t="s">
        <v>55031</v>
      </c>
      <c r="D103" s="990">
        <v>171.95</v>
      </c>
    </row>
    <row r="104" spans="1:4" ht="12" customHeight="1">
      <c r="A104" s="982" t="s">
        <v>55030</v>
      </c>
      <c r="B104" s="982" t="s">
        <v>54977</v>
      </c>
      <c r="C104" s="1001" t="s">
        <v>55029</v>
      </c>
      <c r="D104" s="990">
        <v>177.95</v>
      </c>
    </row>
    <row r="105" spans="1:4" ht="12" customHeight="1">
      <c r="A105" s="982" t="s">
        <v>55028</v>
      </c>
      <c r="B105" s="982" t="s">
        <v>54977</v>
      </c>
      <c r="C105" s="1000" t="s">
        <v>55027</v>
      </c>
      <c r="D105" s="990">
        <v>182.95</v>
      </c>
    </row>
    <row r="106" spans="1:4" ht="12" customHeight="1">
      <c r="A106" s="982" t="s">
        <v>55026</v>
      </c>
      <c r="B106" s="982" t="s">
        <v>54977</v>
      </c>
      <c r="C106" s="998" t="s">
        <v>55025</v>
      </c>
      <c r="D106" s="990">
        <v>178.95</v>
      </c>
    </row>
    <row r="107" spans="1:4" ht="12" customHeight="1">
      <c r="A107" s="982" t="s">
        <v>55024</v>
      </c>
      <c r="B107" s="982" t="s">
        <v>54977</v>
      </c>
      <c r="C107" s="999" t="s">
        <v>55023</v>
      </c>
      <c r="D107" s="990">
        <v>171.95</v>
      </c>
    </row>
    <row r="108" spans="1:4" ht="12" customHeight="1">
      <c r="A108" s="982" t="s">
        <v>55022</v>
      </c>
      <c r="B108" s="982" t="s">
        <v>54977</v>
      </c>
      <c r="C108" s="1001" t="s">
        <v>55021</v>
      </c>
      <c r="D108" s="990">
        <v>111.95</v>
      </c>
    </row>
    <row r="109" spans="1:4" ht="12" customHeight="1">
      <c r="A109" s="982" t="s">
        <v>55020</v>
      </c>
      <c r="B109" s="982" t="s">
        <v>54977</v>
      </c>
      <c r="C109" s="997" t="s">
        <v>55019</v>
      </c>
      <c r="D109" s="990">
        <v>119.95</v>
      </c>
    </row>
    <row r="110" spans="1:4" ht="12" customHeight="1">
      <c r="A110" s="982" t="s">
        <v>55018</v>
      </c>
      <c r="B110" s="983"/>
      <c r="C110" s="1000" t="s">
        <v>55017</v>
      </c>
      <c r="D110" s="990">
        <v>55.95</v>
      </c>
    </row>
    <row r="111" spans="1:4" ht="12" customHeight="1">
      <c r="A111" s="982" t="s">
        <v>55016</v>
      </c>
      <c r="B111" s="982" t="s">
        <v>54977</v>
      </c>
      <c r="C111" s="991" t="s">
        <v>55015</v>
      </c>
      <c r="D111" s="990">
        <v>169.95</v>
      </c>
    </row>
    <row r="112" spans="1:4" ht="12" customHeight="1">
      <c r="A112" s="982" t="s">
        <v>55014</v>
      </c>
      <c r="B112" s="982" t="s">
        <v>54977</v>
      </c>
      <c r="C112" s="999" t="s">
        <v>55013</v>
      </c>
      <c r="D112" s="990">
        <v>121.95</v>
      </c>
    </row>
    <row r="113" spans="1:4" ht="12" customHeight="1">
      <c r="A113" s="982" t="s">
        <v>55012</v>
      </c>
      <c r="B113" s="983"/>
      <c r="C113" s="982" t="s">
        <v>55011</v>
      </c>
      <c r="D113" s="990">
        <v>58.95</v>
      </c>
    </row>
    <row r="114" spans="1:4" ht="12" customHeight="1">
      <c r="A114" s="982" t="s">
        <v>55010</v>
      </c>
      <c r="B114" s="982" t="s">
        <v>54977</v>
      </c>
      <c r="C114" s="998" t="s">
        <v>55009</v>
      </c>
      <c r="D114" s="990">
        <v>263.95</v>
      </c>
    </row>
    <row r="115" spans="1:4" ht="12" customHeight="1">
      <c r="A115" s="982" t="s">
        <v>55008</v>
      </c>
      <c r="B115" s="982" t="s">
        <v>54977</v>
      </c>
      <c r="C115" s="997" t="s">
        <v>55007</v>
      </c>
      <c r="D115" s="990">
        <v>203.95</v>
      </c>
    </row>
    <row r="116" spans="1:4" ht="12" customHeight="1">
      <c r="A116" s="982" t="s">
        <v>55006</v>
      </c>
      <c r="B116" s="982" t="s">
        <v>54977</v>
      </c>
      <c r="C116" s="996" t="s">
        <v>55005</v>
      </c>
      <c r="D116" s="990">
        <v>217.95</v>
      </c>
    </row>
    <row r="117" spans="1:4" ht="12" customHeight="1">
      <c r="A117" s="982" t="s">
        <v>55004</v>
      </c>
      <c r="B117" s="982" t="s">
        <v>54970</v>
      </c>
      <c r="C117" s="989" t="s">
        <v>55003</v>
      </c>
      <c r="D117" s="990">
        <v>130.94999999999999</v>
      </c>
    </row>
    <row r="118" spans="1:4" ht="12" customHeight="1">
      <c r="A118" s="982" t="s">
        <v>55002</v>
      </c>
      <c r="B118" s="982" t="s">
        <v>54970</v>
      </c>
      <c r="C118" s="989" t="s">
        <v>55001</v>
      </c>
      <c r="D118" s="990">
        <v>142.94999999999999</v>
      </c>
    </row>
    <row r="119" spans="1:4" ht="12" customHeight="1">
      <c r="A119" s="982" t="s">
        <v>55000</v>
      </c>
      <c r="B119" s="982" t="s">
        <v>54970</v>
      </c>
      <c r="C119" s="989" t="s">
        <v>54999</v>
      </c>
      <c r="D119" s="990">
        <v>177.95</v>
      </c>
    </row>
    <row r="120" spans="1:4" ht="12" customHeight="1">
      <c r="A120" s="982" t="s">
        <v>54998</v>
      </c>
      <c r="B120" s="982" t="s">
        <v>54977</v>
      </c>
      <c r="C120" s="991" t="s">
        <v>54997</v>
      </c>
      <c r="D120" s="990">
        <v>68.95</v>
      </c>
    </row>
    <row r="121" spans="1:4" ht="12" customHeight="1">
      <c r="A121" s="982" t="s">
        <v>54996</v>
      </c>
      <c r="B121" s="982" t="s">
        <v>54977</v>
      </c>
      <c r="C121" s="991" t="s">
        <v>54995</v>
      </c>
      <c r="D121" s="990">
        <v>77.95</v>
      </c>
    </row>
    <row r="122" spans="1:4" ht="12" customHeight="1">
      <c r="A122" s="982" t="s">
        <v>54994</v>
      </c>
      <c r="B122" s="982" t="s">
        <v>54977</v>
      </c>
      <c r="C122" s="991" t="s">
        <v>54993</v>
      </c>
      <c r="D122" s="990">
        <v>85.95</v>
      </c>
    </row>
    <row r="123" spans="1:4" ht="12" customHeight="1">
      <c r="A123" s="982" t="s">
        <v>54992</v>
      </c>
      <c r="B123" s="982" t="s">
        <v>54977</v>
      </c>
      <c r="C123" s="991" t="s">
        <v>54991</v>
      </c>
      <c r="D123" s="990">
        <v>73.95</v>
      </c>
    </row>
    <row r="124" spans="1:4" ht="12" customHeight="1">
      <c r="A124" s="982" t="s">
        <v>54990</v>
      </c>
      <c r="B124" s="982" t="s">
        <v>54977</v>
      </c>
      <c r="C124" s="991" t="s">
        <v>54989</v>
      </c>
      <c r="D124" s="990">
        <v>82.95</v>
      </c>
    </row>
    <row r="125" spans="1:4" ht="12" customHeight="1">
      <c r="A125" s="982" t="s">
        <v>54988</v>
      </c>
      <c r="B125" s="982" t="s">
        <v>54977</v>
      </c>
      <c r="C125" s="991" t="s">
        <v>54987</v>
      </c>
      <c r="D125" s="990">
        <v>95.95</v>
      </c>
    </row>
    <row r="126" spans="1:4" ht="12" customHeight="1">
      <c r="A126" s="982" t="s">
        <v>54986</v>
      </c>
      <c r="B126" s="982" t="s">
        <v>54977</v>
      </c>
      <c r="C126" s="989" t="s">
        <v>54985</v>
      </c>
      <c r="D126" s="990">
        <v>127.95</v>
      </c>
    </row>
    <row r="127" spans="1:4" ht="12" customHeight="1">
      <c r="A127" s="982" t="s">
        <v>54984</v>
      </c>
      <c r="B127" s="982" t="s">
        <v>54977</v>
      </c>
      <c r="C127" s="989" t="s">
        <v>54983</v>
      </c>
      <c r="D127" s="990">
        <v>143.94999999999999</v>
      </c>
    </row>
    <row r="128" spans="1:4" ht="12" customHeight="1">
      <c r="A128" s="982" t="s">
        <v>54982</v>
      </c>
      <c r="B128" s="982" t="s">
        <v>54977</v>
      </c>
      <c r="C128" s="982" t="s">
        <v>54981</v>
      </c>
      <c r="D128" s="990">
        <v>205.95</v>
      </c>
    </row>
    <row r="129" spans="1:4" ht="12" customHeight="1">
      <c r="A129" s="982" t="s">
        <v>54980</v>
      </c>
      <c r="B129" s="982" t="s">
        <v>54977</v>
      </c>
      <c r="C129" s="982" t="s">
        <v>54979</v>
      </c>
      <c r="D129" s="990">
        <v>146.94999999999999</v>
      </c>
    </row>
    <row r="130" spans="1:4" ht="12" customHeight="1">
      <c r="A130" s="982" t="s">
        <v>54978</v>
      </c>
      <c r="B130" s="982" t="s">
        <v>54977</v>
      </c>
      <c r="C130" s="982" t="s">
        <v>54976</v>
      </c>
      <c r="D130" s="990">
        <v>153.94999999999999</v>
      </c>
    </row>
    <row r="131" spans="1:4" ht="12" customHeight="1">
      <c r="A131" s="982" t="s">
        <v>54975</v>
      </c>
      <c r="B131" s="982" t="s">
        <v>54970</v>
      </c>
      <c r="C131" s="989" t="s">
        <v>54974</v>
      </c>
      <c r="D131" s="990">
        <v>85.95</v>
      </c>
    </row>
    <row r="132" spans="1:4" ht="12" customHeight="1">
      <c r="A132" s="982" t="s">
        <v>54973</v>
      </c>
      <c r="B132" s="982" t="s">
        <v>54970</v>
      </c>
      <c r="C132" s="989" t="s">
        <v>54972</v>
      </c>
      <c r="D132" s="990">
        <v>102.95</v>
      </c>
    </row>
    <row r="133" spans="1:4" ht="12" customHeight="1">
      <c r="A133" s="982" t="s">
        <v>54971</v>
      </c>
      <c r="B133" s="982" t="s">
        <v>54970</v>
      </c>
      <c r="C133" s="989" t="s">
        <v>54969</v>
      </c>
      <c r="D133" s="990">
        <v>120.95</v>
      </c>
    </row>
    <row r="134" spans="1:4" ht="12" customHeight="1">
      <c r="A134" s="982" t="s">
        <v>54968</v>
      </c>
      <c r="B134" s="983"/>
      <c r="C134" s="991" t="s">
        <v>54967</v>
      </c>
      <c r="D134" s="990">
        <v>111.95</v>
      </c>
    </row>
    <row r="135" spans="1:4" ht="12" customHeight="1">
      <c r="A135" s="982" t="s">
        <v>54966</v>
      </c>
      <c r="B135" s="983"/>
      <c r="C135" s="982" t="s">
        <v>54965</v>
      </c>
      <c r="D135" s="990">
        <v>64.95</v>
      </c>
    </row>
    <row r="136" spans="1:4" ht="12" customHeight="1">
      <c r="A136" s="982" t="s">
        <v>54964</v>
      </c>
      <c r="B136" s="983"/>
      <c r="C136" s="982" t="s">
        <v>54963</v>
      </c>
      <c r="D136" s="990">
        <v>75.95</v>
      </c>
    </row>
    <row r="137" spans="1:4" ht="12" customHeight="1">
      <c r="A137" s="982" t="s">
        <v>54962</v>
      </c>
      <c r="B137" s="983"/>
      <c r="C137" s="982" t="s">
        <v>54961</v>
      </c>
      <c r="D137" s="990">
        <v>82.95</v>
      </c>
    </row>
    <row r="138" spans="1:4" ht="12" customHeight="1">
      <c r="A138" s="982" t="s">
        <v>54960</v>
      </c>
      <c r="B138" s="983"/>
      <c r="C138" s="982" t="s">
        <v>54959</v>
      </c>
      <c r="D138" s="990">
        <v>141.94999999999999</v>
      </c>
    </row>
    <row r="139" spans="1:4" ht="12" customHeight="1">
      <c r="A139" s="982" t="s">
        <v>54958</v>
      </c>
      <c r="B139" s="983"/>
      <c r="C139" s="982" t="s">
        <v>54957</v>
      </c>
      <c r="D139" s="990">
        <v>163.95</v>
      </c>
    </row>
    <row r="140" spans="1:4" ht="12" customHeight="1">
      <c r="A140" s="982" t="s">
        <v>54956</v>
      </c>
      <c r="B140" s="983"/>
      <c r="C140" s="982" t="s">
        <v>54955</v>
      </c>
      <c r="D140" s="990">
        <v>173.95</v>
      </c>
    </row>
    <row r="141" spans="1:4" ht="12" customHeight="1">
      <c r="A141" s="982" t="s">
        <v>54954</v>
      </c>
      <c r="B141" s="983"/>
      <c r="C141" s="982" t="s">
        <v>54953</v>
      </c>
      <c r="D141" s="990">
        <v>68.95</v>
      </c>
    </row>
    <row r="142" spans="1:4" ht="12" customHeight="1">
      <c r="A142" s="982" t="s">
        <v>54952</v>
      </c>
      <c r="B142" s="983"/>
      <c r="C142" s="982" t="s">
        <v>54951</v>
      </c>
      <c r="D142" s="990">
        <v>77.95</v>
      </c>
    </row>
    <row r="143" spans="1:4" ht="12" customHeight="1">
      <c r="A143" s="982" t="s">
        <v>54950</v>
      </c>
      <c r="B143" s="983"/>
      <c r="C143" s="982" t="s">
        <v>54949</v>
      </c>
      <c r="D143" s="990">
        <v>85.95</v>
      </c>
    </row>
    <row r="144" spans="1:4" ht="15.75" customHeight="1">
      <c r="A144" s="1026" t="s">
        <v>54948</v>
      </c>
      <c r="B144" s="1027"/>
      <c r="C144" s="1027"/>
      <c r="D144" s="1028"/>
    </row>
    <row r="145" spans="1:4" ht="18" customHeight="1">
      <c r="A145" s="987" t="s">
        <v>54395</v>
      </c>
      <c r="B145" s="987" t="s">
        <v>54647</v>
      </c>
      <c r="C145" s="987" t="s">
        <v>54394</v>
      </c>
      <c r="D145" s="987" t="s">
        <v>54393</v>
      </c>
    </row>
    <row r="146" spans="1:4" ht="12" customHeight="1">
      <c r="A146" s="982" t="s">
        <v>54947</v>
      </c>
      <c r="B146" s="982" t="s">
        <v>54730</v>
      </c>
      <c r="C146" s="995" t="s">
        <v>54946</v>
      </c>
      <c r="D146" s="990">
        <v>35.950000000000003</v>
      </c>
    </row>
    <row r="147" spans="1:4" ht="12" customHeight="1">
      <c r="A147" s="982" t="s">
        <v>54945</v>
      </c>
      <c r="B147" s="982" t="s">
        <v>54727</v>
      </c>
      <c r="C147" s="994" t="s">
        <v>54944</v>
      </c>
      <c r="D147" s="990">
        <v>60.95</v>
      </c>
    </row>
    <row r="148" spans="1:4" ht="12" customHeight="1">
      <c r="A148" s="982" t="s">
        <v>54943</v>
      </c>
      <c r="B148" s="982" t="s">
        <v>54598</v>
      </c>
      <c r="C148" s="994" t="s">
        <v>54942</v>
      </c>
      <c r="D148" s="990">
        <v>93.95</v>
      </c>
    </row>
    <row r="149" spans="1:4" ht="12" customHeight="1">
      <c r="A149" s="982" t="s">
        <v>54941</v>
      </c>
      <c r="B149" s="982" t="s">
        <v>54610</v>
      </c>
      <c r="C149" s="994" t="s">
        <v>54940</v>
      </c>
      <c r="D149" s="990">
        <v>121.95</v>
      </c>
    </row>
    <row r="150" spans="1:4" ht="12" customHeight="1">
      <c r="A150" s="982" t="s">
        <v>54939</v>
      </c>
      <c r="B150" s="982" t="s">
        <v>54629</v>
      </c>
      <c r="C150" s="994" t="s">
        <v>54938</v>
      </c>
      <c r="D150" s="990">
        <v>149.94999999999999</v>
      </c>
    </row>
    <row r="151" spans="1:4" ht="12" customHeight="1">
      <c r="A151" s="982" t="s">
        <v>54937</v>
      </c>
      <c r="B151" s="982" t="s">
        <v>54626</v>
      </c>
      <c r="C151" s="994" t="s">
        <v>54936</v>
      </c>
      <c r="D151" s="990">
        <v>182.95</v>
      </c>
    </row>
    <row r="152" spans="1:4" ht="12" customHeight="1">
      <c r="A152" s="982" t="s">
        <v>54935</v>
      </c>
      <c r="B152" s="982" t="s">
        <v>54730</v>
      </c>
      <c r="C152" s="995" t="s">
        <v>54934</v>
      </c>
      <c r="D152" s="990">
        <v>70.95</v>
      </c>
    </row>
    <row r="153" spans="1:4" ht="12" customHeight="1">
      <c r="A153" s="982" t="s">
        <v>54933</v>
      </c>
      <c r="B153" s="982" t="s">
        <v>54727</v>
      </c>
      <c r="C153" s="994" t="s">
        <v>54932</v>
      </c>
      <c r="D153" s="990">
        <v>120.95</v>
      </c>
    </row>
    <row r="154" spans="1:4" ht="12" customHeight="1">
      <c r="A154" s="982" t="s">
        <v>54931</v>
      </c>
      <c r="B154" s="982" t="s">
        <v>54598</v>
      </c>
      <c r="C154" s="994" t="s">
        <v>54930</v>
      </c>
      <c r="D154" s="990">
        <v>183.95</v>
      </c>
    </row>
    <row r="155" spans="1:4" ht="12" customHeight="1">
      <c r="A155" s="982" t="s">
        <v>54929</v>
      </c>
      <c r="B155" s="982" t="s">
        <v>54610</v>
      </c>
      <c r="C155" s="994" t="s">
        <v>54928</v>
      </c>
      <c r="D155" s="990">
        <v>239.95</v>
      </c>
    </row>
    <row r="156" spans="1:4" ht="12" customHeight="1">
      <c r="A156" s="982" t="s">
        <v>54927</v>
      </c>
      <c r="B156" s="982" t="s">
        <v>54629</v>
      </c>
      <c r="C156" s="994" t="s">
        <v>54926</v>
      </c>
      <c r="D156" s="990">
        <v>297.95</v>
      </c>
    </row>
    <row r="157" spans="1:4" ht="12" customHeight="1">
      <c r="A157" s="982" t="s">
        <v>54925</v>
      </c>
      <c r="B157" s="982" t="s">
        <v>54626</v>
      </c>
      <c r="C157" s="994" t="s">
        <v>54924</v>
      </c>
      <c r="D157" s="990">
        <v>355.95</v>
      </c>
    </row>
    <row r="158" spans="1:4" ht="12" customHeight="1">
      <c r="A158" s="982" t="s">
        <v>54923</v>
      </c>
      <c r="B158" s="982" t="s">
        <v>54730</v>
      </c>
      <c r="C158" s="995" t="s">
        <v>54922</v>
      </c>
      <c r="D158" s="990">
        <v>102.95</v>
      </c>
    </row>
    <row r="159" spans="1:4" ht="12" customHeight="1">
      <c r="A159" s="982" t="s">
        <v>54921</v>
      </c>
      <c r="B159" s="982" t="s">
        <v>54727</v>
      </c>
      <c r="C159" s="994" t="s">
        <v>54920</v>
      </c>
      <c r="D159" s="990">
        <v>183.95</v>
      </c>
    </row>
    <row r="160" spans="1:4" ht="12" customHeight="1">
      <c r="A160" s="982" t="s">
        <v>54919</v>
      </c>
      <c r="B160" s="982" t="s">
        <v>54598</v>
      </c>
      <c r="C160" s="994" t="s">
        <v>54918</v>
      </c>
      <c r="D160" s="990">
        <v>273.95</v>
      </c>
    </row>
    <row r="161" spans="1:4" ht="12" customHeight="1">
      <c r="A161" s="982" t="s">
        <v>54917</v>
      </c>
      <c r="B161" s="982" t="s">
        <v>54610</v>
      </c>
      <c r="C161" s="994" t="s">
        <v>54916</v>
      </c>
      <c r="D161" s="990">
        <v>360.95</v>
      </c>
    </row>
    <row r="162" spans="1:4" ht="12" customHeight="1">
      <c r="A162" s="982" t="s">
        <v>54915</v>
      </c>
      <c r="B162" s="982" t="s">
        <v>54629</v>
      </c>
      <c r="C162" s="994" t="s">
        <v>54914</v>
      </c>
      <c r="D162" s="990">
        <v>446.95</v>
      </c>
    </row>
    <row r="163" spans="1:4" ht="12" customHeight="1">
      <c r="A163" s="982" t="s">
        <v>54913</v>
      </c>
      <c r="B163" s="982" t="s">
        <v>54626</v>
      </c>
      <c r="C163" s="994" t="s">
        <v>54912</v>
      </c>
      <c r="D163" s="990">
        <v>531.95000000000005</v>
      </c>
    </row>
    <row r="164" spans="1:4" ht="12" customHeight="1">
      <c r="A164" s="982" t="s">
        <v>54911</v>
      </c>
      <c r="B164" s="982" t="s">
        <v>54730</v>
      </c>
      <c r="C164" s="995" t="s">
        <v>54910</v>
      </c>
      <c r="D164" s="990">
        <v>139.94999999999999</v>
      </c>
    </row>
    <row r="165" spans="1:4" ht="12" customHeight="1">
      <c r="A165" s="982" t="s">
        <v>54909</v>
      </c>
      <c r="B165" s="982" t="s">
        <v>54727</v>
      </c>
      <c r="C165" s="994" t="s">
        <v>54908</v>
      </c>
      <c r="D165" s="990">
        <v>240.95</v>
      </c>
    </row>
    <row r="166" spans="1:4" ht="12" customHeight="1">
      <c r="A166" s="982" t="s">
        <v>54907</v>
      </c>
      <c r="B166" s="982" t="s">
        <v>54598</v>
      </c>
      <c r="C166" s="994" t="s">
        <v>54906</v>
      </c>
      <c r="D166" s="990">
        <v>364.95</v>
      </c>
    </row>
    <row r="167" spans="1:4" ht="12" customHeight="1">
      <c r="A167" s="982" t="s">
        <v>54905</v>
      </c>
      <c r="B167" s="982" t="s">
        <v>54610</v>
      </c>
      <c r="C167" s="994" t="s">
        <v>54904</v>
      </c>
      <c r="D167" s="990">
        <v>478.95</v>
      </c>
    </row>
    <row r="168" spans="1:4" ht="12" customHeight="1">
      <c r="A168" s="982" t="s">
        <v>54903</v>
      </c>
      <c r="B168" s="982" t="s">
        <v>54629</v>
      </c>
      <c r="C168" s="994" t="s">
        <v>54902</v>
      </c>
      <c r="D168" s="990">
        <v>594.95000000000005</v>
      </c>
    </row>
    <row r="169" spans="1:4" ht="12" customHeight="1">
      <c r="A169" s="982" t="s">
        <v>54901</v>
      </c>
      <c r="B169" s="982" t="s">
        <v>54626</v>
      </c>
      <c r="C169" s="994" t="s">
        <v>54900</v>
      </c>
      <c r="D169" s="990">
        <v>708.95</v>
      </c>
    </row>
    <row r="170" spans="1:4" ht="12" customHeight="1">
      <c r="A170" s="982" t="s">
        <v>54899</v>
      </c>
      <c r="B170" s="982" t="s">
        <v>54730</v>
      </c>
      <c r="C170" s="995" t="s">
        <v>54898</v>
      </c>
      <c r="D170" s="990">
        <v>171.95</v>
      </c>
    </row>
    <row r="171" spans="1:4" ht="12" customHeight="1">
      <c r="A171" s="982" t="s">
        <v>54897</v>
      </c>
      <c r="B171" s="982" t="s">
        <v>54727</v>
      </c>
      <c r="C171" s="994" t="s">
        <v>54896</v>
      </c>
      <c r="D171" s="990">
        <v>300.95</v>
      </c>
    </row>
    <row r="172" spans="1:4" ht="12" customHeight="1">
      <c r="A172" s="982" t="s">
        <v>54895</v>
      </c>
      <c r="B172" s="982" t="s">
        <v>54598</v>
      </c>
      <c r="C172" s="994" t="s">
        <v>54894</v>
      </c>
      <c r="D172" s="990">
        <v>455.95</v>
      </c>
    </row>
    <row r="173" spans="1:4" ht="12" customHeight="1">
      <c r="A173" s="982" t="s">
        <v>54893</v>
      </c>
      <c r="B173" s="982" t="s">
        <v>54610</v>
      </c>
      <c r="C173" s="994" t="s">
        <v>54892</v>
      </c>
      <c r="D173" s="990">
        <v>599.95000000000005</v>
      </c>
    </row>
    <row r="174" spans="1:4" ht="12" customHeight="1">
      <c r="A174" s="982" t="s">
        <v>54891</v>
      </c>
      <c r="B174" s="982" t="s">
        <v>54629</v>
      </c>
      <c r="C174" s="994" t="s">
        <v>54890</v>
      </c>
      <c r="D174" s="990">
        <v>753.95</v>
      </c>
    </row>
    <row r="175" spans="1:4" ht="12" customHeight="1">
      <c r="A175" s="982" t="s">
        <v>54889</v>
      </c>
      <c r="B175" s="982" t="s">
        <v>54626</v>
      </c>
      <c r="C175" s="994" t="s">
        <v>54888</v>
      </c>
      <c r="D175" s="990">
        <v>902.95</v>
      </c>
    </row>
    <row r="176" spans="1:4" ht="12" customHeight="1">
      <c r="A176" s="982" t="s">
        <v>54887</v>
      </c>
      <c r="B176" s="982" t="s">
        <v>54730</v>
      </c>
      <c r="C176" s="995" t="s">
        <v>54886</v>
      </c>
      <c r="D176" s="990">
        <v>203.95</v>
      </c>
    </row>
    <row r="177" spans="1:4" ht="12" customHeight="1">
      <c r="A177" s="982" t="s">
        <v>54885</v>
      </c>
      <c r="B177" s="982" t="s">
        <v>54727</v>
      </c>
      <c r="C177" s="994" t="s">
        <v>54884</v>
      </c>
      <c r="D177" s="990">
        <v>366.95</v>
      </c>
    </row>
    <row r="178" spans="1:4" ht="12" customHeight="1">
      <c r="A178" s="982" t="s">
        <v>54883</v>
      </c>
      <c r="B178" s="982" t="s">
        <v>54598</v>
      </c>
      <c r="C178" s="994" t="s">
        <v>54882</v>
      </c>
      <c r="D178" s="990">
        <v>546.95000000000005</v>
      </c>
    </row>
    <row r="179" spans="1:4" ht="12" customHeight="1">
      <c r="A179" s="982" t="s">
        <v>54881</v>
      </c>
      <c r="B179" s="982" t="s">
        <v>54610</v>
      </c>
      <c r="C179" s="994" t="s">
        <v>54880</v>
      </c>
      <c r="D179" s="990">
        <v>718.95</v>
      </c>
    </row>
    <row r="180" spans="1:4" ht="12" customHeight="1">
      <c r="A180" s="982" t="s">
        <v>54879</v>
      </c>
      <c r="B180" s="982" t="s">
        <v>54629</v>
      </c>
      <c r="C180" s="994" t="s">
        <v>54878</v>
      </c>
      <c r="D180" s="990">
        <v>911.95</v>
      </c>
    </row>
    <row r="181" spans="1:4" ht="12" customHeight="1">
      <c r="A181" s="982" t="s">
        <v>54877</v>
      </c>
      <c r="B181" s="982" t="s">
        <v>54626</v>
      </c>
      <c r="C181" s="994" t="s">
        <v>54876</v>
      </c>
      <c r="D181" s="993">
        <v>1077.95</v>
      </c>
    </row>
    <row r="182" spans="1:4" ht="12" customHeight="1">
      <c r="A182" s="982" t="s">
        <v>54875</v>
      </c>
      <c r="B182" s="982" t="s">
        <v>54730</v>
      </c>
      <c r="C182" s="995" t="s">
        <v>54874</v>
      </c>
      <c r="D182" s="990">
        <v>237.95</v>
      </c>
    </row>
    <row r="183" spans="1:4" ht="12" customHeight="1">
      <c r="A183" s="982" t="s">
        <v>54873</v>
      </c>
      <c r="B183" s="982" t="s">
        <v>54727</v>
      </c>
      <c r="C183" s="994" t="s">
        <v>54872</v>
      </c>
      <c r="D183" s="990">
        <v>419.95</v>
      </c>
    </row>
    <row r="184" spans="1:4" ht="12" customHeight="1">
      <c r="A184" s="982" t="s">
        <v>54871</v>
      </c>
      <c r="B184" s="982" t="s">
        <v>54598</v>
      </c>
      <c r="C184" s="994" t="s">
        <v>54870</v>
      </c>
      <c r="D184" s="990">
        <v>637.95000000000005</v>
      </c>
    </row>
    <row r="185" spans="1:4" ht="12" customHeight="1">
      <c r="A185" s="982" t="s">
        <v>54869</v>
      </c>
      <c r="B185" s="982" t="s">
        <v>54610</v>
      </c>
      <c r="C185" s="994" t="s">
        <v>54868</v>
      </c>
      <c r="D185" s="990">
        <v>838.95</v>
      </c>
    </row>
    <row r="186" spans="1:4" ht="12" customHeight="1">
      <c r="A186" s="982" t="s">
        <v>54867</v>
      </c>
      <c r="B186" s="982" t="s">
        <v>54629</v>
      </c>
      <c r="C186" s="994" t="s">
        <v>54866</v>
      </c>
      <c r="D186" s="993">
        <v>1039.95</v>
      </c>
    </row>
    <row r="187" spans="1:4" ht="12" customHeight="1">
      <c r="A187" s="982" t="s">
        <v>54865</v>
      </c>
      <c r="B187" s="982" t="s">
        <v>54626</v>
      </c>
      <c r="C187" s="994" t="s">
        <v>54864</v>
      </c>
      <c r="D187" s="993">
        <v>1269.95</v>
      </c>
    </row>
    <row r="188" spans="1:4" ht="12" customHeight="1">
      <c r="A188" s="982" t="s">
        <v>54863</v>
      </c>
      <c r="B188" s="982" t="s">
        <v>54730</v>
      </c>
      <c r="C188" s="994" t="s">
        <v>54857</v>
      </c>
      <c r="D188" s="990">
        <v>276.95</v>
      </c>
    </row>
    <row r="189" spans="1:4" ht="12" customHeight="1">
      <c r="A189" s="982" t="s">
        <v>54862</v>
      </c>
      <c r="B189" s="982" t="s">
        <v>54727</v>
      </c>
      <c r="C189" s="994" t="s">
        <v>54857</v>
      </c>
      <c r="D189" s="990">
        <v>487.95</v>
      </c>
    </row>
    <row r="190" spans="1:4" ht="12" customHeight="1">
      <c r="A190" s="982" t="s">
        <v>54861</v>
      </c>
      <c r="B190" s="982" t="s">
        <v>54598</v>
      </c>
      <c r="C190" s="994" t="s">
        <v>54857</v>
      </c>
      <c r="D190" s="990">
        <v>738.95</v>
      </c>
    </row>
    <row r="191" spans="1:4" ht="12" customHeight="1">
      <c r="A191" s="982" t="s">
        <v>54860</v>
      </c>
      <c r="B191" s="982" t="s">
        <v>54610</v>
      </c>
      <c r="C191" s="994" t="s">
        <v>54857</v>
      </c>
      <c r="D191" s="990">
        <v>969.95</v>
      </c>
    </row>
    <row r="192" spans="1:4" ht="12" customHeight="1">
      <c r="A192" s="982" t="s">
        <v>54859</v>
      </c>
      <c r="B192" s="982" t="s">
        <v>54629</v>
      </c>
      <c r="C192" s="994" t="s">
        <v>54857</v>
      </c>
      <c r="D192" s="993">
        <v>1200.95</v>
      </c>
    </row>
    <row r="193" spans="1:4" ht="12" customHeight="1">
      <c r="A193" s="982" t="s">
        <v>54858</v>
      </c>
      <c r="B193" s="982" t="s">
        <v>54626</v>
      </c>
      <c r="C193" s="994" t="s">
        <v>54857</v>
      </c>
      <c r="D193" s="993">
        <v>1431.95</v>
      </c>
    </row>
    <row r="194" spans="1:4" ht="13" customHeight="1">
      <c r="A194" s="1023" t="s">
        <v>54856</v>
      </c>
      <c r="B194" s="1024"/>
      <c r="C194" s="1024"/>
      <c r="D194" s="1025"/>
    </row>
    <row r="195" spans="1:4" ht="18" customHeight="1">
      <c r="A195" s="991" t="s">
        <v>54855</v>
      </c>
      <c r="B195" s="991" t="s">
        <v>54854</v>
      </c>
      <c r="C195" s="991" t="s">
        <v>54853</v>
      </c>
      <c r="D195" s="987" t="s">
        <v>54393</v>
      </c>
    </row>
    <row r="196" spans="1:4" ht="12" customHeight="1">
      <c r="A196" s="982" t="s">
        <v>54852</v>
      </c>
      <c r="B196" s="982" t="s">
        <v>54730</v>
      </c>
      <c r="C196" s="995" t="s">
        <v>54851</v>
      </c>
      <c r="D196" s="990">
        <v>29.95</v>
      </c>
    </row>
    <row r="197" spans="1:4" ht="12" customHeight="1">
      <c r="A197" s="982" t="s">
        <v>54850</v>
      </c>
      <c r="B197" s="982" t="s">
        <v>54727</v>
      </c>
      <c r="C197" s="994" t="s">
        <v>54849</v>
      </c>
      <c r="D197" s="990">
        <v>45.95</v>
      </c>
    </row>
    <row r="198" spans="1:4" ht="12" customHeight="1">
      <c r="A198" s="982" t="s">
        <v>54848</v>
      </c>
      <c r="B198" s="982" t="s">
        <v>54598</v>
      </c>
      <c r="C198" s="994" t="s">
        <v>54847</v>
      </c>
      <c r="D198" s="990">
        <v>69.95</v>
      </c>
    </row>
    <row r="199" spans="1:4" ht="12" customHeight="1">
      <c r="A199" s="982" t="s">
        <v>54846</v>
      </c>
      <c r="B199" s="982" t="s">
        <v>54610</v>
      </c>
      <c r="C199" s="994" t="s">
        <v>54845</v>
      </c>
      <c r="D199" s="990">
        <v>87.95</v>
      </c>
    </row>
    <row r="200" spans="1:4" ht="12" customHeight="1">
      <c r="A200" s="982" t="s">
        <v>54844</v>
      </c>
      <c r="B200" s="982" t="s">
        <v>54629</v>
      </c>
      <c r="C200" s="994" t="s">
        <v>54843</v>
      </c>
      <c r="D200" s="990">
        <v>110.95</v>
      </c>
    </row>
    <row r="201" spans="1:4" ht="12" customHeight="1">
      <c r="A201" s="982" t="s">
        <v>54842</v>
      </c>
      <c r="B201" s="982" t="s">
        <v>54626</v>
      </c>
      <c r="C201" s="994" t="s">
        <v>54841</v>
      </c>
      <c r="D201" s="990">
        <v>129.94999999999999</v>
      </c>
    </row>
    <row r="202" spans="1:4" ht="12" customHeight="1">
      <c r="A202" s="982" t="s">
        <v>54840</v>
      </c>
      <c r="B202" s="982" t="s">
        <v>54730</v>
      </c>
      <c r="C202" s="995" t="s">
        <v>54839</v>
      </c>
      <c r="D202" s="990">
        <v>57.95</v>
      </c>
    </row>
    <row r="203" spans="1:4" ht="12" customHeight="1">
      <c r="A203" s="982" t="s">
        <v>54838</v>
      </c>
      <c r="B203" s="982" t="s">
        <v>54727</v>
      </c>
      <c r="C203" s="994" t="s">
        <v>54837</v>
      </c>
      <c r="D203" s="990">
        <v>89.95</v>
      </c>
    </row>
    <row r="204" spans="1:4" ht="12" customHeight="1">
      <c r="A204" s="982" t="s">
        <v>54836</v>
      </c>
      <c r="B204" s="982" t="s">
        <v>54598</v>
      </c>
      <c r="C204" s="994" t="s">
        <v>54835</v>
      </c>
      <c r="D204" s="990">
        <v>134.94999999999999</v>
      </c>
    </row>
    <row r="205" spans="1:4" ht="12" customHeight="1">
      <c r="A205" s="982" t="s">
        <v>54834</v>
      </c>
      <c r="B205" s="982" t="s">
        <v>54610</v>
      </c>
      <c r="C205" s="994" t="s">
        <v>54833</v>
      </c>
      <c r="D205" s="990">
        <v>175.95</v>
      </c>
    </row>
    <row r="206" spans="1:4" ht="12" customHeight="1">
      <c r="A206" s="982" t="s">
        <v>54832</v>
      </c>
      <c r="B206" s="982" t="s">
        <v>54629</v>
      </c>
      <c r="C206" s="994" t="s">
        <v>54831</v>
      </c>
      <c r="D206" s="990">
        <v>216.95</v>
      </c>
    </row>
    <row r="207" spans="1:4" ht="12" customHeight="1">
      <c r="A207" s="982" t="s">
        <v>54830</v>
      </c>
      <c r="B207" s="982" t="s">
        <v>54626</v>
      </c>
      <c r="C207" s="994" t="s">
        <v>54829</v>
      </c>
      <c r="D207" s="990">
        <v>258.95</v>
      </c>
    </row>
    <row r="208" spans="1:4" ht="12" customHeight="1">
      <c r="A208" s="982" t="s">
        <v>54828</v>
      </c>
      <c r="B208" s="982" t="s">
        <v>54730</v>
      </c>
      <c r="C208" s="995" t="s">
        <v>54827</v>
      </c>
      <c r="D208" s="990">
        <v>84.95</v>
      </c>
    </row>
    <row r="209" spans="1:4" ht="12" customHeight="1">
      <c r="A209" s="982" t="s">
        <v>54826</v>
      </c>
      <c r="B209" s="982" t="s">
        <v>54727</v>
      </c>
      <c r="C209" s="994" t="s">
        <v>54825</v>
      </c>
      <c r="D209" s="990">
        <v>133.94999999999999</v>
      </c>
    </row>
    <row r="210" spans="1:4" ht="12" customHeight="1">
      <c r="A210" s="982" t="s">
        <v>54824</v>
      </c>
      <c r="B210" s="982" t="s">
        <v>54598</v>
      </c>
      <c r="C210" s="994" t="s">
        <v>54823</v>
      </c>
      <c r="D210" s="990">
        <v>201.95</v>
      </c>
    </row>
    <row r="211" spans="1:4" ht="12" customHeight="1">
      <c r="A211" s="982" t="s">
        <v>54822</v>
      </c>
      <c r="B211" s="982" t="s">
        <v>54610</v>
      </c>
      <c r="C211" s="994" t="s">
        <v>54821</v>
      </c>
      <c r="D211" s="990">
        <v>262.95</v>
      </c>
    </row>
    <row r="212" spans="1:4" ht="12" customHeight="1">
      <c r="A212" s="982" t="s">
        <v>54820</v>
      </c>
      <c r="B212" s="982" t="s">
        <v>54629</v>
      </c>
      <c r="C212" s="994" t="s">
        <v>54819</v>
      </c>
      <c r="D212" s="990">
        <v>324.95</v>
      </c>
    </row>
    <row r="213" spans="1:4" ht="12" customHeight="1">
      <c r="A213" s="982" t="s">
        <v>54818</v>
      </c>
      <c r="B213" s="982" t="s">
        <v>54626</v>
      </c>
      <c r="C213" s="994" t="s">
        <v>54817</v>
      </c>
      <c r="D213" s="990">
        <v>386.95</v>
      </c>
    </row>
    <row r="214" spans="1:4" ht="12" customHeight="1">
      <c r="A214" s="982" t="s">
        <v>54816</v>
      </c>
      <c r="B214" s="982" t="s">
        <v>54730</v>
      </c>
      <c r="C214" s="995" t="s">
        <v>54815</v>
      </c>
      <c r="D214" s="990">
        <v>106.95</v>
      </c>
    </row>
    <row r="215" spans="1:4" ht="12" customHeight="1">
      <c r="A215" s="982" t="s">
        <v>54814</v>
      </c>
      <c r="B215" s="982" t="s">
        <v>54727</v>
      </c>
      <c r="C215" s="994" t="s">
        <v>54813</v>
      </c>
      <c r="D215" s="990">
        <v>177.95</v>
      </c>
    </row>
    <row r="216" spans="1:4" ht="12" customHeight="1">
      <c r="A216" s="982" t="s">
        <v>54812</v>
      </c>
      <c r="B216" s="982" t="s">
        <v>54598</v>
      </c>
      <c r="C216" s="994" t="s">
        <v>54811</v>
      </c>
      <c r="D216" s="990">
        <v>267.95</v>
      </c>
    </row>
    <row r="217" spans="1:4" ht="12" customHeight="1">
      <c r="A217" s="982" t="s">
        <v>54810</v>
      </c>
      <c r="B217" s="982" t="s">
        <v>54610</v>
      </c>
      <c r="C217" s="994" t="s">
        <v>54809</v>
      </c>
      <c r="D217" s="990">
        <v>349.95</v>
      </c>
    </row>
    <row r="218" spans="1:4" ht="12" customHeight="1">
      <c r="A218" s="982" t="s">
        <v>54808</v>
      </c>
      <c r="B218" s="982" t="s">
        <v>54629</v>
      </c>
      <c r="C218" s="994" t="s">
        <v>54807</v>
      </c>
      <c r="D218" s="990">
        <v>432.95</v>
      </c>
    </row>
    <row r="219" spans="1:4" ht="12" customHeight="1">
      <c r="A219" s="982" t="s">
        <v>54806</v>
      </c>
      <c r="B219" s="982" t="s">
        <v>54626</v>
      </c>
      <c r="C219" s="994" t="s">
        <v>54805</v>
      </c>
      <c r="D219" s="990">
        <v>515.95000000000005</v>
      </c>
    </row>
    <row r="220" spans="1:4" ht="12" customHeight="1">
      <c r="A220" s="982" t="s">
        <v>54804</v>
      </c>
      <c r="B220" s="982" t="s">
        <v>54730</v>
      </c>
      <c r="C220" s="995" t="s">
        <v>54803</v>
      </c>
      <c r="D220" s="990">
        <v>139.94999999999999</v>
      </c>
    </row>
    <row r="221" spans="1:4" ht="12" customHeight="1">
      <c r="A221" s="982" t="s">
        <v>54802</v>
      </c>
      <c r="B221" s="982" t="s">
        <v>54727</v>
      </c>
      <c r="C221" s="994" t="s">
        <v>54801</v>
      </c>
      <c r="D221" s="990">
        <v>226.95</v>
      </c>
    </row>
    <row r="222" spans="1:4" ht="12" customHeight="1">
      <c r="A222" s="982" t="s">
        <v>54800</v>
      </c>
      <c r="B222" s="982" t="s">
        <v>54598</v>
      </c>
      <c r="C222" s="994" t="s">
        <v>54799</v>
      </c>
      <c r="D222" s="990">
        <v>334.95</v>
      </c>
    </row>
    <row r="223" spans="1:4" ht="12" customHeight="1">
      <c r="A223" s="982" t="s">
        <v>54798</v>
      </c>
      <c r="B223" s="982" t="s">
        <v>54610</v>
      </c>
      <c r="C223" s="994" t="s">
        <v>54797</v>
      </c>
      <c r="D223" s="990">
        <v>437.95</v>
      </c>
    </row>
    <row r="224" spans="1:4" ht="12" customHeight="1">
      <c r="A224" s="982" t="s">
        <v>54796</v>
      </c>
      <c r="B224" s="982" t="s">
        <v>54629</v>
      </c>
      <c r="C224" s="994" t="s">
        <v>54795</v>
      </c>
      <c r="D224" s="990">
        <v>540.95000000000005</v>
      </c>
    </row>
    <row r="225" spans="1:4" ht="12" customHeight="1">
      <c r="A225" s="982" t="s">
        <v>54794</v>
      </c>
      <c r="B225" s="982" t="s">
        <v>54626</v>
      </c>
      <c r="C225" s="994" t="s">
        <v>54793</v>
      </c>
      <c r="D225" s="990">
        <v>644.95000000000005</v>
      </c>
    </row>
    <row r="226" spans="1:4" ht="12" customHeight="1">
      <c r="A226" s="982" t="s">
        <v>54792</v>
      </c>
      <c r="B226" s="982" t="s">
        <v>54730</v>
      </c>
      <c r="C226" s="995" t="s">
        <v>54791</v>
      </c>
      <c r="D226" s="990">
        <v>171.95</v>
      </c>
    </row>
    <row r="227" spans="1:4" ht="12" customHeight="1">
      <c r="A227" s="982" t="s">
        <v>54790</v>
      </c>
      <c r="B227" s="982" t="s">
        <v>54727</v>
      </c>
      <c r="C227" s="994" t="s">
        <v>54789</v>
      </c>
      <c r="D227" s="990">
        <v>265.95</v>
      </c>
    </row>
    <row r="228" spans="1:4" ht="12" customHeight="1">
      <c r="A228" s="982" t="s">
        <v>54788</v>
      </c>
      <c r="B228" s="982" t="s">
        <v>54598</v>
      </c>
      <c r="C228" s="994" t="s">
        <v>54787</v>
      </c>
      <c r="D228" s="990">
        <v>400.95</v>
      </c>
    </row>
    <row r="229" spans="1:4" ht="12" customHeight="1">
      <c r="A229" s="982" t="s">
        <v>54786</v>
      </c>
      <c r="B229" s="982" t="s">
        <v>54610</v>
      </c>
      <c r="C229" s="994" t="s">
        <v>54785</v>
      </c>
      <c r="D229" s="990">
        <v>524.95000000000005</v>
      </c>
    </row>
    <row r="230" spans="1:4" ht="12" customHeight="1">
      <c r="A230" s="982" t="s">
        <v>54784</v>
      </c>
      <c r="B230" s="982" t="s">
        <v>54629</v>
      </c>
      <c r="C230" s="994" t="s">
        <v>54783</v>
      </c>
      <c r="D230" s="990">
        <v>677.95</v>
      </c>
    </row>
    <row r="231" spans="1:4" ht="12" customHeight="1">
      <c r="A231" s="982" t="s">
        <v>54782</v>
      </c>
      <c r="B231" s="982" t="s">
        <v>54626</v>
      </c>
      <c r="C231" s="994" t="s">
        <v>54781</v>
      </c>
      <c r="D231" s="990">
        <v>808.95</v>
      </c>
    </row>
    <row r="232" spans="1:4" ht="12" customHeight="1">
      <c r="A232" s="982" t="s">
        <v>54780</v>
      </c>
      <c r="B232" s="982" t="s">
        <v>54730</v>
      </c>
      <c r="C232" s="995" t="s">
        <v>54779</v>
      </c>
      <c r="D232" s="990">
        <v>194.95</v>
      </c>
    </row>
    <row r="233" spans="1:4" ht="12" customHeight="1">
      <c r="A233" s="982" t="s">
        <v>54778</v>
      </c>
      <c r="B233" s="982" t="s">
        <v>54727</v>
      </c>
      <c r="C233" s="994" t="s">
        <v>54777</v>
      </c>
      <c r="D233" s="990">
        <v>311.95</v>
      </c>
    </row>
    <row r="234" spans="1:4" ht="12" customHeight="1">
      <c r="A234" s="982" t="s">
        <v>54776</v>
      </c>
      <c r="B234" s="982" t="s">
        <v>54598</v>
      </c>
      <c r="C234" s="994" t="s">
        <v>54775</v>
      </c>
      <c r="D234" s="990">
        <v>467.95</v>
      </c>
    </row>
    <row r="235" spans="1:4" ht="12" customHeight="1">
      <c r="A235" s="982" t="s">
        <v>54774</v>
      </c>
      <c r="B235" s="982" t="s">
        <v>54610</v>
      </c>
      <c r="C235" s="994" t="s">
        <v>54773</v>
      </c>
      <c r="D235" s="990">
        <v>650.95000000000005</v>
      </c>
    </row>
    <row r="236" spans="1:4" ht="12" customHeight="1">
      <c r="A236" s="982" t="s">
        <v>54772</v>
      </c>
      <c r="B236" s="982" t="s">
        <v>54629</v>
      </c>
      <c r="C236" s="994" t="s">
        <v>54771</v>
      </c>
      <c r="D236" s="990">
        <v>756.95</v>
      </c>
    </row>
    <row r="237" spans="1:4" ht="12" customHeight="1">
      <c r="A237" s="982" t="s">
        <v>54770</v>
      </c>
      <c r="B237" s="982" t="s">
        <v>54626</v>
      </c>
      <c r="C237" s="994" t="s">
        <v>54769</v>
      </c>
      <c r="D237" s="990">
        <v>901.95</v>
      </c>
    </row>
    <row r="238" spans="1:4" ht="12" customHeight="1">
      <c r="A238" s="982" t="s">
        <v>54768</v>
      </c>
      <c r="B238" s="982" t="s">
        <v>54730</v>
      </c>
      <c r="C238" s="995" t="s">
        <v>54767</v>
      </c>
      <c r="D238" s="990">
        <v>217.95</v>
      </c>
    </row>
    <row r="239" spans="1:4" ht="12" customHeight="1">
      <c r="A239" s="982" t="s">
        <v>54766</v>
      </c>
      <c r="B239" s="982" t="s">
        <v>54727</v>
      </c>
      <c r="C239" s="994" t="s">
        <v>54765</v>
      </c>
      <c r="D239" s="990">
        <v>356.95</v>
      </c>
    </row>
    <row r="240" spans="1:4" ht="12" customHeight="1">
      <c r="A240" s="982" t="s">
        <v>54764</v>
      </c>
      <c r="B240" s="982" t="s">
        <v>54598</v>
      </c>
      <c r="C240" s="994" t="s">
        <v>54763</v>
      </c>
      <c r="D240" s="990">
        <v>533.95000000000005</v>
      </c>
    </row>
    <row r="241" spans="1:4" ht="12" customHeight="1">
      <c r="A241" s="982" t="s">
        <v>54762</v>
      </c>
      <c r="B241" s="982" t="s">
        <v>54610</v>
      </c>
      <c r="C241" s="994" t="s">
        <v>54761</v>
      </c>
      <c r="D241" s="990">
        <v>698.95</v>
      </c>
    </row>
    <row r="242" spans="1:4" ht="12" customHeight="1">
      <c r="A242" s="982" t="s">
        <v>54760</v>
      </c>
      <c r="B242" s="982" t="s">
        <v>54629</v>
      </c>
      <c r="C242" s="994" t="s">
        <v>54759</v>
      </c>
      <c r="D242" s="990">
        <v>922.95</v>
      </c>
    </row>
    <row r="243" spans="1:4" ht="12" customHeight="1">
      <c r="A243" s="982" t="s">
        <v>54758</v>
      </c>
      <c r="B243" s="982" t="s">
        <v>54626</v>
      </c>
      <c r="C243" s="994" t="s">
        <v>54757</v>
      </c>
      <c r="D243" s="993">
        <v>1101.95</v>
      </c>
    </row>
    <row r="244" spans="1:4" ht="12" customHeight="1">
      <c r="A244" s="982" t="s">
        <v>54756</v>
      </c>
      <c r="B244" s="982" t="s">
        <v>54730</v>
      </c>
      <c r="C244" s="995" t="s">
        <v>54755</v>
      </c>
      <c r="D244" s="990">
        <v>243.95</v>
      </c>
    </row>
    <row r="245" spans="1:4" ht="12" customHeight="1">
      <c r="A245" s="982" t="s">
        <v>54754</v>
      </c>
      <c r="B245" s="982" t="s">
        <v>54727</v>
      </c>
      <c r="C245" s="994" t="s">
        <v>54753</v>
      </c>
      <c r="D245" s="990">
        <v>405.95</v>
      </c>
    </row>
    <row r="246" spans="1:4" ht="12" customHeight="1">
      <c r="A246" s="982" t="s">
        <v>54752</v>
      </c>
      <c r="B246" s="982" t="s">
        <v>54598</v>
      </c>
      <c r="C246" s="994" t="s">
        <v>54751</v>
      </c>
      <c r="D246" s="990">
        <v>600.95000000000005</v>
      </c>
    </row>
    <row r="247" spans="1:4" ht="12" customHeight="1">
      <c r="A247" s="982" t="s">
        <v>54750</v>
      </c>
      <c r="B247" s="982" t="s">
        <v>54610</v>
      </c>
      <c r="C247" s="994" t="s">
        <v>54749</v>
      </c>
      <c r="D247" s="990">
        <v>842.95</v>
      </c>
    </row>
    <row r="248" spans="1:4" ht="12" customHeight="1">
      <c r="A248" s="982" t="s">
        <v>54748</v>
      </c>
      <c r="B248" s="982" t="s">
        <v>54629</v>
      </c>
      <c r="C248" s="994" t="s">
        <v>54747</v>
      </c>
      <c r="D248" s="993">
        <v>1038.95</v>
      </c>
    </row>
    <row r="249" spans="1:4" ht="12" customHeight="1">
      <c r="A249" s="982" t="s">
        <v>54746</v>
      </c>
      <c r="B249" s="982" t="s">
        <v>54626</v>
      </c>
      <c r="C249" s="994" t="s">
        <v>54745</v>
      </c>
      <c r="D249" s="993">
        <v>1241.95</v>
      </c>
    </row>
    <row r="250" spans="1:4" ht="12" customHeight="1">
      <c r="A250" s="982" t="s">
        <v>54744</v>
      </c>
      <c r="B250" s="982" t="s">
        <v>54730</v>
      </c>
      <c r="C250" s="995" t="s">
        <v>54743</v>
      </c>
      <c r="D250" s="990">
        <v>277.95</v>
      </c>
    </row>
    <row r="251" spans="1:4" ht="12" customHeight="1">
      <c r="A251" s="982" t="s">
        <v>54742</v>
      </c>
      <c r="B251" s="982" t="s">
        <v>54727</v>
      </c>
      <c r="C251" s="995" t="s">
        <v>54741</v>
      </c>
      <c r="D251" s="990">
        <v>456.95</v>
      </c>
    </row>
    <row r="252" spans="1:4" ht="12" customHeight="1">
      <c r="A252" s="982" t="s">
        <v>54740</v>
      </c>
      <c r="B252" s="982" t="s">
        <v>54598</v>
      </c>
      <c r="C252" s="995" t="s">
        <v>54739</v>
      </c>
      <c r="D252" s="990">
        <v>698.95</v>
      </c>
    </row>
    <row r="253" spans="1:4" ht="12" customHeight="1">
      <c r="A253" s="982" t="s">
        <v>54738</v>
      </c>
      <c r="B253" s="982" t="s">
        <v>54610</v>
      </c>
      <c r="C253" s="995" t="s">
        <v>54737</v>
      </c>
      <c r="D253" s="990">
        <v>919.95</v>
      </c>
    </row>
    <row r="254" spans="1:4" ht="12" customHeight="1">
      <c r="A254" s="982" t="s">
        <v>54736</v>
      </c>
      <c r="B254" s="982" t="s">
        <v>54629</v>
      </c>
      <c r="C254" s="995" t="s">
        <v>54735</v>
      </c>
      <c r="D254" s="993">
        <v>1143.95</v>
      </c>
    </row>
    <row r="255" spans="1:4" ht="12" customHeight="1">
      <c r="A255" s="982" t="s">
        <v>54734</v>
      </c>
      <c r="B255" s="982" t="s">
        <v>54626</v>
      </c>
      <c r="C255" s="995" t="s">
        <v>54733</v>
      </c>
      <c r="D255" s="993">
        <v>1364.95</v>
      </c>
    </row>
    <row r="256" spans="1:4" ht="9" customHeight="1">
      <c r="A256" s="1005"/>
      <c r="B256" s="1005"/>
      <c r="C256" s="1005"/>
      <c r="D256" s="1005"/>
    </row>
    <row r="257" spans="1:4" ht="15.75" customHeight="1">
      <c r="A257" s="1020" t="s">
        <v>54732</v>
      </c>
      <c r="B257" s="1021"/>
      <c r="C257" s="1021"/>
      <c r="D257" s="1022"/>
    </row>
    <row r="258" spans="1:4" ht="18" customHeight="1">
      <c r="A258" s="987" t="s">
        <v>54395</v>
      </c>
      <c r="B258" s="987" t="s">
        <v>54647</v>
      </c>
      <c r="C258" s="987" t="s">
        <v>54394</v>
      </c>
      <c r="D258" s="987" t="s">
        <v>54393</v>
      </c>
    </row>
    <row r="259" spans="1:4" ht="12" customHeight="1">
      <c r="A259" s="982" t="s">
        <v>54731</v>
      </c>
      <c r="B259" s="982" t="s">
        <v>54730</v>
      </c>
      <c r="C259" s="994" t="s">
        <v>54729</v>
      </c>
      <c r="D259" s="990">
        <v>23.95</v>
      </c>
    </row>
    <row r="260" spans="1:4" ht="12" customHeight="1">
      <c r="A260" s="982" t="s">
        <v>54728</v>
      </c>
      <c r="B260" s="982" t="s">
        <v>54727</v>
      </c>
      <c r="C260" s="994" t="s">
        <v>54726</v>
      </c>
      <c r="D260" s="990">
        <v>34.950000000000003</v>
      </c>
    </row>
    <row r="261" spans="1:4" ht="12" customHeight="1">
      <c r="A261" s="982" t="s">
        <v>54725</v>
      </c>
      <c r="B261" s="982" t="s">
        <v>54598</v>
      </c>
      <c r="C261" s="994" t="s">
        <v>54724</v>
      </c>
      <c r="D261" s="990">
        <v>50.95</v>
      </c>
    </row>
    <row r="262" spans="1:4" ht="12" customHeight="1">
      <c r="A262" s="982" t="s">
        <v>54723</v>
      </c>
      <c r="B262" s="982" t="s">
        <v>54610</v>
      </c>
      <c r="C262" s="994" t="s">
        <v>54722</v>
      </c>
      <c r="D262" s="990">
        <v>63.95</v>
      </c>
    </row>
    <row r="263" spans="1:4" ht="12" customHeight="1">
      <c r="A263" s="982" t="s">
        <v>54721</v>
      </c>
      <c r="B263" s="982" t="s">
        <v>54629</v>
      </c>
      <c r="C263" s="994" t="s">
        <v>54720</v>
      </c>
      <c r="D263" s="990">
        <v>77.95</v>
      </c>
    </row>
    <row r="264" spans="1:4" ht="12" customHeight="1">
      <c r="A264" s="982" t="s">
        <v>54719</v>
      </c>
      <c r="B264" s="982" t="s">
        <v>54626</v>
      </c>
      <c r="C264" s="994" t="s">
        <v>54718</v>
      </c>
      <c r="D264" s="990">
        <v>90.95</v>
      </c>
    </row>
    <row r="265" spans="1:4" ht="1" customHeight="1"/>
    <row r="266" spans="1:4" ht="15.75" customHeight="1">
      <c r="A266" s="1017" t="s">
        <v>54717</v>
      </c>
      <c r="B266" s="1018"/>
      <c r="C266" s="1018"/>
      <c r="D266" s="1019"/>
    </row>
    <row r="267" spans="1:4" ht="15.75" customHeight="1">
      <c r="A267" s="1014" t="s">
        <v>54676</v>
      </c>
      <c r="B267" s="1015"/>
      <c r="C267" s="1015"/>
      <c r="D267" s="1016"/>
    </row>
    <row r="268" spans="1:4" ht="18" customHeight="1">
      <c r="A268" s="987" t="s">
        <v>54395</v>
      </c>
      <c r="B268" s="987" t="s">
        <v>54647</v>
      </c>
      <c r="C268" s="987" t="s">
        <v>54394</v>
      </c>
      <c r="D268" s="987" t="s">
        <v>54393</v>
      </c>
    </row>
    <row r="269" spans="1:4" ht="12" customHeight="1">
      <c r="A269" s="982" t="s">
        <v>54716</v>
      </c>
      <c r="B269" s="982" t="s">
        <v>54708</v>
      </c>
      <c r="C269" s="982" t="s">
        <v>54715</v>
      </c>
      <c r="D269" s="990">
        <v>485.95</v>
      </c>
    </row>
    <row r="270" spans="1:4" ht="12" customHeight="1">
      <c r="A270" s="982" t="s">
        <v>54714</v>
      </c>
      <c r="B270" s="982" t="s">
        <v>54598</v>
      </c>
      <c r="C270" s="982" t="s">
        <v>54713</v>
      </c>
      <c r="D270" s="990">
        <v>553.95000000000005</v>
      </c>
    </row>
    <row r="271" spans="1:4" ht="12" customHeight="1">
      <c r="A271" s="982" t="s">
        <v>54712</v>
      </c>
      <c r="B271" s="982" t="s">
        <v>54711</v>
      </c>
      <c r="C271" s="982" t="s">
        <v>54710</v>
      </c>
      <c r="D271" s="990">
        <v>624.95000000000005</v>
      </c>
    </row>
    <row r="272" spans="1:4" ht="15.75" customHeight="1">
      <c r="A272" s="1014" t="s">
        <v>54688</v>
      </c>
      <c r="B272" s="1015"/>
      <c r="C272" s="1015"/>
      <c r="D272" s="1016"/>
    </row>
    <row r="273" spans="1:4" ht="18" customHeight="1">
      <c r="A273" s="987" t="s">
        <v>54395</v>
      </c>
      <c r="B273" s="987" t="s">
        <v>54647</v>
      </c>
      <c r="C273" s="987" t="s">
        <v>54394</v>
      </c>
      <c r="D273" s="987" t="s">
        <v>54393</v>
      </c>
    </row>
    <row r="274" spans="1:4" ht="12" customHeight="1">
      <c r="A274" s="982" t="s">
        <v>54709</v>
      </c>
      <c r="B274" s="982" t="s">
        <v>54708</v>
      </c>
      <c r="C274" s="982" t="s">
        <v>54707</v>
      </c>
      <c r="D274" s="990">
        <v>572.95000000000005</v>
      </c>
    </row>
    <row r="275" spans="1:4" ht="12" customHeight="1">
      <c r="A275" s="982" t="s">
        <v>54706</v>
      </c>
      <c r="B275" s="982" t="s">
        <v>54598</v>
      </c>
      <c r="C275" s="982" t="s">
        <v>54705</v>
      </c>
      <c r="D275" s="990">
        <v>663.95</v>
      </c>
    </row>
    <row r="276" spans="1:4" ht="12" customHeight="1">
      <c r="A276" s="982" t="s">
        <v>54704</v>
      </c>
      <c r="B276" s="982" t="s">
        <v>54610</v>
      </c>
      <c r="C276" s="982" t="s">
        <v>54703</v>
      </c>
      <c r="D276" s="990">
        <v>755.95</v>
      </c>
    </row>
    <row r="277" spans="1:4" ht="12" customHeight="1">
      <c r="A277" s="982" t="s">
        <v>54702</v>
      </c>
      <c r="B277" s="982" t="s">
        <v>54701</v>
      </c>
      <c r="C277" s="982" t="s">
        <v>54700</v>
      </c>
      <c r="D277" s="990">
        <v>845.95</v>
      </c>
    </row>
    <row r="278" spans="1:4" ht="8" customHeight="1">
      <c r="A278" s="1005"/>
      <c r="B278" s="1005"/>
      <c r="C278" s="1005"/>
      <c r="D278" s="1005"/>
    </row>
    <row r="279" spans="1:4" ht="15.75" customHeight="1">
      <c r="A279" s="1017" t="s">
        <v>54699</v>
      </c>
      <c r="B279" s="1018"/>
      <c r="C279" s="1018"/>
      <c r="D279" s="1019"/>
    </row>
    <row r="280" spans="1:4" ht="15.75" customHeight="1">
      <c r="A280" s="1014" t="s">
        <v>54676</v>
      </c>
      <c r="B280" s="1015"/>
      <c r="C280" s="1015"/>
      <c r="D280" s="1016"/>
    </row>
    <row r="281" spans="1:4" ht="18" customHeight="1">
      <c r="A281" s="987" t="s">
        <v>54395</v>
      </c>
      <c r="B281" s="987" t="s">
        <v>54664</v>
      </c>
      <c r="C281" s="987" t="s">
        <v>54394</v>
      </c>
      <c r="D281" s="987" t="s">
        <v>54393</v>
      </c>
    </row>
    <row r="282" spans="1:4" ht="12" customHeight="1">
      <c r="A282" s="982" t="s">
        <v>54698</v>
      </c>
      <c r="B282" s="982" t="s">
        <v>54662</v>
      </c>
      <c r="C282" s="982" t="s">
        <v>54697</v>
      </c>
      <c r="D282" s="990">
        <v>749.95</v>
      </c>
    </row>
    <row r="283" spans="1:4" ht="12" customHeight="1">
      <c r="A283" s="982" t="s">
        <v>54696</v>
      </c>
      <c r="B283" s="982" t="s">
        <v>54659</v>
      </c>
      <c r="C283" s="982" t="s">
        <v>54695</v>
      </c>
      <c r="D283" s="990">
        <v>839.95</v>
      </c>
    </row>
    <row r="284" spans="1:4" ht="12" customHeight="1">
      <c r="A284" s="982" t="s">
        <v>54694</v>
      </c>
      <c r="B284" s="982" t="s">
        <v>54656</v>
      </c>
      <c r="C284" s="982" t="s">
        <v>54693</v>
      </c>
      <c r="D284" s="990">
        <v>991.95</v>
      </c>
    </row>
    <row r="285" spans="1:4" ht="12" customHeight="1">
      <c r="A285" s="982" t="s">
        <v>54692</v>
      </c>
      <c r="B285" s="982" t="s">
        <v>54653</v>
      </c>
      <c r="C285" s="982" t="s">
        <v>54691</v>
      </c>
      <c r="D285" s="993">
        <v>1144.95</v>
      </c>
    </row>
    <row r="286" spans="1:4" ht="12" customHeight="1">
      <c r="A286" s="982" t="s">
        <v>54690</v>
      </c>
      <c r="B286" s="982" t="s">
        <v>54650</v>
      </c>
      <c r="C286" s="982" t="s">
        <v>54689</v>
      </c>
      <c r="D286" s="993">
        <v>1296.95</v>
      </c>
    </row>
    <row r="287" spans="1:4" ht="15.75" customHeight="1">
      <c r="A287" s="1014" t="s">
        <v>54688</v>
      </c>
      <c r="B287" s="1015"/>
      <c r="C287" s="1015"/>
      <c r="D287" s="1016"/>
    </row>
    <row r="288" spans="1:4" ht="18" customHeight="1">
      <c r="A288" s="987" t="s">
        <v>54395</v>
      </c>
      <c r="B288" s="987" t="s">
        <v>54664</v>
      </c>
      <c r="C288" s="987" t="s">
        <v>54394</v>
      </c>
      <c r="D288" s="987" t="s">
        <v>54393</v>
      </c>
    </row>
    <row r="289" spans="1:4" ht="12" customHeight="1">
      <c r="A289" s="982" t="s">
        <v>54687</v>
      </c>
      <c r="B289" s="982" t="s">
        <v>54662</v>
      </c>
      <c r="C289" s="982" t="s">
        <v>54686</v>
      </c>
      <c r="D289" s="993">
        <v>1031.95</v>
      </c>
    </row>
    <row r="290" spans="1:4" ht="12" customHeight="1">
      <c r="A290" s="982" t="s">
        <v>54685</v>
      </c>
      <c r="B290" s="982" t="s">
        <v>54659</v>
      </c>
      <c r="C290" s="982" t="s">
        <v>54684</v>
      </c>
      <c r="D290" s="993">
        <v>1171.95</v>
      </c>
    </row>
    <row r="291" spans="1:4" ht="12" customHeight="1">
      <c r="A291" s="982" t="s">
        <v>54683</v>
      </c>
      <c r="B291" s="982" t="s">
        <v>54656</v>
      </c>
      <c r="C291" s="982" t="s">
        <v>54682</v>
      </c>
      <c r="D291" s="993">
        <v>1351.95</v>
      </c>
    </row>
    <row r="292" spans="1:4" ht="12" customHeight="1">
      <c r="A292" s="982" t="s">
        <v>54681</v>
      </c>
      <c r="B292" s="982" t="s">
        <v>54653</v>
      </c>
      <c r="C292" s="982" t="s">
        <v>54680</v>
      </c>
      <c r="D292" s="993">
        <v>1541.95</v>
      </c>
    </row>
    <row r="293" spans="1:4" ht="12" customHeight="1">
      <c r="A293" s="982" t="s">
        <v>54679</v>
      </c>
      <c r="B293" s="982" t="s">
        <v>54650</v>
      </c>
      <c r="C293" s="982" t="s">
        <v>54678</v>
      </c>
      <c r="D293" s="993">
        <v>1753.95</v>
      </c>
    </row>
    <row r="294" spans="1:4" ht="9" customHeight="1">
      <c r="A294" s="1005"/>
      <c r="B294" s="1005"/>
      <c r="C294" s="1005"/>
      <c r="D294" s="1005"/>
    </row>
    <row r="295" spans="1:4" ht="15.75" customHeight="1">
      <c r="A295" s="1035" t="s">
        <v>54677</v>
      </c>
      <c r="B295" s="1036"/>
      <c r="C295" s="1036"/>
      <c r="D295" s="1037"/>
    </row>
    <row r="296" spans="1:4" ht="15.75" customHeight="1">
      <c r="A296" s="1014" t="s">
        <v>54676</v>
      </c>
      <c r="B296" s="1015"/>
      <c r="C296" s="1015"/>
      <c r="D296" s="1016"/>
    </row>
    <row r="297" spans="1:4" ht="18" customHeight="1">
      <c r="A297" s="987" t="s">
        <v>54395</v>
      </c>
      <c r="B297" s="987" t="s">
        <v>54664</v>
      </c>
      <c r="C297" s="987" t="s">
        <v>54394</v>
      </c>
      <c r="D297" s="987" t="s">
        <v>54393</v>
      </c>
    </row>
    <row r="298" spans="1:4" ht="12" customHeight="1">
      <c r="A298" s="982" t="s">
        <v>54675</v>
      </c>
      <c r="B298" s="982" t="s">
        <v>54662</v>
      </c>
      <c r="C298" s="982" t="s">
        <v>54674</v>
      </c>
      <c r="D298" s="990">
        <v>470.95</v>
      </c>
    </row>
    <row r="299" spans="1:4" ht="12" customHeight="1">
      <c r="A299" s="982" t="s">
        <v>54673</v>
      </c>
      <c r="B299" s="982" t="s">
        <v>54659</v>
      </c>
      <c r="C299" s="982" t="s">
        <v>54672</v>
      </c>
      <c r="D299" s="990">
        <v>523.95000000000005</v>
      </c>
    </row>
    <row r="300" spans="1:4" ht="12" customHeight="1">
      <c r="A300" s="982" t="s">
        <v>54671</v>
      </c>
      <c r="B300" s="982" t="s">
        <v>54656</v>
      </c>
      <c r="C300" s="982" t="s">
        <v>54670</v>
      </c>
      <c r="D300" s="990">
        <v>594.95000000000005</v>
      </c>
    </row>
    <row r="301" spans="1:4" ht="12" customHeight="1">
      <c r="A301" s="982" t="s">
        <v>54669</v>
      </c>
      <c r="B301" s="982" t="s">
        <v>54653</v>
      </c>
      <c r="C301" s="982" t="s">
        <v>54668</v>
      </c>
      <c r="D301" s="990">
        <v>665.95</v>
      </c>
    </row>
    <row r="302" spans="1:4" ht="12" customHeight="1">
      <c r="A302" s="982" t="s">
        <v>54667</v>
      </c>
      <c r="B302" s="982" t="s">
        <v>54650</v>
      </c>
      <c r="C302" s="982" t="s">
        <v>54666</v>
      </c>
      <c r="D302" s="990">
        <v>735.95</v>
      </c>
    </row>
    <row r="303" spans="1:4" ht="15.75" customHeight="1">
      <c r="A303" s="1014" t="s">
        <v>54665</v>
      </c>
      <c r="B303" s="1015"/>
      <c r="C303" s="1015"/>
      <c r="D303" s="1016"/>
    </row>
    <row r="304" spans="1:4" ht="18" customHeight="1">
      <c r="A304" s="987" t="s">
        <v>54395</v>
      </c>
      <c r="B304" s="987" t="s">
        <v>54664</v>
      </c>
      <c r="C304" s="987" t="s">
        <v>54394</v>
      </c>
      <c r="D304" s="987" t="s">
        <v>54393</v>
      </c>
    </row>
    <row r="305" spans="1:4" ht="12" customHeight="1">
      <c r="A305" s="982" t="s">
        <v>54663</v>
      </c>
      <c r="B305" s="982" t="s">
        <v>54662</v>
      </c>
      <c r="C305" s="982" t="s">
        <v>54661</v>
      </c>
      <c r="D305" s="990">
        <v>607.95000000000005</v>
      </c>
    </row>
    <row r="306" spans="1:4" ht="12" customHeight="1">
      <c r="A306" s="982" t="s">
        <v>54660</v>
      </c>
      <c r="B306" s="982" t="s">
        <v>54659</v>
      </c>
      <c r="C306" s="982" t="s">
        <v>54658</v>
      </c>
      <c r="D306" s="990">
        <v>673.95</v>
      </c>
    </row>
    <row r="307" spans="1:4" ht="12" customHeight="1">
      <c r="A307" s="982" t="s">
        <v>54657</v>
      </c>
      <c r="B307" s="982" t="s">
        <v>54656</v>
      </c>
      <c r="C307" s="982" t="s">
        <v>54655</v>
      </c>
      <c r="D307" s="990">
        <v>765.95</v>
      </c>
    </row>
    <row r="308" spans="1:4" ht="12" customHeight="1">
      <c r="A308" s="982" t="s">
        <v>54654</v>
      </c>
      <c r="B308" s="982" t="s">
        <v>54653</v>
      </c>
      <c r="C308" s="982" t="s">
        <v>54652</v>
      </c>
      <c r="D308" s="990">
        <v>859.95</v>
      </c>
    </row>
    <row r="309" spans="1:4" ht="12" customHeight="1">
      <c r="A309" s="982" t="s">
        <v>54651</v>
      </c>
      <c r="B309" s="982" t="s">
        <v>54650</v>
      </c>
      <c r="C309" s="982" t="s">
        <v>54649</v>
      </c>
      <c r="D309" s="990">
        <v>952.95</v>
      </c>
    </row>
    <row r="310" spans="1:4" ht="15.75" customHeight="1">
      <c r="A310" s="1032" t="s">
        <v>54648</v>
      </c>
      <c r="B310" s="1033"/>
      <c r="C310" s="1033"/>
      <c r="D310" s="1034"/>
    </row>
    <row r="311" spans="1:4" ht="18" customHeight="1">
      <c r="A311" s="987" t="s">
        <v>54395</v>
      </c>
      <c r="B311" s="987" t="s">
        <v>54647</v>
      </c>
      <c r="C311" s="987" t="s">
        <v>54394</v>
      </c>
      <c r="D311" s="987" t="s">
        <v>54393</v>
      </c>
    </row>
    <row r="312" spans="1:4" ht="12" customHeight="1">
      <c r="A312" s="982" t="s">
        <v>54646</v>
      </c>
      <c r="B312" s="982" t="s">
        <v>54595</v>
      </c>
      <c r="C312" s="982" t="s">
        <v>54645</v>
      </c>
      <c r="D312" s="990">
        <v>690.95</v>
      </c>
    </row>
    <row r="313" spans="1:4" ht="12" customHeight="1">
      <c r="A313" s="982" t="s">
        <v>54644</v>
      </c>
      <c r="B313" s="982" t="s">
        <v>54598</v>
      </c>
      <c r="C313" s="982" t="s">
        <v>54643</v>
      </c>
      <c r="D313" s="990">
        <v>731.95</v>
      </c>
    </row>
    <row r="314" spans="1:4" ht="12" customHeight="1">
      <c r="A314" s="982" t="s">
        <v>54642</v>
      </c>
      <c r="B314" s="982" t="s">
        <v>54610</v>
      </c>
      <c r="C314" s="982" t="s">
        <v>54641</v>
      </c>
      <c r="D314" s="990">
        <v>804.95</v>
      </c>
    </row>
    <row r="315" spans="1:4" ht="12" customHeight="1">
      <c r="A315" s="982" t="s">
        <v>54640</v>
      </c>
      <c r="B315" s="982" t="s">
        <v>54629</v>
      </c>
      <c r="C315" s="982" t="s">
        <v>54639</v>
      </c>
      <c r="D315" s="990">
        <v>872.95</v>
      </c>
    </row>
    <row r="316" spans="1:4" ht="12" customHeight="1">
      <c r="A316" s="982" t="s">
        <v>54638</v>
      </c>
      <c r="B316" s="982" t="s">
        <v>54626</v>
      </c>
      <c r="C316" s="982" t="s">
        <v>54637</v>
      </c>
      <c r="D316" s="990">
        <v>953.95</v>
      </c>
    </row>
    <row r="317" spans="1:4" ht="12" customHeight="1">
      <c r="A317" s="982" t="s">
        <v>54636</v>
      </c>
      <c r="B317" s="982" t="s">
        <v>54595</v>
      </c>
      <c r="C317" s="982" t="s">
        <v>54635</v>
      </c>
      <c r="D317" s="990">
        <v>781.95</v>
      </c>
    </row>
    <row r="318" spans="1:4" ht="12" customHeight="1">
      <c r="A318" s="982" t="s">
        <v>54634</v>
      </c>
      <c r="B318" s="982" t="s">
        <v>54598</v>
      </c>
      <c r="C318" s="982" t="s">
        <v>54633</v>
      </c>
      <c r="D318" s="990">
        <v>835.95</v>
      </c>
    </row>
    <row r="319" spans="1:4" ht="12" customHeight="1">
      <c r="A319" s="982" t="s">
        <v>54632</v>
      </c>
      <c r="B319" s="982" t="s">
        <v>54610</v>
      </c>
      <c r="C319" s="982" t="s">
        <v>54631</v>
      </c>
      <c r="D319" s="990">
        <v>957.95</v>
      </c>
    </row>
    <row r="320" spans="1:4" ht="12" customHeight="1">
      <c r="A320" s="982" t="s">
        <v>54630</v>
      </c>
      <c r="B320" s="982" t="s">
        <v>54629</v>
      </c>
      <c r="C320" s="982" t="s">
        <v>54628</v>
      </c>
      <c r="D320" s="993">
        <v>1079.95</v>
      </c>
    </row>
    <row r="321" spans="1:4" ht="12" customHeight="1">
      <c r="A321" s="982" t="s">
        <v>54627</v>
      </c>
      <c r="B321" s="982" t="s">
        <v>54626</v>
      </c>
      <c r="C321" s="982" t="s">
        <v>54625</v>
      </c>
      <c r="D321" s="993">
        <v>1215.95</v>
      </c>
    </row>
    <row r="322" spans="1:4" ht="12" customHeight="1">
      <c r="A322" s="982" t="s">
        <v>54624</v>
      </c>
      <c r="B322" s="982" t="s">
        <v>54595</v>
      </c>
      <c r="C322" s="982" t="s">
        <v>54623</v>
      </c>
      <c r="D322" s="990">
        <v>877.95</v>
      </c>
    </row>
    <row r="323" spans="1:4" ht="12" customHeight="1">
      <c r="A323" s="982" t="s">
        <v>54622</v>
      </c>
      <c r="B323" s="982" t="s">
        <v>54598</v>
      </c>
      <c r="C323" s="982" t="s">
        <v>54621</v>
      </c>
      <c r="D323" s="990">
        <v>978.95</v>
      </c>
    </row>
    <row r="324" spans="1:4" ht="12" customHeight="1">
      <c r="A324" s="982" t="s">
        <v>54620</v>
      </c>
      <c r="B324" s="982" t="s">
        <v>54610</v>
      </c>
      <c r="C324" s="982" t="s">
        <v>54619</v>
      </c>
      <c r="D324" s="993">
        <v>1141.95</v>
      </c>
    </row>
    <row r="325" spans="1:4" ht="12" customHeight="1">
      <c r="A325" s="982" t="s">
        <v>54618</v>
      </c>
      <c r="B325" s="982" t="s">
        <v>54617</v>
      </c>
      <c r="C325" s="982" t="s">
        <v>54616</v>
      </c>
      <c r="D325" s="993">
        <v>1303.95</v>
      </c>
    </row>
    <row r="326" spans="1:4" ht="12" customHeight="1">
      <c r="A326" s="982" t="s">
        <v>54615</v>
      </c>
      <c r="B326" s="982" t="s">
        <v>54595</v>
      </c>
      <c r="C326" s="982" t="s">
        <v>54614</v>
      </c>
      <c r="D326" s="990">
        <v>970.95</v>
      </c>
    </row>
    <row r="327" spans="1:4" ht="12" customHeight="1">
      <c r="A327" s="982" t="s">
        <v>54613</v>
      </c>
      <c r="B327" s="982" t="s">
        <v>54598</v>
      </c>
      <c r="C327" s="982" t="s">
        <v>54612</v>
      </c>
      <c r="D327" s="993">
        <v>1121.95</v>
      </c>
    </row>
    <row r="328" spans="1:4" ht="12" customHeight="1">
      <c r="A328" s="982" t="s">
        <v>54611</v>
      </c>
      <c r="B328" s="982" t="s">
        <v>54610</v>
      </c>
      <c r="C328" s="982" t="s">
        <v>54609</v>
      </c>
      <c r="D328" s="993">
        <v>1324.95</v>
      </c>
    </row>
    <row r="329" spans="1:4" ht="12" customHeight="1">
      <c r="A329" s="982" t="s">
        <v>54608</v>
      </c>
      <c r="B329" s="982" t="s">
        <v>54595</v>
      </c>
      <c r="C329" s="982" t="s">
        <v>54607</v>
      </c>
      <c r="D329" s="993">
        <v>1066.95</v>
      </c>
    </row>
    <row r="330" spans="1:4" ht="12" customHeight="1">
      <c r="A330" s="982" t="s">
        <v>54606</v>
      </c>
      <c r="B330" s="982" t="s">
        <v>54598</v>
      </c>
      <c r="C330" s="982" t="s">
        <v>54605</v>
      </c>
      <c r="D330" s="993">
        <v>1308.95</v>
      </c>
    </row>
    <row r="331" spans="1:4" ht="12" customHeight="1">
      <c r="A331" s="982" t="s">
        <v>54604</v>
      </c>
      <c r="B331" s="982" t="s">
        <v>54603</v>
      </c>
      <c r="C331" s="982" t="s">
        <v>54602</v>
      </c>
      <c r="D331" s="993">
        <v>1552.95</v>
      </c>
    </row>
    <row r="332" spans="1:4" ht="12" customHeight="1">
      <c r="A332" s="982" t="s">
        <v>54601</v>
      </c>
      <c r="B332" s="982" t="s">
        <v>54595</v>
      </c>
      <c r="C332" s="982" t="s">
        <v>54600</v>
      </c>
      <c r="D332" s="993">
        <v>1173.95</v>
      </c>
    </row>
    <row r="333" spans="1:4" ht="12" customHeight="1">
      <c r="A333" s="982" t="s">
        <v>54599</v>
      </c>
      <c r="B333" s="982" t="s">
        <v>54598</v>
      </c>
      <c r="C333" s="982" t="s">
        <v>54597</v>
      </c>
      <c r="D333" s="993">
        <v>1457.95</v>
      </c>
    </row>
    <row r="334" spans="1:4" ht="12" customHeight="1">
      <c r="A334" s="982" t="s">
        <v>54596</v>
      </c>
      <c r="B334" s="982" t="s">
        <v>54595</v>
      </c>
      <c r="C334" s="982" t="s">
        <v>54594</v>
      </c>
      <c r="D334" s="993">
        <v>1244.95</v>
      </c>
    </row>
    <row r="335" spans="1:4" ht="12" customHeight="1">
      <c r="A335" s="982" t="s">
        <v>54593</v>
      </c>
      <c r="B335" s="982" t="s">
        <v>54592</v>
      </c>
      <c r="C335" s="982" t="s">
        <v>54591</v>
      </c>
      <c r="D335" s="993">
        <v>1583.95</v>
      </c>
    </row>
    <row r="336" spans="1:4" ht="15.75" customHeight="1">
      <c r="A336" s="1029" t="s">
        <v>54590</v>
      </c>
      <c r="B336" s="1030"/>
      <c r="C336" s="1030"/>
      <c r="D336" s="1031"/>
    </row>
    <row r="337" spans="1:4" ht="18" customHeight="1">
      <c r="A337" s="987" t="s">
        <v>54395</v>
      </c>
      <c r="B337" s="988"/>
      <c r="C337" s="987" t="s">
        <v>54394</v>
      </c>
      <c r="D337" s="987" t="s">
        <v>54393</v>
      </c>
    </row>
    <row r="338" spans="1:4" ht="12" customHeight="1">
      <c r="A338" s="982" t="s">
        <v>54589</v>
      </c>
      <c r="B338" s="983"/>
      <c r="C338" s="982" t="s">
        <v>54588</v>
      </c>
      <c r="D338" s="990">
        <v>37.950000000000003</v>
      </c>
    </row>
    <row r="339" spans="1:4" ht="12" customHeight="1">
      <c r="A339" s="982" t="s">
        <v>54587</v>
      </c>
      <c r="B339" s="983"/>
      <c r="C339" s="982" t="s">
        <v>54586</v>
      </c>
      <c r="D339" s="990">
        <v>29.95</v>
      </c>
    </row>
    <row r="340" spans="1:4" ht="12" customHeight="1">
      <c r="A340" s="982" t="s">
        <v>54585</v>
      </c>
      <c r="B340" s="988"/>
      <c r="C340" s="989" t="s">
        <v>54584</v>
      </c>
      <c r="D340" s="990">
        <v>513.95000000000005</v>
      </c>
    </row>
    <row r="341" spans="1:4" ht="12" customHeight="1">
      <c r="A341" s="982" t="s">
        <v>54583</v>
      </c>
      <c r="B341" s="983"/>
      <c r="C341" s="989" t="s">
        <v>54582</v>
      </c>
      <c r="D341" s="990">
        <v>624.95000000000005</v>
      </c>
    </row>
    <row r="342" spans="1:4" ht="12" customHeight="1">
      <c r="A342" s="982" t="s">
        <v>54581</v>
      </c>
      <c r="B342" s="983"/>
      <c r="C342" s="992" t="s">
        <v>54580</v>
      </c>
      <c r="D342" s="990">
        <v>139.94999999999999</v>
      </c>
    </row>
    <row r="343" spans="1:4" ht="12" customHeight="1">
      <c r="A343" s="982" t="s">
        <v>54579</v>
      </c>
      <c r="B343" s="983"/>
      <c r="C343" s="992" t="s">
        <v>54578</v>
      </c>
      <c r="D343" s="990">
        <v>159.94999999999999</v>
      </c>
    </row>
    <row r="344" spans="1:4" ht="12" customHeight="1">
      <c r="A344" s="982" t="s">
        <v>54577</v>
      </c>
      <c r="B344" s="988"/>
      <c r="C344" s="989" t="s">
        <v>54576</v>
      </c>
      <c r="D344" s="990">
        <v>541.95000000000005</v>
      </c>
    </row>
    <row r="345" spans="1:4" ht="12" customHeight="1">
      <c r="A345" s="982" t="s">
        <v>54575</v>
      </c>
      <c r="B345" s="983"/>
      <c r="C345" s="989" t="s">
        <v>54574</v>
      </c>
      <c r="D345" s="990">
        <v>667.95</v>
      </c>
    </row>
    <row r="346" spans="1:4" ht="12" customHeight="1">
      <c r="A346" s="982" t="s">
        <v>54573</v>
      </c>
      <c r="B346" s="983"/>
      <c r="C346" s="989" t="s">
        <v>54572</v>
      </c>
      <c r="D346" s="990">
        <v>411.95</v>
      </c>
    </row>
    <row r="347" spans="1:4" ht="12" customHeight="1">
      <c r="A347" s="982" t="s">
        <v>54571</v>
      </c>
      <c r="B347" s="983"/>
      <c r="C347" s="989" t="s">
        <v>54570</v>
      </c>
      <c r="D347" s="990">
        <v>411.95</v>
      </c>
    </row>
    <row r="348" spans="1:4" ht="12" customHeight="1">
      <c r="A348" s="982" t="s">
        <v>54569</v>
      </c>
      <c r="B348" s="988"/>
      <c r="C348" s="989" t="s">
        <v>54568</v>
      </c>
      <c r="D348" s="990">
        <v>492.95</v>
      </c>
    </row>
    <row r="349" spans="1:4" ht="12" customHeight="1">
      <c r="A349" s="982" t="s">
        <v>54567</v>
      </c>
      <c r="B349" s="983"/>
      <c r="C349" s="989" t="s">
        <v>54566</v>
      </c>
      <c r="D349" s="990">
        <v>492.95</v>
      </c>
    </row>
    <row r="350" spans="1:4" ht="12" customHeight="1">
      <c r="A350" s="982" t="s">
        <v>54565</v>
      </c>
      <c r="B350" s="983"/>
      <c r="C350" s="989" t="s">
        <v>54564</v>
      </c>
      <c r="D350" s="990">
        <v>344.95</v>
      </c>
    </row>
    <row r="351" spans="1:4" ht="12" customHeight="1">
      <c r="A351" s="982" t="s">
        <v>54563</v>
      </c>
      <c r="B351" s="983"/>
      <c r="C351" s="982" t="s">
        <v>54562</v>
      </c>
      <c r="D351" s="990">
        <v>169.95</v>
      </c>
    </row>
    <row r="352" spans="1:4" ht="12" customHeight="1">
      <c r="A352" s="982" t="s">
        <v>54561</v>
      </c>
      <c r="B352" s="988"/>
      <c r="C352" s="982" t="s">
        <v>54560</v>
      </c>
      <c r="D352" s="990">
        <v>496.95</v>
      </c>
    </row>
    <row r="353" spans="1:4" ht="12" customHeight="1">
      <c r="A353" s="982" t="s">
        <v>54559</v>
      </c>
      <c r="B353" s="983"/>
      <c r="C353" s="982" t="s">
        <v>54558</v>
      </c>
      <c r="D353" s="990">
        <v>277.95</v>
      </c>
    </row>
    <row r="354" spans="1:4" ht="12" customHeight="1">
      <c r="A354" s="982" t="s">
        <v>54557</v>
      </c>
      <c r="B354" s="983"/>
      <c r="C354" s="982" t="s">
        <v>54556</v>
      </c>
      <c r="D354" s="990">
        <v>136.94999999999999</v>
      </c>
    </row>
    <row r="355" spans="1:4" ht="12" customHeight="1">
      <c r="A355" s="982" t="s">
        <v>54555</v>
      </c>
      <c r="B355" s="983"/>
      <c r="C355" s="982" t="s">
        <v>54554</v>
      </c>
      <c r="D355" s="990">
        <v>148.94999999999999</v>
      </c>
    </row>
    <row r="356" spans="1:4" ht="12" customHeight="1">
      <c r="A356" s="982" t="s">
        <v>54553</v>
      </c>
      <c r="B356" s="988"/>
      <c r="C356" s="982" t="s">
        <v>54552</v>
      </c>
      <c r="D356" s="990">
        <v>160.94999999999999</v>
      </c>
    </row>
    <row r="357" spans="1:4" ht="12" customHeight="1">
      <c r="A357" s="982" t="s">
        <v>54551</v>
      </c>
      <c r="B357" s="983"/>
      <c r="C357" s="989" t="s">
        <v>54550</v>
      </c>
      <c r="D357" s="990">
        <v>115.95</v>
      </c>
    </row>
    <row r="358" spans="1:4" ht="12" customHeight="1">
      <c r="A358" s="982" t="s">
        <v>54549</v>
      </c>
      <c r="B358" s="983"/>
      <c r="C358" s="982" t="s">
        <v>54548</v>
      </c>
      <c r="D358" s="990">
        <v>117.95</v>
      </c>
    </row>
    <row r="359" spans="1:4" ht="12" customHeight="1">
      <c r="A359" s="982" t="s">
        <v>54547</v>
      </c>
      <c r="B359" s="983"/>
      <c r="C359" s="982" t="s">
        <v>54546</v>
      </c>
      <c r="D359" s="990">
        <v>124.95</v>
      </c>
    </row>
    <row r="360" spans="1:4" ht="12" customHeight="1">
      <c r="A360" s="982" t="s">
        <v>54545</v>
      </c>
      <c r="B360" s="983"/>
      <c r="C360" s="982" t="s">
        <v>54544</v>
      </c>
      <c r="D360" s="990">
        <v>130.94999999999999</v>
      </c>
    </row>
    <row r="361" spans="1:4" ht="12" customHeight="1">
      <c r="A361" s="982" t="s">
        <v>54543</v>
      </c>
      <c r="B361" s="988"/>
      <c r="C361" s="989" t="s">
        <v>54542</v>
      </c>
      <c r="D361" s="990">
        <v>110.95</v>
      </c>
    </row>
    <row r="362" spans="1:4" ht="12" customHeight="1">
      <c r="A362" s="982" t="s">
        <v>54541</v>
      </c>
      <c r="B362" s="983"/>
      <c r="C362" s="982" t="s">
        <v>54540</v>
      </c>
      <c r="D362" s="990">
        <v>31.95</v>
      </c>
    </row>
    <row r="363" spans="1:4" ht="12" customHeight="1">
      <c r="A363" s="982" t="s">
        <v>54539</v>
      </c>
      <c r="B363" s="983"/>
      <c r="C363" s="991" t="s">
        <v>54538</v>
      </c>
      <c r="D363" s="990">
        <v>17.95</v>
      </c>
    </row>
    <row r="364" spans="1:4" ht="12" customHeight="1">
      <c r="A364" s="982" t="s">
        <v>54537</v>
      </c>
      <c r="B364" s="983"/>
      <c r="C364" s="982" t="s">
        <v>54536</v>
      </c>
      <c r="D364" s="990">
        <v>23.95</v>
      </c>
    </row>
    <row r="365" spans="1:4" ht="12" customHeight="1">
      <c r="A365" s="982" t="s">
        <v>54535</v>
      </c>
      <c r="B365" s="988"/>
      <c r="C365" s="989" t="s">
        <v>54534</v>
      </c>
      <c r="D365" s="990">
        <v>11.95</v>
      </c>
    </row>
    <row r="366" spans="1:4" ht="12" customHeight="1">
      <c r="A366" s="982" t="s">
        <v>54533</v>
      </c>
      <c r="B366" s="983"/>
      <c r="C366" s="989" t="s">
        <v>54532</v>
      </c>
      <c r="D366" s="990">
        <v>21.95</v>
      </c>
    </row>
    <row r="367" spans="1:4" ht="12" customHeight="1">
      <c r="A367" s="982" t="s">
        <v>54531</v>
      </c>
      <c r="B367" s="983"/>
      <c r="C367" s="982" t="s">
        <v>54530</v>
      </c>
      <c r="D367" s="990">
        <v>7.95</v>
      </c>
    </row>
    <row r="368" spans="1:4" ht="12" customHeight="1">
      <c r="A368" s="982" t="s">
        <v>54529</v>
      </c>
      <c r="B368" s="983"/>
      <c r="C368" s="982" t="s">
        <v>54528</v>
      </c>
      <c r="D368" s="990">
        <v>15.95</v>
      </c>
    </row>
    <row r="369" spans="1:4" ht="12" customHeight="1">
      <c r="A369" s="984">
        <v>2019</v>
      </c>
      <c r="B369" s="988"/>
      <c r="C369" s="989" t="s">
        <v>54527</v>
      </c>
      <c r="D369" s="990">
        <v>0.85</v>
      </c>
    </row>
    <row r="370" spans="1:4" ht="12" customHeight="1">
      <c r="A370" s="982" t="s">
        <v>54526</v>
      </c>
      <c r="B370" s="983"/>
      <c r="C370" s="989" t="s">
        <v>54525</v>
      </c>
      <c r="D370" s="990">
        <v>0.85</v>
      </c>
    </row>
    <row r="371" spans="1:4" ht="12" customHeight="1">
      <c r="A371" s="984">
        <v>2020</v>
      </c>
      <c r="B371" s="983"/>
      <c r="C371" s="991" t="s">
        <v>54524</v>
      </c>
      <c r="D371" s="990">
        <v>1.05</v>
      </c>
    </row>
    <row r="372" spans="1:4" ht="12" customHeight="1">
      <c r="A372" s="982" t="s">
        <v>54523</v>
      </c>
      <c r="B372" s="983"/>
      <c r="C372" s="991" t="s">
        <v>54522</v>
      </c>
      <c r="D372" s="990">
        <v>8.9499999999999993</v>
      </c>
    </row>
    <row r="373" spans="1:4" ht="12" customHeight="1">
      <c r="A373" s="982" t="s">
        <v>54521</v>
      </c>
      <c r="B373" s="988"/>
      <c r="C373" s="991" t="s">
        <v>54520</v>
      </c>
      <c r="D373" s="990">
        <v>8.9499999999999993</v>
      </c>
    </row>
    <row r="374" spans="1:4" ht="12" customHeight="1">
      <c r="A374" s="982" t="s">
        <v>54519</v>
      </c>
      <c r="B374" s="983"/>
      <c r="C374" s="982" t="s">
        <v>54518</v>
      </c>
      <c r="D374" s="990">
        <v>8.9499999999999993</v>
      </c>
    </row>
    <row r="375" spans="1:4" ht="12" customHeight="1">
      <c r="A375" s="982" t="s">
        <v>54517</v>
      </c>
      <c r="B375" s="983"/>
      <c r="C375" s="982" t="s">
        <v>54516</v>
      </c>
      <c r="D375" s="990">
        <v>8.9499999999999993</v>
      </c>
    </row>
    <row r="376" spans="1:4" ht="12" customHeight="1">
      <c r="A376" s="982" t="s">
        <v>54515</v>
      </c>
      <c r="B376" s="983"/>
      <c r="C376" s="991" t="s">
        <v>54514</v>
      </c>
      <c r="D376" s="990">
        <v>0.85</v>
      </c>
    </row>
    <row r="377" spans="1:4" ht="12" customHeight="1">
      <c r="A377" s="982" t="s">
        <v>54513</v>
      </c>
      <c r="B377" s="988"/>
      <c r="C377" s="991" t="s">
        <v>54512</v>
      </c>
      <c r="D377" s="990">
        <v>0.85</v>
      </c>
    </row>
    <row r="378" spans="1:4" ht="12" customHeight="1">
      <c r="A378" s="984">
        <v>3018</v>
      </c>
      <c r="B378" s="983"/>
      <c r="C378" s="991" t="s">
        <v>54511</v>
      </c>
      <c r="D378" s="990">
        <v>34.950000000000003</v>
      </c>
    </row>
    <row r="379" spans="1:4" ht="12" customHeight="1">
      <c r="A379" s="984">
        <v>3021</v>
      </c>
      <c r="B379" s="983"/>
      <c r="C379" s="982" t="s">
        <v>54510</v>
      </c>
      <c r="D379" s="990">
        <v>36.950000000000003</v>
      </c>
    </row>
    <row r="380" spans="1:4" ht="12" customHeight="1">
      <c r="A380" s="984">
        <v>3027</v>
      </c>
      <c r="B380" s="983"/>
      <c r="C380" s="991" t="s">
        <v>54509</v>
      </c>
      <c r="D380" s="990">
        <v>45.95</v>
      </c>
    </row>
    <row r="381" spans="1:4" ht="12" customHeight="1">
      <c r="A381" s="984">
        <v>7002</v>
      </c>
      <c r="B381" s="983"/>
      <c r="C381" s="991" t="s">
        <v>54508</v>
      </c>
      <c r="D381" s="990">
        <v>10.95</v>
      </c>
    </row>
    <row r="382" spans="1:4" ht="12" customHeight="1">
      <c r="A382" s="982" t="s">
        <v>54507</v>
      </c>
      <c r="B382" s="988"/>
      <c r="C382" s="991" t="s">
        <v>54506</v>
      </c>
      <c r="D382" s="990">
        <v>14.55</v>
      </c>
    </row>
    <row r="383" spans="1:4" ht="12" customHeight="1">
      <c r="A383" s="984">
        <v>3023</v>
      </c>
      <c r="B383" s="983"/>
      <c r="C383" s="982" t="s">
        <v>54505</v>
      </c>
      <c r="D383" s="990">
        <v>1.45</v>
      </c>
    </row>
    <row r="384" spans="1:4" ht="12" customHeight="1">
      <c r="A384" s="984">
        <v>3024</v>
      </c>
      <c r="B384" s="983"/>
      <c r="C384" s="982" t="s">
        <v>54504</v>
      </c>
      <c r="D384" s="990">
        <v>1.45</v>
      </c>
    </row>
    <row r="385" spans="1:4" ht="12" customHeight="1">
      <c r="A385" s="984">
        <v>7053</v>
      </c>
      <c r="B385" s="983"/>
      <c r="C385" s="991" t="s">
        <v>54503</v>
      </c>
      <c r="D385" s="990">
        <v>13.75</v>
      </c>
    </row>
    <row r="386" spans="1:4" ht="12" customHeight="1">
      <c r="A386" s="984">
        <v>7054</v>
      </c>
      <c r="B386" s="988"/>
      <c r="C386" s="991" t="s">
        <v>54502</v>
      </c>
      <c r="D386" s="990">
        <v>27.45</v>
      </c>
    </row>
    <row r="387" spans="1:4" ht="12" customHeight="1">
      <c r="A387" s="984">
        <v>2104</v>
      </c>
      <c r="B387" s="983"/>
      <c r="C387" s="982" t="s">
        <v>54501</v>
      </c>
      <c r="D387" s="990">
        <v>2.95</v>
      </c>
    </row>
    <row r="388" spans="1:4" ht="12" customHeight="1">
      <c r="A388" s="984">
        <v>2010</v>
      </c>
      <c r="B388" s="983"/>
      <c r="C388" s="982" t="s">
        <v>54500</v>
      </c>
      <c r="D388" s="990">
        <v>3.45</v>
      </c>
    </row>
    <row r="389" spans="1:4" ht="12" customHeight="1">
      <c r="A389" s="984">
        <v>2018</v>
      </c>
      <c r="B389" s="983"/>
      <c r="C389" s="982" t="s">
        <v>54499</v>
      </c>
      <c r="D389" s="990">
        <v>3.35</v>
      </c>
    </row>
    <row r="390" spans="1:4" ht="12" customHeight="1">
      <c r="A390" s="984">
        <v>2023</v>
      </c>
      <c r="B390" s="988"/>
      <c r="C390" s="982" t="s">
        <v>54498</v>
      </c>
      <c r="D390" s="990">
        <v>5.55</v>
      </c>
    </row>
    <row r="391" spans="1:4" ht="12" customHeight="1">
      <c r="A391" s="984">
        <v>7018</v>
      </c>
      <c r="B391" s="983"/>
      <c r="C391" s="989" t="s">
        <v>54497</v>
      </c>
      <c r="D391" s="990">
        <v>7.25</v>
      </c>
    </row>
    <row r="392" spans="1:4" ht="12" customHeight="1">
      <c r="A392" s="984">
        <v>7019</v>
      </c>
      <c r="B392" s="983"/>
      <c r="C392" s="989" t="s">
        <v>54496</v>
      </c>
      <c r="D392" s="990">
        <v>6.65</v>
      </c>
    </row>
    <row r="393" spans="1:4" ht="12" customHeight="1">
      <c r="A393" s="984">
        <v>7052</v>
      </c>
      <c r="B393" s="983"/>
      <c r="C393" s="989" t="s">
        <v>54495</v>
      </c>
      <c r="D393" s="990">
        <v>6.45</v>
      </c>
    </row>
    <row r="394" spans="1:4" ht="12" customHeight="1">
      <c r="A394" s="984">
        <v>3014</v>
      </c>
      <c r="B394" s="988"/>
      <c r="C394" s="989" t="s">
        <v>54494</v>
      </c>
      <c r="D394" s="982" t="s">
        <v>54492</v>
      </c>
    </row>
    <row r="395" spans="1:4" ht="12" customHeight="1">
      <c r="A395" s="984">
        <v>3022</v>
      </c>
      <c r="B395" s="983"/>
      <c r="C395" s="989" t="s">
        <v>54493</v>
      </c>
      <c r="D395" s="982" t="s">
        <v>54492</v>
      </c>
    </row>
    <row r="396" spans="1:4" ht="12" customHeight="1">
      <c r="A396" s="982" t="s">
        <v>54491</v>
      </c>
      <c r="B396" s="983"/>
      <c r="C396" s="982" t="s">
        <v>54490</v>
      </c>
      <c r="D396" s="990">
        <v>0.95</v>
      </c>
    </row>
    <row r="397" spans="1:4" ht="12" customHeight="1">
      <c r="A397" s="982" t="s">
        <v>54489</v>
      </c>
      <c r="B397" s="983"/>
      <c r="C397" s="982" t="s">
        <v>54488</v>
      </c>
      <c r="D397" s="990">
        <v>0.65</v>
      </c>
    </row>
    <row r="398" spans="1:4" ht="12" customHeight="1">
      <c r="A398" s="982" t="s">
        <v>54487</v>
      </c>
      <c r="B398" s="988"/>
      <c r="C398" s="982" t="s">
        <v>54486</v>
      </c>
      <c r="D398" s="990">
        <v>1.1499999999999999</v>
      </c>
    </row>
    <row r="399" spans="1:4" ht="12" customHeight="1">
      <c r="A399" s="982" t="s">
        <v>54485</v>
      </c>
      <c r="B399" s="983"/>
      <c r="C399" s="982" t="s">
        <v>54484</v>
      </c>
      <c r="D399" s="990">
        <v>1.95</v>
      </c>
    </row>
    <row r="400" spans="1:4" ht="15.75" customHeight="1">
      <c r="A400" s="1047" t="s">
        <v>54483</v>
      </c>
      <c r="B400" s="1048"/>
      <c r="C400" s="1048"/>
      <c r="D400" s="1049"/>
    </row>
    <row r="401" spans="1:4" ht="18" customHeight="1">
      <c r="A401" s="987" t="s">
        <v>54395</v>
      </c>
      <c r="B401" s="988"/>
      <c r="C401" s="987" t="s">
        <v>54394</v>
      </c>
      <c r="D401" s="986" t="s">
        <v>54393</v>
      </c>
    </row>
    <row r="402" spans="1:4" ht="12" customHeight="1">
      <c r="A402" s="982" t="s">
        <v>54482</v>
      </c>
      <c r="B402" s="983"/>
      <c r="C402" s="982" t="s">
        <v>54481</v>
      </c>
      <c r="D402" s="985">
        <v>2.95</v>
      </c>
    </row>
    <row r="403" spans="1:4" ht="12" customHeight="1">
      <c r="A403" s="984">
        <v>7000</v>
      </c>
      <c r="B403" s="983"/>
      <c r="C403" s="982" t="s">
        <v>54480</v>
      </c>
      <c r="D403" s="981">
        <v>349.95</v>
      </c>
    </row>
    <row r="404" spans="1:4" ht="12" customHeight="1">
      <c r="A404" s="982" t="s">
        <v>54479</v>
      </c>
      <c r="B404" s="983"/>
      <c r="C404" s="982" t="s">
        <v>54478</v>
      </c>
      <c r="D404" s="981">
        <v>205.95</v>
      </c>
    </row>
    <row r="405" spans="1:4" ht="12" customHeight="1">
      <c r="A405" s="982" t="s">
        <v>54477</v>
      </c>
      <c r="B405" s="983"/>
      <c r="C405" s="982" t="s">
        <v>54476</v>
      </c>
      <c r="D405" s="981">
        <v>147.94999999999999</v>
      </c>
    </row>
    <row r="406" spans="1:4" ht="15.75" customHeight="1">
      <c r="A406" s="1050" t="s">
        <v>54475</v>
      </c>
      <c r="B406" s="1051"/>
      <c r="C406" s="1051"/>
      <c r="D406" s="1052"/>
    </row>
    <row r="407" spans="1:4" ht="12" customHeight="1">
      <c r="A407" s="984">
        <v>7001</v>
      </c>
      <c r="B407" s="983"/>
      <c r="C407" s="989" t="s">
        <v>54474</v>
      </c>
      <c r="D407" s="981">
        <v>95.95</v>
      </c>
    </row>
    <row r="408" spans="1:4" ht="12" customHeight="1">
      <c r="A408" s="982" t="s">
        <v>54473</v>
      </c>
      <c r="B408" s="983"/>
      <c r="C408" s="982" t="s">
        <v>54472</v>
      </c>
      <c r="D408" s="981">
        <v>16.95</v>
      </c>
    </row>
    <row r="409" spans="1:4" ht="12" customHeight="1">
      <c r="A409" s="982" t="s">
        <v>54471</v>
      </c>
      <c r="B409" s="983"/>
      <c r="C409" s="982" t="s">
        <v>54470</v>
      </c>
      <c r="D409" s="981">
        <v>30.95</v>
      </c>
    </row>
    <row r="410" spans="1:4" ht="12" customHeight="1">
      <c r="A410" s="982" t="s">
        <v>54469</v>
      </c>
      <c r="B410" s="983"/>
      <c r="C410" s="982" t="s">
        <v>54468</v>
      </c>
      <c r="D410" s="981">
        <v>43.95</v>
      </c>
    </row>
    <row r="411" spans="1:4" ht="12" customHeight="1">
      <c r="A411" s="982" t="s">
        <v>54467</v>
      </c>
      <c r="B411" s="983"/>
      <c r="C411" s="982" t="s">
        <v>54466</v>
      </c>
      <c r="D411" s="981">
        <v>57.95</v>
      </c>
    </row>
    <row r="412" spans="1:4" ht="12" customHeight="1">
      <c r="A412" s="982" t="s">
        <v>54465</v>
      </c>
      <c r="B412" s="983"/>
      <c r="C412" s="982" t="s">
        <v>54464</v>
      </c>
      <c r="D412" s="981">
        <v>70.95</v>
      </c>
    </row>
    <row r="413" spans="1:4" ht="12" customHeight="1">
      <c r="A413" s="982" t="s">
        <v>54463</v>
      </c>
      <c r="B413" s="983"/>
      <c r="C413" s="982" t="s">
        <v>54462</v>
      </c>
      <c r="D413" s="981">
        <v>84.95</v>
      </c>
    </row>
    <row r="414" spans="1:4" ht="12" customHeight="1">
      <c r="A414" s="982" t="s">
        <v>54461</v>
      </c>
      <c r="B414" s="983"/>
      <c r="C414" s="982" t="s">
        <v>54460</v>
      </c>
      <c r="D414" s="981">
        <v>99.95</v>
      </c>
    </row>
    <row r="415" spans="1:4" ht="12" customHeight="1">
      <c r="A415" s="982" t="s">
        <v>54459</v>
      </c>
      <c r="B415" s="983"/>
      <c r="C415" s="982" t="s">
        <v>54458</v>
      </c>
      <c r="D415" s="981">
        <v>111.95</v>
      </c>
    </row>
    <row r="416" spans="1:4" ht="8" customHeight="1">
      <c r="A416" s="1005"/>
      <c r="B416" s="1005"/>
      <c r="C416" s="1005"/>
      <c r="D416" s="1005"/>
    </row>
    <row r="417" spans="1:4" ht="15.75" customHeight="1">
      <c r="A417" s="1041" t="s">
        <v>54457</v>
      </c>
      <c r="B417" s="1042"/>
      <c r="C417" s="1042"/>
      <c r="D417" s="1043"/>
    </row>
    <row r="418" spans="1:4" ht="18" customHeight="1">
      <c r="A418" s="987" t="s">
        <v>54395</v>
      </c>
      <c r="B418" s="988"/>
      <c r="C418" s="987" t="s">
        <v>54394</v>
      </c>
      <c r="D418" s="986" t="s">
        <v>54393</v>
      </c>
    </row>
    <row r="419" spans="1:4" ht="12" customHeight="1">
      <c r="A419" s="982" t="s">
        <v>54456</v>
      </c>
      <c r="B419" s="983"/>
      <c r="C419" s="982" t="s">
        <v>54455</v>
      </c>
      <c r="D419" s="985">
        <v>2.0499999999999998</v>
      </c>
    </row>
    <row r="420" spans="1:4" ht="12" customHeight="1">
      <c r="A420" s="984">
        <v>7020</v>
      </c>
      <c r="B420" s="983"/>
      <c r="C420" s="982" t="s">
        <v>54454</v>
      </c>
      <c r="D420" s="981">
        <v>231.95</v>
      </c>
    </row>
    <row r="421" spans="1:4" ht="12" customHeight="1">
      <c r="A421" s="982" t="s">
        <v>54453</v>
      </c>
      <c r="B421" s="983"/>
      <c r="C421" s="982" t="s">
        <v>54452</v>
      </c>
      <c r="D421" s="981">
        <v>135.94999999999999</v>
      </c>
    </row>
    <row r="422" spans="1:4" ht="12" customHeight="1">
      <c r="A422" s="982" t="s">
        <v>54451</v>
      </c>
      <c r="B422" s="983"/>
      <c r="C422" s="982" t="s">
        <v>54450</v>
      </c>
      <c r="D422" s="981">
        <v>97.95</v>
      </c>
    </row>
    <row r="423" spans="1:4" ht="15.75" customHeight="1">
      <c r="A423" s="1044" t="s">
        <v>54449</v>
      </c>
      <c r="B423" s="1045"/>
      <c r="C423" s="1045"/>
      <c r="D423" s="1046"/>
    </row>
    <row r="424" spans="1:4" ht="12" customHeight="1">
      <c r="A424" s="982" t="s">
        <v>54448</v>
      </c>
      <c r="B424" s="983"/>
      <c r="C424" s="989" t="s">
        <v>54447</v>
      </c>
      <c r="D424" s="981">
        <v>129.94999999999999</v>
      </c>
    </row>
    <row r="425" spans="1:4" ht="12" customHeight="1">
      <c r="A425" s="982" t="s">
        <v>54446</v>
      </c>
      <c r="B425" s="983"/>
      <c r="C425" s="982" t="s">
        <v>54445</v>
      </c>
      <c r="D425" s="981">
        <v>15.95</v>
      </c>
    </row>
    <row r="426" spans="1:4" ht="12" customHeight="1">
      <c r="A426" s="982" t="s">
        <v>54444</v>
      </c>
      <c r="B426" s="983"/>
      <c r="C426" s="982" t="s">
        <v>54443</v>
      </c>
      <c r="D426" s="981">
        <v>27.95</v>
      </c>
    </row>
    <row r="427" spans="1:4" ht="12" customHeight="1">
      <c r="A427" s="982" t="s">
        <v>54442</v>
      </c>
      <c r="B427" s="983"/>
      <c r="C427" s="982" t="s">
        <v>54441</v>
      </c>
      <c r="D427" s="981">
        <v>41.95</v>
      </c>
    </row>
    <row r="428" spans="1:4" ht="12" customHeight="1">
      <c r="A428" s="982" t="s">
        <v>54440</v>
      </c>
      <c r="B428" s="983"/>
      <c r="C428" s="982" t="s">
        <v>54439</v>
      </c>
      <c r="D428" s="981">
        <v>53.95</v>
      </c>
    </row>
    <row r="429" spans="1:4" ht="12" customHeight="1">
      <c r="A429" s="982" t="s">
        <v>54438</v>
      </c>
      <c r="B429" s="983"/>
      <c r="C429" s="982" t="s">
        <v>54437</v>
      </c>
      <c r="D429" s="981">
        <v>64.95</v>
      </c>
    </row>
    <row r="430" spans="1:4" ht="12" customHeight="1">
      <c r="A430" s="982" t="s">
        <v>54436</v>
      </c>
      <c r="B430" s="983"/>
      <c r="C430" s="982" t="s">
        <v>54435</v>
      </c>
      <c r="D430" s="981">
        <v>80.95</v>
      </c>
    </row>
    <row r="431" spans="1:4" ht="12" customHeight="1">
      <c r="A431" s="982" t="s">
        <v>54434</v>
      </c>
      <c r="B431" s="983"/>
      <c r="C431" s="982" t="s">
        <v>54433</v>
      </c>
      <c r="D431" s="981">
        <v>90.95</v>
      </c>
    </row>
    <row r="432" spans="1:4" ht="12" customHeight="1">
      <c r="A432" s="982" t="s">
        <v>54432</v>
      </c>
      <c r="B432" s="983"/>
      <c r="C432" s="982" t="s">
        <v>54431</v>
      </c>
      <c r="D432" s="981">
        <v>101.95</v>
      </c>
    </row>
    <row r="433" spans="1:4" ht="12" customHeight="1">
      <c r="A433" s="982" t="s">
        <v>54430</v>
      </c>
      <c r="B433" s="983"/>
      <c r="C433" s="982" t="s">
        <v>54429</v>
      </c>
      <c r="D433" s="981">
        <v>119.95</v>
      </c>
    </row>
    <row r="434" spans="1:4" ht="12" customHeight="1">
      <c r="A434" s="982" t="s">
        <v>54428</v>
      </c>
      <c r="B434" s="983"/>
      <c r="C434" s="982" t="s">
        <v>54427</v>
      </c>
      <c r="D434" s="981">
        <v>134.94999999999999</v>
      </c>
    </row>
    <row r="435" spans="1:4" ht="1" customHeight="1"/>
    <row r="436" spans="1:4" ht="15.75" customHeight="1">
      <c r="A436" s="1038" t="s">
        <v>54426</v>
      </c>
      <c r="B436" s="1039"/>
      <c r="C436" s="1039"/>
      <c r="D436" s="1040"/>
    </row>
    <row r="437" spans="1:4" ht="18" customHeight="1">
      <c r="A437" s="987" t="s">
        <v>54395</v>
      </c>
      <c r="B437" s="988"/>
      <c r="C437" s="987" t="s">
        <v>54394</v>
      </c>
      <c r="D437" s="986" t="s">
        <v>54393</v>
      </c>
    </row>
    <row r="438" spans="1:4" ht="12" customHeight="1">
      <c r="A438" s="982" t="s">
        <v>54425</v>
      </c>
      <c r="B438" s="983"/>
      <c r="C438" s="982" t="s">
        <v>54424</v>
      </c>
      <c r="D438" s="985">
        <v>4.3499999999999996</v>
      </c>
    </row>
    <row r="439" spans="1:4" ht="12" customHeight="1">
      <c r="A439" s="984">
        <v>7040</v>
      </c>
      <c r="B439" s="983"/>
      <c r="C439" s="982" t="s">
        <v>54423</v>
      </c>
      <c r="D439" s="981">
        <v>503.95</v>
      </c>
    </row>
    <row r="440" spans="1:4" ht="12" customHeight="1">
      <c r="A440" s="982" t="s">
        <v>54422</v>
      </c>
      <c r="B440" s="983"/>
      <c r="C440" s="982" t="s">
        <v>54421</v>
      </c>
      <c r="D440" s="981">
        <v>294.95</v>
      </c>
    </row>
    <row r="441" spans="1:4" ht="12" customHeight="1">
      <c r="A441" s="982" t="s">
        <v>54420</v>
      </c>
      <c r="B441" s="983"/>
      <c r="C441" s="982" t="s">
        <v>54419</v>
      </c>
      <c r="D441" s="981">
        <v>210.95</v>
      </c>
    </row>
    <row r="442" spans="1:4" ht="15.75" customHeight="1">
      <c r="A442" s="1053" t="s">
        <v>54418</v>
      </c>
      <c r="B442" s="1054"/>
      <c r="C442" s="1054"/>
      <c r="D442" s="1055"/>
    </row>
    <row r="443" spans="1:4" ht="12" customHeight="1">
      <c r="A443" s="984">
        <v>7009</v>
      </c>
      <c r="B443" s="983"/>
      <c r="C443" s="989" t="s">
        <v>54417</v>
      </c>
      <c r="D443" s="981">
        <v>306.95</v>
      </c>
    </row>
    <row r="444" spans="1:4" ht="12" customHeight="1">
      <c r="A444" s="982" t="s">
        <v>54416</v>
      </c>
      <c r="B444" s="983"/>
      <c r="C444" s="982" t="s">
        <v>54415</v>
      </c>
      <c r="D444" s="981">
        <v>33.950000000000003</v>
      </c>
    </row>
    <row r="445" spans="1:4" ht="12" customHeight="1">
      <c r="A445" s="982" t="s">
        <v>54414</v>
      </c>
      <c r="B445" s="983"/>
      <c r="C445" s="982" t="s">
        <v>54413</v>
      </c>
      <c r="D445" s="981">
        <v>60.95</v>
      </c>
    </row>
    <row r="446" spans="1:4" ht="12" customHeight="1">
      <c r="A446" s="982" t="s">
        <v>54412</v>
      </c>
      <c r="B446" s="983"/>
      <c r="C446" s="982" t="s">
        <v>54411</v>
      </c>
      <c r="D446" s="981">
        <v>89.95</v>
      </c>
    </row>
    <row r="447" spans="1:4" ht="12" customHeight="1">
      <c r="A447" s="982" t="s">
        <v>54410</v>
      </c>
      <c r="B447" s="983"/>
      <c r="C447" s="982" t="s">
        <v>54409</v>
      </c>
      <c r="D447" s="981">
        <v>119.95</v>
      </c>
    </row>
    <row r="448" spans="1:4" ht="12" customHeight="1">
      <c r="A448" s="982" t="s">
        <v>54408</v>
      </c>
      <c r="B448" s="983"/>
      <c r="C448" s="982" t="s">
        <v>54407</v>
      </c>
      <c r="D448" s="981">
        <v>148.94999999999999</v>
      </c>
    </row>
    <row r="449" spans="1:4" ht="12" customHeight="1">
      <c r="A449" s="982" t="s">
        <v>54406</v>
      </c>
      <c r="B449" s="983"/>
      <c r="C449" s="982" t="s">
        <v>54405</v>
      </c>
      <c r="D449" s="981">
        <v>177.95</v>
      </c>
    </row>
    <row r="450" spans="1:4" ht="12" customHeight="1">
      <c r="A450" s="982" t="s">
        <v>54404</v>
      </c>
      <c r="B450" s="983"/>
      <c r="C450" s="982" t="s">
        <v>54403</v>
      </c>
      <c r="D450" s="981">
        <v>216.95</v>
      </c>
    </row>
    <row r="451" spans="1:4" ht="12" customHeight="1">
      <c r="A451" s="982" t="s">
        <v>54402</v>
      </c>
      <c r="B451" s="983"/>
      <c r="C451" s="982" t="s">
        <v>54401</v>
      </c>
      <c r="D451" s="981">
        <v>235.95</v>
      </c>
    </row>
    <row r="452" spans="1:4" ht="12" customHeight="1">
      <c r="A452" s="982" t="s">
        <v>54400</v>
      </c>
      <c r="B452" s="983"/>
      <c r="C452" s="982" t="s">
        <v>54399</v>
      </c>
      <c r="D452" s="981">
        <v>283.95</v>
      </c>
    </row>
    <row r="453" spans="1:4" ht="12" customHeight="1">
      <c r="A453" s="982" t="s">
        <v>54398</v>
      </c>
      <c r="B453" s="983"/>
      <c r="C453" s="982" t="s">
        <v>54397</v>
      </c>
      <c r="D453" s="981">
        <v>293.95</v>
      </c>
    </row>
    <row r="454" spans="1:4" ht="8" customHeight="1">
      <c r="A454" s="1005"/>
      <c r="B454" s="1005"/>
      <c r="C454" s="1005"/>
      <c r="D454" s="1005"/>
    </row>
    <row r="455" spans="1:4" ht="15.75" customHeight="1">
      <c r="A455" s="1059" t="s">
        <v>54396</v>
      </c>
      <c r="B455" s="1060"/>
      <c r="C455" s="1060"/>
      <c r="D455" s="1061"/>
    </row>
    <row r="456" spans="1:4" ht="18" customHeight="1">
      <c r="A456" s="987" t="s">
        <v>54395</v>
      </c>
      <c r="B456" s="988"/>
      <c r="C456" s="987" t="s">
        <v>54394</v>
      </c>
      <c r="D456" s="986" t="s">
        <v>54393</v>
      </c>
    </row>
    <row r="457" spans="1:4" ht="12" customHeight="1">
      <c r="A457" s="982" t="s">
        <v>54392</v>
      </c>
      <c r="B457" s="983"/>
      <c r="C457" s="982" t="s">
        <v>54391</v>
      </c>
      <c r="D457" s="985">
        <v>1.45</v>
      </c>
    </row>
    <row r="458" spans="1:4" ht="12" customHeight="1">
      <c r="A458" s="984">
        <v>7050</v>
      </c>
      <c r="B458" s="983"/>
      <c r="C458" s="982" t="s">
        <v>54390</v>
      </c>
      <c r="D458" s="981">
        <v>164.95</v>
      </c>
    </row>
    <row r="459" spans="1:4" ht="12" customHeight="1">
      <c r="A459" s="982" t="s">
        <v>54389</v>
      </c>
      <c r="B459" s="983"/>
      <c r="C459" s="982" t="s">
        <v>54388</v>
      </c>
      <c r="D459" s="981">
        <v>97.95</v>
      </c>
    </row>
    <row r="460" spans="1:4" ht="12" customHeight="1">
      <c r="A460" s="982" t="s">
        <v>54387</v>
      </c>
      <c r="B460" s="983"/>
      <c r="C460" s="982" t="s">
        <v>54386</v>
      </c>
      <c r="D460" s="981">
        <v>70.95</v>
      </c>
    </row>
    <row r="461" spans="1:4" ht="15.75" customHeight="1">
      <c r="A461" s="1056" t="s">
        <v>54385</v>
      </c>
      <c r="B461" s="1057"/>
      <c r="C461" s="1057"/>
      <c r="D461" s="1058"/>
    </row>
    <row r="462" spans="1:4" ht="12" customHeight="1">
      <c r="A462" s="982" t="s">
        <v>54384</v>
      </c>
      <c r="B462" s="983"/>
      <c r="C462" s="982" t="s">
        <v>54383</v>
      </c>
      <c r="D462" s="981">
        <v>12.95</v>
      </c>
    </row>
    <row r="463" spans="1:4" ht="9" customHeight="1">
      <c r="A463" s="1005"/>
      <c r="B463" s="1005"/>
      <c r="C463" s="1005"/>
      <c r="D463" s="1005"/>
    </row>
    <row r="464" spans="1:4" ht="15.75" customHeight="1">
      <c r="A464" s="1029" t="s">
        <v>54382</v>
      </c>
      <c r="B464" s="1030"/>
      <c r="C464" s="1030"/>
      <c r="D464" s="1031"/>
    </row>
    <row r="465" spans="1:4" ht="12" customHeight="1">
      <c r="A465" s="982" t="s">
        <v>54381</v>
      </c>
      <c r="B465" s="983"/>
      <c r="C465" s="982" t="s">
        <v>54380</v>
      </c>
      <c r="D465" s="981">
        <v>81.95</v>
      </c>
    </row>
    <row r="466" spans="1:4" ht="12" customHeight="1">
      <c r="A466" s="984">
        <v>7058</v>
      </c>
      <c r="B466" s="983"/>
      <c r="C466" s="982" t="s">
        <v>54379</v>
      </c>
      <c r="D466" s="981">
        <v>169.35</v>
      </c>
    </row>
    <row r="467" spans="1:4" ht="12" customHeight="1">
      <c r="A467" s="982" t="s">
        <v>54378</v>
      </c>
      <c r="B467" s="983"/>
      <c r="C467" s="982" t="s">
        <v>54377</v>
      </c>
      <c r="D467" s="981">
        <v>81.95</v>
      </c>
    </row>
    <row r="468" spans="1:4" ht="12" customHeight="1">
      <c r="A468" s="984">
        <v>7059</v>
      </c>
      <c r="B468" s="983"/>
      <c r="C468" s="982" t="s">
        <v>54376</v>
      </c>
      <c r="D468" s="981">
        <v>262.45</v>
      </c>
    </row>
  </sheetData>
  <mergeCells count="36">
    <mergeCell ref="A442:D442"/>
    <mergeCell ref="A461:D461"/>
    <mergeCell ref="A463:D463"/>
    <mergeCell ref="A464:D464"/>
    <mergeCell ref="A454:D454"/>
    <mergeCell ref="A455:D455"/>
    <mergeCell ref="A436:D436"/>
    <mergeCell ref="A416:D416"/>
    <mergeCell ref="A417:D417"/>
    <mergeCell ref="A423:D423"/>
    <mergeCell ref="A400:D400"/>
    <mergeCell ref="A406:D406"/>
    <mergeCell ref="A336:D336"/>
    <mergeCell ref="A310:D310"/>
    <mergeCell ref="A303:D303"/>
    <mergeCell ref="A294:D294"/>
    <mergeCell ref="A295:D295"/>
    <mergeCell ref="A296:D296"/>
    <mergeCell ref="A78:D78"/>
    <mergeCell ref="A79:D79"/>
    <mergeCell ref="A287:D287"/>
    <mergeCell ref="A278:D278"/>
    <mergeCell ref="A279:D279"/>
    <mergeCell ref="A280:D280"/>
    <mergeCell ref="A267:D267"/>
    <mergeCell ref="A272:D272"/>
    <mergeCell ref="A266:D266"/>
    <mergeCell ref="A256:D256"/>
    <mergeCell ref="A257:D257"/>
    <mergeCell ref="A194:D194"/>
    <mergeCell ref="A144:D144"/>
    <mergeCell ref="A66:D66"/>
    <mergeCell ref="A67:D67"/>
    <mergeCell ref="A1:D1"/>
    <mergeCell ref="A2:D2"/>
    <mergeCell ref="A3:D3"/>
  </mergeCells>
  <hyperlinks>
    <hyperlink ref="C5" r:id="rId1" display="https://pactoolmounts.com/product/hooklok-pn-1001/" xr:uid="{7320C3C2-F818-4C84-8180-1845B97592F1}"/>
    <hyperlink ref="C6" r:id="rId2" display="https://pactoolmounts.com/product/flexmounts-p-n-1002/" xr:uid="{C8365353-B498-4E16-AAD5-4D7F933E6175}"/>
    <hyperlink ref="C7" r:id="rId3" display="https://pactoolmounts.com/product/flexmounts-pn-1002-1002-2/" xr:uid="{6BB64D87-FA31-4AFD-B8A7-82D5F5F780D5}"/>
    <hyperlink ref="C8" r:id="rId4" display="https://pactoolmounts.com/product/toolok-1003-2/" xr:uid="{B7A4FBF2-C793-432C-A7C5-6B83E15A6529}"/>
    <hyperlink ref="C9" r:id="rId5" display="https://pactoolmounts.com/product/handlelok-1004-2/" xr:uid="{A779CC00-F3BB-4E1B-BEFC-A58A2A11CC47}"/>
    <hyperlink ref="C12" r:id="rId6" display="https://pactoolmounts.com/product/stow-n-lok-pn-1005-1005s/" xr:uid="{854303BB-24C3-4617-B098-A2AAC523725C}"/>
    <hyperlink ref="C13" r:id="rId7" display="https://pactoolmounts.com/product/stow-n-lok-p-n-1005s/" xr:uid="{424FF21D-C4BA-49B4-9A98-E2A8F831FBDB}"/>
    <hyperlink ref="C14" r:id="rId8" display="https://pactoolmounts.com/product/adjustamount-kits-pn-k5008-y/" xr:uid="{F396CDB6-0078-4DBC-98F3-AC3B16D1F394}"/>
    <hyperlink ref="C15" r:id="rId9" display="https://pactoolmounts.com/product/universal-mounts-1007-3/" xr:uid="{B6BA1229-E286-4B86-86AE-4FDFCB19CCD8}"/>
    <hyperlink ref="C16" r:id="rId10" display="https://pactoolmounts.com/product/tool-hanger-1009/" xr:uid="{26D6CB33-38E5-442C-A3E6-CD29451AE8BE}"/>
    <hyperlink ref="C17" r:id="rId11" display="https://pactoolmounts.com/?s=1010-12" xr:uid="{CF8FAEB3-2BC1-4D08-B09C-401831A8FF02}"/>
    <hyperlink ref="C18" r:id="rId12" display="https://pactoolmounts.com/?s=1011" xr:uid="{C2042DAE-AD21-4386-A5B6-1CD04348C7FC}"/>
    <hyperlink ref="C19" r:id="rId13" display="https://pactoolmounts.com/?s=1012" xr:uid="{3A51459E-3B0E-4135-B850-67446E1FCB2B}"/>
    <hyperlink ref="C20" r:id="rId14" display="https://pactoolmounts.com/product/spanner-wrench-pn-1016/" xr:uid="{07B724FB-9999-4C8F-8FB9-7A4AB2217EAC}"/>
    <hyperlink ref="C21" r:id="rId15" display="https://pactoolmounts.com/product/hydrant-wrench-mount-pn-1017/" xr:uid="{EABBCFCB-0C98-4D0B-9226-C15778BEBEA5}"/>
    <hyperlink ref="C22" r:id="rId16" display="https://pactoolmounts.com/product/universal-hanger/" xr:uid="{0B9DC2E9-696B-41C3-9117-1FAFA17843EE}"/>
    <hyperlink ref="C23" r:id="rId17" display="https://pactoolmounts.com/product/fast-lok-adjustamount-kit-k5020/" xr:uid="{2B09BD51-9196-44C4-8AC1-520CF4BB8465}"/>
    <hyperlink ref="C24" r:id="rId18" display="https://pactoolmounts.com/product/4699/" xr:uid="{E15E385A-B9B9-41CC-B5DF-131A4B345DB8}"/>
    <hyperlink ref="C25" r:id="rId19" display="https://pactoolmounts.com/?s=1022" xr:uid="{FCC55BE5-CF14-47F6-80D8-42099B6D8EC1}"/>
    <hyperlink ref="C29" r:id="rId20" display="https://pactoolmounts.com/product/loop-hook-pn-1027/" xr:uid="{3D2379F6-2CA9-481C-896F-E0F87B9D48B1}"/>
    <hyperlink ref="C30" r:id="rId21" display="https://pactoolmounts.com/product/loop-hook-pn-1027/" xr:uid="{3AE0F1E0-09A9-46EC-A9EC-A1573B8DC235}"/>
    <hyperlink ref="C31" r:id="rId22" display="https://pactoolmounts.com/product/gm-hook-pn-1028/" xr:uid="{3F348827-2813-42EE-8B26-40C7CC23DB8A}"/>
    <hyperlink ref="C32" r:id="rId23" display="https://pactoolmounts.com/product/gm-hook-pn-1028/" xr:uid="{9EC7E0E6-EF10-433F-B6DE-3A08619DC6DF}"/>
    <hyperlink ref="C33" r:id="rId24" display="https://pactoolmounts.com/product/hookmount-1029-2/" xr:uid="{5CE4A159-6C65-4498-B80B-86CFE4F439A7}"/>
    <hyperlink ref="C35" r:id="rId25" display="https://pactoolmounts.com/?s=K5035" xr:uid="{3DC29278-8D5A-44C9-A1EB-1CEBB0370F73}"/>
    <hyperlink ref="C36" r:id="rId26" display="https://pactoolmounts.com/product/storz-loks/" xr:uid="{31514E82-CE88-4A94-912B-8F84337762E4}"/>
    <hyperlink ref="C37" r:id="rId27" display="https://pactoolmounts.com/product/storz-loks-1040-5/" xr:uid="{E4158CFA-E16B-4682-B700-0478480E313E}"/>
    <hyperlink ref="C38" r:id="rId28" display="https://pactoolmounts.com/product/storz-loks-1040-6/" xr:uid="{BC0F3EDE-8260-47C2-90AE-59AE29331FD9}"/>
    <hyperlink ref="C39" r:id="rId29" display="https://pactoolmounts.com/product/gas-oil-mount-1041/" xr:uid="{5BB0E35A-FE31-44EE-95B6-0BC923567B26}"/>
    <hyperlink ref="C40" r:id="rId30" display="https://pactoolmounts.com/product/dual-gas-oil-mount-1041-1/" xr:uid="{10B74C34-2BB2-4806-BDFF-3CA7F9B15542}"/>
    <hyperlink ref="C41" r:id="rId31" display="https://pactoolmounts.com/product/adapter-loks-1042-1/" xr:uid="{0D573174-ED06-4913-9DC1-1303892AFB00}"/>
    <hyperlink ref="C43" r:id="rId32" display="https://pactoolmounts.com/product/adapter-loks-1042-2/" xr:uid="{6FC2F609-6310-4710-91BB-3C664D254F64}"/>
    <hyperlink ref="C44" r:id="rId33" display="https://pactoolmounts.com/product/adapter-loks-1042-d/" xr:uid="{8610C1B1-70C3-42E2-BB2E-6A74F71F9E64}"/>
    <hyperlink ref="C45" r:id="rId34" display="https://pactoolmounts.com/product/cylinder-mount-1043/" xr:uid="{8BBD6DB6-EA5A-4409-8C56-6932FD0230B5}"/>
    <hyperlink ref="C46" r:id="rId35" display="https://pactoolmounts.com/product/pocket-mount-1044-2/" xr:uid="{2B67BF52-332D-41B9-820B-2CE1B17DBB33}"/>
    <hyperlink ref="C47" r:id="rId36" display="https://pactoolmounts.com/product/pocket-mount-1044-3/" xr:uid="{735FB5D1-1B01-41A3-9B00-14CDFEF3AE41}"/>
    <hyperlink ref="C49" r:id="rId37" display="https://pactoolmounts.com/product/cylinder-mount-1045-3/" xr:uid="{4CAA0A4A-D74C-45BA-8870-D965E9269B22}"/>
    <hyperlink ref="C50" r:id="rId38" display="https://pactoolmounts.com/product/rectangular-mounts/" xr:uid="{3925E0C3-9B36-4AED-93A6-6A0F93CC243F}"/>
    <hyperlink ref="C51" r:id="rId39" display="https://pactoolmounts.com/product/rectangular-mount-1047-3/" xr:uid="{5B3B99B7-455E-4FEC-9C4C-02AAE8CEBA66}"/>
    <hyperlink ref="C52" r:id="rId40" display="https://pactoolmounts.com/product/pole-rest-mount-1048-1/" xr:uid="{C097BF05-8E89-4AA2-A56F-A79C5AD5641F}"/>
    <hyperlink ref="C53" r:id="rId41" display="https://pactoolmounts.com/product/pole-guide-mount-1048-2/" xr:uid="{59F6E55D-3751-4413-8C8E-D69C8DD508E0}"/>
    <hyperlink ref="C54" r:id="rId42" display="https://pactoolmounts.com/product/aerosol-can-mount-1048-4/" xr:uid="{F89886F8-B52C-4457-9FB9-F1ACE348570D}"/>
    <hyperlink ref="C55" r:id="rId43" display="https://pactoolmounts.com/product/triple-quart-can-mount-p-n-1048-5/" xr:uid="{040CE0F3-B0F9-4C20-BA98-6D0CC23FE4E9}"/>
    <hyperlink ref="C57" r:id="rId44" display="https://pactoolmounts.com/?s=1050" xr:uid="{4C0BB7A7-F293-4D33-986E-E0D0A7937377}"/>
    <hyperlink ref="C58" r:id="rId45" display="https://pactoolmounts.com/product/jumbolok-1070/" xr:uid="{A5AD448E-0D2B-4002-BA6C-AE22520B8970}"/>
    <hyperlink ref="C60" r:id="rId46" display="https://pactoolmounts.com/product/grip-mount-1085/" xr:uid="{9F04BDB3-F839-479B-B03D-9A9A25B1D755}"/>
    <hyperlink ref="C61" r:id="rId47" display="https://pactoolmounts.com/product/mini-lok-small-1101/" xr:uid="{09D6AFED-4EDC-48C9-87B3-B064C473E3F2}"/>
    <hyperlink ref="C62" r:id="rId48" display="https://pactoolmounts.com/product/mini-lok-large-1102/" xr:uid="{FE07E4E7-6822-485B-9BE9-3A885D80543F}"/>
    <hyperlink ref="C63" r:id="rId49" display="https://pactoolmounts.com/product/mini-hook-p-n-1110/" xr:uid="{076E408F-D635-4888-B89C-F45E57496CBD}"/>
    <hyperlink ref="C64" r:id="rId50" display="https://pactoolmounts.com/product/utility-pocket-p-n-1116/" xr:uid="{6ED195F2-089A-406F-AF51-26536EA69ECF}"/>
    <hyperlink ref="C65" r:id="rId51" display="https://pactoolmounts.com/product/strut-base-pn-2076/" xr:uid="{FEC11A7D-2854-4682-B7B9-3015E895AC5B}"/>
    <hyperlink ref="C69" r:id="rId52" display="https://pactoolmounts.com/product/cylinder-mate-30-minute/" xr:uid="{B7C76DC1-A1CE-4EA4-8908-ABB4189BF305}"/>
    <hyperlink ref="C70" r:id="rId53" display="https://pactoolmounts.com/product/cylinder-mate-cart-12-pack-30-minute-cart-cm6000-12/" xr:uid="{93E09F02-1BF0-4856-9AF3-E3F0AFE78090}"/>
    <hyperlink ref="C71" r:id="rId54" display="https://pactoolmounts.com/product/cylinder-mate-cart/" xr:uid="{AA503F4F-1CF9-4A15-A959-BF1915CCA1F6}"/>
    <hyperlink ref="C72" r:id="rId55" display="https://pactoolmounts.com/product/cylinder-mate-60-minute-cm6060/" xr:uid="{EEDE1571-D0A7-404B-8D3F-ACF25D123428}"/>
    <hyperlink ref="C74" r:id="rId56" display="https://pactoolmounts.com/product/cylinder-mate-cart/" xr:uid="{5BFEE53B-99D9-4E8D-9DC2-F68E69A18769}"/>
    <hyperlink ref="C75" r:id="rId57" display="https://pactoolmounts.com/product/cylinder-mate-cart/" xr:uid="{517DCA33-79EB-48E5-8333-988C4137BCE3}"/>
    <hyperlink ref="C83" r:id="rId58" display="https://pactoolmounts.com/product/ram-base-mount-kit-with-fastlok-k1022fl/" xr:uid="{9EA5B9D0-BBC5-4868-BBF0-DC3C1AED19A5}"/>
    <hyperlink ref="C84" r:id="rId59" display="https://pactoolmounts.com/product/ram-base-mount-kit-with-jumbo-lok-k1022jl/" xr:uid="{ED9A11E0-F262-43BE-A279-1C71EFF73DC5}"/>
    <hyperlink ref="C85" r:id="rId60" display="https://pactoolmounts.com/product/ram-base-mount-kit-with-super-adjustamount-k1022sa/" xr:uid="{044BA04E-011B-45B4-81EA-85493EE079AE}"/>
    <hyperlink ref="C86" r:id="rId61" display="https://pactoolmounts.com/product/tie-down-mount-kit-k3021/" xr:uid="{B03CB8D8-D89C-44BA-B2BD-D2A154F63127}"/>
    <hyperlink ref="C87" r:id="rId62" display="https://pactoolmounts.com/product/tie-down-mount-double-shackle-k3021d/" xr:uid="{1B7D7BB1-A3F0-484D-A75C-B269C0A95898}"/>
    <hyperlink ref="C88" r:id="rId63" display="https://pactoolmounts.com/product/irons-lok-k5003/" xr:uid="{F0EACF99-883B-49E7-8DEF-D2E79EBB9732}"/>
    <hyperlink ref="C89" r:id="rId64" display="https://pactoolmounts.com/product/ironslok-hd/" xr:uid="{EEEFF83E-20D5-4F44-93F3-04971175707C}"/>
    <hyperlink ref="C90" r:id="rId65" display="https://pactoolmounts.com/product/adjustamount-kit-w-pac-strut-short/" xr:uid="{AE4310F4-8C3B-43A6-8846-29466F6B5B81}"/>
    <hyperlink ref="C91" r:id="rId66" display="https://pactoolmounts.com/product/adjustamount-kits-pn-k5008-y/" xr:uid="{2AF3D429-F098-4D9F-862A-E14B5D980383}"/>
    <hyperlink ref="C92" r:id="rId67" display="https://pactoolmounts.com/product/adjustamount-kits-k5008/" xr:uid="{D61145EA-E44A-487E-984C-904FD8E9089A}"/>
    <hyperlink ref="C93" r:id="rId68" display="https://pactoolmounts.com/product/adjustamount-kit-w-pac-strut-short-hd-k5006hds/" xr:uid="{1EF3A658-6704-4901-80AF-EA6F3B7CC3C1}"/>
    <hyperlink ref="C95" r:id="rId69" display="https://pactoolmounts.com/product/adjustamount-kit-w-pac-strut-long-hd/" xr:uid="{2D0EA579-A5D7-465B-B146-F454072A837C}"/>
    <hyperlink ref="C96" r:id="rId70" display="https://pactoolmounts.com/product/tool-hanger-kit-pn-k5009/" xr:uid="{3BD4E5EC-0F97-4427-9631-4175CA0E06FF}"/>
    <hyperlink ref="C97" r:id="rId71" display="https://pactoolmounts.com/product/sledge-hanger-kit-pn-k5010-12/" xr:uid="{2A44AC8B-28F8-47EA-9F9B-A5AE94C5FFE7}"/>
    <hyperlink ref="C98" r:id="rId72" display="https://pactoolmounts.com/product/flathead-axe-kit-pn-k5011/" xr:uid="{500582EC-E844-431B-82B6-B022908633F8}"/>
    <hyperlink ref="C99" r:id="rId73" display="https://pactoolmounts.com/product/pickhead-axe-kit-pn-k5012/" xr:uid="{D1514070-FEDC-4FBE-9331-89A719973143}"/>
    <hyperlink ref="C100" r:id="rId74" display="https://pactoolmounts.com/product/spanner-hydrant-wrench-mount-p-n-k5016/" xr:uid="{0BFAC638-1915-4C18-A8D5-82072EC46EEA}"/>
    <hyperlink ref="C101" r:id="rId75" display="https://pactoolmounts.com/product/fast-lok-adjustamount-kit-k5020/" xr:uid="{41299140-F0D7-487A-9988-48783512B25F}"/>
    <hyperlink ref="C102" r:id="rId76" display="https://pactoolmounts.com/product/fast-lok-adjustamount-kit-long-version-k5020l/" xr:uid="{B05A02E3-17B4-4005-A4A9-F3B991DEE629}"/>
    <hyperlink ref="C103" r:id="rId77" display="https://pactoolmounts.com/product/amkus-kits-k5021/" xr:uid="{9ACD6C5D-549C-49EB-AAAF-2D473737761E}"/>
    <hyperlink ref="C104" r:id="rId78" display="https://pactoolmounts.com/product/amkus-kits-pn-k5021-pn-5022/" xr:uid="{B9CF9BEF-5F95-4E23-88D3-547C7300531F}"/>
    <hyperlink ref="C105" r:id="rId79" display="https://pactoolmounts.com/product/amkus-ram-kit-k5023/" xr:uid="{9D7F5F7E-C081-4E67-A019-4F72D8EF5836}"/>
    <hyperlink ref="C106" r:id="rId80" display="https://pactoolmounts.com/product/amkus-spreader-kit-k5024/" xr:uid="{79A403B2-7941-42E2-838A-7C02CD306E13}"/>
    <hyperlink ref="C107" r:id="rId81" display="https://pactoolmounts.com/product/spreader-base-pocket-with-fastlock-adjustamount-k5026fl/" xr:uid="{CA721EB7-E164-440C-B99E-EB3DC1A5F750}"/>
    <hyperlink ref="C108" r:id="rId82" display="https://pactoolmounts.com/product/spreader-base-pocket-with-jumbo-lok-k5026jl/" xr:uid="{0619E27A-621A-4D16-9EF8-6EF71668CB8C}"/>
    <hyperlink ref="C109" r:id="rId83" display="https://pactoolmounts.com/product/spreader-base-pocket-with-super-adjustamount-k5026sa/" xr:uid="{6655C675-0FC7-4FCB-A957-0FD7B3B80A9C}"/>
    <hyperlink ref="C110" r:id="rId84" display="https://pactoolmounts.com/product/bolt-cutter-kit-2/" xr:uid="{FBB1BF2F-E664-441B-89D7-ACD4864F311F}"/>
    <hyperlink ref="C111" r:id="rId85" display="https://pactoolmounts.com/product/universal-saw-kit-k5030/" xr:uid="{F243B413-91B3-4F98-816D-8DA5DCEFAC17}"/>
    <hyperlink ref="C112" r:id="rId86" display="https://pactoolmounts.com/product/halligan-tool-mount-kit-k5032/" xr:uid="{ED3A5355-4BE1-45A8-991C-4BFA4DAF157E}"/>
    <hyperlink ref="C114" r:id="rId87" display="https://pactoolmounts.com/product/heavy-rescue-pocket-fast-lok-k5035fl/" xr:uid="{A8852368-7B54-449F-A9A7-FCB07B8C2EA6}"/>
    <hyperlink ref="C115" r:id="rId88" display="https://pactoolmounts.com/product/heavy-rescue-pocket-jumbo-lok-k5035jl/" xr:uid="{98459C17-FC5F-4D7A-84D7-E46439EED43C}"/>
    <hyperlink ref="C116" r:id="rId89" display="https://pactoolmounts.com/product/heavy-rescue-tool-mount-kit-with-super-adjustamount-k5035sa/" xr:uid="{7D741DD8-9C49-4073-837F-4BA9129D2938}"/>
    <hyperlink ref="C120" r:id="rId90" display="https://pactoolmounts.com/product/super-adjustamount-kit-w-pac-strut-short/" xr:uid="{C7C7C2C6-91AD-41E4-9D4D-60372D2840B9}"/>
    <hyperlink ref="C121" r:id="rId91" display="https://pactoolmounts.com/product/super-adjustamount-sam-kits/" xr:uid="{E93FEC18-CA57-4971-8D07-199C8085D60A}"/>
    <hyperlink ref="C122" r:id="rId92" display="https://pactoolmounts.com/product/super-adjustamount-sam-kits-k5060/" xr:uid="{AEE966F0-12BD-4235-80AB-3AF3434404E4}"/>
    <hyperlink ref="C123" r:id="rId93" display="https://pactoolmounts.com/product/super-adjustamount-kit-w-pac-strut-hd-short-p-n-k5050hds/" xr:uid="{76EE05F4-49C0-4666-A15D-B45248E30CD6}"/>
    <hyperlink ref="C125" r:id="rId94" display="https://pactoolmounts.com/product/adjustamount-kit-w-pac-strut-long-hd/" xr:uid="{C543AFC3-793E-46D9-8B51-395F72CA364E}"/>
    <hyperlink ref="C134" r:id="rId95" display="https://pactoolmounts.com/product/vertical-gun-mount-le-1005/" xr:uid="{DF2D59AE-985B-4337-A821-E2588659B391}"/>
    <hyperlink ref="C363" r:id="rId96" display="https://pactoolmounts.com/product/label-plates-lp002-10/" xr:uid="{D02B9463-08B1-4F32-B0C9-4F693C2BF51F}"/>
    <hyperlink ref="C369" r:id="rId97" display="https://pactoolmounts.com/product/pac-strut-2019/" xr:uid="{7D4A4B2E-0C93-49F9-B990-06B1EE53A721}"/>
    <hyperlink ref="C371" r:id="rId98" display="https://pactoolmounts.com/product/pac-strut-hd-2020/" xr:uid="{9D640635-5CEA-49B0-820E-2656D04337C9}"/>
    <hyperlink ref="C372" r:id="rId99" display="https://pactoolmounts.com/product/pac-strut-end-caps-2019ec-2/" xr:uid="{F02EC885-8C10-4AC4-8252-A64F8A11CA52}"/>
    <hyperlink ref="C373" r:id="rId100" display="https://pactoolmounts.com/product/pac-strut-end-caps-2020ec-2/" xr:uid="{E04C4CF0-BE43-443E-9972-4B17AAB4E19C}"/>
    <hyperlink ref="C378" r:id="rId101" display="https://pactoolmounts.com/product/right-angle-corner-connector-3018/" xr:uid="{A1BC9FC3-6FFD-454B-A898-14F4B60C81B3}"/>
    <hyperlink ref="C380" r:id="rId102" display="https://pactoolmounts.com/product/dual-trac-corner-connector-3027/" xr:uid="{7C0B3A7D-36C7-4E67-AAB1-407430DE5744}"/>
    <hyperlink ref="C381" r:id="rId103" display="https://pactoolmounts.com/product/trackloc-packs/" xr:uid="{72285EB8-22A3-4E52-A0B4-DC51E940132D}"/>
    <hyperlink ref="C382" r:id="rId104" display="https://pactoolmounts.com/product/trackloc-packs-7016-100/" xr:uid="{853F7536-1348-46EF-8DA3-D8927FB5485A}"/>
    <hyperlink ref="C385" r:id="rId105" display="https://pactoolmounts.com/product/channel-nut-7053/" xr:uid="{4126BF00-5BEA-440B-9DDB-519905ED6EAD}"/>
    <hyperlink ref="C386" r:id="rId106" display="https://pactoolmounts.com/product/channel-nut-7054/" xr:uid="{49446D3C-B34D-4452-BD73-AF6D1FD53D85}"/>
    <hyperlink ref="C391" r:id="rId107" display="https://pactoolmounts.com/product/channel-nut-7018/" xr:uid="{93FEA4D9-058C-41B7-A51F-56C28027E7A3}"/>
    <hyperlink ref="C392" r:id="rId108" display="https://pactoolmounts.com/product/channel-nut-7019/" xr:uid="{929A98AB-BC52-45F6-BF96-0952050F271B}"/>
    <hyperlink ref="C393" r:id="rId109" display="https://pactoolmounts.com/product/channel-nuts-7052/" xr:uid="{825EC1DA-239C-442E-9852-C2C658B280DA}"/>
  </hyperlinks>
  <pageMargins left="0.7" right="0.7" top="0.75" bottom="0.75" header="0.3" footer="0.3"/>
  <drawing r:id="rId11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5513E-B41D-4E4D-A9B9-1B17D269A1C6}">
  <sheetPr>
    <tabColor theme="2" tint="-9.9978637043366805E-2"/>
    <pageSetUpPr fitToPage="1"/>
  </sheetPr>
  <dimension ref="A1:D1386"/>
  <sheetViews>
    <sheetView view="pageBreakPreview" topLeftCell="A27" zoomScale="160" zoomScaleNormal="150" zoomScaleSheetLayoutView="160" zoomScalePageLayoutView="150" workbookViewId="0">
      <selection activeCell="C8" sqref="C8"/>
    </sheetView>
  </sheetViews>
  <sheetFormatPr defaultColWidth="7.26953125" defaultRowHeight="10.5"/>
  <cols>
    <col min="1" max="1" width="15" style="592" customWidth="1"/>
    <col min="2" max="2" width="74" style="592" customWidth="1"/>
    <col min="3" max="3" width="8.7265625" style="593" customWidth="1"/>
    <col min="4" max="16384" width="7.26953125" style="592"/>
  </cols>
  <sheetData>
    <row r="1" spans="1:3" s="594" customFormat="1" ht="18" customHeight="1">
      <c r="A1" s="611" t="s">
        <v>37490</v>
      </c>
      <c r="B1" s="610"/>
      <c r="C1" s="750"/>
    </row>
    <row r="2" spans="1:3" s="594" customFormat="1" ht="11.25" customHeight="1">
      <c r="A2" s="608"/>
      <c r="B2" s="608"/>
      <c r="C2" s="592"/>
    </row>
    <row r="3" spans="1:3" s="594" customFormat="1" ht="11.25" customHeight="1" thickBot="1">
      <c r="A3" s="605" t="s">
        <v>36697</v>
      </c>
      <c r="B3" s="605"/>
      <c r="C3" s="749"/>
    </row>
    <row r="4" spans="1:3" s="594" customFormat="1" ht="11.25" customHeight="1">
      <c r="A4" s="679" t="s">
        <v>37473</v>
      </c>
      <c r="B4" s="678"/>
      <c r="C4" s="748"/>
    </row>
    <row r="5" spans="1:3" s="594" customFormat="1" ht="11.25" customHeight="1">
      <c r="A5" s="679" t="s">
        <v>37595</v>
      </c>
      <c r="B5" s="678"/>
      <c r="C5" s="748"/>
    </row>
    <row r="6" spans="1:3" s="594" customFormat="1" ht="11.25" customHeight="1">
      <c r="A6" s="632" t="s">
        <v>37594</v>
      </c>
      <c r="B6" s="632" t="s">
        <v>37593</v>
      </c>
      <c r="C6" s="612">
        <v>8013</v>
      </c>
    </row>
    <row r="7" spans="1:3" s="594" customFormat="1" ht="11.25" customHeight="1">
      <c r="A7" s="632" t="s">
        <v>37592</v>
      </c>
      <c r="B7" s="632" t="s">
        <v>36693</v>
      </c>
      <c r="C7" s="612">
        <v>7815</v>
      </c>
    </row>
    <row r="8" spans="1:3" s="594" customFormat="1" ht="11.25" customHeight="1">
      <c r="A8" s="592"/>
      <c r="B8" s="592"/>
      <c r="C8" s="607"/>
    </row>
    <row r="9" spans="1:3" s="594" customFormat="1" ht="11.25" customHeight="1" thickBot="1">
      <c r="A9" s="605" t="s">
        <v>36873</v>
      </c>
      <c r="B9" s="605"/>
      <c r="C9" s="604"/>
    </row>
    <row r="10" spans="1:3" s="594" customFormat="1" ht="11.25" customHeight="1">
      <c r="A10" s="679" t="s">
        <v>37591</v>
      </c>
      <c r="B10" s="678"/>
      <c r="C10" s="677"/>
    </row>
    <row r="11" spans="1:3" s="594" customFormat="1" ht="11.25" customHeight="1">
      <c r="A11" s="679" t="s">
        <v>37590</v>
      </c>
      <c r="B11" s="678"/>
      <c r="C11" s="677"/>
    </row>
    <row r="12" spans="1:3" s="594" customFormat="1" ht="11.25" customHeight="1">
      <c r="A12" s="632" t="s">
        <v>37589</v>
      </c>
      <c r="B12" s="632" t="s">
        <v>37151</v>
      </c>
      <c r="C12" s="612">
        <v>3754</v>
      </c>
    </row>
    <row r="13" spans="1:3" s="594" customFormat="1" ht="11.25" customHeight="1">
      <c r="A13" s="632" t="s">
        <v>37588</v>
      </c>
      <c r="B13" s="632" t="s">
        <v>37149</v>
      </c>
      <c r="C13" s="612">
        <v>3676</v>
      </c>
    </row>
    <row r="14" spans="1:3" s="594" customFormat="1" ht="11.25" customHeight="1">
      <c r="A14" s="632" t="s">
        <v>37587</v>
      </c>
      <c r="B14" s="632" t="s">
        <v>37147</v>
      </c>
      <c r="C14" s="612">
        <v>5018</v>
      </c>
    </row>
    <row r="15" spans="1:3" s="594" customFormat="1" ht="11.25" customHeight="1">
      <c r="A15" s="632" t="s">
        <v>37586</v>
      </c>
      <c r="B15" s="632" t="s">
        <v>37003</v>
      </c>
      <c r="C15" s="612">
        <v>3656</v>
      </c>
    </row>
    <row r="16" spans="1:3" s="746" customFormat="1" ht="11.25" customHeight="1">
      <c r="A16" s="635" t="s">
        <v>37585</v>
      </c>
      <c r="B16" s="635" t="s">
        <v>37144</v>
      </c>
      <c r="C16" s="747">
        <v>3577</v>
      </c>
    </row>
    <row r="17" spans="1:3" s="594" customFormat="1" ht="11.25" customHeight="1">
      <c r="A17" s="632" t="s">
        <v>37584</v>
      </c>
      <c r="B17" s="632" t="s">
        <v>37142</v>
      </c>
      <c r="C17" s="612">
        <v>4822</v>
      </c>
    </row>
    <row r="18" spans="1:3" s="594" customFormat="1" ht="11.25" customHeight="1">
      <c r="A18" s="632" t="s">
        <v>37583</v>
      </c>
      <c r="B18" s="632" t="s">
        <v>36802</v>
      </c>
      <c r="C18" s="612">
        <v>3299</v>
      </c>
    </row>
    <row r="19" spans="1:3" s="594" customFormat="1" ht="11.25" customHeight="1">
      <c r="A19" s="632" t="s">
        <v>37582</v>
      </c>
      <c r="B19" s="632" t="s">
        <v>36798</v>
      </c>
      <c r="C19" s="612">
        <v>4390</v>
      </c>
    </row>
    <row r="20" spans="1:3" s="594" customFormat="1" ht="11.25" customHeight="1">
      <c r="A20" s="592"/>
      <c r="B20" s="592"/>
      <c r="C20" s="607"/>
    </row>
    <row r="21" spans="1:3" s="594" customFormat="1" ht="11.25" customHeight="1" thickBot="1">
      <c r="A21" s="605" t="s">
        <v>37581</v>
      </c>
      <c r="B21" s="605"/>
      <c r="C21" s="604"/>
    </row>
    <row r="22" spans="1:3" s="594" customFormat="1" ht="11.25" customHeight="1">
      <c r="A22" s="633" t="s">
        <v>37580</v>
      </c>
      <c r="B22" s="636" t="s">
        <v>36784</v>
      </c>
      <c r="C22" s="612">
        <v>5177</v>
      </c>
    </row>
    <row r="23" spans="1:3" s="594" customFormat="1" ht="11.25" customHeight="1">
      <c r="A23" s="632" t="s">
        <v>37579</v>
      </c>
      <c r="B23" s="635" t="s">
        <v>36782</v>
      </c>
      <c r="C23" s="612">
        <v>5177</v>
      </c>
    </row>
    <row r="24" spans="1:3" s="594" customFormat="1" ht="11.25" customHeight="1">
      <c r="A24" s="632" t="s">
        <v>37578</v>
      </c>
      <c r="B24" s="635" t="s">
        <v>37361</v>
      </c>
      <c r="C24" s="612">
        <v>5177</v>
      </c>
    </row>
    <row r="25" spans="1:3" s="594" customFormat="1" ht="11.25" customHeight="1">
      <c r="A25" s="632" t="s">
        <v>37577</v>
      </c>
      <c r="B25" s="635" t="s">
        <v>36566</v>
      </c>
      <c r="C25" s="612">
        <v>5177</v>
      </c>
    </row>
    <row r="26" spans="1:3" s="594" customFormat="1" ht="11.25" customHeight="1">
      <c r="A26" s="632" t="s">
        <v>37576</v>
      </c>
      <c r="B26" s="635" t="s">
        <v>36564</v>
      </c>
      <c r="C26" s="612">
        <v>5177</v>
      </c>
    </row>
    <row r="27" spans="1:3" s="594" customFormat="1" ht="11.25" customHeight="1">
      <c r="A27" s="632" t="s">
        <v>37575</v>
      </c>
      <c r="B27" s="635" t="s">
        <v>36562</v>
      </c>
      <c r="C27" s="612">
        <v>5177</v>
      </c>
    </row>
    <row r="28" spans="1:3" s="594" customFormat="1" ht="11.25" customHeight="1">
      <c r="A28" s="632" t="s">
        <v>37574</v>
      </c>
      <c r="B28" s="635" t="s">
        <v>36789</v>
      </c>
      <c r="C28" s="612">
        <v>5177</v>
      </c>
    </row>
    <row r="29" spans="1:3" s="594" customFormat="1" ht="11.25" customHeight="1">
      <c r="A29" s="632" t="s">
        <v>37573</v>
      </c>
      <c r="B29" s="635" t="s">
        <v>36558</v>
      </c>
      <c r="C29" s="612">
        <v>5177</v>
      </c>
    </row>
    <row r="30" spans="1:3" s="594" customFormat="1" ht="11.25" customHeight="1">
      <c r="A30" s="632" t="s">
        <v>37572</v>
      </c>
      <c r="B30" s="635" t="s">
        <v>36774</v>
      </c>
      <c r="C30" s="612">
        <v>5177</v>
      </c>
    </row>
    <row r="31" spans="1:3" s="594" customFormat="1" ht="11.25" customHeight="1">
      <c r="A31" s="592"/>
      <c r="B31" s="592"/>
      <c r="C31" s="607"/>
    </row>
    <row r="32" spans="1:3" s="594" customFormat="1" ht="11.25" customHeight="1" thickBot="1">
      <c r="A32" s="605" t="s">
        <v>37206</v>
      </c>
      <c r="B32" s="605"/>
      <c r="C32" s="604"/>
    </row>
    <row r="33" spans="1:3" s="594" customFormat="1" ht="11.25" customHeight="1">
      <c r="A33" s="633" t="s">
        <v>37571</v>
      </c>
      <c r="B33" s="636" t="s">
        <v>36572</v>
      </c>
      <c r="C33" s="612">
        <v>1165</v>
      </c>
    </row>
    <row r="34" spans="1:3" s="594" customFormat="1" ht="11.25" customHeight="1">
      <c r="A34" s="632" t="s">
        <v>37570</v>
      </c>
      <c r="B34" s="635" t="s">
        <v>36570</v>
      </c>
      <c r="C34" s="612">
        <v>1139</v>
      </c>
    </row>
    <row r="35" spans="1:3" s="594" customFormat="1" ht="11.25" customHeight="1">
      <c r="A35" s="632" t="s">
        <v>37569</v>
      </c>
      <c r="B35" s="635" t="s">
        <v>36568</v>
      </c>
      <c r="C35" s="612">
        <v>1165</v>
      </c>
    </row>
    <row r="36" spans="1:3" s="594" customFormat="1" ht="11.25" customHeight="1">
      <c r="A36" s="632" t="s">
        <v>37568</v>
      </c>
      <c r="B36" s="635" t="s">
        <v>36566</v>
      </c>
      <c r="C36" s="612">
        <v>1139</v>
      </c>
    </row>
    <row r="37" spans="1:3" s="594" customFormat="1" ht="11.25" customHeight="1">
      <c r="A37" s="632" t="s">
        <v>37567</v>
      </c>
      <c r="B37" s="635" t="s">
        <v>36564</v>
      </c>
      <c r="C37" s="612">
        <v>1165</v>
      </c>
    </row>
    <row r="38" spans="1:3" s="594" customFormat="1" ht="11.25" customHeight="1">
      <c r="A38" s="632" t="s">
        <v>37566</v>
      </c>
      <c r="B38" s="635" t="s">
        <v>36562</v>
      </c>
      <c r="C38" s="612">
        <v>1139</v>
      </c>
    </row>
    <row r="39" spans="1:3" s="594" customFormat="1" ht="11.25" customHeight="1">
      <c r="A39" s="632" t="s">
        <v>37565</v>
      </c>
      <c r="B39" s="635" t="s">
        <v>36560</v>
      </c>
      <c r="C39" s="612">
        <v>1232</v>
      </c>
    </row>
    <row r="40" spans="1:3" s="594" customFormat="1" ht="11.25" customHeight="1">
      <c r="A40" s="632" t="s">
        <v>37564</v>
      </c>
      <c r="B40" s="635" t="s">
        <v>36558</v>
      </c>
      <c r="C40" s="612">
        <v>1165</v>
      </c>
    </row>
    <row r="41" spans="1:3" ht="11.25" customHeight="1">
      <c r="A41" s="632" t="s">
        <v>37563</v>
      </c>
      <c r="B41" s="635" t="s">
        <v>36556</v>
      </c>
      <c r="C41" s="612">
        <v>1232</v>
      </c>
    </row>
    <row r="42" spans="1:3" s="594" customFormat="1" ht="11.25" customHeight="1">
      <c r="A42" s="592"/>
      <c r="B42" s="592"/>
      <c r="C42" s="607"/>
    </row>
    <row r="43" spans="1:3" s="594" customFormat="1" ht="11.25" customHeight="1" thickBot="1">
      <c r="A43" s="605" t="s">
        <v>37562</v>
      </c>
      <c r="B43" s="605"/>
      <c r="C43" s="604"/>
    </row>
    <row r="44" spans="1:3" ht="11.25" customHeight="1">
      <c r="A44" s="633" t="s">
        <v>37561</v>
      </c>
      <c r="B44" s="636" t="s">
        <v>36572</v>
      </c>
      <c r="C44" s="612">
        <v>1018</v>
      </c>
    </row>
    <row r="45" spans="1:3" s="594" customFormat="1" ht="11.25" customHeight="1">
      <c r="A45" s="632" t="s">
        <v>37560</v>
      </c>
      <c r="B45" s="635" t="s">
        <v>36570</v>
      </c>
      <c r="C45" s="612">
        <v>989</v>
      </c>
    </row>
    <row r="46" spans="1:3" s="594" customFormat="1" ht="11.25" customHeight="1">
      <c r="A46" s="632" t="s">
        <v>37559</v>
      </c>
      <c r="B46" s="635" t="s">
        <v>36568</v>
      </c>
      <c r="C46" s="612">
        <v>1018</v>
      </c>
    </row>
    <row r="47" spans="1:3" s="594" customFormat="1" ht="11.25" customHeight="1">
      <c r="A47" s="632" t="s">
        <v>37558</v>
      </c>
      <c r="B47" s="635" t="s">
        <v>36566</v>
      </c>
      <c r="C47" s="612">
        <v>989</v>
      </c>
    </row>
    <row r="48" spans="1:3" s="594" customFormat="1" ht="11.25" customHeight="1">
      <c r="A48" s="632" t="s">
        <v>37557</v>
      </c>
      <c r="B48" s="635" t="s">
        <v>36564</v>
      </c>
      <c r="C48" s="612">
        <v>1018</v>
      </c>
    </row>
    <row r="49" spans="1:3" s="594" customFormat="1" ht="11.25" customHeight="1">
      <c r="A49" s="632" t="s">
        <v>37556</v>
      </c>
      <c r="B49" s="635" t="s">
        <v>36562</v>
      </c>
      <c r="C49" s="612">
        <v>989</v>
      </c>
    </row>
    <row r="50" spans="1:3" s="594" customFormat="1" ht="11.25" customHeight="1">
      <c r="A50" s="632" t="s">
        <v>37555</v>
      </c>
      <c r="B50" s="635" t="s">
        <v>36560</v>
      </c>
      <c r="C50" s="612">
        <v>1086</v>
      </c>
    </row>
    <row r="51" spans="1:3" s="594" customFormat="1" ht="11.25" customHeight="1">
      <c r="A51" s="632" t="s">
        <v>37554</v>
      </c>
      <c r="B51" s="635" t="s">
        <v>36558</v>
      </c>
      <c r="C51" s="612">
        <v>1018</v>
      </c>
    </row>
    <row r="52" spans="1:3" s="594" customFormat="1" ht="11.25" customHeight="1">
      <c r="A52" s="632" t="s">
        <v>37553</v>
      </c>
      <c r="B52" s="635" t="s">
        <v>36556</v>
      </c>
      <c r="C52" s="612">
        <v>1086</v>
      </c>
    </row>
    <row r="53" spans="1:3">
      <c r="C53" s="607"/>
    </row>
    <row r="54" spans="1:3" s="594" customFormat="1" ht="11" thickBot="1">
      <c r="A54" s="605" t="s">
        <v>37552</v>
      </c>
      <c r="B54" s="605"/>
      <c r="C54" s="604"/>
    </row>
    <row r="55" spans="1:3" s="594" customFormat="1">
      <c r="A55" s="633" t="s">
        <v>37551</v>
      </c>
      <c r="B55" s="636" t="s">
        <v>37550</v>
      </c>
      <c r="C55" s="612">
        <v>348</v>
      </c>
    </row>
    <row r="56" spans="1:3" s="594" customFormat="1">
      <c r="A56" s="632" t="s">
        <v>37549</v>
      </c>
      <c r="B56" s="632" t="s">
        <v>37548</v>
      </c>
      <c r="C56" s="612">
        <v>146</v>
      </c>
    </row>
    <row r="57" spans="1:3" s="594" customFormat="1">
      <c r="A57" s="632" t="s">
        <v>37547</v>
      </c>
      <c r="B57" s="632" t="s">
        <v>37546</v>
      </c>
      <c r="C57" s="612">
        <v>146</v>
      </c>
    </row>
    <row r="58" spans="1:3">
      <c r="A58" s="632" t="s">
        <v>37545</v>
      </c>
      <c r="B58" s="632" t="s">
        <v>37544</v>
      </c>
      <c r="C58" s="612">
        <v>146</v>
      </c>
    </row>
    <row r="59" spans="1:3" s="594" customFormat="1" ht="11.25" customHeight="1">
      <c r="A59" s="592"/>
      <c r="B59" s="592"/>
      <c r="C59" s="607"/>
    </row>
    <row r="60" spans="1:3" ht="11.25" customHeight="1" thickBot="1">
      <c r="A60" s="605" t="s">
        <v>36555</v>
      </c>
      <c r="B60" s="605"/>
      <c r="C60" s="604"/>
    </row>
    <row r="61" spans="1:3" ht="11.25" customHeight="1">
      <c r="A61" s="633" t="s">
        <v>36554</v>
      </c>
      <c r="B61" s="636" t="s">
        <v>36553</v>
      </c>
      <c r="C61" s="612">
        <v>250</v>
      </c>
    </row>
    <row r="62" spans="1:3" s="594" customFormat="1" ht="18" customHeight="1">
      <c r="A62" s="745" t="s">
        <v>37490</v>
      </c>
      <c r="B62" s="608"/>
      <c r="C62" s="607"/>
    </row>
    <row r="63" spans="1:3" ht="11.25" customHeight="1">
      <c r="A63" s="611"/>
      <c r="C63" s="607"/>
    </row>
    <row r="64" spans="1:3" s="594" customFormat="1" ht="11.25" customHeight="1" thickBot="1">
      <c r="A64" s="605" t="s">
        <v>36976</v>
      </c>
      <c r="B64" s="605"/>
      <c r="C64" s="604"/>
    </row>
    <row r="65" spans="1:3" s="594" customFormat="1" ht="11.25" customHeight="1">
      <c r="A65" s="633" t="s">
        <v>37543</v>
      </c>
      <c r="B65" s="633" t="s">
        <v>37542</v>
      </c>
      <c r="C65" s="612">
        <v>2440</v>
      </c>
    </row>
    <row r="66" spans="1:3" s="594" customFormat="1" ht="11.25" customHeight="1">
      <c r="A66" s="632" t="s">
        <v>37541</v>
      </c>
      <c r="B66" s="632" t="s">
        <v>37540</v>
      </c>
      <c r="C66" s="612">
        <v>2440</v>
      </c>
    </row>
    <row r="67" spans="1:3" s="594" customFormat="1" ht="11.25" customHeight="1">
      <c r="A67" s="633" t="s">
        <v>37539</v>
      </c>
      <c r="B67" s="636" t="s">
        <v>37538</v>
      </c>
      <c r="C67" s="612">
        <v>2243</v>
      </c>
    </row>
    <row r="68" spans="1:3" s="594" customFormat="1" ht="11.25" customHeight="1">
      <c r="A68" s="632" t="s">
        <v>37537</v>
      </c>
      <c r="B68" s="635" t="s">
        <v>37536</v>
      </c>
      <c r="C68" s="612">
        <v>2243</v>
      </c>
    </row>
    <row r="69" spans="1:3" s="594" customFormat="1" ht="11.25" customHeight="1">
      <c r="A69" s="632" t="s">
        <v>37535</v>
      </c>
      <c r="B69" s="635" t="s">
        <v>37534</v>
      </c>
      <c r="C69" s="612">
        <v>650</v>
      </c>
    </row>
    <row r="70" spans="1:3" s="594" customFormat="1" ht="11.25" customHeight="1">
      <c r="A70" s="632" t="s">
        <v>37533</v>
      </c>
      <c r="B70" s="635" t="s">
        <v>37532</v>
      </c>
      <c r="C70" s="612">
        <v>1811</v>
      </c>
    </row>
    <row r="71" spans="1:3" ht="11.25" customHeight="1">
      <c r="A71" s="632" t="s">
        <v>37531</v>
      </c>
      <c r="B71" s="635" t="s">
        <v>37530</v>
      </c>
      <c r="C71" s="612">
        <v>1811</v>
      </c>
    </row>
    <row r="72" spans="1:3" ht="11.25" customHeight="1">
      <c r="A72" s="632" t="s">
        <v>37529</v>
      </c>
      <c r="B72" s="635" t="s">
        <v>36658</v>
      </c>
      <c r="C72" s="612">
        <v>288</v>
      </c>
    </row>
    <row r="73" spans="1:3" ht="11.25" customHeight="1">
      <c r="C73" s="607"/>
    </row>
    <row r="74" spans="1:3" s="594" customFormat="1" ht="11.25" customHeight="1" thickBot="1">
      <c r="A74" s="605" t="s">
        <v>37528</v>
      </c>
      <c r="B74" s="605"/>
      <c r="C74" s="606"/>
    </row>
    <row r="75" spans="1:3" s="594" customFormat="1" ht="11.25" customHeight="1">
      <c r="A75" s="633" t="s">
        <v>37527</v>
      </c>
      <c r="B75" s="633" t="s">
        <v>37526</v>
      </c>
      <c r="C75" s="612">
        <v>330</v>
      </c>
    </row>
    <row r="76" spans="1:3" s="594" customFormat="1" ht="11.25" customHeight="1">
      <c r="A76" s="632" t="s">
        <v>37525</v>
      </c>
      <c r="B76" s="632" t="s">
        <v>37524</v>
      </c>
      <c r="C76" s="612">
        <v>330</v>
      </c>
    </row>
    <row r="77" spans="1:3" s="594" customFormat="1" ht="11.25" customHeight="1">
      <c r="A77" s="632" t="s">
        <v>37523</v>
      </c>
      <c r="B77" s="632" t="s">
        <v>37522</v>
      </c>
      <c r="C77" s="612">
        <v>51</v>
      </c>
    </row>
    <row r="78" spans="1:3" s="741" customFormat="1" ht="11.25" customHeight="1">
      <c r="A78" s="632" t="s">
        <v>37521</v>
      </c>
      <c r="B78" s="632" t="s">
        <v>37520</v>
      </c>
      <c r="C78" s="612">
        <v>326</v>
      </c>
    </row>
    <row r="79" spans="1:3" s="594" customFormat="1" ht="11.25" customHeight="1">
      <c r="A79" s="592"/>
      <c r="B79" s="592"/>
      <c r="C79" s="607"/>
    </row>
    <row r="80" spans="1:3" s="594" customFormat="1" ht="11.25" customHeight="1" thickBot="1">
      <c r="A80" s="605" t="s">
        <v>36653</v>
      </c>
      <c r="B80" s="605"/>
      <c r="C80" s="604"/>
    </row>
    <row r="81" spans="1:3" s="594" customFormat="1" ht="11.25" customHeight="1">
      <c r="A81" s="633" t="s">
        <v>37519</v>
      </c>
      <c r="B81" s="633" t="s">
        <v>36651</v>
      </c>
      <c r="C81" s="612">
        <v>523</v>
      </c>
    </row>
    <row r="82" spans="1:3" s="594" customFormat="1" ht="11.25" customHeight="1">
      <c r="A82" s="592"/>
      <c r="B82" s="592"/>
      <c r="C82" s="607"/>
    </row>
    <row r="83" spans="1:3" s="594" customFormat="1" ht="11.25" customHeight="1" thickBot="1">
      <c r="A83" s="605" t="s">
        <v>36650</v>
      </c>
      <c r="B83" s="605"/>
      <c r="C83" s="604"/>
    </row>
    <row r="84" spans="1:3" s="594" customFormat="1" ht="11.25" customHeight="1">
      <c r="A84" s="633" t="s">
        <v>37518</v>
      </c>
      <c r="B84" s="636" t="s">
        <v>36648</v>
      </c>
      <c r="C84" s="612">
        <v>2539</v>
      </c>
    </row>
    <row r="85" spans="1:3" s="594" customFormat="1" ht="11.25" customHeight="1">
      <c r="A85" s="632" t="s">
        <v>37517</v>
      </c>
      <c r="B85" s="635" t="s">
        <v>36646</v>
      </c>
      <c r="C85" s="612">
        <v>2539</v>
      </c>
    </row>
    <row r="86" spans="1:3" s="594" customFormat="1" ht="11.25" customHeight="1">
      <c r="A86" s="592"/>
      <c r="B86" s="592"/>
      <c r="C86" s="607"/>
    </row>
    <row r="87" spans="1:3" s="594" customFormat="1" ht="11.25" customHeight="1" thickBot="1">
      <c r="A87" s="605" t="s">
        <v>36547</v>
      </c>
      <c r="B87" s="605"/>
      <c r="C87" s="604"/>
    </row>
    <row r="88" spans="1:3" s="594" customFormat="1" ht="11.25" customHeight="1">
      <c r="A88" s="633" t="s">
        <v>37516</v>
      </c>
      <c r="B88" s="633" t="s">
        <v>36721</v>
      </c>
      <c r="C88" s="612">
        <v>660</v>
      </c>
    </row>
    <row r="89" spans="1:3" s="594" customFormat="1" ht="11.25" customHeight="1">
      <c r="A89" s="632" t="s">
        <v>37515</v>
      </c>
      <c r="B89" s="632" t="s">
        <v>36543</v>
      </c>
      <c r="C89" s="612">
        <v>1267</v>
      </c>
    </row>
    <row r="90" spans="1:3" s="594" customFormat="1" ht="11.25" customHeight="1">
      <c r="A90" s="632" t="s">
        <v>37514</v>
      </c>
      <c r="B90" s="632" t="s">
        <v>36640</v>
      </c>
      <c r="C90" s="612">
        <v>1267</v>
      </c>
    </row>
    <row r="91" spans="1:3" s="594" customFormat="1" ht="11.25" customHeight="1">
      <c r="A91" s="632" t="s">
        <v>37513</v>
      </c>
      <c r="B91" s="632" t="s">
        <v>36716</v>
      </c>
      <c r="C91" s="612">
        <v>1267</v>
      </c>
    </row>
    <row r="92" spans="1:3" s="594" customFormat="1" ht="11.25" customHeight="1">
      <c r="A92" s="632" t="s">
        <v>37512</v>
      </c>
      <c r="B92" s="632" t="s">
        <v>36637</v>
      </c>
      <c r="C92" s="612">
        <v>1749</v>
      </c>
    </row>
    <row r="93" spans="1:3" s="594" customFormat="1" ht="11.25" customHeight="1">
      <c r="A93" s="632" t="s">
        <v>37511</v>
      </c>
      <c r="B93" s="632" t="s">
        <v>36848</v>
      </c>
      <c r="C93" s="612">
        <v>1749</v>
      </c>
    </row>
    <row r="94" spans="1:3" s="594" customFormat="1" ht="11.25" customHeight="1">
      <c r="A94" s="632" t="s">
        <v>37510</v>
      </c>
      <c r="B94" s="632" t="s">
        <v>36846</v>
      </c>
      <c r="C94" s="612">
        <v>1749</v>
      </c>
    </row>
    <row r="95" spans="1:3" s="594" customFormat="1" ht="11.25" customHeight="1">
      <c r="A95" s="592"/>
      <c r="B95" s="592"/>
      <c r="C95" s="607"/>
    </row>
    <row r="96" spans="1:3" s="594" customFormat="1" ht="11.25" customHeight="1" thickBot="1">
      <c r="A96" s="605" t="s">
        <v>37059</v>
      </c>
      <c r="B96" s="605"/>
      <c r="C96" s="604"/>
    </row>
    <row r="97" spans="1:3" s="712" customFormat="1" ht="11.25" customHeight="1">
      <c r="A97" s="619" t="s">
        <v>37509</v>
      </c>
      <c r="B97" s="619" t="s">
        <v>37057</v>
      </c>
      <c r="C97" s="612">
        <v>1136</v>
      </c>
    </row>
    <row r="98" spans="1:3" s="594" customFormat="1" ht="11.25" customHeight="1">
      <c r="A98" s="608"/>
      <c r="B98" s="608"/>
      <c r="C98" s="607"/>
    </row>
    <row r="99" spans="1:3" s="594" customFormat="1" ht="11.25" customHeight="1" thickBot="1">
      <c r="A99" s="605" t="s">
        <v>37056</v>
      </c>
      <c r="B99" s="605"/>
      <c r="C99" s="604"/>
    </row>
    <row r="100" spans="1:3" s="594" customFormat="1" ht="11.25" customHeight="1">
      <c r="A100" s="633" t="s">
        <v>37508</v>
      </c>
      <c r="B100" s="633" t="s">
        <v>37054</v>
      </c>
      <c r="C100" s="612">
        <v>1280</v>
      </c>
    </row>
    <row r="101" spans="1:3" s="594" customFormat="1" ht="11.25" customHeight="1">
      <c r="A101" s="632" t="s">
        <v>37507</v>
      </c>
      <c r="B101" s="632" t="s">
        <v>37052</v>
      </c>
      <c r="C101" s="612">
        <v>1280</v>
      </c>
    </row>
    <row r="102" spans="1:3" s="594" customFormat="1" ht="11.25" customHeight="1">
      <c r="A102" s="632" t="s">
        <v>37506</v>
      </c>
      <c r="B102" s="632" t="s">
        <v>37050</v>
      </c>
      <c r="C102" s="612">
        <v>1280</v>
      </c>
    </row>
    <row r="103" spans="1:3" s="594" customFormat="1" ht="11.25" customHeight="1">
      <c r="A103" s="632" t="s">
        <v>37505</v>
      </c>
      <c r="B103" s="632" t="s">
        <v>37048</v>
      </c>
      <c r="C103" s="612">
        <v>380</v>
      </c>
    </row>
    <row r="104" spans="1:3" s="594" customFormat="1" ht="11.25" customHeight="1">
      <c r="A104" s="632" t="s">
        <v>37504</v>
      </c>
      <c r="B104" s="632" t="s">
        <v>37046</v>
      </c>
      <c r="C104" s="612">
        <v>380</v>
      </c>
    </row>
    <row r="105" spans="1:3" s="594" customFormat="1" ht="11.25" customHeight="1">
      <c r="A105" s="592"/>
      <c r="B105" s="592"/>
      <c r="C105" s="607"/>
    </row>
    <row r="106" spans="1:3" s="594" customFormat="1" ht="11.25" customHeight="1" thickBot="1">
      <c r="A106" s="605" t="s">
        <v>36715</v>
      </c>
      <c r="B106" s="605"/>
      <c r="C106" s="604"/>
    </row>
    <row r="107" spans="1:3" ht="11.25" customHeight="1">
      <c r="A107" s="633" t="s">
        <v>37503</v>
      </c>
      <c r="B107" s="636" t="s">
        <v>36633</v>
      </c>
      <c r="C107" s="612">
        <v>298</v>
      </c>
    </row>
    <row r="108" spans="1:3" s="594" customFormat="1" ht="11.25" customHeight="1">
      <c r="A108" s="632" t="s">
        <v>37502</v>
      </c>
      <c r="B108" s="632" t="s">
        <v>37501</v>
      </c>
      <c r="C108" s="612">
        <v>298</v>
      </c>
    </row>
    <row r="109" spans="1:3" s="594" customFormat="1" ht="11.25" customHeight="1">
      <c r="A109" s="632" t="s">
        <v>37500</v>
      </c>
      <c r="B109" s="632" t="s">
        <v>37499</v>
      </c>
      <c r="C109" s="612">
        <v>298</v>
      </c>
    </row>
    <row r="110" spans="1:3" s="594" customFormat="1" ht="11.25" customHeight="1">
      <c r="A110" s="592"/>
      <c r="B110" s="592"/>
      <c r="C110" s="607"/>
    </row>
    <row r="111" spans="1:3" s="594" customFormat="1" ht="11.25" customHeight="1" thickBot="1">
      <c r="A111" s="605" t="s">
        <v>36632</v>
      </c>
      <c r="B111" s="605"/>
      <c r="C111" s="604"/>
    </row>
    <row r="112" spans="1:3" s="594" customFormat="1" ht="11.25" customHeight="1">
      <c r="A112" s="633" t="s">
        <v>37498</v>
      </c>
      <c r="B112" s="636" t="s">
        <v>37497</v>
      </c>
      <c r="C112" s="612">
        <v>641</v>
      </c>
    </row>
    <row r="113" spans="1:3" s="594" customFormat="1" ht="11.25" customHeight="1">
      <c r="A113" s="632" t="s">
        <v>37496</v>
      </c>
      <c r="B113" s="635" t="s">
        <v>36875</v>
      </c>
      <c r="C113" s="612">
        <v>641</v>
      </c>
    </row>
    <row r="114" spans="1:3" s="594" customFormat="1" ht="11.25" customHeight="1">
      <c r="A114" s="592"/>
      <c r="B114" s="592"/>
      <c r="C114" s="607"/>
    </row>
    <row r="115" spans="1:3" s="594" customFormat="1" ht="11.25" customHeight="1" thickBot="1">
      <c r="A115" s="605" t="s">
        <v>36951</v>
      </c>
      <c r="B115" s="605"/>
      <c r="C115" s="604"/>
    </row>
    <row r="116" spans="1:3" s="594" customFormat="1" ht="11.25" customHeight="1">
      <c r="A116" s="633" t="s">
        <v>37495</v>
      </c>
      <c r="B116" s="633" t="s">
        <v>37494</v>
      </c>
      <c r="C116" s="612">
        <v>667</v>
      </c>
    </row>
    <row r="117" spans="1:3" s="594" customFormat="1" ht="11.25" customHeight="1">
      <c r="A117" s="632" t="s">
        <v>37493</v>
      </c>
      <c r="B117" s="632" t="s">
        <v>37492</v>
      </c>
      <c r="C117" s="612">
        <v>949</v>
      </c>
    </row>
    <row r="118" spans="1:3" s="594" customFormat="1" ht="11.25" customHeight="1">
      <c r="A118" s="592"/>
      <c r="B118" s="592"/>
      <c r="C118" s="607"/>
    </row>
    <row r="119" spans="1:3" ht="11.25" customHeight="1" thickBot="1">
      <c r="A119" s="605" t="s">
        <v>37391</v>
      </c>
      <c r="B119" s="605"/>
      <c r="C119" s="604"/>
    </row>
    <row r="120" spans="1:3" s="594" customFormat="1" ht="11.25" customHeight="1">
      <c r="A120" s="633" t="s">
        <v>36481</v>
      </c>
      <c r="B120" s="633" t="s">
        <v>37491</v>
      </c>
      <c r="C120" s="612">
        <v>513</v>
      </c>
    </row>
    <row r="121" spans="1:3" s="594" customFormat="1" ht="18" customHeight="1">
      <c r="A121" s="745" t="s">
        <v>37490</v>
      </c>
      <c r="B121" s="608"/>
      <c r="C121" s="607"/>
    </row>
    <row r="122" spans="1:3" s="594" customFormat="1" ht="11.25" customHeight="1">
      <c r="A122" s="608"/>
      <c r="B122" s="608"/>
      <c r="C122" s="607"/>
    </row>
    <row r="123" spans="1:3" s="719" customFormat="1" ht="11.15" customHeight="1" thickBot="1">
      <c r="A123" s="605" t="s">
        <v>37489</v>
      </c>
      <c r="B123" s="655"/>
      <c r="C123" s="654">
        <v>0</v>
      </c>
    </row>
    <row r="124" spans="1:3" s="719" customFormat="1" ht="11.15" customHeight="1">
      <c r="A124" s="637" t="s">
        <v>37030</v>
      </c>
      <c r="B124" s="637" t="s">
        <v>37029</v>
      </c>
      <c r="C124" s="649">
        <v>1700</v>
      </c>
    </row>
    <row r="125" spans="1:3" s="719" customFormat="1" ht="11.15" customHeight="1">
      <c r="A125" s="637" t="s">
        <v>37028</v>
      </c>
      <c r="B125" s="637" t="s">
        <v>37027</v>
      </c>
      <c r="C125" s="649">
        <v>1803</v>
      </c>
    </row>
    <row r="126" spans="1:3" s="719" customFormat="1" ht="11.15" customHeight="1">
      <c r="A126" s="637" t="s">
        <v>37026</v>
      </c>
      <c r="B126" s="637" t="s">
        <v>37025</v>
      </c>
      <c r="C126" s="649">
        <v>2059</v>
      </c>
    </row>
    <row r="127" spans="1:3" s="719" customFormat="1" ht="11.15" customHeight="1">
      <c r="A127" s="637" t="s">
        <v>36614</v>
      </c>
      <c r="B127" s="637" t="s">
        <v>36613</v>
      </c>
      <c r="C127" s="649">
        <v>1442</v>
      </c>
    </row>
    <row r="128" spans="1:3" s="719" customFormat="1" ht="11.15" customHeight="1">
      <c r="A128" s="637" t="s">
        <v>36612</v>
      </c>
      <c r="B128" s="637" t="s">
        <v>36611</v>
      </c>
      <c r="C128" s="649">
        <v>1545</v>
      </c>
    </row>
    <row r="129" spans="1:3" s="719" customFormat="1" ht="11.15" customHeight="1">
      <c r="A129" s="637" t="s">
        <v>36610</v>
      </c>
      <c r="B129" s="637" t="s">
        <v>36609</v>
      </c>
      <c r="C129" s="649">
        <v>1803</v>
      </c>
    </row>
    <row r="130" spans="1:3" s="719" customFormat="1" ht="11.15" customHeight="1">
      <c r="A130" s="637" t="s">
        <v>37488</v>
      </c>
      <c r="B130" s="637" t="s">
        <v>36605</v>
      </c>
      <c r="C130" s="649">
        <v>232</v>
      </c>
    </row>
    <row r="131" spans="1:3" s="719" customFormat="1" ht="11.15" customHeight="1">
      <c r="A131" s="637" t="s">
        <v>37487</v>
      </c>
      <c r="B131" s="637" t="s">
        <v>37486</v>
      </c>
      <c r="C131" s="649">
        <v>140</v>
      </c>
    </row>
    <row r="132" spans="1:3" s="719" customFormat="1" ht="11.15" customHeight="1">
      <c r="A132" s="637" t="s">
        <v>36604</v>
      </c>
      <c r="B132" s="637" t="s">
        <v>36603</v>
      </c>
      <c r="C132" s="650">
        <v>170</v>
      </c>
    </row>
    <row r="133" spans="1:3" s="719" customFormat="1" ht="11.15" customHeight="1">
      <c r="A133" s="637" t="s">
        <v>36602</v>
      </c>
      <c r="B133" s="637" t="s">
        <v>36601</v>
      </c>
      <c r="C133" s="649">
        <v>181</v>
      </c>
    </row>
    <row r="134" spans="1:3" s="719" customFormat="1" ht="11.15" customHeight="1">
      <c r="A134" s="637" t="s">
        <v>36600</v>
      </c>
      <c r="B134" s="637" t="s">
        <v>36599</v>
      </c>
      <c r="C134" s="649">
        <v>675</v>
      </c>
    </row>
    <row r="135" spans="1:3" s="719" customFormat="1" ht="11.15" customHeight="1">
      <c r="A135" s="648"/>
      <c r="B135" s="648"/>
      <c r="C135" s="647"/>
    </row>
    <row r="136" spans="1:3" s="594" customFormat="1" ht="11.25" customHeight="1" thickBot="1">
      <c r="A136" s="605" t="s">
        <v>37388</v>
      </c>
      <c r="B136" s="605"/>
      <c r="C136" s="606"/>
    </row>
    <row r="137" spans="1:3" ht="11.25" customHeight="1">
      <c r="A137" s="633" t="s">
        <v>36529</v>
      </c>
      <c r="B137" s="633" t="s">
        <v>36842</v>
      </c>
      <c r="C137" s="612">
        <v>558</v>
      </c>
    </row>
    <row r="138" spans="1:3" s="594" customFormat="1" ht="11.25" customHeight="1">
      <c r="A138" s="632" t="s">
        <v>36527</v>
      </c>
      <c r="B138" s="632" t="s">
        <v>36841</v>
      </c>
      <c r="C138" s="612">
        <v>558</v>
      </c>
    </row>
    <row r="139" spans="1:3" s="594" customFormat="1" ht="11.25" customHeight="1">
      <c r="A139" s="632" t="s">
        <v>36525</v>
      </c>
      <c r="B139" s="632" t="s">
        <v>36840</v>
      </c>
      <c r="C139" s="612">
        <v>558</v>
      </c>
    </row>
    <row r="140" spans="1:3" ht="11.25" customHeight="1">
      <c r="A140" s="632" t="s">
        <v>36523</v>
      </c>
      <c r="B140" s="632" t="s">
        <v>36839</v>
      </c>
      <c r="C140" s="612">
        <v>707</v>
      </c>
    </row>
    <row r="141" spans="1:3" ht="11.25" customHeight="1">
      <c r="A141" s="632" t="s">
        <v>36521</v>
      </c>
      <c r="B141" s="632" t="s">
        <v>36838</v>
      </c>
      <c r="C141" s="612">
        <v>707</v>
      </c>
    </row>
    <row r="142" spans="1:3" s="660" customFormat="1" ht="11.25" customHeight="1">
      <c r="A142" s="632" t="s">
        <v>36519</v>
      </c>
      <c r="B142" s="632" t="s">
        <v>36837</v>
      </c>
      <c r="C142" s="612">
        <v>707</v>
      </c>
    </row>
    <row r="143" spans="1:3" s="594" customFormat="1" ht="11.25" customHeight="1">
      <c r="A143" s="592"/>
      <c r="B143" s="592"/>
      <c r="C143" s="607"/>
    </row>
    <row r="144" spans="1:3" s="594" customFormat="1" ht="11.25" customHeight="1" thickBot="1">
      <c r="A144" s="605" t="s">
        <v>36915</v>
      </c>
      <c r="B144" s="605"/>
      <c r="C144" s="604"/>
    </row>
    <row r="145" spans="1:3" s="594" customFormat="1" ht="11.25" customHeight="1">
      <c r="A145" s="633" t="s">
        <v>37485</v>
      </c>
      <c r="B145" s="636" t="s">
        <v>37484</v>
      </c>
      <c r="C145" s="612">
        <v>632</v>
      </c>
    </row>
    <row r="146" spans="1:3" s="594" customFormat="1" ht="11.25" customHeight="1">
      <c r="A146" s="632" t="s">
        <v>37483</v>
      </c>
      <c r="B146" s="635" t="s">
        <v>37482</v>
      </c>
      <c r="C146" s="612">
        <v>632</v>
      </c>
    </row>
    <row r="147" spans="1:3" s="594" customFormat="1" ht="11.25" customHeight="1">
      <c r="A147" s="632" t="s">
        <v>37481</v>
      </c>
      <c r="B147" s="635" t="s">
        <v>37480</v>
      </c>
      <c r="C147" s="612">
        <v>632</v>
      </c>
    </row>
    <row r="148" spans="1:3" s="594" customFormat="1" ht="11.25" customHeight="1">
      <c r="A148" s="632" t="s">
        <v>37479</v>
      </c>
      <c r="B148" s="635" t="s">
        <v>37478</v>
      </c>
      <c r="C148" s="612">
        <v>741</v>
      </c>
    </row>
    <row r="149" spans="1:3" s="594" customFormat="1" ht="11.25" customHeight="1">
      <c r="A149" s="632" t="s">
        <v>37477</v>
      </c>
      <c r="B149" s="635" t="s">
        <v>37476</v>
      </c>
      <c r="C149" s="612">
        <v>741</v>
      </c>
    </row>
    <row r="150" spans="1:3" s="594" customFormat="1" ht="11.25" customHeight="1">
      <c r="A150" s="632" t="s">
        <v>37475</v>
      </c>
      <c r="B150" s="635" t="s">
        <v>37474</v>
      </c>
      <c r="C150" s="612">
        <v>741</v>
      </c>
    </row>
    <row r="151" spans="1:3" s="594" customFormat="1" ht="11.25" customHeight="1">
      <c r="A151" s="592"/>
      <c r="B151" s="592"/>
      <c r="C151" s="607"/>
    </row>
    <row r="152" spans="1:3" s="594" customFormat="1" ht="11.25" customHeight="1" thickBot="1">
      <c r="A152" s="605" t="s">
        <v>36836</v>
      </c>
      <c r="B152" s="605"/>
      <c r="C152" s="604"/>
    </row>
    <row r="153" spans="1:3" s="594" customFormat="1" ht="11.25" customHeight="1">
      <c r="A153" s="633" t="s">
        <v>37381</v>
      </c>
      <c r="B153" s="633" t="s">
        <v>36834</v>
      </c>
      <c r="C153" s="612">
        <v>558</v>
      </c>
    </row>
    <row r="154" spans="1:3" s="594" customFormat="1" ht="11.25" customHeight="1">
      <c r="A154" s="632" t="s">
        <v>37380</v>
      </c>
      <c r="B154" s="632" t="s">
        <v>36832</v>
      </c>
      <c r="C154" s="612">
        <v>558</v>
      </c>
    </row>
    <row r="155" spans="1:3" s="594" customFormat="1" ht="11.25" customHeight="1">
      <c r="A155" s="632" t="s">
        <v>37379</v>
      </c>
      <c r="B155" s="632" t="s">
        <v>36830</v>
      </c>
      <c r="C155" s="612">
        <v>558</v>
      </c>
    </row>
    <row r="156" spans="1:3" s="594" customFormat="1" ht="11.25" customHeight="1">
      <c r="A156" s="632" t="s">
        <v>37378</v>
      </c>
      <c r="B156" s="632" t="s">
        <v>36828</v>
      </c>
      <c r="C156" s="612">
        <v>707</v>
      </c>
    </row>
    <row r="157" spans="1:3" s="594" customFormat="1" ht="11.25" customHeight="1">
      <c r="A157" s="616" t="s">
        <v>37377</v>
      </c>
      <c r="B157" s="616" t="s">
        <v>36826</v>
      </c>
      <c r="C157" s="612">
        <v>707</v>
      </c>
    </row>
    <row r="158" spans="1:3" s="594" customFormat="1" ht="11.25" customHeight="1">
      <c r="A158" s="616" t="s">
        <v>37376</v>
      </c>
      <c r="B158" s="616" t="s">
        <v>36824</v>
      </c>
      <c r="C158" s="612">
        <v>707</v>
      </c>
    </row>
    <row r="159" spans="1:3" s="594" customFormat="1" ht="18" customHeight="1">
      <c r="A159" s="611" t="s">
        <v>37389</v>
      </c>
      <c r="C159" s="607"/>
    </row>
    <row r="160" spans="1:3" s="594" customFormat="1" ht="11.25" customHeight="1">
      <c r="A160" s="608"/>
      <c r="B160" s="608"/>
      <c r="C160" s="607"/>
    </row>
    <row r="161" spans="1:3" s="594" customFormat="1" ht="11.25" customHeight="1" thickBot="1">
      <c r="A161" s="605" t="s">
        <v>36697</v>
      </c>
      <c r="B161" s="605"/>
      <c r="C161" s="606"/>
    </row>
    <row r="162" spans="1:3" s="594" customFormat="1" ht="11.25" customHeight="1">
      <c r="A162" s="679" t="s">
        <v>37473</v>
      </c>
      <c r="B162" s="678"/>
      <c r="C162" s="677"/>
    </row>
    <row r="163" spans="1:3" s="594" customFormat="1" ht="11.25" customHeight="1">
      <c r="A163" s="644" t="s">
        <v>37010</v>
      </c>
      <c r="B163" s="676"/>
      <c r="C163" s="675"/>
    </row>
    <row r="164" spans="1:3" s="594" customFormat="1" ht="11.25" customHeight="1">
      <c r="A164" s="632" t="s">
        <v>37472</v>
      </c>
      <c r="B164" s="632" t="s">
        <v>37471</v>
      </c>
      <c r="C164" s="612">
        <v>7815</v>
      </c>
    </row>
    <row r="165" spans="1:3" s="594" customFormat="1" ht="11.25" customHeight="1">
      <c r="A165" s="592"/>
      <c r="B165" s="592"/>
      <c r="C165" s="607"/>
    </row>
    <row r="166" spans="1:3" s="594" customFormat="1" ht="11.25" customHeight="1" thickBot="1">
      <c r="A166" s="645" t="s">
        <v>36578</v>
      </c>
      <c r="B166" s="645"/>
      <c r="C166" s="604"/>
    </row>
    <row r="167" spans="1:3" s="594" customFormat="1" ht="11.25" customHeight="1">
      <c r="A167" s="679" t="s">
        <v>37470</v>
      </c>
      <c r="B167" s="678"/>
      <c r="C167" s="677"/>
    </row>
    <row r="168" spans="1:3" s="594" customFormat="1" ht="11.25" customHeight="1">
      <c r="A168" s="644" t="s">
        <v>37469</v>
      </c>
      <c r="B168" s="676"/>
      <c r="C168" s="675"/>
    </row>
    <row r="169" spans="1:3" s="594" customFormat="1" ht="11.25" customHeight="1">
      <c r="A169" s="632" t="s">
        <v>37468</v>
      </c>
      <c r="B169" s="632" t="s">
        <v>37003</v>
      </c>
      <c r="C169" s="612">
        <v>3656</v>
      </c>
    </row>
    <row r="170" spans="1:3" s="594" customFormat="1" ht="11.25" customHeight="1">
      <c r="A170" s="632" t="s">
        <v>37467</v>
      </c>
      <c r="B170" s="632" t="s">
        <v>37142</v>
      </c>
      <c r="C170" s="612">
        <v>4821</v>
      </c>
    </row>
    <row r="171" spans="1:3" s="594" customFormat="1" ht="11.25" customHeight="1">
      <c r="A171" s="616" t="s">
        <v>37466</v>
      </c>
      <c r="B171" s="616" t="s">
        <v>36802</v>
      </c>
      <c r="C171" s="612">
        <v>3299</v>
      </c>
    </row>
    <row r="172" spans="1:3" s="594" customFormat="1" ht="11.25" customHeight="1">
      <c r="A172" s="616" t="s">
        <v>37465</v>
      </c>
      <c r="B172" s="616" t="s">
        <v>37464</v>
      </c>
      <c r="C172" s="612">
        <v>4390</v>
      </c>
    </row>
    <row r="173" spans="1:3" s="594" customFormat="1" ht="11.25" customHeight="1">
      <c r="A173" s="608"/>
      <c r="B173" s="608"/>
      <c r="C173" s="607"/>
    </row>
    <row r="174" spans="1:3" s="594" customFormat="1" ht="11.25" customHeight="1" thickBot="1">
      <c r="A174" s="655" t="s">
        <v>37463</v>
      </c>
      <c r="B174" s="655"/>
      <c r="C174" s="666"/>
    </row>
    <row r="175" spans="1:3" s="594" customFormat="1" ht="11.25" customHeight="1">
      <c r="A175" s="619" t="s">
        <v>37462</v>
      </c>
      <c r="B175" s="613" t="s">
        <v>36784</v>
      </c>
      <c r="C175" s="612">
        <v>5177</v>
      </c>
    </row>
    <row r="176" spans="1:3" s="594" customFormat="1" ht="11.25" customHeight="1">
      <c r="A176" s="616" t="s">
        <v>37461</v>
      </c>
      <c r="B176" s="618" t="s">
        <v>36782</v>
      </c>
      <c r="C176" s="612">
        <v>5177</v>
      </c>
    </row>
    <row r="177" spans="1:3" s="594" customFormat="1" ht="11.25" customHeight="1">
      <c r="A177" s="616" t="s">
        <v>37460</v>
      </c>
      <c r="B177" s="618" t="s">
        <v>37361</v>
      </c>
      <c r="C177" s="612">
        <v>5177</v>
      </c>
    </row>
    <row r="178" spans="1:3" s="594" customFormat="1" ht="11.25" customHeight="1">
      <c r="A178" s="616" t="s">
        <v>37459</v>
      </c>
      <c r="B178" s="618" t="s">
        <v>36566</v>
      </c>
      <c r="C178" s="612">
        <v>5177</v>
      </c>
    </row>
    <row r="179" spans="1:3" s="594" customFormat="1" ht="11.25" customHeight="1">
      <c r="A179" s="616" t="s">
        <v>37458</v>
      </c>
      <c r="B179" s="618" t="s">
        <v>36564</v>
      </c>
      <c r="C179" s="612">
        <v>5177</v>
      </c>
    </row>
    <row r="180" spans="1:3" s="594" customFormat="1" ht="11.25" customHeight="1">
      <c r="A180" s="616" t="s">
        <v>37457</v>
      </c>
      <c r="B180" s="618" t="s">
        <v>36562</v>
      </c>
      <c r="C180" s="612">
        <v>5177</v>
      </c>
    </row>
    <row r="181" spans="1:3" s="594" customFormat="1" ht="11.25" customHeight="1">
      <c r="A181" s="616" t="s">
        <v>37456</v>
      </c>
      <c r="B181" s="618" t="s">
        <v>36789</v>
      </c>
      <c r="C181" s="612">
        <v>5177</v>
      </c>
    </row>
    <row r="182" spans="1:3" s="594" customFormat="1" ht="11.25" customHeight="1">
      <c r="A182" s="616" t="s">
        <v>37455</v>
      </c>
      <c r="B182" s="618" t="s">
        <v>36558</v>
      </c>
      <c r="C182" s="612">
        <v>5177</v>
      </c>
    </row>
    <row r="183" spans="1:3" s="594" customFormat="1" ht="11.25" customHeight="1">
      <c r="A183" s="616" t="s">
        <v>37454</v>
      </c>
      <c r="B183" s="618" t="s">
        <v>36774</v>
      </c>
      <c r="C183" s="612">
        <v>5177</v>
      </c>
    </row>
    <row r="184" spans="1:3" s="594" customFormat="1" ht="11.25" customHeight="1">
      <c r="A184" s="608"/>
      <c r="B184" s="608"/>
      <c r="C184" s="607"/>
    </row>
    <row r="185" spans="1:3" s="594" customFormat="1" ht="11.25" customHeight="1" thickBot="1">
      <c r="A185" s="645" t="s">
        <v>37453</v>
      </c>
      <c r="B185" s="645"/>
      <c r="C185" s="682"/>
    </row>
    <row r="186" spans="1:3" s="594" customFormat="1" ht="11.25" customHeight="1">
      <c r="A186" s="619" t="s">
        <v>37452</v>
      </c>
      <c r="B186" s="613" t="s">
        <v>36572</v>
      </c>
      <c r="C186" s="612">
        <v>1165</v>
      </c>
    </row>
    <row r="187" spans="1:3" s="594" customFormat="1" ht="11.25" customHeight="1">
      <c r="A187" s="616" t="s">
        <v>37451</v>
      </c>
      <c r="B187" s="618" t="s">
        <v>36570</v>
      </c>
      <c r="C187" s="612">
        <v>1139</v>
      </c>
    </row>
    <row r="188" spans="1:3" s="594" customFormat="1" ht="11.25" customHeight="1">
      <c r="A188" s="616" t="s">
        <v>37450</v>
      </c>
      <c r="B188" s="618" t="s">
        <v>36568</v>
      </c>
      <c r="C188" s="612">
        <v>1165</v>
      </c>
    </row>
    <row r="189" spans="1:3" s="594" customFormat="1" ht="11.25" customHeight="1">
      <c r="A189" s="616" t="s">
        <v>37449</v>
      </c>
      <c r="B189" s="618" t="s">
        <v>36566</v>
      </c>
      <c r="C189" s="612">
        <v>1139</v>
      </c>
    </row>
    <row r="190" spans="1:3" s="594" customFormat="1" ht="11.25" customHeight="1">
      <c r="A190" s="616" t="s">
        <v>37448</v>
      </c>
      <c r="B190" s="618" t="s">
        <v>36564</v>
      </c>
      <c r="C190" s="612">
        <v>1165</v>
      </c>
    </row>
    <row r="191" spans="1:3" s="594" customFormat="1" ht="11.25" customHeight="1">
      <c r="A191" s="616" t="s">
        <v>37447</v>
      </c>
      <c r="B191" s="618" t="s">
        <v>36562</v>
      </c>
      <c r="C191" s="612">
        <v>1139</v>
      </c>
    </row>
    <row r="192" spans="1:3" s="594" customFormat="1" ht="11.25" customHeight="1">
      <c r="A192" s="616" t="s">
        <v>37446</v>
      </c>
      <c r="B192" s="618" t="s">
        <v>36560</v>
      </c>
      <c r="C192" s="612">
        <v>1232</v>
      </c>
    </row>
    <row r="193" spans="1:3" s="594" customFormat="1" ht="11.25" customHeight="1">
      <c r="A193" s="616" t="s">
        <v>37445</v>
      </c>
      <c r="B193" s="618" t="s">
        <v>36558</v>
      </c>
      <c r="C193" s="612">
        <v>1165</v>
      </c>
    </row>
    <row r="194" spans="1:3" s="594" customFormat="1" ht="11.25" customHeight="1">
      <c r="A194" s="616" t="s">
        <v>37444</v>
      </c>
      <c r="B194" s="618" t="s">
        <v>36556</v>
      </c>
      <c r="C194" s="612">
        <v>1232</v>
      </c>
    </row>
    <row r="195" spans="1:3" s="594" customFormat="1" ht="11.25" customHeight="1">
      <c r="A195" s="608"/>
      <c r="B195" s="608"/>
      <c r="C195" s="607"/>
    </row>
    <row r="196" spans="1:3" s="594" customFormat="1" ht="11.25" customHeight="1" thickBot="1">
      <c r="A196" s="645" t="s">
        <v>36987</v>
      </c>
      <c r="B196" s="645"/>
      <c r="C196" s="682"/>
    </row>
    <row r="197" spans="1:3" s="594" customFormat="1" ht="11.25" customHeight="1">
      <c r="A197" s="619" t="s">
        <v>37443</v>
      </c>
      <c r="B197" s="613" t="s">
        <v>36572</v>
      </c>
      <c r="C197" s="612">
        <v>1018</v>
      </c>
    </row>
    <row r="198" spans="1:3" s="594" customFormat="1" ht="11.25" customHeight="1">
      <c r="A198" s="616" t="s">
        <v>37442</v>
      </c>
      <c r="B198" s="618" t="s">
        <v>36570</v>
      </c>
      <c r="C198" s="612">
        <v>989</v>
      </c>
    </row>
    <row r="199" spans="1:3" s="594" customFormat="1" ht="11.25" customHeight="1">
      <c r="A199" s="616" t="s">
        <v>37441</v>
      </c>
      <c r="B199" s="618" t="s">
        <v>36568</v>
      </c>
      <c r="C199" s="612">
        <v>1018</v>
      </c>
    </row>
    <row r="200" spans="1:3" s="594" customFormat="1" ht="11.25" customHeight="1">
      <c r="A200" s="616" t="s">
        <v>37440</v>
      </c>
      <c r="B200" s="618" t="s">
        <v>36566</v>
      </c>
      <c r="C200" s="612">
        <v>989</v>
      </c>
    </row>
    <row r="201" spans="1:3" s="594" customFormat="1" ht="11.25" customHeight="1">
      <c r="A201" s="616" t="s">
        <v>37439</v>
      </c>
      <c r="B201" s="618" t="s">
        <v>36564</v>
      </c>
      <c r="C201" s="612">
        <v>1018</v>
      </c>
    </row>
    <row r="202" spans="1:3" s="594" customFormat="1" ht="11.25" customHeight="1">
      <c r="A202" s="616" t="s">
        <v>37438</v>
      </c>
      <c r="B202" s="618" t="s">
        <v>36562</v>
      </c>
      <c r="C202" s="612">
        <v>989</v>
      </c>
    </row>
    <row r="203" spans="1:3" s="594" customFormat="1" ht="11.25" customHeight="1">
      <c r="A203" s="616" t="s">
        <v>37437</v>
      </c>
      <c r="B203" s="618" t="s">
        <v>36560</v>
      </c>
      <c r="C203" s="612">
        <v>1086</v>
      </c>
    </row>
    <row r="204" spans="1:3" s="594" customFormat="1" ht="11.25" customHeight="1">
      <c r="A204" s="616" t="s">
        <v>37436</v>
      </c>
      <c r="B204" s="618" t="s">
        <v>36558</v>
      </c>
      <c r="C204" s="612">
        <v>1018</v>
      </c>
    </row>
    <row r="205" spans="1:3" s="594" customFormat="1" ht="11.25" customHeight="1">
      <c r="A205" s="616" t="s">
        <v>37435</v>
      </c>
      <c r="B205" s="618" t="s">
        <v>36556</v>
      </c>
      <c r="C205" s="612">
        <v>1086</v>
      </c>
    </row>
    <row r="206" spans="1:3" s="594" customFormat="1" ht="11.25" customHeight="1">
      <c r="A206" s="608"/>
      <c r="B206" s="608"/>
      <c r="C206" s="607"/>
    </row>
    <row r="207" spans="1:3" s="594" customFormat="1" ht="11.25" customHeight="1" thickBot="1">
      <c r="A207" s="605" t="s">
        <v>37434</v>
      </c>
      <c r="B207" s="605"/>
      <c r="C207" s="604"/>
    </row>
    <row r="208" spans="1:3" s="594" customFormat="1" ht="11.25" customHeight="1">
      <c r="A208" s="619" t="s">
        <v>37433</v>
      </c>
      <c r="B208" s="613" t="s">
        <v>36750</v>
      </c>
      <c r="C208" s="612">
        <v>348</v>
      </c>
    </row>
    <row r="209" spans="1:3" s="594" customFormat="1" ht="11.25" customHeight="1">
      <c r="A209" s="616" t="s">
        <v>37432</v>
      </c>
      <c r="B209" s="618" t="s">
        <v>36748</v>
      </c>
      <c r="C209" s="612">
        <v>348</v>
      </c>
    </row>
    <row r="210" spans="1:3" s="594" customFormat="1" ht="11.25" customHeight="1">
      <c r="A210" s="608"/>
      <c r="B210" s="608"/>
      <c r="C210" s="607"/>
    </row>
    <row r="211" spans="1:3" s="594" customFormat="1" ht="11.25" customHeight="1" thickBot="1">
      <c r="A211" s="605" t="s">
        <v>36555</v>
      </c>
      <c r="B211" s="645"/>
      <c r="C211" s="604"/>
    </row>
    <row r="212" spans="1:3" s="594" customFormat="1" ht="11.25" customHeight="1">
      <c r="A212" s="619" t="s">
        <v>36554</v>
      </c>
      <c r="B212" s="613" t="s">
        <v>36553</v>
      </c>
      <c r="C212" s="612">
        <v>250</v>
      </c>
    </row>
    <row r="213" spans="1:3" s="594" customFormat="1" ht="11.25" customHeight="1">
      <c r="A213" s="608"/>
      <c r="B213" s="608"/>
      <c r="C213" s="607"/>
    </row>
    <row r="214" spans="1:3" s="594" customFormat="1" ht="11.25" customHeight="1" thickBot="1">
      <c r="A214" s="645" t="s">
        <v>36976</v>
      </c>
      <c r="B214" s="645"/>
      <c r="C214" s="666"/>
    </row>
    <row r="215" spans="1:3" s="594" customFormat="1" ht="11.25" customHeight="1">
      <c r="A215" s="619" t="s">
        <v>37431</v>
      </c>
      <c r="B215" s="613" t="s">
        <v>36974</v>
      </c>
      <c r="C215" s="612">
        <v>2241</v>
      </c>
    </row>
    <row r="216" spans="1:3" s="594" customFormat="1" ht="11.25" customHeight="1">
      <c r="A216" s="616" t="s">
        <v>37430</v>
      </c>
      <c r="B216" s="618" t="s">
        <v>36972</v>
      </c>
      <c r="C216" s="612">
        <v>2241</v>
      </c>
    </row>
    <row r="217" spans="1:3" s="594" customFormat="1" ht="11.25" customHeight="1">
      <c r="A217" s="616" t="s">
        <v>37429</v>
      </c>
      <c r="B217" s="618" t="s">
        <v>36660</v>
      </c>
      <c r="C217" s="612">
        <v>650</v>
      </c>
    </row>
    <row r="218" spans="1:3" s="594" customFormat="1" ht="11.25" customHeight="1">
      <c r="A218" s="632" t="s">
        <v>37428</v>
      </c>
      <c r="B218" s="635" t="s">
        <v>37427</v>
      </c>
      <c r="C218" s="612">
        <v>1811</v>
      </c>
    </row>
    <row r="219" spans="1:3" s="594" customFormat="1" ht="11.25" customHeight="1">
      <c r="A219" s="632" t="s">
        <v>37426</v>
      </c>
      <c r="B219" s="635" t="s">
        <v>37425</v>
      </c>
      <c r="C219" s="612">
        <v>1811</v>
      </c>
    </row>
    <row r="220" spans="1:3" s="594" customFormat="1" ht="11.25" customHeight="1">
      <c r="A220" s="632" t="s">
        <v>37424</v>
      </c>
      <c r="B220" s="635" t="s">
        <v>36658</v>
      </c>
      <c r="C220" s="612">
        <v>288</v>
      </c>
    </row>
    <row r="221" spans="1:3" s="594" customFormat="1" ht="18" customHeight="1">
      <c r="A221" s="611" t="s">
        <v>37389</v>
      </c>
      <c r="B221" s="634"/>
      <c r="C221" s="607"/>
    </row>
    <row r="222" spans="1:3" s="594" customFormat="1" ht="11.25" customHeight="1">
      <c r="A222" s="744"/>
      <c r="B222" s="592"/>
      <c r="C222" s="607"/>
    </row>
    <row r="223" spans="1:3" s="594" customFormat="1" ht="11.25" customHeight="1" thickBot="1">
      <c r="A223" s="605" t="s">
        <v>36733</v>
      </c>
      <c r="B223" s="605"/>
      <c r="C223" s="606"/>
    </row>
    <row r="224" spans="1:3" s="594" customFormat="1" ht="11.25" customHeight="1">
      <c r="A224" s="633" t="s">
        <v>37423</v>
      </c>
      <c r="B224" s="636" t="s">
        <v>37422</v>
      </c>
      <c r="C224" s="612">
        <v>330</v>
      </c>
    </row>
    <row r="225" spans="1:3" s="594" customFormat="1" ht="11.25" customHeight="1">
      <c r="A225" s="632" t="s">
        <v>37421</v>
      </c>
      <c r="B225" s="635" t="s">
        <v>37420</v>
      </c>
      <c r="C225" s="612">
        <v>330</v>
      </c>
    </row>
    <row r="226" spans="1:3" s="594" customFormat="1" ht="11.25" customHeight="1">
      <c r="A226" s="632" t="s">
        <v>37419</v>
      </c>
      <c r="B226" s="632" t="s">
        <v>37418</v>
      </c>
      <c r="C226" s="612">
        <v>330</v>
      </c>
    </row>
    <row r="227" spans="1:3" s="594" customFormat="1" ht="11.25" customHeight="1">
      <c r="A227" s="632" t="s">
        <v>37417</v>
      </c>
      <c r="B227" s="632" t="s">
        <v>36725</v>
      </c>
      <c r="C227" s="612">
        <v>330</v>
      </c>
    </row>
    <row r="228" spans="1:3" s="594" customFormat="1" ht="11.25" customHeight="1">
      <c r="A228" s="632" t="s">
        <v>37416</v>
      </c>
      <c r="B228" s="635" t="s">
        <v>37415</v>
      </c>
      <c r="C228" s="612">
        <v>193</v>
      </c>
    </row>
    <row r="229" spans="1:3" s="594" customFormat="1" ht="11.25" customHeight="1">
      <c r="A229" s="592"/>
      <c r="B229" s="592"/>
      <c r="C229" s="607"/>
    </row>
    <row r="230" spans="1:3" s="594" customFormat="1" ht="11.25" customHeight="1" thickBot="1">
      <c r="A230" s="605" t="s">
        <v>36653</v>
      </c>
      <c r="B230" s="605"/>
      <c r="C230" s="604"/>
    </row>
    <row r="231" spans="1:3" s="594" customFormat="1" ht="11.25" customHeight="1">
      <c r="A231" s="633" t="s">
        <v>37414</v>
      </c>
      <c r="B231" s="633" t="s">
        <v>37413</v>
      </c>
      <c r="C231" s="612">
        <v>523</v>
      </c>
    </row>
    <row r="232" spans="1:3" s="594" customFormat="1" ht="11.25" customHeight="1">
      <c r="A232" s="592"/>
      <c r="B232" s="592"/>
      <c r="C232" s="607"/>
    </row>
    <row r="233" spans="1:3" s="594" customFormat="1" ht="11.25" customHeight="1" thickBot="1">
      <c r="A233" s="605" t="s">
        <v>36650</v>
      </c>
      <c r="B233" s="605"/>
      <c r="C233" s="604"/>
    </row>
    <row r="234" spans="1:3" s="594" customFormat="1" ht="11.25" customHeight="1">
      <c r="A234" s="633" t="s">
        <v>37412</v>
      </c>
      <c r="B234" s="636" t="s">
        <v>36648</v>
      </c>
      <c r="C234" s="612">
        <v>2539</v>
      </c>
    </row>
    <row r="235" spans="1:3" s="594" customFormat="1" ht="11.25" customHeight="1">
      <c r="A235" s="632" t="s">
        <v>37411</v>
      </c>
      <c r="B235" s="635" t="s">
        <v>36646</v>
      </c>
      <c r="C235" s="612">
        <v>2539</v>
      </c>
    </row>
    <row r="236" spans="1:3" s="594" customFormat="1" ht="11.25" customHeight="1">
      <c r="A236" s="592"/>
      <c r="B236" s="592"/>
      <c r="C236" s="607"/>
    </row>
    <row r="237" spans="1:3" s="594" customFormat="1" ht="11.25" customHeight="1" thickBot="1">
      <c r="A237" s="605" t="s">
        <v>37410</v>
      </c>
      <c r="B237" s="605"/>
      <c r="C237" s="604"/>
    </row>
    <row r="238" spans="1:3" s="594" customFormat="1" ht="11.25" customHeight="1">
      <c r="A238" s="633" t="s">
        <v>37409</v>
      </c>
      <c r="B238" s="633" t="s">
        <v>36721</v>
      </c>
      <c r="C238" s="612">
        <v>763</v>
      </c>
    </row>
    <row r="239" spans="1:3" s="594" customFormat="1" ht="11.25" customHeight="1">
      <c r="A239" s="632" t="s">
        <v>37408</v>
      </c>
      <c r="B239" s="632" t="s">
        <v>36543</v>
      </c>
      <c r="C239" s="612">
        <v>1370</v>
      </c>
    </row>
    <row r="240" spans="1:3" s="594" customFormat="1" ht="11.25" customHeight="1">
      <c r="A240" s="632" t="s">
        <v>37407</v>
      </c>
      <c r="B240" s="632" t="s">
        <v>36640</v>
      </c>
      <c r="C240" s="612">
        <v>1370</v>
      </c>
    </row>
    <row r="241" spans="1:3" s="594" customFormat="1" ht="11.25" customHeight="1">
      <c r="A241" s="632" t="s">
        <v>37406</v>
      </c>
      <c r="B241" s="632" t="s">
        <v>36716</v>
      </c>
      <c r="C241" s="612">
        <v>1370</v>
      </c>
    </row>
    <row r="242" spans="1:3" s="594" customFormat="1" ht="11.25" customHeight="1">
      <c r="A242" s="632" t="s">
        <v>37405</v>
      </c>
      <c r="B242" s="632" t="s">
        <v>36637</v>
      </c>
      <c r="C242" s="612">
        <v>1852</v>
      </c>
    </row>
    <row r="243" spans="1:3" s="594" customFormat="1" ht="11.25" customHeight="1">
      <c r="A243" s="632" t="s">
        <v>37404</v>
      </c>
      <c r="B243" s="632" t="s">
        <v>36848</v>
      </c>
      <c r="C243" s="612">
        <v>1852</v>
      </c>
    </row>
    <row r="244" spans="1:3" s="594" customFormat="1" ht="11.25" customHeight="1">
      <c r="A244" s="632" t="s">
        <v>37403</v>
      </c>
      <c r="B244" s="632" t="s">
        <v>36846</v>
      </c>
      <c r="C244" s="612">
        <v>1852</v>
      </c>
    </row>
    <row r="245" spans="1:3" s="594" customFormat="1" ht="11.25" customHeight="1">
      <c r="A245" s="632" t="s">
        <v>37402</v>
      </c>
      <c r="B245" s="632" t="s">
        <v>37401</v>
      </c>
      <c r="C245" s="612">
        <v>48</v>
      </c>
    </row>
    <row r="246" spans="1:3" s="594" customFormat="1" ht="11.25" customHeight="1">
      <c r="A246" s="608"/>
      <c r="B246" s="608"/>
      <c r="C246" s="607"/>
    </row>
    <row r="247" spans="1:3" s="594" customFormat="1" ht="11.25" customHeight="1" thickBot="1">
      <c r="A247" s="605" t="s">
        <v>13295</v>
      </c>
      <c r="B247" s="605"/>
      <c r="C247" s="604"/>
    </row>
    <row r="248" spans="1:3" s="594" customFormat="1" ht="11.25" customHeight="1">
      <c r="A248" s="619" t="s">
        <v>37400</v>
      </c>
      <c r="B248" s="613" t="s">
        <v>37399</v>
      </c>
      <c r="C248" s="612">
        <v>298</v>
      </c>
    </row>
    <row r="249" spans="1:3" s="594" customFormat="1" ht="11.25" customHeight="1">
      <c r="A249" s="608"/>
      <c r="B249" s="608"/>
      <c r="C249" s="607"/>
    </row>
    <row r="250" spans="1:3" s="594" customFormat="1" ht="11.25" customHeight="1" thickBot="1">
      <c r="A250" s="605" t="s">
        <v>36632</v>
      </c>
      <c r="B250" s="605"/>
      <c r="C250" s="604"/>
    </row>
    <row r="251" spans="1:3" s="594" customFormat="1" ht="11.25" customHeight="1">
      <c r="A251" s="619" t="s">
        <v>37398</v>
      </c>
      <c r="B251" s="613" t="s">
        <v>36953</v>
      </c>
      <c r="C251" s="612">
        <v>641</v>
      </c>
    </row>
    <row r="252" spans="1:3" s="594" customFormat="1" ht="11.25" customHeight="1">
      <c r="A252" s="616" t="s">
        <v>37397</v>
      </c>
      <c r="B252" s="618" t="s">
        <v>36875</v>
      </c>
      <c r="C252" s="612">
        <v>641</v>
      </c>
    </row>
    <row r="253" spans="1:3" s="594" customFormat="1" ht="11.25" customHeight="1">
      <c r="A253" s="608"/>
      <c r="B253" s="608"/>
      <c r="C253" s="607"/>
    </row>
    <row r="254" spans="1:3" s="594" customFormat="1" ht="11.25" customHeight="1" thickBot="1">
      <c r="A254" s="605" t="s">
        <v>36951</v>
      </c>
      <c r="B254" s="605"/>
      <c r="C254" s="604"/>
    </row>
    <row r="255" spans="1:3" s="594" customFormat="1" ht="11.25" customHeight="1">
      <c r="A255" s="619" t="s">
        <v>37396</v>
      </c>
      <c r="B255" s="619" t="s">
        <v>37395</v>
      </c>
      <c r="C255" s="612">
        <v>667</v>
      </c>
    </row>
    <row r="256" spans="1:3" s="594" customFormat="1" ht="11.25" customHeight="1">
      <c r="A256" s="616" t="s">
        <v>37394</v>
      </c>
      <c r="B256" s="616" t="s">
        <v>37393</v>
      </c>
      <c r="C256" s="612">
        <v>741</v>
      </c>
    </row>
    <row r="257" spans="1:3" s="594" customFormat="1" ht="11.25" customHeight="1">
      <c r="A257" s="616" t="s">
        <v>37392</v>
      </c>
      <c r="B257" s="616" t="s">
        <v>36947</v>
      </c>
      <c r="C257" s="612">
        <v>949</v>
      </c>
    </row>
    <row r="258" spans="1:3" s="594" customFormat="1" ht="11.25" customHeight="1">
      <c r="A258" s="608"/>
      <c r="B258" s="608"/>
      <c r="C258" s="607"/>
    </row>
    <row r="259" spans="1:3" s="594" customFormat="1" ht="11.25" customHeight="1" thickBot="1">
      <c r="A259" s="605" t="s">
        <v>37391</v>
      </c>
      <c r="B259" s="605"/>
      <c r="C259" s="604"/>
    </row>
    <row r="260" spans="1:3" s="594" customFormat="1" ht="11.25" customHeight="1">
      <c r="A260" s="619" t="s">
        <v>36481</v>
      </c>
      <c r="B260" s="613" t="s">
        <v>37390</v>
      </c>
      <c r="C260" s="612">
        <v>513</v>
      </c>
    </row>
    <row r="261" spans="1:3" s="594" customFormat="1" ht="18" customHeight="1">
      <c r="A261" s="611" t="s">
        <v>37389</v>
      </c>
      <c r="B261" s="592"/>
      <c r="C261" s="607"/>
    </row>
    <row r="262" spans="1:3" s="594" customFormat="1" ht="10.5" customHeight="1">
      <c r="A262" s="611"/>
      <c r="B262" s="592"/>
      <c r="C262" s="607"/>
    </row>
    <row r="263" spans="1:3" s="594" customFormat="1" ht="11.25" customHeight="1" thickBot="1">
      <c r="A263" s="605" t="s">
        <v>37388</v>
      </c>
      <c r="B263" s="605"/>
      <c r="C263" s="606"/>
    </row>
    <row r="264" spans="1:3" s="594" customFormat="1" ht="11.25" customHeight="1">
      <c r="A264" s="638" t="s">
        <v>36529</v>
      </c>
      <c r="B264" s="633" t="s">
        <v>36528</v>
      </c>
      <c r="C264" s="612">
        <v>558</v>
      </c>
    </row>
    <row r="265" spans="1:3" s="594" customFormat="1" ht="11.25" customHeight="1">
      <c r="A265" s="637" t="s">
        <v>36527</v>
      </c>
      <c r="B265" s="632" t="s">
        <v>36526</v>
      </c>
      <c r="C265" s="612">
        <v>558</v>
      </c>
    </row>
    <row r="266" spans="1:3" s="594" customFormat="1" ht="11.25" customHeight="1">
      <c r="A266" s="637" t="s">
        <v>36525</v>
      </c>
      <c r="B266" s="632" t="s">
        <v>36524</v>
      </c>
      <c r="C266" s="612">
        <v>558</v>
      </c>
    </row>
    <row r="267" spans="1:3" s="594" customFormat="1" ht="11.25" customHeight="1">
      <c r="A267" s="637" t="s">
        <v>36523</v>
      </c>
      <c r="B267" s="632" t="s">
        <v>36522</v>
      </c>
      <c r="C267" s="612">
        <v>707</v>
      </c>
    </row>
    <row r="268" spans="1:3" s="594" customFormat="1" ht="11.25" customHeight="1">
      <c r="A268" s="637" t="s">
        <v>36521</v>
      </c>
      <c r="B268" s="632" t="s">
        <v>36520</v>
      </c>
      <c r="C268" s="612">
        <v>707</v>
      </c>
    </row>
    <row r="269" spans="1:3" s="594" customFormat="1" ht="11.25" customHeight="1">
      <c r="A269" s="637" t="s">
        <v>36519</v>
      </c>
      <c r="B269" s="632" t="s">
        <v>36518</v>
      </c>
      <c r="C269" s="612">
        <v>707</v>
      </c>
    </row>
    <row r="270" spans="1:3" s="594" customFormat="1" ht="11.25" customHeight="1">
      <c r="A270" s="592"/>
      <c r="B270" s="592"/>
      <c r="C270" s="607"/>
    </row>
    <row r="271" spans="1:3" s="594" customFormat="1" ht="11.25" customHeight="1" thickBot="1">
      <c r="A271" s="605" t="s">
        <v>36915</v>
      </c>
      <c r="B271" s="605"/>
      <c r="C271" s="604"/>
    </row>
    <row r="272" spans="1:3" s="594" customFormat="1" ht="11.25" customHeight="1">
      <c r="A272" s="633" t="s">
        <v>37387</v>
      </c>
      <c r="B272" s="633" t="s">
        <v>36515</v>
      </c>
      <c r="C272" s="612">
        <v>632</v>
      </c>
    </row>
    <row r="273" spans="1:3" s="594" customFormat="1" ht="11.25" customHeight="1">
      <c r="A273" s="632" t="s">
        <v>37386</v>
      </c>
      <c r="B273" s="632" t="s">
        <v>36513</v>
      </c>
      <c r="C273" s="612">
        <v>632</v>
      </c>
    </row>
    <row r="274" spans="1:3" s="594" customFormat="1" ht="11.25" customHeight="1">
      <c r="A274" s="632" t="s">
        <v>37385</v>
      </c>
      <c r="B274" s="632" t="s">
        <v>36511</v>
      </c>
      <c r="C274" s="612">
        <v>632</v>
      </c>
    </row>
    <row r="275" spans="1:3" s="594" customFormat="1" ht="11.25" customHeight="1">
      <c r="A275" s="632" t="s">
        <v>37384</v>
      </c>
      <c r="B275" s="632" t="s">
        <v>36509</v>
      </c>
      <c r="C275" s="612">
        <v>741</v>
      </c>
    </row>
    <row r="276" spans="1:3" s="594" customFormat="1" ht="11.25" customHeight="1">
      <c r="A276" s="632" t="s">
        <v>37383</v>
      </c>
      <c r="B276" s="632" t="s">
        <v>36507</v>
      </c>
      <c r="C276" s="612">
        <v>741</v>
      </c>
    </row>
    <row r="277" spans="1:3" ht="11.25" customHeight="1">
      <c r="A277" s="632" t="s">
        <v>37382</v>
      </c>
      <c r="B277" s="632" t="s">
        <v>36505</v>
      </c>
      <c r="C277" s="612">
        <v>741</v>
      </c>
    </row>
    <row r="278" spans="1:3" s="594" customFormat="1" ht="11.25" customHeight="1">
      <c r="A278" s="592"/>
      <c r="B278" s="592"/>
      <c r="C278" s="607"/>
    </row>
    <row r="279" spans="1:3" s="594" customFormat="1" ht="11.25" customHeight="1" thickBot="1">
      <c r="A279" s="605" t="s">
        <v>36908</v>
      </c>
      <c r="B279" s="605"/>
      <c r="C279" s="604"/>
    </row>
    <row r="280" spans="1:3" s="594" customFormat="1" ht="11.25" customHeight="1">
      <c r="A280" s="633" t="s">
        <v>37381</v>
      </c>
      <c r="B280" s="633" t="s">
        <v>36502</v>
      </c>
      <c r="C280" s="612">
        <v>558</v>
      </c>
    </row>
    <row r="281" spans="1:3" s="594" customFormat="1" ht="11.25" customHeight="1">
      <c r="A281" s="632" t="s">
        <v>37380</v>
      </c>
      <c r="B281" s="632" t="s">
        <v>36500</v>
      </c>
      <c r="C281" s="612">
        <v>558</v>
      </c>
    </row>
    <row r="282" spans="1:3" s="594" customFormat="1" ht="11.25" customHeight="1">
      <c r="A282" s="632" t="s">
        <v>37379</v>
      </c>
      <c r="B282" s="632" t="s">
        <v>36498</v>
      </c>
      <c r="C282" s="612">
        <v>558</v>
      </c>
    </row>
    <row r="283" spans="1:3" s="594" customFormat="1" ht="11.25" customHeight="1">
      <c r="A283" s="632" t="s">
        <v>37378</v>
      </c>
      <c r="B283" s="632" t="s">
        <v>36496</v>
      </c>
      <c r="C283" s="612">
        <v>707</v>
      </c>
    </row>
    <row r="284" spans="1:3" s="594" customFormat="1" ht="11.25" customHeight="1">
      <c r="A284" s="616" t="s">
        <v>37377</v>
      </c>
      <c r="B284" s="616" t="s">
        <v>36494</v>
      </c>
      <c r="C284" s="612">
        <v>707</v>
      </c>
    </row>
    <row r="285" spans="1:3" s="594" customFormat="1" ht="11.25" customHeight="1">
      <c r="A285" s="616" t="s">
        <v>37376</v>
      </c>
      <c r="B285" s="616" t="s">
        <v>36492</v>
      </c>
      <c r="C285" s="612">
        <v>707</v>
      </c>
    </row>
    <row r="286" spans="1:3" ht="18" customHeight="1">
      <c r="A286" s="611" t="s">
        <v>37324</v>
      </c>
      <c r="B286" s="611"/>
      <c r="C286" s="736"/>
    </row>
    <row r="287" spans="1:3" ht="11.25" customHeight="1">
      <c r="A287" s="608"/>
      <c r="B287" s="608"/>
      <c r="C287" s="607"/>
    </row>
    <row r="288" spans="1:3" ht="11.25" customHeight="1" thickBot="1">
      <c r="A288" s="645" t="s">
        <v>36578</v>
      </c>
      <c r="B288" s="645"/>
      <c r="C288" s="606"/>
    </row>
    <row r="289" spans="1:3" s="594" customFormat="1" ht="11.25" customHeight="1">
      <c r="A289" s="679" t="s">
        <v>37375</v>
      </c>
      <c r="B289" s="678"/>
      <c r="C289" s="677"/>
    </row>
    <row r="290" spans="1:3" s="594" customFormat="1" ht="11.25" customHeight="1">
      <c r="A290" s="644" t="s">
        <v>36810</v>
      </c>
      <c r="B290" s="676"/>
      <c r="C290" s="675"/>
    </row>
    <row r="291" spans="1:3" s="594" customFormat="1" ht="11.25" customHeight="1">
      <c r="A291" s="632" t="s">
        <v>37374</v>
      </c>
      <c r="B291" s="632" t="s">
        <v>37373</v>
      </c>
      <c r="C291" s="612">
        <v>2948</v>
      </c>
    </row>
    <row r="292" spans="1:3" s="594" customFormat="1" ht="11.25" customHeight="1">
      <c r="A292" s="632" t="s">
        <v>37372</v>
      </c>
      <c r="B292" s="632" t="s">
        <v>37371</v>
      </c>
      <c r="C292" s="612">
        <v>3346</v>
      </c>
    </row>
    <row r="293" spans="1:3" s="594" customFormat="1" ht="11.25" customHeight="1">
      <c r="A293" s="632" t="s">
        <v>37370</v>
      </c>
      <c r="B293" s="632" t="s">
        <v>37369</v>
      </c>
      <c r="C293" s="612">
        <v>4111</v>
      </c>
    </row>
    <row r="294" spans="1:3" s="594" customFormat="1" ht="11.25" customHeight="1">
      <c r="A294" s="632" t="s">
        <v>37368</v>
      </c>
      <c r="B294" s="632" t="s">
        <v>36802</v>
      </c>
      <c r="C294" s="612">
        <v>2717</v>
      </c>
    </row>
    <row r="295" spans="1:3" s="594" customFormat="1" ht="11.25" customHeight="1">
      <c r="A295" s="632" t="s">
        <v>37367</v>
      </c>
      <c r="B295" s="632" t="s">
        <v>36800</v>
      </c>
      <c r="C295" s="612">
        <v>3117</v>
      </c>
    </row>
    <row r="296" spans="1:3" s="594" customFormat="1" ht="11.25" customHeight="1">
      <c r="A296" s="632" t="s">
        <v>37366</v>
      </c>
      <c r="B296" s="632" t="s">
        <v>37365</v>
      </c>
      <c r="C296" s="612">
        <v>3808</v>
      </c>
    </row>
    <row r="297" spans="1:3" ht="11.25" customHeight="1">
      <c r="C297" s="607"/>
    </row>
    <row r="298" spans="1:3" ht="11.25" customHeight="1" thickBot="1">
      <c r="A298" s="605" t="s">
        <v>36676</v>
      </c>
      <c r="B298" s="605"/>
      <c r="C298" s="604"/>
    </row>
    <row r="299" spans="1:3" s="594" customFormat="1" ht="11.25" customHeight="1">
      <c r="A299" s="619" t="s">
        <v>37364</v>
      </c>
      <c r="B299" s="613" t="s">
        <v>36784</v>
      </c>
      <c r="C299" s="612">
        <v>1165</v>
      </c>
    </row>
    <row r="300" spans="1:3" s="594" customFormat="1" ht="11.25" customHeight="1">
      <c r="A300" s="616" t="s">
        <v>37363</v>
      </c>
      <c r="B300" s="618" t="s">
        <v>36782</v>
      </c>
      <c r="C300" s="612">
        <v>1139</v>
      </c>
    </row>
    <row r="301" spans="1:3" s="594" customFormat="1" ht="11.25" customHeight="1">
      <c r="A301" s="616" t="s">
        <v>37362</v>
      </c>
      <c r="B301" s="618" t="s">
        <v>37361</v>
      </c>
      <c r="C301" s="612">
        <v>1165</v>
      </c>
    </row>
    <row r="302" spans="1:3" s="594" customFormat="1" ht="11.25" customHeight="1">
      <c r="A302" s="616" t="s">
        <v>37360</v>
      </c>
      <c r="B302" s="618" t="s">
        <v>37359</v>
      </c>
      <c r="C302" s="612">
        <v>1139</v>
      </c>
    </row>
    <row r="303" spans="1:3" s="594" customFormat="1" ht="11.25" customHeight="1">
      <c r="A303" s="616" t="s">
        <v>37358</v>
      </c>
      <c r="B303" s="618" t="s">
        <v>37357</v>
      </c>
      <c r="C303" s="612">
        <v>1165</v>
      </c>
    </row>
    <row r="304" spans="1:3" s="594" customFormat="1" ht="11.25" customHeight="1">
      <c r="A304" s="616" t="s">
        <v>37356</v>
      </c>
      <c r="B304" s="618" t="s">
        <v>37355</v>
      </c>
      <c r="C304" s="612">
        <v>1139</v>
      </c>
    </row>
    <row r="305" spans="1:3" s="594" customFormat="1" ht="11.25" customHeight="1">
      <c r="A305" s="616" t="s">
        <v>37354</v>
      </c>
      <c r="B305" s="618" t="s">
        <v>36560</v>
      </c>
      <c r="C305" s="612">
        <v>1232</v>
      </c>
    </row>
    <row r="306" spans="1:3" s="594" customFormat="1" ht="11.25" customHeight="1">
      <c r="A306" s="616" t="s">
        <v>37353</v>
      </c>
      <c r="B306" s="618" t="s">
        <v>36558</v>
      </c>
      <c r="C306" s="612">
        <v>1165</v>
      </c>
    </row>
    <row r="307" spans="1:3" s="594" customFormat="1" ht="11.25" customHeight="1">
      <c r="A307" s="616" t="s">
        <v>37352</v>
      </c>
      <c r="B307" s="618" t="s">
        <v>37351</v>
      </c>
      <c r="C307" s="612">
        <v>1232</v>
      </c>
    </row>
    <row r="308" spans="1:3" ht="11.25" customHeight="1">
      <c r="A308" s="608"/>
      <c r="B308" s="608"/>
      <c r="C308" s="607"/>
    </row>
    <row r="309" spans="1:3" ht="11.25" customHeight="1" thickBot="1">
      <c r="A309" s="645" t="s">
        <v>36773</v>
      </c>
      <c r="B309" s="645"/>
      <c r="C309" s="682"/>
    </row>
    <row r="310" spans="1:3" s="594" customFormat="1" ht="11.25" customHeight="1">
      <c r="A310" s="619" t="s">
        <v>37350</v>
      </c>
      <c r="B310" s="619" t="s">
        <v>36572</v>
      </c>
      <c r="C310" s="612">
        <v>1165</v>
      </c>
    </row>
    <row r="311" spans="1:3" s="594" customFormat="1" ht="11.25" customHeight="1">
      <c r="A311" s="616" t="s">
        <v>37349</v>
      </c>
      <c r="B311" s="616" t="s">
        <v>36570</v>
      </c>
      <c r="C311" s="612">
        <v>1139</v>
      </c>
    </row>
    <row r="312" spans="1:3" s="594" customFormat="1" ht="11.25" customHeight="1">
      <c r="A312" s="616" t="s">
        <v>37348</v>
      </c>
      <c r="B312" s="618" t="s">
        <v>36568</v>
      </c>
      <c r="C312" s="612">
        <v>1165</v>
      </c>
    </row>
    <row r="313" spans="1:3" s="594" customFormat="1" ht="11.25" customHeight="1">
      <c r="A313" s="616" t="s">
        <v>37347</v>
      </c>
      <c r="B313" s="618" t="s">
        <v>36566</v>
      </c>
      <c r="C313" s="612">
        <v>1139</v>
      </c>
    </row>
    <row r="314" spans="1:3" s="594" customFormat="1" ht="11.25" customHeight="1">
      <c r="A314" s="616" t="s">
        <v>37346</v>
      </c>
      <c r="B314" s="618" t="s">
        <v>36564</v>
      </c>
      <c r="C314" s="612">
        <v>1165</v>
      </c>
    </row>
    <row r="315" spans="1:3" s="594" customFormat="1" ht="11.25" customHeight="1">
      <c r="A315" s="616" t="s">
        <v>37345</v>
      </c>
      <c r="B315" s="618" t="s">
        <v>36562</v>
      </c>
      <c r="C315" s="612">
        <v>1139</v>
      </c>
    </row>
    <row r="316" spans="1:3" s="594" customFormat="1" ht="11.25" customHeight="1">
      <c r="A316" s="616" t="s">
        <v>37344</v>
      </c>
      <c r="B316" s="618" t="s">
        <v>36560</v>
      </c>
      <c r="C316" s="612">
        <v>1232</v>
      </c>
    </row>
    <row r="317" spans="1:3" s="594" customFormat="1" ht="11.25" customHeight="1">
      <c r="A317" s="616" t="s">
        <v>37343</v>
      </c>
      <c r="B317" s="618" t="s">
        <v>36558</v>
      </c>
      <c r="C317" s="612">
        <v>1165</v>
      </c>
    </row>
    <row r="318" spans="1:3" s="594" customFormat="1" ht="11.25" customHeight="1">
      <c r="A318" s="616" t="s">
        <v>37342</v>
      </c>
      <c r="B318" s="618" t="s">
        <v>36556</v>
      </c>
      <c r="C318" s="612">
        <v>1232</v>
      </c>
    </row>
    <row r="319" spans="1:3" ht="11.25" customHeight="1">
      <c r="A319" s="608"/>
      <c r="B319" s="608"/>
      <c r="C319" s="607"/>
    </row>
    <row r="320" spans="1:3" ht="11.25" customHeight="1" thickBot="1">
      <c r="A320" s="645" t="s">
        <v>37341</v>
      </c>
      <c r="B320" s="645"/>
      <c r="C320" s="682"/>
    </row>
    <row r="321" spans="1:3" s="594" customFormat="1" ht="11.25" customHeight="1">
      <c r="A321" s="619" t="s">
        <v>37340</v>
      </c>
      <c r="B321" s="613" t="s">
        <v>36572</v>
      </c>
      <c r="C321" s="612">
        <v>1018</v>
      </c>
    </row>
    <row r="322" spans="1:3" s="594" customFormat="1" ht="11.25" customHeight="1">
      <c r="A322" s="616" t="s">
        <v>37339</v>
      </c>
      <c r="B322" s="618" t="s">
        <v>36570</v>
      </c>
      <c r="C322" s="612">
        <v>989</v>
      </c>
    </row>
    <row r="323" spans="1:3" s="594" customFormat="1" ht="11.25" customHeight="1">
      <c r="A323" s="616" t="s">
        <v>37338</v>
      </c>
      <c r="B323" s="618" t="s">
        <v>36568</v>
      </c>
      <c r="C323" s="612">
        <v>1018</v>
      </c>
    </row>
    <row r="324" spans="1:3" s="594" customFormat="1" ht="11.25" customHeight="1">
      <c r="A324" s="616" t="s">
        <v>37337</v>
      </c>
      <c r="B324" s="618" t="s">
        <v>36566</v>
      </c>
      <c r="C324" s="612">
        <v>989</v>
      </c>
    </row>
    <row r="325" spans="1:3" s="594" customFormat="1" ht="11.25" customHeight="1">
      <c r="A325" s="616" t="s">
        <v>37336</v>
      </c>
      <c r="B325" s="618" t="s">
        <v>36564</v>
      </c>
      <c r="C325" s="612">
        <v>1018</v>
      </c>
    </row>
    <row r="326" spans="1:3" s="594" customFormat="1" ht="11.25" customHeight="1">
      <c r="A326" s="616" t="s">
        <v>37335</v>
      </c>
      <c r="B326" s="618" t="s">
        <v>36562</v>
      </c>
      <c r="C326" s="612">
        <v>989</v>
      </c>
    </row>
    <row r="327" spans="1:3" s="594" customFormat="1" ht="11.25" customHeight="1">
      <c r="A327" s="616" t="s">
        <v>37334</v>
      </c>
      <c r="B327" s="618" t="s">
        <v>36560</v>
      </c>
      <c r="C327" s="612">
        <v>1086</v>
      </c>
    </row>
    <row r="328" spans="1:3" s="594" customFormat="1" ht="11.25" customHeight="1">
      <c r="A328" s="616" t="s">
        <v>37333</v>
      </c>
      <c r="B328" s="618" t="s">
        <v>36558</v>
      </c>
      <c r="C328" s="612">
        <v>1018</v>
      </c>
    </row>
    <row r="329" spans="1:3" s="594" customFormat="1" ht="11.25" customHeight="1">
      <c r="A329" s="616" t="s">
        <v>37332</v>
      </c>
      <c r="B329" s="618" t="s">
        <v>36556</v>
      </c>
      <c r="C329" s="612">
        <v>1086</v>
      </c>
    </row>
    <row r="330" spans="1:3" ht="11.25" customHeight="1">
      <c r="A330" s="608"/>
      <c r="B330" s="629"/>
      <c r="C330" s="607"/>
    </row>
    <row r="331" spans="1:3" ht="11.25" customHeight="1" thickBot="1">
      <c r="A331" s="605" t="s">
        <v>37331</v>
      </c>
      <c r="B331" s="605"/>
      <c r="C331" s="604"/>
    </row>
    <row r="332" spans="1:3" s="594" customFormat="1" ht="11.25" customHeight="1">
      <c r="A332" s="619" t="s">
        <v>37330</v>
      </c>
      <c r="B332" s="613" t="s">
        <v>36750</v>
      </c>
      <c r="C332" s="612">
        <v>348</v>
      </c>
    </row>
    <row r="333" spans="1:3" s="594" customFormat="1" ht="11.25" customHeight="1">
      <c r="A333" s="616" t="s">
        <v>37329</v>
      </c>
      <c r="B333" s="618" t="s">
        <v>36748</v>
      </c>
      <c r="C333" s="612">
        <v>348</v>
      </c>
    </row>
    <row r="334" spans="1:3" ht="11.25" customHeight="1">
      <c r="A334" s="608"/>
      <c r="B334" s="608"/>
      <c r="C334" s="607"/>
    </row>
    <row r="335" spans="1:3" s="594" customFormat="1" ht="11.25" customHeight="1" thickBot="1">
      <c r="A335" s="605" t="s">
        <v>36555</v>
      </c>
      <c r="B335" s="605"/>
      <c r="C335" s="743"/>
    </row>
    <row r="336" spans="1:3" s="594" customFormat="1" ht="11.25" customHeight="1">
      <c r="A336" s="619" t="s">
        <v>36554</v>
      </c>
      <c r="B336" s="613" t="s">
        <v>36553</v>
      </c>
      <c r="C336" s="612">
        <v>250</v>
      </c>
    </row>
    <row r="337" spans="1:3" s="594" customFormat="1" ht="11.25" customHeight="1">
      <c r="A337" s="608"/>
      <c r="B337" s="629"/>
      <c r="C337" s="607"/>
    </row>
    <row r="338" spans="1:3" ht="11.25" customHeight="1" thickBot="1">
      <c r="A338" s="645" t="s">
        <v>36976</v>
      </c>
      <c r="B338" s="645"/>
      <c r="C338" s="604"/>
    </row>
    <row r="339" spans="1:3" s="594" customFormat="1" ht="11.25" customHeight="1">
      <c r="A339" s="619" t="s">
        <v>37328</v>
      </c>
      <c r="B339" s="613" t="s">
        <v>36744</v>
      </c>
      <c r="C339" s="612">
        <v>1008</v>
      </c>
    </row>
    <row r="340" spans="1:3" s="594" customFormat="1" ht="11.25" customHeight="1">
      <c r="A340" s="616" t="s">
        <v>37327</v>
      </c>
      <c r="B340" s="618" t="s">
        <v>36660</v>
      </c>
      <c r="C340" s="612">
        <v>326</v>
      </c>
    </row>
    <row r="341" spans="1:3" s="594" customFormat="1" ht="11.25" customHeight="1">
      <c r="A341" s="616" t="s">
        <v>37326</v>
      </c>
      <c r="B341" s="618" t="s">
        <v>36737</v>
      </c>
      <c r="C341" s="612">
        <v>709</v>
      </c>
    </row>
    <row r="342" spans="1:3" s="594" customFormat="1" ht="11.25" customHeight="1">
      <c r="A342" s="616" t="s">
        <v>37325</v>
      </c>
      <c r="B342" s="618" t="s">
        <v>36740</v>
      </c>
      <c r="C342" s="612">
        <v>288</v>
      </c>
    </row>
    <row r="343" spans="1:3" ht="18" customHeight="1">
      <c r="A343" s="611" t="s">
        <v>37324</v>
      </c>
      <c r="B343" s="611"/>
      <c r="C343" s="736"/>
    </row>
    <row r="344" spans="1:3" s="594" customFormat="1" ht="11.25" customHeight="1">
      <c r="A344" s="608"/>
      <c r="B344" s="608"/>
      <c r="C344" s="607"/>
    </row>
    <row r="345" spans="1:3" s="594" customFormat="1" ht="11.25" customHeight="1" thickBot="1">
      <c r="A345" s="605" t="s">
        <v>36733</v>
      </c>
      <c r="B345" s="605"/>
      <c r="C345" s="606"/>
    </row>
    <row r="346" spans="1:3" s="594" customFormat="1" ht="11.25" customHeight="1">
      <c r="A346" s="633" t="s">
        <v>37323</v>
      </c>
      <c r="B346" s="636" t="s">
        <v>37322</v>
      </c>
      <c r="C346" s="612">
        <v>330</v>
      </c>
    </row>
    <row r="347" spans="1:3" s="594" customFormat="1" ht="11.25" customHeight="1">
      <c r="A347" s="632" t="s">
        <v>37321</v>
      </c>
      <c r="B347" s="635" t="s">
        <v>36729</v>
      </c>
      <c r="C347" s="612">
        <v>330</v>
      </c>
    </row>
    <row r="348" spans="1:3" s="594" customFormat="1" ht="11.25" customHeight="1">
      <c r="A348" s="632" t="s">
        <v>37320</v>
      </c>
      <c r="B348" s="632" t="s">
        <v>37319</v>
      </c>
      <c r="C348" s="612">
        <v>330</v>
      </c>
    </row>
    <row r="349" spans="1:3" s="594" customFormat="1" ht="11.25" customHeight="1">
      <c r="A349" s="632" t="s">
        <v>37318</v>
      </c>
      <c r="B349" s="632" t="s">
        <v>37317</v>
      </c>
      <c r="C349" s="612">
        <v>330</v>
      </c>
    </row>
    <row r="350" spans="1:3" s="594" customFormat="1" ht="11.25" customHeight="1">
      <c r="A350" s="632" t="s">
        <v>37316</v>
      </c>
      <c r="B350" s="635" t="s">
        <v>37315</v>
      </c>
      <c r="C350" s="612">
        <v>193</v>
      </c>
    </row>
    <row r="351" spans="1:3" s="594" customFormat="1" ht="11.25" customHeight="1">
      <c r="A351" s="592"/>
      <c r="B351" s="592"/>
      <c r="C351" s="607"/>
    </row>
    <row r="352" spans="1:3" s="594" customFormat="1" ht="11.25" customHeight="1" thickBot="1">
      <c r="A352" s="605" t="s">
        <v>36650</v>
      </c>
      <c r="B352" s="605"/>
      <c r="C352" s="604"/>
    </row>
    <row r="353" spans="1:3" s="594" customFormat="1" ht="11.25" customHeight="1">
      <c r="A353" s="633" t="s">
        <v>37314</v>
      </c>
      <c r="B353" s="636" t="s">
        <v>36648</v>
      </c>
      <c r="C353" s="612">
        <v>2539</v>
      </c>
    </row>
    <row r="354" spans="1:3" s="594" customFormat="1" ht="11.25" customHeight="1">
      <c r="A354" s="632" t="s">
        <v>37313</v>
      </c>
      <c r="B354" s="635" t="s">
        <v>36646</v>
      </c>
      <c r="C354" s="612">
        <v>2539</v>
      </c>
    </row>
    <row r="355" spans="1:3" ht="11.25" customHeight="1">
      <c r="B355" s="742"/>
      <c r="C355" s="607"/>
    </row>
    <row r="356" spans="1:3" s="594" customFormat="1" ht="11.25" customHeight="1" thickBot="1">
      <c r="A356" s="605" t="s">
        <v>37312</v>
      </c>
      <c r="B356" s="605"/>
      <c r="C356" s="604"/>
    </row>
    <row r="357" spans="1:3" s="594" customFormat="1" ht="11.25" customHeight="1">
      <c r="A357" s="633" t="s">
        <v>37311</v>
      </c>
      <c r="B357" s="633" t="s">
        <v>36721</v>
      </c>
      <c r="C357" s="612">
        <v>528</v>
      </c>
    </row>
    <row r="358" spans="1:3" s="594" customFormat="1" ht="11.25" customHeight="1">
      <c r="A358" s="632" t="s">
        <v>37310</v>
      </c>
      <c r="B358" s="632" t="s">
        <v>36543</v>
      </c>
      <c r="C358" s="612">
        <v>1193</v>
      </c>
    </row>
    <row r="359" spans="1:3" s="594" customFormat="1" ht="11.25" customHeight="1">
      <c r="A359" s="632" t="s">
        <v>37309</v>
      </c>
      <c r="B359" s="632" t="s">
        <v>36640</v>
      </c>
      <c r="C359" s="612">
        <v>1193</v>
      </c>
    </row>
    <row r="360" spans="1:3" s="594" customFormat="1" ht="11.25" customHeight="1">
      <c r="A360" s="632" t="s">
        <v>37308</v>
      </c>
      <c r="B360" s="632" t="s">
        <v>36716</v>
      </c>
      <c r="C360" s="612">
        <v>1193</v>
      </c>
    </row>
    <row r="361" spans="1:3" s="594" customFormat="1" ht="11.25" customHeight="1">
      <c r="A361" s="592"/>
      <c r="B361" s="592"/>
      <c r="C361" s="607"/>
    </row>
    <row r="362" spans="1:3" s="594" customFormat="1" ht="11.25" customHeight="1" thickBot="1">
      <c r="A362" s="605" t="s">
        <v>13295</v>
      </c>
      <c r="B362" s="605"/>
      <c r="C362" s="604"/>
    </row>
    <row r="363" spans="1:3" s="594" customFormat="1" ht="11.25" customHeight="1">
      <c r="A363" s="633" t="s">
        <v>37307</v>
      </c>
      <c r="B363" s="636" t="s">
        <v>37306</v>
      </c>
      <c r="C363" s="612">
        <v>228</v>
      </c>
    </row>
    <row r="364" spans="1:3" s="594" customFormat="1" ht="11.25" customHeight="1">
      <c r="A364" s="592"/>
      <c r="B364" s="592"/>
      <c r="C364" s="607"/>
    </row>
    <row r="365" spans="1:3" s="594" customFormat="1" ht="11.25" customHeight="1" thickBot="1">
      <c r="A365" s="605" t="s">
        <v>36708</v>
      </c>
      <c r="B365" s="605"/>
      <c r="C365" s="604"/>
    </row>
    <row r="366" spans="1:3" s="594" customFormat="1" ht="11.25" customHeight="1">
      <c r="A366" s="633" t="s">
        <v>37305</v>
      </c>
      <c r="B366" s="636" t="s">
        <v>37304</v>
      </c>
      <c r="C366" s="627">
        <v>410</v>
      </c>
    </row>
    <row r="367" spans="1:3" s="648" customFormat="1" ht="11.25" customHeight="1">
      <c r="A367" s="592"/>
      <c r="B367" s="592"/>
      <c r="C367" s="607"/>
    </row>
    <row r="368" spans="1:3" s="594" customFormat="1" ht="11.25" customHeight="1" thickBot="1">
      <c r="A368" s="605" t="s">
        <v>37303</v>
      </c>
      <c r="B368" s="605"/>
      <c r="C368" s="604"/>
    </row>
    <row r="369" spans="1:3" s="594" customFormat="1" ht="11.25" customHeight="1">
      <c r="A369" s="632" t="s">
        <v>36529</v>
      </c>
      <c r="B369" s="632" t="s">
        <v>36528</v>
      </c>
      <c r="C369" s="612">
        <v>558</v>
      </c>
    </row>
    <row r="370" spans="1:3" s="594" customFormat="1" ht="11.25" customHeight="1">
      <c r="A370" s="632" t="s">
        <v>36527</v>
      </c>
      <c r="B370" s="632" t="s">
        <v>36526</v>
      </c>
      <c r="C370" s="612">
        <v>558</v>
      </c>
    </row>
    <row r="371" spans="1:3" s="594" customFormat="1" ht="11.25" customHeight="1">
      <c r="A371" s="632" t="s">
        <v>36525</v>
      </c>
      <c r="B371" s="632" t="s">
        <v>36524</v>
      </c>
      <c r="C371" s="612">
        <v>558</v>
      </c>
    </row>
    <row r="372" spans="1:3" s="594" customFormat="1" ht="11.25" customHeight="1">
      <c r="A372" s="632" t="s">
        <v>36523</v>
      </c>
      <c r="B372" s="632" t="s">
        <v>36522</v>
      </c>
      <c r="C372" s="612">
        <v>707</v>
      </c>
    </row>
    <row r="373" spans="1:3" s="594" customFormat="1" ht="11.25" customHeight="1">
      <c r="A373" s="632" t="s">
        <v>36521</v>
      </c>
      <c r="B373" s="632" t="s">
        <v>36520</v>
      </c>
      <c r="C373" s="612">
        <v>707</v>
      </c>
    </row>
    <row r="374" spans="1:3" s="594" customFormat="1" ht="11.25" customHeight="1">
      <c r="A374" s="632" t="s">
        <v>36519</v>
      </c>
      <c r="B374" s="632" t="s">
        <v>36518</v>
      </c>
      <c r="C374" s="612">
        <v>707</v>
      </c>
    </row>
    <row r="375" spans="1:3" s="594" customFormat="1" ht="11.25" customHeight="1">
      <c r="C375" s="607"/>
    </row>
    <row r="376" spans="1:3" s="594" customFormat="1" ht="11.25" customHeight="1" thickBot="1">
      <c r="A376" s="605" t="s">
        <v>37302</v>
      </c>
      <c r="B376" s="605"/>
      <c r="C376" s="604"/>
    </row>
    <row r="377" spans="1:3" s="594" customFormat="1" ht="11.25" customHeight="1">
      <c r="A377" s="632" t="s">
        <v>37301</v>
      </c>
      <c r="B377" s="635" t="s">
        <v>36515</v>
      </c>
      <c r="C377" s="612">
        <v>632</v>
      </c>
    </row>
    <row r="378" spans="1:3" s="594" customFormat="1" ht="11.25" customHeight="1">
      <c r="A378" s="632" t="s">
        <v>37300</v>
      </c>
      <c r="B378" s="635" t="s">
        <v>36513</v>
      </c>
      <c r="C378" s="612">
        <v>632</v>
      </c>
    </row>
    <row r="379" spans="1:3" s="648" customFormat="1" ht="11.25" customHeight="1">
      <c r="A379" s="632" t="s">
        <v>37299</v>
      </c>
      <c r="B379" s="635" t="s">
        <v>36511</v>
      </c>
      <c r="C379" s="649">
        <v>632</v>
      </c>
    </row>
    <row r="380" spans="1:3" s="594" customFormat="1" ht="11.25" customHeight="1">
      <c r="A380" s="632" t="s">
        <v>37298</v>
      </c>
      <c r="B380" s="635" t="s">
        <v>36509</v>
      </c>
      <c r="C380" s="612">
        <v>741</v>
      </c>
    </row>
    <row r="381" spans="1:3" s="594" customFormat="1" ht="11.25" customHeight="1">
      <c r="A381" s="632" t="s">
        <v>37297</v>
      </c>
      <c r="B381" s="635" t="s">
        <v>36507</v>
      </c>
      <c r="C381" s="612">
        <v>741</v>
      </c>
    </row>
    <row r="382" spans="1:3" s="594" customFormat="1" ht="11.25" customHeight="1">
      <c r="A382" s="632" t="s">
        <v>37296</v>
      </c>
      <c r="B382" s="635" t="s">
        <v>36505</v>
      </c>
      <c r="C382" s="612">
        <v>741</v>
      </c>
    </row>
    <row r="383" spans="1:3" ht="18" customHeight="1">
      <c r="A383" s="611" t="s">
        <v>37252</v>
      </c>
      <c r="B383" s="611"/>
      <c r="C383" s="736"/>
    </row>
    <row r="384" spans="1:3" s="594" customFormat="1" ht="11.25" customHeight="1">
      <c r="A384" s="640"/>
      <c r="B384" s="640"/>
      <c r="C384" s="639"/>
    </row>
    <row r="385" spans="1:3" s="594" customFormat="1" ht="11.25" customHeight="1" thickBot="1">
      <c r="A385" s="605" t="s">
        <v>36578</v>
      </c>
      <c r="B385" s="605"/>
      <c r="C385" s="606"/>
    </row>
    <row r="386" spans="1:3" s="594" customFormat="1" ht="11.25" customHeight="1">
      <c r="A386" s="644" t="s">
        <v>37250</v>
      </c>
      <c r="B386" s="676"/>
      <c r="C386" s="675"/>
    </row>
    <row r="387" spans="1:3" s="594" customFormat="1" ht="11.25" customHeight="1">
      <c r="A387" s="632" t="s">
        <v>37249</v>
      </c>
      <c r="B387" s="632" t="s">
        <v>37248</v>
      </c>
      <c r="C387" s="612">
        <v>2096</v>
      </c>
    </row>
    <row r="388" spans="1:3" s="594" customFormat="1" ht="11.25" customHeight="1">
      <c r="A388" s="632" t="s">
        <v>37295</v>
      </c>
      <c r="B388" s="632" t="s">
        <v>37294</v>
      </c>
      <c r="C388" s="612">
        <v>2350</v>
      </c>
    </row>
    <row r="389" spans="1:3" s="594" customFormat="1" ht="11.25" customHeight="1">
      <c r="A389" s="646"/>
      <c r="B389" s="646"/>
      <c r="C389" s="639"/>
    </row>
    <row r="390" spans="1:3" s="594" customFormat="1" ht="11.25" customHeight="1" thickBot="1">
      <c r="A390" s="605" t="s">
        <v>37247</v>
      </c>
      <c r="B390" s="605"/>
      <c r="C390" s="604"/>
    </row>
    <row r="391" spans="1:3" s="594" customFormat="1" ht="11.25" customHeight="1">
      <c r="A391" s="633" t="s">
        <v>37246</v>
      </c>
      <c r="B391" s="636" t="s">
        <v>36572</v>
      </c>
      <c r="C391" s="612">
        <v>1165</v>
      </c>
    </row>
    <row r="392" spans="1:3" s="594" customFormat="1" ht="11.25" customHeight="1">
      <c r="A392" s="632" t="s">
        <v>37245</v>
      </c>
      <c r="B392" s="635" t="s">
        <v>36570</v>
      </c>
      <c r="C392" s="612">
        <v>1139</v>
      </c>
    </row>
    <row r="393" spans="1:3" s="594" customFormat="1" ht="11.25" customHeight="1">
      <c r="A393" s="632" t="s">
        <v>37244</v>
      </c>
      <c r="B393" s="635" t="s">
        <v>36568</v>
      </c>
      <c r="C393" s="612">
        <v>1165</v>
      </c>
    </row>
    <row r="394" spans="1:3" s="594" customFormat="1" ht="11.25" customHeight="1">
      <c r="A394" s="632" t="s">
        <v>37243</v>
      </c>
      <c r="B394" s="635" t="s">
        <v>36566</v>
      </c>
      <c r="C394" s="612">
        <v>1139</v>
      </c>
    </row>
    <row r="395" spans="1:3" s="594" customFormat="1" ht="11.25" customHeight="1">
      <c r="A395" s="632" t="s">
        <v>37242</v>
      </c>
      <c r="B395" s="635" t="s">
        <v>36564</v>
      </c>
      <c r="C395" s="612">
        <v>1165</v>
      </c>
    </row>
    <row r="396" spans="1:3" s="594" customFormat="1" ht="11.25" customHeight="1">
      <c r="A396" s="632" t="s">
        <v>37241</v>
      </c>
      <c r="B396" s="635" t="s">
        <v>36562</v>
      </c>
      <c r="C396" s="612">
        <v>1139</v>
      </c>
    </row>
    <row r="397" spans="1:3" s="594" customFormat="1" ht="11.25" customHeight="1">
      <c r="A397" s="632" t="s">
        <v>37240</v>
      </c>
      <c r="B397" s="635" t="s">
        <v>36560</v>
      </c>
      <c r="C397" s="612">
        <v>1232</v>
      </c>
    </row>
    <row r="398" spans="1:3" ht="11.25" customHeight="1">
      <c r="A398" s="632" t="s">
        <v>37239</v>
      </c>
      <c r="B398" s="635" t="s">
        <v>36558</v>
      </c>
      <c r="C398" s="612">
        <v>1165</v>
      </c>
    </row>
    <row r="399" spans="1:3" ht="11.25" customHeight="1">
      <c r="A399" s="632" t="s">
        <v>37238</v>
      </c>
      <c r="B399" s="635" t="s">
        <v>36556</v>
      </c>
      <c r="C399" s="612">
        <v>1232</v>
      </c>
    </row>
    <row r="400" spans="1:3" s="594" customFormat="1" ht="11.25" customHeight="1">
      <c r="A400" s="592"/>
      <c r="B400" s="592"/>
      <c r="C400" s="607"/>
    </row>
    <row r="401" spans="1:3" s="594" customFormat="1" ht="11.25" customHeight="1" thickBot="1">
      <c r="A401" s="663" t="s">
        <v>36555</v>
      </c>
      <c r="B401" s="674"/>
      <c r="C401" s="661"/>
    </row>
    <row r="402" spans="1:3" s="648" customFormat="1" ht="11.25" customHeight="1">
      <c r="A402" s="633" t="s">
        <v>36554</v>
      </c>
      <c r="B402" s="636" t="s">
        <v>36553</v>
      </c>
      <c r="C402" s="649">
        <v>250</v>
      </c>
    </row>
    <row r="403" spans="1:3" s="594" customFormat="1" ht="11.25" customHeight="1">
      <c r="A403" s="646"/>
      <c r="B403" s="646"/>
      <c r="C403" s="639"/>
    </row>
    <row r="404" spans="1:3" s="594" customFormat="1" ht="11.25" customHeight="1" thickBot="1">
      <c r="A404" s="605" t="s">
        <v>36733</v>
      </c>
      <c r="B404" s="605"/>
      <c r="C404" s="604"/>
    </row>
    <row r="405" spans="1:3" s="741" customFormat="1" ht="11.25" customHeight="1">
      <c r="A405" s="740" t="s">
        <v>37293</v>
      </c>
      <c r="B405" s="739" t="s">
        <v>37292</v>
      </c>
      <c r="C405" s="738">
        <v>340</v>
      </c>
    </row>
    <row r="406" spans="1:3" s="594" customFormat="1" ht="11.25" customHeight="1">
      <c r="A406" s="740" t="s">
        <v>37291</v>
      </c>
      <c r="B406" s="739" t="s">
        <v>37290</v>
      </c>
      <c r="C406" s="738">
        <v>340</v>
      </c>
    </row>
    <row r="407" spans="1:3" s="594" customFormat="1" ht="11.25" customHeight="1">
      <c r="A407" s="632" t="s">
        <v>37289</v>
      </c>
      <c r="B407" s="635" t="s">
        <v>37288</v>
      </c>
      <c r="C407" s="612">
        <v>193</v>
      </c>
    </row>
    <row r="408" spans="1:3" s="737" customFormat="1" ht="11.25" customHeight="1">
      <c r="A408" s="740" t="s">
        <v>37287</v>
      </c>
      <c r="B408" s="739" t="s">
        <v>37286</v>
      </c>
      <c r="C408" s="738">
        <v>330</v>
      </c>
    </row>
    <row r="409" spans="1:3" s="737" customFormat="1" ht="11.25" customHeight="1">
      <c r="A409" s="740" t="s">
        <v>37285</v>
      </c>
      <c r="B409" s="739" t="s">
        <v>37284</v>
      </c>
      <c r="C409" s="738">
        <v>193</v>
      </c>
    </row>
    <row r="410" spans="1:3" s="594" customFormat="1" ht="11.25" customHeight="1">
      <c r="A410" s="646"/>
      <c r="B410" s="646"/>
      <c r="C410" s="639"/>
    </row>
    <row r="411" spans="1:3" s="594" customFormat="1" ht="11.25" customHeight="1" thickBot="1">
      <c r="A411" s="605" t="s">
        <v>37283</v>
      </c>
      <c r="B411" s="605"/>
      <c r="C411" s="604"/>
    </row>
    <row r="412" spans="1:3" s="594" customFormat="1" ht="11.25" customHeight="1">
      <c r="A412" s="633" t="s">
        <v>37282</v>
      </c>
      <c r="B412" s="633" t="s">
        <v>36924</v>
      </c>
      <c r="C412" s="612">
        <v>398</v>
      </c>
    </row>
    <row r="413" spans="1:3" s="594" customFormat="1" ht="11.25" customHeight="1">
      <c r="A413" s="592"/>
      <c r="B413" s="592"/>
      <c r="C413" s="607"/>
    </row>
    <row r="414" spans="1:3" s="594" customFormat="1" ht="11.25" customHeight="1" thickBot="1">
      <c r="A414" s="605" t="s">
        <v>37233</v>
      </c>
      <c r="B414" s="605"/>
      <c r="C414" s="604"/>
    </row>
    <row r="415" spans="1:3" s="594" customFormat="1" ht="11.25" customHeight="1">
      <c r="A415" s="633" t="s">
        <v>37281</v>
      </c>
      <c r="B415" s="633" t="s">
        <v>36721</v>
      </c>
      <c r="C415" s="612">
        <v>566</v>
      </c>
    </row>
    <row r="416" spans="1:3" s="594" customFormat="1" ht="11.25" customHeight="1">
      <c r="A416" s="632" t="s">
        <v>37280</v>
      </c>
      <c r="B416" s="632" t="s">
        <v>36719</v>
      </c>
      <c r="C416" s="612">
        <v>1267</v>
      </c>
    </row>
    <row r="417" spans="1:3" s="594" customFormat="1" ht="11.25" customHeight="1">
      <c r="A417" s="632" t="s">
        <v>37279</v>
      </c>
      <c r="B417" s="632" t="s">
        <v>37229</v>
      </c>
      <c r="C417" s="612">
        <v>1267</v>
      </c>
    </row>
    <row r="418" spans="1:3" s="594" customFormat="1" ht="11.25" customHeight="1">
      <c r="A418" s="632" t="s">
        <v>37278</v>
      </c>
      <c r="B418" s="632" t="s">
        <v>36539</v>
      </c>
      <c r="C418" s="612">
        <v>1267</v>
      </c>
    </row>
    <row r="419" spans="1:3" s="594" customFormat="1" ht="11.25" customHeight="1">
      <c r="A419" s="632" t="s">
        <v>37277</v>
      </c>
      <c r="B419" s="632" t="s">
        <v>36537</v>
      </c>
      <c r="C419" s="612">
        <v>1749</v>
      </c>
    </row>
    <row r="420" spans="1:3" s="594" customFormat="1" ht="11.25" customHeight="1">
      <c r="A420" s="632" t="s">
        <v>37276</v>
      </c>
      <c r="B420" s="632" t="s">
        <v>36848</v>
      </c>
      <c r="C420" s="612">
        <v>1749</v>
      </c>
    </row>
    <row r="421" spans="1:3" s="594" customFormat="1" ht="11.25" customHeight="1">
      <c r="A421" s="632" t="s">
        <v>37275</v>
      </c>
      <c r="B421" s="632" t="s">
        <v>36533</v>
      </c>
      <c r="C421" s="612">
        <v>1749</v>
      </c>
    </row>
    <row r="422" spans="1:3" s="594" customFormat="1" ht="11.25" customHeight="1">
      <c r="C422" s="607"/>
    </row>
    <row r="423" spans="1:3" s="719" customFormat="1" ht="11.15" customHeight="1" thickBot="1">
      <c r="A423" s="1088" t="s">
        <v>37237</v>
      </c>
      <c r="B423" s="1088"/>
      <c r="C423" s="1089">
        <v>0</v>
      </c>
    </row>
    <row r="424" spans="1:3" s="719" customFormat="1" ht="11.15" customHeight="1">
      <c r="A424" s="637" t="s">
        <v>37236</v>
      </c>
      <c r="B424" s="637" t="s">
        <v>37235</v>
      </c>
      <c r="C424" s="649">
        <v>773</v>
      </c>
    </row>
    <row r="425" spans="1:3" s="719" customFormat="1" ht="11.15" customHeight="1">
      <c r="A425" s="637" t="s">
        <v>37234</v>
      </c>
      <c r="B425" s="637" t="s">
        <v>36603</v>
      </c>
      <c r="C425" s="650">
        <v>170</v>
      </c>
    </row>
    <row r="426" spans="1:3" s="719" customFormat="1" ht="11.15" customHeight="1">
      <c r="A426" s="648"/>
      <c r="B426" s="648"/>
      <c r="C426" s="733"/>
    </row>
    <row r="427" spans="1:3" s="734" customFormat="1" ht="11.15" customHeight="1" thickBot="1">
      <c r="A427" s="1088" t="s">
        <v>37274</v>
      </c>
      <c r="B427" s="1088"/>
      <c r="C427" s="1089">
        <v>0</v>
      </c>
    </row>
    <row r="428" spans="1:3" s="734" customFormat="1" ht="11.15" customHeight="1">
      <c r="A428" s="637" t="s">
        <v>37273</v>
      </c>
      <c r="B428" s="637" t="s">
        <v>37272</v>
      </c>
      <c r="C428" s="649">
        <v>1350</v>
      </c>
    </row>
    <row r="429" spans="1:3" s="719" customFormat="1" ht="11.15" customHeight="1">
      <c r="A429" s="648"/>
      <c r="B429" s="648"/>
      <c r="C429" s="647"/>
    </row>
    <row r="430" spans="1:3" s="734" customFormat="1" ht="11.15" customHeight="1" thickBot="1">
      <c r="A430" s="1088" t="s">
        <v>37271</v>
      </c>
      <c r="B430" s="1088"/>
      <c r="C430" s="1089">
        <v>0</v>
      </c>
    </row>
    <row r="431" spans="1:3" s="734" customFormat="1" ht="11.15" customHeight="1">
      <c r="A431" s="637" t="s">
        <v>37270</v>
      </c>
      <c r="B431" s="637" t="s">
        <v>37269</v>
      </c>
      <c r="C431" s="649">
        <v>1075</v>
      </c>
    </row>
    <row r="432" spans="1:3" s="734" customFormat="1" ht="11.15" customHeight="1">
      <c r="A432" s="637" t="s">
        <v>37268</v>
      </c>
      <c r="B432" s="637" t="s">
        <v>37267</v>
      </c>
      <c r="C432" s="650" t="s">
        <v>4128</v>
      </c>
    </row>
    <row r="433" spans="1:3" s="734" customFormat="1" ht="11.15" customHeight="1">
      <c r="A433" s="637" t="s">
        <v>37266</v>
      </c>
      <c r="B433" s="637" t="s">
        <v>37265</v>
      </c>
      <c r="C433" s="650" t="s">
        <v>4128</v>
      </c>
    </row>
    <row r="434" spans="1:3" s="734" customFormat="1" ht="11.15" customHeight="1">
      <c r="A434" s="637" t="s">
        <v>37264</v>
      </c>
      <c r="B434" s="637" t="s">
        <v>37263</v>
      </c>
      <c r="C434" s="650" t="s">
        <v>4128</v>
      </c>
    </row>
    <row r="435" spans="1:3" s="734" customFormat="1" ht="11.15" customHeight="1">
      <c r="A435" s="637" t="s">
        <v>37262</v>
      </c>
      <c r="B435" s="637" t="s">
        <v>37261</v>
      </c>
      <c r="C435" s="650" t="s">
        <v>4128</v>
      </c>
    </row>
    <row r="436" spans="1:3" s="734" customFormat="1" ht="11.15" customHeight="1">
      <c r="A436" s="637" t="s">
        <v>37260</v>
      </c>
      <c r="B436" s="637" t="s">
        <v>37259</v>
      </c>
      <c r="C436" s="649">
        <v>60</v>
      </c>
    </row>
    <row r="437" spans="1:3" s="734" customFormat="1" ht="11.15" customHeight="1">
      <c r="A437" s="637" t="s">
        <v>37258</v>
      </c>
      <c r="B437" s="637" t="s">
        <v>37257</v>
      </c>
      <c r="C437" s="650" t="s">
        <v>4128</v>
      </c>
    </row>
    <row r="438" spans="1:3" s="734" customFormat="1" ht="11.15" customHeight="1">
      <c r="A438" s="637" t="s">
        <v>37256</v>
      </c>
      <c r="B438" s="637" t="s">
        <v>37255</v>
      </c>
      <c r="C438" s="649">
        <v>519</v>
      </c>
    </row>
    <row r="439" spans="1:3" s="734" customFormat="1" ht="11.15" customHeight="1">
      <c r="A439" s="637" t="s">
        <v>37254</v>
      </c>
      <c r="B439" s="637" t="s">
        <v>37253</v>
      </c>
      <c r="C439" s="649">
        <v>345</v>
      </c>
    </row>
    <row r="440" spans="1:3" s="719" customFormat="1" ht="11.15" customHeight="1">
      <c r="A440" s="648"/>
      <c r="B440" s="648"/>
      <c r="C440" s="733"/>
    </row>
    <row r="441" spans="1:3" ht="18" customHeight="1">
      <c r="A441" s="611" t="s">
        <v>37252</v>
      </c>
      <c r="B441" s="611"/>
      <c r="C441" s="736"/>
    </row>
    <row r="442" spans="1:3" ht="11.15" customHeight="1">
      <c r="A442" s="611"/>
      <c r="B442" s="611"/>
      <c r="C442" s="736"/>
    </row>
    <row r="443" spans="1:3" s="594" customFormat="1" ht="11.25" customHeight="1" thickBot="1">
      <c r="A443" s="605" t="s">
        <v>37224</v>
      </c>
      <c r="B443" s="605"/>
      <c r="C443" s="604"/>
    </row>
    <row r="444" spans="1:3" s="594" customFormat="1" ht="11.25" customHeight="1">
      <c r="A444" s="637" t="s">
        <v>36529</v>
      </c>
      <c r="B444" s="632" t="s">
        <v>36528</v>
      </c>
      <c r="C444" s="612">
        <v>558</v>
      </c>
    </row>
    <row r="445" spans="1:3" s="594" customFormat="1" ht="11.25" customHeight="1">
      <c r="A445" s="637" t="s">
        <v>36527</v>
      </c>
      <c r="B445" s="632" t="s">
        <v>36526</v>
      </c>
      <c r="C445" s="612">
        <v>558</v>
      </c>
    </row>
    <row r="446" spans="1:3" s="594" customFormat="1" ht="11.25" customHeight="1">
      <c r="A446" s="637" t="s">
        <v>36525</v>
      </c>
      <c r="B446" s="632" t="s">
        <v>36524</v>
      </c>
      <c r="C446" s="612">
        <v>558</v>
      </c>
    </row>
    <row r="447" spans="1:3" s="594" customFormat="1" ht="11.25" customHeight="1">
      <c r="A447" s="637" t="s">
        <v>36523</v>
      </c>
      <c r="B447" s="632" t="s">
        <v>36522</v>
      </c>
      <c r="C447" s="612">
        <v>707</v>
      </c>
    </row>
    <row r="448" spans="1:3" s="594" customFormat="1" ht="11.25" customHeight="1">
      <c r="A448" s="637" t="s">
        <v>36521</v>
      </c>
      <c r="B448" s="632" t="s">
        <v>36520</v>
      </c>
      <c r="C448" s="612">
        <v>707</v>
      </c>
    </row>
    <row r="449" spans="1:3" s="594" customFormat="1" ht="11.25" customHeight="1">
      <c r="A449" s="637" t="s">
        <v>36519</v>
      </c>
      <c r="B449" s="632" t="s">
        <v>36518</v>
      </c>
      <c r="C449" s="612">
        <v>707</v>
      </c>
    </row>
    <row r="450" spans="1:3" s="594" customFormat="1" ht="11.25" customHeight="1">
      <c r="C450" s="607"/>
    </row>
    <row r="451" spans="1:3" s="594" customFormat="1" ht="11.25" customHeight="1" thickBot="1">
      <c r="A451" s="605" t="s">
        <v>37223</v>
      </c>
      <c r="B451" s="605"/>
      <c r="C451" s="604"/>
    </row>
    <row r="452" spans="1:3" s="594" customFormat="1" ht="11.25" customHeight="1">
      <c r="A452" s="632" t="s">
        <v>37222</v>
      </c>
      <c r="B452" s="635" t="s">
        <v>36515</v>
      </c>
      <c r="C452" s="612">
        <v>632</v>
      </c>
    </row>
    <row r="453" spans="1:3" s="594" customFormat="1" ht="11.25" customHeight="1">
      <c r="A453" s="632" t="s">
        <v>37221</v>
      </c>
      <c r="B453" s="635" t="s">
        <v>36513</v>
      </c>
      <c r="C453" s="612">
        <v>632</v>
      </c>
    </row>
    <row r="454" spans="1:3" s="594" customFormat="1" ht="11.25" customHeight="1">
      <c r="A454" s="632" t="s">
        <v>37220</v>
      </c>
      <c r="B454" s="635" t="s">
        <v>36511</v>
      </c>
      <c r="C454" s="612">
        <v>632</v>
      </c>
    </row>
    <row r="455" spans="1:3" s="594" customFormat="1" ht="11.25" customHeight="1">
      <c r="A455" s="632" t="s">
        <v>37219</v>
      </c>
      <c r="B455" s="635" t="s">
        <v>36509</v>
      </c>
      <c r="C455" s="612">
        <v>741</v>
      </c>
    </row>
    <row r="456" spans="1:3" s="594" customFormat="1" ht="11.25" customHeight="1">
      <c r="A456" s="632" t="s">
        <v>37218</v>
      </c>
      <c r="B456" s="635" t="s">
        <v>36507</v>
      </c>
      <c r="C456" s="612">
        <v>741</v>
      </c>
    </row>
    <row r="457" spans="1:3" s="594" customFormat="1" ht="11.25" customHeight="1">
      <c r="A457" s="632" t="s">
        <v>37217</v>
      </c>
      <c r="B457" s="635" t="s">
        <v>36505</v>
      </c>
      <c r="C457" s="612">
        <v>741</v>
      </c>
    </row>
    <row r="458" spans="1:3" s="594" customFormat="1" ht="11.25" customHeight="1">
      <c r="C458" s="607"/>
    </row>
    <row r="459" spans="1:3" s="594" customFormat="1" ht="11.25" customHeight="1" thickBot="1">
      <c r="A459" s="605" t="s">
        <v>36592</v>
      </c>
      <c r="B459" s="605"/>
      <c r="C459" s="604"/>
    </row>
    <row r="460" spans="1:3" s="594" customFormat="1" ht="11.25" customHeight="1">
      <c r="A460" s="632" t="s">
        <v>37216</v>
      </c>
      <c r="B460" s="632" t="s">
        <v>36502</v>
      </c>
      <c r="C460" s="612">
        <v>558</v>
      </c>
    </row>
    <row r="461" spans="1:3" s="594" customFormat="1" ht="11.25" customHeight="1">
      <c r="A461" s="632" t="s">
        <v>37215</v>
      </c>
      <c r="B461" s="632" t="s">
        <v>36500</v>
      </c>
      <c r="C461" s="612">
        <v>558</v>
      </c>
    </row>
    <row r="462" spans="1:3" s="594" customFormat="1" ht="11.25" customHeight="1">
      <c r="A462" s="632" t="s">
        <v>37214</v>
      </c>
      <c r="B462" s="632" t="s">
        <v>36498</v>
      </c>
      <c r="C462" s="612">
        <v>558</v>
      </c>
    </row>
    <row r="463" spans="1:3" s="594" customFormat="1" ht="11.25" customHeight="1">
      <c r="A463" s="632" t="s">
        <v>37213</v>
      </c>
      <c r="B463" s="632" t="s">
        <v>36496</v>
      </c>
      <c r="C463" s="612">
        <v>707</v>
      </c>
    </row>
    <row r="464" spans="1:3">
      <c r="A464" s="616" t="s">
        <v>37212</v>
      </c>
      <c r="B464" s="616" t="s">
        <v>36494</v>
      </c>
      <c r="C464" s="612">
        <v>707</v>
      </c>
    </row>
    <row r="465" spans="1:3" s="594" customFormat="1" ht="11.25" customHeight="1">
      <c r="A465" s="616" t="s">
        <v>37211</v>
      </c>
      <c r="B465" s="616" t="s">
        <v>36492</v>
      </c>
      <c r="C465" s="612">
        <v>707</v>
      </c>
    </row>
    <row r="466" spans="1:3" s="594" customFormat="1" ht="18" customHeight="1">
      <c r="A466" s="611" t="s">
        <v>37251</v>
      </c>
      <c r="B466" s="611"/>
      <c r="C466" s="736"/>
    </row>
    <row r="467" spans="1:3" s="594" customFormat="1" ht="11.25" customHeight="1">
      <c r="A467" s="640"/>
      <c r="B467" s="640"/>
      <c r="C467" s="639"/>
    </row>
    <row r="468" spans="1:3" s="594" customFormat="1" ht="11.25" customHeight="1" thickBot="1">
      <c r="A468" s="605" t="s">
        <v>36578</v>
      </c>
      <c r="B468" s="605"/>
      <c r="C468" s="606"/>
    </row>
    <row r="469" spans="1:3" s="594" customFormat="1" ht="11.25" customHeight="1">
      <c r="A469" s="644" t="s">
        <v>37250</v>
      </c>
      <c r="B469" s="676"/>
      <c r="C469" s="675"/>
    </row>
    <row r="470" spans="1:3" s="594" customFormat="1" ht="11.25" customHeight="1">
      <c r="A470" s="632" t="s">
        <v>37249</v>
      </c>
      <c r="B470" s="632" t="s">
        <v>37248</v>
      </c>
      <c r="C470" s="612">
        <v>2096</v>
      </c>
    </row>
    <row r="471" spans="1:3" s="594" customFormat="1" ht="11.25" customHeight="1">
      <c r="A471" s="592"/>
      <c r="B471" s="592"/>
      <c r="C471" s="607"/>
    </row>
    <row r="472" spans="1:3" s="594" customFormat="1" ht="11.25" customHeight="1" thickBot="1">
      <c r="A472" s="605" t="s">
        <v>37247</v>
      </c>
      <c r="B472" s="605"/>
      <c r="C472" s="604"/>
    </row>
    <row r="473" spans="1:3" s="594" customFormat="1" ht="11.25" customHeight="1">
      <c r="A473" s="633" t="s">
        <v>37246</v>
      </c>
      <c r="B473" s="636" t="s">
        <v>36572</v>
      </c>
      <c r="C473" s="612">
        <v>1165</v>
      </c>
    </row>
    <row r="474" spans="1:3" s="594" customFormat="1" ht="11.25" customHeight="1">
      <c r="A474" s="632" t="s">
        <v>37245</v>
      </c>
      <c r="B474" s="635" t="s">
        <v>36570</v>
      </c>
      <c r="C474" s="612">
        <v>1139</v>
      </c>
    </row>
    <row r="475" spans="1:3" s="594" customFormat="1" ht="11.25" customHeight="1">
      <c r="A475" s="632" t="s">
        <v>37244</v>
      </c>
      <c r="B475" s="635" t="s">
        <v>36568</v>
      </c>
      <c r="C475" s="612">
        <v>1165</v>
      </c>
    </row>
    <row r="476" spans="1:3" s="594" customFormat="1" ht="11.25" customHeight="1">
      <c r="A476" s="632" t="s">
        <v>37243</v>
      </c>
      <c r="B476" s="635" t="s">
        <v>36566</v>
      </c>
      <c r="C476" s="612">
        <v>1139</v>
      </c>
    </row>
    <row r="477" spans="1:3" s="594" customFormat="1" ht="11.25" customHeight="1">
      <c r="A477" s="632" t="s">
        <v>37242</v>
      </c>
      <c r="B477" s="635" t="s">
        <v>36564</v>
      </c>
      <c r="C477" s="612">
        <v>1165</v>
      </c>
    </row>
    <row r="478" spans="1:3" s="594" customFormat="1" ht="11.25" customHeight="1">
      <c r="A478" s="632" t="s">
        <v>37241</v>
      </c>
      <c r="B478" s="635" t="s">
        <v>36562</v>
      </c>
      <c r="C478" s="612">
        <v>1139</v>
      </c>
    </row>
    <row r="479" spans="1:3" s="594" customFormat="1" ht="11.25" customHeight="1">
      <c r="A479" s="632" t="s">
        <v>37240</v>
      </c>
      <c r="B479" s="635" t="s">
        <v>36560</v>
      </c>
      <c r="C479" s="612">
        <v>1232</v>
      </c>
    </row>
    <row r="480" spans="1:3" ht="11.25" customHeight="1">
      <c r="A480" s="632" t="s">
        <v>37239</v>
      </c>
      <c r="B480" s="635" t="s">
        <v>36558</v>
      </c>
      <c r="C480" s="612">
        <v>1165</v>
      </c>
    </row>
    <row r="481" spans="1:3" ht="11.25" customHeight="1">
      <c r="A481" s="632" t="s">
        <v>37238</v>
      </c>
      <c r="B481" s="635" t="s">
        <v>36556</v>
      </c>
      <c r="C481" s="612">
        <v>1232</v>
      </c>
    </row>
    <row r="482" spans="1:3" s="594" customFormat="1" ht="11.25" customHeight="1">
      <c r="A482" s="592"/>
      <c r="B482" s="592"/>
      <c r="C482" s="607"/>
    </row>
    <row r="483" spans="1:3" s="594" customFormat="1" ht="11.25" customHeight="1" thickBot="1">
      <c r="A483" s="663" t="s">
        <v>36555</v>
      </c>
      <c r="B483" s="674"/>
      <c r="C483" s="661"/>
    </row>
    <row r="484" spans="1:3" s="648" customFormat="1" ht="11.25" customHeight="1">
      <c r="A484" s="633" t="s">
        <v>36554</v>
      </c>
      <c r="B484" s="636" t="s">
        <v>36553</v>
      </c>
      <c r="C484" s="735">
        <v>250</v>
      </c>
    </row>
    <row r="485" spans="1:3" s="594" customFormat="1" ht="11.25" customHeight="1">
      <c r="A485" s="592"/>
      <c r="B485" s="634"/>
      <c r="C485" s="647"/>
    </row>
    <row r="486" spans="1:3" s="734" customFormat="1" ht="11.15" customHeight="1" thickBot="1">
      <c r="A486" s="1088" t="s">
        <v>37237</v>
      </c>
      <c r="B486" s="1088"/>
      <c r="C486" s="1089">
        <v>0</v>
      </c>
    </row>
    <row r="487" spans="1:3" s="734" customFormat="1" ht="11.15" customHeight="1">
      <c r="A487" s="637" t="s">
        <v>37236</v>
      </c>
      <c r="B487" s="637" t="s">
        <v>37235</v>
      </c>
      <c r="C487" s="649">
        <v>773</v>
      </c>
    </row>
    <row r="488" spans="1:3" s="734" customFormat="1" ht="11.15" customHeight="1">
      <c r="A488" s="637" t="s">
        <v>37234</v>
      </c>
      <c r="B488" s="637" t="s">
        <v>36603</v>
      </c>
      <c r="C488" s="650">
        <v>170</v>
      </c>
    </row>
    <row r="489" spans="1:3" s="719" customFormat="1" ht="11.15" customHeight="1">
      <c r="A489" s="648"/>
      <c r="B489" s="648"/>
      <c r="C489" s="733"/>
    </row>
    <row r="490" spans="1:3" s="594" customFormat="1" ht="11.25" customHeight="1" thickBot="1">
      <c r="A490" s="605" t="s">
        <v>37233</v>
      </c>
      <c r="B490" s="605"/>
      <c r="C490" s="604"/>
    </row>
    <row r="491" spans="1:3" s="594" customFormat="1" ht="11.25" customHeight="1">
      <c r="A491" s="633" t="s">
        <v>37232</v>
      </c>
      <c r="B491" s="633" t="s">
        <v>36721</v>
      </c>
      <c r="C491" s="612">
        <v>566</v>
      </c>
    </row>
    <row r="492" spans="1:3" s="594" customFormat="1" ht="11.25" customHeight="1">
      <c r="A492" s="632" t="s">
        <v>37231</v>
      </c>
      <c r="B492" s="632" t="s">
        <v>36719</v>
      </c>
      <c r="C492" s="612">
        <v>1267</v>
      </c>
    </row>
    <row r="493" spans="1:3" s="594" customFormat="1" ht="11.25" customHeight="1">
      <c r="A493" s="632" t="s">
        <v>37230</v>
      </c>
      <c r="B493" s="632" t="s">
        <v>37229</v>
      </c>
      <c r="C493" s="612">
        <v>1267</v>
      </c>
    </row>
    <row r="494" spans="1:3" s="594" customFormat="1" ht="11.25" customHeight="1">
      <c r="A494" s="632" t="s">
        <v>37228</v>
      </c>
      <c r="B494" s="632" t="s">
        <v>36539</v>
      </c>
      <c r="C494" s="612">
        <v>1267</v>
      </c>
    </row>
    <row r="495" spans="1:3" s="594" customFormat="1" ht="11.25" customHeight="1">
      <c r="A495" s="632" t="s">
        <v>37227</v>
      </c>
      <c r="B495" s="632" t="s">
        <v>36537</v>
      </c>
      <c r="C495" s="612">
        <v>1749</v>
      </c>
    </row>
    <row r="496" spans="1:3" s="594" customFormat="1" ht="11.25" customHeight="1">
      <c r="A496" s="632" t="s">
        <v>37226</v>
      </c>
      <c r="B496" s="632" t="s">
        <v>36848</v>
      </c>
      <c r="C496" s="612">
        <v>1749</v>
      </c>
    </row>
    <row r="497" spans="1:3" s="594" customFormat="1" ht="11.25" customHeight="1">
      <c r="A497" s="632" t="s">
        <v>37225</v>
      </c>
      <c r="B497" s="632" t="s">
        <v>36533</v>
      </c>
      <c r="C497" s="612">
        <v>1749</v>
      </c>
    </row>
    <row r="498" spans="1:3" s="594" customFormat="1" ht="11.25" customHeight="1">
      <c r="A498" s="646"/>
      <c r="B498" s="646"/>
      <c r="C498" s="639"/>
    </row>
    <row r="499" spans="1:3" s="594" customFormat="1" ht="11.25" customHeight="1" thickBot="1">
      <c r="A499" s="605" t="s">
        <v>37224</v>
      </c>
      <c r="B499" s="605"/>
      <c r="C499" s="604"/>
    </row>
    <row r="500" spans="1:3" s="594" customFormat="1" ht="11.25" customHeight="1">
      <c r="A500" s="637" t="s">
        <v>36529</v>
      </c>
      <c r="B500" s="632" t="s">
        <v>36528</v>
      </c>
      <c r="C500" s="612">
        <v>558</v>
      </c>
    </row>
    <row r="501" spans="1:3" s="594" customFormat="1" ht="11.25" customHeight="1">
      <c r="A501" s="637" t="s">
        <v>36527</v>
      </c>
      <c r="B501" s="632" t="s">
        <v>36526</v>
      </c>
      <c r="C501" s="612">
        <v>558</v>
      </c>
    </row>
    <row r="502" spans="1:3" s="594" customFormat="1" ht="11.25" customHeight="1">
      <c r="A502" s="637" t="s">
        <v>36525</v>
      </c>
      <c r="B502" s="632" t="s">
        <v>36524</v>
      </c>
      <c r="C502" s="612">
        <v>558</v>
      </c>
    </row>
    <row r="503" spans="1:3" s="594" customFormat="1" ht="11.25" customHeight="1">
      <c r="A503" s="637" t="s">
        <v>36523</v>
      </c>
      <c r="B503" s="632" t="s">
        <v>36522</v>
      </c>
      <c r="C503" s="612">
        <v>707</v>
      </c>
    </row>
    <row r="504" spans="1:3" s="594" customFormat="1" ht="11.25" customHeight="1">
      <c r="A504" s="637" t="s">
        <v>36521</v>
      </c>
      <c r="B504" s="632" t="s">
        <v>36520</v>
      </c>
      <c r="C504" s="612">
        <v>707</v>
      </c>
    </row>
    <row r="505" spans="1:3" s="594" customFormat="1" ht="11.25" customHeight="1">
      <c r="A505" s="637" t="s">
        <v>36519</v>
      </c>
      <c r="B505" s="632" t="s">
        <v>36518</v>
      </c>
      <c r="C505" s="612">
        <v>707</v>
      </c>
    </row>
    <row r="506" spans="1:3" s="594" customFormat="1" ht="11.25" customHeight="1">
      <c r="C506" s="607"/>
    </row>
    <row r="507" spans="1:3" s="594" customFormat="1" ht="11.25" customHeight="1" thickBot="1">
      <c r="A507" s="605" t="s">
        <v>37223</v>
      </c>
      <c r="B507" s="605"/>
      <c r="C507" s="604"/>
    </row>
    <row r="508" spans="1:3" s="594" customFormat="1" ht="11.25" customHeight="1">
      <c r="A508" s="632" t="s">
        <v>37222</v>
      </c>
      <c r="B508" s="635" t="s">
        <v>36515</v>
      </c>
      <c r="C508" s="612">
        <v>632</v>
      </c>
    </row>
    <row r="509" spans="1:3" s="594" customFormat="1" ht="11.25" customHeight="1">
      <c r="A509" s="632" t="s">
        <v>37221</v>
      </c>
      <c r="B509" s="635" t="s">
        <v>36513</v>
      </c>
      <c r="C509" s="612">
        <v>632</v>
      </c>
    </row>
    <row r="510" spans="1:3" s="594" customFormat="1" ht="11.25" customHeight="1">
      <c r="A510" s="632" t="s">
        <v>37220</v>
      </c>
      <c r="B510" s="635" t="s">
        <v>36511</v>
      </c>
      <c r="C510" s="612">
        <v>632</v>
      </c>
    </row>
    <row r="511" spans="1:3" s="594" customFormat="1" ht="11.25" customHeight="1">
      <c r="A511" s="632" t="s">
        <v>37219</v>
      </c>
      <c r="B511" s="635" t="s">
        <v>36509</v>
      </c>
      <c r="C511" s="612">
        <v>741</v>
      </c>
    </row>
    <row r="512" spans="1:3" s="594" customFormat="1" ht="11.25" customHeight="1">
      <c r="A512" s="632" t="s">
        <v>37218</v>
      </c>
      <c r="B512" s="635" t="s">
        <v>36507</v>
      </c>
      <c r="C512" s="612">
        <v>741</v>
      </c>
    </row>
    <row r="513" spans="1:3" s="594" customFormat="1" ht="11.25" customHeight="1">
      <c r="A513" s="632" t="s">
        <v>37217</v>
      </c>
      <c r="B513" s="635" t="s">
        <v>36505</v>
      </c>
      <c r="C513" s="612">
        <v>741</v>
      </c>
    </row>
    <row r="514" spans="1:3" s="594" customFormat="1" ht="11.25" customHeight="1">
      <c r="C514" s="607"/>
    </row>
    <row r="515" spans="1:3" s="594" customFormat="1" ht="11.25" customHeight="1" thickBot="1">
      <c r="A515" s="605" t="s">
        <v>36592</v>
      </c>
      <c r="B515" s="605"/>
      <c r="C515" s="604"/>
    </row>
    <row r="516" spans="1:3" s="594" customFormat="1" ht="11.25" customHeight="1">
      <c r="A516" s="632" t="s">
        <v>37216</v>
      </c>
      <c r="B516" s="632" t="s">
        <v>36502</v>
      </c>
      <c r="C516" s="612">
        <v>558</v>
      </c>
    </row>
    <row r="517" spans="1:3" s="594" customFormat="1" ht="11.25" customHeight="1">
      <c r="A517" s="632" t="s">
        <v>37215</v>
      </c>
      <c r="B517" s="632" t="s">
        <v>36500</v>
      </c>
      <c r="C517" s="612">
        <v>558</v>
      </c>
    </row>
    <row r="518" spans="1:3" s="594" customFormat="1" ht="11.25" customHeight="1">
      <c r="A518" s="632" t="s">
        <v>37214</v>
      </c>
      <c r="B518" s="632" t="s">
        <v>36498</v>
      </c>
      <c r="C518" s="612">
        <v>558</v>
      </c>
    </row>
    <row r="519" spans="1:3" s="594" customFormat="1" ht="11.25" customHeight="1">
      <c r="A519" s="632" t="s">
        <v>37213</v>
      </c>
      <c r="B519" s="632" t="s">
        <v>36496</v>
      </c>
      <c r="C519" s="612">
        <v>707</v>
      </c>
    </row>
    <row r="520" spans="1:3" s="594" customFormat="1">
      <c r="A520" s="616" t="s">
        <v>37212</v>
      </c>
      <c r="B520" s="616" t="s">
        <v>36494</v>
      </c>
      <c r="C520" s="612">
        <v>707</v>
      </c>
    </row>
    <row r="521" spans="1:3" s="594" customFormat="1" ht="11.25" customHeight="1">
      <c r="A521" s="616" t="s">
        <v>37211</v>
      </c>
      <c r="B521" s="616" t="s">
        <v>36492</v>
      </c>
      <c r="C521" s="612">
        <v>707</v>
      </c>
    </row>
    <row r="522" spans="1:3" s="594" customFormat="1" ht="18" customHeight="1">
      <c r="A522" s="611" t="s">
        <v>37210</v>
      </c>
      <c r="B522" s="681"/>
      <c r="C522" s="680">
        <v>0</v>
      </c>
    </row>
    <row r="523" spans="1:3" s="594" customFormat="1" ht="11.25" customHeight="1">
      <c r="A523" s="640"/>
      <c r="B523" s="640"/>
      <c r="C523" s="639"/>
    </row>
    <row r="524" spans="1:3" s="594" customFormat="1" ht="11" thickBot="1">
      <c r="A524" s="605" t="s">
        <v>36873</v>
      </c>
      <c r="B524" s="605"/>
      <c r="C524" s="604"/>
    </row>
    <row r="525" spans="1:3" s="594" customFormat="1">
      <c r="A525" s="679" t="s">
        <v>37209</v>
      </c>
      <c r="B525" s="678"/>
      <c r="C525" s="677"/>
    </row>
    <row r="526" spans="1:3" s="594" customFormat="1">
      <c r="A526" s="679" t="s">
        <v>37208</v>
      </c>
      <c r="B526" s="678"/>
      <c r="C526" s="677"/>
    </row>
    <row r="527" spans="1:3" s="594" customFormat="1">
      <c r="A527" s="632" t="s">
        <v>37207</v>
      </c>
      <c r="B527" s="632" t="s">
        <v>36802</v>
      </c>
      <c r="C527" s="612">
        <v>2781</v>
      </c>
    </row>
    <row r="528" spans="1:3" s="594" customFormat="1">
      <c r="A528" s="592"/>
      <c r="B528" s="592"/>
      <c r="C528" s="607"/>
    </row>
    <row r="529" spans="1:3" s="594" customFormat="1" ht="11.25" customHeight="1" thickBot="1">
      <c r="A529" s="605" t="s">
        <v>37206</v>
      </c>
      <c r="B529" s="605"/>
      <c r="C529" s="606"/>
    </row>
    <row r="530" spans="1:3" s="594" customFormat="1" ht="11.25" customHeight="1">
      <c r="A530" s="619" t="s">
        <v>37205</v>
      </c>
      <c r="B530" s="613" t="s">
        <v>36784</v>
      </c>
      <c r="C530" s="612">
        <v>1165</v>
      </c>
    </row>
    <row r="531" spans="1:3" s="594" customFormat="1" ht="11.25" customHeight="1">
      <c r="A531" s="616" t="s">
        <v>37204</v>
      </c>
      <c r="B531" s="618" t="s">
        <v>36570</v>
      </c>
      <c r="C531" s="612">
        <v>1139</v>
      </c>
    </row>
    <row r="532" spans="1:3" s="594" customFormat="1" ht="11.25" customHeight="1">
      <c r="A532" s="616" t="s">
        <v>37203</v>
      </c>
      <c r="B532" s="618" t="s">
        <v>36568</v>
      </c>
      <c r="C532" s="612">
        <v>1165</v>
      </c>
    </row>
    <row r="533" spans="1:3" s="594" customFormat="1" ht="11.25" customHeight="1">
      <c r="A533" s="616" t="s">
        <v>37202</v>
      </c>
      <c r="B533" s="618" t="s">
        <v>36566</v>
      </c>
      <c r="C533" s="612">
        <v>1139</v>
      </c>
    </row>
    <row r="534" spans="1:3" s="594" customFormat="1" ht="11.25" customHeight="1">
      <c r="A534" s="616" t="s">
        <v>37201</v>
      </c>
      <c r="B534" s="618" t="s">
        <v>36564</v>
      </c>
      <c r="C534" s="612">
        <v>1165</v>
      </c>
    </row>
    <row r="535" spans="1:3" s="594" customFormat="1" ht="11.25" customHeight="1">
      <c r="A535" s="616" t="s">
        <v>37200</v>
      </c>
      <c r="B535" s="618" t="s">
        <v>36562</v>
      </c>
      <c r="C535" s="612">
        <v>1139</v>
      </c>
    </row>
    <row r="536" spans="1:3" s="594" customFormat="1" ht="11.25" customHeight="1">
      <c r="A536" s="616" t="s">
        <v>37199</v>
      </c>
      <c r="B536" s="618" t="s">
        <v>36560</v>
      </c>
      <c r="C536" s="612">
        <v>1232</v>
      </c>
    </row>
    <row r="537" spans="1:3" s="594" customFormat="1" ht="11.25" customHeight="1">
      <c r="A537" s="616" t="s">
        <v>37198</v>
      </c>
      <c r="B537" s="618" t="s">
        <v>36558</v>
      </c>
      <c r="C537" s="612">
        <v>1165</v>
      </c>
    </row>
    <row r="538" spans="1:3" s="594" customFormat="1" ht="11.25" customHeight="1">
      <c r="A538" s="616" t="s">
        <v>37197</v>
      </c>
      <c r="B538" s="618" t="s">
        <v>36556</v>
      </c>
      <c r="C538" s="612">
        <v>1232</v>
      </c>
    </row>
    <row r="539" spans="1:3" s="594" customFormat="1" ht="11.25" customHeight="1">
      <c r="A539" s="640"/>
      <c r="B539" s="640"/>
      <c r="C539" s="639"/>
    </row>
    <row r="540" spans="1:3" s="594" customFormat="1" ht="11.25" customHeight="1" thickBot="1">
      <c r="A540" s="605" t="s">
        <v>36555</v>
      </c>
      <c r="B540" s="605"/>
      <c r="C540" s="604"/>
    </row>
    <row r="541" spans="1:3" s="594" customFormat="1" ht="11.25" customHeight="1">
      <c r="A541" s="633" t="s">
        <v>36554</v>
      </c>
      <c r="B541" s="636" t="s">
        <v>36553</v>
      </c>
      <c r="C541" s="612">
        <v>250</v>
      </c>
    </row>
    <row r="542" spans="1:3" s="594" customFormat="1" ht="11.25" customHeight="1">
      <c r="A542" s="646"/>
      <c r="B542" s="646"/>
      <c r="C542" s="639"/>
    </row>
    <row r="543" spans="1:3" s="594" customFormat="1" ht="11.25" customHeight="1" thickBot="1">
      <c r="A543" s="605" t="s">
        <v>36632</v>
      </c>
      <c r="B543" s="605"/>
      <c r="C543" s="604"/>
    </row>
    <row r="544" spans="1:3" s="594" customFormat="1" ht="11.25" customHeight="1">
      <c r="A544" s="633" t="s">
        <v>37196</v>
      </c>
      <c r="B544" s="636" t="s">
        <v>37195</v>
      </c>
      <c r="C544" s="612">
        <v>641</v>
      </c>
    </row>
    <row r="545" spans="1:3" s="594" customFormat="1" ht="11.25" customHeight="1">
      <c r="A545" s="632" t="s">
        <v>37194</v>
      </c>
      <c r="B545" s="635" t="s">
        <v>37193</v>
      </c>
      <c r="C545" s="612">
        <v>641</v>
      </c>
    </row>
    <row r="546" spans="1:3" s="594" customFormat="1" ht="11.25" customHeight="1">
      <c r="A546" s="592"/>
      <c r="B546" s="634"/>
      <c r="C546" s="607"/>
    </row>
    <row r="547" spans="1:3" s="594" customFormat="1" ht="11.25" customHeight="1" thickBot="1">
      <c r="A547" s="655" t="s">
        <v>37086</v>
      </c>
      <c r="B547" s="655"/>
      <c r="C547" s="604"/>
    </row>
    <row r="548" spans="1:3" s="594" customFormat="1" ht="11.25" customHeight="1">
      <c r="A548" s="637" t="s">
        <v>37192</v>
      </c>
      <c r="B548" s="637" t="s">
        <v>37191</v>
      </c>
      <c r="C548" s="612">
        <v>340</v>
      </c>
    </row>
    <row r="549" spans="1:3" ht="11.25" customHeight="1">
      <c r="A549" s="637" t="s">
        <v>37190</v>
      </c>
      <c r="B549" s="637" t="s">
        <v>37189</v>
      </c>
      <c r="C549" s="612">
        <v>198</v>
      </c>
    </row>
    <row r="550" spans="1:3" s="594" customFormat="1" ht="11.25" customHeight="1">
      <c r="A550" s="646"/>
      <c r="B550" s="646"/>
      <c r="C550" s="639"/>
    </row>
    <row r="551" spans="1:3" s="594" customFormat="1" ht="11.25" customHeight="1" thickBot="1">
      <c r="A551" s="605" t="s">
        <v>37188</v>
      </c>
      <c r="B551" s="605"/>
      <c r="C551" s="604"/>
    </row>
    <row r="552" spans="1:3" s="594" customFormat="1" ht="11.25" customHeight="1">
      <c r="A552" s="619" t="s">
        <v>37187</v>
      </c>
      <c r="B552" s="619" t="s">
        <v>36721</v>
      </c>
      <c r="C552" s="612">
        <v>566</v>
      </c>
    </row>
    <row r="553" spans="1:3" s="594" customFormat="1" ht="11.25" customHeight="1">
      <c r="A553" s="616" t="s">
        <v>37186</v>
      </c>
      <c r="B553" s="616" t="s">
        <v>36543</v>
      </c>
      <c r="C553" s="612">
        <v>1267</v>
      </c>
    </row>
    <row r="554" spans="1:3" s="594" customFormat="1" ht="11.25" customHeight="1">
      <c r="A554" s="616" t="s">
        <v>37185</v>
      </c>
      <c r="B554" s="616" t="s">
        <v>36541</v>
      </c>
      <c r="C554" s="612">
        <v>1267</v>
      </c>
    </row>
    <row r="555" spans="1:3" s="594" customFormat="1" ht="11.25" customHeight="1">
      <c r="A555" s="616" t="s">
        <v>37184</v>
      </c>
      <c r="B555" s="616" t="s">
        <v>36716</v>
      </c>
      <c r="C555" s="612">
        <v>1267</v>
      </c>
    </row>
    <row r="556" spans="1:3" s="594" customFormat="1" ht="11.25" customHeight="1">
      <c r="A556" s="616" t="s">
        <v>37183</v>
      </c>
      <c r="B556" s="616" t="s">
        <v>36537</v>
      </c>
      <c r="C556" s="612">
        <v>1749</v>
      </c>
    </row>
    <row r="557" spans="1:3" s="594" customFormat="1" ht="11.25" customHeight="1">
      <c r="A557" s="616" t="s">
        <v>37182</v>
      </c>
      <c r="B557" s="616" t="s">
        <v>37173</v>
      </c>
      <c r="C557" s="612">
        <v>1749</v>
      </c>
    </row>
    <row r="558" spans="1:3" s="594" customFormat="1" ht="11.25" customHeight="1">
      <c r="A558" s="616" t="s">
        <v>37181</v>
      </c>
      <c r="B558" s="616" t="s">
        <v>36846</v>
      </c>
      <c r="C558" s="612">
        <v>1749</v>
      </c>
    </row>
    <row r="559" spans="1:3" s="594" customFormat="1" ht="11.25" customHeight="1">
      <c r="A559" s="616" t="s">
        <v>37171</v>
      </c>
      <c r="B559" s="616" t="s">
        <v>37170</v>
      </c>
      <c r="C559" s="612">
        <v>48</v>
      </c>
    </row>
    <row r="560" spans="1:3" s="594" customFormat="1" ht="11.25" customHeight="1">
      <c r="A560" s="608"/>
      <c r="B560" s="608"/>
      <c r="C560" s="607"/>
    </row>
    <row r="561" spans="1:3" s="594" customFormat="1" ht="11.25" customHeight="1" thickBot="1">
      <c r="A561" s="605" t="s">
        <v>37180</v>
      </c>
      <c r="B561" s="605"/>
      <c r="C561" s="604"/>
    </row>
    <row r="562" spans="1:3" s="594" customFormat="1" ht="11.25" customHeight="1">
      <c r="A562" s="619" t="s">
        <v>37179</v>
      </c>
      <c r="B562" s="619" t="s">
        <v>36721</v>
      </c>
      <c r="C562" s="612">
        <v>566</v>
      </c>
    </row>
    <row r="563" spans="1:3" s="594" customFormat="1" ht="11.25" customHeight="1">
      <c r="A563" s="616" t="s">
        <v>37178</v>
      </c>
      <c r="B563" s="616" t="s">
        <v>36543</v>
      </c>
      <c r="C563" s="612">
        <v>1267</v>
      </c>
    </row>
    <row r="564" spans="1:3" s="594" customFormat="1" ht="11.25" customHeight="1">
      <c r="A564" s="616" t="s">
        <v>37177</v>
      </c>
      <c r="B564" s="616" t="s">
        <v>36541</v>
      </c>
      <c r="C564" s="612">
        <v>1267</v>
      </c>
    </row>
    <row r="565" spans="1:3" s="594" customFormat="1" ht="11.25" customHeight="1">
      <c r="A565" s="616" t="s">
        <v>37176</v>
      </c>
      <c r="B565" s="616" t="s">
        <v>36716</v>
      </c>
      <c r="C565" s="612">
        <v>1267</v>
      </c>
    </row>
    <row r="566" spans="1:3" s="594" customFormat="1" ht="11.25" customHeight="1">
      <c r="A566" s="616" t="s">
        <v>37175</v>
      </c>
      <c r="B566" s="616" t="s">
        <v>36537</v>
      </c>
      <c r="C566" s="612">
        <v>1749</v>
      </c>
    </row>
    <row r="567" spans="1:3" s="594" customFormat="1" ht="11.25" customHeight="1">
      <c r="A567" s="616" t="s">
        <v>37174</v>
      </c>
      <c r="B567" s="616" t="s">
        <v>37173</v>
      </c>
      <c r="C567" s="612">
        <v>1749</v>
      </c>
    </row>
    <row r="568" spans="1:3" s="594" customFormat="1" ht="11.25" customHeight="1">
      <c r="A568" s="616" t="s">
        <v>37172</v>
      </c>
      <c r="B568" s="616" t="s">
        <v>36846</v>
      </c>
      <c r="C568" s="612">
        <v>1749</v>
      </c>
    </row>
    <row r="569" spans="1:3" s="594" customFormat="1" ht="11.25" customHeight="1">
      <c r="A569" s="616" t="s">
        <v>37171</v>
      </c>
      <c r="B569" s="616" t="s">
        <v>37170</v>
      </c>
      <c r="C569" s="612">
        <v>48</v>
      </c>
    </row>
    <row r="570" spans="1:3" s="594" customFormat="1" ht="11.25" customHeight="1">
      <c r="A570" s="640"/>
      <c r="B570" s="640"/>
      <c r="C570" s="639"/>
    </row>
    <row r="571" spans="1:3" s="594" customFormat="1" ht="11.25" customHeight="1" thickBot="1">
      <c r="A571" s="605" t="s">
        <v>37169</v>
      </c>
      <c r="B571" s="732"/>
      <c r="C571" s="731"/>
    </row>
    <row r="572" spans="1:3" s="594" customFormat="1" ht="11.25" customHeight="1">
      <c r="A572" s="638" t="s">
        <v>36529</v>
      </c>
      <c r="B572" s="633" t="s">
        <v>36528</v>
      </c>
      <c r="C572" s="612">
        <v>558</v>
      </c>
    </row>
    <row r="573" spans="1:3" s="594" customFormat="1" ht="11.25" customHeight="1">
      <c r="A573" s="637" t="s">
        <v>36527</v>
      </c>
      <c r="B573" s="632" t="s">
        <v>36526</v>
      </c>
      <c r="C573" s="612">
        <v>558</v>
      </c>
    </row>
    <row r="574" spans="1:3" s="594" customFormat="1" ht="11.25" customHeight="1">
      <c r="A574" s="637" t="s">
        <v>36525</v>
      </c>
      <c r="B574" s="632" t="s">
        <v>36524</v>
      </c>
      <c r="C574" s="612">
        <v>558</v>
      </c>
    </row>
    <row r="575" spans="1:3" s="594" customFormat="1" ht="11.25" customHeight="1">
      <c r="A575" s="637" t="s">
        <v>36523</v>
      </c>
      <c r="B575" s="632" t="s">
        <v>36522</v>
      </c>
      <c r="C575" s="612">
        <v>707</v>
      </c>
    </row>
    <row r="576" spans="1:3" s="594" customFormat="1" ht="11.25" customHeight="1">
      <c r="A576" s="637" t="s">
        <v>36521</v>
      </c>
      <c r="B576" s="632" t="s">
        <v>36520</v>
      </c>
      <c r="C576" s="612">
        <v>707</v>
      </c>
    </row>
    <row r="577" spans="1:3" s="594" customFormat="1" ht="11.25" customHeight="1">
      <c r="A577" s="637" t="s">
        <v>36519</v>
      </c>
      <c r="B577" s="632" t="s">
        <v>36518</v>
      </c>
      <c r="C577" s="612">
        <v>707</v>
      </c>
    </row>
    <row r="578" spans="1:3" s="594" customFormat="1" ht="11.25" customHeight="1">
      <c r="A578" s="646"/>
      <c r="B578" s="646"/>
      <c r="C578" s="639"/>
    </row>
    <row r="579" spans="1:3" s="594" customFormat="1" ht="11.25" customHeight="1" thickBot="1">
      <c r="A579" s="605" t="s">
        <v>36915</v>
      </c>
      <c r="B579" s="605"/>
      <c r="C579" s="604"/>
    </row>
    <row r="580" spans="1:3" s="594" customFormat="1" ht="11.25" customHeight="1">
      <c r="A580" s="633" t="s">
        <v>37168</v>
      </c>
      <c r="B580" s="636" t="s">
        <v>36515</v>
      </c>
      <c r="C580" s="612">
        <v>632</v>
      </c>
    </row>
    <row r="581" spans="1:3" s="594" customFormat="1" ht="11.25" customHeight="1">
      <c r="A581" s="632" t="s">
        <v>37167</v>
      </c>
      <c r="B581" s="635" t="s">
        <v>36513</v>
      </c>
      <c r="C581" s="612">
        <v>632</v>
      </c>
    </row>
    <row r="582" spans="1:3" s="594" customFormat="1" ht="11.25" customHeight="1">
      <c r="A582" s="632" t="s">
        <v>37166</v>
      </c>
      <c r="B582" s="635" t="s">
        <v>36511</v>
      </c>
      <c r="C582" s="612">
        <v>632</v>
      </c>
    </row>
    <row r="583" spans="1:3" s="594" customFormat="1" ht="11.25" customHeight="1">
      <c r="A583" s="632" t="s">
        <v>37165</v>
      </c>
      <c r="B583" s="635" t="s">
        <v>36509</v>
      </c>
      <c r="C583" s="612">
        <v>741</v>
      </c>
    </row>
    <row r="584" spans="1:3" s="594" customFormat="1">
      <c r="A584" s="632" t="s">
        <v>37164</v>
      </c>
      <c r="B584" s="635" t="s">
        <v>36507</v>
      </c>
      <c r="C584" s="612">
        <v>741</v>
      </c>
    </row>
    <row r="585" spans="1:3" s="594" customFormat="1" ht="11.25" customHeight="1">
      <c r="A585" s="616" t="s">
        <v>37163</v>
      </c>
      <c r="B585" s="635" t="s">
        <v>36505</v>
      </c>
      <c r="C585" s="612">
        <v>741</v>
      </c>
    </row>
    <row r="586" spans="1:3" s="594" customFormat="1" ht="18" customHeight="1">
      <c r="A586" s="611" t="s">
        <v>37041</v>
      </c>
      <c r="C586" s="607"/>
    </row>
    <row r="587" spans="1:3" s="594" customFormat="1" ht="11.25" customHeight="1">
      <c r="C587" s="607"/>
    </row>
    <row r="588" spans="1:3" s="712" customFormat="1" ht="11.25" customHeight="1" thickBot="1">
      <c r="A588" s="605" t="s">
        <v>37162</v>
      </c>
      <c r="B588" s="605"/>
      <c r="C588" s="606"/>
    </row>
    <row r="589" spans="1:3" s="594" customFormat="1" ht="11.25" customHeight="1">
      <c r="A589" s="679" t="s">
        <v>37161</v>
      </c>
      <c r="C589" s="730"/>
    </row>
    <row r="590" spans="1:3" s="594" customFormat="1" ht="11.25" customHeight="1">
      <c r="A590" s="644" t="s">
        <v>37160</v>
      </c>
      <c r="B590" s="729"/>
      <c r="C590" s="642"/>
    </row>
    <row r="591" spans="1:3" s="594" customFormat="1" ht="11.25" customHeight="1">
      <c r="A591" s="632" t="s">
        <v>37159</v>
      </c>
      <c r="B591" s="632" t="s">
        <v>37158</v>
      </c>
      <c r="C591" s="612">
        <v>8276</v>
      </c>
    </row>
    <row r="592" spans="1:3" s="594" customFormat="1" ht="11.25" customHeight="1">
      <c r="A592" s="632" t="s">
        <v>37157</v>
      </c>
      <c r="B592" s="632" t="s">
        <v>37156</v>
      </c>
      <c r="C592" s="612">
        <v>8051</v>
      </c>
    </row>
    <row r="593" spans="1:3" s="594" customFormat="1" ht="11.25" customHeight="1">
      <c r="A593" s="728"/>
      <c r="B593" s="728"/>
      <c r="C593" s="727"/>
    </row>
    <row r="594" spans="1:3" s="594" customFormat="1" ht="11" thickBot="1">
      <c r="A594" s="605" t="s">
        <v>36873</v>
      </c>
      <c r="B594" s="605"/>
      <c r="C594" s="604"/>
    </row>
    <row r="595" spans="1:3" s="594" customFormat="1">
      <c r="A595" s="679" t="s">
        <v>37155</v>
      </c>
      <c r="B595" s="678"/>
      <c r="C595" s="677"/>
    </row>
    <row r="596" spans="1:3" s="594" customFormat="1">
      <c r="A596" s="679" t="s">
        <v>37154</v>
      </c>
      <c r="B596" s="678"/>
      <c r="C596" s="677"/>
    </row>
    <row r="597" spans="1:3" s="594" customFormat="1">
      <c r="A597" s="726" t="s">
        <v>37153</v>
      </c>
      <c r="B597" s="678"/>
      <c r="C597" s="677"/>
    </row>
    <row r="598" spans="1:3" s="594" customFormat="1">
      <c r="A598" s="632" t="s">
        <v>37152</v>
      </c>
      <c r="B598" s="632" t="s">
        <v>37151</v>
      </c>
      <c r="C598" s="612">
        <v>3867</v>
      </c>
    </row>
    <row r="599" spans="1:3" s="594" customFormat="1">
      <c r="A599" s="632" t="s">
        <v>37150</v>
      </c>
      <c r="B599" s="632" t="s">
        <v>37149</v>
      </c>
      <c r="C599" s="612">
        <v>3740</v>
      </c>
    </row>
    <row r="600" spans="1:3" s="594" customFormat="1">
      <c r="A600" s="632" t="s">
        <v>37148</v>
      </c>
      <c r="B600" s="632" t="s">
        <v>37147</v>
      </c>
      <c r="C600" s="612">
        <v>5177</v>
      </c>
    </row>
    <row r="601" spans="1:3" s="594" customFormat="1">
      <c r="A601" s="632" t="s">
        <v>37146</v>
      </c>
      <c r="B601" s="632" t="s">
        <v>37003</v>
      </c>
      <c r="C601" s="612">
        <v>3755</v>
      </c>
    </row>
    <row r="602" spans="1:3" s="594" customFormat="1">
      <c r="A602" s="632" t="s">
        <v>37145</v>
      </c>
      <c r="B602" s="632" t="s">
        <v>37144</v>
      </c>
      <c r="C602" s="612">
        <v>3634</v>
      </c>
    </row>
    <row r="603" spans="1:3" s="594" customFormat="1">
      <c r="A603" s="632" t="s">
        <v>37143</v>
      </c>
      <c r="B603" s="632" t="s">
        <v>37142</v>
      </c>
      <c r="C603" s="612">
        <v>4951</v>
      </c>
    </row>
    <row r="604" spans="1:3" s="594" customFormat="1">
      <c r="A604" s="632" t="s">
        <v>37141</v>
      </c>
      <c r="B604" s="632" t="s">
        <v>36802</v>
      </c>
      <c r="C604" s="612">
        <v>3382</v>
      </c>
    </row>
    <row r="605" spans="1:3" s="594" customFormat="1">
      <c r="A605" s="632" t="s">
        <v>37140</v>
      </c>
      <c r="B605" s="632" t="s">
        <v>36798</v>
      </c>
      <c r="C605" s="612">
        <v>4507</v>
      </c>
    </row>
    <row r="606" spans="1:3" s="594" customFormat="1" ht="11.25" customHeight="1">
      <c r="A606" s="592"/>
      <c r="B606" s="592"/>
      <c r="C606" s="607"/>
    </row>
    <row r="607" spans="1:3" s="594" customFormat="1" ht="11.25" customHeight="1" thickBot="1">
      <c r="A607" s="655" t="s">
        <v>37139</v>
      </c>
      <c r="B607" s="725"/>
      <c r="C607" s="724"/>
    </row>
    <row r="608" spans="1:3" s="594" customFormat="1" ht="11.25" customHeight="1">
      <c r="A608" s="638" t="s">
        <v>37138</v>
      </c>
      <c r="B608" s="638" t="s">
        <v>36784</v>
      </c>
      <c r="C608" s="612">
        <v>5333</v>
      </c>
    </row>
    <row r="609" spans="1:3" s="594" customFormat="1" ht="11.25" customHeight="1">
      <c r="A609" s="637" t="s">
        <v>37137</v>
      </c>
      <c r="B609" s="637" t="s">
        <v>36570</v>
      </c>
      <c r="C609" s="612">
        <v>5333</v>
      </c>
    </row>
    <row r="610" spans="1:3" s="594" customFormat="1" ht="11.25" customHeight="1">
      <c r="A610" s="637" t="s">
        <v>37136</v>
      </c>
      <c r="B610" s="637" t="s">
        <v>36568</v>
      </c>
      <c r="C610" s="612">
        <v>5333</v>
      </c>
    </row>
    <row r="611" spans="1:3" s="594" customFormat="1" ht="11.25" customHeight="1">
      <c r="A611" s="616" t="s">
        <v>37135</v>
      </c>
      <c r="B611" s="616" t="s">
        <v>36566</v>
      </c>
      <c r="C611" s="612">
        <v>5333</v>
      </c>
    </row>
    <row r="612" spans="1:3" s="594" customFormat="1" ht="11.25" customHeight="1">
      <c r="A612" s="616" t="s">
        <v>37134</v>
      </c>
      <c r="B612" s="616" t="s">
        <v>36564</v>
      </c>
      <c r="C612" s="612">
        <v>5333</v>
      </c>
    </row>
    <row r="613" spans="1:3" s="594" customFormat="1" ht="11.25" customHeight="1">
      <c r="A613" s="616" t="s">
        <v>37133</v>
      </c>
      <c r="B613" s="616" t="s">
        <v>36562</v>
      </c>
      <c r="C613" s="612">
        <v>5333</v>
      </c>
    </row>
    <row r="614" spans="1:3" ht="11.25" customHeight="1">
      <c r="A614" s="616" t="s">
        <v>37132</v>
      </c>
      <c r="B614" s="616" t="s">
        <v>36560</v>
      </c>
      <c r="C614" s="612">
        <v>5333</v>
      </c>
    </row>
    <row r="615" spans="1:3" s="594" customFormat="1" ht="11.25" customHeight="1">
      <c r="A615" s="616" t="s">
        <v>37131</v>
      </c>
      <c r="B615" s="616" t="s">
        <v>36558</v>
      </c>
      <c r="C615" s="612">
        <v>5333</v>
      </c>
    </row>
    <row r="616" spans="1:3" s="594" customFormat="1" ht="11.25" customHeight="1">
      <c r="A616" s="616" t="s">
        <v>37130</v>
      </c>
      <c r="B616" s="616" t="s">
        <v>36556</v>
      </c>
      <c r="C616" s="612">
        <v>5333</v>
      </c>
    </row>
    <row r="617" spans="1:3" s="594" customFormat="1" ht="11.25" customHeight="1">
      <c r="A617" s="608"/>
      <c r="B617" s="608"/>
      <c r="C617" s="607"/>
    </row>
    <row r="618" spans="1:3" s="594" customFormat="1" ht="11.25" customHeight="1" thickBot="1">
      <c r="A618" s="605" t="s">
        <v>37129</v>
      </c>
      <c r="B618" s="645"/>
      <c r="C618" s="604"/>
    </row>
    <row r="619" spans="1:3" s="594" customFormat="1" ht="11.25" customHeight="1">
      <c r="A619" s="619" t="s">
        <v>37128</v>
      </c>
      <c r="B619" s="619" t="s">
        <v>36572</v>
      </c>
      <c r="C619" s="612">
        <v>1199</v>
      </c>
    </row>
    <row r="620" spans="1:3" s="594" customFormat="1" ht="11.25" customHeight="1">
      <c r="A620" s="616" t="s">
        <v>37127</v>
      </c>
      <c r="B620" s="616" t="s">
        <v>36570</v>
      </c>
      <c r="C620" s="612">
        <v>1174</v>
      </c>
    </row>
    <row r="621" spans="1:3" s="594" customFormat="1" ht="11.25" customHeight="1">
      <c r="A621" s="616" t="s">
        <v>37126</v>
      </c>
      <c r="B621" s="616" t="s">
        <v>36568</v>
      </c>
      <c r="C621" s="612">
        <v>1199</v>
      </c>
    </row>
    <row r="622" spans="1:3" s="594" customFormat="1" ht="11.25" customHeight="1">
      <c r="A622" s="616" t="s">
        <v>37125</v>
      </c>
      <c r="B622" s="616" t="s">
        <v>36566</v>
      </c>
      <c r="C622" s="612">
        <v>1174</v>
      </c>
    </row>
    <row r="623" spans="1:3" s="594" customFormat="1" ht="11.25" customHeight="1">
      <c r="A623" s="616" t="s">
        <v>37124</v>
      </c>
      <c r="B623" s="616" t="s">
        <v>36564</v>
      </c>
      <c r="C623" s="612">
        <v>1199</v>
      </c>
    </row>
    <row r="624" spans="1:3" s="594" customFormat="1" ht="11.25" customHeight="1">
      <c r="A624" s="616" t="s">
        <v>37123</v>
      </c>
      <c r="B624" s="616" t="s">
        <v>36562</v>
      </c>
      <c r="C624" s="612">
        <v>1174</v>
      </c>
    </row>
    <row r="625" spans="1:3" s="594" customFormat="1" ht="11.25" customHeight="1">
      <c r="A625" s="616" t="s">
        <v>37122</v>
      </c>
      <c r="B625" s="616" t="s">
        <v>36560</v>
      </c>
      <c r="C625" s="612">
        <v>1269</v>
      </c>
    </row>
    <row r="626" spans="1:3" s="594" customFormat="1" ht="11.25" customHeight="1">
      <c r="A626" s="616" t="s">
        <v>37121</v>
      </c>
      <c r="B626" s="616" t="s">
        <v>36558</v>
      </c>
      <c r="C626" s="612">
        <v>1199</v>
      </c>
    </row>
    <row r="627" spans="1:3" s="594" customFormat="1" ht="11.25" customHeight="1">
      <c r="A627" s="616" t="s">
        <v>37120</v>
      </c>
      <c r="B627" s="616" t="s">
        <v>36556</v>
      </c>
      <c r="C627" s="612">
        <v>1269</v>
      </c>
    </row>
    <row r="628" spans="1:3" s="594" customFormat="1" ht="11.25" customHeight="1">
      <c r="A628" s="608"/>
      <c r="B628" s="608"/>
      <c r="C628" s="607"/>
    </row>
    <row r="629" spans="1:3" s="594" customFormat="1" ht="11.25" customHeight="1" thickBot="1">
      <c r="A629" s="605" t="s">
        <v>37119</v>
      </c>
      <c r="B629" s="645"/>
      <c r="C629" s="604"/>
    </row>
    <row r="630" spans="1:3" s="594" customFormat="1" ht="11.25" customHeight="1">
      <c r="A630" s="619" t="s">
        <v>37118</v>
      </c>
      <c r="B630" s="619" t="s">
        <v>36572</v>
      </c>
      <c r="C630" s="612">
        <v>1049</v>
      </c>
    </row>
    <row r="631" spans="1:3" s="594" customFormat="1" ht="11.25" customHeight="1">
      <c r="A631" s="616" t="s">
        <v>37117</v>
      </c>
      <c r="B631" s="616" t="s">
        <v>36570</v>
      </c>
      <c r="C631" s="612">
        <v>1019</v>
      </c>
    </row>
    <row r="632" spans="1:3" s="594" customFormat="1" ht="11.25" customHeight="1">
      <c r="A632" s="616" t="s">
        <v>37116</v>
      </c>
      <c r="B632" s="616" t="s">
        <v>36568</v>
      </c>
      <c r="C632" s="612">
        <v>1049</v>
      </c>
    </row>
    <row r="633" spans="1:3" s="594" customFormat="1" ht="11.25" customHeight="1">
      <c r="A633" s="616" t="s">
        <v>37115</v>
      </c>
      <c r="B633" s="616" t="s">
        <v>36566</v>
      </c>
      <c r="C633" s="612">
        <v>1019</v>
      </c>
    </row>
    <row r="634" spans="1:3" s="594" customFormat="1" ht="11.25" customHeight="1">
      <c r="A634" s="616" t="s">
        <v>37114</v>
      </c>
      <c r="B634" s="616" t="s">
        <v>36564</v>
      </c>
      <c r="C634" s="612">
        <v>1049</v>
      </c>
    </row>
    <row r="635" spans="1:3" s="594" customFormat="1" ht="11.25" customHeight="1">
      <c r="A635" s="616" t="s">
        <v>37113</v>
      </c>
      <c r="B635" s="616" t="s">
        <v>36562</v>
      </c>
      <c r="C635" s="612">
        <v>1019</v>
      </c>
    </row>
    <row r="636" spans="1:3" s="594" customFormat="1" ht="11.25" customHeight="1">
      <c r="A636" s="616" t="s">
        <v>37112</v>
      </c>
      <c r="B636" s="616" t="s">
        <v>36560</v>
      </c>
      <c r="C636" s="612">
        <v>1118</v>
      </c>
    </row>
    <row r="637" spans="1:3" s="594" customFormat="1" ht="11.25" customHeight="1">
      <c r="A637" s="616" t="s">
        <v>37111</v>
      </c>
      <c r="B637" s="616" t="s">
        <v>36558</v>
      </c>
      <c r="C637" s="612">
        <v>1049</v>
      </c>
    </row>
    <row r="638" spans="1:3" ht="11.25" customHeight="1">
      <c r="A638" s="616" t="s">
        <v>37110</v>
      </c>
      <c r="B638" s="616" t="s">
        <v>36556</v>
      </c>
      <c r="C638" s="612">
        <v>1118</v>
      </c>
    </row>
    <row r="639" spans="1:3" ht="11.25" customHeight="1">
      <c r="A639" s="608"/>
      <c r="B639" s="608"/>
      <c r="C639" s="607"/>
    </row>
    <row r="640" spans="1:3" s="594" customFormat="1" ht="11.25" customHeight="1" thickBot="1">
      <c r="A640" s="605" t="s">
        <v>37109</v>
      </c>
      <c r="B640" s="723"/>
      <c r="C640" s="722"/>
    </row>
    <row r="641" spans="1:3" s="594" customFormat="1" ht="11.25" customHeight="1">
      <c r="A641" s="633" t="s">
        <v>37108</v>
      </c>
      <c r="B641" s="633" t="s">
        <v>37107</v>
      </c>
      <c r="C641" s="612">
        <v>634</v>
      </c>
    </row>
    <row r="642" spans="1:3" ht="11.25" customHeight="1">
      <c r="A642" s="632" t="s">
        <v>37106</v>
      </c>
      <c r="B642" s="632" t="s">
        <v>37105</v>
      </c>
      <c r="C642" s="612">
        <v>634</v>
      </c>
    </row>
    <row r="643" spans="1:3" s="660" customFormat="1" ht="11.25" customHeight="1">
      <c r="A643" s="632" t="s">
        <v>37104</v>
      </c>
      <c r="B643" s="632" t="s">
        <v>37103</v>
      </c>
      <c r="C643" s="612">
        <v>634</v>
      </c>
    </row>
    <row r="644" spans="1:3" s="594" customFormat="1" ht="11.25" customHeight="1">
      <c r="A644" s="721"/>
      <c r="B644" s="721"/>
      <c r="C644" s="720"/>
    </row>
    <row r="645" spans="1:3" s="594" customFormat="1" ht="18" customHeight="1">
      <c r="A645" s="611" t="s">
        <v>37041</v>
      </c>
      <c r="C645" s="607"/>
    </row>
    <row r="646" spans="1:3" s="594" customFormat="1" ht="11.25" customHeight="1">
      <c r="A646" s="611"/>
      <c r="C646" s="607"/>
    </row>
    <row r="647" spans="1:3" s="594" customFormat="1" ht="11.25" customHeight="1" thickBot="1">
      <c r="A647" s="645" t="s">
        <v>37102</v>
      </c>
      <c r="B647" s="645"/>
      <c r="C647" s="666"/>
    </row>
    <row r="648" spans="1:3" s="594" customFormat="1" ht="11.25" customHeight="1">
      <c r="A648" s="619" t="s">
        <v>37101</v>
      </c>
      <c r="B648" s="619" t="s">
        <v>37100</v>
      </c>
      <c r="C648" s="612">
        <v>2535</v>
      </c>
    </row>
    <row r="649" spans="1:3" s="594" customFormat="1" ht="11.25" customHeight="1">
      <c r="A649" s="616" t="s">
        <v>37099</v>
      </c>
      <c r="B649" s="616" t="s">
        <v>37098</v>
      </c>
      <c r="C649" s="612">
        <v>2535</v>
      </c>
    </row>
    <row r="650" spans="1:3" s="594" customFormat="1" ht="11.25" customHeight="1">
      <c r="A650" s="619" t="s">
        <v>37097</v>
      </c>
      <c r="B650" s="619" t="s">
        <v>37096</v>
      </c>
      <c r="C650" s="612">
        <v>2311</v>
      </c>
    </row>
    <row r="651" spans="1:3" s="594" customFormat="1" ht="11.25" customHeight="1">
      <c r="A651" s="616" t="s">
        <v>37095</v>
      </c>
      <c r="B651" s="616" t="s">
        <v>37094</v>
      </c>
      <c r="C651" s="612">
        <v>2311</v>
      </c>
    </row>
    <row r="652" spans="1:3" s="594" customFormat="1">
      <c r="A652" s="616" t="s">
        <v>37093</v>
      </c>
      <c r="B652" s="616" t="s">
        <v>37092</v>
      </c>
      <c r="C652" s="612">
        <v>669</v>
      </c>
    </row>
    <row r="653" spans="1:3" s="594" customFormat="1">
      <c r="A653" s="616" t="s">
        <v>37091</v>
      </c>
      <c r="B653" s="616" t="s">
        <v>37090</v>
      </c>
      <c r="C653" s="612">
        <v>1661</v>
      </c>
    </row>
    <row r="654" spans="1:3" s="594" customFormat="1">
      <c r="A654" s="616" t="s">
        <v>37089</v>
      </c>
      <c r="B654" s="616" t="s">
        <v>37088</v>
      </c>
      <c r="C654" s="612">
        <v>1661</v>
      </c>
    </row>
    <row r="655" spans="1:3" s="594" customFormat="1">
      <c r="A655" s="608"/>
      <c r="B655" s="608"/>
      <c r="C655" s="607"/>
    </row>
    <row r="656" spans="1:3" s="594" customFormat="1" ht="11.25" customHeight="1" thickBot="1">
      <c r="A656" s="605" t="s">
        <v>37087</v>
      </c>
      <c r="B656" s="605"/>
      <c r="C656" s="606"/>
    </row>
    <row r="657" spans="1:3" s="594" customFormat="1" ht="11.25" customHeight="1">
      <c r="A657" s="619" t="s">
        <v>36554</v>
      </c>
      <c r="B657" s="619" t="s">
        <v>36553</v>
      </c>
      <c r="C657" s="612">
        <v>250</v>
      </c>
    </row>
    <row r="658" spans="1:3" s="594" customFormat="1" ht="11.25" customHeight="1">
      <c r="A658" s="611"/>
      <c r="C658" s="607"/>
    </row>
    <row r="659" spans="1:3" s="594" customFormat="1" ht="11.25" customHeight="1" thickBot="1">
      <c r="A659" s="655" t="s">
        <v>37086</v>
      </c>
      <c r="B659" s="655"/>
      <c r="C659" s="604"/>
    </row>
    <row r="660" spans="1:3" s="594" customFormat="1" ht="11.25" customHeight="1">
      <c r="A660" s="638" t="s">
        <v>37085</v>
      </c>
      <c r="B660" s="638" t="s">
        <v>37084</v>
      </c>
      <c r="C660" s="612">
        <v>340</v>
      </c>
    </row>
    <row r="661" spans="1:3" s="594" customFormat="1" ht="11.25" customHeight="1">
      <c r="A661" s="637" t="s">
        <v>37083</v>
      </c>
      <c r="B661" s="637" t="s">
        <v>36962</v>
      </c>
      <c r="C661" s="612">
        <v>340</v>
      </c>
    </row>
    <row r="662" spans="1:3" s="594" customFormat="1" ht="11.25" customHeight="1">
      <c r="A662" s="637" t="s">
        <v>37082</v>
      </c>
      <c r="B662" s="637" t="s">
        <v>37081</v>
      </c>
      <c r="C662" s="612">
        <v>340</v>
      </c>
    </row>
    <row r="663" spans="1:3" s="594" customFormat="1" ht="11.25" customHeight="1">
      <c r="A663" s="637" t="s">
        <v>37080</v>
      </c>
      <c r="B663" s="637" t="s">
        <v>36958</v>
      </c>
      <c r="C663" s="612">
        <v>340</v>
      </c>
    </row>
    <row r="664" spans="1:3" ht="11.25" customHeight="1">
      <c r="A664" s="637" t="s">
        <v>37079</v>
      </c>
      <c r="B664" s="637" t="s">
        <v>37078</v>
      </c>
      <c r="C664" s="612">
        <v>198</v>
      </c>
    </row>
    <row r="665" spans="1:3" ht="11.25" customHeight="1">
      <c r="A665" s="648"/>
      <c r="B665" s="648"/>
      <c r="C665" s="607"/>
    </row>
    <row r="666" spans="1:3" s="594" customFormat="1" ht="11.25" customHeight="1" thickBot="1">
      <c r="A666" s="655" t="s">
        <v>36653</v>
      </c>
      <c r="B666" s="655"/>
      <c r="C666" s="604"/>
    </row>
    <row r="667" spans="1:3" s="594" customFormat="1" ht="11.25" customHeight="1">
      <c r="A667" s="638" t="s">
        <v>37077</v>
      </c>
      <c r="B667" s="638" t="s">
        <v>37076</v>
      </c>
      <c r="C667" s="612">
        <v>538</v>
      </c>
    </row>
    <row r="668" spans="1:3" s="594" customFormat="1" ht="11.25" customHeight="1">
      <c r="A668" s="648"/>
      <c r="B668" s="648"/>
      <c r="C668" s="607"/>
    </row>
    <row r="669" spans="1:3" ht="11.25" customHeight="1" thickBot="1">
      <c r="A669" s="655" t="s">
        <v>36650</v>
      </c>
      <c r="B669" s="655"/>
      <c r="C669" s="604"/>
    </row>
    <row r="670" spans="1:3" s="594" customFormat="1" ht="11.25" customHeight="1">
      <c r="A670" s="619" t="s">
        <v>37075</v>
      </c>
      <c r="B670" s="619" t="s">
        <v>36648</v>
      </c>
      <c r="C670" s="612">
        <v>2616</v>
      </c>
    </row>
    <row r="671" spans="1:3" s="594" customFormat="1" ht="11.25" customHeight="1">
      <c r="A671" s="616" t="s">
        <v>37074</v>
      </c>
      <c r="B671" s="616" t="s">
        <v>36646</v>
      </c>
      <c r="C671" s="612">
        <v>2616</v>
      </c>
    </row>
    <row r="672" spans="1:3" s="594" customFormat="1" ht="11.25" customHeight="1">
      <c r="A672" s="592"/>
      <c r="B672" s="678"/>
      <c r="C672" s="607"/>
    </row>
    <row r="673" spans="1:3" s="594" customFormat="1" ht="11.25" customHeight="1" thickBot="1">
      <c r="A673" s="605" t="s">
        <v>37073</v>
      </c>
      <c r="B673" s="605"/>
      <c r="C673" s="604"/>
    </row>
    <row r="674" spans="1:3" s="594" customFormat="1" ht="11.25" customHeight="1">
      <c r="A674" s="619" t="s">
        <v>37072</v>
      </c>
      <c r="B674" s="619" t="s">
        <v>36721</v>
      </c>
      <c r="C674" s="612">
        <v>583</v>
      </c>
    </row>
    <row r="675" spans="1:3" s="594" customFormat="1" ht="11.25" customHeight="1">
      <c r="A675" s="616" t="s">
        <v>37071</v>
      </c>
      <c r="B675" s="616" t="s">
        <v>37070</v>
      </c>
      <c r="C675" s="612">
        <v>1307</v>
      </c>
    </row>
    <row r="676" spans="1:3" s="594" customFormat="1" ht="11.25" customHeight="1">
      <c r="A676" s="616" t="s">
        <v>37069</v>
      </c>
      <c r="B676" s="616" t="s">
        <v>37068</v>
      </c>
      <c r="C676" s="612">
        <v>1307</v>
      </c>
    </row>
    <row r="677" spans="1:3" ht="11.25" customHeight="1">
      <c r="A677" s="616" t="s">
        <v>37067</v>
      </c>
      <c r="B677" s="616" t="s">
        <v>37066</v>
      </c>
      <c r="C677" s="612">
        <v>1307</v>
      </c>
    </row>
    <row r="678" spans="1:3" ht="11.25" customHeight="1">
      <c r="A678" s="616" t="s">
        <v>37065</v>
      </c>
      <c r="B678" s="616" t="s">
        <v>37064</v>
      </c>
      <c r="C678" s="612">
        <v>1803</v>
      </c>
    </row>
    <row r="679" spans="1:3" s="594" customFormat="1" ht="11.25" customHeight="1">
      <c r="A679" s="616" t="s">
        <v>37063</v>
      </c>
      <c r="B679" s="616" t="s">
        <v>37062</v>
      </c>
      <c r="C679" s="612">
        <v>1803</v>
      </c>
    </row>
    <row r="680" spans="1:3" s="594" customFormat="1" ht="11.25" customHeight="1">
      <c r="A680" s="616" t="s">
        <v>37061</v>
      </c>
      <c r="B680" s="616" t="s">
        <v>37060</v>
      </c>
      <c r="C680" s="612">
        <v>1803</v>
      </c>
    </row>
    <row r="681" spans="1:3" s="594" customFormat="1" ht="11.25" customHeight="1">
      <c r="A681" s="608"/>
      <c r="B681" s="608"/>
      <c r="C681" s="607"/>
    </row>
    <row r="682" spans="1:3" s="594" customFormat="1" ht="11.25" customHeight="1" thickBot="1">
      <c r="A682" s="605" t="s">
        <v>37059</v>
      </c>
      <c r="B682" s="605"/>
      <c r="C682" s="604"/>
    </row>
    <row r="683" spans="1:3" s="594" customFormat="1" ht="11.25" customHeight="1">
      <c r="A683" s="619" t="s">
        <v>37058</v>
      </c>
      <c r="B683" s="619" t="s">
        <v>37057</v>
      </c>
      <c r="C683" s="612">
        <v>1136</v>
      </c>
    </row>
    <row r="684" spans="1:3" s="594" customFormat="1" ht="11.25" customHeight="1">
      <c r="A684" s="608"/>
      <c r="B684" s="608"/>
      <c r="C684" s="607"/>
    </row>
    <row r="685" spans="1:3" s="594" customFormat="1" ht="11.25" customHeight="1" thickBot="1">
      <c r="A685" s="605" t="s">
        <v>37056</v>
      </c>
      <c r="B685" s="605"/>
      <c r="C685" s="604"/>
    </row>
    <row r="686" spans="1:3" s="594" customFormat="1" ht="11.25" customHeight="1">
      <c r="A686" s="633" t="s">
        <v>37055</v>
      </c>
      <c r="B686" s="633" t="s">
        <v>37054</v>
      </c>
      <c r="C686" s="612">
        <v>1327</v>
      </c>
    </row>
    <row r="687" spans="1:3" s="594" customFormat="1" ht="11.25" customHeight="1">
      <c r="A687" s="632" t="s">
        <v>37053</v>
      </c>
      <c r="B687" s="632" t="s">
        <v>37052</v>
      </c>
      <c r="C687" s="612">
        <v>1327</v>
      </c>
    </row>
    <row r="688" spans="1:3" s="594" customFormat="1" ht="11.25" customHeight="1">
      <c r="A688" s="632" t="s">
        <v>37051</v>
      </c>
      <c r="B688" s="632" t="s">
        <v>37050</v>
      </c>
      <c r="C688" s="612">
        <v>1327</v>
      </c>
    </row>
    <row r="689" spans="1:3" s="594" customFormat="1" ht="11.25" customHeight="1">
      <c r="A689" s="632" t="s">
        <v>37049</v>
      </c>
      <c r="B689" s="632" t="s">
        <v>37048</v>
      </c>
      <c r="C689" s="612">
        <v>637</v>
      </c>
    </row>
    <row r="690" spans="1:3" s="594" customFormat="1" ht="11.25" customHeight="1">
      <c r="A690" s="632" t="s">
        <v>37047</v>
      </c>
      <c r="B690" s="632" t="s">
        <v>37046</v>
      </c>
      <c r="C690" s="612">
        <v>637</v>
      </c>
    </row>
    <row r="691" spans="1:3" s="594" customFormat="1" ht="11.25" customHeight="1">
      <c r="A691" s="592"/>
      <c r="B691" s="592"/>
      <c r="C691" s="607"/>
    </row>
    <row r="692" spans="1:3" s="594" customFormat="1" ht="11.25" customHeight="1" thickBot="1">
      <c r="A692" s="605" t="s">
        <v>36632</v>
      </c>
      <c r="B692" s="605"/>
      <c r="C692" s="604"/>
    </row>
    <row r="693" spans="1:3">
      <c r="A693" s="619" t="s">
        <v>37045</v>
      </c>
      <c r="B693" s="619" t="s">
        <v>37044</v>
      </c>
      <c r="C693" s="612">
        <v>660</v>
      </c>
    </row>
    <row r="694" spans="1:3" ht="11.25" customHeight="1">
      <c r="A694" s="616" t="s">
        <v>37043</v>
      </c>
      <c r="B694" s="616" t="s">
        <v>37042</v>
      </c>
      <c r="C694" s="612">
        <v>660</v>
      </c>
    </row>
    <row r="695" spans="1:3" s="594" customFormat="1" ht="11.25" customHeight="1">
      <c r="A695" s="592"/>
      <c r="B695" s="592"/>
      <c r="C695" s="607"/>
    </row>
    <row r="696" spans="1:3" s="594" customFormat="1" ht="18" customHeight="1">
      <c r="A696" s="611" t="s">
        <v>37041</v>
      </c>
      <c r="C696" s="607"/>
    </row>
    <row r="697" spans="1:3" s="594" customFormat="1" ht="11.25" customHeight="1">
      <c r="A697" s="611"/>
      <c r="C697" s="607"/>
    </row>
    <row r="698" spans="1:3" s="594" customFormat="1" ht="11.25" customHeight="1" thickBot="1">
      <c r="A698" s="605" t="s">
        <v>36627</v>
      </c>
      <c r="B698" s="605"/>
      <c r="C698" s="604"/>
    </row>
    <row r="699" spans="1:3" ht="11.25" customHeight="1">
      <c r="A699" s="633" t="s">
        <v>37040</v>
      </c>
      <c r="B699" s="633" t="s">
        <v>37039</v>
      </c>
      <c r="C699" s="612">
        <v>713</v>
      </c>
    </row>
    <row r="700" spans="1:3" s="594" customFormat="1" ht="11.25" customHeight="1">
      <c r="A700" s="616" t="s">
        <v>37038</v>
      </c>
      <c r="B700" s="616" t="s">
        <v>37037</v>
      </c>
      <c r="C700" s="612">
        <v>979</v>
      </c>
    </row>
    <row r="701" spans="1:3" s="594" customFormat="1" ht="11.25" customHeight="1">
      <c r="A701" s="608"/>
      <c r="B701" s="608"/>
      <c r="C701" s="607"/>
    </row>
    <row r="702" spans="1:3" s="594" customFormat="1" ht="11.25" customHeight="1" thickBot="1">
      <c r="A702" s="605" t="s">
        <v>37036</v>
      </c>
      <c r="B702" s="605"/>
      <c r="C702" s="604"/>
    </row>
    <row r="703" spans="1:3" s="594" customFormat="1" ht="11.25" customHeight="1">
      <c r="A703" s="616" t="s">
        <v>37035</v>
      </c>
      <c r="B703" s="616" t="s">
        <v>37034</v>
      </c>
      <c r="C703" s="612">
        <v>1648</v>
      </c>
    </row>
    <row r="704" spans="1:3" ht="11.25" customHeight="1">
      <c r="A704" s="632" t="s">
        <v>37033</v>
      </c>
      <c r="B704" s="632" t="s">
        <v>37032</v>
      </c>
      <c r="C704" s="612">
        <v>3642</v>
      </c>
    </row>
    <row r="705" spans="1:3" ht="11.25" customHeight="1">
      <c r="C705" s="607"/>
    </row>
    <row r="706" spans="1:3" s="719" customFormat="1" ht="11.15" customHeight="1" thickBot="1">
      <c r="A706" s="1088" t="s">
        <v>37031</v>
      </c>
      <c r="B706" s="1088"/>
      <c r="C706" s="1089">
        <v>0</v>
      </c>
    </row>
    <row r="707" spans="1:3" s="719" customFormat="1" ht="11.15" customHeight="1">
      <c r="A707" s="637" t="s">
        <v>37030</v>
      </c>
      <c r="B707" s="637" t="s">
        <v>37029</v>
      </c>
      <c r="C707" s="649">
        <v>1700</v>
      </c>
    </row>
    <row r="708" spans="1:3" s="719" customFormat="1" ht="11.15" customHeight="1">
      <c r="A708" s="637" t="s">
        <v>37028</v>
      </c>
      <c r="B708" s="637" t="s">
        <v>37027</v>
      </c>
      <c r="C708" s="649">
        <v>1803</v>
      </c>
    </row>
    <row r="709" spans="1:3" s="719" customFormat="1" ht="11.15" customHeight="1">
      <c r="A709" s="637" t="s">
        <v>37026</v>
      </c>
      <c r="B709" s="637" t="s">
        <v>37025</v>
      </c>
      <c r="C709" s="649">
        <v>2059</v>
      </c>
    </row>
    <row r="710" spans="1:3" s="719" customFormat="1" ht="11.15" customHeight="1">
      <c r="A710" s="637" t="s">
        <v>36614</v>
      </c>
      <c r="B710" s="637" t="s">
        <v>37024</v>
      </c>
      <c r="C710" s="649">
        <v>1442</v>
      </c>
    </row>
    <row r="711" spans="1:3" s="719" customFormat="1" ht="11.15" customHeight="1">
      <c r="A711" s="637" t="s">
        <v>36612</v>
      </c>
      <c r="B711" s="637" t="s">
        <v>36611</v>
      </c>
      <c r="C711" s="649">
        <v>1545</v>
      </c>
    </row>
    <row r="712" spans="1:3" s="719" customFormat="1" ht="11.15" customHeight="1">
      <c r="A712" s="637" t="s">
        <v>36610</v>
      </c>
      <c r="B712" s="637" t="s">
        <v>36609</v>
      </c>
      <c r="C712" s="649">
        <v>1803</v>
      </c>
    </row>
    <row r="713" spans="1:3" s="719" customFormat="1" ht="11.15" customHeight="1">
      <c r="A713" s="637" t="s">
        <v>37023</v>
      </c>
      <c r="B713" s="637" t="s">
        <v>37022</v>
      </c>
      <c r="C713" s="649">
        <v>181</v>
      </c>
    </row>
    <row r="714" spans="1:3" s="719" customFormat="1" ht="11.15" customHeight="1">
      <c r="A714" s="637" t="s">
        <v>37021</v>
      </c>
      <c r="B714" s="637" t="s">
        <v>37020</v>
      </c>
      <c r="C714" s="649">
        <v>232</v>
      </c>
    </row>
    <row r="715" spans="1:3" s="719" customFormat="1" ht="11.15" customHeight="1">
      <c r="A715" s="637" t="s">
        <v>36604</v>
      </c>
      <c r="B715" s="637" t="s">
        <v>36603</v>
      </c>
      <c r="C715" s="650">
        <v>170</v>
      </c>
    </row>
    <row r="716" spans="1:3" s="719" customFormat="1" ht="11.15" customHeight="1">
      <c r="A716" s="637" t="s">
        <v>36602</v>
      </c>
      <c r="B716" s="637" t="s">
        <v>36601</v>
      </c>
      <c r="C716" s="649">
        <v>181</v>
      </c>
    </row>
    <row r="717" spans="1:3" s="719" customFormat="1" ht="11.15" customHeight="1">
      <c r="A717" s="637" t="s">
        <v>36600</v>
      </c>
      <c r="B717" s="637" t="s">
        <v>36599</v>
      </c>
      <c r="C717" s="649">
        <v>675</v>
      </c>
    </row>
    <row r="718" spans="1:3" s="719" customFormat="1" ht="11.15" customHeight="1">
      <c r="A718" s="648"/>
      <c r="B718" s="648"/>
      <c r="C718" s="647"/>
    </row>
    <row r="719" spans="1:3" s="594" customFormat="1" ht="11.25" customHeight="1" thickBot="1">
      <c r="A719" s="605" t="s">
        <v>37019</v>
      </c>
      <c r="B719" s="605"/>
      <c r="C719" s="604"/>
    </row>
    <row r="720" spans="1:3" s="594" customFormat="1" ht="11.25" customHeight="1">
      <c r="A720" s="638" t="s">
        <v>36529</v>
      </c>
      <c r="B720" s="633" t="s">
        <v>36528</v>
      </c>
      <c r="C720" s="612">
        <v>558</v>
      </c>
    </row>
    <row r="721" spans="1:3" s="594" customFormat="1" ht="11.25" customHeight="1">
      <c r="A721" s="637" t="s">
        <v>36527</v>
      </c>
      <c r="B721" s="632" t="s">
        <v>36526</v>
      </c>
      <c r="C721" s="612">
        <v>558</v>
      </c>
    </row>
    <row r="722" spans="1:3" s="594" customFormat="1" ht="11.25" customHeight="1">
      <c r="A722" s="637" t="s">
        <v>36525</v>
      </c>
      <c r="B722" s="632" t="s">
        <v>36524</v>
      </c>
      <c r="C722" s="612">
        <v>558</v>
      </c>
    </row>
    <row r="723" spans="1:3" s="594" customFormat="1" ht="11.25" customHeight="1">
      <c r="A723" s="637" t="s">
        <v>36523</v>
      </c>
      <c r="B723" s="632" t="s">
        <v>36522</v>
      </c>
      <c r="C723" s="612">
        <v>707</v>
      </c>
    </row>
    <row r="724" spans="1:3" s="594" customFormat="1" ht="11.25" customHeight="1">
      <c r="A724" s="637" t="s">
        <v>36521</v>
      </c>
      <c r="B724" s="632" t="s">
        <v>36520</v>
      </c>
      <c r="C724" s="612">
        <v>707</v>
      </c>
    </row>
    <row r="725" spans="1:3" s="594" customFormat="1" ht="11.25" customHeight="1">
      <c r="A725" s="637" t="s">
        <v>36519</v>
      </c>
      <c r="B725" s="632" t="s">
        <v>36518</v>
      </c>
      <c r="C725" s="612">
        <v>707</v>
      </c>
    </row>
    <row r="726" spans="1:3" s="594" customFormat="1" ht="11.25" customHeight="1">
      <c r="A726" s="592"/>
      <c r="B726" s="592"/>
      <c r="C726" s="607"/>
    </row>
    <row r="727" spans="1:3" s="594" customFormat="1" ht="11.25" customHeight="1" thickBot="1">
      <c r="A727" s="605" t="s">
        <v>37018</v>
      </c>
      <c r="B727" s="605"/>
      <c r="C727" s="604"/>
    </row>
    <row r="728" spans="1:3" s="594" customFormat="1" ht="11.25" customHeight="1">
      <c r="A728" s="633" t="s">
        <v>37017</v>
      </c>
      <c r="B728" s="633" t="s">
        <v>36515</v>
      </c>
      <c r="C728" s="612">
        <v>632</v>
      </c>
    </row>
    <row r="729" spans="1:3" s="594" customFormat="1" ht="11.25" customHeight="1">
      <c r="A729" s="632" t="s">
        <v>37016</v>
      </c>
      <c r="B729" s="632" t="s">
        <v>36513</v>
      </c>
      <c r="C729" s="612">
        <v>632</v>
      </c>
    </row>
    <row r="730" spans="1:3" s="594" customFormat="1" ht="11.25" customHeight="1">
      <c r="A730" s="632" t="s">
        <v>37015</v>
      </c>
      <c r="B730" s="632" t="s">
        <v>36511</v>
      </c>
      <c r="C730" s="612">
        <v>632</v>
      </c>
    </row>
    <row r="731" spans="1:3" s="594" customFormat="1" ht="11.25" customHeight="1">
      <c r="A731" s="632" t="s">
        <v>37014</v>
      </c>
      <c r="B731" s="632" t="s">
        <v>36509</v>
      </c>
      <c r="C731" s="612">
        <v>741</v>
      </c>
    </row>
    <row r="732" spans="1:3" s="594" customFormat="1" ht="11.25" customHeight="1">
      <c r="A732" s="632" t="s">
        <v>37013</v>
      </c>
      <c r="B732" s="632" t="s">
        <v>36507</v>
      </c>
      <c r="C732" s="612">
        <v>741</v>
      </c>
    </row>
    <row r="733" spans="1:3" s="594" customFormat="1" ht="11.25" customHeight="1">
      <c r="A733" s="632" t="s">
        <v>37012</v>
      </c>
      <c r="B733" s="632" t="s">
        <v>36505</v>
      </c>
      <c r="C733" s="612">
        <v>741</v>
      </c>
    </row>
    <row r="734" spans="1:3" s="594" customFormat="1" ht="11.25" customHeight="1">
      <c r="A734" s="592"/>
      <c r="B734" s="592"/>
      <c r="C734" s="607"/>
    </row>
    <row r="735" spans="1:3" s="594" customFormat="1" ht="11.25" customHeight="1" thickBot="1">
      <c r="A735" s="605" t="s">
        <v>36908</v>
      </c>
      <c r="B735" s="605"/>
      <c r="C735" s="604"/>
    </row>
    <row r="736" spans="1:3" s="594" customFormat="1" ht="11.25" customHeight="1">
      <c r="A736" s="633" t="s">
        <v>36946</v>
      </c>
      <c r="B736" s="633" t="s">
        <v>36502</v>
      </c>
      <c r="C736" s="612">
        <v>558</v>
      </c>
    </row>
    <row r="737" spans="1:3" s="594" customFormat="1" ht="11.25" customHeight="1">
      <c r="A737" s="632" t="s">
        <v>36945</v>
      </c>
      <c r="B737" s="632" t="s">
        <v>36500</v>
      </c>
      <c r="C737" s="612">
        <v>558</v>
      </c>
    </row>
    <row r="738" spans="1:3" s="594" customFormat="1" ht="11.25" customHeight="1">
      <c r="A738" s="632" t="s">
        <v>36944</v>
      </c>
      <c r="B738" s="632" t="s">
        <v>36498</v>
      </c>
      <c r="C738" s="612">
        <v>558</v>
      </c>
    </row>
    <row r="739" spans="1:3" s="594" customFormat="1" ht="11.25" customHeight="1">
      <c r="A739" s="632" t="s">
        <v>36943</v>
      </c>
      <c r="B739" s="632" t="s">
        <v>36496</v>
      </c>
      <c r="C739" s="612">
        <v>707</v>
      </c>
    </row>
    <row r="740" spans="1:3" s="594" customFormat="1">
      <c r="A740" s="632" t="s">
        <v>36942</v>
      </c>
      <c r="B740" s="616" t="s">
        <v>36494</v>
      </c>
      <c r="C740" s="612">
        <v>707</v>
      </c>
    </row>
    <row r="741" spans="1:3" s="594" customFormat="1" ht="11.25" customHeight="1">
      <c r="A741" s="616" t="s">
        <v>36941</v>
      </c>
      <c r="B741" s="616" t="s">
        <v>36492</v>
      </c>
      <c r="C741" s="612">
        <v>707</v>
      </c>
    </row>
    <row r="742" spans="1:3" s="594" customFormat="1" ht="18" customHeight="1">
      <c r="A742" s="611" t="s">
        <v>36977</v>
      </c>
      <c r="B742" s="681"/>
      <c r="C742" s="680">
        <v>0</v>
      </c>
    </row>
    <row r="743" spans="1:3" s="594" customFormat="1" ht="11.25" customHeight="1">
      <c r="A743" s="608"/>
      <c r="B743" s="608"/>
      <c r="C743" s="607"/>
    </row>
    <row r="744" spans="1:3" s="594" customFormat="1" ht="11.25" customHeight="1" thickBot="1">
      <c r="A744" s="605" t="s">
        <v>36697</v>
      </c>
      <c r="B744" s="605"/>
      <c r="C744" s="606"/>
    </row>
    <row r="745" spans="1:3" s="594" customFormat="1" ht="11.25" customHeight="1">
      <c r="A745" s="679" t="s">
        <v>37011</v>
      </c>
      <c r="B745" s="678"/>
      <c r="C745" s="677"/>
    </row>
    <row r="746" spans="1:3" s="594" customFormat="1" ht="11.25" customHeight="1">
      <c r="A746" s="644" t="s">
        <v>37010</v>
      </c>
      <c r="B746" s="676"/>
      <c r="C746" s="675"/>
    </row>
    <row r="747" spans="1:3" s="594" customFormat="1" ht="11.25" customHeight="1">
      <c r="A747" s="632" t="s">
        <v>37009</v>
      </c>
      <c r="B747" s="632" t="s">
        <v>37008</v>
      </c>
      <c r="C747" s="612">
        <v>7815</v>
      </c>
    </row>
    <row r="748" spans="1:3" s="594" customFormat="1" ht="11.25" customHeight="1">
      <c r="A748" s="592"/>
      <c r="B748" s="592"/>
      <c r="C748" s="607"/>
    </row>
    <row r="749" spans="1:3" s="594" customFormat="1" ht="11.25" customHeight="1" thickBot="1">
      <c r="A749" s="655" t="s">
        <v>37007</v>
      </c>
      <c r="B749" s="655"/>
      <c r="C749" s="666"/>
    </row>
    <row r="750" spans="1:3" s="594" customFormat="1" ht="11.25" customHeight="1">
      <c r="A750" s="718" t="s">
        <v>37006</v>
      </c>
      <c r="B750" s="717"/>
      <c r="C750" s="716"/>
    </row>
    <row r="751" spans="1:3" s="594" customFormat="1" ht="11.25" customHeight="1">
      <c r="A751" s="715" t="s">
        <v>37005</v>
      </c>
      <c r="B751" s="714"/>
      <c r="C751" s="713"/>
    </row>
    <row r="752" spans="1:3" s="594" customFormat="1" ht="11.25" customHeight="1">
      <c r="A752" s="637" t="s">
        <v>37004</v>
      </c>
      <c r="B752" s="637" t="s">
        <v>37003</v>
      </c>
      <c r="C752" s="612">
        <v>3645</v>
      </c>
    </row>
    <row r="753" spans="1:3" s="594" customFormat="1" ht="11.25" customHeight="1">
      <c r="A753" s="637" t="s">
        <v>37002</v>
      </c>
      <c r="B753" s="637" t="s">
        <v>37001</v>
      </c>
      <c r="C753" s="612">
        <v>4806</v>
      </c>
    </row>
    <row r="754" spans="1:3" s="594" customFormat="1" ht="11.25" customHeight="1">
      <c r="A754" s="637" t="s">
        <v>37000</v>
      </c>
      <c r="B754" s="637" t="s">
        <v>36802</v>
      </c>
      <c r="C754" s="612">
        <v>3283</v>
      </c>
    </row>
    <row r="755" spans="1:3" s="594" customFormat="1" ht="11.25" customHeight="1">
      <c r="A755" s="637" t="s">
        <v>36999</v>
      </c>
      <c r="B755" s="637" t="s">
        <v>36998</v>
      </c>
      <c r="C755" s="612">
        <v>4375</v>
      </c>
    </row>
    <row r="756" spans="1:3" s="594" customFormat="1" ht="11.25" customHeight="1">
      <c r="A756" s="648"/>
      <c r="B756" s="648"/>
      <c r="C756" s="647"/>
    </row>
    <row r="757" spans="1:3" s="594" customFormat="1" ht="11.25" customHeight="1" thickBot="1">
      <c r="A757" s="655" t="s">
        <v>36686</v>
      </c>
      <c r="B757" s="655"/>
      <c r="C757" s="666"/>
    </row>
    <row r="758" spans="1:3" s="594" customFormat="1" ht="11.25" customHeight="1">
      <c r="A758" s="638" t="s">
        <v>36899</v>
      </c>
      <c r="B758" s="665" t="s">
        <v>36572</v>
      </c>
      <c r="C758" s="612">
        <v>5177</v>
      </c>
    </row>
    <row r="759" spans="1:3" s="594" customFormat="1" ht="11.25" customHeight="1">
      <c r="A759" s="637" t="s">
        <v>36898</v>
      </c>
      <c r="B759" s="664" t="s">
        <v>36570</v>
      </c>
      <c r="C759" s="612">
        <v>5177</v>
      </c>
    </row>
    <row r="760" spans="1:3" s="594" customFormat="1" ht="11.25" customHeight="1">
      <c r="A760" s="637" t="s">
        <v>36897</v>
      </c>
      <c r="B760" s="664" t="s">
        <v>36568</v>
      </c>
      <c r="C760" s="612">
        <v>5177</v>
      </c>
    </row>
    <row r="761" spans="1:3" s="594" customFormat="1" ht="11.25" customHeight="1">
      <c r="A761" s="616" t="s">
        <v>36896</v>
      </c>
      <c r="B761" s="618" t="s">
        <v>36566</v>
      </c>
      <c r="C761" s="612">
        <v>5177</v>
      </c>
    </row>
    <row r="762" spans="1:3" s="594" customFormat="1" ht="11.25" customHeight="1">
      <c r="A762" s="616" t="s">
        <v>36895</v>
      </c>
      <c r="B762" s="618" t="s">
        <v>36564</v>
      </c>
      <c r="C762" s="612">
        <v>5177</v>
      </c>
    </row>
    <row r="763" spans="1:3" s="594" customFormat="1" ht="11.25" customHeight="1">
      <c r="A763" s="616" t="s">
        <v>36894</v>
      </c>
      <c r="B763" s="618" t="s">
        <v>36562</v>
      </c>
      <c r="C763" s="612">
        <v>5177</v>
      </c>
    </row>
    <row r="764" spans="1:3" s="594" customFormat="1" ht="11.25" customHeight="1">
      <c r="A764" s="616" t="s">
        <v>36893</v>
      </c>
      <c r="B764" s="618" t="s">
        <v>36560</v>
      </c>
      <c r="C764" s="612">
        <v>5177</v>
      </c>
    </row>
    <row r="765" spans="1:3" s="594" customFormat="1" ht="11.25" customHeight="1">
      <c r="A765" s="616" t="s">
        <v>36892</v>
      </c>
      <c r="B765" s="618" t="s">
        <v>36558</v>
      </c>
      <c r="C765" s="612">
        <v>5177</v>
      </c>
    </row>
    <row r="766" spans="1:3" s="594" customFormat="1" ht="11.25" customHeight="1">
      <c r="A766" s="616" t="s">
        <v>36891</v>
      </c>
      <c r="B766" s="618" t="s">
        <v>36556</v>
      </c>
      <c r="C766" s="612">
        <v>5177</v>
      </c>
    </row>
    <row r="767" spans="1:3" s="594" customFormat="1" ht="11.25" customHeight="1">
      <c r="A767" s="608"/>
      <c r="B767" s="608"/>
      <c r="C767" s="607"/>
    </row>
    <row r="768" spans="1:3" s="594" customFormat="1" ht="11.25" customHeight="1" thickBot="1">
      <c r="A768" s="645" t="s">
        <v>36997</v>
      </c>
      <c r="B768" s="645"/>
      <c r="C768" s="682"/>
    </row>
    <row r="769" spans="1:3" s="594" customFormat="1" ht="11.25" customHeight="1">
      <c r="A769" s="619" t="s">
        <v>36890</v>
      </c>
      <c r="B769" s="613" t="s">
        <v>36784</v>
      </c>
      <c r="C769" s="612">
        <v>1165</v>
      </c>
    </row>
    <row r="770" spans="1:3" s="594" customFormat="1" ht="11.25" customHeight="1">
      <c r="A770" s="616" t="s">
        <v>36889</v>
      </c>
      <c r="B770" s="618" t="s">
        <v>36570</v>
      </c>
      <c r="C770" s="612">
        <v>1139</v>
      </c>
    </row>
    <row r="771" spans="1:3" s="594" customFormat="1" ht="11.25" customHeight="1">
      <c r="A771" s="616" t="s">
        <v>36888</v>
      </c>
      <c r="B771" s="618" t="s">
        <v>36568</v>
      </c>
      <c r="C771" s="612">
        <v>1165</v>
      </c>
    </row>
    <row r="772" spans="1:3" s="594" customFormat="1" ht="11.25" customHeight="1">
      <c r="A772" s="616" t="s">
        <v>36887</v>
      </c>
      <c r="B772" s="618" t="s">
        <v>36566</v>
      </c>
      <c r="C772" s="612">
        <v>1139</v>
      </c>
    </row>
    <row r="773" spans="1:3" s="594" customFormat="1" ht="11.25" customHeight="1">
      <c r="A773" s="616" t="s">
        <v>36886</v>
      </c>
      <c r="B773" s="618" t="s">
        <v>36564</v>
      </c>
      <c r="C773" s="612">
        <v>1165</v>
      </c>
    </row>
    <row r="774" spans="1:3" s="594" customFormat="1" ht="11.25" customHeight="1">
      <c r="A774" s="616" t="s">
        <v>36885</v>
      </c>
      <c r="B774" s="618" t="s">
        <v>36562</v>
      </c>
      <c r="C774" s="612">
        <v>1139</v>
      </c>
    </row>
    <row r="775" spans="1:3" s="594" customFormat="1" ht="11.25" customHeight="1">
      <c r="A775" s="616" t="s">
        <v>36884</v>
      </c>
      <c r="B775" s="618" t="s">
        <v>36560</v>
      </c>
      <c r="C775" s="612">
        <v>1232</v>
      </c>
    </row>
    <row r="776" spans="1:3" s="594" customFormat="1" ht="11.25" customHeight="1">
      <c r="A776" s="616" t="s">
        <v>36883</v>
      </c>
      <c r="B776" s="618" t="s">
        <v>36558</v>
      </c>
      <c r="C776" s="612">
        <v>1165</v>
      </c>
    </row>
    <row r="777" spans="1:3" s="594" customFormat="1" ht="11.25" customHeight="1">
      <c r="A777" s="616" t="s">
        <v>36882</v>
      </c>
      <c r="B777" s="618" t="s">
        <v>36556</v>
      </c>
      <c r="C777" s="612">
        <v>1232</v>
      </c>
    </row>
    <row r="778" spans="1:3" s="594" customFormat="1" ht="11.25" customHeight="1">
      <c r="A778" s="608"/>
      <c r="B778" s="608"/>
      <c r="C778" s="607"/>
    </row>
    <row r="779" spans="1:3" s="594" customFormat="1" ht="11.25" customHeight="1" thickBot="1">
      <c r="A779" s="645" t="s">
        <v>36773</v>
      </c>
      <c r="B779" s="645"/>
      <c r="C779" s="604"/>
    </row>
    <row r="780" spans="1:3" s="594" customFormat="1" ht="11.25" customHeight="1">
      <c r="A780" s="619" t="s">
        <v>36996</v>
      </c>
      <c r="B780" s="613" t="s">
        <v>36572</v>
      </c>
      <c r="C780" s="612">
        <v>1165</v>
      </c>
    </row>
    <row r="781" spans="1:3" s="594" customFormat="1" ht="11.25" customHeight="1">
      <c r="A781" s="616" t="s">
        <v>36995</v>
      </c>
      <c r="B781" s="618" t="s">
        <v>36570</v>
      </c>
      <c r="C781" s="612">
        <v>1139</v>
      </c>
    </row>
    <row r="782" spans="1:3" s="594" customFormat="1" ht="11.25" customHeight="1">
      <c r="A782" s="616" t="s">
        <v>36994</v>
      </c>
      <c r="B782" s="618" t="s">
        <v>36568</v>
      </c>
      <c r="C782" s="612">
        <v>1165</v>
      </c>
    </row>
    <row r="783" spans="1:3" s="594" customFormat="1" ht="11.25" customHeight="1">
      <c r="A783" s="616" t="s">
        <v>36993</v>
      </c>
      <c r="B783" s="618" t="s">
        <v>36566</v>
      </c>
      <c r="C783" s="612">
        <v>1139</v>
      </c>
    </row>
    <row r="784" spans="1:3" s="594" customFormat="1" ht="11.25" customHeight="1">
      <c r="A784" s="616" t="s">
        <v>36992</v>
      </c>
      <c r="B784" s="618" t="s">
        <v>36564</v>
      </c>
      <c r="C784" s="612">
        <v>1165</v>
      </c>
    </row>
    <row r="785" spans="1:3" s="594" customFormat="1" ht="11.25" customHeight="1">
      <c r="A785" s="616" t="s">
        <v>36991</v>
      </c>
      <c r="B785" s="618" t="s">
        <v>36562</v>
      </c>
      <c r="C785" s="612">
        <v>1139</v>
      </c>
    </row>
    <row r="786" spans="1:3" s="594" customFormat="1" ht="11.25" customHeight="1">
      <c r="A786" s="616" t="s">
        <v>36990</v>
      </c>
      <c r="B786" s="618" t="s">
        <v>36560</v>
      </c>
      <c r="C786" s="612">
        <v>1232</v>
      </c>
    </row>
    <row r="787" spans="1:3" s="594" customFormat="1" ht="11.25" customHeight="1">
      <c r="A787" s="616" t="s">
        <v>36989</v>
      </c>
      <c r="B787" s="618" t="s">
        <v>36558</v>
      </c>
      <c r="C787" s="612">
        <v>1165</v>
      </c>
    </row>
    <row r="788" spans="1:3" s="594" customFormat="1" ht="11.25" customHeight="1">
      <c r="A788" s="616" t="s">
        <v>36988</v>
      </c>
      <c r="B788" s="618" t="s">
        <v>36556</v>
      </c>
      <c r="C788" s="612">
        <v>1232</v>
      </c>
    </row>
    <row r="789" spans="1:3" s="594" customFormat="1" ht="11.25" customHeight="1">
      <c r="A789" s="608"/>
      <c r="B789" s="629"/>
      <c r="C789" s="607"/>
    </row>
    <row r="790" spans="1:3" s="594" customFormat="1" ht="11.25" customHeight="1" thickBot="1">
      <c r="A790" s="645" t="s">
        <v>36987</v>
      </c>
      <c r="B790" s="645"/>
      <c r="C790" s="604"/>
    </row>
    <row r="791" spans="1:3" s="594" customFormat="1" ht="11.25" customHeight="1">
      <c r="A791" s="619" t="s">
        <v>36986</v>
      </c>
      <c r="B791" s="613" t="s">
        <v>36572</v>
      </c>
      <c r="C791" s="612">
        <v>1018</v>
      </c>
    </row>
    <row r="792" spans="1:3" s="594" customFormat="1" ht="11.25" customHeight="1">
      <c r="A792" s="616" t="s">
        <v>36985</v>
      </c>
      <c r="B792" s="618" t="s">
        <v>36570</v>
      </c>
      <c r="C792" s="612">
        <v>989</v>
      </c>
    </row>
    <row r="793" spans="1:3" s="594" customFormat="1" ht="11.25" customHeight="1">
      <c r="A793" s="616" t="s">
        <v>36984</v>
      </c>
      <c r="B793" s="618" t="s">
        <v>36568</v>
      </c>
      <c r="C793" s="612">
        <v>1018</v>
      </c>
    </row>
    <row r="794" spans="1:3" s="594" customFormat="1" ht="11.25" customHeight="1">
      <c r="A794" s="616" t="s">
        <v>36983</v>
      </c>
      <c r="B794" s="618" t="s">
        <v>36566</v>
      </c>
      <c r="C794" s="612">
        <v>989</v>
      </c>
    </row>
    <row r="795" spans="1:3" s="594" customFormat="1" ht="11.25" customHeight="1">
      <c r="A795" s="616" t="s">
        <v>36982</v>
      </c>
      <c r="B795" s="618" t="s">
        <v>36564</v>
      </c>
      <c r="C795" s="612">
        <v>1018</v>
      </c>
    </row>
    <row r="796" spans="1:3" s="594" customFormat="1" ht="11.25" customHeight="1">
      <c r="A796" s="616" t="s">
        <v>36981</v>
      </c>
      <c r="B796" s="618" t="s">
        <v>36562</v>
      </c>
      <c r="C796" s="612">
        <v>989</v>
      </c>
    </row>
    <row r="797" spans="1:3" s="594" customFormat="1" ht="11.25" customHeight="1">
      <c r="A797" s="616" t="s">
        <v>36980</v>
      </c>
      <c r="B797" s="618" t="s">
        <v>36560</v>
      </c>
      <c r="C797" s="612">
        <v>1086</v>
      </c>
    </row>
    <row r="798" spans="1:3" s="594" customFormat="1" ht="11.25" customHeight="1">
      <c r="A798" s="616" t="s">
        <v>36979</v>
      </c>
      <c r="B798" s="618" t="s">
        <v>36558</v>
      </c>
      <c r="C798" s="612">
        <v>1018</v>
      </c>
    </row>
    <row r="799" spans="1:3" s="594" customFormat="1" ht="11.25" customHeight="1">
      <c r="A799" s="616" t="s">
        <v>36978</v>
      </c>
      <c r="B799" s="618" t="s">
        <v>36556</v>
      </c>
      <c r="C799" s="612">
        <v>1086</v>
      </c>
    </row>
    <row r="800" spans="1:3" s="594" customFormat="1" ht="11.25" customHeight="1">
      <c r="A800" s="608"/>
      <c r="B800" s="608"/>
      <c r="C800" s="607"/>
    </row>
    <row r="801" spans="1:3" s="594" customFormat="1" ht="11.25" customHeight="1" thickBot="1">
      <c r="A801" s="605" t="s">
        <v>36555</v>
      </c>
      <c r="B801" s="626"/>
      <c r="C801" s="604"/>
    </row>
    <row r="802" spans="1:3" s="594" customFormat="1" ht="11.25" customHeight="1">
      <c r="A802" s="619" t="s">
        <v>36554</v>
      </c>
      <c r="B802" s="613" t="s">
        <v>36553</v>
      </c>
      <c r="C802" s="612">
        <v>250</v>
      </c>
    </row>
    <row r="803" spans="1:3" s="594" customFormat="1" ht="11.25" customHeight="1">
      <c r="A803" s="608"/>
      <c r="B803" s="629"/>
      <c r="C803" s="607"/>
    </row>
    <row r="804" spans="1:3" s="594" customFormat="1" ht="11.25" customHeight="1" thickBot="1">
      <c r="A804" s="655" t="s">
        <v>36650</v>
      </c>
      <c r="B804" s="655"/>
      <c r="C804" s="604"/>
    </row>
    <row r="805" spans="1:3" s="594" customFormat="1">
      <c r="A805" s="619" t="s">
        <v>36880</v>
      </c>
      <c r="B805" s="613" t="s">
        <v>36648</v>
      </c>
      <c r="C805" s="612">
        <v>2539</v>
      </c>
    </row>
    <row r="806" spans="1:3" s="594" customFormat="1" ht="11.25" customHeight="1">
      <c r="A806" s="616" t="s">
        <v>36879</v>
      </c>
      <c r="B806" s="618" t="s">
        <v>36646</v>
      </c>
      <c r="C806" s="612">
        <v>2539</v>
      </c>
    </row>
    <row r="807" spans="1:3" s="594" customFormat="1" ht="18" customHeight="1">
      <c r="A807" s="611" t="s">
        <v>36977</v>
      </c>
      <c r="B807" s="681"/>
      <c r="C807" s="680">
        <v>0</v>
      </c>
    </row>
    <row r="808" spans="1:3" s="594" customFormat="1" ht="11.25" customHeight="1">
      <c r="A808" s="608"/>
      <c r="B808" s="608"/>
      <c r="C808" s="607"/>
    </row>
    <row r="809" spans="1:3" s="594" customFormat="1" ht="11.25" customHeight="1" thickBot="1">
      <c r="A809" s="645" t="s">
        <v>36976</v>
      </c>
      <c r="B809" s="645"/>
      <c r="C809" s="606"/>
    </row>
    <row r="810" spans="1:3" s="594" customFormat="1" ht="11.25" customHeight="1">
      <c r="A810" s="619" t="s">
        <v>36975</v>
      </c>
      <c r="B810" s="613" t="s">
        <v>36974</v>
      </c>
      <c r="C810" s="612">
        <v>2243</v>
      </c>
    </row>
    <row r="811" spans="1:3" s="594" customFormat="1" ht="11.25" customHeight="1">
      <c r="A811" s="616" t="s">
        <v>36973</v>
      </c>
      <c r="B811" s="618" t="s">
        <v>36972</v>
      </c>
      <c r="C811" s="612">
        <v>2243</v>
      </c>
    </row>
    <row r="812" spans="1:3" s="594" customFormat="1" ht="11.25" customHeight="1">
      <c r="A812" s="616" t="s">
        <v>36971</v>
      </c>
      <c r="B812" s="618" t="s">
        <v>36970</v>
      </c>
      <c r="C812" s="612">
        <v>650</v>
      </c>
    </row>
    <row r="813" spans="1:3" s="594" customFormat="1" ht="11.25" customHeight="1">
      <c r="A813" s="616" t="s">
        <v>36969</v>
      </c>
      <c r="B813" s="618" t="s">
        <v>36968</v>
      </c>
      <c r="C813" s="612">
        <v>1615</v>
      </c>
    </row>
    <row r="814" spans="1:3" s="594" customFormat="1" ht="11.25" customHeight="1">
      <c r="A814" s="616" t="s">
        <v>36967</v>
      </c>
      <c r="B814" s="618" t="s">
        <v>36966</v>
      </c>
      <c r="C814" s="612">
        <v>1615</v>
      </c>
    </row>
    <row r="815" spans="1:3" s="594" customFormat="1" ht="11.25" customHeight="1">
      <c r="A815" s="608"/>
      <c r="B815" s="608"/>
      <c r="C815" s="607"/>
    </row>
    <row r="816" spans="1:3" s="594" customFormat="1" ht="11.25" customHeight="1" thickBot="1">
      <c r="A816" s="655" t="s">
        <v>36733</v>
      </c>
      <c r="B816" s="655"/>
      <c r="C816" s="604"/>
    </row>
    <row r="817" spans="1:3" s="594" customFormat="1" ht="11.25" customHeight="1">
      <c r="A817" s="638" t="s">
        <v>36965</v>
      </c>
      <c r="B817" s="665" t="s">
        <v>36964</v>
      </c>
      <c r="C817" s="612">
        <v>330</v>
      </c>
    </row>
    <row r="818" spans="1:3" s="594" customFormat="1" ht="11.25" customHeight="1">
      <c r="A818" s="637" t="s">
        <v>36963</v>
      </c>
      <c r="B818" s="664" t="s">
        <v>36962</v>
      </c>
      <c r="C818" s="612">
        <v>330</v>
      </c>
    </row>
    <row r="819" spans="1:3" s="594" customFormat="1" ht="11.25" customHeight="1">
      <c r="A819" s="637" t="s">
        <v>36961</v>
      </c>
      <c r="B819" s="637" t="s">
        <v>36960</v>
      </c>
      <c r="C819" s="612">
        <v>330</v>
      </c>
    </row>
    <row r="820" spans="1:3" ht="11.25" customHeight="1">
      <c r="A820" s="637" t="s">
        <v>36959</v>
      </c>
      <c r="B820" s="637" t="s">
        <v>36958</v>
      </c>
      <c r="C820" s="612">
        <v>330</v>
      </c>
    </row>
    <row r="821" spans="1:3" ht="11.25" customHeight="1">
      <c r="A821" s="637" t="s">
        <v>36957</v>
      </c>
      <c r="B821" s="664" t="s">
        <v>36956</v>
      </c>
      <c r="C821" s="612">
        <v>193</v>
      </c>
    </row>
    <row r="822" spans="1:3" s="594" customFormat="1" ht="11.25" customHeight="1">
      <c r="A822" s="648"/>
      <c r="B822" s="648"/>
      <c r="C822" s="607"/>
    </row>
    <row r="823" spans="1:3" s="594" customFormat="1" ht="11.25" customHeight="1" thickBot="1">
      <c r="A823" s="655" t="s">
        <v>36653</v>
      </c>
      <c r="B823" s="655"/>
      <c r="C823" s="604"/>
    </row>
    <row r="824" spans="1:3" s="594" customFormat="1" ht="11.25" customHeight="1">
      <c r="A824" s="638" t="s">
        <v>36955</v>
      </c>
      <c r="B824" s="665" t="s">
        <v>36651</v>
      </c>
      <c r="C824" s="612">
        <v>523</v>
      </c>
    </row>
    <row r="825" spans="1:3" s="594" customFormat="1" ht="11.25" customHeight="1">
      <c r="A825" s="608"/>
      <c r="B825" s="608"/>
      <c r="C825" s="607"/>
    </row>
    <row r="826" spans="1:3" ht="11.25" customHeight="1" thickBot="1">
      <c r="A826" s="605" t="s">
        <v>36632</v>
      </c>
      <c r="B826" s="605"/>
      <c r="C826" s="604"/>
    </row>
    <row r="827" spans="1:3" s="594" customFormat="1" ht="11.25" customHeight="1">
      <c r="A827" s="619" t="s">
        <v>36954</v>
      </c>
      <c r="B827" s="619" t="s">
        <v>36953</v>
      </c>
      <c r="C827" s="612">
        <v>641</v>
      </c>
    </row>
    <row r="828" spans="1:3" ht="11.25" customHeight="1">
      <c r="A828" s="616" t="s">
        <v>36952</v>
      </c>
      <c r="B828" s="616" t="s">
        <v>36875</v>
      </c>
      <c r="C828" s="612">
        <v>641</v>
      </c>
    </row>
    <row r="829" spans="1:3" ht="11.25" customHeight="1">
      <c r="A829" s="608"/>
      <c r="B829" s="608"/>
      <c r="C829" s="607"/>
    </row>
    <row r="830" spans="1:3" s="594" customFormat="1" ht="11.25" customHeight="1" thickBot="1">
      <c r="A830" s="605" t="s">
        <v>36951</v>
      </c>
      <c r="B830" s="605"/>
      <c r="C830" s="604"/>
    </row>
    <row r="831" spans="1:3" s="594" customFormat="1" ht="11.25" customHeight="1">
      <c r="A831" s="633" t="s">
        <v>36950</v>
      </c>
      <c r="B831" s="633" t="s">
        <v>36949</v>
      </c>
      <c r="C831" s="612">
        <v>693</v>
      </c>
    </row>
    <row r="832" spans="1:3" s="594" customFormat="1" ht="11.25" customHeight="1">
      <c r="A832" s="616" t="s">
        <v>36948</v>
      </c>
      <c r="B832" s="616" t="s">
        <v>36947</v>
      </c>
      <c r="C832" s="612">
        <v>949</v>
      </c>
    </row>
    <row r="833" spans="1:3" s="594" customFormat="1" ht="11.25" customHeight="1">
      <c r="A833" s="592"/>
      <c r="B833" s="592"/>
      <c r="C833" s="607"/>
    </row>
    <row r="834" spans="1:3" s="594" customFormat="1" ht="11.25" customHeight="1" thickBot="1">
      <c r="A834" s="605" t="s">
        <v>36530</v>
      </c>
      <c r="B834" s="605"/>
      <c r="C834" s="604"/>
    </row>
    <row r="835" spans="1:3" s="594" customFormat="1" ht="11.25" customHeight="1">
      <c r="A835" s="638" t="s">
        <v>36529</v>
      </c>
      <c r="B835" s="633" t="s">
        <v>36528</v>
      </c>
      <c r="C835" s="612">
        <v>558</v>
      </c>
    </row>
    <row r="836" spans="1:3" s="594" customFormat="1" ht="11.25" customHeight="1">
      <c r="A836" s="637" t="s">
        <v>36527</v>
      </c>
      <c r="B836" s="632" t="s">
        <v>36526</v>
      </c>
      <c r="C836" s="612">
        <v>558</v>
      </c>
    </row>
    <row r="837" spans="1:3" s="594" customFormat="1" ht="11.25" customHeight="1">
      <c r="A837" s="637" t="s">
        <v>36525</v>
      </c>
      <c r="B837" s="632" t="s">
        <v>36524</v>
      </c>
      <c r="C837" s="612">
        <v>558</v>
      </c>
    </row>
    <row r="838" spans="1:3" s="594" customFormat="1" ht="11.25" customHeight="1">
      <c r="A838" s="637" t="s">
        <v>36523</v>
      </c>
      <c r="B838" s="632" t="s">
        <v>36522</v>
      </c>
      <c r="C838" s="612">
        <v>707</v>
      </c>
    </row>
    <row r="839" spans="1:3" ht="11.25" customHeight="1">
      <c r="A839" s="637" t="s">
        <v>36521</v>
      </c>
      <c r="B839" s="632" t="s">
        <v>36520</v>
      </c>
      <c r="C839" s="612">
        <v>707</v>
      </c>
    </row>
    <row r="840" spans="1:3" ht="11.25" customHeight="1">
      <c r="A840" s="637" t="s">
        <v>36519</v>
      </c>
      <c r="B840" s="632" t="s">
        <v>36518</v>
      </c>
      <c r="C840" s="612">
        <v>707</v>
      </c>
    </row>
    <row r="841" spans="1:3" s="594" customFormat="1" ht="11.25" customHeight="1">
      <c r="A841" s="592"/>
      <c r="B841" s="592"/>
      <c r="C841" s="607"/>
    </row>
    <row r="842" spans="1:3" s="594" customFormat="1" ht="11.25" customHeight="1" thickBot="1">
      <c r="A842" s="605" t="s">
        <v>36592</v>
      </c>
      <c r="B842" s="605"/>
      <c r="C842" s="604"/>
    </row>
    <row r="843" spans="1:3" s="594" customFormat="1" ht="11.25" customHeight="1">
      <c r="A843" s="633" t="s">
        <v>36946</v>
      </c>
      <c r="B843" s="633" t="s">
        <v>36502</v>
      </c>
      <c r="C843" s="612">
        <v>558</v>
      </c>
    </row>
    <row r="844" spans="1:3" s="594" customFormat="1" ht="11.25" customHeight="1">
      <c r="A844" s="632" t="s">
        <v>36945</v>
      </c>
      <c r="B844" s="632" t="s">
        <v>36500</v>
      </c>
      <c r="C844" s="612">
        <v>558</v>
      </c>
    </row>
    <row r="845" spans="1:3" s="594" customFormat="1" ht="11.25" customHeight="1">
      <c r="A845" s="632" t="s">
        <v>36944</v>
      </c>
      <c r="B845" s="632" t="s">
        <v>36498</v>
      </c>
      <c r="C845" s="612">
        <v>558</v>
      </c>
    </row>
    <row r="846" spans="1:3" s="594" customFormat="1" ht="11.25" customHeight="1">
      <c r="A846" s="632" t="s">
        <v>36943</v>
      </c>
      <c r="B846" s="632" t="s">
        <v>36496</v>
      </c>
      <c r="C846" s="612">
        <v>707</v>
      </c>
    </row>
    <row r="847" spans="1:3" s="594" customFormat="1">
      <c r="A847" s="632" t="s">
        <v>36942</v>
      </c>
      <c r="B847" s="616" t="s">
        <v>36494</v>
      </c>
      <c r="C847" s="612">
        <v>707</v>
      </c>
    </row>
    <row r="848" spans="1:3" ht="11.25" customHeight="1">
      <c r="A848" s="616" t="s">
        <v>36941</v>
      </c>
      <c r="B848" s="616" t="s">
        <v>36492</v>
      </c>
      <c r="C848" s="612">
        <v>707</v>
      </c>
    </row>
    <row r="849" spans="1:3" ht="18" customHeight="1">
      <c r="A849" s="611" t="s">
        <v>36940</v>
      </c>
      <c r="B849" s="624"/>
      <c r="C849" s="623">
        <v>0</v>
      </c>
    </row>
    <row r="850" spans="1:3" s="594" customFormat="1" ht="11.25" customHeight="1">
      <c r="A850" s="608"/>
      <c r="B850" s="608"/>
      <c r="C850" s="607"/>
    </row>
    <row r="851" spans="1:3" s="594" customFormat="1" ht="11.25" customHeight="1" thickBot="1">
      <c r="A851" s="605" t="s">
        <v>36578</v>
      </c>
      <c r="B851" s="605"/>
      <c r="C851" s="606"/>
    </row>
    <row r="852" spans="1:3" ht="11.25" customHeight="1">
      <c r="A852" s="644" t="s">
        <v>36939</v>
      </c>
      <c r="B852" s="676"/>
      <c r="C852" s="675"/>
    </row>
    <row r="853" spans="1:3" s="594" customFormat="1" ht="11.25" customHeight="1">
      <c r="A853" s="632" t="s">
        <v>36938</v>
      </c>
      <c r="B853" s="632" t="s">
        <v>36937</v>
      </c>
      <c r="C853" s="612">
        <v>2096</v>
      </c>
    </row>
    <row r="854" spans="1:3" s="594" customFormat="1" ht="11.25" customHeight="1">
      <c r="C854" s="607"/>
    </row>
    <row r="855" spans="1:3" s="594" customFormat="1" ht="11.25" customHeight="1" thickBot="1">
      <c r="A855" s="605" t="s">
        <v>36936</v>
      </c>
      <c r="B855" s="605"/>
      <c r="C855" s="604"/>
    </row>
    <row r="856" spans="1:3" s="594" customFormat="1" ht="11.25" customHeight="1">
      <c r="A856" s="633" t="s">
        <v>36935</v>
      </c>
      <c r="B856" s="633" t="s">
        <v>36784</v>
      </c>
      <c r="C856" s="612">
        <v>1165</v>
      </c>
    </row>
    <row r="857" spans="1:3" s="594" customFormat="1" ht="11.25" customHeight="1">
      <c r="A857" s="616" t="s">
        <v>36934</v>
      </c>
      <c r="B857" s="616" t="s">
        <v>36570</v>
      </c>
      <c r="C857" s="612">
        <v>1139</v>
      </c>
    </row>
    <row r="858" spans="1:3" s="594" customFormat="1" ht="11.25" customHeight="1">
      <c r="A858" s="616" t="s">
        <v>36933</v>
      </c>
      <c r="B858" s="616" t="s">
        <v>36568</v>
      </c>
      <c r="C858" s="612">
        <v>1165</v>
      </c>
    </row>
    <row r="859" spans="1:3" s="594" customFormat="1" ht="11.25" customHeight="1">
      <c r="A859" s="616" t="s">
        <v>36932</v>
      </c>
      <c r="B859" s="616" t="s">
        <v>36566</v>
      </c>
      <c r="C859" s="612">
        <v>1139</v>
      </c>
    </row>
    <row r="860" spans="1:3" s="594" customFormat="1" ht="11.25" customHeight="1">
      <c r="A860" s="616" t="s">
        <v>36931</v>
      </c>
      <c r="B860" s="616" t="s">
        <v>36564</v>
      </c>
      <c r="C860" s="612">
        <v>1165</v>
      </c>
    </row>
    <row r="861" spans="1:3" s="594" customFormat="1" ht="11.25" customHeight="1">
      <c r="A861" s="616" t="s">
        <v>36930</v>
      </c>
      <c r="B861" s="616" t="s">
        <v>36562</v>
      </c>
      <c r="C861" s="612">
        <v>1139</v>
      </c>
    </row>
    <row r="862" spans="1:3" s="594" customFormat="1" ht="11.25" customHeight="1">
      <c r="A862" s="616" t="s">
        <v>36929</v>
      </c>
      <c r="B862" s="616" t="s">
        <v>36560</v>
      </c>
      <c r="C862" s="612">
        <v>1232</v>
      </c>
    </row>
    <row r="863" spans="1:3" s="594" customFormat="1" ht="11.25" customHeight="1">
      <c r="A863" s="616" t="s">
        <v>36928</v>
      </c>
      <c r="B863" s="616" t="s">
        <v>36558</v>
      </c>
      <c r="C863" s="612">
        <v>1165</v>
      </c>
    </row>
    <row r="864" spans="1:3" s="594" customFormat="1" ht="11.25" customHeight="1">
      <c r="A864" s="616" t="s">
        <v>36927</v>
      </c>
      <c r="B864" s="616" t="s">
        <v>36556</v>
      </c>
      <c r="C864" s="612">
        <v>1232</v>
      </c>
    </row>
    <row r="865" spans="1:3" s="594" customFormat="1" ht="11.25" customHeight="1">
      <c r="A865" s="640"/>
      <c r="B865" s="640"/>
      <c r="C865" s="639"/>
    </row>
    <row r="866" spans="1:3" s="594" customFormat="1" ht="11.25" customHeight="1" thickBot="1">
      <c r="A866" s="605" t="s">
        <v>36555</v>
      </c>
      <c r="B866" s="605"/>
      <c r="C866" s="604"/>
    </row>
    <row r="867" spans="1:3" s="594" customFormat="1" ht="11.25" customHeight="1">
      <c r="A867" s="619" t="s">
        <v>36554</v>
      </c>
      <c r="B867" s="613" t="s">
        <v>36553</v>
      </c>
      <c r="C867" s="612">
        <v>250</v>
      </c>
    </row>
    <row r="868" spans="1:3" s="594" customFormat="1" ht="11.25" customHeight="1">
      <c r="A868" s="640"/>
      <c r="B868" s="640"/>
      <c r="C868" s="639"/>
    </row>
    <row r="869" spans="1:3" s="594" customFormat="1" ht="11.25" customHeight="1" thickBot="1">
      <c r="A869" s="605" t="s">
        <v>36733</v>
      </c>
      <c r="B869" s="605"/>
      <c r="C869" s="604"/>
    </row>
    <row r="870" spans="1:3" s="594" customFormat="1" ht="11.25" customHeight="1">
      <c r="A870" s="632" t="s">
        <v>36926</v>
      </c>
      <c r="B870" s="632" t="s">
        <v>36550</v>
      </c>
      <c r="C870" s="612">
        <v>330</v>
      </c>
    </row>
    <row r="871" spans="1:3" s="594" customFormat="1" ht="11.25" customHeight="1">
      <c r="A871" s="646"/>
      <c r="B871" s="646"/>
      <c r="C871" s="639"/>
    </row>
    <row r="872" spans="1:3" s="594" customFormat="1" ht="11.25" customHeight="1" thickBot="1">
      <c r="A872" s="605" t="s">
        <v>36653</v>
      </c>
      <c r="B872" s="605"/>
      <c r="C872" s="604"/>
    </row>
    <row r="873" spans="1:3" s="594" customFormat="1" ht="11.25" customHeight="1">
      <c r="A873" s="633" t="s">
        <v>36925</v>
      </c>
      <c r="B873" s="633" t="s">
        <v>36924</v>
      </c>
      <c r="C873" s="612">
        <v>507</v>
      </c>
    </row>
    <row r="874" spans="1:3" s="594" customFormat="1" ht="11.25" customHeight="1">
      <c r="A874" s="592"/>
      <c r="B874" s="592"/>
      <c r="C874" s="607"/>
    </row>
    <row r="875" spans="1:3" s="594" customFormat="1" ht="11.25" customHeight="1" thickBot="1">
      <c r="A875" s="605" t="s">
        <v>36547</v>
      </c>
      <c r="B875" s="605"/>
      <c r="C875" s="604"/>
    </row>
    <row r="876" spans="1:3" s="594" customFormat="1" ht="11.25" customHeight="1">
      <c r="A876" s="633" t="s">
        <v>36923</v>
      </c>
      <c r="B876" s="633" t="s">
        <v>36545</v>
      </c>
      <c r="C876" s="612">
        <v>566</v>
      </c>
    </row>
    <row r="877" spans="1:3" s="594" customFormat="1" ht="11.25" customHeight="1">
      <c r="A877" s="632" t="s">
        <v>36922</v>
      </c>
      <c r="B877" s="632" t="s">
        <v>36543</v>
      </c>
      <c r="C877" s="612">
        <v>1267</v>
      </c>
    </row>
    <row r="878" spans="1:3" s="594" customFormat="1" ht="11.25" customHeight="1">
      <c r="A878" s="632" t="s">
        <v>36921</v>
      </c>
      <c r="B878" s="632" t="s">
        <v>36640</v>
      </c>
      <c r="C878" s="612">
        <v>1267</v>
      </c>
    </row>
    <row r="879" spans="1:3" s="594" customFormat="1" ht="11.25" customHeight="1">
      <c r="A879" s="632" t="s">
        <v>36920</v>
      </c>
      <c r="B879" s="632" t="s">
        <v>36539</v>
      </c>
      <c r="C879" s="612">
        <v>1267</v>
      </c>
    </row>
    <row r="880" spans="1:3" s="594" customFormat="1" ht="11.25" customHeight="1">
      <c r="A880" s="632" t="s">
        <v>36919</v>
      </c>
      <c r="B880" s="632" t="s">
        <v>36637</v>
      </c>
      <c r="C880" s="612">
        <v>1749</v>
      </c>
    </row>
    <row r="881" spans="1:3" s="594" customFormat="1" ht="11.25" customHeight="1">
      <c r="A881" s="632" t="s">
        <v>36918</v>
      </c>
      <c r="B881" s="632" t="s">
        <v>36535</v>
      </c>
      <c r="C881" s="612">
        <v>1749</v>
      </c>
    </row>
    <row r="882" spans="1:3" s="594" customFormat="1" ht="11.25" customHeight="1">
      <c r="A882" s="632" t="s">
        <v>36917</v>
      </c>
      <c r="B882" s="632" t="s">
        <v>36846</v>
      </c>
      <c r="C882" s="612">
        <v>1749</v>
      </c>
    </row>
    <row r="883" spans="1:3" s="594" customFormat="1" ht="11.25" customHeight="1">
      <c r="A883" s="640"/>
      <c r="B883" s="640"/>
      <c r="C883" s="639"/>
    </row>
    <row r="884" spans="1:3" s="594" customFormat="1" ht="11.25" customHeight="1" thickBot="1">
      <c r="A884" s="605" t="s">
        <v>36916</v>
      </c>
      <c r="B884" s="605"/>
      <c r="C884" s="604"/>
    </row>
    <row r="885" spans="1:3" s="594" customFormat="1" ht="11.25" customHeight="1">
      <c r="A885" s="638" t="s">
        <v>36529</v>
      </c>
      <c r="B885" s="633" t="s">
        <v>36528</v>
      </c>
      <c r="C885" s="612">
        <v>558</v>
      </c>
    </row>
    <row r="886" spans="1:3" s="594" customFormat="1" ht="11.25" customHeight="1">
      <c r="A886" s="637" t="s">
        <v>36527</v>
      </c>
      <c r="B886" s="632" t="s">
        <v>36526</v>
      </c>
      <c r="C886" s="612">
        <v>558</v>
      </c>
    </row>
    <row r="887" spans="1:3" s="594" customFormat="1" ht="11.25" customHeight="1">
      <c r="A887" s="637" t="s">
        <v>36525</v>
      </c>
      <c r="B887" s="632" t="s">
        <v>36524</v>
      </c>
      <c r="C887" s="612">
        <v>558</v>
      </c>
    </row>
    <row r="888" spans="1:3" s="594" customFormat="1" ht="11.25" customHeight="1">
      <c r="A888" s="637" t="s">
        <v>36523</v>
      </c>
      <c r="B888" s="632" t="s">
        <v>36522</v>
      </c>
      <c r="C888" s="612">
        <v>707</v>
      </c>
    </row>
    <row r="889" spans="1:3" s="594" customFormat="1" ht="11.25" customHeight="1">
      <c r="A889" s="637" t="s">
        <v>36521</v>
      </c>
      <c r="B889" s="632" t="s">
        <v>36520</v>
      </c>
      <c r="C889" s="612">
        <v>707</v>
      </c>
    </row>
    <row r="890" spans="1:3" s="594" customFormat="1" ht="11.25" customHeight="1">
      <c r="A890" s="637" t="s">
        <v>36519</v>
      </c>
      <c r="B890" s="632" t="s">
        <v>36518</v>
      </c>
      <c r="C890" s="612">
        <v>707</v>
      </c>
    </row>
    <row r="891" spans="1:3" s="594" customFormat="1" ht="11.25" customHeight="1">
      <c r="A891" s="646"/>
      <c r="B891" s="646"/>
      <c r="C891" s="639"/>
    </row>
    <row r="892" spans="1:3" s="594" customFormat="1" ht="11.25" customHeight="1" thickBot="1">
      <c r="A892" s="605" t="s">
        <v>36915</v>
      </c>
      <c r="B892" s="605"/>
      <c r="C892" s="604"/>
    </row>
    <row r="893" spans="1:3" s="594" customFormat="1" ht="11.25" customHeight="1">
      <c r="A893" s="633" t="s">
        <v>36914</v>
      </c>
      <c r="B893" s="636" t="s">
        <v>36515</v>
      </c>
      <c r="C893" s="612">
        <v>632</v>
      </c>
    </row>
    <row r="894" spans="1:3" s="594" customFormat="1" ht="11.25" customHeight="1">
      <c r="A894" s="632" t="s">
        <v>36913</v>
      </c>
      <c r="B894" s="635" t="s">
        <v>36513</v>
      </c>
      <c r="C894" s="612">
        <v>632</v>
      </c>
    </row>
    <row r="895" spans="1:3" s="594" customFormat="1" ht="11.25" customHeight="1">
      <c r="A895" s="616" t="s">
        <v>36912</v>
      </c>
      <c r="B895" s="635" t="s">
        <v>36511</v>
      </c>
      <c r="C895" s="612">
        <v>632</v>
      </c>
    </row>
    <row r="896" spans="1:3" s="594" customFormat="1" ht="11.25" customHeight="1">
      <c r="A896" s="616" t="s">
        <v>36911</v>
      </c>
      <c r="B896" s="635" t="s">
        <v>36509</v>
      </c>
      <c r="C896" s="612">
        <v>741</v>
      </c>
    </row>
    <row r="897" spans="1:3" s="594" customFormat="1" ht="11.25" customHeight="1">
      <c r="A897" s="616" t="s">
        <v>36910</v>
      </c>
      <c r="B897" s="635" t="s">
        <v>36507</v>
      </c>
      <c r="C897" s="612">
        <v>741</v>
      </c>
    </row>
    <row r="898" spans="1:3" s="594" customFormat="1" ht="11.25" customHeight="1">
      <c r="A898" s="616" t="s">
        <v>36909</v>
      </c>
      <c r="B898" s="635" t="s">
        <v>36505</v>
      </c>
      <c r="C898" s="612">
        <v>741</v>
      </c>
    </row>
    <row r="899" spans="1:3" s="594" customFormat="1" ht="11.25" customHeight="1">
      <c r="A899" s="608"/>
      <c r="B899" s="608"/>
      <c r="C899" s="607"/>
    </row>
    <row r="900" spans="1:3" s="594" customFormat="1" ht="11.25" customHeight="1" thickBot="1">
      <c r="A900" s="605" t="s">
        <v>36908</v>
      </c>
      <c r="B900" s="605"/>
      <c r="C900" s="604"/>
    </row>
    <row r="901" spans="1:3" s="594" customFormat="1" ht="11.25" customHeight="1">
      <c r="A901" s="633" t="s">
        <v>36907</v>
      </c>
      <c r="B901" s="633" t="s">
        <v>36502</v>
      </c>
      <c r="C901" s="612">
        <v>558</v>
      </c>
    </row>
    <row r="902" spans="1:3" s="594" customFormat="1" ht="11.25" customHeight="1">
      <c r="A902" s="632" t="s">
        <v>36906</v>
      </c>
      <c r="B902" s="632" t="s">
        <v>36500</v>
      </c>
      <c r="C902" s="612">
        <v>558</v>
      </c>
    </row>
    <row r="903" spans="1:3" s="594" customFormat="1" ht="11.25" customHeight="1">
      <c r="A903" s="632" t="s">
        <v>36905</v>
      </c>
      <c r="B903" s="632" t="s">
        <v>36498</v>
      </c>
      <c r="C903" s="612">
        <v>558</v>
      </c>
    </row>
    <row r="904" spans="1:3" s="594" customFormat="1" ht="11.25" customHeight="1">
      <c r="A904" s="632" t="s">
        <v>36904</v>
      </c>
      <c r="B904" s="632" t="s">
        <v>36496</v>
      </c>
      <c r="C904" s="612">
        <v>707</v>
      </c>
    </row>
    <row r="905" spans="1:3" s="712" customFormat="1">
      <c r="A905" s="632" t="s">
        <v>36903</v>
      </c>
      <c r="B905" s="616" t="s">
        <v>36494</v>
      </c>
      <c r="C905" s="612">
        <v>707</v>
      </c>
    </row>
    <row r="906" spans="1:3" s="594" customFormat="1" ht="11.25" customHeight="1">
      <c r="A906" s="616" t="s">
        <v>36902</v>
      </c>
      <c r="B906" s="616" t="s">
        <v>36492</v>
      </c>
      <c r="C906" s="612">
        <v>707</v>
      </c>
    </row>
    <row r="907" spans="1:3" s="594" customFormat="1" ht="18" customHeight="1">
      <c r="A907" s="711" t="s">
        <v>36901</v>
      </c>
      <c r="B907" s="710"/>
      <c r="C907" s="639"/>
    </row>
    <row r="908" spans="1:3" s="594" customFormat="1" ht="11.25" customHeight="1">
      <c r="A908" s="640"/>
      <c r="B908" s="640"/>
      <c r="C908" s="639"/>
    </row>
    <row r="909" spans="1:3" s="594" customFormat="1" ht="11.25" customHeight="1" thickBot="1">
      <c r="A909" s="605" t="s">
        <v>36900</v>
      </c>
      <c r="B909" s="605"/>
      <c r="C909" s="606"/>
    </row>
    <row r="910" spans="1:3" s="594" customFormat="1" ht="11.25" customHeight="1">
      <c r="A910" s="619" t="s">
        <v>36899</v>
      </c>
      <c r="B910" s="613" t="s">
        <v>36572</v>
      </c>
      <c r="C910" s="612">
        <v>5177</v>
      </c>
    </row>
    <row r="911" spans="1:3" s="594" customFormat="1" ht="11.25" customHeight="1">
      <c r="A911" s="616" t="s">
        <v>36898</v>
      </c>
      <c r="B911" s="618" t="s">
        <v>36570</v>
      </c>
      <c r="C911" s="612">
        <v>5177</v>
      </c>
    </row>
    <row r="912" spans="1:3" s="594" customFormat="1" ht="11.25" customHeight="1">
      <c r="A912" s="616" t="s">
        <v>36897</v>
      </c>
      <c r="B912" s="618" t="s">
        <v>36568</v>
      </c>
      <c r="C912" s="612">
        <v>5177</v>
      </c>
    </row>
    <row r="913" spans="1:3" s="594" customFormat="1" ht="11.25" customHeight="1">
      <c r="A913" s="616" t="s">
        <v>36896</v>
      </c>
      <c r="B913" s="618" t="s">
        <v>36566</v>
      </c>
      <c r="C913" s="612">
        <v>5177</v>
      </c>
    </row>
    <row r="914" spans="1:3" s="594" customFormat="1" ht="11.25" customHeight="1">
      <c r="A914" s="616" t="s">
        <v>36895</v>
      </c>
      <c r="B914" s="618" t="s">
        <v>36564</v>
      </c>
      <c r="C914" s="612">
        <v>5177</v>
      </c>
    </row>
    <row r="915" spans="1:3" s="594" customFormat="1" ht="11.25" customHeight="1">
      <c r="A915" s="616" t="s">
        <v>36894</v>
      </c>
      <c r="B915" s="618" t="s">
        <v>36562</v>
      </c>
      <c r="C915" s="612">
        <v>5177</v>
      </c>
    </row>
    <row r="916" spans="1:3" s="594" customFormat="1" ht="11.25" customHeight="1">
      <c r="A916" s="616" t="s">
        <v>36893</v>
      </c>
      <c r="B916" s="618" t="s">
        <v>36560</v>
      </c>
      <c r="C916" s="612">
        <v>5177</v>
      </c>
    </row>
    <row r="917" spans="1:3" s="594" customFormat="1" ht="11.25" customHeight="1">
      <c r="A917" s="616" t="s">
        <v>36892</v>
      </c>
      <c r="B917" s="618" t="s">
        <v>36558</v>
      </c>
      <c r="C917" s="612">
        <v>5177</v>
      </c>
    </row>
    <row r="918" spans="1:3" s="594" customFormat="1" ht="11.25" customHeight="1">
      <c r="A918" s="616" t="s">
        <v>36891</v>
      </c>
      <c r="B918" s="618" t="s">
        <v>36556</v>
      </c>
      <c r="C918" s="612">
        <v>5177</v>
      </c>
    </row>
    <row r="919" spans="1:3" s="594" customFormat="1" ht="11.25" customHeight="1">
      <c r="A919" s="640"/>
      <c r="B919" s="640"/>
      <c r="C919" s="639"/>
    </row>
    <row r="920" spans="1:3" s="594" customFormat="1" ht="11.25" customHeight="1" thickBot="1">
      <c r="A920" s="605" t="s">
        <v>36676</v>
      </c>
      <c r="B920" s="605"/>
      <c r="C920" s="604"/>
    </row>
    <row r="921" spans="1:3" s="594" customFormat="1" ht="11.25" customHeight="1">
      <c r="A921" s="619" t="s">
        <v>36890</v>
      </c>
      <c r="B921" s="613" t="s">
        <v>36784</v>
      </c>
      <c r="C921" s="612">
        <v>1165</v>
      </c>
    </row>
    <row r="922" spans="1:3" s="594" customFormat="1" ht="11.25" customHeight="1">
      <c r="A922" s="616" t="s">
        <v>36889</v>
      </c>
      <c r="B922" s="618" t="s">
        <v>36570</v>
      </c>
      <c r="C922" s="612">
        <v>1139</v>
      </c>
    </row>
    <row r="923" spans="1:3" s="594" customFormat="1" ht="11.25" customHeight="1">
      <c r="A923" s="616" t="s">
        <v>36888</v>
      </c>
      <c r="B923" s="618" t="s">
        <v>36568</v>
      </c>
      <c r="C923" s="612">
        <v>1165</v>
      </c>
    </row>
    <row r="924" spans="1:3" s="594" customFormat="1" ht="11.25" customHeight="1">
      <c r="A924" s="616" t="s">
        <v>36887</v>
      </c>
      <c r="B924" s="618" t="s">
        <v>36566</v>
      </c>
      <c r="C924" s="612">
        <v>1139</v>
      </c>
    </row>
    <row r="925" spans="1:3" s="594" customFormat="1" ht="11.25" customHeight="1">
      <c r="A925" s="616" t="s">
        <v>36886</v>
      </c>
      <c r="B925" s="618" t="s">
        <v>36564</v>
      </c>
      <c r="C925" s="612">
        <v>1165</v>
      </c>
    </row>
    <row r="926" spans="1:3" s="594" customFormat="1" ht="11.25" customHeight="1">
      <c r="A926" s="616" t="s">
        <v>36885</v>
      </c>
      <c r="B926" s="618" t="s">
        <v>36562</v>
      </c>
      <c r="C926" s="612">
        <v>1139</v>
      </c>
    </row>
    <row r="927" spans="1:3" s="594" customFormat="1" ht="11.25" customHeight="1">
      <c r="A927" s="616" t="s">
        <v>36884</v>
      </c>
      <c r="B927" s="618" t="s">
        <v>36560</v>
      </c>
      <c r="C927" s="612">
        <v>1232</v>
      </c>
    </row>
    <row r="928" spans="1:3" s="594" customFormat="1" ht="11.25" customHeight="1">
      <c r="A928" s="616" t="s">
        <v>36883</v>
      </c>
      <c r="B928" s="618" t="s">
        <v>36558</v>
      </c>
      <c r="C928" s="612">
        <v>1165</v>
      </c>
    </row>
    <row r="929" spans="1:3" s="594" customFormat="1" ht="11.25" customHeight="1">
      <c r="A929" s="616" t="s">
        <v>36882</v>
      </c>
      <c r="B929" s="618" t="s">
        <v>36556</v>
      </c>
      <c r="C929" s="612">
        <v>1232</v>
      </c>
    </row>
    <row r="930" spans="1:3" s="594" customFormat="1" ht="11.25" customHeight="1">
      <c r="A930" s="640"/>
      <c r="B930" s="640"/>
      <c r="C930" s="639"/>
    </row>
    <row r="931" spans="1:3" s="594" customFormat="1" ht="11.25" customHeight="1" thickBot="1">
      <c r="A931" s="605" t="s">
        <v>36555</v>
      </c>
      <c r="B931" s="605"/>
      <c r="C931" s="604"/>
    </row>
    <row r="932" spans="1:3" s="594" customFormat="1" ht="11.25" customHeight="1">
      <c r="A932" s="619" t="s">
        <v>36554</v>
      </c>
      <c r="B932" s="613" t="s">
        <v>36553</v>
      </c>
      <c r="C932" s="612">
        <v>250</v>
      </c>
    </row>
    <row r="933" spans="1:3" s="594" customFormat="1" ht="11.25" customHeight="1">
      <c r="A933" s="640"/>
      <c r="B933" s="640"/>
      <c r="C933" s="639"/>
    </row>
    <row r="934" spans="1:3" s="594" customFormat="1" ht="11.25" customHeight="1" thickBot="1">
      <c r="A934" s="645" t="s">
        <v>36653</v>
      </c>
      <c r="B934" s="645"/>
      <c r="C934" s="604"/>
    </row>
    <row r="935" spans="1:3" s="594" customFormat="1" ht="11.25" customHeight="1">
      <c r="A935" s="619" t="s">
        <v>36881</v>
      </c>
      <c r="B935" s="613" t="s">
        <v>36651</v>
      </c>
      <c r="C935" s="612">
        <v>557</v>
      </c>
    </row>
    <row r="936" spans="1:3" s="594" customFormat="1" ht="11.25" customHeight="1">
      <c r="A936" s="640"/>
      <c r="B936" s="640"/>
      <c r="C936" s="639"/>
    </row>
    <row r="937" spans="1:3" s="594" customFormat="1" ht="11.25" customHeight="1" thickBot="1">
      <c r="A937" s="605" t="s">
        <v>36650</v>
      </c>
      <c r="B937" s="605"/>
      <c r="C937" s="604"/>
    </row>
    <row r="938" spans="1:3" s="594" customFormat="1" ht="11.25" customHeight="1">
      <c r="A938" s="619" t="s">
        <v>36880</v>
      </c>
      <c r="B938" s="613" t="s">
        <v>36648</v>
      </c>
      <c r="C938" s="612">
        <v>2539</v>
      </c>
    </row>
    <row r="939" spans="1:3" s="594" customFormat="1" ht="11.25" customHeight="1">
      <c r="A939" s="616" t="s">
        <v>36879</v>
      </c>
      <c r="B939" s="618" t="s">
        <v>36646</v>
      </c>
      <c r="C939" s="612">
        <v>2539</v>
      </c>
    </row>
    <row r="940" spans="1:3" s="594" customFormat="1" ht="11.25" customHeight="1">
      <c r="A940" s="640"/>
      <c r="B940" s="640"/>
      <c r="C940" s="639"/>
    </row>
    <row r="941" spans="1:3" s="594" customFormat="1" ht="11.25" customHeight="1" thickBot="1">
      <c r="A941" s="605" t="s">
        <v>36632</v>
      </c>
      <c r="B941" s="605"/>
      <c r="C941" s="604"/>
    </row>
    <row r="942" spans="1:3" s="594" customFormat="1" ht="11.25" customHeight="1">
      <c r="A942" s="619" t="s">
        <v>36878</v>
      </c>
      <c r="B942" s="613" t="s">
        <v>36877</v>
      </c>
      <c r="C942" s="612">
        <v>686</v>
      </c>
    </row>
    <row r="943" spans="1:3" s="594" customFormat="1" ht="11.25" customHeight="1">
      <c r="A943" s="616" t="s">
        <v>36876</v>
      </c>
      <c r="B943" s="618" t="s">
        <v>36875</v>
      </c>
      <c r="C943" s="612">
        <v>686</v>
      </c>
    </row>
    <row r="944" spans="1:3" s="594" customFormat="1" ht="11.25" customHeight="1">
      <c r="A944" s="640"/>
      <c r="B944" s="640"/>
      <c r="C944" s="639"/>
    </row>
    <row r="945" spans="1:3" s="594" customFormat="1" ht="11.25" customHeight="1" thickBot="1">
      <c r="A945" s="605" t="s">
        <v>36530</v>
      </c>
      <c r="B945" s="605"/>
      <c r="C945" s="604"/>
    </row>
    <row r="946" spans="1:3" s="594" customFormat="1" ht="11.25" customHeight="1">
      <c r="A946" s="638" t="s">
        <v>36529</v>
      </c>
      <c r="B946" s="633" t="s">
        <v>36528</v>
      </c>
      <c r="C946" s="612">
        <v>558</v>
      </c>
    </row>
    <row r="947" spans="1:3" s="594" customFormat="1" ht="11.25" customHeight="1">
      <c r="A947" s="637" t="s">
        <v>36527</v>
      </c>
      <c r="B947" s="632" t="s">
        <v>36526</v>
      </c>
      <c r="C947" s="612">
        <v>558</v>
      </c>
    </row>
    <row r="948" spans="1:3" s="594" customFormat="1" ht="11.25" customHeight="1">
      <c r="A948" s="637" t="s">
        <v>36525</v>
      </c>
      <c r="B948" s="632" t="s">
        <v>36524</v>
      </c>
      <c r="C948" s="612">
        <v>558</v>
      </c>
    </row>
    <row r="949" spans="1:3" s="594" customFormat="1" ht="11.25" customHeight="1">
      <c r="A949" s="637" t="s">
        <v>36523</v>
      </c>
      <c r="B949" s="632" t="s">
        <v>36522</v>
      </c>
      <c r="C949" s="612">
        <v>707</v>
      </c>
    </row>
    <row r="950" spans="1:3" s="594" customFormat="1" ht="11.25" customHeight="1">
      <c r="A950" s="637" t="s">
        <v>36521</v>
      </c>
      <c r="B950" s="632" t="s">
        <v>36520</v>
      </c>
      <c r="C950" s="612">
        <v>707</v>
      </c>
    </row>
    <row r="951" spans="1:3" s="594" customFormat="1" ht="11.25" customHeight="1">
      <c r="A951" s="637" t="s">
        <v>36519</v>
      </c>
      <c r="B951" s="632" t="s">
        <v>36518</v>
      </c>
      <c r="C951" s="612">
        <v>707</v>
      </c>
    </row>
    <row r="952" spans="1:3" s="594" customFormat="1" ht="18" customHeight="1">
      <c r="A952" s="709" t="s">
        <v>36874</v>
      </c>
      <c r="B952" s="708"/>
      <c r="C952" s="707"/>
    </row>
    <row r="953" spans="1:3" s="594" customFormat="1" ht="10" customHeight="1">
      <c r="A953" s="709"/>
      <c r="B953" s="708"/>
      <c r="C953" s="707"/>
    </row>
    <row r="954" spans="1:3" s="594" customFormat="1" ht="11.25" customHeight="1" thickBot="1">
      <c r="A954" s="690" t="s">
        <v>36873</v>
      </c>
      <c r="B954" s="706"/>
      <c r="C954" s="705"/>
    </row>
    <row r="955" spans="1:3" s="594" customFormat="1" ht="11.25" customHeight="1">
      <c r="A955" s="704" t="s">
        <v>36872</v>
      </c>
      <c r="B955" s="703"/>
      <c r="C955" s="702"/>
    </row>
    <row r="956" spans="1:3" s="594" customFormat="1" ht="11.25" customHeight="1">
      <c r="A956" s="700" t="s">
        <v>36871</v>
      </c>
      <c r="B956" s="687" t="s">
        <v>36802</v>
      </c>
      <c r="C956" s="699">
        <v>2500</v>
      </c>
    </row>
    <row r="957" spans="1:3" s="594" customFormat="1" ht="11.25" customHeight="1">
      <c r="A957" s="692"/>
      <c r="B957" s="692"/>
      <c r="C957" s="691"/>
    </row>
    <row r="958" spans="1:3" s="594" customFormat="1" ht="11.25" customHeight="1" thickBot="1">
      <c r="A958" s="690" t="s">
        <v>36870</v>
      </c>
      <c r="B958" s="690"/>
      <c r="C958" s="689"/>
    </row>
    <row r="959" spans="1:3" s="594" customFormat="1" ht="11.25" customHeight="1">
      <c r="A959" s="695" t="s">
        <v>36869</v>
      </c>
      <c r="B959" s="695" t="s">
        <v>36572</v>
      </c>
      <c r="C959" s="694">
        <v>1165</v>
      </c>
    </row>
    <row r="960" spans="1:3" s="594" customFormat="1" ht="11.25" customHeight="1">
      <c r="A960" s="695" t="s">
        <v>36868</v>
      </c>
      <c r="B960" s="695" t="s">
        <v>36570</v>
      </c>
      <c r="C960" s="694">
        <v>1139</v>
      </c>
    </row>
    <row r="961" spans="1:3" s="594" customFormat="1" ht="11.25" customHeight="1">
      <c r="A961" s="695" t="s">
        <v>36867</v>
      </c>
      <c r="B961" s="695" t="s">
        <v>36568</v>
      </c>
      <c r="C961" s="694">
        <v>1165</v>
      </c>
    </row>
    <row r="962" spans="1:3" s="594" customFormat="1" ht="11.25" customHeight="1">
      <c r="A962" s="695" t="s">
        <v>36866</v>
      </c>
      <c r="B962" s="695" t="s">
        <v>36566</v>
      </c>
      <c r="C962" s="694">
        <v>1139</v>
      </c>
    </row>
    <row r="963" spans="1:3" s="594" customFormat="1" ht="11.25" customHeight="1">
      <c r="A963" s="695" t="s">
        <v>36865</v>
      </c>
      <c r="B963" s="695" t="s">
        <v>36564</v>
      </c>
      <c r="C963" s="694">
        <v>1165</v>
      </c>
    </row>
    <row r="964" spans="1:3" ht="11.25" customHeight="1">
      <c r="A964" s="695" t="s">
        <v>36864</v>
      </c>
      <c r="B964" s="695" t="s">
        <v>36562</v>
      </c>
      <c r="C964" s="694">
        <v>1139</v>
      </c>
    </row>
    <row r="965" spans="1:3" ht="11.25" customHeight="1">
      <c r="A965" s="695" t="s">
        <v>36863</v>
      </c>
      <c r="B965" s="695" t="s">
        <v>36560</v>
      </c>
      <c r="C965" s="694">
        <v>1232</v>
      </c>
    </row>
    <row r="966" spans="1:3" ht="11.25" customHeight="1">
      <c r="A966" s="695" t="s">
        <v>36862</v>
      </c>
      <c r="B966" s="695" t="s">
        <v>36558</v>
      </c>
      <c r="C966" s="694">
        <v>1165</v>
      </c>
    </row>
    <row r="967" spans="1:3" s="678" customFormat="1" ht="11.25" customHeight="1">
      <c r="A967" s="695" t="s">
        <v>36861</v>
      </c>
      <c r="B967" s="695" t="s">
        <v>36556</v>
      </c>
      <c r="C967" s="694">
        <v>1232</v>
      </c>
    </row>
    <row r="968" spans="1:3" s="594" customFormat="1" ht="11.25" customHeight="1">
      <c r="A968" s="692"/>
      <c r="B968" s="692"/>
      <c r="C968" s="691"/>
    </row>
    <row r="969" spans="1:3" s="594" customFormat="1" ht="11.25" customHeight="1" thickBot="1">
      <c r="A969" s="690" t="s">
        <v>36555</v>
      </c>
      <c r="B969" s="690"/>
      <c r="C969" s="689"/>
    </row>
    <row r="970" spans="1:3" s="594" customFormat="1" ht="11.25" customHeight="1">
      <c r="A970" s="688" t="s">
        <v>36554</v>
      </c>
      <c r="B970" s="701" t="s">
        <v>36553</v>
      </c>
      <c r="C970" s="685">
        <v>250</v>
      </c>
    </row>
    <row r="971" spans="1:3" ht="11.25" customHeight="1">
      <c r="A971" s="692"/>
      <c r="B971" s="692"/>
      <c r="C971" s="691"/>
    </row>
    <row r="972" spans="1:3" ht="11.25" customHeight="1" thickBot="1">
      <c r="A972" s="690" t="s">
        <v>36552</v>
      </c>
      <c r="B972" s="690"/>
      <c r="C972" s="693"/>
    </row>
    <row r="973" spans="1:3" ht="11.25" customHeight="1">
      <c r="A973" s="695" t="s">
        <v>36860</v>
      </c>
      <c r="B973" s="695" t="s">
        <v>36859</v>
      </c>
      <c r="C973" s="694">
        <v>330</v>
      </c>
    </row>
    <row r="974" spans="1:3" ht="11.25" customHeight="1">
      <c r="A974" s="700" t="s">
        <v>36858</v>
      </c>
      <c r="B974" s="700" t="s">
        <v>36857</v>
      </c>
      <c r="C974" s="699">
        <v>193</v>
      </c>
    </row>
    <row r="975" spans="1:3" ht="11.25" customHeight="1">
      <c r="A975" s="698"/>
      <c r="B975" s="698"/>
      <c r="C975" s="697"/>
    </row>
    <row r="976" spans="1:3" ht="11.25" customHeight="1" thickBot="1">
      <c r="A976" s="690" t="s">
        <v>36856</v>
      </c>
      <c r="B976" s="690"/>
      <c r="C976" s="689"/>
    </row>
    <row r="977" spans="1:3" ht="11.25" customHeight="1">
      <c r="A977" s="695" t="s">
        <v>36855</v>
      </c>
      <c r="B977" s="695" t="s">
        <v>36854</v>
      </c>
      <c r="C977" s="694">
        <v>660</v>
      </c>
    </row>
    <row r="978" spans="1:3" ht="11.25" customHeight="1">
      <c r="A978" s="695" t="s">
        <v>36853</v>
      </c>
      <c r="B978" s="695" t="s">
        <v>36543</v>
      </c>
      <c r="C978" s="694">
        <v>1267</v>
      </c>
    </row>
    <row r="979" spans="1:3" ht="11.25" customHeight="1">
      <c r="A979" s="695" t="s">
        <v>36852</v>
      </c>
      <c r="B979" s="695" t="s">
        <v>36640</v>
      </c>
      <c r="C979" s="694">
        <v>1267</v>
      </c>
    </row>
    <row r="980" spans="1:3" s="594" customFormat="1" ht="11.25" customHeight="1">
      <c r="A980" s="695" t="s">
        <v>36851</v>
      </c>
      <c r="B980" s="695" t="s">
        <v>36716</v>
      </c>
      <c r="C980" s="694">
        <v>1267</v>
      </c>
    </row>
    <row r="981" spans="1:3" s="594" customFormat="1" ht="11.25" customHeight="1">
      <c r="A981" s="695" t="s">
        <v>36850</v>
      </c>
      <c r="B981" s="695" t="s">
        <v>36637</v>
      </c>
      <c r="C981" s="694">
        <v>1749</v>
      </c>
    </row>
    <row r="982" spans="1:3" s="594" customFormat="1" ht="11.25" customHeight="1">
      <c r="A982" s="695" t="s">
        <v>36849</v>
      </c>
      <c r="B982" s="695" t="s">
        <v>36848</v>
      </c>
      <c r="C982" s="694">
        <v>1749</v>
      </c>
    </row>
    <row r="983" spans="1:3" s="594" customFormat="1" ht="11.25" customHeight="1">
      <c r="A983" s="695" t="s">
        <v>36847</v>
      </c>
      <c r="B983" s="695" t="s">
        <v>36846</v>
      </c>
      <c r="C983" s="694">
        <v>1749</v>
      </c>
    </row>
    <row r="984" spans="1:3" ht="11.25" customHeight="1">
      <c r="A984" s="692"/>
      <c r="B984" s="692"/>
      <c r="C984" s="696"/>
    </row>
    <row r="985" spans="1:3" ht="11.25" customHeight="1" thickBot="1">
      <c r="A985" s="690" t="s">
        <v>36632</v>
      </c>
      <c r="B985" s="690"/>
      <c r="C985" s="689"/>
    </row>
    <row r="986" spans="1:3" ht="11.25" customHeight="1">
      <c r="A986" s="695" t="s">
        <v>36845</v>
      </c>
      <c r="B986" s="695" t="s">
        <v>36844</v>
      </c>
      <c r="C986" s="694">
        <v>641</v>
      </c>
    </row>
    <row r="987" spans="1:3" ht="11.25" customHeight="1">
      <c r="A987" s="692"/>
      <c r="B987" s="692"/>
      <c r="C987" s="691"/>
    </row>
    <row r="988" spans="1:3" ht="11.25" customHeight="1" thickBot="1">
      <c r="A988" s="690" t="s">
        <v>36843</v>
      </c>
      <c r="B988" s="690"/>
      <c r="C988" s="693"/>
    </row>
    <row r="989" spans="1:3" s="594" customFormat="1" ht="11.25" customHeight="1">
      <c r="A989" s="688" t="s">
        <v>36529</v>
      </c>
      <c r="B989" s="688" t="s">
        <v>36842</v>
      </c>
      <c r="C989" s="685">
        <v>558</v>
      </c>
    </row>
    <row r="990" spans="1:3" s="594" customFormat="1" ht="11.25" customHeight="1">
      <c r="A990" s="687" t="s">
        <v>36527</v>
      </c>
      <c r="B990" s="687" t="s">
        <v>36841</v>
      </c>
      <c r="C990" s="685">
        <v>558</v>
      </c>
    </row>
    <row r="991" spans="1:3" s="594" customFormat="1" ht="11.25" customHeight="1">
      <c r="A991" s="687" t="s">
        <v>36525</v>
      </c>
      <c r="B991" s="687" t="s">
        <v>36840</v>
      </c>
      <c r="C991" s="685">
        <v>558</v>
      </c>
    </row>
    <row r="992" spans="1:3" s="594" customFormat="1" ht="11.25" customHeight="1">
      <c r="A992" s="687" t="s">
        <v>36523</v>
      </c>
      <c r="B992" s="687" t="s">
        <v>36839</v>
      </c>
      <c r="C992" s="685">
        <v>707</v>
      </c>
    </row>
    <row r="993" spans="1:3" s="594" customFormat="1" ht="11.25" customHeight="1">
      <c r="A993" s="687" t="s">
        <v>36521</v>
      </c>
      <c r="B993" s="687" t="s">
        <v>36838</v>
      </c>
      <c r="C993" s="685">
        <v>707</v>
      </c>
    </row>
    <row r="994" spans="1:3" ht="11.25" customHeight="1">
      <c r="A994" s="687" t="s">
        <v>36519</v>
      </c>
      <c r="B994" s="687" t="s">
        <v>36837</v>
      </c>
      <c r="C994" s="685">
        <v>707</v>
      </c>
    </row>
    <row r="995" spans="1:3" s="594" customFormat="1" ht="11.25" customHeight="1">
      <c r="A995" s="692"/>
      <c r="B995" s="692"/>
      <c r="C995" s="691"/>
    </row>
    <row r="996" spans="1:3" s="594" customFormat="1" ht="11.25" customHeight="1" thickBot="1">
      <c r="A996" s="690" t="s">
        <v>36836</v>
      </c>
      <c r="B996" s="690"/>
      <c r="C996" s="689"/>
    </row>
    <row r="997" spans="1:3" s="594" customFormat="1" ht="11.25" customHeight="1">
      <c r="A997" s="688" t="s">
        <v>36835</v>
      </c>
      <c r="B997" s="688" t="s">
        <v>36834</v>
      </c>
      <c r="C997" s="685">
        <v>558</v>
      </c>
    </row>
    <row r="998" spans="1:3" s="594" customFormat="1" ht="11.25" customHeight="1">
      <c r="A998" s="687" t="s">
        <v>36833</v>
      </c>
      <c r="B998" s="687" t="s">
        <v>36832</v>
      </c>
      <c r="C998" s="685">
        <v>558</v>
      </c>
    </row>
    <row r="999" spans="1:3" ht="11.25" customHeight="1">
      <c r="A999" s="687" t="s">
        <v>36831</v>
      </c>
      <c r="B999" s="687" t="s">
        <v>36830</v>
      </c>
      <c r="C999" s="685">
        <v>558</v>
      </c>
    </row>
    <row r="1000" spans="1:3" s="594" customFormat="1" ht="11.25" customHeight="1">
      <c r="A1000" s="687" t="s">
        <v>36829</v>
      </c>
      <c r="B1000" s="687" t="s">
        <v>36828</v>
      </c>
      <c r="C1000" s="685">
        <v>707</v>
      </c>
    </row>
    <row r="1001" spans="1:3" ht="11.25" customHeight="1">
      <c r="A1001" s="686" t="s">
        <v>36827</v>
      </c>
      <c r="B1001" s="686" t="s">
        <v>36826</v>
      </c>
      <c r="C1001" s="685">
        <v>707</v>
      </c>
    </row>
    <row r="1002" spans="1:3" ht="11.25" customHeight="1">
      <c r="A1002" s="686" t="s">
        <v>36825</v>
      </c>
      <c r="B1002" s="686" t="s">
        <v>36824</v>
      </c>
      <c r="C1002" s="685">
        <v>707</v>
      </c>
    </row>
    <row r="1003" spans="1:3" ht="11.25" customHeight="1">
      <c r="A1003" s="646"/>
      <c r="B1003" s="646"/>
      <c r="C1003" s="639"/>
    </row>
    <row r="1004" spans="1:3" ht="18" customHeight="1">
      <c r="A1004" s="611" t="s">
        <v>36763</v>
      </c>
      <c r="B1004" s="681"/>
      <c r="C1004" s="680">
        <v>0</v>
      </c>
    </row>
    <row r="1005" spans="1:3" ht="11.25" customHeight="1">
      <c r="A1005" s="608"/>
      <c r="B1005" s="608"/>
      <c r="C1005" s="607"/>
    </row>
    <row r="1006" spans="1:3" ht="11.25" customHeight="1" thickBot="1">
      <c r="A1006" s="605" t="s">
        <v>36823</v>
      </c>
      <c r="B1006" s="605"/>
      <c r="C1006" s="606"/>
    </row>
    <row r="1007" spans="1:3" ht="11.25" customHeight="1">
      <c r="A1007" s="679" t="s">
        <v>36696</v>
      </c>
      <c r="B1007" s="678"/>
      <c r="C1007" s="677"/>
    </row>
    <row r="1008" spans="1:3" ht="11.25" customHeight="1">
      <c r="A1008" s="644" t="s">
        <v>36822</v>
      </c>
      <c r="B1008" s="676"/>
      <c r="C1008" s="675"/>
    </row>
    <row r="1009" spans="1:3" ht="11.25" customHeight="1">
      <c r="A1009" s="632" t="s">
        <v>36821</v>
      </c>
      <c r="B1009" s="632" t="s">
        <v>36693</v>
      </c>
      <c r="C1009" s="612">
        <v>7576</v>
      </c>
    </row>
    <row r="1010" spans="1:3">
      <c r="C1010" s="607"/>
    </row>
    <row r="1011" spans="1:3" ht="11.25" customHeight="1" thickBot="1">
      <c r="A1011" s="645" t="s">
        <v>36820</v>
      </c>
      <c r="B1011" s="645"/>
      <c r="C1011" s="604"/>
    </row>
    <row r="1012" spans="1:3" ht="18" customHeight="1">
      <c r="A1012" s="679" t="s">
        <v>36811</v>
      </c>
      <c r="B1012" s="678"/>
      <c r="C1012" s="677"/>
    </row>
    <row r="1013" spans="1:3" ht="11.25" customHeight="1">
      <c r="A1013" s="644" t="s">
        <v>36810</v>
      </c>
      <c r="B1013" s="676"/>
      <c r="C1013" s="675"/>
    </row>
    <row r="1014" spans="1:3" ht="11.25" customHeight="1">
      <c r="A1014" s="632" t="s">
        <v>36819</v>
      </c>
      <c r="B1014" s="632" t="s">
        <v>36808</v>
      </c>
      <c r="C1014" s="612">
        <v>2948</v>
      </c>
    </row>
    <row r="1015" spans="1:3" ht="11.25" customHeight="1">
      <c r="A1015" s="632" t="s">
        <v>36818</v>
      </c>
      <c r="B1015" s="632" t="s">
        <v>36806</v>
      </c>
      <c r="C1015" s="612">
        <v>3346</v>
      </c>
    </row>
    <row r="1016" spans="1:3" ht="11.25" customHeight="1">
      <c r="A1016" s="632" t="s">
        <v>36817</v>
      </c>
      <c r="B1016" s="632" t="s">
        <v>36816</v>
      </c>
      <c r="C1016" s="612">
        <v>4111</v>
      </c>
    </row>
    <row r="1017" spans="1:3" ht="11.25" customHeight="1">
      <c r="A1017" s="632" t="s">
        <v>36815</v>
      </c>
      <c r="B1017" s="632" t="s">
        <v>36802</v>
      </c>
      <c r="C1017" s="612">
        <v>2717</v>
      </c>
    </row>
    <row r="1018" spans="1:3" ht="11.25" customHeight="1">
      <c r="A1018" s="632" t="s">
        <v>36814</v>
      </c>
      <c r="B1018" s="632" t="s">
        <v>36800</v>
      </c>
      <c r="C1018" s="612">
        <v>3117</v>
      </c>
    </row>
    <row r="1019" spans="1:3" ht="11.25" customHeight="1">
      <c r="A1019" s="632" t="s">
        <v>36813</v>
      </c>
      <c r="B1019" s="632" t="s">
        <v>36798</v>
      </c>
      <c r="C1019" s="612">
        <v>3808</v>
      </c>
    </row>
    <row r="1020" spans="1:3" ht="11.25" customHeight="1">
      <c r="C1020" s="607"/>
    </row>
    <row r="1021" spans="1:3" ht="11.25" customHeight="1" thickBot="1">
      <c r="A1021" s="645" t="s">
        <v>36812</v>
      </c>
      <c r="B1021" s="645"/>
      <c r="C1021" s="604"/>
    </row>
    <row r="1022" spans="1:3" ht="11.25" customHeight="1">
      <c r="A1022" s="679" t="s">
        <v>36811</v>
      </c>
      <c r="B1022" s="678"/>
      <c r="C1022" s="677"/>
    </row>
    <row r="1023" spans="1:3" ht="11.25" customHeight="1">
      <c r="A1023" s="644" t="s">
        <v>36810</v>
      </c>
      <c r="B1023" s="676"/>
      <c r="C1023" s="675"/>
    </row>
    <row r="1024" spans="1:3" ht="11.25" customHeight="1">
      <c r="A1024" s="632" t="s">
        <v>36809</v>
      </c>
      <c r="B1024" s="632" t="s">
        <v>36808</v>
      </c>
      <c r="C1024" s="612">
        <v>2948</v>
      </c>
    </row>
    <row r="1025" spans="1:3" ht="11.25" customHeight="1">
      <c r="A1025" s="616" t="s">
        <v>36807</v>
      </c>
      <c r="B1025" s="616" t="s">
        <v>36806</v>
      </c>
      <c r="C1025" s="612">
        <v>3346</v>
      </c>
    </row>
    <row r="1026" spans="1:3" ht="11.25" customHeight="1">
      <c r="A1026" s="616" t="s">
        <v>36805</v>
      </c>
      <c r="B1026" s="616" t="s">
        <v>36804</v>
      </c>
      <c r="C1026" s="612">
        <v>4111</v>
      </c>
    </row>
    <row r="1027" spans="1:3" ht="11.25" customHeight="1">
      <c r="A1027" s="632" t="s">
        <v>36803</v>
      </c>
      <c r="B1027" s="632" t="s">
        <v>36802</v>
      </c>
      <c r="C1027" s="612">
        <v>2717</v>
      </c>
    </row>
    <row r="1028" spans="1:3" ht="11.25" customHeight="1">
      <c r="A1028" s="632" t="s">
        <v>36801</v>
      </c>
      <c r="B1028" s="632" t="s">
        <v>36800</v>
      </c>
      <c r="C1028" s="612">
        <v>3117</v>
      </c>
    </row>
    <row r="1029" spans="1:3" ht="11.25" customHeight="1">
      <c r="A1029" s="632" t="s">
        <v>36799</v>
      </c>
      <c r="B1029" s="632" t="s">
        <v>36798</v>
      </c>
      <c r="C1029" s="612">
        <v>3808</v>
      </c>
    </row>
    <row r="1030" spans="1:3" ht="11.25" customHeight="1">
      <c r="C1030" s="607"/>
    </row>
    <row r="1031" spans="1:3" ht="11.25" customHeight="1" thickBot="1">
      <c r="A1031" s="605" t="s">
        <v>36797</v>
      </c>
      <c r="B1031" s="605"/>
      <c r="C1031" s="604"/>
    </row>
    <row r="1032" spans="1:3" ht="11.25" customHeight="1">
      <c r="A1032" s="633" t="s">
        <v>36796</v>
      </c>
      <c r="B1032" s="636" t="s">
        <v>36572</v>
      </c>
      <c r="C1032" s="612">
        <v>5177</v>
      </c>
    </row>
    <row r="1033" spans="1:3" ht="11.25" customHeight="1">
      <c r="A1033" s="632" t="s">
        <v>36795</v>
      </c>
      <c r="B1033" s="635" t="s">
        <v>36570</v>
      </c>
      <c r="C1033" s="612">
        <v>5177</v>
      </c>
    </row>
    <row r="1034" spans="1:3" ht="11.25" customHeight="1">
      <c r="A1034" s="616" t="s">
        <v>36794</v>
      </c>
      <c r="B1034" s="618" t="s">
        <v>36568</v>
      </c>
      <c r="C1034" s="612">
        <v>5177</v>
      </c>
    </row>
    <row r="1035" spans="1:3" ht="11.25" customHeight="1">
      <c r="A1035" s="616" t="s">
        <v>36793</v>
      </c>
      <c r="B1035" s="618" t="s">
        <v>36566</v>
      </c>
      <c r="C1035" s="612">
        <v>5177</v>
      </c>
    </row>
    <row r="1036" spans="1:3" s="660" customFormat="1" ht="11.25" customHeight="1">
      <c r="A1036" s="616" t="s">
        <v>36792</v>
      </c>
      <c r="B1036" s="618" t="s">
        <v>36564</v>
      </c>
      <c r="C1036" s="612">
        <v>5177</v>
      </c>
    </row>
    <row r="1037" spans="1:3" ht="11.25" customHeight="1">
      <c r="A1037" s="616" t="s">
        <v>36791</v>
      </c>
      <c r="B1037" s="618" t="s">
        <v>36562</v>
      </c>
      <c r="C1037" s="612">
        <v>5177</v>
      </c>
    </row>
    <row r="1038" spans="1:3" ht="11.25" customHeight="1">
      <c r="A1038" s="616" t="s">
        <v>36790</v>
      </c>
      <c r="B1038" s="618" t="s">
        <v>36789</v>
      </c>
      <c r="C1038" s="612">
        <v>5177</v>
      </c>
    </row>
    <row r="1039" spans="1:3" ht="11.25" customHeight="1">
      <c r="A1039" s="616" t="s">
        <v>36788</v>
      </c>
      <c r="B1039" s="618" t="s">
        <v>36558</v>
      </c>
      <c r="C1039" s="612">
        <v>5177</v>
      </c>
    </row>
    <row r="1040" spans="1:3" ht="11.25" customHeight="1">
      <c r="A1040" s="616" t="s">
        <v>36787</v>
      </c>
      <c r="B1040" s="618" t="s">
        <v>36556</v>
      </c>
      <c r="C1040" s="612">
        <v>5177</v>
      </c>
    </row>
    <row r="1041" spans="1:3" ht="11.25" customHeight="1">
      <c r="A1041" s="608"/>
      <c r="B1041" s="608"/>
      <c r="C1041" s="607"/>
    </row>
    <row r="1042" spans="1:3" ht="11.25" customHeight="1" thickBot="1">
      <c r="A1042" s="645" t="s">
        <v>36786</v>
      </c>
      <c r="B1042" s="645"/>
      <c r="C1042" s="682"/>
    </row>
    <row r="1043" spans="1:3" ht="11.25" customHeight="1">
      <c r="A1043" s="619" t="s">
        <v>36785</v>
      </c>
      <c r="B1043" s="613" t="s">
        <v>36784</v>
      </c>
      <c r="C1043" s="612">
        <v>1165</v>
      </c>
    </row>
    <row r="1044" spans="1:3" ht="11.25" customHeight="1">
      <c r="A1044" s="616" t="s">
        <v>36783</v>
      </c>
      <c r="B1044" s="618" t="s">
        <v>36782</v>
      </c>
      <c r="C1044" s="612">
        <v>1139</v>
      </c>
    </row>
    <row r="1045" spans="1:3" ht="11.25" customHeight="1">
      <c r="A1045" s="616" t="s">
        <v>36781</v>
      </c>
      <c r="B1045" s="618" t="s">
        <v>36568</v>
      </c>
      <c r="C1045" s="612">
        <v>1165</v>
      </c>
    </row>
    <row r="1046" spans="1:3" ht="11.25" customHeight="1">
      <c r="A1046" s="616" t="s">
        <v>36780</v>
      </c>
      <c r="B1046" s="618" t="s">
        <v>36566</v>
      </c>
      <c r="C1046" s="612">
        <v>1139</v>
      </c>
    </row>
    <row r="1047" spans="1:3" ht="11.25" customHeight="1">
      <c r="A1047" s="616" t="s">
        <v>36779</v>
      </c>
      <c r="B1047" s="618" t="s">
        <v>36564</v>
      </c>
      <c r="C1047" s="612">
        <v>1165</v>
      </c>
    </row>
    <row r="1048" spans="1:3" ht="11.25" customHeight="1">
      <c r="A1048" s="616" t="s">
        <v>36778</v>
      </c>
      <c r="B1048" s="618" t="s">
        <v>36562</v>
      </c>
      <c r="C1048" s="612">
        <v>1139</v>
      </c>
    </row>
    <row r="1049" spans="1:3" s="594" customFormat="1" ht="11.25" customHeight="1">
      <c r="A1049" s="616" t="s">
        <v>36777</v>
      </c>
      <c r="B1049" s="618" t="s">
        <v>36560</v>
      </c>
      <c r="C1049" s="612">
        <v>1232</v>
      </c>
    </row>
    <row r="1050" spans="1:3" s="594" customFormat="1" ht="11.25" customHeight="1">
      <c r="A1050" s="616" t="s">
        <v>36776</v>
      </c>
      <c r="B1050" s="618" t="s">
        <v>36558</v>
      </c>
      <c r="C1050" s="612">
        <v>1165</v>
      </c>
    </row>
    <row r="1051" spans="1:3" s="594" customFormat="1" ht="11.25" customHeight="1">
      <c r="A1051" s="616" t="s">
        <v>36775</v>
      </c>
      <c r="B1051" s="618" t="s">
        <v>36774</v>
      </c>
      <c r="C1051" s="612">
        <v>1232</v>
      </c>
    </row>
    <row r="1052" spans="1:3" s="594" customFormat="1" ht="11.25" customHeight="1">
      <c r="A1052" s="684"/>
      <c r="B1052" s="684"/>
      <c r="C1052" s="683"/>
    </row>
    <row r="1053" spans="1:3" s="594" customFormat="1" ht="11.25" customHeight="1" thickBot="1">
      <c r="A1053" s="645" t="s">
        <v>36773</v>
      </c>
      <c r="B1053" s="645"/>
      <c r="C1053" s="682"/>
    </row>
    <row r="1054" spans="1:3" s="594" customFormat="1" ht="11.25" customHeight="1">
      <c r="A1054" s="616" t="s">
        <v>36772</v>
      </c>
      <c r="B1054" s="618" t="s">
        <v>36572</v>
      </c>
      <c r="C1054" s="612">
        <v>1165</v>
      </c>
    </row>
    <row r="1055" spans="1:3" s="594" customFormat="1" ht="11.25" customHeight="1">
      <c r="A1055" s="616" t="s">
        <v>36771</v>
      </c>
      <c r="B1055" s="618" t="s">
        <v>36570</v>
      </c>
      <c r="C1055" s="612">
        <v>1139</v>
      </c>
    </row>
    <row r="1056" spans="1:3" s="594" customFormat="1" ht="11.25" customHeight="1">
      <c r="A1056" s="616" t="s">
        <v>36770</v>
      </c>
      <c r="B1056" s="618" t="s">
        <v>36568</v>
      </c>
      <c r="C1056" s="612">
        <v>1165</v>
      </c>
    </row>
    <row r="1057" spans="1:3" s="594" customFormat="1" ht="11.25" customHeight="1">
      <c r="A1057" s="616" t="s">
        <v>36769</v>
      </c>
      <c r="B1057" s="618" t="s">
        <v>36566</v>
      </c>
      <c r="C1057" s="612">
        <v>1139</v>
      </c>
    </row>
    <row r="1058" spans="1:3" ht="11.25" customHeight="1">
      <c r="A1058" s="616" t="s">
        <v>36768</v>
      </c>
      <c r="B1058" s="618" t="s">
        <v>36564</v>
      </c>
      <c r="C1058" s="612">
        <v>1165</v>
      </c>
    </row>
    <row r="1059" spans="1:3" ht="11.25" customHeight="1">
      <c r="A1059" s="616" t="s">
        <v>36767</v>
      </c>
      <c r="B1059" s="618" t="s">
        <v>36562</v>
      </c>
      <c r="C1059" s="612">
        <v>1139</v>
      </c>
    </row>
    <row r="1060" spans="1:3" s="594" customFormat="1" ht="11.25" customHeight="1">
      <c r="A1060" s="616" t="s">
        <v>36766</v>
      </c>
      <c r="B1060" s="618" t="s">
        <v>36560</v>
      </c>
      <c r="C1060" s="612">
        <v>1232</v>
      </c>
    </row>
    <row r="1061" spans="1:3" s="594" customFormat="1" ht="11.25" customHeight="1">
      <c r="A1061" s="616" t="s">
        <v>36765</v>
      </c>
      <c r="B1061" s="618" t="s">
        <v>36558</v>
      </c>
      <c r="C1061" s="612">
        <v>1165</v>
      </c>
    </row>
    <row r="1062" spans="1:3" s="594" customFormat="1" ht="11.25" customHeight="1">
      <c r="A1062" s="616" t="s">
        <v>36764</v>
      </c>
      <c r="B1062" s="618" t="s">
        <v>36556</v>
      </c>
      <c r="C1062" s="612">
        <v>1232</v>
      </c>
    </row>
    <row r="1063" spans="1:3" s="594" customFormat="1" ht="18" customHeight="1">
      <c r="A1063" s="611" t="s">
        <v>36763</v>
      </c>
      <c r="B1063" s="681"/>
      <c r="C1063" s="680">
        <v>0</v>
      </c>
    </row>
    <row r="1064" spans="1:3" s="594" customFormat="1" ht="11.25" customHeight="1">
      <c r="A1064" s="608"/>
      <c r="B1064" s="608"/>
      <c r="C1064" s="607"/>
    </row>
    <row r="1065" spans="1:3" s="594" customFormat="1" ht="11.25" customHeight="1" thickBot="1">
      <c r="A1065" s="645" t="s">
        <v>36762</v>
      </c>
      <c r="B1065" s="645"/>
      <c r="C1065" s="606"/>
    </row>
    <row r="1066" spans="1:3" s="594" customFormat="1" ht="11.25" customHeight="1">
      <c r="A1066" s="619" t="s">
        <v>36761</v>
      </c>
      <c r="B1066" s="613" t="s">
        <v>36572</v>
      </c>
      <c r="C1066" s="612">
        <v>1018</v>
      </c>
    </row>
    <row r="1067" spans="1:3" ht="11.25" customHeight="1">
      <c r="A1067" s="616" t="s">
        <v>36760</v>
      </c>
      <c r="B1067" s="618" t="s">
        <v>36570</v>
      </c>
      <c r="C1067" s="612">
        <v>989</v>
      </c>
    </row>
    <row r="1068" spans="1:3" s="594" customFormat="1" ht="11.25" customHeight="1">
      <c r="A1068" s="616" t="s">
        <v>36759</v>
      </c>
      <c r="B1068" s="618" t="s">
        <v>36568</v>
      </c>
      <c r="C1068" s="612">
        <v>1018</v>
      </c>
    </row>
    <row r="1069" spans="1:3" s="594" customFormat="1" ht="11.25" customHeight="1">
      <c r="A1069" s="616" t="s">
        <v>36758</v>
      </c>
      <c r="B1069" s="618" t="s">
        <v>36566</v>
      </c>
      <c r="C1069" s="612">
        <v>989</v>
      </c>
    </row>
    <row r="1070" spans="1:3" s="594" customFormat="1" ht="11.25" customHeight="1">
      <c r="A1070" s="616" t="s">
        <v>36757</v>
      </c>
      <c r="B1070" s="618" t="s">
        <v>36564</v>
      </c>
      <c r="C1070" s="612">
        <v>1018</v>
      </c>
    </row>
    <row r="1071" spans="1:3" s="594" customFormat="1" ht="11.25" customHeight="1">
      <c r="A1071" s="616" t="s">
        <v>36756</v>
      </c>
      <c r="B1071" s="618" t="s">
        <v>36562</v>
      </c>
      <c r="C1071" s="612">
        <v>989</v>
      </c>
    </row>
    <row r="1072" spans="1:3" s="594" customFormat="1" ht="11.25" customHeight="1">
      <c r="A1072" s="616" t="s">
        <v>36755</v>
      </c>
      <c r="B1072" s="618" t="s">
        <v>36560</v>
      </c>
      <c r="C1072" s="612">
        <v>1086</v>
      </c>
    </row>
    <row r="1073" spans="1:3" s="594" customFormat="1" ht="11.25" customHeight="1">
      <c r="A1073" s="616" t="s">
        <v>36754</v>
      </c>
      <c r="B1073" s="618" t="s">
        <v>36558</v>
      </c>
      <c r="C1073" s="612">
        <v>1018</v>
      </c>
    </row>
    <row r="1074" spans="1:3" s="594" customFormat="1" ht="11.25" customHeight="1">
      <c r="A1074" s="616" t="s">
        <v>36753</v>
      </c>
      <c r="B1074" s="618" t="s">
        <v>36556</v>
      </c>
      <c r="C1074" s="612">
        <v>1086</v>
      </c>
    </row>
    <row r="1075" spans="1:3" s="594" customFormat="1" ht="11.25" customHeight="1">
      <c r="B1075" s="608"/>
      <c r="C1075" s="607"/>
    </row>
    <row r="1076" spans="1:3" s="594" customFormat="1" ht="11.25" customHeight="1" thickBot="1">
      <c r="A1076" s="645" t="s">
        <v>36752</v>
      </c>
      <c r="B1076" s="645"/>
      <c r="C1076" s="604"/>
    </row>
    <row r="1077" spans="1:3" s="594" customFormat="1">
      <c r="A1077" s="616" t="s">
        <v>36751</v>
      </c>
      <c r="B1077" s="618" t="s">
        <v>36750</v>
      </c>
      <c r="C1077" s="612">
        <v>382</v>
      </c>
    </row>
    <row r="1078" spans="1:3" s="594" customFormat="1" ht="11.25" customHeight="1">
      <c r="A1078" s="616" t="s">
        <v>36749</v>
      </c>
      <c r="B1078" s="618" t="s">
        <v>36748</v>
      </c>
      <c r="C1078" s="612">
        <v>335</v>
      </c>
    </row>
    <row r="1079" spans="1:3" s="594" customFormat="1" ht="18" customHeight="1">
      <c r="A1079" s="608"/>
      <c r="B1079" s="608"/>
      <c r="C1079" s="607"/>
    </row>
    <row r="1080" spans="1:3" s="594" customFormat="1" ht="11.25" customHeight="1" thickBot="1">
      <c r="A1080" s="645" t="s">
        <v>36747</v>
      </c>
      <c r="B1080" s="645"/>
      <c r="C1080" s="604"/>
    </row>
    <row r="1081" spans="1:3" s="594" customFormat="1" ht="11.25" customHeight="1">
      <c r="A1081" s="616" t="s">
        <v>36554</v>
      </c>
      <c r="B1081" s="618" t="s">
        <v>36553</v>
      </c>
      <c r="C1081" s="612">
        <v>250</v>
      </c>
    </row>
    <row r="1082" spans="1:3" s="594" customFormat="1" ht="11.25" customHeight="1">
      <c r="A1082" s="608"/>
      <c r="B1082" s="608"/>
      <c r="C1082" s="607"/>
    </row>
    <row r="1083" spans="1:3" s="594" customFormat="1" ht="11.25" customHeight="1" thickBot="1">
      <c r="A1083" s="645" t="s">
        <v>36746</v>
      </c>
      <c r="B1083" s="645"/>
      <c r="C1083" s="604"/>
    </row>
    <row r="1084" spans="1:3" ht="11.25" customHeight="1">
      <c r="A1084" s="619" t="s">
        <v>36745</v>
      </c>
      <c r="B1084" s="613" t="s">
        <v>36744</v>
      </c>
      <c r="C1084" s="612">
        <v>1008</v>
      </c>
    </row>
    <row r="1085" spans="1:3" s="594" customFormat="1" ht="11.25" customHeight="1">
      <c r="A1085" s="616" t="s">
        <v>36743</v>
      </c>
      <c r="B1085" s="616" t="s">
        <v>36742</v>
      </c>
      <c r="C1085" s="612">
        <v>1008</v>
      </c>
    </row>
    <row r="1086" spans="1:3" s="594" customFormat="1" ht="11.25" customHeight="1">
      <c r="A1086" s="616" t="s">
        <v>36741</v>
      </c>
      <c r="B1086" s="618" t="s">
        <v>36660</v>
      </c>
      <c r="C1086" s="612">
        <v>326</v>
      </c>
    </row>
    <row r="1087" spans="1:3" ht="11.25" customHeight="1">
      <c r="A1087" s="616" t="s">
        <v>36734</v>
      </c>
      <c r="B1087" s="618" t="s">
        <v>36740</v>
      </c>
      <c r="C1087" s="612">
        <v>288</v>
      </c>
    </row>
    <row r="1088" spans="1:3" s="594" customFormat="1" ht="11.25" customHeight="1">
      <c r="A1088" s="608"/>
      <c r="B1088" s="608"/>
      <c r="C1088" s="607"/>
    </row>
    <row r="1089" spans="1:3" s="594" customFormat="1" ht="11.25" customHeight="1" thickBot="1">
      <c r="A1089" s="645" t="s">
        <v>36739</v>
      </c>
      <c r="B1089" s="645"/>
      <c r="C1089" s="604"/>
    </row>
    <row r="1090" spans="1:3" s="594" customFormat="1" ht="11.25" customHeight="1">
      <c r="A1090" s="619" t="s">
        <v>36738</v>
      </c>
      <c r="B1090" s="613" t="s">
        <v>36737</v>
      </c>
      <c r="C1090" s="612">
        <v>709</v>
      </c>
    </row>
    <row r="1091" spans="1:3" s="594" customFormat="1" ht="11.25" customHeight="1">
      <c r="A1091" s="616" t="s">
        <v>36736</v>
      </c>
      <c r="B1091" s="618" t="s">
        <v>36735</v>
      </c>
      <c r="C1091" s="612">
        <v>730</v>
      </c>
    </row>
    <row r="1092" spans="1:3" s="594" customFormat="1" ht="11.25" customHeight="1">
      <c r="A1092" s="616" t="s">
        <v>36734</v>
      </c>
      <c r="B1092" s="618" t="s">
        <v>36658</v>
      </c>
      <c r="C1092" s="612">
        <v>288</v>
      </c>
    </row>
    <row r="1093" spans="1:3" s="594" customFormat="1" ht="11.25" customHeight="1">
      <c r="A1093" s="608"/>
      <c r="B1093" s="608"/>
      <c r="C1093" s="607"/>
    </row>
    <row r="1094" spans="1:3" s="594" customFormat="1" ht="11.25" customHeight="1" thickBot="1">
      <c r="A1094" s="605" t="s">
        <v>36733</v>
      </c>
      <c r="B1094" s="605"/>
      <c r="C1094" s="604"/>
    </row>
    <row r="1095" spans="1:3" s="594" customFormat="1" ht="11.25" customHeight="1">
      <c r="A1095" s="633" t="s">
        <v>36732</v>
      </c>
      <c r="B1095" s="633" t="s">
        <v>36731</v>
      </c>
      <c r="C1095" s="612">
        <v>330</v>
      </c>
    </row>
    <row r="1096" spans="1:3" ht="11.25" customHeight="1">
      <c r="A1096" s="632" t="s">
        <v>36730</v>
      </c>
      <c r="B1096" s="632" t="s">
        <v>36729</v>
      </c>
      <c r="C1096" s="612">
        <v>330</v>
      </c>
    </row>
    <row r="1097" spans="1:3" ht="11.25" customHeight="1">
      <c r="A1097" s="632" t="s">
        <v>36728</v>
      </c>
      <c r="B1097" s="632" t="s">
        <v>36727</v>
      </c>
      <c r="C1097" s="612">
        <v>330</v>
      </c>
    </row>
    <row r="1098" spans="1:3" s="594" customFormat="1" ht="11.25" customHeight="1">
      <c r="A1098" s="632" t="s">
        <v>36726</v>
      </c>
      <c r="B1098" s="632" t="s">
        <v>36725</v>
      </c>
      <c r="C1098" s="612">
        <v>330</v>
      </c>
    </row>
    <row r="1099" spans="1:3" s="594" customFormat="1" ht="11.25" customHeight="1">
      <c r="A1099" s="632" t="s">
        <v>36724</v>
      </c>
      <c r="B1099" s="635" t="s">
        <v>36723</v>
      </c>
      <c r="C1099" s="612">
        <v>193</v>
      </c>
    </row>
    <row r="1100" spans="1:3" s="594" customFormat="1" ht="11.25" customHeight="1">
      <c r="A1100" s="592"/>
      <c r="B1100" s="592"/>
      <c r="C1100" s="607"/>
    </row>
    <row r="1101" spans="1:3" ht="11.25" customHeight="1" thickBot="1">
      <c r="A1101" s="605" t="s">
        <v>36547</v>
      </c>
      <c r="B1101" s="605"/>
      <c r="C1101" s="604"/>
    </row>
    <row r="1102" spans="1:3" s="594" customFormat="1" ht="11.25" customHeight="1">
      <c r="A1102" s="619" t="s">
        <v>36722</v>
      </c>
      <c r="B1102" s="619" t="s">
        <v>36721</v>
      </c>
      <c r="C1102" s="612">
        <v>528</v>
      </c>
    </row>
    <row r="1103" spans="1:3" s="594" customFormat="1" ht="11.25" customHeight="1">
      <c r="A1103" s="616" t="s">
        <v>36720</v>
      </c>
      <c r="B1103" s="616" t="s">
        <v>36719</v>
      </c>
      <c r="C1103" s="612">
        <v>1193</v>
      </c>
    </row>
    <row r="1104" spans="1:3" s="594" customFormat="1" ht="11.25" customHeight="1">
      <c r="A1104" s="616" t="s">
        <v>36718</v>
      </c>
      <c r="B1104" s="616" t="s">
        <v>36541</v>
      </c>
      <c r="C1104" s="612">
        <v>1193</v>
      </c>
    </row>
    <row r="1105" spans="1:3" s="594" customFormat="1" ht="11.25" customHeight="1">
      <c r="A1105" s="616" t="s">
        <v>36717</v>
      </c>
      <c r="B1105" s="616" t="s">
        <v>36716</v>
      </c>
      <c r="C1105" s="612">
        <v>1193</v>
      </c>
    </row>
    <row r="1106" spans="1:3" s="594" customFormat="1" ht="11.25" customHeight="1">
      <c r="A1106" s="608"/>
      <c r="B1106" s="608"/>
      <c r="C1106" s="607"/>
    </row>
    <row r="1107" spans="1:3" s="594" customFormat="1" ht="11.25" customHeight="1" thickBot="1">
      <c r="A1107" s="645" t="s">
        <v>36715</v>
      </c>
      <c r="B1107" s="645"/>
      <c r="C1107" s="606"/>
    </row>
    <row r="1108" spans="1:3" s="594" customFormat="1" ht="11.25" customHeight="1">
      <c r="A1108" s="619" t="s">
        <v>36714</v>
      </c>
      <c r="B1108" s="613" t="s">
        <v>36713</v>
      </c>
      <c r="C1108" s="612">
        <v>122</v>
      </c>
    </row>
    <row r="1109" spans="1:3" s="594" customFormat="1" ht="11.25" customHeight="1">
      <c r="A1109" s="616" t="s">
        <v>36712</v>
      </c>
      <c r="B1109" s="618" t="s">
        <v>36711</v>
      </c>
      <c r="C1109" s="612">
        <v>122</v>
      </c>
    </row>
    <row r="1110" spans="1:3" s="594" customFormat="1" ht="11.25" customHeight="1">
      <c r="A1110" s="616" t="s">
        <v>36710</v>
      </c>
      <c r="B1110" s="618" t="s">
        <v>36709</v>
      </c>
      <c r="C1110" s="612">
        <v>230</v>
      </c>
    </row>
    <row r="1111" spans="1:3" ht="11.25" customHeight="1">
      <c r="A1111" s="608"/>
      <c r="B1111" s="608"/>
      <c r="C1111" s="607"/>
    </row>
    <row r="1112" spans="1:3" ht="11.25" customHeight="1" thickBot="1">
      <c r="A1112" s="605" t="s">
        <v>36708</v>
      </c>
      <c r="B1112" s="605"/>
      <c r="C1112" s="604"/>
    </row>
    <row r="1113" spans="1:3" s="594" customFormat="1" ht="11.25" customHeight="1">
      <c r="A1113" s="619" t="s">
        <v>36707</v>
      </c>
      <c r="B1113" s="613" t="s">
        <v>36706</v>
      </c>
      <c r="C1113" s="612">
        <v>407</v>
      </c>
    </row>
    <row r="1114" spans="1:3" s="594" customFormat="1" ht="11.25" customHeight="1">
      <c r="A1114" s="608"/>
      <c r="B1114" s="592"/>
      <c r="C1114" s="607"/>
    </row>
    <row r="1115" spans="1:3" ht="11.25" customHeight="1" thickBot="1">
      <c r="A1115" s="605" t="s">
        <v>36705</v>
      </c>
      <c r="B1115" s="605"/>
      <c r="C1115" s="604"/>
    </row>
    <row r="1116" spans="1:3" s="660" customFormat="1" ht="11.25" customHeight="1">
      <c r="A1116" s="638" t="s">
        <v>36529</v>
      </c>
      <c r="B1116" s="633" t="s">
        <v>36528</v>
      </c>
      <c r="C1116" s="612">
        <v>558</v>
      </c>
    </row>
    <row r="1117" spans="1:3" ht="11.25" customHeight="1">
      <c r="A1117" s="637" t="s">
        <v>36527</v>
      </c>
      <c r="B1117" s="632" t="s">
        <v>36526</v>
      </c>
      <c r="C1117" s="612">
        <v>558</v>
      </c>
    </row>
    <row r="1118" spans="1:3" s="594" customFormat="1" ht="11.25" customHeight="1">
      <c r="A1118" s="637" t="s">
        <v>36525</v>
      </c>
      <c r="B1118" s="632" t="s">
        <v>36524</v>
      </c>
      <c r="C1118" s="612">
        <v>558</v>
      </c>
    </row>
    <row r="1119" spans="1:3" s="594" customFormat="1" ht="11.25" customHeight="1">
      <c r="A1119" s="637" t="s">
        <v>36523</v>
      </c>
      <c r="B1119" s="632" t="s">
        <v>36522</v>
      </c>
      <c r="C1119" s="612">
        <v>707</v>
      </c>
    </row>
    <row r="1120" spans="1:3" ht="11.25" customHeight="1">
      <c r="A1120" s="637" t="s">
        <v>36521</v>
      </c>
      <c r="B1120" s="632" t="s">
        <v>36520</v>
      </c>
      <c r="C1120" s="612">
        <v>707</v>
      </c>
    </row>
    <row r="1121" spans="1:3" ht="11.25" customHeight="1">
      <c r="A1121" s="637" t="s">
        <v>36519</v>
      </c>
      <c r="B1121" s="632" t="s">
        <v>36518</v>
      </c>
      <c r="C1121" s="612">
        <v>707</v>
      </c>
    </row>
    <row r="1122" spans="1:3" ht="11.25" customHeight="1">
      <c r="C1122" s="607"/>
    </row>
    <row r="1123" spans="1:3" s="594" customFormat="1" ht="11.25" customHeight="1" thickBot="1">
      <c r="A1123" s="605" t="s">
        <v>36704</v>
      </c>
      <c r="B1123" s="605"/>
      <c r="C1123" s="604"/>
    </row>
    <row r="1124" spans="1:3" ht="11.25" customHeight="1">
      <c r="A1124" s="633" t="s">
        <v>36703</v>
      </c>
      <c r="B1124" s="636" t="s">
        <v>36515</v>
      </c>
      <c r="C1124" s="612">
        <v>632</v>
      </c>
    </row>
    <row r="1125" spans="1:3" ht="11.25" customHeight="1">
      <c r="A1125" s="632" t="s">
        <v>36702</v>
      </c>
      <c r="B1125" s="635" t="s">
        <v>36513</v>
      </c>
      <c r="C1125" s="612">
        <v>632</v>
      </c>
    </row>
    <row r="1126" spans="1:3" s="594" customFormat="1" ht="11.25" customHeight="1">
      <c r="A1126" s="616" t="s">
        <v>36701</v>
      </c>
      <c r="B1126" s="635" t="s">
        <v>36511</v>
      </c>
      <c r="C1126" s="612">
        <v>632</v>
      </c>
    </row>
    <row r="1127" spans="1:3">
      <c r="A1127" s="616" t="s">
        <v>36700</v>
      </c>
      <c r="B1127" s="635" t="s">
        <v>36509</v>
      </c>
      <c r="C1127" s="612">
        <v>741</v>
      </c>
    </row>
    <row r="1128" spans="1:3" ht="11.25" customHeight="1">
      <c r="A1128" s="616" t="s">
        <v>36699</v>
      </c>
      <c r="B1128" s="635" t="s">
        <v>36507</v>
      </c>
      <c r="C1128" s="612">
        <v>741</v>
      </c>
    </row>
    <row r="1129" spans="1:3" ht="11.25" customHeight="1">
      <c r="A1129" s="616" t="s">
        <v>36698</v>
      </c>
      <c r="B1129" s="635" t="s">
        <v>36505</v>
      </c>
      <c r="C1129" s="612">
        <v>741</v>
      </c>
    </row>
    <row r="1130" spans="1:3" ht="17.149999999999999" customHeight="1">
      <c r="A1130" s="611" t="s">
        <v>36645</v>
      </c>
      <c r="B1130" s="594"/>
      <c r="C1130" s="607"/>
    </row>
    <row r="1131" spans="1:3" s="594" customFormat="1" ht="11.25" customHeight="1">
      <c r="A1131" s="640"/>
      <c r="B1131" s="640"/>
      <c r="C1131" s="639"/>
    </row>
    <row r="1132" spans="1:3" s="594" customFormat="1" ht="11.25" customHeight="1" thickBot="1">
      <c r="A1132" s="605" t="s">
        <v>36697</v>
      </c>
      <c r="B1132" s="605"/>
      <c r="C1132" s="606"/>
    </row>
    <row r="1133" spans="1:3" s="594" customFormat="1" ht="11.25" customHeight="1">
      <c r="A1133" s="679" t="s">
        <v>36696</v>
      </c>
      <c r="B1133" s="678"/>
      <c r="C1133" s="677"/>
    </row>
    <row r="1134" spans="1:3" ht="18" customHeight="1">
      <c r="A1134" s="644" t="s">
        <v>36695</v>
      </c>
      <c r="B1134" s="676"/>
      <c r="C1134" s="675"/>
    </row>
    <row r="1135" spans="1:3" s="594" customFormat="1" ht="11.25" customHeight="1">
      <c r="A1135" s="632" t="s">
        <v>36694</v>
      </c>
      <c r="B1135" s="632" t="s">
        <v>36693</v>
      </c>
      <c r="C1135" s="612">
        <v>7815</v>
      </c>
    </row>
    <row r="1136" spans="1:3" s="594" customFormat="1" ht="11.25" customHeight="1">
      <c r="A1136" s="592"/>
      <c r="B1136" s="592"/>
      <c r="C1136" s="607"/>
    </row>
    <row r="1137" spans="1:3" ht="11.25" customHeight="1" thickBot="1">
      <c r="A1137" s="663" t="s">
        <v>36578</v>
      </c>
      <c r="B1137" s="674"/>
      <c r="C1137" s="661"/>
    </row>
    <row r="1138" spans="1:3" ht="11.25" customHeight="1">
      <c r="A1138" s="673" t="s">
        <v>36692</v>
      </c>
      <c r="B1138" s="672"/>
      <c r="C1138" s="671"/>
    </row>
    <row r="1139" spans="1:3" s="594" customFormat="1" ht="11.25" customHeight="1">
      <c r="A1139" s="670" t="s">
        <v>36691</v>
      </c>
      <c r="B1139" s="669"/>
      <c r="C1139" s="668"/>
    </row>
    <row r="1140" spans="1:3" s="594" customFormat="1" ht="11.25" customHeight="1">
      <c r="A1140" s="667" t="s">
        <v>36690</v>
      </c>
      <c r="B1140" s="667" t="s">
        <v>36689</v>
      </c>
      <c r="C1140" s="612">
        <v>3656</v>
      </c>
    </row>
    <row r="1141" spans="1:3" s="594" customFormat="1" ht="11.25" customHeight="1">
      <c r="A1141" s="667" t="s">
        <v>36688</v>
      </c>
      <c r="B1141" s="667" t="s">
        <v>36687</v>
      </c>
      <c r="C1141" s="612">
        <v>4822</v>
      </c>
    </row>
    <row r="1142" spans="1:3" s="594" customFormat="1" ht="11.25" customHeight="1">
      <c r="A1142" s="646"/>
      <c r="B1142" s="646"/>
      <c r="C1142" s="639"/>
    </row>
    <row r="1143" spans="1:3" ht="11.25" customHeight="1" thickBot="1">
      <c r="A1143" s="655" t="s">
        <v>36686</v>
      </c>
      <c r="B1143" s="655"/>
      <c r="C1143" s="666"/>
    </row>
    <row r="1144" spans="1:3" s="594" customFormat="1" ht="11.25" customHeight="1">
      <c r="A1144" s="638" t="s">
        <v>36685</v>
      </c>
      <c r="B1144" s="665" t="s">
        <v>36572</v>
      </c>
      <c r="C1144" s="612">
        <v>5177</v>
      </c>
    </row>
    <row r="1145" spans="1:3" ht="11.25" customHeight="1">
      <c r="A1145" s="637" t="s">
        <v>36684</v>
      </c>
      <c r="B1145" s="664" t="s">
        <v>36570</v>
      </c>
      <c r="C1145" s="612">
        <v>5177</v>
      </c>
    </row>
    <row r="1146" spans="1:3" ht="11.25" customHeight="1">
      <c r="A1146" s="637" t="s">
        <v>36683</v>
      </c>
      <c r="B1146" s="664" t="s">
        <v>36568</v>
      </c>
      <c r="C1146" s="612">
        <v>5177</v>
      </c>
    </row>
    <row r="1147" spans="1:3" ht="11.25" customHeight="1">
      <c r="A1147" s="616" t="s">
        <v>36682</v>
      </c>
      <c r="B1147" s="618" t="s">
        <v>36566</v>
      </c>
      <c r="C1147" s="612">
        <v>5177</v>
      </c>
    </row>
    <row r="1148" spans="1:3" s="594" customFormat="1" ht="11.25" customHeight="1">
      <c r="A1148" s="616" t="s">
        <v>36681</v>
      </c>
      <c r="B1148" s="618" t="s">
        <v>36564</v>
      </c>
      <c r="C1148" s="612">
        <v>5177</v>
      </c>
    </row>
    <row r="1149" spans="1:3" s="594" customFormat="1" ht="11.25" customHeight="1">
      <c r="A1149" s="616" t="s">
        <v>36680</v>
      </c>
      <c r="B1149" s="618" t="s">
        <v>36562</v>
      </c>
      <c r="C1149" s="612">
        <v>5177</v>
      </c>
    </row>
    <row r="1150" spans="1:3" ht="11.25" customHeight="1">
      <c r="A1150" s="616" t="s">
        <v>36679</v>
      </c>
      <c r="B1150" s="618" t="s">
        <v>36560</v>
      </c>
      <c r="C1150" s="612">
        <v>5177</v>
      </c>
    </row>
    <row r="1151" spans="1:3" ht="11.25" customHeight="1">
      <c r="A1151" s="616" t="s">
        <v>36678</v>
      </c>
      <c r="B1151" s="618" t="s">
        <v>36558</v>
      </c>
      <c r="C1151" s="612">
        <v>5177</v>
      </c>
    </row>
    <row r="1152" spans="1:3" ht="11.25" customHeight="1">
      <c r="A1152" s="616" t="s">
        <v>36677</v>
      </c>
      <c r="B1152" s="618" t="s">
        <v>36556</v>
      </c>
      <c r="C1152" s="612">
        <v>5177</v>
      </c>
    </row>
    <row r="1153" spans="1:3" ht="11.25" customHeight="1">
      <c r="A1153" s="608"/>
      <c r="B1153" s="608"/>
      <c r="C1153" s="607"/>
    </row>
    <row r="1154" spans="1:3" ht="11.25" customHeight="1" thickBot="1">
      <c r="A1154" s="605" t="s">
        <v>36676</v>
      </c>
      <c r="B1154" s="605"/>
      <c r="C1154" s="604"/>
    </row>
    <row r="1155" spans="1:3" ht="11.25" customHeight="1">
      <c r="A1155" s="633" t="s">
        <v>36675</v>
      </c>
      <c r="B1155" s="636" t="s">
        <v>36572</v>
      </c>
      <c r="C1155" s="612">
        <v>1165</v>
      </c>
    </row>
    <row r="1156" spans="1:3" ht="11.25" customHeight="1">
      <c r="A1156" s="632" t="s">
        <v>36674</v>
      </c>
      <c r="B1156" s="635" t="s">
        <v>36570</v>
      </c>
      <c r="C1156" s="612">
        <v>1139</v>
      </c>
    </row>
    <row r="1157" spans="1:3" ht="11.25" customHeight="1">
      <c r="A1157" s="632" t="s">
        <v>36673</v>
      </c>
      <c r="B1157" s="635" t="s">
        <v>36568</v>
      </c>
      <c r="C1157" s="612">
        <v>1165</v>
      </c>
    </row>
    <row r="1158" spans="1:3" ht="11.25" customHeight="1">
      <c r="A1158" s="632" t="s">
        <v>36672</v>
      </c>
      <c r="B1158" s="635" t="s">
        <v>36566</v>
      </c>
      <c r="C1158" s="612">
        <v>1139</v>
      </c>
    </row>
    <row r="1159" spans="1:3" ht="11.25" customHeight="1">
      <c r="A1159" s="616" t="s">
        <v>36671</v>
      </c>
      <c r="B1159" s="618" t="s">
        <v>36564</v>
      </c>
      <c r="C1159" s="612">
        <v>1165</v>
      </c>
    </row>
    <row r="1160" spans="1:3" ht="11.25" customHeight="1">
      <c r="A1160" s="616" t="s">
        <v>36670</v>
      </c>
      <c r="B1160" s="618" t="s">
        <v>36562</v>
      </c>
      <c r="C1160" s="612">
        <v>1139</v>
      </c>
    </row>
    <row r="1161" spans="1:3" ht="11.25" customHeight="1">
      <c r="A1161" s="616" t="s">
        <v>36669</v>
      </c>
      <c r="B1161" s="618" t="s">
        <v>36560</v>
      </c>
      <c r="C1161" s="612">
        <v>1232</v>
      </c>
    </row>
    <row r="1162" spans="1:3" ht="11.25" customHeight="1">
      <c r="A1162" s="616" t="s">
        <v>36668</v>
      </c>
      <c r="B1162" s="618" t="s">
        <v>36558</v>
      </c>
      <c r="C1162" s="612">
        <v>1165</v>
      </c>
    </row>
    <row r="1163" spans="1:3" ht="11.25" customHeight="1">
      <c r="A1163" s="616" t="s">
        <v>36667</v>
      </c>
      <c r="B1163" s="618" t="s">
        <v>36556</v>
      </c>
      <c r="C1163" s="612">
        <v>1232</v>
      </c>
    </row>
    <row r="1164" spans="1:3" ht="11.25" customHeight="1">
      <c r="A1164" s="608"/>
      <c r="B1164" s="608"/>
      <c r="C1164" s="607"/>
    </row>
    <row r="1165" spans="1:3" ht="11.25" customHeight="1" thickBot="1">
      <c r="A1165" s="663" t="s">
        <v>36555</v>
      </c>
      <c r="B1165" s="662"/>
      <c r="C1165" s="661"/>
    </row>
    <row r="1166" spans="1:3" ht="11.25" customHeight="1">
      <c r="A1166" s="619" t="s">
        <v>36554</v>
      </c>
      <c r="B1166" s="613" t="s">
        <v>36553</v>
      </c>
      <c r="C1166" s="612">
        <v>250</v>
      </c>
    </row>
    <row r="1167" spans="1:3" ht="11.25" customHeight="1">
      <c r="A1167" s="640"/>
      <c r="B1167" s="640"/>
      <c r="C1167" s="639"/>
    </row>
    <row r="1168" spans="1:3" ht="11.25" customHeight="1" thickBot="1">
      <c r="A1168" s="605" t="s">
        <v>36666</v>
      </c>
      <c r="B1168" s="605"/>
      <c r="C1168" s="604"/>
    </row>
    <row r="1169" spans="1:3" ht="11.25" customHeight="1">
      <c r="A1169" s="619" t="s">
        <v>36665</v>
      </c>
      <c r="B1169" s="619" t="s">
        <v>36664</v>
      </c>
      <c r="C1169" s="612">
        <v>2243</v>
      </c>
    </row>
    <row r="1170" spans="1:3" ht="11.25" customHeight="1">
      <c r="A1170" s="616" t="s">
        <v>36663</v>
      </c>
      <c r="B1170" s="616" t="s">
        <v>36662</v>
      </c>
      <c r="C1170" s="612">
        <v>2243</v>
      </c>
    </row>
    <row r="1171" spans="1:3">
      <c r="A1171" s="616" t="s">
        <v>36661</v>
      </c>
      <c r="B1171" s="616" t="s">
        <v>36660</v>
      </c>
      <c r="C1171" s="612">
        <v>853</v>
      </c>
    </row>
    <row r="1172" spans="1:3">
      <c r="A1172" s="616" t="s">
        <v>36659</v>
      </c>
      <c r="B1172" s="616" t="s">
        <v>36658</v>
      </c>
      <c r="C1172" s="612">
        <v>288</v>
      </c>
    </row>
    <row r="1173" spans="1:3">
      <c r="A1173" s="640"/>
      <c r="B1173" s="640"/>
      <c r="C1173" s="639"/>
    </row>
    <row r="1174" spans="1:3" ht="11" thickBot="1">
      <c r="A1174" s="605" t="s">
        <v>36552</v>
      </c>
      <c r="B1174" s="605"/>
      <c r="C1174" s="604"/>
    </row>
    <row r="1175" spans="1:3">
      <c r="A1175" s="619" t="s">
        <v>36657</v>
      </c>
      <c r="B1175" s="619" t="s">
        <v>36656</v>
      </c>
      <c r="C1175" s="612">
        <v>330</v>
      </c>
    </row>
    <row r="1176" spans="1:3">
      <c r="A1176" s="616" t="s">
        <v>36655</v>
      </c>
      <c r="B1176" s="616" t="s">
        <v>36654</v>
      </c>
      <c r="C1176" s="612">
        <v>330</v>
      </c>
    </row>
    <row r="1177" spans="1:3">
      <c r="A1177" s="608"/>
      <c r="B1177" s="608"/>
      <c r="C1177" s="607"/>
    </row>
    <row r="1178" spans="1:3" ht="11" thickBot="1">
      <c r="A1178" s="645" t="s">
        <v>36653</v>
      </c>
      <c r="B1178" s="626"/>
      <c r="C1178" s="604"/>
    </row>
    <row r="1179" spans="1:3" s="660" customFormat="1">
      <c r="A1179" s="619" t="s">
        <v>36652</v>
      </c>
      <c r="B1179" s="619" t="s">
        <v>36651</v>
      </c>
      <c r="C1179" s="612">
        <v>523</v>
      </c>
    </row>
    <row r="1180" spans="1:3" ht="11.5" customHeight="1">
      <c r="A1180" s="608"/>
      <c r="B1180" s="608"/>
      <c r="C1180" s="607"/>
    </row>
    <row r="1181" spans="1:3" ht="11" thickBot="1">
      <c r="A1181" s="655" t="s">
        <v>36650</v>
      </c>
      <c r="B1181" s="655"/>
      <c r="C1181" s="604"/>
    </row>
    <row r="1182" spans="1:3" ht="11.5" customHeight="1">
      <c r="A1182" s="619" t="s">
        <v>36649</v>
      </c>
      <c r="B1182" s="619" t="s">
        <v>36648</v>
      </c>
      <c r="C1182" s="612">
        <v>2616</v>
      </c>
    </row>
    <row r="1183" spans="1:3" ht="11.5" customHeight="1">
      <c r="A1183" s="616" t="s">
        <v>36647</v>
      </c>
      <c r="B1183" s="616" t="s">
        <v>36646</v>
      </c>
      <c r="C1183" s="612">
        <v>2616</v>
      </c>
    </row>
    <row r="1184" spans="1:3" ht="11.5" customHeight="1">
      <c r="A1184" s="608"/>
      <c r="B1184" s="608"/>
      <c r="C1184" s="607"/>
    </row>
    <row r="1185" spans="1:3" ht="18" customHeight="1">
      <c r="A1185" s="611" t="s">
        <v>36645</v>
      </c>
      <c r="B1185" s="594"/>
      <c r="C1185" s="607"/>
    </row>
    <row r="1186" spans="1:3" ht="11.5" customHeight="1">
      <c r="A1186" s="611"/>
      <c r="B1186" s="594"/>
      <c r="C1186" s="607"/>
    </row>
    <row r="1187" spans="1:3" ht="11.5" customHeight="1" thickBot="1">
      <c r="A1187" s="605" t="s">
        <v>36644</v>
      </c>
      <c r="B1187" s="605"/>
      <c r="C1187" s="606"/>
    </row>
    <row r="1188" spans="1:3" ht="11.5" customHeight="1">
      <c r="A1188" s="619" t="s">
        <v>36643</v>
      </c>
      <c r="B1188" s="619" t="s">
        <v>36545</v>
      </c>
      <c r="C1188" s="612">
        <v>566</v>
      </c>
    </row>
    <row r="1189" spans="1:3" ht="11.5" customHeight="1">
      <c r="A1189" s="616" t="s">
        <v>36642</v>
      </c>
      <c r="B1189" s="616" t="s">
        <v>36543</v>
      </c>
      <c r="C1189" s="612">
        <v>1267</v>
      </c>
    </row>
    <row r="1190" spans="1:3" ht="11.5" customHeight="1">
      <c r="A1190" s="616" t="s">
        <v>36641</v>
      </c>
      <c r="B1190" s="616" t="s">
        <v>36640</v>
      </c>
      <c r="C1190" s="612">
        <v>1267</v>
      </c>
    </row>
    <row r="1191" spans="1:3" ht="11.5" customHeight="1">
      <c r="A1191" s="616" t="s">
        <v>36639</v>
      </c>
      <c r="B1191" s="616" t="s">
        <v>36539</v>
      </c>
      <c r="C1191" s="612">
        <v>1267</v>
      </c>
    </row>
    <row r="1192" spans="1:3" ht="11.5" customHeight="1">
      <c r="A1192" s="616" t="s">
        <v>36638</v>
      </c>
      <c r="B1192" s="616" t="s">
        <v>36637</v>
      </c>
      <c r="C1192" s="612">
        <v>1749</v>
      </c>
    </row>
    <row r="1193" spans="1:3" ht="11.5" customHeight="1">
      <c r="A1193" s="616" t="s">
        <v>36636</v>
      </c>
      <c r="B1193" s="616" t="s">
        <v>36535</v>
      </c>
      <c r="C1193" s="612">
        <v>1749</v>
      </c>
    </row>
    <row r="1194" spans="1:3" ht="19" customHeight="1">
      <c r="A1194" s="616" t="s">
        <v>36635</v>
      </c>
      <c r="B1194" s="616" t="s">
        <v>36533</v>
      </c>
      <c r="C1194" s="612">
        <v>1749</v>
      </c>
    </row>
    <row r="1195" spans="1:3" ht="11.5" customHeight="1">
      <c r="A1195" s="608"/>
      <c r="B1195" s="608"/>
      <c r="C1195" s="607"/>
    </row>
    <row r="1196" spans="1:3" ht="11.5" customHeight="1" thickBot="1">
      <c r="A1196" s="605" t="s">
        <v>13295</v>
      </c>
      <c r="B1196" s="605"/>
      <c r="C1196" s="604"/>
    </row>
    <row r="1197" spans="1:3" ht="11.5" customHeight="1">
      <c r="A1197" s="619" t="s">
        <v>36634</v>
      </c>
      <c r="B1197" s="619" t="s">
        <v>36633</v>
      </c>
      <c r="C1197" s="612">
        <v>298</v>
      </c>
    </row>
    <row r="1198" spans="1:3" ht="11.5" customHeight="1">
      <c r="A1198" s="608"/>
      <c r="B1198" s="608"/>
      <c r="C1198" s="607"/>
    </row>
    <row r="1199" spans="1:3" ht="11.5" customHeight="1" thickBot="1">
      <c r="A1199" s="605" t="s">
        <v>36632</v>
      </c>
      <c r="B1199" s="605"/>
      <c r="C1199" s="604"/>
    </row>
    <row r="1200" spans="1:3" ht="11.5" customHeight="1">
      <c r="A1200" s="619" t="s">
        <v>36631</v>
      </c>
      <c r="B1200" s="613" t="s">
        <v>36630</v>
      </c>
      <c r="C1200" s="612">
        <v>641</v>
      </c>
    </row>
    <row r="1201" spans="1:3" ht="11.5" customHeight="1">
      <c r="A1201" s="616" t="s">
        <v>36629</v>
      </c>
      <c r="B1201" s="618" t="s">
        <v>36628</v>
      </c>
      <c r="C1201" s="612">
        <v>641</v>
      </c>
    </row>
    <row r="1202" spans="1:3" ht="11.5" customHeight="1">
      <c r="A1202" s="640"/>
      <c r="B1202" s="640"/>
      <c r="C1202" s="639"/>
    </row>
    <row r="1203" spans="1:3" ht="11.5" customHeight="1" thickBot="1">
      <c r="A1203" s="605" t="s">
        <v>36627</v>
      </c>
      <c r="B1203" s="605"/>
      <c r="C1203" s="604"/>
    </row>
    <row r="1204" spans="1:3" ht="11.5" customHeight="1">
      <c r="A1204" s="619" t="s">
        <v>36626</v>
      </c>
      <c r="B1204" s="619" t="s">
        <v>36625</v>
      </c>
      <c r="C1204" s="612">
        <v>667</v>
      </c>
    </row>
    <row r="1205" spans="1:3" ht="11.5" customHeight="1">
      <c r="A1205" s="616" t="s">
        <v>36624</v>
      </c>
      <c r="B1205" s="616" t="s">
        <v>36623</v>
      </c>
      <c r="C1205" s="612">
        <v>949</v>
      </c>
    </row>
    <row r="1206" spans="1:3" ht="11.5" customHeight="1">
      <c r="A1206" s="608"/>
      <c r="B1206" s="608"/>
      <c r="C1206" s="647"/>
    </row>
    <row r="1207" spans="1:3" ht="11.5" customHeight="1" thickBot="1">
      <c r="A1207" s="605" t="s">
        <v>36622</v>
      </c>
      <c r="B1207" s="655"/>
      <c r="C1207" s="654"/>
    </row>
    <row r="1208" spans="1:3" ht="11.5" customHeight="1">
      <c r="A1208" s="659" t="s">
        <v>36621</v>
      </c>
      <c r="B1208" s="659" t="s">
        <v>36620</v>
      </c>
      <c r="C1208" s="658">
        <v>1468</v>
      </c>
    </row>
    <row r="1209" spans="1:3" ht="11.5" customHeight="1">
      <c r="A1209" s="652" t="s">
        <v>36619</v>
      </c>
      <c r="B1209" s="652" t="s">
        <v>36618</v>
      </c>
      <c r="C1209" s="651">
        <v>62</v>
      </c>
    </row>
    <row r="1210" spans="1:3" ht="11.5" customHeight="1">
      <c r="A1210" s="637" t="s">
        <v>36617</v>
      </c>
      <c r="B1210" s="637" t="s">
        <v>36616</v>
      </c>
      <c r="C1210" s="649">
        <v>700</v>
      </c>
    </row>
    <row r="1211" spans="1:3" ht="11.5" customHeight="1">
      <c r="A1211" s="657"/>
      <c r="B1211" s="657"/>
      <c r="C1211" s="656"/>
    </row>
    <row r="1212" spans="1:3" ht="11.5" customHeight="1" thickBot="1">
      <c r="A1212" s="605" t="s">
        <v>36615</v>
      </c>
      <c r="B1212" s="655"/>
      <c r="C1212" s="654"/>
    </row>
    <row r="1213" spans="1:3" ht="11.5" customHeight="1">
      <c r="A1213" s="637" t="s">
        <v>36614</v>
      </c>
      <c r="B1213" s="637" t="s">
        <v>36613</v>
      </c>
      <c r="C1213" s="649">
        <v>1442</v>
      </c>
    </row>
    <row r="1214" spans="1:3" ht="11.5" customHeight="1">
      <c r="A1214" s="637" t="s">
        <v>36612</v>
      </c>
      <c r="B1214" s="637" t="s">
        <v>36611</v>
      </c>
      <c r="C1214" s="649">
        <v>1545</v>
      </c>
    </row>
    <row r="1215" spans="1:3" ht="11.5" customHeight="1">
      <c r="A1215" s="637" t="s">
        <v>36610</v>
      </c>
      <c r="B1215" s="637" t="s">
        <v>36609</v>
      </c>
      <c r="C1215" s="649">
        <v>1803</v>
      </c>
    </row>
    <row r="1216" spans="1:3" ht="11.5" customHeight="1">
      <c r="A1216" s="652" t="s">
        <v>36608</v>
      </c>
      <c r="B1216" s="637" t="s">
        <v>36607</v>
      </c>
      <c r="C1216" s="653">
        <v>232</v>
      </c>
    </row>
    <row r="1217" spans="1:3" ht="11.5" customHeight="1">
      <c r="A1217" s="652" t="s">
        <v>36606</v>
      </c>
      <c r="B1217" s="637" t="s">
        <v>36605</v>
      </c>
      <c r="C1217" s="651">
        <v>232</v>
      </c>
    </row>
    <row r="1218" spans="1:3" ht="11.5" customHeight="1">
      <c r="A1218" s="637" t="s">
        <v>36604</v>
      </c>
      <c r="B1218" s="637" t="s">
        <v>36603</v>
      </c>
      <c r="C1218" s="650">
        <v>170</v>
      </c>
    </row>
    <row r="1219" spans="1:3" ht="11.5" customHeight="1">
      <c r="A1219" s="637" t="s">
        <v>36602</v>
      </c>
      <c r="B1219" s="637" t="s">
        <v>36601</v>
      </c>
      <c r="C1219" s="649">
        <v>181</v>
      </c>
    </row>
    <row r="1220" spans="1:3" ht="11.5" customHeight="1">
      <c r="A1220" s="637" t="s">
        <v>36600</v>
      </c>
      <c r="B1220" s="637" t="s">
        <v>36599</v>
      </c>
      <c r="C1220" s="649">
        <v>675</v>
      </c>
    </row>
    <row r="1221" spans="1:3" ht="11.5" customHeight="1">
      <c r="A1221" s="648"/>
      <c r="B1221" s="648"/>
      <c r="C1221" s="647"/>
    </row>
    <row r="1222" spans="1:3" ht="11.5" customHeight="1" thickBot="1">
      <c r="A1222" s="605" t="s">
        <v>36530</v>
      </c>
      <c r="B1222" s="605"/>
      <c r="C1222" s="604"/>
    </row>
    <row r="1223" spans="1:3" ht="11.5" customHeight="1">
      <c r="A1223" s="638" t="s">
        <v>36529</v>
      </c>
      <c r="B1223" s="633" t="s">
        <v>36528</v>
      </c>
      <c r="C1223" s="612">
        <v>558</v>
      </c>
    </row>
    <row r="1224" spans="1:3" ht="11.5" customHeight="1">
      <c r="A1224" s="637" t="s">
        <v>36527</v>
      </c>
      <c r="B1224" s="632" t="s">
        <v>36526</v>
      </c>
      <c r="C1224" s="612">
        <v>558</v>
      </c>
    </row>
    <row r="1225" spans="1:3" ht="11.5" customHeight="1">
      <c r="A1225" s="637" t="s">
        <v>36525</v>
      </c>
      <c r="B1225" s="632" t="s">
        <v>36524</v>
      </c>
      <c r="C1225" s="612">
        <v>558</v>
      </c>
    </row>
    <row r="1226" spans="1:3" ht="11.5" customHeight="1">
      <c r="A1226" s="637" t="s">
        <v>36523</v>
      </c>
      <c r="B1226" s="632" t="s">
        <v>36522</v>
      </c>
      <c r="C1226" s="612">
        <v>707</v>
      </c>
    </row>
    <row r="1227" spans="1:3" ht="11.5" customHeight="1">
      <c r="A1227" s="637" t="s">
        <v>36521</v>
      </c>
      <c r="B1227" s="632" t="s">
        <v>36520</v>
      </c>
      <c r="C1227" s="612">
        <v>707</v>
      </c>
    </row>
    <row r="1228" spans="1:3" ht="11.5" customHeight="1">
      <c r="A1228" s="637" t="s">
        <v>36519</v>
      </c>
      <c r="B1228" s="632" t="s">
        <v>36518</v>
      </c>
      <c r="C1228" s="612">
        <v>707</v>
      </c>
    </row>
    <row r="1229" spans="1:3" ht="11.5" customHeight="1">
      <c r="A1229" s="646"/>
      <c r="B1229" s="646"/>
      <c r="C1229" s="639"/>
    </row>
    <row r="1230" spans="1:3" ht="11.5" customHeight="1" thickBot="1">
      <c r="A1230" s="605" t="s">
        <v>36517</v>
      </c>
      <c r="B1230" s="605"/>
      <c r="C1230" s="604"/>
    </row>
    <row r="1231" spans="1:3" ht="11.5" customHeight="1">
      <c r="A1231" s="633" t="s">
        <v>36598</v>
      </c>
      <c r="B1231" s="636" t="s">
        <v>36515</v>
      </c>
      <c r="C1231" s="612">
        <v>632</v>
      </c>
    </row>
    <row r="1232" spans="1:3" ht="11.5" customHeight="1">
      <c r="A1232" s="632" t="s">
        <v>36597</v>
      </c>
      <c r="B1232" s="635" t="s">
        <v>36513</v>
      </c>
      <c r="C1232" s="612">
        <v>632</v>
      </c>
    </row>
    <row r="1233" spans="1:3" ht="11.5" customHeight="1">
      <c r="A1233" s="632" t="s">
        <v>36596</v>
      </c>
      <c r="B1233" s="635" t="s">
        <v>36511</v>
      </c>
      <c r="C1233" s="612">
        <v>632</v>
      </c>
    </row>
    <row r="1234" spans="1:3" ht="11.5" customHeight="1">
      <c r="A1234" s="632" t="s">
        <v>36595</v>
      </c>
      <c r="B1234" s="635" t="s">
        <v>36509</v>
      </c>
      <c r="C1234" s="612">
        <v>741</v>
      </c>
    </row>
    <row r="1235" spans="1:3" ht="11.5" customHeight="1">
      <c r="A1235" s="632" t="s">
        <v>36594</v>
      </c>
      <c r="B1235" s="635" t="s">
        <v>36507</v>
      </c>
      <c r="C1235" s="612">
        <v>741</v>
      </c>
    </row>
    <row r="1236" spans="1:3">
      <c r="A1236" s="616" t="s">
        <v>36593</v>
      </c>
      <c r="B1236" s="635" t="s">
        <v>36505</v>
      </c>
      <c r="C1236" s="612">
        <v>741</v>
      </c>
    </row>
    <row r="1237" spans="1:3" ht="11.5" customHeight="1">
      <c r="A1237" s="608"/>
      <c r="B1237" s="608"/>
      <c r="C1237" s="607"/>
    </row>
    <row r="1238" spans="1:3" ht="11" thickBot="1">
      <c r="A1238" s="605" t="s">
        <v>36592</v>
      </c>
      <c r="B1238" s="605"/>
      <c r="C1238" s="604"/>
    </row>
    <row r="1239" spans="1:3" ht="11.5" customHeight="1">
      <c r="A1239" s="633" t="s">
        <v>36591</v>
      </c>
      <c r="B1239" s="633" t="s">
        <v>36590</v>
      </c>
      <c r="C1239" s="612">
        <v>558</v>
      </c>
    </row>
    <row r="1240" spans="1:3" ht="11.5" customHeight="1">
      <c r="A1240" s="632" t="s">
        <v>36589</v>
      </c>
      <c r="B1240" s="632" t="s">
        <v>36588</v>
      </c>
      <c r="C1240" s="612">
        <v>558</v>
      </c>
    </row>
    <row r="1241" spans="1:3" ht="11.5" customHeight="1">
      <c r="A1241" s="632" t="s">
        <v>36587</v>
      </c>
      <c r="B1241" s="632" t="s">
        <v>36586</v>
      </c>
      <c r="C1241" s="612">
        <v>558</v>
      </c>
    </row>
    <row r="1242" spans="1:3">
      <c r="A1242" s="632" t="s">
        <v>36585</v>
      </c>
      <c r="B1242" s="632" t="s">
        <v>36584</v>
      </c>
      <c r="C1242" s="612">
        <v>707</v>
      </c>
    </row>
    <row r="1243" spans="1:3" ht="10" customHeight="1">
      <c r="A1243" s="616" t="s">
        <v>36583</v>
      </c>
      <c r="B1243" s="616" t="s">
        <v>36582</v>
      </c>
      <c r="C1243" s="612">
        <v>707</v>
      </c>
    </row>
    <row r="1244" spans="1:3" ht="12" customHeight="1">
      <c r="A1244" s="616" t="s">
        <v>36581</v>
      </c>
      <c r="B1244" s="616" t="s">
        <v>36580</v>
      </c>
      <c r="C1244" s="612">
        <v>707</v>
      </c>
    </row>
    <row r="1245" spans="1:3" ht="18" customHeight="1">
      <c r="A1245" s="611" t="s">
        <v>36579</v>
      </c>
      <c r="B1245" s="594"/>
      <c r="C1245" s="607"/>
    </row>
    <row r="1246" spans="1:3" ht="11.5" customHeight="1">
      <c r="A1246" s="608"/>
      <c r="B1246" s="608"/>
      <c r="C1246" s="607"/>
    </row>
    <row r="1247" spans="1:3" ht="11.5" customHeight="1" thickBot="1">
      <c r="A1247" s="645" t="s">
        <v>36578</v>
      </c>
      <c r="B1247" s="626"/>
      <c r="C1247" s="606"/>
    </row>
    <row r="1248" spans="1:3" ht="11.5" customHeight="1">
      <c r="A1248" s="644" t="s">
        <v>36577</v>
      </c>
      <c r="B1248" s="643"/>
      <c r="C1248" s="642"/>
    </row>
    <row r="1249" spans="1:3">
      <c r="A1249" s="632" t="s">
        <v>36576</v>
      </c>
      <c r="B1249" s="632" t="s">
        <v>36575</v>
      </c>
      <c r="C1249" s="612">
        <v>1961</v>
      </c>
    </row>
    <row r="1250" spans="1:3" ht="11.15" customHeight="1">
      <c r="C1250" s="607"/>
    </row>
    <row r="1251" spans="1:3" ht="11" thickBot="1">
      <c r="A1251" s="605" t="s">
        <v>36574</v>
      </c>
      <c r="B1251" s="605"/>
      <c r="C1251" s="604"/>
    </row>
    <row r="1252" spans="1:3" ht="11.5" customHeight="1">
      <c r="A1252" s="619" t="s">
        <v>36573</v>
      </c>
      <c r="B1252" s="613" t="s">
        <v>36572</v>
      </c>
      <c r="C1252" s="612">
        <v>1165</v>
      </c>
    </row>
    <row r="1253" spans="1:3">
      <c r="A1253" s="616" t="s">
        <v>36571</v>
      </c>
      <c r="B1253" s="618" t="s">
        <v>36570</v>
      </c>
      <c r="C1253" s="612">
        <v>1139</v>
      </c>
    </row>
    <row r="1254" spans="1:3" ht="12" customHeight="1">
      <c r="A1254" s="616" t="s">
        <v>36569</v>
      </c>
      <c r="B1254" s="618" t="s">
        <v>36568</v>
      </c>
      <c r="C1254" s="612">
        <v>1165</v>
      </c>
    </row>
    <row r="1255" spans="1:3">
      <c r="A1255" s="616" t="s">
        <v>36567</v>
      </c>
      <c r="B1255" s="618" t="s">
        <v>36566</v>
      </c>
      <c r="C1255" s="612">
        <v>1139</v>
      </c>
    </row>
    <row r="1256" spans="1:3" ht="11.5" customHeight="1">
      <c r="A1256" s="616" t="s">
        <v>36565</v>
      </c>
      <c r="B1256" s="618" t="s">
        <v>36564</v>
      </c>
      <c r="C1256" s="612">
        <v>1165</v>
      </c>
    </row>
    <row r="1257" spans="1:3">
      <c r="A1257" s="616" t="s">
        <v>36563</v>
      </c>
      <c r="B1257" s="618" t="s">
        <v>36562</v>
      </c>
      <c r="C1257" s="612">
        <v>1139</v>
      </c>
    </row>
    <row r="1258" spans="1:3" ht="11.5" customHeight="1">
      <c r="A1258" s="616" t="s">
        <v>36561</v>
      </c>
      <c r="B1258" s="618" t="s">
        <v>36560</v>
      </c>
      <c r="C1258" s="612">
        <v>1232</v>
      </c>
    </row>
    <row r="1259" spans="1:3" ht="11.5" customHeight="1">
      <c r="A1259" s="616" t="s">
        <v>36559</v>
      </c>
      <c r="B1259" s="618" t="s">
        <v>36558</v>
      </c>
      <c r="C1259" s="612">
        <v>1165</v>
      </c>
    </row>
    <row r="1260" spans="1:3" ht="11.5" customHeight="1">
      <c r="A1260" s="616" t="s">
        <v>36557</v>
      </c>
      <c r="B1260" s="618" t="s">
        <v>36556</v>
      </c>
      <c r="C1260" s="612">
        <v>1232</v>
      </c>
    </row>
    <row r="1261" spans="1:3" ht="11.5" customHeight="1">
      <c r="A1261" s="594"/>
      <c r="B1261" s="608"/>
      <c r="C1261" s="607"/>
    </row>
    <row r="1262" spans="1:3" ht="11" thickBot="1">
      <c r="A1262" s="605" t="s">
        <v>36555</v>
      </c>
      <c r="B1262" s="626"/>
      <c r="C1262" s="604"/>
    </row>
    <row r="1263" spans="1:3" ht="11.5" customHeight="1">
      <c r="A1263" s="619" t="s">
        <v>36554</v>
      </c>
      <c r="B1263" s="613" t="s">
        <v>36553</v>
      </c>
      <c r="C1263" s="612">
        <v>250</v>
      </c>
    </row>
    <row r="1264" spans="1:3">
      <c r="A1264" s="608"/>
      <c r="B1264" s="608"/>
      <c r="C1264" s="607"/>
    </row>
    <row r="1265" spans="1:3" ht="11.5" customHeight="1" thickBot="1">
      <c r="A1265" s="605" t="s">
        <v>36552</v>
      </c>
      <c r="B1265" s="626"/>
      <c r="C1265" s="604"/>
    </row>
    <row r="1266" spans="1:3" ht="18" customHeight="1">
      <c r="A1266" s="616" t="s">
        <v>36551</v>
      </c>
      <c r="B1266" s="618" t="s">
        <v>36550</v>
      </c>
      <c r="C1266" s="612">
        <v>330</v>
      </c>
    </row>
    <row r="1267" spans="1:3" ht="11.5" customHeight="1">
      <c r="A1267" s="641" t="s">
        <v>36549</v>
      </c>
      <c r="B1267" s="641" t="s">
        <v>36548</v>
      </c>
      <c r="C1267" s="612">
        <v>562</v>
      </c>
    </row>
    <row r="1268" spans="1:3" ht="11.5" customHeight="1">
      <c r="A1268" s="640"/>
      <c r="B1268" s="640"/>
      <c r="C1268" s="639"/>
    </row>
    <row r="1269" spans="1:3" ht="11.5" customHeight="1" thickBot="1">
      <c r="A1269" s="605" t="s">
        <v>36547</v>
      </c>
      <c r="B1269" s="605"/>
      <c r="C1269" s="604"/>
    </row>
    <row r="1270" spans="1:3" ht="11.5" customHeight="1">
      <c r="A1270" s="619" t="s">
        <v>36546</v>
      </c>
      <c r="B1270" s="619" t="s">
        <v>36545</v>
      </c>
      <c r="C1270" s="612">
        <v>631</v>
      </c>
    </row>
    <row r="1271" spans="1:3" ht="11.5" customHeight="1">
      <c r="A1271" s="616" t="s">
        <v>36544</v>
      </c>
      <c r="B1271" s="616" t="s">
        <v>36543</v>
      </c>
      <c r="C1271" s="612">
        <v>1267</v>
      </c>
    </row>
    <row r="1272" spans="1:3" ht="11.5" customHeight="1">
      <c r="A1272" s="616" t="s">
        <v>36542</v>
      </c>
      <c r="B1272" s="616" t="s">
        <v>36541</v>
      </c>
      <c r="C1272" s="612">
        <v>1267</v>
      </c>
    </row>
    <row r="1273" spans="1:3" ht="11.5" customHeight="1">
      <c r="A1273" s="616" t="s">
        <v>36540</v>
      </c>
      <c r="B1273" s="616" t="s">
        <v>36539</v>
      </c>
      <c r="C1273" s="612">
        <v>1267</v>
      </c>
    </row>
    <row r="1274" spans="1:3" ht="11.5" customHeight="1">
      <c r="A1274" s="616" t="s">
        <v>36538</v>
      </c>
      <c r="B1274" s="616" t="s">
        <v>36537</v>
      </c>
      <c r="C1274" s="612">
        <v>1749</v>
      </c>
    </row>
    <row r="1275" spans="1:3" ht="11.5" customHeight="1">
      <c r="A1275" s="616" t="s">
        <v>36536</v>
      </c>
      <c r="B1275" s="616" t="s">
        <v>36535</v>
      </c>
      <c r="C1275" s="612">
        <v>1749</v>
      </c>
    </row>
    <row r="1276" spans="1:3" ht="11.5" customHeight="1">
      <c r="A1276" s="616" t="s">
        <v>36534</v>
      </c>
      <c r="B1276" s="616" t="s">
        <v>36533</v>
      </c>
      <c r="C1276" s="612">
        <v>1749</v>
      </c>
    </row>
    <row r="1277" spans="1:3" ht="11.5" customHeight="1">
      <c r="A1277" s="616" t="s">
        <v>36532</v>
      </c>
      <c r="B1277" s="616" t="s">
        <v>36531</v>
      </c>
      <c r="C1277" s="612">
        <v>32</v>
      </c>
    </row>
    <row r="1278" spans="1:3" ht="11.5" customHeight="1">
      <c r="A1278" s="608"/>
      <c r="B1278" s="608"/>
      <c r="C1278" s="607"/>
    </row>
    <row r="1279" spans="1:3" ht="18" customHeight="1" thickBot="1">
      <c r="A1279" s="605" t="s">
        <v>36530</v>
      </c>
      <c r="B1279" s="605"/>
      <c r="C1279" s="604"/>
    </row>
    <row r="1280" spans="1:3" ht="11.5" customHeight="1">
      <c r="A1280" s="638" t="s">
        <v>36529</v>
      </c>
      <c r="B1280" s="633" t="s">
        <v>36528</v>
      </c>
      <c r="C1280" s="612">
        <v>558</v>
      </c>
    </row>
    <row r="1281" spans="1:4" ht="11.5" customHeight="1">
      <c r="A1281" s="637" t="s">
        <v>36527</v>
      </c>
      <c r="B1281" s="632" t="s">
        <v>36526</v>
      </c>
      <c r="C1281" s="612">
        <v>558</v>
      </c>
    </row>
    <row r="1282" spans="1:4" ht="11.5" customHeight="1">
      <c r="A1282" s="637" t="s">
        <v>36525</v>
      </c>
      <c r="B1282" s="632" t="s">
        <v>36524</v>
      </c>
      <c r="C1282" s="612">
        <v>558</v>
      </c>
    </row>
    <row r="1283" spans="1:4" ht="11.5" customHeight="1">
      <c r="A1283" s="637" t="s">
        <v>36523</v>
      </c>
      <c r="B1283" s="632" t="s">
        <v>36522</v>
      </c>
      <c r="C1283" s="612">
        <v>707</v>
      </c>
      <c r="D1283" s="593"/>
    </row>
    <row r="1284" spans="1:4" ht="11.5" customHeight="1">
      <c r="A1284" s="637" t="s">
        <v>36521</v>
      </c>
      <c r="B1284" s="632" t="s">
        <v>36520</v>
      </c>
      <c r="C1284" s="612">
        <v>707</v>
      </c>
      <c r="D1284" s="593"/>
    </row>
    <row r="1285" spans="1:4" ht="11.5" customHeight="1">
      <c r="A1285" s="637" t="s">
        <v>36519</v>
      </c>
      <c r="B1285" s="632" t="s">
        <v>36518</v>
      </c>
      <c r="C1285" s="612">
        <v>707</v>
      </c>
    </row>
    <row r="1286" spans="1:4" ht="11.5" customHeight="1">
      <c r="C1286" s="607"/>
    </row>
    <row r="1287" spans="1:4" ht="11.5" customHeight="1" thickBot="1">
      <c r="A1287" s="605" t="s">
        <v>36517</v>
      </c>
      <c r="B1287" s="605"/>
      <c r="C1287" s="604"/>
      <c r="D1287" s="593"/>
    </row>
    <row r="1288" spans="1:4" ht="11.5" customHeight="1">
      <c r="A1288" s="633" t="s">
        <v>36516</v>
      </c>
      <c r="B1288" s="636" t="s">
        <v>36515</v>
      </c>
      <c r="C1288" s="612">
        <v>632</v>
      </c>
      <c r="D1288" s="593"/>
    </row>
    <row r="1289" spans="1:4" ht="11.5" customHeight="1">
      <c r="A1289" s="632" t="s">
        <v>36514</v>
      </c>
      <c r="B1289" s="635" t="s">
        <v>36513</v>
      </c>
      <c r="C1289" s="612">
        <v>632</v>
      </c>
    </row>
    <row r="1290" spans="1:4" ht="11.5" customHeight="1">
      <c r="A1290" s="632" t="s">
        <v>36512</v>
      </c>
      <c r="B1290" s="635" t="s">
        <v>36511</v>
      </c>
      <c r="C1290" s="612">
        <v>632</v>
      </c>
    </row>
    <row r="1291" spans="1:4" ht="11.5" customHeight="1">
      <c r="A1291" s="616" t="s">
        <v>36510</v>
      </c>
      <c r="B1291" s="635" t="s">
        <v>36509</v>
      </c>
      <c r="C1291" s="612">
        <v>741</v>
      </c>
    </row>
    <row r="1292" spans="1:4" ht="11.5" customHeight="1">
      <c r="A1292" s="616" t="s">
        <v>36508</v>
      </c>
      <c r="B1292" s="635" t="s">
        <v>36507</v>
      </c>
      <c r="C1292" s="612">
        <v>741</v>
      </c>
    </row>
    <row r="1293" spans="1:4">
      <c r="A1293" s="616" t="s">
        <v>36506</v>
      </c>
      <c r="B1293" s="635" t="s">
        <v>36505</v>
      </c>
      <c r="C1293" s="612">
        <v>741</v>
      </c>
    </row>
    <row r="1294" spans="1:4">
      <c r="A1294" s="608"/>
      <c r="B1294" s="634"/>
      <c r="C1294" s="607"/>
    </row>
    <row r="1295" spans="1:4" ht="12" customHeight="1" thickBot="1">
      <c r="A1295" s="615" t="s">
        <v>36504</v>
      </c>
      <c r="B1295" s="615"/>
      <c r="C1295" s="614"/>
    </row>
    <row r="1296" spans="1:4">
      <c r="A1296" s="633" t="s">
        <v>36503</v>
      </c>
      <c r="B1296" s="633" t="s">
        <v>36502</v>
      </c>
      <c r="C1296" s="612">
        <v>558</v>
      </c>
    </row>
    <row r="1297" spans="1:3">
      <c r="A1297" s="632" t="s">
        <v>36501</v>
      </c>
      <c r="B1297" s="632" t="s">
        <v>36500</v>
      </c>
      <c r="C1297" s="612">
        <v>558</v>
      </c>
    </row>
    <row r="1298" spans="1:3">
      <c r="A1298" s="632" t="s">
        <v>36499</v>
      </c>
      <c r="B1298" s="632" t="s">
        <v>36498</v>
      </c>
      <c r="C1298" s="612">
        <v>558</v>
      </c>
    </row>
    <row r="1299" spans="1:3">
      <c r="A1299" s="632" t="s">
        <v>36497</v>
      </c>
      <c r="B1299" s="632" t="s">
        <v>36496</v>
      </c>
      <c r="C1299" s="612">
        <v>707</v>
      </c>
    </row>
    <row r="1300" spans="1:3">
      <c r="A1300" s="631" t="s">
        <v>36495</v>
      </c>
      <c r="B1300" s="630" t="s">
        <v>36494</v>
      </c>
      <c r="C1300" s="612">
        <v>707</v>
      </c>
    </row>
    <row r="1301" spans="1:3">
      <c r="A1301" s="616" t="s">
        <v>36493</v>
      </c>
      <c r="B1301" s="616" t="s">
        <v>36492</v>
      </c>
      <c r="C1301" s="612">
        <v>707</v>
      </c>
    </row>
    <row r="1302" spans="1:3" ht="17.149999999999999" customHeight="1">
      <c r="A1302" s="611" t="s">
        <v>36491</v>
      </c>
      <c r="B1302" s="594"/>
      <c r="C1302" s="607"/>
    </row>
    <row r="1303" spans="1:3" ht="11.15" customHeight="1" thickBot="1">
      <c r="A1303" s="628"/>
      <c r="B1303" s="605"/>
      <c r="C1303" s="606"/>
    </row>
    <row r="1304" spans="1:3">
      <c r="A1304" s="619" t="s">
        <v>36490</v>
      </c>
      <c r="B1304" s="613" t="s">
        <v>36489</v>
      </c>
      <c r="C1304" s="612">
        <v>111</v>
      </c>
    </row>
    <row r="1305" spans="1:3">
      <c r="A1305" s="616" t="s">
        <v>36488</v>
      </c>
      <c r="B1305" s="618" t="s">
        <v>36487</v>
      </c>
      <c r="C1305" s="612">
        <v>156</v>
      </c>
    </row>
    <row r="1306" spans="1:3">
      <c r="A1306" s="616" t="s">
        <v>36486</v>
      </c>
      <c r="B1306" s="618" t="s">
        <v>36485</v>
      </c>
      <c r="C1306" s="612">
        <v>111</v>
      </c>
    </row>
    <row r="1307" spans="1:3">
      <c r="A1307" s="608"/>
      <c r="B1307" s="629"/>
      <c r="C1307" s="607"/>
    </row>
    <row r="1308" spans="1:3" ht="17.149999999999999" customHeight="1">
      <c r="A1308" s="611" t="s">
        <v>36484</v>
      </c>
      <c r="B1308" s="594"/>
      <c r="C1308" s="607"/>
    </row>
    <row r="1309" spans="1:3" ht="11.15" customHeight="1" thickBot="1">
      <c r="A1309" s="628"/>
      <c r="B1309" s="605"/>
      <c r="C1309" s="604"/>
    </row>
    <row r="1310" spans="1:3">
      <c r="A1310" s="619" t="s">
        <v>36483</v>
      </c>
      <c r="B1310" s="613" t="s">
        <v>36482</v>
      </c>
      <c r="C1310" s="612">
        <v>330</v>
      </c>
    </row>
    <row r="1311" spans="1:3">
      <c r="A1311" s="616" t="s">
        <v>36481</v>
      </c>
      <c r="B1311" s="618" t="s">
        <v>36480</v>
      </c>
      <c r="C1311" s="612">
        <v>513</v>
      </c>
    </row>
    <row r="1312" spans="1:3">
      <c r="C1312" s="607"/>
    </row>
    <row r="1313" spans="1:3" ht="17.149999999999999" customHeight="1">
      <c r="A1313" s="611" t="s">
        <v>36479</v>
      </c>
      <c r="B1313" s="594"/>
      <c r="C1313" s="607"/>
    </row>
    <row r="1314" spans="1:3" ht="11.15" customHeight="1" thickBot="1">
      <c r="A1314" s="626"/>
      <c r="B1314" s="625"/>
      <c r="C1314" s="604"/>
    </row>
    <row r="1315" spans="1:3">
      <c r="A1315" s="619" t="s">
        <v>36478</v>
      </c>
      <c r="B1315" s="619" t="s">
        <v>36477</v>
      </c>
      <c r="C1315" s="627">
        <v>170</v>
      </c>
    </row>
    <row r="1316" spans="1:3">
      <c r="C1316" s="607"/>
    </row>
    <row r="1317" spans="1:3" ht="18" customHeight="1">
      <c r="A1317" s="611" t="s">
        <v>36476</v>
      </c>
      <c r="B1317" s="594"/>
      <c r="C1317" s="607"/>
    </row>
    <row r="1318" spans="1:3">
      <c r="A1318" s="594"/>
      <c r="B1318" s="594"/>
      <c r="C1318" s="607"/>
    </row>
    <row r="1319" spans="1:3" ht="11" thickBot="1">
      <c r="A1319" s="626"/>
      <c r="B1319" s="625" t="s">
        <v>36475</v>
      </c>
      <c r="C1319" s="604"/>
    </row>
    <row r="1320" spans="1:3">
      <c r="A1320" s="619" t="s">
        <v>36474</v>
      </c>
      <c r="B1320" s="613" t="s">
        <v>36473</v>
      </c>
      <c r="C1320" s="612">
        <v>191</v>
      </c>
    </row>
    <row r="1321" spans="1:3">
      <c r="A1321" s="616" t="s">
        <v>36472</v>
      </c>
      <c r="B1321" s="618" t="s">
        <v>36471</v>
      </c>
      <c r="C1321" s="612">
        <v>211</v>
      </c>
    </row>
    <row r="1322" spans="1:3">
      <c r="A1322" s="616" t="s">
        <v>36470</v>
      </c>
      <c r="B1322" s="616" t="s">
        <v>36469</v>
      </c>
      <c r="C1322" s="612">
        <v>233</v>
      </c>
    </row>
    <row r="1323" spans="1:3">
      <c r="A1323" s="616" t="s">
        <v>36468</v>
      </c>
      <c r="B1323" s="618" t="s">
        <v>36467</v>
      </c>
      <c r="C1323" s="612">
        <v>352</v>
      </c>
    </row>
    <row r="1324" spans="1:3">
      <c r="A1324" s="616" t="s">
        <v>36466</v>
      </c>
      <c r="B1324" s="618" t="s">
        <v>36465</v>
      </c>
      <c r="C1324" s="612">
        <v>67</v>
      </c>
    </row>
    <row r="1325" spans="1:3">
      <c r="A1325" s="616" t="s">
        <v>36464</v>
      </c>
      <c r="B1325" s="618" t="s">
        <v>6941</v>
      </c>
      <c r="C1325" s="612">
        <v>43</v>
      </c>
    </row>
    <row r="1326" spans="1:3">
      <c r="A1326" s="616" t="s">
        <v>36463</v>
      </c>
      <c r="B1326" s="618" t="s">
        <v>36462</v>
      </c>
      <c r="C1326" s="612">
        <v>26</v>
      </c>
    </row>
    <row r="1327" spans="1:3">
      <c r="A1327" s="616" t="s">
        <v>36461</v>
      </c>
      <c r="B1327" s="618" t="s">
        <v>36460</v>
      </c>
      <c r="C1327" s="612">
        <v>54</v>
      </c>
    </row>
    <row r="1328" spans="1:3">
      <c r="A1328" s="616" t="s">
        <v>36459</v>
      </c>
      <c r="B1328" s="616" t="s">
        <v>36458</v>
      </c>
      <c r="C1328" s="612">
        <v>188</v>
      </c>
    </row>
    <row r="1329" spans="1:3">
      <c r="A1329" s="608"/>
      <c r="B1329" s="608"/>
      <c r="C1329" s="607"/>
    </row>
    <row r="1330" spans="1:3" ht="18" customHeight="1">
      <c r="A1330" s="611" t="s">
        <v>36457</v>
      </c>
      <c r="B1330" s="594"/>
      <c r="C1330" s="607"/>
    </row>
    <row r="1331" spans="1:3">
      <c r="A1331" s="624"/>
      <c r="B1331" s="622"/>
      <c r="C1331" s="623">
        <v>0</v>
      </c>
    </row>
    <row r="1332" spans="1:3">
      <c r="A1332" s="608"/>
      <c r="B1332" s="622" t="s">
        <v>36456</v>
      </c>
      <c r="C1332" s="607"/>
    </row>
    <row r="1333" spans="1:3">
      <c r="A1333" s="608"/>
      <c r="B1333" s="622" t="s">
        <v>36455</v>
      </c>
      <c r="C1333" s="607"/>
    </row>
    <row r="1334" spans="1:3">
      <c r="A1334" s="608"/>
      <c r="B1334" s="608"/>
      <c r="C1334" s="607"/>
    </row>
    <row r="1335" spans="1:3" ht="11" thickBot="1">
      <c r="A1335" s="605" t="s">
        <v>36454</v>
      </c>
      <c r="B1335" s="605"/>
      <c r="C1335" s="604"/>
    </row>
    <row r="1336" spans="1:3">
      <c r="A1336" s="619" t="s">
        <v>36453</v>
      </c>
      <c r="B1336" s="613" t="s">
        <v>36452</v>
      </c>
      <c r="C1336" s="612">
        <v>471</v>
      </c>
    </row>
    <row r="1337" spans="1:3">
      <c r="C1337" s="607"/>
    </row>
    <row r="1338" spans="1:3" ht="11" thickBot="1">
      <c r="A1338" s="615" t="s">
        <v>36451</v>
      </c>
      <c r="B1338" s="615"/>
      <c r="C1338" s="604"/>
    </row>
    <row r="1339" spans="1:3">
      <c r="A1339" s="619" t="s">
        <v>36450</v>
      </c>
      <c r="B1339" s="613" t="s">
        <v>36449</v>
      </c>
      <c r="C1339" s="612">
        <v>471</v>
      </c>
    </row>
    <row r="1340" spans="1:3">
      <c r="A1340" s="621"/>
      <c r="B1340" s="621"/>
      <c r="C1340" s="607"/>
    </row>
    <row r="1341" spans="1:3" ht="11" thickBot="1">
      <c r="A1341" s="605" t="s">
        <v>36448</v>
      </c>
      <c r="B1341" s="605"/>
      <c r="C1341" s="604"/>
    </row>
    <row r="1342" spans="1:3">
      <c r="A1342" s="619" t="s">
        <v>36447</v>
      </c>
      <c r="B1342" s="619" t="s">
        <v>36446</v>
      </c>
      <c r="C1342" s="612">
        <v>523</v>
      </c>
    </row>
    <row r="1343" spans="1:3">
      <c r="A1343" s="616" t="s">
        <v>36445</v>
      </c>
      <c r="B1343" s="616" t="s">
        <v>36444</v>
      </c>
      <c r="C1343" s="612">
        <v>657</v>
      </c>
    </row>
    <row r="1344" spans="1:3">
      <c r="A1344" s="620"/>
      <c r="B1344" s="616" t="s">
        <v>36443</v>
      </c>
      <c r="C1344" s="607"/>
    </row>
    <row r="1345" spans="1:3">
      <c r="A1345" s="620"/>
      <c r="B1345" s="620"/>
      <c r="C1345" s="607"/>
    </row>
    <row r="1346" spans="1:3" ht="11" thickBot="1">
      <c r="A1346" s="605" t="s">
        <v>36442</v>
      </c>
      <c r="B1346" s="605"/>
      <c r="C1346" s="604"/>
    </row>
    <row r="1347" spans="1:3">
      <c r="A1347" s="619" t="s">
        <v>36441</v>
      </c>
      <c r="B1347" s="613" t="s">
        <v>36440</v>
      </c>
      <c r="C1347" s="612">
        <v>531</v>
      </c>
    </row>
    <row r="1348" spans="1:3">
      <c r="A1348" s="616" t="s">
        <v>36439</v>
      </c>
      <c r="B1348" s="618" t="s">
        <v>36438</v>
      </c>
      <c r="C1348" s="612">
        <v>666</v>
      </c>
    </row>
    <row r="1349" spans="1:3">
      <c r="B1349" s="616" t="s">
        <v>36437</v>
      </c>
      <c r="C1349" s="607"/>
    </row>
    <row r="1350" spans="1:3" ht="11" thickBot="1">
      <c r="A1350" s="605" t="s">
        <v>36436</v>
      </c>
      <c r="B1350" s="605"/>
      <c r="C1350" s="604"/>
    </row>
    <row r="1351" spans="1:3">
      <c r="A1351" s="619" t="s">
        <v>36435</v>
      </c>
      <c r="B1351" s="613" t="s">
        <v>36434</v>
      </c>
      <c r="C1351" s="612">
        <v>531</v>
      </c>
    </row>
    <row r="1352" spans="1:3">
      <c r="A1352" s="616" t="s">
        <v>36433</v>
      </c>
      <c r="B1352" s="618" t="s">
        <v>36432</v>
      </c>
      <c r="C1352" s="612">
        <v>666</v>
      </c>
    </row>
    <row r="1353" spans="1:3">
      <c r="A1353" s="617"/>
      <c r="B1353" s="616" t="s">
        <v>36431</v>
      </c>
      <c r="C1353" s="607"/>
    </row>
    <row r="1354" spans="1:3" ht="11" thickBot="1">
      <c r="A1354" s="615" t="s">
        <v>36430</v>
      </c>
      <c r="B1354" s="615"/>
      <c r="C1354" s="614"/>
    </row>
    <row r="1355" spans="1:3">
      <c r="A1355" s="613" t="s">
        <v>36429</v>
      </c>
      <c r="B1355" s="613" t="s">
        <v>36428</v>
      </c>
      <c r="C1355" s="612">
        <v>531</v>
      </c>
    </row>
    <row r="1356" spans="1:3">
      <c r="C1356" s="607"/>
    </row>
    <row r="1357" spans="1:3" ht="11" thickBot="1">
      <c r="A1357" s="615" t="s">
        <v>36427</v>
      </c>
      <c r="B1357" s="615"/>
      <c r="C1357" s="614"/>
    </row>
    <row r="1358" spans="1:3">
      <c r="A1358" s="613" t="s">
        <v>36426</v>
      </c>
      <c r="B1358" s="613" t="s">
        <v>36425</v>
      </c>
      <c r="C1358" s="612">
        <v>540</v>
      </c>
    </row>
    <row r="1359" spans="1:3" ht="18" customHeight="1">
      <c r="A1359" s="611" t="s">
        <v>36424</v>
      </c>
      <c r="B1359" s="610"/>
      <c r="C1359" s="609">
        <v>0</v>
      </c>
    </row>
    <row r="1360" spans="1:3">
      <c r="A1360" s="608"/>
      <c r="B1360" s="608"/>
      <c r="C1360" s="607"/>
    </row>
    <row r="1361" spans="1:3" ht="11" thickBot="1">
      <c r="A1361" s="605" t="s">
        <v>36423</v>
      </c>
      <c r="B1361" s="605"/>
      <c r="C1361" s="606"/>
    </row>
    <row r="1362" spans="1:3">
      <c r="A1362" s="603" t="s">
        <v>36422</v>
      </c>
      <c r="B1362" s="602" t="s">
        <v>36421</v>
      </c>
      <c r="C1362" s="601">
        <v>228</v>
      </c>
    </row>
    <row r="1363" spans="1:3">
      <c r="A1363" s="597" t="s">
        <v>36420</v>
      </c>
      <c r="B1363" s="596" t="s">
        <v>36419</v>
      </c>
      <c r="C1363" s="595">
        <v>237</v>
      </c>
    </row>
    <row r="1364" spans="1:3">
      <c r="A1364" s="597" t="s">
        <v>36418</v>
      </c>
      <c r="B1364" s="596" t="s">
        <v>36417</v>
      </c>
      <c r="C1364" s="595">
        <v>237</v>
      </c>
    </row>
    <row r="1365" spans="1:3">
      <c r="A1365" s="597" t="s">
        <v>36416</v>
      </c>
      <c r="B1365" s="596" t="s">
        <v>36415</v>
      </c>
      <c r="C1365" s="595">
        <v>237</v>
      </c>
    </row>
    <row r="1366" spans="1:3">
      <c r="A1366" s="600"/>
      <c r="B1366" s="599"/>
      <c r="C1366" s="598"/>
    </row>
    <row r="1367" spans="1:3">
      <c r="A1367" s="597" t="s">
        <v>36414</v>
      </c>
      <c r="B1367" s="596" t="s">
        <v>36413</v>
      </c>
      <c r="C1367" s="595">
        <v>293</v>
      </c>
    </row>
    <row r="1368" spans="1:3">
      <c r="A1368" s="597" t="s">
        <v>36412</v>
      </c>
      <c r="B1368" s="596" t="s">
        <v>36411</v>
      </c>
      <c r="C1368" s="595">
        <v>304</v>
      </c>
    </row>
    <row r="1369" spans="1:3">
      <c r="A1369" s="597" t="s">
        <v>36410</v>
      </c>
      <c r="B1369" s="596" t="s">
        <v>36409</v>
      </c>
      <c r="C1369" s="595">
        <v>303</v>
      </c>
    </row>
    <row r="1370" spans="1:3">
      <c r="A1370" s="597" t="s">
        <v>36408</v>
      </c>
      <c r="B1370" s="596" t="s">
        <v>36407</v>
      </c>
      <c r="C1370" s="595">
        <v>303</v>
      </c>
    </row>
    <row r="1371" spans="1:3">
      <c r="A1371" s="600"/>
      <c r="B1371" s="599"/>
      <c r="C1371" s="598"/>
    </row>
    <row r="1372" spans="1:3" ht="11" thickBot="1">
      <c r="A1372" s="605" t="s">
        <v>36406</v>
      </c>
      <c r="B1372" s="605"/>
      <c r="C1372" s="604"/>
    </row>
    <row r="1373" spans="1:3">
      <c r="A1373" s="603" t="s">
        <v>36405</v>
      </c>
      <c r="B1373" s="602" t="s">
        <v>36404</v>
      </c>
      <c r="C1373" s="601">
        <v>203</v>
      </c>
    </row>
    <row r="1374" spans="1:3">
      <c r="A1374" s="597" t="s">
        <v>36403</v>
      </c>
      <c r="B1374" s="596" t="s">
        <v>36402</v>
      </c>
      <c r="C1374" s="595">
        <v>216</v>
      </c>
    </row>
    <row r="1375" spans="1:3">
      <c r="A1375" s="597" t="s">
        <v>36401</v>
      </c>
      <c r="B1375" s="596" t="s">
        <v>36400</v>
      </c>
      <c r="C1375" s="595">
        <v>216</v>
      </c>
    </row>
    <row r="1376" spans="1:3">
      <c r="A1376" s="597" t="s">
        <v>36399</v>
      </c>
      <c r="B1376" s="596" t="s">
        <v>36398</v>
      </c>
      <c r="C1376" s="595">
        <v>216</v>
      </c>
    </row>
    <row r="1377" spans="1:3">
      <c r="A1377" s="600"/>
      <c r="B1377" s="599"/>
      <c r="C1377" s="598"/>
    </row>
    <row r="1378" spans="1:3">
      <c r="A1378" s="597" t="s">
        <v>36397</v>
      </c>
      <c r="B1378" s="596" t="s">
        <v>36396</v>
      </c>
      <c r="C1378" s="595">
        <v>261</v>
      </c>
    </row>
    <row r="1379" spans="1:3">
      <c r="A1379" s="597" t="s">
        <v>36395</v>
      </c>
      <c r="B1379" s="596" t="s">
        <v>36394</v>
      </c>
      <c r="C1379" s="595">
        <v>272</v>
      </c>
    </row>
    <row r="1380" spans="1:3">
      <c r="A1380" s="597" t="s">
        <v>36393</v>
      </c>
      <c r="B1380" s="596" t="s">
        <v>36392</v>
      </c>
      <c r="C1380" s="595">
        <v>272</v>
      </c>
    </row>
    <row r="1381" spans="1:3">
      <c r="A1381" s="597" t="s">
        <v>36391</v>
      </c>
      <c r="B1381" s="596" t="s">
        <v>36390</v>
      </c>
      <c r="C1381" s="595">
        <v>272</v>
      </c>
    </row>
    <row r="1382" spans="1:3">
      <c r="C1382" s="592"/>
    </row>
    <row r="1383" spans="1:3">
      <c r="C1383" s="592"/>
    </row>
    <row r="1384" spans="1:3">
      <c r="C1384" s="592"/>
    </row>
    <row r="1385" spans="1:3">
      <c r="C1385" s="592"/>
    </row>
    <row r="1386" spans="1:3">
      <c r="B1386" s="594"/>
      <c r="C1386" s="592"/>
    </row>
  </sheetData>
  <dataConsolidate function="product">
    <dataRefs count="2">
      <dataRef ref="A1:G554" sheet="PGP" r:id="rId1"/>
      <dataRef ref="A1:F607" sheet="Master" r:id="rId2"/>
    </dataRefs>
  </dataConsolidate>
  <mergeCells count="5">
    <mergeCell ref="A423:C423"/>
    <mergeCell ref="A706:C706"/>
    <mergeCell ref="A427:C427"/>
    <mergeCell ref="A430:C430"/>
    <mergeCell ref="A486:C486"/>
  </mergeCells>
  <pageMargins left="0.5" right="0.5" top="0.25" bottom="0.5" header="0.25" footer="0.25"/>
  <pageSetup scale="97" fitToHeight="0" orientation="portrait" r:id="rId3"/>
  <headerFooter scaleWithDoc="0">
    <oddFooter>&amp;L&amp;6&amp;K000000PRICE SHEET EFFECTIVE - JULY 1, 2025 - EXPIRES DECEMBER 25, 2025&amp;R&amp;"Calibri Italic,Italic"&amp;6&amp;K000000&amp;P</oddFooter>
  </headerFooter>
  <rowBreaks count="26" manualBreakCount="26">
    <brk id="61" max="2" man="1"/>
    <brk id="120" max="2" man="1"/>
    <brk id="158" max="16383" man="1"/>
    <brk id="220" max="16383" man="1"/>
    <brk id="260" max="16383" man="1"/>
    <brk id="285" max="16383" man="1"/>
    <brk id="342" max="16383" man="1"/>
    <brk id="382" max="16383" man="1"/>
    <brk id="440" max="2" man="1"/>
    <brk id="465" max="2" man="1"/>
    <brk id="521" max="2" man="1"/>
    <brk id="585" max="2" man="1"/>
    <brk id="644" max="2" man="1"/>
    <brk id="695" max="2" man="1"/>
    <brk id="741" max="2" man="1"/>
    <brk id="806" max="2" man="1"/>
    <brk id="848" max="2" man="1"/>
    <brk id="906" max="2" man="1"/>
    <brk id="951" max="2" man="1"/>
    <brk id="1003" max="2" man="1"/>
    <brk id="1062" max="2" man="1"/>
    <brk id="1129" max="2" man="1"/>
    <brk id="1184" max="2" man="1"/>
    <brk id="1244" max="2" man="1"/>
    <brk id="1301" max="2" man="1"/>
    <brk id="1358" max="2"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7CFE0-651E-41D6-B8EE-8B4F531A3B8D}">
  <sheetPr>
    <tabColor theme="2" tint="-9.9978637043366805E-2"/>
  </sheetPr>
  <dimension ref="A1:C45"/>
  <sheetViews>
    <sheetView workbookViewId="0">
      <selection activeCell="C8" sqref="C8"/>
    </sheetView>
  </sheetViews>
  <sheetFormatPr defaultRowHeight="14.5"/>
  <cols>
    <col min="1" max="1" width="8.7265625" style="1108"/>
    <col min="2" max="2" width="87.453125" style="1108" bestFit="1" customWidth="1"/>
    <col min="3" max="5" width="8.7265625" style="1108"/>
    <col min="6" max="6" width="12.81640625" style="1108" bestFit="1" customWidth="1"/>
    <col min="7" max="7" width="16.54296875" style="1108" bestFit="1" customWidth="1"/>
    <col min="8" max="16384" width="8.7265625" style="1108"/>
  </cols>
  <sheetData>
    <row r="1" spans="1:3">
      <c r="A1" s="1108" t="s">
        <v>62454</v>
      </c>
      <c r="B1" s="1108" t="s">
        <v>1</v>
      </c>
      <c r="C1" s="1108" t="s">
        <v>5146</v>
      </c>
    </row>
    <row r="2" spans="1:3">
      <c r="A2" s="1108">
        <v>93860</v>
      </c>
      <c r="B2" s="1108" t="s">
        <v>62453</v>
      </c>
      <c r="C2" s="1108">
        <v>345</v>
      </c>
    </row>
    <row r="3" spans="1:3">
      <c r="A3" s="1108">
        <v>93861</v>
      </c>
      <c r="B3" s="1108" t="s">
        <v>62452</v>
      </c>
      <c r="C3" s="1108">
        <v>399</v>
      </c>
    </row>
    <row r="4" spans="1:3">
      <c r="A4" s="1108">
        <v>93862</v>
      </c>
      <c r="B4" s="1108" t="s">
        <v>62451</v>
      </c>
      <c r="C4" s="1108">
        <v>469</v>
      </c>
    </row>
    <row r="5" spans="1:3">
      <c r="A5" s="1108">
        <v>93904</v>
      </c>
      <c r="B5" s="1108" t="s">
        <v>62450</v>
      </c>
      <c r="C5" s="1108">
        <v>425</v>
      </c>
    </row>
    <row r="6" spans="1:3">
      <c r="A6" s="1108">
        <v>93905</v>
      </c>
      <c r="B6" s="1108" t="s">
        <v>62449</v>
      </c>
      <c r="C6" s="1108">
        <v>475</v>
      </c>
    </row>
    <row r="7" spans="1:3">
      <c r="A7" s="1108">
        <v>93906</v>
      </c>
      <c r="B7" s="1108" t="s">
        <v>62448</v>
      </c>
      <c r="C7" s="1108">
        <v>417</v>
      </c>
    </row>
    <row r="8" spans="1:3">
      <c r="A8" s="1108">
        <v>93863</v>
      </c>
      <c r="B8" s="1204" t="s">
        <v>62447</v>
      </c>
      <c r="C8" s="1108">
        <v>45</v>
      </c>
    </row>
    <row r="9" spans="1:3">
      <c r="A9" s="1108">
        <v>93864</v>
      </c>
      <c r="B9" s="1204" t="s">
        <v>62446</v>
      </c>
      <c r="C9" s="1108">
        <v>45</v>
      </c>
    </row>
    <row r="10" spans="1:3">
      <c r="A10" s="1108">
        <v>93865</v>
      </c>
      <c r="B10" s="1108" t="s">
        <v>62445</v>
      </c>
      <c r="C10" s="1108">
        <v>45</v>
      </c>
    </row>
    <row r="11" spans="1:3">
      <c r="A11" s="1108">
        <v>93866</v>
      </c>
      <c r="B11" s="1108" t="s">
        <v>62444</v>
      </c>
      <c r="C11" s="1108">
        <v>60</v>
      </c>
    </row>
    <row r="12" spans="1:3">
      <c r="A12" s="1108">
        <v>93232</v>
      </c>
      <c r="B12" s="1108" t="s">
        <v>62443</v>
      </c>
      <c r="C12" s="1108">
        <v>11</v>
      </c>
    </row>
    <row r="13" spans="1:3">
      <c r="A13" s="1108">
        <v>93877</v>
      </c>
      <c r="B13" s="1108" t="s">
        <v>62442</v>
      </c>
      <c r="C13" s="1108">
        <v>15</v>
      </c>
    </row>
    <row r="14" spans="1:3">
      <c r="A14" s="1108">
        <v>93882</v>
      </c>
      <c r="B14" s="1108" t="s">
        <v>62441</v>
      </c>
      <c r="C14" s="1108">
        <v>13</v>
      </c>
    </row>
    <row r="15" spans="1:3">
      <c r="A15" s="1108">
        <v>91395</v>
      </c>
      <c r="B15" s="1108" t="s">
        <v>62440</v>
      </c>
      <c r="C15" s="1108">
        <v>31</v>
      </c>
    </row>
    <row r="16" spans="1:3">
      <c r="A16" s="1108">
        <v>93209</v>
      </c>
      <c r="B16" s="1108" t="s">
        <v>62439</v>
      </c>
      <c r="C16" s="1108">
        <v>46</v>
      </c>
    </row>
    <row r="17" spans="1:3">
      <c r="A17" s="1108">
        <v>93211</v>
      </c>
      <c r="B17" s="1108" t="s">
        <v>62438</v>
      </c>
      <c r="C17" s="1108">
        <v>72</v>
      </c>
    </row>
    <row r="18" spans="1:3">
      <c r="A18" s="1108">
        <v>93878</v>
      </c>
      <c r="B18" s="1108" t="s">
        <v>62437</v>
      </c>
      <c r="C18" s="1108">
        <v>345</v>
      </c>
    </row>
    <row r="19" spans="1:3">
      <c r="A19" s="1108">
        <v>93879</v>
      </c>
      <c r="B19" s="1108" t="s">
        <v>62436</v>
      </c>
      <c r="C19" s="1108">
        <v>18</v>
      </c>
    </row>
    <row r="20" spans="1:3">
      <c r="A20" s="1204"/>
    </row>
    <row r="21" spans="1:3">
      <c r="A21" s="1204"/>
    </row>
    <row r="24" spans="1:3">
      <c r="A24" s="1204"/>
    </row>
    <row r="25" spans="1:3">
      <c r="A25" s="1204"/>
    </row>
    <row r="26" spans="1:3">
      <c r="B26" s="1204"/>
    </row>
    <row r="27" spans="1:3">
      <c r="B27" s="1204"/>
    </row>
    <row r="28" spans="1:3">
      <c r="A28" s="1204"/>
    </row>
    <row r="29" spans="1:3">
      <c r="A29" s="1204"/>
    </row>
    <row r="30" spans="1:3">
      <c r="B30" s="1204"/>
    </row>
    <row r="31" spans="1:3">
      <c r="B31" s="1204"/>
    </row>
    <row r="32" spans="1:3">
      <c r="A32" s="1204"/>
    </row>
    <row r="33" spans="1:2">
      <c r="A33" s="1204"/>
    </row>
    <row r="34" spans="1:2">
      <c r="B34" s="1204"/>
    </row>
    <row r="35" spans="1:2">
      <c r="B35" s="1204"/>
    </row>
    <row r="36" spans="1:2">
      <c r="A36" s="1204"/>
    </row>
    <row r="37" spans="1:2">
      <c r="A37" s="1204"/>
    </row>
    <row r="38" spans="1:2">
      <c r="B38" s="1204"/>
    </row>
    <row r="39" spans="1:2">
      <c r="B39" s="1204"/>
    </row>
    <row r="40" spans="1:2">
      <c r="A40" s="1204"/>
    </row>
    <row r="41" spans="1:2">
      <c r="A41" s="1204"/>
    </row>
    <row r="44" spans="1:2">
      <c r="A44" s="1204"/>
    </row>
    <row r="45" spans="1:2">
      <c r="A45" s="120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5DF4-36E7-4E05-B71A-FA6C76D8C22F}">
  <sheetPr>
    <tabColor theme="2" tint="-9.9978637043366805E-2"/>
  </sheetPr>
  <dimension ref="A1:C6165"/>
  <sheetViews>
    <sheetView showOutlineSymbols="0" showWhiteSpace="0" zoomScale="90" zoomScaleNormal="90" workbookViewId="0">
      <selection activeCell="C8" sqref="C8"/>
    </sheetView>
  </sheetViews>
  <sheetFormatPr defaultRowHeight="14"/>
  <cols>
    <col min="1" max="1" width="39.453125" style="1205" customWidth="1"/>
    <col min="2" max="2" width="118.7265625" style="1205" customWidth="1"/>
    <col min="3" max="3" width="10.453125" style="1205" customWidth="1"/>
    <col min="4" max="16384" width="8.7265625" style="1205"/>
  </cols>
  <sheetData>
    <row r="1" spans="1:3" ht="60" customHeight="1">
      <c r="A1" s="1205" t="s">
        <v>74300</v>
      </c>
      <c r="B1" s="1205" t="s">
        <v>3518</v>
      </c>
      <c r="C1" s="1205" t="s">
        <v>3862</v>
      </c>
    </row>
    <row r="2" spans="1:3" ht="24" customHeight="1">
      <c r="A2" s="1205" t="s">
        <v>74299</v>
      </c>
      <c r="B2" s="1205" t="s">
        <v>74298</v>
      </c>
      <c r="C2" s="1205">
        <v>65.989999999999995</v>
      </c>
    </row>
    <row r="3" spans="1:3" ht="24" customHeight="1">
      <c r="A3" s="1205" t="s">
        <v>74297</v>
      </c>
      <c r="B3" s="1205" t="s">
        <v>74271</v>
      </c>
      <c r="C3" s="1205">
        <v>65.489999999999995</v>
      </c>
    </row>
    <row r="4" spans="1:3" ht="24" customHeight="1">
      <c r="A4" s="1205" t="s">
        <v>74296</v>
      </c>
      <c r="B4" s="1205" t="s">
        <v>74295</v>
      </c>
      <c r="C4" s="1205">
        <v>283.49</v>
      </c>
    </row>
    <row r="5" spans="1:3" ht="24" customHeight="1">
      <c r="A5" s="1205" t="s">
        <v>74294</v>
      </c>
      <c r="B5" s="1205" t="s">
        <v>74293</v>
      </c>
      <c r="C5" s="1205">
        <v>196.49</v>
      </c>
    </row>
    <row r="6" spans="1:3" ht="24" customHeight="1">
      <c r="A6" s="1205" t="s">
        <v>74292</v>
      </c>
      <c r="B6" s="1205" t="s">
        <v>74291</v>
      </c>
      <c r="C6" s="1205">
        <v>71.489999999999995</v>
      </c>
    </row>
    <row r="7" spans="1:3" ht="24" customHeight="1">
      <c r="A7" s="1205" t="s">
        <v>74290</v>
      </c>
      <c r="B7" s="1205" t="s">
        <v>74289</v>
      </c>
      <c r="C7" s="1205">
        <v>117.49</v>
      </c>
    </row>
    <row r="8" spans="1:3" ht="24" customHeight="1">
      <c r="A8" s="1205" t="s">
        <v>74288</v>
      </c>
      <c r="B8" s="1205" t="s">
        <v>74287</v>
      </c>
      <c r="C8" s="1205">
        <v>77.489999999999995</v>
      </c>
    </row>
    <row r="9" spans="1:3" ht="24" customHeight="1">
      <c r="A9" s="1205" t="s">
        <v>74286</v>
      </c>
      <c r="B9" s="1205" t="s">
        <v>74285</v>
      </c>
      <c r="C9" s="1205">
        <v>138.49</v>
      </c>
    </row>
    <row r="10" spans="1:3" ht="24" customHeight="1">
      <c r="A10" s="1205" t="s">
        <v>74284</v>
      </c>
      <c r="B10" s="1205" t="s">
        <v>74283</v>
      </c>
      <c r="C10" s="1205">
        <v>132.99</v>
      </c>
    </row>
    <row r="11" spans="1:3" ht="24" customHeight="1">
      <c r="A11" s="1205" t="s">
        <v>74282</v>
      </c>
      <c r="B11" s="1205" t="s">
        <v>74281</v>
      </c>
      <c r="C11" s="1205">
        <v>112.49</v>
      </c>
    </row>
    <row r="12" spans="1:3" ht="24" customHeight="1">
      <c r="A12" s="1205" t="s">
        <v>74280</v>
      </c>
      <c r="B12" s="1205" t="s">
        <v>74279</v>
      </c>
      <c r="C12" s="1205">
        <v>67.989999999999995</v>
      </c>
    </row>
    <row r="13" spans="1:3" ht="24" customHeight="1">
      <c r="A13" s="1205" t="s">
        <v>74278</v>
      </c>
      <c r="B13" s="1205" t="s">
        <v>74277</v>
      </c>
      <c r="C13" s="1205">
        <v>65.989999999999995</v>
      </c>
    </row>
    <row r="14" spans="1:3" ht="24" customHeight="1">
      <c r="A14" s="1205" t="s">
        <v>74276</v>
      </c>
      <c r="B14" s="1205" t="s">
        <v>74275</v>
      </c>
      <c r="C14" s="1205">
        <v>92.99</v>
      </c>
    </row>
    <row r="15" spans="1:3" ht="24" customHeight="1">
      <c r="A15" s="1205" t="s">
        <v>74274</v>
      </c>
      <c r="B15" s="1205" t="s">
        <v>74273</v>
      </c>
      <c r="C15" s="1205">
        <v>92.99</v>
      </c>
    </row>
    <row r="16" spans="1:3" ht="24" customHeight="1">
      <c r="A16" s="1205" t="s">
        <v>74272</v>
      </c>
      <c r="B16" s="1205" t="s">
        <v>74271</v>
      </c>
      <c r="C16" s="1205">
        <v>63.49</v>
      </c>
    </row>
    <row r="17" spans="1:3" ht="24" customHeight="1">
      <c r="A17" s="1205" t="s">
        <v>74270</v>
      </c>
      <c r="B17" s="1205" t="s">
        <v>74269</v>
      </c>
      <c r="C17" s="1205">
        <v>69.489999999999995</v>
      </c>
    </row>
    <row r="18" spans="1:3" ht="24" customHeight="1">
      <c r="A18" s="1205" t="s">
        <v>74268</v>
      </c>
      <c r="B18" s="1205" t="s">
        <v>74267</v>
      </c>
      <c r="C18" s="1205">
        <v>103.99</v>
      </c>
    </row>
    <row r="19" spans="1:3" ht="24" customHeight="1">
      <c r="A19" s="1205" t="s">
        <v>74266</v>
      </c>
      <c r="B19" s="1205" t="s">
        <v>74265</v>
      </c>
      <c r="C19" s="1205">
        <v>99.99</v>
      </c>
    </row>
    <row r="20" spans="1:3" ht="24" customHeight="1">
      <c r="A20" s="1205" t="s">
        <v>74264</v>
      </c>
      <c r="B20" s="1205" t="s">
        <v>74263</v>
      </c>
      <c r="C20" s="1205">
        <v>382.99</v>
      </c>
    </row>
    <row r="21" spans="1:3" ht="24" customHeight="1">
      <c r="A21" s="1205" t="s">
        <v>74262</v>
      </c>
      <c r="B21" s="1205" t="s">
        <v>74261</v>
      </c>
      <c r="C21" s="1205">
        <v>374.99</v>
      </c>
    </row>
    <row r="22" spans="1:3" ht="24" customHeight="1">
      <c r="A22" s="1205" t="s">
        <v>74260</v>
      </c>
      <c r="B22" s="1205" t="s">
        <v>74259</v>
      </c>
      <c r="C22" s="1205">
        <v>166.99</v>
      </c>
    </row>
    <row r="23" spans="1:3" ht="24" customHeight="1">
      <c r="A23" s="1205" t="s">
        <v>74258</v>
      </c>
      <c r="B23" s="1205" t="s">
        <v>74257</v>
      </c>
      <c r="C23" s="1205">
        <v>115.49</v>
      </c>
    </row>
    <row r="24" spans="1:3" ht="24" customHeight="1">
      <c r="A24" s="1205" t="s">
        <v>74256</v>
      </c>
      <c r="B24" s="1205" t="s">
        <v>74255</v>
      </c>
      <c r="C24" s="1205">
        <v>70.989999999999995</v>
      </c>
    </row>
    <row r="25" spans="1:3" ht="24" customHeight="1">
      <c r="A25" s="1205" t="s">
        <v>74254</v>
      </c>
      <c r="B25" s="1205" t="s">
        <v>74253</v>
      </c>
      <c r="C25" s="1205">
        <v>56.49</v>
      </c>
    </row>
    <row r="26" spans="1:3" ht="24" customHeight="1">
      <c r="A26" s="1205" t="s">
        <v>74252</v>
      </c>
      <c r="B26" s="1205" t="s">
        <v>74251</v>
      </c>
      <c r="C26" s="1205">
        <v>68.989999999999995</v>
      </c>
    </row>
    <row r="27" spans="1:3" ht="24" customHeight="1">
      <c r="A27" s="1205" t="s">
        <v>74250</v>
      </c>
      <c r="B27" s="1205" t="s">
        <v>74249</v>
      </c>
      <c r="C27" s="1205">
        <v>165.49</v>
      </c>
    </row>
    <row r="28" spans="1:3" ht="24" customHeight="1">
      <c r="A28" s="1205" t="s">
        <v>74248</v>
      </c>
      <c r="B28" s="1205" t="s">
        <v>72905</v>
      </c>
      <c r="C28" s="1205">
        <v>69.489999999999995</v>
      </c>
    </row>
    <row r="29" spans="1:3" ht="24" customHeight="1">
      <c r="A29" s="1205" t="s">
        <v>74247</v>
      </c>
      <c r="B29" s="1205" t="s">
        <v>72903</v>
      </c>
      <c r="C29" s="1205">
        <v>65.989999999999995</v>
      </c>
    </row>
    <row r="30" spans="1:3" ht="24" customHeight="1">
      <c r="A30" s="1205" t="s">
        <v>74246</v>
      </c>
      <c r="B30" s="1205" t="s">
        <v>72899</v>
      </c>
      <c r="C30" s="1205">
        <v>69.489999999999995</v>
      </c>
    </row>
    <row r="31" spans="1:3" ht="24" customHeight="1">
      <c r="A31" s="1205" t="s">
        <v>74245</v>
      </c>
      <c r="B31" s="1205" t="s">
        <v>74244</v>
      </c>
      <c r="C31" s="1205">
        <v>342.49</v>
      </c>
    </row>
    <row r="32" spans="1:3" ht="24" customHeight="1">
      <c r="A32" s="1205" t="s">
        <v>74243</v>
      </c>
      <c r="B32" s="1205" t="s">
        <v>72891</v>
      </c>
      <c r="C32" s="1205">
        <v>69.489999999999995</v>
      </c>
    </row>
    <row r="33" spans="1:3" ht="24" customHeight="1">
      <c r="A33" s="1205" t="s">
        <v>74242</v>
      </c>
      <c r="B33" s="1205" t="s">
        <v>74241</v>
      </c>
      <c r="C33" s="1205">
        <v>69.489999999999995</v>
      </c>
    </row>
    <row r="34" spans="1:3" ht="24" customHeight="1">
      <c r="A34" s="1205" t="s">
        <v>74240</v>
      </c>
      <c r="B34" s="1205" t="s">
        <v>74239</v>
      </c>
      <c r="C34" s="1205">
        <v>105.49</v>
      </c>
    </row>
    <row r="35" spans="1:3" ht="24" customHeight="1">
      <c r="A35" s="1205" t="s">
        <v>74238</v>
      </c>
      <c r="B35" s="1205" t="s">
        <v>73893</v>
      </c>
      <c r="C35" s="1205">
        <v>129.99</v>
      </c>
    </row>
    <row r="36" spans="1:3" ht="24" customHeight="1">
      <c r="A36" s="1205" t="s">
        <v>74237</v>
      </c>
      <c r="B36" s="1205" t="s">
        <v>73752</v>
      </c>
      <c r="C36" s="1205">
        <v>117.99</v>
      </c>
    </row>
    <row r="37" spans="1:3" ht="24" customHeight="1">
      <c r="A37" s="1205" t="s">
        <v>74236</v>
      </c>
      <c r="B37" s="1205" t="s">
        <v>74235</v>
      </c>
      <c r="C37" s="1205">
        <v>34.99</v>
      </c>
    </row>
    <row r="38" spans="1:3" ht="24" customHeight="1">
      <c r="A38" s="1205" t="s">
        <v>74234</v>
      </c>
      <c r="B38" s="1205" t="s">
        <v>74233</v>
      </c>
      <c r="C38" s="1205">
        <v>15.99</v>
      </c>
    </row>
    <row r="39" spans="1:3" ht="24" customHeight="1">
      <c r="A39" s="1205" t="s">
        <v>74232</v>
      </c>
      <c r="B39" s="1205" t="s">
        <v>74231</v>
      </c>
      <c r="C39" s="1205">
        <v>22.99</v>
      </c>
    </row>
    <row r="40" spans="1:3" ht="24" customHeight="1">
      <c r="A40" s="1205" t="s">
        <v>74230</v>
      </c>
      <c r="B40" s="1205" t="s">
        <v>74229</v>
      </c>
      <c r="C40" s="1205">
        <v>30.49</v>
      </c>
    </row>
    <row r="41" spans="1:3" ht="24" customHeight="1">
      <c r="A41" s="1205" t="s">
        <v>74228</v>
      </c>
      <c r="B41" s="1205" t="s">
        <v>74227</v>
      </c>
      <c r="C41" s="1205">
        <v>76.489999999999995</v>
      </c>
    </row>
    <row r="42" spans="1:3" ht="24" customHeight="1">
      <c r="A42" s="1205" t="s">
        <v>74226</v>
      </c>
      <c r="B42" s="1205" t="s">
        <v>74225</v>
      </c>
      <c r="C42" s="1205">
        <v>70.489999999999995</v>
      </c>
    </row>
    <row r="43" spans="1:3" ht="24" customHeight="1">
      <c r="A43" s="1205" t="s">
        <v>74224</v>
      </c>
      <c r="B43" s="1205" t="s">
        <v>74223</v>
      </c>
      <c r="C43" s="1205">
        <v>103.99</v>
      </c>
    </row>
    <row r="44" spans="1:3" ht="24" customHeight="1">
      <c r="A44" s="1205" t="s">
        <v>74222</v>
      </c>
      <c r="B44" s="1205" t="s">
        <v>74221</v>
      </c>
      <c r="C44" s="1205">
        <v>71.489999999999995</v>
      </c>
    </row>
    <row r="45" spans="1:3" ht="24" customHeight="1">
      <c r="A45" s="1205" t="s">
        <v>74220</v>
      </c>
      <c r="B45" s="1205" t="s">
        <v>74219</v>
      </c>
      <c r="C45" s="1205">
        <v>102.49</v>
      </c>
    </row>
    <row r="46" spans="1:3" ht="24" customHeight="1">
      <c r="A46" s="1205" t="s">
        <v>74218</v>
      </c>
      <c r="B46" s="1205" t="s">
        <v>74217</v>
      </c>
      <c r="C46" s="1205">
        <v>99.49</v>
      </c>
    </row>
    <row r="47" spans="1:3" ht="24" customHeight="1">
      <c r="A47" s="1205" t="s">
        <v>74216</v>
      </c>
      <c r="B47" s="1205" t="s">
        <v>74215</v>
      </c>
      <c r="C47" s="1205">
        <v>68.989999999999995</v>
      </c>
    </row>
    <row r="48" spans="1:3" ht="24" customHeight="1">
      <c r="A48" s="1205" t="s">
        <v>74214</v>
      </c>
      <c r="B48" s="1205" t="s">
        <v>74213</v>
      </c>
      <c r="C48" s="1205">
        <v>74.489999999999995</v>
      </c>
    </row>
    <row r="49" spans="1:3" ht="24" customHeight="1">
      <c r="A49" s="1205" t="s">
        <v>74212</v>
      </c>
      <c r="B49" s="1205" t="s">
        <v>74211</v>
      </c>
      <c r="C49" s="1205">
        <v>247.49</v>
      </c>
    </row>
    <row r="50" spans="1:3" ht="24" customHeight="1">
      <c r="A50" s="1205" t="s">
        <v>74210</v>
      </c>
      <c r="B50" s="1205" t="s">
        <v>74209</v>
      </c>
      <c r="C50" s="1205">
        <v>61.99</v>
      </c>
    </row>
    <row r="51" spans="1:3" ht="24" customHeight="1">
      <c r="A51" s="1205" t="s">
        <v>74208</v>
      </c>
      <c r="B51" s="1205" t="s">
        <v>74207</v>
      </c>
      <c r="C51" s="1205">
        <v>63.49</v>
      </c>
    </row>
    <row r="52" spans="1:3" ht="24" customHeight="1">
      <c r="A52" s="1205" t="s">
        <v>74206</v>
      </c>
      <c r="B52" s="1205" t="s">
        <v>74176</v>
      </c>
      <c r="C52" s="1205">
        <v>74.489999999999995</v>
      </c>
    </row>
    <row r="53" spans="1:3" ht="24" customHeight="1">
      <c r="A53" s="1205" t="s">
        <v>74205</v>
      </c>
      <c r="B53" s="1205" t="s">
        <v>74204</v>
      </c>
      <c r="C53" s="1205">
        <v>72.989999999999995</v>
      </c>
    </row>
    <row r="54" spans="1:3" ht="24" customHeight="1">
      <c r="A54" s="1205" t="s">
        <v>74203</v>
      </c>
      <c r="B54" s="1205" t="s">
        <v>74202</v>
      </c>
      <c r="C54" s="1205">
        <v>101.49</v>
      </c>
    </row>
    <row r="55" spans="1:3" ht="24" customHeight="1">
      <c r="A55" s="1205" t="s">
        <v>74201</v>
      </c>
      <c r="B55" s="1205" t="s">
        <v>74200</v>
      </c>
      <c r="C55" s="1205">
        <v>114.99</v>
      </c>
    </row>
    <row r="56" spans="1:3" ht="24" customHeight="1">
      <c r="A56" s="1205" t="s">
        <v>74199</v>
      </c>
      <c r="B56" s="1205" t="s">
        <v>74198</v>
      </c>
      <c r="C56" s="1205">
        <v>72.989999999999995</v>
      </c>
    </row>
    <row r="57" spans="1:3" ht="24" customHeight="1">
      <c r="A57" s="1205" t="s">
        <v>74197</v>
      </c>
      <c r="B57" s="1205" t="s">
        <v>74196</v>
      </c>
      <c r="C57" s="1205">
        <v>68.489999999999995</v>
      </c>
    </row>
    <row r="58" spans="1:3" ht="24" customHeight="1">
      <c r="A58" s="1205" t="s">
        <v>74195</v>
      </c>
      <c r="B58" s="1205" t="s">
        <v>74194</v>
      </c>
      <c r="C58" s="1205">
        <v>102.99</v>
      </c>
    </row>
    <row r="59" spans="1:3" ht="24" customHeight="1">
      <c r="A59" s="1205" t="s">
        <v>74193</v>
      </c>
      <c r="B59" s="1205" t="s">
        <v>74192</v>
      </c>
      <c r="C59" s="1205">
        <v>71.989999999999995</v>
      </c>
    </row>
    <row r="60" spans="1:3" ht="24" customHeight="1">
      <c r="A60" s="1205" t="s">
        <v>74191</v>
      </c>
      <c r="B60" s="1205" t="s">
        <v>74190</v>
      </c>
      <c r="C60" s="1205">
        <v>97.49</v>
      </c>
    </row>
    <row r="61" spans="1:3" ht="24" customHeight="1">
      <c r="A61" s="1205" t="s">
        <v>74189</v>
      </c>
      <c r="B61" s="1205" t="s">
        <v>74188</v>
      </c>
      <c r="C61" s="1205">
        <v>93.99</v>
      </c>
    </row>
    <row r="62" spans="1:3" ht="24" customHeight="1">
      <c r="A62" s="1205" t="s">
        <v>74187</v>
      </c>
      <c r="B62" s="1205" t="s">
        <v>74186</v>
      </c>
      <c r="C62" s="1205">
        <v>85.49</v>
      </c>
    </row>
    <row r="63" spans="1:3" ht="24" customHeight="1">
      <c r="A63" s="1205" t="s">
        <v>74185</v>
      </c>
      <c r="B63" s="1205" t="s">
        <v>74184</v>
      </c>
      <c r="C63" s="1205">
        <v>96.49</v>
      </c>
    </row>
    <row r="64" spans="1:3" ht="24" customHeight="1">
      <c r="A64" s="1205" t="s">
        <v>74183</v>
      </c>
      <c r="B64" s="1205" t="s">
        <v>74182</v>
      </c>
      <c r="C64" s="1205">
        <v>60.49</v>
      </c>
    </row>
    <row r="65" spans="1:3" ht="24" customHeight="1">
      <c r="A65" s="1205" t="s">
        <v>74181</v>
      </c>
      <c r="B65" s="1205" t="s">
        <v>74180</v>
      </c>
      <c r="C65" s="1205">
        <v>60.49</v>
      </c>
    </row>
    <row r="66" spans="1:3" ht="24" customHeight="1">
      <c r="A66" s="1205" t="s">
        <v>74179</v>
      </c>
      <c r="B66" s="1205" t="s">
        <v>74178</v>
      </c>
      <c r="C66" s="1205">
        <v>74.989999999999995</v>
      </c>
    </row>
    <row r="67" spans="1:3" ht="24" customHeight="1">
      <c r="A67" s="1205" t="s">
        <v>74177</v>
      </c>
      <c r="B67" s="1205" t="s">
        <v>74176</v>
      </c>
      <c r="C67" s="1205">
        <v>72.489999999999995</v>
      </c>
    </row>
    <row r="68" spans="1:3" ht="24" customHeight="1">
      <c r="A68" s="1205" t="s">
        <v>74175</v>
      </c>
      <c r="B68" s="1205" t="s">
        <v>74174</v>
      </c>
      <c r="C68" s="1205">
        <v>70.989999999999995</v>
      </c>
    </row>
    <row r="69" spans="1:3" ht="24" customHeight="1">
      <c r="A69" s="1205" t="s">
        <v>74173</v>
      </c>
      <c r="B69" s="1205" t="s">
        <v>74172</v>
      </c>
      <c r="C69" s="1205">
        <v>66.489999999999995</v>
      </c>
    </row>
    <row r="70" spans="1:3" ht="24" customHeight="1">
      <c r="A70" s="1205" t="s">
        <v>74171</v>
      </c>
      <c r="B70" s="1205" t="s">
        <v>74170</v>
      </c>
      <c r="C70" s="1205">
        <v>101.49</v>
      </c>
    </row>
    <row r="71" spans="1:3" ht="24" customHeight="1">
      <c r="A71" s="1205" t="s">
        <v>74169</v>
      </c>
      <c r="B71" s="1205" t="s">
        <v>74168</v>
      </c>
      <c r="C71" s="1205">
        <v>69.489999999999995</v>
      </c>
    </row>
    <row r="72" spans="1:3" ht="24" customHeight="1">
      <c r="A72" s="1205" t="s">
        <v>74167</v>
      </c>
      <c r="B72" s="1205" t="s">
        <v>74166</v>
      </c>
      <c r="C72" s="1205">
        <v>95.49</v>
      </c>
    </row>
    <row r="73" spans="1:3" ht="24" customHeight="1">
      <c r="A73" s="1205" t="s">
        <v>74165</v>
      </c>
      <c r="B73" s="1205" t="s">
        <v>74164</v>
      </c>
      <c r="C73" s="1205">
        <v>90.99</v>
      </c>
    </row>
    <row r="74" spans="1:3" ht="24" customHeight="1">
      <c r="A74" s="1205" t="s">
        <v>74163</v>
      </c>
      <c r="B74" s="1205" t="s">
        <v>74162</v>
      </c>
      <c r="C74" s="1205">
        <v>62.99</v>
      </c>
    </row>
    <row r="75" spans="1:3" ht="24" customHeight="1">
      <c r="A75" s="1205" t="s">
        <v>74161</v>
      </c>
      <c r="B75" s="1205" t="s">
        <v>72856</v>
      </c>
      <c r="C75" s="1205">
        <v>67.989999999999995</v>
      </c>
    </row>
    <row r="76" spans="1:3" ht="24" customHeight="1">
      <c r="A76" s="1205" t="s">
        <v>74160</v>
      </c>
      <c r="B76" s="1205" t="s">
        <v>74159</v>
      </c>
      <c r="C76" s="1205">
        <v>107.49</v>
      </c>
    </row>
    <row r="77" spans="1:3" ht="24" customHeight="1">
      <c r="A77" s="1205" t="s">
        <v>74158</v>
      </c>
      <c r="B77" s="1205" t="s">
        <v>74157</v>
      </c>
      <c r="C77" s="1205">
        <v>108.49</v>
      </c>
    </row>
    <row r="78" spans="1:3" ht="24" customHeight="1">
      <c r="A78" s="1205" t="s">
        <v>74156</v>
      </c>
      <c r="B78" s="1205" t="s">
        <v>74155</v>
      </c>
      <c r="C78" s="1205">
        <v>90.49</v>
      </c>
    </row>
    <row r="79" spans="1:3" ht="24" customHeight="1">
      <c r="A79" s="1205" t="s">
        <v>74154</v>
      </c>
      <c r="B79" s="1205" t="s">
        <v>74153</v>
      </c>
      <c r="C79" s="1205">
        <v>120.99</v>
      </c>
    </row>
    <row r="80" spans="1:3" ht="24" customHeight="1">
      <c r="A80" s="1205" t="s">
        <v>74152</v>
      </c>
      <c r="B80" s="1205" t="s">
        <v>72850</v>
      </c>
      <c r="C80" s="1205">
        <v>82.99</v>
      </c>
    </row>
    <row r="81" spans="1:3" ht="24" customHeight="1">
      <c r="A81" s="1205" t="s">
        <v>74151</v>
      </c>
      <c r="B81" s="1205" t="s">
        <v>74150</v>
      </c>
      <c r="C81" s="1205">
        <v>74.989999999999995</v>
      </c>
    </row>
    <row r="82" spans="1:3" ht="24" customHeight="1">
      <c r="A82" s="1205" t="s">
        <v>74149</v>
      </c>
      <c r="B82" s="1205" t="s">
        <v>74148</v>
      </c>
      <c r="C82" s="1205">
        <v>121.99</v>
      </c>
    </row>
    <row r="83" spans="1:3" ht="24" customHeight="1">
      <c r="A83" s="1205" t="s">
        <v>74147</v>
      </c>
      <c r="B83" s="1205" t="s">
        <v>74146</v>
      </c>
      <c r="C83" s="1205">
        <v>100.99</v>
      </c>
    </row>
    <row r="84" spans="1:3" ht="24" customHeight="1">
      <c r="A84" s="1205" t="s">
        <v>74145</v>
      </c>
      <c r="B84" s="1205" t="s">
        <v>74144</v>
      </c>
      <c r="C84" s="1205">
        <v>86.99</v>
      </c>
    </row>
    <row r="85" spans="1:3" ht="24" customHeight="1">
      <c r="A85" s="1205" t="s">
        <v>74143</v>
      </c>
      <c r="B85" s="1205" t="s">
        <v>74142</v>
      </c>
      <c r="C85" s="1205">
        <v>134.49</v>
      </c>
    </row>
    <row r="86" spans="1:3" ht="24" customHeight="1">
      <c r="A86" s="1205" t="s">
        <v>74141</v>
      </c>
      <c r="B86" s="1205" t="s">
        <v>74140</v>
      </c>
      <c r="C86" s="1205">
        <v>105.49</v>
      </c>
    </row>
    <row r="87" spans="1:3" ht="24" customHeight="1">
      <c r="A87" s="1205" t="s">
        <v>74139</v>
      </c>
      <c r="B87" s="1205" t="s">
        <v>74138</v>
      </c>
      <c r="C87" s="1205">
        <v>97.99</v>
      </c>
    </row>
    <row r="88" spans="1:3" ht="24" customHeight="1">
      <c r="A88" s="1205" t="s">
        <v>74137</v>
      </c>
      <c r="B88" s="1205" t="s">
        <v>74136</v>
      </c>
      <c r="C88" s="1205">
        <v>92.99</v>
      </c>
    </row>
    <row r="89" spans="1:3" ht="24" customHeight="1">
      <c r="A89" s="1205" t="s">
        <v>74135</v>
      </c>
      <c r="B89" s="1205" t="s">
        <v>74134</v>
      </c>
      <c r="C89" s="1205">
        <v>121.99</v>
      </c>
    </row>
    <row r="90" spans="1:3" ht="24" customHeight="1">
      <c r="A90" s="1205" t="s">
        <v>74133</v>
      </c>
      <c r="B90" s="1205" t="s">
        <v>74132</v>
      </c>
      <c r="C90" s="1205">
        <v>87.99</v>
      </c>
    </row>
    <row r="91" spans="1:3" ht="24" customHeight="1">
      <c r="A91" s="1205" t="s">
        <v>74131</v>
      </c>
      <c r="B91" s="1205" t="s">
        <v>74130</v>
      </c>
      <c r="C91" s="1205">
        <v>89.99</v>
      </c>
    </row>
    <row r="92" spans="1:3" ht="24" customHeight="1">
      <c r="A92" s="1205" t="s">
        <v>74129</v>
      </c>
      <c r="B92" s="1205" t="s">
        <v>74128</v>
      </c>
      <c r="C92" s="1205">
        <v>65.489999999999995</v>
      </c>
    </row>
    <row r="93" spans="1:3" ht="24" customHeight="1">
      <c r="A93" s="1205" t="s">
        <v>74127</v>
      </c>
      <c r="B93" s="1205" t="s">
        <v>74126</v>
      </c>
      <c r="C93" s="1205">
        <v>117.49</v>
      </c>
    </row>
    <row r="94" spans="1:3" ht="24" customHeight="1">
      <c r="A94" s="1205" t="s">
        <v>74125</v>
      </c>
      <c r="B94" s="1205" t="s">
        <v>74124</v>
      </c>
      <c r="C94" s="1205">
        <v>270.99</v>
      </c>
    </row>
    <row r="95" spans="1:3" ht="24" customHeight="1">
      <c r="A95" s="1205" t="s">
        <v>74123</v>
      </c>
      <c r="B95" s="1205" t="s">
        <v>74122</v>
      </c>
      <c r="C95" s="1205">
        <v>208.99</v>
      </c>
    </row>
    <row r="96" spans="1:3" ht="24" customHeight="1">
      <c r="A96" s="1205" t="s">
        <v>74121</v>
      </c>
      <c r="B96" s="1205" t="s">
        <v>74120</v>
      </c>
      <c r="C96" s="1205">
        <v>187.99</v>
      </c>
    </row>
    <row r="97" spans="1:3" ht="24" customHeight="1">
      <c r="A97" s="1205" t="s">
        <v>74119</v>
      </c>
      <c r="B97" s="1205" t="s">
        <v>74118</v>
      </c>
      <c r="C97" s="1205">
        <v>65.989999999999995</v>
      </c>
    </row>
    <row r="98" spans="1:3" ht="24" customHeight="1">
      <c r="A98" s="1205" t="s">
        <v>74117</v>
      </c>
      <c r="B98" s="1205" t="s">
        <v>74116</v>
      </c>
      <c r="C98" s="1205">
        <v>93.49</v>
      </c>
    </row>
    <row r="99" spans="1:3" ht="24" customHeight="1">
      <c r="A99" s="1205" t="s">
        <v>74115</v>
      </c>
      <c r="B99" s="1205" t="s">
        <v>74114</v>
      </c>
      <c r="C99" s="1205">
        <v>93.49</v>
      </c>
    </row>
    <row r="100" spans="1:3" ht="24" customHeight="1">
      <c r="A100" s="1205" t="s">
        <v>74113</v>
      </c>
      <c r="B100" s="1205" t="s">
        <v>74112</v>
      </c>
      <c r="C100" s="1205">
        <v>88.49</v>
      </c>
    </row>
    <row r="101" spans="1:3" ht="24" customHeight="1">
      <c r="A101" s="1205" t="s">
        <v>74111</v>
      </c>
      <c r="B101" s="1205" t="s">
        <v>74110</v>
      </c>
      <c r="C101" s="1205">
        <v>155.99</v>
      </c>
    </row>
    <row r="102" spans="1:3" ht="24" customHeight="1">
      <c r="A102" s="1205" t="s">
        <v>74109</v>
      </c>
      <c r="B102" s="1205" t="s">
        <v>74108</v>
      </c>
      <c r="C102" s="1205">
        <v>69.989999999999995</v>
      </c>
    </row>
    <row r="103" spans="1:3" ht="24" customHeight="1">
      <c r="A103" s="1205" t="s">
        <v>74107</v>
      </c>
      <c r="B103" s="1205" t="s">
        <v>74106</v>
      </c>
      <c r="C103" s="1205">
        <v>62.49</v>
      </c>
    </row>
    <row r="104" spans="1:3" ht="24" customHeight="1">
      <c r="A104" s="1205" t="s">
        <v>74105</v>
      </c>
      <c r="B104" s="1205" t="s">
        <v>74104</v>
      </c>
      <c r="C104" s="1205">
        <v>156.99</v>
      </c>
    </row>
    <row r="105" spans="1:3" ht="24" customHeight="1">
      <c r="A105" s="1205" t="s">
        <v>74103</v>
      </c>
      <c r="B105" s="1205" t="s">
        <v>74102</v>
      </c>
      <c r="C105" s="1205">
        <v>123.49</v>
      </c>
    </row>
    <row r="106" spans="1:3" ht="24" customHeight="1">
      <c r="A106" s="1205" t="s">
        <v>74101</v>
      </c>
      <c r="B106" s="1205" t="s">
        <v>74100</v>
      </c>
      <c r="C106" s="1205">
        <v>205.49</v>
      </c>
    </row>
    <row r="107" spans="1:3" ht="24" customHeight="1">
      <c r="A107" s="1205" t="s">
        <v>74099</v>
      </c>
      <c r="B107" s="1205" t="s">
        <v>74098</v>
      </c>
      <c r="C107" s="1205">
        <v>199.99</v>
      </c>
    </row>
    <row r="108" spans="1:3" ht="24" customHeight="1">
      <c r="A108" s="1205" t="s">
        <v>74097</v>
      </c>
      <c r="B108" s="1205" t="s">
        <v>74096</v>
      </c>
      <c r="C108" s="1205">
        <v>268.99</v>
      </c>
    </row>
    <row r="109" spans="1:3" ht="24" customHeight="1">
      <c r="A109" s="1205" t="s">
        <v>74095</v>
      </c>
      <c r="B109" s="1205" t="s">
        <v>74094</v>
      </c>
      <c r="C109" s="1205">
        <v>208.49</v>
      </c>
    </row>
    <row r="110" spans="1:3" ht="24" customHeight="1">
      <c r="A110" s="1205" t="s">
        <v>74093</v>
      </c>
      <c r="B110" s="1205" t="s">
        <v>74092</v>
      </c>
      <c r="C110" s="1205">
        <v>205.99</v>
      </c>
    </row>
    <row r="111" spans="1:3" ht="24" customHeight="1">
      <c r="A111" s="1205" t="s">
        <v>74091</v>
      </c>
      <c r="B111" s="1205" t="s">
        <v>74090</v>
      </c>
      <c r="C111" s="1205">
        <v>194.99</v>
      </c>
    </row>
    <row r="112" spans="1:3" ht="24" customHeight="1">
      <c r="A112" s="1205" t="s">
        <v>74089</v>
      </c>
      <c r="B112" s="1205" t="s">
        <v>74088</v>
      </c>
      <c r="C112" s="1205">
        <v>202.49</v>
      </c>
    </row>
    <row r="113" spans="1:3" ht="24" customHeight="1">
      <c r="A113" s="1205" t="s">
        <v>74087</v>
      </c>
      <c r="B113" s="1205" t="s">
        <v>74086</v>
      </c>
      <c r="C113" s="1205">
        <v>190.99</v>
      </c>
    </row>
    <row r="114" spans="1:3" ht="24" customHeight="1">
      <c r="A114" s="1205" t="s">
        <v>74085</v>
      </c>
      <c r="B114" s="1205" t="s">
        <v>74084</v>
      </c>
      <c r="C114" s="1205">
        <v>257.49</v>
      </c>
    </row>
    <row r="115" spans="1:3" ht="24" customHeight="1">
      <c r="A115" s="1205" t="s">
        <v>74083</v>
      </c>
      <c r="B115" s="1205" t="s">
        <v>74082</v>
      </c>
      <c r="C115" s="1205">
        <v>339.99</v>
      </c>
    </row>
    <row r="116" spans="1:3" ht="24" customHeight="1">
      <c r="A116" s="1205" t="s">
        <v>74081</v>
      </c>
      <c r="B116" s="1205" t="s">
        <v>74080</v>
      </c>
      <c r="C116" s="1205">
        <v>266.49</v>
      </c>
    </row>
    <row r="117" spans="1:3" ht="24" customHeight="1">
      <c r="A117" s="1205" t="s">
        <v>74079</v>
      </c>
      <c r="B117" s="1205" t="s">
        <v>74078</v>
      </c>
      <c r="C117" s="1205">
        <v>199.99</v>
      </c>
    </row>
    <row r="118" spans="1:3" ht="24" customHeight="1">
      <c r="A118" s="1205" t="s">
        <v>74077</v>
      </c>
      <c r="B118" s="1205" t="s">
        <v>74076</v>
      </c>
      <c r="C118" s="1205">
        <v>301.99</v>
      </c>
    </row>
    <row r="119" spans="1:3" ht="24" customHeight="1">
      <c r="A119" s="1205" t="s">
        <v>74075</v>
      </c>
      <c r="B119" s="1205" t="s">
        <v>74074</v>
      </c>
      <c r="C119" s="1205">
        <v>273.49</v>
      </c>
    </row>
    <row r="120" spans="1:3" ht="24" customHeight="1">
      <c r="A120" s="1205" t="s">
        <v>74073</v>
      </c>
      <c r="B120" s="1205" t="s">
        <v>74072</v>
      </c>
      <c r="C120" s="1205">
        <v>201.99</v>
      </c>
    </row>
    <row r="121" spans="1:3" ht="24" customHeight="1">
      <c r="A121" s="1205" t="s">
        <v>74071</v>
      </c>
      <c r="B121" s="1205" t="s">
        <v>74070</v>
      </c>
      <c r="C121" s="1205">
        <v>66.989999999999995</v>
      </c>
    </row>
    <row r="122" spans="1:3" ht="24" customHeight="1">
      <c r="A122" s="1205" t="s">
        <v>74069</v>
      </c>
      <c r="B122" s="1205" t="s">
        <v>74068</v>
      </c>
      <c r="C122" s="1205">
        <v>106.49</v>
      </c>
    </row>
    <row r="123" spans="1:3" ht="24" customHeight="1">
      <c r="A123" s="1205" t="s">
        <v>74067</v>
      </c>
      <c r="B123" s="1205" t="s">
        <v>74065</v>
      </c>
      <c r="C123" s="1205">
        <v>6.99</v>
      </c>
    </row>
    <row r="124" spans="1:3" ht="24" customHeight="1">
      <c r="A124" s="1205" t="s">
        <v>74066</v>
      </c>
      <c r="B124" s="1205" t="s">
        <v>74065</v>
      </c>
      <c r="C124" s="1205">
        <v>445.99</v>
      </c>
    </row>
    <row r="125" spans="1:3" ht="24" customHeight="1">
      <c r="A125" s="1205" t="s">
        <v>74064</v>
      </c>
      <c r="B125" s="1205" t="s">
        <v>74062</v>
      </c>
      <c r="C125" s="1205">
        <v>105.99</v>
      </c>
    </row>
    <row r="126" spans="1:3" ht="24" customHeight="1">
      <c r="A126" s="1205" t="s">
        <v>74063</v>
      </c>
      <c r="B126" s="1205" t="s">
        <v>74062</v>
      </c>
      <c r="C126" s="1205">
        <v>129.49</v>
      </c>
    </row>
    <row r="127" spans="1:3" ht="24" customHeight="1">
      <c r="A127" s="1205" t="s">
        <v>74061</v>
      </c>
      <c r="B127" s="1205" t="s">
        <v>74050</v>
      </c>
      <c r="C127" s="1205">
        <v>56.99</v>
      </c>
    </row>
    <row r="128" spans="1:3" ht="24" customHeight="1">
      <c r="A128" s="1205" t="s">
        <v>74060</v>
      </c>
      <c r="B128" s="1205" t="s">
        <v>69922</v>
      </c>
      <c r="C128" s="1205">
        <v>83.49</v>
      </c>
    </row>
    <row r="129" spans="1:3" ht="24" customHeight="1">
      <c r="A129" s="1205" t="s">
        <v>74059</v>
      </c>
      <c r="B129" s="1205" t="s">
        <v>74058</v>
      </c>
      <c r="C129" s="1205">
        <v>74.989999999999995</v>
      </c>
    </row>
    <row r="130" spans="1:3" ht="24" customHeight="1">
      <c r="A130" s="1205" t="s">
        <v>74057</v>
      </c>
      <c r="B130" s="1205" t="s">
        <v>74056</v>
      </c>
      <c r="C130" s="1205">
        <v>99.99</v>
      </c>
    </row>
    <row r="131" spans="1:3" ht="24" customHeight="1">
      <c r="A131" s="1205" t="s">
        <v>74055</v>
      </c>
      <c r="B131" s="1205" t="s">
        <v>74054</v>
      </c>
      <c r="C131" s="1205">
        <v>72.489999999999995</v>
      </c>
    </row>
    <row r="132" spans="1:3" ht="24" customHeight="1">
      <c r="A132" s="1205" t="s">
        <v>74053</v>
      </c>
      <c r="B132" s="1205" t="s">
        <v>74052</v>
      </c>
      <c r="C132" s="1205">
        <v>97.99</v>
      </c>
    </row>
    <row r="133" spans="1:3" ht="24" customHeight="1">
      <c r="A133" s="1205" t="s">
        <v>74051</v>
      </c>
      <c r="B133" s="1205" t="s">
        <v>74050</v>
      </c>
      <c r="C133" s="1205">
        <v>81.489999999999995</v>
      </c>
    </row>
    <row r="134" spans="1:3" ht="24" customHeight="1">
      <c r="A134" s="1205" t="s">
        <v>74049</v>
      </c>
      <c r="B134" s="1205" t="s">
        <v>74048</v>
      </c>
      <c r="C134" s="1205">
        <v>98.99</v>
      </c>
    </row>
    <row r="135" spans="1:3" ht="24" customHeight="1">
      <c r="A135" s="1205" t="s">
        <v>74047</v>
      </c>
      <c r="B135" s="1205" t="s">
        <v>74046</v>
      </c>
      <c r="C135" s="1205">
        <v>96.99</v>
      </c>
    </row>
    <row r="136" spans="1:3" ht="24" customHeight="1">
      <c r="A136" s="1205" t="s">
        <v>74045</v>
      </c>
      <c r="B136" s="1205" t="s">
        <v>74044</v>
      </c>
      <c r="C136" s="1205">
        <v>43.49</v>
      </c>
    </row>
    <row r="137" spans="1:3" ht="24" customHeight="1">
      <c r="A137" s="1205" t="s">
        <v>74043</v>
      </c>
      <c r="B137" s="1205" t="s">
        <v>74042</v>
      </c>
      <c r="C137" s="1205">
        <v>40.99</v>
      </c>
    </row>
    <row r="138" spans="1:3" ht="24" customHeight="1">
      <c r="A138" s="1205" t="s">
        <v>74041</v>
      </c>
      <c r="B138" s="1205" t="s">
        <v>74040</v>
      </c>
      <c r="C138" s="1205">
        <v>67.489999999999995</v>
      </c>
    </row>
    <row r="139" spans="1:3" ht="24" customHeight="1">
      <c r="A139" s="1205" t="s">
        <v>74039</v>
      </c>
      <c r="B139" s="1205" t="s">
        <v>74037</v>
      </c>
      <c r="C139" s="1205">
        <v>45.99</v>
      </c>
    </row>
    <row r="140" spans="1:3" ht="24" customHeight="1">
      <c r="A140" s="1205" t="s">
        <v>74038</v>
      </c>
      <c r="B140" s="1205" t="s">
        <v>74037</v>
      </c>
      <c r="C140" s="1205">
        <v>43.49</v>
      </c>
    </row>
    <row r="141" spans="1:3" ht="24" customHeight="1">
      <c r="A141" s="1205" t="s">
        <v>74036</v>
      </c>
      <c r="B141" s="1205" t="s">
        <v>74032</v>
      </c>
      <c r="C141" s="1205">
        <v>49.99</v>
      </c>
    </row>
    <row r="142" spans="1:3" ht="24" customHeight="1">
      <c r="A142" s="1205" t="s">
        <v>74035</v>
      </c>
      <c r="B142" s="1205" t="s">
        <v>74034</v>
      </c>
      <c r="C142" s="1205">
        <v>69.989999999999995</v>
      </c>
    </row>
    <row r="143" spans="1:3" ht="24" customHeight="1">
      <c r="A143" s="1205" t="s">
        <v>74033</v>
      </c>
      <c r="B143" s="1205" t="s">
        <v>74032</v>
      </c>
      <c r="C143" s="1205">
        <v>76.989999999999995</v>
      </c>
    </row>
    <row r="144" spans="1:3" ht="24" customHeight="1">
      <c r="A144" s="1205" t="s">
        <v>74031</v>
      </c>
      <c r="B144" s="1205" t="s">
        <v>74030</v>
      </c>
      <c r="C144" s="1205">
        <v>79.989999999999995</v>
      </c>
    </row>
    <row r="145" spans="1:3" ht="24" customHeight="1">
      <c r="A145" s="1205" t="s">
        <v>74029</v>
      </c>
      <c r="B145" s="1205" t="s">
        <v>74028</v>
      </c>
      <c r="C145" s="1205">
        <v>30.99</v>
      </c>
    </row>
    <row r="146" spans="1:3" ht="24" customHeight="1">
      <c r="A146" s="1205" t="s">
        <v>74027</v>
      </c>
      <c r="B146" s="1205" t="s">
        <v>74026</v>
      </c>
      <c r="C146" s="1205">
        <v>27.49</v>
      </c>
    </row>
    <row r="147" spans="1:3" ht="24" customHeight="1">
      <c r="A147" s="1205" t="s">
        <v>74025</v>
      </c>
      <c r="B147" s="1205" t="s">
        <v>74024</v>
      </c>
      <c r="C147" s="1205">
        <v>72.489999999999995</v>
      </c>
    </row>
    <row r="148" spans="1:3" ht="24" customHeight="1">
      <c r="A148" s="1205" t="s">
        <v>74023</v>
      </c>
      <c r="B148" s="1205" t="s">
        <v>74022</v>
      </c>
      <c r="C148" s="1205">
        <v>74.489999999999995</v>
      </c>
    </row>
    <row r="149" spans="1:3" ht="24" customHeight="1">
      <c r="A149" s="1205" t="s">
        <v>74021</v>
      </c>
      <c r="B149" s="1205" t="s">
        <v>74020</v>
      </c>
      <c r="C149" s="1205">
        <v>25.49</v>
      </c>
    </row>
    <row r="150" spans="1:3" ht="24" customHeight="1">
      <c r="A150" s="1205" t="s">
        <v>74019</v>
      </c>
      <c r="B150" s="1205" t="s">
        <v>74018</v>
      </c>
      <c r="C150" s="1205">
        <v>76.989999999999995</v>
      </c>
    </row>
    <row r="151" spans="1:3" ht="24" customHeight="1">
      <c r="A151" s="1205" t="s">
        <v>74017</v>
      </c>
      <c r="B151" s="1205" t="s">
        <v>74016</v>
      </c>
      <c r="C151" s="1205">
        <v>23.99</v>
      </c>
    </row>
    <row r="152" spans="1:3" ht="24" customHeight="1">
      <c r="A152" s="1205" t="s">
        <v>74015</v>
      </c>
      <c r="B152" s="1205" t="s">
        <v>74014</v>
      </c>
      <c r="C152" s="1205">
        <v>64.989999999999995</v>
      </c>
    </row>
    <row r="153" spans="1:3" ht="24" customHeight="1">
      <c r="A153" s="1205" t="s">
        <v>74013</v>
      </c>
      <c r="B153" s="1205" t="s">
        <v>74012</v>
      </c>
      <c r="C153" s="1205">
        <v>101.49</v>
      </c>
    </row>
    <row r="154" spans="1:3" ht="24" customHeight="1">
      <c r="A154" s="1205" t="s">
        <v>74011</v>
      </c>
      <c r="B154" s="1205" t="s">
        <v>74010</v>
      </c>
      <c r="C154" s="1205">
        <v>91.99</v>
      </c>
    </row>
    <row r="155" spans="1:3" ht="24" customHeight="1">
      <c r="A155" s="1205" t="s">
        <v>74009</v>
      </c>
      <c r="B155" s="1205" t="s">
        <v>74008</v>
      </c>
      <c r="C155" s="1205">
        <v>66.989999999999995</v>
      </c>
    </row>
    <row r="156" spans="1:3" ht="24" customHeight="1">
      <c r="A156" s="1205" t="s">
        <v>74007</v>
      </c>
      <c r="B156" s="1205" t="s">
        <v>74006</v>
      </c>
      <c r="C156" s="1205">
        <v>46.99</v>
      </c>
    </row>
    <row r="157" spans="1:3" ht="24" customHeight="1">
      <c r="A157" s="1205" t="s">
        <v>74005</v>
      </c>
      <c r="B157" s="1205" t="s">
        <v>74004</v>
      </c>
      <c r="C157" s="1205">
        <v>40.49</v>
      </c>
    </row>
    <row r="158" spans="1:3" ht="24" customHeight="1">
      <c r="A158" s="1205" t="s">
        <v>74003</v>
      </c>
      <c r="B158" s="1205" t="s">
        <v>74002</v>
      </c>
      <c r="C158" s="1205">
        <v>47.99</v>
      </c>
    </row>
    <row r="159" spans="1:3" ht="24" customHeight="1">
      <c r="A159" s="1205" t="s">
        <v>74001</v>
      </c>
      <c r="B159" s="1205" t="s">
        <v>74000</v>
      </c>
      <c r="C159" s="1205">
        <v>42.99</v>
      </c>
    </row>
    <row r="160" spans="1:3" ht="24" customHeight="1">
      <c r="A160" s="1205" t="s">
        <v>73999</v>
      </c>
      <c r="B160" s="1205" t="s">
        <v>73998</v>
      </c>
      <c r="C160" s="1205">
        <v>68.489999999999995</v>
      </c>
    </row>
    <row r="161" spans="1:3" ht="24" customHeight="1">
      <c r="A161" s="1205" t="s">
        <v>73997</v>
      </c>
      <c r="B161" s="1205" t="s">
        <v>73996</v>
      </c>
      <c r="C161" s="1205">
        <v>68.989999999999995</v>
      </c>
    </row>
    <row r="162" spans="1:3" ht="24" customHeight="1">
      <c r="A162" s="1205" t="s">
        <v>73995</v>
      </c>
      <c r="B162" s="1205" t="s">
        <v>73994</v>
      </c>
      <c r="C162" s="1205">
        <v>42.99</v>
      </c>
    </row>
    <row r="163" spans="1:3" ht="24" customHeight="1">
      <c r="A163" s="1205" t="s">
        <v>73993</v>
      </c>
      <c r="B163" s="1205" t="s">
        <v>73992</v>
      </c>
      <c r="C163" s="1205">
        <v>90.99</v>
      </c>
    </row>
    <row r="164" spans="1:3" ht="24" customHeight="1">
      <c r="A164" s="1205" t="s">
        <v>73991</v>
      </c>
      <c r="B164" s="1205" t="s">
        <v>73990</v>
      </c>
      <c r="C164" s="1205">
        <v>130.99</v>
      </c>
    </row>
    <row r="165" spans="1:3" ht="24" customHeight="1">
      <c r="A165" s="1205" t="s">
        <v>73989</v>
      </c>
      <c r="B165" s="1205" t="s">
        <v>73988</v>
      </c>
      <c r="C165" s="1205">
        <v>188.49</v>
      </c>
    </row>
    <row r="166" spans="1:3" ht="24" customHeight="1">
      <c r="A166" s="1205" t="s">
        <v>73987</v>
      </c>
      <c r="B166" s="1205" t="s">
        <v>73986</v>
      </c>
      <c r="C166" s="1205">
        <v>129.99</v>
      </c>
    </row>
    <row r="167" spans="1:3" ht="24" customHeight="1">
      <c r="A167" s="1205" t="s">
        <v>73985</v>
      </c>
      <c r="B167" s="1205" t="s">
        <v>73984</v>
      </c>
      <c r="C167" s="1205">
        <v>174.99</v>
      </c>
    </row>
    <row r="168" spans="1:3" ht="24" customHeight="1">
      <c r="A168" s="1205" t="s">
        <v>73983</v>
      </c>
      <c r="B168" s="1205" t="s">
        <v>73982</v>
      </c>
      <c r="C168" s="1205">
        <v>162.49</v>
      </c>
    </row>
    <row r="169" spans="1:3" ht="24" customHeight="1">
      <c r="A169" s="1205" t="s">
        <v>73981</v>
      </c>
      <c r="B169" s="1205" t="s">
        <v>73980</v>
      </c>
      <c r="C169" s="1205">
        <v>118.49</v>
      </c>
    </row>
    <row r="170" spans="1:3" ht="24" customHeight="1">
      <c r="A170" s="1205" t="s">
        <v>73979</v>
      </c>
      <c r="B170" s="1205" t="s">
        <v>73978</v>
      </c>
      <c r="C170" s="1205">
        <v>168.49</v>
      </c>
    </row>
    <row r="171" spans="1:3" ht="24" customHeight="1">
      <c r="A171" s="1205" t="s">
        <v>73977</v>
      </c>
      <c r="B171" s="1205" t="s">
        <v>73976</v>
      </c>
      <c r="C171" s="1205">
        <v>123.49</v>
      </c>
    </row>
    <row r="172" spans="1:3" ht="24" customHeight="1">
      <c r="A172" s="1205" t="s">
        <v>73975</v>
      </c>
      <c r="B172" s="1205" t="s">
        <v>73974</v>
      </c>
      <c r="C172" s="1205">
        <v>90.49</v>
      </c>
    </row>
    <row r="173" spans="1:3" ht="24" customHeight="1">
      <c r="A173" s="1205" t="s">
        <v>73973</v>
      </c>
      <c r="B173" s="1205" t="s">
        <v>73972</v>
      </c>
      <c r="C173" s="1205">
        <v>106.49</v>
      </c>
    </row>
    <row r="174" spans="1:3" ht="24" customHeight="1">
      <c r="A174" s="1205" t="s">
        <v>73971</v>
      </c>
      <c r="B174" s="1205" t="s">
        <v>73970</v>
      </c>
      <c r="C174" s="1205">
        <v>26.49</v>
      </c>
    </row>
    <row r="175" spans="1:3" ht="24" customHeight="1">
      <c r="A175" s="1205" t="s">
        <v>73969</v>
      </c>
      <c r="B175" s="1205" t="s">
        <v>73968</v>
      </c>
      <c r="C175" s="1205">
        <v>23.99</v>
      </c>
    </row>
    <row r="176" spans="1:3" ht="24" customHeight="1">
      <c r="A176" s="1205" t="s">
        <v>73967</v>
      </c>
      <c r="B176" s="1205" t="s">
        <v>73966</v>
      </c>
      <c r="C176" s="1205">
        <v>21.49</v>
      </c>
    </row>
    <row r="177" spans="1:3" ht="24" customHeight="1">
      <c r="A177" s="1205" t="s">
        <v>73965</v>
      </c>
      <c r="B177" s="1205" t="s">
        <v>73964</v>
      </c>
      <c r="C177" s="1205">
        <v>110.49</v>
      </c>
    </row>
    <row r="178" spans="1:3" ht="24" customHeight="1">
      <c r="A178" s="1205" t="s">
        <v>73963</v>
      </c>
      <c r="B178" s="1205" t="s">
        <v>73962</v>
      </c>
      <c r="C178" s="1205">
        <v>106.99</v>
      </c>
    </row>
    <row r="179" spans="1:3" ht="24" customHeight="1">
      <c r="A179" s="1205" t="s">
        <v>73961</v>
      </c>
      <c r="B179" s="1205" t="s">
        <v>69920</v>
      </c>
      <c r="C179" s="1205">
        <v>73.989999999999995</v>
      </c>
    </row>
    <row r="180" spans="1:3" ht="24" customHeight="1">
      <c r="A180" s="1205" t="s">
        <v>73960</v>
      </c>
      <c r="B180" s="1205" t="s">
        <v>73959</v>
      </c>
      <c r="C180" s="1205">
        <v>97.99</v>
      </c>
    </row>
    <row r="181" spans="1:3" ht="24" customHeight="1">
      <c r="A181" s="1205" t="s">
        <v>73958</v>
      </c>
      <c r="B181" s="1205" t="s">
        <v>73957</v>
      </c>
      <c r="C181" s="1205">
        <v>84.99</v>
      </c>
    </row>
    <row r="182" spans="1:3" ht="24" customHeight="1">
      <c r="A182" s="1205" t="s">
        <v>73956</v>
      </c>
      <c r="B182" s="1205" t="s">
        <v>73955</v>
      </c>
      <c r="C182" s="1205">
        <v>50.49</v>
      </c>
    </row>
    <row r="183" spans="1:3" ht="24" customHeight="1">
      <c r="A183" s="1205" t="s">
        <v>73954</v>
      </c>
      <c r="B183" s="1205" t="s">
        <v>73952</v>
      </c>
      <c r="C183" s="1205">
        <v>59.49</v>
      </c>
    </row>
    <row r="184" spans="1:3" ht="24" customHeight="1">
      <c r="A184" s="1205" t="s">
        <v>73953</v>
      </c>
      <c r="B184" s="1205" t="s">
        <v>73952</v>
      </c>
      <c r="C184" s="1205">
        <v>57.49</v>
      </c>
    </row>
    <row r="185" spans="1:3" ht="24" customHeight="1">
      <c r="A185" s="1205" t="s">
        <v>73951</v>
      </c>
      <c r="B185" s="1205" t="s">
        <v>73950</v>
      </c>
      <c r="C185" s="1205">
        <v>105.99</v>
      </c>
    </row>
    <row r="186" spans="1:3" ht="24" customHeight="1">
      <c r="A186" s="1205" t="s">
        <v>73949</v>
      </c>
      <c r="B186" s="1205" t="s">
        <v>73948</v>
      </c>
      <c r="C186" s="1205">
        <v>145.49</v>
      </c>
    </row>
    <row r="187" spans="1:3" ht="24" customHeight="1">
      <c r="A187" s="1205" t="s">
        <v>73947</v>
      </c>
      <c r="B187" s="1205" t="s">
        <v>73946</v>
      </c>
      <c r="C187" s="1205">
        <v>199.99</v>
      </c>
    </row>
    <row r="188" spans="1:3" ht="24" customHeight="1">
      <c r="A188" s="1205" t="s">
        <v>73945</v>
      </c>
      <c r="B188" s="1205" t="s">
        <v>73944</v>
      </c>
      <c r="C188" s="1205">
        <v>141.99</v>
      </c>
    </row>
    <row r="189" spans="1:3" ht="24" customHeight="1">
      <c r="A189" s="1205" t="s">
        <v>73943</v>
      </c>
      <c r="B189" s="1205" t="s">
        <v>73942</v>
      </c>
      <c r="C189" s="1205">
        <v>189.49</v>
      </c>
    </row>
    <row r="190" spans="1:3" ht="24" customHeight="1">
      <c r="A190" s="1205" t="s">
        <v>73941</v>
      </c>
      <c r="B190" s="1205" t="s">
        <v>73940</v>
      </c>
      <c r="C190" s="1205">
        <v>243.49</v>
      </c>
    </row>
    <row r="191" spans="1:3" ht="24" customHeight="1">
      <c r="A191" s="1205" t="s">
        <v>73939</v>
      </c>
      <c r="B191" s="1205" t="s">
        <v>73938</v>
      </c>
      <c r="C191" s="1205">
        <v>135.49</v>
      </c>
    </row>
    <row r="192" spans="1:3" ht="24" customHeight="1">
      <c r="A192" s="1205" t="s">
        <v>73937</v>
      </c>
      <c r="B192" s="1205" t="s">
        <v>73936</v>
      </c>
      <c r="C192" s="1205">
        <v>180.99</v>
      </c>
    </row>
    <row r="193" spans="1:3" ht="24" customHeight="1">
      <c r="A193" s="1205" t="s">
        <v>73935</v>
      </c>
      <c r="B193" s="1205" t="s">
        <v>73934</v>
      </c>
      <c r="C193" s="1205">
        <v>104.99</v>
      </c>
    </row>
    <row r="194" spans="1:3" ht="24" customHeight="1">
      <c r="A194" s="1205" t="s">
        <v>73933</v>
      </c>
      <c r="B194" s="1205" t="s">
        <v>73932</v>
      </c>
      <c r="C194" s="1205">
        <v>120.99</v>
      </c>
    </row>
    <row r="195" spans="1:3" ht="24" customHeight="1">
      <c r="A195" s="1205" t="s">
        <v>73931</v>
      </c>
      <c r="B195" s="1205" t="s">
        <v>73930</v>
      </c>
      <c r="C195" s="1205">
        <v>133.99</v>
      </c>
    </row>
    <row r="196" spans="1:3" ht="24" customHeight="1">
      <c r="A196" s="1205" t="s">
        <v>73929</v>
      </c>
      <c r="B196" s="1205" t="s">
        <v>73928</v>
      </c>
      <c r="C196" s="1205">
        <v>109.99</v>
      </c>
    </row>
    <row r="197" spans="1:3" ht="24" customHeight="1">
      <c r="A197" s="1205" t="s">
        <v>73927</v>
      </c>
      <c r="B197" s="1205" t="s">
        <v>73926</v>
      </c>
      <c r="C197" s="1205">
        <v>39.99</v>
      </c>
    </row>
    <row r="198" spans="1:3" ht="24" customHeight="1">
      <c r="A198" s="1205" t="s">
        <v>73925</v>
      </c>
      <c r="B198" s="1205" t="s">
        <v>73924</v>
      </c>
      <c r="C198" s="1205">
        <v>48.49</v>
      </c>
    </row>
    <row r="199" spans="1:3" ht="24" customHeight="1">
      <c r="A199" s="1205" t="s">
        <v>73923</v>
      </c>
      <c r="B199" s="1205" t="s">
        <v>73922</v>
      </c>
      <c r="C199" s="1205">
        <v>35.49</v>
      </c>
    </row>
    <row r="200" spans="1:3" ht="24" customHeight="1">
      <c r="A200" s="1205" t="s">
        <v>73921</v>
      </c>
      <c r="B200" s="1205" t="s">
        <v>73920</v>
      </c>
      <c r="C200" s="1205">
        <v>88.99</v>
      </c>
    </row>
    <row r="201" spans="1:3" ht="24" customHeight="1">
      <c r="A201" s="1205" t="s">
        <v>73919</v>
      </c>
      <c r="B201" s="1205" t="s">
        <v>73918</v>
      </c>
      <c r="C201" s="1205">
        <v>123.49</v>
      </c>
    </row>
    <row r="202" spans="1:3" ht="24" customHeight="1">
      <c r="A202" s="1205" t="s">
        <v>73917</v>
      </c>
      <c r="B202" s="1205" t="s">
        <v>73916</v>
      </c>
      <c r="C202" s="1205">
        <v>113.99</v>
      </c>
    </row>
    <row r="203" spans="1:3" ht="24" customHeight="1">
      <c r="A203" s="1205" t="s">
        <v>73915</v>
      </c>
      <c r="B203" s="1205" t="s">
        <v>73914</v>
      </c>
      <c r="C203" s="1205">
        <v>98.99</v>
      </c>
    </row>
    <row r="204" spans="1:3" ht="24" customHeight="1">
      <c r="A204" s="1205" t="s">
        <v>73913</v>
      </c>
      <c r="B204" s="1205" t="s">
        <v>63849</v>
      </c>
      <c r="C204" s="1205">
        <v>74.489999999999995</v>
      </c>
    </row>
    <row r="205" spans="1:3" ht="24" customHeight="1">
      <c r="A205" s="1205" t="s">
        <v>73912</v>
      </c>
      <c r="B205" s="1205" t="s">
        <v>73911</v>
      </c>
      <c r="C205" s="1205">
        <v>86.99</v>
      </c>
    </row>
    <row r="206" spans="1:3" ht="24" customHeight="1">
      <c r="A206" s="1205" t="s">
        <v>73910</v>
      </c>
      <c r="B206" s="1205" t="s">
        <v>73909</v>
      </c>
      <c r="C206" s="1205">
        <v>101.49</v>
      </c>
    </row>
    <row r="207" spans="1:3" ht="24" customHeight="1">
      <c r="A207" s="1205" t="s">
        <v>73908</v>
      </c>
      <c r="B207" s="1205" t="s">
        <v>73907</v>
      </c>
      <c r="C207" s="1205">
        <v>79.989999999999995</v>
      </c>
    </row>
    <row r="208" spans="1:3" ht="24" customHeight="1">
      <c r="A208" s="1205" t="s">
        <v>73906</v>
      </c>
      <c r="B208" s="1205" t="s">
        <v>73905</v>
      </c>
      <c r="C208" s="1205">
        <v>27.99</v>
      </c>
    </row>
    <row r="209" spans="1:3" ht="24" customHeight="1">
      <c r="A209" s="1205" t="s">
        <v>73904</v>
      </c>
      <c r="B209" s="1205" t="s">
        <v>73903</v>
      </c>
      <c r="C209" s="1205">
        <v>68.989999999999995</v>
      </c>
    </row>
    <row r="210" spans="1:3" ht="24" customHeight="1">
      <c r="A210" s="1205" t="s">
        <v>73902</v>
      </c>
      <c r="B210" s="1205" t="s">
        <v>73900</v>
      </c>
      <c r="C210" s="1205">
        <v>70.989999999999995</v>
      </c>
    </row>
    <row r="211" spans="1:3" ht="24" customHeight="1">
      <c r="A211" s="1205" t="s">
        <v>73901</v>
      </c>
      <c r="B211" s="1205" t="s">
        <v>73900</v>
      </c>
      <c r="C211" s="1205">
        <v>68.989999999999995</v>
      </c>
    </row>
    <row r="212" spans="1:3" ht="24" customHeight="1">
      <c r="A212" s="1205" t="s">
        <v>73899</v>
      </c>
      <c r="B212" s="1205" t="s">
        <v>73898</v>
      </c>
      <c r="C212" s="1205">
        <v>24.49</v>
      </c>
    </row>
    <row r="213" spans="1:3" ht="24" customHeight="1">
      <c r="A213" s="1205" t="s">
        <v>73897</v>
      </c>
      <c r="B213" s="1205" t="s">
        <v>64946</v>
      </c>
      <c r="C213" s="1205">
        <v>24.49</v>
      </c>
    </row>
    <row r="214" spans="1:3" ht="24" customHeight="1">
      <c r="A214" s="1205" t="s">
        <v>73896</v>
      </c>
      <c r="B214" s="1205" t="s">
        <v>73895</v>
      </c>
      <c r="C214" s="1205">
        <v>94.99</v>
      </c>
    </row>
    <row r="215" spans="1:3" ht="24" customHeight="1">
      <c r="A215" s="1205" t="s">
        <v>73894</v>
      </c>
      <c r="B215" s="1205" t="s">
        <v>73893</v>
      </c>
      <c r="C215" s="1205">
        <v>134.99</v>
      </c>
    </row>
    <row r="216" spans="1:3" ht="24" customHeight="1">
      <c r="A216" s="1205" t="s">
        <v>73892</v>
      </c>
      <c r="B216" s="1205" t="s">
        <v>73891</v>
      </c>
      <c r="C216" s="1205">
        <v>67.989999999999995</v>
      </c>
    </row>
    <row r="217" spans="1:3" ht="24" customHeight="1">
      <c r="A217" s="1205" t="s">
        <v>73890</v>
      </c>
      <c r="B217" s="1205" t="s">
        <v>73889</v>
      </c>
      <c r="C217" s="1205">
        <v>65.489999999999995</v>
      </c>
    </row>
    <row r="218" spans="1:3" ht="24" customHeight="1">
      <c r="A218" s="1205" t="s">
        <v>73888</v>
      </c>
      <c r="B218" s="1205" t="s">
        <v>73887</v>
      </c>
      <c r="C218" s="1205">
        <v>92.49</v>
      </c>
    </row>
    <row r="219" spans="1:3" ht="24" customHeight="1">
      <c r="A219" s="1205" t="s">
        <v>73886</v>
      </c>
      <c r="B219" s="1205" t="s">
        <v>73885</v>
      </c>
      <c r="C219" s="1205">
        <v>122.99</v>
      </c>
    </row>
    <row r="220" spans="1:3" ht="24" customHeight="1">
      <c r="A220" s="1205" t="s">
        <v>73884</v>
      </c>
      <c r="B220" s="1205" t="s">
        <v>73883</v>
      </c>
      <c r="C220" s="1205">
        <v>38.99</v>
      </c>
    </row>
    <row r="221" spans="1:3" ht="24" customHeight="1">
      <c r="A221" s="1205" t="s">
        <v>73882</v>
      </c>
      <c r="B221" s="1205" t="s">
        <v>73881</v>
      </c>
      <c r="C221" s="1205">
        <v>73.989999999999995</v>
      </c>
    </row>
    <row r="222" spans="1:3" ht="24" customHeight="1">
      <c r="A222" s="1205" t="s">
        <v>73880</v>
      </c>
      <c r="B222" s="1205" t="s">
        <v>73879</v>
      </c>
      <c r="C222" s="1205">
        <v>69.989999999999995</v>
      </c>
    </row>
    <row r="223" spans="1:3" ht="24" customHeight="1">
      <c r="A223" s="1205" t="s">
        <v>73878</v>
      </c>
      <c r="B223" s="1205" t="s">
        <v>73877</v>
      </c>
      <c r="C223" s="1205">
        <v>35.49</v>
      </c>
    </row>
    <row r="224" spans="1:3" ht="24" customHeight="1">
      <c r="A224" s="1205" t="s">
        <v>73876</v>
      </c>
      <c r="B224" s="1205" t="s">
        <v>73875</v>
      </c>
      <c r="C224" s="1205">
        <v>59.49</v>
      </c>
    </row>
    <row r="225" spans="1:3" ht="24" customHeight="1">
      <c r="A225" s="1205" t="s">
        <v>73874</v>
      </c>
      <c r="B225" s="1205" t="s">
        <v>73873</v>
      </c>
      <c r="C225" s="1205">
        <v>31.99</v>
      </c>
    </row>
    <row r="226" spans="1:3" ht="24" customHeight="1">
      <c r="A226" s="1205" t="s">
        <v>73872</v>
      </c>
      <c r="B226" s="1205" t="s">
        <v>73871</v>
      </c>
      <c r="C226" s="1205">
        <v>14.99</v>
      </c>
    </row>
    <row r="227" spans="1:3" ht="24" customHeight="1">
      <c r="A227" s="1205" t="s">
        <v>73870</v>
      </c>
      <c r="B227" s="1205" t="s">
        <v>73869</v>
      </c>
      <c r="C227" s="1205">
        <v>10.49</v>
      </c>
    </row>
    <row r="228" spans="1:3" ht="24" customHeight="1">
      <c r="A228" s="1205" t="s">
        <v>73868</v>
      </c>
      <c r="B228" s="1205" t="s">
        <v>73867</v>
      </c>
      <c r="C228" s="1205">
        <v>578.99</v>
      </c>
    </row>
    <row r="229" spans="1:3" ht="24" customHeight="1">
      <c r="A229" s="1205" t="s">
        <v>73866</v>
      </c>
      <c r="B229" s="1205" t="s">
        <v>73865</v>
      </c>
      <c r="C229" s="1205">
        <v>15.49</v>
      </c>
    </row>
    <row r="230" spans="1:3" ht="24" customHeight="1">
      <c r="A230" s="1205" t="s">
        <v>73864</v>
      </c>
      <c r="B230" s="1205" t="s">
        <v>73863</v>
      </c>
      <c r="C230" s="1205">
        <v>39.49</v>
      </c>
    </row>
    <row r="231" spans="1:3" ht="24" customHeight="1">
      <c r="A231" s="1205" t="s">
        <v>73862</v>
      </c>
      <c r="B231" s="1205" t="s">
        <v>73861</v>
      </c>
      <c r="C231" s="1205">
        <v>12.99</v>
      </c>
    </row>
    <row r="232" spans="1:3" ht="24" customHeight="1">
      <c r="A232" s="1205" t="s">
        <v>73860</v>
      </c>
      <c r="B232" s="1205" t="s">
        <v>73859</v>
      </c>
      <c r="C232" s="1205">
        <v>7.49</v>
      </c>
    </row>
    <row r="233" spans="1:3" ht="24" customHeight="1">
      <c r="A233" s="1205" t="s">
        <v>73858</v>
      </c>
      <c r="B233" s="1205" t="s">
        <v>73857</v>
      </c>
      <c r="C233" s="1205">
        <v>14.49</v>
      </c>
    </row>
    <row r="234" spans="1:3" ht="24" customHeight="1">
      <c r="A234" s="1205" t="s">
        <v>73856</v>
      </c>
      <c r="B234" s="1205" t="s">
        <v>73855</v>
      </c>
      <c r="C234" s="1205">
        <v>30.99</v>
      </c>
    </row>
    <row r="235" spans="1:3" ht="24" customHeight="1">
      <c r="A235" s="1205" t="s">
        <v>73854</v>
      </c>
      <c r="B235" s="1205" t="s">
        <v>73853</v>
      </c>
      <c r="C235" s="1205">
        <v>54.49</v>
      </c>
    </row>
    <row r="236" spans="1:3" ht="24" customHeight="1">
      <c r="A236" s="1205" t="s">
        <v>73852</v>
      </c>
      <c r="B236" s="1205" t="s">
        <v>73851</v>
      </c>
      <c r="C236" s="1205">
        <v>26.99</v>
      </c>
    </row>
    <row r="237" spans="1:3" ht="24" customHeight="1">
      <c r="A237" s="1205" t="s">
        <v>73850</v>
      </c>
      <c r="B237" s="1205" t="s">
        <v>73849</v>
      </c>
      <c r="C237" s="1205">
        <v>12.99</v>
      </c>
    </row>
    <row r="238" spans="1:3" ht="24" customHeight="1">
      <c r="A238" s="1205" t="s">
        <v>73848</v>
      </c>
      <c r="B238" s="1205" t="s">
        <v>73847</v>
      </c>
      <c r="C238" s="1205">
        <v>24.99</v>
      </c>
    </row>
    <row r="239" spans="1:3" ht="24" customHeight="1">
      <c r="A239" s="1205" t="s">
        <v>73846</v>
      </c>
      <c r="B239" s="1205" t="s">
        <v>73845</v>
      </c>
      <c r="C239" s="1205">
        <v>47.49</v>
      </c>
    </row>
    <row r="240" spans="1:3" ht="24" customHeight="1">
      <c r="A240" s="1205" t="s">
        <v>73844</v>
      </c>
      <c r="B240" s="1205" t="s">
        <v>73843</v>
      </c>
      <c r="C240" s="1205">
        <v>34.49</v>
      </c>
    </row>
    <row r="241" spans="1:3" ht="24" customHeight="1">
      <c r="A241" s="1205" t="s">
        <v>73842</v>
      </c>
      <c r="B241" s="1205" t="s">
        <v>73841</v>
      </c>
      <c r="C241" s="1205">
        <v>12.49</v>
      </c>
    </row>
    <row r="242" spans="1:3" ht="24" customHeight="1">
      <c r="A242" s="1205" t="s">
        <v>73840</v>
      </c>
      <c r="B242" s="1205" t="s">
        <v>73839</v>
      </c>
      <c r="C242" s="1205">
        <v>21.99</v>
      </c>
    </row>
    <row r="243" spans="1:3" ht="24" customHeight="1">
      <c r="A243" s="1205" t="s">
        <v>73838</v>
      </c>
      <c r="B243" s="1205" t="s">
        <v>73837</v>
      </c>
      <c r="C243" s="1205">
        <v>19.489999999999998</v>
      </c>
    </row>
    <row r="244" spans="1:3" ht="24" customHeight="1">
      <c r="A244" s="1205" t="s">
        <v>73836</v>
      </c>
      <c r="B244" s="1205" t="s">
        <v>73835</v>
      </c>
      <c r="C244" s="1205">
        <v>9.99</v>
      </c>
    </row>
    <row r="245" spans="1:3" ht="24" customHeight="1">
      <c r="A245" s="1205" t="s">
        <v>73834</v>
      </c>
      <c r="B245" s="1205" t="s">
        <v>73833</v>
      </c>
      <c r="C245" s="1205">
        <v>32.99</v>
      </c>
    </row>
    <row r="246" spans="1:3" ht="24" customHeight="1">
      <c r="A246" s="1205" t="s">
        <v>73832</v>
      </c>
      <c r="B246" s="1205" t="s">
        <v>73830</v>
      </c>
      <c r="C246" s="1205">
        <v>32.99</v>
      </c>
    </row>
    <row r="247" spans="1:3" ht="24" customHeight="1">
      <c r="A247" s="1205" t="s">
        <v>73831</v>
      </c>
      <c r="B247" s="1205" t="s">
        <v>73830</v>
      </c>
      <c r="C247" s="1205">
        <v>25.99</v>
      </c>
    </row>
    <row r="248" spans="1:3" ht="24" customHeight="1">
      <c r="A248" s="1205" t="s">
        <v>73829</v>
      </c>
      <c r="B248" s="1205" t="s">
        <v>73828</v>
      </c>
      <c r="C248" s="1205">
        <v>30.49</v>
      </c>
    </row>
    <row r="249" spans="1:3" ht="24" customHeight="1">
      <c r="A249" s="1205" t="s">
        <v>73827</v>
      </c>
      <c r="B249" s="1205" t="s">
        <v>73814</v>
      </c>
      <c r="C249" s="1205">
        <v>48.49</v>
      </c>
    </row>
    <row r="250" spans="1:3" ht="24" customHeight="1">
      <c r="A250" s="1205" t="s">
        <v>73826</v>
      </c>
      <c r="B250" s="1205" t="s">
        <v>73825</v>
      </c>
      <c r="C250" s="1205">
        <v>47.49</v>
      </c>
    </row>
    <row r="251" spans="1:3" ht="24" customHeight="1">
      <c r="A251" s="1205" t="s">
        <v>73824</v>
      </c>
      <c r="B251" s="1205" t="s">
        <v>73823</v>
      </c>
      <c r="C251" s="1205">
        <v>34.99</v>
      </c>
    </row>
    <row r="252" spans="1:3" ht="24" customHeight="1">
      <c r="A252" s="1205" t="s">
        <v>73822</v>
      </c>
      <c r="B252" s="1205" t="s">
        <v>73821</v>
      </c>
      <c r="C252" s="1205">
        <v>64.989999999999995</v>
      </c>
    </row>
    <row r="253" spans="1:3" ht="24" customHeight="1">
      <c r="A253" s="1205" t="s">
        <v>73820</v>
      </c>
      <c r="B253" s="1205" t="s">
        <v>73819</v>
      </c>
      <c r="C253" s="1205">
        <v>58.49</v>
      </c>
    </row>
    <row r="254" spans="1:3" ht="24" customHeight="1">
      <c r="A254" s="1205" t="s">
        <v>73818</v>
      </c>
      <c r="B254" s="1205" t="s">
        <v>73816</v>
      </c>
      <c r="C254" s="1205">
        <v>49.99</v>
      </c>
    </row>
    <row r="255" spans="1:3" ht="24" customHeight="1">
      <c r="A255" s="1205" t="s">
        <v>73817</v>
      </c>
      <c r="B255" s="1205" t="s">
        <v>73816</v>
      </c>
      <c r="C255" s="1205">
        <v>48.49</v>
      </c>
    </row>
    <row r="256" spans="1:3" ht="24" customHeight="1">
      <c r="A256" s="1205" t="s">
        <v>73815</v>
      </c>
      <c r="B256" s="1205" t="s">
        <v>73814</v>
      </c>
      <c r="C256" s="1205">
        <v>46.99</v>
      </c>
    </row>
    <row r="257" spans="1:3" ht="24" customHeight="1">
      <c r="A257" s="1205" t="s">
        <v>73813</v>
      </c>
      <c r="B257" s="1205" t="s">
        <v>73812</v>
      </c>
      <c r="C257" s="1205">
        <v>11.99</v>
      </c>
    </row>
    <row r="258" spans="1:3" ht="24" customHeight="1">
      <c r="A258" s="1205" t="s">
        <v>73811</v>
      </c>
      <c r="B258" s="1205" t="s">
        <v>73810</v>
      </c>
      <c r="C258" s="1205">
        <v>10.49</v>
      </c>
    </row>
    <row r="259" spans="1:3" ht="24" customHeight="1">
      <c r="A259" s="1205" t="s">
        <v>73809</v>
      </c>
      <c r="B259" s="1205" t="s">
        <v>73808</v>
      </c>
      <c r="C259" s="1205">
        <v>64.489999999999995</v>
      </c>
    </row>
    <row r="260" spans="1:3" ht="24" customHeight="1">
      <c r="A260" s="1205" t="s">
        <v>73807</v>
      </c>
      <c r="B260" s="1205" t="s">
        <v>73806</v>
      </c>
      <c r="C260" s="1205">
        <v>31.49</v>
      </c>
    </row>
    <row r="261" spans="1:3" ht="24" customHeight="1">
      <c r="A261" s="1205" t="s">
        <v>73805</v>
      </c>
      <c r="B261" s="1205" t="s">
        <v>73804</v>
      </c>
      <c r="C261" s="1205">
        <v>50.49</v>
      </c>
    </row>
    <row r="262" spans="1:3" ht="24" customHeight="1">
      <c r="A262" s="1205" t="s">
        <v>73803</v>
      </c>
      <c r="B262" s="1205" t="s">
        <v>73802</v>
      </c>
      <c r="C262" s="1205">
        <v>28.49</v>
      </c>
    </row>
    <row r="263" spans="1:3" ht="24" customHeight="1">
      <c r="A263" s="1205" t="s">
        <v>73801</v>
      </c>
      <c r="B263" s="1205" t="s">
        <v>73800</v>
      </c>
      <c r="C263" s="1205">
        <v>67.489999999999995</v>
      </c>
    </row>
    <row r="264" spans="1:3" ht="24" customHeight="1">
      <c r="A264" s="1205" t="s">
        <v>73799</v>
      </c>
      <c r="B264" s="1205" t="s">
        <v>73798</v>
      </c>
      <c r="C264" s="1205">
        <v>62.49</v>
      </c>
    </row>
    <row r="265" spans="1:3" ht="24" customHeight="1">
      <c r="A265" s="1205" t="s">
        <v>73797</v>
      </c>
      <c r="B265" s="1205" t="s">
        <v>73796</v>
      </c>
      <c r="C265" s="1205">
        <v>84.49</v>
      </c>
    </row>
    <row r="266" spans="1:3" ht="24" customHeight="1">
      <c r="A266" s="1205" t="s">
        <v>73795</v>
      </c>
      <c r="B266" s="1205" t="s">
        <v>73794</v>
      </c>
      <c r="C266" s="1205">
        <v>41.99</v>
      </c>
    </row>
    <row r="267" spans="1:3" ht="24" customHeight="1">
      <c r="A267" s="1205" t="s">
        <v>73793</v>
      </c>
      <c r="B267" s="1205" t="s">
        <v>73792</v>
      </c>
      <c r="C267" s="1205">
        <v>37.99</v>
      </c>
    </row>
    <row r="268" spans="1:3" ht="24" customHeight="1">
      <c r="A268" s="1205" t="s">
        <v>73791</v>
      </c>
      <c r="B268" s="1205" t="s">
        <v>73790</v>
      </c>
      <c r="C268" s="1205">
        <v>81.99</v>
      </c>
    </row>
    <row r="269" spans="1:3" ht="24" customHeight="1">
      <c r="A269" s="1205" t="s">
        <v>73789</v>
      </c>
      <c r="B269" s="1205" t="s">
        <v>73788</v>
      </c>
      <c r="C269" s="1205">
        <v>65.489999999999995</v>
      </c>
    </row>
    <row r="270" spans="1:3" ht="24" customHeight="1">
      <c r="A270" s="1205" t="s">
        <v>73787</v>
      </c>
      <c r="B270" s="1205" t="s">
        <v>73786</v>
      </c>
      <c r="C270" s="1205">
        <v>68.989999999999995</v>
      </c>
    </row>
    <row r="271" spans="1:3" ht="24" customHeight="1">
      <c r="A271" s="1205" t="s">
        <v>73785</v>
      </c>
      <c r="B271" s="1205" t="s">
        <v>73784</v>
      </c>
      <c r="C271" s="1205">
        <v>117.99</v>
      </c>
    </row>
    <row r="272" spans="1:3" ht="24" customHeight="1">
      <c r="A272" s="1205" t="s">
        <v>73783</v>
      </c>
      <c r="B272" s="1205" t="s">
        <v>73782</v>
      </c>
      <c r="C272" s="1205">
        <v>62.99</v>
      </c>
    </row>
    <row r="273" spans="1:3" ht="24" customHeight="1">
      <c r="A273" s="1205" t="s">
        <v>73781</v>
      </c>
      <c r="B273" s="1205" t="s">
        <v>73780</v>
      </c>
      <c r="C273" s="1205">
        <v>49.99</v>
      </c>
    </row>
    <row r="274" spans="1:3" ht="24" customHeight="1">
      <c r="A274" s="1205" t="s">
        <v>73779</v>
      </c>
      <c r="B274" s="1205" t="s">
        <v>73778</v>
      </c>
      <c r="C274" s="1205">
        <v>4.49</v>
      </c>
    </row>
    <row r="275" spans="1:3" ht="24" customHeight="1">
      <c r="A275" s="1205" t="s">
        <v>73777</v>
      </c>
      <c r="B275" s="1205" t="s">
        <v>73776</v>
      </c>
      <c r="C275" s="1205">
        <v>81.489999999999995</v>
      </c>
    </row>
    <row r="276" spans="1:3" ht="24" customHeight="1">
      <c r="A276" s="1205" t="s">
        <v>73775</v>
      </c>
      <c r="B276" s="1205" t="s">
        <v>73774</v>
      </c>
      <c r="C276" s="1205">
        <v>218.49</v>
      </c>
    </row>
    <row r="277" spans="1:3" ht="24" customHeight="1">
      <c r="A277" s="1205" t="s">
        <v>73773</v>
      </c>
      <c r="B277" s="1205" t="s">
        <v>73772</v>
      </c>
      <c r="C277" s="1205">
        <v>220.99</v>
      </c>
    </row>
    <row r="278" spans="1:3" ht="24" customHeight="1">
      <c r="A278" s="1205" t="s">
        <v>73771</v>
      </c>
      <c r="B278" s="1205" t="s">
        <v>73770</v>
      </c>
      <c r="C278" s="1205">
        <v>220.99</v>
      </c>
    </row>
    <row r="279" spans="1:3" ht="24" customHeight="1">
      <c r="A279" s="1205" t="s">
        <v>73769</v>
      </c>
      <c r="B279" s="1205" t="s">
        <v>73768</v>
      </c>
      <c r="C279" s="1205">
        <v>76.989999999999995</v>
      </c>
    </row>
    <row r="280" spans="1:3" ht="24" customHeight="1">
      <c r="A280" s="1205" t="s">
        <v>73767</v>
      </c>
      <c r="B280" s="1205" t="s">
        <v>73766</v>
      </c>
      <c r="C280" s="1205">
        <v>128.49</v>
      </c>
    </row>
    <row r="281" spans="1:3" ht="24" customHeight="1">
      <c r="A281" s="1205" t="s">
        <v>73765</v>
      </c>
      <c r="B281" s="1205" t="s">
        <v>73764</v>
      </c>
      <c r="C281" s="1205">
        <v>124.49</v>
      </c>
    </row>
    <row r="282" spans="1:3" ht="24" customHeight="1">
      <c r="A282" s="1205" t="s">
        <v>73763</v>
      </c>
      <c r="B282" s="1205" t="s">
        <v>73762</v>
      </c>
      <c r="C282" s="1205">
        <v>105.49</v>
      </c>
    </row>
    <row r="283" spans="1:3" ht="24" customHeight="1">
      <c r="A283" s="1205" t="s">
        <v>73761</v>
      </c>
      <c r="B283" s="1205" t="s">
        <v>73760</v>
      </c>
      <c r="C283" s="1205">
        <v>50.49</v>
      </c>
    </row>
    <row r="284" spans="1:3" ht="24" customHeight="1">
      <c r="A284" s="1205" t="s">
        <v>73759</v>
      </c>
      <c r="B284" s="1205" t="s">
        <v>73758</v>
      </c>
      <c r="C284" s="1205">
        <v>93.99</v>
      </c>
    </row>
    <row r="285" spans="1:3" ht="24" customHeight="1">
      <c r="A285" s="1205" t="s">
        <v>73757</v>
      </c>
      <c r="B285" s="1205" t="s">
        <v>73756</v>
      </c>
      <c r="C285" s="1205">
        <v>109.49</v>
      </c>
    </row>
    <row r="286" spans="1:3" ht="24" customHeight="1">
      <c r="A286" s="1205" t="s">
        <v>73755</v>
      </c>
      <c r="B286" s="1205" t="s">
        <v>73754</v>
      </c>
      <c r="C286" s="1205">
        <v>112.99</v>
      </c>
    </row>
    <row r="287" spans="1:3" ht="24" customHeight="1">
      <c r="A287" s="1205" t="s">
        <v>73753</v>
      </c>
      <c r="B287" s="1205" t="s">
        <v>73752</v>
      </c>
      <c r="C287" s="1205">
        <v>114.99</v>
      </c>
    </row>
    <row r="288" spans="1:3" ht="24" customHeight="1">
      <c r="A288" s="1205" t="s">
        <v>73751</v>
      </c>
      <c r="B288" s="1205" t="s">
        <v>73750</v>
      </c>
      <c r="C288" s="1205">
        <v>138.49</v>
      </c>
    </row>
    <row r="289" spans="1:3" ht="24" customHeight="1">
      <c r="A289" s="1205" t="s">
        <v>73749</v>
      </c>
      <c r="B289" s="1205" t="s">
        <v>73748</v>
      </c>
      <c r="C289" s="1205">
        <v>427.49</v>
      </c>
    </row>
    <row r="290" spans="1:3" ht="24" customHeight="1">
      <c r="A290" s="1205" t="s">
        <v>73747</v>
      </c>
      <c r="B290" s="1205" t="s">
        <v>73746</v>
      </c>
      <c r="C290" s="1205">
        <v>420.49</v>
      </c>
    </row>
    <row r="291" spans="1:3" ht="24" customHeight="1">
      <c r="A291" s="1205" t="s">
        <v>73745</v>
      </c>
      <c r="B291" s="1205" t="s">
        <v>73744</v>
      </c>
      <c r="C291" s="1205">
        <v>425.99</v>
      </c>
    </row>
    <row r="292" spans="1:3" ht="24" customHeight="1">
      <c r="A292" s="1205" t="s">
        <v>73743</v>
      </c>
      <c r="B292" s="1205" t="s">
        <v>73742</v>
      </c>
      <c r="C292" s="1205">
        <v>415.99</v>
      </c>
    </row>
    <row r="293" spans="1:3" ht="24" customHeight="1">
      <c r="A293" s="1205" t="s">
        <v>73741</v>
      </c>
      <c r="B293" s="1205" t="s">
        <v>73740</v>
      </c>
      <c r="C293" s="1205">
        <v>97.49</v>
      </c>
    </row>
    <row r="294" spans="1:3" ht="24" customHeight="1">
      <c r="A294" s="1205" t="s">
        <v>73739</v>
      </c>
      <c r="B294" s="1205" t="s">
        <v>73738</v>
      </c>
      <c r="C294" s="1205">
        <v>97.49</v>
      </c>
    </row>
    <row r="295" spans="1:3" ht="24" customHeight="1">
      <c r="A295" s="1205" t="s">
        <v>73737</v>
      </c>
      <c r="B295" s="1205" t="s">
        <v>72230</v>
      </c>
      <c r="C295" s="1205">
        <v>96.49</v>
      </c>
    </row>
    <row r="296" spans="1:3" ht="24" customHeight="1">
      <c r="A296" s="1205" t="s">
        <v>73736</v>
      </c>
      <c r="B296" s="1205" t="s">
        <v>63771</v>
      </c>
      <c r="C296" s="1205">
        <v>59.49</v>
      </c>
    </row>
    <row r="297" spans="1:3" ht="24" customHeight="1">
      <c r="A297" s="1205" t="s">
        <v>73735</v>
      </c>
      <c r="B297" s="1205" t="s">
        <v>73734</v>
      </c>
      <c r="C297" s="1205">
        <v>57.49</v>
      </c>
    </row>
    <row r="298" spans="1:3" ht="24" customHeight="1">
      <c r="A298" s="1205" t="s">
        <v>73733</v>
      </c>
      <c r="B298" s="1205" t="s">
        <v>73732</v>
      </c>
      <c r="C298" s="1205">
        <v>88.99</v>
      </c>
    </row>
    <row r="299" spans="1:3" ht="24" customHeight="1">
      <c r="A299" s="1205" t="s">
        <v>73731</v>
      </c>
      <c r="B299" s="1205" t="s">
        <v>72162</v>
      </c>
      <c r="C299" s="1205">
        <v>59.49</v>
      </c>
    </row>
    <row r="300" spans="1:3" ht="24" customHeight="1">
      <c r="A300" s="1205" t="s">
        <v>73730</v>
      </c>
      <c r="B300" s="1205" t="s">
        <v>73729</v>
      </c>
      <c r="C300" s="1205">
        <v>54.99</v>
      </c>
    </row>
    <row r="301" spans="1:3" ht="24" customHeight="1">
      <c r="A301" s="1205" t="s">
        <v>73728</v>
      </c>
      <c r="B301" s="1205" t="s">
        <v>73727</v>
      </c>
      <c r="C301" s="1205">
        <v>57.49</v>
      </c>
    </row>
    <row r="302" spans="1:3" ht="24" customHeight="1">
      <c r="A302" s="1205" t="s">
        <v>73726</v>
      </c>
      <c r="B302" s="1205" t="s">
        <v>73725</v>
      </c>
      <c r="C302" s="1205">
        <v>149.49</v>
      </c>
    </row>
    <row r="303" spans="1:3" ht="24" customHeight="1">
      <c r="A303" s="1205" t="s">
        <v>73724</v>
      </c>
      <c r="B303" s="1205" t="s">
        <v>73723</v>
      </c>
      <c r="C303" s="1205">
        <v>63.49</v>
      </c>
    </row>
    <row r="304" spans="1:3" ht="24" customHeight="1">
      <c r="A304" s="1205" t="s">
        <v>73722</v>
      </c>
      <c r="B304" s="1205" t="s">
        <v>73721</v>
      </c>
      <c r="C304" s="1205">
        <v>151.49</v>
      </c>
    </row>
    <row r="305" spans="1:3" ht="24" customHeight="1">
      <c r="A305" s="1205" t="s">
        <v>73720</v>
      </c>
      <c r="B305" s="1205" t="s">
        <v>73716</v>
      </c>
      <c r="C305" s="1205">
        <v>95.99</v>
      </c>
    </row>
    <row r="306" spans="1:3" ht="24" customHeight="1">
      <c r="A306" s="1205" t="s">
        <v>73719</v>
      </c>
      <c r="B306" s="1205" t="s">
        <v>73718</v>
      </c>
      <c r="C306" s="1205">
        <v>87.49</v>
      </c>
    </row>
    <row r="307" spans="1:3" ht="24" customHeight="1">
      <c r="A307" s="1205" t="s">
        <v>73717</v>
      </c>
      <c r="B307" s="1205" t="s">
        <v>73716</v>
      </c>
      <c r="C307" s="1205">
        <v>89.99</v>
      </c>
    </row>
    <row r="308" spans="1:3" ht="24" customHeight="1">
      <c r="A308" s="1205" t="s">
        <v>73715</v>
      </c>
      <c r="B308" s="1205" t="s">
        <v>73714</v>
      </c>
      <c r="C308" s="1205">
        <v>349.99</v>
      </c>
    </row>
    <row r="309" spans="1:3" ht="24" customHeight="1">
      <c r="A309" s="1205" t="s">
        <v>73713</v>
      </c>
      <c r="B309" s="1205" t="s">
        <v>73712</v>
      </c>
      <c r="C309" s="1205">
        <v>393.49</v>
      </c>
    </row>
    <row r="310" spans="1:3" ht="24" customHeight="1">
      <c r="A310" s="1205" t="s">
        <v>73711</v>
      </c>
      <c r="B310" s="1205" t="s">
        <v>73710</v>
      </c>
      <c r="C310" s="1205">
        <v>65.989999999999995</v>
      </c>
    </row>
    <row r="311" spans="1:3" ht="24" customHeight="1">
      <c r="A311" s="1205" t="s">
        <v>73709</v>
      </c>
      <c r="B311" s="1205" t="s">
        <v>73708</v>
      </c>
      <c r="C311" s="1205">
        <v>277.49</v>
      </c>
    </row>
    <row r="312" spans="1:3" ht="24" customHeight="1">
      <c r="A312" s="1205" t="s">
        <v>73707</v>
      </c>
      <c r="B312" s="1205" t="s">
        <v>73706</v>
      </c>
      <c r="C312" s="1205">
        <v>339.99</v>
      </c>
    </row>
    <row r="313" spans="1:3" ht="24" customHeight="1">
      <c r="A313" s="1205" t="s">
        <v>73705</v>
      </c>
      <c r="B313" s="1205" t="s">
        <v>73704</v>
      </c>
      <c r="C313" s="1205">
        <v>43.99</v>
      </c>
    </row>
    <row r="314" spans="1:3" ht="24" customHeight="1">
      <c r="A314" s="1205" t="s">
        <v>73703</v>
      </c>
      <c r="B314" s="1205" t="s">
        <v>73702</v>
      </c>
      <c r="C314" s="1205">
        <v>247.99</v>
      </c>
    </row>
    <row r="315" spans="1:3" ht="24" customHeight="1">
      <c r="A315" s="1205" t="s">
        <v>73701</v>
      </c>
      <c r="B315" s="1205" t="s">
        <v>73700</v>
      </c>
      <c r="C315" s="1205">
        <v>31.99</v>
      </c>
    </row>
    <row r="316" spans="1:3" ht="24" customHeight="1">
      <c r="A316" s="1205" t="s">
        <v>73699</v>
      </c>
      <c r="B316" s="1205" t="s">
        <v>73698</v>
      </c>
      <c r="C316" s="1205">
        <v>135.49</v>
      </c>
    </row>
    <row r="317" spans="1:3" ht="24" customHeight="1">
      <c r="A317" s="1205" t="s">
        <v>73697</v>
      </c>
      <c r="B317" s="1205" t="s">
        <v>73696</v>
      </c>
      <c r="C317" s="1205">
        <v>237.99</v>
      </c>
    </row>
    <row r="318" spans="1:3" ht="24" customHeight="1">
      <c r="A318" s="1205" t="s">
        <v>73695</v>
      </c>
      <c r="B318" s="1205" t="s">
        <v>73694</v>
      </c>
      <c r="C318" s="1205">
        <v>226.49</v>
      </c>
    </row>
    <row r="319" spans="1:3" ht="24" customHeight="1">
      <c r="A319" s="1205" t="s">
        <v>73693</v>
      </c>
      <c r="B319" s="1205" t="s">
        <v>69872</v>
      </c>
      <c r="C319" s="1205">
        <v>34.49</v>
      </c>
    </row>
    <row r="320" spans="1:3" ht="24" customHeight="1">
      <c r="A320" s="1205" t="s">
        <v>73692</v>
      </c>
      <c r="B320" s="1205" t="s">
        <v>73691</v>
      </c>
      <c r="C320" s="1205">
        <v>49.49</v>
      </c>
    </row>
    <row r="321" spans="1:3" ht="24" customHeight="1">
      <c r="A321" s="1205" t="s">
        <v>73690</v>
      </c>
      <c r="B321" s="1205" t="s">
        <v>73689</v>
      </c>
      <c r="C321" s="1205">
        <v>371.99</v>
      </c>
    </row>
    <row r="322" spans="1:3" ht="24" customHeight="1">
      <c r="A322" s="1205" t="s">
        <v>73688</v>
      </c>
      <c r="B322" s="1205" t="s">
        <v>73682</v>
      </c>
      <c r="C322" s="1205">
        <v>255.49</v>
      </c>
    </row>
    <row r="323" spans="1:3" ht="24" customHeight="1">
      <c r="A323" s="1205" t="s">
        <v>73687</v>
      </c>
      <c r="B323" s="1205" t="s">
        <v>73686</v>
      </c>
      <c r="C323" s="1205">
        <v>42.99</v>
      </c>
    </row>
    <row r="324" spans="1:3" ht="24" customHeight="1">
      <c r="A324" s="1205" t="s">
        <v>73685</v>
      </c>
      <c r="B324" s="1205" t="s">
        <v>73684</v>
      </c>
      <c r="C324" s="1205">
        <v>235.49</v>
      </c>
    </row>
    <row r="325" spans="1:3" ht="24" customHeight="1">
      <c r="A325" s="1205" t="s">
        <v>73683</v>
      </c>
      <c r="B325" s="1205" t="s">
        <v>73682</v>
      </c>
      <c r="C325" s="1205">
        <v>273.49</v>
      </c>
    </row>
    <row r="326" spans="1:3" ht="24" customHeight="1">
      <c r="A326" s="1205" t="s">
        <v>73681</v>
      </c>
      <c r="B326" s="1205" t="s">
        <v>73680</v>
      </c>
      <c r="C326" s="1205">
        <v>271.49</v>
      </c>
    </row>
    <row r="327" spans="1:3" ht="24" customHeight="1">
      <c r="A327" s="1205" t="s">
        <v>73679</v>
      </c>
      <c r="B327" s="1205" t="s">
        <v>73678</v>
      </c>
      <c r="C327" s="1205">
        <v>233.49</v>
      </c>
    </row>
    <row r="328" spans="1:3" ht="24" customHeight="1">
      <c r="A328" s="1205" t="s">
        <v>73677</v>
      </c>
      <c r="B328" s="1205" t="s">
        <v>71273</v>
      </c>
      <c r="C328" s="1205">
        <v>72.989999999999995</v>
      </c>
    </row>
    <row r="329" spans="1:3" ht="24" customHeight="1">
      <c r="A329" s="1205" t="s">
        <v>73676</v>
      </c>
      <c r="B329" s="1205" t="s">
        <v>73675</v>
      </c>
      <c r="C329" s="1205">
        <v>70.489999999999995</v>
      </c>
    </row>
    <row r="330" spans="1:3" ht="24" customHeight="1">
      <c r="A330" s="1205" t="s">
        <v>73674</v>
      </c>
      <c r="B330" s="1205" t="s">
        <v>73673</v>
      </c>
      <c r="C330" s="1205">
        <v>107.99</v>
      </c>
    </row>
    <row r="331" spans="1:3" ht="24" customHeight="1">
      <c r="A331" s="1205" t="s">
        <v>73672</v>
      </c>
      <c r="B331" s="1205" t="s">
        <v>73671</v>
      </c>
      <c r="C331" s="1205">
        <v>64.989999999999995</v>
      </c>
    </row>
    <row r="332" spans="1:3" ht="24" customHeight="1">
      <c r="A332" s="1205" t="s">
        <v>73670</v>
      </c>
      <c r="B332" s="1205" t="s">
        <v>73669</v>
      </c>
      <c r="C332" s="1205">
        <v>99.49</v>
      </c>
    </row>
    <row r="333" spans="1:3" ht="24" customHeight="1">
      <c r="A333" s="1205" t="s">
        <v>73668</v>
      </c>
      <c r="B333" s="1205" t="s">
        <v>73667</v>
      </c>
      <c r="C333" s="1205">
        <v>57.49</v>
      </c>
    </row>
    <row r="334" spans="1:3" ht="24" customHeight="1">
      <c r="A334" s="1205" t="s">
        <v>73666</v>
      </c>
      <c r="B334" s="1205" t="s">
        <v>73665</v>
      </c>
      <c r="C334" s="1205">
        <v>59.99</v>
      </c>
    </row>
    <row r="335" spans="1:3" ht="24" customHeight="1">
      <c r="A335" s="1205" t="s">
        <v>73664</v>
      </c>
      <c r="B335" s="1205" t="s">
        <v>73663</v>
      </c>
      <c r="C335" s="1205">
        <v>56.99</v>
      </c>
    </row>
    <row r="336" spans="1:3" ht="24" customHeight="1">
      <c r="A336" s="1205" t="s">
        <v>73662</v>
      </c>
      <c r="B336" s="1205" t="s">
        <v>73661</v>
      </c>
      <c r="C336" s="1205">
        <v>60.49</v>
      </c>
    </row>
    <row r="337" spans="1:3" ht="24" customHeight="1">
      <c r="A337" s="1205" t="s">
        <v>73660</v>
      </c>
      <c r="B337" s="1205" t="s">
        <v>73659</v>
      </c>
      <c r="C337" s="1205">
        <v>67.489999999999995</v>
      </c>
    </row>
    <row r="338" spans="1:3" ht="24" customHeight="1">
      <c r="A338" s="1205" t="s">
        <v>73658</v>
      </c>
      <c r="B338" s="1205" t="s">
        <v>73657</v>
      </c>
      <c r="C338" s="1205">
        <v>53.49</v>
      </c>
    </row>
    <row r="339" spans="1:3" ht="24" customHeight="1">
      <c r="A339" s="1205" t="s">
        <v>73656</v>
      </c>
      <c r="B339" s="1205" t="s">
        <v>73655</v>
      </c>
      <c r="C339" s="1205">
        <v>130.49</v>
      </c>
    </row>
    <row r="340" spans="1:3" ht="24" customHeight="1">
      <c r="A340" s="1205" t="s">
        <v>73654</v>
      </c>
      <c r="B340" s="1205" t="s">
        <v>73653</v>
      </c>
      <c r="C340" s="1205">
        <v>114.99</v>
      </c>
    </row>
    <row r="341" spans="1:3" ht="24" customHeight="1">
      <c r="A341" s="1205" t="s">
        <v>73652</v>
      </c>
      <c r="B341" s="1205" t="s">
        <v>73651</v>
      </c>
      <c r="C341" s="1205">
        <v>32.49</v>
      </c>
    </row>
    <row r="342" spans="1:3" ht="24" customHeight="1">
      <c r="A342" s="1205" t="s">
        <v>73650</v>
      </c>
      <c r="B342" s="1205" t="s">
        <v>73649</v>
      </c>
      <c r="C342" s="1205">
        <v>30.49</v>
      </c>
    </row>
    <row r="343" spans="1:3" ht="24" customHeight="1">
      <c r="A343" s="1205" t="s">
        <v>73648</v>
      </c>
      <c r="B343" s="1205" t="s">
        <v>73647</v>
      </c>
      <c r="C343" s="1205">
        <v>35.49</v>
      </c>
    </row>
    <row r="344" spans="1:3" ht="24" customHeight="1">
      <c r="A344" s="1205" t="s">
        <v>73646</v>
      </c>
      <c r="B344" s="1205" t="s">
        <v>73631</v>
      </c>
      <c r="C344" s="1205">
        <v>35.49</v>
      </c>
    </row>
    <row r="345" spans="1:3" ht="24" customHeight="1">
      <c r="A345" s="1205" t="s">
        <v>73645</v>
      </c>
      <c r="B345" s="1205" t="s">
        <v>73644</v>
      </c>
      <c r="C345" s="1205">
        <v>58.99</v>
      </c>
    </row>
    <row r="346" spans="1:3" ht="24" customHeight="1">
      <c r="A346" s="1205" t="s">
        <v>73643</v>
      </c>
      <c r="B346" s="1205" t="s">
        <v>73642</v>
      </c>
      <c r="C346" s="1205">
        <v>58.99</v>
      </c>
    </row>
    <row r="347" spans="1:3" ht="24" customHeight="1">
      <c r="A347" s="1205" t="s">
        <v>73641</v>
      </c>
      <c r="B347" s="1205" t="s">
        <v>70760</v>
      </c>
      <c r="C347" s="1205">
        <v>64.989999999999995</v>
      </c>
    </row>
    <row r="348" spans="1:3" ht="24" customHeight="1">
      <c r="A348" s="1205" t="s">
        <v>73640</v>
      </c>
      <c r="B348" s="1205" t="s">
        <v>73639</v>
      </c>
      <c r="C348" s="1205">
        <v>48.49</v>
      </c>
    </row>
    <row r="349" spans="1:3" ht="24" customHeight="1">
      <c r="A349" s="1205" t="s">
        <v>73638</v>
      </c>
      <c r="B349" s="1205" t="s">
        <v>73637</v>
      </c>
      <c r="C349" s="1205">
        <v>39.99</v>
      </c>
    </row>
    <row r="350" spans="1:3" ht="24" customHeight="1">
      <c r="A350" s="1205" t="s">
        <v>73636</v>
      </c>
      <c r="B350" s="1205" t="s">
        <v>73635</v>
      </c>
      <c r="C350" s="1205">
        <v>73.989999999999995</v>
      </c>
    </row>
    <row r="351" spans="1:3" ht="24" customHeight="1">
      <c r="A351" s="1205" t="s">
        <v>73634</v>
      </c>
      <c r="B351" s="1205" t="s">
        <v>73633</v>
      </c>
      <c r="C351" s="1205">
        <v>37.99</v>
      </c>
    </row>
    <row r="352" spans="1:3" ht="24" customHeight="1">
      <c r="A352" s="1205" t="s">
        <v>73632</v>
      </c>
      <c r="B352" s="1205" t="s">
        <v>73631</v>
      </c>
      <c r="C352" s="1205">
        <v>36.99</v>
      </c>
    </row>
    <row r="353" spans="1:3" ht="24" customHeight="1">
      <c r="A353" s="1205" t="s">
        <v>73630</v>
      </c>
      <c r="B353" s="1205" t="s">
        <v>73629</v>
      </c>
      <c r="C353" s="1205">
        <v>30.49</v>
      </c>
    </row>
    <row r="354" spans="1:3" ht="24" customHeight="1">
      <c r="A354" s="1205" t="s">
        <v>73628</v>
      </c>
      <c r="B354" s="1205" t="s">
        <v>73627</v>
      </c>
      <c r="C354" s="1205">
        <v>27.99</v>
      </c>
    </row>
    <row r="355" spans="1:3" ht="24" customHeight="1">
      <c r="A355" s="1205" t="s">
        <v>73626</v>
      </c>
      <c r="B355" s="1205" t="s">
        <v>73625</v>
      </c>
      <c r="C355" s="1205">
        <v>60.49</v>
      </c>
    </row>
    <row r="356" spans="1:3" ht="24" customHeight="1">
      <c r="A356" s="1205" t="s">
        <v>73624</v>
      </c>
      <c r="B356" s="1205" t="s">
        <v>73623</v>
      </c>
      <c r="C356" s="1205">
        <v>54.99</v>
      </c>
    </row>
    <row r="357" spans="1:3" ht="24" customHeight="1">
      <c r="A357" s="1205" t="s">
        <v>73622</v>
      </c>
      <c r="B357" s="1205" t="s">
        <v>73621</v>
      </c>
      <c r="C357" s="1205">
        <v>20.99</v>
      </c>
    </row>
    <row r="358" spans="1:3" ht="24" customHeight="1">
      <c r="A358" s="1205" t="s">
        <v>73620</v>
      </c>
      <c r="B358" s="1205" t="s">
        <v>73619</v>
      </c>
      <c r="C358" s="1205">
        <v>73.489999999999995</v>
      </c>
    </row>
    <row r="359" spans="1:3" ht="24" customHeight="1">
      <c r="A359" s="1205" t="s">
        <v>73618</v>
      </c>
      <c r="B359" s="1205" t="s">
        <v>64830</v>
      </c>
      <c r="C359" s="1205">
        <v>69.489999999999995</v>
      </c>
    </row>
    <row r="360" spans="1:3" ht="24" customHeight="1">
      <c r="A360" s="1205" t="s">
        <v>73617</v>
      </c>
      <c r="B360" s="1205" t="s">
        <v>73616</v>
      </c>
      <c r="C360" s="1205">
        <v>62.49</v>
      </c>
    </row>
    <row r="361" spans="1:3" ht="24" customHeight="1">
      <c r="A361" s="1205" t="s">
        <v>73615</v>
      </c>
      <c r="B361" s="1205" t="s">
        <v>73613</v>
      </c>
      <c r="C361" s="1205">
        <v>63.99</v>
      </c>
    </row>
    <row r="362" spans="1:3" ht="24" customHeight="1">
      <c r="A362" s="1205" t="s">
        <v>73614</v>
      </c>
      <c r="B362" s="1205" t="s">
        <v>73613</v>
      </c>
      <c r="C362" s="1205">
        <v>60.49</v>
      </c>
    </row>
    <row r="363" spans="1:3" ht="24" customHeight="1">
      <c r="A363" s="1205" t="s">
        <v>73612</v>
      </c>
      <c r="B363" s="1205" t="s">
        <v>70742</v>
      </c>
      <c r="C363" s="1205">
        <v>27.99</v>
      </c>
    </row>
    <row r="364" spans="1:3" ht="24" customHeight="1">
      <c r="A364" s="1205" t="s">
        <v>73611</v>
      </c>
      <c r="B364" s="1205" t="s">
        <v>73610</v>
      </c>
      <c r="C364" s="1205">
        <v>12.49</v>
      </c>
    </row>
    <row r="365" spans="1:3" ht="24" customHeight="1">
      <c r="A365" s="1205" t="s">
        <v>73609</v>
      </c>
      <c r="B365" s="1205" t="s">
        <v>73607</v>
      </c>
      <c r="C365" s="1205">
        <v>77.989999999999995</v>
      </c>
    </row>
    <row r="366" spans="1:3" ht="24" customHeight="1">
      <c r="A366" s="1205" t="s">
        <v>73608</v>
      </c>
      <c r="B366" s="1205" t="s">
        <v>73607</v>
      </c>
      <c r="C366" s="1205">
        <v>70.989999999999995</v>
      </c>
    </row>
    <row r="367" spans="1:3" ht="24" customHeight="1">
      <c r="A367" s="1205" t="s">
        <v>73606</v>
      </c>
      <c r="B367" s="1205" t="s">
        <v>73604</v>
      </c>
      <c r="C367" s="1205">
        <v>74.489999999999995</v>
      </c>
    </row>
    <row r="368" spans="1:3" ht="24" customHeight="1">
      <c r="A368" s="1205" t="s">
        <v>73605</v>
      </c>
      <c r="B368" s="1205" t="s">
        <v>73604</v>
      </c>
      <c r="C368" s="1205">
        <v>72.489999999999995</v>
      </c>
    </row>
    <row r="369" spans="1:3" ht="24" customHeight="1">
      <c r="A369" s="1205" t="s">
        <v>73603</v>
      </c>
      <c r="B369" s="1205" t="s">
        <v>73601</v>
      </c>
      <c r="C369" s="1205">
        <v>72.489999999999995</v>
      </c>
    </row>
    <row r="370" spans="1:3" ht="24" customHeight="1">
      <c r="A370" s="1205" t="s">
        <v>73602</v>
      </c>
      <c r="B370" s="1205" t="s">
        <v>73601</v>
      </c>
      <c r="C370" s="1205">
        <v>68.989999999999995</v>
      </c>
    </row>
    <row r="371" spans="1:3" ht="24" customHeight="1">
      <c r="A371" s="1205" t="s">
        <v>73600</v>
      </c>
      <c r="B371" s="1205" t="s">
        <v>73599</v>
      </c>
      <c r="C371" s="1205">
        <v>121.49</v>
      </c>
    </row>
    <row r="372" spans="1:3" ht="24" customHeight="1">
      <c r="A372" s="1205" t="s">
        <v>73598</v>
      </c>
      <c r="B372" s="1205" t="s">
        <v>73597</v>
      </c>
      <c r="C372" s="1205">
        <v>145.49</v>
      </c>
    </row>
    <row r="373" spans="1:3" ht="24" customHeight="1">
      <c r="A373" s="1205" t="s">
        <v>73596</v>
      </c>
      <c r="B373" s="1205" t="s">
        <v>73595</v>
      </c>
      <c r="C373" s="1205">
        <v>36.49</v>
      </c>
    </row>
    <row r="374" spans="1:3" ht="24" customHeight="1">
      <c r="A374" s="1205" t="s">
        <v>73594</v>
      </c>
      <c r="B374" s="1205" t="s">
        <v>73593</v>
      </c>
      <c r="C374" s="1205">
        <v>106.99</v>
      </c>
    </row>
    <row r="375" spans="1:3" ht="24" customHeight="1">
      <c r="A375" s="1205" t="s">
        <v>73592</v>
      </c>
      <c r="B375" s="1205" t="s">
        <v>73580</v>
      </c>
      <c r="C375" s="1205">
        <v>92.49</v>
      </c>
    </row>
    <row r="376" spans="1:3" ht="24" customHeight="1">
      <c r="A376" s="1205" t="s">
        <v>73591</v>
      </c>
      <c r="B376" s="1205" t="s">
        <v>73578</v>
      </c>
      <c r="C376" s="1205">
        <v>88.49</v>
      </c>
    </row>
    <row r="377" spans="1:3" ht="24" customHeight="1">
      <c r="A377" s="1205" t="s">
        <v>73590</v>
      </c>
      <c r="B377" s="1205" t="s">
        <v>64164</v>
      </c>
      <c r="C377" s="1205">
        <v>95.49</v>
      </c>
    </row>
    <row r="378" spans="1:3" ht="24" customHeight="1">
      <c r="A378" s="1205" t="s">
        <v>73589</v>
      </c>
      <c r="B378" s="1205" t="s">
        <v>73588</v>
      </c>
      <c r="C378" s="1205">
        <v>27.49</v>
      </c>
    </row>
    <row r="379" spans="1:3" ht="24" customHeight="1">
      <c r="A379" s="1205" t="s">
        <v>73587</v>
      </c>
      <c r="B379" s="1205" t="s">
        <v>73586</v>
      </c>
      <c r="C379" s="1205">
        <v>103.49</v>
      </c>
    </row>
    <row r="380" spans="1:3" ht="24" customHeight="1">
      <c r="A380" s="1205" t="s">
        <v>73585</v>
      </c>
      <c r="B380" s="1205" t="s">
        <v>73584</v>
      </c>
      <c r="C380" s="1205">
        <v>24.99</v>
      </c>
    </row>
    <row r="381" spans="1:3" ht="24" customHeight="1">
      <c r="A381" s="1205" t="s">
        <v>73583</v>
      </c>
      <c r="B381" s="1205" t="s">
        <v>73582</v>
      </c>
      <c r="C381" s="1205">
        <v>69.489999999999995</v>
      </c>
    </row>
    <row r="382" spans="1:3" ht="24" customHeight="1">
      <c r="A382" s="1205" t="s">
        <v>73581</v>
      </c>
      <c r="B382" s="1205" t="s">
        <v>73580</v>
      </c>
      <c r="C382" s="1205">
        <v>89.99</v>
      </c>
    </row>
    <row r="383" spans="1:3" ht="24" customHeight="1">
      <c r="A383" s="1205" t="s">
        <v>73579</v>
      </c>
      <c r="B383" s="1205" t="s">
        <v>73578</v>
      </c>
      <c r="C383" s="1205">
        <v>85.99</v>
      </c>
    </row>
    <row r="384" spans="1:3" ht="24" customHeight="1">
      <c r="A384" s="1205" t="s">
        <v>73577</v>
      </c>
      <c r="B384" s="1205" t="s">
        <v>73576</v>
      </c>
      <c r="C384" s="1205">
        <v>29.49</v>
      </c>
    </row>
    <row r="385" spans="1:3" ht="24" customHeight="1">
      <c r="A385" s="1205" t="s">
        <v>73575</v>
      </c>
      <c r="B385" s="1205" t="s">
        <v>73574</v>
      </c>
      <c r="C385" s="1205">
        <v>21.49</v>
      </c>
    </row>
    <row r="386" spans="1:3" ht="24" customHeight="1">
      <c r="A386" s="1205" t="s">
        <v>73573</v>
      </c>
      <c r="B386" s="1205" t="s">
        <v>73572</v>
      </c>
      <c r="C386" s="1205">
        <v>26.99</v>
      </c>
    </row>
    <row r="387" spans="1:3" ht="24" customHeight="1">
      <c r="A387" s="1205" t="s">
        <v>73571</v>
      </c>
      <c r="B387" s="1205" t="s">
        <v>70715</v>
      </c>
      <c r="C387" s="1205">
        <v>21.99</v>
      </c>
    </row>
    <row r="388" spans="1:3" ht="24" customHeight="1">
      <c r="A388" s="1205" t="s">
        <v>73570</v>
      </c>
      <c r="B388" s="1205" t="s">
        <v>73569</v>
      </c>
      <c r="C388" s="1205">
        <v>25.49</v>
      </c>
    </row>
    <row r="389" spans="1:3" ht="24" customHeight="1">
      <c r="A389" s="1205" t="s">
        <v>73568</v>
      </c>
      <c r="B389" s="1205" t="s">
        <v>73567</v>
      </c>
      <c r="C389" s="1205">
        <v>21.99</v>
      </c>
    </row>
    <row r="390" spans="1:3" ht="24" customHeight="1">
      <c r="A390" s="1205" t="s">
        <v>73566</v>
      </c>
      <c r="B390" s="1205" t="s">
        <v>73565</v>
      </c>
      <c r="C390" s="1205">
        <v>21.49</v>
      </c>
    </row>
    <row r="391" spans="1:3" ht="24" customHeight="1">
      <c r="A391" s="1205" t="s">
        <v>73564</v>
      </c>
      <c r="B391" s="1205" t="s">
        <v>73563</v>
      </c>
      <c r="C391" s="1205">
        <v>25.49</v>
      </c>
    </row>
    <row r="392" spans="1:3" ht="24" customHeight="1">
      <c r="A392" s="1205" t="s">
        <v>73562</v>
      </c>
      <c r="B392" s="1205" t="s">
        <v>73561</v>
      </c>
      <c r="C392" s="1205">
        <v>12.99</v>
      </c>
    </row>
    <row r="393" spans="1:3" ht="24" customHeight="1">
      <c r="A393" s="1205" t="s">
        <v>73560</v>
      </c>
      <c r="B393" s="1205" t="s">
        <v>73559</v>
      </c>
      <c r="C393" s="1205">
        <v>9.49</v>
      </c>
    </row>
    <row r="394" spans="1:3" ht="24" customHeight="1">
      <c r="A394" s="1205" t="s">
        <v>73558</v>
      </c>
      <c r="B394" s="1205" t="s">
        <v>73557</v>
      </c>
      <c r="C394" s="1205">
        <v>36.49</v>
      </c>
    </row>
    <row r="395" spans="1:3" ht="24" customHeight="1">
      <c r="A395" s="1205" t="s">
        <v>73556</v>
      </c>
      <c r="B395" s="1205" t="s">
        <v>73555</v>
      </c>
      <c r="C395" s="1205">
        <v>33.99</v>
      </c>
    </row>
    <row r="396" spans="1:3" ht="24" customHeight="1">
      <c r="A396" s="1205" t="s">
        <v>73554</v>
      </c>
      <c r="B396" s="1205" t="s">
        <v>73553</v>
      </c>
      <c r="C396" s="1205">
        <v>18.989999999999998</v>
      </c>
    </row>
    <row r="397" spans="1:3" ht="24" customHeight="1">
      <c r="A397" s="1205" t="s">
        <v>73552</v>
      </c>
      <c r="B397" s="1205" t="s">
        <v>73551</v>
      </c>
      <c r="C397" s="1205">
        <v>17.989999999999998</v>
      </c>
    </row>
    <row r="398" spans="1:3" ht="24" customHeight="1">
      <c r="A398" s="1205" t="s">
        <v>73550</v>
      </c>
      <c r="B398" s="1205" t="s">
        <v>73549</v>
      </c>
      <c r="C398" s="1205">
        <v>22.49</v>
      </c>
    </row>
    <row r="399" spans="1:3" ht="24" customHeight="1">
      <c r="A399" s="1205" t="s">
        <v>73548</v>
      </c>
      <c r="B399" s="1205" t="s">
        <v>73547</v>
      </c>
      <c r="C399" s="1205">
        <v>32.99</v>
      </c>
    </row>
    <row r="400" spans="1:3" ht="24" customHeight="1">
      <c r="A400" s="1205" t="s">
        <v>73546</v>
      </c>
      <c r="B400" s="1205" t="s">
        <v>73545</v>
      </c>
      <c r="C400" s="1205">
        <v>18.489999999999998</v>
      </c>
    </row>
    <row r="401" spans="1:3" ht="24" customHeight="1">
      <c r="A401" s="1205" t="s">
        <v>73544</v>
      </c>
      <c r="B401" s="1205" t="s">
        <v>73543</v>
      </c>
      <c r="C401" s="1205">
        <v>25.49</v>
      </c>
    </row>
    <row r="402" spans="1:3" ht="24" customHeight="1">
      <c r="A402" s="1205" t="s">
        <v>73542</v>
      </c>
      <c r="B402" s="1205" t="s">
        <v>73541</v>
      </c>
      <c r="C402" s="1205">
        <v>19.989999999999998</v>
      </c>
    </row>
    <row r="403" spans="1:3" ht="24" customHeight="1">
      <c r="A403" s="1205" t="s">
        <v>73540</v>
      </c>
      <c r="B403" s="1205" t="s">
        <v>73539</v>
      </c>
      <c r="C403" s="1205">
        <v>26.99</v>
      </c>
    </row>
    <row r="404" spans="1:3" ht="24" customHeight="1">
      <c r="A404" s="1205" t="s">
        <v>73538</v>
      </c>
      <c r="B404" s="1205" t="s">
        <v>73537</v>
      </c>
      <c r="C404" s="1205">
        <v>27.49</v>
      </c>
    </row>
    <row r="405" spans="1:3" ht="24" customHeight="1">
      <c r="A405" s="1205" t="s">
        <v>73536</v>
      </c>
      <c r="B405" s="1205" t="s">
        <v>73535</v>
      </c>
      <c r="C405" s="1205">
        <v>40.99</v>
      </c>
    </row>
    <row r="406" spans="1:3" ht="24" customHeight="1">
      <c r="A406" s="1205" t="s">
        <v>73534</v>
      </c>
      <c r="B406" s="1205" t="s">
        <v>73533</v>
      </c>
      <c r="C406" s="1205">
        <v>21.49</v>
      </c>
    </row>
    <row r="407" spans="1:3" ht="24" customHeight="1">
      <c r="A407" s="1205" t="s">
        <v>73532</v>
      </c>
      <c r="B407" s="1205" t="s">
        <v>73531</v>
      </c>
      <c r="C407" s="1205">
        <v>36.99</v>
      </c>
    </row>
    <row r="408" spans="1:3" ht="24" customHeight="1">
      <c r="A408" s="1205" t="s">
        <v>73530</v>
      </c>
      <c r="B408" s="1205" t="s">
        <v>73529</v>
      </c>
      <c r="C408" s="1205">
        <v>24.49</v>
      </c>
    </row>
    <row r="409" spans="1:3" ht="24" customHeight="1">
      <c r="A409" s="1205" t="s">
        <v>73528</v>
      </c>
      <c r="B409" s="1205" t="s">
        <v>73527</v>
      </c>
      <c r="C409" s="1205">
        <v>90.99</v>
      </c>
    </row>
    <row r="410" spans="1:3" ht="24" customHeight="1">
      <c r="A410" s="1205" t="s">
        <v>73526</v>
      </c>
      <c r="B410" s="1205" t="s">
        <v>73525</v>
      </c>
      <c r="C410" s="1205">
        <v>18.989999999999998</v>
      </c>
    </row>
    <row r="411" spans="1:3" ht="24" customHeight="1">
      <c r="A411" s="1205" t="s">
        <v>73524</v>
      </c>
      <c r="B411" s="1205" t="s">
        <v>73523</v>
      </c>
      <c r="C411" s="1205">
        <v>21.49</v>
      </c>
    </row>
    <row r="412" spans="1:3" ht="24" customHeight="1">
      <c r="A412" s="1205" t="s">
        <v>73522</v>
      </c>
      <c r="B412" s="1205" t="s">
        <v>73521</v>
      </c>
      <c r="C412" s="1205">
        <v>94.49</v>
      </c>
    </row>
    <row r="413" spans="1:3" ht="24" customHeight="1">
      <c r="A413" s="1205" t="s">
        <v>73520</v>
      </c>
      <c r="B413" s="1205" t="s">
        <v>73519</v>
      </c>
      <c r="C413" s="1205">
        <v>26.99</v>
      </c>
    </row>
    <row r="414" spans="1:3" ht="24" customHeight="1">
      <c r="A414" s="1205" t="s">
        <v>73518</v>
      </c>
      <c r="B414" s="1205" t="s">
        <v>73517</v>
      </c>
      <c r="C414" s="1205">
        <v>22.49</v>
      </c>
    </row>
    <row r="415" spans="1:3" ht="24" customHeight="1">
      <c r="A415" s="1205" t="s">
        <v>73516</v>
      </c>
      <c r="B415" s="1205" t="s">
        <v>73515</v>
      </c>
      <c r="C415" s="1205">
        <v>60.49</v>
      </c>
    </row>
    <row r="416" spans="1:3" ht="24" customHeight="1">
      <c r="A416" s="1205" t="s">
        <v>73514</v>
      </c>
      <c r="B416" s="1205" t="s">
        <v>73513</v>
      </c>
      <c r="C416" s="1205">
        <v>124.99</v>
      </c>
    </row>
    <row r="417" spans="1:3" ht="24" customHeight="1">
      <c r="A417" s="1205" t="s">
        <v>73512</v>
      </c>
      <c r="B417" s="1205" t="s">
        <v>73511</v>
      </c>
      <c r="C417" s="1205">
        <v>25.99</v>
      </c>
    </row>
    <row r="418" spans="1:3" ht="24" customHeight="1">
      <c r="A418" s="1205" t="s">
        <v>73510</v>
      </c>
      <c r="B418" s="1205" t="s">
        <v>73509</v>
      </c>
      <c r="C418" s="1205">
        <v>36.49</v>
      </c>
    </row>
    <row r="419" spans="1:3" ht="24" customHeight="1">
      <c r="A419" s="1205" t="s">
        <v>73508</v>
      </c>
      <c r="B419" s="1205" t="s">
        <v>73507</v>
      </c>
      <c r="C419" s="1205">
        <v>33.49</v>
      </c>
    </row>
    <row r="420" spans="1:3" ht="24" customHeight="1">
      <c r="A420" s="1205" t="s">
        <v>73506</v>
      </c>
      <c r="B420" s="1205" t="s">
        <v>73505</v>
      </c>
      <c r="C420" s="1205">
        <v>55.49</v>
      </c>
    </row>
    <row r="421" spans="1:3" ht="24" customHeight="1">
      <c r="A421" s="1205" t="s">
        <v>73504</v>
      </c>
      <c r="B421" s="1205" t="s">
        <v>73503</v>
      </c>
      <c r="C421" s="1205">
        <v>52.49</v>
      </c>
    </row>
    <row r="422" spans="1:3" ht="24" customHeight="1">
      <c r="A422" s="1205" t="s">
        <v>73502</v>
      </c>
      <c r="B422" s="1205" t="s">
        <v>73501</v>
      </c>
      <c r="C422" s="1205">
        <v>76.989999999999995</v>
      </c>
    </row>
    <row r="423" spans="1:3" ht="24" customHeight="1">
      <c r="A423" s="1205" t="s">
        <v>73500</v>
      </c>
      <c r="B423" s="1205" t="s">
        <v>73499</v>
      </c>
      <c r="C423" s="1205">
        <v>68.489999999999995</v>
      </c>
    </row>
    <row r="424" spans="1:3" ht="24" customHeight="1">
      <c r="A424" s="1205" t="s">
        <v>73498</v>
      </c>
      <c r="B424" s="1205" t="s">
        <v>73497</v>
      </c>
      <c r="C424" s="1205">
        <v>36.49</v>
      </c>
    </row>
    <row r="425" spans="1:3" ht="24" customHeight="1">
      <c r="A425" s="1205" t="s">
        <v>73496</v>
      </c>
      <c r="B425" s="1205" t="s">
        <v>73495</v>
      </c>
      <c r="C425" s="1205">
        <v>79.989999999999995</v>
      </c>
    </row>
    <row r="426" spans="1:3" ht="24" customHeight="1">
      <c r="A426" s="1205" t="s">
        <v>73494</v>
      </c>
      <c r="B426" s="1205" t="s">
        <v>73493</v>
      </c>
      <c r="C426" s="1205">
        <v>24.49</v>
      </c>
    </row>
    <row r="427" spans="1:3" ht="24" customHeight="1">
      <c r="A427" s="1205" t="s">
        <v>73492</v>
      </c>
      <c r="B427" s="1205" t="s">
        <v>73491</v>
      </c>
      <c r="C427" s="1205">
        <v>21.99</v>
      </c>
    </row>
    <row r="428" spans="1:3" ht="24" customHeight="1">
      <c r="A428" s="1205" t="s">
        <v>73490</v>
      </c>
      <c r="B428" s="1205" t="s">
        <v>73489</v>
      </c>
      <c r="C428" s="1205">
        <v>44.99</v>
      </c>
    </row>
    <row r="429" spans="1:3" ht="24" customHeight="1">
      <c r="A429" s="1205" t="s">
        <v>73488</v>
      </c>
      <c r="B429" s="1205" t="s">
        <v>73487</v>
      </c>
      <c r="C429" s="1205">
        <v>55.99</v>
      </c>
    </row>
    <row r="430" spans="1:3" ht="24" customHeight="1">
      <c r="A430" s="1205" t="s">
        <v>73486</v>
      </c>
      <c r="B430" s="1205" t="s">
        <v>73485</v>
      </c>
      <c r="C430" s="1205">
        <v>52.99</v>
      </c>
    </row>
    <row r="431" spans="1:3" ht="24" customHeight="1">
      <c r="A431" s="1205" t="s">
        <v>73484</v>
      </c>
      <c r="B431" s="1205" t="s">
        <v>73483</v>
      </c>
      <c r="C431" s="1205">
        <v>44.99</v>
      </c>
    </row>
    <row r="432" spans="1:3" ht="24" customHeight="1">
      <c r="A432" s="1205" t="s">
        <v>73482</v>
      </c>
      <c r="B432" s="1205" t="s">
        <v>73481</v>
      </c>
      <c r="C432" s="1205">
        <v>100.49</v>
      </c>
    </row>
    <row r="433" spans="1:3" ht="24" customHeight="1">
      <c r="A433" s="1205" t="s">
        <v>73480</v>
      </c>
      <c r="B433" s="1205" t="s">
        <v>73479</v>
      </c>
      <c r="C433" s="1205">
        <v>16.989999999999998</v>
      </c>
    </row>
    <row r="434" spans="1:3" ht="24" customHeight="1">
      <c r="A434" s="1205" t="s">
        <v>73478</v>
      </c>
      <c r="B434" s="1205" t="s">
        <v>73477</v>
      </c>
      <c r="C434" s="1205">
        <v>7.49</v>
      </c>
    </row>
    <row r="435" spans="1:3" ht="24" customHeight="1">
      <c r="A435" s="1205" t="s">
        <v>73476</v>
      </c>
      <c r="B435" s="1205" t="s">
        <v>73475</v>
      </c>
      <c r="C435" s="1205">
        <v>40.49</v>
      </c>
    </row>
    <row r="436" spans="1:3" ht="24" customHeight="1">
      <c r="A436" s="1205" t="s">
        <v>73474</v>
      </c>
      <c r="B436" s="1205" t="s">
        <v>73473</v>
      </c>
      <c r="C436" s="1205">
        <v>31.99</v>
      </c>
    </row>
    <row r="437" spans="1:3" ht="24" customHeight="1">
      <c r="A437" s="1205" t="s">
        <v>73472</v>
      </c>
      <c r="B437" s="1205" t="s">
        <v>73471</v>
      </c>
      <c r="C437" s="1205">
        <v>11.49</v>
      </c>
    </row>
    <row r="438" spans="1:3" ht="24" customHeight="1">
      <c r="A438" s="1205" t="s">
        <v>73470</v>
      </c>
      <c r="B438" s="1205" t="s">
        <v>73469</v>
      </c>
      <c r="C438" s="1205">
        <v>63.49</v>
      </c>
    </row>
    <row r="439" spans="1:3" ht="24" customHeight="1">
      <c r="A439" s="1205" t="s">
        <v>73468</v>
      </c>
      <c r="B439" s="1205" t="s">
        <v>73467</v>
      </c>
      <c r="C439" s="1205">
        <v>28.99</v>
      </c>
    </row>
    <row r="440" spans="1:3" ht="24" customHeight="1">
      <c r="A440" s="1205" t="s">
        <v>73466</v>
      </c>
      <c r="B440" s="1205" t="s">
        <v>73465</v>
      </c>
      <c r="C440" s="1205">
        <v>50.49</v>
      </c>
    </row>
    <row r="441" spans="1:3" ht="24" customHeight="1">
      <c r="A441" s="1205" t="s">
        <v>73464</v>
      </c>
      <c r="B441" s="1205" t="s">
        <v>73463</v>
      </c>
      <c r="C441" s="1205">
        <v>50.49</v>
      </c>
    </row>
    <row r="442" spans="1:3" ht="24" customHeight="1">
      <c r="A442" s="1205" t="s">
        <v>73462</v>
      </c>
      <c r="B442" s="1205" t="s">
        <v>73461</v>
      </c>
      <c r="C442" s="1205">
        <v>21.99</v>
      </c>
    </row>
    <row r="443" spans="1:3" ht="24" customHeight="1">
      <c r="A443" s="1205" t="s">
        <v>73460</v>
      </c>
      <c r="B443" s="1205" t="s">
        <v>73459</v>
      </c>
      <c r="C443" s="1205">
        <v>27.99</v>
      </c>
    </row>
    <row r="444" spans="1:3" ht="24" customHeight="1">
      <c r="A444" s="1205" t="s">
        <v>73458</v>
      </c>
      <c r="B444" s="1205" t="s">
        <v>73457</v>
      </c>
      <c r="C444" s="1205">
        <v>25.49</v>
      </c>
    </row>
    <row r="445" spans="1:3" ht="24" customHeight="1">
      <c r="A445" s="1205" t="s">
        <v>73456</v>
      </c>
      <c r="B445" s="1205" t="s">
        <v>73455</v>
      </c>
      <c r="C445" s="1205">
        <v>24.49</v>
      </c>
    </row>
    <row r="446" spans="1:3" ht="24" customHeight="1">
      <c r="A446" s="1205" t="s">
        <v>73454</v>
      </c>
      <c r="B446" s="1205" t="s">
        <v>73453</v>
      </c>
      <c r="C446" s="1205">
        <v>19.989999999999998</v>
      </c>
    </row>
    <row r="447" spans="1:3" ht="24" customHeight="1">
      <c r="A447" s="1205" t="s">
        <v>73452</v>
      </c>
      <c r="B447" s="1205" t="s">
        <v>73451</v>
      </c>
      <c r="C447" s="1205">
        <v>96.49</v>
      </c>
    </row>
    <row r="448" spans="1:3" ht="24" customHeight="1">
      <c r="A448" s="1205" t="s">
        <v>73450</v>
      </c>
      <c r="B448" s="1205" t="s">
        <v>73449</v>
      </c>
      <c r="C448" s="1205">
        <v>90.49</v>
      </c>
    </row>
    <row r="449" spans="1:3" ht="24" customHeight="1">
      <c r="A449" s="1205" t="s">
        <v>73448</v>
      </c>
      <c r="B449" s="1205" t="s">
        <v>70587</v>
      </c>
      <c r="C449" s="1205">
        <v>24.49</v>
      </c>
    </row>
    <row r="450" spans="1:3" ht="24" customHeight="1">
      <c r="A450" s="1205" t="s">
        <v>73447</v>
      </c>
      <c r="B450" s="1205" t="s">
        <v>73446</v>
      </c>
      <c r="C450" s="1205">
        <v>16.989999999999998</v>
      </c>
    </row>
    <row r="451" spans="1:3" ht="24" customHeight="1">
      <c r="A451" s="1205" t="s">
        <v>73445</v>
      </c>
      <c r="B451" s="1205" t="s">
        <v>73444</v>
      </c>
      <c r="C451" s="1205">
        <v>162.49</v>
      </c>
    </row>
    <row r="452" spans="1:3" ht="24" customHeight="1">
      <c r="A452" s="1205" t="s">
        <v>73443</v>
      </c>
      <c r="B452" s="1205" t="s">
        <v>73442</v>
      </c>
      <c r="C452" s="1205">
        <v>160.49</v>
      </c>
    </row>
    <row r="453" spans="1:3" ht="24" customHeight="1">
      <c r="A453" s="1205" t="s">
        <v>73441</v>
      </c>
      <c r="B453" s="1205" t="s">
        <v>70569</v>
      </c>
      <c r="C453" s="1205">
        <v>30.49</v>
      </c>
    </row>
    <row r="454" spans="1:3" ht="24" customHeight="1">
      <c r="A454" s="1205" t="s">
        <v>73440</v>
      </c>
      <c r="B454" s="1205" t="s">
        <v>70553</v>
      </c>
      <c r="C454" s="1205">
        <v>22.99</v>
      </c>
    </row>
    <row r="455" spans="1:3" ht="24" customHeight="1">
      <c r="A455" s="1205" t="s">
        <v>73439</v>
      </c>
      <c r="B455" s="1205" t="s">
        <v>73438</v>
      </c>
      <c r="C455" s="1205">
        <v>29.99</v>
      </c>
    </row>
    <row r="456" spans="1:3" ht="24" customHeight="1">
      <c r="A456" s="1205" t="s">
        <v>73437</v>
      </c>
      <c r="B456" s="1205" t="s">
        <v>73436</v>
      </c>
      <c r="C456" s="1205">
        <v>26.99</v>
      </c>
    </row>
    <row r="457" spans="1:3" ht="24" customHeight="1">
      <c r="A457" s="1205" t="s">
        <v>73435</v>
      </c>
      <c r="B457" s="1205" t="s">
        <v>73434</v>
      </c>
      <c r="C457" s="1205">
        <v>26.99</v>
      </c>
    </row>
    <row r="458" spans="1:3" ht="24" customHeight="1">
      <c r="A458" s="1205" t="s">
        <v>73433</v>
      </c>
      <c r="B458" s="1205" t="s">
        <v>73432</v>
      </c>
      <c r="C458" s="1205">
        <v>25.99</v>
      </c>
    </row>
    <row r="459" spans="1:3" ht="24" customHeight="1">
      <c r="A459" s="1205" t="s">
        <v>73431</v>
      </c>
      <c r="B459" s="1205" t="s">
        <v>73430</v>
      </c>
      <c r="C459" s="1205">
        <v>23.49</v>
      </c>
    </row>
    <row r="460" spans="1:3" ht="24" customHeight="1">
      <c r="A460" s="1205" t="s">
        <v>73429</v>
      </c>
      <c r="B460" s="1205" t="s">
        <v>73428</v>
      </c>
      <c r="C460" s="1205">
        <v>33.99</v>
      </c>
    </row>
    <row r="461" spans="1:3" ht="24" customHeight="1">
      <c r="A461" s="1205" t="s">
        <v>73427</v>
      </c>
      <c r="B461" s="1205" t="s">
        <v>73426</v>
      </c>
      <c r="C461" s="1205">
        <v>30.49</v>
      </c>
    </row>
    <row r="462" spans="1:3" ht="24" customHeight="1">
      <c r="A462" s="1205" t="s">
        <v>73425</v>
      </c>
      <c r="B462" s="1205" t="s">
        <v>73424</v>
      </c>
      <c r="C462" s="1205">
        <v>73.489999999999995</v>
      </c>
    </row>
    <row r="463" spans="1:3" ht="24" customHeight="1">
      <c r="A463" s="1205" t="s">
        <v>73423</v>
      </c>
      <c r="B463" s="1205" t="s">
        <v>73421</v>
      </c>
      <c r="C463" s="1205">
        <v>69.489999999999995</v>
      </c>
    </row>
    <row r="464" spans="1:3" ht="24" customHeight="1">
      <c r="A464" s="1205" t="s">
        <v>73422</v>
      </c>
      <c r="B464" s="1205" t="s">
        <v>73421</v>
      </c>
      <c r="C464" s="1205">
        <v>69.489999999999995</v>
      </c>
    </row>
    <row r="465" spans="1:3" ht="24" customHeight="1">
      <c r="A465" s="1205" t="s">
        <v>73420</v>
      </c>
      <c r="B465" s="1205" t="s">
        <v>73418</v>
      </c>
      <c r="C465" s="1205">
        <v>22.49</v>
      </c>
    </row>
    <row r="466" spans="1:3" ht="24" customHeight="1">
      <c r="A466" s="1205" t="s">
        <v>73419</v>
      </c>
      <c r="B466" s="1205" t="s">
        <v>73418</v>
      </c>
      <c r="C466" s="1205">
        <v>16.989999999999998</v>
      </c>
    </row>
    <row r="467" spans="1:3" ht="24" customHeight="1">
      <c r="A467" s="1205" t="s">
        <v>73417</v>
      </c>
      <c r="B467" s="1205" t="s">
        <v>73416</v>
      </c>
      <c r="C467" s="1205">
        <v>46.49</v>
      </c>
    </row>
    <row r="468" spans="1:3" ht="24" customHeight="1">
      <c r="A468" s="1205" t="s">
        <v>73415</v>
      </c>
      <c r="B468" s="1205" t="s">
        <v>73414</v>
      </c>
      <c r="C468" s="1205">
        <v>17.989999999999998</v>
      </c>
    </row>
    <row r="469" spans="1:3" ht="24" customHeight="1">
      <c r="A469" s="1205" t="s">
        <v>73413</v>
      </c>
      <c r="B469" s="1205" t="s">
        <v>73412</v>
      </c>
      <c r="C469" s="1205">
        <v>13.99</v>
      </c>
    </row>
    <row r="470" spans="1:3" ht="24" customHeight="1">
      <c r="A470" s="1205" t="s">
        <v>73411</v>
      </c>
      <c r="B470" s="1205" t="s">
        <v>73410</v>
      </c>
      <c r="C470" s="1205">
        <v>722.99</v>
      </c>
    </row>
    <row r="471" spans="1:3" ht="24" customHeight="1">
      <c r="A471" s="1205" t="s">
        <v>73409</v>
      </c>
      <c r="B471" s="1205" t="s">
        <v>73408</v>
      </c>
      <c r="C471" s="1205">
        <v>107.99</v>
      </c>
    </row>
    <row r="472" spans="1:3" ht="24" customHeight="1">
      <c r="A472" s="1205" t="s">
        <v>73407</v>
      </c>
      <c r="B472" s="1205" t="s">
        <v>73406</v>
      </c>
      <c r="C472" s="1205">
        <v>23.49</v>
      </c>
    </row>
    <row r="473" spans="1:3" ht="24" customHeight="1">
      <c r="A473" s="1205" t="s">
        <v>73405</v>
      </c>
      <c r="B473" s="1205" t="s">
        <v>73404</v>
      </c>
      <c r="C473" s="1205">
        <v>17.489999999999998</v>
      </c>
    </row>
    <row r="474" spans="1:3" ht="24" customHeight="1">
      <c r="A474" s="1205" t="s">
        <v>73403</v>
      </c>
      <c r="B474" s="1205" t="s">
        <v>73402</v>
      </c>
      <c r="C474" s="1205">
        <v>4.99</v>
      </c>
    </row>
    <row r="475" spans="1:3" ht="24" customHeight="1">
      <c r="A475" s="1205" t="s">
        <v>73401</v>
      </c>
      <c r="B475" s="1205" t="s">
        <v>73400</v>
      </c>
      <c r="C475" s="1205">
        <v>17.489999999999998</v>
      </c>
    </row>
    <row r="476" spans="1:3" ht="24" customHeight="1">
      <c r="A476" s="1205" t="s">
        <v>73399</v>
      </c>
      <c r="B476" s="1205" t="s">
        <v>73398</v>
      </c>
      <c r="C476" s="1205">
        <v>5.99</v>
      </c>
    </row>
    <row r="477" spans="1:3" ht="24" customHeight="1">
      <c r="A477" s="1205" t="s">
        <v>73397</v>
      </c>
      <c r="B477" s="1205" t="s">
        <v>73396</v>
      </c>
      <c r="C477" s="1205">
        <v>68.489999999999995</v>
      </c>
    </row>
    <row r="478" spans="1:3" ht="24" customHeight="1">
      <c r="A478" s="1205" t="s">
        <v>73395</v>
      </c>
      <c r="B478" s="1205" t="s">
        <v>73394</v>
      </c>
      <c r="C478" s="1205">
        <v>52.99</v>
      </c>
    </row>
    <row r="479" spans="1:3" ht="24" customHeight="1">
      <c r="A479" s="1205" t="s">
        <v>73393</v>
      </c>
      <c r="B479" s="1205" t="s">
        <v>73392</v>
      </c>
      <c r="C479" s="1205">
        <v>119.49</v>
      </c>
    </row>
    <row r="480" spans="1:3" ht="24" customHeight="1">
      <c r="A480" s="1205" t="s">
        <v>73391</v>
      </c>
      <c r="B480" s="1205" t="s">
        <v>73390</v>
      </c>
      <c r="C480" s="1205">
        <v>6.99</v>
      </c>
    </row>
    <row r="481" spans="1:3" ht="24" customHeight="1">
      <c r="A481" s="1205" t="s">
        <v>73389</v>
      </c>
      <c r="B481" s="1205" t="s">
        <v>73388</v>
      </c>
      <c r="C481" s="1205">
        <v>686.49</v>
      </c>
    </row>
    <row r="482" spans="1:3" ht="24" customHeight="1">
      <c r="A482" s="1205" t="s">
        <v>73387</v>
      </c>
      <c r="B482" s="1205" t="s">
        <v>73386</v>
      </c>
      <c r="C482" s="1205">
        <v>700.49</v>
      </c>
    </row>
    <row r="483" spans="1:3" ht="24" customHeight="1">
      <c r="A483" s="1205" t="s">
        <v>73385</v>
      </c>
      <c r="B483" s="1205" t="s">
        <v>73384</v>
      </c>
      <c r="C483" s="1205">
        <v>705.99</v>
      </c>
    </row>
    <row r="484" spans="1:3" ht="24" customHeight="1">
      <c r="A484" s="1205" t="s">
        <v>73383</v>
      </c>
      <c r="B484" s="1205" t="s">
        <v>73382</v>
      </c>
      <c r="C484" s="1205">
        <v>230.99</v>
      </c>
    </row>
    <row r="485" spans="1:3" ht="24" customHeight="1">
      <c r="A485" s="1205" t="s">
        <v>73381</v>
      </c>
      <c r="B485" s="1205" t="s">
        <v>73380</v>
      </c>
      <c r="C485" s="1205">
        <v>574.99</v>
      </c>
    </row>
    <row r="486" spans="1:3" ht="24" customHeight="1">
      <c r="A486" s="1205" t="s">
        <v>73379</v>
      </c>
      <c r="B486" s="1205" t="s">
        <v>73378</v>
      </c>
      <c r="C486" s="1205">
        <v>219.99</v>
      </c>
    </row>
    <row r="487" spans="1:3" ht="24" customHeight="1">
      <c r="A487" s="1205" t="s">
        <v>73377</v>
      </c>
      <c r="B487" s="1205" t="s">
        <v>73376</v>
      </c>
      <c r="C487" s="1205">
        <v>214.49</v>
      </c>
    </row>
    <row r="488" spans="1:3" ht="24" customHeight="1">
      <c r="A488" s="1205" t="s">
        <v>73375</v>
      </c>
      <c r="B488" s="1205" t="s">
        <v>73374</v>
      </c>
      <c r="C488" s="1205">
        <v>165.99</v>
      </c>
    </row>
    <row r="489" spans="1:3" ht="24" customHeight="1">
      <c r="A489" s="1205" t="s">
        <v>73373</v>
      </c>
      <c r="B489" s="1205" t="s">
        <v>73372</v>
      </c>
      <c r="C489" s="1205">
        <v>217.99</v>
      </c>
    </row>
    <row r="490" spans="1:3" ht="24" customHeight="1">
      <c r="A490" s="1205" t="s">
        <v>73371</v>
      </c>
      <c r="B490" s="1205" t="s">
        <v>73370</v>
      </c>
      <c r="C490" s="1205">
        <v>11.99</v>
      </c>
    </row>
    <row r="491" spans="1:3" ht="24" customHeight="1">
      <c r="A491" s="1205" t="s">
        <v>73369</v>
      </c>
      <c r="B491" s="1205" t="s">
        <v>73367</v>
      </c>
      <c r="C491" s="1205">
        <v>26.49</v>
      </c>
    </row>
    <row r="492" spans="1:3" ht="24" customHeight="1">
      <c r="A492" s="1205" t="s">
        <v>73368</v>
      </c>
      <c r="B492" s="1205" t="s">
        <v>73367</v>
      </c>
      <c r="C492" s="1205">
        <v>21.49</v>
      </c>
    </row>
    <row r="493" spans="1:3" ht="24" customHeight="1">
      <c r="A493" s="1205" t="s">
        <v>73366</v>
      </c>
      <c r="B493" s="1205" t="s">
        <v>73365</v>
      </c>
      <c r="C493" s="1205">
        <v>53.49</v>
      </c>
    </row>
    <row r="494" spans="1:3" ht="24" customHeight="1">
      <c r="A494" s="1205" t="s">
        <v>73364</v>
      </c>
      <c r="B494" s="1205" t="s">
        <v>73363</v>
      </c>
      <c r="C494" s="1205">
        <v>80.989999999999995</v>
      </c>
    </row>
    <row r="495" spans="1:3" ht="24" customHeight="1">
      <c r="A495" s="1205" t="s">
        <v>73362</v>
      </c>
      <c r="B495" s="1205" t="s">
        <v>73360</v>
      </c>
      <c r="C495" s="1205">
        <v>77.989999999999995</v>
      </c>
    </row>
    <row r="496" spans="1:3" ht="24" customHeight="1">
      <c r="A496" s="1205" t="s">
        <v>73361</v>
      </c>
      <c r="B496" s="1205" t="s">
        <v>73360</v>
      </c>
      <c r="C496" s="1205">
        <v>70.489999999999995</v>
      </c>
    </row>
    <row r="497" spans="1:3" ht="24" customHeight="1">
      <c r="A497" s="1205" t="s">
        <v>73359</v>
      </c>
      <c r="B497" s="1205" t="s">
        <v>73357</v>
      </c>
      <c r="C497" s="1205">
        <v>67.489999999999995</v>
      </c>
    </row>
    <row r="498" spans="1:3" ht="24" customHeight="1">
      <c r="A498" s="1205" t="s">
        <v>73358</v>
      </c>
      <c r="B498" s="1205" t="s">
        <v>73357</v>
      </c>
      <c r="C498" s="1205">
        <v>66.489999999999995</v>
      </c>
    </row>
    <row r="499" spans="1:3" ht="24" customHeight="1">
      <c r="A499" s="1205" t="s">
        <v>73356</v>
      </c>
      <c r="B499" s="1205" t="s">
        <v>73355</v>
      </c>
      <c r="C499" s="1205">
        <v>19.989999999999998</v>
      </c>
    </row>
    <row r="500" spans="1:3" ht="24" customHeight="1">
      <c r="A500" s="1205" t="s">
        <v>73354</v>
      </c>
      <c r="B500" s="1205" t="s">
        <v>73353</v>
      </c>
      <c r="C500" s="1205">
        <v>33.99</v>
      </c>
    </row>
    <row r="501" spans="1:3" ht="24" customHeight="1">
      <c r="A501" s="1205" t="s">
        <v>73352</v>
      </c>
      <c r="B501" s="1205" t="s">
        <v>69763</v>
      </c>
      <c r="C501" s="1205">
        <v>29.49</v>
      </c>
    </row>
    <row r="502" spans="1:3" ht="24" customHeight="1">
      <c r="A502" s="1205" t="s">
        <v>73351</v>
      </c>
      <c r="B502" s="1205" t="s">
        <v>73350</v>
      </c>
      <c r="C502" s="1205">
        <v>41.49</v>
      </c>
    </row>
    <row r="503" spans="1:3" ht="24" customHeight="1">
      <c r="A503" s="1205" t="s">
        <v>73349</v>
      </c>
      <c r="B503" s="1205" t="s">
        <v>73348</v>
      </c>
      <c r="C503" s="1205">
        <v>32.99</v>
      </c>
    </row>
    <row r="504" spans="1:3" ht="24" customHeight="1">
      <c r="A504" s="1205" t="s">
        <v>73347</v>
      </c>
      <c r="B504" s="1205" t="s">
        <v>73346</v>
      </c>
      <c r="C504" s="1205">
        <v>78.489999999999995</v>
      </c>
    </row>
    <row r="505" spans="1:3" ht="24" customHeight="1">
      <c r="A505" s="1205" t="s">
        <v>73345</v>
      </c>
      <c r="B505" s="1205" t="s">
        <v>73344</v>
      </c>
      <c r="C505" s="1205">
        <v>31.49</v>
      </c>
    </row>
    <row r="506" spans="1:3" ht="24" customHeight="1">
      <c r="A506" s="1205" t="s">
        <v>73343</v>
      </c>
      <c r="B506" s="1205" t="s">
        <v>73342</v>
      </c>
      <c r="C506" s="1205">
        <v>16.489999999999998</v>
      </c>
    </row>
    <row r="507" spans="1:3" ht="24" customHeight="1">
      <c r="A507" s="1205" t="s">
        <v>73341</v>
      </c>
      <c r="B507" s="1205" t="s">
        <v>73340</v>
      </c>
      <c r="C507" s="1205">
        <v>12.99</v>
      </c>
    </row>
    <row r="508" spans="1:3" ht="24" customHeight="1">
      <c r="A508" s="1205" t="s">
        <v>73339</v>
      </c>
      <c r="B508" s="1205" t="s">
        <v>73338</v>
      </c>
      <c r="C508" s="1205">
        <v>17.989999999999998</v>
      </c>
    </row>
    <row r="509" spans="1:3" ht="24" customHeight="1">
      <c r="A509" s="1205" t="s">
        <v>73337</v>
      </c>
      <c r="B509" s="1205" t="s">
        <v>73336</v>
      </c>
      <c r="C509" s="1205">
        <v>14.99</v>
      </c>
    </row>
    <row r="510" spans="1:3" ht="24" customHeight="1">
      <c r="A510" s="1205" t="s">
        <v>73335</v>
      </c>
      <c r="B510" s="1205" t="s">
        <v>73334</v>
      </c>
      <c r="C510" s="1205">
        <v>61.49</v>
      </c>
    </row>
    <row r="511" spans="1:3" ht="24" customHeight="1">
      <c r="A511" s="1205" t="s">
        <v>73333</v>
      </c>
      <c r="B511" s="1205" t="s">
        <v>73332</v>
      </c>
      <c r="C511" s="1205">
        <v>18.989999999999998</v>
      </c>
    </row>
    <row r="512" spans="1:3" ht="24" customHeight="1">
      <c r="A512" s="1205" t="s">
        <v>73331</v>
      </c>
      <c r="B512" s="1205" t="s">
        <v>73330</v>
      </c>
      <c r="C512" s="1205">
        <v>71.989999999999995</v>
      </c>
    </row>
    <row r="513" spans="1:3" ht="24" customHeight="1">
      <c r="A513" s="1205" t="s">
        <v>73329</v>
      </c>
      <c r="B513" s="1205" t="s">
        <v>73328</v>
      </c>
      <c r="C513" s="1205">
        <v>23.99</v>
      </c>
    </row>
    <row r="514" spans="1:3" ht="24" customHeight="1">
      <c r="A514" s="1205" t="s">
        <v>73327</v>
      </c>
      <c r="B514" s="1205" t="s">
        <v>70510</v>
      </c>
      <c r="C514" s="1205">
        <v>15.99</v>
      </c>
    </row>
    <row r="515" spans="1:3" ht="24" customHeight="1">
      <c r="A515" s="1205" t="s">
        <v>73326</v>
      </c>
      <c r="B515" s="1205" t="s">
        <v>73324</v>
      </c>
      <c r="C515" s="1205">
        <v>30.99</v>
      </c>
    </row>
    <row r="516" spans="1:3" ht="24" customHeight="1">
      <c r="A516" s="1205" t="s">
        <v>73325</v>
      </c>
      <c r="B516" s="1205" t="s">
        <v>73324</v>
      </c>
      <c r="C516" s="1205">
        <v>83.49</v>
      </c>
    </row>
    <row r="517" spans="1:3" ht="24" customHeight="1">
      <c r="A517" s="1205" t="s">
        <v>73323</v>
      </c>
      <c r="B517" s="1205" t="s">
        <v>73322</v>
      </c>
      <c r="C517" s="1205">
        <v>173.99</v>
      </c>
    </row>
    <row r="518" spans="1:3" ht="24" customHeight="1">
      <c r="A518" s="1205" t="s">
        <v>73321</v>
      </c>
      <c r="B518" s="1205" t="s">
        <v>73320</v>
      </c>
      <c r="C518" s="1205">
        <v>256.99</v>
      </c>
    </row>
    <row r="519" spans="1:3" ht="24" customHeight="1">
      <c r="A519" s="1205" t="s">
        <v>73319</v>
      </c>
      <c r="B519" s="1205" t="s">
        <v>73318</v>
      </c>
      <c r="C519" s="1205">
        <v>21.99</v>
      </c>
    </row>
    <row r="520" spans="1:3" ht="24" customHeight="1">
      <c r="A520" s="1205" t="s">
        <v>73317</v>
      </c>
      <c r="B520" s="1205" t="s">
        <v>70496</v>
      </c>
      <c r="C520" s="1205">
        <v>18.989999999999998</v>
      </c>
    </row>
    <row r="521" spans="1:3" ht="24" customHeight="1">
      <c r="A521" s="1205" t="s">
        <v>73316</v>
      </c>
      <c r="B521" s="1205" t="s">
        <v>73315</v>
      </c>
      <c r="C521" s="1205">
        <v>31.49</v>
      </c>
    </row>
    <row r="522" spans="1:3" ht="24" customHeight="1">
      <c r="A522" s="1205" t="s">
        <v>73314</v>
      </c>
      <c r="B522" s="1205" t="s">
        <v>69797</v>
      </c>
      <c r="C522" s="1205">
        <v>27.99</v>
      </c>
    </row>
    <row r="523" spans="1:3" ht="24" customHeight="1">
      <c r="A523" s="1205" t="s">
        <v>73313</v>
      </c>
      <c r="B523" s="1205" t="s">
        <v>69779</v>
      </c>
      <c r="C523" s="1205">
        <v>33.99</v>
      </c>
    </row>
    <row r="524" spans="1:3" ht="24" customHeight="1">
      <c r="A524" s="1205" t="s">
        <v>73312</v>
      </c>
      <c r="B524" s="1205" t="s">
        <v>69775</v>
      </c>
      <c r="C524" s="1205">
        <v>45.49</v>
      </c>
    </row>
    <row r="525" spans="1:3" ht="24" customHeight="1">
      <c r="A525" s="1205" t="s">
        <v>73311</v>
      </c>
      <c r="B525" s="1205" t="s">
        <v>73310</v>
      </c>
      <c r="C525" s="1205">
        <v>39.99</v>
      </c>
    </row>
    <row r="526" spans="1:3" ht="24" customHeight="1">
      <c r="A526" s="1205" t="s">
        <v>73309</v>
      </c>
      <c r="B526" s="1205" t="s">
        <v>73308</v>
      </c>
      <c r="C526" s="1205">
        <v>36.99</v>
      </c>
    </row>
    <row r="527" spans="1:3" ht="24" customHeight="1">
      <c r="A527" s="1205" t="s">
        <v>73307</v>
      </c>
      <c r="B527" s="1205" t="s">
        <v>73306</v>
      </c>
      <c r="C527" s="1205">
        <v>46.99</v>
      </c>
    </row>
    <row r="528" spans="1:3" ht="24" customHeight="1">
      <c r="A528" s="1205" t="s">
        <v>73305</v>
      </c>
      <c r="B528" s="1205" t="s">
        <v>73304</v>
      </c>
      <c r="C528" s="1205">
        <v>87.99</v>
      </c>
    </row>
    <row r="529" spans="1:3" ht="24" customHeight="1">
      <c r="A529" s="1205" t="s">
        <v>73303</v>
      </c>
      <c r="B529" s="1205" t="s">
        <v>73302</v>
      </c>
      <c r="C529" s="1205">
        <v>102.49</v>
      </c>
    </row>
    <row r="530" spans="1:3" ht="24" customHeight="1">
      <c r="A530" s="1205" t="s">
        <v>73301</v>
      </c>
      <c r="B530" s="1205" t="s">
        <v>73300</v>
      </c>
      <c r="C530" s="1205">
        <v>97.99</v>
      </c>
    </row>
    <row r="531" spans="1:3" ht="24" customHeight="1">
      <c r="A531" s="1205" t="s">
        <v>73299</v>
      </c>
      <c r="B531" s="1205" t="s">
        <v>73298</v>
      </c>
      <c r="C531" s="1205">
        <v>86.49</v>
      </c>
    </row>
    <row r="532" spans="1:3" ht="24" customHeight="1">
      <c r="A532" s="1205" t="s">
        <v>73297</v>
      </c>
      <c r="B532" s="1205" t="s">
        <v>69755</v>
      </c>
      <c r="C532" s="1205">
        <v>24.99</v>
      </c>
    </row>
    <row r="533" spans="1:3" ht="24" customHeight="1">
      <c r="A533" s="1205" t="s">
        <v>73296</v>
      </c>
      <c r="B533" s="1205" t="s">
        <v>73295</v>
      </c>
      <c r="C533" s="1205">
        <v>35.49</v>
      </c>
    </row>
    <row r="534" spans="1:3" ht="24" customHeight="1">
      <c r="A534" s="1205" t="s">
        <v>73294</v>
      </c>
      <c r="B534" s="1205" t="s">
        <v>73293</v>
      </c>
      <c r="C534" s="1205">
        <v>32.49</v>
      </c>
    </row>
    <row r="535" spans="1:3" ht="24" customHeight="1">
      <c r="A535" s="1205" t="s">
        <v>73292</v>
      </c>
      <c r="B535" s="1205" t="s">
        <v>73291</v>
      </c>
      <c r="C535" s="1205">
        <v>29.49</v>
      </c>
    </row>
    <row r="536" spans="1:3" ht="24" customHeight="1">
      <c r="A536" s="1205" t="s">
        <v>73290</v>
      </c>
      <c r="B536" s="1205" t="s">
        <v>73289</v>
      </c>
      <c r="C536" s="1205">
        <v>79.489999999999995</v>
      </c>
    </row>
    <row r="537" spans="1:3" ht="24" customHeight="1">
      <c r="A537" s="1205" t="s">
        <v>73288</v>
      </c>
      <c r="B537" s="1205" t="s">
        <v>73286</v>
      </c>
      <c r="C537" s="1205">
        <v>81.99</v>
      </c>
    </row>
    <row r="538" spans="1:3" ht="24" customHeight="1">
      <c r="A538" s="1205" t="s">
        <v>73287</v>
      </c>
      <c r="B538" s="1205" t="s">
        <v>73286</v>
      </c>
      <c r="C538" s="1205">
        <v>153.49</v>
      </c>
    </row>
    <row r="539" spans="1:3" ht="24" customHeight="1">
      <c r="A539" s="1205" t="s">
        <v>73285</v>
      </c>
      <c r="B539" s="1205" t="s">
        <v>73284</v>
      </c>
      <c r="C539" s="1205">
        <v>23.49</v>
      </c>
    </row>
    <row r="540" spans="1:3" ht="24" customHeight="1">
      <c r="A540" s="1205" t="s">
        <v>73283</v>
      </c>
      <c r="B540" s="1205" t="s">
        <v>73282</v>
      </c>
      <c r="C540" s="1205">
        <v>28.49</v>
      </c>
    </row>
    <row r="541" spans="1:3" ht="24" customHeight="1">
      <c r="A541" s="1205" t="s">
        <v>73281</v>
      </c>
      <c r="B541" s="1205" t="s">
        <v>73280</v>
      </c>
      <c r="C541" s="1205">
        <v>108.99</v>
      </c>
    </row>
    <row r="542" spans="1:3" ht="24" customHeight="1">
      <c r="A542" s="1205" t="s">
        <v>73279</v>
      </c>
      <c r="B542" s="1205" t="s">
        <v>73278</v>
      </c>
      <c r="C542" s="1205">
        <v>106.99</v>
      </c>
    </row>
    <row r="543" spans="1:3" ht="24" customHeight="1">
      <c r="A543" s="1205" t="s">
        <v>73277</v>
      </c>
      <c r="B543" s="1205" t="s">
        <v>73276</v>
      </c>
      <c r="C543" s="1205">
        <v>29.99</v>
      </c>
    </row>
    <row r="544" spans="1:3" ht="24" customHeight="1">
      <c r="A544" s="1205" t="s">
        <v>73275</v>
      </c>
      <c r="B544" s="1205" t="s">
        <v>73274</v>
      </c>
      <c r="C544" s="1205">
        <v>52.49</v>
      </c>
    </row>
    <row r="545" spans="1:3" ht="24" customHeight="1">
      <c r="A545" s="1205" t="s">
        <v>73273</v>
      </c>
      <c r="B545" s="1205" t="s">
        <v>73272</v>
      </c>
      <c r="C545" s="1205">
        <v>38.49</v>
      </c>
    </row>
    <row r="546" spans="1:3" ht="24" customHeight="1">
      <c r="A546" s="1205" t="s">
        <v>73271</v>
      </c>
      <c r="B546" s="1205" t="s">
        <v>73270</v>
      </c>
      <c r="C546" s="1205">
        <v>21.49</v>
      </c>
    </row>
    <row r="547" spans="1:3" ht="24" customHeight="1">
      <c r="A547" s="1205" t="s">
        <v>73269</v>
      </c>
      <c r="B547" s="1205" t="s">
        <v>73268</v>
      </c>
      <c r="C547" s="1205">
        <v>32.49</v>
      </c>
    </row>
    <row r="548" spans="1:3" ht="24" customHeight="1">
      <c r="A548" s="1205" t="s">
        <v>73267</v>
      </c>
      <c r="B548" s="1205" t="s">
        <v>73266</v>
      </c>
      <c r="C548" s="1205">
        <v>62.49</v>
      </c>
    </row>
    <row r="549" spans="1:3" ht="24" customHeight="1">
      <c r="A549" s="1205" t="s">
        <v>73265</v>
      </c>
      <c r="B549" s="1205" t="s">
        <v>69736</v>
      </c>
      <c r="C549" s="1205">
        <v>52.49</v>
      </c>
    </row>
    <row r="550" spans="1:3" ht="24" customHeight="1">
      <c r="A550" s="1205" t="s">
        <v>73264</v>
      </c>
      <c r="B550" s="1205" t="s">
        <v>69734</v>
      </c>
      <c r="C550" s="1205">
        <v>51.49</v>
      </c>
    </row>
    <row r="551" spans="1:3" ht="24" customHeight="1">
      <c r="A551" s="1205" t="s">
        <v>73263</v>
      </c>
      <c r="B551" s="1205" t="s">
        <v>69732</v>
      </c>
      <c r="C551" s="1205">
        <v>37.99</v>
      </c>
    </row>
    <row r="552" spans="1:3" ht="24" customHeight="1">
      <c r="A552" s="1205" t="s">
        <v>73262</v>
      </c>
      <c r="B552" s="1205" t="s">
        <v>69572</v>
      </c>
      <c r="C552" s="1205">
        <v>26.99</v>
      </c>
    </row>
    <row r="553" spans="1:3" ht="24" customHeight="1">
      <c r="A553" s="1205" t="s">
        <v>73261</v>
      </c>
      <c r="B553" s="1205" t="s">
        <v>73260</v>
      </c>
      <c r="C553" s="1205">
        <v>22.49</v>
      </c>
    </row>
    <row r="554" spans="1:3" ht="24" customHeight="1">
      <c r="A554" s="1205" t="s">
        <v>73259</v>
      </c>
      <c r="B554" s="1205" t="s">
        <v>70482</v>
      </c>
      <c r="C554" s="1205">
        <v>32.49</v>
      </c>
    </row>
    <row r="555" spans="1:3" ht="24" customHeight="1">
      <c r="A555" s="1205" t="s">
        <v>73258</v>
      </c>
      <c r="B555" s="1205" t="s">
        <v>69727</v>
      </c>
      <c r="C555" s="1205">
        <v>52.49</v>
      </c>
    </row>
    <row r="556" spans="1:3" ht="24" customHeight="1">
      <c r="A556" s="1205" t="s">
        <v>73257</v>
      </c>
      <c r="B556" s="1205" t="s">
        <v>69725</v>
      </c>
      <c r="C556" s="1205">
        <v>48.99</v>
      </c>
    </row>
    <row r="557" spans="1:3" ht="24" customHeight="1">
      <c r="A557" s="1205" t="s">
        <v>73256</v>
      </c>
      <c r="B557" s="1205" t="s">
        <v>69721</v>
      </c>
      <c r="C557" s="1205">
        <v>44.49</v>
      </c>
    </row>
    <row r="558" spans="1:3" ht="24" customHeight="1">
      <c r="A558" s="1205" t="s">
        <v>73255</v>
      </c>
      <c r="B558" s="1205" t="s">
        <v>73254</v>
      </c>
      <c r="C558" s="1205">
        <v>190.49</v>
      </c>
    </row>
    <row r="559" spans="1:3" ht="24" customHeight="1">
      <c r="A559" s="1205" t="s">
        <v>73253</v>
      </c>
      <c r="B559" s="1205" t="s">
        <v>69717</v>
      </c>
      <c r="C559" s="1205">
        <v>98.49</v>
      </c>
    </row>
    <row r="560" spans="1:3" ht="24" customHeight="1">
      <c r="A560" s="1205" t="s">
        <v>73252</v>
      </c>
      <c r="B560" s="1205" t="s">
        <v>73251</v>
      </c>
      <c r="C560" s="1205">
        <v>93.99</v>
      </c>
    </row>
    <row r="561" spans="1:3" ht="24" customHeight="1">
      <c r="A561" s="1205" t="s">
        <v>73250</v>
      </c>
      <c r="B561" s="1205" t="s">
        <v>73249</v>
      </c>
      <c r="C561" s="1205">
        <v>170.99</v>
      </c>
    </row>
    <row r="562" spans="1:3" ht="24" customHeight="1">
      <c r="A562" s="1205" t="s">
        <v>73248</v>
      </c>
      <c r="B562" s="1205" t="s">
        <v>73247</v>
      </c>
      <c r="C562" s="1205">
        <v>68.489999999999995</v>
      </c>
    </row>
    <row r="563" spans="1:3" ht="24" customHeight="1">
      <c r="A563" s="1205" t="s">
        <v>73246</v>
      </c>
      <c r="B563" s="1205" t="s">
        <v>73245</v>
      </c>
      <c r="C563" s="1205">
        <v>45.99</v>
      </c>
    </row>
    <row r="564" spans="1:3" ht="24" customHeight="1">
      <c r="A564" s="1205" t="s">
        <v>73244</v>
      </c>
      <c r="B564" s="1205" t="s">
        <v>73243</v>
      </c>
      <c r="C564" s="1205">
        <v>89.49</v>
      </c>
    </row>
    <row r="565" spans="1:3" ht="24" customHeight="1">
      <c r="A565" s="1205" t="s">
        <v>73242</v>
      </c>
      <c r="B565" s="1205" t="s">
        <v>73241</v>
      </c>
      <c r="C565" s="1205">
        <v>102.99</v>
      </c>
    </row>
    <row r="566" spans="1:3" ht="24" customHeight="1">
      <c r="A566" s="1205" t="s">
        <v>73240</v>
      </c>
      <c r="B566" s="1205" t="s">
        <v>73239</v>
      </c>
      <c r="C566" s="1205">
        <v>65.489999999999995</v>
      </c>
    </row>
    <row r="567" spans="1:3" ht="24" customHeight="1">
      <c r="A567" s="1205" t="s">
        <v>73238</v>
      </c>
      <c r="B567" s="1205" t="s">
        <v>73237</v>
      </c>
      <c r="C567" s="1205">
        <v>76.989999999999995</v>
      </c>
    </row>
    <row r="568" spans="1:3" ht="24" customHeight="1">
      <c r="A568" s="1205" t="s">
        <v>73236</v>
      </c>
      <c r="B568" s="1205" t="s">
        <v>73235</v>
      </c>
      <c r="C568" s="1205">
        <v>59.49</v>
      </c>
    </row>
    <row r="569" spans="1:3" ht="24" customHeight="1">
      <c r="A569" s="1205" t="s">
        <v>73234</v>
      </c>
      <c r="B569" s="1205" t="s">
        <v>73233</v>
      </c>
      <c r="C569" s="1205">
        <v>33.49</v>
      </c>
    </row>
    <row r="570" spans="1:3" ht="24" customHeight="1">
      <c r="A570" s="1205" t="s">
        <v>73232</v>
      </c>
      <c r="B570" s="1205" t="s">
        <v>73231</v>
      </c>
      <c r="C570" s="1205">
        <v>27.99</v>
      </c>
    </row>
    <row r="571" spans="1:3" ht="24" customHeight="1">
      <c r="A571" s="1205" t="s">
        <v>73230</v>
      </c>
      <c r="B571" s="1205" t="s">
        <v>73229</v>
      </c>
      <c r="C571" s="1205">
        <v>27.99</v>
      </c>
    </row>
    <row r="572" spans="1:3" ht="24" customHeight="1">
      <c r="A572" s="1205" t="s">
        <v>73228</v>
      </c>
      <c r="B572" s="1205" t="s">
        <v>73227</v>
      </c>
      <c r="C572" s="1205">
        <v>43.99</v>
      </c>
    </row>
    <row r="573" spans="1:3" ht="24" customHeight="1">
      <c r="A573" s="1205" t="s">
        <v>73226</v>
      </c>
      <c r="B573" s="1205" t="s">
        <v>73225</v>
      </c>
      <c r="C573" s="1205">
        <v>40.49</v>
      </c>
    </row>
    <row r="574" spans="1:3" ht="24" customHeight="1">
      <c r="A574" s="1205" t="s">
        <v>73224</v>
      </c>
      <c r="B574" s="1205" t="s">
        <v>73223</v>
      </c>
      <c r="C574" s="1205">
        <v>91.99</v>
      </c>
    </row>
    <row r="575" spans="1:3" ht="24" customHeight="1">
      <c r="A575" s="1205" t="s">
        <v>73222</v>
      </c>
      <c r="B575" s="1205" t="s">
        <v>73221</v>
      </c>
      <c r="C575" s="1205">
        <v>50.99</v>
      </c>
    </row>
    <row r="576" spans="1:3" ht="24" customHeight="1">
      <c r="A576" s="1205" t="s">
        <v>73220</v>
      </c>
      <c r="B576" s="1205" t="s">
        <v>73219</v>
      </c>
      <c r="C576" s="1205">
        <v>80.989999999999995</v>
      </c>
    </row>
    <row r="577" spans="1:3" ht="24" customHeight="1">
      <c r="A577" s="1205" t="s">
        <v>73218</v>
      </c>
      <c r="B577" s="1205" t="s">
        <v>73054</v>
      </c>
      <c r="C577" s="1205">
        <v>19.489999999999998</v>
      </c>
    </row>
    <row r="578" spans="1:3" ht="24" customHeight="1">
      <c r="A578" s="1205" t="s">
        <v>73217</v>
      </c>
      <c r="B578" s="1205" t="s">
        <v>64680</v>
      </c>
      <c r="C578" s="1205">
        <v>19.489999999999998</v>
      </c>
    </row>
    <row r="579" spans="1:3" ht="24" customHeight="1">
      <c r="A579" s="1205" t="s">
        <v>73216</v>
      </c>
      <c r="B579" s="1205" t="s">
        <v>73215</v>
      </c>
      <c r="C579" s="1205">
        <v>44.99</v>
      </c>
    </row>
    <row r="580" spans="1:3" ht="24" customHeight="1">
      <c r="A580" s="1205" t="s">
        <v>73214</v>
      </c>
      <c r="B580" s="1205" t="s">
        <v>73213</v>
      </c>
      <c r="C580" s="1205">
        <v>41.49</v>
      </c>
    </row>
    <row r="581" spans="1:3" ht="24" customHeight="1">
      <c r="A581" s="1205" t="s">
        <v>73212</v>
      </c>
      <c r="B581" s="1205" t="s">
        <v>73211</v>
      </c>
      <c r="C581" s="1205">
        <v>47.49</v>
      </c>
    </row>
    <row r="582" spans="1:3" ht="24" customHeight="1">
      <c r="A582" s="1205" t="s">
        <v>73210</v>
      </c>
      <c r="B582" s="1205" t="s">
        <v>73209</v>
      </c>
      <c r="C582" s="1205">
        <v>49.49</v>
      </c>
    </row>
    <row r="583" spans="1:3" ht="24" customHeight="1">
      <c r="A583" s="1205" t="s">
        <v>73208</v>
      </c>
      <c r="B583" s="1205" t="s">
        <v>73207</v>
      </c>
      <c r="C583" s="1205">
        <v>43.49</v>
      </c>
    </row>
    <row r="584" spans="1:3" ht="24" customHeight="1">
      <c r="A584" s="1205" t="s">
        <v>73206</v>
      </c>
      <c r="B584" s="1205" t="s">
        <v>73205</v>
      </c>
      <c r="C584" s="1205">
        <v>14.49</v>
      </c>
    </row>
    <row r="585" spans="1:3" ht="24" customHeight="1">
      <c r="A585" s="1205" t="s">
        <v>73204</v>
      </c>
      <c r="B585" s="1205" t="s">
        <v>73203</v>
      </c>
      <c r="C585" s="1205">
        <v>80.489999999999995</v>
      </c>
    </row>
    <row r="586" spans="1:3" ht="24" customHeight="1">
      <c r="A586" s="1205" t="s">
        <v>73202</v>
      </c>
      <c r="B586" s="1205" t="s">
        <v>73201</v>
      </c>
      <c r="C586" s="1205">
        <v>168.49</v>
      </c>
    </row>
    <row r="587" spans="1:3" ht="24" customHeight="1">
      <c r="A587" s="1205" t="s">
        <v>73200</v>
      </c>
      <c r="B587" s="1205" t="s">
        <v>73199</v>
      </c>
      <c r="C587" s="1205">
        <v>80.989999999999995</v>
      </c>
    </row>
    <row r="588" spans="1:3" ht="24" customHeight="1">
      <c r="A588" s="1205" t="s">
        <v>73198</v>
      </c>
      <c r="B588" s="1205" t="s">
        <v>73197</v>
      </c>
      <c r="C588" s="1205">
        <v>42.49</v>
      </c>
    </row>
    <row r="589" spans="1:3" ht="24" customHeight="1">
      <c r="A589" s="1205" t="s">
        <v>73196</v>
      </c>
      <c r="B589" s="1205" t="s">
        <v>73195</v>
      </c>
      <c r="C589" s="1205">
        <v>42.99</v>
      </c>
    </row>
    <row r="590" spans="1:3" ht="24" customHeight="1">
      <c r="A590" s="1205" t="s">
        <v>73194</v>
      </c>
      <c r="B590" s="1205" t="s">
        <v>73193</v>
      </c>
      <c r="C590" s="1205">
        <v>37.49</v>
      </c>
    </row>
    <row r="591" spans="1:3" ht="24" customHeight="1">
      <c r="A591" s="1205" t="s">
        <v>73192</v>
      </c>
      <c r="B591" s="1205" t="s">
        <v>73191</v>
      </c>
      <c r="C591" s="1205">
        <v>58.99</v>
      </c>
    </row>
    <row r="592" spans="1:3" ht="24" customHeight="1">
      <c r="A592" s="1205" t="s">
        <v>73190</v>
      </c>
      <c r="B592" s="1205" t="s">
        <v>73189</v>
      </c>
      <c r="C592" s="1205">
        <v>52.49</v>
      </c>
    </row>
    <row r="593" spans="1:3" ht="24" customHeight="1">
      <c r="A593" s="1205" t="s">
        <v>73188</v>
      </c>
      <c r="B593" s="1205" t="s">
        <v>73187</v>
      </c>
      <c r="C593" s="1205">
        <v>39.49</v>
      </c>
    </row>
    <row r="594" spans="1:3" ht="24" customHeight="1">
      <c r="A594" s="1205" t="s">
        <v>73186</v>
      </c>
      <c r="B594" s="1205" t="s">
        <v>73185</v>
      </c>
      <c r="C594" s="1205">
        <v>37.49</v>
      </c>
    </row>
    <row r="595" spans="1:3" ht="24" customHeight="1">
      <c r="A595" s="1205" t="s">
        <v>73184</v>
      </c>
      <c r="B595" s="1205" t="s">
        <v>73183</v>
      </c>
      <c r="C595" s="1205">
        <v>31.99</v>
      </c>
    </row>
    <row r="596" spans="1:3" ht="24" customHeight="1">
      <c r="A596" s="1205" t="s">
        <v>73182</v>
      </c>
      <c r="B596" s="1205" t="s">
        <v>73174</v>
      </c>
      <c r="C596" s="1205">
        <v>52.49</v>
      </c>
    </row>
    <row r="597" spans="1:3" ht="24" customHeight="1">
      <c r="A597" s="1205" t="s">
        <v>73181</v>
      </c>
      <c r="B597" s="1205" t="s">
        <v>73180</v>
      </c>
      <c r="C597" s="1205">
        <v>52.49</v>
      </c>
    </row>
    <row r="598" spans="1:3" ht="24" customHeight="1">
      <c r="A598" s="1205" t="s">
        <v>73179</v>
      </c>
      <c r="B598" s="1205" t="s">
        <v>73178</v>
      </c>
      <c r="C598" s="1205">
        <v>39.99</v>
      </c>
    </row>
    <row r="599" spans="1:3" ht="24" customHeight="1">
      <c r="A599" s="1205" t="s">
        <v>73177</v>
      </c>
      <c r="B599" s="1205" t="s">
        <v>73176</v>
      </c>
      <c r="C599" s="1205">
        <v>63.49</v>
      </c>
    </row>
    <row r="600" spans="1:3" ht="24" customHeight="1">
      <c r="A600" s="1205" t="s">
        <v>73175</v>
      </c>
      <c r="B600" s="1205" t="s">
        <v>73174</v>
      </c>
      <c r="C600" s="1205">
        <v>51.99</v>
      </c>
    </row>
    <row r="601" spans="1:3" ht="24" customHeight="1">
      <c r="A601" s="1205" t="s">
        <v>73173</v>
      </c>
      <c r="B601" s="1205" t="s">
        <v>73172</v>
      </c>
      <c r="C601" s="1205">
        <v>51.99</v>
      </c>
    </row>
    <row r="602" spans="1:3" ht="24" customHeight="1">
      <c r="A602" s="1205" t="s">
        <v>73171</v>
      </c>
      <c r="B602" s="1205" t="s">
        <v>69678</v>
      </c>
      <c r="C602" s="1205">
        <v>149.99</v>
      </c>
    </row>
    <row r="603" spans="1:3" ht="24" customHeight="1">
      <c r="A603" s="1205" t="s">
        <v>73170</v>
      </c>
      <c r="B603" s="1205" t="s">
        <v>73169</v>
      </c>
      <c r="C603" s="1205">
        <v>65.989999999999995</v>
      </c>
    </row>
    <row r="604" spans="1:3" ht="24" customHeight="1">
      <c r="A604" s="1205" t="s">
        <v>73168</v>
      </c>
      <c r="B604" s="1205" t="s">
        <v>73078</v>
      </c>
      <c r="C604" s="1205">
        <v>65.989999999999995</v>
      </c>
    </row>
    <row r="605" spans="1:3" ht="24" customHeight="1">
      <c r="A605" s="1205" t="s">
        <v>73167</v>
      </c>
      <c r="B605" s="1205" t="s">
        <v>73166</v>
      </c>
      <c r="C605" s="1205">
        <v>72.989999999999995</v>
      </c>
    </row>
    <row r="606" spans="1:3" ht="24" customHeight="1">
      <c r="A606" s="1205" t="s">
        <v>73165</v>
      </c>
      <c r="B606" s="1205" t="s">
        <v>73164</v>
      </c>
      <c r="C606" s="1205">
        <v>116.49</v>
      </c>
    </row>
    <row r="607" spans="1:3" ht="24" customHeight="1">
      <c r="A607" s="1205" t="s">
        <v>73163</v>
      </c>
      <c r="B607" s="1205" t="s">
        <v>73162</v>
      </c>
      <c r="C607" s="1205">
        <v>74.489999999999995</v>
      </c>
    </row>
    <row r="608" spans="1:3" ht="24" customHeight="1">
      <c r="A608" s="1205" t="s">
        <v>73161</v>
      </c>
      <c r="B608" s="1205" t="s">
        <v>73160</v>
      </c>
      <c r="C608" s="1205">
        <v>75.489999999999995</v>
      </c>
    </row>
    <row r="609" spans="1:3" ht="24" customHeight="1">
      <c r="A609" s="1205" t="s">
        <v>73159</v>
      </c>
      <c r="B609" s="1205" t="s">
        <v>73158</v>
      </c>
      <c r="C609" s="1205">
        <v>87.99</v>
      </c>
    </row>
    <row r="610" spans="1:3" ht="24" customHeight="1">
      <c r="A610" s="1205" t="s">
        <v>73157</v>
      </c>
      <c r="B610" s="1205" t="s">
        <v>73156</v>
      </c>
      <c r="C610" s="1205">
        <v>75.989999999999995</v>
      </c>
    </row>
    <row r="611" spans="1:3" ht="24" customHeight="1">
      <c r="A611" s="1205" t="s">
        <v>73155</v>
      </c>
      <c r="B611" s="1205" t="s">
        <v>73154</v>
      </c>
      <c r="C611" s="1205">
        <v>73.989999999999995</v>
      </c>
    </row>
    <row r="612" spans="1:3" ht="24" customHeight="1">
      <c r="A612" s="1205" t="s">
        <v>73153</v>
      </c>
      <c r="B612" s="1205" t="s">
        <v>73152</v>
      </c>
      <c r="C612" s="1205">
        <v>63.49</v>
      </c>
    </row>
    <row r="613" spans="1:3" ht="24" customHeight="1">
      <c r="A613" s="1205" t="s">
        <v>73151</v>
      </c>
      <c r="B613" s="1205" t="s">
        <v>73150</v>
      </c>
      <c r="C613" s="1205">
        <v>71.489999999999995</v>
      </c>
    </row>
    <row r="614" spans="1:3" ht="24" customHeight="1">
      <c r="A614" s="1205" t="s">
        <v>73149</v>
      </c>
      <c r="B614" s="1205" t="s">
        <v>73148</v>
      </c>
      <c r="C614" s="1205">
        <v>225.49</v>
      </c>
    </row>
    <row r="615" spans="1:3" ht="24" customHeight="1">
      <c r="A615" s="1205" t="s">
        <v>73147</v>
      </c>
      <c r="B615" s="1205" t="s">
        <v>73146</v>
      </c>
      <c r="C615" s="1205">
        <v>60.99</v>
      </c>
    </row>
    <row r="616" spans="1:3" ht="24" customHeight="1">
      <c r="A616" s="1205" t="s">
        <v>73145</v>
      </c>
      <c r="B616" s="1205" t="s">
        <v>73144</v>
      </c>
      <c r="C616" s="1205">
        <v>62.99</v>
      </c>
    </row>
    <row r="617" spans="1:3" ht="24" customHeight="1">
      <c r="A617" s="1205" t="s">
        <v>73143</v>
      </c>
      <c r="B617" s="1205" t="s">
        <v>73141</v>
      </c>
      <c r="C617" s="1205">
        <v>194.99</v>
      </c>
    </row>
    <row r="618" spans="1:3" ht="24" customHeight="1">
      <c r="A618" s="1205" t="s">
        <v>73142</v>
      </c>
      <c r="B618" s="1205" t="s">
        <v>73141</v>
      </c>
      <c r="C618" s="1205">
        <v>187.99</v>
      </c>
    </row>
    <row r="619" spans="1:3" ht="24" customHeight="1">
      <c r="A619" s="1205" t="s">
        <v>73140</v>
      </c>
      <c r="B619" s="1205" t="s">
        <v>73139</v>
      </c>
      <c r="C619" s="1205">
        <v>187.49</v>
      </c>
    </row>
    <row r="620" spans="1:3" ht="24" customHeight="1">
      <c r="A620" s="1205" t="s">
        <v>73138</v>
      </c>
      <c r="B620" s="1205" t="s">
        <v>73137</v>
      </c>
      <c r="C620" s="1205">
        <v>141.99</v>
      </c>
    </row>
    <row r="621" spans="1:3" ht="24" customHeight="1">
      <c r="A621" s="1205" t="s">
        <v>73136</v>
      </c>
      <c r="B621" s="1205" t="s">
        <v>73135</v>
      </c>
      <c r="C621" s="1205">
        <v>246.99</v>
      </c>
    </row>
    <row r="622" spans="1:3" ht="24" customHeight="1">
      <c r="A622" s="1205" t="s">
        <v>73134</v>
      </c>
      <c r="B622" s="1205" t="s">
        <v>73133</v>
      </c>
      <c r="C622" s="1205">
        <v>245.99</v>
      </c>
    </row>
    <row r="623" spans="1:3" ht="24" customHeight="1">
      <c r="A623" s="1205" t="s">
        <v>73132</v>
      </c>
      <c r="B623" s="1205" t="s">
        <v>73131</v>
      </c>
      <c r="C623" s="1205">
        <v>313.49</v>
      </c>
    </row>
    <row r="624" spans="1:3" ht="24" customHeight="1">
      <c r="A624" s="1205" t="s">
        <v>73130</v>
      </c>
      <c r="B624" s="1205" t="s">
        <v>73129</v>
      </c>
      <c r="C624" s="1205">
        <v>296.99</v>
      </c>
    </row>
    <row r="625" spans="1:3" ht="24" customHeight="1">
      <c r="A625" s="1205" t="s">
        <v>73128</v>
      </c>
      <c r="B625" s="1205" t="s">
        <v>73127</v>
      </c>
      <c r="C625" s="1205">
        <v>266.99</v>
      </c>
    </row>
    <row r="626" spans="1:3" ht="24" customHeight="1">
      <c r="A626" s="1205" t="s">
        <v>73126</v>
      </c>
      <c r="B626" s="1205" t="s">
        <v>73125</v>
      </c>
      <c r="C626" s="1205">
        <v>183.49</v>
      </c>
    </row>
    <row r="627" spans="1:3" ht="24" customHeight="1">
      <c r="A627" s="1205" t="s">
        <v>73124</v>
      </c>
      <c r="B627" s="1205" t="s">
        <v>73123</v>
      </c>
      <c r="C627" s="1205">
        <v>211.49</v>
      </c>
    </row>
    <row r="628" spans="1:3" ht="24" customHeight="1">
      <c r="A628" s="1205" t="s">
        <v>73122</v>
      </c>
      <c r="B628" s="1205" t="s">
        <v>73121</v>
      </c>
      <c r="C628" s="1205">
        <v>231.99</v>
      </c>
    </row>
    <row r="629" spans="1:3" ht="24" customHeight="1">
      <c r="A629" s="1205" t="s">
        <v>73120</v>
      </c>
      <c r="B629" s="1205" t="s">
        <v>73119</v>
      </c>
      <c r="C629" s="1205">
        <v>222.49</v>
      </c>
    </row>
    <row r="630" spans="1:3" ht="24" customHeight="1">
      <c r="A630" s="1205" t="s">
        <v>73118</v>
      </c>
      <c r="B630" s="1205" t="s">
        <v>73100</v>
      </c>
      <c r="C630" s="1205">
        <v>207.49</v>
      </c>
    </row>
    <row r="631" spans="1:3" ht="24" customHeight="1">
      <c r="A631" s="1205" t="s">
        <v>73117</v>
      </c>
      <c r="B631" s="1205" t="s">
        <v>73116</v>
      </c>
      <c r="C631" s="1205">
        <v>257.99</v>
      </c>
    </row>
    <row r="632" spans="1:3" ht="24" customHeight="1">
      <c r="A632" s="1205" t="s">
        <v>73115</v>
      </c>
      <c r="B632" s="1205" t="s">
        <v>73114</v>
      </c>
      <c r="C632" s="1205">
        <v>253.49</v>
      </c>
    </row>
    <row r="633" spans="1:3" ht="24" customHeight="1">
      <c r="A633" s="1205" t="s">
        <v>73113</v>
      </c>
      <c r="B633" s="1205" t="s">
        <v>73112</v>
      </c>
      <c r="C633" s="1205">
        <v>322.99</v>
      </c>
    </row>
    <row r="634" spans="1:3" ht="24" customHeight="1">
      <c r="A634" s="1205" t="s">
        <v>73111</v>
      </c>
      <c r="B634" s="1205" t="s">
        <v>73110</v>
      </c>
      <c r="C634" s="1205">
        <v>214.49</v>
      </c>
    </row>
    <row r="635" spans="1:3" ht="24" customHeight="1">
      <c r="A635" s="1205" t="s">
        <v>73109</v>
      </c>
      <c r="B635" s="1205" t="s">
        <v>73108</v>
      </c>
      <c r="C635" s="1205">
        <v>244.99</v>
      </c>
    </row>
    <row r="636" spans="1:3" ht="24" customHeight="1">
      <c r="A636" s="1205" t="s">
        <v>73107</v>
      </c>
      <c r="B636" s="1205" t="s">
        <v>73106</v>
      </c>
      <c r="C636" s="1205">
        <v>212.49</v>
      </c>
    </row>
    <row r="637" spans="1:3" ht="24" customHeight="1">
      <c r="A637" s="1205" t="s">
        <v>73105</v>
      </c>
      <c r="B637" s="1205" t="s">
        <v>73104</v>
      </c>
      <c r="C637" s="1205">
        <v>220.49</v>
      </c>
    </row>
    <row r="638" spans="1:3" ht="24" customHeight="1">
      <c r="A638" s="1205" t="s">
        <v>73103</v>
      </c>
      <c r="B638" s="1205" t="s">
        <v>73102</v>
      </c>
      <c r="C638" s="1205">
        <v>172.49</v>
      </c>
    </row>
    <row r="639" spans="1:3" ht="24" customHeight="1">
      <c r="A639" s="1205" t="s">
        <v>73101</v>
      </c>
      <c r="B639" s="1205" t="s">
        <v>73100</v>
      </c>
      <c r="C639" s="1205">
        <v>199.99</v>
      </c>
    </row>
    <row r="640" spans="1:3" ht="24" customHeight="1">
      <c r="A640" s="1205" t="s">
        <v>73099</v>
      </c>
      <c r="B640" s="1205" t="s">
        <v>73098</v>
      </c>
      <c r="C640" s="1205">
        <v>228.99</v>
      </c>
    </row>
    <row r="641" spans="1:3" ht="24" customHeight="1">
      <c r="A641" s="1205" t="s">
        <v>73097</v>
      </c>
      <c r="B641" s="1205" t="s">
        <v>73096</v>
      </c>
      <c r="C641" s="1205">
        <v>205.49</v>
      </c>
    </row>
    <row r="642" spans="1:3" ht="24" customHeight="1">
      <c r="A642" s="1205" t="s">
        <v>73095</v>
      </c>
      <c r="B642" s="1205" t="s">
        <v>73094</v>
      </c>
      <c r="C642" s="1205">
        <v>221.49</v>
      </c>
    </row>
    <row r="643" spans="1:3" ht="24" customHeight="1">
      <c r="A643" s="1205" t="s">
        <v>73093</v>
      </c>
      <c r="B643" s="1205" t="s">
        <v>73092</v>
      </c>
      <c r="C643" s="1205">
        <v>306.49</v>
      </c>
    </row>
    <row r="644" spans="1:3" ht="24" customHeight="1">
      <c r="A644" s="1205" t="s">
        <v>73091</v>
      </c>
      <c r="B644" s="1205" t="s">
        <v>73090</v>
      </c>
      <c r="C644" s="1205">
        <v>14.49</v>
      </c>
    </row>
    <row r="645" spans="1:3" ht="24" customHeight="1">
      <c r="A645" s="1205" t="s">
        <v>73089</v>
      </c>
      <c r="B645" s="1205" t="s">
        <v>73088</v>
      </c>
      <c r="C645" s="1205">
        <v>20.49</v>
      </c>
    </row>
    <row r="646" spans="1:3" ht="24" customHeight="1">
      <c r="A646" s="1205" t="s">
        <v>73087</v>
      </c>
      <c r="B646" s="1205" t="s">
        <v>73086</v>
      </c>
      <c r="C646" s="1205">
        <v>49.49</v>
      </c>
    </row>
    <row r="647" spans="1:3" ht="24" customHeight="1">
      <c r="A647" s="1205" t="s">
        <v>73085</v>
      </c>
      <c r="B647" s="1205" t="s">
        <v>73084</v>
      </c>
      <c r="C647" s="1205">
        <v>9.99</v>
      </c>
    </row>
    <row r="648" spans="1:3" ht="24" customHeight="1">
      <c r="A648" s="1205" t="s">
        <v>73083</v>
      </c>
      <c r="B648" s="1205" t="s">
        <v>73082</v>
      </c>
      <c r="C648" s="1205">
        <v>42.49</v>
      </c>
    </row>
    <row r="649" spans="1:3" ht="24" customHeight="1">
      <c r="A649" s="1205" t="s">
        <v>73081</v>
      </c>
      <c r="B649" s="1205" t="s">
        <v>73080</v>
      </c>
      <c r="C649" s="1205">
        <v>66.489999999999995</v>
      </c>
    </row>
    <row r="650" spans="1:3" ht="24" customHeight="1">
      <c r="A650" s="1205" t="s">
        <v>73079</v>
      </c>
      <c r="B650" s="1205" t="s">
        <v>73078</v>
      </c>
      <c r="C650" s="1205">
        <v>67.489999999999995</v>
      </c>
    </row>
    <row r="651" spans="1:3" ht="24" customHeight="1">
      <c r="A651" s="1205" t="s">
        <v>73077</v>
      </c>
      <c r="B651" s="1205" t="s">
        <v>73076</v>
      </c>
      <c r="C651" s="1205">
        <v>92.99</v>
      </c>
    </row>
    <row r="652" spans="1:3" ht="24" customHeight="1">
      <c r="A652" s="1205" t="s">
        <v>73075</v>
      </c>
      <c r="B652" s="1205" t="s">
        <v>73074</v>
      </c>
      <c r="C652" s="1205">
        <v>132.99</v>
      </c>
    </row>
    <row r="653" spans="1:3" ht="24" customHeight="1">
      <c r="A653" s="1205" t="s">
        <v>73073</v>
      </c>
      <c r="B653" s="1205" t="s">
        <v>73072</v>
      </c>
      <c r="C653" s="1205">
        <v>46.99</v>
      </c>
    </row>
    <row r="654" spans="1:3" ht="24" customHeight="1">
      <c r="A654" s="1205" t="s">
        <v>73071</v>
      </c>
      <c r="B654" s="1205" t="s">
        <v>73070</v>
      </c>
      <c r="C654" s="1205">
        <v>81.489999999999995</v>
      </c>
    </row>
    <row r="655" spans="1:3" ht="24" customHeight="1">
      <c r="A655" s="1205" t="s">
        <v>73069</v>
      </c>
      <c r="B655" s="1205" t="s">
        <v>73068</v>
      </c>
      <c r="C655" s="1205">
        <v>67.489999999999995</v>
      </c>
    </row>
    <row r="656" spans="1:3" ht="24" customHeight="1">
      <c r="A656" s="1205" t="s">
        <v>73067</v>
      </c>
      <c r="B656" s="1205" t="s">
        <v>73066</v>
      </c>
      <c r="C656" s="1205">
        <v>83.99</v>
      </c>
    </row>
    <row r="657" spans="1:3" ht="24" customHeight="1">
      <c r="A657" s="1205" t="s">
        <v>73065</v>
      </c>
      <c r="B657" s="1205" t="s">
        <v>73064</v>
      </c>
      <c r="C657" s="1205">
        <v>80.989999999999995</v>
      </c>
    </row>
    <row r="658" spans="1:3" ht="24" customHeight="1">
      <c r="A658" s="1205" t="s">
        <v>73063</v>
      </c>
      <c r="B658" s="1205" t="s">
        <v>73062</v>
      </c>
      <c r="C658" s="1205">
        <v>105.49</v>
      </c>
    </row>
    <row r="659" spans="1:3" ht="24" customHeight="1">
      <c r="A659" s="1205" t="s">
        <v>73061</v>
      </c>
      <c r="B659" s="1205" t="s">
        <v>73060</v>
      </c>
      <c r="C659" s="1205">
        <v>108.99</v>
      </c>
    </row>
    <row r="660" spans="1:3" ht="24" customHeight="1">
      <c r="A660" s="1205" t="s">
        <v>73059</v>
      </c>
      <c r="B660" s="1205" t="s">
        <v>73056</v>
      </c>
      <c r="C660" s="1205">
        <v>131.49</v>
      </c>
    </row>
    <row r="661" spans="1:3" ht="24" customHeight="1">
      <c r="A661" s="1205" t="s">
        <v>73058</v>
      </c>
      <c r="B661" s="1205" t="s">
        <v>73056</v>
      </c>
      <c r="C661" s="1205">
        <v>149.99</v>
      </c>
    </row>
    <row r="662" spans="1:3" ht="24" customHeight="1">
      <c r="A662" s="1205" t="s">
        <v>73057</v>
      </c>
      <c r="B662" s="1205" t="s">
        <v>73056</v>
      </c>
      <c r="C662" s="1205">
        <v>185.49</v>
      </c>
    </row>
    <row r="663" spans="1:3" ht="24" customHeight="1">
      <c r="A663" s="1205" t="s">
        <v>73055</v>
      </c>
      <c r="B663" s="1205" t="s">
        <v>73054</v>
      </c>
      <c r="C663" s="1205">
        <v>17.989999999999998</v>
      </c>
    </row>
    <row r="664" spans="1:3" ht="24" customHeight="1">
      <c r="A664" s="1205" t="s">
        <v>73053</v>
      </c>
      <c r="B664" s="1205" t="s">
        <v>73051</v>
      </c>
      <c r="C664" s="1205">
        <v>18.989999999999998</v>
      </c>
    </row>
    <row r="665" spans="1:3" ht="24" customHeight="1">
      <c r="A665" s="1205" t="s">
        <v>73052</v>
      </c>
      <c r="B665" s="1205" t="s">
        <v>73051</v>
      </c>
      <c r="C665" s="1205">
        <v>15.99</v>
      </c>
    </row>
    <row r="666" spans="1:3" ht="24" customHeight="1">
      <c r="A666" s="1205" t="s">
        <v>73050</v>
      </c>
      <c r="B666" s="1205" t="s">
        <v>73049</v>
      </c>
      <c r="C666" s="1205">
        <v>6.99</v>
      </c>
    </row>
    <row r="667" spans="1:3" ht="24" customHeight="1">
      <c r="A667" s="1205" t="s">
        <v>73048</v>
      </c>
      <c r="B667" s="1205" t="s">
        <v>73047</v>
      </c>
      <c r="C667" s="1205">
        <v>8.99</v>
      </c>
    </row>
    <row r="668" spans="1:3" ht="24" customHeight="1">
      <c r="A668" s="1205" t="s">
        <v>73046</v>
      </c>
      <c r="B668" s="1205" t="s">
        <v>70293</v>
      </c>
      <c r="C668" s="1205">
        <v>18.489999999999998</v>
      </c>
    </row>
    <row r="669" spans="1:3" ht="24" customHeight="1">
      <c r="A669" s="1205" t="s">
        <v>73045</v>
      </c>
      <c r="B669" s="1205" t="s">
        <v>73044</v>
      </c>
      <c r="C669" s="1205">
        <v>29.99</v>
      </c>
    </row>
    <row r="670" spans="1:3" ht="24" customHeight="1">
      <c r="A670" s="1205" t="s">
        <v>73043</v>
      </c>
      <c r="B670" s="1205" t="s">
        <v>73042</v>
      </c>
      <c r="C670" s="1205">
        <v>7.99</v>
      </c>
    </row>
    <row r="671" spans="1:3" ht="24" customHeight="1">
      <c r="A671" s="1205" t="s">
        <v>73041</v>
      </c>
      <c r="B671" s="1205" t="s">
        <v>63315</v>
      </c>
      <c r="C671" s="1205">
        <v>15.99</v>
      </c>
    </row>
    <row r="672" spans="1:3" ht="24" customHeight="1">
      <c r="A672" s="1205" t="s">
        <v>73040</v>
      </c>
      <c r="B672" s="1205" t="s">
        <v>73039</v>
      </c>
      <c r="C672" s="1205">
        <v>63.99</v>
      </c>
    </row>
    <row r="673" spans="1:3" ht="24" customHeight="1">
      <c r="A673" s="1205" t="s">
        <v>73038</v>
      </c>
      <c r="B673" s="1205" t="s">
        <v>70284</v>
      </c>
      <c r="C673" s="1205">
        <v>19.989999999999998</v>
      </c>
    </row>
    <row r="674" spans="1:3" ht="24" customHeight="1">
      <c r="A674" s="1205" t="s">
        <v>73037</v>
      </c>
      <c r="B674" s="1205" t="s">
        <v>73036</v>
      </c>
      <c r="C674" s="1205">
        <v>20.49</v>
      </c>
    </row>
    <row r="675" spans="1:3" ht="24" customHeight="1">
      <c r="A675" s="1205" t="s">
        <v>73035</v>
      </c>
      <c r="B675" s="1205" t="s">
        <v>73034</v>
      </c>
      <c r="C675" s="1205">
        <v>7.49</v>
      </c>
    </row>
    <row r="676" spans="1:3" ht="24" customHeight="1">
      <c r="A676" s="1205" t="s">
        <v>73033</v>
      </c>
      <c r="B676" s="1205" t="s">
        <v>73032</v>
      </c>
      <c r="C676" s="1205">
        <v>16.489999999999998</v>
      </c>
    </row>
    <row r="677" spans="1:3" ht="24" customHeight="1">
      <c r="A677" s="1205" t="s">
        <v>73031</v>
      </c>
      <c r="B677" s="1205" t="s">
        <v>73030</v>
      </c>
      <c r="C677" s="1205">
        <v>21.49</v>
      </c>
    </row>
    <row r="678" spans="1:3" ht="24" customHeight="1">
      <c r="A678" s="1205" t="s">
        <v>73029</v>
      </c>
      <c r="B678" s="1205" t="s">
        <v>73028</v>
      </c>
      <c r="C678" s="1205">
        <v>51.99</v>
      </c>
    </row>
    <row r="679" spans="1:3" ht="24" customHeight="1">
      <c r="A679" s="1205" t="s">
        <v>73027</v>
      </c>
      <c r="B679" s="1205" t="s">
        <v>73026</v>
      </c>
      <c r="C679" s="1205">
        <v>51.49</v>
      </c>
    </row>
    <row r="680" spans="1:3" ht="24" customHeight="1">
      <c r="A680" s="1205" t="s">
        <v>73025</v>
      </c>
      <c r="B680" s="1205" t="s">
        <v>73024</v>
      </c>
      <c r="C680" s="1205">
        <v>18.989999999999998</v>
      </c>
    </row>
    <row r="681" spans="1:3" ht="24" customHeight="1">
      <c r="A681" s="1205" t="s">
        <v>73023</v>
      </c>
      <c r="B681" s="1205" t="s">
        <v>73022</v>
      </c>
      <c r="C681" s="1205">
        <v>26.99</v>
      </c>
    </row>
    <row r="682" spans="1:3" ht="24" customHeight="1">
      <c r="A682" s="1205" t="s">
        <v>73021</v>
      </c>
      <c r="B682" s="1205" t="s">
        <v>73020</v>
      </c>
      <c r="C682" s="1205">
        <v>108.49</v>
      </c>
    </row>
    <row r="683" spans="1:3" ht="24" customHeight="1">
      <c r="A683" s="1205" t="s">
        <v>73019</v>
      </c>
      <c r="B683" s="1205" t="s">
        <v>73018</v>
      </c>
      <c r="C683" s="1205">
        <v>39.49</v>
      </c>
    </row>
    <row r="684" spans="1:3" ht="24" customHeight="1">
      <c r="A684" s="1205" t="s">
        <v>73017</v>
      </c>
      <c r="B684" s="1205" t="s">
        <v>73016</v>
      </c>
      <c r="C684" s="1205">
        <v>51.99</v>
      </c>
    </row>
    <row r="685" spans="1:3" ht="24" customHeight="1">
      <c r="A685" s="1205" t="s">
        <v>73015</v>
      </c>
      <c r="B685" s="1205" t="s">
        <v>73014</v>
      </c>
      <c r="C685" s="1205">
        <v>86.49</v>
      </c>
    </row>
    <row r="686" spans="1:3" ht="24" customHeight="1">
      <c r="A686" s="1205" t="s">
        <v>73013</v>
      </c>
      <c r="B686" s="1205" t="s">
        <v>73012</v>
      </c>
      <c r="C686" s="1205">
        <v>76.489999999999995</v>
      </c>
    </row>
    <row r="687" spans="1:3" ht="24" customHeight="1">
      <c r="A687" s="1205" t="s">
        <v>73011</v>
      </c>
      <c r="B687" s="1205" t="s">
        <v>73010</v>
      </c>
      <c r="C687" s="1205">
        <v>64.989999999999995</v>
      </c>
    </row>
    <row r="688" spans="1:3" ht="24" customHeight="1">
      <c r="A688" s="1205" t="s">
        <v>73009</v>
      </c>
      <c r="B688" s="1205" t="s">
        <v>73008</v>
      </c>
      <c r="C688" s="1205">
        <v>74.989999999999995</v>
      </c>
    </row>
    <row r="689" spans="1:3" ht="24" customHeight="1">
      <c r="A689" s="1205" t="s">
        <v>73007</v>
      </c>
      <c r="B689" s="1205" t="s">
        <v>73006</v>
      </c>
      <c r="C689" s="1205">
        <v>82.49</v>
      </c>
    </row>
    <row r="690" spans="1:3" ht="24" customHeight="1">
      <c r="A690" s="1205" t="s">
        <v>73005</v>
      </c>
      <c r="B690" s="1205" t="s">
        <v>73004</v>
      </c>
      <c r="C690" s="1205">
        <v>125.99</v>
      </c>
    </row>
    <row r="691" spans="1:3" ht="24" customHeight="1">
      <c r="A691" s="1205" t="s">
        <v>73003</v>
      </c>
      <c r="B691" s="1205" t="s">
        <v>73002</v>
      </c>
      <c r="C691" s="1205">
        <v>96.49</v>
      </c>
    </row>
    <row r="692" spans="1:3" ht="24" customHeight="1">
      <c r="A692" s="1205" t="s">
        <v>73001</v>
      </c>
      <c r="B692" s="1205" t="s">
        <v>70139</v>
      </c>
      <c r="C692" s="1205">
        <v>33.99</v>
      </c>
    </row>
    <row r="693" spans="1:3" ht="24" customHeight="1">
      <c r="A693" s="1205" t="s">
        <v>73000</v>
      </c>
      <c r="B693" s="1205" t="s">
        <v>70123</v>
      </c>
      <c r="C693" s="1205">
        <v>30.99</v>
      </c>
    </row>
    <row r="694" spans="1:3" ht="24" customHeight="1">
      <c r="A694" s="1205" t="s">
        <v>72999</v>
      </c>
      <c r="B694" s="1205" t="s">
        <v>72998</v>
      </c>
      <c r="C694" s="1205">
        <v>33.99</v>
      </c>
    </row>
    <row r="695" spans="1:3" ht="24" customHeight="1">
      <c r="A695" s="1205" t="s">
        <v>72997</v>
      </c>
      <c r="B695" s="1205" t="s">
        <v>72996</v>
      </c>
      <c r="C695" s="1205">
        <v>30.99</v>
      </c>
    </row>
    <row r="696" spans="1:3" ht="24" customHeight="1">
      <c r="A696" s="1205" t="s">
        <v>72995</v>
      </c>
      <c r="B696" s="1205" t="s">
        <v>72994</v>
      </c>
      <c r="C696" s="1205">
        <v>52.49</v>
      </c>
    </row>
    <row r="697" spans="1:3" ht="24" customHeight="1">
      <c r="A697" s="1205" t="s">
        <v>72993</v>
      </c>
      <c r="B697" s="1205" t="s">
        <v>72992</v>
      </c>
      <c r="C697" s="1205">
        <v>55.99</v>
      </c>
    </row>
    <row r="698" spans="1:3" ht="24" customHeight="1">
      <c r="A698" s="1205" t="s">
        <v>72991</v>
      </c>
      <c r="B698" s="1205" t="s">
        <v>72990</v>
      </c>
      <c r="C698" s="1205">
        <v>87.49</v>
      </c>
    </row>
    <row r="699" spans="1:3" ht="24" customHeight="1">
      <c r="A699" s="1205" t="s">
        <v>72989</v>
      </c>
      <c r="B699" s="1205" t="s">
        <v>72988</v>
      </c>
      <c r="C699" s="1205">
        <v>14.49</v>
      </c>
    </row>
    <row r="700" spans="1:3" ht="24" customHeight="1">
      <c r="A700" s="1205" t="s">
        <v>72987</v>
      </c>
      <c r="B700" s="1205" t="s">
        <v>72986</v>
      </c>
      <c r="C700" s="1205">
        <v>22.99</v>
      </c>
    </row>
    <row r="701" spans="1:3" ht="24" customHeight="1">
      <c r="A701" s="1205" t="s">
        <v>72985</v>
      </c>
      <c r="B701" s="1205" t="s">
        <v>72984</v>
      </c>
      <c r="C701" s="1205">
        <v>20.49</v>
      </c>
    </row>
    <row r="702" spans="1:3" ht="24" customHeight="1">
      <c r="A702" s="1205" t="s">
        <v>72983</v>
      </c>
      <c r="B702" s="1205" t="s">
        <v>72982</v>
      </c>
      <c r="C702" s="1205">
        <v>42.99</v>
      </c>
    </row>
    <row r="703" spans="1:3" ht="24" customHeight="1">
      <c r="A703" s="1205" t="s">
        <v>72981</v>
      </c>
      <c r="B703" s="1205" t="s">
        <v>72980</v>
      </c>
      <c r="C703" s="1205">
        <v>47.99</v>
      </c>
    </row>
    <row r="704" spans="1:3" ht="24" customHeight="1">
      <c r="A704" s="1205" t="s">
        <v>72979</v>
      </c>
      <c r="B704" s="1205" t="s">
        <v>72978</v>
      </c>
      <c r="C704" s="1205">
        <v>39.99</v>
      </c>
    </row>
    <row r="705" spans="1:3" ht="24" customHeight="1">
      <c r="A705" s="1205" t="s">
        <v>72977</v>
      </c>
      <c r="B705" s="1205" t="s">
        <v>72976</v>
      </c>
      <c r="C705" s="1205">
        <v>60.99</v>
      </c>
    </row>
    <row r="706" spans="1:3" ht="24" customHeight="1">
      <c r="A706" s="1205" t="s">
        <v>72975</v>
      </c>
      <c r="B706" s="1205" t="s">
        <v>72974</v>
      </c>
      <c r="C706" s="1205">
        <v>17.489999999999998</v>
      </c>
    </row>
    <row r="707" spans="1:3" ht="24" customHeight="1">
      <c r="A707" s="1205" t="s">
        <v>72973</v>
      </c>
      <c r="B707" s="1205" t="s">
        <v>72972</v>
      </c>
      <c r="C707" s="1205">
        <v>38.99</v>
      </c>
    </row>
    <row r="708" spans="1:3" ht="24" customHeight="1">
      <c r="A708" s="1205" t="s">
        <v>72971</v>
      </c>
      <c r="B708" s="1205" t="s">
        <v>72970</v>
      </c>
      <c r="C708" s="1205">
        <v>21.49</v>
      </c>
    </row>
    <row r="709" spans="1:3" ht="24" customHeight="1">
      <c r="A709" s="1205" t="s">
        <v>72969</v>
      </c>
      <c r="B709" s="1205" t="s">
        <v>72968</v>
      </c>
      <c r="C709" s="1205">
        <v>17.989999999999998</v>
      </c>
    </row>
    <row r="710" spans="1:3" ht="24" customHeight="1">
      <c r="A710" s="1205" t="s">
        <v>72967</v>
      </c>
      <c r="B710" s="1205" t="s">
        <v>72966</v>
      </c>
      <c r="C710" s="1205">
        <v>20.99</v>
      </c>
    </row>
    <row r="711" spans="1:3" ht="24" customHeight="1">
      <c r="A711" s="1205" t="s">
        <v>72965</v>
      </c>
      <c r="B711" s="1205" t="s">
        <v>70528</v>
      </c>
      <c r="C711" s="1205">
        <v>16.489999999999998</v>
      </c>
    </row>
    <row r="712" spans="1:3" ht="24" customHeight="1">
      <c r="A712" s="1205" t="s">
        <v>72964</v>
      </c>
      <c r="B712" s="1205" t="s">
        <v>72963</v>
      </c>
      <c r="C712" s="1205">
        <v>13.49</v>
      </c>
    </row>
    <row r="713" spans="1:3" ht="24" customHeight="1">
      <c r="A713" s="1205" t="s">
        <v>72962</v>
      </c>
      <c r="B713" s="1205" t="s">
        <v>72961</v>
      </c>
      <c r="C713" s="1205">
        <v>17.489999999999998</v>
      </c>
    </row>
    <row r="714" spans="1:3" ht="24" customHeight="1">
      <c r="A714" s="1205" t="s">
        <v>72960</v>
      </c>
      <c r="B714" s="1205" t="s">
        <v>63964</v>
      </c>
      <c r="C714" s="1205">
        <v>38.99</v>
      </c>
    </row>
    <row r="715" spans="1:3" ht="24" customHeight="1">
      <c r="A715" s="1205" t="s">
        <v>72959</v>
      </c>
      <c r="B715" s="1205" t="s">
        <v>72878</v>
      </c>
      <c r="C715" s="1205">
        <v>59.99</v>
      </c>
    </row>
    <row r="716" spans="1:3" ht="24" customHeight="1">
      <c r="A716" s="1205" t="s">
        <v>72958</v>
      </c>
      <c r="B716" s="1205" t="s">
        <v>72957</v>
      </c>
      <c r="C716" s="1205">
        <v>123.49</v>
      </c>
    </row>
    <row r="717" spans="1:3" ht="24" customHeight="1">
      <c r="A717" s="1205" t="s">
        <v>72956</v>
      </c>
      <c r="B717" s="1205" t="s">
        <v>72955</v>
      </c>
      <c r="C717" s="1205">
        <v>50.99</v>
      </c>
    </row>
    <row r="718" spans="1:3" ht="24" customHeight="1">
      <c r="A718" s="1205" t="s">
        <v>72954</v>
      </c>
      <c r="B718" s="1205" t="s">
        <v>72953</v>
      </c>
      <c r="C718" s="1205">
        <v>37.49</v>
      </c>
    </row>
    <row r="719" spans="1:3" ht="24" customHeight="1">
      <c r="A719" s="1205" t="s">
        <v>72952</v>
      </c>
      <c r="B719" s="1205" t="s">
        <v>72951</v>
      </c>
      <c r="C719" s="1205">
        <v>43.49</v>
      </c>
    </row>
    <row r="720" spans="1:3" ht="24" customHeight="1">
      <c r="A720" s="1205" t="s">
        <v>72950</v>
      </c>
      <c r="B720" s="1205" t="s">
        <v>72949</v>
      </c>
      <c r="C720" s="1205">
        <v>37.49</v>
      </c>
    </row>
    <row r="721" spans="1:3" ht="24" customHeight="1">
      <c r="A721" s="1205" t="s">
        <v>72948</v>
      </c>
      <c r="B721" s="1205" t="s">
        <v>72947</v>
      </c>
      <c r="C721" s="1205">
        <v>61.49</v>
      </c>
    </row>
    <row r="722" spans="1:3" ht="24" customHeight="1">
      <c r="A722" s="1205" t="s">
        <v>72946</v>
      </c>
      <c r="B722" s="1205" t="s">
        <v>72945</v>
      </c>
      <c r="C722" s="1205">
        <v>68.489999999999995</v>
      </c>
    </row>
    <row r="723" spans="1:3" ht="24" customHeight="1">
      <c r="A723" s="1205" t="s">
        <v>72944</v>
      </c>
      <c r="B723" s="1205" t="s">
        <v>63958</v>
      </c>
      <c r="C723" s="1205">
        <v>44.49</v>
      </c>
    </row>
    <row r="724" spans="1:3" ht="24" customHeight="1">
      <c r="A724" s="1205" t="s">
        <v>72943</v>
      </c>
      <c r="B724" s="1205" t="s">
        <v>72942</v>
      </c>
      <c r="C724" s="1205">
        <v>38.49</v>
      </c>
    </row>
    <row r="725" spans="1:3" ht="24" customHeight="1">
      <c r="A725" s="1205" t="s">
        <v>72941</v>
      </c>
      <c r="B725" s="1205" t="s">
        <v>72940</v>
      </c>
      <c r="C725" s="1205">
        <v>42.99</v>
      </c>
    </row>
    <row r="726" spans="1:3" ht="24" customHeight="1">
      <c r="A726" s="1205" t="s">
        <v>72939</v>
      </c>
      <c r="B726" s="1205" t="s">
        <v>72938</v>
      </c>
      <c r="C726" s="1205">
        <v>35.99</v>
      </c>
    </row>
    <row r="727" spans="1:3" ht="24" customHeight="1">
      <c r="A727" s="1205" t="s">
        <v>72937</v>
      </c>
      <c r="B727" s="1205" t="s">
        <v>72936</v>
      </c>
      <c r="C727" s="1205">
        <v>58.49</v>
      </c>
    </row>
    <row r="728" spans="1:3" ht="24" customHeight="1">
      <c r="A728" s="1205" t="s">
        <v>72935</v>
      </c>
      <c r="B728" s="1205" t="s">
        <v>72934</v>
      </c>
      <c r="C728" s="1205">
        <v>57.99</v>
      </c>
    </row>
    <row r="729" spans="1:3" ht="24" customHeight="1">
      <c r="A729" s="1205" t="s">
        <v>72933</v>
      </c>
      <c r="B729" s="1205" t="s">
        <v>72932</v>
      </c>
      <c r="C729" s="1205">
        <v>56.49</v>
      </c>
    </row>
    <row r="730" spans="1:3" ht="24" customHeight="1">
      <c r="A730" s="1205" t="s">
        <v>72931</v>
      </c>
      <c r="B730" s="1205" t="s">
        <v>63956</v>
      </c>
      <c r="C730" s="1205">
        <v>42.49</v>
      </c>
    </row>
    <row r="731" spans="1:3" ht="24" customHeight="1">
      <c r="A731" s="1205" t="s">
        <v>72930</v>
      </c>
      <c r="B731" s="1205" t="s">
        <v>72929</v>
      </c>
      <c r="C731" s="1205">
        <v>77.489999999999995</v>
      </c>
    </row>
    <row r="732" spans="1:3" ht="24" customHeight="1">
      <c r="A732" s="1205" t="s">
        <v>72928</v>
      </c>
      <c r="B732" s="1205" t="s">
        <v>72927</v>
      </c>
      <c r="C732" s="1205">
        <v>49.49</v>
      </c>
    </row>
    <row r="733" spans="1:3" ht="24" customHeight="1">
      <c r="A733" s="1205" t="s">
        <v>72926</v>
      </c>
      <c r="B733" s="1205" t="s">
        <v>72925</v>
      </c>
      <c r="C733" s="1205">
        <v>55.49</v>
      </c>
    </row>
    <row r="734" spans="1:3" ht="24" customHeight="1">
      <c r="A734" s="1205" t="s">
        <v>72924</v>
      </c>
      <c r="B734" s="1205" t="s">
        <v>63956</v>
      </c>
      <c r="C734" s="1205">
        <v>56.49</v>
      </c>
    </row>
    <row r="735" spans="1:3" ht="24" customHeight="1">
      <c r="A735" s="1205" t="s">
        <v>72923</v>
      </c>
      <c r="B735" s="1205" t="s">
        <v>72922</v>
      </c>
      <c r="C735" s="1205">
        <v>55.99</v>
      </c>
    </row>
    <row r="736" spans="1:3" ht="24" customHeight="1">
      <c r="A736" s="1205" t="s">
        <v>72921</v>
      </c>
      <c r="B736" s="1205" t="s">
        <v>72920</v>
      </c>
      <c r="C736" s="1205">
        <v>93.49</v>
      </c>
    </row>
    <row r="737" spans="1:3" ht="24" customHeight="1">
      <c r="A737" s="1205" t="s">
        <v>72919</v>
      </c>
      <c r="B737" s="1205" t="s">
        <v>72918</v>
      </c>
      <c r="C737" s="1205">
        <v>89.99</v>
      </c>
    </row>
    <row r="738" spans="1:3" ht="24" customHeight="1">
      <c r="A738" s="1205" t="s">
        <v>72917</v>
      </c>
      <c r="B738" s="1205" t="s">
        <v>72916</v>
      </c>
      <c r="C738" s="1205">
        <v>144.99</v>
      </c>
    </row>
    <row r="739" spans="1:3" ht="24" customHeight="1">
      <c r="A739" s="1205" t="s">
        <v>72915</v>
      </c>
      <c r="B739" s="1205" t="s">
        <v>72913</v>
      </c>
      <c r="C739" s="1205">
        <v>145.99</v>
      </c>
    </row>
    <row r="740" spans="1:3" ht="24" customHeight="1">
      <c r="A740" s="1205" t="s">
        <v>72914</v>
      </c>
      <c r="B740" s="1205" t="s">
        <v>72913</v>
      </c>
      <c r="C740" s="1205">
        <v>142.99</v>
      </c>
    </row>
    <row r="741" spans="1:3" ht="24" customHeight="1">
      <c r="A741" s="1205" t="s">
        <v>72912</v>
      </c>
      <c r="B741" s="1205" t="s">
        <v>72911</v>
      </c>
      <c r="C741" s="1205">
        <v>69.989999999999995</v>
      </c>
    </row>
    <row r="742" spans="1:3" ht="24" customHeight="1">
      <c r="A742" s="1205" t="s">
        <v>72910</v>
      </c>
      <c r="B742" s="1205" t="s">
        <v>72909</v>
      </c>
      <c r="C742" s="1205">
        <v>45.49</v>
      </c>
    </row>
    <row r="743" spans="1:3" ht="24" customHeight="1">
      <c r="A743" s="1205" t="s">
        <v>72908</v>
      </c>
      <c r="B743" s="1205" t="s">
        <v>63954</v>
      </c>
      <c r="C743" s="1205">
        <v>44.99</v>
      </c>
    </row>
    <row r="744" spans="1:3" ht="24" customHeight="1">
      <c r="A744" s="1205" t="s">
        <v>72907</v>
      </c>
      <c r="B744" s="1205" t="s">
        <v>63952</v>
      </c>
      <c r="C744" s="1205">
        <v>42.99</v>
      </c>
    </row>
    <row r="745" spans="1:3" ht="24" customHeight="1">
      <c r="A745" s="1205" t="s">
        <v>72906</v>
      </c>
      <c r="B745" s="1205" t="s">
        <v>72905</v>
      </c>
      <c r="C745" s="1205">
        <v>42.49</v>
      </c>
    </row>
    <row r="746" spans="1:3" ht="24" customHeight="1">
      <c r="A746" s="1205" t="s">
        <v>72904</v>
      </c>
      <c r="B746" s="1205" t="s">
        <v>72903</v>
      </c>
      <c r="C746" s="1205">
        <v>40.99</v>
      </c>
    </row>
    <row r="747" spans="1:3" ht="24" customHeight="1">
      <c r="A747" s="1205" t="s">
        <v>72902</v>
      </c>
      <c r="B747" s="1205" t="s">
        <v>72901</v>
      </c>
      <c r="C747" s="1205">
        <v>41.49</v>
      </c>
    </row>
    <row r="748" spans="1:3" ht="24" customHeight="1">
      <c r="A748" s="1205" t="s">
        <v>72900</v>
      </c>
      <c r="B748" s="1205" t="s">
        <v>72899</v>
      </c>
      <c r="C748" s="1205">
        <v>42.49</v>
      </c>
    </row>
    <row r="749" spans="1:3" ht="24" customHeight="1">
      <c r="A749" s="1205" t="s">
        <v>72898</v>
      </c>
      <c r="B749" s="1205" t="s">
        <v>72897</v>
      </c>
      <c r="C749" s="1205">
        <v>129.49</v>
      </c>
    </row>
    <row r="750" spans="1:3" ht="24" customHeight="1">
      <c r="A750" s="1205" t="s">
        <v>72896</v>
      </c>
      <c r="B750" s="1205" t="s">
        <v>72895</v>
      </c>
      <c r="C750" s="1205">
        <v>41.99</v>
      </c>
    </row>
    <row r="751" spans="1:3" ht="24" customHeight="1">
      <c r="A751" s="1205" t="s">
        <v>72894</v>
      </c>
      <c r="B751" s="1205" t="s">
        <v>72893</v>
      </c>
      <c r="C751" s="1205">
        <v>47.99</v>
      </c>
    </row>
    <row r="752" spans="1:3" ht="24" customHeight="1">
      <c r="A752" s="1205" t="s">
        <v>72892</v>
      </c>
      <c r="B752" s="1205" t="s">
        <v>72891</v>
      </c>
      <c r="C752" s="1205">
        <v>47.49</v>
      </c>
    </row>
    <row r="753" spans="1:3" ht="24" customHeight="1">
      <c r="A753" s="1205" t="s">
        <v>72890</v>
      </c>
      <c r="B753" s="1205" t="s">
        <v>72889</v>
      </c>
      <c r="C753" s="1205">
        <v>44.99</v>
      </c>
    </row>
    <row r="754" spans="1:3" ht="24" customHeight="1">
      <c r="A754" s="1205" t="s">
        <v>72888</v>
      </c>
      <c r="B754" s="1205" t="s">
        <v>72887</v>
      </c>
      <c r="C754" s="1205">
        <v>71.989999999999995</v>
      </c>
    </row>
    <row r="755" spans="1:3" ht="24" customHeight="1">
      <c r="A755" s="1205" t="s">
        <v>72886</v>
      </c>
      <c r="B755" s="1205" t="s">
        <v>72885</v>
      </c>
      <c r="C755" s="1205">
        <v>40.99</v>
      </c>
    </row>
    <row r="756" spans="1:3" ht="24" customHeight="1">
      <c r="A756" s="1205" t="s">
        <v>72884</v>
      </c>
      <c r="B756" s="1205" t="s">
        <v>72883</v>
      </c>
      <c r="C756" s="1205">
        <v>38.49</v>
      </c>
    </row>
    <row r="757" spans="1:3" ht="24" customHeight="1">
      <c r="A757" s="1205" t="s">
        <v>72882</v>
      </c>
      <c r="B757" s="1205" t="s">
        <v>72881</v>
      </c>
      <c r="C757" s="1205">
        <v>41.99</v>
      </c>
    </row>
    <row r="758" spans="1:3" ht="24" customHeight="1">
      <c r="A758" s="1205" t="s">
        <v>72880</v>
      </c>
      <c r="B758" s="1205" t="s">
        <v>63947</v>
      </c>
      <c r="C758" s="1205">
        <v>36.49</v>
      </c>
    </row>
    <row r="759" spans="1:3" ht="24" customHeight="1">
      <c r="A759" s="1205" t="s">
        <v>72879</v>
      </c>
      <c r="B759" s="1205" t="s">
        <v>72878</v>
      </c>
      <c r="C759" s="1205">
        <v>55.99</v>
      </c>
    </row>
    <row r="760" spans="1:3" ht="24" customHeight="1">
      <c r="A760" s="1205" t="s">
        <v>72877</v>
      </c>
      <c r="B760" s="1205" t="s">
        <v>72876</v>
      </c>
      <c r="C760" s="1205">
        <v>45.99</v>
      </c>
    </row>
    <row r="761" spans="1:3" ht="24" customHeight="1">
      <c r="A761" s="1205" t="s">
        <v>72875</v>
      </c>
      <c r="B761" s="1205" t="s">
        <v>72874</v>
      </c>
      <c r="C761" s="1205">
        <v>77.489999999999995</v>
      </c>
    </row>
    <row r="762" spans="1:3" ht="24" customHeight="1">
      <c r="A762" s="1205" t="s">
        <v>72873</v>
      </c>
      <c r="B762" s="1205" t="s">
        <v>72872</v>
      </c>
      <c r="C762" s="1205">
        <v>53.99</v>
      </c>
    </row>
    <row r="763" spans="1:3" ht="24" customHeight="1">
      <c r="A763" s="1205" t="s">
        <v>72871</v>
      </c>
      <c r="B763" s="1205" t="s">
        <v>72870</v>
      </c>
      <c r="C763" s="1205">
        <v>34.49</v>
      </c>
    </row>
    <row r="764" spans="1:3" ht="24" customHeight="1">
      <c r="A764" s="1205" t="s">
        <v>72869</v>
      </c>
      <c r="B764" s="1205" t="s">
        <v>72868</v>
      </c>
      <c r="C764" s="1205">
        <v>41.49</v>
      </c>
    </row>
    <row r="765" spans="1:3" ht="24" customHeight="1">
      <c r="A765" s="1205" t="s">
        <v>72867</v>
      </c>
      <c r="B765" s="1205" t="s">
        <v>72866</v>
      </c>
      <c r="C765" s="1205">
        <v>36.49</v>
      </c>
    </row>
    <row r="766" spans="1:3" ht="24" customHeight="1">
      <c r="A766" s="1205" t="s">
        <v>72865</v>
      </c>
      <c r="B766" s="1205" t="s">
        <v>72864</v>
      </c>
      <c r="C766" s="1205">
        <v>80.989999999999995</v>
      </c>
    </row>
    <row r="767" spans="1:3" ht="24" customHeight="1">
      <c r="A767" s="1205" t="s">
        <v>72863</v>
      </c>
      <c r="B767" s="1205" t="s">
        <v>72862</v>
      </c>
      <c r="C767" s="1205">
        <v>46.49</v>
      </c>
    </row>
    <row r="768" spans="1:3" ht="24" customHeight="1">
      <c r="A768" s="1205" t="s">
        <v>72861</v>
      </c>
      <c r="B768" s="1205" t="s">
        <v>63956</v>
      </c>
      <c r="C768" s="1205">
        <v>51.99</v>
      </c>
    </row>
    <row r="769" spans="1:3" ht="24" customHeight="1">
      <c r="A769" s="1205" t="s">
        <v>72860</v>
      </c>
      <c r="B769" s="1205" t="s">
        <v>63947</v>
      </c>
      <c r="C769" s="1205">
        <v>30.49</v>
      </c>
    </row>
    <row r="770" spans="1:3" ht="24" customHeight="1">
      <c r="A770" s="1205" t="s">
        <v>72859</v>
      </c>
      <c r="B770" s="1205" t="s">
        <v>72858</v>
      </c>
      <c r="C770" s="1205">
        <v>59.99</v>
      </c>
    </row>
    <row r="771" spans="1:3" ht="24" customHeight="1">
      <c r="A771" s="1205" t="s">
        <v>72857</v>
      </c>
      <c r="B771" s="1205" t="s">
        <v>72856</v>
      </c>
      <c r="C771" s="1205">
        <v>49.99</v>
      </c>
    </row>
    <row r="772" spans="1:3" ht="24" customHeight="1">
      <c r="A772" s="1205" t="s">
        <v>72855</v>
      </c>
      <c r="B772" s="1205" t="s">
        <v>72854</v>
      </c>
      <c r="C772" s="1205">
        <v>39.99</v>
      </c>
    </row>
    <row r="773" spans="1:3" ht="24" customHeight="1">
      <c r="A773" s="1205" t="s">
        <v>72853</v>
      </c>
      <c r="B773" s="1205" t="s">
        <v>72852</v>
      </c>
      <c r="C773" s="1205">
        <v>37.99</v>
      </c>
    </row>
    <row r="774" spans="1:3" ht="24" customHeight="1">
      <c r="A774" s="1205" t="s">
        <v>72851</v>
      </c>
      <c r="B774" s="1205" t="s">
        <v>72850</v>
      </c>
      <c r="C774" s="1205">
        <v>59.99</v>
      </c>
    </row>
    <row r="775" spans="1:3" ht="24" customHeight="1">
      <c r="A775" s="1205" t="s">
        <v>72849</v>
      </c>
      <c r="B775" s="1205" t="s">
        <v>72848</v>
      </c>
      <c r="C775" s="1205">
        <v>54.49</v>
      </c>
    </row>
    <row r="776" spans="1:3" ht="24" customHeight="1">
      <c r="A776" s="1205" t="s">
        <v>72847</v>
      </c>
      <c r="B776" s="1205" t="s">
        <v>72846</v>
      </c>
      <c r="C776" s="1205">
        <v>55.49</v>
      </c>
    </row>
    <row r="777" spans="1:3" ht="24" customHeight="1">
      <c r="A777" s="1205" t="s">
        <v>72845</v>
      </c>
      <c r="B777" s="1205" t="s">
        <v>72844</v>
      </c>
      <c r="C777" s="1205">
        <v>49.99</v>
      </c>
    </row>
    <row r="778" spans="1:3" ht="24" customHeight="1">
      <c r="A778" s="1205" t="s">
        <v>72843</v>
      </c>
      <c r="B778" s="1205" t="s">
        <v>72842</v>
      </c>
      <c r="C778" s="1205">
        <v>35.99</v>
      </c>
    </row>
    <row r="779" spans="1:3" ht="24" customHeight="1">
      <c r="A779" s="1205" t="s">
        <v>72841</v>
      </c>
      <c r="B779" s="1205" t="s">
        <v>72840</v>
      </c>
      <c r="C779" s="1205">
        <v>43.99</v>
      </c>
    </row>
    <row r="780" spans="1:3" ht="24" customHeight="1">
      <c r="A780" s="1205" t="s">
        <v>72839</v>
      </c>
      <c r="B780" s="1205" t="s">
        <v>72838</v>
      </c>
      <c r="C780" s="1205">
        <v>47.49</v>
      </c>
    </row>
    <row r="781" spans="1:3" ht="24" customHeight="1">
      <c r="A781" s="1205" t="s">
        <v>72837</v>
      </c>
      <c r="B781" s="1205" t="s">
        <v>63933</v>
      </c>
      <c r="C781" s="1205">
        <v>51.99</v>
      </c>
    </row>
    <row r="782" spans="1:3" ht="24" customHeight="1">
      <c r="A782" s="1205" t="s">
        <v>72836</v>
      </c>
      <c r="B782" s="1205" t="s">
        <v>72835</v>
      </c>
      <c r="C782" s="1205">
        <v>35.99</v>
      </c>
    </row>
    <row r="783" spans="1:3" ht="24" customHeight="1">
      <c r="A783" s="1205" t="s">
        <v>72834</v>
      </c>
      <c r="B783" s="1205" t="s">
        <v>72833</v>
      </c>
      <c r="C783" s="1205">
        <v>34.49</v>
      </c>
    </row>
    <row r="784" spans="1:3" ht="24" customHeight="1">
      <c r="A784" s="1205" t="s">
        <v>72832</v>
      </c>
      <c r="B784" s="1205" t="s">
        <v>72831</v>
      </c>
      <c r="C784" s="1205">
        <v>35.99</v>
      </c>
    </row>
    <row r="785" spans="1:3" ht="24" customHeight="1">
      <c r="A785" s="1205" t="s">
        <v>72830</v>
      </c>
      <c r="B785" s="1205" t="s">
        <v>72829</v>
      </c>
      <c r="C785" s="1205">
        <v>35.99</v>
      </c>
    </row>
    <row r="786" spans="1:3" ht="24" customHeight="1">
      <c r="A786" s="1205" t="s">
        <v>72828</v>
      </c>
      <c r="B786" s="1205" t="s">
        <v>63927</v>
      </c>
      <c r="C786" s="1205">
        <v>61.99</v>
      </c>
    </row>
    <row r="787" spans="1:3" ht="24" customHeight="1">
      <c r="A787" s="1205" t="s">
        <v>72827</v>
      </c>
      <c r="B787" s="1205" t="s">
        <v>72826</v>
      </c>
      <c r="C787" s="1205">
        <v>36.49</v>
      </c>
    </row>
    <row r="788" spans="1:3" ht="24" customHeight="1">
      <c r="A788" s="1205" t="s">
        <v>72825</v>
      </c>
      <c r="B788" s="1205" t="s">
        <v>72824</v>
      </c>
      <c r="C788" s="1205">
        <v>36.49</v>
      </c>
    </row>
    <row r="789" spans="1:3" ht="24" customHeight="1">
      <c r="A789" s="1205" t="s">
        <v>72823</v>
      </c>
      <c r="B789" s="1205" t="s">
        <v>72304</v>
      </c>
      <c r="C789" s="1205">
        <v>35.49</v>
      </c>
    </row>
    <row r="790" spans="1:3" ht="24" customHeight="1">
      <c r="A790" s="1205" t="s">
        <v>72822</v>
      </c>
      <c r="B790" s="1205" t="s">
        <v>72821</v>
      </c>
      <c r="C790" s="1205">
        <v>100.99</v>
      </c>
    </row>
    <row r="791" spans="1:3" ht="24" customHeight="1">
      <c r="A791" s="1205" t="s">
        <v>72820</v>
      </c>
      <c r="B791" s="1205" t="s">
        <v>72819</v>
      </c>
      <c r="C791" s="1205">
        <v>94.99</v>
      </c>
    </row>
    <row r="792" spans="1:3" ht="24" customHeight="1">
      <c r="A792" s="1205" t="s">
        <v>72818</v>
      </c>
      <c r="B792" s="1205" t="s">
        <v>72817</v>
      </c>
      <c r="C792" s="1205">
        <v>116.99</v>
      </c>
    </row>
    <row r="793" spans="1:3" ht="24" customHeight="1">
      <c r="A793" s="1205" t="s">
        <v>72816</v>
      </c>
      <c r="B793" s="1205" t="s">
        <v>72815</v>
      </c>
      <c r="C793" s="1205">
        <v>55.99</v>
      </c>
    </row>
    <row r="794" spans="1:3" ht="24" customHeight="1">
      <c r="A794" s="1205" t="s">
        <v>72814</v>
      </c>
      <c r="B794" s="1205" t="s">
        <v>72813</v>
      </c>
      <c r="C794" s="1205">
        <v>58.49</v>
      </c>
    </row>
    <row r="795" spans="1:3" ht="24" customHeight="1">
      <c r="A795" s="1205" t="s">
        <v>72812</v>
      </c>
      <c r="B795" s="1205" t="s">
        <v>63922</v>
      </c>
      <c r="C795" s="1205">
        <v>33.99</v>
      </c>
    </row>
    <row r="796" spans="1:3" ht="24" customHeight="1">
      <c r="A796" s="1205" t="s">
        <v>72811</v>
      </c>
      <c r="B796" s="1205" t="s">
        <v>72810</v>
      </c>
      <c r="C796" s="1205">
        <v>45.99</v>
      </c>
    </row>
    <row r="797" spans="1:3" ht="24" customHeight="1">
      <c r="A797" s="1205" t="s">
        <v>72809</v>
      </c>
      <c r="B797" s="1205" t="s">
        <v>72808</v>
      </c>
      <c r="C797" s="1205">
        <v>75.989999999999995</v>
      </c>
    </row>
    <row r="798" spans="1:3" ht="24" customHeight="1">
      <c r="A798" s="1205" t="s">
        <v>72807</v>
      </c>
      <c r="B798" s="1205" t="s">
        <v>72806</v>
      </c>
      <c r="C798" s="1205">
        <v>32.49</v>
      </c>
    </row>
    <row r="799" spans="1:3" ht="24" customHeight="1">
      <c r="A799" s="1205" t="s">
        <v>72805</v>
      </c>
      <c r="B799" s="1205" t="s">
        <v>72804</v>
      </c>
      <c r="C799" s="1205">
        <v>43.99</v>
      </c>
    </row>
    <row r="800" spans="1:3" ht="24" customHeight="1">
      <c r="A800" s="1205" t="s">
        <v>72803</v>
      </c>
      <c r="B800" s="1205" t="s">
        <v>63920</v>
      </c>
      <c r="C800" s="1205">
        <v>69.489999999999995</v>
      </c>
    </row>
    <row r="801" spans="1:3" ht="24" customHeight="1">
      <c r="A801" s="1205" t="s">
        <v>72802</v>
      </c>
      <c r="B801" s="1205" t="s">
        <v>72801</v>
      </c>
      <c r="C801" s="1205">
        <v>74.989999999999995</v>
      </c>
    </row>
    <row r="802" spans="1:3" ht="24" customHeight="1">
      <c r="A802" s="1205" t="s">
        <v>72800</v>
      </c>
      <c r="B802" s="1205" t="s">
        <v>72799</v>
      </c>
      <c r="C802" s="1205">
        <v>68.989999999999995</v>
      </c>
    </row>
    <row r="803" spans="1:3" ht="24" customHeight="1">
      <c r="A803" s="1205" t="s">
        <v>72798</v>
      </c>
      <c r="B803" s="1205" t="s">
        <v>63920</v>
      </c>
      <c r="C803" s="1205">
        <v>65.489999999999995</v>
      </c>
    </row>
    <row r="804" spans="1:3" ht="24" customHeight="1">
      <c r="A804" s="1205" t="s">
        <v>72797</v>
      </c>
      <c r="B804" s="1205" t="s">
        <v>72796</v>
      </c>
      <c r="C804" s="1205">
        <v>38.49</v>
      </c>
    </row>
    <row r="805" spans="1:3" ht="24" customHeight="1">
      <c r="A805" s="1205" t="s">
        <v>72795</v>
      </c>
      <c r="B805" s="1205" t="s">
        <v>72794</v>
      </c>
      <c r="C805" s="1205">
        <v>36.99</v>
      </c>
    </row>
    <row r="806" spans="1:3" ht="24" customHeight="1">
      <c r="A806" s="1205" t="s">
        <v>72793</v>
      </c>
      <c r="B806" s="1205" t="s">
        <v>72792</v>
      </c>
      <c r="C806" s="1205">
        <v>88.99</v>
      </c>
    </row>
    <row r="807" spans="1:3" ht="24" customHeight="1">
      <c r="A807" s="1205" t="s">
        <v>72791</v>
      </c>
      <c r="B807" s="1205" t="s">
        <v>72790</v>
      </c>
      <c r="C807" s="1205">
        <v>25.99</v>
      </c>
    </row>
    <row r="808" spans="1:3" ht="24" customHeight="1">
      <c r="A808" s="1205" t="s">
        <v>72789</v>
      </c>
      <c r="B808" s="1205" t="s">
        <v>72788</v>
      </c>
      <c r="C808" s="1205">
        <v>75.489999999999995</v>
      </c>
    </row>
    <row r="809" spans="1:3" ht="24" customHeight="1">
      <c r="A809" s="1205" t="s">
        <v>72787</v>
      </c>
      <c r="B809" s="1205" t="s">
        <v>72786</v>
      </c>
      <c r="C809" s="1205">
        <v>24.99</v>
      </c>
    </row>
    <row r="810" spans="1:3" ht="24" customHeight="1">
      <c r="A810" s="1205" t="s">
        <v>72785</v>
      </c>
      <c r="B810" s="1205" t="s">
        <v>72784</v>
      </c>
      <c r="C810" s="1205">
        <v>35.99</v>
      </c>
    </row>
    <row r="811" spans="1:3" ht="24" customHeight="1">
      <c r="A811" s="1205" t="s">
        <v>72783</v>
      </c>
      <c r="B811" s="1205" t="s">
        <v>72782</v>
      </c>
      <c r="C811" s="1205">
        <v>89.99</v>
      </c>
    </row>
    <row r="812" spans="1:3" ht="24" customHeight="1">
      <c r="A812" s="1205" t="s">
        <v>72781</v>
      </c>
      <c r="B812" s="1205" t="s">
        <v>72780</v>
      </c>
      <c r="C812" s="1205">
        <v>76.489999999999995</v>
      </c>
    </row>
    <row r="813" spans="1:3" ht="24" customHeight="1">
      <c r="A813" s="1205" t="s">
        <v>72779</v>
      </c>
      <c r="B813" s="1205" t="s">
        <v>72778</v>
      </c>
      <c r="C813" s="1205">
        <v>27.49</v>
      </c>
    </row>
    <row r="814" spans="1:3" ht="24" customHeight="1">
      <c r="A814" s="1205" t="s">
        <v>72777</v>
      </c>
      <c r="B814" s="1205" t="s">
        <v>72776</v>
      </c>
      <c r="C814" s="1205">
        <v>26.49</v>
      </c>
    </row>
    <row r="815" spans="1:3" ht="24" customHeight="1">
      <c r="A815" s="1205" t="s">
        <v>72775</v>
      </c>
      <c r="B815" s="1205" t="s">
        <v>72774</v>
      </c>
      <c r="C815" s="1205">
        <v>37.49</v>
      </c>
    </row>
    <row r="816" spans="1:3" ht="24" customHeight="1">
      <c r="A816" s="1205" t="s">
        <v>72773</v>
      </c>
      <c r="B816" s="1205" t="s">
        <v>72772</v>
      </c>
      <c r="C816" s="1205">
        <v>56.49</v>
      </c>
    </row>
    <row r="817" spans="1:3" ht="24" customHeight="1">
      <c r="A817" s="1205" t="s">
        <v>72771</v>
      </c>
      <c r="B817" s="1205" t="s">
        <v>72770</v>
      </c>
      <c r="C817" s="1205">
        <v>51.99</v>
      </c>
    </row>
    <row r="818" spans="1:3" ht="24" customHeight="1">
      <c r="A818" s="1205" t="s">
        <v>72769</v>
      </c>
      <c r="B818" s="1205" t="s">
        <v>72768</v>
      </c>
      <c r="C818" s="1205">
        <v>22.49</v>
      </c>
    </row>
    <row r="819" spans="1:3" ht="24" customHeight="1">
      <c r="A819" s="1205" t="s">
        <v>72767</v>
      </c>
      <c r="B819" s="1205" t="s">
        <v>72766</v>
      </c>
      <c r="C819" s="1205">
        <v>19.489999999999998</v>
      </c>
    </row>
    <row r="820" spans="1:3" ht="24" customHeight="1">
      <c r="A820" s="1205" t="s">
        <v>72765</v>
      </c>
      <c r="B820" s="1205" t="s">
        <v>72764</v>
      </c>
      <c r="C820" s="1205">
        <v>44.99</v>
      </c>
    </row>
    <row r="821" spans="1:3" ht="24" customHeight="1">
      <c r="A821" s="1205" t="s">
        <v>72763</v>
      </c>
      <c r="B821" s="1205" t="s">
        <v>72762</v>
      </c>
      <c r="C821" s="1205">
        <v>43.99</v>
      </c>
    </row>
    <row r="822" spans="1:3" ht="24" customHeight="1">
      <c r="A822" s="1205" t="s">
        <v>72761</v>
      </c>
      <c r="B822" s="1205" t="s">
        <v>72759</v>
      </c>
      <c r="C822" s="1205">
        <v>27.49</v>
      </c>
    </row>
    <row r="823" spans="1:3" ht="24" customHeight="1">
      <c r="A823" s="1205" t="s">
        <v>72760</v>
      </c>
      <c r="B823" s="1205" t="s">
        <v>72759</v>
      </c>
      <c r="C823" s="1205">
        <v>24.99</v>
      </c>
    </row>
    <row r="824" spans="1:3" ht="24" customHeight="1">
      <c r="A824" s="1205" t="s">
        <v>72758</v>
      </c>
      <c r="B824" s="1205" t="s">
        <v>72757</v>
      </c>
      <c r="C824" s="1205">
        <v>50.99</v>
      </c>
    </row>
    <row r="825" spans="1:3" ht="24" customHeight="1">
      <c r="A825" s="1205" t="s">
        <v>72756</v>
      </c>
      <c r="B825" s="1205" t="s">
        <v>72755</v>
      </c>
      <c r="C825" s="1205">
        <v>49.49</v>
      </c>
    </row>
    <row r="826" spans="1:3" ht="24" customHeight="1">
      <c r="A826" s="1205" t="s">
        <v>72754</v>
      </c>
      <c r="B826" s="1205" t="s">
        <v>72753</v>
      </c>
      <c r="C826" s="1205">
        <v>59.99</v>
      </c>
    </row>
    <row r="827" spans="1:3" ht="24" customHeight="1">
      <c r="A827" s="1205" t="s">
        <v>72752</v>
      </c>
      <c r="B827" s="1205" t="s">
        <v>72751</v>
      </c>
      <c r="C827" s="1205">
        <v>51.49</v>
      </c>
    </row>
    <row r="828" spans="1:3" ht="24" customHeight="1">
      <c r="A828" s="1205" t="s">
        <v>72750</v>
      </c>
      <c r="B828" s="1205" t="s">
        <v>72749</v>
      </c>
      <c r="C828" s="1205">
        <v>49.99</v>
      </c>
    </row>
    <row r="829" spans="1:3" ht="24" customHeight="1">
      <c r="A829" s="1205" t="s">
        <v>72748</v>
      </c>
      <c r="B829" s="1205" t="s">
        <v>72747</v>
      </c>
      <c r="C829" s="1205">
        <v>50.99</v>
      </c>
    </row>
    <row r="830" spans="1:3" ht="24" customHeight="1">
      <c r="A830" s="1205" t="s">
        <v>72746</v>
      </c>
      <c r="B830" s="1205" t="s">
        <v>72745</v>
      </c>
      <c r="C830" s="1205">
        <v>49.49</v>
      </c>
    </row>
    <row r="831" spans="1:3" ht="24" customHeight="1">
      <c r="A831" s="1205" t="s">
        <v>72744</v>
      </c>
      <c r="B831" s="1205" t="s">
        <v>72743</v>
      </c>
      <c r="C831" s="1205">
        <v>47.99</v>
      </c>
    </row>
    <row r="832" spans="1:3" ht="24" customHeight="1">
      <c r="A832" s="1205" t="s">
        <v>72742</v>
      </c>
      <c r="B832" s="1205" t="s">
        <v>72741</v>
      </c>
      <c r="C832" s="1205">
        <v>48.49</v>
      </c>
    </row>
    <row r="833" spans="1:3" ht="24" customHeight="1">
      <c r="A833" s="1205" t="s">
        <v>72740</v>
      </c>
      <c r="B833" s="1205" t="s">
        <v>72739</v>
      </c>
      <c r="C833" s="1205">
        <v>46.99</v>
      </c>
    </row>
    <row r="834" spans="1:3" ht="24" customHeight="1">
      <c r="A834" s="1205" t="s">
        <v>72738</v>
      </c>
      <c r="B834" s="1205" t="s">
        <v>72737</v>
      </c>
      <c r="C834" s="1205">
        <v>24.99</v>
      </c>
    </row>
    <row r="835" spans="1:3" ht="24" customHeight="1">
      <c r="A835" s="1205" t="s">
        <v>72736</v>
      </c>
      <c r="B835" s="1205" t="s">
        <v>72735</v>
      </c>
      <c r="C835" s="1205">
        <v>49.49</v>
      </c>
    </row>
    <row r="836" spans="1:3" ht="24" customHeight="1">
      <c r="A836" s="1205" t="s">
        <v>72734</v>
      </c>
      <c r="B836" s="1205" t="s">
        <v>72733</v>
      </c>
      <c r="C836" s="1205">
        <v>46.99</v>
      </c>
    </row>
    <row r="837" spans="1:3" ht="24" customHeight="1">
      <c r="A837" s="1205" t="s">
        <v>72732</v>
      </c>
      <c r="B837" s="1205" t="s">
        <v>72731</v>
      </c>
      <c r="C837" s="1205">
        <v>22.49</v>
      </c>
    </row>
    <row r="838" spans="1:3" ht="24" customHeight="1">
      <c r="A838" s="1205" t="s">
        <v>72730</v>
      </c>
      <c r="B838" s="1205" t="s">
        <v>72729</v>
      </c>
      <c r="C838" s="1205">
        <v>23.99</v>
      </c>
    </row>
    <row r="839" spans="1:3" ht="24" customHeight="1">
      <c r="A839" s="1205" t="s">
        <v>72728</v>
      </c>
      <c r="B839" s="1205" t="s">
        <v>72727</v>
      </c>
      <c r="C839" s="1205">
        <v>22.49</v>
      </c>
    </row>
    <row r="840" spans="1:3" ht="24" customHeight="1">
      <c r="A840" s="1205" t="s">
        <v>72726</v>
      </c>
      <c r="B840" s="1205" t="s">
        <v>72725</v>
      </c>
      <c r="C840" s="1205">
        <v>62.99</v>
      </c>
    </row>
    <row r="841" spans="1:3" ht="24" customHeight="1">
      <c r="A841" s="1205" t="s">
        <v>72724</v>
      </c>
      <c r="B841" s="1205" t="s">
        <v>72723</v>
      </c>
      <c r="C841" s="1205">
        <v>61.49</v>
      </c>
    </row>
    <row r="842" spans="1:3" ht="24" customHeight="1">
      <c r="A842" s="1205" t="s">
        <v>72722</v>
      </c>
      <c r="B842" s="1205" t="s">
        <v>72721</v>
      </c>
      <c r="C842" s="1205">
        <v>61.99</v>
      </c>
    </row>
    <row r="843" spans="1:3" ht="24" customHeight="1">
      <c r="A843" s="1205" t="s">
        <v>72720</v>
      </c>
      <c r="B843" s="1205" t="s">
        <v>72719</v>
      </c>
      <c r="C843" s="1205">
        <v>60.49</v>
      </c>
    </row>
    <row r="844" spans="1:3" ht="24" customHeight="1">
      <c r="A844" s="1205" t="s">
        <v>72718</v>
      </c>
      <c r="B844" s="1205" t="s">
        <v>72717</v>
      </c>
      <c r="C844" s="1205">
        <v>58.49</v>
      </c>
    </row>
    <row r="845" spans="1:3" ht="24" customHeight="1">
      <c r="A845" s="1205" t="s">
        <v>72716</v>
      </c>
      <c r="B845" s="1205" t="s">
        <v>72715</v>
      </c>
      <c r="C845" s="1205">
        <v>82.49</v>
      </c>
    </row>
    <row r="846" spans="1:3" ht="24" customHeight="1">
      <c r="A846" s="1205" t="s">
        <v>72714</v>
      </c>
      <c r="B846" s="1205" t="s">
        <v>72713</v>
      </c>
      <c r="C846" s="1205">
        <v>50.99</v>
      </c>
    </row>
    <row r="847" spans="1:3" ht="24" customHeight="1">
      <c r="A847" s="1205" t="s">
        <v>72712</v>
      </c>
      <c r="B847" s="1205" t="s">
        <v>72711</v>
      </c>
      <c r="C847" s="1205">
        <v>50.49</v>
      </c>
    </row>
    <row r="848" spans="1:3" ht="24" customHeight="1">
      <c r="A848" s="1205" t="s">
        <v>72710</v>
      </c>
      <c r="B848" s="1205" t="s">
        <v>72709</v>
      </c>
      <c r="C848" s="1205">
        <v>51.99</v>
      </c>
    </row>
    <row r="849" spans="1:3" ht="24" customHeight="1">
      <c r="A849" s="1205" t="s">
        <v>72708</v>
      </c>
      <c r="B849" s="1205" t="s">
        <v>72707</v>
      </c>
      <c r="C849" s="1205">
        <v>88.49</v>
      </c>
    </row>
    <row r="850" spans="1:3" ht="24" customHeight="1">
      <c r="A850" s="1205" t="s">
        <v>72706</v>
      </c>
      <c r="B850" s="1205" t="s">
        <v>72705</v>
      </c>
      <c r="C850" s="1205">
        <v>89.99</v>
      </c>
    </row>
    <row r="851" spans="1:3" ht="24" customHeight="1">
      <c r="A851" s="1205" t="s">
        <v>72704</v>
      </c>
      <c r="B851" s="1205" t="s">
        <v>72703</v>
      </c>
      <c r="C851" s="1205">
        <v>84.99</v>
      </c>
    </row>
    <row r="852" spans="1:3" ht="24" customHeight="1">
      <c r="A852" s="1205" t="s">
        <v>72702</v>
      </c>
      <c r="B852" s="1205" t="s">
        <v>72700</v>
      </c>
      <c r="C852" s="1205">
        <v>48.99</v>
      </c>
    </row>
    <row r="853" spans="1:3" ht="24" customHeight="1">
      <c r="A853" s="1205" t="s">
        <v>72701</v>
      </c>
      <c r="B853" s="1205" t="s">
        <v>72700</v>
      </c>
      <c r="C853" s="1205">
        <v>47.49</v>
      </c>
    </row>
    <row r="854" spans="1:3" ht="24" customHeight="1">
      <c r="A854" s="1205" t="s">
        <v>72699</v>
      </c>
      <c r="B854" s="1205" t="s">
        <v>72698</v>
      </c>
      <c r="C854" s="1205">
        <v>55.49</v>
      </c>
    </row>
    <row r="855" spans="1:3" ht="24" customHeight="1">
      <c r="A855" s="1205" t="s">
        <v>72697</v>
      </c>
      <c r="B855" s="1205" t="s">
        <v>72696</v>
      </c>
      <c r="C855" s="1205">
        <v>47.49</v>
      </c>
    </row>
    <row r="856" spans="1:3" ht="24" customHeight="1">
      <c r="A856" s="1205" t="s">
        <v>72695</v>
      </c>
      <c r="B856" s="1205" t="s">
        <v>72694</v>
      </c>
      <c r="C856" s="1205">
        <v>90.49</v>
      </c>
    </row>
    <row r="857" spans="1:3" ht="24" customHeight="1">
      <c r="A857" s="1205" t="s">
        <v>72693</v>
      </c>
      <c r="B857" s="1205" t="s">
        <v>63849</v>
      </c>
      <c r="C857" s="1205">
        <v>51.49</v>
      </c>
    </row>
    <row r="858" spans="1:3" ht="24" customHeight="1">
      <c r="A858" s="1205" t="s">
        <v>72692</v>
      </c>
      <c r="B858" s="1205" t="s">
        <v>72691</v>
      </c>
      <c r="C858" s="1205">
        <v>43.49</v>
      </c>
    </row>
    <row r="859" spans="1:3" ht="24" customHeight="1">
      <c r="A859" s="1205" t="s">
        <v>72690</v>
      </c>
      <c r="B859" s="1205" t="s">
        <v>72689</v>
      </c>
      <c r="C859" s="1205">
        <v>21.99</v>
      </c>
    </row>
    <row r="860" spans="1:3" ht="24" customHeight="1">
      <c r="A860" s="1205" t="s">
        <v>72688</v>
      </c>
      <c r="B860" s="1205" t="s">
        <v>64946</v>
      </c>
      <c r="C860" s="1205">
        <v>18.989999999999998</v>
      </c>
    </row>
    <row r="861" spans="1:3" ht="24" customHeight="1">
      <c r="A861" s="1205" t="s">
        <v>72687</v>
      </c>
      <c r="B861" s="1205" t="s">
        <v>72686</v>
      </c>
      <c r="C861" s="1205">
        <v>112.99</v>
      </c>
    </row>
    <row r="862" spans="1:3" ht="24" customHeight="1">
      <c r="A862" s="1205" t="s">
        <v>72685</v>
      </c>
      <c r="B862" s="1205" t="s">
        <v>72684</v>
      </c>
      <c r="C862" s="1205">
        <v>44.49</v>
      </c>
    </row>
    <row r="863" spans="1:3" ht="24" customHeight="1">
      <c r="A863" s="1205" t="s">
        <v>72683</v>
      </c>
      <c r="B863" s="1205" t="s">
        <v>72682</v>
      </c>
      <c r="C863" s="1205">
        <v>42.99</v>
      </c>
    </row>
    <row r="864" spans="1:3" ht="24" customHeight="1">
      <c r="A864" s="1205" t="s">
        <v>72681</v>
      </c>
      <c r="B864" s="1205" t="s">
        <v>72680</v>
      </c>
      <c r="C864" s="1205">
        <v>54.49</v>
      </c>
    </row>
    <row r="865" spans="1:3" ht="24" customHeight="1">
      <c r="A865" s="1205" t="s">
        <v>72679</v>
      </c>
      <c r="B865" s="1205" t="s">
        <v>72678</v>
      </c>
      <c r="C865" s="1205">
        <v>80.489999999999995</v>
      </c>
    </row>
    <row r="866" spans="1:3" ht="24" customHeight="1">
      <c r="A866" s="1205" t="s">
        <v>72677</v>
      </c>
      <c r="B866" s="1205" t="s">
        <v>72676</v>
      </c>
      <c r="C866" s="1205">
        <v>61.99</v>
      </c>
    </row>
    <row r="867" spans="1:3" ht="24" customHeight="1">
      <c r="A867" s="1205" t="s">
        <v>72675</v>
      </c>
      <c r="B867" s="1205" t="s">
        <v>72674</v>
      </c>
      <c r="C867" s="1205">
        <v>58.99</v>
      </c>
    </row>
    <row r="868" spans="1:3" ht="24" customHeight="1">
      <c r="A868" s="1205" t="s">
        <v>72673</v>
      </c>
      <c r="B868" s="1205" t="s">
        <v>72672</v>
      </c>
      <c r="C868" s="1205">
        <v>60.99</v>
      </c>
    </row>
    <row r="869" spans="1:3" ht="24" customHeight="1">
      <c r="A869" s="1205" t="s">
        <v>72671</v>
      </c>
      <c r="B869" s="1205" t="s">
        <v>72670</v>
      </c>
      <c r="C869" s="1205">
        <v>57.49</v>
      </c>
    </row>
    <row r="870" spans="1:3" ht="24" customHeight="1">
      <c r="A870" s="1205" t="s">
        <v>72669</v>
      </c>
      <c r="B870" s="1205" t="s">
        <v>72668</v>
      </c>
      <c r="C870" s="1205">
        <v>60.49</v>
      </c>
    </row>
    <row r="871" spans="1:3" ht="24" customHeight="1">
      <c r="A871" s="1205" t="s">
        <v>72667</v>
      </c>
      <c r="B871" s="1205" t="s">
        <v>72666</v>
      </c>
      <c r="C871" s="1205">
        <v>58.49</v>
      </c>
    </row>
    <row r="872" spans="1:3" ht="24" customHeight="1">
      <c r="A872" s="1205" t="s">
        <v>72665</v>
      </c>
      <c r="B872" s="1205" t="s">
        <v>72664</v>
      </c>
      <c r="C872" s="1205">
        <v>77.989999999999995</v>
      </c>
    </row>
    <row r="873" spans="1:3" ht="24" customHeight="1">
      <c r="A873" s="1205" t="s">
        <v>72663</v>
      </c>
      <c r="B873" s="1205" t="s">
        <v>72662</v>
      </c>
      <c r="C873" s="1205">
        <v>76.989999999999995</v>
      </c>
    </row>
    <row r="874" spans="1:3" ht="24" customHeight="1">
      <c r="A874" s="1205" t="s">
        <v>72661</v>
      </c>
      <c r="B874" s="1205" t="s">
        <v>72660</v>
      </c>
      <c r="C874" s="1205">
        <v>86.99</v>
      </c>
    </row>
    <row r="875" spans="1:3" ht="24" customHeight="1">
      <c r="A875" s="1205" t="s">
        <v>72659</v>
      </c>
      <c r="B875" s="1205" t="s">
        <v>72658</v>
      </c>
      <c r="C875" s="1205">
        <v>85.99</v>
      </c>
    </row>
    <row r="876" spans="1:3" ht="24" customHeight="1">
      <c r="A876" s="1205" t="s">
        <v>72657</v>
      </c>
      <c r="B876" s="1205" t="s">
        <v>72656</v>
      </c>
      <c r="C876" s="1205">
        <v>79.489999999999995</v>
      </c>
    </row>
    <row r="877" spans="1:3" ht="24" customHeight="1">
      <c r="A877" s="1205" t="s">
        <v>72655</v>
      </c>
      <c r="B877" s="1205" t="s">
        <v>72654</v>
      </c>
      <c r="C877" s="1205">
        <v>35.49</v>
      </c>
    </row>
    <row r="878" spans="1:3" ht="24" customHeight="1">
      <c r="A878" s="1205" t="s">
        <v>72653</v>
      </c>
      <c r="B878" s="1205" t="s">
        <v>72652</v>
      </c>
      <c r="C878" s="1205">
        <v>35.99</v>
      </c>
    </row>
    <row r="879" spans="1:3" ht="24" customHeight="1">
      <c r="A879" s="1205" t="s">
        <v>72651</v>
      </c>
      <c r="B879" s="1205" t="s">
        <v>72650</v>
      </c>
      <c r="C879" s="1205">
        <v>32.99</v>
      </c>
    </row>
    <row r="880" spans="1:3" ht="24" customHeight="1">
      <c r="A880" s="1205" t="s">
        <v>72649</v>
      </c>
      <c r="B880" s="1205" t="s">
        <v>72648</v>
      </c>
      <c r="C880" s="1205">
        <v>71.989999999999995</v>
      </c>
    </row>
    <row r="881" spans="1:3" ht="24" customHeight="1">
      <c r="A881" s="1205" t="s">
        <v>72647</v>
      </c>
      <c r="B881" s="1205" t="s">
        <v>72646</v>
      </c>
      <c r="C881" s="1205">
        <v>70.489999999999995</v>
      </c>
    </row>
    <row r="882" spans="1:3" ht="24" customHeight="1">
      <c r="A882" s="1205" t="s">
        <v>72645</v>
      </c>
      <c r="B882" s="1205" t="s">
        <v>72644</v>
      </c>
      <c r="C882" s="1205">
        <v>66.989999999999995</v>
      </c>
    </row>
    <row r="883" spans="1:3" ht="24" customHeight="1">
      <c r="A883" s="1205" t="s">
        <v>72643</v>
      </c>
      <c r="B883" s="1205" t="s">
        <v>72642</v>
      </c>
      <c r="C883" s="1205">
        <v>73.489999999999995</v>
      </c>
    </row>
    <row r="884" spans="1:3" ht="24" customHeight="1">
      <c r="A884" s="1205" t="s">
        <v>72641</v>
      </c>
      <c r="B884" s="1205" t="s">
        <v>72640</v>
      </c>
      <c r="C884" s="1205">
        <v>70.489999999999995</v>
      </c>
    </row>
    <row r="885" spans="1:3" ht="24" customHeight="1">
      <c r="A885" s="1205" t="s">
        <v>72639</v>
      </c>
      <c r="B885" s="1205" t="s">
        <v>72638</v>
      </c>
      <c r="C885" s="1205">
        <v>78.989999999999995</v>
      </c>
    </row>
    <row r="886" spans="1:3" ht="24" customHeight="1">
      <c r="A886" s="1205" t="s">
        <v>72637</v>
      </c>
      <c r="B886" s="1205" t="s">
        <v>72636</v>
      </c>
      <c r="C886" s="1205">
        <v>64.989999999999995</v>
      </c>
    </row>
    <row r="887" spans="1:3" ht="24" customHeight="1">
      <c r="A887" s="1205" t="s">
        <v>72635</v>
      </c>
      <c r="B887" s="1205" t="s">
        <v>72634</v>
      </c>
      <c r="C887" s="1205">
        <v>73.989999999999995</v>
      </c>
    </row>
    <row r="888" spans="1:3" ht="24" customHeight="1">
      <c r="A888" s="1205" t="s">
        <v>72633</v>
      </c>
      <c r="B888" s="1205" t="s">
        <v>72632</v>
      </c>
      <c r="C888" s="1205">
        <v>69.989999999999995</v>
      </c>
    </row>
    <row r="889" spans="1:3" ht="24" customHeight="1">
      <c r="A889" s="1205" t="s">
        <v>72631</v>
      </c>
      <c r="B889" s="1205" t="s">
        <v>72630</v>
      </c>
      <c r="C889" s="1205">
        <v>84.49</v>
      </c>
    </row>
    <row r="890" spans="1:3" ht="24" customHeight="1">
      <c r="A890" s="1205" t="s">
        <v>72629</v>
      </c>
      <c r="B890" s="1205" t="s">
        <v>72628</v>
      </c>
      <c r="C890" s="1205">
        <v>87.99</v>
      </c>
    </row>
    <row r="891" spans="1:3" ht="24" customHeight="1">
      <c r="A891" s="1205" t="s">
        <v>72627</v>
      </c>
      <c r="B891" s="1205" t="s">
        <v>72626</v>
      </c>
      <c r="C891" s="1205">
        <v>58.49</v>
      </c>
    </row>
    <row r="892" spans="1:3" ht="24" customHeight="1">
      <c r="A892" s="1205" t="s">
        <v>72625</v>
      </c>
      <c r="B892" s="1205" t="s">
        <v>72624</v>
      </c>
      <c r="C892" s="1205">
        <v>67.489999999999995</v>
      </c>
    </row>
    <row r="893" spans="1:3" ht="24" customHeight="1">
      <c r="A893" s="1205" t="s">
        <v>72623</v>
      </c>
      <c r="B893" s="1205" t="s">
        <v>72622</v>
      </c>
      <c r="C893" s="1205">
        <v>57.99</v>
      </c>
    </row>
    <row r="894" spans="1:3" ht="24" customHeight="1">
      <c r="A894" s="1205" t="s">
        <v>72621</v>
      </c>
      <c r="B894" s="1205" t="s">
        <v>72620</v>
      </c>
      <c r="C894" s="1205">
        <v>112.49</v>
      </c>
    </row>
    <row r="895" spans="1:3" ht="24" customHeight="1">
      <c r="A895" s="1205" t="s">
        <v>72619</v>
      </c>
      <c r="B895" s="1205" t="s">
        <v>72618</v>
      </c>
      <c r="C895" s="1205">
        <v>79.989999999999995</v>
      </c>
    </row>
    <row r="896" spans="1:3" ht="24" customHeight="1">
      <c r="A896" s="1205" t="s">
        <v>72617</v>
      </c>
      <c r="B896" s="1205" t="s">
        <v>72616</v>
      </c>
      <c r="C896" s="1205">
        <v>81.99</v>
      </c>
    </row>
    <row r="897" spans="1:3" ht="24" customHeight="1">
      <c r="A897" s="1205" t="s">
        <v>72615</v>
      </c>
      <c r="B897" s="1205" t="s">
        <v>72614</v>
      </c>
      <c r="C897" s="1205">
        <v>78.989999999999995</v>
      </c>
    </row>
    <row r="898" spans="1:3" ht="24" customHeight="1">
      <c r="A898" s="1205" t="s">
        <v>72613</v>
      </c>
      <c r="B898" s="1205" t="s">
        <v>72612</v>
      </c>
      <c r="C898" s="1205">
        <v>70.489999999999995</v>
      </c>
    </row>
    <row r="899" spans="1:3" ht="24" customHeight="1">
      <c r="A899" s="1205" t="s">
        <v>72611</v>
      </c>
      <c r="B899" s="1205" t="s">
        <v>72610</v>
      </c>
      <c r="C899" s="1205">
        <v>90.49</v>
      </c>
    </row>
    <row r="900" spans="1:3" ht="24" customHeight="1">
      <c r="A900" s="1205" t="s">
        <v>72609</v>
      </c>
      <c r="B900" s="1205" t="s">
        <v>72608</v>
      </c>
      <c r="C900" s="1205">
        <v>90.49</v>
      </c>
    </row>
    <row r="901" spans="1:3" ht="24" customHeight="1">
      <c r="A901" s="1205" t="s">
        <v>72607</v>
      </c>
      <c r="B901" s="1205" t="s">
        <v>72606</v>
      </c>
      <c r="C901" s="1205">
        <v>89.49</v>
      </c>
    </row>
    <row r="902" spans="1:3" ht="24" customHeight="1">
      <c r="A902" s="1205" t="s">
        <v>72605</v>
      </c>
      <c r="B902" s="1205" t="s">
        <v>72604</v>
      </c>
      <c r="C902" s="1205">
        <v>96.99</v>
      </c>
    </row>
    <row r="903" spans="1:3" ht="24" customHeight="1">
      <c r="A903" s="1205" t="s">
        <v>72603</v>
      </c>
      <c r="B903" s="1205" t="s">
        <v>72602</v>
      </c>
      <c r="C903" s="1205">
        <v>90.99</v>
      </c>
    </row>
    <row r="904" spans="1:3" ht="24" customHeight="1">
      <c r="A904" s="1205" t="s">
        <v>72601</v>
      </c>
      <c r="B904" s="1205" t="s">
        <v>72600</v>
      </c>
      <c r="C904" s="1205">
        <v>98.49</v>
      </c>
    </row>
    <row r="905" spans="1:3" ht="24" customHeight="1">
      <c r="A905" s="1205" t="s">
        <v>72599</v>
      </c>
      <c r="B905" s="1205" t="s">
        <v>72598</v>
      </c>
      <c r="C905" s="1205">
        <v>92.49</v>
      </c>
    </row>
    <row r="906" spans="1:3" ht="24" customHeight="1">
      <c r="A906" s="1205" t="s">
        <v>72597</v>
      </c>
      <c r="B906" s="1205" t="s">
        <v>63797</v>
      </c>
      <c r="C906" s="1205">
        <v>74.989999999999995</v>
      </c>
    </row>
    <row r="907" spans="1:3" ht="24" customHeight="1">
      <c r="A907" s="1205" t="s">
        <v>72596</v>
      </c>
      <c r="B907" s="1205" t="s">
        <v>72595</v>
      </c>
      <c r="C907" s="1205">
        <v>79.489999999999995</v>
      </c>
    </row>
    <row r="908" spans="1:3" ht="24" customHeight="1">
      <c r="A908" s="1205" t="s">
        <v>72594</v>
      </c>
      <c r="B908" s="1205" t="s">
        <v>72593</v>
      </c>
      <c r="C908" s="1205">
        <v>56.99</v>
      </c>
    </row>
    <row r="909" spans="1:3" ht="24" customHeight="1">
      <c r="A909" s="1205" t="s">
        <v>72592</v>
      </c>
      <c r="B909" s="1205" t="s">
        <v>72591</v>
      </c>
      <c r="C909" s="1205">
        <v>55.99</v>
      </c>
    </row>
    <row r="910" spans="1:3" ht="24" customHeight="1">
      <c r="A910" s="1205" t="s">
        <v>72590</v>
      </c>
      <c r="B910" s="1205" t="s">
        <v>72589</v>
      </c>
      <c r="C910" s="1205">
        <v>68.489999999999995</v>
      </c>
    </row>
    <row r="911" spans="1:3" ht="24" customHeight="1">
      <c r="A911" s="1205" t="s">
        <v>72588</v>
      </c>
      <c r="B911" s="1205" t="s">
        <v>72587</v>
      </c>
      <c r="C911" s="1205">
        <v>97.49</v>
      </c>
    </row>
    <row r="912" spans="1:3" ht="24" customHeight="1">
      <c r="A912" s="1205" t="s">
        <v>72586</v>
      </c>
      <c r="B912" s="1205" t="s">
        <v>72585</v>
      </c>
      <c r="C912" s="1205">
        <v>93.99</v>
      </c>
    </row>
    <row r="913" spans="1:3" ht="24" customHeight="1">
      <c r="A913" s="1205" t="s">
        <v>72584</v>
      </c>
      <c r="B913" s="1205" t="s">
        <v>72583</v>
      </c>
      <c r="C913" s="1205">
        <v>97.99</v>
      </c>
    </row>
    <row r="914" spans="1:3" ht="24" customHeight="1">
      <c r="A914" s="1205" t="s">
        <v>72582</v>
      </c>
      <c r="B914" s="1205" t="s">
        <v>72581</v>
      </c>
      <c r="C914" s="1205">
        <v>156.99</v>
      </c>
    </row>
    <row r="915" spans="1:3" ht="24" customHeight="1">
      <c r="A915" s="1205" t="s">
        <v>72580</v>
      </c>
      <c r="B915" s="1205" t="s">
        <v>72579</v>
      </c>
      <c r="C915" s="1205">
        <v>47.49</v>
      </c>
    </row>
    <row r="916" spans="1:3" ht="24" customHeight="1">
      <c r="A916" s="1205" t="s">
        <v>72578</v>
      </c>
      <c r="B916" s="1205" t="s">
        <v>72577</v>
      </c>
      <c r="C916" s="1205">
        <v>113.49</v>
      </c>
    </row>
    <row r="917" spans="1:3" ht="24" customHeight="1">
      <c r="A917" s="1205" t="s">
        <v>72576</v>
      </c>
      <c r="B917" s="1205" t="s">
        <v>72575</v>
      </c>
      <c r="C917" s="1205">
        <v>115.99</v>
      </c>
    </row>
    <row r="918" spans="1:3" ht="24" customHeight="1">
      <c r="A918" s="1205" t="s">
        <v>72574</v>
      </c>
      <c r="B918" s="1205" t="s">
        <v>72573</v>
      </c>
      <c r="C918" s="1205">
        <v>113.49</v>
      </c>
    </row>
    <row r="919" spans="1:3" ht="24" customHeight="1">
      <c r="A919" s="1205" t="s">
        <v>72572</v>
      </c>
      <c r="B919" s="1205" t="s">
        <v>72571</v>
      </c>
      <c r="C919" s="1205">
        <v>77.989999999999995</v>
      </c>
    </row>
    <row r="920" spans="1:3" ht="24" customHeight="1">
      <c r="A920" s="1205" t="s">
        <v>72570</v>
      </c>
      <c r="B920" s="1205" t="s">
        <v>72569</v>
      </c>
      <c r="C920" s="1205">
        <v>22.99</v>
      </c>
    </row>
    <row r="921" spans="1:3" ht="24" customHeight="1">
      <c r="A921" s="1205" t="s">
        <v>72568</v>
      </c>
      <c r="B921" s="1205" t="s">
        <v>72567</v>
      </c>
      <c r="C921" s="1205">
        <v>17.989999999999998</v>
      </c>
    </row>
    <row r="922" spans="1:3" ht="24" customHeight="1">
      <c r="A922" s="1205" t="s">
        <v>72566</v>
      </c>
      <c r="B922" s="1205" t="s">
        <v>72565</v>
      </c>
      <c r="C922" s="1205">
        <v>72.989999999999995</v>
      </c>
    </row>
    <row r="923" spans="1:3" ht="24" customHeight="1">
      <c r="A923" s="1205" t="s">
        <v>72564</v>
      </c>
      <c r="B923" s="1205" t="s">
        <v>72563</v>
      </c>
      <c r="C923" s="1205">
        <v>70.489999999999995</v>
      </c>
    </row>
    <row r="924" spans="1:3" ht="24" customHeight="1">
      <c r="A924" s="1205" t="s">
        <v>72562</v>
      </c>
      <c r="B924" s="1205" t="s">
        <v>72561</v>
      </c>
      <c r="C924" s="1205">
        <v>63.99</v>
      </c>
    </row>
    <row r="925" spans="1:3" ht="24" customHeight="1">
      <c r="A925" s="1205" t="s">
        <v>72560</v>
      </c>
      <c r="B925" s="1205" t="s">
        <v>72559</v>
      </c>
      <c r="C925" s="1205">
        <v>61.99</v>
      </c>
    </row>
    <row r="926" spans="1:3" ht="24" customHeight="1">
      <c r="A926" s="1205" t="s">
        <v>72558</v>
      </c>
      <c r="B926" s="1205" t="s">
        <v>72557</v>
      </c>
      <c r="C926" s="1205">
        <v>122.99</v>
      </c>
    </row>
    <row r="927" spans="1:3" ht="24" customHeight="1">
      <c r="A927" s="1205" t="s">
        <v>72556</v>
      </c>
      <c r="B927" s="1205" t="s">
        <v>72555</v>
      </c>
      <c r="C927" s="1205">
        <v>124.99</v>
      </c>
    </row>
    <row r="928" spans="1:3" ht="24" customHeight="1">
      <c r="A928" s="1205" t="s">
        <v>72554</v>
      </c>
      <c r="B928" s="1205" t="s">
        <v>72553</v>
      </c>
      <c r="C928" s="1205">
        <v>70.989999999999995</v>
      </c>
    </row>
    <row r="929" spans="1:3" ht="24" customHeight="1">
      <c r="A929" s="1205" t="s">
        <v>72552</v>
      </c>
      <c r="B929" s="1205" t="s">
        <v>72551</v>
      </c>
      <c r="C929" s="1205">
        <v>20.49</v>
      </c>
    </row>
    <row r="930" spans="1:3" ht="24" customHeight="1">
      <c r="A930" s="1205" t="s">
        <v>72550</v>
      </c>
      <c r="B930" s="1205" t="s">
        <v>72549</v>
      </c>
      <c r="C930" s="1205">
        <v>65.489999999999995</v>
      </c>
    </row>
    <row r="931" spans="1:3" ht="24" customHeight="1">
      <c r="A931" s="1205" t="s">
        <v>72548</v>
      </c>
      <c r="B931" s="1205" t="s">
        <v>72547</v>
      </c>
      <c r="C931" s="1205">
        <v>35.49</v>
      </c>
    </row>
    <row r="932" spans="1:3" ht="24" customHeight="1">
      <c r="A932" s="1205" t="s">
        <v>72546</v>
      </c>
      <c r="B932" s="1205" t="s">
        <v>72545</v>
      </c>
      <c r="C932" s="1205">
        <v>62.99</v>
      </c>
    </row>
    <row r="933" spans="1:3" ht="24" customHeight="1">
      <c r="A933" s="1205" t="s">
        <v>72544</v>
      </c>
      <c r="B933" s="1205" t="s">
        <v>72543</v>
      </c>
      <c r="C933" s="1205">
        <v>185.49</v>
      </c>
    </row>
    <row r="934" spans="1:3" ht="24" customHeight="1">
      <c r="A934" s="1205" t="s">
        <v>72542</v>
      </c>
      <c r="B934" s="1205" t="s">
        <v>72541</v>
      </c>
      <c r="C934" s="1205">
        <v>178.49</v>
      </c>
    </row>
    <row r="935" spans="1:3" ht="24" customHeight="1">
      <c r="A935" s="1205" t="s">
        <v>72540</v>
      </c>
      <c r="B935" s="1205" t="s">
        <v>72539</v>
      </c>
      <c r="C935" s="1205">
        <v>185.99</v>
      </c>
    </row>
    <row r="936" spans="1:3" ht="24" customHeight="1">
      <c r="A936" s="1205" t="s">
        <v>72538</v>
      </c>
      <c r="B936" s="1205" t="s">
        <v>72537</v>
      </c>
      <c r="C936" s="1205">
        <v>184.99</v>
      </c>
    </row>
    <row r="937" spans="1:3" ht="24" customHeight="1">
      <c r="A937" s="1205" t="s">
        <v>72536</v>
      </c>
      <c r="B937" s="1205" t="s">
        <v>72535</v>
      </c>
      <c r="C937" s="1205">
        <v>105.49</v>
      </c>
    </row>
    <row r="938" spans="1:3" ht="24" customHeight="1">
      <c r="A938" s="1205" t="s">
        <v>72534</v>
      </c>
      <c r="B938" s="1205" t="s">
        <v>72533</v>
      </c>
      <c r="C938" s="1205">
        <v>184.49</v>
      </c>
    </row>
    <row r="939" spans="1:3" ht="24" customHeight="1">
      <c r="A939" s="1205" t="s">
        <v>72532</v>
      </c>
      <c r="B939" s="1205" t="s">
        <v>72531</v>
      </c>
      <c r="C939" s="1205">
        <v>192.49</v>
      </c>
    </row>
    <row r="940" spans="1:3" ht="24" customHeight="1">
      <c r="A940" s="1205" t="s">
        <v>72530</v>
      </c>
      <c r="B940" s="1205" t="s">
        <v>72529</v>
      </c>
      <c r="C940" s="1205">
        <v>193.49</v>
      </c>
    </row>
    <row r="941" spans="1:3" ht="24" customHeight="1">
      <c r="A941" s="1205" t="s">
        <v>72528</v>
      </c>
      <c r="B941" s="1205" t="s">
        <v>72527</v>
      </c>
      <c r="C941" s="1205">
        <v>190.99</v>
      </c>
    </row>
    <row r="942" spans="1:3" ht="24" customHeight="1">
      <c r="A942" s="1205" t="s">
        <v>72526</v>
      </c>
      <c r="B942" s="1205" t="s">
        <v>72525</v>
      </c>
      <c r="C942" s="1205">
        <v>192.99</v>
      </c>
    </row>
    <row r="943" spans="1:3" ht="24" customHeight="1">
      <c r="A943" s="1205" t="s">
        <v>72524</v>
      </c>
      <c r="B943" s="1205" t="s">
        <v>72523</v>
      </c>
      <c r="C943" s="1205">
        <v>181.49</v>
      </c>
    </row>
    <row r="944" spans="1:3" ht="24" customHeight="1">
      <c r="A944" s="1205" t="s">
        <v>72522</v>
      </c>
      <c r="B944" s="1205" t="s">
        <v>72521</v>
      </c>
      <c r="C944" s="1205">
        <v>220.99</v>
      </c>
    </row>
    <row r="945" spans="1:3" ht="24" customHeight="1">
      <c r="A945" s="1205" t="s">
        <v>72520</v>
      </c>
      <c r="B945" s="1205" t="s">
        <v>72519</v>
      </c>
      <c r="C945" s="1205">
        <v>47.49</v>
      </c>
    </row>
    <row r="946" spans="1:3" ht="24" customHeight="1">
      <c r="A946" s="1205" t="s">
        <v>72518</v>
      </c>
      <c r="B946" s="1205" t="s">
        <v>72517</v>
      </c>
      <c r="C946" s="1205">
        <v>50.99</v>
      </c>
    </row>
    <row r="947" spans="1:3" ht="24" customHeight="1">
      <c r="A947" s="1205" t="s">
        <v>72516</v>
      </c>
      <c r="B947" s="1205" t="s">
        <v>72515</v>
      </c>
      <c r="C947" s="1205">
        <v>60.49</v>
      </c>
    </row>
    <row r="948" spans="1:3" ht="24" customHeight="1">
      <c r="A948" s="1205" t="s">
        <v>72514</v>
      </c>
      <c r="B948" s="1205" t="s">
        <v>72513</v>
      </c>
      <c r="C948" s="1205">
        <v>57.49</v>
      </c>
    </row>
    <row r="949" spans="1:3" ht="24" customHeight="1">
      <c r="A949" s="1205" t="s">
        <v>72512</v>
      </c>
      <c r="B949" s="1205" t="s">
        <v>72509</v>
      </c>
      <c r="C949" s="1205">
        <v>45.49</v>
      </c>
    </row>
    <row r="950" spans="1:3" ht="24" customHeight="1">
      <c r="A950" s="1205" t="s">
        <v>72511</v>
      </c>
      <c r="B950" s="1205" t="s">
        <v>72509</v>
      </c>
      <c r="C950" s="1205">
        <v>35.49</v>
      </c>
    </row>
    <row r="951" spans="1:3" ht="24" customHeight="1">
      <c r="A951" s="1205" t="s">
        <v>72510</v>
      </c>
      <c r="B951" s="1205" t="s">
        <v>72509</v>
      </c>
      <c r="C951" s="1205">
        <v>38.49</v>
      </c>
    </row>
    <row r="952" spans="1:3" ht="24" customHeight="1">
      <c r="A952" s="1205" t="s">
        <v>72508</v>
      </c>
      <c r="B952" s="1205" t="s">
        <v>72507</v>
      </c>
      <c r="C952" s="1205">
        <v>28.49</v>
      </c>
    </row>
    <row r="953" spans="1:3" ht="24" customHeight="1">
      <c r="A953" s="1205" t="s">
        <v>72506</v>
      </c>
      <c r="B953" s="1205" t="s">
        <v>72505</v>
      </c>
      <c r="C953" s="1205">
        <v>34.49</v>
      </c>
    </row>
    <row r="954" spans="1:3" ht="24" customHeight="1">
      <c r="A954" s="1205" t="s">
        <v>72504</v>
      </c>
      <c r="B954" s="1205" t="s">
        <v>72503</v>
      </c>
      <c r="C954" s="1205">
        <v>25.49</v>
      </c>
    </row>
    <row r="955" spans="1:3" ht="24" customHeight="1">
      <c r="A955" s="1205" t="s">
        <v>72502</v>
      </c>
      <c r="B955" s="1205" t="s">
        <v>72501</v>
      </c>
      <c r="C955" s="1205">
        <v>6.99</v>
      </c>
    </row>
    <row r="956" spans="1:3" ht="24" customHeight="1">
      <c r="A956" s="1205" t="s">
        <v>72500</v>
      </c>
      <c r="B956" s="1205" t="s">
        <v>72498</v>
      </c>
      <c r="C956" s="1205">
        <v>61.49</v>
      </c>
    </row>
    <row r="957" spans="1:3" ht="24" customHeight="1">
      <c r="A957" s="1205" t="s">
        <v>72499</v>
      </c>
      <c r="B957" s="1205" t="s">
        <v>72498</v>
      </c>
      <c r="C957" s="1205">
        <v>57.99</v>
      </c>
    </row>
    <row r="958" spans="1:3" ht="24" customHeight="1">
      <c r="A958" s="1205" t="s">
        <v>72497</v>
      </c>
      <c r="B958" s="1205" t="s">
        <v>72496</v>
      </c>
      <c r="C958" s="1205">
        <v>55.49</v>
      </c>
    </row>
    <row r="959" spans="1:3" ht="24" customHeight="1">
      <c r="A959" s="1205" t="s">
        <v>72495</v>
      </c>
      <c r="B959" s="1205" t="s">
        <v>72494</v>
      </c>
      <c r="C959" s="1205">
        <v>61.49</v>
      </c>
    </row>
    <row r="960" spans="1:3" ht="24" customHeight="1">
      <c r="A960" s="1205" t="s">
        <v>72493</v>
      </c>
      <c r="B960" s="1205" t="s">
        <v>72492</v>
      </c>
      <c r="C960" s="1205">
        <v>58.99</v>
      </c>
    </row>
    <row r="961" spans="1:3" ht="24" customHeight="1">
      <c r="A961" s="1205" t="s">
        <v>72491</v>
      </c>
      <c r="B961" s="1205" t="s">
        <v>72489</v>
      </c>
      <c r="C961" s="1205">
        <v>51.99</v>
      </c>
    </row>
    <row r="962" spans="1:3" ht="24" customHeight="1">
      <c r="A962" s="1205" t="s">
        <v>72490</v>
      </c>
      <c r="B962" s="1205" t="s">
        <v>72489</v>
      </c>
      <c r="C962" s="1205">
        <v>48.49</v>
      </c>
    </row>
    <row r="963" spans="1:3" ht="24" customHeight="1">
      <c r="A963" s="1205" t="s">
        <v>72488</v>
      </c>
      <c r="B963" s="1205" t="s">
        <v>72487</v>
      </c>
      <c r="C963" s="1205">
        <v>56.99</v>
      </c>
    </row>
    <row r="964" spans="1:3" ht="24" customHeight="1">
      <c r="A964" s="1205" t="s">
        <v>72486</v>
      </c>
      <c r="B964" s="1205" t="s">
        <v>72484</v>
      </c>
      <c r="C964" s="1205">
        <v>54.99</v>
      </c>
    </row>
    <row r="965" spans="1:3" ht="24" customHeight="1">
      <c r="A965" s="1205" t="s">
        <v>72485</v>
      </c>
      <c r="B965" s="1205" t="s">
        <v>72484</v>
      </c>
      <c r="C965" s="1205">
        <v>50.99</v>
      </c>
    </row>
    <row r="966" spans="1:3" ht="24" customHeight="1">
      <c r="A966" s="1205" t="s">
        <v>72483</v>
      </c>
      <c r="B966" s="1205" t="s">
        <v>72481</v>
      </c>
      <c r="C966" s="1205">
        <v>44.99</v>
      </c>
    </row>
    <row r="967" spans="1:3" ht="24" customHeight="1">
      <c r="A967" s="1205" t="s">
        <v>72482</v>
      </c>
      <c r="B967" s="1205" t="s">
        <v>72481</v>
      </c>
      <c r="C967" s="1205">
        <v>41.49</v>
      </c>
    </row>
    <row r="968" spans="1:3" ht="24" customHeight="1">
      <c r="A968" s="1205" t="s">
        <v>72480</v>
      </c>
      <c r="B968" s="1205" t="s">
        <v>63771</v>
      </c>
      <c r="C968" s="1205">
        <v>37.49</v>
      </c>
    </row>
    <row r="969" spans="1:3" ht="24" customHeight="1">
      <c r="A969" s="1205" t="s">
        <v>72479</v>
      </c>
      <c r="B969" s="1205" t="s">
        <v>72478</v>
      </c>
      <c r="C969" s="1205">
        <v>47.49</v>
      </c>
    </row>
    <row r="970" spans="1:3" ht="24" customHeight="1">
      <c r="A970" s="1205" t="s">
        <v>72477</v>
      </c>
      <c r="B970" s="1205" t="s">
        <v>72476</v>
      </c>
      <c r="C970" s="1205">
        <v>36.49</v>
      </c>
    </row>
    <row r="971" spans="1:3" ht="24" customHeight="1">
      <c r="A971" s="1205" t="s">
        <v>72475</v>
      </c>
      <c r="B971" s="1205" t="s">
        <v>72474</v>
      </c>
      <c r="C971" s="1205">
        <v>39.99</v>
      </c>
    </row>
    <row r="972" spans="1:3" ht="24" customHeight="1">
      <c r="A972" s="1205" t="s">
        <v>72473</v>
      </c>
      <c r="B972" s="1205" t="s">
        <v>72472</v>
      </c>
      <c r="C972" s="1205">
        <v>35.99</v>
      </c>
    </row>
    <row r="973" spans="1:3" ht="24" customHeight="1">
      <c r="A973" s="1205" t="s">
        <v>72471</v>
      </c>
      <c r="B973" s="1205" t="s">
        <v>72470</v>
      </c>
      <c r="C973" s="1205">
        <v>49.99</v>
      </c>
    </row>
    <row r="974" spans="1:3" ht="24" customHeight="1">
      <c r="A974" s="1205" t="s">
        <v>72469</v>
      </c>
      <c r="B974" s="1205" t="s">
        <v>72468</v>
      </c>
      <c r="C974" s="1205">
        <v>46.99</v>
      </c>
    </row>
    <row r="975" spans="1:3" ht="24" customHeight="1">
      <c r="A975" s="1205" t="s">
        <v>72467</v>
      </c>
      <c r="B975" s="1205" t="s">
        <v>72466</v>
      </c>
      <c r="C975" s="1205">
        <v>46.49</v>
      </c>
    </row>
    <row r="976" spans="1:3" ht="24" customHeight="1">
      <c r="A976" s="1205" t="s">
        <v>72465</v>
      </c>
      <c r="B976" s="1205" t="s">
        <v>72464</v>
      </c>
      <c r="C976" s="1205">
        <v>45.49</v>
      </c>
    </row>
    <row r="977" spans="1:3" ht="24" customHeight="1">
      <c r="A977" s="1205" t="s">
        <v>72463</v>
      </c>
      <c r="B977" s="1205" t="s">
        <v>72462</v>
      </c>
      <c r="C977" s="1205">
        <v>43.99</v>
      </c>
    </row>
    <row r="978" spans="1:3" ht="24" customHeight="1">
      <c r="A978" s="1205" t="s">
        <v>72461</v>
      </c>
      <c r="B978" s="1205" t="s">
        <v>72460</v>
      </c>
      <c r="C978" s="1205">
        <v>142.99</v>
      </c>
    </row>
    <row r="979" spans="1:3" ht="24" customHeight="1">
      <c r="A979" s="1205" t="s">
        <v>72459</v>
      </c>
      <c r="B979" s="1205" t="s">
        <v>72458</v>
      </c>
      <c r="C979" s="1205">
        <v>43.99</v>
      </c>
    </row>
    <row r="980" spans="1:3" ht="24" customHeight="1">
      <c r="A980" s="1205" t="s">
        <v>72457</v>
      </c>
      <c r="B980" s="1205" t="s">
        <v>72456</v>
      </c>
      <c r="C980" s="1205">
        <v>102.49</v>
      </c>
    </row>
    <row r="981" spans="1:3" ht="24" customHeight="1">
      <c r="A981" s="1205" t="s">
        <v>72455</v>
      </c>
      <c r="B981" s="1205" t="s">
        <v>63755</v>
      </c>
      <c r="C981" s="1205">
        <v>82.99</v>
      </c>
    </row>
    <row r="982" spans="1:3" ht="24" customHeight="1">
      <c r="A982" s="1205" t="s">
        <v>72454</v>
      </c>
      <c r="B982" s="1205" t="s">
        <v>72453</v>
      </c>
      <c r="C982" s="1205">
        <v>79.489999999999995</v>
      </c>
    </row>
    <row r="983" spans="1:3" ht="24" customHeight="1">
      <c r="A983" s="1205" t="s">
        <v>72452</v>
      </c>
      <c r="B983" s="1205" t="s">
        <v>72451</v>
      </c>
      <c r="C983" s="1205">
        <v>75.989999999999995</v>
      </c>
    </row>
    <row r="984" spans="1:3" ht="24" customHeight="1">
      <c r="A984" s="1205" t="s">
        <v>72450</v>
      </c>
      <c r="B984" s="1205" t="s">
        <v>63751</v>
      </c>
      <c r="C984" s="1205">
        <v>69.489999999999995</v>
      </c>
    </row>
    <row r="985" spans="1:3" ht="24" customHeight="1">
      <c r="A985" s="1205" t="s">
        <v>72449</v>
      </c>
      <c r="B985" s="1205" t="s">
        <v>63749</v>
      </c>
      <c r="C985" s="1205">
        <v>89.49</v>
      </c>
    </row>
    <row r="986" spans="1:3" ht="24" customHeight="1">
      <c r="A986" s="1205" t="s">
        <v>72448</v>
      </c>
      <c r="B986" s="1205" t="s">
        <v>72447</v>
      </c>
      <c r="C986" s="1205">
        <v>55.49</v>
      </c>
    </row>
    <row r="987" spans="1:3" ht="24" customHeight="1">
      <c r="A987" s="1205" t="s">
        <v>72446</v>
      </c>
      <c r="B987" s="1205" t="s">
        <v>63745</v>
      </c>
      <c r="C987" s="1205">
        <v>51.49</v>
      </c>
    </row>
    <row r="988" spans="1:3" ht="24" customHeight="1">
      <c r="A988" s="1205" t="s">
        <v>72445</v>
      </c>
      <c r="B988" s="1205" t="s">
        <v>63743</v>
      </c>
      <c r="C988" s="1205">
        <v>47.99</v>
      </c>
    </row>
    <row r="989" spans="1:3" ht="24" customHeight="1">
      <c r="A989" s="1205" t="s">
        <v>72444</v>
      </c>
      <c r="B989" s="1205" t="s">
        <v>72443</v>
      </c>
      <c r="C989" s="1205">
        <v>48.49</v>
      </c>
    </row>
    <row r="990" spans="1:3" ht="24" customHeight="1">
      <c r="A990" s="1205" t="s">
        <v>72442</v>
      </c>
      <c r="B990" s="1205" t="s">
        <v>72441</v>
      </c>
      <c r="C990" s="1205">
        <v>51.49</v>
      </c>
    </row>
    <row r="991" spans="1:3" ht="24" customHeight="1">
      <c r="A991" s="1205" t="s">
        <v>72440</v>
      </c>
      <c r="B991" s="1205" t="s">
        <v>72439</v>
      </c>
      <c r="C991" s="1205">
        <v>52.49</v>
      </c>
    </row>
    <row r="992" spans="1:3" ht="24" customHeight="1">
      <c r="A992" s="1205" t="s">
        <v>72438</v>
      </c>
      <c r="B992" s="1205" t="s">
        <v>72437</v>
      </c>
      <c r="C992" s="1205">
        <v>48.49</v>
      </c>
    </row>
    <row r="993" spans="1:3" ht="24" customHeight="1">
      <c r="A993" s="1205" t="s">
        <v>72436</v>
      </c>
      <c r="B993" s="1205" t="s">
        <v>72435</v>
      </c>
      <c r="C993" s="1205">
        <v>50.49</v>
      </c>
    </row>
    <row r="994" spans="1:3" ht="24" customHeight="1">
      <c r="A994" s="1205" t="s">
        <v>72434</v>
      </c>
      <c r="B994" s="1205" t="s">
        <v>72433</v>
      </c>
      <c r="C994" s="1205">
        <v>57.49</v>
      </c>
    </row>
    <row r="995" spans="1:3" ht="24" customHeight="1">
      <c r="A995" s="1205" t="s">
        <v>72432</v>
      </c>
      <c r="B995" s="1205" t="s">
        <v>72431</v>
      </c>
      <c r="C995" s="1205">
        <v>59.99</v>
      </c>
    </row>
    <row r="996" spans="1:3" ht="24" customHeight="1">
      <c r="A996" s="1205" t="s">
        <v>72430</v>
      </c>
      <c r="B996" s="1205" t="s">
        <v>72429</v>
      </c>
      <c r="C996" s="1205">
        <v>48.49</v>
      </c>
    </row>
    <row r="997" spans="1:3" ht="24" customHeight="1">
      <c r="A997" s="1205" t="s">
        <v>72428</v>
      </c>
      <c r="B997" s="1205" t="s">
        <v>72427</v>
      </c>
      <c r="C997" s="1205">
        <v>44.99</v>
      </c>
    </row>
    <row r="998" spans="1:3" ht="24" customHeight="1">
      <c r="A998" s="1205" t="s">
        <v>72426</v>
      </c>
      <c r="B998" s="1205" t="s">
        <v>72425</v>
      </c>
      <c r="C998" s="1205">
        <v>47.99</v>
      </c>
    </row>
    <row r="999" spans="1:3" ht="24" customHeight="1">
      <c r="A999" s="1205" t="s">
        <v>72424</v>
      </c>
      <c r="B999" s="1205" t="s">
        <v>63741</v>
      </c>
      <c r="C999" s="1205">
        <v>43.99</v>
      </c>
    </row>
    <row r="1000" spans="1:3" ht="24" customHeight="1">
      <c r="A1000" s="1205" t="s">
        <v>72423</v>
      </c>
      <c r="B1000" s="1205" t="s">
        <v>63739</v>
      </c>
      <c r="C1000" s="1205">
        <v>52.99</v>
      </c>
    </row>
    <row r="1001" spans="1:3" ht="24" customHeight="1">
      <c r="A1001" s="1205" t="s">
        <v>72422</v>
      </c>
      <c r="B1001" s="1205" t="s">
        <v>72421</v>
      </c>
      <c r="C1001" s="1205">
        <v>48.99</v>
      </c>
    </row>
    <row r="1002" spans="1:3" ht="24" customHeight="1">
      <c r="A1002" s="1205" t="s">
        <v>72420</v>
      </c>
      <c r="B1002" s="1205" t="s">
        <v>72419</v>
      </c>
      <c r="C1002" s="1205">
        <v>49.99</v>
      </c>
    </row>
    <row r="1003" spans="1:3" ht="24" customHeight="1">
      <c r="A1003" s="1205" t="s">
        <v>72418</v>
      </c>
      <c r="B1003" s="1205" t="s">
        <v>72417</v>
      </c>
      <c r="C1003" s="1205">
        <v>45.99</v>
      </c>
    </row>
    <row r="1004" spans="1:3" ht="24" customHeight="1">
      <c r="A1004" s="1205" t="s">
        <v>72416</v>
      </c>
      <c r="B1004" s="1205" t="s">
        <v>63737</v>
      </c>
      <c r="C1004" s="1205">
        <v>51.49</v>
      </c>
    </row>
    <row r="1005" spans="1:3" ht="24" customHeight="1">
      <c r="A1005" s="1205" t="s">
        <v>72415</v>
      </c>
      <c r="B1005" s="1205" t="s">
        <v>72414</v>
      </c>
      <c r="C1005" s="1205">
        <v>47.99</v>
      </c>
    </row>
    <row r="1006" spans="1:3" ht="24" customHeight="1">
      <c r="A1006" s="1205" t="s">
        <v>72413</v>
      </c>
      <c r="B1006" s="1205" t="s">
        <v>63735</v>
      </c>
      <c r="C1006" s="1205">
        <v>55.99</v>
      </c>
    </row>
    <row r="1007" spans="1:3" ht="24" customHeight="1">
      <c r="A1007" s="1205" t="s">
        <v>72412</v>
      </c>
      <c r="B1007" s="1205" t="s">
        <v>63733</v>
      </c>
      <c r="C1007" s="1205">
        <v>62.99</v>
      </c>
    </row>
    <row r="1008" spans="1:3" ht="24" customHeight="1">
      <c r="A1008" s="1205" t="s">
        <v>72411</v>
      </c>
      <c r="B1008" s="1205" t="s">
        <v>63731</v>
      </c>
      <c r="C1008" s="1205">
        <v>50.49</v>
      </c>
    </row>
    <row r="1009" spans="1:3" ht="24" customHeight="1">
      <c r="A1009" s="1205" t="s">
        <v>72410</v>
      </c>
      <c r="B1009" s="1205" t="s">
        <v>72409</v>
      </c>
      <c r="C1009" s="1205">
        <v>46.49</v>
      </c>
    </row>
    <row r="1010" spans="1:3" ht="24" customHeight="1">
      <c r="A1010" s="1205" t="s">
        <v>72408</v>
      </c>
      <c r="B1010" s="1205" t="s">
        <v>72407</v>
      </c>
      <c r="C1010" s="1205">
        <v>48.49</v>
      </c>
    </row>
    <row r="1011" spans="1:3" ht="24" customHeight="1">
      <c r="A1011" s="1205" t="s">
        <v>72406</v>
      </c>
      <c r="B1011" s="1205" t="s">
        <v>72405</v>
      </c>
      <c r="C1011" s="1205">
        <v>44.99</v>
      </c>
    </row>
    <row r="1012" spans="1:3" ht="24" customHeight="1">
      <c r="A1012" s="1205" t="s">
        <v>72404</v>
      </c>
      <c r="B1012" s="1205" t="s">
        <v>72403</v>
      </c>
      <c r="C1012" s="1205">
        <v>40.99</v>
      </c>
    </row>
    <row r="1013" spans="1:3" ht="24" customHeight="1">
      <c r="A1013" s="1205" t="s">
        <v>72402</v>
      </c>
      <c r="B1013" s="1205" t="s">
        <v>72401</v>
      </c>
      <c r="C1013" s="1205">
        <v>59.49</v>
      </c>
    </row>
    <row r="1014" spans="1:3" ht="24" customHeight="1">
      <c r="A1014" s="1205" t="s">
        <v>72400</v>
      </c>
      <c r="B1014" s="1205" t="s">
        <v>72399</v>
      </c>
      <c r="C1014" s="1205">
        <v>55.99</v>
      </c>
    </row>
    <row r="1015" spans="1:3" ht="24" customHeight="1">
      <c r="A1015" s="1205" t="s">
        <v>72398</v>
      </c>
      <c r="B1015" s="1205" t="s">
        <v>72397</v>
      </c>
      <c r="C1015" s="1205">
        <v>50.49</v>
      </c>
    </row>
    <row r="1016" spans="1:3" ht="24" customHeight="1">
      <c r="A1016" s="1205" t="s">
        <v>72396</v>
      </c>
      <c r="B1016" s="1205" t="s">
        <v>72395</v>
      </c>
      <c r="C1016" s="1205">
        <v>46.49</v>
      </c>
    </row>
    <row r="1017" spans="1:3" ht="24" customHeight="1">
      <c r="A1017" s="1205" t="s">
        <v>72394</v>
      </c>
      <c r="B1017" s="1205" t="s">
        <v>72393</v>
      </c>
      <c r="C1017" s="1205">
        <v>48.49</v>
      </c>
    </row>
    <row r="1018" spans="1:3" ht="24" customHeight="1">
      <c r="A1018" s="1205" t="s">
        <v>72392</v>
      </c>
      <c r="B1018" s="1205" t="s">
        <v>67564</v>
      </c>
      <c r="C1018" s="1205">
        <v>94.99</v>
      </c>
    </row>
    <row r="1019" spans="1:3" ht="24" customHeight="1">
      <c r="A1019" s="1205" t="s">
        <v>72391</v>
      </c>
      <c r="B1019" s="1205" t="s">
        <v>72390</v>
      </c>
      <c r="C1019" s="1205">
        <v>44.49</v>
      </c>
    </row>
    <row r="1020" spans="1:3" ht="24" customHeight="1">
      <c r="A1020" s="1205" t="s">
        <v>72389</v>
      </c>
      <c r="B1020" s="1205" t="s">
        <v>72388</v>
      </c>
      <c r="C1020" s="1205">
        <v>50.49</v>
      </c>
    </row>
    <row r="1021" spans="1:3" ht="24" customHeight="1">
      <c r="A1021" s="1205" t="s">
        <v>72387</v>
      </c>
      <c r="B1021" s="1205" t="s">
        <v>72386</v>
      </c>
      <c r="C1021" s="1205">
        <v>46.49</v>
      </c>
    </row>
    <row r="1022" spans="1:3" ht="24" customHeight="1">
      <c r="A1022" s="1205" t="s">
        <v>72385</v>
      </c>
      <c r="B1022" s="1205" t="s">
        <v>63729</v>
      </c>
      <c r="C1022" s="1205">
        <v>49.49</v>
      </c>
    </row>
    <row r="1023" spans="1:3" ht="24" customHeight="1">
      <c r="A1023" s="1205" t="s">
        <v>72384</v>
      </c>
      <c r="B1023" s="1205" t="s">
        <v>72383</v>
      </c>
      <c r="C1023" s="1205">
        <v>45.99</v>
      </c>
    </row>
    <row r="1024" spans="1:3" ht="24" customHeight="1">
      <c r="A1024" s="1205" t="s">
        <v>72382</v>
      </c>
      <c r="B1024" s="1205" t="s">
        <v>72381</v>
      </c>
      <c r="C1024" s="1205">
        <v>51.49</v>
      </c>
    </row>
    <row r="1025" spans="1:3" ht="24" customHeight="1">
      <c r="A1025" s="1205" t="s">
        <v>72380</v>
      </c>
      <c r="B1025" s="1205" t="s">
        <v>72379</v>
      </c>
      <c r="C1025" s="1205">
        <v>47.49</v>
      </c>
    </row>
    <row r="1026" spans="1:3" ht="24" customHeight="1">
      <c r="A1026" s="1205" t="s">
        <v>72378</v>
      </c>
      <c r="B1026" s="1205" t="s">
        <v>72377</v>
      </c>
      <c r="C1026" s="1205">
        <v>59.49</v>
      </c>
    </row>
    <row r="1027" spans="1:3" ht="24" customHeight="1">
      <c r="A1027" s="1205" t="s">
        <v>72376</v>
      </c>
      <c r="B1027" s="1205" t="s">
        <v>72375</v>
      </c>
      <c r="C1027" s="1205">
        <v>55.49</v>
      </c>
    </row>
    <row r="1028" spans="1:3" ht="24" customHeight="1">
      <c r="A1028" s="1205" t="s">
        <v>72374</v>
      </c>
      <c r="B1028" s="1205" t="s">
        <v>63727</v>
      </c>
      <c r="C1028" s="1205">
        <v>50.49</v>
      </c>
    </row>
    <row r="1029" spans="1:3" ht="24" customHeight="1">
      <c r="A1029" s="1205" t="s">
        <v>72373</v>
      </c>
      <c r="B1029" s="1205" t="s">
        <v>72372</v>
      </c>
      <c r="C1029" s="1205">
        <v>50.99</v>
      </c>
    </row>
    <row r="1030" spans="1:3" ht="24" customHeight="1">
      <c r="A1030" s="1205" t="s">
        <v>72371</v>
      </c>
      <c r="B1030" s="1205" t="s">
        <v>72370</v>
      </c>
      <c r="C1030" s="1205">
        <v>46.99</v>
      </c>
    </row>
    <row r="1031" spans="1:3" ht="24" customHeight="1">
      <c r="A1031" s="1205" t="s">
        <v>72369</v>
      </c>
      <c r="B1031" s="1205" t="s">
        <v>72368</v>
      </c>
      <c r="C1031" s="1205">
        <v>48.49</v>
      </c>
    </row>
    <row r="1032" spans="1:3" ht="24" customHeight="1">
      <c r="A1032" s="1205" t="s">
        <v>72367</v>
      </c>
      <c r="B1032" s="1205" t="s">
        <v>72366</v>
      </c>
      <c r="C1032" s="1205">
        <v>52.49</v>
      </c>
    </row>
    <row r="1033" spans="1:3" ht="24" customHeight="1">
      <c r="A1033" s="1205" t="s">
        <v>72365</v>
      </c>
      <c r="B1033" s="1205" t="s">
        <v>72364</v>
      </c>
      <c r="C1033" s="1205">
        <v>48.49</v>
      </c>
    </row>
    <row r="1034" spans="1:3" ht="24" customHeight="1">
      <c r="A1034" s="1205" t="s">
        <v>72363</v>
      </c>
      <c r="B1034" s="1205" t="s">
        <v>63725</v>
      </c>
      <c r="C1034" s="1205">
        <v>49.99</v>
      </c>
    </row>
    <row r="1035" spans="1:3" ht="24" customHeight="1">
      <c r="A1035" s="1205" t="s">
        <v>72362</v>
      </c>
      <c r="B1035" s="1205" t="s">
        <v>72361</v>
      </c>
      <c r="C1035" s="1205">
        <v>56.49</v>
      </c>
    </row>
    <row r="1036" spans="1:3" ht="24" customHeight="1">
      <c r="A1036" s="1205" t="s">
        <v>72360</v>
      </c>
      <c r="B1036" s="1205" t="s">
        <v>72359</v>
      </c>
      <c r="C1036" s="1205">
        <v>53.49</v>
      </c>
    </row>
    <row r="1037" spans="1:3" ht="24" customHeight="1">
      <c r="A1037" s="1205" t="s">
        <v>72358</v>
      </c>
      <c r="B1037" s="1205" t="s">
        <v>72357</v>
      </c>
      <c r="C1037" s="1205">
        <v>49.99</v>
      </c>
    </row>
    <row r="1038" spans="1:3" ht="24" customHeight="1">
      <c r="A1038" s="1205" t="s">
        <v>72356</v>
      </c>
      <c r="B1038" s="1205" t="s">
        <v>72355</v>
      </c>
      <c r="C1038" s="1205">
        <v>50.49</v>
      </c>
    </row>
    <row r="1039" spans="1:3" ht="24" customHeight="1">
      <c r="A1039" s="1205" t="s">
        <v>72354</v>
      </c>
      <c r="B1039" s="1205" t="s">
        <v>63723</v>
      </c>
      <c r="C1039" s="1205">
        <v>52.99</v>
      </c>
    </row>
    <row r="1040" spans="1:3" ht="24" customHeight="1">
      <c r="A1040" s="1205" t="s">
        <v>72353</v>
      </c>
      <c r="B1040" s="1205" t="s">
        <v>72352</v>
      </c>
      <c r="C1040" s="1205">
        <v>48.99</v>
      </c>
    </row>
    <row r="1041" spans="1:3" ht="24" customHeight="1">
      <c r="A1041" s="1205" t="s">
        <v>72351</v>
      </c>
      <c r="B1041" s="1205" t="s">
        <v>72350</v>
      </c>
      <c r="C1041" s="1205">
        <v>45.99</v>
      </c>
    </row>
    <row r="1042" spans="1:3" ht="24" customHeight="1">
      <c r="A1042" s="1205" t="s">
        <v>72349</v>
      </c>
      <c r="B1042" s="1205" t="s">
        <v>72348</v>
      </c>
      <c r="C1042" s="1205">
        <v>59.99</v>
      </c>
    </row>
    <row r="1043" spans="1:3" ht="24" customHeight="1">
      <c r="A1043" s="1205" t="s">
        <v>72347</v>
      </c>
      <c r="B1043" s="1205" t="s">
        <v>72346</v>
      </c>
      <c r="C1043" s="1205">
        <v>56.49</v>
      </c>
    </row>
    <row r="1044" spans="1:3" ht="24" customHeight="1">
      <c r="A1044" s="1205" t="s">
        <v>72345</v>
      </c>
      <c r="B1044" s="1205" t="s">
        <v>72344</v>
      </c>
      <c r="C1044" s="1205">
        <v>49.99</v>
      </c>
    </row>
    <row r="1045" spans="1:3" ht="24" customHeight="1">
      <c r="A1045" s="1205" t="s">
        <v>72343</v>
      </c>
      <c r="B1045" s="1205" t="s">
        <v>72342</v>
      </c>
      <c r="C1045" s="1205">
        <v>55.99</v>
      </c>
    </row>
    <row r="1046" spans="1:3" ht="24" customHeight="1">
      <c r="A1046" s="1205" t="s">
        <v>72341</v>
      </c>
      <c r="B1046" s="1205" t="s">
        <v>72340</v>
      </c>
      <c r="C1046" s="1205">
        <v>50.49</v>
      </c>
    </row>
    <row r="1047" spans="1:3" ht="24" customHeight="1">
      <c r="A1047" s="1205" t="s">
        <v>72339</v>
      </c>
      <c r="B1047" s="1205" t="s">
        <v>63713</v>
      </c>
      <c r="C1047" s="1205">
        <v>46.49</v>
      </c>
    </row>
    <row r="1048" spans="1:3" ht="24" customHeight="1">
      <c r="A1048" s="1205" t="s">
        <v>72338</v>
      </c>
      <c r="B1048" s="1205" t="s">
        <v>72337</v>
      </c>
      <c r="C1048" s="1205">
        <v>54.99</v>
      </c>
    </row>
    <row r="1049" spans="1:3" ht="24" customHeight="1">
      <c r="A1049" s="1205" t="s">
        <v>72336</v>
      </c>
      <c r="B1049" s="1205" t="s">
        <v>72335</v>
      </c>
      <c r="C1049" s="1205">
        <v>50.49</v>
      </c>
    </row>
    <row r="1050" spans="1:3" ht="24" customHeight="1">
      <c r="A1050" s="1205" t="s">
        <v>72334</v>
      </c>
      <c r="B1050" s="1205" t="s">
        <v>72333</v>
      </c>
      <c r="C1050" s="1205">
        <v>60.49</v>
      </c>
    </row>
    <row r="1051" spans="1:3" ht="24" customHeight="1">
      <c r="A1051" s="1205" t="s">
        <v>72332</v>
      </c>
      <c r="B1051" s="1205" t="s">
        <v>63711</v>
      </c>
      <c r="C1051" s="1205">
        <v>51.49</v>
      </c>
    </row>
    <row r="1052" spans="1:3" ht="24" customHeight="1">
      <c r="A1052" s="1205" t="s">
        <v>72331</v>
      </c>
      <c r="B1052" s="1205" t="s">
        <v>72330</v>
      </c>
      <c r="C1052" s="1205">
        <v>53.49</v>
      </c>
    </row>
    <row r="1053" spans="1:3" ht="24" customHeight="1">
      <c r="A1053" s="1205" t="s">
        <v>72329</v>
      </c>
      <c r="B1053" s="1205" t="s">
        <v>72328</v>
      </c>
      <c r="C1053" s="1205">
        <v>36.99</v>
      </c>
    </row>
    <row r="1054" spans="1:3" ht="24" customHeight="1">
      <c r="A1054" s="1205" t="s">
        <v>72327</v>
      </c>
      <c r="B1054" s="1205" t="s">
        <v>67452</v>
      </c>
      <c r="C1054" s="1205">
        <v>81.489999999999995</v>
      </c>
    </row>
    <row r="1055" spans="1:3" ht="24" customHeight="1">
      <c r="A1055" s="1205" t="s">
        <v>72326</v>
      </c>
      <c r="B1055" s="1205" t="s">
        <v>72325</v>
      </c>
      <c r="C1055" s="1205">
        <v>49.99</v>
      </c>
    </row>
    <row r="1056" spans="1:3" ht="24" customHeight="1">
      <c r="A1056" s="1205" t="s">
        <v>72324</v>
      </c>
      <c r="B1056" s="1205" t="s">
        <v>72323</v>
      </c>
      <c r="C1056" s="1205">
        <v>49.99</v>
      </c>
    </row>
    <row r="1057" spans="1:3" ht="24" customHeight="1">
      <c r="A1057" s="1205" t="s">
        <v>72322</v>
      </c>
      <c r="B1057" s="1205" t="s">
        <v>72321</v>
      </c>
      <c r="C1057" s="1205">
        <v>62.99</v>
      </c>
    </row>
    <row r="1058" spans="1:3" ht="24" customHeight="1">
      <c r="A1058" s="1205" t="s">
        <v>72320</v>
      </c>
      <c r="B1058" s="1205" t="s">
        <v>72319</v>
      </c>
      <c r="C1058" s="1205">
        <v>42.49</v>
      </c>
    </row>
    <row r="1059" spans="1:3" ht="24" customHeight="1">
      <c r="A1059" s="1205" t="s">
        <v>72318</v>
      </c>
      <c r="B1059" s="1205" t="s">
        <v>72317</v>
      </c>
      <c r="C1059" s="1205">
        <v>58.99</v>
      </c>
    </row>
    <row r="1060" spans="1:3" ht="24" customHeight="1">
      <c r="A1060" s="1205" t="s">
        <v>72316</v>
      </c>
      <c r="B1060" s="1205" t="s">
        <v>72315</v>
      </c>
      <c r="C1060" s="1205">
        <v>46.49</v>
      </c>
    </row>
    <row r="1061" spans="1:3" ht="24" customHeight="1">
      <c r="A1061" s="1205" t="s">
        <v>72314</v>
      </c>
      <c r="B1061" s="1205" t="s">
        <v>72313</v>
      </c>
      <c r="C1061" s="1205">
        <v>54.99</v>
      </c>
    </row>
    <row r="1062" spans="1:3" ht="24" customHeight="1">
      <c r="A1062" s="1205" t="s">
        <v>72312</v>
      </c>
      <c r="B1062" s="1205" t="s">
        <v>72311</v>
      </c>
      <c r="C1062" s="1205">
        <v>51.49</v>
      </c>
    </row>
    <row r="1063" spans="1:3" ht="24" customHeight="1">
      <c r="A1063" s="1205" t="s">
        <v>72310</v>
      </c>
      <c r="B1063" s="1205" t="s">
        <v>72309</v>
      </c>
      <c r="C1063" s="1205">
        <v>130.49</v>
      </c>
    </row>
    <row r="1064" spans="1:3" ht="24" customHeight="1">
      <c r="A1064" s="1205" t="s">
        <v>72308</v>
      </c>
      <c r="B1064" s="1205" t="s">
        <v>72307</v>
      </c>
      <c r="C1064" s="1205">
        <v>101.99</v>
      </c>
    </row>
    <row r="1065" spans="1:3" ht="24" customHeight="1">
      <c r="A1065" s="1205" t="s">
        <v>72306</v>
      </c>
      <c r="B1065" s="1205" t="s">
        <v>63707</v>
      </c>
      <c r="C1065" s="1205">
        <v>38.49</v>
      </c>
    </row>
    <row r="1066" spans="1:3" ht="24" customHeight="1">
      <c r="A1066" s="1205" t="s">
        <v>72305</v>
      </c>
      <c r="B1066" s="1205" t="s">
        <v>72304</v>
      </c>
      <c r="C1066" s="1205">
        <v>36.99</v>
      </c>
    </row>
    <row r="1067" spans="1:3" ht="24" customHeight="1">
      <c r="A1067" s="1205" t="s">
        <v>72303</v>
      </c>
      <c r="B1067" s="1205" t="s">
        <v>72302</v>
      </c>
      <c r="C1067" s="1205">
        <v>67.989999999999995</v>
      </c>
    </row>
    <row r="1068" spans="1:3" ht="24" customHeight="1">
      <c r="A1068" s="1205" t="s">
        <v>72301</v>
      </c>
      <c r="B1068" s="1205" t="s">
        <v>72300</v>
      </c>
      <c r="C1068" s="1205">
        <v>64.489999999999995</v>
      </c>
    </row>
    <row r="1069" spans="1:3" ht="24" customHeight="1">
      <c r="A1069" s="1205" t="s">
        <v>72299</v>
      </c>
      <c r="B1069" s="1205" t="s">
        <v>72298</v>
      </c>
      <c r="C1069" s="1205">
        <v>51.99</v>
      </c>
    </row>
    <row r="1070" spans="1:3" ht="24" customHeight="1">
      <c r="A1070" s="1205" t="s">
        <v>72297</v>
      </c>
      <c r="B1070" s="1205" t="s">
        <v>72296</v>
      </c>
      <c r="C1070" s="1205">
        <v>47.99</v>
      </c>
    </row>
    <row r="1071" spans="1:3" ht="24" customHeight="1">
      <c r="A1071" s="1205" t="s">
        <v>72295</v>
      </c>
      <c r="B1071" s="1205" t="s">
        <v>72294</v>
      </c>
      <c r="C1071" s="1205">
        <v>45.99</v>
      </c>
    </row>
    <row r="1072" spans="1:3" ht="24" customHeight="1">
      <c r="A1072" s="1205" t="s">
        <v>72293</v>
      </c>
      <c r="B1072" s="1205" t="s">
        <v>63703</v>
      </c>
      <c r="C1072" s="1205">
        <v>58.49</v>
      </c>
    </row>
    <row r="1073" spans="1:3" ht="24" customHeight="1">
      <c r="A1073" s="1205" t="s">
        <v>72292</v>
      </c>
      <c r="B1073" s="1205" t="s">
        <v>72291</v>
      </c>
      <c r="C1073" s="1205">
        <v>54.99</v>
      </c>
    </row>
    <row r="1074" spans="1:3" ht="24" customHeight="1">
      <c r="A1074" s="1205" t="s">
        <v>72290</v>
      </c>
      <c r="B1074" s="1205" t="s">
        <v>72289</v>
      </c>
      <c r="C1074" s="1205">
        <v>50.99</v>
      </c>
    </row>
    <row r="1075" spans="1:3" ht="24" customHeight="1">
      <c r="A1075" s="1205" t="s">
        <v>72288</v>
      </c>
      <c r="B1075" s="1205" t="s">
        <v>72287</v>
      </c>
      <c r="C1075" s="1205">
        <v>46.99</v>
      </c>
    </row>
    <row r="1076" spans="1:3" ht="24" customHeight="1">
      <c r="A1076" s="1205" t="s">
        <v>72286</v>
      </c>
      <c r="B1076" s="1205" t="s">
        <v>72285</v>
      </c>
      <c r="C1076" s="1205">
        <v>49.49</v>
      </c>
    </row>
    <row r="1077" spans="1:3" ht="24" customHeight="1">
      <c r="A1077" s="1205" t="s">
        <v>72284</v>
      </c>
      <c r="B1077" s="1205" t="s">
        <v>72283</v>
      </c>
      <c r="C1077" s="1205">
        <v>45.99</v>
      </c>
    </row>
    <row r="1078" spans="1:3" ht="24" customHeight="1">
      <c r="A1078" s="1205" t="s">
        <v>72282</v>
      </c>
      <c r="B1078" s="1205" t="s">
        <v>72281</v>
      </c>
      <c r="C1078" s="1205">
        <v>52.49</v>
      </c>
    </row>
    <row r="1079" spans="1:3" ht="24" customHeight="1">
      <c r="A1079" s="1205" t="s">
        <v>72280</v>
      </c>
      <c r="B1079" s="1205" t="s">
        <v>72279</v>
      </c>
      <c r="C1079" s="1205">
        <v>50.99</v>
      </c>
    </row>
    <row r="1080" spans="1:3" ht="24" customHeight="1">
      <c r="A1080" s="1205" t="s">
        <v>72278</v>
      </c>
      <c r="B1080" s="1205" t="s">
        <v>72277</v>
      </c>
      <c r="C1080" s="1205">
        <v>46.99</v>
      </c>
    </row>
    <row r="1081" spans="1:3" ht="24" customHeight="1">
      <c r="A1081" s="1205" t="s">
        <v>72276</v>
      </c>
      <c r="B1081" s="1205" t="s">
        <v>72275</v>
      </c>
      <c r="C1081" s="1205">
        <v>60.99</v>
      </c>
    </row>
    <row r="1082" spans="1:3" ht="24" customHeight="1">
      <c r="A1082" s="1205" t="s">
        <v>72274</v>
      </c>
      <c r="B1082" s="1205" t="s">
        <v>63699</v>
      </c>
      <c r="C1082" s="1205">
        <v>56.99</v>
      </c>
    </row>
    <row r="1083" spans="1:3" ht="24" customHeight="1">
      <c r="A1083" s="1205" t="s">
        <v>72273</v>
      </c>
      <c r="B1083" s="1205" t="s">
        <v>72272</v>
      </c>
      <c r="C1083" s="1205">
        <v>52.49</v>
      </c>
    </row>
    <row r="1084" spans="1:3" ht="24" customHeight="1">
      <c r="A1084" s="1205" t="s">
        <v>72271</v>
      </c>
      <c r="B1084" s="1205" t="s">
        <v>72270</v>
      </c>
      <c r="C1084" s="1205">
        <v>48.49</v>
      </c>
    </row>
    <row r="1085" spans="1:3" ht="24" customHeight="1">
      <c r="A1085" s="1205" t="s">
        <v>72269</v>
      </c>
      <c r="B1085" s="1205" t="s">
        <v>72268</v>
      </c>
      <c r="C1085" s="1205">
        <v>49.99</v>
      </c>
    </row>
    <row r="1086" spans="1:3" ht="24" customHeight="1">
      <c r="A1086" s="1205" t="s">
        <v>72267</v>
      </c>
      <c r="B1086" s="1205" t="s">
        <v>72266</v>
      </c>
      <c r="C1086" s="1205">
        <v>46.49</v>
      </c>
    </row>
    <row r="1087" spans="1:3" ht="24" customHeight="1">
      <c r="A1087" s="1205" t="s">
        <v>72265</v>
      </c>
      <c r="B1087" s="1205" t="s">
        <v>72264</v>
      </c>
      <c r="C1087" s="1205">
        <v>58.49</v>
      </c>
    </row>
    <row r="1088" spans="1:3" ht="24" customHeight="1">
      <c r="A1088" s="1205" t="s">
        <v>72263</v>
      </c>
      <c r="B1088" s="1205" t="s">
        <v>72262</v>
      </c>
      <c r="C1088" s="1205">
        <v>74.489999999999995</v>
      </c>
    </row>
    <row r="1089" spans="1:3" ht="24" customHeight="1">
      <c r="A1089" s="1205" t="s">
        <v>72261</v>
      </c>
      <c r="B1089" s="1205" t="s">
        <v>72260</v>
      </c>
      <c r="C1089" s="1205">
        <v>70.989999999999995</v>
      </c>
    </row>
    <row r="1090" spans="1:3" ht="24" customHeight="1">
      <c r="A1090" s="1205" t="s">
        <v>72259</v>
      </c>
      <c r="B1090" s="1205" t="s">
        <v>72258</v>
      </c>
      <c r="C1090" s="1205">
        <v>59.99</v>
      </c>
    </row>
    <row r="1091" spans="1:3" ht="24" customHeight="1">
      <c r="A1091" s="1205" t="s">
        <v>72257</v>
      </c>
      <c r="B1091" s="1205" t="s">
        <v>72256</v>
      </c>
      <c r="C1091" s="1205">
        <v>56.99</v>
      </c>
    </row>
    <row r="1092" spans="1:3" ht="24" customHeight="1">
      <c r="A1092" s="1205" t="s">
        <v>72255</v>
      </c>
      <c r="B1092" s="1205" t="s">
        <v>72254</v>
      </c>
      <c r="C1092" s="1205">
        <v>59.99</v>
      </c>
    </row>
    <row r="1093" spans="1:3" ht="24" customHeight="1">
      <c r="A1093" s="1205" t="s">
        <v>72253</v>
      </c>
      <c r="B1093" s="1205" t="s">
        <v>72252</v>
      </c>
      <c r="C1093" s="1205">
        <v>40.49</v>
      </c>
    </row>
    <row r="1094" spans="1:3" ht="24" customHeight="1">
      <c r="A1094" s="1205" t="s">
        <v>72251</v>
      </c>
      <c r="B1094" s="1205" t="s">
        <v>72250</v>
      </c>
      <c r="C1094" s="1205">
        <v>77.989999999999995</v>
      </c>
    </row>
    <row r="1095" spans="1:3" ht="24" customHeight="1">
      <c r="A1095" s="1205" t="s">
        <v>72249</v>
      </c>
      <c r="B1095" s="1205" t="s">
        <v>72248</v>
      </c>
      <c r="C1095" s="1205">
        <v>57.49</v>
      </c>
    </row>
    <row r="1096" spans="1:3" ht="24" customHeight="1">
      <c r="A1096" s="1205" t="s">
        <v>72247</v>
      </c>
      <c r="B1096" s="1205" t="s">
        <v>72246</v>
      </c>
      <c r="C1096" s="1205">
        <v>109.49</v>
      </c>
    </row>
    <row r="1097" spans="1:3" ht="24" customHeight="1">
      <c r="A1097" s="1205" t="s">
        <v>72245</v>
      </c>
      <c r="B1097" s="1205" t="s">
        <v>72244</v>
      </c>
      <c r="C1097" s="1205">
        <v>55.49</v>
      </c>
    </row>
    <row r="1098" spans="1:3" ht="24" customHeight="1">
      <c r="A1098" s="1205" t="s">
        <v>72243</v>
      </c>
      <c r="B1098" s="1205" t="s">
        <v>72242</v>
      </c>
      <c r="C1098" s="1205">
        <v>51.99</v>
      </c>
    </row>
    <row r="1099" spans="1:3" ht="24" customHeight="1">
      <c r="A1099" s="1205" t="s">
        <v>72241</v>
      </c>
      <c r="B1099" s="1205" t="s">
        <v>72240</v>
      </c>
      <c r="C1099" s="1205">
        <v>44.99</v>
      </c>
    </row>
    <row r="1100" spans="1:3" ht="24" customHeight="1">
      <c r="A1100" s="1205" t="s">
        <v>72239</v>
      </c>
      <c r="B1100" s="1205" t="s">
        <v>72238</v>
      </c>
      <c r="C1100" s="1205">
        <v>46.49</v>
      </c>
    </row>
    <row r="1101" spans="1:3" ht="24" customHeight="1">
      <c r="A1101" s="1205" t="s">
        <v>72237</v>
      </c>
      <c r="B1101" s="1205" t="s">
        <v>72236</v>
      </c>
      <c r="C1101" s="1205">
        <v>69.489999999999995</v>
      </c>
    </row>
    <row r="1102" spans="1:3" ht="24" customHeight="1">
      <c r="A1102" s="1205" t="s">
        <v>72235</v>
      </c>
      <c r="B1102" s="1205" t="s">
        <v>72234</v>
      </c>
      <c r="C1102" s="1205">
        <v>77.489999999999995</v>
      </c>
    </row>
    <row r="1103" spans="1:3" ht="24" customHeight="1">
      <c r="A1103" s="1205" t="s">
        <v>72233</v>
      </c>
      <c r="B1103" s="1205" t="s">
        <v>72232</v>
      </c>
      <c r="C1103" s="1205">
        <v>75.989999999999995</v>
      </c>
    </row>
    <row r="1104" spans="1:3" ht="24" customHeight="1">
      <c r="A1104" s="1205" t="s">
        <v>72231</v>
      </c>
      <c r="B1104" s="1205" t="s">
        <v>72230</v>
      </c>
      <c r="C1104" s="1205">
        <v>71.489999999999995</v>
      </c>
    </row>
    <row r="1105" spans="1:3" ht="24" customHeight="1">
      <c r="A1105" s="1205" t="s">
        <v>72229</v>
      </c>
      <c r="B1105" s="1205" t="s">
        <v>72228</v>
      </c>
      <c r="C1105" s="1205">
        <v>83.99</v>
      </c>
    </row>
    <row r="1106" spans="1:3" ht="24" customHeight="1">
      <c r="A1106" s="1205" t="s">
        <v>72227</v>
      </c>
      <c r="B1106" s="1205" t="s">
        <v>72226</v>
      </c>
      <c r="C1106" s="1205">
        <v>80.989999999999995</v>
      </c>
    </row>
    <row r="1107" spans="1:3" ht="24" customHeight="1">
      <c r="A1107" s="1205" t="s">
        <v>72225</v>
      </c>
      <c r="B1107" s="1205" t="s">
        <v>72224</v>
      </c>
      <c r="C1107" s="1205">
        <v>50.99</v>
      </c>
    </row>
    <row r="1108" spans="1:3" ht="24" customHeight="1">
      <c r="A1108" s="1205" t="s">
        <v>72223</v>
      </c>
      <c r="B1108" s="1205" t="s">
        <v>72222</v>
      </c>
      <c r="C1108" s="1205">
        <v>51.49</v>
      </c>
    </row>
    <row r="1109" spans="1:3" ht="24" customHeight="1">
      <c r="A1109" s="1205" t="s">
        <v>72221</v>
      </c>
      <c r="B1109" s="1205" t="s">
        <v>72220</v>
      </c>
      <c r="C1109" s="1205">
        <v>37.49</v>
      </c>
    </row>
    <row r="1110" spans="1:3" ht="24" customHeight="1">
      <c r="A1110" s="1205" t="s">
        <v>72219</v>
      </c>
      <c r="B1110" s="1205" t="s">
        <v>72218</v>
      </c>
      <c r="C1110" s="1205">
        <v>52.99</v>
      </c>
    </row>
    <row r="1111" spans="1:3" ht="24" customHeight="1">
      <c r="A1111" s="1205" t="s">
        <v>72217</v>
      </c>
      <c r="B1111" s="1205" t="s">
        <v>72216</v>
      </c>
      <c r="C1111" s="1205">
        <v>44.49</v>
      </c>
    </row>
    <row r="1112" spans="1:3" ht="24" customHeight="1">
      <c r="A1112" s="1205" t="s">
        <v>72215</v>
      </c>
      <c r="B1112" s="1205" t="s">
        <v>72214</v>
      </c>
      <c r="C1112" s="1205">
        <v>48.99</v>
      </c>
    </row>
    <row r="1113" spans="1:3" ht="24" customHeight="1">
      <c r="A1113" s="1205" t="s">
        <v>72213</v>
      </c>
      <c r="B1113" s="1205" t="s">
        <v>72212</v>
      </c>
      <c r="C1113" s="1205">
        <v>45.49</v>
      </c>
    </row>
    <row r="1114" spans="1:3" ht="24" customHeight="1">
      <c r="A1114" s="1205" t="s">
        <v>72211</v>
      </c>
      <c r="B1114" s="1205" t="s">
        <v>72210</v>
      </c>
      <c r="C1114" s="1205">
        <v>57.49</v>
      </c>
    </row>
    <row r="1115" spans="1:3" ht="24" customHeight="1">
      <c r="A1115" s="1205" t="s">
        <v>72209</v>
      </c>
      <c r="B1115" s="1205" t="s">
        <v>72208</v>
      </c>
      <c r="C1115" s="1205">
        <v>53.99</v>
      </c>
    </row>
    <row r="1116" spans="1:3" ht="24" customHeight="1">
      <c r="A1116" s="1205" t="s">
        <v>72207</v>
      </c>
      <c r="B1116" s="1205" t="s">
        <v>72206</v>
      </c>
      <c r="C1116" s="1205">
        <v>50.49</v>
      </c>
    </row>
    <row r="1117" spans="1:3" ht="24" customHeight="1">
      <c r="A1117" s="1205" t="s">
        <v>72205</v>
      </c>
      <c r="B1117" s="1205" t="s">
        <v>72204</v>
      </c>
      <c r="C1117" s="1205">
        <v>47.99</v>
      </c>
    </row>
    <row r="1118" spans="1:3" ht="24" customHeight="1">
      <c r="A1118" s="1205" t="s">
        <v>72203</v>
      </c>
      <c r="B1118" s="1205" t="s">
        <v>72202</v>
      </c>
      <c r="C1118" s="1205">
        <v>37.99</v>
      </c>
    </row>
    <row r="1119" spans="1:3" ht="24" customHeight="1">
      <c r="A1119" s="1205" t="s">
        <v>72201</v>
      </c>
      <c r="B1119" s="1205" t="s">
        <v>63697</v>
      </c>
      <c r="C1119" s="1205">
        <v>35.49</v>
      </c>
    </row>
    <row r="1120" spans="1:3" ht="24" customHeight="1">
      <c r="A1120" s="1205" t="s">
        <v>72200</v>
      </c>
      <c r="B1120" s="1205" t="s">
        <v>72199</v>
      </c>
      <c r="C1120" s="1205">
        <v>33.49</v>
      </c>
    </row>
    <row r="1121" spans="1:3" ht="24" customHeight="1">
      <c r="A1121" s="1205" t="s">
        <v>72198</v>
      </c>
      <c r="B1121" s="1205" t="s">
        <v>72197</v>
      </c>
      <c r="C1121" s="1205">
        <v>45.49</v>
      </c>
    </row>
    <row r="1122" spans="1:3" ht="24" customHeight="1">
      <c r="A1122" s="1205" t="s">
        <v>72196</v>
      </c>
      <c r="B1122" s="1205" t="s">
        <v>72195</v>
      </c>
      <c r="C1122" s="1205">
        <v>59.49</v>
      </c>
    </row>
    <row r="1123" spans="1:3" ht="24" customHeight="1">
      <c r="A1123" s="1205" t="s">
        <v>72194</v>
      </c>
      <c r="B1123" s="1205" t="s">
        <v>72192</v>
      </c>
      <c r="C1123" s="1205">
        <v>70.989999999999995</v>
      </c>
    </row>
    <row r="1124" spans="1:3" ht="24" customHeight="1">
      <c r="A1124" s="1205" t="s">
        <v>72193</v>
      </c>
      <c r="B1124" s="1205" t="s">
        <v>72192</v>
      </c>
      <c r="C1124" s="1205">
        <v>69.489999999999995</v>
      </c>
    </row>
    <row r="1125" spans="1:3" ht="24" customHeight="1">
      <c r="A1125" s="1205" t="s">
        <v>72191</v>
      </c>
      <c r="B1125" s="1205" t="s">
        <v>72190</v>
      </c>
      <c r="C1125" s="1205">
        <v>71.989999999999995</v>
      </c>
    </row>
    <row r="1126" spans="1:3" ht="24" customHeight="1">
      <c r="A1126" s="1205" t="s">
        <v>72189</v>
      </c>
      <c r="B1126" s="1205" t="s">
        <v>63695</v>
      </c>
      <c r="C1126" s="1205">
        <v>75.989999999999995</v>
      </c>
    </row>
    <row r="1127" spans="1:3" ht="24" customHeight="1">
      <c r="A1127" s="1205" t="s">
        <v>72188</v>
      </c>
      <c r="B1127" s="1205" t="s">
        <v>72187</v>
      </c>
      <c r="C1127" s="1205">
        <v>63.99</v>
      </c>
    </row>
    <row r="1128" spans="1:3" ht="24" customHeight="1">
      <c r="A1128" s="1205" t="s">
        <v>72186</v>
      </c>
      <c r="B1128" s="1205" t="s">
        <v>72185</v>
      </c>
      <c r="C1128" s="1205">
        <v>66.989999999999995</v>
      </c>
    </row>
    <row r="1129" spans="1:3" ht="24" customHeight="1">
      <c r="A1129" s="1205" t="s">
        <v>72184</v>
      </c>
      <c r="B1129" s="1205" t="s">
        <v>72183</v>
      </c>
      <c r="C1129" s="1205">
        <v>72.489999999999995</v>
      </c>
    </row>
    <row r="1130" spans="1:3" ht="24" customHeight="1">
      <c r="A1130" s="1205" t="s">
        <v>72182</v>
      </c>
      <c r="B1130" s="1205" t="s">
        <v>72181</v>
      </c>
      <c r="C1130" s="1205">
        <v>127.99</v>
      </c>
    </row>
    <row r="1131" spans="1:3" ht="24" customHeight="1">
      <c r="A1131" s="1205" t="s">
        <v>72180</v>
      </c>
      <c r="B1131" s="1205" t="s">
        <v>72179</v>
      </c>
      <c r="C1131" s="1205">
        <v>62.99</v>
      </c>
    </row>
    <row r="1132" spans="1:3" ht="24" customHeight="1">
      <c r="A1132" s="1205" t="s">
        <v>72178</v>
      </c>
      <c r="B1132" s="1205" t="s">
        <v>72177</v>
      </c>
      <c r="C1132" s="1205">
        <v>80.989999999999995</v>
      </c>
    </row>
    <row r="1133" spans="1:3" ht="24" customHeight="1">
      <c r="A1133" s="1205" t="s">
        <v>72176</v>
      </c>
      <c r="B1133" s="1205" t="s">
        <v>72175</v>
      </c>
      <c r="C1133" s="1205">
        <v>75.989999999999995</v>
      </c>
    </row>
    <row r="1134" spans="1:3" ht="24" customHeight="1">
      <c r="A1134" s="1205" t="s">
        <v>72174</v>
      </c>
      <c r="B1134" s="1205" t="s">
        <v>72173</v>
      </c>
      <c r="C1134" s="1205">
        <v>41.99</v>
      </c>
    </row>
    <row r="1135" spans="1:3" ht="24" customHeight="1">
      <c r="A1135" s="1205" t="s">
        <v>72172</v>
      </c>
      <c r="B1135" s="1205" t="s">
        <v>72171</v>
      </c>
      <c r="C1135" s="1205">
        <v>40.49</v>
      </c>
    </row>
    <row r="1136" spans="1:3" ht="24" customHeight="1">
      <c r="A1136" s="1205" t="s">
        <v>72170</v>
      </c>
      <c r="B1136" s="1205" t="s">
        <v>72162</v>
      </c>
      <c r="C1136" s="1205">
        <v>35.99</v>
      </c>
    </row>
    <row r="1137" spans="1:3" ht="24" customHeight="1">
      <c r="A1137" s="1205" t="s">
        <v>72169</v>
      </c>
      <c r="B1137" s="1205" t="s">
        <v>72168</v>
      </c>
      <c r="C1137" s="1205">
        <v>84.49</v>
      </c>
    </row>
    <row r="1138" spans="1:3" ht="24" customHeight="1">
      <c r="A1138" s="1205" t="s">
        <v>72167</v>
      </c>
      <c r="B1138" s="1205" t="s">
        <v>72166</v>
      </c>
      <c r="C1138" s="1205">
        <v>33.99</v>
      </c>
    </row>
    <row r="1139" spans="1:3" ht="24" customHeight="1">
      <c r="A1139" s="1205" t="s">
        <v>72165</v>
      </c>
      <c r="B1139" s="1205" t="s">
        <v>72164</v>
      </c>
      <c r="C1139" s="1205">
        <v>45.99</v>
      </c>
    </row>
    <row r="1140" spans="1:3" ht="24" customHeight="1">
      <c r="A1140" s="1205" t="s">
        <v>72163</v>
      </c>
      <c r="B1140" s="1205" t="s">
        <v>72162</v>
      </c>
      <c r="C1140" s="1205">
        <v>40.49</v>
      </c>
    </row>
    <row r="1141" spans="1:3" ht="24" customHeight="1">
      <c r="A1141" s="1205" t="s">
        <v>72161</v>
      </c>
      <c r="B1141" s="1205" t="s">
        <v>72160</v>
      </c>
      <c r="C1141" s="1205">
        <v>38.99</v>
      </c>
    </row>
    <row r="1142" spans="1:3" ht="24" customHeight="1">
      <c r="A1142" s="1205" t="s">
        <v>72159</v>
      </c>
      <c r="B1142" s="1205" t="s">
        <v>72158</v>
      </c>
      <c r="C1142" s="1205">
        <v>34.49</v>
      </c>
    </row>
    <row r="1143" spans="1:3" ht="24" customHeight="1">
      <c r="A1143" s="1205" t="s">
        <v>72157</v>
      </c>
      <c r="B1143" s="1205" t="s">
        <v>72156</v>
      </c>
      <c r="C1143" s="1205">
        <v>32.99</v>
      </c>
    </row>
    <row r="1144" spans="1:3" ht="24" customHeight="1">
      <c r="A1144" s="1205" t="s">
        <v>72155</v>
      </c>
      <c r="B1144" s="1205" t="s">
        <v>72154</v>
      </c>
      <c r="C1144" s="1205">
        <v>44.49</v>
      </c>
    </row>
    <row r="1145" spans="1:3" ht="24" customHeight="1">
      <c r="A1145" s="1205" t="s">
        <v>72153</v>
      </c>
      <c r="B1145" s="1205" t="s">
        <v>72152</v>
      </c>
      <c r="C1145" s="1205">
        <v>103.99</v>
      </c>
    </row>
    <row r="1146" spans="1:3" ht="24" customHeight="1">
      <c r="A1146" s="1205" t="s">
        <v>72151</v>
      </c>
      <c r="B1146" s="1205" t="s">
        <v>72150</v>
      </c>
      <c r="C1146" s="1205">
        <v>110.99</v>
      </c>
    </row>
    <row r="1147" spans="1:3" ht="24" customHeight="1">
      <c r="A1147" s="1205" t="s">
        <v>72149</v>
      </c>
      <c r="B1147" s="1205" t="s">
        <v>72148</v>
      </c>
      <c r="C1147" s="1205">
        <v>117.99</v>
      </c>
    </row>
    <row r="1148" spans="1:3" ht="24" customHeight="1">
      <c r="A1148" s="1205" t="s">
        <v>72147</v>
      </c>
      <c r="B1148" s="1205" t="s">
        <v>72146</v>
      </c>
      <c r="C1148" s="1205">
        <v>80.989999999999995</v>
      </c>
    </row>
    <row r="1149" spans="1:3" ht="24" customHeight="1">
      <c r="A1149" s="1205" t="s">
        <v>72145</v>
      </c>
      <c r="B1149" s="1205" t="s">
        <v>72144</v>
      </c>
      <c r="C1149" s="1205">
        <v>105.99</v>
      </c>
    </row>
    <row r="1150" spans="1:3" ht="24" customHeight="1">
      <c r="A1150" s="1205" t="s">
        <v>72143</v>
      </c>
      <c r="B1150" s="1205" t="s">
        <v>72139</v>
      </c>
      <c r="C1150" s="1205">
        <v>35.99</v>
      </c>
    </row>
    <row r="1151" spans="1:3" ht="24" customHeight="1">
      <c r="A1151" s="1205" t="s">
        <v>72142</v>
      </c>
      <c r="B1151" s="1205" t="s">
        <v>72141</v>
      </c>
      <c r="C1151" s="1205">
        <v>33.99</v>
      </c>
    </row>
    <row r="1152" spans="1:3" ht="24" customHeight="1">
      <c r="A1152" s="1205" t="s">
        <v>72140</v>
      </c>
      <c r="B1152" s="1205" t="s">
        <v>72139</v>
      </c>
      <c r="C1152" s="1205">
        <v>35.99</v>
      </c>
    </row>
    <row r="1153" spans="1:3" ht="24" customHeight="1">
      <c r="A1153" s="1205" t="s">
        <v>72138</v>
      </c>
      <c r="B1153" s="1205" t="s">
        <v>72137</v>
      </c>
      <c r="C1153" s="1205">
        <v>98.49</v>
      </c>
    </row>
    <row r="1154" spans="1:3" ht="24" customHeight="1">
      <c r="A1154" s="1205" t="s">
        <v>72136</v>
      </c>
      <c r="B1154" s="1205" t="s">
        <v>72135</v>
      </c>
      <c r="C1154" s="1205">
        <v>55.99</v>
      </c>
    </row>
    <row r="1155" spans="1:3" ht="24" customHeight="1">
      <c r="A1155" s="1205" t="s">
        <v>72134</v>
      </c>
      <c r="B1155" s="1205" t="s">
        <v>72133</v>
      </c>
      <c r="C1155" s="1205">
        <v>30.99</v>
      </c>
    </row>
    <row r="1156" spans="1:3" ht="24" customHeight="1">
      <c r="A1156" s="1205" t="s">
        <v>72132</v>
      </c>
      <c r="B1156" s="1205" t="s">
        <v>72131</v>
      </c>
      <c r="C1156" s="1205">
        <v>27.99</v>
      </c>
    </row>
    <row r="1157" spans="1:3" ht="24" customHeight="1">
      <c r="A1157" s="1205" t="s">
        <v>72130</v>
      </c>
      <c r="B1157" s="1205" t="s">
        <v>72129</v>
      </c>
      <c r="C1157" s="1205">
        <v>63.99</v>
      </c>
    </row>
    <row r="1158" spans="1:3" ht="24" customHeight="1">
      <c r="A1158" s="1205" t="s">
        <v>72128</v>
      </c>
      <c r="B1158" s="1205" t="s">
        <v>72127</v>
      </c>
      <c r="C1158" s="1205">
        <v>61.99</v>
      </c>
    </row>
    <row r="1159" spans="1:3" ht="24" customHeight="1">
      <c r="A1159" s="1205" t="s">
        <v>72126</v>
      </c>
      <c r="B1159" s="1205" t="s">
        <v>72125</v>
      </c>
      <c r="C1159" s="1205">
        <v>60.49</v>
      </c>
    </row>
    <row r="1160" spans="1:3" ht="24" customHeight="1">
      <c r="A1160" s="1205" t="s">
        <v>72124</v>
      </c>
      <c r="B1160" s="1205" t="s">
        <v>72123</v>
      </c>
      <c r="C1160" s="1205">
        <v>62.49</v>
      </c>
    </row>
    <row r="1161" spans="1:3" ht="24" customHeight="1">
      <c r="A1161" s="1205" t="s">
        <v>72122</v>
      </c>
      <c r="B1161" s="1205" t="s">
        <v>72121</v>
      </c>
      <c r="C1161" s="1205">
        <v>76.989999999999995</v>
      </c>
    </row>
    <row r="1162" spans="1:3" ht="24" customHeight="1">
      <c r="A1162" s="1205" t="s">
        <v>72120</v>
      </c>
      <c r="B1162" s="1205" t="s">
        <v>72119</v>
      </c>
      <c r="C1162" s="1205">
        <v>72.989999999999995</v>
      </c>
    </row>
    <row r="1163" spans="1:3" ht="24" customHeight="1">
      <c r="A1163" s="1205" t="s">
        <v>72118</v>
      </c>
      <c r="B1163" s="1205" t="s">
        <v>72117</v>
      </c>
      <c r="C1163" s="1205">
        <v>53.99</v>
      </c>
    </row>
    <row r="1164" spans="1:3" ht="24" customHeight="1">
      <c r="A1164" s="1205" t="s">
        <v>72116</v>
      </c>
      <c r="B1164" s="1205" t="s">
        <v>72115</v>
      </c>
      <c r="C1164" s="1205">
        <v>95.49</v>
      </c>
    </row>
    <row r="1165" spans="1:3" ht="24" customHeight="1">
      <c r="A1165" s="1205" t="s">
        <v>72114</v>
      </c>
      <c r="B1165" s="1205" t="s">
        <v>72113</v>
      </c>
      <c r="C1165" s="1205">
        <v>58.49</v>
      </c>
    </row>
    <row r="1166" spans="1:3" ht="24" customHeight="1">
      <c r="A1166" s="1205" t="s">
        <v>72112</v>
      </c>
      <c r="B1166" s="1205" t="s">
        <v>72111</v>
      </c>
      <c r="C1166" s="1205">
        <v>70.489999999999995</v>
      </c>
    </row>
    <row r="1167" spans="1:3" ht="24" customHeight="1">
      <c r="A1167" s="1205" t="s">
        <v>72110</v>
      </c>
      <c r="B1167" s="1205" t="s">
        <v>72109</v>
      </c>
      <c r="C1167" s="1205">
        <v>66.989999999999995</v>
      </c>
    </row>
    <row r="1168" spans="1:3" ht="24" customHeight="1">
      <c r="A1168" s="1205" t="s">
        <v>72108</v>
      </c>
      <c r="B1168" s="1205" t="s">
        <v>72107</v>
      </c>
      <c r="C1168" s="1205">
        <v>71.489999999999995</v>
      </c>
    </row>
    <row r="1169" spans="1:3" ht="24" customHeight="1">
      <c r="A1169" s="1205" t="s">
        <v>72106</v>
      </c>
      <c r="B1169" s="1205" t="s">
        <v>72105</v>
      </c>
      <c r="C1169" s="1205">
        <v>67.989999999999995</v>
      </c>
    </row>
    <row r="1170" spans="1:3" ht="24" customHeight="1">
      <c r="A1170" s="1205" t="s">
        <v>72104</v>
      </c>
      <c r="B1170" s="1205" t="s">
        <v>72103</v>
      </c>
      <c r="C1170" s="1205">
        <v>66.489999999999995</v>
      </c>
    </row>
    <row r="1171" spans="1:3" ht="24" customHeight="1">
      <c r="A1171" s="1205" t="s">
        <v>72102</v>
      </c>
      <c r="B1171" s="1205" t="s">
        <v>72101</v>
      </c>
      <c r="C1171" s="1205">
        <v>61.49</v>
      </c>
    </row>
    <row r="1172" spans="1:3" ht="24" customHeight="1">
      <c r="A1172" s="1205" t="s">
        <v>72100</v>
      </c>
      <c r="B1172" s="1205" t="s">
        <v>72099</v>
      </c>
      <c r="C1172" s="1205">
        <v>78.989999999999995</v>
      </c>
    </row>
    <row r="1173" spans="1:3" ht="24" customHeight="1">
      <c r="A1173" s="1205" t="s">
        <v>72098</v>
      </c>
      <c r="B1173" s="1205" t="s">
        <v>72097</v>
      </c>
      <c r="C1173" s="1205">
        <v>67.989999999999995</v>
      </c>
    </row>
    <row r="1174" spans="1:3" ht="24" customHeight="1">
      <c r="A1174" s="1205" t="s">
        <v>72096</v>
      </c>
      <c r="B1174" s="1205" t="s">
        <v>72095</v>
      </c>
      <c r="C1174" s="1205">
        <v>63.99</v>
      </c>
    </row>
    <row r="1175" spans="1:3" ht="24" customHeight="1">
      <c r="A1175" s="1205" t="s">
        <v>72094</v>
      </c>
      <c r="B1175" s="1205" t="s">
        <v>71473</v>
      </c>
      <c r="C1175" s="1205">
        <v>66.989999999999995</v>
      </c>
    </row>
    <row r="1176" spans="1:3" ht="24" customHeight="1">
      <c r="A1176" s="1205" t="s">
        <v>72093</v>
      </c>
      <c r="B1176" s="1205" t="s">
        <v>72092</v>
      </c>
      <c r="C1176" s="1205">
        <v>62.99</v>
      </c>
    </row>
    <row r="1177" spans="1:3" ht="24" customHeight="1">
      <c r="A1177" s="1205" t="s">
        <v>72091</v>
      </c>
      <c r="B1177" s="1205" t="s">
        <v>72090</v>
      </c>
      <c r="C1177" s="1205">
        <v>71.989999999999995</v>
      </c>
    </row>
    <row r="1178" spans="1:3" ht="24" customHeight="1">
      <c r="A1178" s="1205" t="s">
        <v>72089</v>
      </c>
      <c r="B1178" s="1205" t="s">
        <v>72088</v>
      </c>
      <c r="C1178" s="1205">
        <v>67.989999999999995</v>
      </c>
    </row>
    <row r="1179" spans="1:3" ht="24" customHeight="1">
      <c r="A1179" s="1205" t="s">
        <v>72087</v>
      </c>
      <c r="B1179" s="1205" t="s">
        <v>72086</v>
      </c>
      <c r="C1179" s="1205">
        <v>65.489999999999995</v>
      </c>
    </row>
    <row r="1180" spans="1:3" ht="24" customHeight="1">
      <c r="A1180" s="1205" t="s">
        <v>72085</v>
      </c>
      <c r="B1180" s="1205" t="s">
        <v>72084</v>
      </c>
      <c r="C1180" s="1205">
        <v>66.989999999999995</v>
      </c>
    </row>
    <row r="1181" spans="1:3" ht="24" customHeight="1">
      <c r="A1181" s="1205" t="s">
        <v>72083</v>
      </c>
      <c r="B1181" s="1205" t="s">
        <v>72082</v>
      </c>
      <c r="C1181" s="1205">
        <v>74.989999999999995</v>
      </c>
    </row>
    <row r="1182" spans="1:3" ht="24" customHeight="1">
      <c r="A1182" s="1205" t="s">
        <v>72081</v>
      </c>
      <c r="B1182" s="1205" t="s">
        <v>63669</v>
      </c>
      <c r="C1182" s="1205">
        <v>81.99</v>
      </c>
    </row>
    <row r="1183" spans="1:3" ht="24" customHeight="1">
      <c r="A1183" s="1205" t="s">
        <v>72080</v>
      </c>
      <c r="B1183" s="1205" t="s">
        <v>72079</v>
      </c>
      <c r="C1183" s="1205">
        <v>69.489999999999995</v>
      </c>
    </row>
    <row r="1184" spans="1:3" ht="24" customHeight="1">
      <c r="A1184" s="1205" t="s">
        <v>72078</v>
      </c>
      <c r="B1184" s="1205" t="s">
        <v>72077</v>
      </c>
      <c r="C1184" s="1205">
        <v>65.989999999999995</v>
      </c>
    </row>
    <row r="1185" spans="1:3" ht="24" customHeight="1">
      <c r="A1185" s="1205" t="s">
        <v>72076</v>
      </c>
      <c r="B1185" s="1205" t="s">
        <v>72075</v>
      </c>
      <c r="C1185" s="1205">
        <v>74.489999999999995</v>
      </c>
    </row>
    <row r="1186" spans="1:3" ht="24" customHeight="1">
      <c r="A1186" s="1205" t="s">
        <v>72074</v>
      </c>
      <c r="B1186" s="1205" t="s">
        <v>72073</v>
      </c>
      <c r="C1186" s="1205">
        <v>70.489999999999995</v>
      </c>
    </row>
    <row r="1187" spans="1:3" ht="24" customHeight="1">
      <c r="A1187" s="1205" t="s">
        <v>72072</v>
      </c>
      <c r="B1187" s="1205" t="s">
        <v>72071</v>
      </c>
      <c r="C1187" s="1205">
        <v>72.989999999999995</v>
      </c>
    </row>
    <row r="1188" spans="1:3" ht="24" customHeight="1">
      <c r="A1188" s="1205" t="s">
        <v>72070</v>
      </c>
      <c r="B1188" s="1205" t="s">
        <v>72069</v>
      </c>
      <c r="C1188" s="1205">
        <v>68.989999999999995</v>
      </c>
    </row>
    <row r="1189" spans="1:3" ht="24" customHeight="1">
      <c r="A1189" s="1205" t="s">
        <v>72068</v>
      </c>
      <c r="B1189" s="1205" t="s">
        <v>72067</v>
      </c>
      <c r="C1189" s="1205">
        <v>68.989999999999995</v>
      </c>
    </row>
    <row r="1190" spans="1:3" ht="24" customHeight="1">
      <c r="A1190" s="1205" t="s">
        <v>72066</v>
      </c>
      <c r="B1190" s="1205" t="s">
        <v>72065</v>
      </c>
      <c r="C1190" s="1205">
        <v>65.489999999999995</v>
      </c>
    </row>
    <row r="1191" spans="1:3" ht="24" customHeight="1">
      <c r="A1191" s="1205" t="s">
        <v>72064</v>
      </c>
      <c r="B1191" s="1205" t="s">
        <v>72063</v>
      </c>
      <c r="C1191" s="1205">
        <v>74.489999999999995</v>
      </c>
    </row>
    <row r="1192" spans="1:3" ht="24" customHeight="1">
      <c r="A1192" s="1205" t="s">
        <v>72062</v>
      </c>
      <c r="B1192" s="1205" t="s">
        <v>72061</v>
      </c>
      <c r="C1192" s="1205">
        <v>70.489999999999995</v>
      </c>
    </row>
    <row r="1193" spans="1:3" ht="24" customHeight="1">
      <c r="A1193" s="1205" t="s">
        <v>72060</v>
      </c>
      <c r="B1193" s="1205" t="s">
        <v>72059</v>
      </c>
      <c r="C1193" s="1205">
        <v>69.989999999999995</v>
      </c>
    </row>
    <row r="1194" spans="1:3" ht="24" customHeight="1">
      <c r="A1194" s="1205" t="s">
        <v>72058</v>
      </c>
      <c r="B1194" s="1205" t="s">
        <v>72057</v>
      </c>
      <c r="C1194" s="1205">
        <v>66.489999999999995</v>
      </c>
    </row>
    <row r="1195" spans="1:3" ht="24" customHeight="1">
      <c r="A1195" s="1205" t="s">
        <v>72056</v>
      </c>
      <c r="B1195" s="1205" t="s">
        <v>72055</v>
      </c>
      <c r="C1195" s="1205">
        <v>79.989999999999995</v>
      </c>
    </row>
    <row r="1196" spans="1:3" ht="24" customHeight="1">
      <c r="A1196" s="1205" t="s">
        <v>72054</v>
      </c>
      <c r="B1196" s="1205" t="s">
        <v>72053</v>
      </c>
      <c r="C1196" s="1205">
        <v>75.989999999999995</v>
      </c>
    </row>
    <row r="1197" spans="1:3" ht="24" customHeight="1">
      <c r="A1197" s="1205" t="s">
        <v>72052</v>
      </c>
      <c r="B1197" s="1205" t="s">
        <v>72051</v>
      </c>
      <c r="C1197" s="1205">
        <v>62.49</v>
      </c>
    </row>
    <row r="1198" spans="1:3" ht="24" customHeight="1">
      <c r="A1198" s="1205" t="s">
        <v>72050</v>
      </c>
      <c r="B1198" s="1205" t="s">
        <v>72049</v>
      </c>
      <c r="C1198" s="1205">
        <v>56.99</v>
      </c>
    </row>
    <row r="1199" spans="1:3" ht="24" customHeight="1">
      <c r="A1199" s="1205" t="s">
        <v>72048</v>
      </c>
      <c r="B1199" s="1205" t="s">
        <v>72046</v>
      </c>
      <c r="C1199" s="1205">
        <v>81.489999999999995</v>
      </c>
    </row>
    <row r="1200" spans="1:3" ht="24" customHeight="1">
      <c r="A1200" s="1205" t="s">
        <v>72047</v>
      </c>
      <c r="B1200" s="1205" t="s">
        <v>72046</v>
      </c>
      <c r="C1200" s="1205">
        <v>77.989999999999995</v>
      </c>
    </row>
    <row r="1201" spans="1:3" ht="24" customHeight="1">
      <c r="A1201" s="1205" t="s">
        <v>72045</v>
      </c>
      <c r="B1201" s="1205" t="s">
        <v>63665</v>
      </c>
      <c r="C1201" s="1205">
        <v>54.99</v>
      </c>
    </row>
    <row r="1202" spans="1:3" ht="24" customHeight="1">
      <c r="A1202" s="1205" t="s">
        <v>72044</v>
      </c>
      <c r="B1202" s="1205" t="s">
        <v>72043</v>
      </c>
      <c r="C1202" s="1205">
        <v>47.49</v>
      </c>
    </row>
    <row r="1203" spans="1:3" ht="24" customHeight="1">
      <c r="A1203" s="1205" t="s">
        <v>72042</v>
      </c>
      <c r="B1203" s="1205" t="s">
        <v>72041</v>
      </c>
      <c r="C1203" s="1205">
        <v>38.49</v>
      </c>
    </row>
    <row r="1204" spans="1:3" ht="24" customHeight="1">
      <c r="A1204" s="1205" t="s">
        <v>72040</v>
      </c>
      <c r="B1204" s="1205" t="s">
        <v>72039</v>
      </c>
      <c r="C1204" s="1205">
        <v>112.99</v>
      </c>
    </row>
    <row r="1205" spans="1:3" ht="24" customHeight="1">
      <c r="A1205" s="1205" t="s">
        <v>72038</v>
      </c>
      <c r="B1205" s="1205" t="s">
        <v>72037</v>
      </c>
      <c r="C1205" s="1205">
        <v>125.99</v>
      </c>
    </row>
    <row r="1206" spans="1:3" ht="24" customHeight="1">
      <c r="A1206" s="1205" t="s">
        <v>72036</v>
      </c>
      <c r="B1206" s="1205" t="s">
        <v>72035</v>
      </c>
      <c r="C1206" s="1205">
        <v>127.49</v>
      </c>
    </row>
    <row r="1207" spans="1:3" ht="24" customHeight="1">
      <c r="A1207" s="1205" t="s">
        <v>72034</v>
      </c>
      <c r="B1207" s="1205" t="s">
        <v>72033</v>
      </c>
      <c r="C1207" s="1205">
        <v>124.49</v>
      </c>
    </row>
    <row r="1208" spans="1:3" ht="24" customHeight="1">
      <c r="A1208" s="1205" t="s">
        <v>72032</v>
      </c>
      <c r="B1208" s="1205" t="s">
        <v>72031</v>
      </c>
      <c r="C1208" s="1205">
        <v>57.49</v>
      </c>
    </row>
    <row r="1209" spans="1:3" ht="24" customHeight="1">
      <c r="A1209" s="1205" t="s">
        <v>72030</v>
      </c>
      <c r="B1209" s="1205" t="s">
        <v>72029</v>
      </c>
      <c r="C1209" s="1205">
        <v>60.49</v>
      </c>
    </row>
    <row r="1210" spans="1:3" ht="24" customHeight="1">
      <c r="A1210" s="1205" t="s">
        <v>72028</v>
      </c>
      <c r="B1210" s="1205" t="s">
        <v>72027</v>
      </c>
      <c r="C1210" s="1205">
        <v>59.49</v>
      </c>
    </row>
    <row r="1211" spans="1:3" ht="24" customHeight="1">
      <c r="A1211" s="1205" t="s">
        <v>72026</v>
      </c>
      <c r="B1211" s="1205" t="s">
        <v>72025</v>
      </c>
      <c r="C1211" s="1205">
        <v>64.989999999999995</v>
      </c>
    </row>
    <row r="1212" spans="1:3" ht="24" customHeight="1">
      <c r="A1212" s="1205" t="s">
        <v>72024</v>
      </c>
      <c r="B1212" s="1205" t="s">
        <v>72023</v>
      </c>
      <c r="C1212" s="1205">
        <v>38.49</v>
      </c>
    </row>
    <row r="1213" spans="1:3" ht="24" customHeight="1">
      <c r="A1213" s="1205" t="s">
        <v>72022</v>
      </c>
      <c r="B1213" s="1205" t="s">
        <v>72021</v>
      </c>
      <c r="C1213" s="1205">
        <v>46.49</v>
      </c>
    </row>
    <row r="1214" spans="1:3" ht="24" customHeight="1">
      <c r="A1214" s="1205" t="s">
        <v>72020</v>
      </c>
      <c r="B1214" s="1205" t="s">
        <v>72019</v>
      </c>
      <c r="C1214" s="1205">
        <v>46.49</v>
      </c>
    </row>
    <row r="1215" spans="1:3" ht="24" customHeight="1">
      <c r="A1215" s="1205" t="s">
        <v>72018</v>
      </c>
      <c r="B1215" s="1205" t="s">
        <v>71980</v>
      </c>
      <c r="C1215" s="1205">
        <v>55.49</v>
      </c>
    </row>
    <row r="1216" spans="1:3" ht="24" customHeight="1">
      <c r="A1216" s="1205" t="s">
        <v>72017</v>
      </c>
      <c r="B1216" s="1205" t="s">
        <v>72016</v>
      </c>
      <c r="C1216" s="1205">
        <v>47.49</v>
      </c>
    </row>
    <row r="1217" spans="1:3" ht="24" customHeight="1">
      <c r="A1217" s="1205" t="s">
        <v>72015</v>
      </c>
      <c r="B1217" s="1205" t="s">
        <v>72014</v>
      </c>
      <c r="C1217" s="1205">
        <v>46.49</v>
      </c>
    </row>
    <row r="1218" spans="1:3" ht="24" customHeight="1">
      <c r="A1218" s="1205" t="s">
        <v>72013</v>
      </c>
      <c r="B1218" s="1205" t="s">
        <v>72012</v>
      </c>
      <c r="C1218" s="1205">
        <v>62.99</v>
      </c>
    </row>
    <row r="1219" spans="1:3" ht="24" customHeight="1">
      <c r="A1219" s="1205" t="s">
        <v>72011</v>
      </c>
      <c r="B1219" s="1205" t="s">
        <v>72010</v>
      </c>
      <c r="C1219" s="1205">
        <v>58.99</v>
      </c>
    </row>
    <row r="1220" spans="1:3" ht="24" customHeight="1">
      <c r="A1220" s="1205" t="s">
        <v>72009</v>
      </c>
      <c r="B1220" s="1205" t="s">
        <v>72008</v>
      </c>
      <c r="C1220" s="1205">
        <v>57.49</v>
      </c>
    </row>
    <row r="1221" spans="1:3" ht="24" customHeight="1">
      <c r="A1221" s="1205" t="s">
        <v>72007</v>
      </c>
      <c r="B1221" s="1205" t="s">
        <v>72006</v>
      </c>
      <c r="C1221" s="1205">
        <v>104.99</v>
      </c>
    </row>
    <row r="1222" spans="1:3" ht="24" customHeight="1">
      <c r="A1222" s="1205" t="s">
        <v>72005</v>
      </c>
      <c r="B1222" s="1205" t="s">
        <v>71972</v>
      </c>
      <c r="C1222" s="1205">
        <v>46.49</v>
      </c>
    </row>
    <row r="1223" spans="1:3" ht="24" customHeight="1">
      <c r="A1223" s="1205" t="s">
        <v>72004</v>
      </c>
      <c r="B1223" s="1205" t="s">
        <v>72003</v>
      </c>
      <c r="C1223" s="1205">
        <v>51.99</v>
      </c>
    </row>
    <row r="1224" spans="1:3" ht="24" customHeight="1">
      <c r="A1224" s="1205" t="s">
        <v>72002</v>
      </c>
      <c r="B1224" s="1205" t="s">
        <v>72001</v>
      </c>
      <c r="C1224" s="1205">
        <v>63.49</v>
      </c>
    </row>
    <row r="1225" spans="1:3" ht="24" customHeight="1">
      <c r="A1225" s="1205" t="s">
        <v>72000</v>
      </c>
      <c r="B1225" s="1205" t="s">
        <v>71999</v>
      </c>
      <c r="C1225" s="1205">
        <v>123.49</v>
      </c>
    </row>
    <row r="1226" spans="1:3" ht="24" customHeight="1">
      <c r="A1226" s="1205" t="s">
        <v>71998</v>
      </c>
      <c r="B1226" s="1205" t="s">
        <v>71997</v>
      </c>
      <c r="C1226" s="1205">
        <v>100.99</v>
      </c>
    </row>
    <row r="1227" spans="1:3" ht="24" customHeight="1">
      <c r="A1227" s="1205" t="s">
        <v>71996</v>
      </c>
      <c r="B1227" s="1205" t="s">
        <v>71995</v>
      </c>
      <c r="C1227" s="1205">
        <v>93.99</v>
      </c>
    </row>
    <row r="1228" spans="1:3" ht="24" customHeight="1">
      <c r="A1228" s="1205" t="s">
        <v>71994</v>
      </c>
      <c r="B1228" s="1205" t="s">
        <v>71993</v>
      </c>
      <c r="C1228" s="1205">
        <v>121.99</v>
      </c>
    </row>
    <row r="1229" spans="1:3" ht="24" customHeight="1">
      <c r="A1229" s="1205" t="s">
        <v>71992</v>
      </c>
      <c r="B1229" s="1205" t="s">
        <v>71991</v>
      </c>
      <c r="C1229" s="1205">
        <v>67.989999999999995</v>
      </c>
    </row>
    <row r="1230" spans="1:3" ht="24" customHeight="1">
      <c r="A1230" s="1205" t="s">
        <v>71990</v>
      </c>
      <c r="B1230" s="1205" t="s">
        <v>71989</v>
      </c>
      <c r="C1230" s="1205">
        <v>62.49</v>
      </c>
    </row>
    <row r="1231" spans="1:3" ht="24" customHeight="1">
      <c r="A1231" s="1205" t="s">
        <v>71988</v>
      </c>
      <c r="B1231" s="1205" t="s">
        <v>71987</v>
      </c>
      <c r="C1231" s="1205">
        <v>57.49</v>
      </c>
    </row>
    <row r="1232" spans="1:3" ht="24" customHeight="1">
      <c r="A1232" s="1205" t="s">
        <v>71986</v>
      </c>
      <c r="B1232" s="1205" t="s">
        <v>71985</v>
      </c>
      <c r="C1232" s="1205">
        <v>54.99</v>
      </c>
    </row>
    <row r="1233" spans="1:3" ht="24" customHeight="1">
      <c r="A1233" s="1205" t="s">
        <v>71984</v>
      </c>
      <c r="B1233" s="1205" t="s">
        <v>71982</v>
      </c>
      <c r="C1233" s="1205">
        <v>81.99</v>
      </c>
    </row>
    <row r="1234" spans="1:3" ht="24" customHeight="1">
      <c r="A1234" s="1205" t="s">
        <v>71983</v>
      </c>
      <c r="B1234" s="1205" t="s">
        <v>71982</v>
      </c>
      <c r="C1234" s="1205">
        <v>78.989999999999995</v>
      </c>
    </row>
    <row r="1235" spans="1:3" ht="24" customHeight="1">
      <c r="A1235" s="1205" t="s">
        <v>71981</v>
      </c>
      <c r="B1235" s="1205" t="s">
        <v>71980</v>
      </c>
      <c r="C1235" s="1205">
        <v>52.49</v>
      </c>
    </row>
    <row r="1236" spans="1:3" ht="24" customHeight="1">
      <c r="A1236" s="1205" t="s">
        <v>71979</v>
      </c>
      <c r="B1236" s="1205" t="s">
        <v>71978</v>
      </c>
      <c r="C1236" s="1205">
        <v>93.99</v>
      </c>
    </row>
    <row r="1237" spans="1:3" ht="24" customHeight="1">
      <c r="A1237" s="1205" t="s">
        <v>71977</v>
      </c>
      <c r="B1237" s="1205" t="s">
        <v>71217</v>
      </c>
      <c r="C1237" s="1205">
        <v>64.489999999999995</v>
      </c>
    </row>
    <row r="1238" spans="1:3" ht="24" customHeight="1">
      <c r="A1238" s="1205" t="s">
        <v>71976</v>
      </c>
      <c r="B1238" s="1205" t="s">
        <v>71867</v>
      </c>
      <c r="C1238" s="1205">
        <v>44.99</v>
      </c>
    </row>
    <row r="1239" spans="1:3" ht="24" customHeight="1">
      <c r="A1239" s="1205" t="s">
        <v>71975</v>
      </c>
      <c r="B1239" s="1205" t="s">
        <v>71974</v>
      </c>
      <c r="C1239" s="1205">
        <v>44.99</v>
      </c>
    </row>
    <row r="1240" spans="1:3" ht="24" customHeight="1">
      <c r="A1240" s="1205" t="s">
        <v>71973</v>
      </c>
      <c r="B1240" s="1205" t="s">
        <v>71972</v>
      </c>
      <c r="C1240" s="1205">
        <v>43.99</v>
      </c>
    </row>
    <row r="1241" spans="1:3" ht="24" customHeight="1">
      <c r="A1241" s="1205" t="s">
        <v>71971</v>
      </c>
      <c r="B1241" s="1205" t="s">
        <v>71970</v>
      </c>
      <c r="C1241" s="1205">
        <v>48.99</v>
      </c>
    </row>
    <row r="1242" spans="1:3" ht="24" customHeight="1">
      <c r="A1242" s="1205" t="s">
        <v>71969</v>
      </c>
      <c r="B1242" s="1205" t="s">
        <v>71968</v>
      </c>
      <c r="C1242" s="1205">
        <v>49.49</v>
      </c>
    </row>
    <row r="1243" spans="1:3" ht="24" customHeight="1">
      <c r="A1243" s="1205" t="s">
        <v>71967</v>
      </c>
      <c r="B1243" s="1205" t="s">
        <v>71966</v>
      </c>
      <c r="C1243" s="1205">
        <v>54.49</v>
      </c>
    </row>
    <row r="1244" spans="1:3" ht="24" customHeight="1">
      <c r="A1244" s="1205" t="s">
        <v>71965</v>
      </c>
      <c r="B1244" s="1205" t="s">
        <v>71844</v>
      </c>
      <c r="C1244" s="1205">
        <v>58.99</v>
      </c>
    </row>
    <row r="1245" spans="1:3" ht="24" customHeight="1">
      <c r="A1245" s="1205" t="s">
        <v>71964</v>
      </c>
      <c r="B1245" s="1205" t="s">
        <v>71963</v>
      </c>
      <c r="C1245" s="1205">
        <v>57.99</v>
      </c>
    </row>
    <row r="1246" spans="1:3" ht="24" customHeight="1">
      <c r="A1246" s="1205" t="s">
        <v>71962</v>
      </c>
      <c r="B1246" s="1205" t="s">
        <v>71961</v>
      </c>
      <c r="C1246" s="1205">
        <v>56.99</v>
      </c>
    </row>
    <row r="1247" spans="1:3" ht="24" customHeight="1">
      <c r="A1247" s="1205" t="s">
        <v>71960</v>
      </c>
      <c r="B1247" s="1205" t="s">
        <v>71959</v>
      </c>
      <c r="C1247" s="1205">
        <v>61.49</v>
      </c>
    </row>
    <row r="1248" spans="1:3" ht="24" customHeight="1">
      <c r="A1248" s="1205" t="s">
        <v>71958</v>
      </c>
      <c r="B1248" s="1205" t="s">
        <v>71957</v>
      </c>
      <c r="C1248" s="1205">
        <v>56.49</v>
      </c>
    </row>
    <row r="1249" spans="1:3" ht="24" customHeight="1">
      <c r="A1249" s="1205" t="s">
        <v>71956</v>
      </c>
      <c r="B1249" s="1205" t="s">
        <v>71955</v>
      </c>
      <c r="C1249" s="1205">
        <v>48.49</v>
      </c>
    </row>
    <row r="1250" spans="1:3" ht="24" customHeight="1">
      <c r="A1250" s="1205" t="s">
        <v>71954</v>
      </c>
      <c r="B1250" s="1205" t="s">
        <v>71953</v>
      </c>
      <c r="C1250" s="1205">
        <v>53.99</v>
      </c>
    </row>
    <row r="1251" spans="1:3" ht="24" customHeight="1">
      <c r="A1251" s="1205" t="s">
        <v>71952</v>
      </c>
      <c r="B1251" s="1205" t="s">
        <v>71951</v>
      </c>
      <c r="C1251" s="1205">
        <v>46.49</v>
      </c>
    </row>
    <row r="1252" spans="1:3" ht="24" customHeight="1">
      <c r="A1252" s="1205" t="s">
        <v>71950</v>
      </c>
      <c r="B1252" s="1205" t="s">
        <v>71949</v>
      </c>
      <c r="C1252" s="1205">
        <v>45.99</v>
      </c>
    </row>
    <row r="1253" spans="1:3" ht="24" customHeight="1">
      <c r="A1253" s="1205" t="s">
        <v>71948</v>
      </c>
      <c r="B1253" s="1205" t="s">
        <v>71947</v>
      </c>
      <c r="C1253" s="1205">
        <v>54.99</v>
      </c>
    </row>
    <row r="1254" spans="1:3" ht="24" customHeight="1">
      <c r="A1254" s="1205" t="s">
        <v>71946</v>
      </c>
      <c r="B1254" s="1205" t="s">
        <v>71945</v>
      </c>
      <c r="C1254" s="1205">
        <v>58.49</v>
      </c>
    </row>
    <row r="1255" spans="1:3" ht="24" customHeight="1">
      <c r="A1255" s="1205" t="s">
        <v>71944</v>
      </c>
      <c r="B1255" s="1205" t="s">
        <v>71943</v>
      </c>
      <c r="C1255" s="1205">
        <v>54.99</v>
      </c>
    </row>
    <row r="1256" spans="1:3" ht="24" customHeight="1">
      <c r="A1256" s="1205" t="s">
        <v>71942</v>
      </c>
      <c r="B1256" s="1205" t="s">
        <v>71941</v>
      </c>
      <c r="C1256" s="1205">
        <v>56.49</v>
      </c>
    </row>
    <row r="1257" spans="1:3" ht="24" customHeight="1">
      <c r="A1257" s="1205" t="s">
        <v>71940</v>
      </c>
      <c r="B1257" s="1205" t="s">
        <v>71939</v>
      </c>
      <c r="C1257" s="1205">
        <v>54.99</v>
      </c>
    </row>
    <row r="1258" spans="1:3" ht="24" customHeight="1">
      <c r="A1258" s="1205" t="s">
        <v>71938</v>
      </c>
      <c r="B1258" s="1205" t="s">
        <v>71937</v>
      </c>
      <c r="C1258" s="1205">
        <v>54.49</v>
      </c>
    </row>
    <row r="1259" spans="1:3" ht="24" customHeight="1">
      <c r="A1259" s="1205" t="s">
        <v>71936</v>
      </c>
      <c r="B1259" s="1205" t="s">
        <v>71935</v>
      </c>
      <c r="C1259" s="1205">
        <v>52.49</v>
      </c>
    </row>
    <row r="1260" spans="1:3" ht="24" customHeight="1">
      <c r="A1260" s="1205" t="s">
        <v>71934</v>
      </c>
      <c r="B1260" s="1205" t="s">
        <v>71933</v>
      </c>
      <c r="C1260" s="1205">
        <v>53.49</v>
      </c>
    </row>
    <row r="1261" spans="1:3" ht="24" customHeight="1">
      <c r="A1261" s="1205" t="s">
        <v>71932</v>
      </c>
      <c r="B1261" s="1205" t="s">
        <v>71931</v>
      </c>
      <c r="C1261" s="1205">
        <v>55.49</v>
      </c>
    </row>
    <row r="1262" spans="1:3" ht="24" customHeight="1">
      <c r="A1262" s="1205" t="s">
        <v>71930</v>
      </c>
      <c r="B1262" s="1205" t="s">
        <v>71929</v>
      </c>
      <c r="C1262" s="1205">
        <v>53.99</v>
      </c>
    </row>
    <row r="1263" spans="1:3" ht="24" customHeight="1">
      <c r="A1263" s="1205" t="s">
        <v>71928</v>
      </c>
      <c r="B1263" s="1205" t="s">
        <v>71927</v>
      </c>
      <c r="C1263" s="1205">
        <v>151.49</v>
      </c>
    </row>
    <row r="1264" spans="1:3" ht="24" customHeight="1">
      <c r="A1264" s="1205" t="s">
        <v>71926</v>
      </c>
      <c r="B1264" s="1205" t="s">
        <v>71925</v>
      </c>
      <c r="C1264" s="1205">
        <v>52.49</v>
      </c>
    </row>
    <row r="1265" spans="1:3" ht="24" customHeight="1">
      <c r="A1265" s="1205" t="s">
        <v>71924</v>
      </c>
      <c r="B1265" s="1205" t="s">
        <v>71923</v>
      </c>
      <c r="C1265" s="1205">
        <v>72.489999999999995</v>
      </c>
    </row>
    <row r="1266" spans="1:3" ht="24" customHeight="1">
      <c r="A1266" s="1205" t="s">
        <v>71922</v>
      </c>
      <c r="B1266" s="1205" t="s">
        <v>71921</v>
      </c>
      <c r="C1266" s="1205">
        <v>64.489999999999995</v>
      </c>
    </row>
    <row r="1267" spans="1:3" ht="24" customHeight="1">
      <c r="A1267" s="1205" t="s">
        <v>71920</v>
      </c>
      <c r="B1267" s="1205" t="s">
        <v>71919</v>
      </c>
      <c r="C1267" s="1205">
        <v>77.989999999999995</v>
      </c>
    </row>
    <row r="1268" spans="1:3" ht="24" customHeight="1">
      <c r="A1268" s="1205" t="s">
        <v>71918</v>
      </c>
      <c r="B1268" s="1205" t="s">
        <v>71917</v>
      </c>
      <c r="C1268" s="1205">
        <v>107.49</v>
      </c>
    </row>
    <row r="1269" spans="1:3" ht="24" customHeight="1">
      <c r="A1269" s="1205" t="s">
        <v>71916</v>
      </c>
      <c r="B1269" s="1205" t="s">
        <v>71915</v>
      </c>
      <c r="C1269" s="1205">
        <v>66.989999999999995</v>
      </c>
    </row>
    <row r="1270" spans="1:3" ht="24" customHeight="1">
      <c r="A1270" s="1205" t="s">
        <v>71914</v>
      </c>
      <c r="B1270" s="1205" t="s">
        <v>71913</v>
      </c>
      <c r="C1270" s="1205">
        <v>114.99</v>
      </c>
    </row>
    <row r="1271" spans="1:3" ht="24" customHeight="1">
      <c r="A1271" s="1205" t="s">
        <v>71912</v>
      </c>
      <c r="B1271" s="1205" t="s">
        <v>71911</v>
      </c>
      <c r="C1271" s="1205">
        <v>110.99</v>
      </c>
    </row>
    <row r="1272" spans="1:3" ht="24" customHeight="1">
      <c r="A1272" s="1205" t="s">
        <v>71910</v>
      </c>
      <c r="B1272" s="1205" t="s">
        <v>71909</v>
      </c>
      <c r="C1272" s="1205">
        <v>91.99</v>
      </c>
    </row>
    <row r="1273" spans="1:3" ht="24" customHeight="1">
      <c r="A1273" s="1205" t="s">
        <v>71908</v>
      </c>
      <c r="B1273" s="1205" t="s">
        <v>71907</v>
      </c>
      <c r="C1273" s="1205">
        <v>87.99</v>
      </c>
    </row>
    <row r="1274" spans="1:3" ht="24" customHeight="1">
      <c r="A1274" s="1205" t="s">
        <v>71906</v>
      </c>
      <c r="B1274" s="1205" t="s">
        <v>71905</v>
      </c>
      <c r="C1274" s="1205">
        <v>82.49</v>
      </c>
    </row>
    <row r="1275" spans="1:3" ht="24" customHeight="1">
      <c r="A1275" s="1205" t="s">
        <v>71904</v>
      </c>
      <c r="B1275" s="1205" t="s">
        <v>71903</v>
      </c>
      <c r="C1275" s="1205">
        <v>80.989999999999995</v>
      </c>
    </row>
    <row r="1276" spans="1:3" ht="24" customHeight="1">
      <c r="A1276" s="1205" t="s">
        <v>71902</v>
      </c>
      <c r="B1276" s="1205" t="s">
        <v>71901</v>
      </c>
      <c r="C1276" s="1205">
        <v>108.99</v>
      </c>
    </row>
    <row r="1277" spans="1:3" ht="24" customHeight="1">
      <c r="A1277" s="1205" t="s">
        <v>71900</v>
      </c>
      <c r="B1277" s="1205" t="s">
        <v>71899</v>
      </c>
      <c r="C1277" s="1205">
        <v>76.489999999999995</v>
      </c>
    </row>
    <row r="1278" spans="1:3" ht="24" customHeight="1">
      <c r="A1278" s="1205" t="s">
        <v>71898</v>
      </c>
      <c r="B1278" s="1205" t="s">
        <v>71897</v>
      </c>
      <c r="C1278" s="1205">
        <v>97.99</v>
      </c>
    </row>
    <row r="1279" spans="1:3" ht="24" customHeight="1">
      <c r="A1279" s="1205" t="s">
        <v>71896</v>
      </c>
      <c r="B1279" s="1205" t="s">
        <v>71895</v>
      </c>
      <c r="C1279" s="1205">
        <v>74.989999999999995</v>
      </c>
    </row>
    <row r="1280" spans="1:3" ht="24" customHeight="1">
      <c r="A1280" s="1205" t="s">
        <v>71894</v>
      </c>
      <c r="B1280" s="1205" t="s">
        <v>71893</v>
      </c>
      <c r="C1280" s="1205">
        <v>111.99</v>
      </c>
    </row>
    <row r="1281" spans="1:3" ht="24" customHeight="1">
      <c r="A1281" s="1205" t="s">
        <v>71892</v>
      </c>
      <c r="B1281" s="1205" t="s">
        <v>71891</v>
      </c>
      <c r="C1281" s="1205">
        <v>73.489999999999995</v>
      </c>
    </row>
    <row r="1282" spans="1:3" ht="24" customHeight="1">
      <c r="A1282" s="1205" t="s">
        <v>71890</v>
      </c>
      <c r="B1282" s="1205" t="s">
        <v>71889</v>
      </c>
      <c r="C1282" s="1205">
        <v>156.49</v>
      </c>
    </row>
    <row r="1283" spans="1:3" ht="24" customHeight="1">
      <c r="A1283" s="1205" t="s">
        <v>71888</v>
      </c>
      <c r="B1283" s="1205" t="s">
        <v>71887</v>
      </c>
      <c r="C1283" s="1205">
        <v>227.99</v>
      </c>
    </row>
    <row r="1284" spans="1:3" ht="24" customHeight="1">
      <c r="A1284" s="1205" t="s">
        <v>71886</v>
      </c>
      <c r="B1284" s="1205" t="s">
        <v>71885</v>
      </c>
      <c r="C1284" s="1205">
        <v>224.99</v>
      </c>
    </row>
    <row r="1285" spans="1:3" ht="24" customHeight="1">
      <c r="A1285" s="1205" t="s">
        <v>71884</v>
      </c>
      <c r="B1285" s="1205" t="s">
        <v>71883</v>
      </c>
      <c r="C1285" s="1205">
        <v>93.99</v>
      </c>
    </row>
    <row r="1286" spans="1:3" ht="24" customHeight="1">
      <c r="A1286" s="1205" t="s">
        <v>71882</v>
      </c>
      <c r="B1286" s="1205" t="s">
        <v>71881</v>
      </c>
      <c r="C1286" s="1205">
        <v>93.99</v>
      </c>
    </row>
    <row r="1287" spans="1:3" ht="24" customHeight="1">
      <c r="A1287" s="1205" t="s">
        <v>71880</v>
      </c>
      <c r="B1287" s="1205" t="s">
        <v>71879</v>
      </c>
      <c r="C1287" s="1205">
        <v>109.99</v>
      </c>
    </row>
    <row r="1288" spans="1:3" ht="24" customHeight="1">
      <c r="A1288" s="1205" t="s">
        <v>71878</v>
      </c>
      <c r="B1288" s="1205" t="s">
        <v>71605</v>
      </c>
      <c r="C1288" s="1205">
        <v>68.989999999999995</v>
      </c>
    </row>
    <row r="1289" spans="1:3" ht="24" customHeight="1">
      <c r="A1289" s="1205" t="s">
        <v>71877</v>
      </c>
      <c r="B1289" s="1205" t="s">
        <v>71876</v>
      </c>
      <c r="C1289" s="1205">
        <v>59.99</v>
      </c>
    </row>
    <row r="1290" spans="1:3" ht="24" customHeight="1">
      <c r="A1290" s="1205" t="s">
        <v>71875</v>
      </c>
      <c r="B1290" s="1205" t="s">
        <v>71874</v>
      </c>
      <c r="C1290" s="1205">
        <v>56.49</v>
      </c>
    </row>
    <row r="1291" spans="1:3" ht="24" customHeight="1">
      <c r="A1291" s="1205" t="s">
        <v>71873</v>
      </c>
      <c r="B1291" s="1205" t="s">
        <v>71872</v>
      </c>
      <c r="C1291" s="1205">
        <v>56.49</v>
      </c>
    </row>
    <row r="1292" spans="1:3" ht="24" customHeight="1">
      <c r="A1292" s="1205" t="s">
        <v>71871</v>
      </c>
      <c r="B1292" s="1205" t="s">
        <v>71870</v>
      </c>
      <c r="C1292" s="1205">
        <v>53.99</v>
      </c>
    </row>
    <row r="1293" spans="1:3" ht="24" customHeight="1">
      <c r="A1293" s="1205" t="s">
        <v>71869</v>
      </c>
      <c r="B1293" s="1205" t="s">
        <v>70563</v>
      </c>
      <c r="C1293" s="1205">
        <v>51.49</v>
      </c>
    </row>
    <row r="1294" spans="1:3" ht="24" customHeight="1">
      <c r="A1294" s="1205" t="s">
        <v>71868</v>
      </c>
      <c r="B1294" s="1205" t="s">
        <v>71867</v>
      </c>
      <c r="C1294" s="1205">
        <v>54.99</v>
      </c>
    </row>
    <row r="1295" spans="1:3" ht="24" customHeight="1">
      <c r="A1295" s="1205" t="s">
        <v>71866</v>
      </c>
      <c r="B1295" s="1205" t="s">
        <v>71865</v>
      </c>
      <c r="C1295" s="1205">
        <v>60.99</v>
      </c>
    </row>
    <row r="1296" spans="1:3" ht="24" customHeight="1">
      <c r="A1296" s="1205" t="s">
        <v>71864</v>
      </c>
      <c r="B1296" s="1205" t="s">
        <v>63659</v>
      </c>
      <c r="C1296" s="1205">
        <v>57.49</v>
      </c>
    </row>
    <row r="1297" spans="1:3" ht="24" customHeight="1">
      <c r="A1297" s="1205" t="s">
        <v>71863</v>
      </c>
      <c r="B1297" s="1205" t="s">
        <v>71862</v>
      </c>
      <c r="C1297" s="1205">
        <v>58.49</v>
      </c>
    </row>
    <row r="1298" spans="1:3" ht="24" customHeight="1">
      <c r="A1298" s="1205" t="s">
        <v>71861</v>
      </c>
      <c r="B1298" s="1205" t="s">
        <v>71860</v>
      </c>
      <c r="C1298" s="1205">
        <v>55.49</v>
      </c>
    </row>
    <row r="1299" spans="1:3" ht="24" customHeight="1">
      <c r="A1299" s="1205" t="s">
        <v>71859</v>
      </c>
      <c r="B1299" s="1205" t="s">
        <v>71858</v>
      </c>
      <c r="C1299" s="1205">
        <v>53.99</v>
      </c>
    </row>
    <row r="1300" spans="1:3" ht="24" customHeight="1">
      <c r="A1300" s="1205" t="s">
        <v>71857</v>
      </c>
      <c r="B1300" s="1205" t="s">
        <v>71856</v>
      </c>
      <c r="C1300" s="1205">
        <v>51.99</v>
      </c>
    </row>
    <row r="1301" spans="1:3" ht="24" customHeight="1">
      <c r="A1301" s="1205" t="s">
        <v>71855</v>
      </c>
      <c r="B1301" s="1205" t="s">
        <v>71854</v>
      </c>
      <c r="C1301" s="1205">
        <v>49.49</v>
      </c>
    </row>
    <row r="1302" spans="1:3" ht="24" customHeight="1">
      <c r="A1302" s="1205" t="s">
        <v>71853</v>
      </c>
      <c r="B1302" s="1205" t="s">
        <v>71852</v>
      </c>
      <c r="C1302" s="1205">
        <v>68.489999999999995</v>
      </c>
    </row>
    <row r="1303" spans="1:3" ht="24" customHeight="1">
      <c r="A1303" s="1205" t="s">
        <v>71851</v>
      </c>
      <c r="B1303" s="1205" t="s">
        <v>71850</v>
      </c>
      <c r="C1303" s="1205">
        <v>56.99</v>
      </c>
    </row>
    <row r="1304" spans="1:3" ht="24" customHeight="1">
      <c r="A1304" s="1205" t="s">
        <v>71849</v>
      </c>
      <c r="B1304" s="1205" t="s">
        <v>71848</v>
      </c>
      <c r="C1304" s="1205">
        <v>53.49</v>
      </c>
    </row>
    <row r="1305" spans="1:3" ht="24" customHeight="1">
      <c r="A1305" s="1205" t="s">
        <v>71847</v>
      </c>
      <c r="B1305" s="1205" t="s">
        <v>71846</v>
      </c>
      <c r="C1305" s="1205">
        <v>52.99</v>
      </c>
    </row>
    <row r="1306" spans="1:3" ht="24" customHeight="1">
      <c r="A1306" s="1205" t="s">
        <v>71845</v>
      </c>
      <c r="B1306" s="1205" t="s">
        <v>71844</v>
      </c>
      <c r="C1306" s="1205">
        <v>60.99</v>
      </c>
    </row>
    <row r="1307" spans="1:3" ht="24" customHeight="1">
      <c r="A1307" s="1205" t="s">
        <v>71843</v>
      </c>
      <c r="B1307" s="1205" t="s">
        <v>71842</v>
      </c>
      <c r="C1307" s="1205">
        <v>57.49</v>
      </c>
    </row>
    <row r="1308" spans="1:3" ht="24" customHeight="1">
      <c r="A1308" s="1205" t="s">
        <v>71841</v>
      </c>
      <c r="B1308" s="1205" t="s">
        <v>71840</v>
      </c>
      <c r="C1308" s="1205">
        <v>58.49</v>
      </c>
    </row>
    <row r="1309" spans="1:3" ht="24" customHeight="1">
      <c r="A1309" s="1205" t="s">
        <v>71839</v>
      </c>
      <c r="B1309" s="1205" t="s">
        <v>71838</v>
      </c>
      <c r="C1309" s="1205">
        <v>54.99</v>
      </c>
    </row>
    <row r="1310" spans="1:3" ht="24" customHeight="1">
      <c r="A1310" s="1205" t="s">
        <v>71837</v>
      </c>
      <c r="B1310" s="1205" t="s">
        <v>71836</v>
      </c>
      <c r="C1310" s="1205">
        <v>59.99</v>
      </c>
    </row>
    <row r="1311" spans="1:3" ht="24" customHeight="1">
      <c r="A1311" s="1205" t="s">
        <v>71835</v>
      </c>
      <c r="B1311" s="1205" t="s">
        <v>71834</v>
      </c>
      <c r="C1311" s="1205">
        <v>56.49</v>
      </c>
    </row>
    <row r="1312" spans="1:3" ht="24" customHeight="1">
      <c r="A1312" s="1205" t="s">
        <v>71833</v>
      </c>
      <c r="B1312" s="1205" t="s">
        <v>71832</v>
      </c>
      <c r="C1312" s="1205">
        <v>64.989999999999995</v>
      </c>
    </row>
    <row r="1313" spans="1:3" ht="24" customHeight="1">
      <c r="A1313" s="1205" t="s">
        <v>71831</v>
      </c>
      <c r="B1313" s="1205" t="s">
        <v>71829</v>
      </c>
      <c r="C1313" s="1205">
        <v>58.99</v>
      </c>
    </row>
    <row r="1314" spans="1:3" ht="24" customHeight="1">
      <c r="A1314" s="1205" t="s">
        <v>71830</v>
      </c>
      <c r="B1314" s="1205" t="s">
        <v>71829</v>
      </c>
      <c r="C1314" s="1205">
        <v>55.49</v>
      </c>
    </row>
    <row r="1315" spans="1:3" ht="24" customHeight="1">
      <c r="A1315" s="1205" t="s">
        <v>71828</v>
      </c>
      <c r="B1315" s="1205" t="s">
        <v>71827</v>
      </c>
      <c r="C1315" s="1205">
        <v>56.99</v>
      </c>
    </row>
    <row r="1316" spans="1:3" ht="24" customHeight="1">
      <c r="A1316" s="1205" t="s">
        <v>71826</v>
      </c>
      <c r="B1316" s="1205" t="s">
        <v>71825</v>
      </c>
      <c r="C1316" s="1205">
        <v>53.49</v>
      </c>
    </row>
    <row r="1317" spans="1:3" ht="24" customHeight="1">
      <c r="A1317" s="1205" t="s">
        <v>71824</v>
      </c>
      <c r="B1317" s="1205" t="s">
        <v>71823</v>
      </c>
      <c r="C1317" s="1205">
        <v>49.99</v>
      </c>
    </row>
    <row r="1318" spans="1:3" ht="24" customHeight="1">
      <c r="A1318" s="1205" t="s">
        <v>71822</v>
      </c>
      <c r="B1318" s="1205" t="s">
        <v>71821</v>
      </c>
      <c r="C1318" s="1205">
        <v>67.989999999999995</v>
      </c>
    </row>
    <row r="1319" spans="1:3" ht="24" customHeight="1">
      <c r="A1319" s="1205" t="s">
        <v>71820</v>
      </c>
      <c r="B1319" s="1205" t="s">
        <v>71819</v>
      </c>
      <c r="C1319" s="1205">
        <v>64.989999999999995</v>
      </c>
    </row>
    <row r="1320" spans="1:3" ht="24" customHeight="1">
      <c r="A1320" s="1205" t="s">
        <v>71818</v>
      </c>
      <c r="B1320" s="1205" t="s">
        <v>71817</v>
      </c>
      <c r="C1320" s="1205">
        <v>58.49</v>
      </c>
    </row>
    <row r="1321" spans="1:3" ht="24" customHeight="1">
      <c r="A1321" s="1205" t="s">
        <v>71816</v>
      </c>
      <c r="B1321" s="1205" t="s">
        <v>71815</v>
      </c>
      <c r="C1321" s="1205">
        <v>55.49</v>
      </c>
    </row>
    <row r="1322" spans="1:3" ht="24" customHeight="1">
      <c r="A1322" s="1205" t="s">
        <v>71814</v>
      </c>
      <c r="B1322" s="1205" t="s">
        <v>71813</v>
      </c>
      <c r="C1322" s="1205">
        <v>56.99</v>
      </c>
    </row>
    <row r="1323" spans="1:3" ht="24" customHeight="1">
      <c r="A1323" s="1205" t="s">
        <v>71812</v>
      </c>
      <c r="B1323" s="1205" t="s">
        <v>71811</v>
      </c>
      <c r="C1323" s="1205">
        <v>103.99</v>
      </c>
    </row>
    <row r="1324" spans="1:3" ht="24" customHeight="1">
      <c r="A1324" s="1205" t="s">
        <v>71810</v>
      </c>
      <c r="B1324" s="1205" t="s">
        <v>71809</v>
      </c>
      <c r="C1324" s="1205">
        <v>53.49</v>
      </c>
    </row>
    <row r="1325" spans="1:3" ht="24" customHeight="1">
      <c r="A1325" s="1205" t="s">
        <v>71808</v>
      </c>
      <c r="B1325" s="1205" t="s">
        <v>71807</v>
      </c>
      <c r="C1325" s="1205">
        <v>58.99</v>
      </c>
    </row>
    <row r="1326" spans="1:3" ht="24" customHeight="1">
      <c r="A1326" s="1205" t="s">
        <v>71806</v>
      </c>
      <c r="B1326" s="1205" t="s">
        <v>71805</v>
      </c>
      <c r="C1326" s="1205">
        <v>55.49</v>
      </c>
    </row>
    <row r="1327" spans="1:3" ht="24" customHeight="1">
      <c r="A1327" s="1205" t="s">
        <v>71804</v>
      </c>
      <c r="B1327" s="1205" t="s">
        <v>71803</v>
      </c>
      <c r="C1327" s="1205">
        <v>57.99</v>
      </c>
    </row>
    <row r="1328" spans="1:3" ht="24" customHeight="1">
      <c r="A1328" s="1205" t="s">
        <v>71802</v>
      </c>
      <c r="B1328" s="1205" t="s">
        <v>71801</v>
      </c>
      <c r="C1328" s="1205">
        <v>54.49</v>
      </c>
    </row>
    <row r="1329" spans="1:3" ht="24" customHeight="1">
      <c r="A1329" s="1205" t="s">
        <v>71800</v>
      </c>
      <c r="B1329" s="1205" t="s">
        <v>71799</v>
      </c>
      <c r="C1329" s="1205">
        <v>59.99</v>
      </c>
    </row>
    <row r="1330" spans="1:3" ht="24" customHeight="1">
      <c r="A1330" s="1205" t="s">
        <v>71798</v>
      </c>
      <c r="B1330" s="1205" t="s">
        <v>71797</v>
      </c>
      <c r="C1330" s="1205">
        <v>56.49</v>
      </c>
    </row>
    <row r="1331" spans="1:3" ht="24" customHeight="1">
      <c r="A1331" s="1205" t="s">
        <v>71796</v>
      </c>
      <c r="B1331" s="1205" t="s">
        <v>71795</v>
      </c>
      <c r="C1331" s="1205">
        <v>67.489999999999995</v>
      </c>
    </row>
    <row r="1332" spans="1:3" ht="24" customHeight="1">
      <c r="A1332" s="1205" t="s">
        <v>71794</v>
      </c>
      <c r="B1332" s="1205" t="s">
        <v>71793</v>
      </c>
      <c r="C1332" s="1205">
        <v>64.489999999999995</v>
      </c>
    </row>
    <row r="1333" spans="1:3" ht="24" customHeight="1">
      <c r="A1333" s="1205" t="s">
        <v>71792</v>
      </c>
      <c r="B1333" s="1205" t="s">
        <v>71791</v>
      </c>
      <c r="C1333" s="1205">
        <v>59.49</v>
      </c>
    </row>
    <row r="1334" spans="1:3" ht="24" customHeight="1">
      <c r="A1334" s="1205" t="s">
        <v>71790</v>
      </c>
      <c r="B1334" s="1205" t="s">
        <v>71789</v>
      </c>
      <c r="C1334" s="1205">
        <v>55.99</v>
      </c>
    </row>
    <row r="1335" spans="1:3" ht="24" customHeight="1">
      <c r="A1335" s="1205" t="s">
        <v>71788</v>
      </c>
      <c r="B1335" s="1205" t="s">
        <v>71787</v>
      </c>
      <c r="C1335" s="1205">
        <v>59.49</v>
      </c>
    </row>
    <row r="1336" spans="1:3" ht="24" customHeight="1">
      <c r="A1336" s="1205" t="s">
        <v>71786</v>
      </c>
      <c r="B1336" s="1205" t="s">
        <v>71785</v>
      </c>
      <c r="C1336" s="1205">
        <v>55.99</v>
      </c>
    </row>
    <row r="1337" spans="1:3" ht="24" customHeight="1">
      <c r="A1337" s="1205" t="s">
        <v>71784</v>
      </c>
      <c r="B1337" s="1205" t="s">
        <v>71783</v>
      </c>
      <c r="C1337" s="1205">
        <v>53.49</v>
      </c>
    </row>
    <row r="1338" spans="1:3" ht="24" customHeight="1">
      <c r="A1338" s="1205" t="s">
        <v>71782</v>
      </c>
      <c r="B1338" s="1205" t="s">
        <v>71781</v>
      </c>
      <c r="C1338" s="1205">
        <v>57.49</v>
      </c>
    </row>
    <row r="1339" spans="1:3" ht="24" customHeight="1">
      <c r="A1339" s="1205" t="s">
        <v>71780</v>
      </c>
      <c r="B1339" s="1205" t="s">
        <v>71779</v>
      </c>
      <c r="C1339" s="1205">
        <v>54.49</v>
      </c>
    </row>
    <row r="1340" spans="1:3" ht="24" customHeight="1">
      <c r="A1340" s="1205" t="s">
        <v>71778</v>
      </c>
      <c r="B1340" s="1205" t="s">
        <v>71777</v>
      </c>
      <c r="C1340" s="1205">
        <v>58.49</v>
      </c>
    </row>
    <row r="1341" spans="1:3" ht="24" customHeight="1">
      <c r="A1341" s="1205" t="s">
        <v>71776</v>
      </c>
      <c r="B1341" s="1205" t="s">
        <v>71775</v>
      </c>
      <c r="C1341" s="1205">
        <v>65.489999999999995</v>
      </c>
    </row>
    <row r="1342" spans="1:3" ht="24" customHeight="1">
      <c r="A1342" s="1205" t="s">
        <v>71774</v>
      </c>
      <c r="B1342" s="1205" t="s">
        <v>71773</v>
      </c>
      <c r="C1342" s="1205">
        <v>58.49</v>
      </c>
    </row>
    <row r="1343" spans="1:3" ht="24" customHeight="1">
      <c r="A1343" s="1205" t="s">
        <v>71772</v>
      </c>
      <c r="B1343" s="1205" t="s">
        <v>71771</v>
      </c>
      <c r="C1343" s="1205">
        <v>58.99</v>
      </c>
    </row>
    <row r="1344" spans="1:3" ht="24" customHeight="1">
      <c r="A1344" s="1205" t="s">
        <v>71770</v>
      </c>
      <c r="B1344" s="1205" t="s">
        <v>71769</v>
      </c>
      <c r="C1344" s="1205">
        <v>61.49</v>
      </c>
    </row>
    <row r="1345" spans="1:3" ht="24" customHeight="1">
      <c r="A1345" s="1205" t="s">
        <v>71768</v>
      </c>
      <c r="B1345" s="1205" t="s">
        <v>71767</v>
      </c>
      <c r="C1345" s="1205">
        <v>57.99</v>
      </c>
    </row>
    <row r="1346" spans="1:3" ht="24" customHeight="1">
      <c r="A1346" s="1205" t="s">
        <v>71766</v>
      </c>
      <c r="B1346" s="1205" t="s">
        <v>71765</v>
      </c>
      <c r="C1346" s="1205">
        <v>57.99</v>
      </c>
    </row>
    <row r="1347" spans="1:3" ht="24" customHeight="1">
      <c r="A1347" s="1205" t="s">
        <v>71764</v>
      </c>
      <c r="B1347" s="1205" t="s">
        <v>71763</v>
      </c>
      <c r="C1347" s="1205">
        <v>54.99</v>
      </c>
    </row>
    <row r="1348" spans="1:3" ht="24" customHeight="1">
      <c r="A1348" s="1205" t="s">
        <v>71762</v>
      </c>
      <c r="B1348" s="1205" t="s">
        <v>71761</v>
      </c>
      <c r="C1348" s="1205">
        <v>68.489999999999995</v>
      </c>
    </row>
    <row r="1349" spans="1:3" ht="24" customHeight="1">
      <c r="A1349" s="1205" t="s">
        <v>71760</v>
      </c>
      <c r="B1349" s="1205" t="s">
        <v>71759</v>
      </c>
      <c r="C1349" s="1205">
        <v>64.989999999999995</v>
      </c>
    </row>
    <row r="1350" spans="1:3" ht="24" customHeight="1">
      <c r="A1350" s="1205" t="s">
        <v>71758</v>
      </c>
      <c r="B1350" s="1205" t="s">
        <v>71757</v>
      </c>
      <c r="C1350" s="1205">
        <v>58.99</v>
      </c>
    </row>
    <row r="1351" spans="1:3" ht="24" customHeight="1">
      <c r="A1351" s="1205" t="s">
        <v>71756</v>
      </c>
      <c r="B1351" s="1205" t="s">
        <v>71755</v>
      </c>
      <c r="C1351" s="1205">
        <v>64.489999999999995</v>
      </c>
    </row>
    <row r="1352" spans="1:3" ht="24" customHeight="1">
      <c r="A1352" s="1205" t="s">
        <v>71754</v>
      </c>
      <c r="B1352" s="1205" t="s">
        <v>71753</v>
      </c>
      <c r="C1352" s="1205">
        <v>58.99</v>
      </c>
    </row>
    <row r="1353" spans="1:3" ht="24" customHeight="1">
      <c r="A1353" s="1205" t="s">
        <v>71752</v>
      </c>
      <c r="B1353" s="1205" t="s">
        <v>71751</v>
      </c>
      <c r="C1353" s="1205">
        <v>55.49</v>
      </c>
    </row>
    <row r="1354" spans="1:3" ht="24" customHeight="1">
      <c r="A1354" s="1205" t="s">
        <v>71750</v>
      </c>
      <c r="B1354" s="1205" t="s">
        <v>71749</v>
      </c>
      <c r="C1354" s="1205">
        <v>62.99</v>
      </c>
    </row>
    <row r="1355" spans="1:3" ht="24" customHeight="1">
      <c r="A1355" s="1205" t="s">
        <v>71748</v>
      </c>
      <c r="B1355" s="1205" t="s">
        <v>71747</v>
      </c>
      <c r="C1355" s="1205">
        <v>59.49</v>
      </c>
    </row>
    <row r="1356" spans="1:3" ht="24" customHeight="1">
      <c r="A1356" s="1205" t="s">
        <v>71746</v>
      </c>
      <c r="B1356" s="1205" t="s">
        <v>71745</v>
      </c>
      <c r="C1356" s="1205">
        <v>60.49</v>
      </c>
    </row>
    <row r="1357" spans="1:3" ht="24" customHeight="1">
      <c r="A1357" s="1205" t="s">
        <v>71744</v>
      </c>
      <c r="B1357" s="1205" t="s">
        <v>71743</v>
      </c>
      <c r="C1357" s="1205">
        <v>61.99</v>
      </c>
    </row>
    <row r="1358" spans="1:3" ht="24" customHeight="1">
      <c r="A1358" s="1205" t="s">
        <v>71742</v>
      </c>
      <c r="B1358" s="1205" t="s">
        <v>71741</v>
      </c>
      <c r="C1358" s="1205">
        <v>45.49</v>
      </c>
    </row>
    <row r="1359" spans="1:3" ht="24" customHeight="1">
      <c r="A1359" s="1205" t="s">
        <v>71740</v>
      </c>
      <c r="B1359" s="1205" t="s">
        <v>71739</v>
      </c>
      <c r="C1359" s="1205">
        <v>58.49</v>
      </c>
    </row>
    <row r="1360" spans="1:3" ht="24" customHeight="1">
      <c r="A1360" s="1205" t="s">
        <v>71738</v>
      </c>
      <c r="B1360" s="1205" t="s">
        <v>71737</v>
      </c>
      <c r="C1360" s="1205">
        <v>58.49</v>
      </c>
    </row>
    <row r="1361" spans="1:3" ht="24" customHeight="1">
      <c r="A1361" s="1205" t="s">
        <v>71736</v>
      </c>
      <c r="B1361" s="1205" t="s">
        <v>71735</v>
      </c>
      <c r="C1361" s="1205">
        <v>54.99</v>
      </c>
    </row>
    <row r="1362" spans="1:3" ht="24" customHeight="1">
      <c r="A1362" s="1205" t="s">
        <v>71734</v>
      </c>
      <c r="B1362" s="1205" t="s">
        <v>71733</v>
      </c>
      <c r="C1362" s="1205">
        <v>63.49</v>
      </c>
    </row>
    <row r="1363" spans="1:3" ht="24" customHeight="1">
      <c r="A1363" s="1205" t="s">
        <v>71732</v>
      </c>
      <c r="B1363" s="1205" t="s">
        <v>71731</v>
      </c>
      <c r="C1363" s="1205">
        <v>60.49</v>
      </c>
    </row>
    <row r="1364" spans="1:3" ht="24" customHeight="1">
      <c r="A1364" s="1205" t="s">
        <v>71730</v>
      </c>
      <c r="B1364" s="1205" t="s">
        <v>71104</v>
      </c>
      <c r="C1364" s="1205">
        <v>107.99</v>
      </c>
    </row>
    <row r="1365" spans="1:3" ht="24" customHeight="1">
      <c r="A1365" s="1205" t="s">
        <v>71729</v>
      </c>
      <c r="B1365" s="1205" t="s">
        <v>71728</v>
      </c>
      <c r="C1365" s="1205">
        <v>48.49</v>
      </c>
    </row>
    <row r="1366" spans="1:3" ht="24" customHeight="1">
      <c r="A1366" s="1205" t="s">
        <v>71727</v>
      </c>
      <c r="B1366" s="1205" t="s">
        <v>71726</v>
      </c>
      <c r="C1366" s="1205">
        <v>47.99</v>
      </c>
    </row>
    <row r="1367" spans="1:3" ht="24" customHeight="1">
      <c r="A1367" s="1205" t="s">
        <v>71725</v>
      </c>
      <c r="B1367" s="1205" t="s">
        <v>71724</v>
      </c>
      <c r="C1367" s="1205">
        <v>71.989999999999995</v>
      </c>
    </row>
    <row r="1368" spans="1:3" ht="24" customHeight="1">
      <c r="A1368" s="1205" t="s">
        <v>71723</v>
      </c>
      <c r="B1368" s="1205" t="s">
        <v>71722</v>
      </c>
      <c r="C1368" s="1205">
        <v>67.989999999999995</v>
      </c>
    </row>
    <row r="1369" spans="1:3" ht="24" customHeight="1">
      <c r="A1369" s="1205" t="s">
        <v>71721</v>
      </c>
      <c r="B1369" s="1205" t="s">
        <v>71720</v>
      </c>
      <c r="C1369" s="1205">
        <v>53.99</v>
      </c>
    </row>
    <row r="1370" spans="1:3" ht="24" customHeight="1">
      <c r="A1370" s="1205" t="s">
        <v>71719</v>
      </c>
      <c r="B1370" s="1205" t="s">
        <v>71718</v>
      </c>
      <c r="C1370" s="1205">
        <v>60.49</v>
      </c>
    </row>
    <row r="1371" spans="1:3" ht="24" customHeight="1">
      <c r="A1371" s="1205" t="s">
        <v>71717</v>
      </c>
      <c r="B1371" s="1205" t="s">
        <v>71716</v>
      </c>
      <c r="C1371" s="1205">
        <v>56.99</v>
      </c>
    </row>
    <row r="1372" spans="1:3" ht="24" customHeight="1">
      <c r="A1372" s="1205" t="s">
        <v>71715</v>
      </c>
      <c r="B1372" s="1205" t="s">
        <v>71714</v>
      </c>
      <c r="C1372" s="1205">
        <v>44.99</v>
      </c>
    </row>
    <row r="1373" spans="1:3" ht="24" customHeight="1">
      <c r="A1373" s="1205" t="s">
        <v>71713</v>
      </c>
      <c r="B1373" s="1205" t="s">
        <v>71712</v>
      </c>
      <c r="C1373" s="1205">
        <v>66.989999999999995</v>
      </c>
    </row>
    <row r="1374" spans="1:3" ht="24" customHeight="1">
      <c r="A1374" s="1205" t="s">
        <v>71711</v>
      </c>
      <c r="B1374" s="1205" t="s">
        <v>71710</v>
      </c>
      <c r="C1374" s="1205">
        <v>63.49</v>
      </c>
    </row>
    <row r="1375" spans="1:3" ht="24" customHeight="1">
      <c r="A1375" s="1205" t="s">
        <v>71709</v>
      </c>
      <c r="B1375" s="1205" t="s">
        <v>71708</v>
      </c>
      <c r="C1375" s="1205">
        <v>58.49</v>
      </c>
    </row>
    <row r="1376" spans="1:3" ht="24" customHeight="1">
      <c r="A1376" s="1205" t="s">
        <v>71707</v>
      </c>
      <c r="B1376" s="1205" t="s">
        <v>71706</v>
      </c>
      <c r="C1376" s="1205">
        <v>55.99</v>
      </c>
    </row>
    <row r="1377" spans="1:3" ht="24" customHeight="1">
      <c r="A1377" s="1205" t="s">
        <v>71705</v>
      </c>
      <c r="B1377" s="1205" t="s">
        <v>71704</v>
      </c>
      <c r="C1377" s="1205">
        <v>57.99</v>
      </c>
    </row>
    <row r="1378" spans="1:3" ht="24" customHeight="1">
      <c r="A1378" s="1205" t="s">
        <v>71703</v>
      </c>
      <c r="B1378" s="1205" t="s">
        <v>71702</v>
      </c>
      <c r="C1378" s="1205">
        <v>54.99</v>
      </c>
    </row>
    <row r="1379" spans="1:3" ht="24" customHeight="1">
      <c r="A1379" s="1205" t="s">
        <v>71701</v>
      </c>
      <c r="B1379" s="1205" t="s">
        <v>71700</v>
      </c>
      <c r="C1379" s="1205">
        <v>60.99</v>
      </c>
    </row>
    <row r="1380" spans="1:3" ht="24" customHeight="1">
      <c r="A1380" s="1205" t="s">
        <v>71699</v>
      </c>
      <c r="B1380" s="1205" t="s">
        <v>71698</v>
      </c>
      <c r="C1380" s="1205">
        <v>59.49</v>
      </c>
    </row>
    <row r="1381" spans="1:3" ht="24" customHeight="1">
      <c r="A1381" s="1205" t="s">
        <v>71697</v>
      </c>
      <c r="B1381" s="1205" t="s">
        <v>63643</v>
      </c>
      <c r="C1381" s="1205">
        <v>55.99</v>
      </c>
    </row>
    <row r="1382" spans="1:3" ht="24" customHeight="1">
      <c r="A1382" s="1205" t="s">
        <v>71696</v>
      </c>
      <c r="B1382" s="1205" t="s">
        <v>71695</v>
      </c>
      <c r="C1382" s="1205">
        <v>68.989999999999995</v>
      </c>
    </row>
    <row r="1383" spans="1:3" ht="24" customHeight="1">
      <c r="A1383" s="1205" t="s">
        <v>71694</v>
      </c>
      <c r="B1383" s="1205" t="s">
        <v>71693</v>
      </c>
      <c r="C1383" s="1205">
        <v>65.989999999999995</v>
      </c>
    </row>
    <row r="1384" spans="1:3" ht="24" customHeight="1">
      <c r="A1384" s="1205" t="s">
        <v>71692</v>
      </c>
      <c r="B1384" s="1205" t="s">
        <v>71691</v>
      </c>
      <c r="C1384" s="1205">
        <v>49.99</v>
      </c>
    </row>
    <row r="1385" spans="1:3" ht="24" customHeight="1">
      <c r="A1385" s="1205" t="s">
        <v>71690</v>
      </c>
      <c r="B1385" s="1205" t="s">
        <v>71689</v>
      </c>
      <c r="C1385" s="1205">
        <v>46.49</v>
      </c>
    </row>
    <row r="1386" spans="1:3" ht="24" customHeight="1">
      <c r="A1386" s="1205" t="s">
        <v>71688</v>
      </c>
      <c r="B1386" s="1205" t="s">
        <v>71687</v>
      </c>
      <c r="C1386" s="1205">
        <v>60.99</v>
      </c>
    </row>
    <row r="1387" spans="1:3" ht="24" customHeight="1">
      <c r="A1387" s="1205" t="s">
        <v>71686</v>
      </c>
      <c r="B1387" s="1205" t="s">
        <v>71685</v>
      </c>
      <c r="C1387" s="1205">
        <v>57.49</v>
      </c>
    </row>
    <row r="1388" spans="1:3" ht="24" customHeight="1">
      <c r="A1388" s="1205" t="s">
        <v>71684</v>
      </c>
      <c r="B1388" s="1205" t="s">
        <v>71683</v>
      </c>
      <c r="C1388" s="1205">
        <v>54.99</v>
      </c>
    </row>
    <row r="1389" spans="1:3" ht="24" customHeight="1">
      <c r="A1389" s="1205" t="s">
        <v>71682</v>
      </c>
      <c r="B1389" s="1205" t="s">
        <v>71681</v>
      </c>
      <c r="C1389" s="1205">
        <v>98.99</v>
      </c>
    </row>
    <row r="1390" spans="1:3" ht="24" customHeight="1">
      <c r="A1390" s="1205" t="s">
        <v>71680</v>
      </c>
      <c r="B1390" s="1205" t="s">
        <v>71679</v>
      </c>
      <c r="C1390" s="1205">
        <v>70.989999999999995</v>
      </c>
    </row>
    <row r="1391" spans="1:3" ht="24" customHeight="1">
      <c r="A1391" s="1205" t="s">
        <v>71678</v>
      </c>
      <c r="B1391" s="1205" t="s">
        <v>71677</v>
      </c>
      <c r="C1391" s="1205">
        <v>67.489999999999995</v>
      </c>
    </row>
    <row r="1392" spans="1:3" ht="24" customHeight="1">
      <c r="A1392" s="1205" t="s">
        <v>71676</v>
      </c>
      <c r="B1392" s="1205" t="s">
        <v>71675</v>
      </c>
      <c r="C1392" s="1205">
        <v>82.99</v>
      </c>
    </row>
    <row r="1393" spans="1:3" ht="24" customHeight="1">
      <c r="A1393" s="1205" t="s">
        <v>71674</v>
      </c>
      <c r="B1393" s="1205" t="s">
        <v>71673</v>
      </c>
      <c r="C1393" s="1205">
        <v>79.489999999999995</v>
      </c>
    </row>
    <row r="1394" spans="1:3" ht="24" customHeight="1">
      <c r="A1394" s="1205" t="s">
        <v>71672</v>
      </c>
      <c r="B1394" s="1205" t="s">
        <v>71671</v>
      </c>
      <c r="C1394" s="1205">
        <v>68.989999999999995</v>
      </c>
    </row>
    <row r="1395" spans="1:3" ht="24" customHeight="1">
      <c r="A1395" s="1205" t="s">
        <v>71670</v>
      </c>
      <c r="B1395" s="1205" t="s">
        <v>71669</v>
      </c>
      <c r="C1395" s="1205">
        <v>65.489999999999995</v>
      </c>
    </row>
    <row r="1396" spans="1:3" ht="24" customHeight="1">
      <c r="A1396" s="1205" t="s">
        <v>71668</v>
      </c>
      <c r="B1396" s="1205" t="s">
        <v>71667</v>
      </c>
      <c r="C1396" s="1205">
        <v>68.989999999999995</v>
      </c>
    </row>
    <row r="1397" spans="1:3" ht="24" customHeight="1">
      <c r="A1397" s="1205" t="s">
        <v>71666</v>
      </c>
      <c r="B1397" s="1205" t="s">
        <v>71665</v>
      </c>
      <c r="C1397" s="1205">
        <v>35.99</v>
      </c>
    </row>
    <row r="1398" spans="1:3" ht="24" customHeight="1">
      <c r="A1398" s="1205" t="s">
        <v>71664</v>
      </c>
      <c r="B1398" s="1205" t="s">
        <v>71663</v>
      </c>
      <c r="C1398" s="1205">
        <v>63.99</v>
      </c>
    </row>
    <row r="1399" spans="1:3" ht="24" customHeight="1">
      <c r="A1399" s="1205" t="s">
        <v>71662</v>
      </c>
      <c r="B1399" s="1205" t="s">
        <v>71661</v>
      </c>
      <c r="C1399" s="1205">
        <v>60.49</v>
      </c>
    </row>
    <row r="1400" spans="1:3" ht="24" customHeight="1">
      <c r="A1400" s="1205" t="s">
        <v>71660</v>
      </c>
      <c r="B1400" s="1205" t="s">
        <v>71659</v>
      </c>
      <c r="C1400" s="1205">
        <v>55.99</v>
      </c>
    </row>
    <row r="1401" spans="1:3" ht="24" customHeight="1">
      <c r="A1401" s="1205" t="s">
        <v>71658</v>
      </c>
      <c r="B1401" s="1205" t="s">
        <v>71657</v>
      </c>
      <c r="C1401" s="1205">
        <v>78.489999999999995</v>
      </c>
    </row>
    <row r="1402" spans="1:3" ht="24" customHeight="1">
      <c r="A1402" s="1205" t="s">
        <v>71656</v>
      </c>
      <c r="B1402" s="1205" t="s">
        <v>71655</v>
      </c>
      <c r="C1402" s="1205">
        <v>84.49</v>
      </c>
    </row>
    <row r="1403" spans="1:3" ht="24" customHeight="1">
      <c r="A1403" s="1205" t="s">
        <v>71654</v>
      </c>
      <c r="B1403" s="1205" t="s">
        <v>71653</v>
      </c>
      <c r="C1403" s="1205">
        <v>79.989999999999995</v>
      </c>
    </row>
    <row r="1404" spans="1:3" ht="24" customHeight="1">
      <c r="A1404" s="1205" t="s">
        <v>71652</v>
      </c>
      <c r="B1404" s="1205" t="s">
        <v>71651</v>
      </c>
      <c r="C1404" s="1205">
        <v>88.49</v>
      </c>
    </row>
    <row r="1405" spans="1:3" ht="24" customHeight="1">
      <c r="A1405" s="1205" t="s">
        <v>71650</v>
      </c>
      <c r="B1405" s="1205" t="s">
        <v>71649</v>
      </c>
      <c r="C1405" s="1205">
        <v>89.99</v>
      </c>
    </row>
    <row r="1406" spans="1:3" ht="24" customHeight="1">
      <c r="A1406" s="1205" t="s">
        <v>71648</v>
      </c>
      <c r="B1406" s="1205" t="s">
        <v>71647</v>
      </c>
      <c r="C1406" s="1205">
        <v>59.49</v>
      </c>
    </row>
    <row r="1407" spans="1:3" ht="24" customHeight="1">
      <c r="A1407" s="1205" t="s">
        <v>71646</v>
      </c>
      <c r="B1407" s="1205" t="s">
        <v>71645</v>
      </c>
      <c r="C1407" s="1205">
        <v>59.99</v>
      </c>
    </row>
    <row r="1408" spans="1:3" ht="24" customHeight="1">
      <c r="A1408" s="1205" t="s">
        <v>71644</v>
      </c>
      <c r="B1408" s="1205" t="s">
        <v>71643</v>
      </c>
      <c r="C1408" s="1205">
        <v>61.99</v>
      </c>
    </row>
    <row r="1409" spans="1:3" ht="24" customHeight="1">
      <c r="A1409" s="1205" t="s">
        <v>71642</v>
      </c>
      <c r="B1409" s="1205" t="s">
        <v>71641</v>
      </c>
      <c r="C1409" s="1205">
        <v>53.49</v>
      </c>
    </row>
    <row r="1410" spans="1:3" ht="24" customHeight="1">
      <c r="A1410" s="1205" t="s">
        <v>71640</v>
      </c>
      <c r="B1410" s="1205" t="s">
        <v>71639</v>
      </c>
      <c r="C1410" s="1205">
        <v>57.49</v>
      </c>
    </row>
    <row r="1411" spans="1:3" ht="24" customHeight="1">
      <c r="A1411" s="1205" t="s">
        <v>71638</v>
      </c>
      <c r="B1411" s="1205" t="s">
        <v>71637</v>
      </c>
      <c r="C1411" s="1205">
        <v>53.99</v>
      </c>
    </row>
    <row r="1412" spans="1:3" ht="24" customHeight="1">
      <c r="A1412" s="1205" t="s">
        <v>71636</v>
      </c>
      <c r="B1412" s="1205" t="s">
        <v>71635</v>
      </c>
      <c r="C1412" s="1205">
        <v>65.989999999999995</v>
      </c>
    </row>
    <row r="1413" spans="1:3" ht="24" customHeight="1">
      <c r="A1413" s="1205" t="s">
        <v>71634</v>
      </c>
      <c r="B1413" s="1205" t="s">
        <v>71633</v>
      </c>
      <c r="C1413" s="1205">
        <v>62.49</v>
      </c>
    </row>
    <row r="1414" spans="1:3" ht="24" customHeight="1">
      <c r="A1414" s="1205" t="s">
        <v>71632</v>
      </c>
      <c r="B1414" s="1205" t="s">
        <v>71631</v>
      </c>
      <c r="C1414" s="1205">
        <v>55.49</v>
      </c>
    </row>
    <row r="1415" spans="1:3" ht="24" customHeight="1">
      <c r="A1415" s="1205" t="s">
        <v>71630</v>
      </c>
      <c r="B1415" s="1205" t="s">
        <v>71629</v>
      </c>
      <c r="C1415" s="1205">
        <v>56.49</v>
      </c>
    </row>
    <row r="1416" spans="1:3" ht="24" customHeight="1">
      <c r="A1416" s="1205" t="s">
        <v>71628</v>
      </c>
      <c r="B1416" s="1205" t="s">
        <v>71627</v>
      </c>
      <c r="C1416" s="1205">
        <v>43.99</v>
      </c>
    </row>
    <row r="1417" spans="1:3" ht="24" customHeight="1">
      <c r="A1417" s="1205" t="s">
        <v>71626</v>
      </c>
      <c r="B1417" s="1205" t="s">
        <v>71625</v>
      </c>
      <c r="C1417" s="1205">
        <v>42.49</v>
      </c>
    </row>
    <row r="1418" spans="1:3" ht="24" customHeight="1">
      <c r="A1418" s="1205" t="s">
        <v>71624</v>
      </c>
      <c r="B1418" s="1205" t="s">
        <v>71623</v>
      </c>
      <c r="C1418" s="1205">
        <v>53.99</v>
      </c>
    </row>
    <row r="1419" spans="1:3" ht="24" customHeight="1">
      <c r="A1419" s="1205" t="s">
        <v>71622</v>
      </c>
      <c r="B1419" s="1205" t="s">
        <v>71621</v>
      </c>
      <c r="C1419" s="1205">
        <v>84.49</v>
      </c>
    </row>
    <row r="1420" spans="1:3" ht="24" customHeight="1">
      <c r="A1420" s="1205" t="s">
        <v>71620</v>
      </c>
      <c r="B1420" s="1205" t="s">
        <v>71619</v>
      </c>
      <c r="C1420" s="1205">
        <v>113.99</v>
      </c>
    </row>
    <row r="1421" spans="1:3" ht="24" customHeight="1">
      <c r="A1421" s="1205" t="s">
        <v>71618</v>
      </c>
      <c r="B1421" s="1205" t="s">
        <v>71617</v>
      </c>
      <c r="C1421" s="1205">
        <v>101.49</v>
      </c>
    </row>
    <row r="1422" spans="1:3" ht="24" customHeight="1">
      <c r="A1422" s="1205" t="s">
        <v>71616</v>
      </c>
      <c r="B1422" s="1205" t="s">
        <v>71615</v>
      </c>
      <c r="C1422" s="1205">
        <v>75.489999999999995</v>
      </c>
    </row>
    <row r="1423" spans="1:3" ht="24" customHeight="1">
      <c r="A1423" s="1205" t="s">
        <v>71614</v>
      </c>
      <c r="B1423" s="1205" t="s">
        <v>71613</v>
      </c>
      <c r="C1423" s="1205">
        <v>142.49</v>
      </c>
    </row>
    <row r="1424" spans="1:3" ht="24" customHeight="1">
      <c r="A1424" s="1205" t="s">
        <v>71612</v>
      </c>
      <c r="B1424" s="1205" t="s">
        <v>71610</v>
      </c>
      <c r="C1424" s="1205">
        <v>83.99</v>
      </c>
    </row>
    <row r="1425" spans="1:3" ht="24" customHeight="1">
      <c r="A1425" s="1205" t="s">
        <v>71611</v>
      </c>
      <c r="B1425" s="1205" t="s">
        <v>71610</v>
      </c>
      <c r="C1425" s="1205">
        <v>80.989999999999995</v>
      </c>
    </row>
    <row r="1426" spans="1:3" ht="24" customHeight="1">
      <c r="A1426" s="1205" t="s">
        <v>71609</v>
      </c>
      <c r="B1426" s="1205" t="s">
        <v>71605</v>
      </c>
      <c r="C1426" s="1205">
        <v>79.489999999999995</v>
      </c>
    </row>
    <row r="1427" spans="1:3" ht="24" customHeight="1">
      <c r="A1427" s="1205" t="s">
        <v>71608</v>
      </c>
      <c r="B1427" s="1205" t="s">
        <v>71607</v>
      </c>
      <c r="C1427" s="1205">
        <v>111.99</v>
      </c>
    </row>
    <row r="1428" spans="1:3" ht="24" customHeight="1">
      <c r="A1428" s="1205" t="s">
        <v>71606</v>
      </c>
      <c r="B1428" s="1205" t="s">
        <v>71605</v>
      </c>
      <c r="C1428" s="1205">
        <v>70.989999999999995</v>
      </c>
    </row>
    <row r="1429" spans="1:3" ht="24" customHeight="1">
      <c r="A1429" s="1205" t="s">
        <v>71604</v>
      </c>
      <c r="B1429" s="1205" t="s">
        <v>71603</v>
      </c>
      <c r="C1429" s="1205">
        <v>87.99</v>
      </c>
    </row>
    <row r="1430" spans="1:3" ht="24" customHeight="1">
      <c r="A1430" s="1205" t="s">
        <v>71602</v>
      </c>
      <c r="B1430" s="1205" t="s">
        <v>71601</v>
      </c>
      <c r="C1430" s="1205">
        <v>84.49</v>
      </c>
    </row>
    <row r="1431" spans="1:3" ht="24" customHeight="1">
      <c r="A1431" s="1205" t="s">
        <v>71600</v>
      </c>
      <c r="B1431" s="1205" t="s">
        <v>71599</v>
      </c>
      <c r="C1431" s="1205">
        <v>141.99</v>
      </c>
    </row>
    <row r="1432" spans="1:3" ht="24" customHeight="1">
      <c r="A1432" s="1205" t="s">
        <v>71598</v>
      </c>
      <c r="B1432" s="1205" t="s">
        <v>71597</v>
      </c>
      <c r="C1432" s="1205">
        <v>128.49</v>
      </c>
    </row>
    <row r="1433" spans="1:3" ht="24" customHeight="1">
      <c r="A1433" s="1205" t="s">
        <v>71596</v>
      </c>
      <c r="B1433" s="1205" t="s">
        <v>71595</v>
      </c>
      <c r="C1433" s="1205">
        <v>143.49</v>
      </c>
    </row>
    <row r="1434" spans="1:3" ht="24" customHeight="1">
      <c r="A1434" s="1205" t="s">
        <v>71594</v>
      </c>
      <c r="B1434" s="1205" t="s">
        <v>71593</v>
      </c>
      <c r="C1434" s="1205">
        <v>143.99</v>
      </c>
    </row>
    <row r="1435" spans="1:3" ht="24" customHeight="1">
      <c r="A1435" s="1205" t="s">
        <v>71592</v>
      </c>
      <c r="B1435" s="1205" t="s">
        <v>71591</v>
      </c>
      <c r="C1435" s="1205">
        <v>153.99</v>
      </c>
    </row>
    <row r="1436" spans="1:3" ht="24" customHeight="1">
      <c r="A1436" s="1205" t="s">
        <v>71590</v>
      </c>
      <c r="B1436" s="1205" t="s">
        <v>71589</v>
      </c>
      <c r="C1436" s="1205">
        <v>107.49</v>
      </c>
    </row>
    <row r="1437" spans="1:3" ht="24" customHeight="1">
      <c r="A1437" s="1205" t="s">
        <v>71588</v>
      </c>
      <c r="B1437" s="1205" t="s">
        <v>71587</v>
      </c>
      <c r="C1437" s="1205">
        <v>60.49</v>
      </c>
    </row>
    <row r="1438" spans="1:3" ht="24" customHeight="1">
      <c r="A1438" s="1205" t="s">
        <v>71586</v>
      </c>
      <c r="B1438" s="1205" t="s">
        <v>71585</v>
      </c>
      <c r="C1438" s="1205">
        <v>135.49</v>
      </c>
    </row>
    <row r="1439" spans="1:3" ht="24" customHeight="1">
      <c r="A1439" s="1205" t="s">
        <v>71584</v>
      </c>
      <c r="B1439" s="1205" t="s">
        <v>71583</v>
      </c>
      <c r="C1439" s="1205">
        <v>64.989999999999995</v>
      </c>
    </row>
    <row r="1440" spans="1:3" ht="24" customHeight="1">
      <c r="A1440" s="1205" t="s">
        <v>71582</v>
      </c>
      <c r="B1440" s="1205" t="s">
        <v>71581</v>
      </c>
      <c r="C1440" s="1205">
        <v>55.99</v>
      </c>
    </row>
    <row r="1441" spans="1:3" ht="24" customHeight="1">
      <c r="A1441" s="1205" t="s">
        <v>71580</v>
      </c>
      <c r="B1441" s="1205" t="s">
        <v>71574</v>
      </c>
      <c r="C1441" s="1205">
        <v>49.99</v>
      </c>
    </row>
    <row r="1442" spans="1:3" ht="24" customHeight="1">
      <c r="A1442" s="1205" t="s">
        <v>71579</v>
      </c>
      <c r="B1442" s="1205" t="s">
        <v>71578</v>
      </c>
      <c r="C1442" s="1205">
        <v>39.99</v>
      </c>
    </row>
    <row r="1443" spans="1:3" ht="24" customHeight="1">
      <c r="A1443" s="1205" t="s">
        <v>71577</v>
      </c>
      <c r="B1443" s="1205" t="s">
        <v>71576</v>
      </c>
      <c r="C1443" s="1205">
        <v>56.49</v>
      </c>
    </row>
    <row r="1444" spans="1:3" ht="24" customHeight="1">
      <c r="A1444" s="1205" t="s">
        <v>71575</v>
      </c>
      <c r="B1444" s="1205" t="s">
        <v>71574</v>
      </c>
      <c r="C1444" s="1205">
        <v>51.99</v>
      </c>
    </row>
    <row r="1445" spans="1:3" ht="24" customHeight="1">
      <c r="A1445" s="1205" t="s">
        <v>71573</v>
      </c>
      <c r="B1445" s="1205" t="s">
        <v>71572</v>
      </c>
      <c r="C1445" s="1205">
        <v>57.49</v>
      </c>
    </row>
    <row r="1446" spans="1:3" ht="24" customHeight="1">
      <c r="A1446" s="1205" t="s">
        <v>71571</v>
      </c>
      <c r="B1446" s="1205" t="s">
        <v>63627</v>
      </c>
      <c r="C1446" s="1205">
        <v>54.99</v>
      </c>
    </row>
    <row r="1447" spans="1:3" ht="24" customHeight="1">
      <c r="A1447" s="1205" t="s">
        <v>71570</v>
      </c>
      <c r="B1447" s="1205" t="s">
        <v>71273</v>
      </c>
      <c r="C1447" s="1205">
        <v>48.99</v>
      </c>
    </row>
    <row r="1448" spans="1:3" ht="24" customHeight="1">
      <c r="A1448" s="1205" t="s">
        <v>71569</v>
      </c>
      <c r="B1448" s="1205" t="s">
        <v>71568</v>
      </c>
      <c r="C1448" s="1205">
        <v>51.49</v>
      </c>
    </row>
    <row r="1449" spans="1:3" ht="24" customHeight="1">
      <c r="A1449" s="1205" t="s">
        <v>71567</v>
      </c>
      <c r="B1449" s="1205" t="s">
        <v>71566</v>
      </c>
      <c r="C1449" s="1205">
        <v>52.99</v>
      </c>
    </row>
    <row r="1450" spans="1:3" ht="24" customHeight="1">
      <c r="A1450" s="1205" t="s">
        <v>71565</v>
      </c>
      <c r="B1450" s="1205" t="s">
        <v>63623</v>
      </c>
      <c r="C1450" s="1205">
        <v>49.49</v>
      </c>
    </row>
    <row r="1451" spans="1:3" ht="24" customHeight="1">
      <c r="A1451" s="1205" t="s">
        <v>71564</v>
      </c>
      <c r="B1451" s="1205" t="s">
        <v>71563</v>
      </c>
      <c r="C1451" s="1205">
        <v>39.99</v>
      </c>
    </row>
    <row r="1452" spans="1:3" ht="24" customHeight="1">
      <c r="A1452" s="1205" t="s">
        <v>71562</v>
      </c>
      <c r="B1452" s="1205" t="s">
        <v>71561</v>
      </c>
      <c r="C1452" s="1205">
        <v>33.49</v>
      </c>
    </row>
    <row r="1453" spans="1:3" ht="24" customHeight="1">
      <c r="A1453" s="1205" t="s">
        <v>71560</v>
      </c>
      <c r="B1453" s="1205" t="s">
        <v>71559</v>
      </c>
      <c r="C1453" s="1205">
        <v>55.49</v>
      </c>
    </row>
    <row r="1454" spans="1:3" ht="24" customHeight="1">
      <c r="A1454" s="1205" t="s">
        <v>71558</v>
      </c>
      <c r="B1454" s="1205" t="s">
        <v>71557</v>
      </c>
      <c r="C1454" s="1205">
        <v>83.99</v>
      </c>
    </row>
    <row r="1455" spans="1:3" ht="24" customHeight="1">
      <c r="A1455" s="1205" t="s">
        <v>71556</v>
      </c>
      <c r="B1455" s="1205" t="s">
        <v>71490</v>
      </c>
      <c r="C1455" s="1205">
        <v>48.49</v>
      </c>
    </row>
    <row r="1456" spans="1:3" ht="24" customHeight="1">
      <c r="A1456" s="1205" t="s">
        <v>71555</v>
      </c>
      <c r="B1456" s="1205" t="s">
        <v>71490</v>
      </c>
      <c r="C1456" s="1205">
        <v>52.49</v>
      </c>
    </row>
    <row r="1457" spans="1:3" ht="24" customHeight="1">
      <c r="A1457" s="1205" t="s">
        <v>71554</v>
      </c>
      <c r="B1457" s="1205" t="s">
        <v>71553</v>
      </c>
      <c r="C1457" s="1205">
        <v>51.49</v>
      </c>
    </row>
    <row r="1458" spans="1:3" ht="24" customHeight="1">
      <c r="A1458" s="1205" t="s">
        <v>71552</v>
      </c>
      <c r="B1458" s="1205" t="s">
        <v>71551</v>
      </c>
      <c r="C1458" s="1205">
        <v>48.49</v>
      </c>
    </row>
    <row r="1459" spans="1:3" ht="24" customHeight="1">
      <c r="A1459" s="1205" t="s">
        <v>71550</v>
      </c>
      <c r="B1459" s="1205" t="s">
        <v>71549</v>
      </c>
      <c r="C1459" s="1205">
        <v>54.49</v>
      </c>
    </row>
    <row r="1460" spans="1:3" ht="24" customHeight="1">
      <c r="A1460" s="1205" t="s">
        <v>71548</v>
      </c>
      <c r="B1460" s="1205" t="s">
        <v>71271</v>
      </c>
      <c r="C1460" s="1205">
        <v>46.99</v>
      </c>
    </row>
    <row r="1461" spans="1:3" ht="24" customHeight="1">
      <c r="A1461" s="1205" t="s">
        <v>71547</v>
      </c>
      <c r="B1461" s="1205" t="s">
        <v>63623</v>
      </c>
      <c r="C1461" s="1205">
        <v>47.49</v>
      </c>
    </row>
    <row r="1462" spans="1:3" ht="24" customHeight="1">
      <c r="A1462" s="1205" t="s">
        <v>71546</v>
      </c>
      <c r="B1462" s="1205" t="s">
        <v>71545</v>
      </c>
      <c r="C1462" s="1205">
        <v>52.99</v>
      </c>
    </row>
    <row r="1463" spans="1:3" ht="24" customHeight="1">
      <c r="A1463" s="1205" t="s">
        <v>71544</v>
      </c>
      <c r="B1463" s="1205" t="s">
        <v>71490</v>
      </c>
      <c r="C1463" s="1205">
        <v>47.99</v>
      </c>
    </row>
    <row r="1464" spans="1:3" ht="24" customHeight="1">
      <c r="A1464" s="1205" t="s">
        <v>71543</v>
      </c>
      <c r="B1464" s="1205" t="s">
        <v>71542</v>
      </c>
      <c r="C1464" s="1205">
        <v>50.99</v>
      </c>
    </row>
    <row r="1465" spans="1:3" ht="24" customHeight="1">
      <c r="A1465" s="1205" t="s">
        <v>71541</v>
      </c>
      <c r="B1465" s="1205" t="s">
        <v>71540</v>
      </c>
      <c r="C1465" s="1205">
        <v>49.49</v>
      </c>
    </row>
    <row r="1466" spans="1:3" ht="24" customHeight="1">
      <c r="A1466" s="1205" t="s">
        <v>71539</v>
      </c>
      <c r="B1466" s="1205" t="s">
        <v>71538</v>
      </c>
      <c r="C1466" s="1205">
        <v>61.49</v>
      </c>
    </row>
    <row r="1467" spans="1:3" ht="24" customHeight="1">
      <c r="A1467" s="1205" t="s">
        <v>71537</v>
      </c>
      <c r="B1467" s="1205" t="s">
        <v>71536</v>
      </c>
      <c r="C1467" s="1205">
        <v>68.489999999999995</v>
      </c>
    </row>
    <row r="1468" spans="1:3" ht="24" customHeight="1">
      <c r="A1468" s="1205" t="s">
        <v>71535</v>
      </c>
      <c r="B1468" s="1205" t="s">
        <v>71534</v>
      </c>
      <c r="C1468" s="1205">
        <v>57.99</v>
      </c>
    </row>
    <row r="1469" spans="1:3" ht="24" customHeight="1">
      <c r="A1469" s="1205" t="s">
        <v>71533</v>
      </c>
      <c r="B1469" s="1205" t="s">
        <v>71532</v>
      </c>
      <c r="C1469" s="1205">
        <v>58.49</v>
      </c>
    </row>
    <row r="1470" spans="1:3" ht="24" customHeight="1">
      <c r="A1470" s="1205" t="s">
        <v>71531</v>
      </c>
      <c r="B1470" s="1205" t="s">
        <v>71530</v>
      </c>
      <c r="C1470" s="1205">
        <v>57.49</v>
      </c>
    </row>
    <row r="1471" spans="1:3" ht="24" customHeight="1">
      <c r="A1471" s="1205" t="s">
        <v>71529</v>
      </c>
      <c r="B1471" s="1205" t="s">
        <v>71528</v>
      </c>
      <c r="C1471" s="1205">
        <v>65.489999999999995</v>
      </c>
    </row>
    <row r="1472" spans="1:3" ht="24" customHeight="1">
      <c r="A1472" s="1205" t="s">
        <v>71527</v>
      </c>
      <c r="B1472" s="1205" t="s">
        <v>71526</v>
      </c>
      <c r="C1472" s="1205">
        <v>75.489999999999995</v>
      </c>
    </row>
    <row r="1473" spans="1:3" ht="24" customHeight="1">
      <c r="A1473" s="1205" t="s">
        <v>71525</v>
      </c>
      <c r="B1473" s="1205" t="s">
        <v>71524</v>
      </c>
      <c r="C1473" s="1205">
        <v>56.49</v>
      </c>
    </row>
    <row r="1474" spans="1:3" ht="24" customHeight="1">
      <c r="A1474" s="1205" t="s">
        <v>71523</v>
      </c>
      <c r="B1474" s="1205" t="s">
        <v>71522</v>
      </c>
      <c r="C1474" s="1205">
        <v>74.489999999999995</v>
      </c>
    </row>
    <row r="1475" spans="1:3" ht="24" customHeight="1">
      <c r="A1475" s="1205" t="s">
        <v>71521</v>
      </c>
      <c r="B1475" s="1205" t="s">
        <v>71520</v>
      </c>
      <c r="C1475" s="1205">
        <v>54.99</v>
      </c>
    </row>
    <row r="1476" spans="1:3" ht="24" customHeight="1">
      <c r="A1476" s="1205" t="s">
        <v>71519</v>
      </c>
      <c r="B1476" s="1205" t="s">
        <v>71518</v>
      </c>
      <c r="C1476" s="1205">
        <v>119.49</v>
      </c>
    </row>
    <row r="1477" spans="1:3" ht="24" customHeight="1">
      <c r="A1477" s="1205" t="s">
        <v>71517</v>
      </c>
      <c r="B1477" s="1205" t="s">
        <v>71516</v>
      </c>
      <c r="C1477" s="1205">
        <v>54.99</v>
      </c>
    </row>
    <row r="1478" spans="1:3" ht="24" customHeight="1">
      <c r="A1478" s="1205" t="s">
        <v>71515</v>
      </c>
      <c r="B1478" s="1205" t="s">
        <v>71514</v>
      </c>
      <c r="C1478" s="1205">
        <v>59.99</v>
      </c>
    </row>
    <row r="1479" spans="1:3" ht="24" customHeight="1">
      <c r="A1479" s="1205" t="s">
        <v>71513</v>
      </c>
      <c r="B1479" s="1205" t="s">
        <v>71512</v>
      </c>
      <c r="C1479" s="1205">
        <v>50.99</v>
      </c>
    </row>
    <row r="1480" spans="1:3" ht="24" customHeight="1">
      <c r="A1480" s="1205" t="s">
        <v>71511</v>
      </c>
      <c r="B1480" s="1205" t="s">
        <v>71510</v>
      </c>
      <c r="C1480" s="1205">
        <v>50.99</v>
      </c>
    </row>
    <row r="1481" spans="1:3" ht="24" customHeight="1">
      <c r="A1481" s="1205" t="s">
        <v>71509</v>
      </c>
      <c r="B1481" s="1205" t="s">
        <v>71508</v>
      </c>
      <c r="C1481" s="1205">
        <v>102.49</v>
      </c>
    </row>
    <row r="1482" spans="1:3" ht="24" customHeight="1">
      <c r="A1482" s="1205" t="s">
        <v>71507</v>
      </c>
      <c r="B1482" s="1205" t="s">
        <v>71506</v>
      </c>
      <c r="C1482" s="1205">
        <v>102.49</v>
      </c>
    </row>
    <row r="1483" spans="1:3" ht="24" customHeight="1">
      <c r="A1483" s="1205" t="s">
        <v>71505</v>
      </c>
      <c r="B1483" s="1205" t="s">
        <v>71504</v>
      </c>
      <c r="C1483" s="1205">
        <v>49.99</v>
      </c>
    </row>
    <row r="1484" spans="1:3" ht="24" customHeight="1">
      <c r="A1484" s="1205" t="s">
        <v>71503</v>
      </c>
      <c r="B1484" s="1205" t="s">
        <v>71502</v>
      </c>
      <c r="C1484" s="1205">
        <v>72.989999999999995</v>
      </c>
    </row>
    <row r="1485" spans="1:3" ht="24" customHeight="1">
      <c r="A1485" s="1205" t="s">
        <v>71501</v>
      </c>
      <c r="B1485" s="1205" t="s">
        <v>71500</v>
      </c>
      <c r="C1485" s="1205">
        <v>62.99</v>
      </c>
    </row>
    <row r="1486" spans="1:3" ht="24" customHeight="1">
      <c r="A1486" s="1205" t="s">
        <v>71499</v>
      </c>
      <c r="B1486" s="1205" t="s">
        <v>71498</v>
      </c>
      <c r="C1486" s="1205">
        <v>60.99</v>
      </c>
    </row>
    <row r="1487" spans="1:3" ht="24" customHeight="1">
      <c r="A1487" s="1205" t="s">
        <v>71497</v>
      </c>
      <c r="B1487" s="1205" t="s">
        <v>71496</v>
      </c>
      <c r="C1487" s="1205">
        <v>65.989999999999995</v>
      </c>
    </row>
    <row r="1488" spans="1:3" ht="24" customHeight="1">
      <c r="A1488" s="1205" t="s">
        <v>71495</v>
      </c>
      <c r="B1488" s="1205" t="s">
        <v>71494</v>
      </c>
      <c r="C1488" s="1205">
        <v>61.49</v>
      </c>
    </row>
    <row r="1489" spans="1:3" ht="24" customHeight="1">
      <c r="A1489" s="1205" t="s">
        <v>71493</v>
      </c>
      <c r="B1489" s="1205" t="s">
        <v>71492</v>
      </c>
      <c r="C1489" s="1205">
        <v>58.49</v>
      </c>
    </row>
    <row r="1490" spans="1:3" ht="24" customHeight="1">
      <c r="A1490" s="1205" t="s">
        <v>71491</v>
      </c>
      <c r="B1490" s="1205" t="s">
        <v>71490</v>
      </c>
      <c r="C1490" s="1205">
        <v>61.99</v>
      </c>
    </row>
    <row r="1491" spans="1:3" ht="24" customHeight="1">
      <c r="A1491" s="1205" t="s">
        <v>71489</v>
      </c>
      <c r="B1491" s="1205" t="s">
        <v>71488</v>
      </c>
      <c r="C1491" s="1205">
        <v>79.989999999999995</v>
      </c>
    </row>
    <row r="1492" spans="1:3" ht="24" customHeight="1">
      <c r="A1492" s="1205" t="s">
        <v>71487</v>
      </c>
      <c r="B1492" s="1205" t="s">
        <v>71265</v>
      </c>
      <c r="C1492" s="1205">
        <v>89.49</v>
      </c>
    </row>
    <row r="1493" spans="1:3" ht="24" customHeight="1">
      <c r="A1493" s="1205" t="s">
        <v>71486</v>
      </c>
      <c r="B1493" s="1205" t="s">
        <v>71485</v>
      </c>
      <c r="C1493" s="1205">
        <v>57.49</v>
      </c>
    </row>
    <row r="1494" spans="1:3" ht="24" customHeight="1">
      <c r="A1494" s="1205" t="s">
        <v>71484</v>
      </c>
      <c r="B1494" s="1205" t="s">
        <v>71483</v>
      </c>
      <c r="C1494" s="1205">
        <v>49.49</v>
      </c>
    </row>
    <row r="1495" spans="1:3" ht="24" customHeight="1">
      <c r="A1495" s="1205" t="s">
        <v>71482</v>
      </c>
      <c r="B1495" s="1205" t="s">
        <v>71481</v>
      </c>
      <c r="C1495" s="1205">
        <v>58.49</v>
      </c>
    </row>
    <row r="1496" spans="1:3" ht="24" customHeight="1">
      <c r="A1496" s="1205" t="s">
        <v>71480</v>
      </c>
      <c r="B1496" s="1205" t="s">
        <v>71479</v>
      </c>
      <c r="C1496" s="1205">
        <v>51.99</v>
      </c>
    </row>
    <row r="1497" spans="1:3" ht="24" customHeight="1">
      <c r="A1497" s="1205" t="s">
        <v>71478</v>
      </c>
      <c r="B1497" s="1205" t="s">
        <v>71477</v>
      </c>
      <c r="C1497" s="1205">
        <v>55.49</v>
      </c>
    </row>
    <row r="1498" spans="1:3" ht="24" customHeight="1">
      <c r="A1498" s="1205" t="s">
        <v>71476</v>
      </c>
      <c r="B1498" s="1205" t="s">
        <v>71475</v>
      </c>
      <c r="C1498" s="1205">
        <v>55.99</v>
      </c>
    </row>
    <row r="1499" spans="1:3" ht="24" customHeight="1">
      <c r="A1499" s="1205" t="s">
        <v>71474</v>
      </c>
      <c r="B1499" s="1205" t="s">
        <v>71473</v>
      </c>
      <c r="C1499" s="1205">
        <v>58.99</v>
      </c>
    </row>
    <row r="1500" spans="1:3" ht="24" customHeight="1">
      <c r="A1500" s="1205" t="s">
        <v>71472</v>
      </c>
      <c r="B1500" s="1205" t="s">
        <v>71471</v>
      </c>
      <c r="C1500" s="1205">
        <v>55.49</v>
      </c>
    </row>
    <row r="1501" spans="1:3" ht="24" customHeight="1">
      <c r="A1501" s="1205" t="s">
        <v>71470</v>
      </c>
      <c r="B1501" s="1205" t="s">
        <v>71469</v>
      </c>
      <c r="C1501" s="1205">
        <v>63.99</v>
      </c>
    </row>
    <row r="1502" spans="1:3" ht="24" customHeight="1">
      <c r="A1502" s="1205" t="s">
        <v>71468</v>
      </c>
      <c r="B1502" s="1205" t="s">
        <v>71467</v>
      </c>
      <c r="C1502" s="1205">
        <v>60.49</v>
      </c>
    </row>
    <row r="1503" spans="1:3" ht="24" customHeight="1">
      <c r="A1503" s="1205" t="s">
        <v>71466</v>
      </c>
      <c r="B1503" s="1205" t="s">
        <v>71465</v>
      </c>
      <c r="C1503" s="1205">
        <v>57.49</v>
      </c>
    </row>
    <row r="1504" spans="1:3" ht="24" customHeight="1">
      <c r="A1504" s="1205" t="s">
        <v>71464</v>
      </c>
      <c r="B1504" s="1205" t="s">
        <v>71463</v>
      </c>
      <c r="C1504" s="1205">
        <v>62.99</v>
      </c>
    </row>
    <row r="1505" spans="1:3" ht="24" customHeight="1">
      <c r="A1505" s="1205" t="s">
        <v>71462</v>
      </c>
      <c r="B1505" s="1205" t="s">
        <v>71461</v>
      </c>
      <c r="C1505" s="1205">
        <v>58.99</v>
      </c>
    </row>
    <row r="1506" spans="1:3" ht="24" customHeight="1">
      <c r="A1506" s="1205" t="s">
        <v>71460</v>
      </c>
      <c r="B1506" s="1205" t="s">
        <v>71459</v>
      </c>
      <c r="C1506" s="1205">
        <v>74.489999999999995</v>
      </c>
    </row>
    <row r="1507" spans="1:3" ht="24" customHeight="1">
      <c r="A1507" s="1205" t="s">
        <v>71458</v>
      </c>
      <c r="B1507" s="1205" t="s">
        <v>63552</v>
      </c>
      <c r="C1507" s="1205">
        <v>57.99</v>
      </c>
    </row>
    <row r="1508" spans="1:3" ht="24" customHeight="1">
      <c r="A1508" s="1205" t="s">
        <v>71457</v>
      </c>
      <c r="B1508" s="1205" t="s">
        <v>71456</v>
      </c>
      <c r="C1508" s="1205">
        <v>59.49</v>
      </c>
    </row>
    <row r="1509" spans="1:3" ht="24" customHeight="1">
      <c r="A1509" s="1205" t="s">
        <v>71455</v>
      </c>
      <c r="B1509" s="1205" t="s">
        <v>71454</v>
      </c>
      <c r="C1509" s="1205">
        <v>55.99</v>
      </c>
    </row>
    <row r="1510" spans="1:3" ht="24" customHeight="1">
      <c r="A1510" s="1205" t="s">
        <v>71453</v>
      </c>
      <c r="B1510" s="1205" t="s">
        <v>71452</v>
      </c>
      <c r="C1510" s="1205">
        <v>52.49</v>
      </c>
    </row>
    <row r="1511" spans="1:3" ht="24" customHeight="1">
      <c r="A1511" s="1205" t="s">
        <v>71451</v>
      </c>
      <c r="B1511" s="1205" t="s">
        <v>71450</v>
      </c>
      <c r="C1511" s="1205">
        <v>70.989999999999995</v>
      </c>
    </row>
    <row r="1512" spans="1:3" ht="24" customHeight="1">
      <c r="A1512" s="1205" t="s">
        <v>71449</v>
      </c>
      <c r="B1512" s="1205" t="s">
        <v>71448</v>
      </c>
      <c r="C1512" s="1205">
        <v>66.989999999999995</v>
      </c>
    </row>
    <row r="1513" spans="1:3" ht="24" customHeight="1">
      <c r="A1513" s="1205" t="s">
        <v>71447</v>
      </c>
      <c r="B1513" s="1205" t="s">
        <v>71446</v>
      </c>
      <c r="C1513" s="1205">
        <v>61.49</v>
      </c>
    </row>
    <row r="1514" spans="1:3" ht="24" customHeight="1">
      <c r="A1514" s="1205" t="s">
        <v>71445</v>
      </c>
      <c r="B1514" s="1205" t="s">
        <v>71444</v>
      </c>
      <c r="C1514" s="1205">
        <v>57.49</v>
      </c>
    </row>
    <row r="1515" spans="1:3" ht="24" customHeight="1">
      <c r="A1515" s="1205" t="s">
        <v>71443</v>
      </c>
      <c r="B1515" s="1205" t="s">
        <v>71442</v>
      </c>
      <c r="C1515" s="1205">
        <v>59.49</v>
      </c>
    </row>
    <row r="1516" spans="1:3" ht="24" customHeight="1">
      <c r="A1516" s="1205" t="s">
        <v>71441</v>
      </c>
      <c r="B1516" s="1205" t="s">
        <v>71440</v>
      </c>
      <c r="C1516" s="1205">
        <v>55.99</v>
      </c>
    </row>
    <row r="1517" spans="1:3" ht="24" customHeight="1">
      <c r="A1517" s="1205" t="s">
        <v>71439</v>
      </c>
      <c r="B1517" s="1205" t="s">
        <v>71438</v>
      </c>
      <c r="C1517" s="1205">
        <v>61.49</v>
      </c>
    </row>
    <row r="1518" spans="1:3" ht="24" customHeight="1">
      <c r="A1518" s="1205" t="s">
        <v>71437</v>
      </c>
      <c r="B1518" s="1205" t="s">
        <v>71436</v>
      </c>
      <c r="C1518" s="1205">
        <v>57.99</v>
      </c>
    </row>
    <row r="1519" spans="1:3" ht="24" customHeight="1">
      <c r="A1519" s="1205" t="s">
        <v>71435</v>
      </c>
      <c r="B1519" s="1205" t="s">
        <v>71434</v>
      </c>
      <c r="C1519" s="1205">
        <v>60.99</v>
      </c>
    </row>
    <row r="1520" spans="1:3" ht="24" customHeight="1">
      <c r="A1520" s="1205" t="s">
        <v>71433</v>
      </c>
      <c r="B1520" s="1205" t="s">
        <v>71432</v>
      </c>
      <c r="C1520" s="1205">
        <v>56.99</v>
      </c>
    </row>
    <row r="1521" spans="1:3" ht="24" customHeight="1">
      <c r="A1521" s="1205" t="s">
        <v>71431</v>
      </c>
      <c r="B1521" s="1205" t="s">
        <v>71430</v>
      </c>
      <c r="C1521" s="1205">
        <v>62.49</v>
      </c>
    </row>
    <row r="1522" spans="1:3" ht="24" customHeight="1">
      <c r="A1522" s="1205" t="s">
        <v>71429</v>
      </c>
      <c r="B1522" s="1205" t="s">
        <v>71428</v>
      </c>
      <c r="C1522" s="1205">
        <v>58.99</v>
      </c>
    </row>
    <row r="1523" spans="1:3" ht="24" customHeight="1">
      <c r="A1523" s="1205" t="s">
        <v>71427</v>
      </c>
      <c r="B1523" s="1205" t="s">
        <v>71426</v>
      </c>
      <c r="C1523" s="1205">
        <v>70.489999999999995</v>
      </c>
    </row>
    <row r="1524" spans="1:3" ht="24" customHeight="1">
      <c r="A1524" s="1205" t="s">
        <v>71425</v>
      </c>
      <c r="B1524" s="1205" t="s">
        <v>71424</v>
      </c>
      <c r="C1524" s="1205">
        <v>66.489999999999995</v>
      </c>
    </row>
    <row r="1525" spans="1:3" ht="24" customHeight="1">
      <c r="A1525" s="1205" t="s">
        <v>71423</v>
      </c>
      <c r="B1525" s="1205" t="s">
        <v>71422</v>
      </c>
      <c r="C1525" s="1205">
        <v>62.49</v>
      </c>
    </row>
    <row r="1526" spans="1:3" ht="24" customHeight="1">
      <c r="A1526" s="1205" t="s">
        <v>71421</v>
      </c>
      <c r="B1526" s="1205" t="s">
        <v>71420</v>
      </c>
      <c r="C1526" s="1205">
        <v>62.49</v>
      </c>
    </row>
    <row r="1527" spans="1:3" ht="24" customHeight="1">
      <c r="A1527" s="1205" t="s">
        <v>71419</v>
      </c>
      <c r="B1527" s="1205" t="s">
        <v>71418</v>
      </c>
      <c r="C1527" s="1205">
        <v>58.49</v>
      </c>
    </row>
    <row r="1528" spans="1:3" ht="24" customHeight="1">
      <c r="A1528" s="1205" t="s">
        <v>71417</v>
      </c>
      <c r="B1528" s="1205" t="s">
        <v>71416</v>
      </c>
      <c r="C1528" s="1205">
        <v>57.49</v>
      </c>
    </row>
    <row r="1529" spans="1:3" ht="24" customHeight="1">
      <c r="A1529" s="1205" t="s">
        <v>71415</v>
      </c>
      <c r="B1529" s="1205" t="s">
        <v>71414</v>
      </c>
      <c r="C1529" s="1205">
        <v>61.49</v>
      </c>
    </row>
    <row r="1530" spans="1:3" ht="24" customHeight="1">
      <c r="A1530" s="1205" t="s">
        <v>71413</v>
      </c>
      <c r="B1530" s="1205" t="s">
        <v>71412</v>
      </c>
      <c r="C1530" s="1205">
        <v>78.989999999999995</v>
      </c>
    </row>
    <row r="1531" spans="1:3" ht="24" customHeight="1">
      <c r="A1531" s="1205" t="s">
        <v>71411</v>
      </c>
      <c r="B1531" s="1205" t="s">
        <v>71410</v>
      </c>
      <c r="C1531" s="1205">
        <v>60.99</v>
      </c>
    </row>
    <row r="1532" spans="1:3" ht="24" customHeight="1">
      <c r="A1532" s="1205" t="s">
        <v>71409</v>
      </c>
      <c r="B1532" s="1205" t="s">
        <v>63548</v>
      </c>
      <c r="C1532" s="1205">
        <v>64.489999999999995</v>
      </c>
    </row>
    <row r="1533" spans="1:3" ht="24" customHeight="1">
      <c r="A1533" s="1205" t="s">
        <v>71408</v>
      </c>
      <c r="B1533" s="1205" t="s">
        <v>71407</v>
      </c>
      <c r="C1533" s="1205">
        <v>60.99</v>
      </c>
    </row>
    <row r="1534" spans="1:3" ht="24" customHeight="1">
      <c r="A1534" s="1205" t="s">
        <v>71406</v>
      </c>
      <c r="B1534" s="1205" t="s">
        <v>71405</v>
      </c>
      <c r="C1534" s="1205">
        <v>71.489999999999995</v>
      </c>
    </row>
    <row r="1535" spans="1:3" ht="24" customHeight="1">
      <c r="A1535" s="1205" t="s">
        <v>71404</v>
      </c>
      <c r="B1535" s="1205" t="s">
        <v>71403</v>
      </c>
      <c r="C1535" s="1205">
        <v>67.989999999999995</v>
      </c>
    </row>
    <row r="1536" spans="1:3" ht="24" customHeight="1">
      <c r="A1536" s="1205" t="s">
        <v>71402</v>
      </c>
      <c r="B1536" s="1205" t="s">
        <v>63544</v>
      </c>
      <c r="C1536" s="1205">
        <v>62.49</v>
      </c>
    </row>
    <row r="1537" spans="1:3" ht="24" customHeight="1">
      <c r="A1537" s="1205" t="s">
        <v>71401</v>
      </c>
      <c r="B1537" s="1205" t="s">
        <v>63542</v>
      </c>
      <c r="C1537" s="1205">
        <v>66.989999999999995</v>
      </c>
    </row>
    <row r="1538" spans="1:3" ht="24" customHeight="1">
      <c r="A1538" s="1205" t="s">
        <v>71400</v>
      </c>
      <c r="B1538" s="1205" t="s">
        <v>63540</v>
      </c>
      <c r="C1538" s="1205">
        <v>61.99</v>
      </c>
    </row>
    <row r="1539" spans="1:3" ht="24" customHeight="1">
      <c r="A1539" s="1205" t="s">
        <v>71399</v>
      </c>
      <c r="B1539" s="1205" t="s">
        <v>71398</v>
      </c>
      <c r="C1539" s="1205">
        <v>66.489999999999995</v>
      </c>
    </row>
    <row r="1540" spans="1:3" ht="24" customHeight="1">
      <c r="A1540" s="1205" t="s">
        <v>71397</v>
      </c>
      <c r="B1540" s="1205" t="s">
        <v>71396</v>
      </c>
      <c r="C1540" s="1205">
        <v>62.49</v>
      </c>
    </row>
    <row r="1541" spans="1:3" ht="24" customHeight="1">
      <c r="A1541" s="1205" t="s">
        <v>71395</v>
      </c>
      <c r="B1541" s="1205" t="s">
        <v>71394</v>
      </c>
      <c r="C1541" s="1205">
        <v>63.99</v>
      </c>
    </row>
    <row r="1542" spans="1:3" ht="24" customHeight="1">
      <c r="A1542" s="1205" t="s">
        <v>71393</v>
      </c>
      <c r="B1542" s="1205" t="s">
        <v>71392</v>
      </c>
      <c r="C1542" s="1205">
        <v>48.49</v>
      </c>
    </row>
    <row r="1543" spans="1:3" ht="24" customHeight="1">
      <c r="A1543" s="1205" t="s">
        <v>71391</v>
      </c>
      <c r="B1543" s="1205" t="s">
        <v>71390</v>
      </c>
      <c r="C1543" s="1205">
        <v>61.49</v>
      </c>
    </row>
    <row r="1544" spans="1:3" ht="24" customHeight="1">
      <c r="A1544" s="1205" t="s">
        <v>71389</v>
      </c>
      <c r="B1544" s="1205" t="s">
        <v>71388</v>
      </c>
      <c r="C1544" s="1205">
        <v>55.49</v>
      </c>
    </row>
    <row r="1545" spans="1:3" ht="24" customHeight="1">
      <c r="A1545" s="1205" t="s">
        <v>71387</v>
      </c>
      <c r="B1545" s="1205" t="s">
        <v>71386</v>
      </c>
      <c r="C1545" s="1205">
        <v>52.99</v>
      </c>
    </row>
    <row r="1546" spans="1:3" ht="24" customHeight="1">
      <c r="A1546" s="1205" t="s">
        <v>71385</v>
      </c>
      <c r="B1546" s="1205" t="s">
        <v>71384</v>
      </c>
      <c r="C1546" s="1205">
        <v>57.99</v>
      </c>
    </row>
    <row r="1547" spans="1:3" ht="24" customHeight="1">
      <c r="A1547" s="1205" t="s">
        <v>71383</v>
      </c>
      <c r="B1547" s="1205" t="s">
        <v>71382</v>
      </c>
      <c r="C1547" s="1205">
        <v>62.49</v>
      </c>
    </row>
    <row r="1548" spans="1:3" ht="24" customHeight="1">
      <c r="A1548" s="1205" t="s">
        <v>71381</v>
      </c>
      <c r="B1548" s="1205" t="s">
        <v>71380</v>
      </c>
      <c r="C1548" s="1205">
        <v>56.49</v>
      </c>
    </row>
    <row r="1549" spans="1:3" ht="24" customHeight="1">
      <c r="A1549" s="1205" t="s">
        <v>71379</v>
      </c>
      <c r="B1549" s="1205" t="s">
        <v>71378</v>
      </c>
      <c r="C1549" s="1205">
        <v>49.49</v>
      </c>
    </row>
    <row r="1550" spans="1:3" ht="24" customHeight="1">
      <c r="A1550" s="1205" t="s">
        <v>71377</v>
      </c>
      <c r="B1550" s="1205" t="s">
        <v>71376</v>
      </c>
      <c r="C1550" s="1205">
        <v>105.99</v>
      </c>
    </row>
    <row r="1551" spans="1:3" ht="24" customHeight="1">
      <c r="A1551" s="1205" t="s">
        <v>71375</v>
      </c>
      <c r="B1551" s="1205" t="s">
        <v>71374</v>
      </c>
      <c r="C1551" s="1205">
        <v>202.49</v>
      </c>
    </row>
    <row r="1552" spans="1:3" ht="24" customHeight="1">
      <c r="A1552" s="1205" t="s">
        <v>71373</v>
      </c>
      <c r="B1552" s="1205" t="s">
        <v>71372</v>
      </c>
      <c r="C1552" s="1205">
        <v>108.49</v>
      </c>
    </row>
    <row r="1553" spans="1:3" ht="24" customHeight="1">
      <c r="A1553" s="1205" t="s">
        <v>71371</v>
      </c>
      <c r="B1553" s="1205" t="s">
        <v>71370</v>
      </c>
      <c r="C1553" s="1205">
        <v>62.99</v>
      </c>
    </row>
    <row r="1554" spans="1:3" ht="24" customHeight="1">
      <c r="A1554" s="1205" t="s">
        <v>71369</v>
      </c>
      <c r="B1554" s="1205" t="s">
        <v>71368</v>
      </c>
      <c r="C1554" s="1205">
        <v>59.49</v>
      </c>
    </row>
    <row r="1555" spans="1:3" ht="24" customHeight="1">
      <c r="A1555" s="1205" t="s">
        <v>71367</v>
      </c>
      <c r="B1555" s="1205" t="s">
        <v>71366</v>
      </c>
      <c r="C1555" s="1205">
        <v>51.49</v>
      </c>
    </row>
    <row r="1556" spans="1:3" ht="24" customHeight="1">
      <c r="A1556" s="1205" t="s">
        <v>71365</v>
      </c>
      <c r="B1556" s="1205" t="s">
        <v>71364</v>
      </c>
      <c r="C1556" s="1205">
        <v>47.99</v>
      </c>
    </row>
    <row r="1557" spans="1:3" ht="24" customHeight="1">
      <c r="A1557" s="1205" t="s">
        <v>71363</v>
      </c>
      <c r="B1557" s="1205" t="s">
        <v>71362</v>
      </c>
      <c r="C1557" s="1205">
        <v>69.989999999999995</v>
      </c>
    </row>
    <row r="1558" spans="1:3" ht="24" customHeight="1">
      <c r="A1558" s="1205" t="s">
        <v>71361</v>
      </c>
      <c r="B1558" s="1205" t="s">
        <v>71360</v>
      </c>
      <c r="C1558" s="1205">
        <v>65.989999999999995</v>
      </c>
    </row>
    <row r="1559" spans="1:3" ht="24" customHeight="1">
      <c r="A1559" s="1205" t="s">
        <v>71359</v>
      </c>
      <c r="B1559" s="1205" t="s">
        <v>71358</v>
      </c>
      <c r="C1559" s="1205">
        <v>61.49</v>
      </c>
    </row>
    <row r="1560" spans="1:3" ht="24" customHeight="1">
      <c r="A1560" s="1205" t="s">
        <v>71357</v>
      </c>
      <c r="B1560" s="1205" t="s">
        <v>71356</v>
      </c>
      <c r="C1560" s="1205">
        <v>57.49</v>
      </c>
    </row>
    <row r="1561" spans="1:3" ht="24" customHeight="1">
      <c r="A1561" s="1205" t="s">
        <v>71355</v>
      </c>
      <c r="B1561" s="1205" t="s">
        <v>71354</v>
      </c>
      <c r="C1561" s="1205">
        <v>60.99</v>
      </c>
    </row>
    <row r="1562" spans="1:3" ht="24" customHeight="1">
      <c r="A1562" s="1205" t="s">
        <v>71353</v>
      </c>
      <c r="B1562" s="1205" t="s">
        <v>71352</v>
      </c>
      <c r="C1562" s="1205">
        <v>56.99</v>
      </c>
    </row>
    <row r="1563" spans="1:3" ht="24" customHeight="1">
      <c r="A1563" s="1205" t="s">
        <v>71351</v>
      </c>
      <c r="B1563" s="1205" t="s">
        <v>63530</v>
      </c>
      <c r="C1563" s="1205">
        <v>63.99</v>
      </c>
    </row>
    <row r="1564" spans="1:3" ht="24" customHeight="1">
      <c r="A1564" s="1205" t="s">
        <v>71350</v>
      </c>
      <c r="B1564" s="1205" t="s">
        <v>71349</v>
      </c>
      <c r="C1564" s="1205">
        <v>67.489999999999995</v>
      </c>
    </row>
    <row r="1565" spans="1:3" ht="24" customHeight="1">
      <c r="A1565" s="1205" t="s">
        <v>71348</v>
      </c>
      <c r="B1565" s="1205" t="s">
        <v>71347</v>
      </c>
      <c r="C1565" s="1205">
        <v>52.99</v>
      </c>
    </row>
    <row r="1566" spans="1:3" ht="24" customHeight="1">
      <c r="A1566" s="1205" t="s">
        <v>71346</v>
      </c>
      <c r="B1566" s="1205" t="s">
        <v>71345</v>
      </c>
      <c r="C1566" s="1205">
        <v>49.99</v>
      </c>
    </row>
    <row r="1567" spans="1:3" ht="24" customHeight="1">
      <c r="A1567" s="1205" t="s">
        <v>71344</v>
      </c>
      <c r="B1567" s="1205" t="s">
        <v>71343</v>
      </c>
      <c r="C1567" s="1205">
        <v>63.49</v>
      </c>
    </row>
    <row r="1568" spans="1:3" ht="24" customHeight="1">
      <c r="A1568" s="1205" t="s">
        <v>71342</v>
      </c>
      <c r="B1568" s="1205" t="s">
        <v>71341</v>
      </c>
      <c r="C1568" s="1205">
        <v>59.99</v>
      </c>
    </row>
    <row r="1569" spans="1:3" ht="24" customHeight="1">
      <c r="A1569" s="1205" t="s">
        <v>71340</v>
      </c>
      <c r="B1569" s="1205" t="s">
        <v>71339</v>
      </c>
      <c r="C1569" s="1205">
        <v>57.49</v>
      </c>
    </row>
    <row r="1570" spans="1:3" ht="24" customHeight="1">
      <c r="A1570" s="1205" t="s">
        <v>71338</v>
      </c>
      <c r="B1570" s="1205" t="s">
        <v>71337</v>
      </c>
      <c r="C1570" s="1205">
        <v>103.49</v>
      </c>
    </row>
    <row r="1571" spans="1:3" ht="24" customHeight="1">
      <c r="A1571" s="1205" t="s">
        <v>71336</v>
      </c>
      <c r="B1571" s="1205" t="s">
        <v>71335</v>
      </c>
      <c r="C1571" s="1205">
        <v>57.49</v>
      </c>
    </row>
    <row r="1572" spans="1:3" ht="24" customHeight="1">
      <c r="A1572" s="1205" t="s">
        <v>71334</v>
      </c>
      <c r="B1572" s="1205" t="s">
        <v>71333</v>
      </c>
      <c r="C1572" s="1205">
        <v>69.989999999999995</v>
      </c>
    </row>
    <row r="1573" spans="1:3" ht="24" customHeight="1">
      <c r="A1573" s="1205" t="s">
        <v>71332</v>
      </c>
      <c r="B1573" s="1205" t="s">
        <v>71331</v>
      </c>
      <c r="C1573" s="1205">
        <v>85.99</v>
      </c>
    </row>
    <row r="1574" spans="1:3" ht="24" customHeight="1">
      <c r="A1574" s="1205" t="s">
        <v>71330</v>
      </c>
      <c r="B1574" s="1205" t="s">
        <v>71329</v>
      </c>
      <c r="C1574" s="1205">
        <v>81.99</v>
      </c>
    </row>
    <row r="1575" spans="1:3" ht="24" customHeight="1">
      <c r="A1575" s="1205" t="s">
        <v>71328</v>
      </c>
      <c r="B1575" s="1205" t="s">
        <v>71327</v>
      </c>
      <c r="C1575" s="1205">
        <v>71.989999999999995</v>
      </c>
    </row>
    <row r="1576" spans="1:3" ht="24" customHeight="1">
      <c r="A1576" s="1205" t="s">
        <v>71326</v>
      </c>
      <c r="B1576" s="1205" t="s">
        <v>71325</v>
      </c>
      <c r="C1576" s="1205">
        <v>75.989999999999995</v>
      </c>
    </row>
    <row r="1577" spans="1:3" ht="24" customHeight="1">
      <c r="A1577" s="1205" t="s">
        <v>71324</v>
      </c>
      <c r="B1577" s="1205" t="s">
        <v>71323</v>
      </c>
      <c r="C1577" s="1205">
        <v>102.49</v>
      </c>
    </row>
    <row r="1578" spans="1:3" ht="24" customHeight="1">
      <c r="A1578" s="1205" t="s">
        <v>71322</v>
      </c>
      <c r="B1578" s="1205" t="s">
        <v>71321</v>
      </c>
      <c r="C1578" s="1205">
        <v>71.989999999999995</v>
      </c>
    </row>
    <row r="1579" spans="1:3" ht="24" customHeight="1">
      <c r="A1579" s="1205" t="s">
        <v>71320</v>
      </c>
      <c r="B1579" s="1205" t="s">
        <v>71319</v>
      </c>
      <c r="C1579" s="1205">
        <v>69.489999999999995</v>
      </c>
    </row>
    <row r="1580" spans="1:3" ht="24" customHeight="1">
      <c r="A1580" s="1205" t="s">
        <v>71318</v>
      </c>
      <c r="B1580" s="1205" t="s">
        <v>71317</v>
      </c>
      <c r="C1580" s="1205">
        <v>69.489999999999995</v>
      </c>
    </row>
    <row r="1581" spans="1:3" ht="24" customHeight="1">
      <c r="A1581" s="1205" t="s">
        <v>71316</v>
      </c>
      <c r="B1581" s="1205" t="s">
        <v>71315</v>
      </c>
      <c r="C1581" s="1205">
        <v>70.989999999999995</v>
      </c>
    </row>
    <row r="1582" spans="1:3" ht="24" customHeight="1">
      <c r="A1582" s="1205" t="s">
        <v>71314</v>
      </c>
      <c r="B1582" s="1205" t="s">
        <v>71313</v>
      </c>
      <c r="C1582" s="1205">
        <v>170.49</v>
      </c>
    </row>
    <row r="1583" spans="1:3" ht="24" customHeight="1">
      <c r="A1583" s="1205" t="s">
        <v>71312</v>
      </c>
      <c r="B1583" s="1205" t="s">
        <v>71311</v>
      </c>
      <c r="C1583" s="1205">
        <v>121.49</v>
      </c>
    </row>
    <row r="1584" spans="1:3" ht="24" customHeight="1">
      <c r="A1584" s="1205" t="s">
        <v>71310</v>
      </c>
      <c r="B1584" s="1205" t="s">
        <v>71309</v>
      </c>
      <c r="C1584" s="1205">
        <v>66.989999999999995</v>
      </c>
    </row>
    <row r="1585" spans="1:3" ht="24" customHeight="1">
      <c r="A1585" s="1205" t="s">
        <v>71308</v>
      </c>
      <c r="B1585" s="1205" t="s">
        <v>71307</v>
      </c>
      <c r="C1585" s="1205">
        <v>62.99</v>
      </c>
    </row>
    <row r="1586" spans="1:3" ht="24" customHeight="1">
      <c r="A1586" s="1205" t="s">
        <v>71306</v>
      </c>
      <c r="B1586" s="1205" t="s">
        <v>71305</v>
      </c>
      <c r="C1586" s="1205">
        <v>57.99</v>
      </c>
    </row>
    <row r="1587" spans="1:3" ht="24" customHeight="1">
      <c r="A1587" s="1205" t="s">
        <v>71304</v>
      </c>
      <c r="B1587" s="1205" t="s">
        <v>71303</v>
      </c>
      <c r="C1587" s="1205">
        <v>217.49</v>
      </c>
    </row>
    <row r="1588" spans="1:3" ht="24" customHeight="1">
      <c r="A1588" s="1205" t="s">
        <v>71302</v>
      </c>
      <c r="B1588" s="1205" t="s">
        <v>71301</v>
      </c>
      <c r="C1588" s="1205">
        <v>79.989999999999995</v>
      </c>
    </row>
    <row r="1589" spans="1:3" ht="24" customHeight="1">
      <c r="A1589" s="1205" t="s">
        <v>71300</v>
      </c>
      <c r="B1589" s="1205" t="s">
        <v>71299</v>
      </c>
      <c r="C1589" s="1205">
        <v>85.49</v>
      </c>
    </row>
    <row r="1590" spans="1:3" ht="24" customHeight="1">
      <c r="A1590" s="1205" t="s">
        <v>71298</v>
      </c>
      <c r="B1590" s="1205" t="s">
        <v>71297</v>
      </c>
      <c r="C1590" s="1205">
        <v>80.989999999999995</v>
      </c>
    </row>
    <row r="1591" spans="1:3" ht="24" customHeight="1">
      <c r="A1591" s="1205" t="s">
        <v>71296</v>
      </c>
      <c r="B1591" s="1205" t="s">
        <v>71295</v>
      </c>
      <c r="C1591" s="1205">
        <v>86.99</v>
      </c>
    </row>
    <row r="1592" spans="1:3" ht="24" customHeight="1">
      <c r="A1592" s="1205" t="s">
        <v>71294</v>
      </c>
      <c r="B1592" s="1205" t="s">
        <v>71293</v>
      </c>
      <c r="C1592" s="1205">
        <v>81.489999999999995</v>
      </c>
    </row>
    <row r="1593" spans="1:3" ht="24" customHeight="1">
      <c r="A1593" s="1205" t="s">
        <v>71292</v>
      </c>
      <c r="B1593" s="1205" t="s">
        <v>71291</v>
      </c>
      <c r="C1593" s="1205">
        <v>80.989999999999995</v>
      </c>
    </row>
    <row r="1594" spans="1:3" ht="24" customHeight="1">
      <c r="A1594" s="1205" t="s">
        <v>71290</v>
      </c>
      <c r="B1594" s="1205" t="s">
        <v>71289</v>
      </c>
      <c r="C1594" s="1205">
        <v>88.99</v>
      </c>
    </row>
    <row r="1595" spans="1:3" ht="24" customHeight="1">
      <c r="A1595" s="1205" t="s">
        <v>71288</v>
      </c>
      <c r="B1595" s="1205" t="s">
        <v>71287</v>
      </c>
      <c r="C1595" s="1205">
        <v>82.99</v>
      </c>
    </row>
    <row r="1596" spans="1:3" ht="24" customHeight="1">
      <c r="A1596" s="1205" t="s">
        <v>71286</v>
      </c>
      <c r="B1596" s="1205" t="s">
        <v>71285</v>
      </c>
      <c r="C1596" s="1205">
        <v>98.99</v>
      </c>
    </row>
    <row r="1597" spans="1:3" ht="24" customHeight="1">
      <c r="A1597" s="1205" t="s">
        <v>71284</v>
      </c>
      <c r="B1597" s="1205" t="s">
        <v>71283</v>
      </c>
      <c r="C1597" s="1205">
        <v>94.49</v>
      </c>
    </row>
    <row r="1598" spans="1:3" ht="24" customHeight="1">
      <c r="A1598" s="1205" t="s">
        <v>71282</v>
      </c>
      <c r="B1598" s="1205" t="s">
        <v>71281</v>
      </c>
      <c r="C1598" s="1205">
        <v>94.49</v>
      </c>
    </row>
    <row r="1599" spans="1:3" ht="24" customHeight="1">
      <c r="A1599" s="1205" t="s">
        <v>71280</v>
      </c>
      <c r="B1599" s="1205" t="s">
        <v>71279</v>
      </c>
      <c r="C1599" s="1205">
        <v>63.99</v>
      </c>
    </row>
    <row r="1600" spans="1:3" ht="24" customHeight="1">
      <c r="A1600" s="1205" t="s">
        <v>71278</v>
      </c>
      <c r="B1600" s="1205" t="s">
        <v>71277</v>
      </c>
      <c r="C1600" s="1205">
        <v>49.49</v>
      </c>
    </row>
    <row r="1601" spans="1:3" ht="24" customHeight="1">
      <c r="A1601" s="1205" t="s">
        <v>71276</v>
      </c>
      <c r="B1601" s="1205" t="s">
        <v>71275</v>
      </c>
      <c r="C1601" s="1205">
        <v>64.489999999999995</v>
      </c>
    </row>
    <row r="1602" spans="1:3" ht="24" customHeight="1">
      <c r="A1602" s="1205" t="s">
        <v>71274</v>
      </c>
      <c r="B1602" s="1205" t="s">
        <v>71273</v>
      </c>
      <c r="C1602" s="1205">
        <v>47.49</v>
      </c>
    </row>
    <row r="1603" spans="1:3" ht="24" customHeight="1">
      <c r="A1603" s="1205" t="s">
        <v>71272</v>
      </c>
      <c r="B1603" s="1205" t="s">
        <v>71271</v>
      </c>
      <c r="C1603" s="1205">
        <v>45.49</v>
      </c>
    </row>
    <row r="1604" spans="1:3" ht="24" customHeight="1">
      <c r="A1604" s="1205" t="s">
        <v>71270</v>
      </c>
      <c r="B1604" s="1205" t="s">
        <v>71269</v>
      </c>
      <c r="C1604" s="1205">
        <v>57.49</v>
      </c>
    </row>
    <row r="1605" spans="1:3" ht="24" customHeight="1">
      <c r="A1605" s="1205" t="s">
        <v>71268</v>
      </c>
      <c r="B1605" s="1205" t="s">
        <v>71267</v>
      </c>
      <c r="C1605" s="1205">
        <v>87.49</v>
      </c>
    </row>
    <row r="1606" spans="1:3" ht="24" customHeight="1">
      <c r="A1606" s="1205" t="s">
        <v>71266</v>
      </c>
      <c r="B1606" s="1205" t="s">
        <v>71265</v>
      </c>
      <c r="C1606" s="1205">
        <v>79.489999999999995</v>
      </c>
    </row>
    <row r="1607" spans="1:3" ht="24" customHeight="1">
      <c r="A1607" s="1205" t="s">
        <v>71264</v>
      </c>
      <c r="B1607" s="1205" t="s">
        <v>71263</v>
      </c>
      <c r="C1607" s="1205">
        <v>148.49</v>
      </c>
    </row>
    <row r="1608" spans="1:3" ht="24" customHeight="1">
      <c r="A1608" s="1205" t="s">
        <v>71262</v>
      </c>
      <c r="B1608" s="1205" t="s">
        <v>71261</v>
      </c>
      <c r="C1608" s="1205">
        <v>135.99</v>
      </c>
    </row>
    <row r="1609" spans="1:3" ht="24" customHeight="1">
      <c r="A1609" s="1205" t="s">
        <v>71260</v>
      </c>
      <c r="B1609" s="1205" t="s">
        <v>71259</v>
      </c>
      <c r="C1609" s="1205">
        <v>198.49</v>
      </c>
    </row>
    <row r="1610" spans="1:3" ht="24" customHeight="1">
      <c r="A1610" s="1205" t="s">
        <v>71258</v>
      </c>
      <c r="B1610" s="1205" t="s">
        <v>71257</v>
      </c>
      <c r="C1610" s="1205">
        <v>184.99</v>
      </c>
    </row>
    <row r="1611" spans="1:3" ht="24" customHeight="1">
      <c r="A1611" s="1205" t="s">
        <v>71256</v>
      </c>
      <c r="B1611" s="1205" t="s">
        <v>71255</v>
      </c>
      <c r="C1611" s="1205">
        <v>95.99</v>
      </c>
    </row>
    <row r="1612" spans="1:3" ht="24" customHeight="1">
      <c r="A1612" s="1205" t="s">
        <v>71254</v>
      </c>
      <c r="B1612" s="1205" t="s">
        <v>71253</v>
      </c>
      <c r="C1612" s="1205">
        <v>83.49</v>
      </c>
    </row>
    <row r="1613" spans="1:3" ht="24" customHeight="1">
      <c r="A1613" s="1205" t="s">
        <v>71252</v>
      </c>
      <c r="B1613" s="1205" t="s">
        <v>71251</v>
      </c>
      <c r="C1613" s="1205">
        <v>87.49</v>
      </c>
    </row>
    <row r="1614" spans="1:3" ht="24" customHeight="1">
      <c r="A1614" s="1205" t="s">
        <v>71250</v>
      </c>
      <c r="B1614" s="1205" t="s">
        <v>71249</v>
      </c>
      <c r="C1614" s="1205">
        <v>83.99</v>
      </c>
    </row>
    <row r="1615" spans="1:3" ht="24" customHeight="1">
      <c r="A1615" s="1205" t="s">
        <v>71248</v>
      </c>
      <c r="B1615" s="1205" t="s">
        <v>71247</v>
      </c>
      <c r="C1615" s="1205">
        <v>75.989999999999995</v>
      </c>
    </row>
    <row r="1616" spans="1:3" ht="24" customHeight="1">
      <c r="A1616" s="1205" t="s">
        <v>71246</v>
      </c>
      <c r="B1616" s="1205" t="s">
        <v>63513</v>
      </c>
      <c r="C1616" s="1205">
        <v>81.99</v>
      </c>
    </row>
    <row r="1617" spans="1:3" ht="24" customHeight="1">
      <c r="A1617" s="1205" t="s">
        <v>71245</v>
      </c>
      <c r="B1617" s="1205" t="s">
        <v>63513</v>
      </c>
      <c r="C1617" s="1205">
        <v>76.489999999999995</v>
      </c>
    </row>
    <row r="1618" spans="1:3" ht="24" customHeight="1">
      <c r="A1618" s="1205" t="s">
        <v>71244</v>
      </c>
      <c r="B1618" s="1205" t="s">
        <v>71243</v>
      </c>
      <c r="C1618" s="1205">
        <v>139.49</v>
      </c>
    </row>
    <row r="1619" spans="1:3" ht="24" customHeight="1">
      <c r="A1619" s="1205" t="s">
        <v>71242</v>
      </c>
      <c r="B1619" s="1205" t="s">
        <v>63511</v>
      </c>
      <c r="C1619" s="1205">
        <v>74.489999999999995</v>
      </c>
    </row>
    <row r="1620" spans="1:3" ht="24" customHeight="1">
      <c r="A1620" s="1205" t="s">
        <v>71241</v>
      </c>
      <c r="B1620" s="1205" t="s">
        <v>71240</v>
      </c>
      <c r="C1620" s="1205">
        <v>91.99</v>
      </c>
    </row>
    <row r="1621" spans="1:3" ht="24" customHeight="1">
      <c r="A1621" s="1205" t="s">
        <v>71239</v>
      </c>
      <c r="B1621" s="1205" t="s">
        <v>71238</v>
      </c>
      <c r="C1621" s="1205">
        <v>88.99</v>
      </c>
    </row>
    <row r="1622" spans="1:3" ht="24" customHeight="1">
      <c r="A1622" s="1205" t="s">
        <v>71237</v>
      </c>
      <c r="B1622" s="1205" t="s">
        <v>71236</v>
      </c>
      <c r="C1622" s="1205">
        <v>146.99</v>
      </c>
    </row>
    <row r="1623" spans="1:3" ht="24" customHeight="1">
      <c r="A1623" s="1205" t="s">
        <v>71235</v>
      </c>
      <c r="B1623" s="1205" t="s">
        <v>71234</v>
      </c>
      <c r="C1623" s="1205">
        <v>50.99</v>
      </c>
    </row>
    <row r="1624" spans="1:3" ht="24" customHeight="1">
      <c r="A1624" s="1205" t="s">
        <v>71233</v>
      </c>
      <c r="B1624" s="1205" t="s">
        <v>71232</v>
      </c>
      <c r="C1624" s="1205">
        <v>52.99</v>
      </c>
    </row>
    <row r="1625" spans="1:3" ht="24" customHeight="1">
      <c r="A1625" s="1205" t="s">
        <v>71231</v>
      </c>
      <c r="B1625" s="1205" t="s">
        <v>71230</v>
      </c>
      <c r="C1625" s="1205">
        <v>58.99</v>
      </c>
    </row>
    <row r="1626" spans="1:3" ht="24" customHeight="1">
      <c r="A1626" s="1205" t="s">
        <v>71229</v>
      </c>
      <c r="B1626" s="1205" t="s">
        <v>71228</v>
      </c>
      <c r="C1626" s="1205">
        <v>135.49</v>
      </c>
    </row>
    <row r="1627" spans="1:3" ht="24" customHeight="1">
      <c r="A1627" s="1205" t="s">
        <v>71227</v>
      </c>
      <c r="B1627" s="1205" t="s">
        <v>71226</v>
      </c>
      <c r="C1627" s="1205">
        <v>54.49</v>
      </c>
    </row>
    <row r="1628" spans="1:3" ht="24" customHeight="1">
      <c r="A1628" s="1205" t="s">
        <v>71225</v>
      </c>
      <c r="B1628" s="1205" t="s">
        <v>71215</v>
      </c>
      <c r="C1628" s="1205">
        <v>61.49</v>
      </c>
    </row>
    <row r="1629" spans="1:3" ht="24" customHeight="1">
      <c r="A1629" s="1205" t="s">
        <v>71224</v>
      </c>
      <c r="B1629" s="1205" t="s">
        <v>71223</v>
      </c>
      <c r="C1629" s="1205">
        <v>57.49</v>
      </c>
    </row>
    <row r="1630" spans="1:3" ht="24" customHeight="1">
      <c r="A1630" s="1205" t="s">
        <v>71222</v>
      </c>
      <c r="B1630" s="1205" t="s">
        <v>71221</v>
      </c>
      <c r="C1630" s="1205">
        <v>51.99</v>
      </c>
    </row>
    <row r="1631" spans="1:3" ht="24" customHeight="1">
      <c r="A1631" s="1205" t="s">
        <v>71220</v>
      </c>
      <c r="B1631" s="1205" t="s">
        <v>71219</v>
      </c>
      <c r="C1631" s="1205">
        <v>50.49</v>
      </c>
    </row>
    <row r="1632" spans="1:3" ht="24" customHeight="1">
      <c r="A1632" s="1205" t="s">
        <v>71218</v>
      </c>
      <c r="B1632" s="1205" t="s">
        <v>71217</v>
      </c>
      <c r="C1632" s="1205">
        <v>69.989999999999995</v>
      </c>
    </row>
    <row r="1633" spans="1:3" ht="24" customHeight="1">
      <c r="A1633" s="1205" t="s">
        <v>71216</v>
      </c>
      <c r="B1633" s="1205" t="s">
        <v>71215</v>
      </c>
      <c r="C1633" s="1205">
        <v>56.49</v>
      </c>
    </row>
    <row r="1634" spans="1:3" ht="24" customHeight="1">
      <c r="A1634" s="1205" t="s">
        <v>71214</v>
      </c>
      <c r="B1634" s="1205" t="s">
        <v>71213</v>
      </c>
      <c r="C1634" s="1205">
        <v>52.49</v>
      </c>
    </row>
    <row r="1635" spans="1:3" ht="24" customHeight="1">
      <c r="A1635" s="1205" t="s">
        <v>71212</v>
      </c>
      <c r="B1635" s="1205" t="s">
        <v>71211</v>
      </c>
      <c r="C1635" s="1205">
        <v>61.99</v>
      </c>
    </row>
    <row r="1636" spans="1:3" ht="24" customHeight="1">
      <c r="A1636" s="1205" t="s">
        <v>71210</v>
      </c>
      <c r="B1636" s="1205" t="s">
        <v>71209</v>
      </c>
      <c r="C1636" s="1205">
        <v>54.99</v>
      </c>
    </row>
    <row r="1637" spans="1:3" ht="24" customHeight="1">
      <c r="A1637" s="1205" t="s">
        <v>71208</v>
      </c>
      <c r="B1637" s="1205" t="s">
        <v>71206</v>
      </c>
      <c r="C1637" s="1205">
        <v>76.489999999999995</v>
      </c>
    </row>
    <row r="1638" spans="1:3" ht="24" customHeight="1">
      <c r="A1638" s="1205" t="s">
        <v>71207</v>
      </c>
      <c r="B1638" s="1205" t="s">
        <v>71206</v>
      </c>
      <c r="C1638" s="1205">
        <v>74.489999999999995</v>
      </c>
    </row>
    <row r="1639" spans="1:3" ht="24" customHeight="1">
      <c r="A1639" s="1205" t="s">
        <v>71205</v>
      </c>
      <c r="B1639" s="1205" t="s">
        <v>71100</v>
      </c>
      <c r="C1639" s="1205">
        <v>51.99</v>
      </c>
    </row>
    <row r="1640" spans="1:3" ht="24" customHeight="1">
      <c r="A1640" s="1205" t="s">
        <v>71204</v>
      </c>
      <c r="B1640" s="1205" t="s">
        <v>71203</v>
      </c>
      <c r="C1640" s="1205">
        <v>61.49</v>
      </c>
    </row>
    <row r="1641" spans="1:3" ht="24" customHeight="1">
      <c r="A1641" s="1205" t="s">
        <v>71202</v>
      </c>
      <c r="B1641" s="1205" t="s">
        <v>71201</v>
      </c>
      <c r="C1641" s="1205">
        <v>63.49</v>
      </c>
    </row>
    <row r="1642" spans="1:3" ht="24" customHeight="1">
      <c r="A1642" s="1205" t="s">
        <v>71200</v>
      </c>
      <c r="B1642" s="1205" t="s">
        <v>71199</v>
      </c>
      <c r="C1642" s="1205">
        <v>61.49</v>
      </c>
    </row>
    <row r="1643" spans="1:3" ht="24" customHeight="1">
      <c r="A1643" s="1205" t="s">
        <v>71198</v>
      </c>
      <c r="B1643" s="1205" t="s">
        <v>71197</v>
      </c>
      <c r="C1643" s="1205">
        <v>60.49</v>
      </c>
    </row>
    <row r="1644" spans="1:3" ht="24" customHeight="1">
      <c r="A1644" s="1205" t="s">
        <v>71196</v>
      </c>
      <c r="B1644" s="1205" t="s">
        <v>71195</v>
      </c>
      <c r="C1644" s="1205">
        <v>58.99</v>
      </c>
    </row>
    <row r="1645" spans="1:3" ht="24" customHeight="1">
      <c r="A1645" s="1205" t="s">
        <v>71194</v>
      </c>
      <c r="B1645" s="1205" t="s">
        <v>71193</v>
      </c>
      <c r="C1645" s="1205">
        <v>59.99</v>
      </c>
    </row>
    <row r="1646" spans="1:3" ht="24" customHeight="1">
      <c r="A1646" s="1205" t="s">
        <v>71192</v>
      </c>
      <c r="B1646" s="1205" t="s">
        <v>71191</v>
      </c>
      <c r="C1646" s="1205">
        <v>61.49</v>
      </c>
    </row>
    <row r="1647" spans="1:3" ht="24" customHeight="1">
      <c r="A1647" s="1205" t="s">
        <v>71190</v>
      </c>
      <c r="B1647" s="1205" t="s">
        <v>71189</v>
      </c>
      <c r="C1647" s="1205">
        <v>60.49</v>
      </c>
    </row>
    <row r="1648" spans="1:3" ht="24" customHeight="1">
      <c r="A1648" s="1205" t="s">
        <v>71188</v>
      </c>
      <c r="B1648" s="1205" t="s">
        <v>71187</v>
      </c>
      <c r="C1648" s="1205">
        <v>58.99</v>
      </c>
    </row>
    <row r="1649" spans="1:3" ht="24" customHeight="1">
      <c r="A1649" s="1205" t="s">
        <v>71186</v>
      </c>
      <c r="B1649" s="1205" t="s">
        <v>71185</v>
      </c>
      <c r="C1649" s="1205">
        <v>114.49</v>
      </c>
    </row>
    <row r="1650" spans="1:3" ht="24" customHeight="1">
      <c r="A1650" s="1205" t="s">
        <v>71184</v>
      </c>
      <c r="B1650" s="1205" t="s">
        <v>71183</v>
      </c>
      <c r="C1650" s="1205">
        <v>114.49</v>
      </c>
    </row>
    <row r="1651" spans="1:3" ht="24" customHeight="1">
      <c r="A1651" s="1205" t="s">
        <v>71182</v>
      </c>
      <c r="B1651" s="1205" t="s">
        <v>71181</v>
      </c>
      <c r="C1651" s="1205">
        <v>98.49</v>
      </c>
    </row>
    <row r="1652" spans="1:3" ht="24" customHeight="1">
      <c r="A1652" s="1205" t="s">
        <v>71180</v>
      </c>
      <c r="B1652" s="1205" t="s">
        <v>71179</v>
      </c>
      <c r="C1652" s="1205">
        <v>91.99</v>
      </c>
    </row>
    <row r="1653" spans="1:3" ht="24" customHeight="1">
      <c r="A1653" s="1205" t="s">
        <v>71178</v>
      </c>
      <c r="B1653" s="1205" t="s">
        <v>71177</v>
      </c>
      <c r="C1653" s="1205">
        <v>84.49</v>
      </c>
    </row>
    <row r="1654" spans="1:3" ht="24" customHeight="1">
      <c r="A1654" s="1205" t="s">
        <v>71176</v>
      </c>
      <c r="B1654" s="1205" t="s">
        <v>71175</v>
      </c>
      <c r="C1654" s="1205">
        <v>112.49</v>
      </c>
    </row>
    <row r="1655" spans="1:3" ht="24" customHeight="1">
      <c r="A1655" s="1205" t="s">
        <v>71174</v>
      </c>
      <c r="B1655" s="1205" t="s">
        <v>71173</v>
      </c>
      <c r="C1655" s="1205">
        <v>103.49</v>
      </c>
    </row>
    <row r="1656" spans="1:3" ht="24" customHeight="1">
      <c r="A1656" s="1205" t="s">
        <v>71172</v>
      </c>
      <c r="B1656" s="1205" t="s">
        <v>71171</v>
      </c>
      <c r="C1656" s="1205">
        <v>49.99</v>
      </c>
    </row>
    <row r="1657" spans="1:3" ht="24" customHeight="1">
      <c r="A1657" s="1205" t="s">
        <v>71170</v>
      </c>
      <c r="B1657" s="1205" t="s">
        <v>71169</v>
      </c>
      <c r="C1657" s="1205">
        <v>79.989999999999995</v>
      </c>
    </row>
    <row r="1658" spans="1:3" ht="24" customHeight="1">
      <c r="A1658" s="1205" t="s">
        <v>71168</v>
      </c>
      <c r="B1658" s="1205" t="s">
        <v>71167</v>
      </c>
      <c r="C1658" s="1205">
        <v>78.989999999999995</v>
      </c>
    </row>
    <row r="1659" spans="1:3" ht="24" customHeight="1">
      <c r="A1659" s="1205" t="s">
        <v>71166</v>
      </c>
      <c r="B1659" s="1205" t="s">
        <v>71052</v>
      </c>
      <c r="C1659" s="1205">
        <v>75.489999999999995</v>
      </c>
    </row>
    <row r="1660" spans="1:3" ht="24" customHeight="1">
      <c r="A1660" s="1205" t="s">
        <v>71165</v>
      </c>
      <c r="B1660" s="1205" t="s">
        <v>71164</v>
      </c>
      <c r="C1660" s="1205">
        <v>147.99</v>
      </c>
    </row>
    <row r="1661" spans="1:3" ht="24" customHeight="1">
      <c r="A1661" s="1205" t="s">
        <v>71163</v>
      </c>
      <c r="B1661" s="1205" t="s">
        <v>71162</v>
      </c>
      <c r="C1661" s="1205">
        <v>146.99</v>
      </c>
    </row>
    <row r="1662" spans="1:3" ht="24" customHeight="1">
      <c r="A1662" s="1205" t="s">
        <v>71161</v>
      </c>
      <c r="B1662" s="1205" t="s">
        <v>71160</v>
      </c>
      <c r="C1662" s="1205">
        <v>142.99</v>
      </c>
    </row>
    <row r="1663" spans="1:3" ht="24" customHeight="1">
      <c r="A1663" s="1205" t="s">
        <v>71159</v>
      </c>
      <c r="B1663" s="1205" t="s">
        <v>71158</v>
      </c>
      <c r="C1663" s="1205">
        <v>141.99</v>
      </c>
    </row>
    <row r="1664" spans="1:3" ht="24" customHeight="1">
      <c r="A1664" s="1205" t="s">
        <v>71157</v>
      </c>
      <c r="B1664" s="1205" t="s">
        <v>71156</v>
      </c>
      <c r="C1664" s="1205">
        <v>65.489999999999995</v>
      </c>
    </row>
    <row r="1665" spans="1:3" ht="24" customHeight="1">
      <c r="A1665" s="1205" t="s">
        <v>71155</v>
      </c>
      <c r="B1665" s="1205" t="s">
        <v>71154</v>
      </c>
      <c r="C1665" s="1205">
        <v>58.49</v>
      </c>
    </row>
    <row r="1666" spans="1:3" ht="24" customHeight="1">
      <c r="A1666" s="1205" t="s">
        <v>71153</v>
      </c>
      <c r="B1666" s="1205" t="s">
        <v>71152</v>
      </c>
      <c r="C1666" s="1205">
        <v>56.49</v>
      </c>
    </row>
    <row r="1667" spans="1:3" ht="24" customHeight="1">
      <c r="A1667" s="1205" t="s">
        <v>71151</v>
      </c>
      <c r="B1667" s="1205" t="s">
        <v>71150</v>
      </c>
      <c r="C1667" s="1205">
        <v>59.99</v>
      </c>
    </row>
    <row r="1668" spans="1:3" ht="24" customHeight="1">
      <c r="A1668" s="1205" t="s">
        <v>71149</v>
      </c>
      <c r="B1668" s="1205" t="s">
        <v>71148</v>
      </c>
      <c r="C1668" s="1205">
        <v>62.99</v>
      </c>
    </row>
    <row r="1669" spans="1:3" ht="24" customHeight="1">
      <c r="A1669" s="1205" t="s">
        <v>71147</v>
      </c>
      <c r="B1669" s="1205" t="s">
        <v>71146</v>
      </c>
      <c r="C1669" s="1205">
        <v>58.99</v>
      </c>
    </row>
    <row r="1670" spans="1:3" ht="24" customHeight="1">
      <c r="A1670" s="1205" t="s">
        <v>71145</v>
      </c>
      <c r="B1670" s="1205" t="s">
        <v>71144</v>
      </c>
      <c r="C1670" s="1205">
        <v>63.99</v>
      </c>
    </row>
    <row r="1671" spans="1:3" ht="24" customHeight="1">
      <c r="A1671" s="1205" t="s">
        <v>71143</v>
      </c>
      <c r="B1671" s="1205" t="s">
        <v>71142</v>
      </c>
      <c r="C1671" s="1205">
        <v>64.989999999999995</v>
      </c>
    </row>
    <row r="1672" spans="1:3" ht="24" customHeight="1">
      <c r="A1672" s="1205" t="s">
        <v>71141</v>
      </c>
      <c r="B1672" s="1205" t="s">
        <v>71140</v>
      </c>
      <c r="C1672" s="1205">
        <v>61.49</v>
      </c>
    </row>
    <row r="1673" spans="1:3" ht="24" customHeight="1">
      <c r="A1673" s="1205" t="s">
        <v>71139</v>
      </c>
      <c r="B1673" s="1205" t="s">
        <v>71138</v>
      </c>
      <c r="C1673" s="1205">
        <v>65.989999999999995</v>
      </c>
    </row>
    <row r="1674" spans="1:3" ht="24" customHeight="1">
      <c r="A1674" s="1205" t="s">
        <v>71137</v>
      </c>
      <c r="B1674" s="1205" t="s">
        <v>71136</v>
      </c>
      <c r="C1674" s="1205">
        <v>62.99</v>
      </c>
    </row>
    <row r="1675" spans="1:3" ht="24" customHeight="1">
      <c r="A1675" s="1205" t="s">
        <v>71135</v>
      </c>
      <c r="B1675" s="1205" t="s">
        <v>71134</v>
      </c>
      <c r="C1675" s="1205">
        <v>61.99</v>
      </c>
    </row>
    <row r="1676" spans="1:3" ht="24" customHeight="1">
      <c r="A1676" s="1205" t="s">
        <v>71133</v>
      </c>
      <c r="B1676" s="1205" t="s">
        <v>71132</v>
      </c>
      <c r="C1676" s="1205">
        <v>63.49</v>
      </c>
    </row>
    <row r="1677" spans="1:3" ht="24" customHeight="1">
      <c r="A1677" s="1205" t="s">
        <v>71131</v>
      </c>
      <c r="B1677" s="1205" t="s">
        <v>71130</v>
      </c>
      <c r="C1677" s="1205">
        <v>70.989999999999995</v>
      </c>
    </row>
    <row r="1678" spans="1:3" ht="24" customHeight="1">
      <c r="A1678" s="1205" t="s">
        <v>71129</v>
      </c>
      <c r="B1678" s="1205" t="s">
        <v>71128</v>
      </c>
      <c r="C1678" s="1205">
        <v>59.99</v>
      </c>
    </row>
    <row r="1679" spans="1:3" ht="24" customHeight="1">
      <c r="A1679" s="1205" t="s">
        <v>71127</v>
      </c>
      <c r="B1679" s="1205" t="s">
        <v>71126</v>
      </c>
      <c r="C1679" s="1205">
        <v>62.49</v>
      </c>
    </row>
    <row r="1680" spans="1:3" ht="24" customHeight="1">
      <c r="A1680" s="1205" t="s">
        <v>71125</v>
      </c>
      <c r="B1680" s="1205" t="s">
        <v>71124</v>
      </c>
      <c r="C1680" s="1205">
        <v>59.99</v>
      </c>
    </row>
    <row r="1681" spans="1:3" ht="24" customHeight="1">
      <c r="A1681" s="1205" t="s">
        <v>71123</v>
      </c>
      <c r="B1681" s="1205" t="s">
        <v>71122</v>
      </c>
      <c r="C1681" s="1205">
        <v>63.49</v>
      </c>
    </row>
    <row r="1682" spans="1:3" ht="24" customHeight="1">
      <c r="A1682" s="1205" t="s">
        <v>71121</v>
      </c>
      <c r="B1682" s="1205" t="s">
        <v>71120</v>
      </c>
      <c r="C1682" s="1205">
        <v>60.99</v>
      </c>
    </row>
    <row r="1683" spans="1:3" ht="24" customHeight="1">
      <c r="A1683" s="1205" t="s">
        <v>71119</v>
      </c>
      <c r="B1683" s="1205" t="s">
        <v>71118</v>
      </c>
      <c r="C1683" s="1205">
        <v>71.489999999999995</v>
      </c>
    </row>
    <row r="1684" spans="1:3" ht="24" customHeight="1">
      <c r="A1684" s="1205" t="s">
        <v>71117</v>
      </c>
      <c r="B1684" s="1205" t="s">
        <v>71116</v>
      </c>
      <c r="C1684" s="1205">
        <v>64.989999999999995</v>
      </c>
    </row>
    <row r="1685" spans="1:3" ht="24" customHeight="1">
      <c r="A1685" s="1205" t="s">
        <v>71115</v>
      </c>
      <c r="B1685" s="1205" t="s">
        <v>71114</v>
      </c>
      <c r="C1685" s="1205">
        <v>70.489999999999995</v>
      </c>
    </row>
    <row r="1686" spans="1:3" ht="24" customHeight="1">
      <c r="A1686" s="1205" t="s">
        <v>71113</v>
      </c>
      <c r="B1686" s="1205" t="s">
        <v>71112</v>
      </c>
      <c r="C1686" s="1205">
        <v>66.489999999999995</v>
      </c>
    </row>
    <row r="1687" spans="1:3" ht="24" customHeight="1">
      <c r="A1687" s="1205" t="s">
        <v>71111</v>
      </c>
      <c r="B1687" s="1205" t="s">
        <v>71110</v>
      </c>
      <c r="C1687" s="1205">
        <v>51.99</v>
      </c>
    </row>
    <row r="1688" spans="1:3" ht="24" customHeight="1">
      <c r="A1688" s="1205" t="s">
        <v>71109</v>
      </c>
      <c r="B1688" s="1205" t="s">
        <v>71108</v>
      </c>
      <c r="C1688" s="1205">
        <v>61.49</v>
      </c>
    </row>
    <row r="1689" spans="1:3" ht="24" customHeight="1">
      <c r="A1689" s="1205" t="s">
        <v>71107</v>
      </c>
      <c r="B1689" s="1205" t="s">
        <v>71106</v>
      </c>
      <c r="C1689" s="1205">
        <v>66.489999999999995</v>
      </c>
    </row>
    <row r="1690" spans="1:3" ht="24" customHeight="1">
      <c r="A1690" s="1205" t="s">
        <v>71105</v>
      </c>
      <c r="B1690" s="1205" t="s">
        <v>71104</v>
      </c>
      <c r="C1690" s="1205">
        <v>115.49</v>
      </c>
    </row>
    <row r="1691" spans="1:3" ht="24" customHeight="1">
      <c r="A1691" s="1205" t="s">
        <v>71103</v>
      </c>
      <c r="B1691" s="1205" t="s">
        <v>71102</v>
      </c>
      <c r="C1691" s="1205">
        <v>58.49</v>
      </c>
    </row>
    <row r="1692" spans="1:3" ht="24" customHeight="1">
      <c r="A1692" s="1205" t="s">
        <v>71101</v>
      </c>
      <c r="B1692" s="1205" t="s">
        <v>71100</v>
      </c>
      <c r="C1692" s="1205">
        <v>53.99</v>
      </c>
    </row>
    <row r="1693" spans="1:3" ht="24" customHeight="1">
      <c r="A1693" s="1205" t="s">
        <v>71099</v>
      </c>
      <c r="B1693" s="1205" t="s">
        <v>71098</v>
      </c>
      <c r="C1693" s="1205">
        <v>66.989999999999995</v>
      </c>
    </row>
    <row r="1694" spans="1:3" ht="24" customHeight="1">
      <c r="A1694" s="1205" t="s">
        <v>71097</v>
      </c>
      <c r="B1694" s="1205" t="s">
        <v>71096</v>
      </c>
      <c r="C1694" s="1205">
        <v>62.99</v>
      </c>
    </row>
    <row r="1695" spans="1:3" ht="24" customHeight="1">
      <c r="A1695" s="1205" t="s">
        <v>71095</v>
      </c>
      <c r="B1695" s="1205" t="s">
        <v>71094</v>
      </c>
      <c r="C1695" s="1205">
        <v>54.99</v>
      </c>
    </row>
    <row r="1696" spans="1:3" ht="24" customHeight="1">
      <c r="A1696" s="1205" t="s">
        <v>71093</v>
      </c>
      <c r="B1696" s="1205" t="s">
        <v>71092</v>
      </c>
      <c r="C1696" s="1205">
        <v>74.989999999999995</v>
      </c>
    </row>
    <row r="1697" spans="1:3" ht="24" customHeight="1">
      <c r="A1697" s="1205" t="s">
        <v>71091</v>
      </c>
      <c r="B1697" s="1205" t="s">
        <v>71090</v>
      </c>
      <c r="C1697" s="1205">
        <v>71.489999999999995</v>
      </c>
    </row>
    <row r="1698" spans="1:3" ht="24" customHeight="1">
      <c r="A1698" s="1205" t="s">
        <v>71089</v>
      </c>
      <c r="B1698" s="1205" t="s">
        <v>71088</v>
      </c>
      <c r="C1698" s="1205">
        <v>67.489999999999995</v>
      </c>
    </row>
    <row r="1699" spans="1:3" ht="24" customHeight="1">
      <c r="A1699" s="1205" t="s">
        <v>71087</v>
      </c>
      <c r="B1699" s="1205" t="s">
        <v>71086</v>
      </c>
      <c r="C1699" s="1205">
        <v>63.99</v>
      </c>
    </row>
    <row r="1700" spans="1:3" ht="24" customHeight="1">
      <c r="A1700" s="1205" t="s">
        <v>71085</v>
      </c>
      <c r="B1700" s="1205" t="s">
        <v>71084</v>
      </c>
      <c r="C1700" s="1205">
        <v>61.49</v>
      </c>
    </row>
    <row r="1701" spans="1:3" ht="24" customHeight="1">
      <c r="A1701" s="1205" t="s">
        <v>71083</v>
      </c>
      <c r="B1701" s="1205" t="s">
        <v>71082</v>
      </c>
      <c r="C1701" s="1205">
        <v>65.989999999999995</v>
      </c>
    </row>
    <row r="1702" spans="1:3" ht="24" customHeight="1">
      <c r="A1702" s="1205" t="s">
        <v>71081</v>
      </c>
      <c r="B1702" s="1205" t="s">
        <v>71080</v>
      </c>
      <c r="C1702" s="1205">
        <v>68.489999999999995</v>
      </c>
    </row>
    <row r="1703" spans="1:3" ht="24" customHeight="1">
      <c r="A1703" s="1205" t="s">
        <v>71079</v>
      </c>
      <c r="B1703" s="1205" t="s">
        <v>71078</v>
      </c>
      <c r="C1703" s="1205">
        <v>59.49</v>
      </c>
    </row>
    <row r="1704" spans="1:3" ht="24" customHeight="1">
      <c r="A1704" s="1205" t="s">
        <v>71077</v>
      </c>
      <c r="B1704" s="1205" t="s">
        <v>71076</v>
      </c>
      <c r="C1704" s="1205">
        <v>61.49</v>
      </c>
    </row>
    <row r="1705" spans="1:3" ht="24" customHeight="1">
      <c r="A1705" s="1205" t="s">
        <v>71075</v>
      </c>
      <c r="B1705" s="1205" t="s">
        <v>71074</v>
      </c>
      <c r="C1705" s="1205">
        <v>62.99</v>
      </c>
    </row>
    <row r="1706" spans="1:3" ht="24" customHeight="1">
      <c r="A1706" s="1205" t="s">
        <v>71073</v>
      </c>
      <c r="B1706" s="1205" t="s">
        <v>71072</v>
      </c>
      <c r="C1706" s="1205">
        <v>49.49</v>
      </c>
    </row>
    <row r="1707" spans="1:3" ht="24" customHeight="1">
      <c r="A1707" s="1205" t="s">
        <v>71071</v>
      </c>
      <c r="B1707" s="1205" t="s">
        <v>71070</v>
      </c>
      <c r="C1707" s="1205">
        <v>50.49</v>
      </c>
    </row>
    <row r="1708" spans="1:3" ht="24" customHeight="1">
      <c r="A1708" s="1205" t="s">
        <v>71069</v>
      </c>
      <c r="B1708" s="1205" t="s">
        <v>71068</v>
      </c>
      <c r="C1708" s="1205">
        <v>48.49</v>
      </c>
    </row>
    <row r="1709" spans="1:3" ht="24" customHeight="1">
      <c r="A1709" s="1205" t="s">
        <v>71067</v>
      </c>
      <c r="B1709" s="1205" t="s">
        <v>71066</v>
      </c>
      <c r="C1709" s="1205">
        <v>88.99</v>
      </c>
    </row>
    <row r="1710" spans="1:3" ht="24" customHeight="1">
      <c r="A1710" s="1205" t="s">
        <v>71065</v>
      </c>
      <c r="B1710" s="1205" t="s">
        <v>71064</v>
      </c>
      <c r="C1710" s="1205">
        <v>120.49</v>
      </c>
    </row>
    <row r="1711" spans="1:3" ht="24" customHeight="1">
      <c r="A1711" s="1205" t="s">
        <v>71063</v>
      </c>
      <c r="B1711" s="1205" t="s">
        <v>71062</v>
      </c>
      <c r="C1711" s="1205">
        <v>91.49</v>
      </c>
    </row>
    <row r="1712" spans="1:3" ht="24" customHeight="1">
      <c r="A1712" s="1205" t="s">
        <v>71061</v>
      </c>
      <c r="B1712" s="1205" t="s">
        <v>71060</v>
      </c>
      <c r="C1712" s="1205">
        <v>87.49</v>
      </c>
    </row>
    <row r="1713" spans="1:3" ht="24" customHeight="1">
      <c r="A1713" s="1205" t="s">
        <v>71059</v>
      </c>
      <c r="B1713" s="1205" t="s">
        <v>71058</v>
      </c>
      <c r="C1713" s="1205">
        <v>84.99</v>
      </c>
    </row>
    <row r="1714" spans="1:3" ht="24" customHeight="1">
      <c r="A1714" s="1205" t="s">
        <v>71057</v>
      </c>
      <c r="B1714" s="1205" t="s">
        <v>71056</v>
      </c>
      <c r="C1714" s="1205">
        <v>118.99</v>
      </c>
    </row>
    <row r="1715" spans="1:3" ht="24" customHeight="1">
      <c r="A1715" s="1205" t="s">
        <v>71055</v>
      </c>
      <c r="B1715" s="1205" t="s">
        <v>71054</v>
      </c>
      <c r="C1715" s="1205">
        <v>142.49</v>
      </c>
    </row>
    <row r="1716" spans="1:3" ht="24" customHeight="1">
      <c r="A1716" s="1205" t="s">
        <v>71053</v>
      </c>
      <c r="B1716" s="1205" t="s">
        <v>71052</v>
      </c>
      <c r="C1716" s="1205">
        <v>77.489999999999995</v>
      </c>
    </row>
    <row r="1717" spans="1:3" ht="24" customHeight="1">
      <c r="A1717" s="1205" t="s">
        <v>71051</v>
      </c>
      <c r="B1717" s="1205" t="s">
        <v>71050</v>
      </c>
      <c r="C1717" s="1205">
        <v>64.989999999999995</v>
      </c>
    </row>
    <row r="1718" spans="1:3" ht="24" customHeight="1">
      <c r="A1718" s="1205" t="s">
        <v>71049</v>
      </c>
      <c r="B1718" s="1205" t="s">
        <v>71048</v>
      </c>
      <c r="C1718" s="1205">
        <v>68.489999999999995</v>
      </c>
    </row>
    <row r="1719" spans="1:3" ht="24" customHeight="1">
      <c r="A1719" s="1205" t="s">
        <v>71047</v>
      </c>
      <c r="B1719" s="1205" t="s">
        <v>71046</v>
      </c>
      <c r="C1719" s="1205">
        <v>53.49</v>
      </c>
    </row>
    <row r="1720" spans="1:3" ht="24" customHeight="1">
      <c r="A1720" s="1205" t="s">
        <v>71045</v>
      </c>
      <c r="B1720" s="1205" t="s">
        <v>71044</v>
      </c>
      <c r="C1720" s="1205">
        <v>70.989999999999995</v>
      </c>
    </row>
    <row r="1721" spans="1:3" ht="24" customHeight="1">
      <c r="A1721" s="1205" t="s">
        <v>71043</v>
      </c>
      <c r="B1721" s="1205" t="s">
        <v>71042</v>
      </c>
      <c r="C1721" s="1205">
        <v>55.99</v>
      </c>
    </row>
    <row r="1722" spans="1:3" ht="24" customHeight="1">
      <c r="A1722" s="1205" t="s">
        <v>71041</v>
      </c>
      <c r="B1722" s="1205" t="s">
        <v>71040</v>
      </c>
      <c r="C1722" s="1205">
        <v>51.49</v>
      </c>
    </row>
    <row r="1723" spans="1:3" ht="24" customHeight="1">
      <c r="A1723" s="1205" t="s">
        <v>71039</v>
      </c>
      <c r="B1723" s="1205" t="s">
        <v>71038</v>
      </c>
      <c r="C1723" s="1205">
        <v>61.99</v>
      </c>
    </row>
    <row r="1724" spans="1:3" ht="24" customHeight="1">
      <c r="A1724" s="1205" t="s">
        <v>71037</v>
      </c>
      <c r="B1724" s="1205" t="s">
        <v>71036</v>
      </c>
      <c r="C1724" s="1205">
        <v>59.49</v>
      </c>
    </row>
    <row r="1725" spans="1:3" ht="24" customHeight="1">
      <c r="A1725" s="1205" t="s">
        <v>71035</v>
      </c>
      <c r="B1725" s="1205" t="s">
        <v>71034</v>
      </c>
      <c r="C1725" s="1205">
        <v>58.99</v>
      </c>
    </row>
    <row r="1726" spans="1:3" ht="24" customHeight="1">
      <c r="A1726" s="1205" t="s">
        <v>71033</v>
      </c>
      <c r="B1726" s="1205" t="s">
        <v>71032</v>
      </c>
      <c r="C1726" s="1205">
        <v>57.49</v>
      </c>
    </row>
    <row r="1727" spans="1:3" ht="24" customHeight="1">
      <c r="A1727" s="1205" t="s">
        <v>71031</v>
      </c>
      <c r="B1727" s="1205" t="s">
        <v>71030</v>
      </c>
      <c r="C1727" s="1205">
        <v>57.99</v>
      </c>
    </row>
    <row r="1728" spans="1:3" ht="24" customHeight="1">
      <c r="A1728" s="1205" t="s">
        <v>71029</v>
      </c>
      <c r="B1728" s="1205" t="s">
        <v>71028</v>
      </c>
      <c r="C1728" s="1205">
        <v>59.99</v>
      </c>
    </row>
    <row r="1729" spans="1:3" ht="24" customHeight="1">
      <c r="A1729" s="1205" t="s">
        <v>71027</v>
      </c>
      <c r="B1729" s="1205" t="s">
        <v>71026</v>
      </c>
      <c r="C1729" s="1205">
        <v>58.99</v>
      </c>
    </row>
    <row r="1730" spans="1:3" ht="24" customHeight="1">
      <c r="A1730" s="1205" t="s">
        <v>71025</v>
      </c>
      <c r="B1730" s="1205" t="s">
        <v>71024</v>
      </c>
      <c r="C1730" s="1205">
        <v>57.49</v>
      </c>
    </row>
    <row r="1731" spans="1:3" ht="24" customHeight="1">
      <c r="A1731" s="1205" t="s">
        <v>71023</v>
      </c>
      <c r="B1731" s="1205" t="s">
        <v>71022</v>
      </c>
      <c r="C1731" s="1205">
        <v>111.49</v>
      </c>
    </row>
    <row r="1732" spans="1:3" ht="24" customHeight="1">
      <c r="A1732" s="1205" t="s">
        <v>71021</v>
      </c>
      <c r="B1732" s="1205" t="s">
        <v>71020</v>
      </c>
      <c r="C1732" s="1205">
        <v>99.49</v>
      </c>
    </row>
    <row r="1733" spans="1:3" ht="24" customHeight="1">
      <c r="A1733" s="1205" t="s">
        <v>71019</v>
      </c>
      <c r="B1733" s="1205" t="s">
        <v>71014</v>
      </c>
      <c r="C1733" s="1205">
        <v>115.99</v>
      </c>
    </row>
    <row r="1734" spans="1:3" ht="24" customHeight="1">
      <c r="A1734" s="1205" t="s">
        <v>71018</v>
      </c>
      <c r="B1734" s="1205" t="s">
        <v>71012</v>
      </c>
      <c r="C1734" s="1205">
        <v>76.989999999999995</v>
      </c>
    </row>
    <row r="1735" spans="1:3" ht="24" customHeight="1">
      <c r="A1735" s="1205" t="s">
        <v>71017</v>
      </c>
      <c r="B1735" s="1205" t="s">
        <v>71016</v>
      </c>
      <c r="C1735" s="1205">
        <v>78.989999999999995</v>
      </c>
    </row>
    <row r="1736" spans="1:3" ht="24" customHeight="1">
      <c r="A1736" s="1205" t="s">
        <v>71015</v>
      </c>
      <c r="B1736" s="1205" t="s">
        <v>71014</v>
      </c>
      <c r="C1736" s="1205">
        <v>114.49</v>
      </c>
    </row>
    <row r="1737" spans="1:3" ht="24" customHeight="1">
      <c r="A1737" s="1205" t="s">
        <v>71013</v>
      </c>
      <c r="B1737" s="1205" t="s">
        <v>71012</v>
      </c>
      <c r="C1737" s="1205">
        <v>72.489999999999995</v>
      </c>
    </row>
    <row r="1738" spans="1:3" ht="24" customHeight="1">
      <c r="A1738" s="1205" t="s">
        <v>71011</v>
      </c>
      <c r="B1738" s="1205" t="s">
        <v>71010</v>
      </c>
      <c r="C1738" s="1205">
        <v>111.99</v>
      </c>
    </row>
    <row r="1739" spans="1:3" ht="24" customHeight="1">
      <c r="A1739" s="1205" t="s">
        <v>71009</v>
      </c>
      <c r="B1739" s="1205" t="s">
        <v>71008</v>
      </c>
      <c r="C1739" s="1205">
        <v>56.99</v>
      </c>
    </row>
    <row r="1740" spans="1:3" ht="24" customHeight="1">
      <c r="A1740" s="1205" t="s">
        <v>71007</v>
      </c>
      <c r="B1740" s="1205" t="s">
        <v>71006</v>
      </c>
      <c r="C1740" s="1205">
        <v>50.99</v>
      </c>
    </row>
    <row r="1741" spans="1:3" ht="24" customHeight="1">
      <c r="A1741" s="1205" t="s">
        <v>71005</v>
      </c>
      <c r="B1741" s="1205" t="s">
        <v>71004</v>
      </c>
      <c r="C1741" s="1205">
        <v>46.49</v>
      </c>
    </row>
    <row r="1742" spans="1:3" ht="24" customHeight="1">
      <c r="A1742" s="1205" t="s">
        <v>71003</v>
      </c>
      <c r="B1742" s="1205" t="s">
        <v>71002</v>
      </c>
      <c r="C1742" s="1205">
        <v>88.99</v>
      </c>
    </row>
    <row r="1743" spans="1:3" ht="24" customHeight="1">
      <c r="A1743" s="1205" t="s">
        <v>71001</v>
      </c>
      <c r="B1743" s="1205" t="s">
        <v>71000</v>
      </c>
      <c r="C1743" s="1205">
        <v>85.99</v>
      </c>
    </row>
    <row r="1744" spans="1:3" ht="24" customHeight="1">
      <c r="A1744" s="1205" t="s">
        <v>70999</v>
      </c>
      <c r="B1744" s="1205" t="s">
        <v>70998</v>
      </c>
      <c r="C1744" s="1205">
        <v>57.99</v>
      </c>
    </row>
    <row r="1745" spans="1:3" ht="24" customHeight="1">
      <c r="A1745" s="1205" t="s">
        <v>70997</v>
      </c>
      <c r="B1745" s="1205" t="s">
        <v>70996</v>
      </c>
      <c r="C1745" s="1205">
        <v>59.49</v>
      </c>
    </row>
    <row r="1746" spans="1:3" ht="24" customHeight="1">
      <c r="A1746" s="1205" t="s">
        <v>70995</v>
      </c>
      <c r="B1746" s="1205" t="s">
        <v>70994</v>
      </c>
      <c r="C1746" s="1205">
        <v>55.49</v>
      </c>
    </row>
    <row r="1747" spans="1:3" ht="24" customHeight="1">
      <c r="A1747" s="1205" t="s">
        <v>70993</v>
      </c>
      <c r="B1747" s="1205" t="s">
        <v>70992</v>
      </c>
      <c r="C1747" s="1205">
        <v>60.49</v>
      </c>
    </row>
    <row r="1748" spans="1:3" ht="24" customHeight="1">
      <c r="A1748" s="1205" t="s">
        <v>70991</v>
      </c>
      <c r="B1748" s="1205" t="s">
        <v>70948</v>
      </c>
      <c r="C1748" s="1205">
        <v>54.99</v>
      </c>
    </row>
    <row r="1749" spans="1:3" ht="24" customHeight="1">
      <c r="A1749" s="1205" t="s">
        <v>70990</v>
      </c>
      <c r="B1749" s="1205" t="s">
        <v>70989</v>
      </c>
      <c r="C1749" s="1205">
        <v>74.989999999999995</v>
      </c>
    </row>
    <row r="1750" spans="1:3" ht="24" customHeight="1">
      <c r="A1750" s="1205" t="s">
        <v>70988</v>
      </c>
      <c r="B1750" s="1205" t="s">
        <v>70987</v>
      </c>
      <c r="C1750" s="1205">
        <v>64.489999999999995</v>
      </c>
    </row>
    <row r="1751" spans="1:3" ht="24" customHeight="1">
      <c r="A1751" s="1205" t="s">
        <v>70986</v>
      </c>
      <c r="B1751" s="1205" t="s">
        <v>70985</v>
      </c>
      <c r="C1751" s="1205">
        <v>63.49</v>
      </c>
    </row>
    <row r="1752" spans="1:3" ht="24" customHeight="1">
      <c r="A1752" s="1205" t="s">
        <v>70984</v>
      </c>
      <c r="B1752" s="1205" t="s">
        <v>70983</v>
      </c>
      <c r="C1752" s="1205">
        <v>61.99</v>
      </c>
    </row>
    <row r="1753" spans="1:3" ht="24" customHeight="1">
      <c r="A1753" s="1205" t="s">
        <v>70982</v>
      </c>
      <c r="B1753" s="1205" t="s">
        <v>70981</v>
      </c>
      <c r="C1753" s="1205">
        <v>62.49</v>
      </c>
    </row>
    <row r="1754" spans="1:3" ht="24" customHeight="1">
      <c r="A1754" s="1205" t="s">
        <v>70980</v>
      </c>
      <c r="B1754" s="1205" t="s">
        <v>70979</v>
      </c>
      <c r="C1754" s="1205">
        <v>64.489999999999995</v>
      </c>
    </row>
    <row r="1755" spans="1:3" ht="24" customHeight="1">
      <c r="A1755" s="1205" t="s">
        <v>70978</v>
      </c>
      <c r="B1755" s="1205" t="s">
        <v>70977</v>
      </c>
      <c r="C1755" s="1205">
        <v>63.49</v>
      </c>
    </row>
    <row r="1756" spans="1:3" ht="24" customHeight="1">
      <c r="A1756" s="1205" t="s">
        <v>70976</v>
      </c>
      <c r="B1756" s="1205" t="s">
        <v>70975</v>
      </c>
      <c r="C1756" s="1205">
        <v>124.99</v>
      </c>
    </row>
    <row r="1757" spans="1:3" ht="24" customHeight="1">
      <c r="A1757" s="1205" t="s">
        <v>70974</v>
      </c>
      <c r="B1757" s="1205" t="s">
        <v>70973</v>
      </c>
      <c r="C1757" s="1205">
        <v>61.99</v>
      </c>
    </row>
    <row r="1758" spans="1:3" ht="24" customHeight="1">
      <c r="A1758" s="1205" t="s">
        <v>70972</v>
      </c>
      <c r="B1758" s="1205" t="s">
        <v>70971</v>
      </c>
      <c r="C1758" s="1205">
        <v>69.489999999999995</v>
      </c>
    </row>
    <row r="1759" spans="1:3" ht="24" customHeight="1">
      <c r="A1759" s="1205" t="s">
        <v>70970</v>
      </c>
      <c r="B1759" s="1205" t="s">
        <v>70969</v>
      </c>
      <c r="C1759" s="1205">
        <v>70.989999999999995</v>
      </c>
    </row>
    <row r="1760" spans="1:3" ht="24" customHeight="1">
      <c r="A1760" s="1205" t="s">
        <v>70968</v>
      </c>
      <c r="B1760" s="1205" t="s">
        <v>70967</v>
      </c>
      <c r="C1760" s="1205">
        <v>98.49</v>
      </c>
    </row>
    <row r="1761" spans="1:3" ht="24" customHeight="1">
      <c r="A1761" s="1205" t="s">
        <v>70966</v>
      </c>
      <c r="B1761" s="1205" t="s">
        <v>70965</v>
      </c>
      <c r="C1761" s="1205">
        <v>70.989999999999995</v>
      </c>
    </row>
    <row r="1762" spans="1:3" ht="24" customHeight="1">
      <c r="A1762" s="1205" t="s">
        <v>70964</v>
      </c>
      <c r="B1762" s="1205" t="s">
        <v>70963</v>
      </c>
      <c r="C1762" s="1205">
        <v>66.989999999999995</v>
      </c>
    </row>
    <row r="1763" spans="1:3" ht="24" customHeight="1">
      <c r="A1763" s="1205" t="s">
        <v>70962</v>
      </c>
      <c r="B1763" s="1205" t="s">
        <v>70961</v>
      </c>
      <c r="C1763" s="1205">
        <v>84.49</v>
      </c>
    </row>
    <row r="1764" spans="1:3" ht="24" customHeight="1">
      <c r="A1764" s="1205" t="s">
        <v>70960</v>
      </c>
      <c r="B1764" s="1205" t="s">
        <v>70958</v>
      </c>
      <c r="C1764" s="1205">
        <v>68.489999999999995</v>
      </c>
    </row>
    <row r="1765" spans="1:3" ht="24" customHeight="1">
      <c r="A1765" s="1205" t="s">
        <v>70959</v>
      </c>
      <c r="B1765" s="1205" t="s">
        <v>70958</v>
      </c>
      <c r="C1765" s="1205">
        <v>64.489999999999995</v>
      </c>
    </row>
    <row r="1766" spans="1:3" ht="24" customHeight="1">
      <c r="A1766" s="1205" t="s">
        <v>70957</v>
      </c>
      <c r="B1766" s="1205" t="s">
        <v>70956</v>
      </c>
      <c r="C1766" s="1205">
        <v>65.989999999999995</v>
      </c>
    </row>
    <row r="1767" spans="1:3" ht="24" customHeight="1">
      <c r="A1767" s="1205" t="s">
        <v>70955</v>
      </c>
      <c r="B1767" s="1205" t="s">
        <v>70954</v>
      </c>
      <c r="C1767" s="1205">
        <v>54.49</v>
      </c>
    </row>
    <row r="1768" spans="1:3" ht="24" customHeight="1">
      <c r="A1768" s="1205" t="s">
        <v>70953</v>
      </c>
      <c r="B1768" s="1205" t="s">
        <v>70952</v>
      </c>
      <c r="C1768" s="1205">
        <v>108.99</v>
      </c>
    </row>
    <row r="1769" spans="1:3" ht="24" customHeight="1">
      <c r="A1769" s="1205" t="s">
        <v>70951</v>
      </c>
      <c r="B1769" s="1205" t="s">
        <v>70950</v>
      </c>
      <c r="C1769" s="1205">
        <v>79.989999999999995</v>
      </c>
    </row>
    <row r="1770" spans="1:3" ht="24" customHeight="1">
      <c r="A1770" s="1205" t="s">
        <v>70949</v>
      </c>
      <c r="B1770" s="1205" t="s">
        <v>70948</v>
      </c>
      <c r="C1770" s="1205">
        <v>53.99</v>
      </c>
    </row>
    <row r="1771" spans="1:3" ht="24" customHeight="1">
      <c r="A1771" s="1205" t="s">
        <v>70947</v>
      </c>
      <c r="B1771" s="1205" t="s">
        <v>70946</v>
      </c>
      <c r="C1771" s="1205">
        <v>94.49</v>
      </c>
    </row>
    <row r="1772" spans="1:3" ht="24" customHeight="1">
      <c r="A1772" s="1205" t="s">
        <v>70945</v>
      </c>
      <c r="B1772" s="1205" t="s">
        <v>70944</v>
      </c>
      <c r="C1772" s="1205">
        <v>81.489999999999995</v>
      </c>
    </row>
    <row r="1773" spans="1:3" ht="24" customHeight="1">
      <c r="A1773" s="1205" t="s">
        <v>70943</v>
      </c>
      <c r="B1773" s="1205" t="s">
        <v>70942</v>
      </c>
      <c r="C1773" s="1205">
        <v>94.49</v>
      </c>
    </row>
    <row r="1774" spans="1:3" ht="24" customHeight="1">
      <c r="A1774" s="1205" t="s">
        <v>70941</v>
      </c>
      <c r="B1774" s="1205" t="s">
        <v>70940</v>
      </c>
      <c r="C1774" s="1205">
        <v>151.99</v>
      </c>
    </row>
    <row r="1775" spans="1:3" ht="24" customHeight="1">
      <c r="A1775" s="1205" t="s">
        <v>70939</v>
      </c>
      <c r="B1775" s="1205" t="s">
        <v>70938</v>
      </c>
      <c r="C1775" s="1205">
        <v>52.99</v>
      </c>
    </row>
    <row r="1776" spans="1:3" ht="24" customHeight="1">
      <c r="A1776" s="1205" t="s">
        <v>70937</v>
      </c>
      <c r="B1776" s="1205" t="s">
        <v>70936</v>
      </c>
      <c r="C1776" s="1205">
        <v>51.49</v>
      </c>
    </row>
    <row r="1777" spans="1:3" ht="24" customHeight="1">
      <c r="A1777" s="1205" t="s">
        <v>70935</v>
      </c>
      <c r="B1777" s="1205" t="s">
        <v>70934</v>
      </c>
      <c r="C1777" s="1205">
        <v>49.49</v>
      </c>
    </row>
    <row r="1778" spans="1:3" ht="24" customHeight="1">
      <c r="A1778" s="1205" t="s">
        <v>70933</v>
      </c>
      <c r="B1778" s="1205" t="s">
        <v>70932</v>
      </c>
      <c r="C1778" s="1205">
        <v>50.49</v>
      </c>
    </row>
    <row r="1779" spans="1:3" ht="24" customHeight="1">
      <c r="A1779" s="1205" t="s">
        <v>70931</v>
      </c>
      <c r="B1779" s="1205" t="s">
        <v>70930</v>
      </c>
      <c r="C1779" s="1205">
        <v>49.49</v>
      </c>
    </row>
    <row r="1780" spans="1:3" ht="24" customHeight="1">
      <c r="A1780" s="1205" t="s">
        <v>70929</v>
      </c>
      <c r="B1780" s="1205" t="s">
        <v>70928</v>
      </c>
      <c r="C1780" s="1205">
        <v>47.99</v>
      </c>
    </row>
    <row r="1781" spans="1:3" ht="24" customHeight="1">
      <c r="A1781" s="1205" t="s">
        <v>70927</v>
      </c>
      <c r="B1781" s="1205" t="s">
        <v>70926</v>
      </c>
      <c r="C1781" s="1205">
        <v>48.99</v>
      </c>
    </row>
    <row r="1782" spans="1:3" ht="24" customHeight="1">
      <c r="A1782" s="1205" t="s">
        <v>70925</v>
      </c>
      <c r="B1782" s="1205" t="s">
        <v>70924</v>
      </c>
      <c r="C1782" s="1205">
        <v>50.49</v>
      </c>
    </row>
    <row r="1783" spans="1:3" ht="24" customHeight="1">
      <c r="A1783" s="1205" t="s">
        <v>70923</v>
      </c>
      <c r="B1783" s="1205" t="s">
        <v>70922</v>
      </c>
      <c r="C1783" s="1205">
        <v>49.49</v>
      </c>
    </row>
    <row r="1784" spans="1:3" ht="24" customHeight="1">
      <c r="A1784" s="1205" t="s">
        <v>70921</v>
      </c>
      <c r="B1784" s="1205" t="s">
        <v>70920</v>
      </c>
      <c r="C1784" s="1205">
        <v>47.99</v>
      </c>
    </row>
    <row r="1785" spans="1:3" ht="24" customHeight="1">
      <c r="A1785" s="1205" t="s">
        <v>70919</v>
      </c>
      <c r="B1785" s="1205" t="s">
        <v>70918</v>
      </c>
      <c r="C1785" s="1205">
        <v>39.99</v>
      </c>
    </row>
    <row r="1786" spans="1:3" ht="24" customHeight="1">
      <c r="A1786" s="1205" t="s">
        <v>70917</v>
      </c>
      <c r="B1786" s="1205" t="s">
        <v>70916</v>
      </c>
      <c r="C1786" s="1205">
        <v>42.49</v>
      </c>
    </row>
    <row r="1787" spans="1:3" ht="24" customHeight="1">
      <c r="A1787" s="1205" t="s">
        <v>70915</v>
      </c>
      <c r="B1787" s="1205" t="s">
        <v>70914</v>
      </c>
      <c r="C1787" s="1205">
        <v>55.99</v>
      </c>
    </row>
    <row r="1788" spans="1:3" ht="24" customHeight="1">
      <c r="A1788" s="1205" t="s">
        <v>70913</v>
      </c>
      <c r="B1788" s="1205" t="s">
        <v>70912</v>
      </c>
      <c r="C1788" s="1205">
        <v>40.99</v>
      </c>
    </row>
    <row r="1789" spans="1:3" ht="24" customHeight="1">
      <c r="A1789" s="1205" t="s">
        <v>70911</v>
      </c>
      <c r="B1789" s="1205" t="s">
        <v>70910</v>
      </c>
      <c r="C1789" s="1205">
        <v>53.99</v>
      </c>
    </row>
    <row r="1790" spans="1:3" ht="24" customHeight="1">
      <c r="A1790" s="1205" t="s">
        <v>70909</v>
      </c>
      <c r="B1790" s="1205" t="s">
        <v>70908</v>
      </c>
      <c r="C1790" s="1205">
        <v>51.99</v>
      </c>
    </row>
    <row r="1791" spans="1:3" ht="24" customHeight="1">
      <c r="A1791" s="1205" t="s">
        <v>70907</v>
      </c>
      <c r="B1791" s="1205" t="s">
        <v>70906</v>
      </c>
      <c r="C1791" s="1205">
        <v>50.99</v>
      </c>
    </row>
    <row r="1792" spans="1:3" ht="24" customHeight="1">
      <c r="A1792" s="1205" t="s">
        <v>70905</v>
      </c>
      <c r="B1792" s="1205" t="s">
        <v>70904</v>
      </c>
      <c r="C1792" s="1205">
        <v>49.49</v>
      </c>
    </row>
    <row r="1793" spans="1:3" ht="24" customHeight="1">
      <c r="A1793" s="1205" t="s">
        <v>70903</v>
      </c>
      <c r="B1793" s="1205" t="s">
        <v>70902</v>
      </c>
      <c r="C1793" s="1205">
        <v>50.49</v>
      </c>
    </row>
    <row r="1794" spans="1:3" ht="24" customHeight="1">
      <c r="A1794" s="1205" t="s">
        <v>70901</v>
      </c>
      <c r="B1794" s="1205" t="s">
        <v>70900</v>
      </c>
      <c r="C1794" s="1205">
        <v>51.99</v>
      </c>
    </row>
    <row r="1795" spans="1:3" ht="24" customHeight="1">
      <c r="A1795" s="1205" t="s">
        <v>70899</v>
      </c>
      <c r="B1795" s="1205" t="s">
        <v>70898</v>
      </c>
      <c r="C1795" s="1205">
        <v>50.99</v>
      </c>
    </row>
    <row r="1796" spans="1:3" ht="24" customHeight="1">
      <c r="A1796" s="1205" t="s">
        <v>70897</v>
      </c>
      <c r="B1796" s="1205" t="s">
        <v>70896</v>
      </c>
      <c r="C1796" s="1205">
        <v>49.49</v>
      </c>
    </row>
    <row r="1797" spans="1:3" ht="24" customHeight="1">
      <c r="A1797" s="1205" t="s">
        <v>70895</v>
      </c>
      <c r="B1797" s="1205" t="s">
        <v>70894</v>
      </c>
      <c r="C1797" s="1205">
        <v>52.49</v>
      </c>
    </row>
    <row r="1798" spans="1:3" ht="24" customHeight="1">
      <c r="A1798" s="1205" t="s">
        <v>70893</v>
      </c>
      <c r="B1798" s="1205" t="s">
        <v>70892</v>
      </c>
      <c r="C1798" s="1205">
        <v>106.49</v>
      </c>
    </row>
    <row r="1799" spans="1:3" ht="24" customHeight="1">
      <c r="A1799" s="1205" t="s">
        <v>70891</v>
      </c>
      <c r="B1799" s="1205" t="s">
        <v>70890</v>
      </c>
      <c r="C1799" s="1205">
        <v>40.99</v>
      </c>
    </row>
    <row r="1800" spans="1:3" ht="24" customHeight="1">
      <c r="A1800" s="1205" t="s">
        <v>70889</v>
      </c>
      <c r="B1800" s="1205" t="s">
        <v>70888</v>
      </c>
      <c r="C1800" s="1205">
        <v>58.49</v>
      </c>
    </row>
    <row r="1801" spans="1:3" ht="24" customHeight="1">
      <c r="A1801" s="1205" t="s">
        <v>70887</v>
      </c>
      <c r="B1801" s="1205" t="s">
        <v>70886</v>
      </c>
      <c r="C1801" s="1205">
        <v>65.489999999999995</v>
      </c>
    </row>
    <row r="1802" spans="1:3" ht="24" customHeight="1">
      <c r="A1802" s="1205" t="s">
        <v>70885</v>
      </c>
      <c r="B1802" s="1205" t="s">
        <v>70884</v>
      </c>
      <c r="C1802" s="1205">
        <v>64.489999999999995</v>
      </c>
    </row>
    <row r="1803" spans="1:3" ht="24" customHeight="1">
      <c r="A1803" s="1205" t="s">
        <v>70883</v>
      </c>
      <c r="B1803" s="1205" t="s">
        <v>70882</v>
      </c>
      <c r="C1803" s="1205">
        <v>62.99</v>
      </c>
    </row>
    <row r="1804" spans="1:3" ht="24" customHeight="1">
      <c r="A1804" s="1205" t="s">
        <v>70881</v>
      </c>
      <c r="B1804" s="1205" t="s">
        <v>70880</v>
      </c>
      <c r="C1804" s="1205">
        <v>63.49</v>
      </c>
    </row>
    <row r="1805" spans="1:3" ht="24" customHeight="1">
      <c r="A1805" s="1205" t="s">
        <v>70879</v>
      </c>
      <c r="B1805" s="1205" t="s">
        <v>70878</v>
      </c>
      <c r="C1805" s="1205">
        <v>65.489999999999995</v>
      </c>
    </row>
    <row r="1806" spans="1:3" ht="24" customHeight="1">
      <c r="A1806" s="1205" t="s">
        <v>70877</v>
      </c>
      <c r="B1806" s="1205" t="s">
        <v>70876</v>
      </c>
      <c r="C1806" s="1205">
        <v>64.489999999999995</v>
      </c>
    </row>
    <row r="1807" spans="1:3" ht="24" customHeight="1">
      <c r="A1807" s="1205" t="s">
        <v>70875</v>
      </c>
      <c r="B1807" s="1205" t="s">
        <v>70874</v>
      </c>
      <c r="C1807" s="1205">
        <v>62.99</v>
      </c>
    </row>
    <row r="1808" spans="1:3" ht="24" customHeight="1">
      <c r="A1808" s="1205" t="s">
        <v>70873</v>
      </c>
      <c r="B1808" s="1205" t="s">
        <v>70872</v>
      </c>
      <c r="C1808" s="1205">
        <v>54.99</v>
      </c>
    </row>
    <row r="1809" spans="1:3" ht="24" customHeight="1">
      <c r="A1809" s="1205" t="s">
        <v>70871</v>
      </c>
      <c r="B1809" s="1205" t="s">
        <v>70870</v>
      </c>
      <c r="C1809" s="1205">
        <v>61.49</v>
      </c>
    </row>
    <row r="1810" spans="1:3" ht="24" customHeight="1">
      <c r="A1810" s="1205" t="s">
        <v>70869</v>
      </c>
      <c r="B1810" s="1205" t="s">
        <v>70868</v>
      </c>
      <c r="C1810" s="1205">
        <v>58.99</v>
      </c>
    </row>
    <row r="1811" spans="1:3" ht="24" customHeight="1">
      <c r="A1811" s="1205" t="s">
        <v>70867</v>
      </c>
      <c r="B1811" s="1205" t="s">
        <v>70866</v>
      </c>
      <c r="C1811" s="1205">
        <v>59.99</v>
      </c>
    </row>
    <row r="1812" spans="1:3" ht="24" customHeight="1">
      <c r="A1812" s="1205" t="s">
        <v>70865</v>
      </c>
      <c r="B1812" s="1205" t="s">
        <v>70864</v>
      </c>
      <c r="C1812" s="1205">
        <v>61.99</v>
      </c>
    </row>
    <row r="1813" spans="1:3" ht="24" customHeight="1">
      <c r="A1813" s="1205" t="s">
        <v>70863</v>
      </c>
      <c r="B1813" s="1205" t="s">
        <v>70862</v>
      </c>
      <c r="C1813" s="1205">
        <v>60.49</v>
      </c>
    </row>
    <row r="1814" spans="1:3" ht="24" customHeight="1">
      <c r="A1814" s="1205" t="s">
        <v>70861</v>
      </c>
      <c r="B1814" s="1205" t="s">
        <v>70860</v>
      </c>
      <c r="C1814" s="1205">
        <v>58.99</v>
      </c>
    </row>
    <row r="1815" spans="1:3" ht="24" customHeight="1">
      <c r="A1815" s="1205" t="s">
        <v>70859</v>
      </c>
      <c r="B1815" s="1205" t="s">
        <v>70858</v>
      </c>
      <c r="C1815" s="1205">
        <v>50.99</v>
      </c>
    </row>
    <row r="1816" spans="1:3" ht="24" customHeight="1">
      <c r="A1816" s="1205" t="s">
        <v>70857</v>
      </c>
      <c r="B1816" s="1205" t="s">
        <v>70856</v>
      </c>
      <c r="C1816" s="1205">
        <v>63.49</v>
      </c>
    </row>
    <row r="1817" spans="1:3" ht="24" customHeight="1">
      <c r="A1817" s="1205" t="s">
        <v>70855</v>
      </c>
      <c r="B1817" s="1205" t="s">
        <v>70854</v>
      </c>
      <c r="C1817" s="1205">
        <v>62.49</v>
      </c>
    </row>
    <row r="1818" spans="1:3" ht="24" customHeight="1">
      <c r="A1818" s="1205" t="s">
        <v>70853</v>
      </c>
      <c r="B1818" s="1205" t="s">
        <v>70852</v>
      </c>
      <c r="C1818" s="1205">
        <v>60.99</v>
      </c>
    </row>
    <row r="1819" spans="1:3" ht="24" customHeight="1">
      <c r="A1819" s="1205" t="s">
        <v>70851</v>
      </c>
      <c r="B1819" s="1205" t="s">
        <v>70850</v>
      </c>
      <c r="C1819" s="1205">
        <v>61.99</v>
      </c>
    </row>
    <row r="1820" spans="1:3" ht="24" customHeight="1">
      <c r="A1820" s="1205" t="s">
        <v>70849</v>
      </c>
      <c r="B1820" s="1205" t="s">
        <v>70848</v>
      </c>
      <c r="C1820" s="1205">
        <v>63.99</v>
      </c>
    </row>
    <row r="1821" spans="1:3" ht="24" customHeight="1">
      <c r="A1821" s="1205" t="s">
        <v>70847</v>
      </c>
      <c r="B1821" s="1205" t="s">
        <v>70846</v>
      </c>
      <c r="C1821" s="1205">
        <v>62.49</v>
      </c>
    </row>
    <row r="1822" spans="1:3" ht="24" customHeight="1">
      <c r="A1822" s="1205" t="s">
        <v>70845</v>
      </c>
      <c r="B1822" s="1205" t="s">
        <v>70844</v>
      </c>
      <c r="C1822" s="1205">
        <v>60.99</v>
      </c>
    </row>
    <row r="1823" spans="1:3" ht="24" customHeight="1">
      <c r="A1823" s="1205" t="s">
        <v>70843</v>
      </c>
      <c r="B1823" s="1205" t="s">
        <v>70842</v>
      </c>
      <c r="C1823" s="1205">
        <v>117.99</v>
      </c>
    </row>
    <row r="1824" spans="1:3" ht="24" customHeight="1">
      <c r="A1824" s="1205" t="s">
        <v>70841</v>
      </c>
      <c r="B1824" s="1205" t="s">
        <v>70840</v>
      </c>
      <c r="C1824" s="1205">
        <v>52.99</v>
      </c>
    </row>
    <row r="1825" spans="1:3" ht="24" customHeight="1">
      <c r="A1825" s="1205" t="s">
        <v>70839</v>
      </c>
      <c r="B1825" s="1205" t="s">
        <v>70837</v>
      </c>
      <c r="C1825" s="1205">
        <v>45.49</v>
      </c>
    </row>
    <row r="1826" spans="1:3" ht="24" customHeight="1">
      <c r="A1826" s="1205" t="s">
        <v>70838</v>
      </c>
      <c r="B1826" s="1205" t="s">
        <v>70837</v>
      </c>
      <c r="C1826" s="1205">
        <v>42.99</v>
      </c>
    </row>
    <row r="1827" spans="1:3" ht="24" customHeight="1">
      <c r="A1827" s="1205" t="s">
        <v>70836</v>
      </c>
      <c r="B1827" s="1205" t="s">
        <v>70835</v>
      </c>
      <c r="C1827" s="1205">
        <v>34.49</v>
      </c>
    </row>
    <row r="1828" spans="1:3" ht="24" customHeight="1">
      <c r="A1828" s="1205" t="s">
        <v>70834</v>
      </c>
      <c r="B1828" s="1205" t="s">
        <v>70833</v>
      </c>
      <c r="C1828" s="1205">
        <v>38.99</v>
      </c>
    </row>
    <row r="1829" spans="1:3" ht="24" customHeight="1">
      <c r="A1829" s="1205" t="s">
        <v>70832</v>
      </c>
      <c r="B1829" s="1205" t="s">
        <v>70830</v>
      </c>
      <c r="C1829" s="1205">
        <v>38.49</v>
      </c>
    </row>
    <row r="1830" spans="1:3" ht="24" customHeight="1">
      <c r="A1830" s="1205" t="s">
        <v>70831</v>
      </c>
      <c r="B1830" s="1205" t="s">
        <v>70830</v>
      </c>
      <c r="C1830" s="1205">
        <v>36.49</v>
      </c>
    </row>
    <row r="1831" spans="1:3" ht="24" customHeight="1">
      <c r="A1831" s="1205" t="s">
        <v>70829</v>
      </c>
      <c r="B1831" s="1205" t="s">
        <v>70828</v>
      </c>
      <c r="C1831" s="1205">
        <v>102.49</v>
      </c>
    </row>
    <row r="1832" spans="1:3" ht="24" customHeight="1">
      <c r="A1832" s="1205" t="s">
        <v>70827</v>
      </c>
      <c r="B1832" s="1205" t="s">
        <v>70826</v>
      </c>
      <c r="C1832" s="1205">
        <v>62.99</v>
      </c>
    </row>
    <row r="1833" spans="1:3" ht="24" customHeight="1">
      <c r="A1833" s="1205" t="s">
        <v>70825</v>
      </c>
      <c r="B1833" s="1205" t="s">
        <v>70824</v>
      </c>
      <c r="C1833" s="1205">
        <v>73.489999999999995</v>
      </c>
    </row>
    <row r="1834" spans="1:3" ht="24" customHeight="1">
      <c r="A1834" s="1205" t="s">
        <v>70823</v>
      </c>
      <c r="B1834" s="1205" t="s">
        <v>70822</v>
      </c>
      <c r="C1834" s="1205">
        <v>70.489999999999995</v>
      </c>
    </row>
    <row r="1835" spans="1:3" ht="24" customHeight="1">
      <c r="A1835" s="1205" t="s">
        <v>70821</v>
      </c>
      <c r="B1835" s="1205" t="s">
        <v>70820</v>
      </c>
      <c r="C1835" s="1205">
        <v>65.989999999999995</v>
      </c>
    </row>
    <row r="1836" spans="1:3" ht="24" customHeight="1">
      <c r="A1836" s="1205" t="s">
        <v>70819</v>
      </c>
      <c r="B1836" s="1205" t="s">
        <v>70817</v>
      </c>
      <c r="C1836" s="1205">
        <v>36.99</v>
      </c>
    </row>
    <row r="1837" spans="1:3" ht="24" customHeight="1">
      <c r="A1837" s="1205" t="s">
        <v>70818</v>
      </c>
      <c r="B1837" s="1205" t="s">
        <v>70817</v>
      </c>
      <c r="C1837" s="1205">
        <v>34.99</v>
      </c>
    </row>
    <row r="1838" spans="1:3" ht="24" customHeight="1">
      <c r="A1838" s="1205" t="s">
        <v>70816</v>
      </c>
      <c r="B1838" s="1205" t="s">
        <v>70815</v>
      </c>
      <c r="C1838" s="1205">
        <v>396.49</v>
      </c>
    </row>
    <row r="1839" spans="1:3" ht="24" customHeight="1">
      <c r="A1839" s="1205" t="s">
        <v>70814</v>
      </c>
      <c r="B1839" s="1205" t="s">
        <v>70813</v>
      </c>
      <c r="C1839" s="1205">
        <v>77.989999999999995</v>
      </c>
    </row>
    <row r="1840" spans="1:3" ht="24" customHeight="1">
      <c r="A1840" s="1205" t="s">
        <v>70812</v>
      </c>
      <c r="B1840" s="1205" t="s">
        <v>70799</v>
      </c>
      <c r="C1840" s="1205">
        <v>163.99</v>
      </c>
    </row>
    <row r="1841" spans="1:3" ht="24" customHeight="1">
      <c r="A1841" s="1205" t="s">
        <v>70811</v>
      </c>
      <c r="B1841" s="1205" t="s">
        <v>70810</v>
      </c>
      <c r="C1841" s="1205">
        <v>44.49</v>
      </c>
    </row>
    <row r="1842" spans="1:3" ht="24" customHeight="1">
      <c r="A1842" s="1205" t="s">
        <v>70809</v>
      </c>
      <c r="B1842" s="1205" t="s">
        <v>70801</v>
      </c>
      <c r="C1842" s="1205">
        <v>85.49</v>
      </c>
    </row>
    <row r="1843" spans="1:3" ht="24" customHeight="1">
      <c r="A1843" s="1205" t="s">
        <v>70808</v>
      </c>
      <c r="B1843" s="1205" t="s">
        <v>70807</v>
      </c>
      <c r="C1843" s="1205">
        <v>31.49</v>
      </c>
    </row>
    <row r="1844" spans="1:3" ht="24" customHeight="1">
      <c r="A1844" s="1205" t="s">
        <v>70806</v>
      </c>
      <c r="B1844" s="1205" t="s">
        <v>70805</v>
      </c>
      <c r="C1844" s="1205">
        <v>67.489999999999995</v>
      </c>
    </row>
    <row r="1845" spans="1:3" ht="24" customHeight="1">
      <c r="A1845" s="1205" t="s">
        <v>70804</v>
      </c>
      <c r="B1845" s="1205" t="s">
        <v>70803</v>
      </c>
      <c r="C1845" s="1205">
        <v>9.99</v>
      </c>
    </row>
    <row r="1846" spans="1:3" ht="24" customHeight="1">
      <c r="A1846" s="1205" t="s">
        <v>70802</v>
      </c>
      <c r="B1846" s="1205" t="s">
        <v>70801</v>
      </c>
      <c r="C1846" s="1205">
        <v>36.49</v>
      </c>
    </row>
    <row r="1847" spans="1:3" ht="24" customHeight="1">
      <c r="A1847" s="1205" t="s">
        <v>70800</v>
      </c>
      <c r="B1847" s="1205" t="s">
        <v>70799</v>
      </c>
      <c r="C1847" s="1205">
        <v>186.49</v>
      </c>
    </row>
    <row r="1848" spans="1:3" ht="24" customHeight="1">
      <c r="A1848" s="1205" t="s">
        <v>70798</v>
      </c>
      <c r="B1848" s="1205" t="s">
        <v>70797</v>
      </c>
      <c r="C1848" s="1205">
        <v>190.49</v>
      </c>
    </row>
    <row r="1849" spans="1:3" ht="24" customHeight="1">
      <c r="A1849" s="1205" t="s">
        <v>70796</v>
      </c>
      <c r="B1849" s="1205" t="s">
        <v>70795</v>
      </c>
      <c r="C1849" s="1205">
        <v>188.49</v>
      </c>
    </row>
    <row r="1850" spans="1:3" ht="24" customHeight="1">
      <c r="A1850" s="1205" t="s">
        <v>70794</v>
      </c>
      <c r="B1850" s="1205" t="s">
        <v>70793</v>
      </c>
      <c r="C1850" s="1205">
        <v>105.99</v>
      </c>
    </row>
    <row r="1851" spans="1:3" ht="24" customHeight="1">
      <c r="A1851" s="1205" t="s">
        <v>70792</v>
      </c>
      <c r="B1851" s="1205" t="s">
        <v>70791</v>
      </c>
      <c r="C1851" s="1205">
        <v>107.49</v>
      </c>
    </row>
    <row r="1852" spans="1:3" ht="24" customHeight="1">
      <c r="A1852" s="1205" t="s">
        <v>70790</v>
      </c>
      <c r="B1852" s="1205" t="s">
        <v>70789</v>
      </c>
      <c r="C1852" s="1205">
        <v>112.49</v>
      </c>
    </row>
    <row r="1853" spans="1:3" ht="24" customHeight="1">
      <c r="A1853" s="1205" t="s">
        <v>70788</v>
      </c>
      <c r="B1853" s="1205" t="s">
        <v>70787</v>
      </c>
      <c r="C1853" s="1205">
        <v>56.99</v>
      </c>
    </row>
    <row r="1854" spans="1:3" ht="24" customHeight="1">
      <c r="A1854" s="1205" t="s">
        <v>70786</v>
      </c>
      <c r="B1854" s="1205" t="s">
        <v>70785</v>
      </c>
      <c r="C1854" s="1205">
        <v>53.99</v>
      </c>
    </row>
    <row r="1855" spans="1:3" ht="24" customHeight="1">
      <c r="A1855" s="1205" t="s">
        <v>70784</v>
      </c>
      <c r="B1855" s="1205" t="s">
        <v>70783</v>
      </c>
      <c r="C1855" s="1205">
        <v>111.49</v>
      </c>
    </row>
    <row r="1856" spans="1:3" ht="24" customHeight="1">
      <c r="A1856" s="1205" t="s">
        <v>70782</v>
      </c>
      <c r="B1856" s="1205" t="s">
        <v>63477</v>
      </c>
      <c r="C1856" s="1205">
        <v>21.99</v>
      </c>
    </row>
    <row r="1857" spans="1:3" ht="24" customHeight="1">
      <c r="A1857" s="1205" t="s">
        <v>70781</v>
      </c>
      <c r="B1857" s="1205" t="s">
        <v>70780</v>
      </c>
      <c r="C1857" s="1205">
        <v>53.99</v>
      </c>
    </row>
    <row r="1858" spans="1:3" ht="24" customHeight="1">
      <c r="A1858" s="1205" t="s">
        <v>70779</v>
      </c>
      <c r="B1858" s="1205" t="s">
        <v>70778</v>
      </c>
      <c r="C1858" s="1205">
        <v>63.49</v>
      </c>
    </row>
    <row r="1859" spans="1:3" ht="24" customHeight="1">
      <c r="A1859" s="1205" t="s">
        <v>70777</v>
      </c>
      <c r="B1859" s="1205" t="s">
        <v>70776</v>
      </c>
      <c r="C1859" s="1205">
        <v>20.49</v>
      </c>
    </row>
    <row r="1860" spans="1:3" ht="24" customHeight="1">
      <c r="A1860" s="1205" t="s">
        <v>70775</v>
      </c>
      <c r="B1860" s="1205" t="s">
        <v>70773</v>
      </c>
      <c r="C1860" s="1205">
        <v>52.99</v>
      </c>
    </row>
    <row r="1861" spans="1:3" ht="24" customHeight="1">
      <c r="A1861" s="1205" t="s">
        <v>70774</v>
      </c>
      <c r="B1861" s="1205" t="s">
        <v>70773</v>
      </c>
      <c r="C1861" s="1205">
        <v>49.99</v>
      </c>
    </row>
    <row r="1862" spans="1:3" ht="24" customHeight="1">
      <c r="A1862" s="1205" t="s">
        <v>70772</v>
      </c>
      <c r="B1862" s="1205" t="s">
        <v>70771</v>
      </c>
      <c r="C1862" s="1205">
        <v>23.99</v>
      </c>
    </row>
    <row r="1863" spans="1:3" ht="24" customHeight="1">
      <c r="A1863" s="1205" t="s">
        <v>70770</v>
      </c>
      <c r="B1863" s="1205" t="s">
        <v>70769</v>
      </c>
      <c r="C1863" s="1205">
        <v>30.49</v>
      </c>
    </row>
    <row r="1864" spans="1:3" ht="24" customHeight="1">
      <c r="A1864" s="1205" t="s">
        <v>70768</v>
      </c>
      <c r="B1864" s="1205" t="s">
        <v>70767</v>
      </c>
      <c r="C1864" s="1205">
        <v>31.99</v>
      </c>
    </row>
    <row r="1865" spans="1:3" ht="24" customHeight="1">
      <c r="A1865" s="1205" t="s">
        <v>70766</v>
      </c>
      <c r="B1865" s="1205" t="s">
        <v>70764</v>
      </c>
      <c r="C1865" s="1205">
        <v>66.989999999999995</v>
      </c>
    </row>
    <row r="1866" spans="1:3" ht="24" customHeight="1">
      <c r="A1866" s="1205" t="s">
        <v>70765</v>
      </c>
      <c r="B1866" s="1205" t="s">
        <v>70764</v>
      </c>
      <c r="C1866" s="1205">
        <v>63.99</v>
      </c>
    </row>
    <row r="1867" spans="1:3" ht="24" customHeight="1">
      <c r="A1867" s="1205" t="s">
        <v>70763</v>
      </c>
      <c r="B1867" s="1205" t="s">
        <v>70762</v>
      </c>
      <c r="C1867" s="1205">
        <v>35.49</v>
      </c>
    </row>
    <row r="1868" spans="1:3" ht="24" customHeight="1">
      <c r="A1868" s="1205" t="s">
        <v>70761</v>
      </c>
      <c r="B1868" s="1205" t="s">
        <v>70760</v>
      </c>
      <c r="C1868" s="1205">
        <v>56.99</v>
      </c>
    </row>
    <row r="1869" spans="1:3" ht="24" customHeight="1">
      <c r="A1869" s="1205" t="s">
        <v>70759</v>
      </c>
      <c r="B1869" s="1205" t="s">
        <v>70757</v>
      </c>
      <c r="C1869" s="1205">
        <v>18.989999999999998</v>
      </c>
    </row>
    <row r="1870" spans="1:3" ht="24" customHeight="1">
      <c r="A1870" s="1205" t="s">
        <v>70758</v>
      </c>
      <c r="B1870" s="1205" t="s">
        <v>70757</v>
      </c>
      <c r="C1870" s="1205">
        <v>19.489999999999998</v>
      </c>
    </row>
    <row r="1871" spans="1:3" ht="24" customHeight="1">
      <c r="A1871" s="1205" t="s">
        <v>70756</v>
      </c>
      <c r="B1871" s="1205" t="s">
        <v>70755</v>
      </c>
      <c r="C1871" s="1205">
        <v>26.99</v>
      </c>
    </row>
    <row r="1872" spans="1:3" ht="24" customHeight="1">
      <c r="A1872" s="1205" t="s">
        <v>70754</v>
      </c>
      <c r="B1872" s="1205" t="s">
        <v>63470</v>
      </c>
      <c r="C1872" s="1205">
        <v>19.989999999999998</v>
      </c>
    </row>
    <row r="1873" spans="1:3" ht="24" customHeight="1">
      <c r="A1873" s="1205" t="s">
        <v>70753</v>
      </c>
      <c r="B1873" s="1205" t="s">
        <v>70752</v>
      </c>
      <c r="C1873" s="1205">
        <v>17.989999999999998</v>
      </c>
    </row>
    <row r="1874" spans="1:3" ht="24" customHeight="1">
      <c r="A1874" s="1205" t="s">
        <v>70751</v>
      </c>
      <c r="B1874" s="1205" t="s">
        <v>70750</v>
      </c>
      <c r="C1874" s="1205">
        <v>28.99</v>
      </c>
    </row>
    <row r="1875" spans="1:3" ht="24" customHeight="1">
      <c r="A1875" s="1205" t="s">
        <v>70749</v>
      </c>
      <c r="B1875" s="1205" t="s">
        <v>70748</v>
      </c>
      <c r="C1875" s="1205">
        <v>30.99</v>
      </c>
    </row>
    <row r="1876" spans="1:3" ht="24" customHeight="1">
      <c r="A1876" s="1205" t="s">
        <v>70747</v>
      </c>
      <c r="B1876" s="1205" t="s">
        <v>70746</v>
      </c>
      <c r="C1876" s="1205">
        <v>16.489999999999998</v>
      </c>
    </row>
    <row r="1877" spans="1:3" ht="24" customHeight="1">
      <c r="A1877" s="1205" t="s">
        <v>70745</v>
      </c>
      <c r="B1877" s="1205" t="s">
        <v>63466</v>
      </c>
      <c r="C1877" s="1205">
        <v>13.99</v>
      </c>
    </row>
    <row r="1878" spans="1:3" ht="24" customHeight="1">
      <c r="A1878" s="1205" t="s">
        <v>70744</v>
      </c>
      <c r="B1878" s="1205" t="s">
        <v>70682</v>
      </c>
      <c r="C1878" s="1205">
        <v>19.489999999999998</v>
      </c>
    </row>
    <row r="1879" spans="1:3" ht="24" customHeight="1">
      <c r="A1879" s="1205" t="s">
        <v>70743</v>
      </c>
      <c r="B1879" s="1205" t="s">
        <v>70742</v>
      </c>
      <c r="C1879" s="1205">
        <v>20.49</v>
      </c>
    </row>
    <row r="1880" spans="1:3" ht="24" customHeight="1">
      <c r="A1880" s="1205" t="s">
        <v>70741</v>
      </c>
      <c r="B1880" s="1205" t="s">
        <v>70740</v>
      </c>
      <c r="C1880" s="1205">
        <v>29.49</v>
      </c>
    </row>
    <row r="1881" spans="1:3" ht="24" customHeight="1">
      <c r="A1881" s="1205" t="s">
        <v>70739</v>
      </c>
      <c r="B1881" s="1205" t="s">
        <v>70738</v>
      </c>
      <c r="C1881" s="1205">
        <v>38.99</v>
      </c>
    </row>
    <row r="1882" spans="1:3" ht="24" customHeight="1">
      <c r="A1882" s="1205" t="s">
        <v>70737</v>
      </c>
      <c r="B1882" s="1205" t="s">
        <v>70736</v>
      </c>
      <c r="C1882" s="1205">
        <v>36.99</v>
      </c>
    </row>
    <row r="1883" spans="1:3" ht="24" customHeight="1">
      <c r="A1883" s="1205" t="s">
        <v>70735</v>
      </c>
      <c r="B1883" s="1205" t="s">
        <v>63458</v>
      </c>
      <c r="C1883" s="1205">
        <v>19.989999999999998</v>
      </c>
    </row>
    <row r="1884" spans="1:3" ht="24" customHeight="1">
      <c r="A1884" s="1205" t="s">
        <v>70734</v>
      </c>
      <c r="B1884" s="1205" t="s">
        <v>70733</v>
      </c>
      <c r="C1884" s="1205">
        <v>34.99</v>
      </c>
    </row>
    <row r="1885" spans="1:3" ht="24" customHeight="1">
      <c r="A1885" s="1205" t="s">
        <v>70732</v>
      </c>
      <c r="B1885" s="1205" t="s">
        <v>70731</v>
      </c>
      <c r="C1885" s="1205">
        <v>29.99</v>
      </c>
    </row>
    <row r="1886" spans="1:3" ht="24" customHeight="1">
      <c r="A1886" s="1205" t="s">
        <v>70730</v>
      </c>
      <c r="B1886" s="1205" t="s">
        <v>70729</v>
      </c>
      <c r="C1886" s="1205">
        <v>33.49</v>
      </c>
    </row>
    <row r="1887" spans="1:3" ht="24" customHeight="1">
      <c r="A1887" s="1205" t="s">
        <v>70728</v>
      </c>
      <c r="B1887" s="1205" t="s">
        <v>70727</v>
      </c>
      <c r="C1887" s="1205">
        <v>27.99</v>
      </c>
    </row>
    <row r="1888" spans="1:3" ht="24" customHeight="1">
      <c r="A1888" s="1205" t="s">
        <v>70726</v>
      </c>
      <c r="B1888" s="1205" t="s">
        <v>70725</v>
      </c>
      <c r="C1888" s="1205">
        <v>36.99</v>
      </c>
    </row>
    <row r="1889" spans="1:3" ht="24" customHeight="1">
      <c r="A1889" s="1205" t="s">
        <v>70724</v>
      </c>
      <c r="B1889" s="1205" t="s">
        <v>63452</v>
      </c>
      <c r="C1889" s="1205">
        <v>16.989999999999998</v>
      </c>
    </row>
    <row r="1890" spans="1:3" ht="24" customHeight="1">
      <c r="A1890" s="1205" t="s">
        <v>70723</v>
      </c>
      <c r="B1890" s="1205" t="s">
        <v>70722</v>
      </c>
      <c r="C1890" s="1205">
        <v>28.99</v>
      </c>
    </row>
    <row r="1891" spans="1:3" ht="24" customHeight="1">
      <c r="A1891" s="1205" t="s">
        <v>70721</v>
      </c>
      <c r="B1891" s="1205" t="s">
        <v>63450</v>
      </c>
      <c r="C1891" s="1205">
        <v>20.49</v>
      </c>
    </row>
    <row r="1892" spans="1:3" ht="24" customHeight="1">
      <c r="A1892" s="1205" t="s">
        <v>70720</v>
      </c>
      <c r="B1892" s="1205" t="s">
        <v>70498</v>
      </c>
      <c r="C1892" s="1205">
        <v>16.989999999999998</v>
      </c>
    </row>
    <row r="1893" spans="1:3" ht="24" customHeight="1">
      <c r="A1893" s="1205" t="s">
        <v>70719</v>
      </c>
      <c r="B1893" s="1205" t="s">
        <v>70715</v>
      </c>
      <c r="C1893" s="1205">
        <v>17.989999999999998</v>
      </c>
    </row>
    <row r="1894" spans="1:3" ht="24" customHeight="1">
      <c r="A1894" s="1205" t="s">
        <v>70718</v>
      </c>
      <c r="B1894" s="1205" t="s">
        <v>70717</v>
      </c>
      <c r="C1894" s="1205">
        <v>14.99</v>
      </c>
    </row>
    <row r="1895" spans="1:3" ht="24" customHeight="1">
      <c r="A1895" s="1205" t="s">
        <v>70716</v>
      </c>
      <c r="B1895" s="1205" t="s">
        <v>70715</v>
      </c>
      <c r="C1895" s="1205">
        <v>15.49</v>
      </c>
    </row>
    <row r="1896" spans="1:3" ht="24" customHeight="1">
      <c r="A1896" s="1205" t="s">
        <v>70714</v>
      </c>
      <c r="B1896" s="1205" t="s">
        <v>70713</v>
      </c>
      <c r="C1896" s="1205">
        <v>45.49</v>
      </c>
    </row>
    <row r="1897" spans="1:3" ht="24" customHeight="1">
      <c r="A1897" s="1205" t="s">
        <v>70712</v>
      </c>
      <c r="B1897" s="1205" t="s">
        <v>70711</v>
      </c>
      <c r="C1897" s="1205">
        <v>14.99</v>
      </c>
    </row>
    <row r="1898" spans="1:3" ht="24" customHeight="1">
      <c r="A1898" s="1205" t="s">
        <v>70710</v>
      </c>
      <c r="B1898" s="1205" t="s">
        <v>70709</v>
      </c>
      <c r="C1898" s="1205">
        <v>14.49</v>
      </c>
    </row>
    <row r="1899" spans="1:3" ht="24" customHeight="1">
      <c r="A1899" s="1205" t="s">
        <v>70708</v>
      </c>
      <c r="B1899" s="1205" t="s">
        <v>70707</v>
      </c>
      <c r="C1899" s="1205">
        <v>17.989999999999998</v>
      </c>
    </row>
    <row r="1900" spans="1:3" ht="24" customHeight="1">
      <c r="A1900" s="1205" t="s">
        <v>70706</v>
      </c>
      <c r="B1900" s="1205" t="s">
        <v>70705</v>
      </c>
      <c r="C1900" s="1205">
        <v>16.489999999999998</v>
      </c>
    </row>
    <row r="1901" spans="1:3" ht="24" customHeight="1">
      <c r="A1901" s="1205" t="s">
        <v>70704</v>
      </c>
      <c r="B1901" s="1205" t="s">
        <v>70703</v>
      </c>
      <c r="C1901" s="1205">
        <v>32.49</v>
      </c>
    </row>
    <row r="1902" spans="1:3" ht="24" customHeight="1">
      <c r="A1902" s="1205" t="s">
        <v>70702</v>
      </c>
      <c r="B1902" s="1205" t="s">
        <v>70701</v>
      </c>
      <c r="C1902" s="1205">
        <v>29.49</v>
      </c>
    </row>
    <row r="1903" spans="1:3" ht="24" customHeight="1">
      <c r="A1903" s="1205" t="s">
        <v>70700</v>
      </c>
      <c r="B1903" s="1205" t="s">
        <v>70660</v>
      </c>
      <c r="C1903" s="1205">
        <v>19.489999999999998</v>
      </c>
    </row>
    <row r="1904" spans="1:3" ht="24" customHeight="1">
      <c r="A1904" s="1205" t="s">
        <v>70699</v>
      </c>
      <c r="B1904" s="1205" t="s">
        <v>70698</v>
      </c>
      <c r="C1904" s="1205">
        <v>19.489999999999998</v>
      </c>
    </row>
    <row r="1905" spans="1:3" ht="24" customHeight="1">
      <c r="A1905" s="1205" t="s">
        <v>70697</v>
      </c>
      <c r="B1905" s="1205" t="s">
        <v>70696</v>
      </c>
      <c r="C1905" s="1205">
        <v>16.989999999999998</v>
      </c>
    </row>
    <row r="1906" spans="1:3" ht="24" customHeight="1">
      <c r="A1906" s="1205" t="s">
        <v>70695</v>
      </c>
      <c r="B1906" s="1205" t="s">
        <v>70694</v>
      </c>
      <c r="C1906" s="1205">
        <v>13.99</v>
      </c>
    </row>
    <row r="1907" spans="1:3" ht="24" customHeight="1">
      <c r="A1907" s="1205" t="s">
        <v>70693</v>
      </c>
      <c r="B1907" s="1205" t="s">
        <v>70692</v>
      </c>
      <c r="C1907" s="1205">
        <v>17.489999999999998</v>
      </c>
    </row>
    <row r="1908" spans="1:3" ht="24" customHeight="1">
      <c r="A1908" s="1205" t="s">
        <v>70691</v>
      </c>
      <c r="B1908" s="1205" t="s">
        <v>70690</v>
      </c>
      <c r="C1908" s="1205">
        <v>11.49</v>
      </c>
    </row>
    <row r="1909" spans="1:3" ht="24" customHeight="1">
      <c r="A1909" s="1205" t="s">
        <v>70689</v>
      </c>
      <c r="B1909" s="1205" t="s">
        <v>70688</v>
      </c>
      <c r="C1909" s="1205">
        <v>15.49</v>
      </c>
    </row>
    <row r="1910" spans="1:3" ht="24" customHeight="1">
      <c r="A1910" s="1205" t="s">
        <v>70687</v>
      </c>
      <c r="B1910" s="1205" t="s">
        <v>70686</v>
      </c>
      <c r="C1910" s="1205">
        <v>22.99</v>
      </c>
    </row>
    <row r="1911" spans="1:3" ht="24" customHeight="1">
      <c r="A1911" s="1205" t="s">
        <v>70685</v>
      </c>
      <c r="B1911" s="1205" t="s">
        <v>70684</v>
      </c>
      <c r="C1911" s="1205">
        <v>30.99</v>
      </c>
    </row>
    <row r="1912" spans="1:3" ht="24" customHeight="1">
      <c r="A1912" s="1205" t="s">
        <v>70683</v>
      </c>
      <c r="B1912" s="1205" t="s">
        <v>70682</v>
      </c>
      <c r="C1912" s="1205">
        <v>16.489999999999998</v>
      </c>
    </row>
    <row r="1913" spans="1:3" ht="24" customHeight="1">
      <c r="A1913" s="1205" t="s">
        <v>70681</v>
      </c>
      <c r="B1913" s="1205" t="s">
        <v>70680</v>
      </c>
      <c r="C1913" s="1205">
        <v>36.99</v>
      </c>
    </row>
    <row r="1914" spans="1:3" ht="24" customHeight="1">
      <c r="A1914" s="1205" t="s">
        <v>70679</v>
      </c>
      <c r="B1914" s="1205" t="s">
        <v>70678</v>
      </c>
      <c r="C1914" s="1205">
        <v>17.989999999999998</v>
      </c>
    </row>
    <row r="1915" spans="1:3" ht="24" customHeight="1">
      <c r="A1915" s="1205" t="s">
        <v>70677</v>
      </c>
      <c r="B1915" s="1205" t="s">
        <v>70676</v>
      </c>
      <c r="C1915" s="1205">
        <v>23.49</v>
      </c>
    </row>
    <row r="1916" spans="1:3" ht="24" customHeight="1">
      <c r="A1916" s="1205" t="s">
        <v>70675</v>
      </c>
      <c r="B1916" s="1205" t="s">
        <v>70674</v>
      </c>
      <c r="C1916" s="1205">
        <v>35.49</v>
      </c>
    </row>
    <row r="1917" spans="1:3" ht="24" customHeight="1">
      <c r="A1917" s="1205" t="s">
        <v>70673</v>
      </c>
      <c r="B1917" s="1205" t="s">
        <v>70672</v>
      </c>
      <c r="C1917" s="1205">
        <v>46.49</v>
      </c>
    </row>
    <row r="1918" spans="1:3" ht="24" customHeight="1">
      <c r="A1918" s="1205" t="s">
        <v>70671</v>
      </c>
      <c r="B1918" s="1205" t="s">
        <v>70670</v>
      </c>
      <c r="C1918" s="1205">
        <v>18.489999999999998</v>
      </c>
    </row>
    <row r="1919" spans="1:3" ht="24" customHeight="1">
      <c r="A1919" s="1205" t="s">
        <v>70669</v>
      </c>
      <c r="B1919" s="1205" t="s">
        <v>70668</v>
      </c>
      <c r="C1919" s="1205">
        <v>16.489999999999998</v>
      </c>
    </row>
    <row r="1920" spans="1:3" ht="24" customHeight="1">
      <c r="A1920" s="1205" t="s">
        <v>70667</v>
      </c>
      <c r="B1920" s="1205" t="s">
        <v>70666</v>
      </c>
      <c r="C1920" s="1205">
        <v>13.49</v>
      </c>
    </row>
    <row r="1921" spans="1:3" ht="24" customHeight="1">
      <c r="A1921" s="1205" t="s">
        <v>70665</v>
      </c>
      <c r="B1921" s="1205" t="s">
        <v>70664</v>
      </c>
      <c r="C1921" s="1205">
        <v>11.49</v>
      </c>
    </row>
    <row r="1922" spans="1:3" ht="24" customHeight="1">
      <c r="A1922" s="1205" t="s">
        <v>70663</v>
      </c>
      <c r="B1922" s="1205" t="s">
        <v>70662</v>
      </c>
      <c r="C1922" s="1205">
        <v>10.49</v>
      </c>
    </row>
    <row r="1923" spans="1:3" ht="24" customHeight="1">
      <c r="A1923" s="1205" t="s">
        <v>70661</v>
      </c>
      <c r="B1923" s="1205" t="s">
        <v>70660</v>
      </c>
      <c r="C1923" s="1205">
        <v>16.989999999999998</v>
      </c>
    </row>
    <row r="1924" spans="1:3" ht="24" customHeight="1">
      <c r="A1924" s="1205" t="s">
        <v>70659</v>
      </c>
      <c r="B1924" s="1205" t="s">
        <v>70658</v>
      </c>
      <c r="C1924" s="1205">
        <v>16.989999999999998</v>
      </c>
    </row>
    <row r="1925" spans="1:3" ht="24" customHeight="1">
      <c r="A1925" s="1205" t="s">
        <v>70657</v>
      </c>
      <c r="B1925" s="1205" t="s">
        <v>70656</v>
      </c>
      <c r="C1925" s="1205">
        <v>107.99</v>
      </c>
    </row>
    <row r="1926" spans="1:3" ht="24" customHeight="1">
      <c r="A1926" s="1205" t="s">
        <v>70655</v>
      </c>
      <c r="B1926" s="1205" t="s">
        <v>70654</v>
      </c>
      <c r="C1926" s="1205">
        <v>15.49</v>
      </c>
    </row>
    <row r="1927" spans="1:3" ht="24" customHeight="1">
      <c r="A1927" s="1205" t="s">
        <v>70653</v>
      </c>
      <c r="B1927" s="1205" t="s">
        <v>70652</v>
      </c>
      <c r="C1927" s="1205">
        <v>25.99</v>
      </c>
    </row>
    <row r="1928" spans="1:3" ht="24" customHeight="1">
      <c r="A1928" s="1205" t="s">
        <v>70651</v>
      </c>
      <c r="B1928" s="1205" t="s">
        <v>70650</v>
      </c>
      <c r="C1928" s="1205">
        <v>117.99</v>
      </c>
    </row>
    <row r="1929" spans="1:3" ht="24" customHeight="1">
      <c r="A1929" s="1205" t="s">
        <v>70649</v>
      </c>
      <c r="B1929" s="1205" t="s">
        <v>70648</v>
      </c>
      <c r="C1929" s="1205">
        <v>9.99</v>
      </c>
    </row>
    <row r="1930" spans="1:3" ht="24" customHeight="1">
      <c r="A1930" s="1205" t="s">
        <v>70647</v>
      </c>
      <c r="B1930" s="1205" t="s">
        <v>70646</v>
      </c>
      <c r="C1930" s="1205">
        <v>49.49</v>
      </c>
    </row>
    <row r="1931" spans="1:3" ht="24" customHeight="1">
      <c r="A1931" s="1205" t="s">
        <v>70645</v>
      </c>
      <c r="B1931" s="1205" t="s">
        <v>70644</v>
      </c>
      <c r="C1931" s="1205">
        <v>39.99</v>
      </c>
    </row>
    <row r="1932" spans="1:3" ht="24" customHeight="1">
      <c r="A1932" s="1205" t="s">
        <v>70643</v>
      </c>
      <c r="B1932" s="1205" t="s">
        <v>70642</v>
      </c>
      <c r="C1932" s="1205">
        <v>46.99</v>
      </c>
    </row>
    <row r="1933" spans="1:3" ht="24" customHeight="1">
      <c r="A1933" s="1205" t="s">
        <v>70641</v>
      </c>
      <c r="B1933" s="1205" t="s">
        <v>70640</v>
      </c>
      <c r="C1933" s="1205">
        <v>19.489999999999998</v>
      </c>
    </row>
    <row r="1934" spans="1:3" ht="24" customHeight="1">
      <c r="A1934" s="1205" t="s">
        <v>70639</v>
      </c>
      <c r="B1934" s="1205" t="s">
        <v>70638</v>
      </c>
      <c r="C1934" s="1205">
        <v>16.989999999999998</v>
      </c>
    </row>
    <row r="1935" spans="1:3" ht="24" customHeight="1">
      <c r="A1935" s="1205" t="s">
        <v>70637</v>
      </c>
      <c r="B1935" s="1205" t="s">
        <v>70636</v>
      </c>
      <c r="C1935" s="1205">
        <v>64.989999999999995</v>
      </c>
    </row>
    <row r="1936" spans="1:3" ht="24" customHeight="1">
      <c r="A1936" s="1205" t="s">
        <v>70635</v>
      </c>
      <c r="B1936" s="1205" t="s">
        <v>70634</v>
      </c>
      <c r="C1936" s="1205">
        <v>33.99</v>
      </c>
    </row>
    <row r="1937" spans="1:3" ht="24" customHeight="1">
      <c r="A1937" s="1205" t="s">
        <v>70633</v>
      </c>
      <c r="B1937" s="1205" t="s">
        <v>70632</v>
      </c>
      <c r="C1937" s="1205">
        <v>25.99</v>
      </c>
    </row>
    <row r="1938" spans="1:3" ht="24" customHeight="1">
      <c r="A1938" s="1205" t="s">
        <v>70631</v>
      </c>
      <c r="B1938" s="1205" t="s">
        <v>63403</v>
      </c>
      <c r="C1938" s="1205">
        <v>52.99</v>
      </c>
    </row>
    <row r="1939" spans="1:3" ht="24" customHeight="1">
      <c r="A1939" s="1205" t="s">
        <v>70630</v>
      </c>
      <c r="B1939" s="1205" t="s">
        <v>70629</v>
      </c>
      <c r="C1939" s="1205">
        <v>48.99</v>
      </c>
    </row>
    <row r="1940" spans="1:3" ht="24" customHeight="1">
      <c r="A1940" s="1205" t="s">
        <v>70628</v>
      </c>
      <c r="B1940" s="1205" t="s">
        <v>70627</v>
      </c>
      <c r="C1940" s="1205">
        <v>47.99</v>
      </c>
    </row>
    <row r="1941" spans="1:3" ht="24" customHeight="1">
      <c r="A1941" s="1205" t="s">
        <v>70626</v>
      </c>
      <c r="B1941" s="1205" t="s">
        <v>70625</v>
      </c>
      <c r="C1941" s="1205">
        <v>49.99</v>
      </c>
    </row>
    <row r="1942" spans="1:3" ht="24" customHeight="1">
      <c r="A1942" s="1205" t="s">
        <v>70624</v>
      </c>
      <c r="B1942" s="1205" t="s">
        <v>70623</v>
      </c>
      <c r="C1942" s="1205">
        <v>47.99</v>
      </c>
    </row>
    <row r="1943" spans="1:3" ht="24" customHeight="1">
      <c r="A1943" s="1205" t="s">
        <v>70622</v>
      </c>
      <c r="B1943" s="1205" t="s">
        <v>63403</v>
      </c>
      <c r="C1943" s="1205">
        <v>49.99</v>
      </c>
    </row>
    <row r="1944" spans="1:3" ht="24" customHeight="1">
      <c r="A1944" s="1205" t="s">
        <v>70621</v>
      </c>
      <c r="B1944" s="1205" t="s">
        <v>70620</v>
      </c>
      <c r="C1944" s="1205">
        <v>46.99</v>
      </c>
    </row>
    <row r="1945" spans="1:3" ht="24" customHeight="1">
      <c r="A1945" s="1205" t="s">
        <v>70619</v>
      </c>
      <c r="B1945" s="1205" t="s">
        <v>70618</v>
      </c>
      <c r="C1945" s="1205">
        <v>26.49</v>
      </c>
    </row>
    <row r="1946" spans="1:3" ht="24" customHeight="1">
      <c r="A1946" s="1205" t="s">
        <v>70617</v>
      </c>
      <c r="B1946" s="1205" t="s">
        <v>70616</v>
      </c>
      <c r="C1946" s="1205">
        <v>23.49</v>
      </c>
    </row>
    <row r="1947" spans="1:3" ht="24" customHeight="1">
      <c r="A1947" s="1205" t="s">
        <v>70615</v>
      </c>
      <c r="B1947" s="1205" t="s">
        <v>70614</v>
      </c>
      <c r="C1947" s="1205">
        <v>30.99</v>
      </c>
    </row>
    <row r="1948" spans="1:3" ht="24" customHeight="1">
      <c r="A1948" s="1205" t="s">
        <v>70613</v>
      </c>
      <c r="B1948" s="1205" t="s">
        <v>70612</v>
      </c>
      <c r="C1948" s="1205">
        <v>22.49</v>
      </c>
    </row>
    <row r="1949" spans="1:3" ht="24" customHeight="1">
      <c r="A1949" s="1205" t="s">
        <v>70611</v>
      </c>
      <c r="B1949" s="1205" t="s">
        <v>70610</v>
      </c>
      <c r="C1949" s="1205">
        <v>18.989999999999998</v>
      </c>
    </row>
    <row r="1950" spans="1:3" ht="24" customHeight="1">
      <c r="A1950" s="1205" t="s">
        <v>70609</v>
      </c>
      <c r="B1950" s="1205" t="s">
        <v>70608</v>
      </c>
      <c r="C1950" s="1205">
        <v>23.99</v>
      </c>
    </row>
    <row r="1951" spans="1:3" ht="24" customHeight="1">
      <c r="A1951" s="1205" t="s">
        <v>70607</v>
      </c>
      <c r="B1951" s="1205" t="s">
        <v>70606</v>
      </c>
      <c r="C1951" s="1205">
        <v>33.49</v>
      </c>
    </row>
    <row r="1952" spans="1:3" ht="24" customHeight="1">
      <c r="A1952" s="1205" t="s">
        <v>70605</v>
      </c>
      <c r="B1952" s="1205" t="s">
        <v>70604</v>
      </c>
      <c r="C1952" s="1205">
        <v>17.989999999999998</v>
      </c>
    </row>
    <row r="1953" spans="1:3" ht="24" customHeight="1">
      <c r="A1953" s="1205" t="s">
        <v>70603</v>
      </c>
      <c r="B1953" s="1205" t="s">
        <v>70569</v>
      </c>
      <c r="C1953" s="1205">
        <v>29.99</v>
      </c>
    </row>
    <row r="1954" spans="1:3" ht="24" customHeight="1">
      <c r="A1954" s="1205" t="s">
        <v>70602</v>
      </c>
      <c r="B1954" s="1205" t="s">
        <v>63385</v>
      </c>
      <c r="C1954" s="1205">
        <v>58.49</v>
      </c>
    </row>
    <row r="1955" spans="1:3" ht="24" customHeight="1">
      <c r="A1955" s="1205" t="s">
        <v>70601</v>
      </c>
      <c r="B1955" s="1205" t="s">
        <v>70600</v>
      </c>
      <c r="C1955" s="1205">
        <v>106.49</v>
      </c>
    </row>
    <row r="1956" spans="1:3" ht="24" customHeight="1">
      <c r="A1956" s="1205" t="s">
        <v>70599</v>
      </c>
      <c r="B1956" s="1205" t="s">
        <v>70598</v>
      </c>
      <c r="C1956" s="1205">
        <v>88.49</v>
      </c>
    </row>
    <row r="1957" spans="1:3" ht="24" customHeight="1">
      <c r="A1957" s="1205" t="s">
        <v>70597</v>
      </c>
      <c r="B1957" s="1205" t="s">
        <v>70596</v>
      </c>
      <c r="C1957" s="1205">
        <v>86.99</v>
      </c>
    </row>
    <row r="1958" spans="1:3" ht="24" customHeight="1">
      <c r="A1958" s="1205" t="s">
        <v>70595</v>
      </c>
      <c r="B1958" s="1205" t="s">
        <v>70594</v>
      </c>
      <c r="C1958" s="1205">
        <v>79.489999999999995</v>
      </c>
    </row>
    <row r="1959" spans="1:3" ht="24" customHeight="1">
      <c r="A1959" s="1205" t="s">
        <v>70593</v>
      </c>
      <c r="B1959" s="1205" t="s">
        <v>70591</v>
      </c>
      <c r="C1959" s="1205">
        <v>38.99</v>
      </c>
    </row>
    <row r="1960" spans="1:3" ht="24" customHeight="1">
      <c r="A1960" s="1205" t="s">
        <v>70592</v>
      </c>
      <c r="B1960" s="1205" t="s">
        <v>70591</v>
      </c>
      <c r="C1960" s="1205">
        <v>36.99</v>
      </c>
    </row>
    <row r="1961" spans="1:3" ht="24" customHeight="1">
      <c r="A1961" s="1205" t="s">
        <v>70590</v>
      </c>
      <c r="B1961" s="1205" t="s">
        <v>70589</v>
      </c>
      <c r="C1961" s="1205">
        <v>13.99</v>
      </c>
    </row>
    <row r="1962" spans="1:3" ht="24" customHeight="1">
      <c r="A1962" s="1205" t="s">
        <v>70588</v>
      </c>
      <c r="B1962" s="1205" t="s">
        <v>70587</v>
      </c>
      <c r="C1962" s="1205">
        <v>22.49</v>
      </c>
    </row>
    <row r="1963" spans="1:3" ht="24" customHeight="1">
      <c r="A1963" s="1205" t="s">
        <v>70586</v>
      </c>
      <c r="B1963" s="1205" t="s">
        <v>70559</v>
      </c>
      <c r="C1963" s="1205">
        <v>22.49</v>
      </c>
    </row>
    <row r="1964" spans="1:3" ht="24" customHeight="1">
      <c r="A1964" s="1205" t="s">
        <v>70585</v>
      </c>
      <c r="B1964" s="1205" t="s">
        <v>70569</v>
      </c>
      <c r="C1964" s="1205">
        <v>30.49</v>
      </c>
    </row>
    <row r="1965" spans="1:3" ht="24" customHeight="1">
      <c r="A1965" s="1205" t="s">
        <v>70584</v>
      </c>
      <c r="B1965" s="1205" t="s">
        <v>70583</v>
      </c>
      <c r="C1965" s="1205">
        <v>58.49</v>
      </c>
    </row>
    <row r="1966" spans="1:3" ht="24" customHeight="1">
      <c r="A1966" s="1205" t="s">
        <v>70582</v>
      </c>
      <c r="B1966" s="1205" t="s">
        <v>70581</v>
      </c>
      <c r="C1966" s="1205">
        <v>53.99</v>
      </c>
    </row>
    <row r="1967" spans="1:3" ht="24" customHeight="1">
      <c r="A1967" s="1205" t="s">
        <v>70580</v>
      </c>
      <c r="B1967" s="1205" t="s">
        <v>70579</v>
      </c>
      <c r="C1967" s="1205">
        <v>50.49</v>
      </c>
    </row>
    <row r="1968" spans="1:3" ht="24" customHeight="1">
      <c r="A1968" s="1205" t="s">
        <v>70578</v>
      </c>
      <c r="B1968" s="1205" t="s">
        <v>70577</v>
      </c>
      <c r="C1968" s="1205">
        <v>47.99</v>
      </c>
    </row>
    <row r="1969" spans="1:3" ht="24" customHeight="1">
      <c r="A1969" s="1205" t="s">
        <v>70576</v>
      </c>
      <c r="B1969" s="1205" t="s">
        <v>70575</v>
      </c>
      <c r="C1969" s="1205">
        <v>52.99</v>
      </c>
    </row>
    <row r="1970" spans="1:3" ht="24" customHeight="1">
      <c r="A1970" s="1205" t="s">
        <v>70574</v>
      </c>
      <c r="B1970" s="1205" t="s">
        <v>70573</v>
      </c>
      <c r="C1970" s="1205">
        <v>24.99</v>
      </c>
    </row>
    <row r="1971" spans="1:3" ht="24" customHeight="1">
      <c r="A1971" s="1205" t="s">
        <v>70572</v>
      </c>
      <c r="B1971" s="1205" t="s">
        <v>70571</v>
      </c>
      <c r="C1971" s="1205">
        <v>24.49</v>
      </c>
    </row>
    <row r="1972" spans="1:3" ht="24" customHeight="1">
      <c r="A1972" s="1205" t="s">
        <v>70570</v>
      </c>
      <c r="B1972" s="1205" t="s">
        <v>70569</v>
      </c>
      <c r="C1972" s="1205">
        <v>27.49</v>
      </c>
    </row>
    <row r="1973" spans="1:3" ht="24" customHeight="1">
      <c r="A1973" s="1205" t="s">
        <v>70568</v>
      </c>
      <c r="B1973" s="1205" t="s">
        <v>70567</v>
      </c>
      <c r="C1973" s="1205">
        <v>20.49</v>
      </c>
    </row>
    <row r="1974" spans="1:3" ht="24" customHeight="1">
      <c r="A1974" s="1205" t="s">
        <v>70566</v>
      </c>
      <c r="B1974" s="1205" t="s">
        <v>70565</v>
      </c>
      <c r="C1974" s="1205">
        <v>49.49</v>
      </c>
    </row>
    <row r="1975" spans="1:3" ht="24" customHeight="1">
      <c r="A1975" s="1205" t="s">
        <v>70564</v>
      </c>
      <c r="B1975" s="1205" t="s">
        <v>70563</v>
      </c>
      <c r="C1975" s="1205">
        <v>45.49</v>
      </c>
    </row>
    <row r="1976" spans="1:3" ht="24" customHeight="1">
      <c r="A1976" s="1205" t="s">
        <v>70562</v>
      </c>
      <c r="B1976" s="1205" t="s">
        <v>70561</v>
      </c>
      <c r="C1976" s="1205">
        <v>42.99</v>
      </c>
    </row>
    <row r="1977" spans="1:3" ht="24" customHeight="1">
      <c r="A1977" s="1205" t="s">
        <v>70560</v>
      </c>
      <c r="B1977" s="1205" t="s">
        <v>70559</v>
      </c>
      <c r="C1977" s="1205">
        <v>22.99</v>
      </c>
    </row>
    <row r="1978" spans="1:3" ht="24" customHeight="1">
      <c r="A1978" s="1205" t="s">
        <v>70558</v>
      </c>
      <c r="B1978" s="1205" t="s">
        <v>70557</v>
      </c>
      <c r="C1978" s="1205">
        <v>46.99</v>
      </c>
    </row>
    <row r="1979" spans="1:3" ht="24" customHeight="1">
      <c r="A1979" s="1205" t="s">
        <v>70556</v>
      </c>
      <c r="B1979" s="1205" t="s">
        <v>70555</v>
      </c>
      <c r="C1979" s="1205">
        <v>18.489999999999998</v>
      </c>
    </row>
    <row r="1980" spans="1:3" ht="24" customHeight="1">
      <c r="A1980" s="1205" t="s">
        <v>70554</v>
      </c>
      <c r="B1980" s="1205" t="s">
        <v>70553</v>
      </c>
      <c r="C1980" s="1205">
        <v>19.989999999999998</v>
      </c>
    </row>
    <row r="1981" spans="1:3" ht="24" customHeight="1">
      <c r="A1981" s="1205" t="s">
        <v>70552</v>
      </c>
      <c r="B1981" s="1205" t="s">
        <v>70551</v>
      </c>
      <c r="C1981" s="1205">
        <v>27.99</v>
      </c>
    </row>
    <row r="1982" spans="1:3" ht="24" customHeight="1">
      <c r="A1982" s="1205" t="s">
        <v>70550</v>
      </c>
      <c r="B1982" s="1205" t="s">
        <v>70549</v>
      </c>
      <c r="C1982" s="1205">
        <v>24.49</v>
      </c>
    </row>
    <row r="1983" spans="1:3" ht="24" customHeight="1">
      <c r="A1983" s="1205" t="s">
        <v>70548</v>
      </c>
      <c r="B1983" s="1205" t="s">
        <v>70547</v>
      </c>
      <c r="C1983" s="1205">
        <v>28.49</v>
      </c>
    </row>
    <row r="1984" spans="1:3" ht="24" customHeight="1">
      <c r="A1984" s="1205" t="s">
        <v>70546</v>
      </c>
      <c r="B1984" s="1205" t="s">
        <v>70545</v>
      </c>
      <c r="C1984" s="1205">
        <v>24.99</v>
      </c>
    </row>
    <row r="1985" spans="1:3" ht="24" customHeight="1">
      <c r="A1985" s="1205" t="s">
        <v>70544</v>
      </c>
      <c r="B1985" s="1205" t="s">
        <v>70543</v>
      </c>
      <c r="C1985" s="1205">
        <v>25.99</v>
      </c>
    </row>
    <row r="1986" spans="1:3" ht="24" customHeight="1">
      <c r="A1986" s="1205" t="s">
        <v>70542</v>
      </c>
      <c r="B1986" s="1205" t="s">
        <v>70541</v>
      </c>
      <c r="C1986" s="1205">
        <v>22.49</v>
      </c>
    </row>
    <row r="1987" spans="1:3" ht="24" customHeight="1">
      <c r="A1987" s="1205" t="s">
        <v>70540</v>
      </c>
      <c r="B1987" s="1205" t="s">
        <v>70539</v>
      </c>
      <c r="C1987" s="1205">
        <v>26.99</v>
      </c>
    </row>
    <row r="1988" spans="1:3" ht="24" customHeight="1">
      <c r="A1988" s="1205" t="s">
        <v>70538</v>
      </c>
      <c r="B1988" s="1205" t="s">
        <v>70534</v>
      </c>
      <c r="C1988" s="1205">
        <v>15.99</v>
      </c>
    </row>
    <row r="1989" spans="1:3" ht="24" customHeight="1">
      <c r="A1989" s="1205" t="s">
        <v>70537</v>
      </c>
      <c r="B1989" s="1205" t="s">
        <v>70536</v>
      </c>
      <c r="C1989" s="1205">
        <v>10.49</v>
      </c>
    </row>
    <row r="1990" spans="1:3" ht="24" customHeight="1">
      <c r="A1990" s="1205" t="s">
        <v>70535</v>
      </c>
      <c r="B1990" s="1205" t="s">
        <v>70534</v>
      </c>
      <c r="C1990" s="1205">
        <v>11.99</v>
      </c>
    </row>
    <row r="1991" spans="1:3" ht="24" customHeight="1">
      <c r="A1991" s="1205" t="s">
        <v>70533</v>
      </c>
      <c r="B1991" s="1205" t="s">
        <v>70532</v>
      </c>
      <c r="C1991" s="1205">
        <v>15.49</v>
      </c>
    </row>
    <row r="1992" spans="1:3" ht="24" customHeight="1">
      <c r="A1992" s="1205" t="s">
        <v>70531</v>
      </c>
      <c r="B1992" s="1205" t="s">
        <v>70530</v>
      </c>
      <c r="C1992" s="1205">
        <v>11.49</v>
      </c>
    </row>
    <row r="1993" spans="1:3" ht="24" customHeight="1">
      <c r="A1993" s="1205" t="s">
        <v>70529</v>
      </c>
      <c r="B1993" s="1205" t="s">
        <v>70528</v>
      </c>
      <c r="C1993" s="1205">
        <v>12.49</v>
      </c>
    </row>
    <row r="1994" spans="1:3" ht="24" customHeight="1">
      <c r="A1994" s="1205" t="s">
        <v>70527</v>
      </c>
      <c r="B1994" s="1205" t="s">
        <v>70526</v>
      </c>
      <c r="C1994" s="1205">
        <v>35.49</v>
      </c>
    </row>
    <row r="1995" spans="1:3" ht="24" customHeight="1">
      <c r="A1995" s="1205" t="s">
        <v>70525</v>
      </c>
      <c r="B1995" s="1205" t="s">
        <v>70524</v>
      </c>
      <c r="C1995" s="1205">
        <v>12.99</v>
      </c>
    </row>
    <row r="1996" spans="1:3" ht="24" customHeight="1">
      <c r="A1996" s="1205" t="s">
        <v>70523</v>
      </c>
      <c r="B1996" s="1205" t="s">
        <v>70522</v>
      </c>
      <c r="C1996" s="1205">
        <v>27.49</v>
      </c>
    </row>
    <row r="1997" spans="1:3" ht="24" customHeight="1">
      <c r="A1997" s="1205" t="s">
        <v>70521</v>
      </c>
      <c r="B1997" s="1205" t="s">
        <v>70520</v>
      </c>
      <c r="C1997" s="1205">
        <v>12.49</v>
      </c>
    </row>
    <row r="1998" spans="1:3" ht="24" customHeight="1">
      <c r="A1998" s="1205" t="s">
        <v>70519</v>
      </c>
      <c r="B1998" s="1205" t="s">
        <v>70518</v>
      </c>
      <c r="C1998" s="1205">
        <v>12.49</v>
      </c>
    </row>
    <row r="1999" spans="1:3" ht="24" customHeight="1">
      <c r="A1999" s="1205" t="s">
        <v>70517</v>
      </c>
      <c r="B1999" s="1205" t="s">
        <v>70516</v>
      </c>
      <c r="C1999" s="1205">
        <v>65.989999999999995</v>
      </c>
    </row>
    <row r="2000" spans="1:3" ht="24" customHeight="1">
      <c r="A2000" s="1205" t="s">
        <v>70515</v>
      </c>
      <c r="B2000" s="1205" t="s">
        <v>70514</v>
      </c>
      <c r="C2000" s="1205">
        <v>32.99</v>
      </c>
    </row>
    <row r="2001" spans="1:3" ht="24" customHeight="1">
      <c r="A2001" s="1205" t="s">
        <v>70513</v>
      </c>
      <c r="B2001" s="1205" t="s">
        <v>70512</v>
      </c>
      <c r="C2001" s="1205">
        <v>11.49</v>
      </c>
    </row>
    <row r="2002" spans="1:3" ht="24" customHeight="1">
      <c r="A2002" s="1205" t="s">
        <v>70511</v>
      </c>
      <c r="B2002" s="1205" t="s">
        <v>70510</v>
      </c>
      <c r="C2002" s="1205">
        <v>9.99</v>
      </c>
    </row>
    <row r="2003" spans="1:3" ht="24" customHeight="1">
      <c r="A2003" s="1205" t="s">
        <v>70509</v>
      </c>
      <c r="B2003" s="1205" t="s">
        <v>70508</v>
      </c>
      <c r="C2003" s="1205">
        <v>14.99</v>
      </c>
    </row>
    <row r="2004" spans="1:3" ht="24" customHeight="1">
      <c r="A2004" s="1205" t="s">
        <v>70507</v>
      </c>
      <c r="B2004" s="1205" t="s">
        <v>70506</v>
      </c>
      <c r="C2004" s="1205">
        <v>10.99</v>
      </c>
    </row>
    <row r="2005" spans="1:3" ht="24" customHeight="1">
      <c r="A2005" s="1205" t="s">
        <v>70505</v>
      </c>
      <c r="B2005" s="1205" t="s">
        <v>70504</v>
      </c>
      <c r="C2005" s="1205">
        <v>23.49</v>
      </c>
    </row>
    <row r="2006" spans="1:3" ht="24" customHeight="1">
      <c r="A2006" s="1205" t="s">
        <v>70503</v>
      </c>
      <c r="B2006" s="1205" t="s">
        <v>70502</v>
      </c>
      <c r="C2006" s="1205">
        <v>116.49</v>
      </c>
    </row>
    <row r="2007" spans="1:3" ht="24" customHeight="1">
      <c r="A2007" s="1205" t="s">
        <v>70501</v>
      </c>
      <c r="B2007" s="1205" t="s">
        <v>70500</v>
      </c>
      <c r="C2007" s="1205">
        <v>162.49</v>
      </c>
    </row>
    <row r="2008" spans="1:3" ht="24" customHeight="1">
      <c r="A2008" s="1205" t="s">
        <v>70499</v>
      </c>
      <c r="B2008" s="1205" t="s">
        <v>70498</v>
      </c>
      <c r="C2008" s="1205">
        <v>12.49</v>
      </c>
    </row>
    <row r="2009" spans="1:3" ht="24" customHeight="1">
      <c r="A2009" s="1205" t="s">
        <v>70497</v>
      </c>
      <c r="B2009" s="1205" t="s">
        <v>70496</v>
      </c>
      <c r="C2009" s="1205">
        <v>10.99</v>
      </c>
    </row>
    <row r="2010" spans="1:3" ht="24" customHeight="1">
      <c r="A2010" s="1205" t="s">
        <v>70495</v>
      </c>
      <c r="B2010" s="1205" t="s">
        <v>70494</v>
      </c>
      <c r="C2010" s="1205">
        <v>21.49</v>
      </c>
    </row>
    <row r="2011" spans="1:3" ht="24" customHeight="1">
      <c r="A2011" s="1205" t="s">
        <v>70493</v>
      </c>
      <c r="B2011" s="1205" t="s">
        <v>70492</v>
      </c>
      <c r="C2011" s="1205">
        <v>106.99</v>
      </c>
    </row>
    <row r="2012" spans="1:3" ht="24" customHeight="1">
      <c r="A2012" s="1205" t="s">
        <v>70491</v>
      </c>
      <c r="B2012" s="1205" t="s">
        <v>70490</v>
      </c>
      <c r="C2012" s="1205">
        <v>54.99</v>
      </c>
    </row>
    <row r="2013" spans="1:3" ht="24" customHeight="1">
      <c r="A2013" s="1205" t="s">
        <v>70489</v>
      </c>
      <c r="B2013" s="1205" t="s">
        <v>69736</v>
      </c>
      <c r="C2013" s="1205">
        <v>45.49</v>
      </c>
    </row>
    <row r="2014" spans="1:3" ht="24" customHeight="1">
      <c r="A2014" s="1205" t="s">
        <v>70488</v>
      </c>
      <c r="B2014" s="1205" t="s">
        <v>69734</v>
      </c>
      <c r="C2014" s="1205">
        <v>45.99</v>
      </c>
    </row>
    <row r="2015" spans="1:3" ht="24" customHeight="1">
      <c r="A2015" s="1205" t="s">
        <v>70487</v>
      </c>
      <c r="B2015" s="1205" t="s">
        <v>69732</v>
      </c>
      <c r="C2015" s="1205">
        <v>30.49</v>
      </c>
    </row>
    <row r="2016" spans="1:3" ht="24" customHeight="1">
      <c r="A2016" s="1205" t="s">
        <v>70486</v>
      </c>
      <c r="B2016" s="1205" t="s">
        <v>69572</v>
      </c>
      <c r="C2016" s="1205">
        <v>45.99</v>
      </c>
    </row>
    <row r="2017" spans="1:3" ht="24" customHeight="1">
      <c r="A2017" s="1205" t="s">
        <v>70485</v>
      </c>
      <c r="B2017" s="1205" t="s">
        <v>70484</v>
      </c>
      <c r="C2017" s="1205">
        <v>25.99</v>
      </c>
    </row>
    <row r="2018" spans="1:3" ht="24" customHeight="1">
      <c r="A2018" s="1205" t="s">
        <v>70483</v>
      </c>
      <c r="B2018" s="1205" t="s">
        <v>70482</v>
      </c>
      <c r="C2018" s="1205">
        <v>24.99</v>
      </c>
    </row>
    <row r="2019" spans="1:3" ht="24" customHeight="1">
      <c r="A2019" s="1205" t="s">
        <v>70481</v>
      </c>
      <c r="B2019" s="1205" t="s">
        <v>69727</v>
      </c>
      <c r="C2019" s="1205">
        <v>46.49</v>
      </c>
    </row>
    <row r="2020" spans="1:3" ht="24" customHeight="1">
      <c r="A2020" s="1205" t="s">
        <v>70480</v>
      </c>
      <c r="B2020" s="1205" t="s">
        <v>70479</v>
      </c>
      <c r="C2020" s="1205">
        <v>42.99</v>
      </c>
    </row>
    <row r="2021" spans="1:3" ht="24" customHeight="1">
      <c r="A2021" s="1205" t="s">
        <v>70478</v>
      </c>
      <c r="B2021" s="1205" t="s">
        <v>70477</v>
      </c>
      <c r="C2021" s="1205">
        <v>41.99</v>
      </c>
    </row>
    <row r="2022" spans="1:3" ht="24" customHeight="1">
      <c r="A2022" s="1205" t="s">
        <v>70476</v>
      </c>
      <c r="B2022" s="1205" t="s">
        <v>70475</v>
      </c>
      <c r="C2022" s="1205">
        <v>116.49</v>
      </c>
    </row>
    <row r="2023" spans="1:3" ht="24" customHeight="1">
      <c r="A2023" s="1205" t="s">
        <v>70474</v>
      </c>
      <c r="B2023" s="1205" t="s">
        <v>69725</v>
      </c>
      <c r="C2023" s="1205">
        <v>55.49</v>
      </c>
    </row>
    <row r="2024" spans="1:3" ht="24" customHeight="1">
      <c r="A2024" s="1205" t="s">
        <v>70473</v>
      </c>
      <c r="B2024" s="1205" t="s">
        <v>70467</v>
      </c>
      <c r="C2024" s="1205">
        <v>18.489999999999998</v>
      </c>
    </row>
    <row r="2025" spans="1:3" ht="24" customHeight="1">
      <c r="A2025" s="1205" t="s">
        <v>70472</v>
      </c>
      <c r="B2025" s="1205" t="s">
        <v>70471</v>
      </c>
      <c r="C2025" s="1205">
        <v>21.49</v>
      </c>
    </row>
    <row r="2026" spans="1:3" ht="24" customHeight="1">
      <c r="A2026" s="1205" t="s">
        <v>70470</v>
      </c>
      <c r="B2026" s="1205" t="s">
        <v>70469</v>
      </c>
      <c r="C2026" s="1205">
        <v>41.99</v>
      </c>
    </row>
    <row r="2027" spans="1:3" ht="24" customHeight="1">
      <c r="A2027" s="1205" t="s">
        <v>70468</v>
      </c>
      <c r="B2027" s="1205" t="s">
        <v>70467</v>
      </c>
      <c r="C2027" s="1205">
        <v>15.49</v>
      </c>
    </row>
    <row r="2028" spans="1:3" ht="24" customHeight="1">
      <c r="A2028" s="1205" t="s">
        <v>70466</v>
      </c>
      <c r="B2028" s="1205" t="s">
        <v>70465</v>
      </c>
      <c r="C2028" s="1205">
        <v>31.99</v>
      </c>
    </row>
    <row r="2029" spans="1:3" ht="24" customHeight="1">
      <c r="A2029" s="1205" t="s">
        <v>70464</v>
      </c>
      <c r="B2029" s="1205" t="s">
        <v>70463</v>
      </c>
      <c r="C2029" s="1205">
        <v>32.99</v>
      </c>
    </row>
    <row r="2030" spans="1:3" ht="24" customHeight="1">
      <c r="A2030" s="1205" t="s">
        <v>70462</v>
      </c>
      <c r="B2030" s="1205" t="s">
        <v>70461</v>
      </c>
      <c r="C2030" s="1205">
        <v>13.49</v>
      </c>
    </row>
    <row r="2031" spans="1:3" ht="24" customHeight="1">
      <c r="A2031" s="1205" t="s">
        <v>70460</v>
      </c>
      <c r="B2031" s="1205" t="s">
        <v>70459</v>
      </c>
      <c r="C2031" s="1205">
        <v>13.99</v>
      </c>
    </row>
    <row r="2032" spans="1:3" ht="24" customHeight="1">
      <c r="A2032" s="1205" t="s">
        <v>70458</v>
      </c>
      <c r="B2032" s="1205" t="s">
        <v>70452</v>
      </c>
      <c r="C2032" s="1205">
        <v>19.989999999999998</v>
      </c>
    </row>
    <row r="2033" spans="1:3" ht="24" customHeight="1">
      <c r="A2033" s="1205" t="s">
        <v>70457</v>
      </c>
      <c r="B2033" s="1205" t="s">
        <v>70456</v>
      </c>
      <c r="C2033" s="1205">
        <v>48.49</v>
      </c>
    </row>
    <row r="2034" spans="1:3" ht="24" customHeight="1">
      <c r="A2034" s="1205" t="s">
        <v>70455</v>
      </c>
      <c r="B2034" s="1205" t="s">
        <v>70454</v>
      </c>
      <c r="C2034" s="1205">
        <v>70.489999999999995</v>
      </c>
    </row>
    <row r="2035" spans="1:3" ht="24" customHeight="1">
      <c r="A2035" s="1205" t="s">
        <v>70453</v>
      </c>
      <c r="B2035" s="1205" t="s">
        <v>70452</v>
      </c>
      <c r="C2035" s="1205">
        <v>16.989999999999998</v>
      </c>
    </row>
    <row r="2036" spans="1:3" ht="24" customHeight="1">
      <c r="A2036" s="1205" t="s">
        <v>70451</v>
      </c>
      <c r="B2036" s="1205" t="s">
        <v>70311</v>
      </c>
      <c r="C2036" s="1205">
        <v>14.99</v>
      </c>
    </row>
    <row r="2037" spans="1:3" ht="24" customHeight="1">
      <c r="A2037" s="1205" t="s">
        <v>70450</v>
      </c>
      <c r="B2037" s="1205" t="s">
        <v>70449</v>
      </c>
      <c r="C2037" s="1205">
        <v>13.49</v>
      </c>
    </row>
    <row r="2038" spans="1:3" ht="24" customHeight="1">
      <c r="A2038" s="1205" t="s">
        <v>70448</v>
      </c>
      <c r="B2038" s="1205" t="s">
        <v>70447</v>
      </c>
      <c r="C2038" s="1205">
        <v>10.49</v>
      </c>
    </row>
    <row r="2039" spans="1:3" ht="24" customHeight="1">
      <c r="A2039" s="1205" t="s">
        <v>70446</v>
      </c>
      <c r="B2039" s="1205" t="s">
        <v>70445</v>
      </c>
      <c r="C2039" s="1205">
        <v>24.49</v>
      </c>
    </row>
    <row r="2040" spans="1:3" ht="24" customHeight="1">
      <c r="A2040" s="1205" t="s">
        <v>70444</v>
      </c>
      <c r="B2040" s="1205" t="s">
        <v>70311</v>
      </c>
      <c r="C2040" s="1205">
        <v>11.99</v>
      </c>
    </row>
    <row r="2041" spans="1:3" ht="24" customHeight="1">
      <c r="A2041" s="1205" t="s">
        <v>70443</v>
      </c>
      <c r="B2041" s="1205" t="s">
        <v>70442</v>
      </c>
      <c r="C2041" s="1205">
        <v>49.49</v>
      </c>
    </row>
    <row r="2042" spans="1:3" ht="24" customHeight="1">
      <c r="A2042" s="1205" t="s">
        <v>70441</v>
      </c>
      <c r="B2042" s="1205" t="s">
        <v>70440</v>
      </c>
      <c r="C2042" s="1205">
        <v>98.99</v>
      </c>
    </row>
    <row r="2043" spans="1:3" ht="24" customHeight="1">
      <c r="A2043" s="1205" t="s">
        <v>70439</v>
      </c>
      <c r="B2043" s="1205" t="s">
        <v>63347</v>
      </c>
      <c r="C2043" s="1205">
        <v>56.99</v>
      </c>
    </row>
    <row r="2044" spans="1:3" ht="24" customHeight="1">
      <c r="A2044" s="1205" t="s">
        <v>70438</v>
      </c>
      <c r="B2044" s="1205" t="s">
        <v>70437</v>
      </c>
      <c r="C2044" s="1205">
        <v>21.49</v>
      </c>
    </row>
    <row r="2045" spans="1:3" ht="24" customHeight="1">
      <c r="A2045" s="1205" t="s">
        <v>70436</v>
      </c>
      <c r="B2045" s="1205" t="s">
        <v>70434</v>
      </c>
      <c r="C2045" s="1205">
        <v>50.49</v>
      </c>
    </row>
    <row r="2046" spans="1:3" ht="24" customHeight="1">
      <c r="A2046" s="1205" t="s">
        <v>70435</v>
      </c>
      <c r="B2046" s="1205" t="s">
        <v>70434</v>
      </c>
      <c r="C2046" s="1205">
        <v>46.49</v>
      </c>
    </row>
    <row r="2047" spans="1:3" ht="24" customHeight="1">
      <c r="A2047" s="1205" t="s">
        <v>70433</v>
      </c>
      <c r="B2047" s="1205" t="s">
        <v>70432</v>
      </c>
      <c r="C2047" s="1205">
        <v>17.489999999999998</v>
      </c>
    </row>
    <row r="2048" spans="1:3" ht="24" customHeight="1">
      <c r="A2048" s="1205" t="s">
        <v>70431</v>
      </c>
      <c r="B2048" s="1205" t="s">
        <v>70430</v>
      </c>
      <c r="C2048" s="1205">
        <v>34.99</v>
      </c>
    </row>
    <row r="2049" spans="1:3" ht="24" customHeight="1">
      <c r="A2049" s="1205" t="s">
        <v>70429</v>
      </c>
      <c r="B2049" s="1205" t="s">
        <v>70427</v>
      </c>
      <c r="C2049" s="1205">
        <v>57.49</v>
      </c>
    </row>
    <row r="2050" spans="1:3" ht="24" customHeight="1">
      <c r="A2050" s="1205" t="s">
        <v>70428</v>
      </c>
      <c r="B2050" s="1205" t="s">
        <v>70427</v>
      </c>
      <c r="C2050" s="1205">
        <v>54.99</v>
      </c>
    </row>
    <row r="2051" spans="1:3" ht="24" customHeight="1">
      <c r="A2051" s="1205" t="s">
        <v>70426</v>
      </c>
      <c r="B2051" s="1205" t="s">
        <v>70425</v>
      </c>
      <c r="C2051" s="1205">
        <v>29.99</v>
      </c>
    </row>
    <row r="2052" spans="1:3" ht="24" customHeight="1">
      <c r="A2052" s="1205" t="s">
        <v>70424</v>
      </c>
      <c r="B2052" s="1205" t="s">
        <v>70423</v>
      </c>
      <c r="C2052" s="1205">
        <v>16.489999999999998</v>
      </c>
    </row>
    <row r="2053" spans="1:3" ht="24" customHeight="1">
      <c r="A2053" s="1205" t="s">
        <v>70422</v>
      </c>
      <c r="B2053" s="1205" t="s">
        <v>70421</v>
      </c>
      <c r="C2053" s="1205">
        <v>12.99</v>
      </c>
    </row>
    <row r="2054" spans="1:3" ht="24" customHeight="1">
      <c r="A2054" s="1205" t="s">
        <v>70420</v>
      </c>
      <c r="B2054" s="1205" t="s">
        <v>70419</v>
      </c>
      <c r="C2054" s="1205">
        <v>35.99</v>
      </c>
    </row>
    <row r="2055" spans="1:3" ht="24" customHeight="1">
      <c r="A2055" s="1205" t="s">
        <v>70418</v>
      </c>
      <c r="B2055" s="1205" t="s">
        <v>70417</v>
      </c>
      <c r="C2055" s="1205">
        <v>88.99</v>
      </c>
    </row>
    <row r="2056" spans="1:3" ht="24" customHeight="1">
      <c r="A2056" s="1205" t="s">
        <v>70416</v>
      </c>
      <c r="B2056" s="1205" t="s">
        <v>70415</v>
      </c>
      <c r="C2056" s="1205">
        <v>18.989999999999998</v>
      </c>
    </row>
    <row r="2057" spans="1:3" ht="24" customHeight="1">
      <c r="A2057" s="1205" t="s">
        <v>70414</v>
      </c>
      <c r="B2057" s="1205" t="s">
        <v>70413</v>
      </c>
      <c r="C2057" s="1205">
        <v>28.49</v>
      </c>
    </row>
    <row r="2058" spans="1:3" ht="24" customHeight="1">
      <c r="A2058" s="1205" t="s">
        <v>70412</v>
      </c>
      <c r="B2058" s="1205" t="s">
        <v>70404</v>
      </c>
      <c r="C2058" s="1205">
        <v>28.99</v>
      </c>
    </row>
    <row r="2059" spans="1:3" ht="24" customHeight="1">
      <c r="A2059" s="1205" t="s">
        <v>70411</v>
      </c>
      <c r="B2059" s="1205" t="s">
        <v>70410</v>
      </c>
      <c r="C2059" s="1205">
        <v>51.99</v>
      </c>
    </row>
    <row r="2060" spans="1:3" ht="24" customHeight="1">
      <c r="A2060" s="1205" t="s">
        <v>70409</v>
      </c>
      <c r="B2060" s="1205" t="s">
        <v>70408</v>
      </c>
      <c r="C2060" s="1205">
        <v>95.49</v>
      </c>
    </row>
    <row r="2061" spans="1:3" ht="24" customHeight="1">
      <c r="A2061" s="1205" t="s">
        <v>70407</v>
      </c>
      <c r="B2061" s="1205" t="s">
        <v>70406</v>
      </c>
      <c r="C2061" s="1205">
        <v>9.99</v>
      </c>
    </row>
    <row r="2062" spans="1:3" ht="24" customHeight="1">
      <c r="A2062" s="1205" t="s">
        <v>70405</v>
      </c>
      <c r="B2062" s="1205" t="s">
        <v>70404</v>
      </c>
      <c r="C2062" s="1205">
        <v>25.49</v>
      </c>
    </row>
    <row r="2063" spans="1:3" ht="24" customHeight="1">
      <c r="A2063" s="1205" t="s">
        <v>70403</v>
      </c>
      <c r="B2063" s="1205" t="s">
        <v>70402</v>
      </c>
      <c r="C2063" s="1205">
        <v>35.49</v>
      </c>
    </row>
    <row r="2064" spans="1:3" ht="24" customHeight="1">
      <c r="A2064" s="1205" t="s">
        <v>70401</v>
      </c>
      <c r="B2064" s="1205" t="s">
        <v>70400</v>
      </c>
      <c r="C2064" s="1205">
        <v>42.99</v>
      </c>
    </row>
    <row r="2065" spans="1:3" ht="24" customHeight="1">
      <c r="A2065" s="1205" t="s">
        <v>70399</v>
      </c>
      <c r="B2065" s="1205" t="s">
        <v>70398</v>
      </c>
      <c r="C2065" s="1205">
        <v>48.49</v>
      </c>
    </row>
    <row r="2066" spans="1:3" ht="24" customHeight="1">
      <c r="A2066" s="1205" t="s">
        <v>70397</v>
      </c>
      <c r="B2066" s="1205" t="s">
        <v>70396</v>
      </c>
      <c r="C2066" s="1205">
        <v>734.49</v>
      </c>
    </row>
    <row r="2067" spans="1:3" ht="24" customHeight="1">
      <c r="A2067" s="1205" t="s">
        <v>70395</v>
      </c>
      <c r="B2067" s="1205" t="s">
        <v>70394</v>
      </c>
      <c r="C2067" s="1205">
        <v>146.99</v>
      </c>
    </row>
    <row r="2068" spans="1:3" ht="24" customHeight="1">
      <c r="A2068" s="1205" t="s">
        <v>70393</v>
      </c>
      <c r="B2068" s="1205" t="s">
        <v>70392</v>
      </c>
      <c r="C2068" s="1205">
        <v>290.99</v>
      </c>
    </row>
    <row r="2069" spans="1:3" ht="24" customHeight="1">
      <c r="A2069" s="1205" t="s">
        <v>70391</v>
      </c>
      <c r="B2069" s="1205" t="s">
        <v>70390</v>
      </c>
      <c r="C2069" s="1205">
        <v>75.989999999999995</v>
      </c>
    </row>
    <row r="2070" spans="1:3" ht="24" customHeight="1">
      <c r="A2070" s="1205" t="s">
        <v>70389</v>
      </c>
      <c r="B2070" s="1205" t="s">
        <v>70388</v>
      </c>
      <c r="C2070" s="1205">
        <v>70.489999999999995</v>
      </c>
    </row>
    <row r="2071" spans="1:3" ht="24" customHeight="1">
      <c r="A2071" s="1205" t="s">
        <v>70387</v>
      </c>
      <c r="B2071" s="1205" t="s">
        <v>70386</v>
      </c>
      <c r="C2071" s="1205">
        <v>107.49</v>
      </c>
    </row>
    <row r="2072" spans="1:3" ht="24" customHeight="1">
      <c r="A2072" s="1205" t="s">
        <v>70385</v>
      </c>
      <c r="B2072" s="1205" t="s">
        <v>70384</v>
      </c>
      <c r="C2072" s="1205">
        <v>47.49</v>
      </c>
    </row>
    <row r="2073" spans="1:3" ht="24" customHeight="1">
      <c r="A2073" s="1205" t="s">
        <v>70383</v>
      </c>
      <c r="B2073" s="1205" t="s">
        <v>70382</v>
      </c>
      <c r="C2073" s="1205">
        <v>951.99</v>
      </c>
    </row>
    <row r="2074" spans="1:3" ht="24" customHeight="1">
      <c r="A2074" s="1205" t="s">
        <v>70381</v>
      </c>
      <c r="B2074" s="1205" t="s">
        <v>70380</v>
      </c>
      <c r="C2074" s="1205">
        <v>153.99</v>
      </c>
    </row>
    <row r="2075" spans="1:3" ht="24" customHeight="1">
      <c r="A2075" s="1205" t="s">
        <v>70379</v>
      </c>
      <c r="B2075" s="1205" t="s">
        <v>70378</v>
      </c>
      <c r="C2075" s="1205">
        <v>53.99</v>
      </c>
    </row>
    <row r="2076" spans="1:3" ht="24" customHeight="1">
      <c r="A2076" s="1205" t="s">
        <v>70377</v>
      </c>
      <c r="B2076" s="1205" t="s">
        <v>70376</v>
      </c>
      <c r="C2076" s="1205">
        <v>91.99</v>
      </c>
    </row>
    <row r="2077" spans="1:3" ht="24" customHeight="1">
      <c r="A2077" s="1205" t="s">
        <v>70375</v>
      </c>
      <c r="B2077" s="1205" t="s">
        <v>70351</v>
      </c>
      <c r="C2077" s="1205">
        <v>50.99</v>
      </c>
    </row>
    <row r="2078" spans="1:3" ht="24" customHeight="1">
      <c r="A2078" s="1205" t="s">
        <v>70374</v>
      </c>
      <c r="B2078" s="1205" t="s">
        <v>70373</v>
      </c>
      <c r="C2078" s="1205">
        <v>65.489999999999995</v>
      </c>
    </row>
    <row r="2079" spans="1:3" ht="24" customHeight="1">
      <c r="A2079" s="1205" t="s">
        <v>70372</v>
      </c>
      <c r="B2079" s="1205" t="s">
        <v>70370</v>
      </c>
      <c r="C2079" s="1205">
        <v>72.489999999999995</v>
      </c>
    </row>
    <row r="2080" spans="1:3" ht="24" customHeight="1">
      <c r="A2080" s="1205" t="s">
        <v>70371</v>
      </c>
      <c r="B2080" s="1205" t="s">
        <v>70370</v>
      </c>
      <c r="C2080" s="1205">
        <v>71.489999999999995</v>
      </c>
    </row>
    <row r="2081" spans="1:3" ht="24" customHeight="1">
      <c r="A2081" s="1205" t="s">
        <v>70369</v>
      </c>
      <c r="B2081" s="1205" t="s">
        <v>70368</v>
      </c>
      <c r="C2081" s="1205">
        <v>59.99</v>
      </c>
    </row>
    <row r="2082" spans="1:3" ht="24" customHeight="1">
      <c r="A2082" s="1205" t="s">
        <v>70367</v>
      </c>
      <c r="B2082" s="1205" t="s">
        <v>70365</v>
      </c>
      <c r="C2082" s="1205">
        <v>55.99</v>
      </c>
    </row>
    <row r="2083" spans="1:3" ht="24" customHeight="1">
      <c r="A2083" s="1205" t="s">
        <v>70366</v>
      </c>
      <c r="B2083" s="1205" t="s">
        <v>70365</v>
      </c>
      <c r="C2083" s="1205">
        <v>53.99</v>
      </c>
    </row>
    <row r="2084" spans="1:3" ht="24" customHeight="1">
      <c r="A2084" s="1205" t="s">
        <v>70364</v>
      </c>
      <c r="B2084" s="1205" t="s">
        <v>70351</v>
      </c>
      <c r="C2084" s="1205">
        <v>46.99</v>
      </c>
    </row>
    <row r="2085" spans="1:3" ht="24" customHeight="1">
      <c r="A2085" s="1205" t="s">
        <v>70363</v>
      </c>
      <c r="B2085" s="1205" t="s">
        <v>70362</v>
      </c>
      <c r="C2085" s="1205">
        <v>77.989999999999995</v>
      </c>
    </row>
    <row r="2086" spans="1:3" ht="24" customHeight="1">
      <c r="A2086" s="1205" t="s">
        <v>70361</v>
      </c>
      <c r="B2086" s="1205" t="s">
        <v>70360</v>
      </c>
      <c r="C2086" s="1205">
        <v>91.49</v>
      </c>
    </row>
    <row r="2087" spans="1:3" ht="24" customHeight="1">
      <c r="A2087" s="1205" t="s">
        <v>70359</v>
      </c>
      <c r="B2087" s="1205" t="s">
        <v>70358</v>
      </c>
      <c r="C2087" s="1205">
        <v>72.989999999999995</v>
      </c>
    </row>
    <row r="2088" spans="1:3" ht="24" customHeight="1">
      <c r="A2088" s="1205" t="s">
        <v>70357</v>
      </c>
      <c r="B2088" s="1205" t="s">
        <v>70351</v>
      </c>
      <c r="C2088" s="1205">
        <v>74.489999999999995</v>
      </c>
    </row>
    <row r="2089" spans="1:3" ht="24" customHeight="1">
      <c r="A2089" s="1205" t="s">
        <v>70356</v>
      </c>
      <c r="B2089" s="1205" t="s">
        <v>70355</v>
      </c>
      <c r="C2089" s="1205">
        <v>87.99</v>
      </c>
    </row>
    <row r="2090" spans="1:3" ht="24" customHeight="1">
      <c r="A2090" s="1205" t="s">
        <v>70354</v>
      </c>
      <c r="B2090" s="1205" t="s">
        <v>70353</v>
      </c>
      <c r="C2090" s="1205">
        <v>69.489999999999995</v>
      </c>
    </row>
    <row r="2091" spans="1:3" ht="24" customHeight="1">
      <c r="A2091" s="1205" t="s">
        <v>70352</v>
      </c>
      <c r="B2091" s="1205" t="s">
        <v>70351</v>
      </c>
      <c r="C2091" s="1205">
        <v>56.49</v>
      </c>
    </row>
    <row r="2092" spans="1:3" ht="24" customHeight="1">
      <c r="A2092" s="1205" t="s">
        <v>70350</v>
      </c>
      <c r="B2092" s="1205" t="s">
        <v>70349</v>
      </c>
      <c r="C2092" s="1205">
        <v>184.99</v>
      </c>
    </row>
    <row r="2093" spans="1:3" ht="24" customHeight="1">
      <c r="A2093" s="1205" t="s">
        <v>70348</v>
      </c>
      <c r="B2093" s="1205" t="s">
        <v>70347</v>
      </c>
      <c r="C2093" s="1205">
        <v>98.49</v>
      </c>
    </row>
    <row r="2094" spans="1:3" ht="24" customHeight="1">
      <c r="A2094" s="1205" t="s">
        <v>70346</v>
      </c>
      <c r="B2094" s="1205" t="s">
        <v>70345</v>
      </c>
      <c r="C2094" s="1205">
        <v>89.49</v>
      </c>
    </row>
    <row r="2095" spans="1:3" ht="24" customHeight="1">
      <c r="A2095" s="1205" t="s">
        <v>70344</v>
      </c>
      <c r="B2095" s="1205" t="s">
        <v>70343</v>
      </c>
      <c r="C2095" s="1205">
        <v>95.49</v>
      </c>
    </row>
    <row r="2096" spans="1:3" ht="24" customHeight="1">
      <c r="A2096" s="1205" t="s">
        <v>70342</v>
      </c>
      <c r="B2096" s="1205" t="s">
        <v>70341</v>
      </c>
      <c r="C2096" s="1205">
        <v>116.49</v>
      </c>
    </row>
    <row r="2097" spans="1:3" ht="24" customHeight="1">
      <c r="A2097" s="1205" t="s">
        <v>70340</v>
      </c>
      <c r="B2097" s="1205" t="s">
        <v>70339</v>
      </c>
      <c r="C2097" s="1205">
        <v>118.99</v>
      </c>
    </row>
    <row r="2098" spans="1:3" ht="24" customHeight="1">
      <c r="A2098" s="1205" t="s">
        <v>70338</v>
      </c>
      <c r="B2098" s="1205" t="s">
        <v>70337</v>
      </c>
      <c r="C2098" s="1205">
        <v>129.49</v>
      </c>
    </row>
    <row r="2099" spans="1:3" ht="24" customHeight="1">
      <c r="A2099" s="1205" t="s">
        <v>70336</v>
      </c>
      <c r="B2099" s="1205" t="s">
        <v>70335</v>
      </c>
      <c r="C2099" s="1205">
        <v>125.99</v>
      </c>
    </row>
    <row r="2100" spans="1:3" ht="24" customHeight="1">
      <c r="A2100" s="1205" t="s">
        <v>70334</v>
      </c>
      <c r="B2100" s="1205" t="s">
        <v>70333</v>
      </c>
      <c r="C2100" s="1205">
        <v>42.49</v>
      </c>
    </row>
    <row r="2101" spans="1:3" ht="24" customHeight="1">
      <c r="A2101" s="1205" t="s">
        <v>70332</v>
      </c>
      <c r="B2101" s="1205" t="s">
        <v>70331</v>
      </c>
      <c r="C2101" s="1205">
        <v>110.99</v>
      </c>
    </row>
    <row r="2102" spans="1:3" ht="24" customHeight="1">
      <c r="A2102" s="1205" t="s">
        <v>70330</v>
      </c>
      <c r="B2102" s="1205" t="s">
        <v>70329</v>
      </c>
      <c r="C2102" s="1205">
        <v>177.49</v>
      </c>
    </row>
    <row r="2103" spans="1:3" ht="24" customHeight="1">
      <c r="A2103" s="1205" t="s">
        <v>70328</v>
      </c>
      <c r="B2103" s="1205" t="s">
        <v>70327</v>
      </c>
      <c r="C2103" s="1205">
        <v>119.99</v>
      </c>
    </row>
    <row r="2104" spans="1:3" ht="24" customHeight="1">
      <c r="A2104" s="1205" t="s">
        <v>70326</v>
      </c>
      <c r="B2104" s="1205" t="s">
        <v>70325</v>
      </c>
      <c r="C2104" s="1205">
        <v>156.99</v>
      </c>
    </row>
    <row r="2105" spans="1:3" ht="24" customHeight="1">
      <c r="A2105" s="1205" t="s">
        <v>70324</v>
      </c>
      <c r="B2105" s="1205" t="s">
        <v>70323</v>
      </c>
      <c r="C2105" s="1205">
        <v>89.99</v>
      </c>
    </row>
    <row r="2106" spans="1:3" ht="24" customHeight="1">
      <c r="A2106" s="1205" t="s">
        <v>70322</v>
      </c>
      <c r="B2106" s="1205" t="s">
        <v>70321</v>
      </c>
      <c r="C2106" s="1205">
        <v>24.49</v>
      </c>
    </row>
    <row r="2107" spans="1:3" ht="24" customHeight="1">
      <c r="A2107" s="1205" t="s">
        <v>70320</v>
      </c>
      <c r="B2107" s="1205" t="s">
        <v>70319</v>
      </c>
      <c r="C2107" s="1205">
        <v>30.49</v>
      </c>
    </row>
    <row r="2108" spans="1:3" ht="24" customHeight="1">
      <c r="A2108" s="1205" t="s">
        <v>70318</v>
      </c>
      <c r="B2108" s="1205" t="s">
        <v>70317</v>
      </c>
      <c r="C2108" s="1205">
        <v>36.49</v>
      </c>
    </row>
    <row r="2109" spans="1:3" ht="24" customHeight="1">
      <c r="A2109" s="1205" t="s">
        <v>70316</v>
      </c>
      <c r="B2109" s="1205" t="s">
        <v>70315</v>
      </c>
      <c r="C2109" s="1205">
        <v>13.49</v>
      </c>
    </row>
    <row r="2110" spans="1:3" ht="24" customHeight="1">
      <c r="A2110" s="1205" t="s">
        <v>70314</v>
      </c>
      <c r="B2110" s="1205" t="s">
        <v>70313</v>
      </c>
      <c r="C2110" s="1205">
        <v>11.49</v>
      </c>
    </row>
    <row r="2111" spans="1:3" ht="24" customHeight="1">
      <c r="A2111" s="1205" t="s">
        <v>70312</v>
      </c>
      <c r="B2111" s="1205" t="s">
        <v>70311</v>
      </c>
      <c r="C2111" s="1205">
        <v>9.99</v>
      </c>
    </row>
    <row r="2112" spans="1:3" ht="24" customHeight="1">
      <c r="A2112" s="1205" t="s">
        <v>70310</v>
      </c>
      <c r="B2112" s="1205" t="s">
        <v>70309</v>
      </c>
      <c r="C2112" s="1205">
        <v>55.99</v>
      </c>
    </row>
    <row r="2113" spans="1:3" ht="24" customHeight="1">
      <c r="A2113" s="1205" t="s">
        <v>70308</v>
      </c>
      <c r="B2113" s="1205" t="s">
        <v>70307</v>
      </c>
      <c r="C2113" s="1205">
        <v>24.49</v>
      </c>
    </row>
    <row r="2114" spans="1:3" ht="24" customHeight="1">
      <c r="A2114" s="1205" t="s">
        <v>70306</v>
      </c>
      <c r="B2114" s="1205" t="s">
        <v>70305</v>
      </c>
      <c r="C2114" s="1205">
        <v>48.99</v>
      </c>
    </row>
    <row r="2115" spans="1:3" ht="24" customHeight="1">
      <c r="A2115" s="1205" t="s">
        <v>70304</v>
      </c>
      <c r="B2115" s="1205" t="s">
        <v>70303</v>
      </c>
      <c r="C2115" s="1205">
        <v>21.99</v>
      </c>
    </row>
    <row r="2116" spans="1:3" ht="24" customHeight="1">
      <c r="A2116" s="1205" t="s">
        <v>70302</v>
      </c>
      <c r="B2116" s="1205" t="s">
        <v>70301</v>
      </c>
      <c r="C2116" s="1205">
        <v>29.49</v>
      </c>
    </row>
    <row r="2117" spans="1:3" ht="24" customHeight="1">
      <c r="A2117" s="1205" t="s">
        <v>70300</v>
      </c>
      <c r="B2117" s="1205" t="s">
        <v>70299</v>
      </c>
      <c r="C2117" s="1205">
        <v>24.49</v>
      </c>
    </row>
    <row r="2118" spans="1:3" ht="24" customHeight="1">
      <c r="A2118" s="1205" t="s">
        <v>70298</v>
      </c>
      <c r="B2118" s="1205" t="s">
        <v>70297</v>
      </c>
      <c r="C2118" s="1205">
        <v>31.49</v>
      </c>
    </row>
    <row r="2119" spans="1:3" ht="24" customHeight="1">
      <c r="A2119" s="1205" t="s">
        <v>70296</v>
      </c>
      <c r="B2119" s="1205" t="s">
        <v>70295</v>
      </c>
      <c r="C2119" s="1205">
        <v>26.49</v>
      </c>
    </row>
    <row r="2120" spans="1:3" ht="24" customHeight="1">
      <c r="A2120" s="1205" t="s">
        <v>70294</v>
      </c>
      <c r="B2120" s="1205" t="s">
        <v>70293</v>
      </c>
      <c r="C2120" s="1205">
        <v>13.49</v>
      </c>
    </row>
    <row r="2121" spans="1:3" ht="24" customHeight="1">
      <c r="A2121" s="1205" t="s">
        <v>70292</v>
      </c>
      <c r="B2121" s="1205" t="s">
        <v>70291</v>
      </c>
      <c r="C2121" s="1205">
        <v>35.99</v>
      </c>
    </row>
    <row r="2122" spans="1:3" ht="24" customHeight="1">
      <c r="A2122" s="1205" t="s">
        <v>70290</v>
      </c>
      <c r="B2122" s="1205" t="s">
        <v>70289</v>
      </c>
      <c r="C2122" s="1205">
        <v>14.99</v>
      </c>
    </row>
    <row r="2123" spans="1:3" ht="24" customHeight="1">
      <c r="A2123" s="1205" t="s">
        <v>70288</v>
      </c>
      <c r="B2123" s="1205" t="s">
        <v>70287</v>
      </c>
      <c r="C2123" s="1205">
        <v>14.49</v>
      </c>
    </row>
    <row r="2124" spans="1:3" ht="24" customHeight="1">
      <c r="A2124" s="1205" t="s">
        <v>70286</v>
      </c>
      <c r="B2124" s="1205" t="s">
        <v>63315</v>
      </c>
      <c r="C2124" s="1205">
        <v>10.49</v>
      </c>
    </row>
    <row r="2125" spans="1:3" ht="24" customHeight="1">
      <c r="A2125" s="1205" t="s">
        <v>70285</v>
      </c>
      <c r="B2125" s="1205" t="s">
        <v>70284</v>
      </c>
      <c r="C2125" s="1205">
        <v>14.99</v>
      </c>
    </row>
    <row r="2126" spans="1:3" ht="24" customHeight="1">
      <c r="A2126" s="1205" t="s">
        <v>70283</v>
      </c>
      <c r="B2126" s="1205" t="s">
        <v>63315</v>
      </c>
      <c r="C2126" s="1205">
        <v>13.99</v>
      </c>
    </row>
    <row r="2127" spans="1:3" ht="24" customHeight="1">
      <c r="A2127" s="1205" t="s">
        <v>70282</v>
      </c>
      <c r="B2127" s="1205" t="s">
        <v>70281</v>
      </c>
      <c r="C2127" s="1205">
        <v>36.49</v>
      </c>
    </row>
    <row r="2128" spans="1:3" ht="24" customHeight="1">
      <c r="A2128" s="1205" t="s">
        <v>70280</v>
      </c>
      <c r="B2128" s="1205" t="s">
        <v>70279</v>
      </c>
      <c r="C2128" s="1205">
        <v>11.99</v>
      </c>
    </row>
    <row r="2129" spans="1:3" ht="24" customHeight="1">
      <c r="A2129" s="1205" t="s">
        <v>70278</v>
      </c>
      <c r="B2129" s="1205" t="s">
        <v>70277</v>
      </c>
      <c r="C2129" s="1205">
        <v>13.49</v>
      </c>
    </row>
    <row r="2130" spans="1:3" ht="24" customHeight="1">
      <c r="A2130" s="1205" t="s">
        <v>70276</v>
      </c>
      <c r="B2130" s="1205" t="s">
        <v>70264</v>
      </c>
      <c r="C2130" s="1205">
        <v>16.989999999999998</v>
      </c>
    </row>
    <row r="2131" spans="1:3" ht="24" customHeight="1">
      <c r="A2131" s="1205" t="s">
        <v>70275</v>
      </c>
      <c r="B2131" s="1205" t="s">
        <v>70274</v>
      </c>
      <c r="C2131" s="1205">
        <v>13.99</v>
      </c>
    </row>
    <row r="2132" spans="1:3" ht="24" customHeight="1">
      <c r="A2132" s="1205" t="s">
        <v>70273</v>
      </c>
      <c r="B2132" s="1205" t="s">
        <v>70272</v>
      </c>
      <c r="C2132" s="1205">
        <v>145.99</v>
      </c>
    </row>
    <row r="2133" spans="1:3" ht="24" customHeight="1">
      <c r="A2133" s="1205" t="s">
        <v>70271</v>
      </c>
      <c r="B2133" s="1205" t="s">
        <v>70270</v>
      </c>
      <c r="C2133" s="1205">
        <v>170.99</v>
      </c>
    </row>
    <row r="2134" spans="1:3" ht="24" customHeight="1">
      <c r="A2134" s="1205" t="s">
        <v>70269</v>
      </c>
      <c r="B2134" s="1205" t="s">
        <v>70268</v>
      </c>
      <c r="C2134" s="1205">
        <v>170.99</v>
      </c>
    </row>
    <row r="2135" spans="1:3" ht="24" customHeight="1">
      <c r="A2135" s="1205" t="s">
        <v>70267</v>
      </c>
      <c r="B2135" s="1205" t="s">
        <v>70266</v>
      </c>
      <c r="C2135" s="1205">
        <v>170.99</v>
      </c>
    </row>
    <row r="2136" spans="1:3" ht="24" customHeight="1">
      <c r="A2136" s="1205" t="s">
        <v>70265</v>
      </c>
      <c r="B2136" s="1205" t="s">
        <v>70264</v>
      </c>
      <c r="C2136" s="1205">
        <v>13.99</v>
      </c>
    </row>
    <row r="2137" spans="1:3" ht="24" customHeight="1">
      <c r="A2137" s="1205" t="s">
        <v>70263</v>
      </c>
      <c r="B2137" s="1205" t="s">
        <v>70262</v>
      </c>
      <c r="C2137" s="1205">
        <v>45.99</v>
      </c>
    </row>
    <row r="2138" spans="1:3" ht="24" customHeight="1">
      <c r="A2138" s="1205" t="s">
        <v>70261</v>
      </c>
      <c r="B2138" s="1205" t="s">
        <v>70260</v>
      </c>
      <c r="C2138" s="1205">
        <v>45.49</v>
      </c>
    </row>
    <row r="2139" spans="1:3" ht="24" customHeight="1">
      <c r="A2139" s="1205" t="s">
        <v>70259</v>
      </c>
      <c r="B2139" s="1205" t="s">
        <v>70258</v>
      </c>
      <c r="C2139" s="1205">
        <v>10.99</v>
      </c>
    </row>
    <row r="2140" spans="1:3" ht="24" customHeight="1">
      <c r="A2140" s="1205" t="s">
        <v>70257</v>
      </c>
      <c r="B2140" s="1205" t="s">
        <v>70256</v>
      </c>
      <c r="C2140" s="1205">
        <v>34.99</v>
      </c>
    </row>
    <row r="2141" spans="1:3" ht="24" customHeight="1">
      <c r="A2141" s="1205" t="s">
        <v>70255</v>
      </c>
      <c r="B2141" s="1205" t="s">
        <v>70254</v>
      </c>
      <c r="C2141" s="1205">
        <v>29.49</v>
      </c>
    </row>
    <row r="2142" spans="1:3" ht="24" customHeight="1">
      <c r="A2142" s="1205" t="s">
        <v>70253</v>
      </c>
      <c r="B2142" s="1205" t="s">
        <v>70252</v>
      </c>
      <c r="C2142" s="1205">
        <v>30.99</v>
      </c>
    </row>
    <row r="2143" spans="1:3" ht="24" customHeight="1">
      <c r="A2143" s="1205" t="s">
        <v>70251</v>
      </c>
      <c r="B2143" s="1205" t="s">
        <v>70250</v>
      </c>
      <c r="C2143" s="1205">
        <v>27.49</v>
      </c>
    </row>
    <row r="2144" spans="1:3" ht="24" customHeight="1">
      <c r="A2144" s="1205" t="s">
        <v>70249</v>
      </c>
      <c r="B2144" s="1205" t="s">
        <v>70241</v>
      </c>
      <c r="C2144" s="1205">
        <v>15.99</v>
      </c>
    </row>
    <row r="2145" spans="1:3" ht="24" customHeight="1">
      <c r="A2145" s="1205" t="s">
        <v>70248</v>
      </c>
      <c r="B2145" s="1205" t="s">
        <v>70247</v>
      </c>
      <c r="C2145" s="1205">
        <v>19.489999999999998</v>
      </c>
    </row>
    <row r="2146" spans="1:3" ht="24" customHeight="1">
      <c r="A2146" s="1205" t="s">
        <v>70246</v>
      </c>
      <c r="B2146" s="1205" t="s">
        <v>70245</v>
      </c>
      <c r="C2146" s="1205">
        <v>16.989999999999998</v>
      </c>
    </row>
    <row r="2147" spans="1:3" ht="24" customHeight="1">
      <c r="A2147" s="1205" t="s">
        <v>70244</v>
      </c>
      <c r="B2147" s="1205" t="s">
        <v>70243</v>
      </c>
      <c r="C2147" s="1205">
        <v>11.49</v>
      </c>
    </row>
    <row r="2148" spans="1:3" ht="24" customHeight="1">
      <c r="A2148" s="1205" t="s">
        <v>70242</v>
      </c>
      <c r="B2148" s="1205" t="s">
        <v>70241</v>
      </c>
      <c r="C2148" s="1205">
        <v>13.49</v>
      </c>
    </row>
    <row r="2149" spans="1:3" ht="24" customHeight="1">
      <c r="A2149" s="1205" t="s">
        <v>70240</v>
      </c>
      <c r="B2149" s="1205" t="s">
        <v>70237</v>
      </c>
      <c r="C2149" s="1205">
        <v>69.989999999999995</v>
      </c>
    </row>
    <row r="2150" spans="1:3" ht="24" customHeight="1">
      <c r="A2150" s="1205" t="s">
        <v>70239</v>
      </c>
      <c r="B2150" s="1205" t="s">
        <v>70237</v>
      </c>
      <c r="C2150" s="1205">
        <v>65.989999999999995</v>
      </c>
    </row>
    <row r="2151" spans="1:3" ht="24" customHeight="1">
      <c r="A2151" s="1205" t="s">
        <v>70238</v>
      </c>
      <c r="B2151" s="1205" t="s">
        <v>70237</v>
      </c>
      <c r="C2151" s="1205">
        <v>78.989999999999995</v>
      </c>
    </row>
    <row r="2152" spans="1:3" ht="24" customHeight="1">
      <c r="A2152" s="1205" t="s">
        <v>70236</v>
      </c>
      <c r="B2152" s="1205" t="s">
        <v>70235</v>
      </c>
      <c r="C2152" s="1205">
        <v>70.989999999999995</v>
      </c>
    </row>
    <row r="2153" spans="1:3" ht="24" customHeight="1">
      <c r="A2153" s="1205" t="s">
        <v>70234</v>
      </c>
      <c r="B2153" s="1205" t="s">
        <v>70233</v>
      </c>
      <c r="C2153" s="1205">
        <v>70.489999999999995</v>
      </c>
    </row>
    <row r="2154" spans="1:3" ht="24" customHeight="1">
      <c r="A2154" s="1205" t="s">
        <v>70232</v>
      </c>
      <c r="B2154" s="1205" t="s">
        <v>70231</v>
      </c>
      <c r="C2154" s="1205">
        <v>74.489999999999995</v>
      </c>
    </row>
    <row r="2155" spans="1:3" ht="24" customHeight="1">
      <c r="A2155" s="1205" t="s">
        <v>70230</v>
      </c>
      <c r="B2155" s="1205" t="s">
        <v>70229</v>
      </c>
      <c r="C2155" s="1205">
        <v>80.489999999999995</v>
      </c>
    </row>
    <row r="2156" spans="1:3" ht="24" customHeight="1">
      <c r="A2156" s="1205" t="s">
        <v>70228</v>
      </c>
      <c r="B2156" s="1205" t="s">
        <v>70227</v>
      </c>
      <c r="C2156" s="1205">
        <v>104.99</v>
      </c>
    </row>
    <row r="2157" spans="1:3" ht="24" customHeight="1">
      <c r="A2157" s="1205" t="s">
        <v>70226</v>
      </c>
      <c r="B2157" s="1205" t="s">
        <v>70225</v>
      </c>
      <c r="C2157" s="1205">
        <v>73.489999999999995</v>
      </c>
    </row>
    <row r="2158" spans="1:3" ht="24" customHeight="1">
      <c r="A2158" s="1205" t="s">
        <v>70224</v>
      </c>
      <c r="B2158" s="1205" t="s">
        <v>63115</v>
      </c>
      <c r="C2158" s="1205">
        <v>54.49</v>
      </c>
    </row>
    <row r="2159" spans="1:3" ht="24" customHeight="1">
      <c r="A2159" s="1205" t="s">
        <v>70223</v>
      </c>
      <c r="B2159" s="1205" t="s">
        <v>63106</v>
      </c>
      <c r="C2159" s="1205">
        <v>62.99</v>
      </c>
    </row>
    <row r="2160" spans="1:3" ht="24" customHeight="1">
      <c r="A2160" s="1205" t="s">
        <v>70222</v>
      </c>
      <c r="B2160" s="1205" t="s">
        <v>70221</v>
      </c>
      <c r="C2160" s="1205">
        <v>63.99</v>
      </c>
    </row>
    <row r="2161" spans="1:3" ht="24" customHeight="1">
      <c r="A2161" s="1205" t="s">
        <v>70220</v>
      </c>
      <c r="B2161" s="1205" t="s">
        <v>70219</v>
      </c>
      <c r="C2161" s="1205">
        <v>66.989999999999995</v>
      </c>
    </row>
    <row r="2162" spans="1:3" ht="24" customHeight="1">
      <c r="A2162" s="1205" t="s">
        <v>70218</v>
      </c>
      <c r="B2162" s="1205" t="s">
        <v>70217</v>
      </c>
      <c r="C2162" s="1205">
        <v>63.99</v>
      </c>
    </row>
    <row r="2163" spans="1:3" ht="24" customHeight="1">
      <c r="A2163" s="1205" t="s">
        <v>70216</v>
      </c>
      <c r="B2163" s="1205" t="s">
        <v>70215</v>
      </c>
      <c r="C2163" s="1205">
        <v>60.99</v>
      </c>
    </row>
    <row r="2164" spans="1:3" ht="24" customHeight="1">
      <c r="A2164" s="1205" t="s">
        <v>70214</v>
      </c>
      <c r="B2164" s="1205" t="s">
        <v>70166</v>
      </c>
      <c r="C2164" s="1205">
        <v>62.49</v>
      </c>
    </row>
    <row r="2165" spans="1:3" ht="24" customHeight="1">
      <c r="A2165" s="1205" t="s">
        <v>70213</v>
      </c>
      <c r="B2165" s="1205" t="s">
        <v>63104</v>
      </c>
      <c r="C2165" s="1205">
        <v>64.989999999999995</v>
      </c>
    </row>
    <row r="2166" spans="1:3" ht="24" customHeight="1">
      <c r="A2166" s="1205" t="s">
        <v>70212</v>
      </c>
      <c r="B2166" s="1205" t="s">
        <v>70210</v>
      </c>
      <c r="C2166" s="1205">
        <v>91.49</v>
      </c>
    </row>
    <row r="2167" spans="1:3" ht="24" customHeight="1">
      <c r="A2167" s="1205" t="s">
        <v>70211</v>
      </c>
      <c r="B2167" s="1205" t="s">
        <v>70210</v>
      </c>
      <c r="C2167" s="1205">
        <v>87.49</v>
      </c>
    </row>
    <row r="2168" spans="1:3" ht="24" customHeight="1">
      <c r="A2168" s="1205" t="s">
        <v>70209</v>
      </c>
      <c r="B2168" s="1205" t="s">
        <v>70208</v>
      </c>
      <c r="C2168" s="1205">
        <v>169.49</v>
      </c>
    </row>
    <row r="2169" spans="1:3" ht="24" customHeight="1">
      <c r="A2169" s="1205" t="s">
        <v>70207</v>
      </c>
      <c r="B2169" s="1205" t="s">
        <v>70206</v>
      </c>
      <c r="C2169" s="1205">
        <v>246.49</v>
      </c>
    </row>
    <row r="2170" spans="1:3" ht="24" customHeight="1">
      <c r="A2170" s="1205" t="s">
        <v>70205</v>
      </c>
      <c r="B2170" s="1205" t="s">
        <v>70204</v>
      </c>
      <c r="C2170" s="1205">
        <v>241.49</v>
      </c>
    </row>
    <row r="2171" spans="1:3" ht="24" customHeight="1">
      <c r="A2171" s="1205" t="s">
        <v>70203</v>
      </c>
      <c r="B2171" s="1205" t="s">
        <v>70202</v>
      </c>
      <c r="C2171" s="1205">
        <v>102.99</v>
      </c>
    </row>
    <row r="2172" spans="1:3" ht="24" customHeight="1">
      <c r="A2172" s="1205" t="s">
        <v>70201</v>
      </c>
      <c r="B2172" s="1205" t="s">
        <v>70200</v>
      </c>
      <c r="C2172" s="1205">
        <v>129.99</v>
      </c>
    </row>
    <row r="2173" spans="1:3" ht="24" customHeight="1">
      <c r="A2173" s="1205" t="s">
        <v>70199</v>
      </c>
      <c r="B2173" s="1205" t="s">
        <v>70198</v>
      </c>
      <c r="C2173" s="1205">
        <v>98.99</v>
      </c>
    </row>
    <row r="2174" spans="1:3" ht="24" customHeight="1">
      <c r="A2174" s="1205" t="s">
        <v>70197</v>
      </c>
      <c r="B2174" s="1205" t="s">
        <v>70171</v>
      </c>
      <c r="C2174" s="1205">
        <v>112.49</v>
      </c>
    </row>
    <row r="2175" spans="1:3" ht="24" customHeight="1">
      <c r="A2175" s="1205" t="s">
        <v>70196</v>
      </c>
      <c r="B2175" s="1205" t="s">
        <v>70195</v>
      </c>
      <c r="C2175" s="1205">
        <v>189.99</v>
      </c>
    </row>
    <row r="2176" spans="1:3" ht="24" customHeight="1">
      <c r="A2176" s="1205" t="s">
        <v>70194</v>
      </c>
      <c r="B2176" s="1205" t="s">
        <v>70193</v>
      </c>
      <c r="C2176" s="1205">
        <v>77.989999999999995</v>
      </c>
    </row>
    <row r="2177" spans="1:3" ht="24" customHeight="1">
      <c r="A2177" s="1205" t="s">
        <v>70192</v>
      </c>
      <c r="B2177" s="1205" t="s">
        <v>70191</v>
      </c>
      <c r="C2177" s="1205">
        <v>69.489999999999995</v>
      </c>
    </row>
    <row r="2178" spans="1:3" ht="24" customHeight="1">
      <c r="A2178" s="1205" t="s">
        <v>70190</v>
      </c>
      <c r="B2178" s="1205" t="s">
        <v>70189</v>
      </c>
      <c r="C2178" s="1205">
        <v>128.49</v>
      </c>
    </row>
    <row r="2179" spans="1:3" ht="24" customHeight="1">
      <c r="A2179" s="1205" t="s">
        <v>70188</v>
      </c>
      <c r="B2179" s="1205" t="s">
        <v>66594</v>
      </c>
      <c r="C2179" s="1205">
        <v>89.49</v>
      </c>
    </row>
    <row r="2180" spans="1:3" ht="24" customHeight="1">
      <c r="A2180" s="1205" t="s">
        <v>70187</v>
      </c>
      <c r="B2180" s="1205" t="s">
        <v>70186</v>
      </c>
      <c r="C2180" s="1205">
        <v>74.989999999999995</v>
      </c>
    </row>
    <row r="2181" spans="1:3" ht="24" customHeight="1">
      <c r="A2181" s="1205" t="s">
        <v>70185</v>
      </c>
      <c r="B2181" s="1205" t="s">
        <v>70184</v>
      </c>
      <c r="C2181" s="1205">
        <v>136.99</v>
      </c>
    </row>
    <row r="2182" spans="1:3" ht="24" customHeight="1">
      <c r="A2182" s="1205" t="s">
        <v>70183</v>
      </c>
      <c r="B2182" s="1205" t="s">
        <v>70182</v>
      </c>
      <c r="C2182" s="1205">
        <v>74.489999999999995</v>
      </c>
    </row>
    <row r="2183" spans="1:3" ht="24" customHeight="1">
      <c r="A2183" s="1205" t="s">
        <v>70181</v>
      </c>
      <c r="B2183" s="1205" t="s">
        <v>70180</v>
      </c>
      <c r="C2183" s="1205">
        <v>119.99</v>
      </c>
    </row>
    <row r="2184" spans="1:3" ht="24" customHeight="1">
      <c r="A2184" s="1205" t="s">
        <v>70179</v>
      </c>
      <c r="B2184" s="1205" t="s">
        <v>70178</v>
      </c>
      <c r="C2184" s="1205">
        <v>124.49</v>
      </c>
    </row>
    <row r="2185" spans="1:3" ht="24" customHeight="1">
      <c r="A2185" s="1205" t="s">
        <v>70177</v>
      </c>
      <c r="B2185" s="1205" t="s">
        <v>70175</v>
      </c>
      <c r="C2185" s="1205">
        <v>120.49</v>
      </c>
    </row>
    <row r="2186" spans="1:3" ht="24" customHeight="1">
      <c r="A2186" s="1205" t="s">
        <v>70176</v>
      </c>
      <c r="B2186" s="1205" t="s">
        <v>70175</v>
      </c>
      <c r="C2186" s="1205">
        <v>124.99</v>
      </c>
    </row>
    <row r="2187" spans="1:3" ht="24" customHeight="1">
      <c r="A2187" s="1205" t="s">
        <v>70174</v>
      </c>
      <c r="B2187" s="1205" t="s">
        <v>70173</v>
      </c>
      <c r="C2187" s="1205">
        <v>93.99</v>
      </c>
    </row>
    <row r="2188" spans="1:3" ht="24" customHeight="1">
      <c r="A2188" s="1205" t="s">
        <v>70172</v>
      </c>
      <c r="B2188" s="1205" t="s">
        <v>70171</v>
      </c>
      <c r="C2188" s="1205">
        <v>102.99</v>
      </c>
    </row>
    <row r="2189" spans="1:3" ht="24" customHeight="1">
      <c r="A2189" s="1205" t="s">
        <v>70170</v>
      </c>
      <c r="B2189" s="1205" t="s">
        <v>63080</v>
      </c>
      <c r="C2189" s="1205">
        <v>69.489999999999995</v>
      </c>
    </row>
    <row r="2190" spans="1:3" ht="24" customHeight="1">
      <c r="A2190" s="1205" t="s">
        <v>70169</v>
      </c>
      <c r="B2190" s="1205" t="s">
        <v>70168</v>
      </c>
      <c r="C2190" s="1205">
        <v>71.489999999999995</v>
      </c>
    </row>
    <row r="2191" spans="1:3" ht="24" customHeight="1">
      <c r="A2191" s="1205" t="s">
        <v>70167</v>
      </c>
      <c r="B2191" s="1205" t="s">
        <v>70166</v>
      </c>
      <c r="C2191" s="1205">
        <v>69.489999999999995</v>
      </c>
    </row>
    <row r="2192" spans="1:3" ht="24" customHeight="1">
      <c r="A2192" s="1205" t="s">
        <v>70165</v>
      </c>
      <c r="B2192" s="1205" t="s">
        <v>70164</v>
      </c>
      <c r="C2192" s="1205">
        <v>117.99</v>
      </c>
    </row>
    <row r="2193" spans="1:3" ht="24" customHeight="1">
      <c r="A2193" s="1205" t="s">
        <v>70163</v>
      </c>
      <c r="B2193" s="1205" t="s">
        <v>70162</v>
      </c>
      <c r="C2193" s="1205">
        <v>130.49</v>
      </c>
    </row>
    <row r="2194" spans="1:3" ht="24" customHeight="1">
      <c r="A2194" s="1205" t="s">
        <v>70161</v>
      </c>
      <c r="B2194" s="1205" t="s">
        <v>70160</v>
      </c>
      <c r="C2194" s="1205">
        <v>79.489999999999995</v>
      </c>
    </row>
    <row r="2195" spans="1:3" ht="24" customHeight="1">
      <c r="A2195" s="1205" t="s">
        <v>70159</v>
      </c>
      <c r="B2195" s="1205" t="s">
        <v>70158</v>
      </c>
      <c r="C2195" s="1205">
        <v>88.99</v>
      </c>
    </row>
    <row r="2196" spans="1:3" ht="24" customHeight="1">
      <c r="A2196" s="1205" t="s">
        <v>70157</v>
      </c>
      <c r="B2196" s="1205" t="s">
        <v>70156</v>
      </c>
      <c r="C2196" s="1205">
        <v>126.49</v>
      </c>
    </row>
    <row r="2197" spans="1:3" ht="24" customHeight="1">
      <c r="A2197" s="1205" t="s">
        <v>70155</v>
      </c>
      <c r="B2197" s="1205" t="s">
        <v>70154</v>
      </c>
      <c r="C2197" s="1205">
        <v>98.49</v>
      </c>
    </row>
    <row r="2198" spans="1:3" ht="24" customHeight="1">
      <c r="A2198" s="1205" t="s">
        <v>70153</v>
      </c>
      <c r="B2198" s="1205" t="s">
        <v>70152</v>
      </c>
      <c r="C2198" s="1205">
        <v>139.99</v>
      </c>
    </row>
    <row r="2199" spans="1:3" ht="24" customHeight="1">
      <c r="A2199" s="1205" t="s">
        <v>70151</v>
      </c>
      <c r="B2199" s="1205" t="s">
        <v>70150</v>
      </c>
      <c r="C2199" s="1205">
        <v>109.99</v>
      </c>
    </row>
    <row r="2200" spans="1:3" ht="24" customHeight="1">
      <c r="A2200" s="1205" t="s">
        <v>70149</v>
      </c>
      <c r="B2200" s="1205" t="s">
        <v>70148</v>
      </c>
      <c r="C2200" s="1205">
        <v>103.49</v>
      </c>
    </row>
    <row r="2201" spans="1:3" ht="24" customHeight="1">
      <c r="A2201" s="1205" t="s">
        <v>70147</v>
      </c>
      <c r="B2201" s="1205" t="s">
        <v>64143</v>
      </c>
      <c r="C2201" s="1205">
        <v>92.49</v>
      </c>
    </row>
    <row r="2202" spans="1:3" ht="24" customHeight="1">
      <c r="A2202" s="1205" t="s">
        <v>70146</v>
      </c>
      <c r="B2202" s="1205" t="s">
        <v>70145</v>
      </c>
      <c r="C2202" s="1205">
        <v>62.49</v>
      </c>
    </row>
    <row r="2203" spans="1:3" ht="24" customHeight="1">
      <c r="A2203" s="1205" t="s">
        <v>70144</v>
      </c>
      <c r="B2203" s="1205" t="s">
        <v>70143</v>
      </c>
      <c r="C2203" s="1205">
        <v>132.49</v>
      </c>
    </row>
    <row r="2204" spans="1:3" ht="24" customHeight="1">
      <c r="A2204" s="1205" t="s">
        <v>70142</v>
      </c>
      <c r="B2204" s="1205" t="s">
        <v>70141</v>
      </c>
      <c r="C2204" s="1205">
        <v>126.49</v>
      </c>
    </row>
    <row r="2205" spans="1:3" ht="24" customHeight="1">
      <c r="A2205" s="1205" t="s">
        <v>70140</v>
      </c>
      <c r="B2205" s="1205" t="s">
        <v>70139</v>
      </c>
      <c r="C2205" s="1205">
        <v>31.99</v>
      </c>
    </row>
    <row r="2206" spans="1:3" ht="24" customHeight="1">
      <c r="A2206" s="1205" t="s">
        <v>70138</v>
      </c>
      <c r="B2206" s="1205" t="s">
        <v>70137</v>
      </c>
      <c r="C2206" s="1205">
        <v>52.49</v>
      </c>
    </row>
    <row r="2207" spans="1:3" ht="24" customHeight="1">
      <c r="A2207" s="1205" t="s">
        <v>70136</v>
      </c>
      <c r="B2207" s="1205" t="s">
        <v>70097</v>
      </c>
      <c r="C2207" s="1205">
        <v>72.489999999999995</v>
      </c>
    </row>
    <row r="2208" spans="1:3" ht="24" customHeight="1">
      <c r="A2208" s="1205" t="s">
        <v>70135</v>
      </c>
      <c r="B2208" s="1205" t="s">
        <v>70134</v>
      </c>
      <c r="C2208" s="1205">
        <v>50.49</v>
      </c>
    </row>
    <row r="2209" spans="1:3" ht="24" customHeight="1">
      <c r="A2209" s="1205" t="s">
        <v>70133</v>
      </c>
      <c r="B2209" s="1205" t="s">
        <v>70090</v>
      </c>
      <c r="C2209" s="1205">
        <v>52.99</v>
      </c>
    </row>
    <row r="2210" spans="1:3" ht="24" customHeight="1">
      <c r="A2210" s="1205" t="s">
        <v>70132</v>
      </c>
      <c r="B2210" s="1205" t="s">
        <v>70131</v>
      </c>
      <c r="C2210" s="1205">
        <v>86.49</v>
      </c>
    </row>
    <row r="2211" spans="1:3" ht="24" customHeight="1">
      <c r="A2211" s="1205" t="s">
        <v>70130</v>
      </c>
      <c r="B2211" s="1205" t="s">
        <v>70129</v>
      </c>
      <c r="C2211" s="1205">
        <v>83.49</v>
      </c>
    </row>
    <row r="2212" spans="1:3" ht="24" customHeight="1">
      <c r="A2212" s="1205" t="s">
        <v>70128</v>
      </c>
      <c r="B2212" s="1205" t="s">
        <v>70127</v>
      </c>
      <c r="C2212" s="1205">
        <v>77.489999999999995</v>
      </c>
    </row>
    <row r="2213" spans="1:3" ht="24" customHeight="1">
      <c r="A2213" s="1205" t="s">
        <v>70126</v>
      </c>
      <c r="B2213" s="1205" t="s">
        <v>70125</v>
      </c>
      <c r="C2213" s="1205">
        <v>117.49</v>
      </c>
    </row>
    <row r="2214" spans="1:3" ht="24" customHeight="1">
      <c r="A2214" s="1205" t="s">
        <v>70124</v>
      </c>
      <c r="B2214" s="1205" t="s">
        <v>70123</v>
      </c>
      <c r="C2214" s="1205">
        <v>28.49</v>
      </c>
    </row>
    <row r="2215" spans="1:3" ht="24" customHeight="1">
      <c r="A2215" s="1205" t="s">
        <v>70122</v>
      </c>
      <c r="B2215" s="1205" t="s">
        <v>70119</v>
      </c>
      <c r="C2215" s="1205">
        <v>83.49</v>
      </c>
    </row>
    <row r="2216" spans="1:3" ht="24" customHeight="1">
      <c r="A2216" s="1205" t="s">
        <v>70121</v>
      </c>
      <c r="B2216" s="1205" t="s">
        <v>70119</v>
      </c>
      <c r="C2216" s="1205">
        <v>79.489999999999995</v>
      </c>
    </row>
    <row r="2217" spans="1:3" ht="24" customHeight="1">
      <c r="A2217" s="1205" t="s">
        <v>70120</v>
      </c>
      <c r="B2217" s="1205" t="s">
        <v>70119</v>
      </c>
      <c r="C2217" s="1205">
        <v>92.99</v>
      </c>
    </row>
    <row r="2218" spans="1:3" ht="24" customHeight="1">
      <c r="A2218" s="1205" t="s">
        <v>70118</v>
      </c>
      <c r="B2218" s="1205" t="s">
        <v>70117</v>
      </c>
      <c r="C2218" s="1205">
        <v>30.49</v>
      </c>
    </row>
    <row r="2219" spans="1:3" ht="24" customHeight="1">
      <c r="A2219" s="1205" t="s">
        <v>70116</v>
      </c>
      <c r="B2219" s="1205" t="s">
        <v>70115</v>
      </c>
      <c r="C2219" s="1205">
        <v>50.99</v>
      </c>
    </row>
    <row r="2220" spans="1:3" ht="24" customHeight="1">
      <c r="A2220" s="1205" t="s">
        <v>70114</v>
      </c>
      <c r="B2220" s="1205" t="s">
        <v>70113</v>
      </c>
      <c r="C2220" s="1205">
        <v>85.49</v>
      </c>
    </row>
    <row r="2221" spans="1:3" ht="24" customHeight="1">
      <c r="A2221" s="1205" t="s">
        <v>70112</v>
      </c>
      <c r="B2221" s="1205" t="s">
        <v>70111</v>
      </c>
      <c r="C2221" s="1205">
        <v>82.49</v>
      </c>
    </row>
    <row r="2222" spans="1:3" ht="24" customHeight="1">
      <c r="A2222" s="1205" t="s">
        <v>70110</v>
      </c>
      <c r="B2222" s="1205" t="s">
        <v>70109</v>
      </c>
      <c r="C2222" s="1205">
        <v>75.489999999999995</v>
      </c>
    </row>
    <row r="2223" spans="1:3" ht="24" customHeight="1">
      <c r="A2223" s="1205" t="s">
        <v>70108</v>
      </c>
      <c r="B2223" s="1205" t="s">
        <v>70107</v>
      </c>
      <c r="C2223" s="1205">
        <v>27.49</v>
      </c>
    </row>
    <row r="2224" spans="1:3" ht="24" customHeight="1">
      <c r="A2224" s="1205" t="s">
        <v>70106</v>
      </c>
      <c r="B2224" s="1205" t="s">
        <v>70103</v>
      </c>
      <c r="C2224" s="1205">
        <v>82.49</v>
      </c>
    </row>
    <row r="2225" spans="1:3" ht="24" customHeight="1">
      <c r="A2225" s="1205" t="s">
        <v>70105</v>
      </c>
      <c r="B2225" s="1205" t="s">
        <v>70103</v>
      </c>
      <c r="C2225" s="1205">
        <v>77.989999999999995</v>
      </c>
    </row>
    <row r="2226" spans="1:3" ht="24" customHeight="1">
      <c r="A2226" s="1205" t="s">
        <v>70104</v>
      </c>
      <c r="B2226" s="1205" t="s">
        <v>70103</v>
      </c>
      <c r="C2226" s="1205">
        <v>91.99</v>
      </c>
    </row>
    <row r="2227" spans="1:3" ht="24" customHeight="1">
      <c r="A2227" s="1205" t="s">
        <v>70102</v>
      </c>
      <c r="B2227" s="1205" t="s">
        <v>70101</v>
      </c>
      <c r="C2227" s="1205">
        <v>31.99</v>
      </c>
    </row>
    <row r="2228" spans="1:3" ht="24" customHeight="1">
      <c r="A2228" s="1205" t="s">
        <v>70100</v>
      </c>
      <c r="B2228" s="1205" t="s">
        <v>70099</v>
      </c>
      <c r="C2228" s="1205">
        <v>51.99</v>
      </c>
    </row>
    <row r="2229" spans="1:3" ht="24" customHeight="1">
      <c r="A2229" s="1205" t="s">
        <v>70098</v>
      </c>
      <c r="B2229" s="1205" t="s">
        <v>70097</v>
      </c>
      <c r="C2229" s="1205">
        <v>71.989999999999995</v>
      </c>
    </row>
    <row r="2230" spans="1:3" ht="24" customHeight="1">
      <c r="A2230" s="1205" t="s">
        <v>70096</v>
      </c>
      <c r="B2230" s="1205" t="s">
        <v>70095</v>
      </c>
      <c r="C2230" s="1205">
        <v>49.99</v>
      </c>
    </row>
    <row r="2231" spans="1:3" ht="24" customHeight="1">
      <c r="A2231" s="1205" t="s">
        <v>70094</v>
      </c>
      <c r="B2231" s="1205" t="s">
        <v>70092</v>
      </c>
      <c r="C2231" s="1205">
        <v>77.989999999999995</v>
      </c>
    </row>
    <row r="2232" spans="1:3" ht="24" customHeight="1">
      <c r="A2232" s="1205" t="s">
        <v>70093</v>
      </c>
      <c r="B2232" s="1205" t="s">
        <v>70092</v>
      </c>
      <c r="C2232" s="1205">
        <v>75.989999999999995</v>
      </c>
    </row>
    <row r="2233" spans="1:3" ht="24" customHeight="1">
      <c r="A2233" s="1205" t="s">
        <v>70091</v>
      </c>
      <c r="B2233" s="1205" t="s">
        <v>70090</v>
      </c>
      <c r="C2233" s="1205">
        <v>52.49</v>
      </c>
    </row>
    <row r="2234" spans="1:3" ht="24" customHeight="1">
      <c r="A2234" s="1205" t="s">
        <v>70089</v>
      </c>
      <c r="B2234" s="1205" t="s">
        <v>70088</v>
      </c>
      <c r="C2234" s="1205">
        <v>86.49</v>
      </c>
    </row>
    <row r="2235" spans="1:3" ht="24" customHeight="1">
      <c r="A2235" s="1205" t="s">
        <v>70087</v>
      </c>
      <c r="B2235" s="1205" t="s">
        <v>70086</v>
      </c>
      <c r="C2235" s="1205">
        <v>82.99</v>
      </c>
    </row>
    <row r="2236" spans="1:3" ht="24" customHeight="1">
      <c r="A2236" s="1205" t="s">
        <v>70085</v>
      </c>
      <c r="B2236" s="1205" t="s">
        <v>70084</v>
      </c>
      <c r="C2236" s="1205">
        <v>76.989999999999995</v>
      </c>
    </row>
    <row r="2237" spans="1:3" ht="24" customHeight="1">
      <c r="A2237" s="1205" t="s">
        <v>70083</v>
      </c>
      <c r="B2237" s="1205" t="s">
        <v>70082</v>
      </c>
      <c r="C2237" s="1205">
        <v>27.99</v>
      </c>
    </row>
    <row r="2238" spans="1:3" ht="24" customHeight="1">
      <c r="A2238" s="1205" t="s">
        <v>70081</v>
      </c>
      <c r="B2238" s="1205" t="s">
        <v>70078</v>
      </c>
      <c r="C2238" s="1205">
        <v>82.99</v>
      </c>
    </row>
    <row r="2239" spans="1:3" ht="24" customHeight="1">
      <c r="A2239" s="1205" t="s">
        <v>70080</v>
      </c>
      <c r="B2239" s="1205" t="s">
        <v>70078</v>
      </c>
      <c r="C2239" s="1205">
        <v>78.989999999999995</v>
      </c>
    </row>
    <row r="2240" spans="1:3" ht="24" customHeight="1">
      <c r="A2240" s="1205" t="s">
        <v>70079</v>
      </c>
      <c r="B2240" s="1205" t="s">
        <v>70078</v>
      </c>
      <c r="C2240" s="1205">
        <v>92.49</v>
      </c>
    </row>
    <row r="2241" spans="1:3" ht="24" customHeight="1">
      <c r="A2241" s="1205" t="s">
        <v>70077</v>
      </c>
      <c r="B2241" s="1205" t="s">
        <v>70076</v>
      </c>
      <c r="C2241" s="1205">
        <v>60.49</v>
      </c>
    </row>
    <row r="2242" spans="1:3" ht="24" customHeight="1">
      <c r="A2242" s="1205" t="s">
        <v>70075</v>
      </c>
      <c r="B2242" s="1205" t="s">
        <v>70074</v>
      </c>
      <c r="C2242" s="1205">
        <v>62.99</v>
      </c>
    </row>
    <row r="2243" spans="1:3" ht="24" customHeight="1">
      <c r="A2243" s="1205" t="s">
        <v>70073</v>
      </c>
      <c r="B2243" s="1205" t="s">
        <v>70070</v>
      </c>
      <c r="C2243" s="1205">
        <v>91.49</v>
      </c>
    </row>
    <row r="2244" spans="1:3" ht="24" customHeight="1">
      <c r="A2244" s="1205" t="s">
        <v>70072</v>
      </c>
      <c r="B2244" s="1205" t="s">
        <v>70070</v>
      </c>
      <c r="C2244" s="1205">
        <v>93.49</v>
      </c>
    </row>
    <row r="2245" spans="1:3" ht="24" customHeight="1">
      <c r="A2245" s="1205" t="s">
        <v>70071</v>
      </c>
      <c r="B2245" s="1205" t="s">
        <v>70070</v>
      </c>
      <c r="C2245" s="1205">
        <v>87.49</v>
      </c>
    </row>
    <row r="2246" spans="1:3" ht="24" customHeight="1">
      <c r="A2246" s="1205" t="s">
        <v>70069</v>
      </c>
      <c r="B2246" s="1205" t="s">
        <v>70068</v>
      </c>
      <c r="C2246" s="1205">
        <v>38.49</v>
      </c>
    </row>
    <row r="2247" spans="1:3" ht="24" customHeight="1">
      <c r="A2247" s="1205" t="s">
        <v>70067</v>
      </c>
      <c r="B2247" s="1205" t="s">
        <v>70066</v>
      </c>
      <c r="C2247" s="1205">
        <v>64.489999999999995</v>
      </c>
    </row>
    <row r="2248" spans="1:3" ht="24" customHeight="1">
      <c r="A2248" s="1205" t="s">
        <v>70065</v>
      </c>
      <c r="B2248" s="1205" t="s">
        <v>70064</v>
      </c>
      <c r="C2248" s="1205">
        <v>66.989999999999995</v>
      </c>
    </row>
    <row r="2249" spans="1:3" ht="24" customHeight="1">
      <c r="A2249" s="1205" t="s">
        <v>70063</v>
      </c>
      <c r="B2249" s="1205" t="s">
        <v>70060</v>
      </c>
      <c r="C2249" s="1205">
        <v>95.99</v>
      </c>
    </row>
    <row r="2250" spans="1:3" ht="24" customHeight="1">
      <c r="A2250" s="1205" t="s">
        <v>70062</v>
      </c>
      <c r="B2250" s="1205" t="s">
        <v>70060</v>
      </c>
      <c r="C2250" s="1205">
        <v>97.49</v>
      </c>
    </row>
    <row r="2251" spans="1:3" ht="24" customHeight="1">
      <c r="A2251" s="1205" t="s">
        <v>70061</v>
      </c>
      <c r="B2251" s="1205" t="s">
        <v>70060</v>
      </c>
      <c r="C2251" s="1205">
        <v>91.49</v>
      </c>
    </row>
    <row r="2252" spans="1:3" ht="24" customHeight="1">
      <c r="A2252" s="1205" t="s">
        <v>70059</v>
      </c>
      <c r="B2252" s="1205" t="s">
        <v>70058</v>
      </c>
      <c r="C2252" s="1205">
        <v>42.99</v>
      </c>
    </row>
    <row r="2253" spans="1:3" ht="24" customHeight="1">
      <c r="A2253" s="1205" t="s">
        <v>70057</v>
      </c>
      <c r="B2253" s="1205" t="s">
        <v>70056</v>
      </c>
      <c r="C2253" s="1205">
        <v>50.99</v>
      </c>
    </row>
    <row r="2254" spans="1:3" ht="24" customHeight="1">
      <c r="A2254" s="1205" t="s">
        <v>70055</v>
      </c>
      <c r="B2254" s="1205" t="s">
        <v>70054</v>
      </c>
      <c r="C2254" s="1205">
        <v>47.99</v>
      </c>
    </row>
    <row r="2255" spans="1:3" ht="24" customHeight="1">
      <c r="A2255" s="1205" t="s">
        <v>70053</v>
      </c>
      <c r="B2255" s="1205" t="s">
        <v>70051</v>
      </c>
      <c r="C2255" s="1205">
        <v>67.989999999999995</v>
      </c>
    </row>
    <row r="2256" spans="1:3" ht="24" customHeight="1">
      <c r="A2256" s="1205" t="s">
        <v>70052</v>
      </c>
      <c r="B2256" s="1205" t="s">
        <v>70051</v>
      </c>
      <c r="C2256" s="1205">
        <v>65.489999999999995</v>
      </c>
    </row>
    <row r="2257" spans="1:3" ht="24" customHeight="1">
      <c r="A2257" s="1205" t="s">
        <v>70050</v>
      </c>
      <c r="B2257" s="1205" t="s">
        <v>70048</v>
      </c>
      <c r="C2257" s="1205">
        <v>76.989999999999995</v>
      </c>
    </row>
    <row r="2258" spans="1:3" ht="24" customHeight="1">
      <c r="A2258" s="1205" t="s">
        <v>70049</v>
      </c>
      <c r="B2258" s="1205" t="s">
        <v>70048</v>
      </c>
      <c r="C2258" s="1205">
        <v>75.489999999999995</v>
      </c>
    </row>
    <row r="2259" spans="1:3" ht="24" customHeight="1">
      <c r="A2259" s="1205" t="s">
        <v>70047</v>
      </c>
      <c r="B2259" s="1205" t="s">
        <v>70046</v>
      </c>
      <c r="C2259" s="1205">
        <v>22.49</v>
      </c>
    </row>
    <row r="2260" spans="1:3" ht="24" customHeight="1">
      <c r="A2260" s="1205" t="s">
        <v>70045</v>
      </c>
      <c r="B2260" s="1205" t="s">
        <v>70044</v>
      </c>
      <c r="C2260" s="1205">
        <v>17.489999999999998</v>
      </c>
    </row>
    <row r="2261" spans="1:3" ht="24" customHeight="1">
      <c r="A2261" s="1205" t="s">
        <v>70043</v>
      </c>
      <c r="B2261" s="1205" t="s">
        <v>70042</v>
      </c>
      <c r="C2261" s="1205">
        <v>14.99</v>
      </c>
    </row>
    <row r="2262" spans="1:3" ht="24" customHeight="1">
      <c r="A2262" s="1205" t="s">
        <v>70041</v>
      </c>
      <c r="B2262" s="1205" t="s">
        <v>70040</v>
      </c>
      <c r="C2262" s="1205">
        <v>45.49</v>
      </c>
    </row>
    <row r="2263" spans="1:3" ht="24" customHeight="1">
      <c r="A2263" s="1205" t="s">
        <v>70039</v>
      </c>
      <c r="B2263" s="1205" t="s">
        <v>70038</v>
      </c>
      <c r="C2263" s="1205">
        <v>90.99</v>
      </c>
    </row>
    <row r="2264" spans="1:3" ht="24" customHeight="1">
      <c r="A2264" s="1205" t="s">
        <v>70037</v>
      </c>
      <c r="B2264" s="1205" t="s">
        <v>70036</v>
      </c>
      <c r="C2264" s="1205">
        <v>45.49</v>
      </c>
    </row>
    <row r="2265" spans="1:3" ht="24" customHeight="1">
      <c r="A2265" s="1205" t="s">
        <v>70035</v>
      </c>
      <c r="B2265" s="1205" t="s">
        <v>70034</v>
      </c>
      <c r="C2265" s="1205">
        <v>27.49</v>
      </c>
    </row>
    <row r="2266" spans="1:3" ht="24" customHeight="1">
      <c r="A2266" s="1205" t="s">
        <v>70033</v>
      </c>
      <c r="B2266" s="1205" t="s">
        <v>63035</v>
      </c>
      <c r="C2266" s="1205">
        <v>70.989999999999995</v>
      </c>
    </row>
    <row r="2267" spans="1:3" ht="24" customHeight="1">
      <c r="A2267" s="1205" t="s">
        <v>70032</v>
      </c>
      <c r="B2267" s="1205" t="s">
        <v>63031</v>
      </c>
      <c r="C2267" s="1205">
        <v>82.49</v>
      </c>
    </row>
    <row r="2268" spans="1:3" ht="24" customHeight="1">
      <c r="A2268" s="1205" t="s">
        <v>70031</v>
      </c>
      <c r="B2268" s="1205" t="s">
        <v>70030</v>
      </c>
      <c r="C2268" s="1205">
        <v>44.99</v>
      </c>
    </row>
    <row r="2269" spans="1:3" ht="24" customHeight="1">
      <c r="A2269" s="1205" t="s">
        <v>70029</v>
      </c>
      <c r="B2269" s="1205" t="s">
        <v>70028</v>
      </c>
      <c r="C2269" s="1205">
        <v>19.989999999999998</v>
      </c>
    </row>
    <row r="2270" spans="1:3" ht="24" customHeight="1">
      <c r="A2270" s="1205" t="s">
        <v>70027</v>
      </c>
      <c r="B2270" s="1205" t="s">
        <v>70026</v>
      </c>
      <c r="C2270" s="1205">
        <v>7.99</v>
      </c>
    </row>
    <row r="2271" spans="1:3" ht="24" customHeight="1">
      <c r="A2271" s="1205" t="s">
        <v>70025</v>
      </c>
      <c r="B2271" s="1205" t="s">
        <v>70024</v>
      </c>
      <c r="C2271" s="1205">
        <v>4.49</v>
      </c>
    </row>
    <row r="2272" spans="1:3" ht="24" customHeight="1">
      <c r="A2272" s="1205" t="s">
        <v>70023</v>
      </c>
      <c r="B2272" s="1205" t="s">
        <v>70022</v>
      </c>
      <c r="C2272" s="1205">
        <v>25.49</v>
      </c>
    </row>
    <row r="2273" spans="1:3" ht="24" customHeight="1">
      <c r="A2273" s="1205" t="s">
        <v>70021</v>
      </c>
      <c r="B2273" s="1205" t="s">
        <v>70020</v>
      </c>
      <c r="C2273" s="1205">
        <v>46.99</v>
      </c>
    </row>
    <row r="2274" spans="1:3" ht="24" customHeight="1">
      <c r="A2274" s="1205" t="s">
        <v>70019</v>
      </c>
      <c r="B2274" s="1205" t="s">
        <v>70018</v>
      </c>
      <c r="C2274" s="1205">
        <v>18.989999999999998</v>
      </c>
    </row>
    <row r="2275" spans="1:3" ht="24" customHeight="1">
      <c r="A2275" s="1205" t="s">
        <v>70017</v>
      </c>
      <c r="B2275" s="1205" t="s">
        <v>70016</v>
      </c>
      <c r="C2275" s="1205">
        <v>20.99</v>
      </c>
    </row>
    <row r="2276" spans="1:3" ht="24" customHeight="1">
      <c r="A2276" s="1205" t="s">
        <v>70015</v>
      </c>
      <c r="B2276" s="1205" t="s">
        <v>70014</v>
      </c>
      <c r="C2276" s="1205">
        <v>24.99</v>
      </c>
    </row>
    <row r="2277" spans="1:3" ht="24" customHeight="1">
      <c r="A2277" s="1205" t="s">
        <v>70013</v>
      </c>
      <c r="B2277" s="1205" t="s">
        <v>70012</v>
      </c>
      <c r="C2277" s="1205">
        <v>62.49</v>
      </c>
    </row>
    <row r="2278" spans="1:3" ht="24" customHeight="1">
      <c r="A2278" s="1205" t="s">
        <v>70011</v>
      </c>
      <c r="B2278" s="1205" t="s">
        <v>70007</v>
      </c>
      <c r="C2278" s="1205">
        <v>43.49</v>
      </c>
    </row>
    <row r="2279" spans="1:3" ht="24" customHeight="1">
      <c r="A2279" s="1205" t="s">
        <v>70010</v>
      </c>
      <c r="B2279" s="1205" t="s">
        <v>70009</v>
      </c>
      <c r="C2279" s="1205">
        <v>134.99</v>
      </c>
    </row>
    <row r="2280" spans="1:3" ht="24" customHeight="1">
      <c r="A2280" s="1205" t="s">
        <v>70008</v>
      </c>
      <c r="B2280" s="1205" t="s">
        <v>70007</v>
      </c>
      <c r="C2280" s="1205">
        <v>36.99</v>
      </c>
    </row>
    <row r="2281" spans="1:3" ht="24" customHeight="1">
      <c r="A2281" s="1205" t="s">
        <v>70006</v>
      </c>
      <c r="B2281" s="1205" t="s">
        <v>70005</v>
      </c>
      <c r="C2281" s="1205">
        <v>23.99</v>
      </c>
    </row>
    <row r="2282" spans="1:3" ht="24" customHeight="1">
      <c r="A2282" s="1205" t="s">
        <v>70004</v>
      </c>
      <c r="B2282" s="1205" t="s">
        <v>70003</v>
      </c>
      <c r="C2282" s="1205">
        <v>49.99</v>
      </c>
    </row>
    <row r="2283" spans="1:3" ht="24" customHeight="1">
      <c r="A2283" s="1205" t="s">
        <v>70002</v>
      </c>
      <c r="B2283" s="1205" t="s">
        <v>70001</v>
      </c>
      <c r="C2283" s="1205">
        <v>25.49</v>
      </c>
    </row>
    <row r="2284" spans="1:3" ht="24" customHeight="1">
      <c r="A2284" s="1205" t="s">
        <v>70000</v>
      </c>
      <c r="B2284" s="1205" t="s">
        <v>69999</v>
      </c>
      <c r="C2284" s="1205">
        <v>62.49</v>
      </c>
    </row>
    <row r="2285" spans="1:3" ht="24" customHeight="1">
      <c r="A2285" s="1205" t="s">
        <v>69998</v>
      </c>
      <c r="B2285" s="1205" t="s">
        <v>69997</v>
      </c>
      <c r="C2285" s="1205">
        <v>62.99</v>
      </c>
    </row>
    <row r="2286" spans="1:3" ht="24" customHeight="1">
      <c r="A2286" s="1205" t="s">
        <v>69996</v>
      </c>
      <c r="B2286" s="1205" t="s">
        <v>69995</v>
      </c>
      <c r="C2286" s="1205">
        <v>61.99</v>
      </c>
    </row>
    <row r="2287" spans="1:3" ht="24" customHeight="1">
      <c r="A2287" s="1205" t="s">
        <v>69994</v>
      </c>
      <c r="B2287" s="1205" t="s">
        <v>69993</v>
      </c>
      <c r="C2287" s="1205">
        <v>32.49</v>
      </c>
    </row>
    <row r="2288" spans="1:3" ht="24" customHeight="1">
      <c r="A2288" s="1205" t="s">
        <v>69992</v>
      </c>
      <c r="B2288" s="1205" t="s">
        <v>69991</v>
      </c>
      <c r="C2288" s="1205">
        <v>28.49</v>
      </c>
    </row>
    <row r="2289" spans="1:3" ht="24" customHeight="1">
      <c r="A2289" s="1205" t="s">
        <v>69990</v>
      </c>
      <c r="B2289" s="1205" t="s">
        <v>69989</v>
      </c>
      <c r="C2289" s="1205">
        <v>27.49</v>
      </c>
    </row>
    <row r="2290" spans="1:3" ht="24" customHeight="1">
      <c r="A2290" s="1205" t="s">
        <v>69988</v>
      </c>
      <c r="B2290" s="1205" t="s">
        <v>69987</v>
      </c>
      <c r="C2290" s="1205">
        <v>28.99</v>
      </c>
    </row>
    <row r="2291" spans="1:3" ht="24" customHeight="1">
      <c r="A2291" s="1205" t="s">
        <v>69986</v>
      </c>
      <c r="B2291" s="1205" t="s">
        <v>69985</v>
      </c>
      <c r="C2291" s="1205">
        <v>4.49</v>
      </c>
    </row>
    <row r="2292" spans="1:3" ht="24" customHeight="1">
      <c r="A2292" s="1205" t="s">
        <v>69984</v>
      </c>
      <c r="B2292" s="1205" t="s">
        <v>69983</v>
      </c>
      <c r="C2292" s="1205">
        <v>16.989999999999998</v>
      </c>
    </row>
    <row r="2293" spans="1:3" ht="24" customHeight="1">
      <c r="A2293" s="1205" t="s">
        <v>69982</v>
      </c>
      <c r="B2293" s="1205" t="s">
        <v>69981</v>
      </c>
      <c r="C2293" s="1205">
        <v>8.49</v>
      </c>
    </row>
    <row r="2294" spans="1:3" ht="24" customHeight="1">
      <c r="A2294" s="1205" t="s">
        <v>69980</v>
      </c>
      <c r="B2294" s="1205" t="s">
        <v>69979</v>
      </c>
      <c r="C2294" s="1205">
        <v>29.49</v>
      </c>
    </row>
    <row r="2295" spans="1:3" ht="24" customHeight="1">
      <c r="A2295" s="1205" t="s">
        <v>69978</v>
      </c>
      <c r="B2295" s="1205" t="s">
        <v>69977</v>
      </c>
      <c r="C2295" s="1205">
        <v>12.49</v>
      </c>
    </row>
    <row r="2296" spans="1:3" ht="24" customHeight="1">
      <c r="A2296" s="1205" t="s">
        <v>69976</v>
      </c>
      <c r="B2296" s="1205" t="s">
        <v>69975</v>
      </c>
      <c r="C2296" s="1205">
        <v>160.49</v>
      </c>
    </row>
    <row r="2297" spans="1:3" ht="24" customHeight="1">
      <c r="A2297" s="1205" t="s">
        <v>69974</v>
      </c>
      <c r="B2297" s="1205" t="s">
        <v>69973</v>
      </c>
      <c r="C2297" s="1205">
        <v>124.99</v>
      </c>
    </row>
    <row r="2298" spans="1:3" ht="24" customHeight="1">
      <c r="A2298" s="1205" t="s">
        <v>69972</v>
      </c>
      <c r="B2298" s="1205" t="s">
        <v>69971</v>
      </c>
      <c r="C2298" s="1205">
        <v>134.49</v>
      </c>
    </row>
    <row r="2299" spans="1:3" ht="24" customHeight="1">
      <c r="A2299" s="1205" t="s">
        <v>69970</v>
      </c>
      <c r="B2299" s="1205" t="s">
        <v>69969</v>
      </c>
      <c r="C2299" s="1205">
        <v>167.99</v>
      </c>
    </row>
    <row r="2300" spans="1:3" ht="24" customHeight="1">
      <c r="A2300" s="1205" t="s">
        <v>69968</v>
      </c>
      <c r="B2300" s="1205" t="s">
        <v>69967</v>
      </c>
      <c r="C2300" s="1205">
        <v>174.49</v>
      </c>
    </row>
    <row r="2301" spans="1:3" ht="24" customHeight="1">
      <c r="A2301" s="1205" t="s">
        <v>69966</v>
      </c>
      <c r="B2301" s="1205" t="s">
        <v>69965</v>
      </c>
      <c r="C2301" s="1205">
        <v>174.99</v>
      </c>
    </row>
    <row r="2302" spans="1:3" ht="24" customHeight="1">
      <c r="A2302" s="1205" t="s">
        <v>69964</v>
      </c>
      <c r="B2302" s="1205" t="s">
        <v>69963</v>
      </c>
      <c r="C2302" s="1205">
        <v>175.99</v>
      </c>
    </row>
    <row r="2303" spans="1:3" ht="24" customHeight="1">
      <c r="A2303" s="1205" t="s">
        <v>69962</v>
      </c>
      <c r="B2303" s="1205" t="s">
        <v>69940</v>
      </c>
      <c r="C2303" s="1205">
        <v>175.49</v>
      </c>
    </row>
    <row r="2304" spans="1:3" ht="24" customHeight="1">
      <c r="A2304" s="1205" t="s">
        <v>69961</v>
      </c>
      <c r="B2304" s="1205" t="s">
        <v>69960</v>
      </c>
      <c r="C2304" s="1205">
        <v>182.99</v>
      </c>
    </row>
    <row r="2305" spans="1:3" ht="24" customHeight="1">
      <c r="A2305" s="1205" t="s">
        <v>69959</v>
      </c>
      <c r="B2305" s="1205" t="s">
        <v>69606</v>
      </c>
      <c r="C2305" s="1205">
        <v>167.99</v>
      </c>
    </row>
    <row r="2306" spans="1:3" ht="24" customHeight="1">
      <c r="A2306" s="1205" t="s">
        <v>69958</v>
      </c>
      <c r="B2306" s="1205" t="s">
        <v>69934</v>
      </c>
      <c r="C2306" s="1205">
        <v>165.49</v>
      </c>
    </row>
    <row r="2307" spans="1:3" ht="24" customHeight="1">
      <c r="A2307" s="1205" t="s">
        <v>69957</v>
      </c>
      <c r="B2307" s="1205" t="s">
        <v>69956</v>
      </c>
      <c r="C2307" s="1205">
        <v>166.99</v>
      </c>
    </row>
    <row r="2308" spans="1:3" ht="24" customHeight="1">
      <c r="A2308" s="1205" t="s">
        <v>69955</v>
      </c>
      <c r="B2308" s="1205" t="s">
        <v>69926</v>
      </c>
      <c r="C2308" s="1205">
        <v>164.49</v>
      </c>
    </row>
    <row r="2309" spans="1:3" ht="24" customHeight="1">
      <c r="A2309" s="1205" t="s">
        <v>69954</v>
      </c>
      <c r="B2309" s="1205" t="s">
        <v>69953</v>
      </c>
      <c r="C2309" s="1205">
        <v>179.99</v>
      </c>
    </row>
    <row r="2310" spans="1:3" ht="24" customHeight="1">
      <c r="A2310" s="1205" t="s">
        <v>69952</v>
      </c>
      <c r="B2310" s="1205" t="s">
        <v>69951</v>
      </c>
      <c r="C2310" s="1205">
        <v>132.49</v>
      </c>
    </row>
    <row r="2311" spans="1:3" ht="24" customHeight="1">
      <c r="A2311" s="1205" t="s">
        <v>69950</v>
      </c>
      <c r="B2311" s="1205" t="s">
        <v>69949</v>
      </c>
      <c r="C2311" s="1205">
        <v>129.99</v>
      </c>
    </row>
    <row r="2312" spans="1:3" ht="24" customHeight="1">
      <c r="A2312" s="1205" t="s">
        <v>69948</v>
      </c>
      <c r="B2312" s="1205" t="s">
        <v>69947</v>
      </c>
      <c r="C2312" s="1205">
        <v>155.99</v>
      </c>
    </row>
    <row r="2313" spans="1:3" ht="24" customHeight="1">
      <c r="A2313" s="1205" t="s">
        <v>69946</v>
      </c>
      <c r="B2313" s="1205" t="s">
        <v>69945</v>
      </c>
      <c r="C2313" s="1205">
        <v>144.99</v>
      </c>
    </row>
    <row r="2314" spans="1:3" ht="24" customHeight="1">
      <c r="A2314" s="1205" t="s">
        <v>69944</v>
      </c>
      <c r="B2314" s="1205" t="s">
        <v>69942</v>
      </c>
      <c r="C2314" s="1205">
        <v>141.49</v>
      </c>
    </row>
    <row r="2315" spans="1:3" ht="24" customHeight="1">
      <c r="A2315" s="1205" t="s">
        <v>69943</v>
      </c>
      <c r="B2315" s="1205" t="s">
        <v>69942</v>
      </c>
      <c r="C2315" s="1205">
        <v>133.99</v>
      </c>
    </row>
    <row r="2316" spans="1:3" ht="24" customHeight="1">
      <c r="A2316" s="1205" t="s">
        <v>69941</v>
      </c>
      <c r="B2316" s="1205" t="s">
        <v>69940</v>
      </c>
      <c r="C2316" s="1205">
        <v>141.99</v>
      </c>
    </row>
    <row r="2317" spans="1:3" ht="24" customHeight="1">
      <c r="A2317" s="1205" t="s">
        <v>69939</v>
      </c>
      <c r="B2317" s="1205" t="s">
        <v>69938</v>
      </c>
      <c r="C2317" s="1205">
        <v>155.99</v>
      </c>
    </row>
    <row r="2318" spans="1:3" ht="24" customHeight="1">
      <c r="A2318" s="1205" t="s">
        <v>69937</v>
      </c>
      <c r="B2318" s="1205" t="s">
        <v>69936</v>
      </c>
      <c r="C2318" s="1205">
        <v>196.49</v>
      </c>
    </row>
    <row r="2319" spans="1:3" ht="24" customHeight="1">
      <c r="A2319" s="1205" t="s">
        <v>69935</v>
      </c>
      <c r="B2319" s="1205" t="s">
        <v>69934</v>
      </c>
      <c r="C2319" s="1205">
        <v>165.49</v>
      </c>
    </row>
    <row r="2320" spans="1:3" ht="24" customHeight="1">
      <c r="A2320" s="1205" t="s">
        <v>69933</v>
      </c>
      <c r="B2320" s="1205" t="s">
        <v>69932</v>
      </c>
      <c r="C2320" s="1205">
        <v>548.49</v>
      </c>
    </row>
    <row r="2321" spans="1:3" ht="24" customHeight="1">
      <c r="A2321" s="1205" t="s">
        <v>69931</v>
      </c>
      <c r="B2321" s="1205" t="s">
        <v>69930</v>
      </c>
      <c r="C2321" s="1205">
        <v>217.49</v>
      </c>
    </row>
    <row r="2322" spans="1:3" ht="24" customHeight="1">
      <c r="A2322" s="1205" t="s">
        <v>69929</v>
      </c>
      <c r="B2322" s="1205" t="s">
        <v>69928</v>
      </c>
      <c r="C2322" s="1205">
        <v>207.99</v>
      </c>
    </row>
    <row r="2323" spans="1:3" ht="24" customHeight="1">
      <c r="A2323" s="1205" t="s">
        <v>69927</v>
      </c>
      <c r="B2323" s="1205" t="s">
        <v>69926</v>
      </c>
      <c r="C2323" s="1205">
        <v>170.99</v>
      </c>
    </row>
    <row r="2324" spans="1:3" ht="24" customHeight="1">
      <c r="A2324" s="1205" t="s">
        <v>69925</v>
      </c>
      <c r="B2324" s="1205" t="s">
        <v>69924</v>
      </c>
      <c r="C2324" s="1205">
        <v>152.99</v>
      </c>
    </row>
    <row r="2325" spans="1:3" ht="24" customHeight="1">
      <c r="A2325" s="1205" t="s">
        <v>69923</v>
      </c>
      <c r="B2325" s="1205" t="s">
        <v>69922</v>
      </c>
      <c r="C2325" s="1205">
        <v>167.99</v>
      </c>
    </row>
    <row r="2326" spans="1:3" ht="24" customHeight="1">
      <c r="A2326" s="1205" t="s">
        <v>69921</v>
      </c>
      <c r="B2326" s="1205" t="s">
        <v>69920</v>
      </c>
      <c r="C2326" s="1205">
        <v>108.99</v>
      </c>
    </row>
    <row r="2327" spans="1:3" ht="24" customHeight="1">
      <c r="A2327" s="1205" t="s">
        <v>69919</v>
      </c>
      <c r="B2327" s="1205" t="s">
        <v>69918</v>
      </c>
      <c r="C2327" s="1205">
        <v>132.99</v>
      </c>
    </row>
    <row r="2328" spans="1:3" ht="24" customHeight="1">
      <c r="A2328" s="1205" t="s">
        <v>69917</v>
      </c>
      <c r="B2328" s="1205" t="s">
        <v>69592</v>
      </c>
      <c r="C2328" s="1205">
        <v>198.99</v>
      </c>
    </row>
    <row r="2329" spans="1:3" ht="24" customHeight="1">
      <c r="A2329" s="1205" t="s">
        <v>69916</v>
      </c>
      <c r="B2329" s="1205" t="s">
        <v>69915</v>
      </c>
      <c r="C2329" s="1205">
        <v>63.99</v>
      </c>
    </row>
    <row r="2330" spans="1:3" ht="24" customHeight="1">
      <c r="A2330" s="1205" t="s">
        <v>69914</v>
      </c>
      <c r="B2330" s="1205" t="s">
        <v>69913</v>
      </c>
      <c r="C2330" s="1205">
        <v>60.99</v>
      </c>
    </row>
    <row r="2331" spans="1:3" ht="24" customHeight="1">
      <c r="A2331" s="1205" t="s">
        <v>69912</v>
      </c>
      <c r="B2331" s="1205" t="s">
        <v>69901</v>
      </c>
      <c r="C2331" s="1205">
        <v>162.99</v>
      </c>
    </row>
    <row r="2332" spans="1:3" ht="24" customHeight="1">
      <c r="A2332" s="1205" t="s">
        <v>69911</v>
      </c>
      <c r="B2332" s="1205" t="s">
        <v>69910</v>
      </c>
      <c r="C2332" s="1205">
        <v>175.49</v>
      </c>
    </row>
    <row r="2333" spans="1:3" ht="24" customHeight="1">
      <c r="A2333" s="1205" t="s">
        <v>69909</v>
      </c>
      <c r="B2333" s="1205" t="s">
        <v>69901</v>
      </c>
      <c r="C2333" s="1205">
        <v>194.49</v>
      </c>
    </row>
    <row r="2334" spans="1:3" ht="24" customHeight="1">
      <c r="A2334" s="1205" t="s">
        <v>69908</v>
      </c>
      <c r="B2334" s="1205" t="s">
        <v>69906</v>
      </c>
      <c r="C2334" s="1205">
        <v>227.49</v>
      </c>
    </row>
    <row r="2335" spans="1:3" ht="24" customHeight="1">
      <c r="A2335" s="1205" t="s">
        <v>69907</v>
      </c>
      <c r="B2335" s="1205" t="s">
        <v>69906</v>
      </c>
      <c r="C2335" s="1205">
        <v>217.99</v>
      </c>
    </row>
    <row r="2336" spans="1:3" ht="24" customHeight="1">
      <c r="A2336" s="1205" t="s">
        <v>69905</v>
      </c>
      <c r="B2336" s="1205" t="s">
        <v>69904</v>
      </c>
      <c r="C2336" s="1205">
        <v>195.49</v>
      </c>
    </row>
    <row r="2337" spans="1:3" ht="24" customHeight="1">
      <c r="A2337" s="1205" t="s">
        <v>69903</v>
      </c>
      <c r="B2337" s="1205" t="s">
        <v>69592</v>
      </c>
      <c r="C2337" s="1205">
        <v>189.49</v>
      </c>
    </row>
    <row r="2338" spans="1:3" ht="24" customHeight="1">
      <c r="A2338" s="1205" t="s">
        <v>69902</v>
      </c>
      <c r="B2338" s="1205" t="s">
        <v>69901</v>
      </c>
      <c r="C2338" s="1205">
        <v>155.49</v>
      </c>
    </row>
    <row r="2339" spans="1:3" ht="24" customHeight="1">
      <c r="A2339" s="1205" t="s">
        <v>69900</v>
      </c>
      <c r="B2339" s="1205" t="s">
        <v>69899</v>
      </c>
      <c r="C2339" s="1205">
        <v>161.49</v>
      </c>
    </row>
    <row r="2340" spans="1:3" ht="24" customHeight="1">
      <c r="A2340" s="1205" t="s">
        <v>69898</v>
      </c>
      <c r="B2340" s="1205" t="s">
        <v>69592</v>
      </c>
      <c r="C2340" s="1205">
        <v>217.99</v>
      </c>
    </row>
    <row r="2341" spans="1:3" ht="24" customHeight="1">
      <c r="A2341" s="1205" t="s">
        <v>69897</v>
      </c>
      <c r="B2341" s="1205" t="s">
        <v>69896</v>
      </c>
      <c r="C2341" s="1205">
        <v>227.49</v>
      </c>
    </row>
    <row r="2342" spans="1:3" ht="24" customHeight="1">
      <c r="A2342" s="1205" t="s">
        <v>69895</v>
      </c>
      <c r="B2342" s="1205" t="s">
        <v>69894</v>
      </c>
      <c r="C2342" s="1205">
        <v>233.99</v>
      </c>
    </row>
    <row r="2343" spans="1:3" ht="24" customHeight="1">
      <c r="A2343" s="1205" t="s">
        <v>69893</v>
      </c>
      <c r="B2343" s="1205" t="s">
        <v>69892</v>
      </c>
      <c r="C2343" s="1205">
        <v>176.49</v>
      </c>
    </row>
    <row r="2344" spans="1:3" ht="24" customHeight="1">
      <c r="A2344" s="1205" t="s">
        <v>69891</v>
      </c>
      <c r="B2344" s="1205" t="s">
        <v>69890</v>
      </c>
      <c r="C2344" s="1205">
        <v>37.49</v>
      </c>
    </row>
    <row r="2345" spans="1:3" ht="24" customHeight="1">
      <c r="A2345" s="1205" t="s">
        <v>69889</v>
      </c>
      <c r="B2345" s="1205" t="s">
        <v>69888</v>
      </c>
      <c r="C2345" s="1205">
        <v>140.49</v>
      </c>
    </row>
    <row r="2346" spans="1:3" ht="24" customHeight="1">
      <c r="A2346" s="1205" t="s">
        <v>69887</v>
      </c>
      <c r="B2346" s="1205" t="s">
        <v>69886</v>
      </c>
      <c r="C2346" s="1205">
        <v>151.49</v>
      </c>
    </row>
    <row r="2347" spans="1:3" ht="24" customHeight="1">
      <c r="A2347" s="1205" t="s">
        <v>69885</v>
      </c>
      <c r="B2347" s="1205" t="s">
        <v>69884</v>
      </c>
      <c r="C2347" s="1205">
        <v>160.99</v>
      </c>
    </row>
    <row r="2348" spans="1:3" ht="24" customHeight="1">
      <c r="A2348" s="1205" t="s">
        <v>69883</v>
      </c>
      <c r="B2348" s="1205" t="s">
        <v>69882</v>
      </c>
      <c r="C2348" s="1205">
        <v>197.99</v>
      </c>
    </row>
    <row r="2349" spans="1:3" ht="24" customHeight="1">
      <c r="A2349" s="1205" t="s">
        <v>69881</v>
      </c>
      <c r="B2349" s="1205" t="s">
        <v>69880</v>
      </c>
      <c r="C2349" s="1205">
        <v>186.99</v>
      </c>
    </row>
    <row r="2350" spans="1:3" ht="24" customHeight="1">
      <c r="A2350" s="1205" t="s">
        <v>69879</v>
      </c>
      <c r="B2350" s="1205" t="s">
        <v>69878</v>
      </c>
      <c r="C2350" s="1205">
        <v>208.99</v>
      </c>
    </row>
    <row r="2351" spans="1:3" ht="24" customHeight="1">
      <c r="A2351" s="1205" t="s">
        <v>69877</v>
      </c>
      <c r="B2351" s="1205" t="s">
        <v>69876</v>
      </c>
      <c r="C2351" s="1205">
        <v>136.49</v>
      </c>
    </row>
    <row r="2352" spans="1:3" ht="24" customHeight="1">
      <c r="A2352" s="1205" t="s">
        <v>69875</v>
      </c>
      <c r="B2352" s="1205" t="s">
        <v>69874</v>
      </c>
      <c r="C2352" s="1205">
        <v>119.99</v>
      </c>
    </row>
    <row r="2353" spans="1:3" ht="24" customHeight="1">
      <c r="A2353" s="1205" t="s">
        <v>69873</v>
      </c>
      <c r="B2353" s="1205" t="s">
        <v>69872</v>
      </c>
      <c r="C2353" s="1205">
        <v>137.99</v>
      </c>
    </row>
    <row r="2354" spans="1:3" ht="24" customHeight="1">
      <c r="A2354" s="1205" t="s">
        <v>69871</v>
      </c>
      <c r="B2354" s="1205" t="s">
        <v>69870</v>
      </c>
      <c r="C2354" s="1205">
        <v>81.99</v>
      </c>
    </row>
    <row r="2355" spans="1:3" ht="24" customHeight="1">
      <c r="A2355" s="1205" t="s">
        <v>69869</v>
      </c>
      <c r="B2355" s="1205" t="s">
        <v>69868</v>
      </c>
      <c r="C2355" s="1205">
        <v>498.99</v>
      </c>
    </row>
    <row r="2356" spans="1:3" ht="24" customHeight="1">
      <c r="A2356" s="1205" t="s">
        <v>69867</v>
      </c>
      <c r="B2356" s="1205" t="s">
        <v>69866</v>
      </c>
      <c r="C2356" s="1205">
        <v>326.99</v>
      </c>
    </row>
    <row r="2357" spans="1:3" ht="24" customHeight="1">
      <c r="A2357" s="1205" t="s">
        <v>69865</v>
      </c>
      <c r="B2357" s="1205" t="s">
        <v>69864</v>
      </c>
      <c r="C2357" s="1205">
        <v>286.99</v>
      </c>
    </row>
    <row r="2358" spans="1:3" ht="24" customHeight="1">
      <c r="A2358" s="1205" t="s">
        <v>69863</v>
      </c>
      <c r="B2358" s="1205" t="s">
        <v>69862</v>
      </c>
      <c r="C2358" s="1205">
        <v>391.99</v>
      </c>
    </row>
    <row r="2359" spans="1:3" ht="24" customHeight="1">
      <c r="A2359" s="1205" t="s">
        <v>69861</v>
      </c>
      <c r="B2359" s="1205" t="s">
        <v>69860</v>
      </c>
      <c r="C2359" s="1205">
        <v>379.49</v>
      </c>
    </row>
    <row r="2360" spans="1:3" ht="24" customHeight="1">
      <c r="A2360" s="1205" t="s">
        <v>69859</v>
      </c>
      <c r="B2360" s="1205" t="s">
        <v>69858</v>
      </c>
      <c r="C2360" s="1205">
        <v>73.989999999999995</v>
      </c>
    </row>
    <row r="2361" spans="1:3" ht="24" customHeight="1">
      <c r="A2361" s="1205" t="s">
        <v>69857</v>
      </c>
      <c r="B2361" s="1205" t="s">
        <v>69856</v>
      </c>
      <c r="C2361" s="1205">
        <v>80.489999999999995</v>
      </c>
    </row>
    <row r="2362" spans="1:3" ht="24" customHeight="1">
      <c r="A2362" s="1205" t="s">
        <v>69855</v>
      </c>
      <c r="B2362" s="1205" t="s">
        <v>69854</v>
      </c>
      <c r="C2362" s="1205">
        <v>215.99</v>
      </c>
    </row>
    <row r="2363" spans="1:3" ht="24" customHeight="1">
      <c r="A2363" s="1205" t="s">
        <v>69853</v>
      </c>
      <c r="B2363" s="1205" t="s">
        <v>69852</v>
      </c>
      <c r="C2363" s="1205">
        <v>128.49</v>
      </c>
    </row>
    <row r="2364" spans="1:3" ht="24" customHeight="1">
      <c r="A2364" s="1205" t="s">
        <v>69851</v>
      </c>
      <c r="B2364" s="1205" t="s">
        <v>69850</v>
      </c>
      <c r="C2364" s="1205">
        <v>116.49</v>
      </c>
    </row>
    <row r="2365" spans="1:3" ht="24" customHeight="1">
      <c r="A2365" s="1205" t="s">
        <v>69849</v>
      </c>
      <c r="B2365" s="1205" t="s">
        <v>69845</v>
      </c>
      <c r="C2365" s="1205">
        <v>367.99</v>
      </c>
    </row>
    <row r="2366" spans="1:3" ht="24" customHeight="1">
      <c r="A2366" s="1205" t="s">
        <v>69848</v>
      </c>
      <c r="B2366" s="1205" t="s">
        <v>69847</v>
      </c>
      <c r="C2366" s="1205">
        <v>57.99</v>
      </c>
    </row>
    <row r="2367" spans="1:3" ht="24" customHeight="1">
      <c r="A2367" s="1205" t="s">
        <v>69846</v>
      </c>
      <c r="B2367" s="1205" t="s">
        <v>69845</v>
      </c>
      <c r="C2367" s="1205">
        <v>483.99</v>
      </c>
    </row>
    <row r="2368" spans="1:3" ht="24" customHeight="1">
      <c r="A2368" s="1205" t="s">
        <v>69844</v>
      </c>
      <c r="B2368" s="1205" t="s">
        <v>69843</v>
      </c>
      <c r="C2368" s="1205">
        <v>331.99</v>
      </c>
    </row>
    <row r="2369" spans="1:3" ht="24" customHeight="1">
      <c r="A2369" s="1205" t="s">
        <v>69842</v>
      </c>
      <c r="B2369" s="1205" t="s">
        <v>69841</v>
      </c>
      <c r="C2369" s="1205">
        <v>291.99</v>
      </c>
    </row>
    <row r="2370" spans="1:3" ht="24" customHeight="1">
      <c r="A2370" s="1205" t="s">
        <v>69840</v>
      </c>
      <c r="B2370" s="1205" t="s">
        <v>69839</v>
      </c>
      <c r="C2370" s="1205">
        <v>398.49</v>
      </c>
    </row>
    <row r="2371" spans="1:3" ht="24" customHeight="1">
      <c r="A2371" s="1205" t="s">
        <v>69838</v>
      </c>
      <c r="B2371" s="1205" t="s">
        <v>69837</v>
      </c>
      <c r="C2371" s="1205">
        <v>78.989999999999995</v>
      </c>
    </row>
    <row r="2372" spans="1:3" ht="24" customHeight="1">
      <c r="A2372" s="1205" t="s">
        <v>69836</v>
      </c>
      <c r="B2372" s="1205" t="s">
        <v>69835</v>
      </c>
      <c r="C2372" s="1205">
        <v>422.49</v>
      </c>
    </row>
    <row r="2373" spans="1:3" ht="24" customHeight="1">
      <c r="A2373" s="1205" t="s">
        <v>69834</v>
      </c>
      <c r="B2373" s="1205" t="s">
        <v>69833</v>
      </c>
      <c r="C2373" s="1205">
        <v>402.49</v>
      </c>
    </row>
    <row r="2374" spans="1:3" ht="24" customHeight="1">
      <c r="A2374" s="1205" t="s">
        <v>69832</v>
      </c>
      <c r="B2374" s="1205" t="s">
        <v>69831</v>
      </c>
      <c r="C2374" s="1205">
        <v>125.49</v>
      </c>
    </row>
    <row r="2375" spans="1:3" ht="24" customHeight="1">
      <c r="A2375" s="1205" t="s">
        <v>69830</v>
      </c>
      <c r="B2375" s="1205" t="s">
        <v>69829</v>
      </c>
      <c r="C2375" s="1205">
        <v>126.49</v>
      </c>
    </row>
    <row r="2376" spans="1:3" ht="24" customHeight="1">
      <c r="A2376" s="1205" t="s">
        <v>69828</v>
      </c>
      <c r="B2376" s="1205" t="s">
        <v>69827</v>
      </c>
      <c r="C2376" s="1205">
        <v>131.99</v>
      </c>
    </row>
    <row r="2377" spans="1:3" ht="24" customHeight="1">
      <c r="A2377" s="1205" t="s">
        <v>69826</v>
      </c>
      <c r="B2377" s="1205" t="s">
        <v>69825</v>
      </c>
      <c r="C2377" s="1205">
        <v>100.99</v>
      </c>
    </row>
    <row r="2378" spans="1:3" ht="24" customHeight="1">
      <c r="A2378" s="1205" t="s">
        <v>69824</v>
      </c>
      <c r="B2378" s="1205" t="s">
        <v>69823</v>
      </c>
      <c r="C2378" s="1205">
        <v>93.99</v>
      </c>
    </row>
    <row r="2379" spans="1:3" ht="24" customHeight="1">
      <c r="A2379" s="1205" t="s">
        <v>69822</v>
      </c>
      <c r="B2379" s="1205" t="s">
        <v>69821</v>
      </c>
      <c r="C2379" s="1205">
        <v>59.99</v>
      </c>
    </row>
    <row r="2380" spans="1:3" ht="24" customHeight="1">
      <c r="A2380" s="1205" t="s">
        <v>69820</v>
      </c>
      <c r="B2380" s="1205" t="s">
        <v>69819</v>
      </c>
      <c r="C2380" s="1205">
        <v>67.489999999999995</v>
      </c>
    </row>
    <row r="2381" spans="1:3" ht="24" customHeight="1">
      <c r="A2381" s="1205" t="s">
        <v>69818</v>
      </c>
      <c r="B2381" s="1205" t="s">
        <v>69817</v>
      </c>
      <c r="C2381" s="1205">
        <v>65.989999999999995</v>
      </c>
    </row>
    <row r="2382" spans="1:3" ht="24" customHeight="1">
      <c r="A2382" s="1205" t="s">
        <v>69816</v>
      </c>
      <c r="B2382" s="1205" t="s">
        <v>69815</v>
      </c>
      <c r="C2382" s="1205">
        <v>124.49</v>
      </c>
    </row>
    <row r="2383" spans="1:3" ht="24" customHeight="1">
      <c r="A2383" s="1205" t="s">
        <v>69814</v>
      </c>
      <c r="B2383" s="1205" t="s">
        <v>69813</v>
      </c>
      <c r="C2383" s="1205">
        <v>131.99</v>
      </c>
    </row>
    <row r="2384" spans="1:3" ht="24" customHeight="1">
      <c r="A2384" s="1205" t="s">
        <v>69812</v>
      </c>
      <c r="B2384" s="1205" t="s">
        <v>69811</v>
      </c>
      <c r="C2384" s="1205">
        <v>101.49</v>
      </c>
    </row>
    <row r="2385" spans="1:3" ht="24" customHeight="1">
      <c r="A2385" s="1205" t="s">
        <v>69810</v>
      </c>
      <c r="B2385" s="1205" t="s">
        <v>69809</v>
      </c>
      <c r="C2385" s="1205">
        <v>84.99</v>
      </c>
    </row>
    <row r="2386" spans="1:3" ht="24" customHeight="1">
      <c r="A2386" s="1205" t="s">
        <v>69808</v>
      </c>
      <c r="B2386" s="1205" t="s">
        <v>69807</v>
      </c>
      <c r="C2386" s="1205">
        <v>43.49</v>
      </c>
    </row>
    <row r="2387" spans="1:3" ht="24" customHeight="1">
      <c r="A2387" s="1205" t="s">
        <v>69806</v>
      </c>
      <c r="B2387" s="1205" t="s">
        <v>69805</v>
      </c>
      <c r="C2387" s="1205">
        <v>145.49</v>
      </c>
    </row>
    <row r="2388" spans="1:3" ht="24" customHeight="1">
      <c r="A2388" s="1205" t="s">
        <v>69804</v>
      </c>
      <c r="B2388" s="1205" t="s">
        <v>69803</v>
      </c>
      <c r="C2388" s="1205">
        <v>163.99</v>
      </c>
    </row>
    <row r="2389" spans="1:3" ht="24" customHeight="1">
      <c r="A2389" s="1205" t="s">
        <v>69802</v>
      </c>
      <c r="B2389" s="1205" t="s">
        <v>69801</v>
      </c>
      <c r="C2389" s="1205">
        <v>136.49</v>
      </c>
    </row>
    <row r="2390" spans="1:3" ht="24" customHeight="1">
      <c r="A2390" s="1205" t="s">
        <v>69800</v>
      </c>
      <c r="B2390" s="1205" t="s">
        <v>69799</v>
      </c>
      <c r="C2390" s="1205">
        <v>27.49</v>
      </c>
    </row>
    <row r="2391" spans="1:3" ht="24" customHeight="1">
      <c r="A2391" s="1205" t="s">
        <v>69798</v>
      </c>
      <c r="B2391" s="1205" t="s">
        <v>69797</v>
      </c>
      <c r="C2391" s="1205">
        <v>38.99</v>
      </c>
    </row>
    <row r="2392" spans="1:3" ht="24" customHeight="1">
      <c r="A2392" s="1205" t="s">
        <v>69796</v>
      </c>
      <c r="B2392" s="1205" t="s">
        <v>69795</v>
      </c>
      <c r="C2392" s="1205">
        <v>34.49</v>
      </c>
    </row>
    <row r="2393" spans="1:3" ht="24" customHeight="1">
      <c r="A2393" s="1205" t="s">
        <v>69794</v>
      </c>
      <c r="B2393" s="1205" t="s">
        <v>69793</v>
      </c>
      <c r="C2393" s="1205">
        <v>51.99</v>
      </c>
    </row>
    <row r="2394" spans="1:3" ht="24" customHeight="1">
      <c r="A2394" s="1205" t="s">
        <v>69792</v>
      </c>
      <c r="B2394" s="1205" t="s">
        <v>69791</v>
      </c>
      <c r="C2394" s="1205">
        <v>32.49</v>
      </c>
    </row>
    <row r="2395" spans="1:3" ht="24" customHeight="1">
      <c r="A2395" s="1205" t="s">
        <v>69790</v>
      </c>
      <c r="B2395" s="1205" t="s">
        <v>69789</v>
      </c>
      <c r="C2395" s="1205">
        <v>38.49</v>
      </c>
    </row>
    <row r="2396" spans="1:3" ht="24" customHeight="1">
      <c r="A2396" s="1205" t="s">
        <v>69788</v>
      </c>
      <c r="B2396" s="1205" t="s">
        <v>69787</v>
      </c>
      <c r="C2396" s="1205">
        <v>46.49</v>
      </c>
    </row>
    <row r="2397" spans="1:3" ht="24" customHeight="1">
      <c r="A2397" s="1205" t="s">
        <v>69786</v>
      </c>
      <c r="B2397" s="1205" t="s">
        <v>69785</v>
      </c>
      <c r="C2397" s="1205">
        <v>42.99</v>
      </c>
    </row>
    <row r="2398" spans="1:3" ht="24" customHeight="1">
      <c r="A2398" s="1205" t="s">
        <v>69784</v>
      </c>
      <c r="B2398" s="1205" t="s">
        <v>69783</v>
      </c>
      <c r="C2398" s="1205">
        <v>40.99</v>
      </c>
    </row>
    <row r="2399" spans="1:3" ht="24" customHeight="1">
      <c r="A2399" s="1205" t="s">
        <v>69782</v>
      </c>
      <c r="B2399" s="1205" t="s">
        <v>69781</v>
      </c>
      <c r="C2399" s="1205">
        <v>42.49</v>
      </c>
    </row>
    <row r="2400" spans="1:3" ht="24" customHeight="1">
      <c r="A2400" s="1205" t="s">
        <v>69780</v>
      </c>
      <c r="B2400" s="1205" t="s">
        <v>69779</v>
      </c>
      <c r="C2400" s="1205">
        <v>45.49</v>
      </c>
    </row>
    <row r="2401" spans="1:3" ht="24" customHeight="1">
      <c r="A2401" s="1205" t="s">
        <v>69778</v>
      </c>
      <c r="B2401" s="1205" t="s">
        <v>69777</v>
      </c>
      <c r="C2401" s="1205">
        <v>58.49</v>
      </c>
    </row>
    <row r="2402" spans="1:3" ht="24" customHeight="1">
      <c r="A2402" s="1205" t="s">
        <v>69776</v>
      </c>
      <c r="B2402" s="1205" t="s">
        <v>69775</v>
      </c>
      <c r="C2402" s="1205">
        <v>54.49</v>
      </c>
    </row>
    <row r="2403" spans="1:3" ht="24" customHeight="1">
      <c r="A2403" s="1205" t="s">
        <v>69774</v>
      </c>
      <c r="B2403" s="1205" t="s">
        <v>69773</v>
      </c>
      <c r="C2403" s="1205">
        <v>45.99</v>
      </c>
    </row>
    <row r="2404" spans="1:3" ht="24" customHeight="1">
      <c r="A2404" s="1205" t="s">
        <v>69772</v>
      </c>
      <c r="B2404" s="1205" t="s">
        <v>69771</v>
      </c>
      <c r="C2404" s="1205">
        <v>78.989999999999995</v>
      </c>
    </row>
    <row r="2405" spans="1:3" ht="24" customHeight="1">
      <c r="A2405" s="1205" t="s">
        <v>69770</v>
      </c>
      <c r="B2405" s="1205" t="s">
        <v>69769</v>
      </c>
      <c r="C2405" s="1205">
        <v>69.989999999999995</v>
      </c>
    </row>
    <row r="2406" spans="1:3" ht="24" customHeight="1">
      <c r="A2406" s="1205" t="s">
        <v>69768</v>
      </c>
      <c r="B2406" s="1205" t="s">
        <v>69767</v>
      </c>
      <c r="C2406" s="1205">
        <v>59.49</v>
      </c>
    </row>
    <row r="2407" spans="1:3" ht="24" customHeight="1">
      <c r="A2407" s="1205" t="s">
        <v>69766</v>
      </c>
      <c r="B2407" s="1205" t="s">
        <v>69765</v>
      </c>
      <c r="C2407" s="1205">
        <v>25.49</v>
      </c>
    </row>
    <row r="2408" spans="1:3" ht="24" customHeight="1">
      <c r="A2408" s="1205" t="s">
        <v>69764</v>
      </c>
      <c r="B2408" s="1205" t="s">
        <v>69763</v>
      </c>
      <c r="C2408" s="1205">
        <v>45.49</v>
      </c>
    </row>
    <row r="2409" spans="1:3" ht="24" customHeight="1">
      <c r="A2409" s="1205" t="s">
        <v>69762</v>
      </c>
      <c r="B2409" s="1205" t="s">
        <v>69761</v>
      </c>
      <c r="C2409" s="1205">
        <v>47.99</v>
      </c>
    </row>
    <row r="2410" spans="1:3" ht="24" customHeight="1">
      <c r="A2410" s="1205" t="s">
        <v>69760</v>
      </c>
      <c r="B2410" s="1205" t="s">
        <v>69759</v>
      </c>
      <c r="C2410" s="1205">
        <v>44.49</v>
      </c>
    </row>
    <row r="2411" spans="1:3" ht="24" customHeight="1">
      <c r="A2411" s="1205" t="s">
        <v>69758</v>
      </c>
      <c r="B2411" s="1205" t="s">
        <v>69757</v>
      </c>
      <c r="C2411" s="1205">
        <v>117.49</v>
      </c>
    </row>
    <row r="2412" spans="1:3" ht="24" customHeight="1">
      <c r="A2412" s="1205" t="s">
        <v>69756</v>
      </c>
      <c r="B2412" s="1205" t="s">
        <v>69755</v>
      </c>
      <c r="C2412" s="1205">
        <v>37.49</v>
      </c>
    </row>
    <row r="2413" spans="1:3" ht="24" customHeight="1">
      <c r="A2413" s="1205" t="s">
        <v>69754</v>
      </c>
      <c r="B2413" s="1205" t="s">
        <v>69753</v>
      </c>
      <c r="C2413" s="1205">
        <v>169.99</v>
      </c>
    </row>
    <row r="2414" spans="1:3" ht="24" customHeight="1">
      <c r="A2414" s="1205" t="s">
        <v>69752</v>
      </c>
      <c r="B2414" s="1205" t="s">
        <v>69751</v>
      </c>
      <c r="C2414" s="1205">
        <v>34.49</v>
      </c>
    </row>
    <row r="2415" spans="1:3" ht="24" customHeight="1">
      <c r="A2415" s="1205" t="s">
        <v>69750</v>
      </c>
      <c r="B2415" s="1205" t="s">
        <v>69749</v>
      </c>
      <c r="C2415" s="1205">
        <v>38.99</v>
      </c>
    </row>
    <row r="2416" spans="1:3" ht="24" customHeight="1">
      <c r="A2416" s="1205" t="s">
        <v>69748</v>
      </c>
      <c r="B2416" s="1205" t="s">
        <v>69747</v>
      </c>
      <c r="C2416" s="1205">
        <v>151.99</v>
      </c>
    </row>
    <row r="2417" spans="1:3" ht="24" customHeight="1">
      <c r="A2417" s="1205" t="s">
        <v>69746</v>
      </c>
      <c r="B2417" s="1205" t="s">
        <v>69745</v>
      </c>
      <c r="C2417" s="1205">
        <v>122.49</v>
      </c>
    </row>
    <row r="2418" spans="1:3" ht="24" customHeight="1">
      <c r="A2418" s="1205" t="s">
        <v>69744</v>
      </c>
      <c r="B2418" s="1205" t="s">
        <v>69576</v>
      </c>
      <c r="C2418" s="1205">
        <v>39.99</v>
      </c>
    </row>
    <row r="2419" spans="1:3" ht="24" customHeight="1">
      <c r="A2419" s="1205" t="s">
        <v>69743</v>
      </c>
      <c r="B2419" s="1205" t="s">
        <v>69742</v>
      </c>
      <c r="C2419" s="1205">
        <v>45.99</v>
      </c>
    </row>
    <row r="2420" spans="1:3" ht="24" customHeight="1">
      <c r="A2420" s="1205" t="s">
        <v>69741</v>
      </c>
      <c r="B2420" s="1205" t="s">
        <v>69740</v>
      </c>
      <c r="C2420" s="1205">
        <v>244.99</v>
      </c>
    </row>
    <row r="2421" spans="1:3" ht="24" customHeight="1">
      <c r="A2421" s="1205" t="s">
        <v>69739</v>
      </c>
      <c r="B2421" s="1205" t="s">
        <v>69738</v>
      </c>
      <c r="C2421" s="1205">
        <v>64.989999999999995</v>
      </c>
    </row>
    <row r="2422" spans="1:3" ht="24" customHeight="1">
      <c r="A2422" s="1205" t="s">
        <v>69737</v>
      </c>
      <c r="B2422" s="1205" t="s">
        <v>69736</v>
      </c>
      <c r="C2422" s="1205">
        <v>66.989999999999995</v>
      </c>
    </row>
    <row r="2423" spans="1:3" ht="24" customHeight="1">
      <c r="A2423" s="1205" t="s">
        <v>69735</v>
      </c>
      <c r="B2423" s="1205" t="s">
        <v>69734</v>
      </c>
      <c r="C2423" s="1205">
        <v>67.489999999999995</v>
      </c>
    </row>
    <row r="2424" spans="1:3" ht="24" customHeight="1">
      <c r="A2424" s="1205" t="s">
        <v>69733</v>
      </c>
      <c r="B2424" s="1205" t="s">
        <v>69732</v>
      </c>
      <c r="C2424" s="1205">
        <v>48.99</v>
      </c>
    </row>
    <row r="2425" spans="1:3" ht="24" customHeight="1">
      <c r="A2425" s="1205" t="s">
        <v>69731</v>
      </c>
      <c r="B2425" s="1205" t="s">
        <v>69572</v>
      </c>
      <c r="C2425" s="1205">
        <v>47.49</v>
      </c>
    </row>
    <row r="2426" spans="1:3" ht="24" customHeight="1">
      <c r="A2426" s="1205" t="s">
        <v>69730</v>
      </c>
      <c r="B2426" s="1205" t="s">
        <v>69729</v>
      </c>
      <c r="C2426" s="1205">
        <v>48.49</v>
      </c>
    </row>
    <row r="2427" spans="1:3" ht="24" customHeight="1">
      <c r="A2427" s="1205" t="s">
        <v>69728</v>
      </c>
      <c r="B2427" s="1205" t="s">
        <v>69727</v>
      </c>
      <c r="C2427" s="1205">
        <v>64.489999999999995</v>
      </c>
    </row>
    <row r="2428" spans="1:3" ht="24" customHeight="1">
      <c r="A2428" s="1205" t="s">
        <v>69726</v>
      </c>
      <c r="B2428" s="1205" t="s">
        <v>69725</v>
      </c>
      <c r="C2428" s="1205">
        <v>64.489999999999995</v>
      </c>
    </row>
    <row r="2429" spans="1:3" ht="24" customHeight="1">
      <c r="A2429" s="1205" t="s">
        <v>69724</v>
      </c>
      <c r="B2429" s="1205" t="s">
        <v>69723</v>
      </c>
      <c r="C2429" s="1205">
        <v>70.989999999999995</v>
      </c>
    </row>
    <row r="2430" spans="1:3" ht="24" customHeight="1">
      <c r="A2430" s="1205" t="s">
        <v>69722</v>
      </c>
      <c r="B2430" s="1205" t="s">
        <v>69721</v>
      </c>
      <c r="C2430" s="1205">
        <v>59.99</v>
      </c>
    </row>
    <row r="2431" spans="1:3" ht="24" customHeight="1">
      <c r="A2431" s="1205" t="s">
        <v>69720</v>
      </c>
      <c r="B2431" s="1205" t="s">
        <v>69719</v>
      </c>
      <c r="C2431" s="1205">
        <v>176.99</v>
      </c>
    </row>
    <row r="2432" spans="1:3" ht="24" customHeight="1">
      <c r="A2432" s="1205" t="s">
        <v>69718</v>
      </c>
      <c r="B2432" s="1205" t="s">
        <v>69717</v>
      </c>
      <c r="C2432" s="1205">
        <v>113.99</v>
      </c>
    </row>
    <row r="2433" spans="1:3" ht="24" customHeight="1">
      <c r="A2433" s="1205" t="s">
        <v>69716</v>
      </c>
      <c r="B2433" s="1205" t="s">
        <v>69715</v>
      </c>
      <c r="C2433" s="1205">
        <v>123.99</v>
      </c>
    </row>
    <row r="2434" spans="1:3" ht="24" customHeight="1">
      <c r="A2434" s="1205" t="s">
        <v>69714</v>
      </c>
      <c r="B2434" s="1205" t="s">
        <v>69713</v>
      </c>
      <c r="C2434" s="1205">
        <v>133.99</v>
      </c>
    </row>
    <row r="2435" spans="1:3" ht="24" customHeight="1">
      <c r="A2435" s="1205" t="s">
        <v>69712</v>
      </c>
      <c r="B2435" s="1205" t="s">
        <v>69711</v>
      </c>
      <c r="C2435" s="1205">
        <v>31.49</v>
      </c>
    </row>
    <row r="2436" spans="1:3" ht="24" customHeight="1">
      <c r="A2436" s="1205" t="s">
        <v>69710</v>
      </c>
      <c r="B2436" s="1205" t="s">
        <v>69709</v>
      </c>
      <c r="C2436" s="1205">
        <v>37.49</v>
      </c>
    </row>
    <row r="2437" spans="1:3" ht="24" customHeight="1">
      <c r="A2437" s="1205" t="s">
        <v>69708</v>
      </c>
      <c r="B2437" s="1205" t="s">
        <v>69707</v>
      </c>
      <c r="C2437" s="1205">
        <v>33.99</v>
      </c>
    </row>
    <row r="2438" spans="1:3" ht="24" customHeight="1">
      <c r="A2438" s="1205" t="s">
        <v>69706</v>
      </c>
      <c r="B2438" s="1205" t="s">
        <v>69705</v>
      </c>
      <c r="C2438" s="1205">
        <v>150.49</v>
      </c>
    </row>
    <row r="2439" spans="1:3" ht="24" customHeight="1">
      <c r="A2439" s="1205" t="s">
        <v>69704</v>
      </c>
      <c r="B2439" s="1205" t="s">
        <v>69703</v>
      </c>
      <c r="C2439" s="1205">
        <v>94.49</v>
      </c>
    </row>
    <row r="2440" spans="1:3" ht="24" customHeight="1">
      <c r="A2440" s="1205" t="s">
        <v>69702</v>
      </c>
      <c r="B2440" s="1205" t="s">
        <v>69701</v>
      </c>
      <c r="C2440" s="1205">
        <v>179.49</v>
      </c>
    </row>
    <row r="2441" spans="1:3" ht="24" customHeight="1">
      <c r="A2441" s="1205" t="s">
        <v>69700</v>
      </c>
      <c r="B2441" s="1205" t="s">
        <v>69699</v>
      </c>
      <c r="C2441" s="1205">
        <v>86.49</v>
      </c>
    </row>
    <row r="2442" spans="1:3" ht="24" customHeight="1">
      <c r="A2442" s="1205" t="s">
        <v>69698</v>
      </c>
      <c r="B2442" s="1205" t="s">
        <v>69697</v>
      </c>
      <c r="C2442" s="1205">
        <v>166.49</v>
      </c>
    </row>
    <row r="2443" spans="1:3" ht="24" customHeight="1">
      <c r="A2443" s="1205" t="s">
        <v>69696</v>
      </c>
      <c r="B2443" s="1205" t="s">
        <v>69695</v>
      </c>
      <c r="C2443" s="1205">
        <v>33.49</v>
      </c>
    </row>
    <row r="2444" spans="1:3" ht="24" customHeight="1">
      <c r="A2444" s="1205" t="s">
        <v>69694</v>
      </c>
      <c r="B2444" s="1205" t="s">
        <v>69693</v>
      </c>
      <c r="C2444" s="1205">
        <v>60.49</v>
      </c>
    </row>
    <row r="2445" spans="1:3" ht="24" customHeight="1">
      <c r="A2445" s="1205" t="s">
        <v>69692</v>
      </c>
      <c r="B2445" s="1205" t="s">
        <v>69691</v>
      </c>
      <c r="C2445" s="1205">
        <v>92.49</v>
      </c>
    </row>
    <row r="2446" spans="1:3" ht="24" customHeight="1">
      <c r="A2446" s="1205" t="s">
        <v>69690</v>
      </c>
      <c r="B2446" s="1205" t="s">
        <v>64680</v>
      </c>
      <c r="C2446" s="1205">
        <v>33.99</v>
      </c>
    </row>
    <row r="2447" spans="1:3" ht="24" customHeight="1">
      <c r="A2447" s="1205" t="s">
        <v>69689</v>
      </c>
      <c r="B2447" s="1205" t="s">
        <v>69688</v>
      </c>
      <c r="C2447" s="1205">
        <v>89.99</v>
      </c>
    </row>
    <row r="2448" spans="1:3" ht="24" customHeight="1">
      <c r="A2448" s="1205" t="s">
        <v>69687</v>
      </c>
      <c r="B2448" s="1205" t="s">
        <v>69686</v>
      </c>
      <c r="C2448" s="1205">
        <v>89.49</v>
      </c>
    </row>
    <row r="2449" spans="1:3" ht="24" customHeight="1">
      <c r="A2449" s="1205" t="s">
        <v>69685</v>
      </c>
      <c r="B2449" s="1205" t="s">
        <v>69684</v>
      </c>
      <c r="C2449" s="1205">
        <v>99.99</v>
      </c>
    </row>
    <row r="2450" spans="1:3" ht="24" customHeight="1">
      <c r="A2450" s="1205" t="s">
        <v>69683</v>
      </c>
      <c r="B2450" s="1205" t="s">
        <v>69682</v>
      </c>
      <c r="C2450" s="1205">
        <v>127.99</v>
      </c>
    </row>
    <row r="2451" spans="1:3" ht="24" customHeight="1">
      <c r="A2451" s="1205" t="s">
        <v>69681</v>
      </c>
      <c r="B2451" s="1205" t="s">
        <v>69680</v>
      </c>
      <c r="C2451" s="1205">
        <v>75.489999999999995</v>
      </c>
    </row>
    <row r="2452" spans="1:3" ht="24" customHeight="1">
      <c r="A2452" s="1205" t="s">
        <v>69679</v>
      </c>
      <c r="B2452" s="1205" t="s">
        <v>69678</v>
      </c>
      <c r="C2452" s="1205">
        <v>132.99</v>
      </c>
    </row>
    <row r="2453" spans="1:3" ht="24" customHeight="1">
      <c r="A2453" s="1205" t="s">
        <v>69677</v>
      </c>
      <c r="B2453" s="1205" t="s">
        <v>69676</v>
      </c>
      <c r="C2453" s="1205">
        <v>78.989999999999995</v>
      </c>
    </row>
    <row r="2454" spans="1:3" ht="24" customHeight="1">
      <c r="A2454" s="1205" t="s">
        <v>69675</v>
      </c>
      <c r="B2454" s="1205" t="s">
        <v>69674</v>
      </c>
      <c r="C2454" s="1205">
        <v>40.99</v>
      </c>
    </row>
    <row r="2455" spans="1:3" ht="24" customHeight="1">
      <c r="A2455" s="1205" t="s">
        <v>69673</v>
      </c>
      <c r="B2455" s="1205" t="s">
        <v>69672</v>
      </c>
      <c r="C2455" s="1205">
        <v>77.989999999999995</v>
      </c>
    </row>
    <row r="2456" spans="1:3" ht="24" customHeight="1">
      <c r="A2456" s="1205" t="s">
        <v>69671</v>
      </c>
      <c r="B2456" s="1205" t="s">
        <v>69670</v>
      </c>
      <c r="C2456" s="1205">
        <v>231.99</v>
      </c>
    </row>
    <row r="2457" spans="1:3" ht="24" customHeight="1">
      <c r="A2457" s="1205" t="s">
        <v>69669</v>
      </c>
      <c r="B2457" s="1205" t="s">
        <v>69668</v>
      </c>
      <c r="C2457" s="1205">
        <v>24.49</v>
      </c>
    </row>
    <row r="2458" spans="1:3" ht="24" customHeight="1">
      <c r="A2458" s="1205" t="s">
        <v>69667</v>
      </c>
      <c r="B2458" s="1205" t="s">
        <v>69666</v>
      </c>
      <c r="C2458" s="1205">
        <v>31.99</v>
      </c>
    </row>
    <row r="2459" spans="1:3" ht="24" customHeight="1">
      <c r="A2459" s="1205" t="s">
        <v>69665</v>
      </c>
      <c r="B2459" s="1205" t="s">
        <v>69664</v>
      </c>
      <c r="C2459" s="1205">
        <v>163.99</v>
      </c>
    </row>
    <row r="2460" spans="1:3" ht="24" customHeight="1">
      <c r="A2460" s="1205" t="s">
        <v>69663</v>
      </c>
      <c r="B2460" s="1205" t="s">
        <v>69662</v>
      </c>
      <c r="C2460" s="1205">
        <v>262.99</v>
      </c>
    </row>
    <row r="2461" spans="1:3" ht="24" customHeight="1">
      <c r="A2461" s="1205" t="s">
        <v>69661</v>
      </c>
      <c r="B2461" s="1205" t="s">
        <v>69660</v>
      </c>
      <c r="C2461" s="1205">
        <v>326.99</v>
      </c>
    </row>
    <row r="2462" spans="1:3" ht="24" customHeight="1">
      <c r="A2462" s="1205" t="s">
        <v>69659</v>
      </c>
      <c r="B2462" s="1205" t="s">
        <v>69658</v>
      </c>
      <c r="C2462" s="1205">
        <v>283.49</v>
      </c>
    </row>
    <row r="2463" spans="1:3" ht="24" customHeight="1">
      <c r="A2463" s="1205" t="s">
        <v>69657</v>
      </c>
      <c r="B2463" s="1205" t="s">
        <v>69656</v>
      </c>
      <c r="C2463" s="1205">
        <v>343.99</v>
      </c>
    </row>
    <row r="2464" spans="1:3" ht="24" customHeight="1">
      <c r="A2464" s="1205" t="s">
        <v>69655</v>
      </c>
      <c r="B2464" s="1205" t="s">
        <v>69654</v>
      </c>
      <c r="C2464" s="1205">
        <v>326.49</v>
      </c>
    </row>
    <row r="2465" spans="1:3" ht="24" customHeight="1">
      <c r="A2465" s="1205" t="s">
        <v>69653</v>
      </c>
      <c r="B2465" s="1205" t="s">
        <v>69652</v>
      </c>
      <c r="C2465" s="1205">
        <v>362.99</v>
      </c>
    </row>
    <row r="2466" spans="1:3" ht="24" customHeight="1">
      <c r="A2466" s="1205" t="s">
        <v>69651</v>
      </c>
      <c r="B2466" s="1205" t="s">
        <v>69650</v>
      </c>
      <c r="C2466" s="1205">
        <v>85.49</v>
      </c>
    </row>
    <row r="2467" spans="1:3" ht="24" customHeight="1">
      <c r="A2467" s="1205" t="s">
        <v>69649</v>
      </c>
      <c r="B2467" s="1205" t="s">
        <v>69648</v>
      </c>
      <c r="C2467" s="1205">
        <v>380.49</v>
      </c>
    </row>
    <row r="2468" spans="1:3" ht="24" customHeight="1">
      <c r="A2468" s="1205" t="s">
        <v>69647</v>
      </c>
      <c r="B2468" s="1205" t="s">
        <v>69646</v>
      </c>
      <c r="C2468" s="1205">
        <v>566.99</v>
      </c>
    </row>
    <row r="2469" spans="1:3" ht="24" customHeight="1">
      <c r="A2469" s="1205" t="s">
        <v>69645</v>
      </c>
      <c r="B2469" s="1205" t="s">
        <v>69644</v>
      </c>
      <c r="C2469" s="1205">
        <v>551.49</v>
      </c>
    </row>
    <row r="2470" spans="1:3" ht="24" customHeight="1">
      <c r="A2470" s="1205" t="s">
        <v>69643</v>
      </c>
      <c r="B2470" s="1205" t="s">
        <v>69642</v>
      </c>
      <c r="C2470" s="1205">
        <v>520.49</v>
      </c>
    </row>
    <row r="2471" spans="1:3" ht="24" customHeight="1">
      <c r="A2471" s="1205" t="s">
        <v>69641</v>
      </c>
      <c r="B2471" s="1205" t="s">
        <v>69640</v>
      </c>
      <c r="C2471" s="1205">
        <v>362.49</v>
      </c>
    </row>
    <row r="2472" spans="1:3" ht="24" customHeight="1">
      <c r="A2472" s="1205" t="s">
        <v>69639</v>
      </c>
      <c r="B2472" s="1205" t="s">
        <v>69638</v>
      </c>
      <c r="C2472" s="1205">
        <v>432.99</v>
      </c>
    </row>
    <row r="2473" spans="1:3" ht="24" customHeight="1">
      <c r="A2473" s="1205" t="s">
        <v>69637</v>
      </c>
      <c r="B2473" s="1205" t="s">
        <v>69636</v>
      </c>
      <c r="C2473" s="1205">
        <v>476.49</v>
      </c>
    </row>
    <row r="2474" spans="1:3" ht="24" customHeight="1">
      <c r="A2474" s="1205" t="s">
        <v>69635</v>
      </c>
      <c r="B2474" s="1205" t="s">
        <v>69634</v>
      </c>
      <c r="C2474" s="1205">
        <v>464.99</v>
      </c>
    </row>
    <row r="2475" spans="1:3" ht="24" customHeight="1">
      <c r="A2475" s="1205" t="s">
        <v>69633</v>
      </c>
      <c r="B2475" s="1205" t="s">
        <v>69632</v>
      </c>
      <c r="C2475" s="1205">
        <v>459.49</v>
      </c>
    </row>
    <row r="2476" spans="1:3" ht="24" customHeight="1">
      <c r="A2476" s="1205" t="s">
        <v>69631</v>
      </c>
      <c r="B2476" s="1205" t="s">
        <v>69630</v>
      </c>
      <c r="C2476" s="1205">
        <v>501.99</v>
      </c>
    </row>
    <row r="2477" spans="1:3" ht="24" customHeight="1">
      <c r="A2477" s="1205" t="s">
        <v>69629</v>
      </c>
      <c r="B2477" s="1205" t="s">
        <v>69628</v>
      </c>
      <c r="C2477" s="1205">
        <v>497.99</v>
      </c>
    </row>
    <row r="2478" spans="1:3" ht="24" customHeight="1">
      <c r="A2478" s="1205" t="s">
        <v>69627</v>
      </c>
      <c r="B2478" s="1205" t="s">
        <v>69626</v>
      </c>
      <c r="C2478" s="1205">
        <v>501.49</v>
      </c>
    </row>
    <row r="2479" spans="1:3" ht="24" customHeight="1">
      <c r="A2479" s="1205" t="s">
        <v>69625</v>
      </c>
      <c r="B2479" s="1205" t="s">
        <v>69624</v>
      </c>
      <c r="C2479" s="1205">
        <v>191.99</v>
      </c>
    </row>
    <row r="2480" spans="1:3" ht="24" customHeight="1">
      <c r="A2480" s="1205" t="s">
        <v>69623</v>
      </c>
      <c r="B2480" s="1205" t="s">
        <v>69622</v>
      </c>
      <c r="C2480" s="1205">
        <v>192.99</v>
      </c>
    </row>
    <row r="2481" spans="1:3" ht="24" customHeight="1">
      <c r="A2481" s="1205" t="s">
        <v>69621</v>
      </c>
      <c r="B2481" s="1205" t="s">
        <v>69620</v>
      </c>
      <c r="C2481" s="1205">
        <v>192.99</v>
      </c>
    </row>
    <row r="2482" spans="1:3" ht="24" customHeight="1">
      <c r="A2482" s="1205" t="s">
        <v>69619</v>
      </c>
      <c r="B2482" s="1205" t="s">
        <v>69618</v>
      </c>
      <c r="C2482" s="1205">
        <v>195.99</v>
      </c>
    </row>
    <row r="2483" spans="1:3" ht="24" customHeight="1">
      <c r="A2483" s="1205" t="s">
        <v>69617</v>
      </c>
      <c r="B2483" s="1205" t="s">
        <v>69616</v>
      </c>
      <c r="C2483" s="1205">
        <v>192.99</v>
      </c>
    </row>
    <row r="2484" spans="1:3" ht="24" customHeight="1">
      <c r="A2484" s="1205" t="s">
        <v>69615</v>
      </c>
      <c r="B2484" s="1205" t="s">
        <v>69613</v>
      </c>
      <c r="C2484" s="1205">
        <v>43.99</v>
      </c>
    </row>
    <row r="2485" spans="1:3" ht="24" customHeight="1">
      <c r="A2485" s="1205" t="s">
        <v>69614</v>
      </c>
      <c r="B2485" s="1205" t="s">
        <v>69613</v>
      </c>
      <c r="C2485" s="1205">
        <v>40.49</v>
      </c>
    </row>
    <row r="2486" spans="1:3" ht="24" customHeight="1">
      <c r="A2486" s="1205" t="s">
        <v>69612</v>
      </c>
      <c r="B2486" s="1205" t="s">
        <v>69610</v>
      </c>
      <c r="C2486" s="1205">
        <v>71.489999999999995</v>
      </c>
    </row>
    <row r="2487" spans="1:3" ht="24" customHeight="1">
      <c r="A2487" s="1205" t="s">
        <v>69611</v>
      </c>
      <c r="B2487" s="1205" t="s">
        <v>69610</v>
      </c>
      <c r="C2487" s="1205">
        <v>66.989999999999995</v>
      </c>
    </row>
    <row r="2488" spans="1:3" ht="24" customHeight="1">
      <c r="A2488" s="1205" t="s">
        <v>69609</v>
      </c>
      <c r="B2488" s="1205" t="s">
        <v>69608</v>
      </c>
      <c r="C2488" s="1205">
        <v>479.99</v>
      </c>
    </row>
    <row r="2489" spans="1:3" ht="24" customHeight="1">
      <c r="A2489" s="1205" t="s">
        <v>69607</v>
      </c>
      <c r="B2489" s="1205" t="s">
        <v>69606</v>
      </c>
      <c r="C2489" s="1205">
        <v>334.49</v>
      </c>
    </row>
    <row r="2490" spans="1:3" ht="24" customHeight="1">
      <c r="A2490" s="1205" t="s">
        <v>69605</v>
      </c>
      <c r="B2490" s="1205" t="s">
        <v>69604</v>
      </c>
      <c r="C2490" s="1205">
        <v>353.49</v>
      </c>
    </row>
    <row r="2491" spans="1:3" ht="24" customHeight="1">
      <c r="A2491" s="1205" t="s">
        <v>69603</v>
      </c>
      <c r="B2491" s="1205" t="s">
        <v>69602</v>
      </c>
      <c r="C2491" s="1205">
        <v>267.49</v>
      </c>
    </row>
    <row r="2492" spans="1:3" ht="24" customHeight="1">
      <c r="A2492" s="1205" t="s">
        <v>69601</v>
      </c>
      <c r="B2492" s="1205" t="s">
        <v>69600</v>
      </c>
      <c r="C2492" s="1205">
        <v>286.99</v>
      </c>
    </row>
    <row r="2493" spans="1:3" ht="24" customHeight="1">
      <c r="A2493" s="1205" t="s">
        <v>69599</v>
      </c>
      <c r="B2493" s="1205" t="s">
        <v>69598</v>
      </c>
      <c r="C2493" s="1205">
        <v>104.99</v>
      </c>
    </row>
    <row r="2494" spans="1:3" ht="24" customHeight="1">
      <c r="A2494" s="1205" t="s">
        <v>69597</v>
      </c>
      <c r="B2494" s="1205" t="s">
        <v>69596</v>
      </c>
      <c r="C2494" s="1205">
        <v>92.99</v>
      </c>
    </row>
    <row r="2495" spans="1:3" ht="24" customHeight="1">
      <c r="A2495" s="1205" t="s">
        <v>69595</v>
      </c>
      <c r="B2495" s="1205" t="s">
        <v>69594</v>
      </c>
      <c r="C2495" s="1205">
        <v>96.49</v>
      </c>
    </row>
    <row r="2496" spans="1:3" ht="24" customHeight="1">
      <c r="A2496" s="1205" t="s">
        <v>69593</v>
      </c>
      <c r="B2496" s="1205" t="s">
        <v>69592</v>
      </c>
      <c r="C2496" s="1205">
        <v>365.49</v>
      </c>
    </row>
    <row r="2497" spans="1:3" ht="24" customHeight="1">
      <c r="A2497" s="1205" t="s">
        <v>69591</v>
      </c>
      <c r="B2497" s="1205" t="s">
        <v>69590</v>
      </c>
      <c r="C2497" s="1205">
        <v>298.49</v>
      </c>
    </row>
    <row r="2498" spans="1:3" ht="24" customHeight="1">
      <c r="A2498" s="1205" t="s">
        <v>69589</v>
      </c>
      <c r="B2498" s="1205" t="s">
        <v>69588</v>
      </c>
      <c r="C2498" s="1205">
        <v>310.49</v>
      </c>
    </row>
    <row r="2499" spans="1:3" ht="24" customHeight="1">
      <c r="A2499" s="1205" t="s">
        <v>69587</v>
      </c>
      <c r="B2499" s="1205" t="s">
        <v>69586</v>
      </c>
      <c r="C2499" s="1205">
        <v>213.49</v>
      </c>
    </row>
    <row r="2500" spans="1:3" ht="24" customHeight="1">
      <c r="A2500" s="1205" t="s">
        <v>69585</v>
      </c>
      <c r="B2500" s="1205" t="s">
        <v>69584</v>
      </c>
      <c r="C2500" s="1205">
        <v>142.49</v>
      </c>
    </row>
    <row r="2501" spans="1:3" ht="24" customHeight="1">
      <c r="A2501" s="1205" t="s">
        <v>69583</v>
      </c>
      <c r="B2501" s="1205" t="s">
        <v>69582</v>
      </c>
      <c r="C2501" s="1205">
        <v>65.489999999999995</v>
      </c>
    </row>
    <row r="2502" spans="1:3" ht="24" customHeight="1">
      <c r="A2502" s="1205" t="s">
        <v>69581</v>
      </c>
      <c r="B2502" s="1205" t="s">
        <v>69580</v>
      </c>
      <c r="C2502" s="1205">
        <v>75.489999999999995</v>
      </c>
    </row>
    <row r="2503" spans="1:3" ht="24" customHeight="1">
      <c r="A2503" s="1205" t="s">
        <v>69579</v>
      </c>
      <c r="B2503" s="1205" t="s">
        <v>69578</v>
      </c>
      <c r="C2503" s="1205">
        <v>90.49</v>
      </c>
    </row>
    <row r="2504" spans="1:3" ht="24" customHeight="1">
      <c r="A2504" s="1205" t="s">
        <v>69577</v>
      </c>
      <c r="B2504" s="1205" t="s">
        <v>69576</v>
      </c>
      <c r="C2504" s="1205">
        <v>80.989999999999995</v>
      </c>
    </row>
    <row r="2505" spans="1:3" ht="24" customHeight="1">
      <c r="A2505" s="1205" t="s">
        <v>69575</v>
      </c>
      <c r="B2505" s="1205" t="s">
        <v>69574</v>
      </c>
      <c r="C2505" s="1205">
        <v>84.99</v>
      </c>
    </row>
    <row r="2506" spans="1:3" ht="24" customHeight="1">
      <c r="A2506" s="1205" t="s">
        <v>69573</v>
      </c>
      <c r="B2506" s="1205" t="s">
        <v>69572</v>
      </c>
      <c r="C2506" s="1205">
        <v>77.989999999999995</v>
      </c>
    </row>
    <row r="2507" spans="1:3" ht="24" customHeight="1">
      <c r="A2507" s="1205" t="s">
        <v>69571</v>
      </c>
      <c r="B2507" s="1205" t="s">
        <v>69570</v>
      </c>
      <c r="C2507" s="1205">
        <v>54.99</v>
      </c>
    </row>
    <row r="2508" spans="1:3" ht="24" customHeight="1">
      <c r="A2508" s="1205" t="s">
        <v>69569</v>
      </c>
      <c r="B2508" s="1205" t="s">
        <v>69568</v>
      </c>
      <c r="C2508" s="1205">
        <v>8.49</v>
      </c>
    </row>
    <row r="2509" spans="1:3" ht="24" customHeight="1">
      <c r="A2509" s="1205" t="s">
        <v>69567</v>
      </c>
      <c r="B2509" s="1205" t="s">
        <v>69566</v>
      </c>
      <c r="C2509" s="1205">
        <v>18.989999999999998</v>
      </c>
    </row>
    <row r="2510" spans="1:3" ht="24" customHeight="1">
      <c r="A2510" s="1205" t="s">
        <v>69565</v>
      </c>
      <c r="B2510" s="1205" t="s">
        <v>62989</v>
      </c>
      <c r="C2510" s="1205">
        <v>11.99</v>
      </c>
    </row>
    <row r="2511" spans="1:3" ht="24" customHeight="1">
      <c r="A2511" s="1205" t="s">
        <v>69564</v>
      </c>
      <c r="B2511" s="1205" t="s">
        <v>69563</v>
      </c>
      <c r="C2511" s="1205">
        <v>32.99</v>
      </c>
    </row>
    <row r="2512" spans="1:3" ht="24" customHeight="1">
      <c r="A2512" s="1205" t="s">
        <v>69562</v>
      </c>
      <c r="B2512" s="1205" t="s">
        <v>69561</v>
      </c>
      <c r="C2512" s="1205">
        <v>32.99</v>
      </c>
    </row>
    <row r="2513" spans="1:3" ht="24" customHeight="1">
      <c r="A2513" s="1205" t="s">
        <v>69560</v>
      </c>
      <c r="B2513" s="1205" t="s">
        <v>69559</v>
      </c>
      <c r="C2513" s="1205">
        <v>32.99</v>
      </c>
    </row>
    <row r="2514" spans="1:3" ht="24" customHeight="1">
      <c r="A2514" s="1205" t="s">
        <v>69558</v>
      </c>
      <c r="B2514" s="1205" t="s">
        <v>69557</v>
      </c>
      <c r="C2514" s="1205">
        <v>32.99</v>
      </c>
    </row>
    <row r="2515" spans="1:3" ht="24" customHeight="1">
      <c r="A2515" s="1205" t="s">
        <v>69556</v>
      </c>
      <c r="B2515" s="1205" t="s">
        <v>69555</v>
      </c>
      <c r="C2515" s="1205">
        <v>32.99</v>
      </c>
    </row>
    <row r="2516" spans="1:3" ht="24" customHeight="1">
      <c r="A2516" s="1205" t="s">
        <v>69554</v>
      </c>
      <c r="B2516" s="1205" t="s">
        <v>69553</v>
      </c>
      <c r="C2516" s="1205">
        <v>32.99</v>
      </c>
    </row>
    <row r="2517" spans="1:3" ht="24" customHeight="1">
      <c r="A2517" s="1205" t="s">
        <v>69552</v>
      </c>
      <c r="B2517" s="1205" t="s">
        <v>69551</v>
      </c>
      <c r="C2517" s="1205">
        <v>32.99</v>
      </c>
    </row>
    <row r="2518" spans="1:3" ht="24" customHeight="1">
      <c r="A2518" s="1205" t="s">
        <v>69550</v>
      </c>
      <c r="B2518" s="1205" t="s">
        <v>69549</v>
      </c>
      <c r="C2518" s="1205">
        <v>27.99</v>
      </c>
    </row>
    <row r="2519" spans="1:3" ht="24" customHeight="1">
      <c r="A2519" s="1205" t="s">
        <v>69548</v>
      </c>
      <c r="B2519" s="1205" t="s">
        <v>69547</v>
      </c>
      <c r="C2519" s="1205">
        <v>32.99</v>
      </c>
    </row>
    <row r="2520" spans="1:3" ht="24" customHeight="1">
      <c r="A2520" s="1205" t="s">
        <v>69546</v>
      </c>
      <c r="B2520" s="1205" t="s">
        <v>69545</v>
      </c>
      <c r="C2520" s="1205">
        <v>40.99</v>
      </c>
    </row>
    <row r="2521" spans="1:3" ht="24" customHeight="1">
      <c r="A2521" s="1205" t="s">
        <v>69544</v>
      </c>
      <c r="B2521" s="1205" t="s">
        <v>69543</v>
      </c>
      <c r="C2521" s="1205">
        <v>40.99</v>
      </c>
    </row>
    <row r="2522" spans="1:3" ht="24" customHeight="1">
      <c r="A2522" s="1205" t="s">
        <v>69542</v>
      </c>
      <c r="B2522" s="1205" t="s">
        <v>69541</v>
      </c>
      <c r="C2522" s="1205">
        <v>49.49</v>
      </c>
    </row>
    <row r="2523" spans="1:3" ht="24" customHeight="1">
      <c r="A2523" s="1205" t="s">
        <v>69540</v>
      </c>
      <c r="B2523" s="1205" t="s">
        <v>69539</v>
      </c>
      <c r="C2523" s="1205">
        <v>58.49</v>
      </c>
    </row>
    <row r="2524" spans="1:3" ht="24" customHeight="1">
      <c r="A2524" s="1205" t="s">
        <v>69538</v>
      </c>
      <c r="B2524" s="1205" t="s">
        <v>69537</v>
      </c>
      <c r="C2524" s="1205">
        <v>18.489999999999998</v>
      </c>
    </row>
    <row r="2525" spans="1:3" ht="24" customHeight="1">
      <c r="A2525" s="1205" t="s">
        <v>69536</v>
      </c>
      <c r="B2525" s="1205" t="s">
        <v>69535</v>
      </c>
      <c r="C2525" s="1205">
        <v>23.99</v>
      </c>
    </row>
    <row r="2526" spans="1:3" ht="24" customHeight="1">
      <c r="A2526" s="1205" t="s">
        <v>69534</v>
      </c>
      <c r="B2526" s="1205" t="s">
        <v>69533</v>
      </c>
      <c r="C2526" s="1205">
        <v>23.99</v>
      </c>
    </row>
    <row r="2527" spans="1:3" ht="24" customHeight="1">
      <c r="A2527" s="1205" t="s">
        <v>69532</v>
      </c>
      <c r="B2527" s="1205" t="s">
        <v>69531</v>
      </c>
      <c r="C2527" s="1205">
        <v>26.99</v>
      </c>
    </row>
    <row r="2528" spans="1:3" ht="24" customHeight="1">
      <c r="A2528" s="1205" t="s">
        <v>69530</v>
      </c>
      <c r="B2528" s="1205" t="s">
        <v>69529</v>
      </c>
      <c r="C2528" s="1205">
        <v>23.99</v>
      </c>
    </row>
    <row r="2529" spans="1:3" ht="24" customHeight="1">
      <c r="A2529" s="1205" t="s">
        <v>69528</v>
      </c>
      <c r="B2529" s="1205" t="s">
        <v>69527</v>
      </c>
      <c r="C2529" s="1205">
        <v>23.99</v>
      </c>
    </row>
    <row r="2530" spans="1:3" ht="24" customHeight="1">
      <c r="A2530" s="1205" t="s">
        <v>69526</v>
      </c>
      <c r="B2530" s="1205" t="s">
        <v>69525</v>
      </c>
      <c r="C2530" s="1205">
        <v>23.99</v>
      </c>
    </row>
    <row r="2531" spans="1:3" ht="24" customHeight="1">
      <c r="A2531" s="1205" t="s">
        <v>69524</v>
      </c>
      <c r="B2531" s="1205" t="s">
        <v>69523</v>
      </c>
      <c r="C2531" s="1205">
        <v>38.99</v>
      </c>
    </row>
    <row r="2532" spans="1:3" ht="24" customHeight="1">
      <c r="A2532" s="1205" t="s">
        <v>69522</v>
      </c>
      <c r="B2532" s="1205" t="s">
        <v>69521</v>
      </c>
      <c r="C2532" s="1205">
        <v>38.99</v>
      </c>
    </row>
    <row r="2533" spans="1:3" ht="24" customHeight="1">
      <c r="A2533" s="1205" t="s">
        <v>69520</v>
      </c>
      <c r="B2533" s="1205" t="s">
        <v>69519</v>
      </c>
      <c r="C2533" s="1205">
        <v>38.99</v>
      </c>
    </row>
    <row r="2534" spans="1:3" ht="24" customHeight="1">
      <c r="A2534" s="1205" t="s">
        <v>69518</v>
      </c>
      <c r="B2534" s="1205" t="s">
        <v>69517</v>
      </c>
      <c r="C2534" s="1205">
        <v>38.99</v>
      </c>
    </row>
    <row r="2535" spans="1:3" ht="24" customHeight="1">
      <c r="A2535" s="1205" t="s">
        <v>69516</v>
      </c>
      <c r="B2535" s="1205" t="s">
        <v>69515</v>
      </c>
      <c r="C2535" s="1205">
        <v>38.99</v>
      </c>
    </row>
    <row r="2536" spans="1:3" ht="24" customHeight="1">
      <c r="A2536" s="1205" t="s">
        <v>69514</v>
      </c>
      <c r="B2536" s="1205" t="s">
        <v>69513</v>
      </c>
      <c r="C2536" s="1205">
        <v>38.99</v>
      </c>
    </row>
    <row r="2537" spans="1:3" ht="24" customHeight="1">
      <c r="A2537" s="1205" t="s">
        <v>69512</v>
      </c>
      <c r="B2537" s="1205" t="s">
        <v>69511</v>
      </c>
      <c r="C2537" s="1205">
        <v>38.99</v>
      </c>
    </row>
    <row r="2538" spans="1:3" ht="24" customHeight="1">
      <c r="A2538" s="1205" t="s">
        <v>69510</v>
      </c>
      <c r="B2538" s="1205" t="s">
        <v>69509</v>
      </c>
      <c r="C2538" s="1205">
        <v>38.99</v>
      </c>
    </row>
    <row r="2539" spans="1:3" ht="24" customHeight="1">
      <c r="A2539" s="1205" t="s">
        <v>69508</v>
      </c>
      <c r="B2539" s="1205" t="s">
        <v>69507</v>
      </c>
      <c r="C2539" s="1205">
        <v>38.99</v>
      </c>
    </row>
    <row r="2540" spans="1:3" ht="24" customHeight="1">
      <c r="A2540" s="1205" t="s">
        <v>69506</v>
      </c>
      <c r="B2540" s="1205" t="s">
        <v>69505</v>
      </c>
      <c r="C2540" s="1205">
        <v>38.99</v>
      </c>
    </row>
    <row r="2541" spans="1:3" ht="24" customHeight="1">
      <c r="A2541" s="1205" t="s">
        <v>69504</v>
      </c>
      <c r="B2541" s="1205" t="s">
        <v>69503</v>
      </c>
      <c r="C2541" s="1205">
        <v>38.99</v>
      </c>
    </row>
    <row r="2542" spans="1:3" ht="24" customHeight="1">
      <c r="A2542" s="1205" t="s">
        <v>69502</v>
      </c>
      <c r="B2542" s="1205" t="s">
        <v>69501</v>
      </c>
      <c r="C2542" s="1205">
        <v>38.99</v>
      </c>
    </row>
    <row r="2543" spans="1:3" ht="24" customHeight="1">
      <c r="A2543" s="1205" t="s">
        <v>69500</v>
      </c>
      <c r="B2543" s="1205" t="s">
        <v>69499</v>
      </c>
      <c r="C2543" s="1205">
        <v>38.99</v>
      </c>
    </row>
    <row r="2544" spans="1:3" ht="24" customHeight="1">
      <c r="A2544" s="1205" t="s">
        <v>69498</v>
      </c>
      <c r="B2544" s="1205" t="s">
        <v>69497</v>
      </c>
      <c r="C2544" s="1205">
        <v>38.99</v>
      </c>
    </row>
    <row r="2545" spans="1:3" ht="24" customHeight="1">
      <c r="A2545" s="1205" t="s">
        <v>69496</v>
      </c>
      <c r="B2545" s="1205" t="s">
        <v>69495</v>
      </c>
      <c r="C2545" s="1205">
        <v>38.99</v>
      </c>
    </row>
    <row r="2546" spans="1:3" ht="24" customHeight="1">
      <c r="A2546" s="1205" t="s">
        <v>69494</v>
      </c>
      <c r="B2546" s="1205" t="s">
        <v>69493</v>
      </c>
      <c r="C2546" s="1205">
        <v>38.99</v>
      </c>
    </row>
    <row r="2547" spans="1:3" ht="24" customHeight="1">
      <c r="A2547" s="1205" t="s">
        <v>69492</v>
      </c>
      <c r="B2547" s="1205" t="s">
        <v>69491</v>
      </c>
      <c r="C2547" s="1205">
        <v>38.99</v>
      </c>
    </row>
    <row r="2548" spans="1:3" ht="24" customHeight="1">
      <c r="A2548" s="1205" t="s">
        <v>69490</v>
      </c>
      <c r="B2548" s="1205" t="s">
        <v>69489</v>
      </c>
      <c r="C2548" s="1205">
        <v>38.99</v>
      </c>
    </row>
    <row r="2549" spans="1:3" ht="24" customHeight="1">
      <c r="A2549" s="1205" t="s">
        <v>69488</v>
      </c>
      <c r="B2549" s="1205" t="s">
        <v>69487</v>
      </c>
      <c r="C2549" s="1205">
        <v>38.99</v>
      </c>
    </row>
    <row r="2550" spans="1:3" ht="24" customHeight="1">
      <c r="A2550" s="1205" t="s">
        <v>69486</v>
      </c>
      <c r="B2550" s="1205" t="s">
        <v>69485</v>
      </c>
      <c r="C2550" s="1205">
        <v>38.99</v>
      </c>
    </row>
    <row r="2551" spans="1:3" ht="24" customHeight="1">
      <c r="A2551" s="1205" t="s">
        <v>69484</v>
      </c>
      <c r="B2551" s="1205" t="s">
        <v>69483</v>
      </c>
      <c r="C2551" s="1205">
        <v>38.99</v>
      </c>
    </row>
    <row r="2552" spans="1:3" ht="24" customHeight="1">
      <c r="A2552" s="1205" t="s">
        <v>69482</v>
      </c>
      <c r="B2552" s="1205" t="s">
        <v>69481</v>
      </c>
      <c r="C2552" s="1205">
        <v>38.99</v>
      </c>
    </row>
    <row r="2553" spans="1:3" ht="24" customHeight="1">
      <c r="A2553" s="1205" t="s">
        <v>69480</v>
      </c>
      <c r="B2553" s="1205" t="s">
        <v>69479</v>
      </c>
      <c r="C2553" s="1205">
        <v>38.99</v>
      </c>
    </row>
    <row r="2554" spans="1:3" ht="24" customHeight="1">
      <c r="A2554" s="1205" t="s">
        <v>69478</v>
      </c>
      <c r="B2554" s="1205" t="s">
        <v>69477</v>
      </c>
      <c r="C2554" s="1205">
        <v>38.99</v>
      </c>
    </row>
    <row r="2555" spans="1:3" ht="24" customHeight="1">
      <c r="A2555" s="1205" t="s">
        <v>69476</v>
      </c>
      <c r="B2555" s="1205" t="s">
        <v>69475</v>
      </c>
      <c r="C2555" s="1205">
        <v>38.99</v>
      </c>
    </row>
    <row r="2556" spans="1:3" ht="24" customHeight="1">
      <c r="A2556" s="1205" t="s">
        <v>69474</v>
      </c>
      <c r="B2556" s="1205" t="s">
        <v>69473</v>
      </c>
      <c r="C2556" s="1205">
        <v>38.99</v>
      </c>
    </row>
    <row r="2557" spans="1:3" ht="24" customHeight="1">
      <c r="A2557" s="1205" t="s">
        <v>69472</v>
      </c>
      <c r="B2557" s="1205" t="s">
        <v>69471</v>
      </c>
      <c r="C2557" s="1205">
        <v>38.99</v>
      </c>
    </row>
    <row r="2558" spans="1:3" ht="24" customHeight="1">
      <c r="A2558" s="1205" t="s">
        <v>69470</v>
      </c>
      <c r="B2558" s="1205" t="s">
        <v>69469</v>
      </c>
      <c r="C2558" s="1205">
        <v>38.99</v>
      </c>
    </row>
    <row r="2559" spans="1:3" ht="24" customHeight="1">
      <c r="A2559" s="1205" t="s">
        <v>69468</v>
      </c>
      <c r="B2559" s="1205" t="s">
        <v>69467</v>
      </c>
      <c r="C2559" s="1205">
        <v>38.99</v>
      </c>
    </row>
    <row r="2560" spans="1:3" ht="24" customHeight="1">
      <c r="A2560" s="1205" t="s">
        <v>69466</v>
      </c>
      <c r="B2560" s="1205" t="s">
        <v>69465</v>
      </c>
      <c r="C2560" s="1205">
        <v>38.99</v>
      </c>
    </row>
    <row r="2561" spans="1:3" ht="24" customHeight="1">
      <c r="A2561" s="1205" t="s">
        <v>69464</v>
      </c>
      <c r="B2561" s="1205" t="s">
        <v>69463</v>
      </c>
      <c r="C2561" s="1205">
        <v>38.99</v>
      </c>
    </row>
    <row r="2562" spans="1:3" ht="24" customHeight="1">
      <c r="A2562" s="1205" t="s">
        <v>69462</v>
      </c>
      <c r="B2562" s="1205" t="s">
        <v>69461</v>
      </c>
      <c r="C2562" s="1205">
        <v>38.99</v>
      </c>
    </row>
    <row r="2563" spans="1:3" ht="24" customHeight="1">
      <c r="A2563" s="1205" t="s">
        <v>69460</v>
      </c>
      <c r="B2563" s="1205" t="s">
        <v>69459</v>
      </c>
      <c r="C2563" s="1205">
        <v>38.99</v>
      </c>
    </row>
    <row r="2564" spans="1:3" ht="24" customHeight="1">
      <c r="A2564" s="1205" t="s">
        <v>69458</v>
      </c>
      <c r="B2564" s="1205" t="s">
        <v>69457</v>
      </c>
      <c r="C2564" s="1205">
        <v>38.99</v>
      </c>
    </row>
    <row r="2565" spans="1:3" ht="24" customHeight="1">
      <c r="A2565" s="1205" t="s">
        <v>69456</v>
      </c>
      <c r="B2565" s="1205" t="s">
        <v>69455</v>
      </c>
      <c r="C2565" s="1205">
        <v>38.99</v>
      </c>
    </row>
    <row r="2566" spans="1:3" ht="24" customHeight="1">
      <c r="A2566" s="1205" t="s">
        <v>69454</v>
      </c>
      <c r="B2566" s="1205" t="s">
        <v>69453</v>
      </c>
      <c r="C2566" s="1205">
        <v>38.99</v>
      </c>
    </row>
    <row r="2567" spans="1:3" ht="24" customHeight="1">
      <c r="A2567" s="1205" t="s">
        <v>69452</v>
      </c>
      <c r="B2567" s="1205" t="s">
        <v>69451</v>
      </c>
      <c r="C2567" s="1205">
        <v>38.99</v>
      </c>
    </row>
    <row r="2568" spans="1:3" ht="24" customHeight="1">
      <c r="A2568" s="1205" t="s">
        <v>69450</v>
      </c>
      <c r="B2568" s="1205" t="s">
        <v>69449</v>
      </c>
      <c r="C2568" s="1205">
        <v>38.99</v>
      </c>
    </row>
    <row r="2569" spans="1:3" ht="24" customHeight="1">
      <c r="A2569" s="1205" t="s">
        <v>69448</v>
      </c>
      <c r="B2569" s="1205" t="s">
        <v>69447</v>
      </c>
      <c r="C2569" s="1205">
        <v>38.99</v>
      </c>
    </row>
    <row r="2570" spans="1:3" ht="24" customHeight="1">
      <c r="A2570" s="1205" t="s">
        <v>69446</v>
      </c>
      <c r="B2570" s="1205" t="s">
        <v>69445</v>
      </c>
      <c r="C2570" s="1205">
        <v>38.99</v>
      </c>
    </row>
    <row r="2571" spans="1:3" ht="24" customHeight="1">
      <c r="A2571" s="1205" t="s">
        <v>69444</v>
      </c>
      <c r="B2571" s="1205" t="s">
        <v>69443</v>
      </c>
      <c r="C2571" s="1205">
        <v>38.99</v>
      </c>
    </row>
    <row r="2572" spans="1:3" ht="24" customHeight="1">
      <c r="A2572" s="1205" t="s">
        <v>69442</v>
      </c>
      <c r="B2572" s="1205" t="s">
        <v>69441</v>
      </c>
      <c r="C2572" s="1205">
        <v>38.99</v>
      </c>
    </row>
    <row r="2573" spans="1:3" ht="24" customHeight="1">
      <c r="A2573" s="1205" t="s">
        <v>69440</v>
      </c>
      <c r="B2573" s="1205" t="s">
        <v>69439</v>
      </c>
      <c r="C2573" s="1205">
        <v>38.99</v>
      </c>
    </row>
    <row r="2574" spans="1:3" ht="24" customHeight="1">
      <c r="A2574" s="1205" t="s">
        <v>69438</v>
      </c>
      <c r="B2574" s="1205" t="s">
        <v>69437</v>
      </c>
      <c r="C2574" s="1205">
        <v>38.99</v>
      </c>
    </row>
    <row r="2575" spans="1:3" ht="24" customHeight="1">
      <c r="A2575" s="1205" t="s">
        <v>69436</v>
      </c>
      <c r="B2575" s="1205" t="s">
        <v>69435</v>
      </c>
      <c r="C2575" s="1205">
        <v>38.99</v>
      </c>
    </row>
    <row r="2576" spans="1:3" ht="24" customHeight="1">
      <c r="A2576" s="1205" t="s">
        <v>69434</v>
      </c>
      <c r="B2576" s="1205" t="s">
        <v>69433</v>
      </c>
      <c r="C2576" s="1205">
        <v>38.99</v>
      </c>
    </row>
    <row r="2577" spans="1:3" ht="24" customHeight="1">
      <c r="A2577" s="1205" t="s">
        <v>69432</v>
      </c>
      <c r="B2577" s="1205" t="s">
        <v>69431</v>
      </c>
      <c r="C2577" s="1205">
        <v>38.99</v>
      </c>
    </row>
    <row r="2578" spans="1:3" ht="24" customHeight="1">
      <c r="A2578" s="1205" t="s">
        <v>69430</v>
      </c>
      <c r="B2578" s="1205" t="s">
        <v>69429</v>
      </c>
      <c r="C2578" s="1205">
        <v>38.99</v>
      </c>
    </row>
    <row r="2579" spans="1:3" ht="24" customHeight="1">
      <c r="A2579" s="1205" t="s">
        <v>69428</v>
      </c>
      <c r="B2579" s="1205" t="s">
        <v>69427</v>
      </c>
      <c r="C2579" s="1205">
        <v>38.99</v>
      </c>
    </row>
    <row r="2580" spans="1:3" ht="24" customHeight="1">
      <c r="A2580" s="1205" t="s">
        <v>69426</v>
      </c>
      <c r="B2580" s="1205" t="s">
        <v>69425</v>
      </c>
      <c r="C2580" s="1205">
        <v>38.99</v>
      </c>
    </row>
    <row r="2581" spans="1:3" ht="24" customHeight="1">
      <c r="A2581" s="1205" t="s">
        <v>69424</v>
      </c>
      <c r="B2581" s="1205" t="s">
        <v>69423</v>
      </c>
      <c r="C2581" s="1205">
        <v>38.99</v>
      </c>
    </row>
    <row r="2582" spans="1:3" ht="24" customHeight="1">
      <c r="A2582" s="1205" t="s">
        <v>69422</v>
      </c>
      <c r="B2582" s="1205" t="s">
        <v>69421</v>
      </c>
      <c r="C2582" s="1205">
        <v>38.99</v>
      </c>
    </row>
    <row r="2583" spans="1:3" ht="24" customHeight="1">
      <c r="A2583" s="1205" t="s">
        <v>69420</v>
      </c>
      <c r="B2583" s="1205" t="s">
        <v>69419</v>
      </c>
      <c r="C2583" s="1205">
        <v>38.99</v>
      </c>
    </row>
    <row r="2584" spans="1:3" ht="24" customHeight="1">
      <c r="A2584" s="1205" t="s">
        <v>69418</v>
      </c>
      <c r="B2584" s="1205" t="s">
        <v>69417</v>
      </c>
      <c r="C2584" s="1205">
        <v>38.99</v>
      </c>
    </row>
    <row r="2585" spans="1:3" ht="24" customHeight="1">
      <c r="A2585" s="1205" t="s">
        <v>69416</v>
      </c>
      <c r="B2585" s="1205" t="s">
        <v>69415</v>
      </c>
      <c r="C2585" s="1205">
        <v>38.99</v>
      </c>
    </row>
    <row r="2586" spans="1:3" ht="24" customHeight="1">
      <c r="A2586" s="1205" t="s">
        <v>69414</v>
      </c>
      <c r="B2586" s="1205" t="s">
        <v>69413</v>
      </c>
      <c r="C2586" s="1205">
        <v>38.99</v>
      </c>
    </row>
    <row r="2587" spans="1:3" ht="24" customHeight="1">
      <c r="A2587" s="1205" t="s">
        <v>69412</v>
      </c>
      <c r="B2587" s="1205" t="s">
        <v>69411</v>
      </c>
      <c r="C2587" s="1205">
        <v>38.99</v>
      </c>
    </row>
    <row r="2588" spans="1:3" ht="24" customHeight="1">
      <c r="A2588" s="1205" t="s">
        <v>69410</v>
      </c>
      <c r="B2588" s="1205" t="s">
        <v>69409</v>
      </c>
      <c r="C2588" s="1205">
        <v>38.99</v>
      </c>
    </row>
    <row r="2589" spans="1:3" ht="24" customHeight="1">
      <c r="A2589" s="1205" t="s">
        <v>69408</v>
      </c>
      <c r="B2589" s="1205" t="s">
        <v>69407</v>
      </c>
      <c r="C2589" s="1205">
        <v>38.99</v>
      </c>
    </row>
    <row r="2590" spans="1:3" ht="24" customHeight="1">
      <c r="A2590" s="1205" t="s">
        <v>69406</v>
      </c>
      <c r="B2590" s="1205" t="s">
        <v>69405</v>
      </c>
      <c r="C2590" s="1205">
        <v>38.99</v>
      </c>
    </row>
    <row r="2591" spans="1:3" ht="24" customHeight="1">
      <c r="A2591" s="1205" t="s">
        <v>69404</v>
      </c>
      <c r="B2591" s="1205" t="s">
        <v>69403</v>
      </c>
      <c r="C2591" s="1205">
        <v>38.99</v>
      </c>
    </row>
    <row r="2592" spans="1:3" ht="24" customHeight="1">
      <c r="A2592" s="1205" t="s">
        <v>69402</v>
      </c>
      <c r="B2592" s="1205" t="s">
        <v>69401</v>
      </c>
      <c r="C2592" s="1205">
        <v>38.99</v>
      </c>
    </row>
    <row r="2593" spans="1:3" ht="24" customHeight="1">
      <c r="A2593" s="1205" t="s">
        <v>69400</v>
      </c>
      <c r="B2593" s="1205" t="s">
        <v>69399</v>
      </c>
      <c r="C2593" s="1205">
        <v>38.99</v>
      </c>
    </row>
    <row r="2594" spans="1:3" ht="24" customHeight="1">
      <c r="A2594" s="1205" t="s">
        <v>69398</v>
      </c>
      <c r="B2594" s="1205" t="s">
        <v>69397</v>
      </c>
      <c r="C2594" s="1205">
        <v>38.99</v>
      </c>
    </row>
    <row r="2595" spans="1:3" ht="24" customHeight="1">
      <c r="A2595" s="1205" t="s">
        <v>69396</v>
      </c>
      <c r="B2595" s="1205" t="s">
        <v>69395</v>
      </c>
      <c r="C2595" s="1205">
        <v>38.99</v>
      </c>
    </row>
    <row r="2596" spans="1:3" ht="24" customHeight="1">
      <c r="A2596" s="1205" t="s">
        <v>69394</v>
      </c>
      <c r="B2596" s="1205" t="s">
        <v>69393</v>
      </c>
      <c r="C2596" s="1205">
        <v>38.99</v>
      </c>
    </row>
    <row r="2597" spans="1:3" ht="24" customHeight="1">
      <c r="A2597" s="1205" t="s">
        <v>69392</v>
      </c>
      <c r="B2597" s="1205" t="s">
        <v>69391</v>
      </c>
      <c r="C2597" s="1205">
        <v>38.99</v>
      </c>
    </row>
    <row r="2598" spans="1:3" ht="24" customHeight="1">
      <c r="A2598" s="1205" t="s">
        <v>69390</v>
      </c>
      <c r="B2598" s="1205" t="s">
        <v>69389</v>
      </c>
      <c r="C2598" s="1205">
        <v>38.99</v>
      </c>
    </row>
    <row r="2599" spans="1:3" ht="24" customHeight="1">
      <c r="A2599" s="1205" t="s">
        <v>69388</v>
      </c>
      <c r="B2599" s="1205" t="s">
        <v>69387</v>
      </c>
      <c r="C2599" s="1205">
        <v>38.99</v>
      </c>
    </row>
    <row r="2600" spans="1:3" ht="24" customHeight="1">
      <c r="A2600" s="1205" t="s">
        <v>69386</v>
      </c>
      <c r="B2600" s="1205" t="s">
        <v>69385</v>
      </c>
      <c r="C2600" s="1205">
        <v>38.99</v>
      </c>
    </row>
    <row r="2601" spans="1:3" ht="24" customHeight="1">
      <c r="A2601" s="1205" t="s">
        <v>69384</v>
      </c>
      <c r="B2601" s="1205" t="s">
        <v>69383</v>
      </c>
      <c r="C2601" s="1205">
        <v>38.99</v>
      </c>
    </row>
    <row r="2602" spans="1:3" ht="24" customHeight="1">
      <c r="A2602" s="1205" t="s">
        <v>69382</v>
      </c>
      <c r="B2602" s="1205" t="s">
        <v>69381</v>
      </c>
      <c r="C2602" s="1205">
        <v>38.99</v>
      </c>
    </row>
    <row r="2603" spans="1:3" ht="24" customHeight="1">
      <c r="A2603" s="1205" t="s">
        <v>69380</v>
      </c>
      <c r="B2603" s="1205" t="s">
        <v>69379</v>
      </c>
      <c r="C2603" s="1205">
        <v>38.99</v>
      </c>
    </row>
    <row r="2604" spans="1:3" ht="24" customHeight="1">
      <c r="A2604" s="1205" t="s">
        <v>69378</v>
      </c>
      <c r="B2604" s="1205" t="s">
        <v>69377</v>
      </c>
      <c r="C2604" s="1205">
        <v>38.99</v>
      </c>
    </row>
    <row r="2605" spans="1:3" ht="24" customHeight="1">
      <c r="A2605" s="1205" t="s">
        <v>69376</v>
      </c>
      <c r="B2605" s="1205" t="s">
        <v>69375</v>
      </c>
      <c r="C2605" s="1205">
        <v>38.99</v>
      </c>
    </row>
    <row r="2606" spans="1:3" ht="24" customHeight="1">
      <c r="A2606" s="1205" t="s">
        <v>69374</v>
      </c>
      <c r="B2606" s="1205" t="s">
        <v>69373</v>
      </c>
      <c r="C2606" s="1205">
        <v>38.99</v>
      </c>
    </row>
    <row r="2607" spans="1:3" ht="24" customHeight="1">
      <c r="A2607" s="1205" t="s">
        <v>69372</v>
      </c>
      <c r="B2607" s="1205" t="s">
        <v>69371</v>
      </c>
      <c r="C2607" s="1205">
        <v>38.99</v>
      </c>
    </row>
    <row r="2608" spans="1:3" ht="24" customHeight="1">
      <c r="A2608" s="1205" t="s">
        <v>69370</v>
      </c>
      <c r="B2608" s="1205" t="s">
        <v>69369</v>
      </c>
      <c r="C2608" s="1205">
        <v>38.99</v>
      </c>
    </row>
    <row r="2609" spans="1:3" ht="24" customHeight="1">
      <c r="A2609" s="1205" t="s">
        <v>69368</v>
      </c>
      <c r="B2609" s="1205" t="s">
        <v>69367</v>
      </c>
      <c r="C2609" s="1205">
        <v>38.99</v>
      </c>
    </row>
    <row r="2610" spans="1:3" ht="24" customHeight="1">
      <c r="A2610" s="1205" t="s">
        <v>69366</v>
      </c>
      <c r="B2610" s="1205" t="s">
        <v>69365</v>
      </c>
      <c r="C2610" s="1205">
        <v>38.99</v>
      </c>
    </row>
    <row r="2611" spans="1:3" ht="24" customHeight="1">
      <c r="A2611" s="1205" t="s">
        <v>69364</v>
      </c>
      <c r="B2611" s="1205" t="s">
        <v>69363</v>
      </c>
      <c r="C2611" s="1205">
        <v>38.99</v>
      </c>
    </row>
    <row r="2612" spans="1:3" ht="24" customHeight="1">
      <c r="A2612" s="1205" t="s">
        <v>69362</v>
      </c>
      <c r="B2612" s="1205" t="s">
        <v>69361</v>
      </c>
      <c r="C2612" s="1205">
        <v>38.99</v>
      </c>
    </row>
    <row r="2613" spans="1:3" ht="24" customHeight="1">
      <c r="A2613" s="1205" t="s">
        <v>69360</v>
      </c>
      <c r="B2613" s="1205" t="s">
        <v>69359</v>
      </c>
      <c r="C2613" s="1205">
        <v>38.99</v>
      </c>
    </row>
    <row r="2614" spans="1:3" ht="24" customHeight="1">
      <c r="A2614" s="1205" t="s">
        <v>69358</v>
      </c>
      <c r="B2614" s="1205" t="s">
        <v>69357</v>
      </c>
      <c r="C2614" s="1205">
        <v>38.99</v>
      </c>
    </row>
    <row r="2615" spans="1:3" ht="24" customHeight="1">
      <c r="A2615" s="1205" t="s">
        <v>69356</v>
      </c>
      <c r="B2615" s="1205" t="s">
        <v>69355</v>
      </c>
      <c r="C2615" s="1205">
        <v>38.99</v>
      </c>
    </row>
    <row r="2616" spans="1:3" ht="24" customHeight="1">
      <c r="A2616" s="1205" t="s">
        <v>69354</v>
      </c>
      <c r="B2616" s="1205" t="s">
        <v>69353</v>
      </c>
      <c r="C2616" s="1205">
        <v>38.99</v>
      </c>
    </row>
    <row r="2617" spans="1:3" ht="24" customHeight="1">
      <c r="A2617" s="1205" t="s">
        <v>69352</v>
      </c>
      <c r="B2617" s="1205" t="s">
        <v>69351</v>
      </c>
      <c r="C2617" s="1205">
        <v>38.99</v>
      </c>
    </row>
    <row r="2618" spans="1:3" ht="24" customHeight="1">
      <c r="A2618" s="1205" t="s">
        <v>69350</v>
      </c>
      <c r="B2618" s="1205" t="s">
        <v>69349</v>
      </c>
      <c r="C2618" s="1205">
        <v>34.49</v>
      </c>
    </row>
    <row r="2619" spans="1:3" ht="24" customHeight="1">
      <c r="A2619" s="1205" t="s">
        <v>69348</v>
      </c>
      <c r="B2619" s="1205" t="s">
        <v>69347</v>
      </c>
      <c r="C2619" s="1205">
        <v>38.99</v>
      </c>
    </row>
    <row r="2620" spans="1:3" ht="24" customHeight="1">
      <c r="A2620" s="1205" t="s">
        <v>69346</v>
      </c>
      <c r="B2620" s="1205" t="s">
        <v>69345</v>
      </c>
      <c r="C2620" s="1205">
        <v>38.99</v>
      </c>
    </row>
    <row r="2621" spans="1:3" ht="24" customHeight="1">
      <c r="A2621" s="1205" t="s">
        <v>69344</v>
      </c>
      <c r="B2621" s="1205" t="s">
        <v>69343</v>
      </c>
      <c r="C2621" s="1205">
        <v>38.99</v>
      </c>
    </row>
    <row r="2622" spans="1:3" ht="24" customHeight="1">
      <c r="A2622" s="1205" t="s">
        <v>69342</v>
      </c>
      <c r="B2622" s="1205" t="s">
        <v>69341</v>
      </c>
      <c r="C2622" s="1205">
        <v>38.99</v>
      </c>
    </row>
    <row r="2623" spans="1:3" ht="24" customHeight="1">
      <c r="A2623" s="1205" t="s">
        <v>69340</v>
      </c>
      <c r="B2623" s="1205" t="s">
        <v>69339</v>
      </c>
      <c r="C2623" s="1205">
        <v>38.99</v>
      </c>
    </row>
    <row r="2624" spans="1:3" ht="24" customHeight="1">
      <c r="A2624" s="1205" t="s">
        <v>69338</v>
      </c>
      <c r="B2624" s="1205" t="s">
        <v>69337</v>
      </c>
      <c r="C2624" s="1205">
        <v>38.99</v>
      </c>
    </row>
    <row r="2625" spans="1:3" ht="24" customHeight="1">
      <c r="A2625" s="1205" t="s">
        <v>69336</v>
      </c>
      <c r="B2625" s="1205" t="s">
        <v>69335</v>
      </c>
      <c r="C2625" s="1205">
        <v>38.99</v>
      </c>
    </row>
    <row r="2626" spans="1:3" ht="24" customHeight="1">
      <c r="A2626" s="1205" t="s">
        <v>69334</v>
      </c>
      <c r="B2626" s="1205" t="s">
        <v>69333</v>
      </c>
      <c r="C2626" s="1205">
        <v>38.99</v>
      </c>
    </row>
    <row r="2627" spans="1:3" ht="24" customHeight="1">
      <c r="A2627" s="1205" t="s">
        <v>69332</v>
      </c>
      <c r="B2627" s="1205" t="s">
        <v>69331</v>
      </c>
      <c r="C2627" s="1205">
        <v>38.99</v>
      </c>
    </row>
    <row r="2628" spans="1:3" ht="24" customHeight="1">
      <c r="A2628" s="1205" t="s">
        <v>69330</v>
      </c>
      <c r="B2628" s="1205" t="s">
        <v>69329</v>
      </c>
      <c r="C2628" s="1205">
        <v>38.99</v>
      </c>
    </row>
    <row r="2629" spans="1:3" ht="24" customHeight="1">
      <c r="A2629" s="1205" t="s">
        <v>69328</v>
      </c>
      <c r="B2629" s="1205" t="s">
        <v>69327</v>
      </c>
      <c r="C2629" s="1205">
        <v>48.49</v>
      </c>
    </row>
    <row r="2630" spans="1:3" ht="24" customHeight="1">
      <c r="A2630" s="1205" t="s">
        <v>69326</v>
      </c>
      <c r="B2630" s="1205" t="s">
        <v>69325</v>
      </c>
      <c r="C2630" s="1205">
        <v>23.49</v>
      </c>
    </row>
    <row r="2631" spans="1:3" ht="24" customHeight="1">
      <c r="A2631" s="1205" t="s">
        <v>69324</v>
      </c>
      <c r="B2631" s="1205" t="s">
        <v>69323</v>
      </c>
      <c r="C2631" s="1205">
        <v>42.99</v>
      </c>
    </row>
    <row r="2632" spans="1:3" ht="24" customHeight="1">
      <c r="A2632" s="1205" t="s">
        <v>69322</v>
      </c>
      <c r="B2632" s="1205" t="s">
        <v>69321</v>
      </c>
      <c r="C2632" s="1205">
        <v>42.99</v>
      </c>
    </row>
    <row r="2633" spans="1:3" ht="24" customHeight="1">
      <c r="A2633" s="1205" t="s">
        <v>69320</v>
      </c>
      <c r="B2633" s="1205" t="s">
        <v>69319</v>
      </c>
      <c r="C2633" s="1205">
        <v>42.99</v>
      </c>
    </row>
    <row r="2634" spans="1:3" ht="24" customHeight="1">
      <c r="A2634" s="1205" t="s">
        <v>69318</v>
      </c>
      <c r="B2634" s="1205" t="s">
        <v>69317</v>
      </c>
      <c r="C2634" s="1205">
        <v>42.99</v>
      </c>
    </row>
    <row r="2635" spans="1:3" ht="24" customHeight="1">
      <c r="A2635" s="1205" t="s">
        <v>69316</v>
      </c>
      <c r="B2635" s="1205" t="s">
        <v>69315</v>
      </c>
      <c r="C2635" s="1205">
        <v>42.99</v>
      </c>
    </row>
    <row r="2636" spans="1:3" ht="24" customHeight="1">
      <c r="A2636" s="1205" t="s">
        <v>69314</v>
      </c>
      <c r="B2636" s="1205" t="s">
        <v>69313</v>
      </c>
      <c r="C2636" s="1205">
        <v>42.99</v>
      </c>
    </row>
    <row r="2637" spans="1:3" ht="24" customHeight="1">
      <c r="A2637" s="1205" t="s">
        <v>69312</v>
      </c>
      <c r="B2637" s="1205" t="s">
        <v>69311</v>
      </c>
      <c r="C2637" s="1205">
        <v>42.99</v>
      </c>
    </row>
    <row r="2638" spans="1:3" ht="24" customHeight="1">
      <c r="A2638" s="1205" t="s">
        <v>69310</v>
      </c>
      <c r="B2638" s="1205" t="s">
        <v>69309</v>
      </c>
      <c r="C2638" s="1205">
        <v>42.99</v>
      </c>
    </row>
    <row r="2639" spans="1:3" ht="24" customHeight="1">
      <c r="A2639" s="1205" t="s">
        <v>69308</v>
      </c>
      <c r="B2639" s="1205" t="s">
        <v>69307</v>
      </c>
      <c r="C2639" s="1205">
        <v>42.99</v>
      </c>
    </row>
    <row r="2640" spans="1:3" ht="24" customHeight="1">
      <c r="A2640" s="1205" t="s">
        <v>69306</v>
      </c>
      <c r="B2640" s="1205" t="s">
        <v>69305</v>
      </c>
      <c r="C2640" s="1205">
        <v>42.99</v>
      </c>
    </row>
    <row r="2641" spans="1:3" ht="24" customHeight="1">
      <c r="A2641" s="1205" t="s">
        <v>69304</v>
      </c>
      <c r="B2641" s="1205" t="s">
        <v>69303</v>
      </c>
      <c r="C2641" s="1205">
        <v>42.99</v>
      </c>
    </row>
    <row r="2642" spans="1:3" ht="24" customHeight="1">
      <c r="A2642" s="1205" t="s">
        <v>69302</v>
      </c>
      <c r="B2642" s="1205" t="s">
        <v>69301</v>
      </c>
      <c r="C2642" s="1205">
        <v>42.99</v>
      </c>
    </row>
    <row r="2643" spans="1:3" ht="24" customHeight="1">
      <c r="A2643" s="1205" t="s">
        <v>69300</v>
      </c>
      <c r="B2643" s="1205" t="s">
        <v>69299</v>
      </c>
      <c r="C2643" s="1205">
        <v>42.99</v>
      </c>
    </row>
    <row r="2644" spans="1:3" ht="24" customHeight="1">
      <c r="A2644" s="1205" t="s">
        <v>69298</v>
      </c>
      <c r="B2644" s="1205" t="s">
        <v>69297</v>
      </c>
      <c r="C2644" s="1205">
        <v>42.99</v>
      </c>
    </row>
    <row r="2645" spans="1:3" ht="24" customHeight="1">
      <c r="A2645" s="1205" t="s">
        <v>69296</v>
      </c>
      <c r="B2645" s="1205" t="s">
        <v>69295</v>
      </c>
      <c r="C2645" s="1205">
        <v>42.99</v>
      </c>
    </row>
    <row r="2646" spans="1:3" ht="24" customHeight="1">
      <c r="A2646" s="1205" t="s">
        <v>69294</v>
      </c>
      <c r="B2646" s="1205" t="s">
        <v>69293</v>
      </c>
      <c r="C2646" s="1205">
        <v>42.99</v>
      </c>
    </row>
    <row r="2647" spans="1:3" ht="24" customHeight="1">
      <c r="A2647" s="1205" t="s">
        <v>69292</v>
      </c>
      <c r="B2647" s="1205" t="s">
        <v>69291</v>
      </c>
      <c r="C2647" s="1205">
        <v>42.99</v>
      </c>
    </row>
    <row r="2648" spans="1:3" ht="24" customHeight="1">
      <c r="A2648" s="1205" t="s">
        <v>69290</v>
      </c>
      <c r="B2648" s="1205" t="s">
        <v>69289</v>
      </c>
      <c r="C2648" s="1205">
        <v>42.99</v>
      </c>
    </row>
    <row r="2649" spans="1:3" ht="24" customHeight="1">
      <c r="A2649" s="1205" t="s">
        <v>69288</v>
      </c>
      <c r="B2649" s="1205" t="s">
        <v>69287</v>
      </c>
      <c r="C2649" s="1205">
        <v>42.99</v>
      </c>
    </row>
    <row r="2650" spans="1:3" ht="24" customHeight="1">
      <c r="A2650" s="1205" t="s">
        <v>69286</v>
      </c>
      <c r="B2650" s="1205" t="s">
        <v>69285</v>
      </c>
      <c r="C2650" s="1205">
        <v>42.99</v>
      </c>
    </row>
    <row r="2651" spans="1:3" ht="24" customHeight="1">
      <c r="A2651" s="1205" t="s">
        <v>69284</v>
      </c>
      <c r="B2651" s="1205" t="s">
        <v>69283</v>
      </c>
      <c r="C2651" s="1205">
        <v>42.99</v>
      </c>
    </row>
    <row r="2652" spans="1:3" ht="24" customHeight="1">
      <c r="A2652" s="1205" t="s">
        <v>69282</v>
      </c>
      <c r="B2652" s="1205" t="s">
        <v>69281</v>
      </c>
      <c r="C2652" s="1205">
        <v>42.99</v>
      </c>
    </row>
    <row r="2653" spans="1:3" ht="24" customHeight="1">
      <c r="A2653" s="1205" t="s">
        <v>69280</v>
      </c>
      <c r="B2653" s="1205" t="s">
        <v>69279</v>
      </c>
      <c r="C2653" s="1205">
        <v>42.99</v>
      </c>
    </row>
    <row r="2654" spans="1:3" ht="24" customHeight="1">
      <c r="A2654" s="1205" t="s">
        <v>69278</v>
      </c>
      <c r="B2654" s="1205" t="s">
        <v>69277</v>
      </c>
      <c r="C2654" s="1205">
        <v>42.99</v>
      </c>
    </row>
    <row r="2655" spans="1:3" ht="24" customHeight="1">
      <c r="A2655" s="1205" t="s">
        <v>69276</v>
      </c>
      <c r="B2655" s="1205" t="s">
        <v>69275</v>
      </c>
      <c r="C2655" s="1205">
        <v>42.99</v>
      </c>
    </row>
    <row r="2656" spans="1:3" ht="24" customHeight="1">
      <c r="A2656" s="1205" t="s">
        <v>69274</v>
      </c>
      <c r="B2656" s="1205" t="s">
        <v>69273</v>
      </c>
      <c r="C2656" s="1205">
        <v>42.99</v>
      </c>
    </row>
    <row r="2657" spans="1:3" ht="24" customHeight="1">
      <c r="A2657" s="1205" t="s">
        <v>69272</v>
      </c>
      <c r="B2657" s="1205" t="s">
        <v>69271</v>
      </c>
      <c r="C2657" s="1205">
        <v>42.99</v>
      </c>
    </row>
    <row r="2658" spans="1:3" ht="24" customHeight="1">
      <c r="A2658" s="1205" t="s">
        <v>69270</v>
      </c>
      <c r="B2658" s="1205" t="s">
        <v>69269</v>
      </c>
      <c r="C2658" s="1205">
        <v>42.99</v>
      </c>
    </row>
    <row r="2659" spans="1:3" ht="24" customHeight="1">
      <c r="A2659" s="1205" t="s">
        <v>69268</v>
      </c>
      <c r="B2659" s="1205" t="s">
        <v>69267</v>
      </c>
      <c r="C2659" s="1205">
        <v>42.99</v>
      </c>
    </row>
    <row r="2660" spans="1:3" ht="24" customHeight="1">
      <c r="A2660" s="1205" t="s">
        <v>69266</v>
      </c>
      <c r="B2660" s="1205" t="s">
        <v>69265</v>
      </c>
      <c r="C2660" s="1205">
        <v>42.99</v>
      </c>
    </row>
    <row r="2661" spans="1:3" ht="24" customHeight="1">
      <c r="A2661" s="1205" t="s">
        <v>69264</v>
      </c>
      <c r="B2661" s="1205" t="s">
        <v>69263</v>
      </c>
      <c r="C2661" s="1205">
        <v>42.99</v>
      </c>
    </row>
    <row r="2662" spans="1:3" ht="24" customHeight="1">
      <c r="A2662" s="1205" t="s">
        <v>69262</v>
      </c>
      <c r="B2662" s="1205" t="s">
        <v>69261</v>
      </c>
      <c r="C2662" s="1205">
        <v>42.99</v>
      </c>
    </row>
    <row r="2663" spans="1:3" ht="24" customHeight="1">
      <c r="A2663" s="1205" t="s">
        <v>69260</v>
      </c>
      <c r="B2663" s="1205" t="s">
        <v>69259</v>
      </c>
      <c r="C2663" s="1205">
        <v>42.99</v>
      </c>
    </row>
    <row r="2664" spans="1:3" ht="24" customHeight="1">
      <c r="A2664" s="1205" t="s">
        <v>69258</v>
      </c>
      <c r="B2664" s="1205" t="s">
        <v>69257</v>
      </c>
      <c r="C2664" s="1205">
        <v>42.99</v>
      </c>
    </row>
    <row r="2665" spans="1:3" ht="24" customHeight="1">
      <c r="A2665" s="1205" t="s">
        <v>69256</v>
      </c>
      <c r="B2665" s="1205" t="s">
        <v>69255</v>
      </c>
      <c r="C2665" s="1205">
        <v>42.99</v>
      </c>
    </row>
    <row r="2666" spans="1:3" ht="24" customHeight="1">
      <c r="A2666" s="1205" t="s">
        <v>69254</v>
      </c>
      <c r="B2666" s="1205" t="s">
        <v>69253</v>
      </c>
      <c r="C2666" s="1205">
        <v>42.99</v>
      </c>
    </row>
    <row r="2667" spans="1:3" ht="24" customHeight="1">
      <c r="A2667" s="1205" t="s">
        <v>69252</v>
      </c>
      <c r="B2667" s="1205" t="s">
        <v>69251</v>
      </c>
      <c r="C2667" s="1205">
        <v>42.99</v>
      </c>
    </row>
    <row r="2668" spans="1:3" ht="24" customHeight="1">
      <c r="A2668" s="1205" t="s">
        <v>69250</v>
      </c>
      <c r="B2668" s="1205" t="s">
        <v>69249</v>
      </c>
      <c r="C2668" s="1205">
        <v>42.99</v>
      </c>
    </row>
    <row r="2669" spans="1:3" ht="24" customHeight="1">
      <c r="A2669" s="1205" t="s">
        <v>69248</v>
      </c>
      <c r="B2669" s="1205" t="s">
        <v>69247</v>
      </c>
      <c r="C2669" s="1205">
        <v>43.49</v>
      </c>
    </row>
    <row r="2670" spans="1:3" ht="24" customHeight="1">
      <c r="A2670" s="1205" t="s">
        <v>69246</v>
      </c>
      <c r="B2670" s="1205" t="s">
        <v>69245</v>
      </c>
      <c r="C2670" s="1205">
        <v>27.49</v>
      </c>
    </row>
    <row r="2671" spans="1:3" ht="24" customHeight="1">
      <c r="A2671" s="1205" t="s">
        <v>69244</v>
      </c>
      <c r="B2671" s="1205" t="s">
        <v>69243</v>
      </c>
      <c r="C2671" s="1205">
        <v>51.49</v>
      </c>
    </row>
    <row r="2672" spans="1:3" ht="24" customHeight="1">
      <c r="A2672" s="1205" t="s">
        <v>69242</v>
      </c>
      <c r="B2672" s="1205" t="s">
        <v>69241</v>
      </c>
      <c r="C2672" s="1205">
        <v>46.99</v>
      </c>
    </row>
    <row r="2673" spans="1:3" ht="24" customHeight="1">
      <c r="A2673" s="1205" t="s">
        <v>69240</v>
      </c>
      <c r="B2673" s="1205" t="s">
        <v>69239</v>
      </c>
      <c r="C2673" s="1205">
        <v>32.49</v>
      </c>
    </row>
    <row r="2674" spans="1:3" ht="24" customHeight="1">
      <c r="A2674" s="1205" t="s">
        <v>69238</v>
      </c>
      <c r="B2674" s="1205" t="s">
        <v>69237</v>
      </c>
      <c r="C2674" s="1205">
        <v>72.989999999999995</v>
      </c>
    </row>
    <row r="2675" spans="1:3" ht="24" customHeight="1">
      <c r="A2675" s="1205" t="s">
        <v>69236</v>
      </c>
      <c r="B2675" s="1205" t="s">
        <v>69235</v>
      </c>
      <c r="C2675" s="1205">
        <v>47.99</v>
      </c>
    </row>
    <row r="2676" spans="1:3" ht="24" customHeight="1">
      <c r="A2676" s="1205" t="s">
        <v>69234</v>
      </c>
      <c r="B2676" s="1205" t="s">
        <v>69233</v>
      </c>
      <c r="C2676" s="1205">
        <v>46.49</v>
      </c>
    </row>
    <row r="2677" spans="1:3" ht="24" customHeight="1">
      <c r="A2677" s="1205" t="s">
        <v>69232</v>
      </c>
      <c r="B2677" s="1205" t="s">
        <v>69231</v>
      </c>
      <c r="C2677" s="1205">
        <v>44.99</v>
      </c>
    </row>
    <row r="2678" spans="1:3" ht="24" customHeight="1">
      <c r="A2678" s="1205" t="s">
        <v>69230</v>
      </c>
      <c r="B2678" s="1205" t="s">
        <v>69229</v>
      </c>
      <c r="C2678" s="1205">
        <v>31.99</v>
      </c>
    </row>
    <row r="2679" spans="1:3" ht="24" customHeight="1">
      <c r="A2679" s="1205" t="s">
        <v>69228</v>
      </c>
      <c r="B2679" s="1205" t="s">
        <v>69227</v>
      </c>
      <c r="C2679" s="1205">
        <v>48.49</v>
      </c>
    </row>
    <row r="2680" spans="1:3" ht="24" customHeight="1">
      <c r="A2680" s="1205" t="s">
        <v>69226</v>
      </c>
      <c r="B2680" s="1205" t="s">
        <v>69225</v>
      </c>
      <c r="C2680" s="1205">
        <v>365.99</v>
      </c>
    </row>
    <row r="2681" spans="1:3" ht="24" customHeight="1">
      <c r="A2681" s="1205" t="s">
        <v>69224</v>
      </c>
      <c r="B2681" s="1205" t="s">
        <v>69223</v>
      </c>
      <c r="C2681" s="1205">
        <v>376.49</v>
      </c>
    </row>
    <row r="2682" spans="1:3" ht="24" customHeight="1">
      <c r="A2682" s="1205" t="s">
        <v>69222</v>
      </c>
      <c r="B2682" s="1205" t="s">
        <v>69221</v>
      </c>
      <c r="C2682" s="1205">
        <v>498.99</v>
      </c>
    </row>
    <row r="2683" spans="1:3" ht="24" customHeight="1">
      <c r="A2683" s="1205" t="s">
        <v>69220</v>
      </c>
      <c r="B2683" s="1205" t="s">
        <v>69219</v>
      </c>
      <c r="C2683" s="1205">
        <v>646.49</v>
      </c>
    </row>
    <row r="2684" spans="1:3" ht="24" customHeight="1">
      <c r="A2684" s="1205" t="s">
        <v>69218</v>
      </c>
      <c r="B2684" s="1205" t="s">
        <v>69217</v>
      </c>
      <c r="C2684" s="1205">
        <v>475.49</v>
      </c>
    </row>
    <row r="2685" spans="1:3" ht="24" customHeight="1">
      <c r="A2685" s="1205" t="s">
        <v>69216</v>
      </c>
      <c r="B2685" s="1205" t="s">
        <v>69215</v>
      </c>
      <c r="C2685" s="1205">
        <v>372.99</v>
      </c>
    </row>
    <row r="2686" spans="1:3" ht="24" customHeight="1">
      <c r="A2686" s="1205" t="s">
        <v>69214</v>
      </c>
      <c r="B2686" s="1205" t="s">
        <v>69213</v>
      </c>
      <c r="C2686" s="1205">
        <v>390.49</v>
      </c>
    </row>
    <row r="2687" spans="1:3" ht="24" customHeight="1">
      <c r="A2687" s="1205" t="s">
        <v>69212</v>
      </c>
      <c r="B2687" s="1205" t="s">
        <v>69211</v>
      </c>
      <c r="C2687" s="1205">
        <v>637.99</v>
      </c>
    </row>
    <row r="2688" spans="1:3" ht="24" customHeight="1">
      <c r="A2688" s="1205" t="s">
        <v>69210</v>
      </c>
      <c r="B2688" s="1205" t="s">
        <v>69209</v>
      </c>
      <c r="C2688" s="1205">
        <v>362.99</v>
      </c>
    </row>
    <row r="2689" spans="1:3" ht="24" customHeight="1">
      <c r="A2689" s="1205" t="s">
        <v>69208</v>
      </c>
      <c r="B2689" s="1205" t="s">
        <v>69207</v>
      </c>
      <c r="C2689" s="1205">
        <v>412.99</v>
      </c>
    </row>
    <row r="2690" spans="1:3" ht="24" customHeight="1">
      <c r="A2690" s="1205" t="s">
        <v>69206</v>
      </c>
      <c r="B2690" s="1205" t="s">
        <v>67885</v>
      </c>
      <c r="C2690" s="1205">
        <v>501.99</v>
      </c>
    </row>
    <row r="2691" spans="1:3" ht="24" customHeight="1">
      <c r="A2691" s="1205" t="s">
        <v>69205</v>
      </c>
      <c r="B2691" s="1205" t="s">
        <v>67887</v>
      </c>
      <c r="C2691" s="1205">
        <v>657.49</v>
      </c>
    </row>
    <row r="2692" spans="1:3" ht="24" customHeight="1">
      <c r="A2692" s="1205" t="s">
        <v>69204</v>
      </c>
      <c r="B2692" s="1205" t="s">
        <v>69203</v>
      </c>
      <c r="C2692" s="1205">
        <v>382.49</v>
      </c>
    </row>
    <row r="2693" spans="1:3" ht="24" customHeight="1">
      <c r="A2693" s="1205" t="s">
        <v>69202</v>
      </c>
      <c r="B2693" s="1205" t="s">
        <v>69201</v>
      </c>
      <c r="C2693" s="1205">
        <v>428.49</v>
      </c>
    </row>
    <row r="2694" spans="1:3" ht="24" customHeight="1">
      <c r="A2694" s="1205" t="s">
        <v>69200</v>
      </c>
      <c r="B2694" s="1205" t="s">
        <v>69199</v>
      </c>
      <c r="C2694" s="1205">
        <v>443.49</v>
      </c>
    </row>
    <row r="2695" spans="1:3" ht="24" customHeight="1">
      <c r="A2695" s="1205" t="s">
        <v>69198</v>
      </c>
      <c r="B2695" s="1205" t="s">
        <v>69197</v>
      </c>
      <c r="C2695" s="1205">
        <v>36.99</v>
      </c>
    </row>
    <row r="2696" spans="1:3" ht="24" customHeight="1">
      <c r="A2696" s="1205" t="s">
        <v>69196</v>
      </c>
      <c r="B2696" s="1205" t="s">
        <v>69195</v>
      </c>
      <c r="C2696" s="1205">
        <v>33.49</v>
      </c>
    </row>
    <row r="2697" spans="1:3" ht="24" customHeight="1">
      <c r="A2697" s="1205" t="s">
        <v>69194</v>
      </c>
      <c r="B2697" s="1205" t="s">
        <v>69193</v>
      </c>
      <c r="C2697" s="1205">
        <v>62.49</v>
      </c>
    </row>
    <row r="2698" spans="1:3" ht="24" customHeight="1">
      <c r="A2698" s="1205" t="s">
        <v>69192</v>
      </c>
      <c r="B2698" s="1205" t="s">
        <v>69190</v>
      </c>
      <c r="C2698" s="1205">
        <v>43.99</v>
      </c>
    </row>
    <row r="2699" spans="1:3" ht="24" customHeight="1">
      <c r="A2699" s="1205" t="s">
        <v>69191</v>
      </c>
      <c r="B2699" s="1205" t="s">
        <v>69190</v>
      </c>
      <c r="C2699" s="1205">
        <v>50.49</v>
      </c>
    </row>
    <row r="2700" spans="1:3" ht="24" customHeight="1">
      <c r="A2700" s="1205" t="s">
        <v>69189</v>
      </c>
      <c r="B2700" s="1205" t="s">
        <v>69188</v>
      </c>
      <c r="C2700" s="1205">
        <v>292.99</v>
      </c>
    </row>
    <row r="2701" spans="1:3" ht="24" customHeight="1">
      <c r="A2701" s="1205" t="s">
        <v>69187</v>
      </c>
      <c r="B2701" s="1205" t="s">
        <v>69186</v>
      </c>
      <c r="C2701" s="1205">
        <v>7.49</v>
      </c>
    </row>
    <row r="2702" spans="1:3" ht="24" customHeight="1">
      <c r="A2702" s="1205" t="s">
        <v>69185</v>
      </c>
      <c r="B2702" s="1205" t="s">
        <v>69184</v>
      </c>
      <c r="C2702" s="1205">
        <v>16.989999999999998</v>
      </c>
    </row>
    <row r="2703" spans="1:3" ht="24" customHeight="1">
      <c r="A2703" s="1205" t="s">
        <v>69183</v>
      </c>
      <c r="B2703" s="1205" t="s">
        <v>69182</v>
      </c>
      <c r="C2703" s="1205">
        <v>6.49</v>
      </c>
    </row>
    <row r="2704" spans="1:3" ht="24" customHeight="1">
      <c r="A2704" s="1205" t="s">
        <v>69181</v>
      </c>
      <c r="B2704" s="1205" t="s">
        <v>69180</v>
      </c>
      <c r="C2704" s="1205">
        <v>6.99</v>
      </c>
    </row>
    <row r="2705" spans="1:3" ht="24" customHeight="1">
      <c r="A2705" s="1205" t="s">
        <v>69179</v>
      </c>
      <c r="B2705" s="1205" t="s">
        <v>69178</v>
      </c>
      <c r="C2705" s="1205">
        <v>11.49</v>
      </c>
    </row>
    <row r="2706" spans="1:3" ht="24" customHeight="1">
      <c r="A2706" s="1205" t="s">
        <v>69177</v>
      </c>
      <c r="B2706" s="1205" t="s">
        <v>69176</v>
      </c>
      <c r="C2706" s="1205">
        <v>10.99</v>
      </c>
    </row>
    <row r="2707" spans="1:3" ht="24" customHeight="1">
      <c r="A2707" s="1205" t="s">
        <v>69175</v>
      </c>
      <c r="B2707" s="1205" t="s">
        <v>69174</v>
      </c>
      <c r="C2707" s="1205">
        <v>12.49</v>
      </c>
    </row>
    <row r="2708" spans="1:3" ht="24" customHeight="1">
      <c r="A2708" s="1205" t="s">
        <v>69173</v>
      </c>
      <c r="B2708" s="1205" t="s">
        <v>69172</v>
      </c>
      <c r="C2708" s="1205">
        <v>7.99</v>
      </c>
    </row>
    <row r="2709" spans="1:3" ht="24" customHeight="1">
      <c r="A2709" s="1205" t="s">
        <v>69171</v>
      </c>
      <c r="B2709" s="1205" t="s">
        <v>69170</v>
      </c>
      <c r="C2709" s="1205">
        <v>5.99</v>
      </c>
    </row>
    <row r="2710" spans="1:3" ht="24" customHeight="1">
      <c r="A2710" s="1205" t="s">
        <v>69169</v>
      </c>
      <c r="B2710" s="1205" t="s">
        <v>69168</v>
      </c>
      <c r="C2710" s="1205">
        <v>4.99</v>
      </c>
    </row>
    <row r="2711" spans="1:3" ht="24" customHeight="1">
      <c r="A2711" s="1205" t="s">
        <v>69167</v>
      </c>
      <c r="B2711" s="1205" t="s">
        <v>69166</v>
      </c>
      <c r="C2711" s="1205">
        <v>9.49</v>
      </c>
    </row>
    <row r="2712" spans="1:3" ht="24" customHeight="1">
      <c r="A2712" s="1205" t="s">
        <v>69165</v>
      </c>
      <c r="B2712" s="1205" t="s">
        <v>69164</v>
      </c>
      <c r="C2712" s="1205">
        <v>80.489999999999995</v>
      </c>
    </row>
    <row r="2713" spans="1:3" ht="24" customHeight="1">
      <c r="A2713" s="1205" t="s">
        <v>69163</v>
      </c>
      <c r="B2713" s="1205" t="s">
        <v>69162</v>
      </c>
      <c r="C2713" s="1205">
        <v>22.49</v>
      </c>
    </row>
    <row r="2714" spans="1:3" ht="24" customHeight="1">
      <c r="A2714" s="1205" t="s">
        <v>69161</v>
      </c>
      <c r="B2714" s="1205" t="s">
        <v>69160</v>
      </c>
      <c r="C2714" s="1205">
        <v>6.99</v>
      </c>
    </row>
    <row r="2715" spans="1:3" ht="24" customHeight="1">
      <c r="A2715" s="1205" t="s">
        <v>69159</v>
      </c>
      <c r="B2715" s="1205" t="s">
        <v>69158</v>
      </c>
      <c r="C2715" s="1205">
        <v>18.989999999999998</v>
      </c>
    </row>
    <row r="2716" spans="1:3" ht="24" customHeight="1">
      <c r="A2716" s="1205" t="s">
        <v>69157</v>
      </c>
      <c r="B2716" s="1205" t="s">
        <v>69156</v>
      </c>
      <c r="C2716" s="1205">
        <v>8.49</v>
      </c>
    </row>
    <row r="2717" spans="1:3" ht="24" customHeight="1">
      <c r="A2717" s="1205" t="s">
        <v>69155</v>
      </c>
      <c r="B2717" s="1205" t="s">
        <v>69154</v>
      </c>
      <c r="C2717" s="1205">
        <v>19.989999999999998</v>
      </c>
    </row>
    <row r="2718" spans="1:3" ht="24" customHeight="1">
      <c r="A2718" s="1205" t="s">
        <v>69153</v>
      </c>
      <c r="B2718" s="1205" t="s">
        <v>69152</v>
      </c>
      <c r="C2718" s="1205">
        <v>19.489999999999998</v>
      </c>
    </row>
    <row r="2719" spans="1:3" ht="24" customHeight="1">
      <c r="A2719" s="1205" t="s">
        <v>69151</v>
      </c>
      <c r="B2719" s="1205" t="s">
        <v>69150</v>
      </c>
      <c r="C2719" s="1205">
        <v>25.99</v>
      </c>
    </row>
    <row r="2720" spans="1:3" ht="24" customHeight="1">
      <c r="A2720" s="1205" t="s">
        <v>69149</v>
      </c>
      <c r="B2720" s="1205" t="s">
        <v>69148</v>
      </c>
      <c r="C2720" s="1205">
        <v>226.49</v>
      </c>
    </row>
    <row r="2721" spans="1:3" ht="24" customHeight="1">
      <c r="A2721" s="1205" t="s">
        <v>69147</v>
      </c>
      <c r="B2721" s="1205" t="s">
        <v>69146</v>
      </c>
      <c r="C2721" s="1205">
        <v>226.49</v>
      </c>
    </row>
    <row r="2722" spans="1:3" ht="24" customHeight="1">
      <c r="A2722" s="1205" t="s">
        <v>69145</v>
      </c>
      <c r="B2722" s="1205" t="s">
        <v>69144</v>
      </c>
      <c r="C2722" s="1205">
        <v>4.99</v>
      </c>
    </row>
    <row r="2723" spans="1:3" ht="24" customHeight="1">
      <c r="A2723" s="1205" t="s">
        <v>69143</v>
      </c>
      <c r="B2723" s="1205" t="s">
        <v>69142</v>
      </c>
      <c r="C2723" s="1205">
        <v>33.99</v>
      </c>
    </row>
    <row r="2724" spans="1:3" ht="24" customHeight="1">
      <c r="A2724" s="1205" t="s">
        <v>69141</v>
      </c>
      <c r="B2724" s="1205" t="s">
        <v>69139</v>
      </c>
      <c r="C2724" s="1205">
        <v>44.99</v>
      </c>
    </row>
    <row r="2725" spans="1:3" ht="24" customHeight="1">
      <c r="A2725" s="1205" t="s">
        <v>69140</v>
      </c>
      <c r="B2725" s="1205" t="s">
        <v>69139</v>
      </c>
      <c r="C2725" s="1205">
        <v>47.49</v>
      </c>
    </row>
    <row r="2726" spans="1:3" ht="24" customHeight="1">
      <c r="A2726" s="1205" t="s">
        <v>69138</v>
      </c>
      <c r="B2726" s="1205" t="s">
        <v>69137</v>
      </c>
      <c r="C2726" s="1205">
        <v>34.49</v>
      </c>
    </row>
    <row r="2727" spans="1:3" ht="24" customHeight="1">
      <c r="A2727" s="1205" t="s">
        <v>69136</v>
      </c>
      <c r="B2727" s="1205" t="s">
        <v>69135</v>
      </c>
      <c r="C2727" s="1205">
        <v>59.49</v>
      </c>
    </row>
    <row r="2728" spans="1:3" ht="24" customHeight="1">
      <c r="A2728" s="1205" t="s">
        <v>69134</v>
      </c>
      <c r="B2728" s="1205" t="s">
        <v>69133</v>
      </c>
      <c r="C2728" s="1205">
        <v>41.99</v>
      </c>
    </row>
    <row r="2729" spans="1:3" ht="24" customHeight="1">
      <c r="A2729" s="1205" t="s">
        <v>69132</v>
      </c>
      <c r="B2729" s="1205" t="s">
        <v>69131</v>
      </c>
      <c r="C2729" s="1205">
        <v>38.49</v>
      </c>
    </row>
    <row r="2730" spans="1:3" ht="24" customHeight="1">
      <c r="A2730" s="1205" t="s">
        <v>69130</v>
      </c>
      <c r="B2730" s="1205" t="s">
        <v>69129</v>
      </c>
      <c r="C2730" s="1205">
        <v>81.489999999999995</v>
      </c>
    </row>
    <row r="2731" spans="1:3" ht="24" customHeight="1">
      <c r="A2731" s="1205" t="s">
        <v>69128</v>
      </c>
      <c r="B2731" s="1205" t="s">
        <v>69127</v>
      </c>
      <c r="C2731" s="1205">
        <v>28.49</v>
      </c>
    </row>
    <row r="2732" spans="1:3" ht="24" customHeight="1">
      <c r="A2732" s="1205" t="s">
        <v>69126</v>
      </c>
      <c r="B2732" s="1205" t="s">
        <v>69125</v>
      </c>
      <c r="C2732" s="1205">
        <v>25.49</v>
      </c>
    </row>
    <row r="2733" spans="1:3" ht="24" customHeight="1">
      <c r="A2733" s="1205" t="s">
        <v>69124</v>
      </c>
      <c r="B2733" s="1205" t="s">
        <v>69123</v>
      </c>
      <c r="C2733" s="1205">
        <v>60.49</v>
      </c>
    </row>
    <row r="2734" spans="1:3" ht="24" customHeight="1">
      <c r="A2734" s="1205" t="s">
        <v>69122</v>
      </c>
      <c r="B2734" s="1205" t="s">
        <v>69121</v>
      </c>
      <c r="C2734" s="1205">
        <v>583.99</v>
      </c>
    </row>
    <row r="2735" spans="1:3" ht="24" customHeight="1">
      <c r="A2735" s="1205" t="s">
        <v>69120</v>
      </c>
      <c r="B2735" s="1205" t="s">
        <v>69119</v>
      </c>
      <c r="C2735" s="1205">
        <v>46.49</v>
      </c>
    </row>
    <row r="2736" spans="1:3" ht="24" customHeight="1">
      <c r="A2736" s="1205" t="s">
        <v>69118</v>
      </c>
      <c r="B2736" s="1205" t="s">
        <v>69116</v>
      </c>
      <c r="C2736" s="1205">
        <v>56.99</v>
      </c>
    </row>
    <row r="2737" spans="1:3" ht="24" customHeight="1">
      <c r="A2737" s="1205" t="s">
        <v>69117</v>
      </c>
      <c r="B2737" s="1205" t="s">
        <v>69116</v>
      </c>
      <c r="C2737" s="1205">
        <v>36.49</v>
      </c>
    </row>
    <row r="2738" spans="1:3" ht="24" customHeight="1">
      <c r="A2738" s="1205" t="s">
        <v>69115</v>
      </c>
      <c r="B2738" s="1205" t="s">
        <v>69113</v>
      </c>
      <c r="C2738" s="1205">
        <v>33.99</v>
      </c>
    </row>
    <row r="2739" spans="1:3" ht="24" customHeight="1">
      <c r="A2739" s="1205" t="s">
        <v>69114</v>
      </c>
      <c r="B2739" s="1205" t="s">
        <v>69113</v>
      </c>
      <c r="C2739" s="1205">
        <v>43.99</v>
      </c>
    </row>
    <row r="2740" spans="1:3" ht="24" customHeight="1">
      <c r="A2740" s="1205" t="s">
        <v>69112</v>
      </c>
      <c r="B2740" s="1205" t="s">
        <v>69111</v>
      </c>
      <c r="C2740" s="1205">
        <v>45.49</v>
      </c>
    </row>
    <row r="2741" spans="1:3" ht="24" customHeight="1">
      <c r="A2741" s="1205" t="s">
        <v>69110</v>
      </c>
      <c r="B2741" s="1205" t="s">
        <v>69109</v>
      </c>
      <c r="C2741" s="1205">
        <v>37.99</v>
      </c>
    </row>
    <row r="2742" spans="1:3" ht="24" customHeight="1">
      <c r="A2742" s="1205" t="s">
        <v>69108</v>
      </c>
      <c r="B2742" s="1205" t="s">
        <v>69107</v>
      </c>
      <c r="C2742" s="1205">
        <v>50.99</v>
      </c>
    </row>
    <row r="2743" spans="1:3" ht="24" customHeight="1">
      <c r="A2743" s="1205" t="s">
        <v>69106</v>
      </c>
      <c r="B2743" s="1205" t="s">
        <v>69105</v>
      </c>
      <c r="C2743" s="1205">
        <v>40.49</v>
      </c>
    </row>
    <row r="2744" spans="1:3" ht="24" customHeight="1">
      <c r="A2744" s="1205" t="s">
        <v>69104</v>
      </c>
      <c r="B2744" s="1205" t="s">
        <v>69103</v>
      </c>
      <c r="C2744" s="1205">
        <v>42.49</v>
      </c>
    </row>
    <row r="2745" spans="1:3" ht="24" customHeight="1">
      <c r="A2745" s="1205" t="s">
        <v>69102</v>
      </c>
      <c r="B2745" s="1205" t="s">
        <v>69101</v>
      </c>
      <c r="C2745" s="1205">
        <v>35.49</v>
      </c>
    </row>
    <row r="2746" spans="1:3" ht="24" customHeight="1">
      <c r="A2746" s="1205" t="s">
        <v>69100</v>
      </c>
      <c r="B2746" s="1205" t="s">
        <v>69099</v>
      </c>
      <c r="C2746" s="1205">
        <v>29.49</v>
      </c>
    </row>
    <row r="2747" spans="1:3" ht="24" customHeight="1">
      <c r="A2747" s="1205" t="s">
        <v>69098</v>
      </c>
      <c r="B2747" s="1205" t="s">
        <v>69097</v>
      </c>
      <c r="C2747" s="1205">
        <v>34.99</v>
      </c>
    </row>
    <row r="2748" spans="1:3" ht="24" customHeight="1">
      <c r="A2748" s="1205" t="s">
        <v>69096</v>
      </c>
      <c r="B2748" s="1205" t="s">
        <v>69095</v>
      </c>
      <c r="C2748" s="1205">
        <v>28.99</v>
      </c>
    </row>
    <row r="2749" spans="1:3" ht="24" customHeight="1">
      <c r="A2749" s="1205" t="s">
        <v>69094</v>
      </c>
      <c r="B2749" s="1205" t="s">
        <v>69093</v>
      </c>
      <c r="C2749" s="1205">
        <v>74.989999999999995</v>
      </c>
    </row>
    <row r="2750" spans="1:3" ht="24" customHeight="1">
      <c r="A2750" s="1205" t="s">
        <v>69092</v>
      </c>
      <c r="B2750" s="1205" t="s">
        <v>69091</v>
      </c>
      <c r="C2750" s="1205">
        <v>96.49</v>
      </c>
    </row>
    <row r="2751" spans="1:3" ht="24" customHeight="1">
      <c r="A2751" s="1205" t="s">
        <v>69090</v>
      </c>
      <c r="B2751" s="1205" t="s">
        <v>69089</v>
      </c>
      <c r="C2751" s="1205">
        <v>96.99</v>
      </c>
    </row>
    <row r="2752" spans="1:3" ht="24" customHeight="1">
      <c r="A2752" s="1205" t="s">
        <v>69088</v>
      </c>
      <c r="B2752" s="1205" t="s">
        <v>69087</v>
      </c>
      <c r="C2752" s="1205">
        <v>67.489999999999995</v>
      </c>
    </row>
    <row r="2753" spans="1:3" ht="24" customHeight="1">
      <c r="A2753" s="1205" t="s">
        <v>69086</v>
      </c>
      <c r="B2753" s="1205" t="s">
        <v>69085</v>
      </c>
      <c r="C2753" s="1205">
        <v>101.99</v>
      </c>
    </row>
    <row r="2754" spans="1:3" ht="24" customHeight="1">
      <c r="A2754" s="1205" t="s">
        <v>69084</v>
      </c>
      <c r="B2754" s="1205" t="s">
        <v>69083</v>
      </c>
      <c r="C2754" s="1205">
        <v>60.49</v>
      </c>
    </row>
    <row r="2755" spans="1:3" ht="24" customHeight="1">
      <c r="A2755" s="1205" t="s">
        <v>69082</v>
      </c>
      <c r="B2755" s="1205" t="s">
        <v>69081</v>
      </c>
      <c r="C2755" s="1205">
        <v>91.49</v>
      </c>
    </row>
    <row r="2756" spans="1:3" ht="24" customHeight="1">
      <c r="A2756" s="1205" t="s">
        <v>69080</v>
      </c>
      <c r="B2756" s="1205" t="s">
        <v>69079</v>
      </c>
      <c r="C2756" s="1205">
        <v>74.989999999999995</v>
      </c>
    </row>
    <row r="2757" spans="1:3" ht="24" customHeight="1">
      <c r="A2757" s="1205" t="s">
        <v>69078</v>
      </c>
      <c r="B2757" s="1205" t="s">
        <v>69077</v>
      </c>
      <c r="C2757" s="1205">
        <v>37.99</v>
      </c>
    </row>
    <row r="2758" spans="1:3" ht="24" customHeight="1">
      <c r="A2758" s="1205" t="s">
        <v>69076</v>
      </c>
      <c r="B2758" s="1205" t="s">
        <v>69075</v>
      </c>
      <c r="C2758" s="1205">
        <v>41.49</v>
      </c>
    </row>
    <row r="2759" spans="1:3" ht="24" customHeight="1">
      <c r="A2759" s="1205" t="s">
        <v>69074</v>
      </c>
      <c r="B2759" s="1205" t="s">
        <v>69073</v>
      </c>
      <c r="C2759" s="1205">
        <v>41.49</v>
      </c>
    </row>
    <row r="2760" spans="1:3" ht="24" customHeight="1">
      <c r="A2760" s="1205" t="s">
        <v>69072</v>
      </c>
      <c r="B2760" s="1205" t="s">
        <v>69071</v>
      </c>
      <c r="C2760" s="1205">
        <v>40.49</v>
      </c>
    </row>
    <row r="2761" spans="1:3" ht="24" customHeight="1">
      <c r="A2761" s="1205" t="s">
        <v>69070</v>
      </c>
      <c r="B2761" s="1205" t="s">
        <v>69069</v>
      </c>
      <c r="C2761" s="1205">
        <v>43.49</v>
      </c>
    </row>
    <row r="2762" spans="1:3" ht="24" customHeight="1">
      <c r="A2762" s="1205" t="s">
        <v>69068</v>
      </c>
      <c r="B2762" s="1205" t="s">
        <v>69067</v>
      </c>
      <c r="C2762" s="1205">
        <v>34.99</v>
      </c>
    </row>
    <row r="2763" spans="1:3" ht="24" customHeight="1">
      <c r="A2763" s="1205" t="s">
        <v>69066</v>
      </c>
      <c r="B2763" s="1205" t="s">
        <v>69065</v>
      </c>
      <c r="C2763" s="1205">
        <v>330.49</v>
      </c>
    </row>
    <row r="2764" spans="1:3" ht="24" customHeight="1">
      <c r="A2764" s="1205" t="s">
        <v>69064</v>
      </c>
      <c r="B2764" s="1205" t="s">
        <v>69063</v>
      </c>
      <c r="C2764" s="1205">
        <v>602.49</v>
      </c>
    </row>
    <row r="2765" spans="1:3" ht="24" customHeight="1">
      <c r="A2765" s="1205" t="s">
        <v>69062</v>
      </c>
      <c r="B2765" s="1205" t="s">
        <v>69061</v>
      </c>
      <c r="C2765" s="1205">
        <v>649.49</v>
      </c>
    </row>
    <row r="2766" spans="1:3" ht="24" customHeight="1">
      <c r="A2766" s="1205" t="s">
        <v>69060</v>
      </c>
      <c r="B2766" s="1205" t="s">
        <v>69059</v>
      </c>
      <c r="C2766" s="1205">
        <v>739.99</v>
      </c>
    </row>
    <row r="2767" spans="1:3" ht="24" customHeight="1">
      <c r="A2767" s="1205" t="s">
        <v>69058</v>
      </c>
      <c r="B2767" s="1205" t="s">
        <v>69057</v>
      </c>
      <c r="C2767" s="1205">
        <v>1151.49</v>
      </c>
    </row>
    <row r="2768" spans="1:3" ht="24" customHeight="1">
      <c r="A2768" s="1205" t="s">
        <v>69056</v>
      </c>
      <c r="B2768" s="1205" t="s">
        <v>69055</v>
      </c>
      <c r="C2768" s="1205">
        <v>665.49</v>
      </c>
    </row>
    <row r="2769" spans="1:3" ht="24" customHeight="1">
      <c r="A2769" s="1205" t="s">
        <v>69054</v>
      </c>
      <c r="B2769" s="1205" t="s">
        <v>69053</v>
      </c>
      <c r="C2769" s="1205">
        <v>1081.49</v>
      </c>
    </row>
    <row r="2770" spans="1:3" ht="24" customHeight="1">
      <c r="A2770" s="1205" t="s">
        <v>69052</v>
      </c>
      <c r="B2770" s="1205" t="s">
        <v>69051</v>
      </c>
      <c r="C2770" s="1205">
        <v>1328.49</v>
      </c>
    </row>
    <row r="2771" spans="1:3" ht="24" customHeight="1">
      <c r="A2771" s="1205" t="s">
        <v>69050</v>
      </c>
      <c r="B2771" s="1205" t="s">
        <v>69049</v>
      </c>
      <c r="C2771" s="1205">
        <v>653.99</v>
      </c>
    </row>
    <row r="2772" spans="1:3" ht="24" customHeight="1">
      <c r="A2772" s="1205" t="s">
        <v>69048</v>
      </c>
      <c r="B2772" s="1205" t="s">
        <v>69047</v>
      </c>
      <c r="C2772" s="1205">
        <v>402.99</v>
      </c>
    </row>
    <row r="2773" spans="1:3" ht="24" customHeight="1">
      <c r="A2773" s="1205" t="s">
        <v>69046</v>
      </c>
      <c r="B2773" s="1205" t="s">
        <v>69045</v>
      </c>
      <c r="C2773" s="1205">
        <v>402.99</v>
      </c>
    </row>
    <row r="2774" spans="1:3" ht="24" customHeight="1">
      <c r="A2774" s="1205" t="s">
        <v>69044</v>
      </c>
      <c r="B2774" s="1205" t="s">
        <v>69043</v>
      </c>
      <c r="C2774" s="1205">
        <v>476.99</v>
      </c>
    </row>
    <row r="2775" spans="1:3" ht="24" customHeight="1">
      <c r="A2775" s="1205" t="s">
        <v>69042</v>
      </c>
      <c r="B2775" s="1205" t="s">
        <v>69041</v>
      </c>
      <c r="C2775" s="1205">
        <v>13.99</v>
      </c>
    </row>
    <row r="2776" spans="1:3" ht="24" customHeight="1">
      <c r="A2776" s="1205" t="s">
        <v>69040</v>
      </c>
      <c r="B2776" s="1205" t="s">
        <v>69039</v>
      </c>
      <c r="C2776" s="1205">
        <v>243.49</v>
      </c>
    </row>
    <row r="2777" spans="1:3" ht="24" customHeight="1">
      <c r="A2777" s="1205" t="s">
        <v>69038</v>
      </c>
      <c r="B2777" s="1205" t="s">
        <v>69037</v>
      </c>
      <c r="C2777" s="1205">
        <v>237.49</v>
      </c>
    </row>
    <row r="2778" spans="1:3" ht="24" customHeight="1">
      <c r="A2778" s="1205" t="s">
        <v>69036</v>
      </c>
      <c r="B2778" s="1205" t="s">
        <v>69035</v>
      </c>
      <c r="C2778" s="1205">
        <v>226.49</v>
      </c>
    </row>
    <row r="2779" spans="1:3" ht="24" customHeight="1">
      <c r="A2779" s="1205" t="s">
        <v>69034</v>
      </c>
      <c r="B2779" s="1205" t="s">
        <v>69033</v>
      </c>
      <c r="C2779" s="1205">
        <v>164.99</v>
      </c>
    </row>
    <row r="2780" spans="1:3" ht="24" customHeight="1">
      <c r="A2780" s="1205" t="s">
        <v>69032</v>
      </c>
      <c r="B2780" s="1205" t="s">
        <v>69031</v>
      </c>
      <c r="C2780" s="1205">
        <v>191.99</v>
      </c>
    </row>
    <row r="2781" spans="1:3" ht="24" customHeight="1">
      <c r="A2781" s="1205" t="s">
        <v>69030</v>
      </c>
      <c r="B2781" s="1205" t="s">
        <v>69029</v>
      </c>
      <c r="C2781" s="1205">
        <v>153.99</v>
      </c>
    </row>
    <row r="2782" spans="1:3" ht="24" customHeight="1">
      <c r="A2782" s="1205" t="s">
        <v>69028</v>
      </c>
      <c r="B2782" s="1205" t="s">
        <v>69027</v>
      </c>
      <c r="C2782" s="1205">
        <v>264.99</v>
      </c>
    </row>
    <row r="2783" spans="1:3" ht="24" customHeight="1">
      <c r="A2783" s="1205" t="s">
        <v>69026</v>
      </c>
      <c r="B2783" s="1205" t="s">
        <v>69025</v>
      </c>
      <c r="C2783" s="1205">
        <v>192.99</v>
      </c>
    </row>
    <row r="2784" spans="1:3" ht="24" customHeight="1">
      <c r="A2784" s="1205" t="s">
        <v>69024</v>
      </c>
      <c r="B2784" s="1205" t="s">
        <v>69023</v>
      </c>
      <c r="C2784" s="1205">
        <v>215.99</v>
      </c>
    </row>
    <row r="2785" spans="1:3" ht="24" customHeight="1">
      <c r="A2785" s="1205" t="s">
        <v>69022</v>
      </c>
      <c r="B2785" s="1205" t="s">
        <v>69021</v>
      </c>
      <c r="C2785" s="1205">
        <v>9.99</v>
      </c>
    </row>
    <row r="2786" spans="1:3" ht="24" customHeight="1">
      <c r="A2786" s="1205" t="s">
        <v>69020</v>
      </c>
      <c r="B2786" s="1205" t="s">
        <v>69019</v>
      </c>
      <c r="C2786" s="1205">
        <v>49.49</v>
      </c>
    </row>
    <row r="2787" spans="1:3" ht="24" customHeight="1">
      <c r="A2787" s="1205" t="s">
        <v>69018</v>
      </c>
      <c r="B2787" s="1205" t="s">
        <v>69017</v>
      </c>
      <c r="C2787" s="1205">
        <v>77.489999999999995</v>
      </c>
    </row>
    <row r="2788" spans="1:3" ht="24" customHeight="1">
      <c r="A2788" s="1205" t="s">
        <v>69016</v>
      </c>
      <c r="B2788" s="1205" t="s">
        <v>69015</v>
      </c>
      <c r="C2788" s="1205">
        <v>49.49</v>
      </c>
    </row>
    <row r="2789" spans="1:3" ht="24" customHeight="1">
      <c r="A2789" s="1205" t="s">
        <v>69014</v>
      </c>
      <c r="B2789" s="1205" t="s">
        <v>69013</v>
      </c>
      <c r="C2789" s="1205">
        <v>70.989999999999995</v>
      </c>
    </row>
    <row r="2790" spans="1:3" ht="24" customHeight="1">
      <c r="A2790" s="1205" t="s">
        <v>69012</v>
      </c>
      <c r="B2790" s="1205" t="s">
        <v>69011</v>
      </c>
      <c r="C2790" s="1205">
        <v>38.49</v>
      </c>
    </row>
    <row r="2791" spans="1:3" ht="24" customHeight="1">
      <c r="A2791" s="1205" t="s">
        <v>69010</v>
      </c>
      <c r="B2791" s="1205" t="s">
        <v>69009</v>
      </c>
      <c r="C2791" s="1205">
        <v>172.49</v>
      </c>
    </row>
    <row r="2792" spans="1:3" ht="24" customHeight="1">
      <c r="A2792" s="1205" t="s">
        <v>69008</v>
      </c>
      <c r="B2792" s="1205" t="s">
        <v>69007</v>
      </c>
      <c r="C2792" s="1205">
        <v>48.49</v>
      </c>
    </row>
    <row r="2793" spans="1:3" ht="24" customHeight="1">
      <c r="A2793" s="1205" t="s">
        <v>69006</v>
      </c>
      <c r="B2793" s="1205" t="s">
        <v>69005</v>
      </c>
      <c r="C2793" s="1205">
        <v>36.49</v>
      </c>
    </row>
    <row r="2794" spans="1:3" ht="24" customHeight="1">
      <c r="A2794" s="1205" t="s">
        <v>69004</v>
      </c>
      <c r="B2794" s="1205" t="s">
        <v>69003</v>
      </c>
      <c r="C2794" s="1205">
        <v>45.99</v>
      </c>
    </row>
    <row r="2795" spans="1:3" ht="24" customHeight="1">
      <c r="A2795" s="1205" t="s">
        <v>69002</v>
      </c>
      <c r="B2795" s="1205" t="s">
        <v>69001</v>
      </c>
      <c r="C2795" s="1205">
        <v>51.49</v>
      </c>
    </row>
    <row r="2796" spans="1:3" ht="24" customHeight="1">
      <c r="A2796" s="1205" t="s">
        <v>69000</v>
      </c>
      <c r="B2796" s="1205" t="s">
        <v>68999</v>
      </c>
      <c r="C2796" s="1205">
        <v>39.99</v>
      </c>
    </row>
    <row r="2797" spans="1:3" ht="24" customHeight="1">
      <c r="A2797" s="1205" t="s">
        <v>68998</v>
      </c>
      <c r="B2797" s="1205" t="s">
        <v>68997</v>
      </c>
      <c r="C2797" s="1205">
        <v>52.99</v>
      </c>
    </row>
    <row r="2798" spans="1:3" ht="24" customHeight="1">
      <c r="A2798" s="1205" t="s">
        <v>68996</v>
      </c>
      <c r="B2798" s="1205" t="s">
        <v>68995</v>
      </c>
      <c r="C2798" s="1205">
        <v>44.49</v>
      </c>
    </row>
    <row r="2799" spans="1:3" ht="24" customHeight="1">
      <c r="A2799" s="1205" t="s">
        <v>68994</v>
      </c>
      <c r="B2799" s="1205" t="s">
        <v>68993</v>
      </c>
      <c r="C2799" s="1205">
        <v>49.49</v>
      </c>
    </row>
    <row r="2800" spans="1:3" ht="24" customHeight="1">
      <c r="A2800" s="1205" t="s">
        <v>68992</v>
      </c>
      <c r="B2800" s="1205" t="s">
        <v>68991</v>
      </c>
      <c r="C2800" s="1205">
        <v>42.99</v>
      </c>
    </row>
    <row r="2801" spans="1:3" ht="24" customHeight="1">
      <c r="A2801" s="1205" t="s">
        <v>68990</v>
      </c>
      <c r="B2801" s="1205" t="s">
        <v>68989</v>
      </c>
      <c r="C2801" s="1205">
        <v>43.49</v>
      </c>
    </row>
    <row r="2802" spans="1:3" ht="24" customHeight="1">
      <c r="A2802" s="1205" t="s">
        <v>68988</v>
      </c>
      <c r="B2802" s="1205" t="s">
        <v>68987</v>
      </c>
      <c r="C2802" s="1205">
        <v>59.49</v>
      </c>
    </row>
    <row r="2803" spans="1:3" ht="24" customHeight="1">
      <c r="A2803" s="1205" t="s">
        <v>68986</v>
      </c>
      <c r="B2803" s="1205" t="s">
        <v>68985</v>
      </c>
      <c r="C2803" s="1205">
        <v>107.49</v>
      </c>
    </row>
    <row r="2804" spans="1:3" ht="24" customHeight="1">
      <c r="A2804" s="1205" t="s">
        <v>68984</v>
      </c>
      <c r="B2804" s="1205" t="s">
        <v>68983</v>
      </c>
      <c r="C2804" s="1205">
        <v>105.49</v>
      </c>
    </row>
    <row r="2805" spans="1:3" ht="24" customHeight="1">
      <c r="A2805" s="1205" t="s">
        <v>68982</v>
      </c>
      <c r="B2805" s="1205" t="s">
        <v>68981</v>
      </c>
      <c r="C2805" s="1205">
        <v>110.99</v>
      </c>
    </row>
    <row r="2806" spans="1:3" ht="24" customHeight="1">
      <c r="A2806" s="1205" t="s">
        <v>68980</v>
      </c>
      <c r="B2806" s="1205" t="s">
        <v>68979</v>
      </c>
      <c r="C2806" s="1205">
        <v>120.99</v>
      </c>
    </row>
    <row r="2807" spans="1:3" ht="24" customHeight="1">
      <c r="A2807" s="1205" t="s">
        <v>68978</v>
      </c>
      <c r="B2807" s="1205" t="s">
        <v>68977</v>
      </c>
      <c r="C2807" s="1205">
        <v>104.99</v>
      </c>
    </row>
    <row r="2808" spans="1:3" ht="24" customHeight="1">
      <c r="A2808" s="1205" t="s">
        <v>68976</v>
      </c>
      <c r="B2808" s="1205" t="s">
        <v>68975</v>
      </c>
      <c r="C2808" s="1205">
        <v>104.99</v>
      </c>
    </row>
    <row r="2809" spans="1:3" ht="24" customHeight="1">
      <c r="A2809" s="1205" t="s">
        <v>68974</v>
      </c>
      <c r="B2809" s="1205" t="s">
        <v>68973</v>
      </c>
      <c r="C2809" s="1205">
        <v>104.49</v>
      </c>
    </row>
    <row r="2810" spans="1:3" ht="24" customHeight="1">
      <c r="A2810" s="1205" t="s">
        <v>68972</v>
      </c>
      <c r="B2810" s="1205" t="s">
        <v>68971</v>
      </c>
      <c r="C2810" s="1205">
        <v>105.99</v>
      </c>
    </row>
    <row r="2811" spans="1:3" ht="24" customHeight="1">
      <c r="A2811" s="1205" t="s">
        <v>68970</v>
      </c>
      <c r="B2811" s="1205" t="s">
        <v>68969</v>
      </c>
      <c r="C2811" s="1205">
        <v>104.99</v>
      </c>
    </row>
    <row r="2812" spans="1:3" ht="24" customHeight="1">
      <c r="A2812" s="1205" t="s">
        <v>68968</v>
      </c>
      <c r="B2812" s="1205" t="s">
        <v>68967</v>
      </c>
      <c r="C2812" s="1205">
        <v>90.49</v>
      </c>
    </row>
    <row r="2813" spans="1:3" ht="24" customHeight="1">
      <c r="A2813" s="1205" t="s">
        <v>68966</v>
      </c>
      <c r="B2813" s="1205" t="s">
        <v>68965</v>
      </c>
      <c r="C2813" s="1205">
        <v>95.49</v>
      </c>
    </row>
    <row r="2814" spans="1:3" ht="24" customHeight="1">
      <c r="A2814" s="1205" t="s">
        <v>68964</v>
      </c>
      <c r="B2814" s="1205" t="s">
        <v>68963</v>
      </c>
      <c r="C2814" s="1205">
        <v>96.49</v>
      </c>
    </row>
    <row r="2815" spans="1:3" ht="24" customHeight="1">
      <c r="A2815" s="1205" t="s">
        <v>68962</v>
      </c>
      <c r="B2815" s="1205" t="s">
        <v>68961</v>
      </c>
      <c r="C2815" s="1205">
        <v>95.49</v>
      </c>
    </row>
    <row r="2816" spans="1:3" ht="24" customHeight="1">
      <c r="A2816" s="1205" t="s">
        <v>68960</v>
      </c>
      <c r="B2816" s="1205" t="s">
        <v>68959</v>
      </c>
      <c r="C2816" s="1205">
        <v>61.49</v>
      </c>
    </row>
    <row r="2817" spans="1:3" ht="24" customHeight="1">
      <c r="A2817" s="1205" t="s">
        <v>68958</v>
      </c>
      <c r="B2817" s="1205" t="s">
        <v>68957</v>
      </c>
      <c r="C2817" s="1205">
        <v>61.99</v>
      </c>
    </row>
    <row r="2818" spans="1:3" ht="24" customHeight="1">
      <c r="A2818" s="1205" t="s">
        <v>68956</v>
      </c>
      <c r="B2818" s="1205" t="s">
        <v>68955</v>
      </c>
      <c r="C2818" s="1205">
        <v>112.49</v>
      </c>
    </row>
    <row r="2819" spans="1:3" ht="24" customHeight="1">
      <c r="A2819" s="1205" t="s">
        <v>68954</v>
      </c>
      <c r="B2819" s="1205" t="s">
        <v>68953</v>
      </c>
      <c r="C2819" s="1205">
        <v>75.489999999999995</v>
      </c>
    </row>
    <row r="2820" spans="1:3" ht="24" customHeight="1">
      <c r="A2820" s="1205" t="s">
        <v>68952</v>
      </c>
      <c r="B2820" s="1205" t="s">
        <v>68951</v>
      </c>
      <c r="C2820" s="1205">
        <v>75.489999999999995</v>
      </c>
    </row>
    <row r="2821" spans="1:3" ht="24" customHeight="1">
      <c r="A2821" s="1205" t="s">
        <v>68950</v>
      </c>
      <c r="B2821" s="1205" t="s">
        <v>68949</v>
      </c>
      <c r="C2821" s="1205">
        <v>88.49</v>
      </c>
    </row>
    <row r="2822" spans="1:3" ht="24" customHeight="1">
      <c r="A2822" s="1205" t="s">
        <v>68948</v>
      </c>
      <c r="B2822" s="1205" t="s">
        <v>68947</v>
      </c>
      <c r="C2822" s="1205">
        <v>202.99</v>
      </c>
    </row>
    <row r="2823" spans="1:3" ht="24" customHeight="1">
      <c r="A2823" s="1205" t="s">
        <v>68946</v>
      </c>
      <c r="B2823" s="1205" t="s">
        <v>68945</v>
      </c>
      <c r="C2823" s="1205">
        <v>226.49</v>
      </c>
    </row>
    <row r="2824" spans="1:3" ht="24" customHeight="1">
      <c r="A2824" s="1205" t="s">
        <v>68944</v>
      </c>
      <c r="B2824" s="1205" t="s">
        <v>68943</v>
      </c>
      <c r="C2824" s="1205">
        <v>193.99</v>
      </c>
    </row>
    <row r="2825" spans="1:3" ht="24" customHeight="1">
      <c r="A2825" s="1205" t="s">
        <v>68942</v>
      </c>
      <c r="B2825" s="1205" t="s">
        <v>68941</v>
      </c>
      <c r="C2825" s="1205">
        <v>229.99</v>
      </c>
    </row>
    <row r="2826" spans="1:3" ht="24" customHeight="1">
      <c r="A2826" s="1205" t="s">
        <v>68940</v>
      </c>
      <c r="B2826" s="1205" t="s">
        <v>68939</v>
      </c>
      <c r="C2826" s="1205">
        <v>269.49</v>
      </c>
    </row>
    <row r="2827" spans="1:3" ht="24" customHeight="1">
      <c r="A2827" s="1205" t="s">
        <v>68938</v>
      </c>
      <c r="B2827" s="1205" t="s">
        <v>68937</v>
      </c>
      <c r="C2827" s="1205">
        <v>188.99</v>
      </c>
    </row>
    <row r="2828" spans="1:3" ht="24" customHeight="1">
      <c r="A2828" s="1205" t="s">
        <v>68936</v>
      </c>
      <c r="B2828" s="1205" t="s">
        <v>68935</v>
      </c>
      <c r="C2828" s="1205">
        <v>301.49</v>
      </c>
    </row>
    <row r="2829" spans="1:3" ht="24" customHeight="1">
      <c r="A2829" s="1205" t="s">
        <v>68934</v>
      </c>
      <c r="B2829" s="1205" t="s">
        <v>68933</v>
      </c>
      <c r="C2829" s="1205">
        <v>289.99</v>
      </c>
    </row>
    <row r="2830" spans="1:3" ht="24" customHeight="1">
      <c r="A2830" s="1205" t="s">
        <v>68932</v>
      </c>
      <c r="B2830" s="1205" t="s">
        <v>68931</v>
      </c>
      <c r="C2830" s="1205">
        <v>216.49</v>
      </c>
    </row>
    <row r="2831" spans="1:3" ht="24" customHeight="1">
      <c r="A2831" s="1205" t="s">
        <v>68930</v>
      </c>
      <c r="B2831" s="1205" t="s">
        <v>68929</v>
      </c>
      <c r="C2831" s="1205">
        <v>247.49</v>
      </c>
    </row>
    <row r="2832" spans="1:3" ht="24" customHeight="1">
      <c r="A2832" s="1205" t="s">
        <v>68928</v>
      </c>
      <c r="B2832" s="1205" t="s">
        <v>68927</v>
      </c>
      <c r="C2832" s="1205">
        <v>207.49</v>
      </c>
    </row>
    <row r="2833" spans="1:3" ht="24" customHeight="1">
      <c r="A2833" s="1205" t="s">
        <v>68926</v>
      </c>
      <c r="B2833" s="1205" t="s">
        <v>68925</v>
      </c>
      <c r="C2833" s="1205">
        <v>186.49</v>
      </c>
    </row>
    <row r="2834" spans="1:3" ht="24" customHeight="1">
      <c r="A2834" s="1205" t="s">
        <v>68924</v>
      </c>
      <c r="B2834" s="1205" t="s">
        <v>68923</v>
      </c>
      <c r="C2834" s="1205">
        <v>210.49</v>
      </c>
    </row>
    <row r="2835" spans="1:3" ht="24" customHeight="1">
      <c r="A2835" s="1205" t="s">
        <v>68922</v>
      </c>
      <c r="B2835" s="1205" t="s">
        <v>68921</v>
      </c>
      <c r="C2835" s="1205">
        <v>234.49</v>
      </c>
    </row>
    <row r="2836" spans="1:3" ht="24" customHeight="1">
      <c r="A2836" s="1205" t="s">
        <v>68920</v>
      </c>
      <c r="B2836" s="1205" t="s">
        <v>68919</v>
      </c>
      <c r="C2836" s="1205">
        <v>190.99</v>
      </c>
    </row>
    <row r="2837" spans="1:3" ht="24" customHeight="1">
      <c r="A2837" s="1205" t="s">
        <v>68918</v>
      </c>
      <c r="B2837" s="1205" t="s">
        <v>68917</v>
      </c>
      <c r="C2837" s="1205">
        <v>215.49</v>
      </c>
    </row>
    <row r="2838" spans="1:3" ht="24" customHeight="1">
      <c r="A2838" s="1205" t="s">
        <v>68916</v>
      </c>
      <c r="B2838" s="1205" t="s">
        <v>68915</v>
      </c>
      <c r="C2838" s="1205">
        <v>244.99</v>
      </c>
    </row>
    <row r="2839" spans="1:3" ht="24" customHeight="1">
      <c r="A2839" s="1205" t="s">
        <v>68914</v>
      </c>
      <c r="B2839" s="1205" t="s">
        <v>68913</v>
      </c>
      <c r="C2839" s="1205">
        <v>201.49</v>
      </c>
    </row>
    <row r="2840" spans="1:3" ht="24" customHeight="1">
      <c r="A2840" s="1205" t="s">
        <v>68912</v>
      </c>
      <c r="B2840" s="1205" t="s">
        <v>68911</v>
      </c>
      <c r="C2840" s="1205">
        <v>200.99</v>
      </c>
    </row>
    <row r="2841" spans="1:3" ht="24" customHeight="1">
      <c r="A2841" s="1205" t="s">
        <v>68910</v>
      </c>
      <c r="B2841" s="1205" t="s">
        <v>68909</v>
      </c>
      <c r="C2841" s="1205">
        <v>229.99</v>
      </c>
    </row>
    <row r="2842" spans="1:3" ht="24" customHeight="1">
      <c r="A2842" s="1205" t="s">
        <v>68908</v>
      </c>
      <c r="B2842" s="1205" t="s">
        <v>68907</v>
      </c>
      <c r="C2842" s="1205">
        <v>186.49</v>
      </c>
    </row>
    <row r="2843" spans="1:3" ht="24" customHeight="1">
      <c r="A2843" s="1205" t="s">
        <v>68906</v>
      </c>
      <c r="B2843" s="1205" t="s">
        <v>68905</v>
      </c>
      <c r="C2843" s="1205">
        <v>217.49</v>
      </c>
    </row>
    <row r="2844" spans="1:3" ht="24" customHeight="1">
      <c r="A2844" s="1205" t="s">
        <v>68904</v>
      </c>
      <c r="B2844" s="1205" t="s">
        <v>68903</v>
      </c>
      <c r="C2844" s="1205">
        <v>202.49</v>
      </c>
    </row>
    <row r="2845" spans="1:3" ht="24" customHeight="1">
      <c r="A2845" s="1205" t="s">
        <v>68902</v>
      </c>
      <c r="B2845" s="1205" t="s">
        <v>68901</v>
      </c>
      <c r="C2845" s="1205">
        <v>196.49</v>
      </c>
    </row>
    <row r="2846" spans="1:3" ht="24" customHeight="1">
      <c r="A2846" s="1205" t="s">
        <v>68900</v>
      </c>
      <c r="B2846" s="1205" t="s">
        <v>68899</v>
      </c>
      <c r="C2846" s="1205">
        <v>225.49</v>
      </c>
    </row>
    <row r="2847" spans="1:3" ht="24" customHeight="1">
      <c r="A2847" s="1205" t="s">
        <v>68898</v>
      </c>
      <c r="B2847" s="1205" t="s">
        <v>68897</v>
      </c>
      <c r="C2847" s="1205">
        <v>187.99</v>
      </c>
    </row>
    <row r="2848" spans="1:3" ht="24" customHeight="1">
      <c r="A2848" s="1205" t="s">
        <v>68896</v>
      </c>
      <c r="B2848" s="1205" t="s">
        <v>68895</v>
      </c>
      <c r="C2848" s="1205">
        <v>205.49</v>
      </c>
    </row>
    <row r="2849" spans="1:3" ht="24" customHeight="1">
      <c r="A2849" s="1205" t="s">
        <v>68894</v>
      </c>
      <c r="B2849" s="1205" t="s">
        <v>68893</v>
      </c>
      <c r="C2849" s="1205">
        <v>231.49</v>
      </c>
    </row>
    <row r="2850" spans="1:3" ht="24" customHeight="1">
      <c r="A2850" s="1205" t="s">
        <v>68892</v>
      </c>
      <c r="B2850" s="1205" t="s">
        <v>68891</v>
      </c>
      <c r="C2850" s="1205">
        <v>193.99</v>
      </c>
    </row>
    <row r="2851" spans="1:3" ht="24" customHeight="1">
      <c r="A2851" s="1205" t="s">
        <v>68890</v>
      </c>
      <c r="B2851" s="1205" t="s">
        <v>68889</v>
      </c>
      <c r="C2851" s="1205">
        <v>140.99</v>
      </c>
    </row>
    <row r="2852" spans="1:3" ht="24" customHeight="1">
      <c r="A2852" s="1205" t="s">
        <v>68888</v>
      </c>
      <c r="B2852" s="1205" t="s">
        <v>68887</v>
      </c>
      <c r="C2852" s="1205">
        <v>79.489999999999995</v>
      </c>
    </row>
    <row r="2853" spans="1:3" ht="24" customHeight="1">
      <c r="A2853" s="1205" t="s">
        <v>68886</v>
      </c>
      <c r="B2853" s="1205" t="s">
        <v>68885</v>
      </c>
      <c r="C2853" s="1205">
        <v>64.989999999999995</v>
      </c>
    </row>
    <row r="2854" spans="1:3" ht="24" customHeight="1">
      <c r="A2854" s="1205" t="s">
        <v>68884</v>
      </c>
      <c r="B2854" s="1205" t="s">
        <v>68883</v>
      </c>
      <c r="C2854" s="1205">
        <v>64.989999999999995</v>
      </c>
    </row>
    <row r="2855" spans="1:3" ht="24" customHeight="1">
      <c r="A2855" s="1205" t="s">
        <v>68882</v>
      </c>
      <c r="B2855" s="1205" t="s">
        <v>68881</v>
      </c>
      <c r="C2855" s="1205">
        <v>167.99</v>
      </c>
    </row>
    <row r="2856" spans="1:3" ht="24" customHeight="1">
      <c r="A2856" s="1205" t="s">
        <v>68880</v>
      </c>
      <c r="B2856" s="1205" t="s">
        <v>68879</v>
      </c>
      <c r="C2856" s="1205">
        <v>153.49</v>
      </c>
    </row>
    <row r="2857" spans="1:3" ht="24" customHeight="1">
      <c r="A2857" s="1205" t="s">
        <v>68878</v>
      </c>
      <c r="B2857" s="1205" t="s">
        <v>68877</v>
      </c>
      <c r="C2857" s="1205">
        <v>152.99</v>
      </c>
    </row>
    <row r="2858" spans="1:3" ht="24" customHeight="1">
      <c r="A2858" s="1205" t="s">
        <v>68876</v>
      </c>
      <c r="B2858" s="1205" t="s">
        <v>68875</v>
      </c>
      <c r="C2858" s="1205">
        <v>126.49</v>
      </c>
    </row>
    <row r="2859" spans="1:3" ht="24" customHeight="1">
      <c r="A2859" s="1205" t="s">
        <v>68874</v>
      </c>
      <c r="B2859" s="1205" t="s">
        <v>68873</v>
      </c>
      <c r="C2859" s="1205">
        <v>125.99</v>
      </c>
    </row>
    <row r="2860" spans="1:3" ht="24" customHeight="1">
      <c r="A2860" s="1205" t="s">
        <v>68872</v>
      </c>
      <c r="B2860" s="1205" t="s">
        <v>68871</v>
      </c>
      <c r="C2860" s="1205">
        <v>30.49</v>
      </c>
    </row>
    <row r="2861" spans="1:3" ht="24" customHeight="1">
      <c r="A2861" s="1205" t="s">
        <v>68870</v>
      </c>
      <c r="B2861" s="1205" t="s">
        <v>68869</v>
      </c>
      <c r="C2861" s="1205">
        <v>256.99</v>
      </c>
    </row>
    <row r="2862" spans="1:3" ht="24" customHeight="1">
      <c r="A2862" s="1205" t="s">
        <v>68868</v>
      </c>
      <c r="B2862" s="1205" t="s">
        <v>68867</v>
      </c>
      <c r="C2862" s="1205">
        <v>196.49</v>
      </c>
    </row>
    <row r="2863" spans="1:3" ht="24" customHeight="1">
      <c r="A2863" s="1205" t="s">
        <v>68866</v>
      </c>
      <c r="B2863" s="1205" t="s">
        <v>68865</v>
      </c>
      <c r="C2863" s="1205">
        <v>238.99</v>
      </c>
    </row>
    <row r="2864" spans="1:3" ht="24" customHeight="1">
      <c r="A2864" s="1205" t="s">
        <v>68864</v>
      </c>
      <c r="B2864" s="1205" t="s">
        <v>68863</v>
      </c>
      <c r="C2864" s="1205">
        <v>271.49</v>
      </c>
    </row>
    <row r="2865" spans="1:3" ht="24" customHeight="1">
      <c r="A2865" s="1205" t="s">
        <v>68862</v>
      </c>
      <c r="B2865" s="1205" t="s">
        <v>68861</v>
      </c>
      <c r="C2865" s="1205">
        <v>278.49</v>
      </c>
    </row>
    <row r="2866" spans="1:3" ht="24" customHeight="1">
      <c r="A2866" s="1205" t="s">
        <v>68860</v>
      </c>
      <c r="B2866" s="1205" t="s">
        <v>68859</v>
      </c>
      <c r="C2866" s="1205">
        <v>266.99</v>
      </c>
    </row>
    <row r="2867" spans="1:3" ht="24" customHeight="1">
      <c r="A2867" s="1205" t="s">
        <v>68858</v>
      </c>
      <c r="B2867" s="1205" t="s">
        <v>68857</v>
      </c>
      <c r="C2867" s="1205">
        <v>202.99</v>
      </c>
    </row>
    <row r="2868" spans="1:3" ht="24" customHeight="1">
      <c r="A2868" s="1205" t="s">
        <v>68856</v>
      </c>
      <c r="B2868" s="1205" t="s">
        <v>68855</v>
      </c>
      <c r="C2868" s="1205">
        <v>232.49</v>
      </c>
    </row>
    <row r="2869" spans="1:3" ht="24" customHeight="1">
      <c r="A2869" s="1205" t="s">
        <v>68854</v>
      </c>
      <c r="B2869" s="1205" t="s">
        <v>68853</v>
      </c>
      <c r="C2869" s="1205">
        <v>194.49</v>
      </c>
    </row>
    <row r="2870" spans="1:3" ht="24" customHeight="1">
      <c r="A2870" s="1205" t="s">
        <v>68852</v>
      </c>
      <c r="B2870" s="1205" t="s">
        <v>68851</v>
      </c>
      <c r="C2870" s="1205">
        <v>231.49</v>
      </c>
    </row>
    <row r="2871" spans="1:3" ht="24" customHeight="1">
      <c r="A2871" s="1205" t="s">
        <v>68850</v>
      </c>
      <c r="B2871" s="1205" t="s">
        <v>68849</v>
      </c>
      <c r="C2871" s="1205">
        <v>243.49</v>
      </c>
    </row>
    <row r="2872" spans="1:3" ht="24" customHeight="1">
      <c r="A2872" s="1205" t="s">
        <v>68848</v>
      </c>
      <c r="B2872" s="1205" t="s">
        <v>68847</v>
      </c>
      <c r="C2872" s="1205">
        <v>272.49</v>
      </c>
    </row>
    <row r="2873" spans="1:3" ht="24" customHeight="1">
      <c r="A2873" s="1205" t="s">
        <v>68846</v>
      </c>
      <c r="B2873" s="1205" t="s">
        <v>68845</v>
      </c>
      <c r="C2873" s="1205">
        <v>234.49</v>
      </c>
    </row>
    <row r="2874" spans="1:3" ht="24" customHeight="1">
      <c r="A2874" s="1205" t="s">
        <v>68844</v>
      </c>
      <c r="B2874" s="1205" t="s">
        <v>68843</v>
      </c>
      <c r="C2874" s="1205">
        <v>271.49</v>
      </c>
    </row>
    <row r="2875" spans="1:3" ht="24" customHeight="1">
      <c r="A2875" s="1205" t="s">
        <v>68842</v>
      </c>
      <c r="B2875" s="1205" t="s">
        <v>68841</v>
      </c>
      <c r="C2875" s="1205">
        <v>281.99</v>
      </c>
    </row>
    <row r="2876" spans="1:3" ht="24" customHeight="1">
      <c r="A2876" s="1205" t="s">
        <v>68840</v>
      </c>
      <c r="B2876" s="1205" t="s">
        <v>68839</v>
      </c>
      <c r="C2876" s="1205">
        <v>312.49</v>
      </c>
    </row>
    <row r="2877" spans="1:3" ht="24" customHeight="1">
      <c r="A2877" s="1205" t="s">
        <v>68838</v>
      </c>
      <c r="B2877" s="1205" t="s">
        <v>68837</v>
      </c>
      <c r="C2877" s="1205">
        <v>322.49</v>
      </c>
    </row>
    <row r="2878" spans="1:3" ht="24" customHeight="1">
      <c r="A2878" s="1205" t="s">
        <v>68836</v>
      </c>
      <c r="B2878" s="1205" t="s">
        <v>68835</v>
      </c>
      <c r="C2878" s="1205">
        <v>310.49</v>
      </c>
    </row>
    <row r="2879" spans="1:3" ht="24" customHeight="1">
      <c r="A2879" s="1205" t="s">
        <v>68834</v>
      </c>
      <c r="B2879" s="1205" t="s">
        <v>68833</v>
      </c>
      <c r="C2879" s="1205">
        <v>259.49</v>
      </c>
    </row>
    <row r="2880" spans="1:3" ht="24" customHeight="1">
      <c r="A2880" s="1205" t="s">
        <v>68832</v>
      </c>
      <c r="B2880" s="1205" t="s">
        <v>68831</v>
      </c>
      <c r="C2880" s="1205">
        <v>273.99</v>
      </c>
    </row>
    <row r="2881" spans="1:3" ht="24" customHeight="1">
      <c r="A2881" s="1205" t="s">
        <v>68830</v>
      </c>
      <c r="B2881" s="1205" t="s">
        <v>68829</v>
      </c>
      <c r="C2881" s="1205">
        <v>244.49</v>
      </c>
    </row>
    <row r="2882" spans="1:3" ht="24" customHeight="1">
      <c r="A2882" s="1205" t="s">
        <v>68828</v>
      </c>
      <c r="B2882" s="1205" t="s">
        <v>68827</v>
      </c>
      <c r="C2882" s="1205">
        <v>230.49</v>
      </c>
    </row>
    <row r="2883" spans="1:3" ht="24" customHeight="1">
      <c r="A2883" s="1205" t="s">
        <v>68826</v>
      </c>
      <c r="B2883" s="1205" t="s">
        <v>68825</v>
      </c>
      <c r="C2883" s="1205">
        <v>259.49</v>
      </c>
    </row>
    <row r="2884" spans="1:3" ht="24" customHeight="1">
      <c r="A2884" s="1205" t="s">
        <v>68824</v>
      </c>
      <c r="B2884" s="1205" t="s">
        <v>68823</v>
      </c>
      <c r="C2884" s="1205">
        <v>235.49</v>
      </c>
    </row>
    <row r="2885" spans="1:3" ht="24" customHeight="1">
      <c r="A2885" s="1205" t="s">
        <v>68822</v>
      </c>
      <c r="B2885" s="1205" t="s">
        <v>68821</v>
      </c>
      <c r="C2885" s="1205">
        <v>264.49</v>
      </c>
    </row>
    <row r="2886" spans="1:3" ht="24" customHeight="1">
      <c r="A2886" s="1205" t="s">
        <v>68820</v>
      </c>
      <c r="B2886" s="1205" t="s">
        <v>68819</v>
      </c>
      <c r="C2886" s="1205">
        <v>235.99</v>
      </c>
    </row>
    <row r="2887" spans="1:3" ht="24" customHeight="1">
      <c r="A2887" s="1205" t="s">
        <v>68818</v>
      </c>
      <c r="B2887" s="1205" t="s">
        <v>68817</v>
      </c>
      <c r="C2887" s="1205">
        <v>264.99</v>
      </c>
    </row>
    <row r="2888" spans="1:3" ht="24" customHeight="1">
      <c r="A2888" s="1205" t="s">
        <v>68816</v>
      </c>
      <c r="B2888" s="1205" t="s">
        <v>68815</v>
      </c>
      <c r="C2888" s="1205">
        <v>221.49</v>
      </c>
    </row>
    <row r="2889" spans="1:3" ht="24" customHeight="1">
      <c r="A2889" s="1205" t="s">
        <v>68814</v>
      </c>
      <c r="B2889" s="1205" t="s">
        <v>68813</v>
      </c>
      <c r="C2889" s="1205">
        <v>251.99</v>
      </c>
    </row>
    <row r="2890" spans="1:3" ht="24" customHeight="1">
      <c r="A2890" s="1205" t="s">
        <v>68812</v>
      </c>
      <c r="B2890" s="1205" t="s">
        <v>68811</v>
      </c>
      <c r="C2890" s="1205">
        <v>237.49</v>
      </c>
    </row>
    <row r="2891" spans="1:3" ht="24" customHeight="1">
      <c r="A2891" s="1205" t="s">
        <v>68810</v>
      </c>
      <c r="B2891" s="1205" t="s">
        <v>68809</v>
      </c>
      <c r="C2891" s="1205">
        <v>215.99</v>
      </c>
    </row>
    <row r="2892" spans="1:3" ht="24" customHeight="1">
      <c r="A2892" s="1205" t="s">
        <v>68808</v>
      </c>
      <c r="B2892" s="1205" t="s">
        <v>68807</v>
      </c>
      <c r="C2892" s="1205">
        <v>245.49</v>
      </c>
    </row>
    <row r="2893" spans="1:3" ht="24" customHeight="1">
      <c r="A2893" s="1205" t="s">
        <v>68806</v>
      </c>
      <c r="B2893" s="1205" t="s">
        <v>68805</v>
      </c>
      <c r="C2893" s="1205">
        <v>228.99</v>
      </c>
    </row>
    <row r="2894" spans="1:3" ht="24" customHeight="1">
      <c r="A2894" s="1205" t="s">
        <v>68804</v>
      </c>
      <c r="B2894" s="1205" t="s">
        <v>68803</v>
      </c>
      <c r="C2894" s="1205">
        <v>242.99</v>
      </c>
    </row>
    <row r="2895" spans="1:3" ht="24" customHeight="1">
      <c r="A2895" s="1205" t="s">
        <v>68802</v>
      </c>
      <c r="B2895" s="1205" t="s">
        <v>68801</v>
      </c>
      <c r="C2895" s="1205">
        <v>250.99</v>
      </c>
    </row>
    <row r="2896" spans="1:3" ht="24" customHeight="1">
      <c r="A2896" s="1205" t="s">
        <v>68800</v>
      </c>
      <c r="B2896" s="1205" t="s">
        <v>68799</v>
      </c>
      <c r="C2896" s="1205">
        <v>234.49</v>
      </c>
    </row>
    <row r="2897" spans="1:3" ht="24" customHeight="1">
      <c r="A2897" s="1205" t="s">
        <v>68798</v>
      </c>
      <c r="B2897" s="1205" t="s">
        <v>68797</v>
      </c>
      <c r="C2897" s="1205">
        <v>50.49</v>
      </c>
    </row>
    <row r="2898" spans="1:3" ht="24" customHeight="1">
      <c r="A2898" s="1205" t="s">
        <v>68796</v>
      </c>
      <c r="B2898" s="1205" t="s">
        <v>68795</v>
      </c>
      <c r="C2898" s="1205">
        <v>271.99</v>
      </c>
    </row>
    <row r="2899" spans="1:3" ht="24" customHeight="1">
      <c r="A2899" s="1205" t="s">
        <v>68794</v>
      </c>
      <c r="B2899" s="1205" t="s">
        <v>68793</v>
      </c>
      <c r="C2899" s="1205">
        <v>47.99</v>
      </c>
    </row>
    <row r="2900" spans="1:3" ht="24" customHeight="1">
      <c r="A2900" s="1205" t="s">
        <v>68792</v>
      </c>
      <c r="B2900" s="1205" t="s">
        <v>68791</v>
      </c>
      <c r="C2900" s="1205">
        <v>196.99</v>
      </c>
    </row>
    <row r="2901" spans="1:3" ht="24" customHeight="1">
      <c r="A2901" s="1205" t="s">
        <v>68790</v>
      </c>
      <c r="B2901" s="1205" t="s">
        <v>68789</v>
      </c>
      <c r="C2901" s="1205">
        <v>185.99</v>
      </c>
    </row>
    <row r="2902" spans="1:3" ht="24" customHeight="1">
      <c r="A2902" s="1205" t="s">
        <v>68788</v>
      </c>
      <c r="B2902" s="1205" t="s">
        <v>68787</v>
      </c>
      <c r="C2902" s="1205">
        <v>190.99</v>
      </c>
    </row>
    <row r="2903" spans="1:3" ht="24" customHeight="1">
      <c r="A2903" s="1205" t="s">
        <v>68786</v>
      </c>
      <c r="B2903" s="1205" t="s">
        <v>68785</v>
      </c>
      <c r="C2903" s="1205">
        <v>249.99</v>
      </c>
    </row>
    <row r="2904" spans="1:3" ht="24" customHeight="1">
      <c r="A2904" s="1205" t="s">
        <v>68784</v>
      </c>
      <c r="B2904" s="1205" t="s">
        <v>68783</v>
      </c>
      <c r="C2904" s="1205">
        <v>122.49</v>
      </c>
    </row>
    <row r="2905" spans="1:3" ht="24" customHeight="1">
      <c r="A2905" s="1205" t="s">
        <v>68782</v>
      </c>
      <c r="B2905" s="1205" t="s">
        <v>68781</v>
      </c>
      <c r="C2905" s="1205">
        <v>107.49</v>
      </c>
    </row>
    <row r="2906" spans="1:3" ht="24" customHeight="1">
      <c r="A2906" s="1205" t="s">
        <v>68780</v>
      </c>
      <c r="B2906" s="1205" t="s">
        <v>68779</v>
      </c>
      <c r="C2906" s="1205">
        <v>196.99</v>
      </c>
    </row>
    <row r="2907" spans="1:3" ht="24" customHeight="1">
      <c r="A2907" s="1205" t="s">
        <v>68778</v>
      </c>
      <c r="B2907" s="1205" t="s">
        <v>68777</v>
      </c>
      <c r="C2907" s="1205">
        <v>185.99</v>
      </c>
    </row>
    <row r="2908" spans="1:3" ht="24" customHeight="1">
      <c r="A2908" s="1205" t="s">
        <v>68776</v>
      </c>
      <c r="B2908" s="1205" t="s">
        <v>68775</v>
      </c>
      <c r="C2908" s="1205">
        <v>190.99</v>
      </c>
    </row>
    <row r="2909" spans="1:3" ht="24" customHeight="1">
      <c r="A2909" s="1205" t="s">
        <v>68774</v>
      </c>
      <c r="B2909" s="1205" t="s">
        <v>68773</v>
      </c>
      <c r="C2909" s="1205">
        <v>249.99</v>
      </c>
    </row>
    <row r="2910" spans="1:3" ht="24" customHeight="1">
      <c r="A2910" s="1205" t="s">
        <v>68772</v>
      </c>
      <c r="B2910" s="1205" t="s">
        <v>68771</v>
      </c>
      <c r="C2910" s="1205">
        <v>122.49</v>
      </c>
    </row>
    <row r="2911" spans="1:3" ht="24" customHeight="1">
      <c r="A2911" s="1205" t="s">
        <v>68770</v>
      </c>
      <c r="B2911" s="1205" t="s">
        <v>68769</v>
      </c>
      <c r="C2911" s="1205">
        <v>107.49</v>
      </c>
    </row>
    <row r="2912" spans="1:3" ht="24" customHeight="1">
      <c r="A2912" s="1205" t="s">
        <v>68768</v>
      </c>
      <c r="B2912" s="1205" t="s">
        <v>68767</v>
      </c>
      <c r="C2912" s="1205">
        <v>315.49</v>
      </c>
    </row>
    <row r="2913" spans="1:3" ht="24" customHeight="1">
      <c r="A2913" s="1205" t="s">
        <v>68766</v>
      </c>
      <c r="B2913" s="1205" t="s">
        <v>68765</v>
      </c>
      <c r="C2913" s="1205">
        <v>238.99</v>
      </c>
    </row>
    <row r="2914" spans="1:3" ht="24" customHeight="1">
      <c r="A2914" s="1205" t="s">
        <v>68764</v>
      </c>
      <c r="B2914" s="1205" t="s">
        <v>68763</v>
      </c>
      <c r="C2914" s="1205">
        <v>269.99</v>
      </c>
    </row>
    <row r="2915" spans="1:3" ht="24" customHeight="1">
      <c r="A2915" s="1205" t="s">
        <v>68762</v>
      </c>
      <c r="B2915" s="1205" t="s">
        <v>68761</v>
      </c>
      <c r="C2915" s="1205">
        <v>198.99</v>
      </c>
    </row>
    <row r="2916" spans="1:3" ht="24" customHeight="1">
      <c r="A2916" s="1205" t="s">
        <v>68760</v>
      </c>
      <c r="B2916" s="1205" t="s">
        <v>68759</v>
      </c>
      <c r="C2916" s="1205">
        <v>183.49</v>
      </c>
    </row>
    <row r="2917" spans="1:3" ht="24" customHeight="1">
      <c r="A2917" s="1205" t="s">
        <v>68758</v>
      </c>
      <c r="B2917" s="1205" t="s">
        <v>68757</v>
      </c>
      <c r="C2917" s="1205">
        <v>296.49</v>
      </c>
    </row>
    <row r="2918" spans="1:3" ht="24" customHeight="1">
      <c r="A2918" s="1205" t="s">
        <v>68756</v>
      </c>
      <c r="B2918" s="1205" t="s">
        <v>68755</v>
      </c>
      <c r="C2918" s="1205">
        <v>291.49</v>
      </c>
    </row>
    <row r="2919" spans="1:3" ht="24" customHeight="1">
      <c r="A2919" s="1205" t="s">
        <v>68754</v>
      </c>
      <c r="B2919" s="1205" t="s">
        <v>68753</v>
      </c>
      <c r="C2919" s="1205">
        <v>332.49</v>
      </c>
    </row>
    <row r="2920" spans="1:3" ht="24" customHeight="1">
      <c r="A2920" s="1205" t="s">
        <v>68752</v>
      </c>
      <c r="B2920" s="1205" t="s">
        <v>68751</v>
      </c>
      <c r="C2920" s="1205">
        <v>216.99</v>
      </c>
    </row>
    <row r="2921" spans="1:3" ht="24" customHeight="1">
      <c r="A2921" s="1205" t="s">
        <v>68750</v>
      </c>
      <c r="B2921" s="1205" t="s">
        <v>68749</v>
      </c>
      <c r="C2921" s="1205">
        <v>247.99</v>
      </c>
    </row>
    <row r="2922" spans="1:3" ht="24" customHeight="1">
      <c r="A2922" s="1205" t="s">
        <v>68748</v>
      </c>
      <c r="B2922" s="1205" t="s">
        <v>68747</v>
      </c>
      <c r="C2922" s="1205">
        <v>201.99</v>
      </c>
    </row>
    <row r="2923" spans="1:3" ht="24" customHeight="1">
      <c r="A2923" s="1205" t="s">
        <v>68746</v>
      </c>
      <c r="B2923" s="1205" t="s">
        <v>68745</v>
      </c>
      <c r="C2923" s="1205">
        <v>196.99</v>
      </c>
    </row>
    <row r="2924" spans="1:3" ht="24" customHeight="1">
      <c r="A2924" s="1205" t="s">
        <v>68744</v>
      </c>
      <c r="B2924" s="1205" t="s">
        <v>68743</v>
      </c>
      <c r="C2924" s="1205">
        <v>181.99</v>
      </c>
    </row>
    <row r="2925" spans="1:3" ht="24" customHeight="1">
      <c r="A2925" s="1205" t="s">
        <v>68742</v>
      </c>
      <c r="B2925" s="1205" t="s">
        <v>68741</v>
      </c>
      <c r="C2925" s="1205">
        <v>205.99</v>
      </c>
    </row>
    <row r="2926" spans="1:3" ht="24" customHeight="1">
      <c r="A2926" s="1205" t="s">
        <v>68740</v>
      </c>
      <c r="B2926" s="1205" t="s">
        <v>68739</v>
      </c>
      <c r="C2926" s="1205">
        <v>234.99</v>
      </c>
    </row>
    <row r="2927" spans="1:3" ht="24" customHeight="1">
      <c r="A2927" s="1205" t="s">
        <v>68738</v>
      </c>
      <c r="B2927" s="1205" t="s">
        <v>68737</v>
      </c>
      <c r="C2927" s="1205">
        <v>191.49</v>
      </c>
    </row>
    <row r="2928" spans="1:3" ht="24" customHeight="1">
      <c r="A2928" s="1205" t="s">
        <v>68736</v>
      </c>
      <c r="B2928" s="1205" t="s">
        <v>68735</v>
      </c>
      <c r="C2928" s="1205">
        <v>210.49</v>
      </c>
    </row>
    <row r="2929" spans="1:3" ht="24" customHeight="1">
      <c r="A2929" s="1205" t="s">
        <v>68734</v>
      </c>
      <c r="B2929" s="1205" t="s">
        <v>68733</v>
      </c>
      <c r="C2929" s="1205">
        <v>239.99</v>
      </c>
    </row>
    <row r="2930" spans="1:3" ht="24" customHeight="1">
      <c r="A2930" s="1205" t="s">
        <v>68732</v>
      </c>
      <c r="B2930" s="1205" t="s">
        <v>68731</v>
      </c>
      <c r="C2930" s="1205">
        <v>195.99</v>
      </c>
    </row>
    <row r="2931" spans="1:3" ht="24" customHeight="1">
      <c r="A2931" s="1205" t="s">
        <v>68730</v>
      </c>
      <c r="B2931" s="1205" t="s">
        <v>68682</v>
      </c>
      <c r="C2931" s="1205">
        <v>195.49</v>
      </c>
    </row>
    <row r="2932" spans="1:3" ht="24" customHeight="1">
      <c r="A2932" s="1205" t="s">
        <v>68729</v>
      </c>
      <c r="B2932" s="1205" t="s">
        <v>68728</v>
      </c>
      <c r="C2932" s="1205">
        <v>224.99</v>
      </c>
    </row>
    <row r="2933" spans="1:3" ht="24" customHeight="1">
      <c r="A2933" s="1205" t="s">
        <v>68727</v>
      </c>
      <c r="B2933" s="1205" t="s">
        <v>68726</v>
      </c>
      <c r="C2933" s="1205">
        <v>165.99</v>
      </c>
    </row>
    <row r="2934" spans="1:3" ht="24" customHeight="1">
      <c r="A2934" s="1205" t="s">
        <v>68725</v>
      </c>
      <c r="B2934" s="1205" t="s">
        <v>68724</v>
      </c>
      <c r="C2934" s="1205">
        <v>211.99</v>
      </c>
    </row>
    <row r="2935" spans="1:3" ht="24" customHeight="1">
      <c r="A2935" s="1205" t="s">
        <v>68723</v>
      </c>
      <c r="B2935" s="1205" t="s">
        <v>68722</v>
      </c>
      <c r="C2935" s="1205">
        <v>197.49</v>
      </c>
    </row>
    <row r="2936" spans="1:3" ht="24" customHeight="1">
      <c r="A2936" s="1205" t="s">
        <v>68721</v>
      </c>
      <c r="B2936" s="1205" t="s">
        <v>68720</v>
      </c>
      <c r="C2936" s="1205">
        <v>197.99</v>
      </c>
    </row>
    <row r="2937" spans="1:3" ht="24" customHeight="1">
      <c r="A2937" s="1205" t="s">
        <v>68719</v>
      </c>
      <c r="B2937" s="1205" t="s">
        <v>68718</v>
      </c>
      <c r="C2937" s="1205">
        <v>226.99</v>
      </c>
    </row>
    <row r="2938" spans="1:3" ht="24" customHeight="1">
      <c r="A2938" s="1205" t="s">
        <v>68717</v>
      </c>
      <c r="B2938" s="1205" t="s">
        <v>68716</v>
      </c>
      <c r="C2938" s="1205">
        <v>188.99</v>
      </c>
    </row>
    <row r="2939" spans="1:3" ht="24" customHeight="1">
      <c r="A2939" s="1205" t="s">
        <v>68715</v>
      </c>
      <c r="B2939" s="1205" t="s">
        <v>68714</v>
      </c>
      <c r="C2939" s="1205">
        <v>202.99</v>
      </c>
    </row>
    <row r="2940" spans="1:3" ht="24" customHeight="1">
      <c r="A2940" s="1205" t="s">
        <v>68713</v>
      </c>
      <c r="B2940" s="1205" t="s">
        <v>68712</v>
      </c>
      <c r="C2940" s="1205">
        <v>231.99</v>
      </c>
    </row>
    <row r="2941" spans="1:3" ht="24" customHeight="1">
      <c r="A2941" s="1205" t="s">
        <v>68711</v>
      </c>
      <c r="B2941" s="1205" t="s">
        <v>68710</v>
      </c>
      <c r="C2941" s="1205">
        <v>194.49</v>
      </c>
    </row>
    <row r="2942" spans="1:3" ht="24" customHeight="1">
      <c r="A2942" s="1205" t="s">
        <v>68709</v>
      </c>
      <c r="B2942" s="1205" t="s">
        <v>68708</v>
      </c>
      <c r="C2942" s="1205">
        <v>286.99</v>
      </c>
    </row>
    <row r="2943" spans="1:3" ht="24" customHeight="1">
      <c r="A2943" s="1205" t="s">
        <v>68707</v>
      </c>
      <c r="B2943" s="1205" t="s">
        <v>68706</v>
      </c>
      <c r="C2943" s="1205">
        <v>275.49</v>
      </c>
    </row>
    <row r="2944" spans="1:3" ht="24" customHeight="1">
      <c r="A2944" s="1205" t="s">
        <v>68705</v>
      </c>
      <c r="B2944" s="1205" t="s">
        <v>68704</v>
      </c>
      <c r="C2944" s="1205">
        <v>209.99</v>
      </c>
    </row>
    <row r="2945" spans="1:3" ht="24" customHeight="1">
      <c r="A2945" s="1205" t="s">
        <v>68703</v>
      </c>
      <c r="B2945" s="1205" t="s">
        <v>68702</v>
      </c>
      <c r="C2945" s="1205">
        <v>192.49</v>
      </c>
    </row>
    <row r="2946" spans="1:3" ht="24" customHeight="1">
      <c r="A2946" s="1205" t="s">
        <v>68701</v>
      </c>
      <c r="B2946" s="1205" t="s">
        <v>68700</v>
      </c>
      <c r="C2946" s="1205">
        <v>254.99</v>
      </c>
    </row>
    <row r="2947" spans="1:3" ht="24" customHeight="1">
      <c r="A2947" s="1205" t="s">
        <v>68699</v>
      </c>
      <c r="B2947" s="1205" t="s">
        <v>68698</v>
      </c>
      <c r="C2947" s="1205">
        <v>191.49</v>
      </c>
    </row>
    <row r="2948" spans="1:3" ht="24" customHeight="1">
      <c r="A2948" s="1205" t="s">
        <v>68697</v>
      </c>
      <c r="B2948" s="1205" t="s">
        <v>68696</v>
      </c>
      <c r="C2948" s="1205">
        <v>303.49</v>
      </c>
    </row>
    <row r="2949" spans="1:3" ht="24" customHeight="1">
      <c r="A2949" s="1205" t="s">
        <v>68695</v>
      </c>
      <c r="B2949" s="1205" t="s">
        <v>68694</v>
      </c>
      <c r="C2949" s="1205">
        <v>291.49</v>
      </c>
    </row>
    <row r="2950" spans="1:3" ht="24" customHeight="1">
      <c r="A2950" s="1205" t="s">
        <v>68693</v>
      </c>
      <c r="B2950" s="1205" t="s">
        <v>68692</v>
      </c>
      <c r="C2950" s="1205">
        <v>224.49</v>
      </c>
    </row>
    <row r="2951" spans="1:3" ht="24" customHeight="1">
      <c r="A2951" s="1205" t="s">
        <v>68691</v>
      </c>
      <c r="B2951" s="1205" t="s">
        <v>68690</v>
      </c>
      <c r="C2951" s="1205">
        <v>179.49</v>
      </c>
    </row>
    <row r="2952" spans="1:3" ht="24" customHeight="1">
      <c r="A2952" s="1205" t="s">
        <v>68689</v>
      </c>
      <c r="B2952" s="1205" t="s">
        <v>68688</v>
      </c>
      <c r="C2952" s="1205">
        <v>254.49</v>
      </c>
    </row>
    <row r="2953" spans="1:3" ht="24" customHeight="1">
      <c r="A2953" s="1205" t="s">
        <v>68687</v>
      </c>
      <c r="B2953" s="1205" t="s">
        <v>68686</v>
      </c>
      <c r="C2953" s="1205">
        <v>243.49</v>
      </c>
    </row>
    <row r="2954" spans="1:3" ht="24" customHeight="1">
      <c r="A2954" s="1205" t="s">
        <v>68685</v>
      </c>
      <c r="B2954" s="1205" t="s">
        <v>68684</v>
      </c>
      <c r="C2954" s="1205">
        <v>178.99</v>
      </c>
    </row>
    <row r="2955" spans="1:3" ht="24" customHeight="1">
      <c r="A2955" s="1205" t="s">
        <v>68683</v>
      </c>
      <c r="B2955" s="1205" t="s">
        <v>68682</v>
      </c>
      <c r="C2955" s="1205">
        <v>178.99</v>
      </c>
    </row>
    <row r="2956" spans="1:3" ht="24" customHeight="1">
      <c r="A2956" s="1205" t="s">
        <v>68681</v>
      </c>
      <c r="B2956" s="1205" t="s">
        <v>68680</v>
      </c>
      <c r="C2956" s="1205">
        <v>230.49</v>
      </c>
    </row>
    <row r="2957" spans="1:3" ht="24" customHeight="1">
      <c r="A2957" s="1205" t="s">
        <v>68679</v>
      </c>
      <c r="B2957" s="1205" t="s">
        <v>68678</v>
      </c>
      <c r="C2957" s="1205">
        <v>256.99</v>
      </c>
    </row>
    <row r="2958" spans="1:3" ht="24" customHeight="1">
      <c r="A2958" s="1205" t="s">
        <v>68677</v>
      </c>
      <c r="B2958" s="1205" t="s">
        <v>68676</v>
      </c>
      <c r="C2958" s="1205">
        <v>226.99</v>
      </c>
    </row>
    <row r="2959" spans="1:3" ht="24" customHeight="1">
      <c r="A2959" s="1205" t="s">
        <v>68675</v>
      </c>
      <c r="B2959" s="1205" t="s">
        <v>68674</v>
      </c>
      <c r="C2959" s="1205">
        <v>202.99</v>
      </c>
    </row>
    <row r="2960" spans="1:3" ht="24" customHeight="1">
      <c r="A2960" s="1205" t="s">
        <v>68673</v>
      </c>
      <c r="B2960" s="1205" t="s">
        <v>68672</v>
      </c>
      <c r="C2960" s="1205">
        <v>164.99</v>
      </c>
    </row>
    <row r="2961" spans="1:3" ht="24" customHeight="1">
      <c r="A2961" s="1205" t="s">
        <v>68671</v>
      </c>
      <c r="B2961" s="1205" t="s">
        <v>68670</v>
      </c>
      <c r="C2961" s="1205">
        <v>268.49</v>
      </c>
    </row>
    <row r="2962" spans="1:3" ht="24" customHeight="1">
      <c r="A2962" s="1205" t="s">
        <v>68669</v>
      </c>
      <c r="B2962" s="1205" t="s">
        <v>68668</v>
      </c>
      <c r="C2962" s="1205">
        <v>236.49</v>
      </c>
    </row>
    <row r="2963" spans="1:3" ht="24" customHeight="1">
      <c r="A2963" s="1205" t="s">
        <v>68667</v>
      </c>
      <c r="B2963" s="1205" t="s">
        <v>68666</v>
      </c>
      <c r="C2963" s="1205">
        <v>169.99</v>
      </c>
    </row>
    <row r="2964" spans="1:3" ht="24" customHeight="1">
      <c r="A2964" s="1205" t="s">
        <v>68665</v>
      </c>
      <c r="B2964" s="1205" t="s">
        <v>68664</v>
      </c>
      <c r="C2964" s="1205">
        <v>267.49</v>
      </c>
    </row>
    <row r="2965" spans="1:3" ht="24" customHeight="1">
      <c r="A2965" s="1205" t="s">
        <v>68663</v>
      </c>
      <c r="B2965" s="1205" t="s">
        <v>68662</v>
      </c>
      <c r="C2965" s="1205">
        <v>235.49</v>
      </c>
    </row>
    <row r="2966" spans="1:3" ht="24" customHeight="1">
      <c r="A2966" s="1205" t="s">
        <v>68661</v>
      </c>
      <c r="B2966" s="1205" t="s">
        <v>68660</v>
      </c>
      <c r="C2966" s="1205">
        <v>169.49</v>
      </c>
    </row>
    <row r="2967" spans="1:3" ht="24" customHeight="1">
      <c r="A2967" s="1205" t="s">
        <v>68659</v>
      </c>
      <c r="B2967" s="1205" t="s">
        <v>68658</v>
      </c>
      <c r="C2967" s="1205">
        <v>268.49</v>
      </c>
    </row>
    <row r="2968" spans="1:3" ht="24" customHeight="1">
      <c r="A2968" s="1205" t="s">
        <v>68657</v>
      </c>
      <c r="B2968" s="1205" t="s">
        <v>68656</v>
      </c>
      <c r="C2968" s="1205">
        <v>236.49</v>
      </c>
    </row>
    <row r="2969" spans="1:3" ht="24" customHeight="1">
      <c r="A2969" s="1205" t="s">
        <v>68655</v>
      </c>
      <c r="B2969" s="1205" t="s">
        <v>68654</v>
      </c>
      <c r="C2969" s="1205">
        <v>169.99</v>
      </c>
    </row>
    <row r="2970" spans="1:3" ht="24" customHeight="1">
      <c r="A2970" s="1205" t="s">
        <v>68653</v>
      </c>
      <c r="B2970" s="1205" t="s">
        <v>68652</v>
      </c>
      <c r="C2970" s="1205">
        <v>161.99</v>
      </c>
    </row>
    <row r="2971" spans="1:3" ht="24" customHeight="1">
      <c r="A2971" s="1205" t="s">
        <v>68651</v>
      </c>
      <c r="B2971" s="1205" t="s">
        <v>68649</v>
      </c>
      <c r="C2971" s="1205">
        <v>176.99</v>
      </c>
    </row>
    <row r="2972" spans="1:3" ht="24" customHeight="1">
      <c r="A2972" s="1205" t="s">
        <v>68650</v>
      </c>
      <c r="B2972" s="1205" t="s">
        <v>68649</v>
      </c>
      <c r="C2972" s="1205">
        <v>206.99</v>
      </c>
    </row>
    <row r="2973" spans="1:3" ht="24" customHeight="1">
      <c r="A2973" s="1205" t="s">
        <v>68648</v>
      </c>
      <c r="B2973" s="1205" t="s">
        <v>68646</v>
      </c>
      <c r="C2973" s="1205">
        <v>179.49</v>
      </c>
    </row>
    <row r="2974" spans="1:3" ht="24" customHeight="1">
      <c r="A2974" s="1205" t="s">
        <v>68647</v>
      </c>
      <c r="B2974" s="1205" t="s">
        <v>68646</v>
      </c>
      <c r="C2974" s="1205">
        <v>209.49</v>
      </c>
    </row>
    <row r="2975" spans="1:3" ht="24" customHeight="1">
      <c r="A2975" s="1205" t="s">
        <v>68645</v>
      </c>
      <c r="B2975" s="1205" t="s">
        <v>68644</v>
      </c>
      <c r="C2975" s="1205">
        <v>210.49</v>
      </c>
    </row>
    <row r="2976" spans="1:3" ht="24" customHeight="1">
      <c r="A2976" s="1205" t="s">
        <v>68643</v>
      </c>
      <c r="B2976" s="1205" t="s">
        <v>68642</v>
      </c>
      <c r="C2976" s="1205">
        <v>159.49</v>
      </c>
    </row>
    <row r="2977" spans="1:3" ht="24" customHeight="1">
      <c r="A2977" s="1205" t="s">
        <v>68641</v>
      </c>
      <c r="B2977" s="1205" t="s">
        <v>68640</v>
      </c>
      <c r="C2977" s="1205">
        <v>158.99</v>
      </c>
    </row>
    <row r="2978" spans="1:3" ht="24" customHeight="1">
      <c r="A2978" s="1205" t="s">
        <v>68639</v>
      </c>
      <c r="B2978" s="1205" t="s">
        <v>68638</v>
      </c>
      <c r="C2978" s="1205">
        <v>159.49</v>
      </c>
    </row>
    <row r="2979" spans="1:3" ht="24" customHeight="1">
      <c r="A2979" s="1205" t="s">
        <v>68637</v>
      </c>
      <c r="B2979" s="1205" t="s">
        <v>68636</v>
      </c>
      <c r="C2979" s="1205">
        <v>159.49</v>
      </c>
    </row>
    <row r="2980" spans="1:3" ht="24" customHeight="1">
      <c r="A2980" s="1205" t="s">
        <v>68635</v>
      </c>
      <c r="B2980" s="1205" t="s">
        <v>68634</v>
      </c>
      <c r="C2980" s="1205">
        <v>158.49</v>
      </c>
    </row>
    <row r="2981" spans="1:3" ht="24" customHeight="1">
      <c r="A2981" s="1205" t="s">
        <v>68633</v>
      </c>
      <c r="B2981" s="1205" t="s">
        <v>68632</v>
      </c>
      <c r="C2981" s="1205">
        <v>157.49</v>
      </c>
    </row>
    <row r="2982" spans="1:3" ht="24" customHeight="1">
      <c r="A2982" s="1205" t="s">
        <v>68631</v>
      </c>
      <c r="B2982" s="1205" t="s">
        <v>68630</v>
      </c>
      <c r="C2982" s="1205">
        <v>158.49</v>
      </c>
    </row>
    <row r="2983" spans="1:3" ht="24" customHeight="1">
      <c r="A2983" s="1205" t="s">
        <v>68629</v>
      </c>
      <c r="B2983" s="1205" t="s">
        <v>68628</v>
      </c>
      <c r="C2983" s="1205">
        <v>161.99</v>
      </c>
    </row>
    <row r="2984" spans="1:3" ht="24" customHeight="1">
      <c r="A2984" s="1205" t="s">
        <v>68627</v>
      </c>
      <c r="B2984" s="1205" t="s">
        <v>68626</v>
      </c>
      <c r="C2984" s="1205">
        <v>157.99</v>
      </c>
    </row>
    <row r="2985" spans="1:3" ht="24" customHeight="1">
      <c r="A2985" s="1205" t="s">
        <v>68625</v>
      </c>
      <c r="B2985" s="1205" t="s">
        <v>68624</v>
      </c>
      <c r="C2985" s="1205">
        <v>161.99</v>
      </c>
    </row>
    <row r="2986" spans="1:3" ht="24" customHeight="1">
      <c r="A2986" s="1205" t="s">
        <v>68623</v>
      </c>
      <c r="B2986" s="1205" t="s">
        <v>68622</v>
      </c>
      <c r="C2986" s="1205">
        <v>158.49</v>
      </c>
    </row>
    <row r="2987" spans="1:3" ht="24" customHeight="1">
      <c r="A2987" s="1205" t="s">
        <v>68621</v>
      </c>
      <c r="B2987" s="1205" t="s">
        <v>68620</v>
      </c>
      <c r="C2987" s="1205">
        <v>163.99</v>
      </c>
    </row>
    <row r="2988" spans="1:3" ht="24" customHeight="1">
      <c r="A2988" s="1205" t="s">
        <v>68619</v>
      </c>
      <c r="B2988" s="1205" t="s">
        <v>68618</v>
      </c>
      <c r="C2988" s="1205">
        <v>160.99</v>
      </c>
    </row>
    <row r="2989" spans="1:3" ht="24" customHeight="1">
      <c r="A2989" s="1205" t="s">
        <v>68617</v>
      </c>
      <c r="B2989" s="1205" t="s">
        <v>68616</v>
      </c>
      <c r="C2989" s="1205">
        <v>159.99</v>
      </c>
    </row>
    <row r="2990" spans="1:3" ht="24" customHeight="1">
      <c r="A2990" s="1205" t="s">
        <v>68615</v>
      </c>
      <c r="B2990" s="1205" t="s">
        <v>68614</v>
      </c>
      <c r="C2990" s="1205">
        <v>163.99</v>
      </c>
    </row>
    <row r="2991" spans="1:3" ht="24" customHeight="1">
      <c r="A2991" s="1205" t="s">
        <v>68613</v>
      </c>
      <c r="B2991" s="1205" t="s">
        <v>68612</v>
      </c>
      <c r="C2991" s="1205">
        <v>158.49</v>
      </c>
    </row>
    <row r="2992" spans="1:3" ht="24" customHeight="1">
      <c r="A2992" s="1205" t="s">
        <v>68611</v>
      </c>
      <c r="B2992" s="1205" t="s">
        <v>68610</v>
      </c>
      <c r="C2992" s="1205">
        <v>161.49</v>
      </c>
    </row>
    <row r="2993" spans="1:3" ht="24" customHeight="1">
      <c r="A2993" s="1205" t="s">
        <v>68609</v>
      </c>
      <c r="B2993" s="1205" t="s">
        <v>68608</v>
      </c>
      <c r="C2993" s="1205">
        <v>157.99</v>
      </c>
    </row>
    <row r="2994" spans="1:3" ht="24" customHeight="1">
      <c r="A2994" s="1205" t="s">
        <v>68607</v>
      </c>
      <c r="B2994" s="1205" t="s">
        <v>68606</v>
      </c>
      <c r="C2994" s="1205">
        <v>162.99</v>
      </c>
    </row>
    <row r="2995" spans="1:3" ht="24" customHeight="1">
      <c r="A2995" s="1205" t="s">
        <v>68605</v>
      </c>
      <c r="B2995" s="1205" t="s">
        <v>68604</v>
      </c>
      <c r="C2995" s="1205">
        <v>223.49</v>
      </c>
    </row>
    <row r="2996" spans="1:3" ht="24" customHeight="1">
      <c r="A2996" s="1205" t="s">
        <v>68603</v>
      </c>
      <c r="B2996" s="1205" t="s">
        <v>68602</v>
      </c>
      <c r="C2996" s="1205">
        <v>168.99</v>
      </c>
    </row>
    <row r="2997" spans="1:3" ht="24" customHeight="1">
      <c r="A2997" s="1205" t="s">
        <v>68601</v>
      </c>
      <c r="B2997" s="1205" t="s">
        <v>68600</v>
      </c>
      <c r="C2997" s="1205">
        <v>174.99</v>
      </c>
    </row>
    <row r="2998" spans="1:3" ht="24" customHeight="1">
      <c r="A2998" s="1205" t="s">
        <v>68599</v>
      </c>
      <c r="B2998" s="1205" t="s">
        <v>68598</v>
      </c>
      <c r="C2998" s="1205">
        <v>160.49</v>
      </c>
    </row>
    <row r="2999" spans="1:3" ht="24" customHeight="1">
      <c r="A2999" s="1205" t="s">
        <v>68597</v>
      </c>
      <c r="B2999" s="1205" t="s">
        <v>68596</v>
      </c>
      <c r="C2999" s="1205">
        <v>174.99</v>
      </c>
    </row>
    <row r="3000" spans="1:3" ht="24" customHeight="1">
      <c r="A3000" s="1205" t="s">
        <v>68595</v>
      </c>
      <c r="B3000" s="1205" t="s">
        <v>68594</v>
      </c>
      <c r="C3000" s="1205">
        <v>226.49</v>
      </c>
    </row>
    <row r="3001" spans="1:3" ht="24" customHeight="1">
      <c r="A3001" s="1205" t="s">
        <v>68593</v>
      </c>
      <c r="B3001" s="1205" t="s">
        <v>68592</v>
      </c>
      <c r="C3001" s="1205">
        <v>211.49</v>
      </c>
    </row>
    <row r="3002" spans="1:3" ht="24" customHeight="1">
      <c r="A3002" s="1205" t="s">
        <v>68591</v>
      </c>
      <c r="B3002" s="1205" t="s">
        <v>68590</v>
      </c>
      <c r="C3002" s="1205">
        <v>160.49</v>
      </c>
    </row>
    <row r="3003" spans="1:3" ht="24" customHeight="1">
      <c r="A3003" s="1205" t="s">
        <v>68589</v>
      </c>
      <c r="B3003" s="1205" t="s">
        <v>68588</v>
      </c>
      <c r="C3003" s="1205">
        <v>208.49</v>
      </c>
    </row>
    <row r="3004" spans="1:3" ht="24" customHeight="1">
      <c r="A3004" s="1205" t="s">
        <v>68587</v>
      </c>
      <c r="B3004" s="1205" t="s">
        <v>68586</v>
      </c>
      <c r="C3004" s="1205">
        <v>221.99</v>
      </c>
    </row>
    <row r="3005" spans="1:3" ht="24" customHeight="1">
      <c r="A3005" s="1205" t="s">
        <v>68585</v>
      </c>
      <c r="B3005" s="1205" t="s">
        <v>68584</v>
      </c>
      <c r="C3005" s="1205">
        <v>206.99</v>
      </c>
    </row>
    <row r="3006" spans="1:3" ht="24" customHeight="1">
      <c r="A3006" s="1205" t="s">
        <v>68583</v>
      </c>
      <c r="B3006" s="1205" t="s">
        <v>68582</v>
      </c>
      <c r="C3006" s="1205">
        <v>207.49</v>
      </c>
    </row>
    <row r="3007" spans="1:3" ht="24" customHeight="1">
      <c r="A3007" s="1205" t="s">
        <v>68581</v>
      </c>
      <c r="B3007" s="1205" t="s">
        <v>68580</v>
      </c>
      <c r="C3007" s="1205">
        <v>171.49</v>
      </c>
    </row>
    <row r="3008" spans="1:3" ht="24" customHeight="1">
      <c r="A3008" s="1205" t="s">
        <v>68579</v>
      </c>
      <c r="B3008" s="1205" t="s">
        <v>68577</v>
      </c>
      <c r="C3008" s="1205">
        <v>154.49</v>
      </c>
    </row>
    <row r="3009" spans="1:3" ht="24" customHeight="1">
      <c r="A3009" s="1205" t="s">
        <v>68578</v>
      </c>
      <c r="B3009" s="1205" t="s">
        <v>68577</v>
      </c>
      <c r="C3009" s="1205">
        <v>172.49</v>
      </c>
    </row>
    <row r="3010" spans="1:3" ht="24" customHeight="1">
      <c r="A3010" s="1205" t="s">
        <v>68576</v>
      </c>
      <c r="B3010" s="1205" t="s">
        <v>68575</v>
      </c>
      <c r="C3010" s="1205">
        <v>125.99</v>
      </c>
    </row>
    <row r="3011" spans="1:3" ht="24" customHeight="1">
      <c r="A3011" s="1205" t="s">
        <v>68574</v>
      </c>
      <c r="B3011" s="1205" t="s">
        <v>68573</v>
      </c>
      <c r="C3011" s="1205">
        <v>208.49</v>
      </c>
    </row>
    <row r="3012" spans="1:3" ht="24" customHeight="1">
      <c r="A3012" s="1205" t="s">
        <v>68572</v>
      </c>
      <c r="B3012" s="1205" t="s">
        <v>68571</v>
      </c>
      <c r="C3012" s="1205">
        <v>158.99</v>
      </c>
    </row>
    <row r="3013" spans="1:3" ht="24" customHeight="1">
      <c r="A3013" s="1205" t="s">
        <v>68570</v>
      </c>
      <c r="B3013" s="1205" t="s">
        <v>68569</v>
      </c>
      <c r="C3013" s="1205">
        <v>207.99</v>
      </c>
    </row>
    <row r="3014" spans="1:3" ht="24" customHeight="1">
      <c r="A3014" s="1205" t="s">
        <v>68568</v>
      </c>
      <c r="B3014" s="1205" t="s">
        <v>68567</v>
      </c>
      <c r="C3014" s="1205">
        <v>93.49</v>
      </c>
    </row>
    <row r="3015" spans="1:3" ht="24" customHeight="1">
      <c r="A3015" s="1205" t="s">
        <v>68566</v>
      </c>
      <c r="B3015" s="1205" t="s">
        <v>68565</v>
      </c>
      <c r="C3015" s="1205">
        <v>158.49</v>
      </c>
    </row>
    <row r="3016" spans="1:3" ht="24" customHeight="1">
      <c r="A3016" s="1205" t="s">
        <v>68564</v>
      </c>
      <c r="B3016" s="1205" t="s">
        <v>68563</v>
      </c>
      <c r="C3016" s="1205">
        <v>278.49</v>
      </c>
    </row>
    <row r="3017" spans="1:3" ht="24" customHeight="1">
      <c r="A3017" s="1205" t="s">
        <v>68562</v>
      </c>
      <c r="B3017" s="1205" t="s">
        <v>68561</v>
      </c>
      <c r="C3017" s="1205">
        <v>266.49</v>
      </c>
    </row>
    <row r="3018" spans="1:3" ht="24" customHeight="1">
      <c r="A3018" s="1205" t="s">
        <v>68560</v>
      </c>
      <c r="B3018" s="1205" t="s">
        <v>68559</v>
      </c>
      <c r="C3018" s="1205">
        <v>198.49</v>
      </c>
    </row>
    <row r="3019" spans="1:3" ht="24" customHeight="1">
      <c r="A3019" s="1205" t="s">
        <v>68558</v>
      </c>
      <c r="B3019" s="1205" t="s">
        <v>68557</v>
      </c>
      <c r="C3019" s="1205">
        <v>334.99</v>
      </c>
    </row>
    <row r="3020" spans="1:3" ht="24" customHeight="1">
      <c r="A3020" s="1205" t="s">
        <v>68556</v>
      </c>
      <c r="B3020" s="1205" t="s">
        <v>68555</v>
      </c>
      <c r="C3020" s="1205">
        <v>284.99</v>
      </c>
    </row>
    <row r="3021" spans="1:3" ht="24" customHeight="1">
      <c r="A3021" s="1205" t="s">
        <v>68554</v>
      </c>
      <c r="B3021" s="1205" t="s">
        <v>68553</v>
      </c>
      <c r="C3021" s="1205">
        <v>273.49</v>
      </c>
    </row>
    <row r="3022" spans="1:3" ht="24" customHeight="1">
      <c r="A3022" s="1205" t="s">
        <v>68552</v>
      </c>
      <c r="B3022" s="1205" t="s">
        <v>68551</v>
      </c>
      <c r="C3022" s="1205">
        <v>204.99</v>
      </c>
    </row>
    <row r="3023" spans="1:3" ht="24" customHeight="1">
      <c r="A3023" s="1205" t="s">
        <v>68550</v>
      </c>
      <c r="B3023" s="1205" t="s">
        <v>68549</v>
      </c>
      <c r="C3023" s="1205">
        <v>341.49</v>
      </c>
    </row>
    <row r="3024" spans="1:3" ht="24" customHeight="1">
      <c r="A3024" s="1205" t="s">
        <v>68548</v>
      </c>
      <c r="B3024" s="1205" t="s">
        <v>68547</v>
      </c>
      <c r="C3024" s="1205">
        <v>249.99</v>
      </c>
    </row>
    <row r="3025" spans="1:3" ht="24" customHeight="1">
      <c r="A3025" s="1205" t="s">
        <v>68546</v>
      </c>
      <c r="B3025" s="1205" t="s">
        <v>68545</v>
      </c>
      <c r="C3025" s="1205">
        <v>238.49</v>
      </c>
    </row>
    <row r="3026" spans="1:3" ht="24" customHeight="1">
      <c r="A3026" s="1205" t="s">
        <v>68544</v>
      </c>
      <c r="B3026" s="1205" t="s">
        <v>68543</v>
      </c>
      <c r="C3026" s="1205">
        <v>159.49</v>
      </c>
    </row>
    <row r="3027" spans="1:3" ht="24" customHeight="1">
      <c r="A3027" s="1205" t="s">
        <v>68542</v>
      </c>
      <c r="B3027" s="1205" t="s">
        <v>68541</v>
      </c>
      <c r="C3027" s="1205">
        <v>256.49</v>
      </c>
    </row>
    <row r="3028" spans="1:3" ht="24" customHeight="1">
      <c r="A3028" s="1205" t="s">
        <v>68540</v>
      </c>
      <c r="B3028" s="1205" t="s">
        <v>68538</v>
      </c>
      <c r="C3028" s="1205">
        <v>244.99</v>
      </c>
    </row>
    <row r="3029" spans="1:3" ht="24" customHeight="1">
      <c r="A3029" s="1205" t="s">
        <v>68539</v>
      </c>
      <c r="B3029" s="1205" t="s">
        <v>68538</v>
      </c>
      <c r="C3029" s="1205">
        <v>165.49</v>
      </c>
    </row>
    <row r="3030" spans="1:3" ht="24" customHeight="1">
      <c r="A3030" s="1205" t="s">
        <v>68537</v>
      </c>
      <c r="B3030" s="1205" t="s">
        <v>68536</v>
      </c>
      <c r="C3030" s="1205">
        <v>261.99</v>
      </c>
    </row>
    <row r="3031" spans="1:3" ht="24" customHeight="1">
      <c r="A3031" s="1205" t="s">
        <v>68535</v>
      </c>
      <c r="B3031" s="1205" t="s">
        <v>68534</v>
      </c>
      <c r="C3031" s="1205">
        <v>275.99</v>
      </c>
    </row>
    <row r="3032" spans="1:3" ht="24" customHeight="1">
      <c r="A3032" s="1205" t="s">
        <v>68533</v>
      </c>
      <c r="B3032" s="1205" t="s">
        <v>68532</v>
      </c>
      <c r="C3032" s="1205">
        <v>263.99</v>
      </c>
    </row>
    <row r="3033" spans="1:3" ht="24" customHeight="1">
      <c r="A3033" s="1205" t="s">
        <v>68531</v>
      </c>
      <c r="B3033" s="1205" t="s">
        <v>68530</v>
      </c>
      <c r="C3033" s="1205">
        <v>196.49</v>
      </c>
    </row>
    <row r="3034" spans="1:3" ht="24" customHeight="1">
      <c r="A3034" s="1205" t="s">
        <v>68529</v>
      </c>
      <c r="B3034" s="1205" t="s">
        <v>68528</v>
      </c>
      <c r="C3034" s="1205">
        <v>226.99</v>
      </c>
    </row>
    <row r="3035" spans="1:3" ht="24" customHeight="1">
      <c r="A3035" s="1205" t="s">
        <v>68527</v>
      </c>
      <c r="B3035" s="1205" t="s">
        <v>68526</v>
      </c>
      <c r="C3035" s="1205">
        <v>257.99</v>
      </c>
    </row>
    <row r="3036" spans="1:3" ht="24" customHeight="1">
      <c r="A3036" s="1205" t="s">
        <v>68525</v>
      </c>
      <c r="B3036" s="1205" t="s">
        <v>68524</v>
      </c>
      <c r="C3036" s="1205">
        <v>215.49</v>
      </c>
    </row>
    <row r="3037" spans="1:3" ht="24" customHeight="1">
      <c r="A3037" s="1205" t="s">
        <v>68523</v>
      </c>
      <c r="B3037" s="1205" t="s">
        <v>68522</v>
      </c>
      <c r="C3037" s="1205">
        <v>163.99</v>
      </c>
    </row>
    <row r="3038" spans="1:3" ht="24" customHeight="1">
      <c r="A3038" s="1205" t="s">
        <v>68521</v>
      </c>
      <c r="B3038" s="1205" t="s">
        <v>68520</v>
      </c>
      <c r="C3038" s="1205">
        <v>142.99</v>
      </c>
    </row>
    <row r="3039" spans="1:3" ht="24" customHeight="1">
      <c r="A3039" s="1205" t="s">
        <v>68519</v>
      </c>
      <c r="B3039" s="1205" t="s">
        <v>68518</v>
      </c>
      <c r="C3039" s="1205">
        <v>257.49</v>
      </c>
    </row>
    <row r="3040" spans="1:3" ht="24" customHeight="1">
      <c r="A3040" s="1205" t="s">
        <v>68517</v>
      </c>
      <c r="B3040" s="1205" t="s">
        <v>68516</v>
      </c>
      <c r="C3040" s="1205">
        <v>246.49</v>
      </c>
    </row>
    <row r="3041" spans="1:3" ht="24" customHeight="1">
      <c r="A3041" s="1205" t="s">
        <v>68515</v>
      </c>
      <c r="B3041" s="1205" t="s">
        <v>68514</v>
      </c>
      <c r="C3041" s="1205">
        <v>253.99</v>
      </c>
    </row>
    <row r="3042" spans="1:3" ht="24" customHeight="1">
      <c r="A3042" s="1205" t="s">
        <v>68513</v>
      </c>
      <c r="B3042" s="1205" t="s">
        <v>68512</v>
      </c>
      <c r="C3042" s="1205">
        <v>241.99</v>
      </c>
    </row>
    <row r="3043" spans="1:3" ht="24" customHeight="1">
      <c r="A3043" s="1205" t="s">
        <v>68511</v>
      </c>
      <c r="B3043" s="1205" t="s">
        <v>68510</v>
      </c>
      <c r="C3043" s="1205">
        <v>289.49</v>
      </c>
    </row>
    <row r="3044" spans="1:3" ht="24" customHeight="1">
      <c r="A3044" s="1205" t="s">
        <v>68509</v>
      </c>
      <c r="B3044" s="1205" t="s">
        <v>68508</v>
      </c>
      <c r="C3044" s="1205">
        <v>173.99</v>
      </c>
    </row>
    <row r="3045" spans="1:3" ht="24" customHeight="1">
      <c r="A3045" s="1205" t="s">
        <v>68507</v>
      </c>
      <c r="B3045" s="1205" t="s">
        <v>68506</v>
      </c>
      <c r="C3045" s="1205">
        <v>204.99</v>
      </c>
    </row>
    <row r="3046" spans="1:3" ht="24" customHeight="1">
      <c r="A3046" s="1205" t="s">
        <v>68505</v>
      </c>
      <c r="B3046" s="1205" t="s">
        <v>68504</v>
      </c>
      <c r="C3046" s="1205">
        <v>211.99</v>
      </c>
    </row>
    <row r="3047" spans="1:3" ht="24" customHeight="1">
      <c r="A3047" s="1205" t="s">
        <v>68503</v>
      </c>
      <c r="B3047" s="1205" t="s">
        <v>68502</v>
      </c>
      <c r="C3047" s="1205">
        <v>158.99</v>
      </c>
    </row>
    <row r="3048" spans="1:3" ht="24" customHeight="1">
      <c r="A3048" s="1205" t="s">
        <v>68501</v>
      </c>
      <c r="B3048" s="1205" t="s">
        <v>68499</v>
      </c>
      <c r="C3048" s="1205">
        <v>155.99</v>
      </c>
    </row>
    <row r="3049" spans="1:3" ht="24" customHeight="1">
      <c r="A3049" s="1205" t="s">
        <v>68500</v>
      </c>
      <c r="B3049" s="1205" t="s">
        <v>68499</v>
      </c>
      <c r="C3049" s="1205">
        <v>140.99</v>
      </c>
    </row>
    <row r="3050" spans="1:3" ht="24" customHeight="1">
      <c r="A3050" s="1205" t="s">
        <v>68498</v>
      </c>
      <c r="B3050" s="1205" t="s">
        <v>68497</v>
      </c>
      <c r="C3050" s="1205">
        <v>164.99</v>
      </c>
    </row>
    <row r="3051" spans="1:3" ht="24" customHeight="1">
      <c r="A3051" s="1205" t="s">
        <v>68496</v>
      </c>
      <c r="B3051" s="1205" t="s">
        <v>68495</v>
      </c>
      <c r="C3051" s="1205">
        <v>194.49</v>
      </c>
    </row>
    <row r="3052" spans="1:3" ht="24" customHeight="1">
      <c r="A3052" s="1205" t="s">
        <v>68494</v>
      </c>
      <c r="B3052" s="1205" t="s">
        <v>68493</v>
      </c>
      <c r="C3052" s="1205">
        <v>150.99</v>
      </c>
    </row>
    <row r="3053" spans="1:3" ht="24" customHeight="1">
      <c r="A3053" s="1205" t="s">
        <v>68492</v>
      </c>
      <c r="B3053" s="1205" t="s">
        <v>68491</v>
      </c>
      <c r="C3053" s="1205">
        <v>186.49</v>
      </c>
    </row>
    <row r="3054" spans="1:3" ht="24" customHeight="1">
      <c r="A3054" s="1205" t="s">
        <v>68490</v>
      </c>
      <c r="B3054" s="1205" t="s">
        <v>68489</v>
      </c>
      <c r="C3054" s="1205">
        <v>221.49</v>
      </c>
    </row>
    <row r="3055" spans="1:3" ht="24" customHeight="1">
      <c r="A3055" s="1205" t="s">
        <v>68488</v>
      </c>
      <c r="B3055" s="1205" t="s">
        <v>68487</v>
      </c>
      <c r="C3055" s="1205">
        <v>155.99</v>
      </c>
    </row>
    <row r="3056" spans="1:3" ht="24" customHeight="1">
      <c r="A3056" s="1205" t="s">
        <v>68486</v>
      </c>
      <c r="B3056" s="1205" t="s">
        <v>68485</v>
      </c>
      <c r="C3056" s="1205">
        <v>219.49</v>
      </c>
    </row>
    <row r="3057" spans="1:3" ht="24" customHeight="1">
      <c r="A3057" s="1205" t="s">
        <v>68484</v>
      </c>
      <c r="B3057" s="1205" t="s">
        <v>68483</v>
      </c>
      <c r="C3057" s="1205">
        <v>153.49</v>
      </c>
    </row>
    <row r="3058" spans="1:3" ht="24" customHeight="1">
      <c r="A3058" s="1205" t="s">
        <v>68482</v>
      </c>
      <c r="B3058" s="1205" t="s">
        <v>68481</v>
      </c>
      <c r="C3058" s="1205">
        <v>154.99</v>
      </c>
    </row>
    <row r="3059" spans="1:3" ht="24" customHeight="1">
      <c r="A3059" s="1205" t="s">
        <v>68480</v>
      </c>
      <c r="B3059" s="1205" t="s">
        <v>68479</v>
      </c>
      <c r="C3059" s="1205">
        <v>183.99</v>
      </c>
    </row>
    <row r="3060" spans="1:3" ht="24" customHeight="1">
      <c r="A3060" s="1205" t="s">
        <v>68478</v>
      </c>
      <c r="B3060" s="1205" t="s">
        <v>68477</v>
      </c>
      <c r="C3060" s="1205">
        <v>145.99</v>
      </c>
    </row>
    <row r="3061" spans="1:3" ht="24" customHeight="1">
      <c r="A3061" s="1205" t="s">
        <v>68476</v>
      </c>
      <c r="B3061" s="1205" t="s">
        <v>68475</v>
      </c>
      <c r="C3061" s="1205">
        <v>171.99</v>
      </c>
    </row>
    <row r="3062" spans="1:3" ht="24" customHeight="1">
      <c r="A3062" s="1205" t="s">
        <v>68474</v>
      </c>
      <c r="B3062" s="1205" t="s">
        <v>68473</v>
      </c>
      <c r="C3062" s="1205">
        <v>157.49</v>
      </c>
    </row>
    <row r="3063" spans="1:3" ht="24" customHeight="1">
      <c r="A3063" s="1205" t="s">
        <v>68472</v>
      </c>
      <c r="B3063" s="1205" t="s">
        <v>68471</v>
      </c>
      <c r="C3063" s="1205">
        <v>156.99</v>
      </c>
    </row>
    <row r="3064" spans="1:3" ht="24" customHeight="1">
      <c r="A3064" s="1205" t="s">
        <v>68470</v>
      </c>
      <c r="B3064" s="1205" t="s">
        <v>68469</v>
      </c>
      <c r="C3064" s="1205">
        <v>186.49</v>
      </c>
    </row>
    <row r="3065" spans="1:3" ht="24" customHeight="1">
      <c r="A3065" s="1205" t="s">
        <v>68468</v>
      </c>
      <c r="B3065" s="1205" t="s">
        <v>68467</v>
      </c>
      <c r="C3065" s="1205">
        <v>150.49</v>
      </c>
    </row>
    <row r="3066" spans="1:3" ht="24" customHeight="1">
      <c r="A3066" s="1205" t="s">
        <v>68466</v>
      </c>
      <c r="B3066" s="1205" t="s">
        <v>68465</v>
      </c>
      <c r="C3066" s="1205">
        <v>162.49</v>
      </c>
    </row>
    <row r="3067" spans="1:3" ht="24" customHeight="1">
      <c r="A3067" s="1205" t="s">
        <v>68464</v>
      </c>
      <c r="B3067" s="1205" t="s">
        <v>68463</v>
      </c>
      <c r="C3067" s="1205">
        <v>191.49</v>
      </c>
    </row>
    <row r="3068" spans="1:3" ht="24" customHeight="1">
      <c r="A3068" s="1205" t="s">
        <v>68462</v>
      </c>
      <c r="B3068" s="1205" t="s">
        <v>68461</v>
      </c>
      <c r="C3068" s="1205">
        <v>153.99</v>
      </c>
    </row>
    <row r="3069" spans="1:3" ht="24" customHeight="1">
      <c r="A3069" s="1205" t="s">
        <v>68460</v>
      </c>
      <c r="B3069" s="1205" t="s">
        <v>68459</v>
      </c>
      <c r="C3069" s="1205">
        <v>244.49</v>
      </c>
    </row>
    <row r="3070" spans="1:3" ht="24" customHeight="1">
      <c r="A3070" s="1205" t="s">
        <v>68458</v>
      </c>
      <c r="B3070" s="1205" t="s">
        <v>68457</v>
      </c>
      <c r="C3070" s="1205">
        <v>232.49</v>
      </c>
    </row>
    <row r="3071" spans="1:3" ht="24" customHeight="1">
      <c r="A3071" s="1205" t="s">
        <v>68456</v>
      </c>
      <c r="B3071" s="1205" t="s">
        <v>68455</v>
      </c>
      <c r="C3071" s="1205">
        <v>164.49</v>
      </c>
    </row>
    <row r="3072" spans="1:3" ht="24" customHeight="1">
      <c r="A3072" s="1205" t="s">
        <v>68454</v>
      </c>
      <c r="B3072" s="1205" t="s">
        <v>68453</v>
      </c>
      <c r="C3072" s="1205">
        <v>214.99</v>
      </c>
    </row>
    <row r="3073" spans="1:3" ht="24" customHeight="1">
      <c r="A3073" s="1205" t="s">
        <v>68452</v>
      </c>
      <c r="B3073" s="1205" t="s">
        <v>68451</v>
      </c>
      <c r="C3073" s="1205">
        <v>149.49</v>
      </c>
    </row>
    <row r="3074" spans="1:3" ht="24" customHeight="1">
      <c r="A3074" s="1205" t="s">
        <v>68450</v>
      </c>
      <c r="B3074" s="1205" t="s">
        <v>68449</v>
      </c>
      <c r="C3074" s="1205">
        <v>214.49</v>
      </c>
    </row>
    <row r="3075" spans="1:3" ht="24" customHeight="1">
      <c r="A3075" s="1205" t="s">
        <v>68448</v>
      </c>
      <c r="B3075" s="1205" t="s">
        <v>68447</v>
      </c>
      <c r="C3075" s="1205">
        <v>150.49</v>
      </c>
    </row>
    <row r="3076" spans="1:3" ht="24" customHeight="1">
      <c r="A3076" s="1205" t="s">
        <v>68446</v>
      </c>
      <c r="B3076" s="1205" t="s">
        <v>68445</v>
      </c>
      <c r="C3076" s="1205">
        <v>260.49</v>
      </c>
    </row>
    <row r="3077" spans="1:3" ht="24" customHeight="1">
      <c r="A3077" s="1205" t="s">
        <v>68444</v>
      </c>
      <c r="B3077" s="1205" t="s">
        <v>68443</v>
      </c>
      <c r="C3077" s="1205">
        <v>248.99</v>
      </c>
    </row>
    <row r="3078" spans="1:3" ht="24" customHeight="1">
      <c r="A3078" s="1205" t="s">
        <v>68442</v>
      </c>
      <c r="B3078" s="1205" t="s">
        <v>68441</v>
      </c>
      <c r="C3078" s="1205">
        <v>253.99</v>
      </c>
    </row>
    <row r="3079" spans="1:3" ht="24" customHeight="1">
      <c r="A3079" s="1205" t="s">
        <v>68440</v>
      </c>
      <c r="B3079" s="1205" t="s">
        <v>68439</v>
      </c>
      <c r="C3079" s="1205">
        <v>181.49</v>
      </c>
    </row>
    <row r="3080" spans="1:3" ht="24" customHeight="1">
      <c r="A3080" s="1205" t="s">
        <v>68438</v>
      </c>
      <c r="B3080" s="1205" t="s">
        <v>68437</v>
      </c>
      <c r="C3080" s="1205">
        <v>407.99</v>
      </c>
    </row>
    <row r="3081" spans="1:3" ht="24" customHeight="1">
      <c r="A3081" s="1205" t="s">
        <v>68436</v>
      </c>
      <c r="B3081" s="1205" t="s">
        <v>68435</v>
      </c>
      <c r="C3081" s="1205">
        <v>16.489999999999998</v>
      </c>
    </row>
    <row r="3082" spans="1:3" ht="24" customHeight="1">
      <c r="A3082" s="1205" t="s">
        <v>68434</v>
      </c>
      <c r="B3082" s="1205" t="s">
        <v>68433</v>
      </c>
      <c r="C3082" s="1205">
        <v>16.489999999999998</v>
      </c>
    </row>
    <row r="3083" spans="1:3" ht="24" customHeight="1">
      <c r="A3083" s="1205" t="s">
        <v>68432</v>
      </c>
      <c r="B3083" s="1205" t="s">
        <v>68431</v>
      </c>
      <c r="C3083" s="1205">
        <v>18.989999999999998</v>
      </c>
    </row>
    <row r="3084" spans="1:3" ht="24" customHeight="1">
      <c r="A3084" s="1205" t="s">
        <v>68430</v>
      </c>
      <c r="B3084" s="1205" t="s">
        <v>68429</v>
      </c>
      <c r="C3084" s="1205">
        <v>13.99</v>
      </c>
    </row>
    <row r="3085" spans="1:3" ht="24" customHeight="1">
      <c r="A3085" s="1205" t="s">
        <v>68428</v>
      </c>
      <c r="B3085" s="1205" t="s">
        <v>68427</v>
      </c>
      <c r="C3085" s="1205">
        <v>13.49</v>
      </c>
    </row>
    <row r="3086" spans="1:3" ht="24" customHeight="1">
      <c r="A3086" s="1205" t="s">
        <v>68426</v>
      </c>
      <c r="B3086" s="1205" t="s">
        <v>68425</v>
      </c>
      <c r="C3086" s="1205">
        <v>13.99</v>
      </c>
    </row>
    <row r="3087" spans="1:3" ht="24" customHeight="1">
      <c r="A3087" s="1205" t="s">
        <v>68424</v>
      </c>
      <c r="B3087" s="1205" t="s">
        <v>68423</v>
      </c>
      <c r="C3087" s="1205">
        <v>14.49</v>
      </c>
    </row>
    <row r="3088" spans="1:3" ht="24" customHeight="1">
      <c r="A3088" s="1205" t="s">
        <v>68422</v>
      </c>
      <c r="B3088" s="1205" t="s">
        <v>68421</v>
      </c>
      <c r="C3088" s="1205">
        <v>12.99</v>
      </c>
    </row>
    <row r="3089" spans="1:3" ht="24" customHeight="1">
      <c r="A3089" s="1205" t="s">
        <v>68420</v>
      </c>
      <c r="B3089" s="1205" t="s">
        <v>68419</v>
      </c>
      <c r="C3089" s="1205">
        <v>12.99</v>
      </c>
    </row>
    <row r="3090" spans="1:3" ht="24" customHeight="1">
      <c r="A3090" s="1205" t="s">
        <v>68418</v>
      </c>
      <c r="B3090" s="1205" t="s">
        <v>68417</v>
      </c>
      <c r="C3090" s="1205">
        <v>13.49</v>
      </c>
    </row>
    <row r="3091" spans="1:3" ht="24" customHeight="1">
      <c r="A3091" s="1205" t="s">
        <v>68416</v>
      </c>
      <c r="B3091" s="1205" t="s">
        <v>68415</v>
      </c>
      <c r="C3091" s="1205">
        <v>12.99</v>
      </c>
    </row>
    <row r="3092" spans="1:3" ht="24" customHeight="1">
      <c r="A3092" s="1205" t="s">
        <v>68414</v>
      </c>
      <c r="B3092" s="1205" t="s">
        <v>68413</v>
      </c>
      <c r="C3092" s="1205">
        <v>16.489999999999998</v>
      </c>
    </row>
    <row r="3093" spans="1:3" ht="24" customHeight="1">
      <c r="A3093" s="1205" t="s">
        <v>68412</v>
      </c>
      <c r="B3093" s="1205" t="s">
        <v>68411</v>
      </c>
      <c r="C3093" s="1205">
        <v>12.99</v>
      </c>
    </row>
    <row r="3094" spans="1:3" ht="24" customHeight="1">
      <c r="A3094" s="1205" t="s">
        <v>68410</v>
      </c>
      <c r="B3094" s="1205" t="s">
        <v>68409</v>
      </c>
      <c r="C3094" s="1205">
        <v>16.489999999999998</v>
      </c>
    </row>
    <row r="3095" spans="1:3" ht="24" customHeight="1">
      <c r="A3095" s="1205" t="s">
        <v>68408</v>
      </c>
      <c r="B3095" s="1205" t="s">
        <v>68407</v>
      </c>
      <c r="C3095" s="1205">
        <v>13.49</v>
      </c>
    </row>
    <row r="3096" spans="1:3" ht="24" customHeight="1">
      <c r="A3096" s="1205" t="s">
        <v>68406</v>
      </c>
      <c r="B3096" s="1205" t="s">
        <v>68405</v>
      </c>
      <c r="C3096" s="1205">
        <v>18.989999999999998</v>
      </c>
    </row>
    <row r="3097" spans="1:3" ht="24" customHeight="1">
      <c r="A3097" s="1205" t="s">
        <v>68404</v>
      </c>
      <c r="B3097" s="1205" t="s">
        <v>68403</v>
      </c>
      <c r="C3097" s="1205">
        <v>15.99</v>
      </c>
    </row>
    <row r="3098" spans="1:3" ht="24" customHeight="1">
      <c r="A3098" s="1205" t="s">
        <v>68402</v>
      </c>
      <c r="B3098" s="1205" t="s">
        <v>68401</v>
      </c>
      <c r="C3098" s="1205">
        <v>14.49</v>
      </c>
    </row>
    <row r="3099" spans="1:3" ht="24" customHeight="1">
      <c r="A3099" s="1205" t="s">
        <v>68400</v>
      </c>
      <c r="B3099" s="1205" t="s">
        <v>68399</v>
      </c>
      <c r="C3099" s="1205">
        <v>18.489999999999998</v>
      </c>
    </row>
    <row r="3100" spans="1:3" ht="24" customHeight="1">
      <c r="A3100" s="1205" t="s">
        <v>68398</v>
      </c>
      <c r="B3100" s="1205" t="s">
        <v>68397</v>
      </c>
      <c r="C3100" s="1205">
        <v>13.49</v>
      </c>
    </row>
    <row r="3101" spans="1:3" ht="24" customHeight="1">
      <c r="A3101" s="1205" t="s">
        <v>68396</v>
      </c>
      <c r="B3101" s="1205" t="s">
        <v>68395</v>
      </c>
      <c r="C3101" s="1205">
        <v>16.489999999999998</v>
      </c>
    </row>
    <row r="3102" spans="1:3" ht="24" customHeight="1">
      <c r="A3102" s="1205" t="s">
        <v>68394</v>
      </c>
      <c r="B3102" s="1205" t="s">
        <v>68393</v>
      </c>
      <c r="C3102" s="1205">
        <v>12.99</v>
      </c>
    </row>
    <row r="3103" spans="1:3" ht="24" customHeight="1">
      <c r="A3103" s="1205" t="s">
        <v>68392</v>
      </c>
      <c r="B3103" s="1205" t="s">
        <v>68391</v>
      </c>
      <c r="C3103" s="1205">
        <v>17.489999999999998</v>
      </c>
    </row>
    <row r="3104" spans="1:3" ht="24" customHeight="1">
      <c r="A3104" s="1205" t="s">
        <v>68390</v>
      </c>
      <c r="B3104" s="1205" t="s">
        <v>68389</v>
      </c>
      <c r="C3104" s="1205">
        <v>15.49</v>
      </c>
    </row>
    <row r="3105" spans="1:3" ht="24" customHeight="1">
      <c r="A3105" s="1205" t="s">
        <v>68388</v>
      </c>
      <c r="B3105" s="1205" t="s">
        <v>68387</v>
      </c>
      <c r="C3105" s="1205">
        <v>28.49</v>
      </c>
    </row>
    <row r="3106" spans="1:3" ht="24" customHeight="1">
      <c r="A3106" s="1205" t="s">
        <v>68386</v>
      </c>
      <c r="B3106" s="1205" t="s">
        <v>68385</v>
      </c>
      <c r="C3106" s="1205">
        <v>14.99</v>
      </c>
    </row>
    <row r="3107" spans="1:3" ht="24" customHeight="1">
      <c r="A3107" s="1205" t="s">
        <v>68384</v>
      </c>
      <c r="B3107" s="1205" t="s">
        <v>68383</v>
      </c>
      <c r="C3107" s="1205">
        <v>28.49</v>
      </c>
    </row>
    <row r="3108" spans="1:3" ht="24" customHeight="1">
      <c r="A3108" s="1205" t="s">
        <v>68382</v>
      </c>
      <c r="B3108" s="1205" t="s">
        <v>68381</v>
      </c>
      <c r="C3108" s="1205">
        <v>14.99</v>
      </c>
    </row>
    <row r="3109" spans="1:3" ht="24" customHeight="1">
      <c r="A3109" s="1205" t="s">
        <v>68380</v>
      </c>
      <c r="B3109" s="1205" t="s">
        <v>68379</v>
      </c>
      <c r="C3109" s="1205">
        <v>17.489999999999998</v>
      </c>
    </row>
    <row r="3110" spans="1:3" ht="24" customHeight="1">
      <c r="A3110" s="1205" t="s">
        <v>68378</v>
      </c>
      <c r="B3110" s="1205" t="s">
        <v>68377</v>
      </c>
      <c r="C3110" s="1205">
        <v>30.49</v>
      </c>
    </row>
    <row r="3111" spans="1:3" ht="24" customHeight="1">
      <c r="A3111" s="1205" t="s">
        <v>68376</v>
      </c>
      <c r="B3111" s="1205" t="s">
        <v>68375</v>
      </c>
      <c r="C3111" s="1205">
        <v>16.989999999999998</v>
      </c>
    </row>
    <row r="3112" spans="1:3" ht="24" customHeight="1">
      <c r="A3112" s="1205" t="s">
        <v>68374</v>
      </c>
      <c r="B3112" s="1205" t="s">
        <v>68373</v>
      </c>
      <c r="C3112" s="1205">
        <v>16.489999999999998</v>
      </c>
    </row>
    <row r="3113" spans="1:3" ht="24" customHeight="1">
      <c r="A3113" s="1205" t="s">
        <v>68372</v>
      </c>
      <c r="B3113" s="1205" t="s">
        <v>68371</v>
      </c>
      <c r="C3113" s="1205">
        <v>12.49</v>
      </c>
    </row>
    <row r="3114" spans="1:3" ht="24" customHeight="1">
      <c r="A3114" s="1205" t="s">
        <v>68370</v>
      </c>
      <c r="B3114" s="1205" t="s">
        <v>68369</v>
      </c>
      <c r="C3114" s="1205">
        <v>17.989999999999998</v>
      </c>
    </row>
    <row r="3115" spans="1:3" ht="24" customHeight="1">
      <c r="A3115" s="1205" t="s">
        <v>68368</v>
      </c>
      <c r="B3115" s="1205" t="s">
        <v>68367</v>
      </c>
      <c r="C3115" s="1205">
        <v>166.99</v>
      </c>
    </row>
    <row r="3116" spans="1:3" ht="24" customHeight="1">
      <c r="A3116" s="1205" t="s">
        <v>68366</v>
      </c>
      <c r="B3116" s="1205" t="s">
        <v>68364</v>
      </c>
      <c r="C3116" s="1205">
        <v>155.99</v>
      </c>
    </row>
    <row r="3117" spans="1:3" ht="24" customHeight="1">
      <c r="A3117" s="1205" t="s">
        <v>68365</v>
      </c>
      <c r="B3117" s="1205" t="s">
        <v>68364</v>
      </c>
      <c r="C3117" s="1205">
        <v>197.49</v>
      </c>
    </row>
    <row r="3118" spans="1:3" ht="24" customHeight="1">
      <c r="A3118" s="1205" t="s">
        <v>68363</v>
      </c>
      <c r="B3118" s="1205" t="s">
        <v>68362</v>
      </c>
      <c r="C3118" s="1205">
        <v>170.49</v>
      </c>
    </row>
    <row r="3119" spans="1:3" ht="24" customHeight="1">
      <c r="A3119" s="1205" t="s">
        <v>68361</v>
      </c>
      <c r="B3119" s="1205" t="s">
        <v>68360</v>
      </c>
      <c r="C3119" s="1205">
        <v>160.99</v>
      </c>
    </row>
    <row r="3120" spans="1:3" ht="24" customHeight="1">
      <c r="A3120" s="1205" t="s">
        <v>68359</v>
      </c>
      <c r="B3120" s="1205" t="s">
        <v>68358</v>
      </c>
      <c r="C3120" s="1205">
        <v>219.99</v>
      </c>
    </row>
    <row r="3121" spans="1:3" ht="24" customHeight="1">
      <c r="A3121" s="1205" t="s">
        <v>68357</v>
      </c>
      <c r="B3121" s="1205" t="s">
        <v>68356</v>
      </c>
      <c r="C3121" s="1205">
        <v>77.489999999999995</v>
      </c>
    </row>
    <row r="3122" spans="1:3" ht="24" customHeight="1">
      <c r="A3122" s="1205" t="s">
        <v>68355</v>
      </c>
      <c r="B3122" s="1205" t="s">
        <v>68354</v>
      </c>
      <c r="C3122" s="1205">
        <v>286.99</v>
      </c>
    </row>
    <row r="3123" spans="1:3" ht="24" customHeight="1">
      <c r="A3123" s="1205" t="s">
        <v>68353</v>
      </c>
      <c r="B3123" s="1205" t="s">
        <v>68352</v>
      </c>
      <c r="C3123" s="1205">
        <v>62.99</v>
      </c>
    </row>
    <row r="3124" spans="1:3" ht="24" customHeight="1">
      <c r="A3124" s="1205" t="s">
        <v>68351</v>
      </c>
      <c r="B3124" s="1205" t="s">
        <v>68350</v>
      </c>
      <c r="C3124" s="1205">
        <v>156.99</v>
      </c>
    </row>
    <row r="3125" spans="1:3" ht="24" customHeight="1">
      <c r="A3125" s="1205" t="s">
        <v>68349</v>
      </c>
      <c r="B3125" s="1205" t="s">
        <v>68348</v>
      </c>
      <c r="C3125" s="1205">
        <v>151.49</v>
      </c>
    </row>
    <row r="3126" spans="1:3" ht="24" customHeight="1">
      <c r="A3126" s="1205" t="s">
        <v>68347</v>
      </c>
      <c r="B3126" s="1205" t="s">
        <v>68346</v>
      </c>
      <c r="C3126" s="1205">
        <v>206.49</v>
      </c>
    </row>
    <row r="3127" spans="1:3" ht="24" customHeight="1">
      <c r="A3127" s="1205" t="s">
        <v>68345</v>
      </c>
      <c r="B3127" s="1205" t="s">
        <v>68344</v>
      </c>
      <c r="C3127" s="1205">
        <v>140.49</v>
      </c>
    </row>
    <row r="3128" spans="1:3" ht="24" customHeight="1">
      <c r="A3128" s="1205" t="s">
        <v>68343</v>
      </c>
      <c r="B3128" s="1205" t="s">
        <v>68342</v>
      </c>
      <c r="C3128" s="1205">
        <v>151.49</v>
      </c>
    </row>
    <row r="3129" spans="1:3" ht="24" customHeight="1">
      <c r="A3129" s="1205" t="s">
        <v>68341</v>
      </c>
      <c r="B3129" s="1205" t="s">
        <v>68340</v>
      </c>
      <c r="C3129" s="1205">
        <v>157.99</v>
      </c>
    </row>
    <row r="3130" spans="1:3" ht="24" customHeight="1">
      <c r="A3130" s="1205" t="s">
        <v>68339</v>
      </c>
      <c r="B3130" s="1205" t="s">
        <v>68338</v>
      </c>
      <c r="C3130" s="1205">
        <v>129.99</v>
      </c>
    </row>
    <row r="3131" spans="1:3" ht="24" customHeight="1">
      <c r="A3131" s="1205" t="s">
        <v>68337</v>
      </c>
      <c r="B3131" s="1205" t="s">
        <v>68336</v>
      </c>
      <c r="C3131" s="1205">
        <v>146.49</v>
      </c>
    </row>
    <row r="3132" spans="1:3" ht="24" customHeight="1">
      <c r="A3132" s="1205" t="s">
        <v>68335</v>
      </c>
      <c r="B3132" s="1205" t="s">
        <v>68334</v>
      </c>
      <c r="C3132" s="1205">
        <v>82.49</v>
      </c>
    </row>
    <row r="3133" spans="1:3" ht="24" customHeight="1">
      <c r="A3133" s="1205" t="s">
        <v>68333</v>
      </c>
      <c r="B3133" s="1205" t="s">
        <v>68332</v>
      </c>
      <c r="C3133" s="1205">
        <v>95.49</v>
      </c>
    </row>
    <row r="3134" spans="1:3" ht="24" customHeight="1">
      <c r="A3134" s="1205" t="s">
        <v>68331</v>
      </c>
      <c r="B3134" s="1205" t="s">
        <v>68330</v>
      </c>
      <c r="C3134" s="1205">
        <v>191.99</v>
      </c>
    </row>
    <row r="3135" spans="1:3" ht="24" customHeight="1">
      <c r="A3135" s="1205" t="s">
        <v>68329</v>
      </c>
      <c r="B3135" s="1205" t="s">
        <v>68328</v>
      </c>
      <c r="C3135" s="1205">
        <v>218.99</v>
      </c>
    </row>
    <row r="3136" spans="1:3" ht="24" customHeight="1">
      <c r="A3136" s="1205" t="s">
        <v>68327</v>
      </c>
      <c r="B3136" s="1205" t="s">
        <v>68326</v>
      </c>
      <c r="C3136" s="1205">
        <v>188.99</v>
      </c>
    </row>
    <row r="3137" spans="1:3" ht="24" customHeight="1">
      <c r="A3137" s="1205" t="s">
        <v>68325</v>
      </c>
      <c r="B3137" s="1205" t="s">
        <v>68324</v>
      </c>
      <c r="C3137" s="1205">
        <v>183.49</v>
      </c>
    </row>
    <row r="3138" spans="1:3" ht="24" customHeight="1">
      <c r="A3138" s="1205" t="s">
        <v>68323</v>
      </c>
      <c r="B3138" s="1205" t="s">
        <v>68322</v>
      </c>
      <c r="C3138" s="1205">
        <v>126.99</v>
      </c>
    </row>
    <row r="3139" spans="1:3" ht="24" customHeight="1">
      <c r="A3139" s="1205" t="s">
        <v>68321</v>
      </c>
      <c r="B3139" s="1205" t="s">
        <v>68320</v>
      </c>
      <c r="C3139" s="1205">
        <v>194.99</v>
      </c>
    </row>
    <row r="3140" spans="1:3" ht="24" customHeight="1">
      <c r="A3140" s="1205" t="s">
        <v>68319</v>
      </c>
      <c r="B3140" s="1205" t="s">
        <v>68318</v>
      </c>
      <c r="C3140" s="1205">
        <v>129.49</v>
      </c>
    </row>
    <row r="3141" spans="1:3" ht="24" customHeight="1">
      <c r="A3141" s="1205" t="s">
        <v>68317</v>
      </c>
      <c r="B3141" s="1205" t="s">
        <v>68316</v>
      </c>
      <c r="C3141" s="1205">
        <v>194.49</v>
      </c>
    </row>
    <row r="3142" spans="1:3" ht="24" customHeight="1">
      <c r="A3142" s="1205" t="s">
        <v>68315</v>
      </c>
      <c r="B3142" s="1205" t="s">
        <v>68314</v>
      </c>
      <c r="C3142" s="1205">
        <v>127.99</v>
      </c>
    </row>
    <row r="3143" spans="1:3" ht="24" customHeight="1">
      <c r="A3143" s="1205" t="s">
        <v>68313</v>
      </c>
      <c r="B3143" s="1205" t="s">
        <v>68312</v>
      </c>
      <c r="C3143" s="1205">
        <v>194.99</v>
      </c>
    </row>
    <row r="3144" spans="1:3" ht="24" customHeight="1">
      <c r="A3144" s="1205" t="s">
        <v>68311</v>
      </c>
      <c r="B3144" s="1205" t="s">
        <v>68310</v>
      </c>
      <c r="C3144" s="1205">
        <v>128.49</v>
      </c>
    </row>
    <row r="3145" spans="1:3" ht="24" customHeight="1">
      <c r="A3145" s="1205" t="s">
        <v>68309</v>
      </c>
      <c r="B3145" s="1205" t="s">
        <v>68308</v>
      </c>
      <c r="C3145" s="1205">
        <v>341.49</v>
      </c>
    </row>
    <row r="3146" spans="1:3" ht="24" customHeight="1">
      <c r="A3146" s="1205" t="s">
        <v>68307</v>
      </c>
      <c r="B3146" s="1205" t="s">
        <v>68306</v>
      </c>
      <c r="C3146" s="1205">
        <v>332.49</v>
      </c>
    </row>
    <row r="3147" spans="1:3" ht="24" customHeight="1">
      <c r="A3147" s="1205" t="s">
        <v>68305</v>
      </c>
      <c r="B3147" s="1205" t="s">
        <v>68304</v>
      </c>
      <c r="C3147" s="1205">
        <v>297.49</v>
      </c>
    </row>
    <row r="3148" spans="1:3" ht="24" customHeight="1">
      <c r="A3148" s="1205" t="s">
        <v>68303</v>
      </c>
      <c r="B3148" s="1205" t="s">
        <v>68301</v>
      </c>
      <c r="C3148" s="1205">
        <v>88.49</v>
      </c>
    </row>
    <row r="3149" spans="1:3" ht="24" customHeight="1">
      <c r="A3149" s="1205" t="s">
        <v>68302</v>
      </c>
      <c r="B3149" s="1205" t="s">
        <v>68301</v>
      </c>
      <c r="C3149" s="1205">
        <v>115.99</v>
      </c>
    </row>
    <row r="3150" spans="1:3" ht="24" customHeight="1">
      <c r="A3150" s="1205" t="s">
        <v>68300</v>
      </c>
      <c r="B3150" s="1205" t="s">
        <v>68299</v>
      </c>
      <c r="C3150" s="1205">
        <v>65.989999999999995</v>
      </c>
    </row>
    <row r="3151" spans="1:3" ht="24" customHeight="1">
      <c r="A3151" s="1205" t="s">
        <v>68298</v>
      </c>
      <c r="B3151" s="1205" t="s">
        <v>68297</v>
      </c>
      <c r="C3151" s="1205">
        <v>100.99</v>
      </c>
    </row>
    <row r="3152" spans="1:3" ht="24" customHeight="1">
      <c r="A3152" s="1205" t="s">
        <v>68296</v>
      </c>
      <c r="B3152" s="1205" t="s">
        <v>68295</v>
      </c>
      <c r="C3152" s="1205">
        <v>98.49</v>
      </c>
    </row>
    <row r="3153" spans="1:3" ht="24" customHeight="1">
      <c r="A3153" s="1205" t="s">
        <v>68294</v>
      </c>
      <c r="B3153" s="1205" t="s">
        <v>68293</v>
      </c>
      <c r="C3153" s="1205">
        <v>98.99</v>
      </c>
    </row>
    <row r="3154" spans="1:3" ht="24" customHeight="1">
      <c r="A3154" s="1205" t="s">
        <v>68292</v>
      </c>
      <c r="B3154" s="1205" t="s">
        <v>68291</v>
      </c>
      <c r="C3154" s="1205">
        <v>98.99</v>
      </c>
    </row>
    <row r="3155" spans="1:3" ht="24" customHeight="1">
      <c r="A3155" s="1205" t="s">
        <v>68290</v>
      </c>
      <c r="B3155" s="1205" t="s">
        <v>68289</v>
      </c>
      <c r="C3155" s="1205">
        <v>97.99</v>
      </c>
    </row>
    <row r="3156" spans="1:3" ht="24" customHeight="1">
      <c r="A3156" s="1205" t="s">
        <v>68288</v>
      </c>
      <c r="B3156" s="1205" t="s">
        <v>68287</v>
      </c>
      <c r="C3156" s="1205">
        <v>98.49</v>
      </c>
    </row>
    <row r="3157" spans="1:3" ht="24" customHeight="1">
      <c r="A3157" s="1205" t="s">
        <v>68286</v>
      </c>
      <c r="B3157" s="1205" t="s">
        <v>68285</v>
      </c>
      <c r="C3157" s="1205">
        <v>97.99</v>
      </c>
    </row>
    <row r="3158" spans="1:3" ht="24" customHeight="1">
      <c r="A3158" s="1205" t="s">
        <v>68284</v>
      </c>
      <c r="B3158" s="1205" t="s">
        <v>68283</v>
      </c>
      <c r="C3158" s="1205">
        <v>115.49</v>
      </c>
    </row>
    <row r="3159" spans="1:3" ht="24" customHeight="1">
      <c r="A3159" s="1205" t="s">
        <v>68282</v>
      </c>
      <c r="B3159" s="1205" t="s">
        <v>68281</v>
      </c>
      <c r="C3159" s="1205">
        <v>101.49</v>
      </c>
    </row>
    <row r="3160" spans="1:3" ht="24" customHeight="1">
      <c r="A3160" s="1205" t="s">
        <v>68280</v>
      </c>
      <c r="B3160" s="1205" t="s">
        <v>68279</v>
      </c>
      <c r="C3160" s="1205">
        <v>97.49</v>
      </c>
    </row>
    <row r="3161" spans="1:3" ht="24" customHeight="1">
      <c r="A3161" s="1205" t="s">
        <v>68278</v>
      </c>
      <c r="B3161" s="1205" t="s">
        <v>68277</v>
      </c>
      <c r="C3161" s="1205">
        <v>101.49</v>
      </c>
    </row>
    <row r="3162" spans="1:3" ht="24" customHeight="1">
      <c r="A3162" s="1205" t="s">
        <v>68276</v>
      </c>
      <c r="B3162" s="1205" t="s">
        <v>68275</v>
      </c>
      <c r="C3162" s="1205">
        <v>97.99</v>
      </c>
    </row>
    <row r="3163" spans="1:3" ht="24" customHeight="1">
      <c r="A3163" s="1205" t="s">
        <v>68274</v>
      </c>
      <c r="B3163" s="1205" t="s">
        <v>68273</v>
      </c>
      <c r="C3163" s="1205">
        <v>103.49</v>
      </c>
    </row>
    <row r="3164" spans="1:3" ht="24" customHeight="1">
      <c r="A3164" s="1205" t="s">
        <v>68272</v>
      </c>
      <c r="B3164" s="1205" t="s">
        <v>68271</v>
      </c>
      <c r="C3164" s="1205">
        <v>100.49</v>
      </c>
    </row>
    <row r="3165" spans="1:3" ht="24" customHeight="1">
      <c r="A3165" s="1205" t="s">
        <v>68270</v>
      </c>
      <c r="B3165" s="1205" t="s">
        <v>68269</v>
      </c>
      <c r="C3165" s="1205">
        <v>99.49</v>
      </c>
    </row>
    <row r="3166" spans="1:3" ht="24" customHeight="1">
      <c r="A3166" s="1205" t="s">
        <v>68268</v>
      </c>
      <c r="B3166" s="1205" t="s">
        <v>68267</v>
      </c>
      <c r="C3166" s="1205">
        <v>102.99</v>
      </c>
    </row>
    <row r="3167" spans="1:3" ht="24" customHeight="1">
      <c r="A3167" s="1205" t="s">
        <v>68266</v>
      </c>
      <c r="B3167" s="1205" t="s">
        <v>68265</v>
      </c>
      <c r="C3167" s="1205">
        <v>97.99</v>
      </c>
    </row>
    <row r="3168" spans="1:3" ht="24" customHeight="1">
      <c r="A3168" s="1205" t="s">
        <v>68264</v>
      </c>
      <c r="B3168" s="1205" t="s">
        <v>68263</v>
      </c>
      <c r="C3168" s="1205">
        <v>100.99</v>
      </c>
    </row>
    <row r="3169" spans="1:3" ht="24" customHeight="1">
      <c r="A3169" s="1205" t="s">
        <v>68262</v>
      </c>
      <c r="B3169" s="1205" t="s">
        <v>68261</v>
      </c>
      <c r="C3169" s="1205">
        <v>97.49</v>
      </c>
    </row>
    <row r="3170" spans="1:3" ht="24" customHeight="1">
      <c r="A3170" s="1205" t="s">
        <v>68260</v>
      </c>
      <c r="B3170" s="1205" t="s">
        <v>68259</v>
      </c>
      <c r="C3170" s="1205">
        <v>102.49</v>
      </c>
    </row>
    <row r="3171" spans="1:3" ht="24" customHeight="1">
      <c r="A3171" s="1205" t="s">
        <v>68258</v>
      </c>
      <c r="B3171" s="1205" t="s">
        <v>68257</v>
      </c>
      <c r="C3171" s="1205">
        <v>104.99</v>
      </c>
    </row>
    <row r="3172" spans="1:3" ht="24" customHeight="1">
      <c r="A3172" s="1205" t="s">
        <v>68256</v>
      </c>
      <c r="B3172" s="1205" t="s">
        <v>68255</v>
      </c>
      <c r="C3172" s="1205">
        <v>113.49</v>
      </c>
    </row>
    <row r="3173" spans="1:3" ht="24" customHeight="1">
      <c r="A3173" s="1205" t="s">
        <v>68254</v>
      </c>
      <c r="B3173" s="1205" t="s">
        <v>68253</v>
      </c>
      <c r="C3173" s="1205">
        <v>99.99</v>
      </c>
    </row>
    <row r="3174" spans="1:3" ht="24" customHeight="1">
      <c r="A3174" s="1205" t="s">
        <v>68252</v>
      </c>
      <c r="B3174" s="1205" t="s">
        <v>68251</v>
      </c>
      <c r="C3174" s="1205">
        <v>143.99</v>
      </c>
    </row>
    <row r="3175" spans="1:3" ht="24" customHeight="1">
      <c r="A3175" s="1205" t="s">
        <v>68250</v>
      </c>
      <c r="B3175" s="1205" t="s">
        <v>68249</v>
      </c>
      <c r="C3175" s="1205">
        <v>107.49</v>
      </c>
    </row>
    <row r="3176" spans="1:3" ht="24" customHeight="1">
      <c r="A3176" s="1205" t="s">
        <v>68248</v>
      </c>
      <c r="B3176" s="1205" t="s">
        <v>68247</v>
      </c>
      <c r="C3176" s="1205">
        <v>61.49</v>
      </c>
    </row>
    <row r="3177" spans="1:3" ht="24" customHeight="1">
      <c r="A3177" s="1205" t="s">
        <v>68246</v>
      </c>
      <c r="B3177" s="1205" t="s">
        <v>68245</v>
      </c>
      <c r="C3177" s="1205">
        <v>115.49</v>
      </c>
    </row>
    <row r="3178" spans="1:3" ht="24" customHeight="1">
      <c r="A3178" s="1205" t="s">
        <v>68244</v>
      </c>
      <c r="B3178" s="1205" t="s">
        <v>68243</v>
      </c>
      <c r="C3178" s="1205">
        <v>97.99</v>
      </c>
    </row>
    <row r="3179" spans="1:3" ht="24" customHeight="1">
      <c r="A3179" s="1205" t="s">
        <v>68242</v>
      </c>
      <c r="B3179" s="1205" t="s">
        <v>68241</v>
      </c>
      <c r="C3179" s="1205">
        <v>114.99</v>
      </c>
    </row>
    <row r="3180" spans="1:3" ht="24" customHeight="1">
      <c r="A3180" s="1205" t="s">
        <v>68240</v>
      </c>
      <c r="B3180" s="1205" t="s">
        <v>68239</v>
      </c>
      <c r="C3180" s="1205">
        <v>112.99</v>
      </c>
    </row>
    <row r="3181" spans="1:3" ht="24" customHeight="1">
      <c r="A3181" s="1205" t="s">
        <v>68238</v>
      </c>
      <c r="B3181" s="1205" t="s">
        <v>68237</v>
      </c>
      <c r="C3181" s="1205">
        <v>111.99</v>
      </c>
    </row>
    <row r="3182" spans="1:3" ht="24" customHeight="1">
      <c r="A3182" s="1205" t="s">
        <v>68236</v>
      </c>
      <c r="B3182" s="1205" t="s">
        <v>68235</v>
      </c>
      <c r="C3182" s="1205">
        <v>61.99</v>
      </c>
    </row>
    <row r="3183" spans="1:3" ht="24" customHeight="1">
      <c r="A3183" s="1205" t="s">
        <v>68234</v>
      </c>
      <c r="B3183" s="1205" t="s">
        <v>68233</v>
      </c>
      <c r="C3183" s="1205">
        <v>269.49</v>
      </c>
    </row>
    <row r="3184" spans="1:3" ht="24" customHeight="1">
      <c r="A3184" s="1205" t="s">
        <v>68232</v>
      </c>
      <c r="B3184" s="1205" t="s">
        <v>68231</v>
      </c>
      <c r="C3184" s="1205">
        <v>87.99</v>
      </c>
    </row>
    <row r="3185" spans="1:3" ht="24" customHeight="1">
      <c r="A3185" s="1205" t="s">
        <v>68230</v>
      </c>
      <c r="B3185" s="1205" t="s">
        <v>68229</v>
      </c>
      <c r="C3185" s="1205">
        <v>333.99</v>
      </c>
    </row>
    <row r="3186" spans="1:3" ht="24" customHeight="1">
      <c r="A3186" s="1205" t="s">
        <v>68228</v>
      </c>
      <c r="B3186" s="1205" t="s">
        <v>68227</v>
      </c>
      <c r="C3186" s="1205">
        <v>230.99</v>
      </c>
    </row>
    <row r="3187" spans="1:3" ht="24" customHeight="1">
      <c r="A3187" s="1205" t="s">
        <v>68226</v>
      </c>
      <c r="B3187" s="1205" t="s">
        <v>68225</v>
      </c>
      <c r="C3187" s="1205">
        <v>218.99</v>
      </c>
    </row>
    <row r="3188" spans="1:3" ht="24" customHeight="1">
      <c r="A3188" s="1205" t="s">
        <v>68224</v>
      </c>
      <c r="B3188" s="1205" t="s">
        <v>68223</v>
      </c>
      <c r="C3188" s="1205">
        <v>150.99</v>
      </c>
    </row>
    <row r="3189" spans="1:3" ht="24" customHeight="1">
      <c r="A3189" s="1205" t="s">
        <v>68222</v>
      </c>
      <c r="B3189" s="1205" t="s">
        <v>68221</v>
      </c>
      <c r="C3189" s="1205">
        <v>286.49</v>
      </c>
    </row>
    <row r="3190" spans="1:3" ht="24" customHeight="1">
      <c r="A3190" s="1205" t="s">
        <v>68220</v>
      </c>
      <c r="B3190" s="1205" t="s">
        <v>68219</v>
      </c>
      <c r="C3190" s="1205">
        <v>233.49</v>
      </c>
    </row>
    <row r="3191" spans="1:3" ht="24" customHeight="1">
      <c r="A3191" s="1205" t="s">
        <v>68218</v>
      </c>
      <c r="B3191" s="1205" t="s">
        <v>68217</v>
      </c>
      <c r="C3191" s="1205">
        <v>221.49</v>
      </c>
    </row>
    <row r="3192" spans="1:3" ht="24" customHeight="1">
      <c r="A3192" s="1205" t="s">
        <v>68216</v>
      </c>
      <c r="B3192" s="1205" t="s">
        <v>68215</v>
      </c>
      <c r="C3192" s="1205">
        <v>153.49</v>
      </c>
    </row>
    <row r="3193" spans="1:3" ht="24" customHeight="1">
      <c r="A3193" s="1205" t="s">
        <v>68214</v>
      </c>
      <c r="B3193" s="1205" t="s">
        <v>68213</v>
      </c>
      <c r="C3193" s="1205">
        <v>44.99</v>
      </c>
    </row>
    <row r="3194" spans="1:3" ht="24" customHeight="1">
      <c r="A3194" s="1205" t="s">
        <v>68212</v>
      </c>
      <c r="B3194" s="1205" t="s">
        <v>68211</v>
      </c>
      <c r="C3194" s="1205">
        <v>58.99</v>
      </c>
    </row>
    <row r="3195" spans="1:3" ht="24" customHeight="1">
      <c r="A3195" s="1205" t="s">
        <v>68210</v>
      </c>
      <c r="B3195" s="1205" t="s">
        <v>68209</v>
      </c>
      <c r="C3195" s="1205">
        <v>90.49</v>
      </c>
    </row>
    <row r="3196" spans="1:3" ht="24" customHeight="1">
      <c r="A3196" s="1205" t="s">
        <v>68208</v>
      </c>
      <c r="B3196" s="1205" t="s">
        <v>68207</v>
      </c>
      <c r="C3196" s="1205">
        <v>16.989999999999998</v>
      </c>
    </row>
    <row r="3197" spans="1:3" ht="24" customHeight="1">
      <c r="A3197" s="1205" t="s">
        <v>68206</v>
      </c>
      <c r="B3197" s="1205" t="s">
        <v>68205</v>
      </c>
      <c r="C3197" s="1205">
        <v>69.989999999999995</v>
      </c>
    </row>
    <row r="3198" spans="1:3" ht="24" customHeight="1">
      <c r="A3198" s="1205" t="s">
        <v>68204</v>
      </c>
      <c r="B3198" s="1205" t="s">
        <v>68203</v>
      </c>
      <c r="C3198" s="1205">
        <v>41.99</v>
      </c>
    </row>
    <row r="3199" spans="1:3" ht="24" customHeight="1">
      <c r="A3199" s="1205" t="s">
        <v>68202</v>
      </c>
      <c r="B3199" s="1205" t="s">
        <v>68201</v>
      </c>
      <c r="C3199" s="1205">
        <v>30.49</v>
      </c>
    </row>
    <row r="3200" spans="1:3" ht="24" customHeight="1">
      <c r="A3200" s="1205" t="s">
        <v>68200</v>
      </c>
      <c r="B3200" s="1205" t="s">
        <v>68199</v>
      </c>
      <c r="C3200" s="1205">
        <v>60.99</v>
      </c>
    </row>
    <row r="3201" spans="1:3" ht="24" customHeight="1">
      <c r="A3201" s="1205" t="s">
        <v>68198</v>
      </c>
      <c r="B3201" s="1205" t="s">
        <v>68197</v>
      </c>
      <c r="C3201" s="1205">
        <v>21.49</v>
      </c>
    </row>
    <row r="3202" spans="1:3" ht="24" customHeight="1">
      <c r="A3202" s="1205" t="s">
        <v>68196</v>
      </c>
      <c r="B3202" s="1205" t="s">
        <v>68195</v>
      </c>
      <c r="C3202" s="1205">
        <v>50.99</v>
      </c>
    </row>
    <row r="3203" spans="1:3" ht="24" customHeight="1">
      <c r="A3203" s="1205" t="s">
        <v>68194</v>
      </c>
      <c r="B3203" s="1205" t="s">
        <v>68193</v>
      </c>
      <c r="C3203" s="1205">
        <v>37.49</v>
      </c>
    </row>
    <row r="3204" spans="1:3" ht="24" customHeight="1">
      <c r="A3204" s="1205" t="s">
        <v>68192</v>
      </c>
      <c r="B3204" s="1205" t="s">
        <v>68191</v>
      </c>
      <c r="C3204" s="1205">
        <v>9.99</v>
      </c>
    </row>
    <row r="3205" spans="1:3" ht="24" customHeight="1">
      <c r="A3205" s="1205" t="s">
        <v>68190</v>
      </c>
      <c r="B3205" s="1205" t="s">
        <v>68189</v>
      </c>
      <c r="C3205" s="1205">
        <v>42.49</v>
      </c>
    </row>
    <row r="3206" spans="1:3" ht="24" customHeight="1">
      <c r="A3206" s="1205" t="s">
        <v>68188</v>
      </c>
      <c r="B3206" s="1205" t="s">
        <v>68187</v>
      </c>
      <c r="C3206" s="1205">
        <v>20.99</v>
      </c>
    </row>
    <row r="3207" spans="1:3" ht="24" customHeight="1">
      <c r="A3207" s="1205" t="s">
        <v>68186</v>
      </c>
      <c r="B3207" s="1205" t="s">
        <v>68185</v>
      </c>
      <c r="C3207" s="1205">
        <v>133.49</v>
      </c>
    </row>
    <row r="3208" spans="1:3" ht="24" customHeight="1">
      <c r="A3208" s="1205" t="s">
        <v>68184</v>
      </c>
      <c r="B3208" s="1205" t="s">
        <v>68183</v>
      </c>
      <c r="C3208" s="1205">
        <v>97.49</v>
      </c>
    </row>
    <row r="3209" spans="1:3" ht="24" customHeight="1">
      <c r="A3209" s="1205" t="s">
        <v>68182</v>
      </c>
      <c r="B3209" s="1205" t="s">
        <v>68181</v>
      </c>
      <c r="C3209" s="1205">
        <v>1342.49</v>
      </c>
    </row>
    <row r="3210" spans="1:3" ht="24" customHeight="1">
      <c r="A3210" s="1205" t="s">
        <v>68180</v>
      </c>
      <c r="B3210" s="1205" t="s">
        <v>68179</v>
      </c>
      <c r="C3210" s="1205">
        <v>59.99</v>
      </c>
    </row>
    <row r="3211" spans="1:3" ht="24" customHeight="1">
      <c r="A3211" s="1205" t="s">
        <v>68178</v>
      </c>
      <c r="B3211" s="1205" t="s">
        <v>68177</v>
      </c>
      <c r="C3211" s="1205">
        <v>56.99</v>
      </c>
    </row>
    <row r="3212" spans="1:3" ht="24" customHeight="1">
      <c r="A3212" s="1205" t="s">
        <v>68176</v>
      </c>
      <c r="B3212" s="1205" t="s">
        <v>68175</v>
      </c>
      <c r="C3212" s="1205">
        <v>72.989999999999995</v>
      </c>
    </row>
    <row r="3213" spans="1:3" ht="24" customHeight="1">
      <c r="A3213" s="1205" t="s">
        <v>68174</v>
      </c>
      <c r="B3213" s="1205" t="s">
        <v>68173</v>
      </c>
      <c r="C3213" s="1205">
        <v>34.49</v>
      </c>
    </row>
    <row r="3214" spans="1:3" ht="24" customHeight="1">
      <c r="A3214" s="1205" t="s">
        <v>68172</v>
      </c>
      <c r="B3214" s="1205" t="s">
        <v>68171</v>
      </c>
      <c r="C3214" s="1205">
        <v>61.99</v>
      </c>
    </row>
    <row r="3215" spans="1:3" ht="24" customHeight="1">
      <c r="A3215" s="1205" t="s">
        <v>68170</v>
      </c>
      <c r="B3215" s="1205" t="s">
        <v>68169</v>
      </c>
      <c r="C3215" s="1205">
        <v>58.49</v>
      </c>
    </row>
    <row r="3216" spans="1:3" ht="24" customHeight="1">
      <c r="A3216" s="1205" t="s">
        <v>68168</v>
      </c>
      <c r="B3216" s="1205" t="s">
        <v>68167</v>
      </c>
      <c r="C3216" s="1205">
        <v>71.489999999999995</v>
      </c>
    </row>
    <row r="3217" spans="1:3" ht="24" customHeight="1">
      <c r="A3217" s="1205" t="s">
        <v>68166</v>
      </c>
      <c r="B3217" s="1205" t="s">
        <v>68165</v>
      </c>
      <c r="C3217" s="1205">
        <v>78.489999999999995</v>
      </c>
    </row>
    <row r="3218" spans="1:3" ht="24" customHeight="1">
      <c r="A3218" s="1205" t="s">
        <v>68164</v>
      </c>
      <c r="B3218" s="1205" t="s">
        <v>68163</v>
      </c>
      <c r="C3218" s="1205">
        <v>4.99</v>
      </c>
    </row>
    <row r="3219" spans="1:3" ht="24" customHeight="1">
      <c r="A3219" s="1205" t="s">
        <v>68162</v>
      </c>
      <c r="B3219" s="1205" t="s">
        <v>68161</v>
      </c>
      <c r="C3219" s="1205">
        <v>80.489999999999995</v>
      </c>
    </row>
    <row r="3220" spans="1:3" ht="24" customHeight="1">
      <c r="A3220" s="1205" t="s">
        <v>68160</v>
      </c>
      <c r="B3220" s="1205" t="s">
        <v>68159</v>
      </c>
      <c r="C3220" s="1205">
        <v>81.489999999999995</v>
      </c>
    </row>
    <row r="3221" spans="1:3" ht="24" customHeight="1">
      <c r="A3221" s="1205" t="s">
        <v>68158</v>
      </c>
      <c r="B3221" s="1205" t="s">
        <v>68157</v>
      </c>
      <c r="C3221" s="1205">
        <v>81.489999999999995</v>
      </c>
    </row>
    <row r="3222" spans="1:3" ht="24" customHeight="1">
      <c r="A3222" s="1205" t="s">
        <v>68156</v>
      </c>
      <c r="B3222" s="1205" t="s">
        <v>68155</v>
      </c>
      <c r="C3222" s="1205">
        <v>70.989999999999995</v>
      </c>
    </row>
    <row r="3223" spans="1:3" ht="24" customHeight="1">
      <c r="A3223" s="1205" t="s">
        <v>68154</v>
      </c>
      <c r="B3223" s="1205" t="s">
        <v>68153</v>
      </c>
      <c r="C3223" s="1205">
        <v>104.49</v>
      </c>
    </row>
    <row r="3224" spans="1:3" ht="24" customHeight="1">
      <c r="A3224" s="1205" t="s">
        <v>68152</v>
      </c>
      <c r="B3224" s="1205" t="s">
        <v>68151</v>
      </c>
      <c r="C3224" s="1205">
        <v>136.49</v>
      </c>
    </row>
    <row r="3225" spans="1:3" ht="24" customHeight="1">
      <c r="A3225" s="1205" t="s">
        <v>68150</v>
      </c>
      <c r="B3225" s="1205" t="s">
        <v>68148</v>
      </c>
      <c r="C3225" s="1205">
        <v>83.49</v>
      </c>
    </row>
    <row r="3226" spans="1:3" ht="24" customHeight="1">
      <c r="A3226" s="1205" t="s">
        <v>68149</v>
      </c>
      <c r="B3226" s="1205" t="s">
        <v>68148</v>
      </c>
      <c r="C3226" s="1205">
        <v>86.49</v>
      </c>
    </row>
    <row r="3227" spans="1:3" ht="24" customHeight="1">
      <c r="A3227" s="1205" t="s">
        <v>68147</v>
      </c>
      <c r="B3227" s="1205" t="s">
        <v>68146</v>
      </c>
      <c r="C3227" s="1205">
        <v>130.99</v>
      </c>
    </row>
    <row r="3228" spans="1:3" ht="24" customHeight="1">
      <c r="A3228" s="1205" t="s">
        <v>68145</v>
      </c>
      <c r="B3228" s="1205" t="s">
        <v>68144</v>
      </c>
      <c r="C3228" s="1205">
        <v>81.489999999999995</v>
      </c>
    </row>
    <row r="3229" spans="1:3" ht="24" customHeight="1">
      <c r="A3229" s="1205" t="s">
        <v>68143</v>
      </c>
      <c r="B3229" s="1205" t="s">
        <v>68142</v>
      </c>
      <c r="C3229" s="1205">
        <v>105.49</v>
      </c>
    </row>
    <row r="3230" spans="1:3" ht="24" customHeight="1">
      <c r="A3230" s="1205" t="s">
        <v>68141</v>
      </c>
      <c r="B3230" s="1205" t="s">
        <v>68140</v>
      </c>
      <c r="C3230" s="1205">
        <v>102.99</v>
      </c>
    </row>
    <row r="3231" spans="1:3" ht="24" customHeight="1">
      <c r="A3231" s="1205" t="s">
        <v>68139</v>
      </c>
      <c r="B3231" s="1205" t="s">
        <v>68138</v>
      </c>
      <c r="C3231" s="1205">
        <v>135.49</v>
      </c>
    </row>
    <row r="3232" spans="1:3" ht="24" customHeight="1">
      <c r="A3232" s="1205" t="s">
        <v>68137</v>
      </c>
      <c r="B3232" s="1205" t="s">
        <v>68136</v>
      </c>
      <c r="C3232" s="1205">
        <v>87.99</v>
      </c>
    </row>
    <row r="3233" spans="1:3" ht="24" customHeight="1">
      <c r="A3233" s="1205" t="s">
        <v>68135</v>
      </c>
      <c r="B3233" s="1205" t="s">
        <v>68134</v>
      </c>
      <c r="C3233" s="1205">
        <v>122.49</v>
      </c>
    </row>
    <row r="3234" spans="1:3" ht="24" customHeight="1">
      <c r="A3234" s="1205" t="s">
        <v>68133</v>
      </c>
      <c r="B3234" s="1205" t="s">
        <v>68132</v>
      </c>
      <c r="C3234" s="1205">
        <v>172.49</v>
      </c>
    </row>
    <row r="3235" spans="1:3" ht="24" customHeight="1">
      <c r="A3235" s="1205" t="s">
        <v>68131</v>
      </c>
      <c r="B3235" s="1205" t="s">
        <v>68130</v>
      </c>
      <c r="C3235" s="1205">
        <v>139.49</v>
      </c>
    </row>
    <row r="3236" spans="1:3" ht="24" customHeight="1">
      <c r="A3236" s="1205" t="s">
        <v>68129</v>
      </c>
      <c r="B3236" s="1205" t="s">
        <v>68128</v>
      </c>
      <c r="C3236" s="1205">
        <v>90.99</v>
      </c>
    </row>
    <row r="3237" spans="1:3" ht="24" customHeight="1">
      <c r="A3237" s="1205" t="s">
        <v>68127</v>
      </c>
      <c r="B3237" s="1205" t="s">
        <v>68126</v>
      </c>
      <c r="C3237" s="1205">
        <v>65.989999999999995</v>
      </c>
    </row>
    <row r="3238" spans="1:3" ht="24" customHeight="1">
      <c r="A3238" s="1205" t="s">
        <v>68125</v>
      </c>
      <c r="B3238" s="1205" t="s">
        <v>68124</v>
      </c>
      <c r="C3238" s="1205">
        <v>64.489999999999995</v>
      </c>
    </row>
    <row r="3239" spans="1:3" ht="24" customHeight="1">
      <c r="A3239" s="1205" t="s">
        <v>68123</v>
      </c>
      <c r="B3239" s="1205" t="s">
        <v>68122</v>
      </c>
      <c r="C3239" s="1205">
        <v>65.489999999999995</v>
      </c>
    </row>
    <row r="3240" spans="1:3" ht="24" customHeight="1">
      <c r="A3240" s="1205" t="s">
        <v>68121</v>
      </c>
      <c r="B3240" s="1205" t="s">
        <v>68120</v>
      </c>
      <c r="C3240" s="1205">
        <v>64.989999999999995</v>
      </c>
    </row>
    <row r="3241" spans="1:3" ht="24" customHeight="1">
      <c r="A3241" s="1205" t="s">
        <v>68119</v>
      </c>
      <c r="B3241" s="1205" t="s">
        <v>68118</v>
      </c>
      <c r="C3241" s="1205">
        <v>137.99</v>
      </c>
    </row>
    <row r="3242" spans="1:3" ht="24" customHeight="1">
      <c r="A3242" s="1205" t="s">
        <v>68117</v>
      </c>
      <c r="B3242" s="1205" t="s">
        <v>68116</v>
      </c>
      <c r="C3242" s="1205">
        <v>91.49</v>
      </c>
    </row>
    <row r="3243" spans="1:3" ht="24" customHeight="1">
      <c r="A3243" s="1205" t="s">
        <v>68115</v>
      </c>
      <c r="B3243" s="1205" t="s">
        <v>68114</v>
      </c>
      <c r="C3243" s="1205">
        <v>154.99</v>
      </c>
    </row>
    <row r="3244" spans="1:3" ht="24" customHeight="1">
      <c r="A3244" s="1205" t="s">
        <v>68113</v>
      </c>
      <c r="B3244" s="1205" t="s">
        <v>68112</v>
      </c>
      <c r="C3244" s="1205">
        <v>137.99</v>
      </c>
    </row>
    <row r="3245" spans="1:3" ht="24" customHeight="1">
      <c r="A3245" s="1205" t="s">
        <v>68111</v>
      </c>
      <c r="B3245" s="1205" t="s">
        <v>68110</v>
      </c>
      <c r="C3245" s="1205">
        <v>91.49</v>
      </c>
    </row>
    <row r="3246" spans="1:3" ht="24" customHeight="1">
      <c r="A3246" s="1205" t="s">
        <v>68109</v>
      </c>
      <c r="B3246" s="1205" t="s">
        <v>68108</v>
      </c>
      <c r="C3246" s="1205">
        <v>155.49</v>
      </c>
    </row>
    <row r="3247" spans="1:3" ht="24" customHeight="1">
      <c r="A3247" s="1205" t="s">
        <v>68107</v>
      </c>
      <c r="B3247" s="1205" t="s">
        <v>68106</v>
      </c>
      <c r="C3247" s="1205">
        <v>93.99</v>
      </c>
    </row>
    <row r="3248" spans="1:3" ht="24" customHeight="1">
      <c r="A3248" s="1205" t="s">
        <v>68105</v>
      </c>
      <c r="B3248" s="1205" t="s">
        <v>68104</v>
      </c>
      <c r="C3248" s="1205">
        <v>109.99</v>
      </c>
    </row>
    <row r="3249" spans="1:3" ht="24" customHeight="1">
      <c r="A3249" s="1205" t="s">
        <v>68103</v>
      </c>
      <c r="B3249" s="1205" t="s">
        <v>68102</v>
      </c>
      <c r="C3249" s="1205">
        <v>69.489999999999995</v>
      </c>
    </row>
    <row r="3250" spans="1:3" ht="24" customHeight="1">
      <c r="A3250" s="1205" t="s">
        <v>68101</v>
      </c>
      <c r="B3250" s="1205" t="s">
        <v>68100</v>
      </c>
      <c r="C3250" s="1205">
        <v>84.99</v>
      </c>
    </row>
    <row r="3251" spans="1:3" ht="24" customHeight="1">
      <c r="A3251" s="1205" t="s">
        <v>68099</v>
      </c>
      <c r="B3251" s="1205" t="s">
        <v>68098</v>
      </c>
      <c r="C3251" s="1205">
        <v>88.99</v>
      </c>
    </row>
    <row r="3252" spans="1:3" ht="24" customHeight="1">
      <c r="A3252" s="1205" t="s">
        <v>68097</v>
      </c>
      <c r="B3252" s="1205" t="s">
        <v>68096</v>
      </c>
      <c r="C3252" s="1205">
        <v>48.49</v>
      </c>
    </row>
    <row r="3253" spans="1:3" ht="24" customHeight="1">
      <c r="A3253" s="1205" t="s">
        <v>68095</v>
      </c>
      <c r="B3253" s="1205" t="s">
        <v>68094</v>
      </c>
      <c r="C3253" s="1205">
        <v>63.99</v>
      </c>
    </row>
    <row r="3254" spans="1:3" ht="24" customHeight="1">
      <c r="A3254" s="1205" t="s">
        <v>68093</v>
      </c>
      <c r="B3254" s="1205" t="s">
        <v>68092</v>
      </c>
      <c r="C3254" s="1205">
        <v>45.49</v>
      </c>
    </row>
    <row r="3255" spans="1:3" ht="24" customHeight="1">
      <c r="A3255" s="1205" t="s">
        <v>68091</v>
      </c>
      <c r="B3255" s="1205" t="s">
        <v>68090</v>
      </c>
      <c r="C3255" s="1205">
        <v>48.99</v>
      </c>
    </row>
    <row r="3256" spans="1:3" ht="24" customHeight="1">
      <c r="A3256" s="1205" t="s">
        <v>68089</v>
      </c>
      <c r="B3256" s="1205" t="s">
        <v>68088</v>
      </c>
      <c r="C3256" s="1205">
        <v>64.989999999999995</v>
      </c>
    </row>
    <row r="3257" spans="1:3" ht="24" customHeight="1">
      <c r="A3257" s="1205" t="s">
        <v>68087</v>
      </c>
      <c r="B3257" s="1205" t="s">
        <v>68086</v>
      </c>
      <c r="C3257" s="1205">
        <v>42.99</v>
      </c>
    </row>
    <row r="3258" spans="1:3" ht="24" customHeight="1">
      <c r="A3258" s="1205" t="s">
        <v>68085</v>
      </c>
      <c r="B3258" s="1205" t="s">
        <v>68084</v>
      </c>
      <c r="C3258" s="1205">
        <v>59.99</v>
      </c>
    </row>
    <row r="3259" spans="1:3" ht="24" customHeight="1">
      <c r="A3259" s="1205" t="s">
        <v>68083</v>
      </c>
      <c r="B3259" s="1205" t="s">
        <v>68082</v>
      </c>
      <c r="C3259" s="1205">
        <v>47.99</v>
      </c>
    </row>
    <row r="3260" spans="1:3" ht="24" customHeight="1">
      <c r="A3260" s="1205" t="s">
        <v>68081</v>
      </c>
      <c r="B3260" s="1205" t="s">
        <v>68080</v>
      </c>
      <c r="C3260" s="1205">
        <v>54.99</v>
      </c>
    </row>
    <row r="3261" spans="1:3" ht="24" customHeight="1">
      <c r="A3261" s="1205" t="s">
        <v>68079</v>
      </c>
      <c r="B3261" s="1205" t="s">
        <v>68078</v>
      </c>
      <c r="C3261" s="1205">
        <v>60.99</v>
      </c>
    </row>
    <row r="3262" spans="1:3" ht="24" customHeight="1">
      <c r="A3262" s="1205" t="s">
        <v>68077</v>
      </c>
      <c r="B3262" s="1205" t="s">
        <v>68076</v>
      </c>
      <c r="C3262" s="1205">
        <v>62.99</v>
      </c>
    </row>
    <row r="3263" spans="1:3" ht="24" customHeight="1">
      <c r="A3263" s="1205" t="s">
        <v>68075</v>
      </c>
      <c r="B3263" s="1205" t="s">
        <v>68074</v>
      </c>
      <c r="C3263" s="1205">
        <v>45.49</v>
      </c>
    </row>
    <row r="3264" spans="1:3" ht="24" customHeight="1">
      <c r="A3264" s="1205" t="s">
        <v>68073</v>
      </c>
      <c r="B3264" s="1205" t="s">
        <v>68072</v>
      </c>
      <c r="C3264" s="1205">
        <v>55.99</v>
      </c>
    </row>
    <row r="3265" spans="1:3" ht="24" customHeight="1">
      <c r="A3265" s="1205" t="s">
        <v>68071</v>
      </c>
      <c r="B3265" s="1205" t="s">
        <v>68070</v>
      </c>
      <c r="C3265" s="1205">
        <v>49.99</v>
      </c>
    </row>
    <row r="3266" spans="1:3" ht="24" customHeight="1">
      <c r="A3266" s="1205" t="s">
        <v>68069</v>
      </c>
      <c r="B3266" s="1205" t="s">
        <v>68068</v>
      </c>
      <c r="C3266" s="1205">
        <v>43.49</v>
      </c>
    </row>
    <row r="3267" spans="1:3" ht="24" customHeight="1">
      <c r="A3267" s="1205" t="s">
        <v>68067</v>
      </c>
      <c r="B3267" s="1205" t="s">
        <v>68066</v>
      </c>
      <c r="C3267" s="1205">
        <v>71.989999999999995</v>
      </c>
    </row>
    <row r="3268" spans="1:3" ht="24" customHeight="1">
      <c r="A3268" s="1205" t="s">
        <v>68065</v>
      </c>
      <c r="B3268" s="1205" t="s">
        <v>68064</v>
      </c>
      <c r="C3268" s="1205">
        <v>69.989999999999995</v>
      </c>
    </row>
    <row r="3269" spans="1:3" ht="24" customHeight="1">
      <c r="A3269" s="1205" t="s">
        <v>68063</v>
      </c>
      <c r="B3269" s="1205" t="s">
        <v>68062</v>
      </c>
      <c r="C3269" s="1205">
        <v>50.49</v>
      </c>
    </row>
    <row r="3270" spans="1:3" ht="24" customHeight="1">
      <c r="A3270" s="1205" t="s">
        <v>68061</v>
      </c>
      <c r="B3270" s="1205" t="s">
        <v>68060</v>
      </c>
      <c r="C3270" s="1205">
        <v>60.49</v>
      </c>
    </row>
    <row r="3271" spans="1:3" ht="24" customHeight="1">
      <c r="A3271" s="1205" t="s">
        <v>68059</v>
      </c>
      <c r="B3271" s="1205" t="s">
        <v>68058</v>
      </c>
      <c r="C3271" s="1205">
        <v>56.99</v>
      </c>
    </row>
    <row r="3272" spans="1:3" ht="24" customHeight="1">
      <c r="A3272" s="1205" t="s">
        <v>68057</v>
      </c>
      <c r="B3272" s="1205" t="s">
        <v>68056</v>
      </c>
      <c r="C3272" s="1205">
        <v>53.49</v>
      </c>
    </row>
    <row r="3273" spans="1:3" ht="24" customHeight="1">
      <c r="A3273" s="1205" t="s">
        <v>68055</v>
      </c>
      <c r="B3273" s="1205" t="s">
        <v>68054</v>
      </c>
      <c r="C3273" s="1205">
        <v>40.99</v>
      </c>
    </row>
    <row r="3274" spans="1:3" ht="24" customHeight="1">
      <c r="A3274" s="1205" t="s">
        <v>68053</v>
      </c>
      <c r="B3274" s="1205" t="s">
        <v>68052</v>
      </c>
      <c r="C3274" s="1205">
        <v>49.99</v>
      </c>
    </row>
    <row r="3275" spans="1:3" ht="24" customHeight="1">
      <c r="A3275" s="1205" t="s">
        <v>68051</v>
      </c>
      <c r="B3275" s="1205" t="s">
        <v>68050</v>
      </c>
      <c r="C3275" s="1205">
        <v>44.49</v>
      </c>
    </row>
    <row r="3276" spans="1:3" ht="24" customHeight="1">
      <c r="A3276" s="1205" t="s">
        <v>68049</v>
      </c>
      <c r="B3276" s="1205" t="s">
        <v>68048</v>
      </c>
      <c r="C3276" s="1205">
        <v>50.49</v>
      </c>
    </row>
    <row r="3277" spans="1:3" ht="24" customHeight="1">
      <c r="A3277" s="1205" t="s">
        <v>68047</v>
      </c>
      <c r="B3277" s="1205" t="s">
        <v>68046</v>
      </c>
      <c r="C3277" s="1205">
        <v>77.489999999999995</v>
      </c>
    </row>
    <row r="3278" spans="1:3" ht="24" customHeight="1">
      <c r="A3278" s="1205" t="s">
        <v>68045</v>
      </c>
      <c r="B3278" s="1205" t="s">
        <v>68044</v>
      </c>
      <c r="C3278" s="1205">
        <v>44.99</v>
      </c>
    </row>
    <row r="3279" spans="1:3" ht="24" customHeight="1">
      <c r="A3279" s="1205" t="s">
        <v>68043</v>
      </c>
      <c r="B3279" s="1205" t="s">
        <v>68042</v>
      </c>
      <c r="C3279" s="1205">
        <v>70.489999999999995</v>
      </c>
    </row>
    <row r="3280" spans="1:3" ht="24" customHeight="1">
      <c r="A3280" s="1205" t="s">
        <v>68041</v>
      </c>
      <c r="B3280" s="1205" t="s">
        <v>68040</v>
      </c>
      <c r="C3280" s="1205">
        <v>56.49</v>
      </c>
    </row>
    <row r="3281" spans="1:3" ht="24" customHeight="1">
      <c r="A3281" s="1205" t="s">
        <v>68039</v>
      </c>
      <c r="B3281" s="1205" t="s">
        <v>68038</v>
      </c>
      <c r="C3281" s="1205">
        <v>68.489999999999995</v>
      </c>
    </row>
    <row r="3282" spans="1:3" ht="24" customHeight="1">
      <c r="A3282" s="1205" t="s">
        <v>68037</v>
      </c>
      <c r="B3282" s="1205" t="s">
        <v>68036</v>
      </c>
      <c r="C3282" s="1205">
        <v>48.99</v>
      </c>
    </row>
    <row r="3283" spans="1:3" ht="24" customHeight="1">
      <c r="A3283" s="1205" t="s">
        <v>68035</v>
      </c>
      <c r="B3283" s="1205" t="s">
        <v>68034</v>
      </c>
      <c r="C3283" s="1205">
        <v>41.99</v>
      </c>
    </row>
    <row r="3284" spans="1:3" ht="24" customHeight="1">
      <c r="A3284" s="1205" t="s">
        <v>68033</v>
      </c>
      <c r="B3284" s="1205" t="s">
        <v>68032</v>
      </c>
      <c r="C3284" s="1205">
        <v>50.49</v>
      </c>
    </row>
    <row r="3285" spans="1:3" ht="24" customHeight="1">
      <c r="A3285" s="1205" t="s">
        <v>68031</v>
      </c>
      <c r="B3285" s="1205" t="s">
        <v>68030</v>
      </c>
      <c r="C3285" s="1205">
        <v>54.49</v>
      </c>
    </row>
    <row r="3286" spans="1:3" ht="24" customHeight="1">
      <c r="A3286" s="1205" t="s">
        <v>68029</v>
      </c>
      <c r="B3286" s="1205" t="s">
        <v>68028</v>
      </c>
      <c r="C3286" s="1205">
        <v>53.99</v>
      </c>
    </row>
    <row r="3287" spans="1:3" ht="24" customHeight="1">
      <c r="A3287" s="1205" t="s">
        <v>68027</v>
      </c>
      <c r="B3287" s="1205" t="s">
        <v>68026</v>
      </c>
      <c r="C3287" s="1205">
        <v>63.49</v>
      </c>
    </row>
    <row r="3288" spans="1:3" ht="24" customHeight="1">
      <c r="A3288" s="1205" t="s">
        <v>68025</v>
      </c>
      <c r="B3288" s="1205" t="s">
        <v>68024</v>
      </c>
      <c r="C3288" s="1205">
        <v>62.99</v>
      </c>
    </row>
    <row r="3289" spans="1:3" ht="24" customHeight="1">
      <c r="A3289" s="1205" t="s">
        <v>68023</v>
      </c>
      <c r="B3289" s="1205" t="s">
        <v>68022</v>
      </c>
      <c r="C3289" s="1205">
        <v>52.49</v>
      </c>
    </row>
    <row r="3290" spans="1:3" ht="24" customHeight="1">
      <c r="A3290" s="1205" t="s">
        <v>68021</v>
      </c>
      <c r="B3290" s="1205" t="s">
        <v>68020</v>
      </c>
      <c r="C3290" s="1205">
        <v>99.49</v>
      </c>
    </row>
    <row r="3291" spans="1:3" ht="24" customHeight="1">
      <c r="A3291" s="1205" t="s">
        <v>68019</v>
      </c>
      <c r="B3291" s="1205" t="s">
        <v>68018</v>
      </c>
      <c r="C3291" s="1205">
        <v>86.49</v>
      </c>
    </row>
    <row r="3292" spans="1:3" ht="24" customHeight="1">
      <c r="A3292" s="1205" t="s">
        <v>68017</v>
      </c>
      <c r="B3292" s="1205" t="s">
        <v>68016</v>
      </c>
      <c r="C3292" s="1205">
        <v>42.49</v>
      </c>
    </row>
    <row r="3293" spans="1:3" ht="24" customHeight="1">
      <c r="A3293" s="1205" t="s">
        <v>68015</v>
      </c>
      <c r="B3293" s="1205" t="s">
        <v>68014</v>
      </c>
      <c r="C3293" s="1205">
        <v>52.49</v>
      </c>
    </row>
    <row r="3294" spans="1:3" ht="24" customHeight="1">
      <c r="A3294" s="1205" t="s">
        <v>68013</v>
      </c>
      <c r="B3294" s="1205" t="s">
        <v>68012</v>
      </c>
      <c r="C3294" s="1205">
        <v>47.99</v>
      </c>
    </row>
    <row r="3295" spans="1:3" ht="24" customHeight="1">
      <c r="A3295" s="1205" t="s">
        <v>68011</v>
      </c>
      <c r="B3295" s="1205" t="s">
        <v>68010</v>
      </c>
      <c r="C3295" s="1205">
        <v>96.99</v>
      </c>
    </row>
    <row r="3296" spans="1:3" ht="24" customHeight="1">
      <c r="A3296" s="1205" t="s">
        <v>68009</v>
      </c>
      <c r="B3296" s="1205" t="s">
        <v>68008</v>
      </c>
      <c r="C3296" s="1205">
        <v>82.99</v>
      </c>
    </row>
    <row r="3297" spans="1:3" ht="24" customHeight="1">
      <c r="A3297" s="1205" t="s">
        <v>68007</v>
      </c>
      <c r="B3297" s="1205" t="s">
        <v>68006</v>
      </c>
      <c r="C3297" s="1205">
        <v>130.99</v>
      </c>
    </row>
    <row r="3298" spans="1:3" ht="24" customHeight="1">
      <c r="A3298" s="1205" t="s">
        <v>68005</v>
      </c>
      <c r="B3298" s="1205" t="s">
        <v>68004</v>
      </c>
      <c r="C3298" s="1205">
        <v>84.49</v>
      </c>
    </row>
    <row r="3299" spans="1:3" ht="24" customHeight="1">
      <c r="A3299" s="1205" t="s">
        <v>68003</v>
      </c>
      <c r="B3299" s="1205" t="s">
        <v>68002</v>
      </c>
      <c r="C3299" s="1205">
        <v>99.99</v>
      </c>
    </row>
    <row r="3300" spans="1:3" ht="24" customHeight="1">
      <c r="A3300" s="1205" t="s">
        <v>68001</v>
      </c>
      <c r="B3300" s="1205" t="s">
        <v>68000</v>
      </c>
      <c r="C3300" s="1205">
        <v>126.99</v>
      </c>
    </row>
    <row r="3301" spans="1:3" ht="24" customHeight="1">
      <c r="A3301" s="1205" t="s">
        <v>67999</v>
      </c>
      <c r="B3301" s="1205" t="s">
        <v>67998</v>
      </c>
      <c r="C3301" s="1205">
        <v>81.489999999999995</v>
      </c>
    </row>
    <row r="3302" spans="1:3" ht="24" customHeight="1">
      <c r="A3302" s="1205" t="s">
        <v>67997</v>
      </c>
      <c r="B3302" s="1205" t="s">
        <v>67996</v>
      </c>
      <c r="C3302" s="1205">
        <v>127.99</v>
      </c>
    </row>
    <row r="3303" spans="1:3" ht="24" customHeight="1">
      <c r="A3303" s="1205" t="s">
        <v>67995</v>
      </c>
      <c r="B3303" s="1205" t="s">
        <v>67994</v>
      </c>
      <c r="C3303" s="1205">
        <v>61.49</v>
      </c>
    </row>
    <row r="3304" spans="1:3" ht="24" customHeight="1">
      <c r="A3304" s="1205" t="s">
        <v>67993</v>
      </c>
      <c r="B3304" s="1205" t="s">
        <v>67992</v>
      </c>
      <c r="C3304" s="1205">
        <v>62.49</v>
      </c>
    </row>
    <row r="3305" spans="1:3" ht="24" customHeight="1">
      <c r="A3305" s="1205" t="s">
        <v>67991</v>
      </c>
      <c r="B3305" s="1205" t="s">
        <v>67990</v>
      </c>
      <c r="C3305" s="1205">
        <v>62.49</v>
      </c>
    </row>
    <row r="3306" spans="1:3" ht="24" customHeight="1">
      <c r="A3306" s="1205" t="s">
        <v>67989</v>
      </c>
      <c r="B3306" s="1205" t="s">
        <v>67988</v>
      </c>
      <c r="C3306" s="1205">
        <v>82.99</v>
      </c>
    </row>
    <row r="3307" spans="1:3" ht="24" customHeight="1">
      <c r="A3307" s="1205" t="s">
        <v>67987</v>
      </c>
      <c r="B3307" s="1205" t="s">
        <v>67986</v>
      </c>
      <c r="C3307" s="1205">
        <v>94.49</v>
      </c>
    </row>
    <row r="3308" spans="1:3" ht="24" customHeight="1">
      <c r="A3308" s="1205" t="s">
        <v>67985</v>
      </c>
      <c r="B3308" s="1205" t="s">
        <v>67984</v>
      </c>
      <c r="C3308" s="1205">
        <v>135.49</v>
      </c>
    </row>
    <row r="3309" spans="1:3" ht="24" customHeight="1">
      <c r="A3309" s="1205" t="s">
        <v>67983</v>
      </c>
      <c r="B3309" s="1205" t="s">
        <v>67982</v>
      </c>
      <c r="C3309" s="1205">
        <v>86.99</v>
      </c>
    </row>
    <row r="3310" spans="1:3" ht="24" customHeight="1">
      <c r="A3310" s="1205" t="s">
        <v>67981</v>
      </c>
      <c r="B3310" s="1205" t="s">
        <v>67980</v>
      </c>
      <c r="C3310" s="1205">
        <v>61.49</v>
      </c>
    </row>
    <row r="3311" spans="1:3" ht="24" customHeight="1">
      <c r="A3311" s="1205" t="s">
        <v>67979</v>
      </c>
      <c r="B3311" s="1205" t="s">
        <v>67978</v>
      </c>
      <c r="C3311" s="1205">
        <v>90.49</v>
      </c>
    </row>
    <row r="3312" spans="1:3" ht="24" customHeight="1">
      <c r="A3312" s="1205" t="s">
        <v>67977</v>
      </c>
      <c r="B3312" s="1205" t="s">
        <v>67976</v>
      </c>
      <c r="C3312" s="1205">
        <v>88.49</v>
      </c>
    </row>
    <row r="3313" spans="1:3" ht="24" customHeight="1">
      <c r="A3313" s="1205" t="s">
        <v>67975</v>
      </c>
      <c r="B3313" s="1205" t="s">
        <v>67974</v>
      </c>
      <c r="C3313" s="1205">
        <v>83.99</v>
      </c>
    </row>
    <row r="3314" spans="1:3" ht="24" customHeight="1">
      <c r="A3314" s="1205" t="s">
        <v>67973</v>
      </c>
      <c r="B3314" s="1205" t="s">
        <v>67972</v>
      </c>
      <c r="C3314" s="1205">
        <v>144.99</v>
      </c>
    </row>
    <row r="3315" spans="1:3" ht="24" customHeight="1">
      <c r="A3315" s="1205" t="s">
        <v>67971</v>
      </c>
      <c r="B3315" s="1205" t="s">
        <v>67970</v>
      </c>
      <c r="C3315" s="1205">
        <v>92.49</v>
      </c>
    </row>
    <row r="3316" spans="1:3" ht="24" customHeight="1">
      <c r="A3316" s="1205" t="s">
        <v>67969</v>
      </c>
      <c r="B3316" s="1205" t="s">
        <v>67968</v>
      </c>
      <c r="C3316" s="1205">
        <v>154.99</v>
      </c>
    </row>
    <row r="3317" spans="1:3" ht="24" customHeight="1">
      <c r="A3317" s="1205" t="s">
        <v>67967</v>
      </c>
      <c r="B3317" s="1205" t="s">
        <v>67966</v>
      </c>
      <c r="C3317" s="1205">
        <v>66.489999999999995</v>
      </c>
    </row>
    <row r="3318" spans="1:3" ht="24" customHeight="1">
      <c r="A3318" s="1205" t="s">
        <v>67965</v>
      </c>
      <c r="B3318" s="1205" t="s">
        <v>67964</v>
      </c>
      <c r="C3318" s="1205">
        <v>64.489999999999995</v>
      </c>
    </row>
    <row r="3319" spans="1:3" ht="24" customHeight="1">
      <c r="A3319" s="1205" t="s">
        <v>67963</v>
      </c>
      <c r="B3319" s="1205" t="s">
        <v>67962</v>
      </c>
      <c r="C3319" s="1205">
        <v>114.99</v>
      </c>
    </row>
    <row r="3320" spans="1:3" ht="24" customHeight="1">
      <c r="A3320" s="1205" t="s">
        <v>67961</v>
      </c>
      <c r="B3320" s="1205" t="s">
        <v>67960</v>
      </c>
      <c r="C3320" s="1205">
        <v>106.99</v>
      </c>
    </row>
    <row r="3321" spans="1:3" ht="24" customHeight="1">
      <c r="A3321" s="1205" t="s">
        <v>67959</v>
      </c>
      <c r="B3321" s="1205" t="s">
        <v>67958</v>
      </c>
      <c r="C3321" s="1205">
        <v>108.99</v>
      </c>
    </row>
    <row r="3322" spans="1:3" ht="24" customHeight="1">
      <c r="A3322" s="1205" t="s">
        <v>67957</v>
      </c>
      <c r="B3322" s="1205" t="s">
        <v>67956</v>
      </c>
      <c r="C3322" s="1205">
        <v>113.99</v>
      </c>
    </row>
    <row r="3323" spans="1:3" ht="24" customHeight="1">
      <c r="A3323" s="1205" t="s">
        <v>67955</v>
      </c>
      <c r="B3323" s="1205" t="s">
        <v>67954</v>
      </c>
      <c r="C3323" s="1205">
        <v>161.99</v>
      </c>
    </row>
    <row r="3324" spans="1:3" ht="24" customHeight="1">
      <c r="A3324" s="1205" t="s">
        <v>67953</v>
      </c>
      <c r="B3324" s="1205" t="s">
        <v>67952</v>
      </c>
      <c r="C3324" s="1205">
        <v>123.49</v>
      </c>
    </row>
    <row r="3325" spans="1:3" ht="24" customHeight="1">
      <c r="A3325" s="1205" t="s">
        <v>67951</v>
      </c>
      <c r="B3325" s="1205" t="s">
        <v>67950</v>
      </c>
      <c r="C3325" s="1205">
        <v>140.99</v>
      </c>
    </row>
    <row r="3326" spans="1:3" ht="24" customHeight="1">
      <c r="A3326" s="1205" t="s">
        <v>67949</v>
      </c>
      <c r="B3326" s="1205" t="s">
        <v>67948</v>
      </c>
      <c r="C3326" s="1205">
        <v>90.99</v>
      </c>
    </row>
    <row r="3327" spans="1:3" ht="24" customHeight="1">
      <c r="A3327" s="1205" t="s">
        <v>67947</v>
      </c>
      <c r="B3327" s="1205" t="s">
        <v>67946</v>
      </c>
      <c r="C3327" s="1205">
        <v>71.489999999999995</v>
      </c>
    </row>
    <row r="3328" spans="1:3" ht="24" customHeight="1">
      <c r="A3328" s="1205" t="s">
        <v>67945</v>
      </c>
      <c r="B3328" s="1205" t="s">
        <v>67944</v>
      </c>
      <c r="C3328" s="1205">
        <v>93.99</v>
      </c>
    </row>
    <row r="3329" spans="1:3" ht="24" customHeight="1">
      <c r="A3329" s="1205" t="s">
        <v>67943</v>
      </c>
      <c r="B3329" s="1205" t="s">
        <v>67942</v>
      </c>
      <c r="C3329" s="1205">
        <v>107.99</v>
      </c>
    </row>
    <row r="3330" spans="1:3" ht="24" customHeight="1">
      <c r="A3330" s="1205" t="s">
        <v>67941</v>
      </c>
      <c r="B3330" s="1205" t="s">
        <v>67940</v>
      </c>
      <c r="C3330" s="1205">
        <v>139.49</v>
      </c>
    </row>
    <row r="3331" spans="1:3" ht="24" customHeight="1">
      <c r="A3331" s="1205" t="s">
        <v>67939</v>
      </c>
      <c r="B3331" s="1205" t="s">
        <v>67938</v>
      </c>
      <c r="C3331" s="1205">
        <v>97.49</v>
      </c>
    </row>
    <row r="3332" spans="1:3" ht="24" customHeight="1">
      <c r="A3332" s="1205" t="s">
        <v>67937</v>
      </c>
      <c r="B3332" s="1205" t="s">
        <v>67936</v>
      </c>
      <c r="C3332" s="1205">
        <v>63.49</v>
      </c>
    </row>
    <row r="3333" spans="1:3" ht="24" customHeight="1">
      <c r="A3333" s="1205" t="s">
        <v>67935</v>
      </c>
      <c r="B3333" s="1205" t="s">
        <v>67934</v>
      </c>
      <c r="C3333" s="1205">
        <v>101.49</v>
      </c>
    </row>
    <row r="3334" spans="1:3" ht="24" customHeight="1">
      <c r="A3334" s="1205" t="s">
        <v>67933</v>
      </c>
      <c r="B3334" s="1205" t="s">
        <v>67932</v>
      </c>
      <c r="C3334" s="1205">
        <v>45.99</v>
      </c>
    </row>
    <row r="3335" spans="1:3" ht="24" customHeight="1">
      <c r="A3335" s="1205" t="s">
        <v>67931</v>
      </c>
      <c r="B3335" s="1205" t="s">
        <v>67930</v>
      </c>
      <c r="C3335" s="1205">
        <v>67.489999999999995</v>
      </c>
    </row>
    <row r="3336" spans="1:3" ht="24" customHeight="1">
      <c r="A3336" s="1205" t="s">
        <v>67929</v>
      </c>
      <c r="B3336" s="1205" t="s">
        <v>67928</v>
      </c>
      <c r="C3336" s="1205">
        <v>99.49</v>
      </c>
    </row>
    <row r="3337" spans="1:3" ht="24" customHeight="1">
      <c r="A3337" s="1205" t="s">
        <v>67927</v>
      </c>
      <c r="B3337" s="1205" t="s">
        <v>67926</v>
      </c>
      <c r="C3337" s="1205">
        <v>97.49</v>
      </c>
    </row>
    <row r="3338" spans="1:3" ht="24" customHeight="1">
      <c r="A3338" s="1205" t="s">
        <v>67925</v>
      </c>
      <c r="B3338" s="1205" t="s">
        <v>67924</v>
      </c>
      <c r="C3338" s="1205">
        <v>65.489999999999995</v>
      </c>
    </row>
    <row r="3339" spans="1:3" ht="24" customHeight="1">
      <c r="A3339" s="1205" t="s">
        <v>67923</v>
      </c>
      <c r="B3339" s="1205" t="s">
        <v>67922</v>
      </c>
      <c r="C3339" s="1205">
        <v>64.989999999999995</v>
      </c>
    </row>
    <row r="3340" spans="1:3" ht="24" customHeight="1">
      <c r="A3340" s="1205" t="s">
        <v>67921</v>
      </c>
      <c r="B3340" s="1205" t="s">
        <v>67920</v>
      </c>
      <c r="C3340" s="1205">
        <v>63.49</v>
      </c>
    </row>
    <row r="3341" spans="1:3" ht="24" customHeight="1">
      <c r="A3341" s="1205" t="s">
        <v>67919</v>
      </c>
      <c r="B3341" s="1205" t="s">
        <v>67918</v>
      </c>
      <c r="C3341" s="1205">
        <v>62.99</v>
      </c>
    </row>
    <row r="3342" spans="1:3" ht="24" customHeight="1">
      <c r="A3342" s="1205" t="s">
        <v>67917</v>
      </c>
      <c r="B3342" s="1205" t="s">
        <v>67916</v>
      </c>
      <c r="C3342" s="1205">
        <v>84.49</v>
      </c>
    </row>
    <row r="3343" spans="1:3" ht="24" customHeight="1">
      <c r="A3343" s="1205" t="s">
        <v>67915</v>
      </c>
      <c r="B3343" s="1205" t="s">
        <v>67914</v>
      </c>
      <c r="C3343" s="1205">
        <v>21.99</v>
      </c>
    </row>
    <row r="3344" spans="1:3" ht="24" customHeight="1">
      <c r="A3344" s="1205" t="s">
        <v>67913</v>
      </c>
      <c r="B3344" s="1205" t="s">
        <v>67912</v>
      </c>
      <c r="C3344" s="1205">
        <v>19.489999999999998</v>
      </c>
    </row>
    <row r="3345" spans="1:3" ht="24" customHeight="1">
      <c r="A3345" s="1205" t="s">
        <v>67911</v>
      </c>
      <c r="B3345" s="1205" t="s">
        <v>67909</v>
      </c>
      <c r="C3345" s="1205">
        <v>5.49</v>
      </c>
    </row>
    <row r="3346" spans="1:3" ht="24" customHeight="1">
      <c r="A3346" s="1205" t="s">
        <v>67910</v>
      </c>
      <c r="B3346" s="1205" t="s">
        <v>67909</v>
      </c>
      <c r="C3346" s="1205">
        <v>5.99</v>
      </c>
    </row>
    <row r="3347" spans="1:3" ht="24" customHeight="1">
      <c r="A3347" s="1205" t="s">
        <v>67908</v>
      </c>
      <c r="B3347" s="1205" t="s">
        <v>67907</v>
      </c>
      <c r="C3347" s="1205">
        <v>11.49</v>
      </c>
    </row>
    <row r="3348" spans="1:3" ht="24" customHeight="1">
      <c r="A3348" s="1205" t="s">
        <v>67906</v>
      </c>
      <c r="B3348" s="1205" t="s">
        <v>67905</v>
      </c>
      <c r="C3348" s="1205">
        <v>11.49</v>
      </c>
    </row>
    <row r="3349" spans="1:3" ht="24" customHeight="1">
      <c r="A3349" s="1205" t="s">
        <v>67904</v>
      </c>
      <c r="B3349" s="1205" t="s">
        <v>67903</v>
      </c>
      <c r="C3349" s="1205">
        <v>3.99</v>
      </c>
    </row>
    <row r="3350" spans="1:3" ht="24" customHeight="1">
      <c r="A3350" s="1205" t="s">
        <v>67902</v>
      </c>
      <c r="B3350" s="1205" t="s">
        <v>67901</v>
      </c>
      <c r="C3350" s="1205">
        <v>402.99</v>
      </c>
    </row>
    <row r="3351" spans="1:3" ht="24" customHeight="1">
      <c r="A3351" s="1205" t="s">
        <v>67900</v>
      </c>
      <c r="B3351" s="1205" t="s">
        <v>67899</v>
      </c>
      <c r="C3351" s="1205">
        <v>19.489999999999998</v>
      </c>
    </row>
    <row r="3352" spans="1:3" ht="24" customHeight="1">
      <c r="A3352" s="1205" t="s">
        <v>67898</v>
      </c>
      <c r="B3352" s="1205" t="s">
        <v>67897</v>
      </c>
      <c r="C3352" s="1205">
        <v>24.99</v>
      </c>
    </row>
    <row r="3353" spans="1:3" ht="24" customHeight="1">
      <c r="A3353" s="1205" t="s">
        <v>67896</v>
      </c>
      <c r="B3353" s="1205" t="s">
        <v>67895</v>
      </c>
      <c r="C3353" s="1205">
        <v>392.99</v>
      </c>
    </row>
    <row r="3354" spans="1:3" ht="24" customHeight="1">
      <c r="A3354" s="1205" t="s">
        <v>67894</v>
      </c>
      <c r="B3354" s="1205" t="s">
        <v>67893</v>
      </c>
      <c r="C3354" s="1205">
        <v>331.99</v>
      </c>
    </row>
    <row r="3355" spans="1:3" ht="24" customHeight="1">
      <c r="A3355" s="1205" t="s">
        <v>67892</v>
      </c>
      <c r="B3355" s="1205" t="s">
        <v>67891</v>
      </c>
      <c r="C3355" s="1205">
        <v>374.99</v>
      </c>
    </row>
    <row r="3356" spans="1:3" ht="24" customHeight="1">
      <c r="A3356" s="1205" t="s">
        <v>67890</v>
      </c>
      <c r="B3356" s="1205" t="s">
        <v>67889</v>
      </c>
      <c r="C3356" s="1205">
        <v>399.99</v>
      </c>
    </row>
    <row r="3357" spans="1:3" ht="24" customHeight="1">
      <c r="A3357" s="1205" t="s">
        <v>67888</v>
      </c>
      <c r="B3357" s="1205" t="s">
        <v>67887</v>
      </c>
      <c r="C3357" s="1205">
        <v>595.49</v>
      </c>
    </row>
    <row r="3358" spans="1:3" ht="24" customHeight="1">
      <c r="A3358" s="1205" t="s">
        <v>67886</v>
      </c>
      <c r="B3358" s="1205" t="s">
        <v>67885</v>
      </c>
      <c r="C3358" s="1205">
        <v>384.99</v>
      </c>
    </row>
    <row r="3359" spans="1:3" ht="24" customHeight="1">
      <c r="A3359" s="1205" t="s">
        <v>67884</v>
      </c>
      <c r="B3359" s="1205" t="s">
        <v>67883</v>
      </c>
      <c r="C3359" s="1205">
        <v>403.99</v>
      </c>
    </row>
    <row r="3360" spans="1:3" ht="24" customHeight="1">
      <c r="A3360" s="1205" t="s">
        <v>67882</v>
      </c>
      <c r="B3360" s="1205" t="s">
        <v>67881</v>
      </c>
      <c r="C3360" s="1205">
        <v>16.989999999999998</v>
      </c>
    </row>
    <row r="3361" spans="1:3" ht="24" customHeight="1">
      <c r="A3361" s="1205" t="s">
        <v>67880</v>
      </c>
      <c r="B3361" s="1205" t="s">
        <v>67879</v>
      </c>
      <c r="C3361" s="1205">
        <v>16.989999999999998</v>
      </c>
    </row>
    <row r="3362" spans="1:3" ht="24" customHeight="1">
      <c r="A3362" s="1205" t="s">
        <v>67878</v>
      </c>
      <c r="B3362" s="1205" t="s">
        <v>67877</v>
      </c>
      <c r="C3362" s="1205">
        <v>7.49</v>
      </c>
    </row>
    <row r="3363" spans="1:3" ht="24" customHeight="1">
      <c r="A3363" s="1205" t="s">
        <v>67876</v>
      </c>
      <c r="B3363" s="1205" t="s">
        <v>67875</v>
      </c>
      <c r="C3363" s="1205">
        <v>23.49</v>
      </c>
    </row>
    <row r="3364" spans="1:3" ht="24" customHeight="1">
      <c r="A3364" s="1205" t="s">
        <v>67874</v>
      </c>
      <c r="B3364" s="1205" t="s">
        <v>67873</v>
      </c>
      <c r="C3364" s="1205">
        <v>9.99</v>
      </c>
    </row>
    <row r="3365" spans="1:3" ht="24" customHeight="1">
      <c r="A3365" s="1205" t="s">
        <v>67872</v>
      </c>
      <c r="B3365" s="1205" t="s">
        <v>67871</v>
      </c>
      <c r="C3365" s="1205">
        <v>8.49</v>
      </c>
    </row>
    <row r="3366" spans="1:3" ht="24" customHeight="1">
      <c r="A3366" s="1205" t="s">
        <v>67870</v>
      </c>
      <c r="B3366" s="1205" t="s">
        <v>67869</v>
      </c>
      <c r="C3366" s="1205">
        <v>8.99</v>
      </c>
    </row>
    <row r="3367" spans="1:3" ht="24" customHeight="1">
      <c r="A3367" s="1205" t="s">
        <v>67868</v>
      </c>
      <c r="B3367" s="1205" t="s">
        <v>67867</v>
      </c>
      <c r="C3367" s="1205">
        <v>5.99</v>
      </c>
    </row>
    <row r="3368" spans="1:3" ht="24" customHeight="1">
      <c r="A3368" s="1205" t="s">
        <v>67866</v>
      </c>
      <c r="B3368" s="1205" t="s">
        <v>67865</v>
      </c>
      <c r="C3368" s="1205">
        <v>4.49</v>
      </c>
    </row>
    <row r="3369" spans="1:3" ht="24" customHeight="1">
      <c r="A3369" s="1205" t="s">
        <v>67864</v>
      </c>
      <c r="B3369" s="1205" t="s">
        <v>67863</v>
      </c>
      <c r="C3369" s="1205">
        <v>6.49</v>
      </c>
    </row>
    <row r="3370" spans="1:3" ht="24" customHeight="1">
      <c r="A3370" s="1205" t="s">
        <v>67862</v>
      </c>
      <c r="B3370" s="1205" t="s">
        <v>67861</v>
      </c>
      <c r="C3370" s="1205">
        <v>13.99</v>
      </c>
    </row>
    <row r="3371" spans="1:3" ht="24" customHeight="1">
      <c r="A3371" s="1205" t="s">
        <v>67860</v>
      </c>
      <c r="B3371" s="1205" t="s">
        <v>67859</v>
      </c>
      <c r="C3371" s="1205">
        <v>10.49</v>
      </c>
    </row>
    <row r="3372" spans="1:3" ht="24" customHeight="1">
      <c r="A3372" s="1205" t="s">
        <v>67858</v>
      </c>
      <c r="B3372" s="1205" t="s">
        <v>67857</v>
      </c>
      <c r="C3372" s="1205">
        <v>4.99</v>
      </c>
    </row>
    <row r="3373" spans="1:3" ht="24" customHeight="1">
      <c r="A3373" s="1205" t="s">
        <v>67856</v>
      </c>
      <c r="B3373" s="1205" t="s">
        <v>67855</v>
      </c>
      <c r="C3373" s="1205">
        <v>20.49</v>
      </c>
    </row>
    <row r="3374" spans="1:3" ht="24" customHeight="1">
      <c r="A3374" s="1205" t="s">
        <v>67854</v>
      </c>
      <c r="B3374" s="1205" t="s">
        <v>67853</v>
      </c>
      <c r="C3374" s="1205">
        <v>3.99</v>
      </c>
    </row>
    <row r="3375" spans="1:3" ht="24" customHeight="1">
      <c r="A3375" s="1205" t="s">
        <v>67852</v>
      </c>
      <c r="B3375" s="1205" t="s">
        <v>67851</v>
      </c>
      <c r="C3375" s="1205">
        <v>4.49</v>
      </c>
    </row>
    <row r="3376" spans="1:3" ht="24" customHeight="1">
      <c r="A3376" s="1205" t="s">
        <v>67850</v>
      </c>
      <c r="B3376" s="1205" t="s">
        <v>67849</v>
      </c>
      <c r="C3376" s="1205">
        <v>20.99</v>
      </c>
    </row>
    <row r="3377" spans="1:3" ht="24" customHeight="1">
      <c r="A3377" s="1205" t="s">
        <v>67848</v>
      </c>
      <c r="B3377" s="1205" t="s">
        <v>67847</v>
      </c>
      <c r="C3377" s="1205">
        <v>4.49</v>
      </c>
    </row>
    <row r="3378" spans="1:3" ht="24" customHeight="1">
      <c r="A3378" s="1205" t="s">
        <v>67846</v>
      </c>
      <c r="B3378" s="1205" t="s">
        <v>67845</v>
      </c>
      <c r="C3378" s="1205">
        <v>7.99</v>
      </c>
    </row>
    <row r="3379" spans="1:3" ht="24" customHeight="1">
      <c r="A3379" s="1205" t="s">
        <v>67844</v>
      </c>
      <c r="B3379" s="1205" t="s">
        <v>67843</v>
      </c>
      <c r="C3379" s="1205">
        <v>9.99</v>
      </c>
    </row>
    <row r="3380" spans="1:3" ht="24" customHeight="1">
      <c r="A3380" s="1205" t="s">
        <v>67842</v>
      </c>
      <c r="B3380" s="1205" t="s">
        <v>67841</v>
      </c>
      <c r="C3380" s="1205">
        <v>6.49</v>
      </c>
    </row>
    <row r="3381" spans="1:3" ht="24" customHeight="1">
      <c r="A3381" s="1205" t="s">
        <v>67840</v>
      </c>
      <c r="B3381" s="1205" t="s">
        <v>67839</v>
      </c>
      <c r="C3381" s="1205">
        <v>6.99</v>
      </c>
    </row>
    <row r="3382" spans="1:3" ht="24" customHeight="1">
      <c r="A3382" s="1205" t="s">
        <v>67838</v>
      </c>
      <c r="B3382" s="1205" t="s">
        <v>67837</v>
      </c>
      <c r="C3382" s="1205">
        <v>2.4900000000000002</v>
      </c>
    </row>
    <row r="3383" spans="1:3" ht="24" customHeight="1">
      <c r="A3383" s="1205" t="s">
        <v>67836</v>
      </c>
      <c r="B3383" s="1205" t="s">
        <v>67835</v>
      </c>
      <c r="C3383" s="1205">
        <v>2.99</v>
      </c>
    </row>
    <row r="3384" spans="1:3" ht="24" customHeight="1">
      <c r="A3384" s="1205" t="s">
        <v>67834</v>
      </c>
      <c r="B3384" s="1205" t="s">
        <v>67833</v>
      </c>
      <c r="C3384" s="1205">
        <v>5.99</v>
      </c>
    </row>
    <row r="3385" spans="1:3" ht="24" customHeight="1">
      <c r="A3385" s="1205" t="s">
        <v>67832</v>
      </c>
      <c r="B3385" s="1205" t="s">
        <v>67831</v>
      </c>
      <c r="C3385" s="1205">
        <v>15.49</v>
      </c>
    </row>
    <row r="3386" spans="1:3" ht="24" customHeight="1">
      <c r="A3386" s="1205" t="s">
        <v>67830</v>
      </c>
      <c r="B3386" s="1205" t="s">
        <v>67829</v>
      </c>
      <c r="C3386" s="1205">
        <v>11.49</v>
      </c>
    </row>
    <row r="3387" spans="1:3" ht="24" customHeight="1">
      <c r="A3387" s="1205" t="s">
        <v>67828</v>
      </c>
      <c r="B3387" s="1205" t="s">
        <v>67827</v>
      </c>
      <c r="C3387" s="1205">
        <v>15.99</v>
      </c>
    </row>
    <row r="3388" spans="1:3" ht="24" customHeight="1">
      <c r="A3388" s="1205" t="s">
        <v>67826</v>
      </c>
      <c r="B3388" s="1205" t="s">
        <v>67825</v>
      </c>
      <c r="C3388" s="1205">
        <v>17.989999999999998</v>
      </c>
    </row>
    <row r="3389" spans="1:3" ht="24" customHeight="1">
      <c r="A3389" s="1205" t="s">
        <v>67824</v>
      </c>
      <c r="B3389" s="1205" t="s">
        <v>67823</v>
      </c>
      <c r="C3389" s="1205">
        <v>9.49</v>
      </c>
    </row>
    <row r="3390" spans="1:3" ht="24" customHeight="1">
      <c r="A3390" s="1205" t="s">
        <v>67822</v>
      </c>
      <c r="B3390" s="1205" t="s">
        <v>67821</v>
      </c>
      <c r="C3390" s="1205">
        <v>10.99</v>
      </c>
    </row>
    <row r="3391" spans="1:3" ht="24" customHeight="1">
      <c r="A3391" s="1205" t="s">
        <v>67820</v>
      </c>
      <c r="B3391" s="1205" t="s">
        <v>67819</v>
      </c>
      <c r="C3391" s="1205">
        <v>27.49</v>
      </c>
    </row>
    <row r="3392" spans="1:3" ht="24" customHeight="1">
      <c r="A3392" s="1205" t="s">
        <v>67818</v>
      </c>
      <c r="B3392" s="1205" t="s">
        <v>67817</v>
      </c>
      <c r="C3392" s="1205">
        <v>10.49</v>
      </c>
    </row>
    <row r="3393" spans="1:3" ht="24" customHeight="1">
      <c r="A3393" s="1205" t="s">
        <v>67816</v>
      </c>
      <c r="B3393" s="1205" t="s">
        <v>67815</v>
      </c>
      <c r="C3393" s="1205">
        <v>17.489999999999998</v>
      </c>
    </row>
    <row r="3394" spans="1:3" ht="24" customHeight="1">
      <c r="A3394" s="1205" t="s">
        <v>67814</v>
      </c>
      <c r="B3394" s="1205" t="s">
        <v>67813</v>
      </c>
      <c r="C3394" s="1205">
        <v>6.49</v>
      </c>
    </row>
    <row r="3395" spans="1:3" ht="24" customHeight="1">
      <c r="A3395" s="1205" t="s">
        <v>67812</v>
      </c>
      <c r="B3395" s="1205" t="s">
        <v>67811</v>
      </c>
      <c r="C3395" s="1205">
        <v>9.99</v>
      </c>
    </row>
    <row r="3396" spans="1:3" ht="24" customHeight="1">
      <c r="A3396" s="1205" t="s">
        <v>67810</v>
      </c>
      <c r="B3396" s="1205" t="s">
        <v>67809</v>
      </c>
      <c r="C3396" s="1205">
        <v>15.99</v>
      </c>
    </row>
    <row r="3397" spans="1:3" ht="24" customHeight="1">
      <c r="A3397" s="1205" t="s">
        <v>67808</v>
      </c>
      <c r="B3397" s="1205" t="s">
        <v>67807</v>
      </c>
      <c r="C3397" s="1205">
        <v>12.99</v>
      </c>
    </row>
    <row r="3398" spans="1:3" ht="24" customHeight="1">
      <c r="A3398" s="1205" t="s">
        <v>67806</v>
      </c>
      <c r="B3398" s="1205" t="s">
        <v>67805</v>
      </c>
      <c r="C3398" s="1205">
        <v>138.99</v>
      </c>
    </row>
    <row r="3399" spans="1:3" ht="24" customHeight="1">
      <c r="A3399" s="1205" t="s">
        <v>67804</v>
      </c>
      <c r="B3399" s="1205" t="s">
        <v>67803</v>
      </c>
      <c r="C3399" s="1205">
        <v>88.49</v>
      </c>
    </row>
    <row r="3400" spans="1:3" ht="24" customHeight="1">
      <c r="A3400" s="1205" t="s">
        <v>67802</v>
      </c>
      <c r="B3400" s="1205" t="s">
        <v>67801</v>
      </c>
      <c r="C3400" s="1205">
        <v>41.49</v>
      </c>
    </row>
    <row r="3401" spans="1:3" ht="24" customHeight="1">
      <c r="A3401" s="1205" t="s">
        <v>67800</v>
      </c>
      <c r="B3401" s="1205" t="s">
        <v>67799</v>
      </c>
      <c r="C3401" s="1205">
        <v>18.989999999999998</v>
      </c>
    </row>
    <row r="3402" spans="1:3" ht="24" customHeight="1">
      <c r="A3402" s="1205" t="s">
        <v>67798</v>
      </c>
      <c r="B3402" s="1205" t="s">
        <v>67797</v>
      </c>
      <c r="C3402" s="1205">
        <v>32.49</v>
      </c>
    </row>
    <row r="3403" spans="1:3" ht="24" customHeight="1">
      <c r="A3403" s="1205" t="s">
        <v>67796</v>
      </c>
      <c r="B3403" s="1205" t="s">
        <v>67795</v>
      </c>
      <c r="C3403" s="1205">
        <v>25.99</v>
      </c>
    </row>
    <row r="3404" spans="1:3" ht="24" customHeight="1">
      <c r="A3404" s="1205" t="s">
        <v>67794</v>
      </c>
      <c r="B3404" s="1205" t="s">
        <v>67793</v>
      </c>
      <c r="C3404" s="1205">
        <v>16.989999999999998</v>
      </c>
    </row>
    <row r="3405" spans="1:3" ht="24" customHeight="1">
      <c r="A3405" s="1205" t="s">
        <v>67792</v>
      </c>
      <c r="B3405" s="1205" t="s">
        <v>67791</v>
      </c>
      <c r="C3405" s="1205">
        <v>13.99</v>
      </c>
    </row>
    <row r="3406" spans="1:3" ht="24" customHeight="1">
      <c r="A3406" s="1205" t="s">
        <v>67790</v>
      </c>
      <c r="B3406" s="1205" t="s">
        <v>67789</v>
      </c>
      <c r="C3406" s="1205">
        <v>15.49</v>
      </c>
    </row>
    <row r="3407" spans="1:3" ht="24" customHeight="1">
      <c r="A3407" s="1205" t="s">
        <v>67788</v>
      </c>
      <c r="B3407" s="1205" t="s">
        <v>67787</v>
      </c>
      <c r="C3407" s="1205">
        <v>11.99</v>
      </c>
    </row>
    <row r="3408" spans="1:3" ht="24" customHeight="1">
      <c r="A3408" s="1205" t="s">
        <v>67786</v>
      </c>
      <c r="B3408" s="1205" t="s">
        <v>67785</v>
      </c>
      <c r="C3408" s="1205">
        <v>20.99</v>
      </c>
    </row>
    <row r="3409" spans="1:3" ht="24" customHeight="1">
      <c r="A3409" s="1205" t="s">
        <v>67784</v>
      </c>
      <c r="B3409" s="1205" t="s">
        <v>67783</v>
      </c>
      <c r="C3409" s="1205">
        <v>86.49</v>
      </c>
    </row>
    <row r="3410" spans="1:3" ht="24" customHeight="1">
      <c r="A3410" s="1205" t="s">
        <v>67782</v>
      </c>
      <c r="B3410" s="1205" t="s">
        <v>67781</v>
      </c>
      <c r="C3410" s="1205">
        <v>99.49</v>
      </c>
    </row>
    <row r="3411" spans="1:3" ht="24" customHeight="1">
      <c r="A3411" s="1205" t="s">
        <v>67780</v>
      </c>
      <c r="B3411" s="1205" t="s">
        <v>67779</v>
      </c>
      <c r="C3411" s="1205">
        <v>24.99</v>
      </c>
    </row>
    <row r="3412" spans="1:3" ht="24" customHeight="1">
      <c r="A3412" s="1205" t="s">
        <v>67778</v>
      </c>
      <c r="B3412" s="1205" t="s">
        <v>67777</v>
      </c>
      <c r="C3412" s="1205">
        <v>24.99</v>
      </c>
    </row>
    <row r="3413" spans="1:3" ht="24" customHeight="1">
      <c r="A3413" s="1205" t="s">
        <v>67776</v>
      </c>
      <c r="B3413" s="1205" t="s">
        <v>67775</v>
      </c>
      <c r="C3413" s="1205">
        <v>14.49</v>
      </c>
    </row>
    <row r="3414" spans="1:3" ht="24" customHeight="1">
      <c r="A3414" s="1205" t="s">
        <v>67774</v>
      </c>
      <c r="B3414" s="1205" t="s">
        <v>67773</v>
      </c>
      <c r="C3414" s="1205">
        <v>11.99</v>
      </c>
    </row>
    <row r="3415" spans="1:3" ht="24" customHeight="1">
      <c r="A3415" s="1205" t="s">
        <v>67772</v>
      </c>
      <c r="B3415" s="1205" t="s">
        <v>67771</v>
      </c>
      <c r="C3415" s="1205">
        <v>14.99</v>
      </c>
    </row>
    <row r="3416" spans="1:3" ht="24" customHeight="1">
      <c r="A3416" s="1205" t="s">
        <v>67770</v>
      </c>
      <c r="B3416" s="1205" t="s">
        <v>67769</v>
      </c>
      <c r="C3416" s="1205">
        <v>12.49</v>
      </c>
    </row>
    <row r="3417" spans="1:3" ht="24" customHeight="1">
      <c r="A3417" s="1205" t="s">
        <v>67768</v>
      </c>
      <c r="B3417" s="1205" t="s">
        <v>67767</v>
      </c>
      <c r="C3417" s="1205">
        <v>13.99</v>
      </c>
    </row>
    <row r="3418" spans="1:3" ht="24" customHeight="1">
      <c r="A3418" s="1205" t="s">
        <v>67766</v>
      </c>
      <c r="B3418" s="1205" t="s">
        <v>67765</v>
      </c>
      <c r="C3418" s="1205">
        <v>15.49</v>
      </c>
    </row>
    <row r="3419" spans="1:3" ht="24" customHeight="1">
      <c r="A3419" s="1205" t="s">
        <v>67764</v>
      </c>
      <c r="B3419" s="1205" t="s">
        <v>67763</v>
      </c>
      <c r="C3419" s="1205">
        <v>19.489999999999998</v>
      </c>
    </row>
    <row r="3420" spans="1:3" ht="24" customHeight="1">
      <c r="A3420" s="1205" t="s">
        <v>67762</v>
      </c>
      <c r="B3420" s="1205" t="s">
        <v>67761</v>
      </c>
      <c r="C3420" s="1205">
        <v>34.49</v>
      </c>
    </row>
    <row r="3421" spans="1:3" ht="24" customHeight="1">
      <c r="A3421" s="1205" t="s">
        <v>67760</v>
      </c>
      <c r="B3421" s="1205" t="s">
        <v>67759</v>
      </c>
      <c r="C3421" s="1205">
        <v>23.49</v>
      </c>
    </row>
    <row r="3422" spans="1:3" ht="24" customHeight="1">
      <c r="A3422" s="1205" t="s">
        <v>67758</v>
      </c>
      <c r="B3422" s="1205" t="s">
        <v>67757</v>
      </c>
      <c r="C3422" s="1205">
        <v>92.99</v>
      </c>
    </row>
    <row r="3423" spans="1:3" ht="24" customHeight="1">
      <c r="A3423" s="1205" t="s">
        <v>67756</v>
      </c>
      <c r="B3423" s="1205" t="s">
        <v>67755</v>
      </c>
      <c r="C3423" s="1205">
        <v>89.49</v>
      </c>
    </row>
    <row r="3424" spans="1:3" ht="24" customHeight="1">
      <c r="A3424" s="1205" t="s">
        <v>67754</v>
      </c>
      <c r="B3424" s="1205" t="s">
        <v>67753</v>
      </c>
      <c r="C3424" s="1205">
        <v>102.49</v>
      </c>
    </row>
    <row r="3425" spans="1:3" ht="24" customHeight="1">
      <c r="A3425" s="1205" t="s">
        <v>67752</v>
      </c>
      <c r="B3425" s="1205" t="s">
        <v>67751</v>
      </c>
      <c r="C3425" s="1205">
        <v>29.99</v>
      </c>
    </row>
    <row r="3426" spans="1:3" ht="24" customHeight="1">
      <c r="A3426" s="1205" t="s">
        <v>67750</v>
      </c>
      <c r="B3426" s="1205" t="s">
        <v>67749</v>
      </c>
      <c r="C3426" s="1205">
        <v>32.99</v>
      </c>
    </row>
    <row r="3427" spans="1:3" ht="24" customHeight="1">
      <c r="A3427" s="1205" t="s">
        <v>67748</v>
      </c>
      <c r="B3427" s="1205" t="s">
        <v>67747</v>
      </c>
      <c r="C3427" s="1205">
        <v>93.99</v>
      </c>
    </row>
    <row r="3428" spans="1:3" ht="24" customHeight="1">
      <c r="A3428" s="1205" t="s">
        <v>67746</v>
      </c>
      <c r="B3428" s="1205" t="s">
        <v>67745</v>
      </c>
      <c r="C3428" s="1205">
        <v>106.99</v>
      </c>
    </row>
    <row r="3429" spans="1:3" ht="24" customHeight="1">
      <c r="A3429" s="1205" t="s">
        <v>67744</v>
      </c>
      <c r="B3429" s="1205" t="s">
        <v>67743</v>
      </c>
      <c r="C3429" s="1205">
        <v>32.99</v>
      </c>
    </row>
    <row r="3430" spans="1:3" ht="24" customHeight="1">
      <c r="A3430" s="1205" t="s">
        <v>67742</v>
      </c>
      <c r="B3430" s="1205" t="s">
        <v>67741</v>
      </c>
      <c r="C3430" s="1205">
        <v>15.99</v>
      </c>
    </row>
    <row r="3431" spans="1:3" ht="24" customHeight="1">
      <c r="A3431" s="1205" t="s">
        <v>67740</v>
      </c>
      <c r="B3431" s="1205" t="s">
        <v>67739</v>
      </c>
      <c r="C3431" s="1205">
        <v>12.99</v>
      </c>
    </row>
    <row r="3432" spans="1:3" ht="24" customHeight="1">
      <c r="A3432" s="1205" t="s">
        <v>67738</v>
      </c>
      <c r="B3432" s="1205" t="s">
        <v>67736</v>
      </c>
      <c r="C3432" s="1205">
        <v>15.99</v>
      </c>
    </row>
    <row r="3433" spans="1:3" ht="24" customHeight="1">
      <c r="A3433" s="1205" t="s">
        <v>67737</v>
      </c>
      <c r="B3433" s="1205" t="s">
        <v>67736</v>
      </c>
      <c r="C3433" s="1205">
        <v>13.49</v>
      </c>
    </row>
    <row r="3434" spans="1:3" ht="24" customHeight="1">
      <c r="A3434" s="1205" t="s">
        <v>67735</v>
      </c>
      <c r="B3434" s="1205" t="s">
        <v>67734</v>
      </c>
      <c r="C3434" s="1205">
        <v>16.989999999999998</v>
      </c>
    </row>
    <row r="3435" spans="1:3" ht="24" customHeight="1">
      <c r="A3435" s="1205" t="s">
        <v>67733</v>
      </c>
      <c r="B3435" s="1205" t="s">
        <v>67732</v>
      </c>
      <c r="C3435" s="1205">
        <v>14.49</v>
      </c>
    </row>
    <row r="3436" spans="1:3" ht="24" customHeight="1">
      <c r="A3436" s="1205" t="s">
        <v>67731</v>
      </c>
      <c r="B3436" s="1205" t="s">
        <v>67730</v>
      </c>
      <c r="C3436" s="1205">
        <v>16.489999999999998</v>
      </c>
    </row>
    <row r="3437" spans="1:3" ht="24" customHeight="1">
      <c r="A3437" s="1205" t="s">
        <v>67729</v>
      </c>
      <c r="B3437" s="1205" t="s">
        <v>67728</v>
      </c>
      <c r="C3437" s="1205">
        <v>13.99</v>
      </c>
    </row>
    <row r="3438" spans="1:3" ht="24" customHeight="1">
      <c r="A3438" s="1205" t="s">
        <v>67727</v>
      </c>
      <c r="B3438" s="1205" t="s">
        <v>67726</v>
      </c>
      <c r="C3438" s="1205">
        <v>12.99</v>
      </c>
    </row>
    <row r="3439" spans="1:3" ht="24" customHeight="1">
      <c r="A3439" s="1205" t="s">
        <v>67725</v>
      </c>
      <c r="B3439" s="1205" t="s">
        <v>67724</v>
      </c>
      <c r="C3439" s="1205">
        <v>14.99</v>
      </c>
    </row>
    <row r="3440" spans="1:3" ht="24" customHeight="1">
      <c r="A3440" s="1205" t="s">
        <v>67723</v>
      </c>
      <c r="B3440" s="1205" t="s">
        <v>67722</v>
      </c>
      <c r="C3440" s="1205">
        <v>17.989999999999998</v>
      </c>
    </row>
    <row r="3441" spans="1:3" ht="24" customHeight="1">
      <c r="A3441" s="1205" t="s">
        <v>67721</v>
      </c>
      <c r="B3441" s="1205" t="s">
        <v>67720</v>
      </c>
      <c r="C3441" s="1205">
        <v>15.49</v>
      </c>
    </row>
    <row r="3442" spans="1:3" ht="24" customHeight="1">
      <c r="A3442" s="1205" t="s">
        <v>67719</v>
      </c>
      <c r="B3442" s="1205" t="s">
        <v>67718</v>
      </c>
      <c r="C3442" s="1205">
        <v>86.99</v>
      </c>
    </row>
    <row r="3443" spans="1:3" ht="24" customHeight="1">
      <c r="A3443" s="1205" t="s">
        <v>67717</v>
      </c>
      <c r="B3443" s="1205" t="s">
        <v>67716</v>
      </c>
      <c r="C3443" s="1205">
        <v>99.99</v>
      </c>
    </row>
    <row r="3444" spans="1:3" ht="24" customHeight="1">
      <c r="A3444" s="1205" t="s">
        <v>67715</v>
      </c>
      <c r="B3444" s="1205" t="s">
        <v>67714</v>
      </c>
      <c r="C3444" s="1205">
        <v>26.99</v>
      </c>
    </row>
    <row r="3445" spans="1:3" ht="24" customHeight="1">
      <c r="A3445" s="1205" t="s">
        <v>67713</v>
      </c>
      <c r="B3445" s="1205" t="s">
        <v>67712</v>
      </c>
      <c r="C3445" s="1205">
        <v>14.99</v>
      </c>
    </row>
    <row r="3446" spans="1:3" ht="24" customHeight="1">
      <c r="A3446" s="1205" t="s">
        <v>67711</v>
      </c>
      <c r="B3446" s="1205" t="s">
        <v>67710</v>
      </c>
      <c r="C3446" s="1205">
        <v>12.99</v>
      </c>
    </row>
    <row r="3447" spans="1:3" ht="24" customHeight="1">
      <c r="A3447" s="1205" t="s">
        <v>67709</v>
      </c>
      <c r="B3447" s="1205" t="s">
        <v>67708</v>
      </c>
      <c r="C3447" s="1205">
        <v>19.489999999999998</v>
      </c>
    </row>
    <row r="3448" spans="1:3" ht="24" customHeight="1">
      <c r="A3448" s="1205" t="s">
        <v>67707</v>
      </c>
      <c r="B3448" s="1205" t="s">
        <v>67706</v>
      </c>
      <c r="C3448" s="1205">
        <v>13.49</v>
      </c>
    </row>
    <row r="3449" spans="1:3" ht="24" customHeight="1">
      <c r="A3449" s="1205" t="s">
        <v>67705</v>
      </c>
      <c r="B3449" s="1205" t="s">
        <v>67704</v>
      </c>
      <c r="C3449" s="1205">
        <v>27.99</v>
      </c>
    </row>
    <row r="3450" spans="1:3" ht="24" customHeight="1">
      <c r="A3450" s="1205" t="s">
        <v>67703</v>
      </c>
      <c r="B3450" s="1205" t="s">
        <v>67702</v>
      </c>
      <c r="C3450" s="1205">
        <v>14.99</v>
      </c>
    </row>
    <row r="3451" spans="1:3" ht="24" customHeight="1">
      <c r="A3451" s="1205" t="s">
        <v>67701</v>
      </c>
      <c r="B3451" s="1205" t="s">
        <v>67700</v>
      </c>
      <c r="C3451" s="1205">
        <v>19.489999999999998</v>
      </c>
    </row>
    <row r="3452" spans="1:3" ht="24" customHeight="1">
      <c r="A3452" s="1205" t="s">
        <v>67699</v>
      </c>
      <c r="B3452" s="1205" t="s">
        <v>67698</v>
      </c>
      <c r="C3452" s="1205">
        <v>13.49</v>
      </c>
    </row>
    <row r="3453" spans="1:3" ht="24" customHeight="1">
      <c r="A3453" s="1205" t="s">
        <v>67697</v>
      </c>
      <c r="B3453" s="1205" t="s">
        <v>67696</v>
      </c>
      <c r="C3453" s="1205">
        <v>14.99</v>
      </c>
    </row>
    <row r="3454" spans="1:3" ht="24" customHeight="1">
      <c r="A3454" s="1205" t="s">
        <v>67695</v>
      </c>
      <c r="B3454" s="1205" t="s">
        <v>67694</v>
      </c>
      <c r="C3454" s="1205">
        <v>19.989999999999998</v>
      </c>
    </row>
    <row r="3455" spans="1:3" ht="24" customHeight="1">
      <c r="A3455" s="1205" t="s">
        <v>67693</v>
      </c>
      <c r="B3455" s="1205" t="s">
        <v>67692</v>
      </c>
      <c r="C3455" s="1205">
        <v>13.99</v>
      </c>
    </row>
    <row r="3456" spans="1:3" ht="24" customHeight="1">
      <c r="A3456" s="1205" t="s">
        <v>67691</v>
      </c>
      <c r="B3456" s="1205" t="s">
        <v>67690</v>
      </c>
      <c r="C3456" s="1205">
        <v>11.49</v>
      </c>
    </row>
    <row r="3457" spans="1:3" ht="24" customHeight="1">
      <c r="A3457" s="1205" t="s">
        <v>67689</v>
      </c>
      <c r="B3457" s="1205" t="s">
        <v>67688</v>
      </c>
      <c r="C3457" s="1205">
        <v>14.49</v>
      </c>
    </row>
    <row r="3458" spans="1:3" ht="24" customHeight="1">
      <c r="A3458" s="1205" t="s">
        <v>67687</v>
      </c>
      <c r="B3458" s="1205" t="s">
        <v>67686</v>
      </c>
      <c r="C3458" s="1205">
        <v>11.99</v>
      </c>
    </row>
    <row r="3459" spans="1:3" ht="24" customHeight="1">
      <c r="A3459" s="1205" t="s">
        <v>67685</v>
      </c>
      <c r="B3459" s="1205" t="s">
        <v>67684</v>
      </c>
      <c r="C3459" s="1205">
        <v>16.489999999999998</v>
      </c>
    </row>
    <row r="3460" spans="1:3" ht="24" customHeight="1">
      <c r="A3460" s="1205" t="s">
        <v>67683</v>
      </c>
      <c r="B3460" s="1205" t="s">
        <v>67682</v>
      </c>
      <c r="C3460" s="1205">
        <v>13.99</v>
      </c>
    </row>
    <row r="3461" spans="1:3" ht="24" customHeight="1">
      <c r="A3461" s="1205" t="s">
        <v>67681</v>
      </c>
      <c r="B3461" s="1205" t="s">
        <v>67680</v>
      </c>
      <c r="C3461" s="1205">
        <v>15.49</v>
      </c>
    </row>
    <row r="3462" spans="1:3" ht="24" customHeight="1">
      <c r="A3462" s="1205" t="s">
        <v>67679</v>
      </c>
      <c r="B3462" s="1205" t="s">
        <v>67678</v>
      </c>
      <c r="C3462" s="1205">
        <v>12.99</v>
      </c>
    </row>
    <row r="3463" spans="1:3" ht="24" customHeight="1">
      <c r="A3463" s="1205" t="s">
        <v>67677</v>
      </c>
      <c r="B3463" s="1205" t="s">
        <v>67676</v>
      </c>
      <c r="C3463" s="1205">
        <v>100.99</v>
      </c>
    </row>
    <row r="3464" spans="1:3" ht="24" customHeight="1">
      <c r="A3464" s="1205" t="s">
        <v>67675</v>
      </c>
      <c r="B3464" s="1205" t="s">
        <v>67674</v>
      </c>
      <c r="C3464" s="1205">
        <v>62.99</v>
      </c>
    </row>
    <row r="3465" spans="1:3" ht="24" customHeight="1">
      <c r="A3465" s="1205" t="s">
        <v>67673</v>
      </c>
      <c r="B3465" s="1205" t="s">
        <v>67672</v>
      </c>
      <c r="C3465" s="1205">
        <v>71.489999999999995</v>
      </c>
    </row>
    <row r="3466" spans="1:3" ht="24" customHeight="1">
      <c r="A3466" s="1205" t="s">
        <v>67671</v>
      </c>
      <c r="B3466" s="1205" t="s">
        <v>67670</v>
      </c>
      <c r="C3466" s="1205">
        <v>14.99</v>
      </c>
    </row>
    <row r="3467" spans="1:3" ht="24" customHeight="1">
      <c r="A3467" s="1205" t="s">
        <v>67669</v>
      </c>
      <c r="B3467" s="1205" t="s">
        <v>67668</v>
      </c>
      <c r="C3467" s="1205">
        <v>11.49</v>
      </c>
    </row>
    <row r="3468" spans="1:3" ht="24" customHeight="1">
      <c r="A3468" s="1205" t="s">
        <v>67667</v>
      </c>
      <c r="B3468" s="1205" t="s">
        <v>67666</v>
      </c>
      <c r="C3468" s="1205">
        <v>8.99</v>
      </c>
    </row>
    <row r="3469" spans="1:3" ht="24" customHeight="1">
      <c r="A3469" s="1205" t="s">
        <v>67665</v>
      </c>
      <c r="B3469" s="1205" t="s">
        <v>67664</v>
      </c>
      <c r="C3469" s="1205">
        <v>69.489999999999995</v>
      </c>
    </row>
    <row r="3470" spans="1:3" ht="24" customHeight="1">
      <c r="A3470" s="1205" t="s">
        <v>67663</v>
      </c>
      <c r="B3470" s="1205" t="s">
        <v>67662</v>
      </c>
      <c r="C3470" s="1205">
        <v>49.49</v>
      </c>
    </row>
    <row r="3471" spans="1:3" ht="24" customHeight="1">
      <c r="A3471" s="1205" t="s">
        <v>67661</v>
      </c>
      <c r="B3471" s="1205" t="s">
        <v>67660</v>
      </c>
      <c r="C3471" s="1205">
        <v>8.49</v>
      </c>
    </row>
    <row r="3472" spans="1:3" ht="24" customHeight="1">
      <c r="A3472" s="1205" t="s">
        <v>67659</v>
      </c>
      <c r="B3472" s="1205" t="s">
        <v>67658</v>
      </c>
      <c r="C3472" s="1205">
        <v>46.49</v>
      </c>
    </row>
    <row r="3473" spans="1:3" ht="24" customHeight="1">
      <c r="A3473" s="1205" t="s">
        <v>67657</v>
      </c>
      <c r="B3473" s="1205" t="s">
        <v>67656</v>
      </c>
      <c r="C3473" s="1205">
        <v>39.99</v>
      </c>
    </row>
    <row r="3474" spans="1:3" ht="24" customHeight="1">
      <c r="A3474" s="1205" t="s">
        <v>67655</v>
      </c>
      <c r="B3474" s="1205" t="s">
        <v>67654</v>
      </c>
      <c r="C3474" s="1205">
        <v>6.99</v>
      </c>
    </row>
    <row r="3475" spans="1:3" ht="24" customHeight="1">
      <c r="A3475" s="1205" t="s">
        <v>67653</v>
      </c>
      <c r="B3475" s="1205" t="s">
        <v>67652</v>
      </c>
      <c r="C3475" s="1205">
        <v>38.99</v>
      </c>
    </row>
    <row r="3476" spans="1:3" ht="24" customHeight="1">
      <c r="A3476" s="1205" t="s">
        <v>67651</v>
      </c>
      <c r="B3476" s="1205" t="s">
        <v>67650</v>
      </c>
      <c r="C3476" s="1205">
        <v>72.989999999999995</v>
      </c>
    </row>
    <row r="3477" spans="1:3" ht="24" customHeight="1">
      <c r="A3477" s="1205" t="s">
        <v>67649</v>
      </c>
      <c r="B3477" s="1205" t="s">
        <v>67648</v>
      </c>
      <c r="C3477" s="1205">
        <v>10.49</v>
      </c>
    </row>
    <row r="3478" spans="1:3" ht="24" customHeight="1">
      <c r="A3478" s="1205" t="s">
        <v>67647</v>
      </c>
      <c r="B3478" s="1205" t="s">
        <v>67646</v>
      </c>
      <c r="C3478" s="1205">
        <v>69.989999999999995</v>
      </c>
    </row>
    <row r="3479" spans="1:3" ht="24" customHeight="1">
      <c r="A3479" s="1205" t="s">
        <v>67645</v>
      </c>
      <c r="B3479" s="1205" t="s">
        <v>67644</v>
      </c>
      <c r="C3479" s="1205">
        <v>39.49</v>
      </c>
    </row>
    <row r="3480" spans="1:3" ht="24" customHeight="1">
      <c r="A3480" s="1205" t="s">
        <v>67643</v>
      </c>
      <c r="B3480" s="1205" t="s">
        <v>67642</v>
      </c>
      <c r="C3480" s="1205">
        <v>43.99</v>
      </c>
    </row>
    <row r="3481" spans="1:3" ht="24" customHeight="1">
      <c r="A3481" s="1205" t="s">
        <v>67641</v>
      </c>
      <c r="B3481" s="1205" t="s">
        <v>67635</v>
      </c>
      <c r="C3481" s="1205">
        <v>36.99</v>
      </c>
    </row>
    <row r="3482" spans="1:3" ht="24" customHeight="1">
      <c r="A3482" s="1205" t="s">
        <v>67640</v>
      </c>
      <c r="B3482" s="1205" t="s">
        <v>67639</v>
      </c>
      <c r="C3482" s="1205">
        <v>37.99</v>
      </c>
    </row>
    <row r="3483" spans="1:3" ht="24" customHeight="1">
      <c r="A3483" s="1205" t="s">
        <v>67638</v>
      </c>
      <c r="B3483" s="1205" t="s">
        <v>67637</v>
      </c>
      <c r="C3483" s="1205">
        <v>56.99</v>
      </c>
    </row>
    <row r="3484" spans="1:3" ht="24" customHeight="1">
      <c r="A3484" s="1205" t="s">
        <v>67636</v>
      </c>
      <c r="B3484" s="1205" t="s">
        <v>67635</v>
      </c>
      <c r="C3484" s="1205">
        <v>39.49</v>
      </c>
    </row>
    <row r="3485" spans="1:3" ht="24" customHeight="1">
      <c r="A3485" s="1205" t="s">
        <v>67634</v>
      </c>
      <c r="B3485" s="1205" t="s">
        <v>67633</v>
      </c>
      <c r="C3485" s="1205">
        <v>48.99</v>
      </c>
    </row>
    <row r="3486" spans="1:3" ht="24" customHeight="1">
      <c r="A3486" s="1205" t="s">
        <v>67632</v>
      </c>
      <c r="B3486" s="1205" t="s">
        <v>67631</v>
      </c>
      <c r="C3486" s="1205">
        <v>8.99</v>
      </c>
    </row>
    <row r="3487" spans="1:3" ht="24" customHeight="1">
      <c r="A3487" s="1205" t="s">
        <v>67630</v>
      </c>
      <c r="B3487" s="1205" t="s">
        <v>67629</v>
      </c>
      <c r="C3487" s="1205">
        <v>32.49</v>
      </c>
    </row>
    <row r="3488" spans="1:3" ht="24" customHeight="1">
      <c r="A3488" s="1205" t="s">
        <v>67628</v>
      </c>
      <c r="B3488" s="1205" t="s">
        <v>67627</v>
      </c>
      <c r="C3488" s="1205">
        <v>8.49</v>
      </c>
    </row>
    <row r="3489" spans="1:3" ht="24" customHeight="1">
      <c r="A3489" s="1205" t="s">
        <v>67626</v>
      </c>
      <c r="B3489" s="1205" t="s">
        <v>67625</v>
      </c>
      <c r="C3489" s="1205">
        <v>25.49</v>
      </c>
    </row>
    <row r="3490" spans="1:3" ht="24" customHeight="1">
      <c r="A3490" s="1205" t="s">
        <v>67624</v>
      </c>
      <c r="B3490" s="1205" t="s">
        <v>67623</v>
      </c>
      <c r="C3490" s="1205">
        <v>31.99</v>
      </c>
    </row>
    <row r="3491" spans="1:3" ht="24" customHeight="1">
      <c r="A3491" s="1205" t="s">
        <v>67622</v>
      </c>
      <c r="B3491" s="1205" t="s">
        <v>67621</v>
      </c>
      <c r="C3491" s="1205">
        <v>32.99</v>
      </c>
    </row>
    <row r="3492" spans="1:3" ht="24" customHeight="1">
      <c r="A3492" s="1205" t="s">
        <v>67620</v>
      </c>
      <c r="B3492" s="1205" t="s">
        <v>67619</v>
      </c>
      <c r="C3492" s="1205">
        <v>7.49</v>
      </c>
    </row>
    <row r="3493" spans="1:3" ht="24" customHeight="1">
      <c r="A3493" s="1205" t="s">
        <v>67618</v>
      </c>
      <c r="B3493" s="1205" t="s">
        <v>67617</v>
      </c>
      <c r="C3493" s="1205">
        <v>24.99</v>
      </c>
    </row>
    <row r="3494" spans="1:3" ht="24" customHeight="1">
      <c r="A3494" s="1205" t="s">
        <v>67616</v>
      </c>
      <c r="B3494" s="1205" t="s">
        <v>67615</v>
      </c>
      <c r="C3494" s="1205">
        <v>18.989999999999998</v>
      </c>
    </row>
    <row r="3495" spans="1:3" ht="24" customHeight="1">
      <c r="A3495" s="1205" t="s">
        <v>67614</v>
      </c>
      <c r="B3495" s="1205" t="s">
        <v>67613</v>
      </c>
      <c r="C3495" s="1205">
        <v>15.49</v>
      </c>
    </row>
    <row r="3496" spans="1:3" ht="24" customHeight="1">
      <c r="A3496" s="1205" t="s">
        <v>67612</v>
      </c>
      <c r="B3496" s="1205" t="s">
        <v>67610</v>
      </c>
      <c r="C3496" s="1205">
        <v>16.489999999999998</v>
      </c>
    </row>
    <row r="3497" spans="1:3" ht="24" customHeight="1">
      <c r="A3497" s="1205" t="s">
        <v>67611</v>
      </c>
      <c r="B3497" s="1205" t="s">
        <v>67610</v>
      </c>
      <c r="C3497" s="1205">
        <v>13.99</v>
      </c>
    </row>
    <row r="3498" spans="1:3" ht="24" customHeight="1">
      <c r="A3498" s="1205" t="s">
        <v>67609</v>
      </c>
      <c r="B3498" s="1205" t="s">
        <v>67608</v>
      </c>
      <c r="C3498" s="1205">
        <v>30.49</v>
      </c>
    </row>
    <row r="3499" spans="1:3" ht="24" customHeight="1">
      <c r="A3499" s="1205" t="s">
        <v>67607</v>
      </c>
      <c r="B3499" s="1205" t="s">
        <v>67606</v>
      </c>
      <c r="C3499" s="1205">
        <v>26.99</v>
      </c>
    </row>
    <row r="3500" spans="1:3" ht="24" customHeight="1">
      <c r="A3500" s="1205" t="s">
        <v>67605</v>
      </c>
      <c r="B3500" s="1205" t="s">
        <v>67604</v>
      </c>
      <c r="C3500" s="1205">
        <v>14.99</v>
      </c>
    </row>
    <row r="3501" spans="1:3" ht="24" customHeight="1">
      <c r="A3501" s="1205" t="s">
        <v>67603</v>
      </c>
      <c r="B3501" s="1205" t="s">
        <v>67602</v>
      </c>
      <c r="C3501" s="1205">
        <v>12.49</v>
      </c>
    </row>
    <row r="3502" spans="1:3" ht="24" customHeight="1">
      <c r="A3502" s="1205" t="s">
        <v>67601</v>
      </c>
      <c r="B3502" s="1205" t="s">
        <v>67600</v>
      </c>
      <c r="C3502" s="1205">
        <v>13.99</v>
      </c>
    </row>
    <row r="3503" spans="1:3" ht="24" customHeight="1">
      <c r="A3503" s="1205" t="s">
        <v>67599</v>
      </c>
      <c r="B3503" s="1205" t="s">
        <v>67598</v>
      </c>
      <c r="C3503" s="1205">
        <v>11.49</v>
      </c>
    </row>
    <row r="3504" spans="1:3" ht="24" customHeight="1">
      <c r="A3504" s="1205" t="s">
        <v>67597</v>
      </c>
      <c r="B3504" s="1205" t="s">
        <v>67596</v>
      </c>
      <c r="C3504" s="1205">
        <v>18.989999999999998</v>
      </c>
    </row>
    <row r="3505" spans="1:3" ht="24" customHeight="1">
      <c r="A3505" s="1205" t="s">
        <v>67595</v>
      </c>
      <c r="B3505" s="1205" t="s">
        <v>67594</v>
      </c>
      <c r="C3505" s="1205">
        <v>16.489999999999998</v>
      </c>
    </row>
    <row r="3506" spans="1:3" ht="24" customHeight="1">
      <c r="A3506" s="1205" t="s">
        <v>67593</v>
      </c>
      <c r="B3506" s="1205" t="s">
        <v>67592</v>
      </c>
      <c r="C3506" s="1205">
        <v>13.99</v>
      </c>
    </row>
    <row r="3507" spans="1:3" ht="24" customHeight="1">
      <c r="A3507" s="1205" t="s">
        <v>67591</v>
      </c>
      <c r="B3507" s="1205" t="s">
        <v>67590</v>
      </c>
      <c r="C3507" s="1205">
        <v>17.989999999999998</v>
      </c>
    </row>
    <row r="3508" spans="1:3" ht="24" customHeight="1">
      <c r="A3508" s="1205" t="s">
        <v>67589</v>
      </c>
      <c r="B3508" s="1205" t="s">
        <v>67588</v>
      </c>
      <c r="C3508" s="1205">
        <v>15.49</v>
      </c>
    </row>
    <row r="3509" spans="1:3" ht="24" customHeight="1">
      <c r="A3509" s="1205" t="s">
        <v>67587</v>
      </c>
      <c r="B3509" s="1205" t="s">
        <v>67586</v>
      </c>
      <c r="C3509" s="1205">
        <v>23.49</v>
      </c>
    </row>
    <row r="3510" spans="1:3" ht="24" customHeight="1">
      <c r="A3510" s="1205" t="s">
        <v>67585</v>
      </c>
      <c r="B3510" s="1205" t="s">
        <v>67584</v>
      </c>
      <c r="C3510" s="1205">
        <v>17.489999999999998</v>
      </c>
    </row>
    <row r="3511" spans="1:3" ht="24" customHeight="1">
      <c r="A3511" s="1205" t="s">
        <v>67583</v>
      </c>
      <c r="B3511" s="1205" t="s">
        <v>67582</v>
      </c>
      <c r="C3511" s="1205">
        <v>14.49</v>
      </c>
    </row>
    <row r="3512" spans="1:3" ht="24" customHeight="1">
      <c r="A3512" s="1205" t="s">
        <v>67581</v>
      </c>
      <c r="B3512" s="1205" t="s">
        <v>67579</v>
      </c>
      <c r="C3512" s="1205">
        <v>19.489999999999998</v>
      </c>
    </row>
    <row r="3513" spans="1:3" ht="24" customHeight="1">
      <c r="A3513" s="1205" t="s">
        <v>67580</v>
      </c>
      <c r="B3513" s="1205" t="s">
        <v>67579</v>
      </c>
      <c r="C3513" s="1205">
        <v>15.99</v>
      </c>
    </row>
    <row r="3514" spans="1:3" ht="24" customHeight="1">
      <c r="A3514" s="1205" t="s">
        <v>67578</v>
      </c>
      <c r="B3514" s="1205" t="s">
        <v>67576</v>
      </c>
      <c r="C3514" s="1205">
        <v>11.49</v>
      </c>
    </row>
    <row r="3515" spans="1:3" ht="24" customHeight="1">
      <c r="A3515" s="1205" t="s">
        <v>67577</v>
      </c>
      <c r="B3515" s="1205" t="s">
        <v>67576</v>
      </c>
      <c r="C3515" s="1205">
        <v>8.49</v>
      </c>
    </row>
    <row r="3516" spans="1:3" ht="24" customHeight="1">
      <c r="A3516" s="1205" t="s">
        <v>67575</v>
      </c>
      <c r="B3516" s="1205" t="s">
        <v>67574</v>
      </c>
      <c r="C3516" s="1205">
        <v>26.99</v>
      </c>
    </row>
    <row r="3517" spans="1:3" ht="24" customHeight="1">
      <c r="A3517" s="1205" t="s">
        <v>67573</v>
      </c>
      <c r="B3517" s="1205" t="s">
        <v>67572</v>
      </c>
      <c r="C3517" s="1205">
        <v>23.49</v>
      </c>
    </row>
    <row r="3518" spans="1:3" ht="24" customHeight="1">
      <c r="A3518" s="1205" t="s">
        <v>67571</v>
      </c>
      <c r="B3518" s="1205" t="s">
        <v>67570</v>
      </c>
      <c r="C3518" s="1205">
        <v>16.489999999999998</v>
      </c>
    </row>
    <row r="3519" spans="1:3" ht="24" customHeight="1">
      <c r="A3519" s="1205" t="s">
        <v>67569</v>
      </c>
      <c r="B3519" s="1205" t="s">
        <v>67568</v>
      </c>
      <c r="C3519" s="1205">
        <v>13.99</v>
      </c>
    </row>
    <row r="3520" spans="1:3" ht="24" customHeight="1">
      <c r="A3520" s="1205" t="s">
        <v>67567</v>
      </c>
      <c r="B3520" s="1205" t="s">
        <v>67566</v>
      </c>
      <c r="C3520" s="1205">
        <v>14.99</v>
      </c>
    </row>
    <row r="3521" spans="1:3" ht="24" customHeight="1">
      <c r="A3521" s="1205" t="s">
        <v>67565</v>
      </c>
      <c r="B3521" s="1205" t="s">
        <v>67564</v>
      </c>
      <c r="C3521" s="1205">
        <v>24.99</v>
      </c>
    </row>
    <row r="3522" spans="1:3" ht="24" customHeight="1">
      <c r="A3522" s="1205" t="s">
        <v>67563</v>
      </c>
      <c r="B3522" s="1205" t="s">
        <v>67562</v>
      </c>
      <c r="C3522" s="1205">
        <v>12.49</v>
      </c>
    </row>
    <row r="3523" spans="1:3" ht="24" customHeight="1">
      <c r="A3523" s="1205" t="s">
        <v>67561</v>
      </c>
      <c r="B3523" s="1205" t="s">
        <v>67560</v>
      </c>
      <c r="C3523" s="1205">
        <v>17.489999999999998</v>
      </c>
    </row>
    <row r="3524" spans="1:3" ht="24" customHeight="1">
      <c r="A3524" s="1205" t="s">
        <v>67559</v>
      </c>
      <c r="B3524" s="1205" t="s">
        <v>67558</v>
      </c>
      <c r="C3524" s="1205">
        <v>13.99</v>
      </c>
    </row>
    <row r="3525" spans="1:3" ht="24" customHeight="1">
      <c r="A3525" s="1205" t="s">
        <v>67557</v>
      </c>
      <c r="B3525" s="1205" t="s">
        <v>67556</v>
      </c>
      <c r="C3525" s="1205">
        <v>16.989999999999998</v>
      </c>
    </row>
    <row r="3526" spans="1:3" ht="24" customHeight="1">
      <c r="A3526" s="1205" t="s">
        <v>67555</v>
      </c>
      <c r="B3526" s="1205" t="s">
        <v>67554</v>
      </c>
      <c r="C3526" s="1205">
        <v>13.49</v>
      </c>
    </row>
    <row r="3527" spans="1:3" ht="24" customHeight="1">
      <c r="A3527" s="1205" t="s">
        <v>67553</v>
      </c>
      <c r="B3527" s="1205" t="s">
        <v>67552</v>
      </c>
      <c r="C3527" s="1205">
        <v>18.489999999999998</v>
      </c>
    </row>
    <row r="3528" spans="1:3" ht="24" customHeight="1">
      <c r="A3528" s="1205" t="s">
        <v>67551</v>
      </c>
      <c r="B3528" s="1205" t="s">
        <v>67550</v>
      </c>
      <c r="C3528" s="1205">
        <v>14.99</v>
      </c>
    </row>
    <row r="3529" spans="1:3" ht="24" customHeight="1">
      <c r="A3529" s="1205" t="s">
        <v>67549</v>
      </c>
      <c r="B3529" s="1205" t="s">
        <v>67548</v>
      </c>
      <c r="C3529" s="1205">
        <v>26.49</v>
      </c>
    </row>
    <row r="3530" spans="1:3" ht="24" customHeight="1">
      <c r="A3530" s="1205" t="s">
        <v>67547</v>
      </c>
      <c r="B3530" s="1205" t="s">
        <v>67546</v>
      </c>
      <c r="C3530" s="1205">
        <v>22.99</v>
      </c>
    </row>
    <row r="3531" spans="1:3" ht="24" customHeight="1">
      <c r="A3531" s="1205" t="s">
        <v>67545</v>
      </c>
      <c r="B3531" s="1205" t="s">
        <v>67544</v>
      </c>
      <c r="C3531" s="1205">
        <v>17.489999999999998</v>
      </c>
    </row>
    <row r="3532" spans="1:3" ht="24" customHeight="1">
      <c r="A3532" s="1205" t="s">
        <v>67543</v>
      </c>
      <c r="B3532" s="1205" t="s">
        <v>67542</v>
      </c>
      <c r="C3532" s="1205">
        <v>14.99</v>
      </c>
    </row>
    <row r="3533" spans="1:3" ht="24" customHeight="1">
      <c r="A3533" s="1205" t="s">
        <v>67541</v>
      </c>
      <c r="B3533" s="1205" t="s">
        <v>67540</v>
      </c>
      <c r="C3533" s="1205">
        <v>17.489999999999998</v>
      </c>
    </row>
    <row r="3534" spans="1:3" ht="24" customHeight="1">
      <c r="A3534" s="1205" t="s">
        <v>67539</v>
      </c>
      <c r="B3534" s="1205" t="s">
        <v>67538</v>
      </c>
      <c r="C3534" s="1205">
        <v>14.99</v>
      </c>
    </row>
    <row r="3535" spans="1:3" ht="24" customHeight="1">
      <c r="A3535" s="1205" t="s">
        <v>67537</v>
      </c>
      <c r="B3535" s="1205" t="s">
        <v>67536</v>
      </c>
      <c r="C3535" s="1205">
        <v>14.99</v>
      </c>
    </row>
    <row r="3536" spans="1:3" ht="24" customHeight="1">
      <c r="A3536" s="1205" t="s">
        <v>67535</v>
      </c>
      <c r="B3536" s="1205" t="s">
        <v>67534</v>
      </c>
      <c r="C3536" s="1205">
        <v>12.49</v>
      </c>
    </row>
    <row r="3537" spans="1:3" ht="24" customHeight="1">
      <c r="A3537" s="1205" t="s">
        <v>67533</v>
      </c>
      <c r="B3537" s="1205" t="s">
        <v>67532</v>
      </c>
      <c r="C3537" s="1205">
        <v>19.489999999999998</v>
      </c>
    </row>
    <row r="3538" spans="1:3" ht="24" customHeight="1">
      <c r="A3538" s="1205" t="s">
        <v>67531</v>
      </c>
      <c r="B3538" s="1205" t="s">
        <v>67530</v>
      </c>
      <c r="C3538" s="1205">
        <v>15.99</v>
      </c>
    </row>
    <row r="3539" spans="1:3" ht="24" customHeight="1">
      <c r="A3539" s="1205" t="s">
        <v>67529</v>
      </c>
      <c r="B3539" s="1205" t="s">
        <v>67527</v>
      </c>
      <c r="C3539" s="1205">
        <v>15.99</v>
      </c>
    </row>
    <row r="3540" spans="1:3" ht="24" customHeight="1">
      <c r="A3540" s="1205" t="s">
        <v>67528</v>
      </c>
      <c r="B3540" s="1205" t="s">
        <v>67527</v>
      </c>
      <c r="C3540" s="1205">
        <v>13.49</v>
      </c>
    </row>
    <row r="3541" spans="1:3" ht="24" customHeight="1">
      <c r="A3541" s="1205" t="s">
        <v>67526</v>
      </c>
      <c r="B3541" s="1205" t="s">
        <v>67525</v>
      </c>
      <c r="C3541" s="1205">
        <v>16.489999999999998</v>
      </c>
    </row>
    <row r="3542" spans="1:3" ht="24" customHeight="1">
      <c r="A3542" s="1205" t="s">
        <v>67524</v>
      </c>
      <c r="B3542" s="1205" t="s">
        <v>67523</v>
      </c>
      <c r="C3542" s="1205">
        <v>13.99</v>
      </c>
    </row>
    <row r="3543" spans="1:3" ht="24" customHeight="1">
      <c r="A3543" s="1205" t="s">
        <v>67522</v>
      </c>
      <c r="B3543" s="1205" t="s">
        <v>67521</v>
      </c>
      <c r="C3543" s="1205">
        <v>27.49</v>
      </c>
    </row>
    <row r="3544" spans="1:3" ht="24" customHeight="1">
      <c r="A3544" s="1205" t="s">
        <v>67520</v>
      </c>
      <c r="B3544" s="1205" t="s">
        <v>67519</v>
      </c>
      <c r="C3544" s="1205">
        <v>23.99</v>
      </c>
    </row>
    <row r="3545" spans="1:3" ht="24" customHeight="1">
      <c r="A3545" s="1205" t="s">
        <v>67518</v>
      </c>
      <c r="B3545" s="1205" t="s">
        <v>67517</v>
      </c>
      <c r="C3545" s="1205">
        <v>30.99</v>
      </c>
    </row>
    <row r="3546" spans="1:3" ht="24" customHeight="1">
      <c r="A3546" s="1205" t="s">
        <v>67516</v>
      </c>
      <c r="B3546" s="1205" t="s">
        <v>67515</v>
      </c>
      <c r="C3546" s="1205">
        <v>20.99</v>
      </c>
    </row>
    <row r="3547" spans="1:3" ht="24" customHeight="1">
      <c r="A3547" s="1205" t="s">
        <v>67514</v>
      </c>
      <c r="B3547" s="1205" t="s">
        <v>67513</v>
      </c>
      <c r="C3547" s="1205">
        <v>17.489999999999998</v>
      </c>
    </row>
    <row r="3548" spans="1:3" ht="24" customHeight="1">
      <c r="A3548" s="1205" t="s">
        <v>67512</v>
      </c>
      <c r="B3548" s="1205" t="s">
        <v>67511</v>
      </c>
      <c r="C3548" s="1205">
        <v>17.489999999999998</v>
      </c>
    </row>
    <row r="3549" spans="1:3" ht="24" customHeight="1">
      <c r="A3549" s="1205" t="s">
        <v>67510</v>
      </c>
      <c r="B3549" s="1205" t="s">
        <v>67509</v>
      </c>
      <c r="C3549" s="1205">
        <v>19.489999999999998</v>
      </c>
    </row>
    <row r="3550" spans="1:3" ht="24" customHeight="1">
      <c r="A3550" s="1205" t="s">
        <v>67508</v>
      </c>
      <c r="B3550" s="1205" t="s">
        <v>67507</v>
      </c>
      <c r="C3550" s="1205">
        <v>16.989999999999998</v>
      </c>
    </row>
    <row r="3551" spans="1:3" ht="24" customHeight="1">
      <c r="A3551" s="1205" t="s">
        <v>67506</v>
      </c>
      <c r="B3551" s="1205" t="s">
        <v>67505</v>
      </c>
      <c r="C3551" s="1205">
        <v>15.99</v>
      </c>
    </row>
    <row r="3552" spans="1:3" ht="24" customHeight="1">
      <c r="A3552" s="1205" t="s">
        <v>67504</v>
      </c>
      <c r="B3552" s="1205" t="s">
        <v>67503</v>
      </c>
      <c r="C3552" s="1205">
        <v>13.49</v>
      </c>
    </row>
    <row r="3553" spans="1:3" ht="24" customHeight="1">
      <c r="A3553" s="1205" t="s">
        <v>67502</v>
      </c>
      <c r="B3553" s="1205" t="s">
        <v>67501</v>
      </c>
      <c r="C3553" s="1205">
        <v>14.49</v>
      </c>
    </row>
    <row r="3554" spans="1:3" ht="24" customHeight="1">
      <c r="A3554" s="1205" t="s">
        <v>67500</v>
      </c>
      <c r="B3554" s="1205" t="s">
        <v>67499</v>
      </c>
      <c r="C3554" s="1205">
        <v>11.99</v>
      </c>
    </row>
    <row r="3555" spans="1:3" ht="24" customHeight="1">
      <c r="A3555" s="1205" t="s">
        <v>67498</v>
      </c>
      <c r="B3555" s="1205" t="s">
        <v>67497</v>
      </c>
      <c r="C3555" s="1205">
        <v>23.99</v>
      </c>
    </row>
    <row r="3556" spans="1:3" ht="24" customHeight="1">
      <c r="A3556" s="1205" t="s">
        <v>67496</v>
      </c>
      <c r="B3556" s="1205" t="s">
        <v>67495</v>
      </c>
      <c r="C3556" s="1205">
        <v>14.49</v>
      </c>
    </row>
    <row r="3557" spans="1:3" ht="24" customHeight="1">
      <c r="A3557" s="1205" t="s">
        <v>67494</v>
      </c>
      <c r="B3557" s="1205" t="s">
        <v>67493</v>
      </c>
      <c r="C3557" s="1205">
        <v>14.49</v>
      </c>
    </row>
    <row r="3558" spans="1:3" ht="24" customHeight="1">
      <c r="A3558" s="1205" t="s">
        <v>67492</v>
      </c>
      <c r="B3558" s="1205" t="s">
        <v>67491</v>
      </c>
      <c r="C3558" s="1205">
        <v>19.489999999999998</v>
      </c>
    </row>
    <row r="3559" spans="1:3" ht="24" customHeight="1">
      <c r="A3559" s="1205" t="s">
        <v>67490</v>
      </c>
      <c r="B3559" s="1205" t="s">
        <v>67489</v>
      </c>
      <c r="C3559" s="1205">
        <v>14.49</v>
      </c>
    </row>
    <row r="3560" spans="1:3" ht="24" customHeight="1">
      <c r="A3560" s="1205" t="s">
        <v>67488</v>
      </c>
      <c r="B3560" s="1205" t="s">
        <v>67487</v>
      </c>
      <c r="C3560" s="1205">
        <v>14.49</v>
      </c>
    </row>
    <row r="3561" spans="1:3" ht="24" customHeight="1">
      <c r="A3561" s="1205" t="s">
        <v>67486</v>
      </c>
      <c r="B3561" s="1205" t="s">
        <v>67485</v>
      </c>
      <c r="C3561" s="1205">
        <v>13.99</v>
      </c>
    </row>
    <row r="3562" spans="1:3" ht="24" customHeight="1">
      <c r="A3562" s="1205" t="s">
        <v>67484</v>
      </c>
      <c r="B3562" s="1205" t="s">
        <v>67483</v>
      </c>
      <c r="C3562" s="1205">
        <v>22.49</v>
      </c>
    </row>
    <row r="3563" spans="1:3" ht="24" customHeight="1">
      <c r="A3563" s="1205" t="s">
        <v>67482</v>
      </c>
      <c r="B3563" s="1205" t="s">
        <v>67480</v>
      </c>
      <c r="C3563" s="1205">
        <v>16.489999999999998</v>
      </c>
    </row>
    <row r="3564" spans="1:3" ht="24" customHeight="1">
      <c r="A3564" s="1205" t="s">
        <v>67481</v>
      </c>
      <c r="B3564" s="1205" t="s">
        <v>67480</v>
      </c>
      <c r="C3564" s="1205">
        <v>13.99</v>
      </c>
    </row>
    <row r="3565" spans="1:3" ht="24" customHeight="1">
      <c r="A3565" s="1205" t="s">
        <v>67479</v>
      </c>
      <c r="B3565" s="1205" t="s">
        <v>67478</v>
      </c>
      <c r="C3565" s="1205">
        <v>13.49</v>
      </c>
    </row>
    <row r="3566" spans="1:3" ht="24" customHeight="1">
      <c r="A3566" s="1205" t="s">
        <v>67477</v>
      </c>
      <c r="B3566" s="1205" t="s">
        <v>67476</v>
      </c>
      <c r="C3566" s="1205">
        <v>14.99</v>
      </c>
    </row>
    <row r="3567" spans="1:3" ht="24" customHeight="1">
      <c r="A3567" s="1205" t="s">
        <v>67475</v>
      </c>
      <c r="B3567" s="1205" t="s">
        <v>67474</v>
      </c>
      <c r="C3567" s="1205">
        <v>15.99</v>
      </c>
    </row>
    <row r="3568" spans="1:3" ht="24" customHeight="1">
      <c r="A3568" s="1205" t="s">
        <v>67473</v>
      </c>
      <c r="B3568" s="1205" t="s">
        <v>67472</v>
      </c>
      <c r="C3568" s="1205">
        <v>34.49</v>
      </c>
    </row>
    <row r="3569" spans="1:3" ht="24" customHeight="1">
      <c r="A3569" s="1205" t="s">
        <v>67471</v>
      </c>
      <c r="B3569" s="1205" t="s">
        <v>67470</v>
      </c>
      <c r="C3569" s="1205">
        <v>18.489999999999998</v>
      </c>
    </row>
    <row r="3570" spans="1:3" ht="24" customHeight="1">
      <c r="A3570" s="1205" t="s">
        <v>67469</v>
      </c>
      <c r="B3570" s="1205" t="s">
        <v>67468</v>
      </c>
      <c r="C3570" s="1205">
        <v>15.99</v>
      </c>
    </row>
    <row r="3571" spans="1:3" ht="24" customHeight="1">
      <c r="A3571" s="1205" t="s">
        <v>67467</v>
      </c>
      <c r="B3571" s="1205" t="s">
        <v>67466</v>
      </c>
      <c r="C3571" s="1205">
        <v>17.489999999999998</v>
      </c>
    </row>
    <row r="3572" spans="1:3" ht="24" customHeight="1">
      <c r="A3572" s="1205" t="s">
        <v>67465</v>
      </c>
      <c r="B3572" s="1205" t="s">
        <v>67464</v>
      </c>
      <c r="C3572" s="1205">
        <v>15.99</v>
      </c>
    </row>
    <row r="3573" spans="1:3" ht="24" customHeight="1">
      <c r="A3573" s="1205" t="s">
        <v>67463</v>
      </c>
      <c r="B3573" s="1205" t="s">
        <v>67462</v>
      </c>
      <c r="C3573" s="1205">
        <v>13.49</v>
      </c>
    </row>
    <row r="3574" spans="1:3" ht="24" customHeight="1">
      <c r="A3574" s="1205" t="s">
        <v>67461</v>
      </c>
      <c r="B3574" s="1205" t="s">
        <v>67460</v>
      </c>
      <c r="C3574" s="1205">
        <v>18.989999999999998</v>
      </c>
    </row>
    <row r="3575" spans="1:3" ht="24" customHeight="1">
      <c r="A3575" s="1205" t="s">
        <v>67459</v>
      </c>
      <c r="B3575" s="1205" t="s">
        <v>67458</v>
      </c>
      <c r="C3575" s="1205">
        <v>20.99</v>
      </c>
    </row>
    <row r="3576" spans="1:3" ht="24" customHeight="1">
      <c r="A3576" s="1205" t="s">
        <v>67457</v>
      </c>
      <c r="B3576" s="1205" t="s">
        <v>67456</v>
      </c>
      <c r="C3576" s="1205">
        <v>44.99</v>
      </c>
    </row>
    <row r="3577" spans="1:3" ht="24" customHeight="1">
      <c r="A3577" s="1205" t="s">
        <v>67455</v>
      </c>
      <c r="B3577" s="1205" t="s">
        <v>67454</v>
      </c>
      <c r="C3577" s="1205">
        <v>15.99</v>
      </c>
    </row>
    <row r="3578" spans="1:3" ht="24" customHeight="1">
      <c r="A3578" s="1205" t="s">
        <v>67453</v>
      </c>
      <c r="B3578" s="1205" t="s">
        <v>67452</v>
      </c>
      <c r="C3578" s="1205">
        <v>37.99</v>
      </c>
    </row>
    <row r="3579" spans="1:3" ht="24" customHeight="1">
      <c r="A3579" s="1205" t="s">
        <v>67451</v>
      </c>
      <c r="B3579" s="1205" t="s">
        <v>67450</v>
      </c>
      <c r="C3579" s="1205">
        <v>19.989999999999998</v>
      </c>
    </row>
    <row r="3580" spans="1:3" ht="24" customHeight="1">
      <c r="A3580" s="1205" t="s">
        <v>67449</v>
      </c>
      <c r="B3580" s="1205" t="s">
        <v>67448</v>
      </c>
      <c r="C3580" s="1205">
        <v>16.989999999999998</v>
      </c>
    </row>
    <row r="3581" spans="1:3" ht="24" customHeight="1">
      <c r="A3581" s="1205" t="s">
        <v>67447</v>
      </c>
      <c r="B3581" s="1205" t="s">
        <v>67446</v>
      </c>
      <c r="C3581" s="1205">
        <v>17.489999999999998</v>
      </c>
    </row>
    <row r="3582" spans="1:3" ht="24" customHeight="1">
      <c r="A3582" s="1205" t="s">
        <v>67445</v>
      </c>
      <c r="B3582" s="1205" t="s">
        <v>67444</v>
      </c>
      <c r="C3582" s="1205">
        <v>17.489999999999998</v>
      </c>
    </row>
    <row r="3583" spans="1:3" ht="24" customHeight="1">
      <c r="A3583" s="1205" t="s">
        <v>67443</v>
      </c>
      <c r="B3583" s="1205" t="s">
        <v>67442</v>
      </c>
      <c r="C3583" s="1205">
        <v>36.99</v>
      </c>
    </row>
    <row r="3584" spans="1:3" ht="24" customHeight="1">
      <c r="A3584" s="1205" t="s">
        <v>67441</v>
      </c>
      <c r="B3584" s="1205" t="s">
        <v>67440</v>
      </c>
      <c r="C3584" s="1205">
        <v>33.49</v>
      </c>
    </row>
    <row r="3585" spans="1:3" ht="24" customHeight="1">
      <c r="A3585" s="1205" t="s">
        <v>67439</v>
      </c>
      <c r="B3585" s="1205" t="s">
        <v>67438</v>
      </c>
      <c r="C3585" s="1205">
        <v>18.989999999999998</v>
      </c>
    </row>
    <row r="3586" spans="1:3" ht="24" customHeight="1">
      <c r="A3586" s="1205" t="s">
        <v>67437</v>
      </c>
      <c r="B3586" s="1205" t="s">
        <v>67436</v>
      </c>
      <c r="C3586" s="1205">
        <v>17.989999999999998</v>
      </c>
    </row>
    <row r="3587" spans="1:3" ht="24" customHeight="1">
      <c r="A3587" s="1205" t="s">
        <v>67435</v>
      </c>
      <c r="B3587" s="1205" t="s">
        <v>67434</v>
      </c>
      <c r="C3587" s="1205">
        <v>29.49</v>
      </c>
    </row>
    <row r="3588" spans="1:3" ht="24" customHeight="1">
      <c r="A3588" s="1205" t="s">
        <v>67433</v>
      </c>
      <c r="B3588" s="1205" t="s">
        <v>67432</v>
      </c>
      <c r="C3588" s="1205">
        <v>9.99</v>
      </c>
    </row>
    <row r="3589" spans="1:3" ht="24" customHeight="1">
      <c r="A3589" s="1205" t="s">
        <v>67431</v>
      </c>
      <c r="B3589" s="1205" t="s">
        <v>67430</v>
      </c>
      <c r="C3589" s="1205">
        <v>25.49</v>
      </c>
    </row>
    <row r="3590" spans="1:3" ht="24" customHeight="1">
      <c r="A3590" s="1205" t="s">
        <v>67429</v>
      </c>
      <c r="B3590" s="1205" t="s">
        <v>67428</v>
      </c>
      <c r="C3590" s="1205">
        <v>13.99</v>
      </c>
    </row>
    <row r="3591" spans="1:3" ht="24" customHeight="1">
      <c r="A3591" s="1205" t="s">
        <v>67427</v>
      </c>
      <c r="B3591" s="1205" t="s">
        <v>67426</v>
      </c>
      <c r="C3591" s="1205">
        <v>18.989999999999998</v>
      </c>
    </row>
    <row r="3592" spans="1:3" ht="24" customHeight="1">
      <c r="A3592" s="1205" t="s">
        <v>67425</v>
      </c>
      <c r="B3592" s="1205" t="s">
        <v>67424</v>
      </c>
      <c r="C3592" s="1205">
        <v>172.49</v>
      </c>
    </row>
    <row r="3593" spans="1:3" ht="24" customHeight="1">
      <c r="A3593" s="1205" t="s">
        <v>67423</v>
      </c>
      <c r="B3593" s="1205" t="s">
        <v>67422</v>
      </c>
      <c r="C3593" s="1205">
        <v>129.49</v>
      </c>
    </row>
    <row r="3594" spans="1:3" ht="24" customHeight="1">
      <c r="A3594" s="1205" t="s">
        <v>67421</v>
      </c>
      <c r="B3594" s="1205" t="s">
        <v>67420</v>
      </c>
      <c r="C3594" s="1205">
        <v>171.49</v>
      </c>
    </row>
    <row r="3595" spans="1:3" ht="24" customHeight="1">
      <c r="A3595" s="1205" t="s">
        <v>67419</v>
      </c>
      <c r="B3595" s="1205" t="s">
        <v>67418</v>
      </c>
      <c r="C3595" s="1205">
        <v>128.49</v>
      </c>
    </row>
    <row r="3596" spans="1:3" ht="24" customHeight="1">
      <c r="A3596" s="1205" t="s">
        <v>67417</v>
      </c>
      <c r="B3596" s="1205" t="s">
        <v>67416</v>
      </c>
      <c r="C3596" s="1205">
        <v>225.99</v>
      </c>
    </row>
    <row r="3597" spans="1:3" ht="24" customHeight="1">
      <c r="A3597" s="1205" t="s">
        <v>67415</v>
      </c>
      <c r="B3597" s="1205" t="s">
        <v>67414</v>
      </c>
      <c r="C3597" s="1205">
        <v>345.99</v>
      </c>
    </row>
    <row r="3598" spans="1:3" ht="24" customHeight="1">
      <c r="A3598" s="1205" t="s">
        <v>67413</v>
      </c>
      <c r="B3598" s="1205" t="s">
        <v>67412</v>
      </c>
      <c r="C3598" s="1205">
        <v>308.49</v>
      </c>
    </row>
    <row r="3599" spans="1:3" ht="24" customHeight="1">
      <c r="A3599" s="1205" t="s">
        <v>67411</v>
      </c>
      <c r="B3599" s="1205" t="s">
        <v>67410</v>
      </c>
      <c r="C3599" s="1205">
        <v>323.99</v>
      </c>
    </row>
    <row r="3600" spans="1:3" ht="24" customHeight="1">
      <c r="A3600" s="1205" t="s">
        <v>67409</v>
      </c>
      <c r="B3600" s="1205" t="s">
        <v>67408</v>
      </c>
      <c r="C3600" s="1205">
        <v>292.49</v>
      </c>
    </row>
    <row r="3601" spans="1:3" ht="24" customHeight="1">
      <c r="A3601" s="1205" t="s">
        <v>67407</v>
      </c>
      <c r="B3601" s="1205" t="s">
        <v>67406</v>
      </c>
      <c r="C3601" s="1205">
        <v>304.99</v>
      </c>
    </row>
    <row r="3602" spans="1:3" ht="24" customHeight="1">
      <c r="A3602" s="1205" t="s">
        <v>67405</v>
      </c>
      <c r="B3602" s="1205" t="s">
        <v>67404</v>
      </c>
      <c r="C3602" s="1205">
        <v>270.99</v>
      </c>
    </row>
    <row r="3603" spans="1:3" ht="24" customHeight="1">
      <c r="A3603" s="1205" t="s">
        <v>67403</v>
      </c>
      <c r="B3603" s="1205" t="s">
        <v>67402</v>
      </c>
      <c r="C3603" s="1205">
        <v>192.49</v>
      </c>
    </row>
    <row r="3604" spans="1:3" ht="24" customHeight="1">
      <c r="A3604" s="1205" t="s">
        <v>67401</v>
      </c>
      <c r="B3604" s="1205" t="s">
        <v>67400</v>
      </c>
      <c r="C3604" s="1205">
        <v>259.49</v>
      </c>
    </row>
    <row r="3605" spans="1:3" ht="24" customHeight="1">
      <c r="A3605" s="1205" t="s">
        <v>67399</v>
      </c>
      <c r="B3605" s="1205" t="s">
        <v>67398</v>
      </c>
      <c r="C3605" s="1205">
        <v>394.49</v>
      </c>
    </row>
    <row r="3606" spans="1:3" ht="24" customHeight="1">
      <c r="A3606" s="1205" t="s">
        <v>67397</v>
      </c>
      <c r="B3606" s="1205" t="s">
        <v>67396</v>
      </c>
      <c r="C3606" s="1205">
        <v>362.99</v>
      </c>
    </row>
    <row r="3607" spans="1:3" ht="24" customHeight="1">
      <c r="A3607" s="1205" t="s">
        <v>67395</v>
      </c>
      <c r="B3607" s="1205" t="s">
        <v>67394</v>
      </c>
      <c r="C3607" s="1205">
        <v>374.49</v>
      </c>
    </row>
    <row r="3608" spans="1:3" ht="24" customHeight="1">
      <c r="A3608" s="1205" t="s">
        <v>67393</v>
      </c>
      <c r="B3608" s="1205" t="s">
        <v>67392</v>
      </c>
      <c r="C3608" s="1205">
        <v>342.49</v>
      </c>
    </row>
    <row r="3609" spans="1:3" ht="24" customHeight="1">
      <c r="A3609" s="1205" t="s">
        <v>67391</v>
      </c>
      <c r="B3609" s="1205" t="s">
        <v>67390</v>
      </c>
      <c r="C3609" s="1205">
        <v>351.99</v>
      </c>
    </row>
    <row r="3610" spans="1:3" ht="24" customHeight="1">
      <c r="A3610" s="1205" t="s">
        <v>67389</v>
      </c>
      <c r="B3610" s="1205" t="s">
        <v>67388</v>
      </c>
      <c r="C3610" s="1205">
        <v>320.49</v>
      </c>
    </row>
    <row r="3611" spans="1:3" ht="24" customHeight="1">
      <c r="A3611" s="1205" t="s">
        <v>67387</v>
      </c>
      <c r="B3611" s="1205" t="s">
        <v>67386</v>
      </c>
      <c r="C3611" s="1205">
        <v>260.99</v>
      </c>
    </row>
    <row r="3612" spans="1:3" ht="24" customHeight="1">
      <c r="A3612" s="1205" t="s">
        <v>67385</v>
      </c>
      <c r="B3612" s="1205" t="s">
        <v>67384</v>
      </c>
      <c r="C3612" s="1205">
        <v>156.49</v>
      </c>
    </row>
    <row r="3613" spans="1:3" ht="24" customHeight="1">
      <c r="A3613" s="1205" t="s">
        <v>67383</v>
      </c>
      <c r="B3613" s="1205" t="s">
        <v>67382</v>
      </c>
      <c r="C3613" s="1205">
        <v>24.99</v>
      </c>
    </row>
    <row r="3614" spans="1:3" ht="24" customHeight="1">
      <c r="A3614" s="1205" t="s">
        <v>67381</v>
      </c>
      <c r="B3614" s="1205" t="s">
        <v>67380</v>
      </c>
      <c r="C3614" s="1205">
        <v>336.49</v>
      </c>
    </row>
    <row r="3615" spans="1:3" ht="24" customHeight="1">
      <c r="A3615" s="1205" t="s">
        <v>67379</v>
      </c>
      <c r="B3615" s="1205" t="s">
        <v>67378</v>
      </c>
      <c r="C3615" s="1205">
        <v>299.49</v>
      </c>
    </row>
    <row r="3616" spans="1:3" ht="24" customHeight="1">
      <c r="A3616" s="1205" t="s">
        <v>67377</v>
      </c>
      <c r="B3616" s="1205" t="s">
        <v>67376</v>
      </c>
      <c r="C3616" s="1205">
        <v>265.49</v>
      </c>
    </row>
    <row r="3617" spans="1:3" ht="24" customHeight="1">
      <c r="A3617" s="1205" t="s">
        <v>67375</v>
      </c>
      <c r="B3617" s="1205" t="s">
        <v>67374</v>
      </c>
      <c r="C3617" s="1205">
        <v>228.99</v>
      </c>
    </row>
    <row r="3618" spans="1:3" ht="24" customHeight="1">
      <c r="A3618" s="1205" t="s">
        <v>67373</v>
      </c>
      <c r="B3618" s="1205" t="s">
        <v>67372</v>
      </c>
      <c r="C3618" s="1205">
        <v>247.49</v>
      </c>
    </row>
    <row r="3619" spans="1:3" ht="24" customHeight="1">
      <c r="A3619" s="1205" t="s">
        <v>67371</v>
      </c>
      <c r="B3619" s="1205" t="s">
        <v>67370</v>
      </c>
      <c r="C3619" s="1205">
        <v>210.99</v>
      </c>
    </row>
    <row r="3620" spans="1:3" ht="24" customHeight="1">
      <c r="A3620" s="1205" t="s">
        <v>67369</v>
      </c>
      <c r="B3620" s="1205" t="s">
        <v>67368</v>
      </c>
      <c r="C3620" s="1205">
        <v>224.99</v>
      </c>
    </row>
    <row r="3621" spans="1:3" ht="24" customHeight="1">
      <c r="A3621" s="1205" t="s">
        <v>67367</v>
      </c>
      <c r="B3621" s="1205" t="s">
        <v>67366</v>
      </c>
      <c r="C3621" s="1205">
        <v>188.49</v>
      </c>
    </row>
    <row r="3622" spans="1:3" ht="24" customHeight="1">
      <c r="A3622" s="1205" t="s">
        <v>67365</v>
      </c>
      <c r="B3622" s="1205" t="s">
        <v>67364</v>
      </c>
      <c r="C3622" s="1205">
        <v>131.99</v>
      </c>
    </row>
    <row r="3623" spans="1:3" ht="24" customHeight="1">
      <c r="A3623" s="1205" t="s">
        <v>67363</v>
      </c>
      <c r="B3623" s="1205" t="s">
        <v>67362</v>
      </c>
      <c r="C3623" s="1205">
        <v>246.49</v>
      </c>
    </row>
    <row r="3624" spans="1:3" ht="24" customHeight="1">
      <c r="A3624" s="1205" t="s">
        <v>67361</v>
      </c>
      <c r="B3624" s="1205" t="s">
        <v>67360</v>
      </c>
      <c r="C3624" s="1205">
        <v>213.99</v>
      </c>
    </row>
    <row r="3625" spans="1:3" ht="24" customHeight="1">
      <c r="A3625" s="1205" t="s">
        <v>67359</v>
      </c>
      <c r="B3625" s="1205" t="s">
        <v>67358</v>
      </c>
      <c r="C3625" s="1205">
        <v>199.49</v>
      </c>
    </row>
    <row r="3626" spans="1:3" ht="24" customHeight="1">
      <c r="A3626" s="1205" t="s">
        <v>67357</v>
      </c>
      <c r="B3626" s="1205" t="s">
        <v>67356</v>
      </c>
      <c r="C3626" s="1205">
        <v>167.49</v>
      </c>
    </row>
    <row r="3627" spans="1:3" ht="24" customHeight="1">
      <c r="A3627" s="1205" t="s">
        <v>67355</v>
      </c>
      <c r="B3627" s="1205" t="s">
        <v>67354</v>
      </c>
      <c r="C3627" s="1205">
        <v>223.99</v>
      </c>
    </row>
    <row r="3628" spans="1:3" ht="24" customHeight="1">
      <c r="A3628" s="1205" t="s">
        <v>67353</v>
      </c>
      <c r="B3628" s="1205" t="s">
        <v>67352</v>
      </c>
      <c r="C3628" s="1205">
        <v>191.49</v>
      </c>
    </row>
    <row r="3629" spans="1:3" ht="24" customHeight="1">
      <c r="A3629" s="1205" t="s">
        <v>67351</v>
      </c>
      <c r="B3629" s="1205" t="s">
        <v>67350</v>
      </c>
      <c r="C3629" s="1205">
        <v>179.99</v>
      </c>
    </row>
    <row r="3630" spans="1:3" ht="24" customHeight="1">
      <c r="A3630" s="1205" t="s">
        <v>67349</v>
      </c>
      <c r="B3630" s="1205" t="s">
        <v>67348</v>
      </c>
      <c r="C3630" s="1205">
        <v>147.49</v>
      </c>
    </row>
    <row r="3631" spans="1:3" ht="24" customHeight="1">
      <c r="A3631" s="1205" t="s">
        <v>67347</v>
      </c>
      <c r="B3631" s="1205" t="s">
        <v>67346</v>
      </c>
      <c r="C3631" s="1205">
        <v>87.49</v>
      </c>
    </row>
    <row r="3632" spans="1:3" ht="24" customHeight="1">
      <c r="A3632" s="1205" t="s">
        <v>67345</v>
      </c>
      <c r="B3632" s="1205" t="s">
        <v>67344</v>
      </c>
      <c r="C3632" s="1205">
        <v>149.99</v>
      </c>
    </row>
    <row r="3633" spans="1:3" ht="24" customHeight="1">
      <c r="A3633" s="1205" t="s">
        <v>67343</v>
      </c>
      <c r="B3633" s="1205" t="s">
        <v>67342</v>
      </c>
      <c r="C3633" s="1205">
        <v>150.49</v>
      </c>
    </row>
    <row r="3634" spans="1:3" ht="24" customHeight="1">
      <c r="A3634" s="1205" t="s">
        <v>67341</v>
      </c>
      <c r="B3634" s="1205" t="s">
        <v>67340</v>
      </c>
      <c r="C3634" s="1205">
        <v>72.489999999999995</v>
      </c>
    </row>
    <row r="3635" spans="1:3" ht="24" customHeight="1">
      <c r="A3635" s="1205" t="s">
        <v>67339</v>
      </c>
      <c r="B3635" s="1205" t="s">
        <v>67338</v>
      </c>
      <c r="C3635" s="1205">
        <v>110.99</v>
      </c>
    </row>
    <row r="3636" spans="1:3" ht="24" customHeight="1">
      <c r="A3636" s="1205" t="s">
        <v>67337</v>
      </c>
      <c r="B3636" s="1205" t="s">
        <v>67336</v>
      </c>
      <c r="C3636" s="1205">
        <v>115.49</v>
      </c>
    </row>
    <row r="3637" spans="1:3" ht="24" customHeight="1">
      <c r="A3637" s="1205" t="s">
        <v>67335</v>
      </c>
      <c r="B3637" s="1205" t="s">
        <v>67334</v>
      </c>
      <c r="C3637" s="1205">
        <v>136.99</v>
      </c>
    </row>
    <row r="3638" spans="1:3" ht="24" customHeight="1">
      <c r="A3638" s="1205" t="s">
        <v>67333</v>
      </c>
      <c r="B3638" s="1205" t="s">
        <v>67332</v>
      </c>
      <c r="C3638" s="1205">
        <v>190.99</v>
      </c>
    </row>
    <row r="3639" spans="1:3" ht="24" customHeight="1">
      <c r="A3639" s="1205" t="s">
        <v>67331</v>
      </c>
      <c r="B3639" s="1205" t="s">
        <v>67330</v>
      </c>
      <c r="C3639" s="1205">
        <v>226.99</v>
      </c>
    </row>
    <row r="3640" spans="1:3" ht="24" customHeight="1">
      <c r="A3640" s="1205" t="s">
        <v>67329</v>
      </c>
      <c r="B3640" s="1205" t="s">
        <v>67328</v>
      </c>
      <c r="C3640" s="1205">
        <v>256.49</v>
      </c>
    </row>
    <row r="3641" spans="1:3" ht="24" customHeight="1">
      <c r="A3641" s="1205" t="s">
        <v>67327</v>
      </c>
      <c r="B3641" s="1205" t="s">
        <v>67326</v>
      </c>
      <c r="C3641" s="1205">
        <v>198.99</v>
      </c>
    </row>
    <row r="3642" spans="1:3" ht="24" customHeight="1">
      <c r="A3642" s="1205" t="s">
        <v>67325</v>
      </c>
      <c r="B3642" s="1205" t="s">
        <v>67324</v>
      </c>
      <c r="C3642" s="1205">
        <v>215.99</v>
      </c>
    </row>
    <row r="3643" spans="1:3" ht="24" customHeight="1">
      <c r="A3643" s="1205" t="s">
        <v>67323</v>
      </c>
      <c r="B3643" s="1205" t="s">
        <v>67322</v>
      </c>
      <c r="C3643" s="1205">
        <v>288.99</v>
      </c>
    </row>
    <row r="3644" spans="1:3" ht="24" customHeight="1">
      <c r="A3644" s="1205" t="s">
        <v>67321</v>
      </c>
      <c r="B3644" s="1205" t="s">
        <v>67320</v>
      </c>
      <c r="C3644" s="1205">
        <v>295.99</v>
      </c>
    </row>
    <row r="3645" spans="1:3" ht="24" customHeight="1">
      <c r="A3645" s="1205" t="s">
        <v>67319</v>
      </c>
      <c r="B3645" s="1205" t="s">
        <v>67318</v>
      </c>
      <c r="C3645" s="1205">
        <v>224.49</v>
      </c>
    </row>
    <row r="3646" spans="1:3" ht="24" customHeight="1">
      <c r="A3646" s="1205" t="s">
        <v>67317</v>
      </c>
      <c r="B3646" s="1205" t="s">
        <v>67316</v>
      </c>
      <c r="C3646" s="1205">
        <v>186.49</v>
      </c>
    </row>
    <row r="3647" spans="1:3" ht="24" customHeight="1">
      <c r="A3647" s="1205" t="s">
        <v>67315</v>
      </c>
      <c r="B3647" s="1205" t="s">
        <v>67314</v>
      </c>
      <c r="C3647" s="1205">
        <v>203.99</v>
      </c>
    </row>
    <row r="3648" spans="1:3" ht="24" customHeight="1">
      <c r="A3648" s="1205" t="s">
        <v>67313</v>
      </c>
      <c r="B3648" s="1205" t="s">
        <v>67312</v>
      </c>
      <c r="C3648" s="1205">
        <v>165.99</v>
      </c>
    </row>
    <row r="3649" spans="1:3" ht="24" customHeight="1">
      <c r="A3649" s="1205" t="s">
        <v>67311</v>
      </c>
      <c r="B3649" s="1205" t="s">
        <v>67310</v>
      </c>
      <c r="C3649" s="1205">
        <v>93.49</v>
      </c>
    </row>
    <row r="3650" spans="1:3" ht="24" customHeight="1">
      <c r="A3650" s="1205" t="s">
        <v>67309</v>
      </c>
      <c r="B3650" s="1205" t="s">
        <v>67308</v>
      </c>
      <c r="C3650" s="1205">
        <v>140.99</v>
      </c>
    </row>
    <row r="3651" spans="1:3" ht="24" customHeight="1">
      <c r="A3651" s="1205" t="s">
        <v>67307</v>
      </c>
      <c r="B3651" s="1205" t="s">
        <v>67306</v>
      </c>
      <c r="C3651" s="1205">
        <v>127.99</v>
      </c>
    </row>
    <row r="3652" spans="1:3" ht="24" customHeight="1">
      <c r="A3652" s="1205" t="s">
        <v>67305</v>
      </c>
      <c r="B3652" s="1205" t="s">
        <v>67304</v>
      </c>
      <c r="C3652" s="1205">
        <v>87.99</v>
      </c>
    </row>
    <row r="3653" spans="1:3" ht="24" customHeight="1">
      <c r="A3653" s="1205" t="s">
        <v>67303</v>
      </c>
      <c r="B3653" s="1205" t="s">
        <v>67302</v>
      </c>
      <c r="C3653" s="1205">
        <v>56.49</v>
      </c>
    </row>
    <row r="3654" spans="1:3" ht="24" customHeight="1">
      <c r="A3654" s="1205" t="s">
        <v>67301</v>
      </c>
      <c r="B3654" s="1205" t="s">
        <v>67300</v>
      </c>
      <c r="C3654" s="1205">
        <v>60.49</v>
      </c>
    </row>
    <row r="3655" spans="1:3" ht="24" customHeight="1">
      <c r="A3655" s="1205" t="s">
        <v>67299</v>
      </c>
      <c r="B3655" s="1205" t="s">
        <v>67298</v>
      </c>
      <c r="C3655" s="1205">
        <v>100.99</v>
      </c>
    </row>
    <row r="3656" spans="1:3" ht="24" customHeight="1">
      <c r="A3656" s="1205" t="s">
        <v>67297</v>
      </c>
      <c r="B3656" s="1205" t="s">
        <v>67296</v>
      </c>
      <c r="C3656" s="1205">
        <v>62.99</v>
      </c>
    </row>
    <row r="3657" spans="1:3" ht="24" customHeight="1">
      <c r="A3657" s="1205" t="s">
        <v>67295</v>
      </c>
      <c r="B3657" s="1205" t="s">
        <v>67294</v>
      </c>
      <c r="C3657" s="1205">
        <v>30.49</v>
      </c>
    </row>
    <row r="3658" spans="1:3" ht="24" customHeight="1">
      <c r="A3658" s="1205" t="s">
        <v>67293</v>
      </c>
      <c r="B3658" s="1205" t="s">
        <v>67291</v>
      </c>
      <c r="C3658" s="1205">
        <v>17.989999999999998</v>
      </c>
    </row>
    <row r="3659" spans="1:3" ht="24" customHeight="1">
      <c r="A3659" s="1205" t="s">
        <v>67292</v>
      </c>
      <c r="B3659" s="1205" t="s">
        <v>67291</v>
      </c>
      <c r="C3659" s="1205">
        <v>15.49</v>
      </c>
    </row>
    <row r="3660" spans="1:3" ht="24" customHeight="1">
      <c r="A3660" s="1205" t="s">
        <v>67290</v>
      </c>
      <c r="B3660" s="1205" t="s">
        <v>67289</v>
      </c>
      <c r="C3660" s="1205">
        <v>22.49</v>
      </c>
    </row>
    <row r="3661" spans="1:3" ht="24" customHeight="1">
      <c r="A3661" s="1205" t="s">
        <v>67288</v>
      </c>
      <c r="B3661" s="1205" t="s">
        <v>67287</v>
      </c>
      <c r="C3661" s="1205">
        <v>17.489999999999998</v>
      </c>
    </row>
    <row r="3662" spans="1:3" ht="24" customHeight="1">
      <c r="A3662" s="1205" t="s">
        <v>67286</v>
      </c>
      <c r="B3662" s="1205" t="s">
        <v>67285</v>
      </c>
      <c r="C3662" s="1205">
        <v>13.99</v>
      </c>
    </row>
    <row r="3663" spans="1:3" ht="24" customHeight="1">
      <c r="A3663" s="1205" t="s">
        <v>67284</v>
      </c>
      <c r="B3663" s="1205" t="s">
        <v>67283</v>
      </c>
      <c r="C3663" s="1205">
        <v>13.49</v>
      </c>
    </row>
    <row r="3664" spans="1:3" ht="24" customHeight="1">
      <c r="A3664" s="1205" t="s">
        <v>67282</v>
      </c>
      <c r="B3664" s="1205" t="s">
        <v>67281</v>
      </c>
      <c r="C3664" s="1205">
        <v>16.489999999999998</v>
      </c>
    </row>
    <row r="3665" spans="1:3" ht="24" customHeight="1">
      <c r="A3665" s="1205" t="s">
        <v>67280</v>
      </c>
      <c r="B3665" s="1205" t="s">
        <v>67279</v>
      </c>
      <c r="C3665" s="1205">
        <v>15.99</v>
      </c>
    </row>
    <row r="3666" spans="1:3" ht="24" customHeight="1">
      <c r="A3666" s="1205" t="s">
        <v>67278</v>
      </c>
      <c r="B3666" s="1205" t="s">
        <v>67277</v>
      </c>
      <c r="C3666" s="1205">
        <v>17.989999999999998</v>
      </c>
    </row>
    <row r="3667" spans="1:3" ht="24" customHeight="1">
      <c r="A3667" s="1205" t="s">
        <v>67276</v>
      </c>
      <c r="B3667" s="1205" t="s">
        <v>67275</v>
      </c>
      <c r="C3667" s="1205">
        <v>14.99</v>
      </c>
    </row>
    <row r="3668" spans="1:3" ht="24" customHeight="1">
      <c r="A3668" s="1205" t="s">
        <v>67274</v>
      </c>
      <c r="B3668" s="1205" t="s">
        <v>67273</v>
      </c>
      <c r="C3668" s="1205">
        <v>24.49</v>
      </c>
    </row>
    <row r="3669" spans="1:3" ht="24" customHeight="1">
      <c r="A3669" s="1205" t="s">
        <v>67272</v>
      </c>
      <c r="B3669" s="1205" t="s">
        <v>67271</v>
      </c>
      <c r="C3669" s="1205">
        <v>19.489999999999998</v>
      </c>
    </row>
    <row r="3670" spans="1:3" ht="24" customHeight="1">
      <c r="A3670" s="1205" t="s">
        <v>67270</v>
      </c>
      <c r="B3670" s="1205" t="s">
        <v>67269</v>
      </c>
      <c r="C3670" s="1205">
        <v>15.99</v>
      </c>
    </row>
    <row r="3671" spans="1:3" ht="24" customHeight="1">
      <c r="A3671" s="1205" t="s">
        <v>67268</v>
      </c>
      <c r="B3671" s="1205" t="s">
        <v>67267</v>
      </c>
      <c r="C3671" s="1205">
        <v>13.99</v>
      </c>
    </row>
    <row r="3672" spans="1:3" ht="24" customHeight="1">
      <c r="A3672" s="1205" t="s">
        <v>67266</v>
      </c>
      <c r="B3672" s="1205" t="s">
        <v>67265</v>
      </c>
      <c r="C3672" s="1205">
        <v>99.99</v>
      </c>
    </row>
    <row r="3673" spans="1:3" ht="24" customHeight="1">
      <c r="A3673" s="1205" t="s">
        <v>67264</v>
      </c>
      <c r="B3673" s="1205" t="s">
        <v>67263</v>
      </c>
      <c r="C3673" s="1205">
        <v>69.489999999999995</v>
      </c>
    </row>
    <row r="3674" spans="1:3" ht="24" customHeight="1">
      <c r="A3674" s="1205" t="s">
        <v>67262</v>
      </c>
      <c r="B3674" s="1205" t="s">
        <v>67261</v>
      </c>
      <c r="C3674" s="1205">
        <v>385.49</v>
      </c>
    </row>
    <row r="3675" spans="1:3" ht="24" customHeight="1">
      <c r="A3675" s="1205" t="s">
        <v>67260</v>
      </c>
      <c r="B3675" s="1205" t="s">
        <v>67259</v>
      </c>
      <c r="C3675" s="1205">
        <v>357.99</v>
      </c>
    </row>
    <row r="3676" spans="1:3" ht="24" customHeight="1">
      <c r="A3676" s="1205" t="s">
        <v>67258</v>
      </c>
      <c r="B3676" s="1205" t="s">
        <v>67257</v>
      </c>
      <c r="C3676" s="1205">
        <v>445.99</v>
      </c>
    </row>
    <row r="3677" spans="1:3" ht="24" customHeight="1">
      <c r="A3677" s="1205" t="s">
        <v>67256</v>
      </c>
      <c r="B3677" s="1205" t="s">
        <v>67255</v>
      </c>
      <c r="C3677" s="1205">
        <v>51.99</v>
      </c>
    </row>
    <row r="3678" spans="1:3" ht="24" customHeight="1">
      <c r="A3678" s="1205" t="s">
        <v>67254</v>
      </c>
      <c r="B3678" s="1205" t="s">
        <v>67253</v>
      </c>
      <c r="C3678" s="1205">
        <v>31.49</v>
      </c>
    </row>
    <row r="3679" spans="1:3" ht="24" customHeight="1">
      <c r="A3679" s="1205" t="s">
        <v>67252</v>
      </c>
      <c r="B3679" s="1205" t="s">
        <v>67251</v>
      </c>
      <c r="C3679" s="1205">
        <v>54.99</v>
      </c>
    </row>
    <row r="3680" spans="1:3" ht="24" customHeight="1">
      <c r="A3680" s="1205" t="s">
        <v>67250</v>
      </c>
      <c r="B3680" s="1205" t="s">
        <v>67249</v>
      </c>
      <c r="C3680" s="1205">
        <v>18.989999999999998</v>
      </c>
    </row>
    <row r="3681" spans="1:3" ht="24" customHeight="1">
      <c r="A3681" s="1205" t="s">
        <v>67248</v>
      </c>
      <c r="B3681" s="1205" t="s">
        <v>67247</v>
      </c>
      <c r="C3681" s="1205">
        <v>13.49</v>
      </c>
    </row>
    <row r="3682" spans="1:3" ht="24" customHeight="1">
      <c r="A3682" s="1205" t="s">
        <v>67246</v>
      </c>
      <c r="B3682" s="1205" t="s">
        <v>67245</v>
      </c>
      <c r="C3682" s="1205">
        <v>11.99</v>
      </c>
    </row>
    <row r="3683" spans="1:3" ht="24" customHeight="1">
      <c r="A3683" s="1205" t="s">
        <v>67244</v>
      </c>
      <c r="B3683" s="1205" t="s">
        <v>67243</v>
      </c>
      <c r="C3683" s="1205">
        <v>26.99</v>
      </c>
    </row>
    <row r="3684" spans="1:3" ht="24" customHeight="1">
      <c r="A3684" s="1205" t="s">
        <v>67242</v>
      </c>
      <c r="B3684" s="1205" t="s">
        <v>67241</v>
      </c>
      <c r="C3684" s="1205">
        <v>143.99</v>
      </c>
    </row>
    <row r="3685" spans="1:3" ht="24" customHeight="1">
      <c r="A3685" s="1205" t="s">
        <v>67240</v>
      </c>
      <c r="B3685" s="1205" t="s">
        <v>67239</v>
      </c>
      <c r="C3685" s="1205">
        <v>138.99</v>
      </c>
    </row>
    <row r="3686" spans="1:3" ht="24" customHeight="1">
      <c r="A3686" s="1205" t="s">
        <v>67238</v>
      </c>
      <c r="B3686" s="1205" t="s">
        <v>67237</v>
      </c>
      <c r="C3686" s="1205">
        <v>146.99</v>
      </c>
    </row>
    <row r="3687" spans="1:3" ht="24" customHeight="1">
      <c r="A3687" s="1205" t="s">
        <v>67236</v>
      </c>
      <c r="B3687" s="1205" t="s">
        <v>67235</v>
      </c>
      <c r="C3687" s="1205">
        <v>105.99</v>
      </c>
    </row>
    <row r="3688" spans="1:3" ht="24" customHeight="1">
      <c r="A3688" s="1205" t="s">
        <v>67234</v>
      </c>
      <c r="B3688" s="1205" t="s">
        <v>67233</v>
      </c>
      <c r="C3688" s="1205">
        <v>113.99</v>
      </c>
    </row>
    <row r="3689" spans="1:3" ht="24" customHeight="1">
      <c r="A3689" s="1205" t="s">
        <v>67232</v>
      </c>
      <c r="B3689" s="1205" t="s">
        <v>67231</v>
      </c>
      <c r="C3689" s="1205">
        <v>18.489999999999998</v>
      </c>
    </row>
    <row r="3690" spans="1:3" ht="24" customHeight="1">
      <c r="A3690" s="1205" t="s">
        <v>67230</v>
      </c>
      <c r="B3690" s="1205" t="s">
        <v>67229</v>
      </c>
      <c r="C3690" s="1205">
        <v>229.99</v>
      </c>
    </row>
    <row r="3691" spans="1:3" ht="24" customHeight="1">
      <c r="A3691" s="1205" t="s">
        <v>67228</v>
      </c>
      <c r="B3691" s="1205" t="s">
        <v>67227</v>
      </c>
      <c r="C3691" s="1205">
        <v>174.49</v>
      </c>
    </row>
    <row r="3692" spans="1:3" ht="24" customHeight="1">
      <c r="A3692" s="1205" t="s">
        <v>67226</v>
      </c>
      <c r="B3692" s="1205" t="s">
        <v>67225</v>
      </c>
      <c r="C3692" s="1205">
        <v>191.99</v>
      </c>
    </row>
    <row r="3693" spans="1:3" ht="24" customHeight="1">
      <c r="A3693" s="1205" t="s">
        <v>67224</v>
      </c>
      <c r="B3693" s="1205" t="s">
        <v>67223</v>
      </c>
      <c r="C3693" s="1205">
        <v>165.49</v>
      </c>
    </row>
    <row r="3694" spans="1:3" ht="24" customHeight="1">
      <c r="A3694" s="1205" t="s">
        <v>67222</v>
      </c>
      <c r="B3694" s="1205" t="s">
        <v>67221</v>
      </c>
      <c r="C3694" s="1205">
        <v>117.99</v>
      </c>
    </row>
    <row r="3695" spans="1:3" ht="24" customHeight="1">
      <c r="A3695" s="1205" t="s">
        <v>67220</v>
      </c>
      <c r="B3695" s="1205" t="s">
        <v>67219</v>
      </c>
      <c r="C3695" s="1205">
        <v>221.99</v>
      </c>
    </row>
    <row r="3696" spans="1:3" ht="24" customHeight="1">
      <c r="A3696" s="1205" t="s">
        <v>67218</v>
      </c>
      <c r="B3696" s="1205" t="s">
        <v>67217</v>
      </c>
      <c r="C3696" s="1205">
        <v>192.49</v>
      </c>
    </row>
    <row r="3697" spans="1:3" ht="24" customHeight="1">
      <c r="A3697" s="1205" t="s">
        <v>67216</v>
      </c>
      <c r="B3697" s="1205" t="s">
        <v>67215</v>
      </c>
      <c r="C3697" s="1205">
        <v>506.99</v>
      </c>
    </row>
    <row r="3698" spans="1:3" ht="24" customHeight="1">
      <c r="A3698" s="1205" t="s">
        <v>67214</v>
      </c>
      <c r="B3698" s="1205" t="s">
        <v>67213</v>
      </c>
      <c r="C3698" s="1205">
        <v>86.49</v>
      </c>
    </row>
    <row r="3699" spans="1:3" ht="24" customHeight="1">
      <c r="A3699" s="1205" t="s">
        <v>67212</v>
      </c>
      <c r="B3699" s="1205" t="s">
        <v>67211</v>
      </c>
      <c r="C3699" s="1205">
        <v>403.49</v>
      </c>
    </row>
    <row r="3700" spans="1:3" ht="24" customHeight="1">
      <c r="A3700" s="1205" t="s">
        <v>67210</v>
      </c>
      <c r="B3700" s="1205" t="s">
        <v>67209</v>
      </c>
      <c r="C3700" s="1205">
        <v>126.49</v>
      </c>
    </row>
    <row r="3701" spans="1:3" ht="24" customHeight="1">
      <c r="A3701" s="1205" t="s">
        <v>67208</v>
      </c>
      <c r="B3701" s="1205" t="s">
        <v>67196</v>
      </c>
      <c r="C3701" s="1205">
        <v>22.99</v>
      </c>
    </row>
    <row r="3702" spans="1:3" ht="24" customHeight="1">
      <c r="A3702" s="1205" t="s">
        <v>67207</v>
      </c>
      <c r="B3702" s="1205" t="s">
        <v>67206</v>
      </c>
      <c r="C3702" s="1205">
        <v>20.49</v>
      </c>
    </row>
    <row r="3703" spans="1:3" ht="24" customHeight="1">
      <c r="A3703" s="1205" t="s">
        <v>67205</v>
      </c>
      <c r="B3703" s="1205" t="s">
        <v>67204</v>
      </c>
      <c r="C3703" s="1205">
        <v>32.49</v>
      </c>
    </row>
    <row r="3704" spans="1:3" ht="24" customHeight="1">
      <c r="A3704" s="1205" t="s">
        <v>67203</v>
      </c>
      <c r="B3704" s="1205" t="s">
        <v>67202</v>
      </c>
      <c r="C3704" s="1205">
        <v>29.99</v>
      </c>
    </row>
    <row r="3705" spans="1:3" ht="24" customHeight="1">
      <c r="A3705" s="1205" t="s">
        <v>67201</v>
      </c>
      <c r="B3705" s="1205" t="s">
        <v>67196</v>
      </c>
      <c r="C3705" s="1205">
        <v>20.99</v>
      </c>
    </row>
    <row r="3706" spans="1:3" ht="24" customHeight="1">
      <c r="A3706" s="1205" t="s">
        <v>67200</v>
      </c>
      <c r="B3706" s="1205" t="s">
        <v>67198</v>
      </c>
      <c r="C3706" s="1205">
        <v>26.99</v>
      </c>
    </row>
    <row r="3707" spans="1:3" ht="24" customHeight="1">
      <c r="A3707" s="1205" t="s">
        <v>67199</v>
      </c>
      <c r="B3707" s="1205" t="s">
        <v>67198</v>
      </c>
      <c r="C3707" s="1205">
        <v>24.99</v>
      </c>
    </row>
    <row r="3708" spans="1:3" ht="24" customHeight="1">
      <c r="A3708" s="1205" t="s">
        <v>67197</v>
      </c>
      <c r="B3708" s="1205" t="s">
        <v>67196</v>
      </c>
      <c r="C3708" s="1205">
        <v>18.989999999999998</v>
      </c>
    </row>
    <row r="3709" spans="1:3" ht="24" customHeight="1">
      <c r="A3709" s="1205" t="s">
        <v>67195</v>
      </c>
      <c r="B3709" s="1205" t="s">
        <v>67194</v>
      </c>
      <c r="C3709" s="1205">
        <v>29.49</v>
      </c>
    </row>
    <row r="3710" spans="1:3" ht="24" customHeight="1">
      <c r="A3710" s="1205" t="s">
        <v>67193</v>
      </c>
      <c r="B3710" s="1205" t="s">
        <v>67192</v>
      </c>
      <c r="C3710" s="1205">
        <v>27.49</v>
      </c>
    </row>
    <row r="3711" spans="1:3" ht="24" customHeight="1">
      <c r="A3711" s="1205" t="s">
        <v>67191</v>
      </c>
      <c r="B3711" s="1205" t="s">
        <v>67190</v>
      </c>
      <c r="C3711" s="1205">
        <v>49.99</v>
      </c>
    </row>
    <row r="3712" spans="1:3" ht="24" customHeight="1">
      <c r="A3712" s="1205" t="s">
        <v>67189</v>
      </c>
      <c r="B3712" s="1205" t="s">
        <v>67188</v>
      </c>
      <c r="C3712" s="1205">
        <v>75.489999999999995</v>
      </c>
    </row>
    <row r="3713" spans="1:3" ht="24" customHeight="1">
      <c r="A3713" s="1205" t="s">
        <v>67187</v>
      </c>
      <c r="B3713" s="1205" t="s">
        <v>67186</v>
      </c>
      <c r="C3713" s="1205">
        <v>74.989999999999995</v>
      </c>
    </row>
    <row r="3714" spans="1:3" ht="24" customHeight="1">
      <c r="A3714" s="1205" t="s">
        <v>67185</v>
      </c>
      <c r="B3714" s="1205" t="s">
        <v>67184</v>
      </c>
      <c r="C3714" s="1205">
        <v>82.99</v>
      </c>
    </row>
    <row r="3715" spans="1:3" ht="24" customHeight="1">
      <c r="A3715" s="1205" t="s">
        <v>67183</v>
      </c>
      <c r="B3715" s="1205" t="s">
        <v>67182</v>
      </c>
      <c r="C3715" s="1205">
        <v>21.49</v>
      </c>
    </row>
    <row r="3716" spans="1:3" ht="24" customHeight="1">
      <c r="A3716" s="1205" t="s">
        <v>67181</v>
      </c>
      <c r="B3716" s="1205" t="s">
        <v>67180</v>
      </c>
      <c r="C3716" s="1205">
        <v>22.99</v>
      </c>
    </row>
    <row r="3717" spans="1:3" ht="24" customHeight="1">
      <c r="A3717" s="1205" t="s">
        <v>67179</v>
      </c>
      <c r="B3717" s="1205" t="s">
        <v>67178</v>
      </c>
      <c r="C3717" s="1205">
        <v>40.49</v>
      </c>
    </row>
    <row r="3718" spans="1:3" ht="24" customHeight="1">
      <c r="A3718" s="1205" t="s">
        <v>67177</v>
      </c>
      <c r="B3718" s="1205" t="s">
        <v>67176</v>
      </c>
      <c r="C3718" s="1205">
        <v>21.49</v>
      </c>
    </row>
    <row r="3719" spans="1:3" ht="24" customHeight="1">
      <c r="A3719" s="1205" t="s">
        <v>67175</v>
      </c>
      <c r="B3719" s="1205" t="s">
        <v>67174</v>
      </c>
      <c r="C3719" s="1205">
        <v>25.49</v>
      </c>
    </row>
    <row r="3720" spans="1:3" ht="24" customHeight="1">
      <c r="A3720" s="1205" t="s">
        <v>67173</v>
      </c>
      <c r="B3720" s="1205" t="s">
        <v>67021</v>
      </c>
      <c r="C3720" s="1205">
        <v>70.489999999999995</v>
      </c>
    </row>
    <row r="3721" spans="1:3" ht="24" customHeight="1">
      <c r="A3721" s="1205" t="s">
        <v>67172</v>
      </c>
      <c r="B3721" s="1205" t="s">
        <v>67171</v>
      </c>
      <c r="C3721" s="1205">
        <v>19.989999999999998</v>
      </c>
    </row>
    <row r="3722" spans="1:3" ht="24" customHeight="1">
      <c r="A3722" s="1205" t="s">
        <v>67170</v>
      </c>
      <c r="B3722" s="1205" t="s">
        <v>67169</v>
      </c>
      <c r="C3722" s="1205">
        <v>23.99</v>
      </c>
    </row>
    <row r="3723" spans="1:3" ht="24" customHeight="1">
      <c r="A3723" s="1205" t="s">
        <v>67168</v>
      </c>
      <c r="B3723" s="1205" t="s">
        <v>67167</v>
      </c>
      <c r="C3723" s="1205">
        <v>20.49</v>
      </c>
    </row>
    <row r="3724" spans="1:3" ht="24" customHeight="1">
      <c r="A3724" s="1205" t="s">
        <v>67166</v>
      </c>
      <c r="B3724" s="1205" t="s">
        <v>67165</v>
      </c>
      <c r="C3724" s="1205">
        <v>98.99</v>
      </c>
    </row>
    <row r="3725" spans="1:3" ht="24" customHeight="1">
      <c r="A3725" s="1205" t="s">
        <v>67164</v>
      </c>
      <c r="B3725" s="1205" t="s">
        <v>67163</v>
      </c>
      <c r="C3725" s="1205">
        <v>114.49</v>
      </c>
    </row>
    <row r="3726" spans="1:3" ht="24" customHeight="1">
      <c r="A3726" s="1205" t="s">
        <v>67162</v>
      </c>
      <c r="B3726" s="1205" t="s">
        <v>67161</v>
      </c>
      <c r="C3726" s="1205">
        <v>83.49</v>
      </c>
    </row>
    <row r="3727" spans="1:3" ht="24" customHeight="1">
      <c r="A3727" s="1205" t="s">
        <v>67160</v>
      </c>
      <c r="B3727" s="1205" t="s">
        <v>67159</v>
      </c>
      <c r="C3727" s="1205">
        <v>40.49</v>
      </c>
    </row>
    <row r="3728" spans="1:3" ht="24" customHeight="1">
      <c r="A3728" s="1205" t="s">
        <v>67158</v>
      </c>
      <c r="B3728" s="1205" t="s">
        <v>67157</v>
      </c>
      <c r="C3728" s="1205">
        <v>102.99</v>
      </c>
    </row>
    <row r="3729" spans="1:3" ht="24" customHeight="1">
      <c r="A3729" s="1205" t="s">
        <v>67156</v>
      </c>
      <c r="B3729" s="1205" t="s">
        <v>67155</v>
      </c>
      <c r="C3729" s="1205">
        <v>163.99</v>
      </c>
    </row>
    <row r="3730" spans="1:3" ht="24" customHeight="1">
      <c r="A3730" s="1205" t="s">
        <v>67154</v>
      </c>
      <c r="B3730" s="1205" t="s">
        <v>67153</v>
      </c>
      <c r="C3730" s="1205">
        <v>178.99</v>
      </c>
    </row>
    <row r="3731" spans="1:3" ht="24" customHeight="1">
      <c r="A3731" s="1205" t="s">
        <v>67152</v>
      </c>
      <c r="B3731" s="1205" t="s">
        <v>67151</v>
      </c>
      <c r="C3731" s="1205">
        <v>150.49</v>
      </c>
    </row>
    <row r="3732" spans="1:3" ht="24" customHeight="1">
      <c r="A3732" s="1205" t="s">
        <v>67150</v>
      </c>
      <c r="B3732" s="1205" t="s">
        <v>67149</v>
      </c>
      <c r="C3732" s="1205">
        <v>175.99</v>
      </c>
    </row>
    <row r="3733" spans="1:3" ht="24" customHeight="1">
      <c r="A3733" s="1205" t="s">
        <v>67148</v>
      </c>
      <c r="B3733" s="1205" t="s">
        <v>67147</v>
      </c>
      <c r="C3733" s="1205">
        <v>192.99</v>
      </c>
    </row>
    <row r="3734" spans="1:3" ht="24" customHeight="1">
      <c r="A3734" s="1205" t="s">
        <v>67146</v>
      </c>
      <c r="B3734" s="1205" t="s">
        <v>67145</v>
      </c>
      <c r="C3734" s="1205">
        <v>201.99</v>
      </c>
    </row>
    <row r="3735" spans="1:3" ht="24" customHeight="1">
      <c r="A3735" s="1205" t="s">
        <v>67144</v>
      </c>
      <c r="B3735" s="1205" t="s">
        <v>67143</v>
      </c>
      <c r="C3735" s="1205">
        <v>181.49</v>
      </c>
    </row>
    <row r="3736" spans="1:3" ht="24" customHeight="1">
      <c r="A3736" s="1205" t="s">
        <v>67142</v>
      </c>
      <c r="B3736" s="1205" t="s">
        <v>67141</v>
      </c>
      <c r="C3736" s="1205">
        <v>162.49</v>
      </c>
    </row>
    <row r="3737" spans="1:3" ht="24" customHeight="1">
      <c r="A3737" s="1205" t="s">
        <v>67140</v>
      </c>
      <c r="B3737" s="1205" t="s">
        <v>67139</v>
      </c>
      <c r="C3737" s="1205">
        <v>122.49</v>
      </c>
    </row>
    <row r="3738" spans="1:3" ht="24" customHeight="1">
      <c r="A3738" s="1205" t="s">
        <v>67138</v>
      </c>
      <c r="B3738" s="1205" t="s">
        <v>67137</v>
      </c>
      <c r="C3738" s="1205">
        <v>122.49</v>
      </c>
    </row>
    <row r="3739" spans="1:3" ht="24" customHeight="1">
      <c r="A3739" s="1205" t="s">
        <v>67136</v>
      </c>
      <c r="B3739" s="1205" t="s">
        <v>67135</v>
      </c>
      <c r="C3739" s="1205">
        <v>166.99</v>
      </c>
    </row>
    <row r="3740" spans="1:3" ht="24" customHeight="1">
      <c r="A3740" s="1205" t="s">
        <v>67134</v>
      </c>
      <c r="B3740" s="1205" t="s">
        <v>67133</v>
      </c>
      <c r="C3740" s="1205">
        <v>180.99</v>
      </c>
    </row>
    <row r="3741" spans="1:3" ht="24" customHeight="1">
      <c r="A3741" s="1205" t="s">
        <v>67132</v>
      </c>
      <c r="B3741" s="1205" t="s">
        <v>67131</v>
      </c>
      <c r="C3741" s="1205">
        <v>172.49</v>
      </c>
    </row>
    <row r="3742" spans="1:3" ht="24" customHeight="1">
      <c r="A3742" s="1205" t="s">
        <v>67130</v>
      </c>
      <c r="B3742" s="1205" t="s">
        <v>67129</v>
      </c>
      <c r="C3742" s="1205">
        <v>81.99</v>
      </c>
    </row>
    <row r="3743" spans="1:3" ht="24" customHeight="1">
      <c r="A3743" s="1205" t="s">
        <v>67128</v>
      </c>
      <c r="B3743" s="1205" t="s">
        <v>67127</v>
      </c>
      <c r="C3743" s="1205">
        <v>165.49</v>
      </c>
    </row>
    <row r="3744" spans="1:3" ht="24" customHeight="1">
      <c r="A3744" s="1205" t="s">
        <v>67126</v>
      </c>
      <c r="B3744" s="1205" t="s">
        <v>67125</v>
      </c>
      <c r="C3744" s="1205">
        <v>180.49</v>
      </c>
    </row>
    <row r="3745" spans="1:3" ht="24" customHeight="1">
      <c r="A3745" s="1205" t="s">
        <v>67124</v>
      </c>
      <c r="B3745" s="1205" t="s">
        <v>67123</v>
      </c>
      <c r="C3745" s="1205">
        <v>149.99</v>
      </c>
    </row>
    <row r="3746" spans="1:3" ht="24" customHeight="1">
      <c r="A3746" s="1205" t="s">
        <v>67122</v>
      </c>
      <c r="B3746" s="1205" t="s">
        <v>67121</v>
      </c>
      <c r="C3746" s="1205">
        <v>178.99</v>
      </c>
    </row>
    <row r="3747" spans="1:3" ht="24" customHeight="1">
      <c r="A3747" s="1205" t="s">
        <v>67120</v>
      </c>
      <c r="B3747" s="1205" t="s">
        <v>67119</v>
      </c>
      <c r="C3747" s="1205">
        <v>193.99</v>
      </c>
    </row>
    <row r="3748" spans="1:3" ht="24" customHeight="1">
      <c r="A3748" s="1205" t="s">
        <v>67118</v>
      </c>
      <c r="B3748" s="1205" t="s">
        <v>67117</v>
      </c>
      <c r="C3748" s="1205">
        <v>172.49</v>
      </c>
    </row>
    <row r="3749" spans="1:3" ht="24" customHeight="1">
      <c r="A3749" s="1205" t="s">
        <v>67116</v>
      </c>
      <c r="B3749" s="1205" t="s">
        <v>67115</v>
      </c>
      <c r="C3749" s="1205">
        <v>187.49</v>
      </c>
    </row>
    <row r="3750" spans="1:3" ht="24" customHeight="1">
      <c r="A3750" s="1205" t="s">
        <v>67114</v>
      </c>
      <c r="B3750" s="1205" t="s">
        <v>67113</v>
      </c>
      <c r="C3750" s="1205">
        <v>195.99</v>
      </c>
    </row>
    <row r="3751" spans="1:3" ht="24" customHeight="1">
      <c r="A3751" s="1205" t="s">
        <v>67112</v>
      </c>
      <c r="B3751" s="1205" t="s">
        <v>67111</v>
      </c>
      <c r="C3751" s="1205">
        <v>184.49</v>
      </c>
    </row>
    <row r="3752" spans="1:3" ht="24" customHeight="1">
      <c r="A3752" s="1205" t="s">
        <v>67110</v>
      </c>
      <c r="B3752" s="1205" t="s">
        <v>67109</v>
      </c>
      <c r="C3752" s="1205">
        <v>247.99</v>
      </c>
    </row>
    <row r="3753" spans="1:3" ht="24" customHeight="1">
      <c r="A3753" s="1205" t="s">
        <v>67108</v>
      </c>
      <c r="B3753" s="1205" t="s">
        <v>67107</v>
      </c>
      <c r="C3753" s="1205">
        <v>163.99</v>
      </c>
    </row>
    <row r="3754" spans="1:3" ht="24" customHeight="1">
      <c r="A3754" s="1205" t="s">
        <v>67106</v>
      </c>
      <c r="B3754" s="1205" t="s">
        <v>67105</v>
      </c>
      <c r="C3754" s="1205">
        <v>198.49</v>
      </c>
    </row>
    <row r="3755" spans="1:3" ht="24" customHeight="1">
      <c r="A3755" s="1205" t="s">
        <v>67104</v>
      </c>
      <c r="B3755" s="1205" t="s">
        <v>67103</v>
      </c>
      <c r="C3755" s="1205">
        <v>182.99</v>
      </c>
    </row>
    <row r="3756" spans="1:3" ht="24" customHeight="1">
      <c r="A3756" s="1205" t="s">
        <v>67102</v>
      </c>
      <c r="B3756" s="1205" t="s">
        <v>67101</v>
      </c>
      <c r="C3756" s="1205">
        <v>255.99</v>
      </c>
    </row>
    <row r="3757" spans="1:3" ht="24" customHeight="1">
      <c r="A3757" s="1205" t="s">
        <v>67100</v>
      </c>
      <c r="B3757" s="1205" t="s">
        <v>67099</v>
      </c>
      <c r="C3757" s="1205">
        <v>167.49</v>
      </c>
    </row>
    <row r="3758" spans="1:3" ht="24" customHeight="1">
      <c r="A3758" s="1205" t="s">
        <v>67098</v>
      </c>
      <c r="B3758" s="1205" t="s">
        <v>67097</v>
      </c>
      <c r="C3758" s="1205">
        <v>163.49</v>
      </c>
    </row>
    <row r="3759" spans="1:3" ht="24" customHeight="1">
      <c r="A3759" s="1205" t="s">
        <v>67096</v>
      </c>
      <c r="B3759" s="1205" t="s">
        <v>67095</v>
      </c>
      <c r="C3759" s="1205">
        <v>144.99</v>
      </c>
    </row>
    <row r="3760" spans="1:3" ht="24" customHeight="1">
      <c r="A3760" s="1205" t="s">
        <v>67094</v>
      </c>
      <c r="B3760" s="1205" t="s">
        <v>67080</v>
      </c>
      <c r="C3760" s="1205">
        <v>159.99</v>
      </c>
    </row>
    <row r="3761" spans="1:3" ht="24" customHeight="1">
      <c r="A3761" s="1205" t="s">
        <v>67093</v>
      </c>
      <c r="B3761" s="1205" t="s">
        <v>67092</v>
      </c>
      <c r="C3761" s="1205">
        <v>164.99</v>
      </c>
    </row>
    <row r="3762" spans="1:3" ht="24" customHeight="1">
      <c r="A3762" s="1205" t="s">
        <v>67091</v>
      </c>
      <c r="B3762" s="1205" t="s">
        <v>67090</v>
      </c>
      <c r="C3762" s="1205">
        <v>133.99</v>
      </c>
    </row>
    <row r="3763" spans="1:3" ht="24" customHeight="1">
      <c r="A3763" s="1205" t="s">
        <v>67089</v>
      </c>
      <c r="B3763" s="1205" t="s">
        <v>67088</v>
      </c>
      <c r="C3763" s="1205">
        <v>169.49</v>
      </c>
    </row>
    <row r="3764" spans="1:3" ht="24" customHeight="1">
      <c r="A3764" s="1205" t="s">
        <v>67087</v>
      </c>
      <c r="B3764" s="1205" t="s">
        <v>67086</v>
      </c>
      <c r="C3764" s="1205">
        <v>175.99</v>
      </c>
    </row>
    <row r="3765" spans="1:3" ht="24" customHeight="1">
      <c r="A3765" s="1205" t="s">
        <v>67085</v>
      </c>
      <c r="B3765" s="1205" t="s">
        <v>67084</v>
      </c>
      <c r="C3765" s="1205">
        <v>186.99</v>
      </c>
    </row>
    <row r="3766" spans="1:3" ht="24" customHeight="1">
      <c r="A3766" s="1205" t="s">
        <v>67083</v>
      </c>
      <c r="B3766" s="1205" t="s">
        <v>67082</v>
      </c>
      <c r="C3766" s="1205">
        <v>182.99</v>
      </c>
    </row>
    <row r="3767" spans="1:3" ht="24" customHeight="1">
      <c r="A3767" s="1205" t="s">
        <v>67081</v>
      </c>
      <c r="B3767" s="1205" t="s">
        <v>67080</v>
      </c>
      <c r="C3767" s="1205">
        <v>148.99</v>
      </c>
    </row>
    <row r="3768" spans="1:3" ht="24" customHeight="1">
      <c r="A3768" s="1205" t="s">
        <v>67079</v>
      </c>
      <c r="B3768" s="1205" t="s">
        <v>67078</v>
      </c>
      <c r="C3768" s="1205">
        <v>22.49</v>
      </c>
    </row>
    <row r="3769" spans="1:3" ht="24" customHeight="1">
      <c r="A3769" s="1205" t="s">
        <v>67077</v>
      </c>
      <c r="B3769" s="1205" t="s">
        <v>67076</v>
      </c>
      <c r="C3769" s="1205">
        <v>24.49</v>
      </c>
    </row>
    <row r="3770" spans="1:3" ht="24" customHeight="1">
      <c r="A3770" s="1205" t="s">
        <v>67075</v>
      </c>
      <c r="B3770" s="1205" t="s">
        <v>67074</v>
      </c>
      <c r="C3770" s="1205">
        <v>107.99</v>
      </c>
    </row>
    <row r="3771" spans="1:3" ht="24" customHeight="1">
      <c r="A3771" s="1205" t="s">
        <v>67073</v>
      </c>
      <c r="B3771" s="1205" t="s">
        <v>67072</v>
      </c>
      <c r="C3771" s="1205">
        <v>98.49</v>
      </c>
    </row>
    <row r="3772" spans="1:3" ht="24" customHeight="1">
      <c r="A3772" s="1205" t="s">
        <v>67071</v>
      </c>
      <c r="B3772" s="1205" t="s">
        <v>67070</v>
      </c>
      <c r="C3772" s="1205">
        <v>145.49</v>
      </c>
    </row>
    <row r="3773" spans="1:3" ht="24" customHeight="1">
      <c r="A3773" s="1205" t="s">
        <v>67069</v>
      </c>
      <c r="B3773" s="1205" t="s">
        <v>67035</v>
      </c>
      <c r="C3773" s="1205">
        <v>123.49</v>
      </c>
    </row>
    <row r="3774" spans="1:3" ht="24" customHeight="1">
      <c r="A3774" s="1205" t="s">
        <v>67068</v>
      </c>
      <c r="B3774" s="1205" t="s">
        <v>67067</v>
      </c>
      <c r="C3774" s="1205">
        <v>114.49</v>
      </c>
    </row>
    <row r="3775" spans="1:3" ht="24" customHeight="1">
      <c r="A3775" s="1205" t="s">
        <v>67066</v>
      </c>
      <c r="B3775" s="1205" t="s">
        <v>67065</v>
      </c>
      <c r="C3775" s="1205">
        <v>90.49</v>
      </c>
    </row>
    <row r="3776" spans="1:3" ht="24" customHeight="1">
      <c r="A3776" s="1205" t="s">
        <v>67064</v>
      </c>
      <c r="B3776" s="1205" t="s">
        <v>67063</v>
      </c>
      <c r="C3776" s="1205">
        <v>122.99</v>
      </c>
    </row>
    <row r="3777" spans="1:3" ht="24" customHeight="1">
      <c r="A3777" s="1205" t="s">
        <v>67062</v>
      </c>
      <c r="B3777" s="1205" t="s">
        <v>67061</v>
      </c>
      <c r="C3777" s="1205">
        <v>95.99</v>
      </c>
    </row>
    <row r="3778" spans="1:3" ht="24" customHeight="1">
      <c r="A3778" s="1205" t="s">
        <v>67060</v>
      </c>
      <c r="B3778" s="1205" t="s">
        <v>67059</v>
      </c>
      <c r="C3778" s="1205">
        <v>103.99</v>
      </c>
    </row>
    <row r="3779" spans="1:3" ht="24" customHeight="1">
      <c r="A3779" s="1205" t="s">
        <v>67058</v>
      </c>
      <c r="B3779" s="1205" t="s">
        <v>67057</v>
      </c>
      <c r="C3779" s="1205">
        <v>122.49</v>
      </c>
    </row>
    <row r="3780" spans="1:3" ht="24" customHeight="1">
      <c r="A3780" s="1205" t="s">
        <v>67056</v>
      </c>
      <c r="B3780" s="1205" t="s">
        <v>67055</v>
      </c>
      <c r="C3780" s="1205">
        <v>137.99</v>
      </c>
    </row>
    <row r="3781" spans="1:3" ht="24" customHeight="1">
      <c r="A3781" s="1205" t="s">
        <v>67054</v>
      </c>
      <c r="B3781" s="1205" t="s">
        <v>67053</v>
      </c>
      <c r="C3781" s="1205">
        <v>146.49</v>
      </c>
    </row>
    <row r="3782" spans="1:3" ht="24" customHeight="1">
      <c r="A3782" s="1205" t="s">
        <v>67052</v>
      </c>
      <c r="B3782" s="1205" t="s">
        <v>67051</v>
      </c>
      <c r="C3782" s="1205">
        <v>116.49</v>
      </c>
    </row>
    <row r="3783" spans="1:3" ht="24" customHeight="1">
      <c r="A3783" s="1205" t="s">
        <v>67050</v>
      </c>
      <c r="B3783" s="1205" t="s">
        <v>67049</v>
      </c>
      <c r="C3783" s="1205">
        <v>199.49</v>
      </c>
    </row>
    <row r="3784" spans="1:3" ht="24" customHeight="1">
      <c r="A3784" s="1205" t="s">
        <v>67048</v>
      </c>
      <c r="B3784" s="1205" t="s">
        <v>67047</v>
      </c>
      <c r="C3784" s="1205">
        <v>106.49</v>
      </c>
    </row>
    <row r="3785" spans="1:3" ht="24" customHeight="1">
      <c r="A3785" s="1205" t="s">
        <v>67046</v>
      </c>
      <c r="B3785" s="1205" t="s">
        <v>67045</v>
      </c>
      <c r="C3785" s="1205">
        <v>92.49</v>
      </c>
    </row>
    <row r="3786" spans="1:3" ht="24" customHeight="1">
      <c r="A3786" s="1205" t="s">
        <v>67044</v>
      </c>
      <c r="B3786" s="1205" t="s">
        <v>67043</v>
      </c>
      <c r="C3786" s="1205">
        <v>175.99</v>
      </c>
    </row>
    <row r="3787" spans="1:3" ht="24" customHeight="1">
      <c r="A3787" s="1205" t="s">
        <v>67042</v>
      </c>
      <c r="B3787" s="1205" t="s">
        <v>67041</v>
      </c>
      <c r="C3787" s="1205">
        <v>78.989999999999995</v>
      </c>
    </row>
    <row r="3788" spans="1:3" ht="24" customHeight="1">
      <c r="A3788" s="1205" t="s">
        <v>67040</v>
      </c>
      <c r="B3788" s="1205" t="s">
        <v>67039</v>
      </c>
      <c r="C3788" s="1205">
        <v>159.49</v>
      </c>
    </row>
    <row r="3789" spans="1:3" ht="24" customHeight="1">
      <c r="A3789" s="1205" t="s">
        <v>67038</v>
      </c>
      <c r="B3789" s="1205" t="s">
        <v>67037</v>
      </c>
      <c r="C3789" s="1205">
        <v>125.99</v>
      </c>
    </row>
    <row r="3790" spans="1:3" ht="24" customHeight="1">
      <c r="A3790" s="1205" t="s">
        <v>67036</v>
      </c>
      <c r="B3790" s="1205" t="s">
        <v>67035</v>
      </c>
      <c r="C3790" s="1205">
        <v>111.99</v>
      </c>
    </row>
    <row r="3791" spans="1:3" ht="24" customHeight="1">
      <c r="A3791" s="1205" t="s">
        <v>67034</v>
      </c>
      <c r="B3791" s="1205" t="s">
        <v>67033</v>
      </c>
      <c r="C3791" s="1205">
        <v>102.49</v>
      </c>
    </row>
    <row r="3792" spans="1:3" ht="24" customHeight="1">
      <c r="A3792" s="1205" t="s">
        <v>67032</v>
      </c>
      <c r="B3792" s="1205" t="s">
        <v>67031</v>
      </c>
      <c r="C3792" s="1205">
        <v>255.49</v>
      </c>
    </row>
    <row r="3793" spans="1:3" ht="24" customHeight="1">
      <c r="A3793" s="1205" t="s">
        <v>67030</v>
      </c>
      <c r="B3793" s="1205" t="s">
        <v>67029</v>
      </c>
      <c r="C3793" s="1205">
        <v>245.99</v>
      </c>
    </row>
    <row r="3794" spans="1:3" ht="24" customHeight="1">
      <c r="A3794" s="1205" t="s">
        <v>67028</v>
      </c>
      <c r="B3794" s="1205" t="s">
        <v>67027</v>
      </c>
      <c r="C3794" s="1205">
        <v>227.99</v>
      </c>
    </row>
    <row r="3795" spans="1:3" ht="24" customHeight="1">
      <c r="A3795" s="1205" t="s">
        <v>67026</v>
      </c>
      <c r="B3795" s="1205" t="s">
        <v>67025</v>
      </c>
      <c r="C3795" s="1205">
        <v>29.99</v>
      </c>
    </row>
    <row r="3796" spans="1:3" ht="24" customHeight="1">
      <c r="A3796" s="1205" t="s">
        <v>67024</v>
      </c>
      <c r="B3796" s="1205" t="s">
        <v>67023</v>
      </c>
      <c r="C3796" s="1205">
        <v>78.489999999999995</v>
      </c>
    </row>
    <row r="3797" spans="1:3" ht="24" customHeight="1">
      <c r="A3797" s="1205" t="s">
        <v>67022</v>
      </c>
      <c r="B3797" s="1205" t="s">
        <v>67021</v>
      </c>
      <c r="C3797" s="1205">
        <v>71.989999999999995</v>
      </c>
    </row>
    <row r="3798" spans="1:3" ht="24" customHeight="1">
      <c r="A3798" s="1205" t="s">
        <v>67020</v>
      </c>
      <c r="B3798" s="1205" t="s">
        <v>67019</v>
      </c>
      <c r="C3798" s="1205">
        <v>74.489999999999995</v>
      </c>
    </row>
    <row r="3799" spans="1:3" ht="24" customHeight="1">
      <c r="A3799" s="1205" t="s">
        <v>67018</v>
      </c>
      <c r="B3799" s="1205" t="s">
        <v>67017</v>
      </c>
      <c r="C3799" s="1205">
        <v>71.989999999999995</v>
      </c>
    </row>
    <row r="3800" spans="1:3" ht="24" customHeight="1">
      <c r="A3800" s="1205" t="s">
        <v>67016</v>
      </c>
      <c r="B3800" s="1205" t="s">
        <v>67015</v>
      </c>
      <c r="C3800" s="1205">
        <v>25.49</v>
      </c>
    </row>
    <row r="3801" spans="1:3" ht="24" customHeight="1">
      <c r="A3801" s="1205" t="s">
        <v>67014</v>
      </c>
      <c r="B3801" s="1205" t="s">
        <v>67013</v>
      </c>
      <c r="C3801" s="1205">
        <v>67.489999999999995</v>
      </c>
    </row>
    <row r="3802" spans="1:3" ht="24" customHeight="1">
      <c r="A3802" s="1205" t="s">
        <v>67012</v>
      </c>
      <c r="B3802" s="1205" t="s">
        <v>67011</v>
      </c>
      <c r="C3802" s="1205">
        <v>76.989999999999995</v>
      </c>
    </row>
    <row r="3803" spans="1:3" ht="24" customHeight="1">
      <c r="A3803" s="1205" t="s">
        <v>67010</v>
      </c>
      <c r="B3803" s="1205" t="s">
        <v>67009</v>
      </c>
      <c r="C3803" s="1205">
        <v>73.989999999999995</v>
      </c>
    </row>
    <row r="3804" spans="1:3" ht="24" customHeight="1">
      <c r="A3804" s="1205" t="s">
        <v>67008</v>
      </c>
      <c r="B3804" s="1205" t="s">
        <v>67007</v>
      </c>
      <c r="C3804" s="1205">
        <v>58.99</v>
      </c>
    </row>
    <row r="3805" spans="1:3" ht="24" customHeight="1">
      <c r="A3805" s="1205" t="s">
        <v>67006</v>
      </c>
      <c r="B3805" s="1205" t="s">
        <v>67005</v>
      </c>
      <c r="C3805" s="1205">
        <v>99.49</v>
      </c>
    </row>
    <row r="3806" spans="1:3" ht="24" customHeight="1">
      <c r="A3806" s="1205" t="s">
        <v>67004</v>
      </c>
      <c r="B3806" s="1205" t="s">
        <v>67003</v>
      </c>
      <c r="C3806" s="1205">
        <v>62.49</v>
      </c>
    </row>
    <row r="3807" spans="1:3" ht="24" customHeight="1">
      <c r="A3807" s="1205" t="s">
        <v>67002</v>
      </c>
      <c r="B3807" s="1205" t="s">
        <v>67001</v>
      </c>
      <c r="C3807" s="1205">
        <v>27.99</v>
      </c>
    </row>
    <row r="3808" spans="1:3" ht="24" customHeight="1">
      <c r="A3808" s="1205" t="s">
        <v>67000</v>
      </c>
      <c r="B3808" s="1205" t="s">
        <v>66999</v>
      </c>
      <c r="C3808" s="1205">
        <v>57.49</v>
      </c>
    </row>
    <row r="3809" spans="1:3" ht="24" customHeight="1">
      <c r="A3809" s="1205" t="s">
        <v>66998</v>
      </c>
      <c r="B3809" s="1205" t="s">
        <v>66997</v>
      </c>
      <c r="C3809" s="1205">
        <v>92.49</v>
      </c>
    </row>
    <row r="3810" spans="1:3" ht="24" customHeight="1">
      <c r="A3810" s="1205" t="s">
        <v>66996</v>
      </c>
      <c r="B3810" s="1205" t="s">
        <v>66995</v>
      </c>
      <c r="C3810" s="1205">
        <v>54.99</v>
      </c>
    </row>
    <row r="3811" spans="1:3" ht="24" customHeight="1">
      <c r="A3811" s="1205" t="s">
        <v>66994</v>
      </c>
      <c r="B3811" s="1205" t="s">
        <v>66993</v>
      </c>
      <c r="C3811" s="1205">
        <v>26.49</v>
      </c>
    </row>
    <row r="3812" spans="1:3" ht="24" customHeight="1">
      <c r="A3812" s="1205" t="s">
        <v>66992</v>
      </c>
      <c r="B3812" s="1205" t="s">
        <v>66991</v>
      </c>
      <c r="C3812" s="1205">
        <v>71.989999999999995</v>
      </c>
    </row>
    <row r="3813" spans="1:3" ht="24" customHeight="1">
      <c r="A3813" s="1205" t="s">
        <v>66990</v>
      </c>
      <c r="B3813" s="1205" t="s">
        <v>66989</v>
      </c>
      <c r="C3813" s="1205">
        <v>112.49</v>
      </c>
    </row>
    <row r="3814" spans="1:3" ht="24" customHeight="1">
      <c r="A3814" s="1205" t="s">
        <v>66988</v>
      </c>
      <c r="B3814" s="1205" t="s">
        <v>66987</v>
      </c>
      <c r="C3814" s="1205">
        <v>75.489999999999995</v>
      </c>
    </row>
    <row r="3815" spans="1:3" ht="24" customHeight="1">
      <c r="A3815" s="1205" t="s">
        <v>66986</v>
      </c>
      <c r="B3815" s="1205" t="s">
        <v>66985</v>
      </c>
      <c r="C3815" s="1205">
        <v>40.99</v>
      </c>
    </row>
    <row r="3816" spans="1:3" ht="24" customHeight="1">
      <c r="A3816" s="1205" t="s">
        <v>66984</v>
      </c>
      <c r="B3816" s="1205" t="s">
        <v>66983</v>
      </c>
      <c r="C3816" s="1205">
        <v>69.989999999999995</v>
      </c>
    </row>
    <row r="3817" spans="1:3" ht="24" customHeight="1">
      <c r="A3817" s="1205" t="s">
        <v>66982</v>
      </c>
      <c r="B3817" s="1205" t="s">
        <v>66981</v>
      </c>
      <c r="C3817" s="1205">
        <v>104.99</v>
      </c>
    </row>
    <row r="3818" spans="1:3" ht="24" customHeight="1">
      <c r="A3818" s="1205" t="s">
        <v>66980</v>
      </c>
      <c r="B3818" s="1205" t="s">
        <v>66979</v>
      </c>
      <c r="C3818" s="1205">
        <v>73.489999999999995</v>
      </c>
    </row>
    <row r="3819" spans="1:3" ht="24" customHeight="1">
      <c r="A3819" s="1205" t="s">
        <v>66978</v>
      </c>
      <c r="B3819" s="1205" t="s">
        <v>66977</v>
      </c>
      <c r="C3819" s="1205">
        <v>38.99</v>
      </c>
    </row>
    <row r="3820" spans="1:3" ht="24" customHeight="1">
      <c r="A3820" s="1205" t="s">
        <v>66976</v>
      </c>
      <c r="B3820" s="1205" t="s">
        <v>66975</v>
      </c>
      <c r="C3820" s="1205">
        <v>15.49</v>
      </c>
    </row>
    <row r="3821" spans="1:3" ht="24" customHeight="1">
      <c r="A3821" s="1205" t="s">
        <v>66974</v>
      </c>
      <c r="B3821" s="1205" t="s">
        <v>66973</v>
      </c>
      <c r="C3821" s="1205">
        <v>21.99</v>
      </c>
    </row>
    <row r="3822" spans="1:3" ht="24" customHeight="1">
      <c r="A3822" s="1205" t="s">
        <v>66972</v>
      </c>
      <c r="B3822" s="1205" t="s">
        <v>66971</v>
      </c>
      <c r="C3822" s="1205">
        <v>26.99</v>
      </c>
    </row>
    <row r="3823" spans="1:3" ht="24" customHeight="1">
      <c r="A3823" s="1205" t="s">
        <v>66970</v>
      </c>
      <c r="B3823" s="1205" t="s">
        <v>66969</v>
      </c>
      <c r="C3823" s="1205">
        <v>19.489999999999998</v>
      </c>
    </row>
    <row r="3824" spans="1:3" ht="24" customHeight="1">
      <c r="A3824" s="1205" t="s">
        <v>66968</v>
      </c>
      <c r="B3824" s="1205" t="s">
        <v>66967</v>
      </c>
      <c r="C3824" s="1205">
        <v>19.989999999999998</v>
      </c>
    </row>
    <row r="3825" spans="1:3" ht="24" customHeight="1">
      <c r="A3825" s="1205" t="s">
        <v>66966</v>
      </c>
      <c r="B3825" s="1205" t="s">
        <v>66965</v>
      </c>
      <c r="C3825" s="1205">
        <v>16.989999999999998</v>
      </c>
    </row>
    <row r="3826" spans="1:3" ht="24" customHeight="1">
      <c r="A3826" s="1205" t="s">
        <v>66964</v>
      </c>
      <c r="B3826" s="1205" t="s">
        <v>66963</v>
      </c>
      <c r="C3826" s="1205">
        <v>12.99</v>
      </c>
    </row>
    <row r="3827" spans="1:3" ht="24" customHeight="1">
      <c r="A3827" s="1205" t="s">
        <v>66962</v>
      </c>
      <c r="B3827" s="1205" t="s">
        <v>66961</v>
      </c>
      <c r="C3827" s="1205">
        <v>17.489999999999998</v>
      </c>
    </row>
    <row r="3828" spans="1:3" ht="24" customHeight="1">
      <c r="A3828" s="1205" t="s">
        <v>66960</v>
      </c>
      <c r="B3828" s="1205" t="s">
        <v>66959</v>
      </c>
      <c r="C3828" s="1205">
        <v>14.49</v>
      </c>
    </row>
    <row r="3829" spans="1:3" ht="24" customHeight="1">
      <c r="A3829" s="1205" t="s">
        <v>66958</v>
      </c>
      <c r="B3829" s="1205" t="s">
        <v>66957</v>
      </c>
      <c r="C3829" s="1205">
        <v>18.989999999999998</v>
      </c>
    </row>
    <row r="3830" spans="1:3" ht="24" customHeight="1">
      <c r="A3830" s="1205" t="s">
        <v>66956</v>
      </c>
      <c r="B3830" s="1205" t="s">
        <v>66955</v>
      </c>
      <c r="C3830" s="1205">
        <v>18.489999999999998</v>
      </c>
    </row>
    <row r="3831" spans="1:3" ht="24" customHeight="1">
      <c r="A3831" s="1205" t="s">
        <v>66954</v>
      </c>
      <c r="B3831" s="1205" t="s">
        <v>66953</v>
      </c>
      <c r="C3831" s="1205">
        <v>199.99</v>
      </c>
    </row>
    <row r="3832" spans="1:3" ht="24" customHeight="1">
      <c r="A3832" s="1205" t="s">
        <v>66952</v>
      </c>
      <c r="B3832" s="1205" t="s">
        <v>66950</v>
      </c>
      <c r="C3832" s="1205">
        <v>150.49</v>
      </c>
    </row>
    <row r="3833" spans="1:3" ht="24" customHeight="1">
      <c r="A3833" s="1205" t="s">
        <v>66951</v>
      </c>
      <c r="B3833" s="1205" t="s">
        <v>66950</v>
      </c>
      <c r="C3833" s="1205">
        <v>148.99</v>
      </c>
    </row>
    <row r="3834" spans="1:3" ht="24" customHeight="1">
      <c r="A3834" s="1205" t="s">
        <v>66949</v>
      </c>
      <c r="B3834" s="1205" t="s">
        <v>66948</v>
      </c>
      <c r="C3834" s="1205">
        <v>172.99</v>
      </c>
    </row>
    <row r="3835" spans="1:3" ht="24" customHeight="1">
      <c r="A3835" s="1205" t="s">
        <v>66947</v>
      </c>
      <c r="B3835" s="1205" t="s">
        <v>66946</v>
      </c>
      <c r="C3835" s="1205">
        <v>135.49</v>
      </c>
    </row>
    <row r="3836" spans="1:3" ht="24" customHeight="1">
      <c r="A3836" s="1205" t="s">
        <v>66945</v>
      </c>
      <c r="B3836" s="1205" t="s">
        <v>66944</v>
      </c>
      <c r="C3836" s="1205">
        <v>88.99</v>
      </c>
    </row>
    <row r="3837" spans="1:3" ht="24" customHeight="1">
      <c r="A3837" s="1205" t="s">
        <v>66943</v>
      </c>
      <c r="B3837" s="1205" t="s">
        <v>66942</v>
      </c>
      <c r="C3837" s="1205">
        <v>20.49</v>
      </c>
    </row>
    <row r="3838" spans="1:3" ht="24" customHeight="1">
      <c r="A3838" s="1205" t="s">
        <v>66941</v>
      </c>
      <c r="B3838" s="1205" t="s">
        <v>66940</v>
      </c>
      <c r="C3838" s="1205">
        <v>38.49</v>
      </c>
    </row>
    <row r="3839" spans="1:3" ht="24" customHeight="1">
      <c r="A3839" s="1205" t="s">
        <v>66939</v>
      </c>
      <c r="B3839" s="1205" t="s">
        <v>66938</v>
      </c>
      <c r="C3839" s="1205">
        <v>17.489999999999998</v>
      </c>
    </row>
    <row r="3840" spans="1:3" ht="24" customHeight="1">
      <c r="A3840" s="1205" t="s">
        <v>66937</v>
      </c>
      <c r="B3840" s="1205" t="s">
        <v>66936</v>
      </c>
      <c r="C3840" s="1205">
        <v>35.99</v>
      </c>
    </row>
    <row r="3841" spans="1:3" ht="24" customHeight="1">
      <c r="A3841" s="1205" t="s">
        <v>66935</v>
      </c>
      <c r="B3841" s="1205" t="s">
        <v>66934</v>
      </c>
      <c r="C3841" s="1205">
        <v>45.99</v>
      </c>
    </row>
    <row r="3842" spans="1:3" ht="24" customHeight="1">
      <c r="A3842" s="1205" t="s">
        <v>66933</v>
      </c>
      <c r="B3842" s="1205" t="s">
        <v>66931</v>
      </c>
      <c r="C3842" s="1205">
        <v>49.49</v>
      </c>
    </row>
    <row r="3843" spans="1:3" ht="24" customHeight="1">
      <c r="A3843" s="1205" t="s">
        <v>66932</v>
      </c>
      <c r="B3843" s="1205" t="s">
        <v>66931</v>
      </c>
      <c r="C3843" s="1205">
        <v>40.99</v>
      </c>
    </row>
    <row r="3844" spans="1:3" ht="24" customHeight="1">
      <c r="A3844" s="1205" t="s">
        <v>66930</v>
      </c>
      <c r="B3844" s="1205" t="s">
        <v>66929</v>
      </c>
      <c r="C3844" s="1205">
        <v>14.49</v>
      </c>
    </row>
    <row r="3845" spans="1:3" ht="24" customHeight="1">
      <c r="A3845" s="1205" t="s">
        <v>66928</v>
      </c>
      <c r="B3845" s="1205" t="s">
        <v>66927</v>
      </c>
      <c r="C3845" s="1205">
        <v>32.49</v>
      </c>
    </row>
    <row r="3846" spans="1:3" ht="24" customHeight="1">
      <c r="A3846" s="1205" t="s">
        <v>66926</v>
      </c>
      <c r="B3846" s="1205" t="s">
        <v>66925</v>
      </c>
      <c r="C3846" s="1205">
        <v>14.49</v>
      </c>
    </row>
    <row r="3847" spans="1:3" ht="24" customHeight="1">
      <c r="A3847" s="1205" t="s">
        <v>66924</v>
      </c>
      <c r="B3847" s="1205" t="s">
        <v>66923</v>
      </c>
      <c r="C3847" s="1205">
        <v>32.49</v>
      </c>
    </row>
    <row r="3848" spans="1:3" ht="24" customHeight="1">
      <c r="A3848" s="1205" t="s">
        <v>66922</v>
      </c>
      <c r="B3848" s="1205" t="s">
        <v>66921</v>
      </c>
      <c r="C3848" s="1205">
        <v>135.49</v>
      </c>
    </row>
    <row r="3849" spans="1:3" ht="24" customHeight="1">
      <c r="A3849" s="1205" t="s">
        <v>66920</v>
      </c>
      <c r="B3849" s="1205" t="s">
        <v>66919</v>
      </c>
      <c r="C3849" s="1205">
        <v>18.489999999999998</v>
      </c>
    </row>
    <row r="3850" spans="1:3" ht="24" customHeight="1">
      <c r="A3850" s="1205" t="s">
        <v>66918</v>
      </c>
      <c r="B3850" s="1205" t="s">
        <v>66820</v>
      </c>
      <c r="C3850" s="1205">
        <v>36.99</v>
      </c>
    </row>
    <row r="3851" spans="1:3" ht="24" customHeight="1">
      <c r="A3851" s="1205" t="s">
        <v>66917</v>
      </c>
      <c r="B3851" s="1205" t="s">
        <v>66916</v>
      </c>
      <c r="C3851" s="1205">
        <v>15.49</v>
      </c>
    </row>
    <row r="3852" spans="1:3" ht="24" customHeight="1">
      <c r="A3852" s="1205" t="s">
        <v>66915</v>
      </c>
      <c r="B3852" s="1205" t="s">
        <v>66914</v>
      </c>
      <c r="C3852" s="1205">
        <v>33.49</v>
      </c>
    </row>
    <row r="3853" spans="1:3" ht="24" customHeight="1">
      <c r="A3853" s="1205" t="s">
        <v>66913</v>
      </c>
      <c r="B3853" s="1205" t="s">
        <v>66912</v>
      </c>
      <c r="C3853" s="1205">
        <v>19.489999999999998</v>
      </c>
    </row>
    <row r="3854" spans="1:3" ht="24" customHeight="1">
      <c r="A3854" s="1205" t="s">
        <v>66911</v>
      </c>
      <c r="B3854" s="1205" t="s">
        <v>66910</v>
      </c>
      <c r="C3854" s="1205">
        <v>37.99</v>
      </c>
    </row>
    <row r="3855" spans="1:3" ht="24" customHeight="1">
      <c r="A3855" s="1205" t="s">
        <v>66909</v>
      </c>
      <c r="B3855" s="1205" t="s">
        <v>66908</v>
      </c>
      <c r="C3855" s="1205">
        <v>36.49</v>
      </c>
    </row>
    <row r="3856" spans="1:3" ht="24" customHeight="1">
      <c r="A3856" s="1205" t="s">
        <v>66907</v>
      </c>
      <c r="B3856" s="1205" t="s">
        <v>66906</v>
      </c>
      <c r="C3856" s="1205">
        <v>18.489999999999998</v>
      </c>
    </row>
    <row r="3857" spans="1:3" ht="24" customHeight="1">
      <c r="A3857" s="1205" t="s">
        <v>66905</v>
      </c>
      <c r="B3857" s="1205" t="s">
        <v>66904</v>
      </c>
      <c r="C3857" s="1205">
        <v>36.99</v>
      </c>
    </row>
    <row r="3858" spans="1:3" ht="24" customHeight="1">
      <c r="A3858" s="1205" t="s">
        <v>66903</v>
      </c>
      <c r="B3858" s="1205" t="s">
        <v>66902</v>
      </c>
      <c r="C3858" s="1205">
        <v>13.49</v>
      </c>
    </row>
    <row r="3859" spans="1:3" ht="24" customHeight="1">
      <c r="A3859" s="1205" t="s">
        <v>66901</v>
      </c>
      <c r="B3859" s="1205" t="s">
        <v>66900</v>
      </c>
      <c r="C3859" s="1205">
        <v>31.99</v>
      </c>
    </row>
    <row r="3860" spans="1:3" ht="24" customHeight="1">
      <c r="A3860" s="1205" t="s">
        <v>66899</v>
      </c>
      <c r="B3860" s="1205" t="s">
        <v>66898</v>
      </c>
      <c r="C3860" s="1205">
        <v>13.49</v>
      </c>
    </row>
    <row r="3861" spans="1:3" ht="24" customHeight="1">
      <c r="A3861" s="1205" t="s">
        <v>66897</v>
      </c>
      <c r="B3861" s="1205" t="s">
        <v>66896</v>
      </c>
      <c r="C3861" s="1205">
        <v>31.99</v>
      </c>
    </row>
    <row r="3862" spans="1:3" ht="24" customHeight="1">
      <c r="A3862" s="1205" t="s">
        <v>66895</v>
      </c>
      <c r="B3862" s="1205" t="s">
        <v>66894</v>
      </c>
      <c r="C3862" s="1205">
        <v>13.99</v>
      </c>
    </row>
    <row r="3863" spans="1:3" ht="24" customHeight="1">
      <c r="A3863" s="1205" t="s">
        <v>66893</v>
      </c>
      <c r="B3863" s="1205" t="s">
        <v>66892</v>
      </c>
      <c r="C3863" s="1205">
        <v>32.49</v>
      </c>
    </row>
    <row r="3864" spans="1:3" ht="24" customHeight="1">
      <c r="A3864" s="1205" t="s">
        <v>66891</v>
      </c>
      <c r="B3864" s="1205" t="s">
        <v>66890</v>
      </c>
      <c r="C3864" s="1205">
        <v>13.49</v>
      </c>
    </row>
    <row r="3865" spans="1:3" ht="24" customHeight="1">
      <c r="A3865" s="1205" t="s">
        <v>66889</v>
      </c>
      <c r="B3865" s="1205" t="s">
        <v>66888</v>
      </c>
      <c r="C3865" s="1205">
        <v>31.99</v>
      </c>
    </row>
    <row r="3866" spans="1:3" ht="24" customHeight="1">
      <c r="A3866" s="1205" t="s">
        <v>66887</v>
      </c>
      <c r="B3866" s="1205" t="s">
        <v>66886</v>
      </c>
      <c r="C3866" s="1205">
        <v>17.489999999999998</v>
      </c>
    </row>
    <row r="3867" spans="1:3" ht="24" customHeight="1">
      <c r="A3867" s="1205" t="s">
        <v>66885</v>
      </c>
      <c r="B3867" s="1205" t="s">
        <v>66884</v>
      </c>
      <c r="C3867" s="1205">
        <v>35.49</v>
      </c>
    </row>
    <row r="3868" spans="1:3" ht="24" customHeight="1">
      <c r="A3868" s="1205" t="s">
        <v>66883</v>
      </c>
      <c r="B3868" s="1205" t="s">
        <v>66882</v>
      </c>
      <c r="C3868" s="1205">
        <v>16.989999999999998</v>
      </c>
    </row>
    <row r="3869" spans="1:3" ht="24" customHeight="1">
      <c r="A3869" s="1205" t="s">
        <v>66881</v>
      </c>
      <c r="B3869" s="1205" t="s">
        <v>66880</v>
      </c>
      <c r="C3869" s="1205">
        <v>35.49</v>
      </c>
    </row>
    <row r="3870" spans="1:3" ht="24" customHeight="1">
      <c r="A3870" s="1205" t="s">
        <v>66879</v>
      </c>
      <c r="B3870" s="1205" t="s">
        <v>66878</v>
      </c>
      <c r="C3870" s="1205">
        <v>17.489999999999998</v>
      </c>
    </row>
    <row r="3871" spans="1:3" ht="24" customHeight="1">
      <c r="A3871" s="1205" t="s">
        <v>66877</v>
      </c>
      <c r="B3871" s="1205" t="s">
        <v>66876</v>
      </c>
      <c r="C3871" s="1205">
        <v>35.49</v>
      </c>
    </row>
    <row r="3872" spans="1:3" ht="24" customHeight="1">
      <c r="A3872" s="1205" t="s">
        <v>66875</v>
      </c>
      <c r="B3872" s="1205" t="s">
        <v>66874</v>
      </c>
      <c r="C3872" s="1205">
        <v>16.989999999999998</v>
      </c>
    </row>
    <row r="3873" spans="1:3" ht="24" customHeight="1">
      <c r="A3873" s="1205" t="s">
        <v>66873</v>
      </c>
      <c r="B3873" s="1205" t="s">
        <v>66872</v>
      </c>
      <c r="C3873" s="1205">
        <v>35.49</v>
      </c>
    </row>
    <row r="3874" spans="1:3" ht="24" customHeight="1">
      <c r="A3874" s="1205" t="s">
        <v>66871</v>
      </c>
      <c r="B3874" s="1205" t="s">
        <v>66870</v>
      </c>
      <c r="C3874" s="1205">
        <v>13.99</v>
      </c>
    </row>
    <row r="3875" spans="1:3" ht="24" customHeight="1">
      <c r="A3875" s="1205" t="s">
        <v>66869</v>
      </c>
      <c r="B3875" s="1205" t="s">
        <v>66868</v>
      </c>
      <c r="C3875" s="1205">
        <v>32.49</v>
      </c>
    </row>
    <row r="3876" spans="1:3" ht="24" customHeight="1">
      <c r="A3876" s="1205" t="s">
        <v>66867</v>
      </c>
      <c r="B3876" s="1205" t="s">
        <v>66866</v>
      </c>
      <c r="C3876" s="1205">
        <v>13.49</v>
      </c>
    </row>
    <row r="3877" spans="1:3" ht="24" customHeight="1">
      <c r="A3877" s="1205" t="s">
        <v>66865</v>
      </c>
      <c r="B3877" s="1205" t="s">
        <v>66864</v>
      </c>
      <c r="C3877" s="1205">
        <v>31.49</v>
      </c>
    </row>
    <row r="3878" spans="1:3" ht="24" customHeight="1">
      <c r="A3878" s="1205" t="s">
        <v>66863</v>
      </c>
      <c r="B3878" s="1205" t="s">
        <v>66862</v>
      </c>
      <c r="C3878" s="1205">
        <v>37.99</v>
      </c>
    </row>
    <row r="3879" spans="1:3" ht="24" customHeight="1">
      <c r="A3879" s="1205" t="s">
        <v>66861</v>
      </c>
      <c r="B3879" s="1205" t="s">
        <v>66860</v>
      </c>
      <c r="C3879" s="1205">
        <v>14.99</v>
      </c>
    </row>
    <row r="3880" spans="1:3" ht="24" customHeight="1">
      <c r="A3880" s="1205" t="s">
        <v>66859</v>
      </c>
      <c r="B3880" s="1205" t="s">
        <v>66858</v>
      </c>
      <c r="C3880" s="1205">
        <v>32.99</v>
      </c>
    </row>
    <row r="3881" spans="1:3" ht="24" customHeight="1">
      <c r="A3881" s="1205" t="s">
        <v>66857</v>
      </c>
      <c r="B3881" s="1205" t="s">
        <v>66856</v>
      </c>
      <c r="C3881" s="1205">
        <v>15.99</v>
      </c>
    </row>
    <row r="3882" spans="1:3" ht="24" customHeight="1">
      <c r="A3882" s="1205" t="s">
        <v>66855</v>
      </c>
      <c r="B3882" s="1205" t="s">
        <v>66854</v>
      </c>
      <c r="C3882" s="1205">
        <v>33.99</v>
      </c>
    </row>
    <row r="3883" spans="1:3" ht="24" customHeight="1">
      <c r="A3883" s="1205" t="s">
        <v>66853</v>
      </c>
      <c r="B3883" s="1205" t="s">
        <v>66846</v>
      </c>
      <c r="C3883" s="1205">
        <v>16.989999999999998</v>
      </c>
    </row>
    <row r="3884" spans="1:3" ht="24" customHeight="1">
      <c r="A3884" s="1205" t="s">
        <v>66852</v>
      </c>
      <c r="B3884" s="1205" t="s">
        <v>66851</v>
      </c>
      <c r="C3884" s="1205">
        <v>34.99</v>
      </c>
    </row>
    <row r="3885" spans="1:3" ht="24" customHeight="1">
      <c r="A3885" s="1205" t="s">
        <v>66850</v>
      </c>
      <c r="B3885" s="1205" t="s">
        <v>66846</v>
      </c>
      <c r="C3885" s="1205">
        <v>26.49</v>
      </c>
    </row>
    <row r="3886" spans="1:3" ht="24" customHeight="1">
      <c r="A3886" s="1205" t="s">
        <v>66849</v>
      </c>
      <c r="B3886" s="1205" t="s">
        <v>66848</v>
      </c>
      <c r="C3886" s="1205">
        <v>44.99</v>
      </c>
    </row>
    <row r="3887" spans="1:3" ht="24" customHeight="1">
      <c r="A3887" s="1205" t="s">
        <v>66847</v>
      </c>
      <c r="B3887" s="1205" t="s">
        <v>66846</v>
      </c>
      <c r="C3887" s="1205">
        <v>24.49</v>
      </c>
    </row>
    <row r="3888" spans="1:3" ht="24" customHeight="1">
      <c r="A3888" s="1205" t="s">
        <v>66845</v>
      </c>
      <c r="B3888" s="1205" t="s">
        <v>66844</v>
      </c>
      <c r="C3888" s="1205">
        <v>42.49</v>
      </c>
    </row>
    <row r="3889" spans="1:3" ht="24" customHeight="1">
      <c r="A3889" s="1205" t="s">
        <v>66843</v>
      </c>
      <c r="B3889" s="1205" t="s">
        <v>66842</v>
      </c>
      <c r="C3889" s="1205">
        <v>15.99</v>
      </c>
    </row>
    <row r="3890" spans="1:3" ht="24" customHeight="1">
      <c r="A3890" s="1205" t="s">
        <v>66841</v>
      </c>
      <c r="B3890" s="1205" t="s">
        <v>66840</v>
      </c>
      <c r="C3890" s="1205">
        <v>33.99</v>
      </c>
    </row>
    <row r="3891" spans="1:3" ht="24" customHeight="1">
      <c r="A3891" s="1205" t="s">
        <v>66839</v>
      </c>
      <c r="B3891" s="1205" t="s">
        <v>66838</v>
      </c>
      <c r="C3891" s="1205">
        <v>35.99</v>
      </c>
    </row>
    <row r="3892" spans="1:3" ht="24" customHeight="1">
      <c r="A3892" s="1205" t="s">
        <v>66837</v>
      </c>
      <c r="B3892" s="1205" t="s">
        <v>66836</v>
      </c>
      <c r="C3892" s="1205">
        <v>13.99</v>
      </c>
    </row>
    <row r="3893" spans="1:3" ht="24" customHeight="1">
      <c r="A3893" s="1205" t="s">
        <v>66835</v>
      </c>
      <c r="B3893" s="1205" t="s">
        <v>66834</v>
      </c>
      <c r="C3893" s="1205">
        <v>31.99</v>
      </c>
    </row>
    <row r="3894" spans="1:3" ht="24" customHeight="1">
      <c r="A3894" s="1205" t="s">
        <v>66833</v>
      </c>
      <c r="B3894" s="1205" t="s">
        <v>66832</v>
      </c>
      <c r="C3894" s="1205">
        <v>12.49</v>
      </c>
    </row>
    <row r="3895" spans="1:3" ht="24" customHeight="1">
      <c r="A3895" s="1205" t="s">
        <v>66831</v>
      </c>
      <c r="B3895" s="1205" t="s">
        <v>66830</v>
      </c>
      <c r="C3895" s="1205">
        <v>30.99</v>
      </c>
    </row>
    <row r="3896" spans="1:3" ht="24" customHeight="1">
      <c r="A3896" s="1205" t="s">
        <v>66829</v>
      </c>
      <c r="B3896" s="1205" t="s">
        <v>66828</v>
      </c>
      <c r="C3896" s="1205">
        <v>37.49</v>
      </c>
    </row>
    <row r="3897" spans="1:3" ht="24" customHeight="1">
      <c r="A3897" s="1205" t="s">
        <v>66827</v>
      </c>
      <c r="B3897" s="1205" t="s">
        <v>66826</v>
      </c>
      <c r="C3897" s="1205">
        <v>15.49</v>
      </c>
    </row>
    <row r="3898" spans="1:3" ht="24" customHeight="1">
      <c r="A3898" s="1205" t="s">
        <v>66825</v>
      </c>
      <c r="B3898" s="1205" t="s">
        <v>66824</v>
      </c>
      <c r="C3898" s="1205">
        <v>33.49</v>
      </c>
    </row>
    <row r="3899" spans="1:3" ht="24" customHeight="1">
      <c r="A3899" s="1205" t="s">
        <v>66823</v>
      </c>
      <c r="B3899" s="1205" t="s">
        <v>66822</v>
      </c>
      <c r="C3899" s="1205">
        <v>17.489999999999998</v>
      </c>
    </row>
    <row r="3900" spans="1:3" ht="24" customHeight="1">
      <c r="A3900" s="1205" t="s">
        <v>66821</v>
      </c>
      <c r="B3900" s="1205" t="s">
        <v>66820</v>
      </c>
      <c r="C3900" s="1205">
        <v>35.49</v>
      </c>
    </row>
    <row r="3901" spans="1:3" ht="24" customHeight="1">
      <c r="A3901" s="1205" t="s">
        <v>66819</v>
      </c>
      <c r="B3901" s="1205" t="s">
        <v>66818</v>
      </c>
      <c r="C3901" s="1205">
        <v>28.49</v>
      </c>
    </row>
    <row r="3902" spans="1:3" ht="24" customHeight="1">
      <c r="A3902" s="1205" t="s">
        <v>66817</v>
      </c>
      <c r="B3902" s="1205" t="s">
        <v>66816</v>
      </c>
      <c r="C3902" s="1205">
        <v>46.99</v>
      </c>
    </row>
    <row r="3903" spans="1:3" ht="24" customHeight="1">
      <c r="A3903" s="1205" t="s">
        <v>66815</v>
      </c>
      <c r="B3903" s="1205" t="s">
        <v>66814</v>
      </c>
      <c r="C3903" s="1205">
        <v>39.49</v>
      </c>
    </row>
    <row r="3904" spans="1:3" ht="24" customHeight="1">
      <c r="A3904" s="1205" t="s">
        <v>66813</v>
      </c>
      <c r="B3904" s="1205" t="s">
        <v>66812</v>
      </c>
      <c r="C3904" s="1205">
        <v>44.49</v>
      </c>
    </row>
    <row r="3905" spans="1:3" ht="24" customHeight="1">
      <c r="A3905" s="1205" t="s">
        <v>66811</v>
      </c>
      <c r="B3905" s="1205" t="s">
        <v>66810</v>
      </c>
      <c r="C3905" s="1205">
        <v>96.49</v>
      </c>
    </row>
    <row r="3906" spans="1:3" ht="24" customHeight="1">
      <c r="A3906" s="1205" t="s">
        <v>66809</v>
      </c>
      <c r="B3906" s="1205" t="s">
        <v>66808</v>
      </c>
      <c r="C3906" s="1205">
        <v>99.99</v>
      </c>
    </row>
    <row r="3907" spans="1:3" ht="24" customHeight="1">
      <c r="A3907" s="1205" t="s">
        <v>66807</v>
      </c>
      <c r="B3907" s="1205" t="s">
        <v>66806</v>
      </c>
      <c r="C3907" s="1205">
        <v>42.99</v>
      </c>
    </row>
    <row r="3908" spans="1:3" ht="24" customHeight="1">
      <c r="A3908" s="1205" t="s">
        <v>66805</v>
      </c>
      <c r="B3908" s="1205" t="s">
        <v>66804</v>
      </c>
      <c r="C3908" s="1205">
        <v>40.99</v>
      </c>
    </row>
    <row r="3909" spans="1:3" ht="24" customHeight="1">
      <c r="A3909" s="1205" t="s">
        <v>66803</v>
      </c>
      <c r="B3909" s="1205" t="s">
        <v>66802</v>
      </c>
      <c r="C3909" s="1205">
        <v>43.99</v>
      </c>
    </row>
    <row r="3910" spans="1:3" ht="24" customHeight="1">
      <c r="A3910" s="1205" t="s">
        <v>66801</v>
      </c>
      <c r="B3910" s="1205" t="s">
        <v>66800</v>
      </c>
      <c r="C3910" s="1205">
        <v>34.49</v>
      </c>
    </row>
    <row r="3911" spans="1:3" ht="24" customHeight="1">
      <c r="A3911" s="1205" t="s">
        <v>66799</v>
      </c>
      <c r="B3911" s="1205" t="s">
        <v>66798</v>
      </c>
      <c r="C3911" s="1205">
        <v>91.99</v>
      </c>
    </row>
    <row r="3912" spans="1:3" ht="24" customHeight="1">
      <c r="A3912" s="1205" t="s">
        <v>66797</v>
      </c>
      <c r="B3912" s="1205" t="s">
        <v>66796</v>
      </c>
      <c r="C3912" s="1205">
        <v>88.49</v>
      </c>
    </row>
    <row r="3913" spans="1:3" ht="24" customHeight="1">
      <c r="A3913" s="1205" t="s">
        <v>66795</v>
      </c>
      <c r="B3913" s="1205" t="s">
        <v>66794</v>
      </c>
      <c r="C3913" s="1205">
        <v>85.99</v>
      </c>
    </row>
    <row r="3914" spans="1:3" ht="24" customHeight="1">
      <c r="A3914" s="1205" t="s">
        <v>66793</v>
      </c>
      <c r="B3914" s="1205" t="s">
        <v>66792</v>
      </c>
      <c r="C3914" s="1205">
        <v>85.99</v>
      </c>
    </row>
    <row r="3915" spans="1:3" ht="24" customHeight="1">
      <c r="A3915" s="1205" t="s">
        <v>66791</v>
      </c>
      <c r="B3915" s="1205" t="s">
        <v>66747</v>
      </c>
      <c r="C3915" s="1205">
        <v>89.99</v>
      </c>
    </row>
    <row r="3916" spans="1:3" ht="24" customHeight="1">
      <c r="A3916" s="1205" t="s">
        <v>66790</v>
      </c>
      <c r="B3916" s="1205" t="s">
        <v>66789</v>
      </c>
      <c r="C3916" s="1205">
        <v>86.99</v>
      </c>
    </row>
    <row r="3917" spans="1:3" ht="24" customHeight="1">
      <c r="A3917" s="1205" t="s">
        <v>66788</v>
      </c>
      <c r="B3917" s="1205" t="s">
        <v>66787</v>
      </c>
      <c r="C3917" s="1205">
        <v>90.99</v>
      </c>
    </row>
    <row r="3918" spans="1:3" ht="24" customHeight="1">
      <c r="A3918" s="1205" t="s">
        <v>66786</v>
      </c>
      <c r="B3918" s="1205" t="s">
        <v>66785</v>
      </c>
      <c r="C3918" s="1205">
        <v>89.99</v>
      </c>
    </row>
    <row r="3919" spans="1:3" ht="24" customHeight="1">
      <c r="A3919" s="1205" t="s">
        <v>66784</v>
      </c>
      <c r="B3919" s="1205" t="s">
        <v>66783</v>
      </c>
      <c r="C3919" s="1205">
        <v>84.99</v>
      </c>
    </row>
    <row r="3920" spans="1:3" ht="24" customHeight="1">
      <c r="A3920" s="1205" t="s">
        <v>66782</v>
      </c>
      <c r="B3920" s="1205" t="s">
        <v>66781</v>
      </c>
      <c r="C3920" s="1205">
        <v>85.49</v>
      </c>
    </row>
    <row r="3921" spans="1:3" ht="24" customHeight="1">
      <c r="A3921" s="1205" t="s">
        <v>66780</v>
      </c>
      <c r="B3921" s="1205" t="s">
        <v>66779</v>
      </c>
      <c r="C3921" s="1205">
        <v>85.99</v>
      </c>
    </row>
    <row r="3922" spans="1:3" ht="24" customHeight="1">
      <c r="A3922" s="1205" t="s">
        <v>66778</v>
      </c>
      <c r="B3922" s="1205" t="s">
        <v>66777</v>
      </c>
      <c r="C3922" s="1205">
        <v>85.49</v>
      </c>
    </row>
    <row r="3923" spans="1:3" ht="24" customHeight="1">
      <c r="A3923" s="1205" t="s">
        <v>66776</v>
      </c>
      <c r="B3923" s="1205" t="s">
        <v>66775</v>
      </c>
      <c r="C3923" s="1205">
        <v>88.99</v>
      </c>
    </row>
    <row r="3924" spans="1:3" ht="24" customHeight="1">
      <c r="A3924" s="1205" t="s">
        <v>66774</v>
      </c>
      <c r="B3924" s="1205" t="s">
        <v>66773</v>
      </c>
      <c r="C3924" s="1205">
        <v>88.49</v>
      </c>
    </row>
    <row r="3925" spans="1:3" ht="24" customHeight="1">
      <c r="A3925" s="1205" t="s">
        <v>66772</v>
      </c>
      <c r="B3925" s="1205" t="s">
        <v>66771</v>
      </c>
      <c r="C3925" s="1205">
        <v>88.99</v>
      </c>
    </row>
    <row r="3926" spans="1:3" ht="24" customHeight="1">
      <c r="A3926" s="1205" t="s">
        <v>66770</v>
      </c>
      <c r="B3926" s="1205" t="s">
        <v>66769</v>
      </c>
      <c r="C3926" s="1205">
        <v>88.99</v>
      </c>
    </row>
    <row r="3927" spans="1:3" ht="24" customHeight="1">
      <c r="A3927" s="1205" t="s">
        <v>66768</v>
      </c>
      <c r="B3927" s="1205" t="s">
        <v>66767</v>
      </c>
      <c r="C3927" s="1205">
        <v>85.99</v>
      </c>
    </row>
    <row r="3928" spans="1:3" ht="24" customHeight="1">
      <c r="A3928" s="1205" t="s">
        <v>66766</v>
      </c>
      <c r="B3928" s="1205" t="s">
        <v>66765</v>
      </c>
      <c r="C3928" s="1205">
        <v>84.99</v>
      </c>
    </row>
    <row r="3929" spans="1:3" ht="24" customHeight="1">
      <c r="A3929" s="1205" t="s">
        <v>66764</v>
      </c>
      <c r="B3929" s="1205" t="s">
        <v>66763</v>
      </c>
      <c r="C3929" s="1205">
        <v>86.49</v>
      </c>
    </row>
    <row r="3930" spans="1:3" ht="24" customHeight="1">
      <c r="A3930" s="1205" t="s">
        <v>66762</v>
      </c>
      <c r="B3930" s="1205" t="s">
        <v>66761</v>
      </c>
      <c r="C3930" s="1205">
        <v>87.49</v>
      </c>
    </row>
    <row r="3931" spans="1:3" ht="24" customHeight="1">
      <c r="A3931" s="1205" t="s">
        <v>66760</v>
      </c>
      <c r="B3931" s="1205" t="s">
        <v>66759</v>
      </c>
      <c r="C3931" s="1205">
        <v>88.49</v>
      </c>
    </row>
    <row r="3932" spans="1:3" ht="24" customHeight="1">
      <c r="A3932" s="1205" t="s">
        <v>66758</v>
      </c>
      <c r="B3932" s="1205" t="s">
        <v>66757</v>
      </c>
      <c r="C3932" s="1205">
        <v>97.99</v>
      </c>
    </row>
    <row r="3933" spans="1:3" ht="24" customHeight="1">
      <c r="A3933" s="1205" t="s">
        <v>66756</v>
      </c>
      <c r="B3933" s="1205" t="s">
        <v>66755</v>
      </c>
      <c r="C3933" s="1205">
        <v>95.49</v>
      </c>
    </row>
    <row r="3934" spans="1:3" ht="24" customHeight="1">
      <c r="A3934" s="1205" t="s">
        <v>66754</v>
      </c>
      <c r="B3934" s="1205" t="s">
        <v>66753</v>
      </c>
      <c r="C3934" s="1205">
        <v>87.49</v>
      </c>
    </row>
    <row r="3935" spans="1:3" ht="24" customHeight="1">
      <c r="A3935" s="1205" t="s">
        <v>66752</v>
      </c>
      <c r="B3935" s="1205" t="s">
        <v>66751</v>
      </c>
      <c r="C3935" s="1205">
        <v>85.49</v>
      </c>
    </row>
    <row r="3936" spans="1:3" ht="24" customHeight="1">
      <c r="A3936" s="1205" t="s">
        <v>66750</v>
      </c>
      <c r="B3936" s="1205" t="s">
        <v>66749</v>
      </c>
      <c r="C3936" s="1205">
        <v>86.99</v>
      </c>
    </row>
    <row r="3937" spans="1:3" ht="24" customHeight="1">
      <c r="A3937" s="1205" t="s">
        <v>66748</v>
      </c>
      <c r="B3937" s="1205" t="s">
        <v>66747</v>
      </c>
      <c r="C3937" s="1205">
        <v>88.99</v>
      </c>
    </row>
    <row r="3938" spans="1:3" ht="24" customHeight="1">
      <c r="A3938" s="1205" t="s">
        <v>66746</v>
      </c>
      <c r="B3938" s="1205" t="s">
        <v>66745</v>
      </c>
      <c r="C3938" s="1205">
        <v>129.49</v>
      </c>
    </row>
    <row r="3939" spans="1:3" ht="24" customHeight="1">
      <c r="A3939" s="1205" t="s">
        <v>66744</v>
      </c>
      <c r="B3939" s="1205" t="s">
        <v>66743</v>
      </c>
      <c r="C3939" s="1205">
        <v>100.49</v>
      </c>
    </row>
    <row r="3940" spans="1:3" ht="24" customHeight="1">
      <c r="A3940" s="1205" t="s">
        <v>66742</v>
      </c>
      <c r="B3940" s="1205" t="s">
        <v>66741</v>
      </c>
      <c r="C3940" s="1205">
        <v>80.489999999999995</v>
      </c>
    </row>
    <row r="3941" spans="1:3" ht="24" customHeight="1">
      <c r="A3941" s="1205" t="s">
        <v>66740</v>
      </c>
      <c r="B3941" s="1205" t="s">
        <v>66739</v>
      </c>
      <c r="C3941" s="1205">
        <v>49.49</v>
      </c>
    </row>
    <row r="3942" spans="1:3" ht="24" customHeight="1">
      <c r="A3942" s="1205" t="s">
        <v>66738</v>
      </c>
      <c r="B3942" s="1205" t="s">
        <v>66737</v>
      </c>
      <c r="C3942" s="1205">
        <v>45.99</v>
      </c>
    </row>
    <row r="3943" spans="1:3" ht="24" customHeight="1">
      <c r="A3943" s="1205" t="s">
        <v>66736</v>
      </c>
      <c r="B3943" s="1205" t="s">
        <v>66735</v>
      </c>
      <c r="C3943" s="1205">
        <v>87.99</v>
      </c>
    </row>
    <row r="3944" spans="1:3" ht="24" customHeight="1">
      <c r="A3944" s="1205" t="s">
        <v>66734</v>
      </c>
      <c r="B3944" s="1205" t="s">
        <v>66733</v>
      </c>
      <c r="C3944" s="1205">
        <v>99.49</v>
      </c>
    </row>
    <row r="3945" spans="1:3" ht="24" customHeight="1">
      <c r="A3945" s="1205" t="s">
        <v>66732</v>
      </c>
      <c r="B3945" s="1205" t="s">
        <v>66731</v>
      </c>
      <c r="C3945" s="1205">
        <v>95.99</v>
      </c>
    </row>
    <row r="3946" spans="1:3" ht="24" customHeight="1">
      <c r="A3946" s="1205" t="s">
        <v>66730</v>
      </c>
      <c r="B3946" s="1205" t="s">
        <v>66729</v>
      </c>
      <c r="C3946" s="1205">
        <v>16.989999999999998</v>
      </c>
    </row>
    <row r="3947" spans="1:3" ht="24" customHeight="1">
      <c r="A3947" s="1205" t="s">
        <v>66728</v>
      </c>
      <c r="B3947" s="1205" t="s">
        <v>66727</v>
      </c>
      <c r="C3947" s="1205">
        <v>97.99</v>
      </c>
    </row>
    <row r="3948" spans="1:3" ht="24" customHeight="1">
      <c r="A3948" s="1205" t="s">
        <v>66726</v>
      </c>
      <c r="B3948" s="1205" t="s">
        <v>66725</v>
      </c>
      <c r="C3948" s="1205">
        <v>95.99</v>
      </c>
    </row>
    <row r="3949" spans="1:3" ht="24" customHeight="1">
      <c r="A3949" s="1205" t="s">
        <v>66724</v>
      </c>
      <c r="B3949" s="1205" t="s">
        <v>66723</v>
      </c>
      <c r="C3949" s="1205">
        <v>8.49</v>
      </c>
    </row>
    <row r="3950" spans="1:3" ht="24" customHeight="1">
      <c r="A3950" s="1205" t="s">
        <v>66722</v>
      </c>
      <c r="B3950" s="1205" t="s">
        <v>66721</v>
      </c>
      <c r="C3950" s="1205">
        <v>12.49</v>
      </c>
    </row>
    <row r="3951" spans="1:3" ht="24" customHeight="1">
      <c r="A3951" s="1205" t="s">
        <v>66720</v>
      </c>
      <c r="B3951" s="1205" t="s">
        <v>66719</v>
      </c>
      <c r="C3951" s="1205">
        <v>39.99</v>
      </c>
    </row>
    <row r="3952" spans="1:3" ht="24" customHeight="1">
      <c r="A3952" s="1205" t="s">
        <v>66718</v>
      </c>
      <c r="B3952" s="1205" t="s">
        <v>66717</v>
      </c>
      <c r="C3952" s="1205">
        <v>44.99</v>
      </c>
    </row>
    <row r="3953" spans="1:3" ht="24" customHeight="1">
      <c r="A3953" s="1205" t="s">
        <v>66716</v>
      </c>
      <c r="B3953" s="1205" t="s">
        <v>66715</v>
      </c>
      <c r="C3953" s="1205">
        <v>42.49</v>
      </c>
    </row>
    <row r="3954" spans="1:3" ht="24" customHeight="1">
      <c r="A3954" s="1205" t="s">
        <v>66714</v>
      </c>
      <c r="B3954" s="1205" t="s">
        <v>66713</v>
      </c>
      <c r="C3954" s="1205">
        <v>82.99</v>
      </c>
    </row>
    <row r="3955" spans="1:3" ht="24" customHeight="1">
      <c r="A3955" s="1205" t="s">
        <v>66712</v>
      </c>
      <c r="B3955" s="1205" t="s">
        <v>66711</v>
      </c>
      <c r="C3955" s="1205">
        <v>29.49</v>
      </c>
    </row>
    <row r="3956" spans="1:3" ht="24" customHeight="1">
      <c r="A3956" s="1205" t="s">
        <v>66710</v>
      </c>
      <c r="B3956" s="1205" t="s">
        <v>66709</v>
      </c>
      <c r="C3956" s="1205">
        <v>85.99</v>
      </c>
    </row>
    <row r="3957" spans="1:3" ht="24" customHeight="1">
      <c r="A3957" s="1205" t="s">
        <v>66708</v>
      </c>
      <c r="B3957" s="1205" t="s">
        <v>66707</v>
      </c>
      <c r="C3957" s="1205">
        <v>32.99</v>
      </c>
    </row>
    <row r="3958" spans="1:3" ht="24" customHeight="1">
      <c r="A3958" s="1205" t="s">
        <v>66706</v>
      </c>
      <c r="B3958" s="1205" t="s">
        <v>66705</v>
      </c>
      <c r="C3958" s="1205">
        <v>26.99</v>
      </c>
    </row>
    <row r="3959" spans="1:3" ht="24" customHeight="1">
      <c r="A3959" s="1205" t="s">
        <v>66704</v>
      </c>
      <c r="B3959" s="1205" t="s">
        <v>66703</v>
      </c>
      <c r="C3959" s="1205">
        <v>30.99</v>
      </c>
    </row>
    <row r="3960" spans="1:3" ht="24" customHeight="1">
      <c r="A3960" s="1205" t="s">
        <v>66702</v>
      </c>
      <c r="B3960" s="1205" t="s">
        <v>66701</v>
      </c>
      <c r="C3960" s="1205">
        <v>20.99</v>
      </c>
    </row>
    <row r="3961" spans="1:3" ht="24" customHeight="1">
      <c r="A3961" s="1205" t="s">
        <v>66700</v>
      </c>
      <c r="B3961" s="1205" t="s">
        <v>66699</v>
      </c>
      <c r="C3961" s="1205">
        <v>20.99</v>
      </c>
    </row>
    <row r="3962" spans="1:3" ht="24" customHeight="1">
      <c r="A3962" s="1205" t="s">
        <v>66698</v>
      </c>
      <c r="B3962" s="1205" t="s">
        <v>66697</v>
      </c>
      <c r="C3962" s="1205">
        <v>18.489999999999998</v>
      </c>
    </row>
    <row r="3963" spans="1:3" ht="24" customHeight="1">
      <c r="A3963" s="1205" t="s">
        <v>66696</v>
      </c>
      <c r="B3963" s="1205" t="s">
        <v>66695</v>
      </c>
      <c r="C3963" s="1205">
        <v>14.99</v>
      </c>
    </row>
    <row r="3964" spans="1:3" ht="24" customHeight="1">
      <c r="A3964" s="1205" t="s">
        <v>66694</v>
      </c>
      <c r="B3964" s="1205" t="s">
        <v>66693</v>
      </c>
      <c r="C3964" s="1205">
        <v>20.99</v>
      </c>
    </row>
    <row r="3965" spans="1:3" ht="24" customHeight="1">
      <c r="A3965" s="1205" t="s">
        <v>66692</v>
      </c>
      <c r="B3965" s="1205" t="s">
        <v>66691</v>
      </c>
      <c r="C3965" s="1205">
        <v>15.49</v>
      </c>
    </row>
    <row r="3966" spans="1:3" ht="24" customHeight="1">
      <c r="A3966" s="1205" t="s">
        <v>66690</v>
      </c>
      <c r="B3966" s="1205" t="s">
        <v>66689</v>
      </c>
      <c r="C3966" s="1205">
        <v>11.99</v>
      </c>
    </row>
    <row r="3967" spans="1:3" ht="24" customHeight="1">
      <c r="A3967" s="1205" t="s">
        <v>66688</v>
      </c>
      <c r="B3967" s="1205" t="s">
        <v>66687</v>
      </c>
      <c r="C3967" s="1205">
        <v>16.489999999999998</v>
      </c>
    </row>
    <row r="3968" spans="1:3" ht="24" customHeight="1">
      <c r="A3968" s="1205" t="s">
        <v>66686</v>
      </c>
      <c r="B3968" s="1205" t="s">
        <v>66685</v>
      </c>
      <c r="C3968" s="1205">
        <v>12.99</v>
      </c>
    </row>
    <row r="3969" spans="1:3" ht="24" customHeight="1">
      <c r="A3969" s="1205" t="s">
        <v>66684</v>
      </c>
      <c r="B3969" s="1205" t="s">
        <v>66683</v>
      </c>
      <c r="C3969" s="1205">
        <v>24.99</v>
      </c>
    </row>
    <row r="3970" spans="1:3" ht="24" customHeight="1">
      <c r="A3970" s="1205" t="s">
        <v>66682</v>
      </c>
      <c r="B3970" s="1205" t="s">
        <v>66681</v>
      </c>
      <c r="C3970" s="1205">
        <v>22.49</v>
      </c>
    </row>
    <row r="3971" spans="1:3" ht="24" customHeight="1">
      <c r="A3971" s="1205" t="s">
        <v>66680</v>
      </c>
      <c r="B3971" s="1205" t="s">
        <v>66679</v>
      </c>
      <c r="C3971" s="1205">
        <v>13.99</v>
      </c>
    </row>
    <row r="3972" spans="1:3" ht="24" customHeight="1">
      <c r="A3972" s="1205" t="s">
        <v>66678</v>
      </c>
      <c r="B3972" s="1205" t="s">
        <v>66677</v>
      </c>
      <c r="C3972" s="1205">
        <v>18.989999999999998</v>
      </c>
    </row>
    <row r="3973" spans="1:3" ht="24" customHeight="1">
      <c r="A3973" s="1205" t="s">
        <v>66676</v>
      </c>
      <c r="B3973" s="1205" t="s">
        <v>66675</v>
      </c>
      <c r="C3973" s="1205">
        <v>15.49</v>
      </c>
    </row>
    <row r="3974" spans="1:3" ht="24" customHeight="1">
      <c r="A3974" s="1205" t="s">
        <v>66674</v>
      </c>
      <c r="B3974" s="1205" t="s">
        <v>66673</v>
      </c>
      <c r="C3974" s="1205">
        <v>23.99</v>
      </c>
    </row>
    <row r="3975" spans="1:3" ht="24" customHeight="1">
      <c r="A3975" s="1205" t="s">
        <v>66672</v>
      </c>
      <c r="B3975" s="1205" t="s">
        <v>66671</v>
      </c>
      <c r="C3975" s="1205">
        <v>45.49</v>
      </c>
    </row>
    <row r="3976" spans="1:3" ht="24" customHeight="1">
      <c r="A3976" s="1205" t="s">
        <v>66670</v>
      </c>
      <c r="B3976" s="1205" t="s">
        <v>66669</v>
      </c>
      <c r="C3976" s="1205">
        <v>45.49</v>
      </c>
    </row>
    <row r="3977" spans="1:3" ht="24" customHeight="1">
      <c r="A3977" s="1205" t="s">
        <v>66668</v>
      </c>
      <c r="B3977" s="1205" t="s">
        <v>66667</v>
      </c>
      <c r="C3977" s="1205">
        <v>15.99</v>
      </c>
    </row>
    <row r="3978" spans="1:3" ht="24" customHeight="1">
      <c r="A3978" s="1205" t="s">
        <v>66666</v>
      </c>
      <c r="B3978" s="1205" t="s">
        <v>66665</v>
      </c>
      <c r="C3978" s="1205">
        <v>29.49</v>
      </c>
    </row>
    <row r="3979" spans="1:3" ht="24" customHeight="1">
      <c r="A3979" s="1205" t="s">
        <v>66664</v>
      </c>
      <c r="B3979" s="1205" t="s">
        <v>66658</v>
      </c>
      <c r="C3979" s="1205">
        <v>79.489999999999995</v>
      </c>
    </row>
    <row r="3980" spans="1:3" ht="24" customHeight="1">
      <c r="A3980" s="1205" t="s">
        <v>66663</v>
      </c>
      <c r="B3980" s="1205" t="s">
        <v>66662</v>
      </c>
      <c r="C3980" s="1205">
        <v>67.989999999999995</v>
      </c>
    </row>
    <row r="3981" spans="1:3" ht="24" customHeight="1">
      <c r="A3981" s="1205" t="s">
        <v>66661</v>
      </c>
      <c r="B3981" s="1205" t="s">
        <v>66660</v>
      </c>
      <c r="C3981" s="1205">
        <v>67.489999999999995</v>
      </c>
    </row>
    <row r="3982" spans="1:3" ht="24" customHeight="1">
      <c r="A3982" s="1205" t="s">
        <v>66659</v>
      </c>
      <c r="B3982" s="1205" t="s">
        <v>66658</v>
      </c>
      <c r="C3982" s="1205">
        <v>72.989999999999995</v>
      </c>
    </row>
    <row r="3983" spans="1:3" ht="24" customHeight="1">
      <c r="A3983" s="1205" t="s">
        <v>66657</v>
      </c>
      <c r="B3983" s="1205" t="s">
        <v>66656</v>
      </c>
      <c r="C3983" s="1205">
        <v>73.989999999999995</v>
      </c>
    </row>
    <row r="3984" spans="1:3" ht="24" customHeight="1">
      <c r="A3984" s="1205" t="s">
        <v>66655</v>
      </c>
      <c r="B3984" s="1205" t="s">
        <v>66654</v>
      </c>
      <c r="C3984" s="1205">
        <v>101.49</v>
      </c>
    </row>
    <row r="3985" spans="1:3" ht="24" customHeight="1">
      <c r="A3985" s="1205" t="s">
        <v>66653</v>
      </c>
      <c r="B3985" s="1205" t="s">
        <v>66643</v>
      </c>
      <c r="C3985" s="1205">
        <v>45.49</v>
      </c>
    </row>
    <row r="3986" spans="1:3" ht="24" customHeight="1">
      <c r="A3986" s="1205" t="s">
        <v>66652</v>
      </c>
      <c r="B3986" s="1205" t="s">
        <v>66651</v>
      </c>
      <c r="C3986" s="1205">
        <v>79.489999999999995</v>
      </c>
    </row>
    <row r="3987" spans="1:3" ht="24" customHeight="1">
      <c r="A3987" s="1205" t="s">
        <v>66650</v>
      </c>
      <c r="B3987" s="1205" t="s">
        <v>66581</v>
      </c>
      <c r="C3987" s="1205">
        <v>64.489999999999995</v>
      </c>
    </row>
    <row r="3988" spans="1:3" ht="24" customHeight="1">
      <c r="A3988" s="1205" t="s">
        <v>66649</v>
      </c>
      <c r="B3988" s="1205" t="s">
        <v>62971</v>
      </c>
      <c r="C3988" s="1205">
        <v>81.99</v>
      </c>
    </row>
    <row r="3989" spans="1:3" ht="24" customHeight="1">
      <c r="A3989" s="1205" t="s">
        <v>66648</v>
      </c>
      <c r="B3989" s="1205" t="s">
        <v>66647</v>
      </c>
      <c r="C3989" s="1205">
        <v>48.49</v>
      </c>
    </row>
    <row r="3990" spans="1:3" ht="24" customHeight="1">
      <c r="A3990" s="1205" t="s">
        <v>66646</v>
      </c>
      <c r="B3990" s="1205" t="s">
        <v>66645</v>
      </c>
      <c r="C3990" s="1205">
        <v>43.49</v>
      </c>
    </row>
    <row r="3991" spans="1:3" ht="24" customHeight="1">
      <c r="A3991" s="1205" t="s">
        <v>66644</v>
      </c>
      <c r="B3991" s="1205" t="s">
        <v>66643</v>
      </c>
      <c r="C3991" s="1205">
        <v>40.99</v>
      </c>
    </row>
    <row r="3992" spans="1:3" ht="24" customHeight="1">
      <c r="A3992" s="1205" t="s">
        <v>66642</v>
      </c>
      <c r="B3992" s="1205" t="s">
        <v>66641</v>
      </c>
      <c r="C3992" s="1205">
        <v>35.49</v>
      </c>
    </row>
    <row r="3993" spans="1:3" ht="24" customHeight="1">
      <c r="A3993" s="1205" t="s">
        <v>66640</v>
      </c>
      <c r="B3993" s="1205" t="s">
        <v>66639</v>
      </c>
      <c r="C3993" s="1205">
        <v>100.99</v>
      </c>
    </row>
    <row r="3994" spans="1:3" ht="24" customHeight="1">
      <c r="A3994" s="1205" t="s">
        <v>66638</v>
      </c>
      <c r="B3994" s="1205" t="s">
        <v>66633</v>
      </c>
      <c r="C3994" s="1205">
        <v>91.49</v>
      </c>
    </row>
    <row r="3995" spans="1:3" ht="24" customHeight="1">
      <c r="A3995" s="1205" t="s">
        <v>66637</v>
      </c>
      <c r="B3995" s="1205" t="s">
        <v>66631</v>
      </c>
      <c r="C3995" s="1205">
        <v>109.99</v>
      </c>
    </row>
    <row r="3996" spans="1:3" ht="24" customHeight="1">
      <c r="A3996" s="1205" t="s">
        <v>66636</v>
      </c>
      <c r="B3996" s="1205" t="s">
        <v>66635</v>
      </c>
      <c r="C3996" s="1205">
        <v>137.99</v>
      </c>
    </row>
    <row r="3997" spans="1:3" ht="24" customHeight="1">
      <c r="A3997" s="1205" t="s">
        <v>66634</v>
      </c>
      <c r="B3997" s="1205" t="s">
        <v>66633</v>
      </c>
      <c r="C3997" s="1205">
        <v>134.49</v>
      </c>
    </row>
    <row r="3998" spans="1:3" ht="24" customHeight="1">
      <c r="A3998" s="1205" t="s">
        <v>66632</v>
      </c>
      <c r="B3998" s="1205" t="s">
        <v>66631</v>
      </c>
      <c r="C3998" s="1205">
        <v>196.99</v>
      </c>
    </row>
    <row r="3999" spans="1:3" ht="24" customHeight="1">
      <c r="A3999" s="1205" t="s">
        <v>66630</v>
      </c>
      <c r="B3999" s="1205" t="s">
        <v>66629</v>
      </c>
      <c r="C3999" s="1205">
        <v>105.49</v>
      </c>
    </row>
    <row r="4000" spans="1:3" ht="24" customHeight="1">
      <c r="A4000" s="1205" t="s">
        <v>66628</v>
      </c>
      <c r="B4000" s="1205" t="s">
        <v>66627</v>
      </c>
      <c r="C4000" s="1205">
        <v>192.49</v>
      </c>
    </row>
    <row r="4001" spans="1:3" ht="24" customHeight="1">
      <c r="A4001" s="1205" t="s">
        <v>66626</v>
      </c>
      <c r="B4001" s="1205" t="s">
        <v>66625</v>
      </c>
      <c r="C4001" s="1205">
        <v>191.99</v>
      </c>
    </row>
    <row r="4002" spans="1:3" ht="24" customHeight="1">
      <c r="A4002" s="1205" t="s">
        <v>66624</v>
      </c>
      <c r="B4002" s="1205" t="s">
        <v>66623</v>
      </c>
      <c r="C4002" s="1205">
        <v>63.49</v>
      </c>
    </row>
    <row r="4003" spans="1:3" ht="24" customHeight="1">
      <c r="A4003" s="1205" t="s">
        <v>66622</v>
      </c>
      <c r="B4003" s="1205" t="s">
        <v>66621</v>
      </c>
      <c r="C4003" s="1205">
        <v>60.99</v>
      </c>
    </row>
    <row r="4004" spans="1:3" ht="24" customHeight="1">
      <c r="A4004" s="1205" t="s">
        <v>66620</v>
      </c>
      <c r="B4004" s="1205" t="s">
        <v>66619</v>
      </c>
      <c r="C4004" s="1205">
        <v>55.99</v>
      </c>
    </row>
    <row r="4005" spans="1:3" ht="24" customHeight="1">
      <c r="A4005" s="1205" t="s">
        <v>66618</v>
      </c>
      <c r="B4005" s="1205" t="s">
        <v>66617</v>
      </c>
      <c r="C4005" s="1205">
        <v>25.99</v>
      </c>
    </row>
    <row r="4006" spans="1:3" ht="24" customHeight="1">
      <c r="A4006" s="1205" t="s">
        <v>66616</v>
      </c>
      <c r="B4006" s="1205" t="s">
        <v>66615</v>
      </c>
      <c r="C4006" s="1205">
        <v>42.99</v>
      </c>
    </row>
    <row r="4007" spans="1:3" ht="24" customHeight="1">
      <c r="A4007" s="1205" t="s">
        <v>66614</v>
      </c>
      <c r="B4007" s="1205" t="s">
        <v>66613</v>
      </c>
      <c r="C4007" s="1205">
        <v>86.99</v>
      </c>
    </row>
    <row r="4008" spans="1:3" ht="24" customHeight="1">
      <c r="A4008" s="1205" t="s">
        <v>66612</v>
      </c>
      <c r="B4008" s="1205" t="s">
        <v>66611</v>
      </c>
      <c r="C4008" s="1205">
        <v>37.49</v>
      </c>
    </row>
    <row r="4009" spans="1:3" ht="24" customHeight="1">
      <c r="A4009" s="1205" t="s">
        <v>66610</v>
      </c>
      <c r="B4009" s="1205" t="s">
        <v>66609</v>
      </c>
      <c r="C4009" s="1205">
        <v>22.49</v>
      </c>
    </row>
    <row r="4010" spans="1:3" ht="24" customHeight="1">
      <c r="A4010" s="1205" t="s">
        <v>66608</v>
      </c>
      <c r="B4010" s="1205" t="s">
        <v>66607</v>
      </c>
      <c r="C4010" s="1205">
        <v>20.49</v>
      </c>
    </row>
    <row r="4011" spans="1:3" ht="24" customHeight="1">
      <c r="A4011" s="1205" t="s">
        <v>66606</v>
      </c>
      <c r="B4011" s="1205" t="s">
        <v>66605</v>
      </c>
      <c r="C4011" s="1205">
        <v>35.49</v>
      </c>
    </row>
    <row r="4012" spans="1:3" ht="24" customHeight="1">
      <c r="A4012" s="1205" t="s">
        <v>66604</v>
      </c>
      <c r="B4012" s="1205" t="s">
        <v>66594</v>
      </c>
      <c r="C4012" s="1205">
        <v>76.989999999999995</v>
      </c>
    </row>
    <row r="4013" spans="1:3" ht="24" customHeight="1">
      <c r="A4013" s="1205" t="s">
        <v>66603</v>
      </c>
      <c r="B4013" s="1205" t="s">
        <v>66602</v>
      </c>
      <c r="C4013" s="1205">
        <v>6.99</v>
      </c>
    </row>
    <row r="4014" spans="1:3" ht="24" customHeight="1">
      <c r="A4014" s="1205" t="s">
        <v>66601</v>
      </c>
      <c r="B4014" s="1205" t="s">
        <v>66600</v>
      </c>
      <c r="C4014" s="1205">
        <v>64.489999999999995</v>
      </c>
    </row>
    <row r="4015" spans="1:3" ht="24" customHeight="1">
      <c r="A4015" s="1205" t="s">
        <v>66599</v>
      </c>
      <c r="B4015" s="1205" t="s">
        <v>66598</v>
      </c>
      <c r="C4015" s="1205">
        <v>65.489999999999995</v>
      </c>
    </row>
    <row r="4016" spans="1:3" ht="24" customHeight="1">
      <c r="A4016" s="1205" t="s">
        <v>66597</v>
      </c>
      <c r="B4016" s="1205" t="s">
        <v>66596</v>
      </c>
      <c r="C4016" s="1205">
        <v>85.49</v>
      </c>
    </row>
    <row r="4017" spans="1:3" ht="24" customHeight="1">
      <c r="A4017" s="1205" t="s">
        <v>66595</v>
      </c>
      <c r="B4017" s="1205" t="s">
        <v>66594</v>
      </c>
      <c r="C4017" s="1205">
        <v>68.989999999999995</v>
      </c>
    </row>
    <row r="4018" spans="1:3" ht="24" customHeight="1">
      <c r="A4018" s="1205" t="s">
        <v>66593</v>
      </c>
      <c r="B4018" s="1205" t="s">
        <v>66592</v>
      </c>
      <c r="C4018" s="1205">
        <v>72.489999999999995</v>
      </c>
    </row>
    <row r="4019" spans="1:3" ht="24" customHeight="1">
      <c r="A4019" s="1205" t="s">
        <v>66591</v>
      </c>
      <c r="B4019" s="1205" t="s">
        <v>66590</v>
      </c>
      <c r="C4019" s="1205">
        <v>99.99</v>
      </c>
    </row>
    <row r="4020" spans="1:3" ht="24" customHeight="1">
      <c r="A4020" s="1205" t="s">
        <v>66589</v>
      </c>
      <c r="B4020" s="1205" t="s">
        <v>66588</v>
      </c>
      <c r="C4020" s="1205">
        <v>71.489999999999995</v>
      </c>
    </row>
    <row r="4021" spans="1:3" ht="24" customHeight="1">
      <c r="A4021" s="1205" t="s">
        <v>66587</v>
      </c>
      <c r="B4021" s="1205" t="s">
        <v>66572</v>
      </c>
      <c r="C4021" s="1205">
        <v>41.49</v>
      </c>
    </row>
    <row r="4022" spans="1:3" ht="24" customHeight="1">
      <c r="A4022" s="1205" t="s">
        <v>66586</v>
      </c>
      <c r="B4022" s="1205" t="s">
        <v>66585</v>
      </c>
      <c r="C4022" s="1205">
        <v>71.989999999999995</v>
      </c>
    </row>
    <row r="4023" spans="1:3" ht="24" customHeight="1">
      <c r="A4023" s="1205" t="s">
        <v>66584</v>
      </c>
      <c r="B4023" s="1205" t="s">
        <v>66583</v>
      </c>
      <c r="C4023" s="1205">
        <v>77.489999999999995</v>
      </c>
    </row>
    <row r="4024" spans="1:3" ht="24" customHeight="1">
      <c r="A4024" s="1205" t="s">
        <v>66582</v>
      </c>
      <c r="B4024" s="1205" t="s">
        <v>66581</v>
      </c>
      <c r="C4024" s="1205">
        <v>60.49</v>
      </c>
    </row>
    <row r="4025" spans="1:3" ht="24" customHeight="1">
      <c r="A4025" s="1205" t="s">
        <v>66580</v>
      </c>
      <c r="B4025" s="1205" t="s">
        <v>66579</v>
      </c>
      <c r="C4025" s="1205">
        <v>14.99</v>
      </c>
    </row>
    <row r="4026" spans="1:3" ht="24" customHeight="1">
      <c r="A4026" s="1205" t="s">
        <v>66578</v>
      </c>
      <c r="B4026" s="1205" t="s">
        <v>66577</v>
      </c>
      <c r="C4026" s="1205">
        <v>8.49</v>
      </c>
    </row>
    <row r="4027" spans="1:3" ht="24" customHeight="1">
      <c r="A4027" s="1205" t="s">
        <v>66576</v>
      </c>
      <c r="B4027" s="1205" t="s">
        <v>62971</v>
      </c>
      <c r="C4027" s="1205">
        <v>77.989999999999995</v>
      </c>
    </row>
    <row r="4028" spans="1:3" ht="24" customHeight="1">
      <c r="A4028" s="1205" t="s">
        <v>66575</v>
      </c>
      <c r="B4028" s="1205" t="s">
        <v>66574</v>
      </c>
      <c r="C4028" s="1205">
        <v>45.49</v>
      </c>
    </row>
    <row r="4029" spans="1:3" ht="24" customHeight="1">
      <c r="A4029" s="1205" t="s">
        <v>66573</v>
      </c>
      <c r="B4029" s="1205" t="s">
        <v>66572</v>
      </c>
      <c r="C4029" s="1205">
        <v>41.49</v>
      </c>
    </row>
    <row r="4030" spans="1:3" ht="24" customHeight="1">
      <c r="A4030" s="1205" t="s">
        <v>66571</v>
      </c>
      <c r="B4030" s="1205" t="s">
        <v>66570</v>
      </c>
      <c r="C4030" s="1205">
        <v>101.49</v>
      </c>
    </row>
    <row r="4031" spans="1:3" ht="24" customHeight="1">
      <c r="A4031" s="1205" t="s">
        <v>66569</v>
      </c>
      <c r="B4031" s="1205" t="s">
        <v>66568</v>
      </c>
      <c r="C4031" s="1205">
        <v>41.49</v>
      </c>
    </row>
    <row r="4032" spans="1:3" ht="24" customHeight="1">
      <c r="A4032" s="1205" t="s">
        <v>66567</v>
      </c>
      <c r="B4032" s="1205" t="s">
        <v>66566</v>
      </c>
      <c r="C4032" s="1205">
        <v>36.99</v>
      </c>
    </row>
    <row r="4033" spans="1:3" ht="24" customHeight="1">
      <c r="A4033" s="1205" t="s">
        <v>66565</v>
      </c>
      <c r="B4033" s="1205" t="s">
        <v>66564</v>
      </c>
      <c r="C4033" s="1205">
        <v>34.49</v>
      </c>
    </row>
    <row r="4034" spans="1:3" ht="24" customHeight="1">
      <c r="A4034" s="1205" t="s">
        <v>66563</v>
      </c>
      <c r="B4034" s="1205" t="s">
        <v>66562</v>
      </c>
      <c r="C4034" s="1205">
        <v>31.49</v>
      </c>
    </row>
    <row r="4035" spans="1:3" ht="24" customHeight="1">
      <c r="A4035" s="1205" t="s">
        <v>66561</v>
      </c>
      <c r="B4035" s="1205" t="s">
        <v>66555</v>
      </c>
      <c r="C4035" s="1205">
        <v>54.99</v>
      </c>
    </row>
    <row r="4036" spans="1:3" ht="24" customHeight="1">
      <c r="A4036" s="1205" t="s">
        <v>66560</v>
      </c>
      <c r="B4036" s="1205" t="s">
        <v>66559</v>
      </c>
      <c r="C4036" s="1205">
        <v>67.489999999999995</v>
      </c>
    </row>
    <row r="4037" spans="1:3" ht="24" customHeight="1">
      <c r="A4037" s="1205" t="s">
        <v>66558</v>
      </c>
      <c r="B4037" s="1205" t="s">
        <v>66557</v>
      </c>
      <c r="C4037" s="1205">
        <v>60.49</v>
      </c>
    </row>
    <row r="4038" spans="1:3" ht="24" customHeight="1">
      <c r="A4038" s="1205" t="s">
        <v>66556</v>
      </c>
      <c r="B4038" s="1205" t="s">
        <v>66555</v>
      </c>
      <c r="C4038" s="1205">
        <v>50.49</v>
      </c>
    </row>
    <row r="4039" spans="1:3" ht="24" customHeight="1">
      <c r="A4039" s="1205" t="s">
        <v>66554</v>
      </c>
      <c r="B4039" s="1205" t="s">
        <v>66553</v>
      </c>
      <c r="C4039" s="1205">
        <v>5.99</v>
      </c>
    </row>
    <row r="4040" spans="1:3" ht="24" customHeight="1">
      <c r="A4040" s="1205" t="s">
        <v>66552</v>
      </c>
      <c r="B4040" s="1205" t="s">
        <v>66551</v>
      </c>
      <c r="C4040" s="1205">
        <v>142.99</v>
      </c>
    </row>
    <row r="4041" spans="1:3" ht="24" customHeight="1">
      <c r="A4041" s="1205" t="s">
        <v>66550</v>
      </c>
      <c r="B4041" s="1205" t="s">
        <v>66549</v>
      </c>
      <c r="C4041" s="1205">
        <v>169.99</v>
      </c>
    </row>
    <row r="4042" spans="1:3" ht="24" customHeight="1">
      <c r="A4042" s="1205" t="s">
        <v>66548</v>
      </c>
      <c r="B4042" s="1205" t="s">
        <v>66547</v>
      </c>
      <c r="C4042" s="1205">
        <v>99.49</v>
      </c>
    </row>
    <row r="4043" spans="1:3" ht="24" customHeight="1">
      <c r="A4043" s="1205" t="s">
        <v>66546</v>
      </c>
      <c r="B4043" s="1205" t="s">
        <v>66545</v>
      </c>
      <c r="C4043" s="1205">
        <v>110.49</v>
      </c>
    </row>
    <row r="4044" spans="1:3" ht="24" customHeight="1">
      <c r="A4044" s="1205" t="s">
        <v>66544</v>
      </c>
      <c r="B4044" s="1205" t="s">
        <v>66543</v>
      </c>
      <c r="C4044" s="1205">
        <v>131.99</v>
      </c>
    </row>
    <row r="4045" spans="1:3" ht="24" customHeight="1">
      <c r="A4045" s="1205" t="s">
        <v>66542</v>
      </c>
      <c r="B4045" s="1205" t="s">
        <v>66541</v>
      </c>
      <c r="C4045" s="1205">
        <v>173.99</v>
      </c>
    </row>
    <row r="4046" spans="1:3" ht="24" customHeight="1">
      <c r="A4046" s="1205" t="s">
        <v>66540</v>
      </c>
      <c r="B4046" s="1205" t="s">
        <v>66539</v>
      </c>
      <c r="C4046" s="1205">
        <v>215.99</v>
      </c>
    </row>
    <row r="4047" spans="1:3" ht="24" customHeight="1">
      <c r="A4047" s="1205" t="s">
        <v>66538</v>
      </c>
      <c r="B4047" s="1205" t="s">
        <v>66537</v>
      </c>
      <c r="C4047" s="1205">
        <v>237.99</v>
      </c>
    </row>
    <row r="4048" spans="1:3" ht="24" customHeight="1">
      <c r="A4048" s="1205" t="s">
        <v>66536</v>
      </c>
      <c r="B4048" s="1205" t="s">
        <v>66535</v>
      </c>
      <c r="C4048" s="1205">
        <v>185.99</v>
      </c>
    </row>
    <row r="4049" spans="1:3" ht="24" customHeight="1">
      <c r="A4049" s="1205" t="s">
        <v>66534</v>
      </c>
      <c r="B4049" s="1205" t="s">
        <v>66533</v>
      </c>
      <c r="C4049" s="1205">
        <v>248.99</v>
      </c>
    </row>
    <row r="4050" spans="1:3" ht="24" customHeight="1">
      <c r="A4050" s="1205" t="s">
        <v>66532</v>
      </c>
      <c r="B4050" s="1205" t="s">
        <v>66531</v>
      </c>
      <c r="C4050" s="1205">
        <v>199.49</v>
      </c>
    </row>
    <row r="4051" spans="1:3" ht="24" customHeight="1">
      <c r="A4051" s="1205" t="s">
        <v>66530</v>
      </c>
      <c r="B4051" s="1205" t="s">
        <v>66529</v>
      </c>
      <c r="C4051" s="1205">
        <v>221.99</v>
      </c>
    </row>
    <row r="4052" spans="1:3" ht="24" customHeight="1">
      <c r="A4052" s="1205" t="s">
        <v>66528</v>
      </c>
      <c r="B4052" s="1205" t="s">
        <v>66527</v>
      </c>
      <c r="C4052" s="1205">
        <v>262.49</v>
      </c>
    </row>
    <row r="4053" spans="1:3" ht="24" customHeight="1">
      <c r="A4053" s="1205" t="s">
        <v>66526</v>
      </c>
      <c r="B4053" s="1205" t="s">
        <v>66525</v>
      </c>
      <c r="C4053" s="1205">
        <v>268.99</v>
      </c>
    </row>
    <row r="4054" spans="1:3" ht="24" customHeight="1">
      <c r="A4054" s="1205" t="s">
        <v>66524</v>
      </c>
      <c r="B4054" s="1205" t="s">
        <v>66523</v>
      </c>
      <c r="C4054" s="1205">
        <v>213.49</v>
      </c>
    </row>
    <row r="4055" spans="1:3" ht="24" customHeight="1">
      <c r="A4055" s="1205" t="s">
        <v>66522</v>
      </c>
      <c r="B4055" s="1205" t="s">
        <v>66521</v>
      </c>
      <c r="C4055" s="1205">
        <v>172.49</v>
      </c>
    </row>
    <row r="4056" spans="1:3" ht="24" customHeight="1">
      <c r="A4056" s="1205" t="s">
        <v>66520</v>
      </c>
      <c r="B4056" s="1205" t="s">
        <v>66519</v>
      </c>
      <c r="C4056" s="1205">
        <v>187.99</v>
      </c>
    </row>
    <row r="4057" spans="1:3" ht="24" customHeight="1">
      <c r="A4057" s="1205" t="s">
        <v>66518</v>
      </c>
      <c r="B4057" s="1205" t="s">
        <v>66517</v>
      </c>
      <c r="C4057" s="1205">
        <v>146.99</v>
      </c>
    </row>
    <row r="4058" spans="1:3" ht="24" customHeight="1">
      <c r="A4058" s="1205" t="s">
        <v>66516</v>
      </c>
      <c r="B4058" s="1205" t="s">
        <v>66515</v>
      </c>
      <c r="C4058" s="1205">
        <v>90.99</v>
      </c>
    </row>
    <row r="4059" spans="1:3" ht="24" customHeight="1">
      <c r="A4059" s="1205" t="s">
        <v>66514</v>
      </c>
      <c r="B4059" s="1205" t="s">
        <v>66513</v>
      </c>
      <c r="C4059" s="1205">
        <v>119.49</v>
      </c>
    </row>
    <row r="4060" spans="1:3" ht="24" customHeight="1">
      <c r="A4060" s="1205" t="s">
        <v>66512</v>
      </c>
      <c r="B4060" s="1205" t="s">
        <v>66511</v>
      </c>
      <c r="C4060" s="1205">
        <v>131.99</v>
      </c>
    </row>
    <row r="4061" spans="1:3" ht="24" customHeight="1">
      <c r="A4061" s="1205" t="s">
        <v>66510</v>
      </c>
      <c r="B4061" s="1205" t="s">
        <v>66509</v>
      </c>
      <c r="C4061" s="1205">
        <v>183.49</v>
      </c>
    </row>
    <row r="4062" spans="1:3" ht="24" customHeight="1">
      <c r="A4062" s="1205" t="s">
        <v>66508</v>
      </c>
      <c r="B4062" s="1205" t="s">
        <v>66507</v>
      </c>
      <c r="C4062" s="1205">
        <v>225.99</v>
      </c>
    </row>
    <row r="4063" spans="1:3" ht="24" customHeight="1">
      <c r="A4063" s="1205" t="s">
        <v>66506</v>
      </c>
      <c r="B4063" s="1205" t="s">
        <v>66505</v>
      </c>
      <c r="C4063" s="1205">
        <v>239.49</v>
      </c>
    </row>
    <row r="4064" spans="1:3" ht="24" customHeight="1">
      <c r="A4064" s="1205" t="s">
        <v>66504</v>
      </c>
      <c r="B4064" s="1205" t="s">
        <v>66503</v>
      </c>
      <c r="C4064" s="1205">
        <v>195.49</v>
      </c>
    </row>
    <row r="4065" spans="1:3" ht="24" customHeight="1">
      <c r="A4065" s="1205" t="s">
        <v>66502</v>
      </c>
      <c r="B4065" s="1205" t="s">
        <v>66501</v>
      </c>
      <c r="C4065" s="1205">
        <v>258.49</v>
      </c>
    </row>
    <row r="4066" spans="1:3" ht="24" customHeight="1">
      <c r="A4066" s="1205" t="s">
        <v>66500</v>
      </c>
      <c r="B4066" s="1205" t="s">
        <v>66499</v>
      </c>
      <c r="C4066" s="1205">
        <v>208.99</v>
      </c>
    </row>
    <row r="4067" spans="1:3" ht="24" customHeight="1">
      <c r="A4067" s="1205" t="s">
        <v>66498</v>
      </c>
      <c r="B4067" s="1205" t="s">
        <v>66497</v>
      </c>
      <c r="C4067" s="1205">
        <v>231.49</v>
      </c>
    </row>
    <row r="4068" spans="1:3" ht="24" customHeight="1">
      <c r="A4068" s="1205" t="s">
        <v>66496</v>
      </c>
      <c r="B4068" s="1205" t="s">
        <v>66495</v>
      </c>
      <c r="C4068" s="1205">
        <v>271.99</v>
      </c>
    </row>
    <row r="4069" spans="1:3" ht="24" customHeight="1">
      <c r="A4069" s="1205" t="s">
        <v>66494</v>
      </c>
      <c r="B4069" s="1205" t="s">
        <v>66493</v>
      </c>
      <c r="C4069" s="1205">
        <v>277.99</v>
      </c>
    </row>
    <row r="4070" spans="1:3" ht="24" customHeight="1">
      <c r="A4070" s="1205" t="s">
        <v>66492</v>
      </c>
      <c r="B4070" s="1205" t="s">
        <v>66491</v>
      </c>
      <c r="C4070" s="1205">
        <v>222.99</v>
      </c>
    </row>
    <row r="4071" spans="1:3" ht="24" customHeight="1">
      <c r="A4071" s="1205" t="s">
        <v>66490</v>
      </c>
      <c r="B4071" s="1205" t="s">
        <v>66489</v>
      </c>
      <c r="C4071" s="1205">
        <v>182.49</v>
      </c>
    </row>
    <row r="4072" spans="1:3" ht="24" customHeight="1">
      <c r="A4072" s="1205" t="s">
        <v>66488</v>
      </c>
      <c r="B4072" s="1205" t="s">
        <v>66487</v>
      </c>
      <c r="C4072" s="1205">
        <v>196.99</v>
      </c>
    </row>
    <row r="4073" spans="1:3" ht="24" customHeight="1">
      <c r="A4073" s="1205" t="s">
        <v>66486</v>
      </c>
      <c r="B4073" s="1205" t="s">
        <v>66485</v>
      </c>
      <c r="C4073" s="1205">
        <v>150.99</v>
      </c>
    </row>
    <row r="4074" spans="1:3" ht="24" customHeight="1">
      <c r="A4074" s="1205" t="s">
        <v>66484</v>
      </c>
      <c r="B4074" s="1205" t="s">
        <v>66483</v>
      </c>
      <c r="C4074" s="1205">
        <v>100.99</v>
      </c>
    </row>
    <row r="4075" spans="1:3" ht="24" customHeight="1">
      <c r="A4075" s="1205" t="s">
        <v>66482</v>
      </c>
      <c r="B4075" s="1205" t="s">
        <v>66481</v>
      </c>
      <c r="C4075" s="1205">
        <v>103.99</v>
      </c>
    </row>
    <row r="4076" spans="1:3" ht="24" customHeight="1">
      <c r="A4076" s="1205" t="s">
        <v>66480</v>
      </c>
      <c r="B4076" s="1205" t="s">
        <v>66479</v>
      </c>
      <c r="C4076" s="1205">
        <v>145.49</v>
      </c>
    </row>
    <row r="4077" spans="1:3" ht="24" customHeight="1">
      <c r="A4077" s="1205" t="s">
        <v>66478</v>
      </c>
      <c r="B4077" s="1205" t="s">
        <v>66477</v>
      </c>
      <c r="C4077" s="1205">
        <v>155.99</v>
      </c>
    </row>
    <row r="4078" spans="1:3" ht="24" customHeight="1">
      <c r="A4078" s="1205" t="s">
        <v>66476</v>
      </c>
      <c r="B4078" s="1205" t="s">
        <v>66475</v>
      </c>
      <c r="C4078" s="1205">
        <v>237.49</v>
      </c>
    </row>
    <row r="4079" spans="1:3" ht="24" customHeight="1">
      <c r="A4079" s="1205" t="s">
        <v>66474</v>
      </c>
      <c r="B4079" s="1205" t="s">
        <v>66473</v>
      </c>
      <c r="C4079" s="1205">
        <v>275.99</v>
      </c>
    </row>
    <row r="4080" spans="1:3" ht="24" customHeight="1">
      <c r="A4080" s="1205" t="s">
        <v>66472</v>
      </c>
      <c r="B4080" s="1205" t="s">
        <v>66471</v>
      </c>
      <c r="C4080" s="1205">
        <v>286.49</v>
      </c>
    </row>
    <row r="4081" spans="1:3" ht="24" customHeight="1">
      <c r="A4081" s="1205" t="s">
        <v>66470</v>
      </c>
      <c r="B4081" s="1205" t="s">
        <v>66469</v>
      </c>
      <c r="C4081" s="1205">
        <v>243.49</v>
      </c>
    </row>
    <row r="4082" spans="1:3" ht="24" customHeight="1">
      <c r="A4082" s="1205" t="s">
        <v>66468</v>
      </c>
      <c r="B4082" s="1205" t="s">
        <v>66467</v>
      </c>
      <c r="C4082" s="1205">
        <v>259.99</v>
      </c>
    </row>
    <row r="4083" spans="1:3" ht="24" customHeight="1">
      <c r="A4083" s="1205" t="s">
        <v>66466</v>
      </c>
      <c r="B4083" s="1205" t="s">
        <v>66465</v>
      </c>
      <c r="C4083" s="1205">
        <v>269.49</v>
      </c>
    </row>
    <row r="4084" spans="1:3" ht="24" customHeight="1">
      <c r="A4084" s="1205" t="s">
        <v>66464</v>
      </c>
      <c r="B4084" s="1205" t="s">
        <v>66463</v>
      </c>
      <c r="C4084" s="1205">
        <v>232.49</v>
      </c>
    </row>
    <row r="4085" spans="1:3" ht="24" customHeight="1">
      <c r="A4085" s="1205" t="s">
        <v>66462</v>
      </c>
      <c r="B4085" s="1205" t="s">
        <v>66461</v>
      </c>
      <c r="C4085" s="1205">
        <v>247.99</v>
      </c>
    </row>
    <row r="4086" spans="1:3" ht="24" customHeight="1">
      <c r="A4086" s="1205" t="s">
        <v>66460</v>
      </c>
      <c r="B4086" s="1205" t="s">
        <v>66459</v>
      </c>
      <c r="C4086" s="1205">
        <v>207.49</v>
      </c>
    </row>
    <row r="4087" spans="1:3" ht="24" customHeight="1">
      <c r="A4087" s="1205" t="s">
        <v>66458</v>
      </c>
      <c r="B4087" s="1205" t="s">
        <v>66457</v>
      </c>
      <c r="C4087" s="1205">
        <v>115.49</v>
      </c>
    </row>
    <row r="4088" spans="1:3" ht="24" customHeight="1">
      <c r="A4088" s="1205" t="s">
        <v>66456</v>
      </c>
      <c r="B4088" s="1205" t="s">
        <v>66455</v>
      </c>
      <c r="C4088" s="1205">
        <v>108.49</v>
      </c>
    </row>
    <row r="4089" spans="1:3" ht="24" customHeight="1">
      <c r="A4089" s="1205" t="s">
        <v>66454</v>
      </c>
      <c r="B4089" s="1205" t="s">
        <v>66453</v>
      </c>
      <c r="C4089" s="1205">
        <v>120.49</v>
      </c>
    </row>
    <row r="4090" spans="1:3" ht="24" customHeight="1">
      <c r="A4090" s="1205" t="s">
        <v>66452</v>
      </c>
      <c r="B4090" s="1205" t="s">
        <v>66451</v>
      </c>
      <c r="C4090" s="1205">
        <v>127.49</v>
      </c>
    </row>
    <row r="4091" spans="1:3" ht="24" customHeight="1">
      <c r="A4091" s="1205" t="s">
        <v>66450</v>
      </c>
      <c r="B4091" s="1205" t="s">
        <v>66449</v>
      </c>
      <c r="C4091" s="1205">
        <v>140.99</v>
      </c>
    </row>
    <row r="4092" spans="1:3" ht="24" customHeight="1">
      <c r="A4092" s="1205" t="s">
        <v>66448</v>
      </c>
      <c r="B4092" s="1205" t="s">
        <v>66447</v>
      </c>
      <c r="C4092" s="1205">
        <v>152.49</v>
      </c>
    </row>
    <row r="4093" spans="1:3" ht="24" customHeight="1">
      <c r="A4093" s="1205" t="s">
        <v>66446</v>
      </c>
      <c r="B4093" s="1205" t="s">
        <v>66445</v>
      </c>
      <c r="C4093" s="1205">
        <v>148.99</v>
      </c>
    </row>
    <row r="4094" spans="1:3" ht="24" customHeight="1">
      <c r="A4094" s="1205" t="s">
        <v>66444</v>
      </c>
      <c r="B4094" s="1205" t="s">
        <v>66443</v>
      </c>
      <c r="C4094" s="1205">
        <v>153.99</v>
      </c>
    </row>
    <row r="4095" spans="1:3" ht="24" customHeight="1">
      <c r="A4095" s="1205" t="s">
        <v>66442</v>
      </c>
      <c r="B4095" s="1205" t="s">
        <v>66441</v>
      </c>
      <c r="C4095" s="1205">
        <v>96.99</v>
      </c>
    </row>
    <row r="4096" spans="1:3" ht="24" customHeight="1">
      <c r="A4096" s="1205" t="s">
        <v>66440</v>
      </c>
      <c r="B4096" s="1205" t="s">
        <v>66439</v>
      </c>
      <c r="C4096" s="1205">
        <v>101.99</v>
      </c>
    </row>
    <row r="4097" spans="1:3" ht="24" customHeight="1">
      <c r="A4097" s="1205" t="s">
        <v>66438</v>
      </c>
      <c r="B4097" s="1205" t="s">
        <v>66437</v>
      </c>
      <c r="C4097" s="1205">
        <v>64.989999999999995</v>
      </c>
    </row>
    <row r="4098" spans="1:3" ht="24" customHeight="1">
      <c r="A4098" s="1205" t="s">
        <v>66436</v>
      </c>
      <c r="B4098" s="1205" t="s">
        <v>66435</v>
      </c>
      <c r="C4098" s="1205">
        <v>75.489999999999995</v>
      </c>
    </row>
    <row r="4099" spans="1:3" ht="24" customHeight="1">
      <c r="A4099" s="1205" t="s">
        <v>66434</v>
      </c>
      <c r="B4099" s="1205" t="s">
        <v>66433</v>
      </c>
      <c r="C4099" s="1205">
        <v>197.49</v>
      </c>
    </row>
    <row r="4100" spans="1:3" ht="24" customHeight="1">
      <c r="A4100" s="1205" t="s">
        <v>66432</v>
      </c>
      <c r="B4100" s="1205" t="s">
        <v>66431</v>
      </c>
      <c r="C4100" s="1205">
        <v>244.49</v>
      </c>
    </row>
    <row r="4101" spans="1:3" ht="24" customHeight="1">
      <c r="A4101" s="1205" t="s">
        <v>66430</v>
      </c>
      <c r="B4101" s="1205" t="s">
        <v>66429</v>
      </c>
      <c r="C4101" s="1205">
        <v>215.99</v>
      </c>
    </row>
    <row r="4102" spans="1:3" ht="24" customHeight="1">
      <c r="A4102" s="1205" t="s">
        <v>66428</v>
      </c>
      <c r="B4102" s="1205" t="s">
        <v>66427</v>
      </c>
      <c r="C4102" s="1205">
        <v>192.49</v>
      </c>
    </row>
    <row r="4103" spans="1:3" ht="24" customHeight="1">
      <c r="A4103" s="1205" t="s">
        <v>66426</v>
      </c>
      <c r="B4103" s="1205" t="s">
        <v>66425</v>
      </c>
      <c r="C4103" s="1205">
        <v>217.49</v>
      </c>
    </row>
    <row r="4104" spans="1:3" ht="24" customHeight="1">
      <c r="A4104" s="1205" t="s">
        <v>66424</v>
      </c>
      <c r="B4104" s="1205" t="s">
        <v>66423</v>
      </c>
      <c r="C4104" s="1205">
        <v>188.99</v>
      </c>
    </row>
    <row r="4105" spans="1:3" ht="24" customHeight="1">
      <c r="A4105" s="1205" t="s">
        <v>66422</v>
      </c>
      <c r="B4105" s="1205" t="s">
        <v>66421</v>
      </c>
      <c r="C4105" s="1205">
        <v>165.99</v>
      </c>
    </row>
    <row r="4106" spans="1:3" ht="24" customHeight="1">
      <c r="A4106" s="1205" t="s">
        <v>66420</v>
      </c>
      <c r="B4106" s="1205" t="s">
        <v>66419</v>
      </c>
      <c r="C4106" s="1205">
        <v>247.99</v>
      </c>
    </row>
    <row r="4107" spans="1:3" ht="24" customHeight="1">
      <c r="A4107" s="1205" t="s">
        <v>66418</v>
      </c>
      <c r="B4107" s="1205" t="s">
        <v>66417</v>
      </c>
      <c r="C4107" s="1205">
        <v>215.49</v>
      </c>
    </row>
    <row r="4108" spans="1:3" ht="24" customHeight="1">
      <c r="A4108" s="1205" t="s">
        <v>66416</v>
      </c>
      <c r="B4108" s="1205" t="s">
        <v>66415</v>
      </c>
      <c r="C4108" s="1205">
        <v>165.49</v>
      </c>
    </row>
    <row r="4109" spans="1:3" ht="24" customHeight="1">
      <c r="A4109" s="1205" t="s">
        <v>66414</v>
      </c>
      <c r="B4109" s="1205" t="s">
        <v>66413</v>
      </c>
      <c r="C4109" s="1205">
        <v>152.99</v>
      </c>
    </row>
    <row r="4110" spans="1:3" ht="24" customHeight="1">
      <c r="A4110" s="1205" t="s">
        <v>66412</v>
      </c>
      <c r="B4110" s="1205" t="s">
        <v>66411</v>
      </c>
      <c r="C4110" s="1205">
        <v>90.99</v>
      </c>
    </row>
    <row r="4111" spans="1:3" ht="24" customHeight="1">
      <c r="A4111" s="1205" t="s">
        <v>66410</v>
      </c>
      <c r="B4111" s="1205" t="s">
        <v>66409</v>
      </c>
      <c r="C4111" s="1205">
        <v>163.99</v>
      </c>
    </row>
    <row r="4112" spans="1:3" ht="24" customHeight="1">
      <c r="A4112" s="1205" t="s">
        <v>66408</v>
      </c>
      <c r="B4112" s="1205" t="s">
        <v>66407</v>
      </c>
      <c r="C4112" s="1205">
        <v>207.99</v>
      </c>
    </row>
    <row r="4113" spans="1:3" ht="24" customHeight="1">
      <c r="A4113" s="1205" t="s">
        <v>66406</v>
      </c>
      <c r="B4113" s="1205" t="s">
        <v>66405</v>
      </c>
      <c r="C4113" s="1205">
        <v>263.49</v>
      </c>
    </row>
    <row r="4114" spans="1:3" ht="24" customHeight="1">
      <c r="A4114" s="1205" t="s">
        <v>66404</v>
      </c>
      <c r="B4114" s="1205" t="s">
        <v>66403</v>
      </c>
      <c r="C4114" s="1205">
        <v>224.99</v>
      </c>
    </row>
    <row r="4115" spans="1:3" ht="24" customHeight="1">
      <c r="A4115" s="1205" t="s">
        <v>66402</v>
      </c>
      <c r="B4115" s="1205" t="s">
        <v>66401</v>
      </c>
      <c r="C4115" s="1205">
        <v>203.99</v>
      </c>
    </row>
    <row r="4116" spans="1:3" ht="24" customHeight="1">
      <c r="A4116" s="1205" t="s">
        <v>66400</v>
      </c>
      <c r="B4116" s="1205" t="s">
        <v>66399</v>
      </c>
      <c r="C4116" s="1205">
        <v>226.49</v>
      </c>
    </row>
    <row r="4117" spans="1:3" ht="24" customHeight="1">
      <c r="A4117" s="1205" t="s">
        <v>66398</v>
      </c>
      <c r="B4117" s="1205" t="s">
        <v>66397</v>
      </c>
      <c r="C4117" s="1205">
        <v>197.99</v>
      </c>
    </row>
    <row r="4118" spans="1:3" ht="24" customHeight="1">
      <c r="A4118" s="1205" t="s">
        <v>66396</v>
      </c>
      <c r="B4118" s="1205" t="s">
        <v>66395</v>
      </c>
      <c r="C4118" s="1205">
        <v>177.49</v>
      </c>
    </row>
    <row r="4119" spans="1:3" ht="24" customHeight="1">
      <c r="A4119" s="1205" t="s">
        <v>66394</v>
      </c>
      <c r="B4119" s="1205" t="s">
        <v>66393</v>
      </c>
      <c r="C4119" s="1205">
        <v>256.99</v>
      </c>
    </row>
    <row r="4120" spans="1:3" ht="24" customHeight="1">
      <c r="A4120" s="1205" t="s">
        <v>66392</v>
      </c>
      <c r="B4120" s="1205" t="s">
        <v>66391</v>
      </c>
      <c r="C4120" s="1205">
        <v>224.99</v>
      </c>
    </row>
    <row r="4121" spans="1:3" ht="24" customHeight="1">
      <c r="A4121" s="1205" t="s">
        <v>66390</v>
      </c>
      <c r="B4121" s="1205" t="s">
        <v>66389</v>
      </c>
      <c r="C4121" s="1205">
        <v>173.49</v>
      </c>
    </row>
    <row r="4122" spans="1:3" ht="24" customHeight="1">
      <c r="A4122" s="1205" t="s">
        <v>66388</v>
      </c>
      <c r="B4122" s="1205" t="s">
        <v>66387</v>
      </c>
      <c r="C4122" s="1205">
        <v>164.99</v>
      </c>
    </row>
    <row r="4123" spans="1:3" ht="24" customHeight="1">
      <c r="A4123" s="1205" t="s">
        <v>66386</v>
      </c>
      <c r="B4123" s="1205" t="s">
        <v>66385</v>
      </c>
      <c r="C4123" s="1205">
        <v>98.99</v>
      </c>
    </row>
    <row r="4124" spans="1:3" ht="24" customHeight="1">
      <c r="A4124" s="1205" t="s">
        <v>66384</v>
      </c>
      <c r="B4124" s="1205" t="s">
        <v>66383</v>
      </c>
      <c r="C4124" s="1205">
        <v>228.99</v>
      </c>
    </row>
    <row r="4125" spans="1:3" ht="24" customHeight="1">
      <c r="A4125" s="1205" t="s">
        <v>66382</v>
      </c>
      <c r="B4125" s="1205" t="s">
        <v>66381</v>
      </c>
      <c r="C4125" s="1205">
        <v>380.49</v>
      </c>
    </row>
    <row r="4126" spans="1:3" ht="24" customHeight="1">
      <c r="A4126" s="1205" t="s">
        <v>66380</v>
      </c>
      <c r="B4126" s="1205" t="s">
        <v>66379</v>
      </c>
      <c r="C4126" s="1205">
        <v>337.49</v>
      </c>
    </row>
    <row r="4127" spans="1:3" ht="24" customHeight="1">
      <c r="A4127" s="1205" t="s">
        <v>66378</v>
      </c>
      <c r="B4127" s="1205" t="s">
        <v>66377</v>
      </c>
      <c r="C4127" s="1205">
        <v>346.99</v>
      </c>
    </row>
    <row r="4128" spans="1:3" ht="24" customHeight="1">
      <c r="A4128" s="1205" t="s">
        <v>66376</v>
      </c>
      <c r="B4128" s="1205" t="s">
        <v>66375</v>
      </c>
      <c r="C4128" s="1205">
        <v>308.49</v>
      </c>
    </row>
    <row r="4129" spans="1:3" ht="24" customHeight="1">
      <c r="A4129" s="1205" t="s">
        <v>66374</v>
      </c>
      <c r="B4129" s="1205" t="s">
        <v>66373</v>
      </c>
      <c r="C4129" s="1205">
        <v>288.99</v>
      </c>
    </row>
    <row r="4130" spans="1:3" ht="24" customHeight="1">
      <c r="A4130" s="1205" t="s">
        <v>66372</v>
      </c>
      <c r="B4130" s="1205" t="s">
        <v>66371</v>
      </c>
      <c r="C4130" s="1205">
        <v>250.99</v>
      </c>
    </row>
    <row r="4131" spans="1:3" ht="24" customHeight="1">
      <c r="A4131" s="1205" t="s">
        <v>66370</v>
      </c>
      <c r="B4131" s="1205" t="s">
        <v>66369</v>
      </c>
      <c r="C4131" s="1205">
        <v>190.49</v>
      </c>
    </row>
    <row r="4132" spans="1:3" ht="24" customHeight="1">
      <c r="A4132" s="1205" t="s">
        <v>66368</v>
      </c>
      <c r="B4132" s="1205" t="s">
        <v>66367</v>
      </c>
      <c r="C4132" s="1205">
        <v>90.99</v>
      </c>
    </row>
    <row r="4133" spans="1:3" ht="24" customHeight="1">
      <c r="A4133" s="1205" t="s">
        <v>66366</v>
      </c>
      <c r="B4133" s="1205" t="s">
        <v>66365</v>
      </c>
      <c r="C4133" s="1205">
        <v>128.99</v>
      </c>
    </row>
    <row r="4134" spans="1:3" ht="24" customHeight="1">
      <c r="A4134" s="1205" t="s">
        <v>66364</v>
      </c>
      <c r="B4134" s="1205" t="s">
        <v>66363</v>
      </c>
      <c r="C4134" s="1205">
        <v>119.99</v>
      </c>
    </row>
    <row r="4135" spans="1:3" ht="24" customHeight="1">
      <c r="A4135" s="1205" t="s">
        <v>66362</v>
      </c>
      <c r="B4135" s="1205" t="s">
        <v>66361</v>
      </c>
      <c r="C4135" s="1205">
        <v>127.49</v>
      </c>
    </row>
    <row r="4136" spans="1:3" ht="24" customHeight="1">
      <c r="A4136" s="1205" t="s">
        <v>66360</v>
      </c>
      <c r="B4136" s="1205" t="s">
        <v>66359</v>
      </c>
      <c r="C4136" s="1205">
        <v>166.49</v>
      </c>
    </row>
    <row r="4137" spans="1:3" ht="24" customHeight="1">
      <c r="A4137" s="1205" t="s">
        <v>66358</v>
      </c>
      <c r="B4137" s="1205" t="s">
        <v>66357</v>
      </c>
      <c r="C4137" s="1205">
        <v>157.49</v>
      </c>
    </row>
    <row r="4138" spans="1:3" ht="24" customHeight="1">
      <c r="A4138" s="1205" t="s">
        <v>66356</v>
      </c>
      <c r="B4138" s="1205" t="s">
        <v>66355</v>
      </c>
      <c r="C4138" s="1205">
        <v>118.49</v>
      </c>
    </row>
    <row r="4139" spans="1:3" ht="24" customHeight="1">
      <c r="A4139" s="1205" t="s">
        <v>66354</v>
      </c>
      <c r="B4139" s="1205" t="s">
        <v>66353</v>
      </c>
      <c r="C4139" s="1205">
        <v>81.99</v>
      </c>
    </row>
    <row r="4140" spans="1:3" ht="24" customHeight="1">
      <c r="A4140" s="1205" t="s">
        <v>66352</v>
      </c>
      <c r="B4140" s="1205" t="s">
        <v>66351</v>
      </c>
      <c r="C4140" s="1205">
        <v>244.49</v>
      </c>
    </row>
    <row r="4141" spans="1:3" ht="24" customHeight="1">
      <c r="A4141" s="1205" t="s">
        <v>66350</v>
      </c>
      <c r="B4141" s="1205" t="s">
        <v>66349</v>
      </c>
      <c r="C4141" s="1205">
        <v>502.99</v>
      </c>
    </row>
    <row r="4142" spans="1:3" ht="24" customHeight="1">
      <c r="A4142" s="1205" t="s">
        <v>66348</v>
      </c>
      <c r="B4142" s="1205" t="s">
        <v>66347</v>
      </c>
      <c r="C4142" s="1205">
        <v>458.49</v>
      </c>
    </row>
    <row r="4143" spans="1:3" ht="24" customHeight="1">
      <c r="A4143" s="1205" t="s">
        <v>66346</v>
      </c>
      <c r="B4143" s="1205" t="s">
        <v>66345</v>
      </c>
      <c r="C4143" s="1205">
        <v>412.49</v>
      </c>
    </row>
    <row r="4144" spans="1:3" ht="24" customHeight="1">
      <c r="A4144" s="1205" t="s">
        <v>66344</v>
      </c>
      <c r="B4144" s="1205" t="s">
        <v>66343</v>
      </c>
      <c r="C4144" s="1205">
        <v>367.99</v>
      </c>
    </row>
    <row r="4145" spans="1:3" ht="24" customHeight="1">
      <c r="A4145" s="1205" t="s">
        <v>66342</v>
      </c>
      <c r="B4145" s="1205" t="s">
        <v>66341</v>
      </c>
      <c r="C4145" s="1205">
        <v>491.99</v>
      </c>
    </row>
    <row r="4146" spans="1:3" ht="24" customHeight="1">
      <c r="A4146" s="1205" t="s">
        <v>66340</v>
      </c>
      <c r="B4146" s="1205" t="s">
        <v>66339</v>
      </c>
      <c r="C4146" s="1205">
        <v>453.49</v>
      </c>
    </row>
    <row r="4147" spans="1:3" ht="24" customHeight="1">
      <c r="A4147" s="1205" t="s">
        <v>66338</v>
      </c>
      <c r="B4147" s="1205" t="s">
        <v>66337</v>
      </c>
      <c r="C4147" s="1205">
        <v>392.49</v>
      </c>
    </row>
    <row r="4148" spans="1:3" ht="24" customHeight="1">
      <c r="A4148" s="1205" t="s">
        <v>66336</v>
      </c>
      <c r="B4148" s="1205" t="s">
        <v>66335</v>
      </c>
      <c r="C4148" s="1205">
        <v>353.49</v>
      </c>
    </row>
    <row r="4149" spans="1:3" ht="24" customHeight="1">
      <c r="A4149" s="1205" t="s">
        <v>66334</v>
      </c>
      <c r="B4149" s="1205" t="s">
        <v>66333</v>
      </c>
      <c r="C4149" s="1205">
        <v>374.49</v>
      </c>
    </row>
    <row r="4150" spans="1:3" ht="24" customHeight="1">
      <c r="A4150" s="1205" t="s">
        <v>66332</v>
      </c>
      <c r="B4150" s="1205" t="s">
        <v>66331</v>
      </c>
      <c r="C4150" s="1205">
        <v>335.49</v>
      </c>
    </row>
    <row r="4151" spans="1:3" ht="24" customHeight="1">
      <c r="A4151" s="1205" t="s">
        <v>66330</v>
      </c>
      <c r="B4151" s="1205" t="s">
        <v>66329</v>
      </c>
      <c r="C4151" s="1205">
        <v>321.49</v>
      </c>
    </row>
    <row r="4152" spans="1:3" ht="24" customHeight="1">
      <c r="A4152" s="1205" t="s">
        <v>66328</v>
      </c>
      <c r="B4152" s="1205" t="s">
        <v>66327</v>
      </c>
      <c r="C4152" s="1205">
        <v>282.99</v>
      </c>
    </row>
    <row r="4153" spans="1:3" ht="24" customHeight="1">
      <c r="A4153" s="1205" t="s">
        <v>66326</v>
      </c>
      <c r="B4153" s="1205" t="s">
        <v>66325</v>
      </c>
      <c r="C4153" s="1205">
        <v>205.99</v>
      </c>
    </row>
    <row r="4154" spans="1:3" ht="24" customHeight="1">
      <c r="A4154" s="1205" t="s">
        <v>66324</v>
      </c>
      <c r="B4154" s="1205" t="s">
        <v>66323</v>
      </c>
      <c r="C4154" s="1205">
        <v>296.99</v>
      </c>
    </row>
    <row r="4155" spans="1:3" ht="24" customHeight="1">
      <c r="A4155" s="1205" t="s">
        <v>66322</v>
      </c>
      <c r="B4155" s="1205" t="s">
        <v>66321</v>
      </c>
      <c r="C4155" s="1205">
        <v>258.99</v>
      </c>
    </row>
    <row r="4156" spans="1:3" ht="24" customHeight="1">
      <c r="A4156" s="1205" t="s">
        <v>66320</v>
      </c>
      <c r="B4156" s="1205" t="s">
        <v>66319</v>
      </c>
      <c r="C4156" s="1205">
        <v>201.49</v>
      </c>
    </row>
    <row r="4157" spans="1:3" ht="24" customHeight="1">
      <c r="A4157" s="1205" t="s">
        <v>66318</v>
      </c>
      <c r="B4157" s="1205" t="s">
        <v>66317</v>
      </c>
      <c r="C4157" s="1205">
        <v>164.49</v>
      </c>
    </row>
    <row r="4158" spans="1:3" ht="24" customHeight="1">
      <c r="A4158" s="1205" t="s">
        <v>66316</v>
      </c>
      <c r="B4158" s="1205" t="s">
        <v>66313</v>
      </c>
      <c r="C4158" s="1205">
        <v>278.49</v>
      </c>
    </row>
    <row r="4159" spans="1:3" ht="24" customHeight="1">
      <c r="A4159" s="1205" t="s">
        <v>66315</v>
      </c>
      <c r="B4159" s="1205" t="s">
        <v>66311</v>
      </c>
      <c r="C4159" s="1205">
        <v>240.49</v>
      </c>
    </row>
    <row r="4160" spans="1:3" ht="24" customHeight="1">
      <c r="A4160" s="1205" t="s">
        <v>66314</v>
      </c>
      <c r="B4160" s="1205" t="s">
        <v>66313</v>
      </c>
      <c r="C4160" s="1205">
        <v>184.49</v>
      </c>
    </row>
    <row r="4161" spans="1:3" ht="24" customHeight="1">
      <c r="A4161" s="1205" t="s">
        <v>66312</v>
      </c>
      <c r="B4161" s="1205" t="s">
        <v>66311</v>
      </c>
      <c r="C4161" s="1205">
        <v>146.49</v>
      </c>
    </row>
    <row r="4162" spans="1:3" ht="24" customHeight="1">
      <c r="A4162" s="1205" t="s">
        <v>66310</v>
      </c>
      <c r="B4162" s="1205" t="s">
        <v>66309</v>
      </c>
      <c r="C4162" s="1205">
        <v>25.49</v>
      </c>
    </row>
    <row r="4163" spans="1:3" ht="24" customHeight="1">
      <c r="A4163" s="1205" t="s">
        <v>66308</v>
      </c>
      <c r="B4163" s="1205" t="s">
        <v>66307</v>
      </c>
      <c r="C4163" s="1205">
        <v>24.99</v>
      </c>
    </row>
    <row r="4164" spans="1:3" ht="24" customHeight="1">
      <c r="A4164" s="1205" t="s">
        <v>66306</v>
      </c>
      <c r="B4164" s="1205" t="s">
        <v>66305</v>
      </c>
      <c r="C4164" s="1205">
        <v>23.49</v>
      </c>
    </row>
    <row r="4165" spans="1:3" ht="24" customHeight="1">
      <c r="A4165" s="1205" t="s">
        <v>66304</v>
      </c>
      <c r="B4165" s="1205" t="s">
        <v>66303</v>
      </c>
      <c r="C4165" s="1205">
        <v>23.99</v>
      </c>
    </row>
    <row r="4166" spans="1:3" ht="24" customHeight="1">
      <c r="A4166" s="1205" t="s">
        <v>66302</v>
      </c>
      <c r="B4166" s="1205" t="s">
        <v>66301</v>
      </c>
      <c r="C4166" s="1205">
        <v>27.49</v>
      </c>
    </row>
    <row r="4167" spans="1:3" ht="24" customHeight="1">
      <c r="A4167" s="1205" t="s">
        <v>66300</v>
      </c>
      <c r="B4167" s="1205" t="s">
        <v>66299</v>
      </c>
      <c r="C4167" s="1205">
        <v>297.49</v>
      </c>
    </row>
    <row r="4168" spans="1:3" ht="24" customHeight="1">
      <c r="A4168" s="1205" t="s">
        <v>66298</v>
      </c>
      <c r="B4168" s="1205" t="s">
        <v>66297</v>
      </c>
      <c r="C4168" s="1205">
        <v>260.99</v>
      </c>
    </row>
    <row r="4169" spans="1:3" ht="24" customHeight="1">
      <c r="A4169" s="1205" t="s">
        <v>66296</v>
      </c>
      <c r="B4169" s="1205" t="s">
        <v>66295</v>
      </c>
      <c r="C4169" s="1205">
        <v>251.99</v>
      </c>
    </row>
    <row r="4170" spans="1:3" ht="24" customHeight="1">
      <c r="A4170" s="1205" t="s">
        <v>66294</v>
      </c>
      <c r="B4170" s="1205" t="s">
        <v>66293</v>
      </c>
      <c r="C4170" s="1205">
        <v>213.99</v>
      </c>
    </row>
    <row r="4171" spans="1:3" ht="24" customHeight="1">
      <c r="A4171" s="1205" t="s">
        <v>66292</v>
      </c>
      <c r="B4171" s="1205" t="s">
        <v>66291</v>
      </c>
      <c r="C4171" s="1205">
        <v>276.49</v>
      </c>
    </row>
    <row r="4172" spans="1:3" ht="24" customHeight="1">
      <c r="A4172" s="1205" t="s">
        <v>66290</v>
      </c>
      <c r="B4172" s="1205" t="s">
        <v>66289</v>
      </c>
      <c r="C4172" s="1205">
        <v>239.99</v>
      </c>
    </row>
    <row r="4173" spans="1:3" ht="24" customHeight="1">
      <c r="A4173" s="1205" t="s">
        <v>66288</v>
      </c>
      <c r="B4173" s="1205" t="s">
        <v>66287</v>
      </c>
      <c r="C4173" s="1205">
        <v>229.99</v>
      </c>
    </row>
    <row r="4174" spans="1:3" ht="24" customHeight="1">
      <c r="A4174" s="1205" t="s">
        <v>66286</v>
      </c>
      <c r="B4174" s="1205" t="s">
        <v>66285</v>
      </c>
      <c r="C4174" s="1205">
        <v>191.49</v>
      </c>
    </row>
    <row r="4175" spans="1:3" ht="24" customHeight="1">
      <c r="A4175" s="1205" t="s">
        <v>66284</v>
      </c>
      <c r="B4175" s="1205" t="s">
        <v>66283</v>
      </c>
      <c r="C4175" s="1205">
        <v>103.49</v>
      </c>
    </row>
    <row r="4176" spans="1:3" ht="24" customHeight="1">
      <c r="A4176" s="1205" t="s">
        <v>66282</v>
      </c>
      <c r="B4176" s="1205" t="s">
        <v>66281</v>
      </c>
      <c r="C4176" s="1205">
        <v>48.99</v>
      </c>
    </row>
    <row r="4177" spans="1:3" ht="24" customHeight="1">
      <c r="A4177" s="1205" t="s">
        <v>66280</v>
      </c>
      <c r="B4177" s="1205" t="s">
        <v>66279</v>
      </c>
      <c r="C4177" s="1205">
        <v>115.49</v>
      </c>
    </row>
    <row r="4178" spans="1:3" ht="24" customHeight="1">
      <c r="A4178" s="1205" t="s">
        <v>66278</v>
      </c>
      <c r="B4178" s="1205" t="s">
        <v>66277</v>
      </c>
      <c r="C4178" s="1205">
        <v>114.99</v>
      </c>
    </row>
    <row r="4179" spans="1:3" ht="24" customHeight="1">
      <c r="A4179" s="1205" t="s">
        <v>66276</v>
      </c>
      <c r="B4179" s="1205" t="s">
        <v>66275</v>
      </c>
      <c r="C4179" s="1205">
        <v>129.99</v>
      </c>
    </row>
    <row r="4180" spans="1:3" ht="24" customHeight="1">
      <c r="A4180" s="1205" t="s">
        <v>66274</v>
      </c>
      <c r="B4180" s="1205" t="s">
        <v>66273</v>
      </c>
      <c r="C4180" s="1205">
        <v>162.99</v>
      </c>
    </row>
    <row r="4181" spans="1:3" ht="24" customHeight="1">
      <c r="A4181" s="1205" t="s">
        <v>66272</v>
      </c>
      <c r="B4181" s="1205" t="s">
        <v>66271</v>
      </c>
      <c r="C4181" s="1205">
        <v>191.99</v>
      </c>
    </row>
    <row r="4182" spans="1:3" ht="24" customHeight="1">
      <c r="A4182" s="1205" t="s">
        <v>66270</v>
      </c>
      <c r="B4182" s="1205" t="s">
        <v>66269</v>
      </c>
      <c r="C4182" s="1205">
        <v>133.49</v>
      </c>
    </row>
    <row r="4183" spans="1:3" ht="24" customHeight="1">
      <c r="A4183" s="1205" t="s">
        <v>66268</v>
      </c>
      <c r="B4183" s="1205" t="s">
        <v>66267</v>
      </c>
      <c r="C4183" s="1205">
        <v>158.49</v>
      </c>
    </row>
    <row r="4184" spans="1:3" ht="24" customHeight="1">
      <c r="A4184" s="1205" t="s">
        <v>66266</v>
      </c>
      <c r="B4184" s="1205" t="s">
        <v>66265</v>
      </c>
      <c r="C4184" s="1205">
        <v>29.49</v>
      </c>
    </row>
    <row r="4185" spans="1:3" ht="24" customHeight="1">
      <c r="A4185" s="1205" t="s">
        <v>66264</v>
      </c>
      <c r="B4185" s="1205" t="s">
        <v>66263</v>
      </c>
      <c r="C4185" s="1205">
        <v>154.99</v>
      </c>
    </row>
    <row r="4186" spans="1:3" ht="24" customHeight="1">
      <c r="A4186" s="1205" t="s">
        <v>66262</v>
      </c>
      <c r="B4186" s="1205" t="s">
        <v>66260</v>
      </c>
      <c r="C4186" s="1205">
        <v>50.49</v>
      </c>
    </row>
    <row r="4187" spans="1:3" ht="24" customHeight="1">
      <c r="A4187" s="1205" t="s">
        <v>66261</v>
      </c>
      <c r="B4187" s="1205" t="s">
        <v>66260</v>
      </c>
      <c r="C4187" s="1205">
        <v>51.49</v>
      </c>
    </row>
    <row r="4188" spans="1:3" ht="24" customHeight="1">
      <c r="A4188" s="1205" t="s">
        <v>66259</v>
      </c>
      <c r="B4188" s="1205" t="s">
        <v>66258</v>
      </c>
      <c r="C4188" s="1205">
        <v>108.49</v>
      </c>
    </row>
    <row r="4189" spans="1:3" ht="24" customHeight="1">
      <c r="A4189" s="1205" t="s">
        <v>66257</v>
      </c>
      <c r="B4189" s="1205" t="s">
        <v>66256</v>
      </c>
      <c r="C4189" s="1205">
        <v>44.49</v>
      </c>
    </row>
    <row r="4190" spans="1:3" ht="24" customHeight="1">
      <c r="A4190" s="1205" t="s">
        <v>66255</v>
      </c>
      <c r="B4190" s="1205" t="s">
        <v>66254</v>
      </c>
      <c r="C4190" s="1205">
        <v>68.489999999999995</v>
      </c>
    </row>
    <row r="4191" spans="1:3" ht="24" customHeight="1">
      <c r="A4191" s="1205" t="s">
        <v>66253</v>
      </c>
      <c r="B4191" s="1205" t="s">
        <v>66252</v>
      </c>
      <c r="C4191" s="1205">
        <v>42.99</v>
      </c>
    </row>
    <row r="4192" spans="1:3" ht="24" customHeight="1">
      <c r="A4192" s="1205" t="s">
        <v>66251</v>
      </c>
      <c r="B4192" s="1205" t="s">
        <v>66250</v>
      </c>
      <c r="C4192" s="1205">
        <v>29.99</v>
      </c>
    </row>
    <row r="4193" spans="1:3" ht="24" customHeight="1">
      <c r="A4193" s="1205" t="s">
        <v>66249</v>
      </c>
      <c r="B4193" s="1205" t="s">
        <v>66248</v>
      </c>
      <c r="C4193" s="1205">
        <v>40.99</v>
      </c>
    </row>
    <row r="4194" spans="1:3" ht="24" customHeight="1">
      <c r="A4194" s="1205" t="s">
        <v>66247</v>
      </c>
      <c r="B4194" s="1205" t="s">
        <v>66246</v>
      </c>
      <c r="C4194" s="1205">
        <v>70.489999999999995</v>
      </c>
    </row>
    <row r="4195" spans="1:3" ht="24" customHeight="1">
      <c r="A4195" s="1205" t="s">
        <v>66245</v>
      </c>
      <c r="B4195" s="1205" t="s">
        <v>66244</v>
      </c>
      <c r="C4195" s="1205">
        <v>10.49</v>
      </c>
    </row>
    <row r="4196" spans="1:3" ht="24" customHeight="1">
      <c r="A4196" s="1205" t="s">
        <v>66243</v>
      </c>
      <c r="B4196" s="1205" t="s">
        <v>66242</v>
      </c>
      <c r="C4196" s="1205">
        <v>42.99</v>
      </c>
    </row>
    <row r="4197" spans="1:3" ht="24" customHeight="1">
      <c r="A4197" s="1205" t="s">
        <v>66241</v>
      </c>
      <c r="B4197" s="1205" t="s">
        <v>66240</v>
      </c>
      <c r="C4197" s="1205">
        <v>402.99</v>
      </c>
    </row>
    <row r="4198" spans="1:3" ht="24" customHeight="1">
      <c r="A4198" s="1205" t="s">
        <v>66239</v>
      </c>
      <c r="B4198" s="1205" t="s">
        <v>66238</v>
      </c>
      <c r="C4198" s="1205">
        <v>373.99</v>
      </c>
    </row>
    <row r="4199" spans="1:3" ht="24" customHeight="1">
      <c r="A4199" s="1205" t="s">
        <v>66237</v>
      </c>
      <c r="B4199" s="1205" t="s">
        <v>66236</v>
      </c>
      <c r="C4199" s="1205">
        <v>8.49</v>
      </c>
    </row>
    <row r="4200" spans="1:3" ht="24" customHeight="1">
      <c r="A4200" s="1205" t="s">
        <v>66235</v>
      </c>
      <c r="B4200" s="1205" t="s">
        <v>66231</v>
      </c>
      <c r="C4200" s="1205">
        <v>42.99</v>
      </c>
    </row>
    <row r="4201" spans="1:3" ht="24" customHeight="1">
      <c r="A4201" s="1205" t="s">
        <v>66234</v>
      </c>
      <c r="B4201" s="1205" t="s">
        <v>66233</v>
      </c>
      <c r="C4201" s="1205">
        <v>28.49</v>
      </c>
    </row>
    <row r="4202" spans="1:3" ht="24" customHeight="1">
      <c r="A4202" s="1205" t="s">
        <v>66232</v>
      </c>
      <c r="B4202" s="1205" t="s">
        <v>66231</v>
      </c>
      <c r="C4202" s="1205">
        <v>39.49</v>
      </c>
    </row>
    <row r="4203" spans="1:3" ht="24" customHeight="1">
      <c r="A4203" s="1205" t="s">
        <v>66230</v>
      </c>
      <c r="B4203" s="1205" t="s">
        <v>66229</v>
      </c>
      <c r="C4203" s="1205">
        <v>14.49</v>
      </c>
    </row>
    <row r="4204" spans="1:3" ht="24" customHeight="1">
      <c r="A4204" s="1205" t="s">
        <v>66228</v>
      </c>
      <c r="B4204" s="1205" t="s">
        <v>66224</v>
      </c>
      <c r="C4204" s="1205">
        <v>36.99</v>
      </c>
    </row>
    <row r="4205" spans="1:3" ht="24" customHeight="1">
      <c r="A4205" s="1205" t="s">
        <v>66227</v>
      </c>
      <c r="B4205" s="1205" t="s">
        <v>66226</v>
      </c>
      <c r="C4205" s="1205">
        <v>26.99</v>
      </c>
    </row>
    <row r="4206" spans="1:3" ht="24" customHeight="1">
      <c r="A4206" s="1205" t="s">
        <v>66225</v>
      </c>
      <c r="B4206" s="1205" t="s">
        <v>66224</v>
      </c>
      <c r="C4206" s="1205">
        <v>33.49</v>
      </c>
    </row>
    <row r="4207" spans="1:3" ht="24" customHeight="1">
      <c r="A4207" s="1205" t="s">
        <v>66223</v>
      </c>
      <c r="B4207" s="1205" t="s">
        <v>66222</v>
      </c>
      <c r="C4207" s="1205">
        <v>27.49</v>
      </c>
    </row>
    <row r="4208" spans="1:3" ht="24" customHeight="1">
      <c r="A4208" s="1205" t="s">
        <v>66221</v>
      </c>
      <c r="B4208" s="1205" t="s">
        <v>66220</v>
      </c>
      <c r="C4208" s="1205">
        <v>22.99</v>
      </c>
    </row>
    <row r="4209" spans="1:3" ht="24" customHeight="1">
      <c r="A4209" s="1205" t="s">
        <v>66219</v>
      </c>
      <c r="B4209" s="1205" t="s">
        <v>66218</v>
      </c>
      <c r="C4209" s="1205">
        <v>23.99</v>
      </c>
    </row>
    <row r="4210" spans="1:3" ht="24" customHeight="1">
      <c r="A4210" s="1205" t="s">
        <v>66217</v>
      </c>
      <c r="B4210" s="1205" t="s">
        <v>66216</v>
      </c>
      <c r="C4210" s="1205">
        <v>7.49</v>
      </c>
    </row>
    <row r="4211" spans="1:3" ht="24" customHeight="1">
      <c r="A4211" s="1205" t="s">
        <v>66215</v>
      </c>
      <c r="B4211" s="1205" t="s">
        <v>66214</v>
      </c>
      <c r="C4211" s="1205">
        <v>33.49</v>
      </c>
    </row>
    <row r="4212" spans="1:3" ht="24" customHeight="1">
      <c r="A4212" s="1205" t="s">
        <v>66213</v>
      </c>
      <c r="B4212" s="1205" t="s">
        <v>66212</v>
      </c>
      <c r="C4212" s="1205">
        <v>30.99</v>
      </c>
    </row>
    <row r="4213" spans="1:3" ht="24" customHeight="1">
      <c r="A4213" s="1205" t="s">
        <v>66211</v>
      </c>
      <c r="B4213" s="1205" t="s">
        <v>66210</v>
      </c>
      <c r="C4213" s="1205">
        <v>11.49</v>
      </c>
    </row>
    <row r="4214" spans="1:3" ht="24" customHeight="1">
      <c r="A4214" s="1205" t="s">
        <v>66209</v>
      </c>
      <c r="B4214" s="1205" t="s">
        <v>66208</v>
      </c>
      <c r="C4214" s="1205">
        <v>39.49</v>
      </c>
    </row>
    <row r="4215" spans="1:3" ht="24" customHeight="1">
      <c r="A4215" s="1205" t="s">
        <v>66207</v>
      </c>
      <c r="B4215" s="1205" t="s">
        <v>66206</v>
      </c>
      <c r="C4215" s="1205">
        <v>39.49</v>
      </c>
    </row>
    <row r="4216" spans="1:3" ht="24" customHeight="1">
      <c r="A4216" s="1205" t="s">
        <v>66205</v>
      </c>
      <c r="B4216" s="1205" t="s">
        <v>66204</v>
      </c>
      <c r="C4216" s="1205">
        <v>3.99</v>
      </c>
    </row>
    <row r="4217" spans="1:3" ht="24" customHeight="1">
      <c r="A4217" s="1205" t="s">
        <v>66203</v>
      </c>
      <c r="B4217" s="1205" t="s">
        <v>66202</v>
      </c>
      <c r="C4217" s="1205">
        <v>3.99</v>
      </c>
    </row>
    <row r="4218" spans="1:3" ht="24" customHeight="1">
      <c r="A4218" s="1205" t="s">
        <v>66201</v>
      </c>
      <c r="B4218" s="1205" t="s">
        <v>66200</v>
      </c>
      <c r="C4218" s="1205">
        <v>3.99</v>
      </c>
    </row>
    <row r="4219" spans="1:3" ht="24" customHeight="1">
      <c r="A4219" s="1205" t="s">
        <v>66199</v>
      </c>
      <c r="B4219" s="1205" t="s">
        <v>66198</v>
      </c>
      <c r="C4219" s="1205">
        <v>43.49</v>
      </c>
    </row>
    <row r="4220" spans="1:3" ht="24" customHeight="1">
      <c r="A4220" s="1205" t="s">
        <v>66197</v>
      </c>
      <c r="B4220" s="1205" t="s">
        <v>66196</v>
      </c>
      <c r="C4220" s="1205">
        <v>43.99</v>
      </c>
    </row>
    <row r="4221" spans="1:3" ht="24" customHeight="1">
      <c r="A4221" s="1205" t="s">
        <v>66195</v>
      </c>
      <c r="B4221" s="1205" t="s">
        <v>66194</v>
      </c>
      <c r="C4221" s="1205">
        <v>548.99</v>
      </c>
    </row>
    <row r="4222" spans="1:3" ht="24" customHeight="1">
      <c r="A4222" s="1205" t="s">
        <v>66193</v>
      </c>
      <c r="B4222" s="1205" t="s">
        <v>66192</v>
      </c>
      <c r="C4222" s="1205">
        <v>44.99</v>
      </c>
    </row>
    <row r="4223" spans="1:3" ht="24" customHeight="1">
      <c r="A4223" s="1205" t="s">
        <v>66191</v>
      </c>
      <c r="B4223" s="1205" t="s">
        <v>66190</v>
      </c>
      <c r="C4223" s="1205">
        <v>60.99</v>
      </c>
    </row>
    <row r="4224" spans="1:3" ht="24" customHeight="1">
      <c r="A4224" s="1205" t="s">
        <v>66189</v>
      </c>
      <c r="B4224" s="1205" t="s">
        <v>66187</v>
      </c>
      <c r="C4224" s="1205">
        <v>11.49</v>
      </c>
    </row>
    <row r="4225" spans="1:3" ht="24" customHeight="1">
      <c r="A4225" s="1205" t="s">
        <v>66188</v>
      </c>
      <c r="B4225" s="1205" t="s">
        <v>66187</v>
      </c>
      <c r="C4225" s="1205">
        <v>8.49</v>
      </c>
    </row>
    <row r="4226" spans="1:3" ht="24" customHeight="1">
      <c r="A4226" s="1205" t="s">
        <v>66186</v>
      </c>
      <c r="B4226" s="1205" t="s">
        <v>66184</v>
      </c>
      <c r="C4226" s="1205">
        <v>7.99</v>
      </c>
    </row>
    <row r="4227" spans="1:3" ht="24" customHeight="1">
      <c r="A4227" s="1205" t="s">
        <v>66185</v>
      </c>
      <c r="B4227" s="1205" t="s">
        <v>66184</v>
      </c>
      <c r="C4227" s="1205">
        <v>4.99</v>
      </c>
    </row>
    <row r="4228" spans="1:3" ht="24" customHeight="1">
      <c r="A4228" s="1205" t="s">
        <v>66183</v>
      </c>
      <c r="B4228" s="1205" t="s">
        <v>66182</v>
      </c>
      <c r="C4228" s="1205">
        <v>85.49</v>
      </c>
    </row>
    <row r="4229" spans="1:3" ht="24" customHeight="1">
      <c r="A4229" s="1205" t="s">
        <v>66181</v>
      </c>
      <c r="B4229" s="1205" t="s">
        <v>66180</v>
      </c>
      <c r="C4229" s="1205">
        <v>53.49</v>
      </c>
    </row>
    <row r="4230" spans="1:3" ht="24" customHeight="1">
      <c r="A4230" s="1205" t="s">
        <v>66179</v>
      </c>
      <c r="B4230" s="1205" t="s">
        <v>66178</v>
      </c>
      <c r="C4230" s="1205">
        <v>54.99</v>
      </c>
    </row>
    <row r="4231" spans="1:3" ht="24" customHeight="1">
      <c r="A4231" s="1205" t="s">
        <v>66177</v>
      </c>
      <c r="B4231" s="1205" t="s">
        <v>66176</v>
      </c>
      <c r="C4231" s="1205">
        <v>3.49</v>
      </c>
    </row>
    <row r="4232" spans="1:3" ht="24" customHeight="1">
      <c r="A4232" s="1205" t="s">
        <v>66175</v>
      </c>
      <c r="B4232" s="1205" t="s">
        <v>66174</v>
      </c>
      <c r="C4232" s="1205">
        <v>27.49</v>
      </c>
    </row>
    <row r="4233" spans="1:3" ht="24" customHeight="1">
      <c r="A4233" s="1205" t="s">
        <v>66173</v>
      </c>
      <c r="B4233" s="1205" t="s">
        <v>66172</v>
      </c>
      <c r="C4233" s="1205">
        <v>20.99</v>
      </c>
    </row>
    <row r="4234" spans="1:3" ht="24" customHeight="1">
      <c r="A4234" s="1205" t="s">
        <v>66171</v>
      </c>
      <c r="B4234" s="1205" t="s">
        <v>66170</v>
      </c>
      <c r="C4234" s="1205">
        <v>26.49</v>
      </c>
    </row>
    <row r="4235" spans="1:3" ht="24" customHeight="1">
      <c r="A4235" s="1205" t="s">
        <v>66169</v>
      </c>
      <c r="B4235" s="1205" t="s">
        <v>66168</v>
      </c>
      <c r="C4235" s="1205">
        <v>37.49</v>
      </c>
    </row>
    <row r="4236" spans="1:3" ht="24" customHeight="1">
      <c r="A4236" s="1205" t="s">
        <v>66167</v>
      </c>
      <c r="B4236" s="1205" t="s">
        <v>66166</v>
      </c>
      <c r="C4236" s="1205">
        <v>44.99</v>
      </c>
    </row>
    <row r="4237" spans="1:3" ht="24" customHeight="1">
      <c r="A4237" s="1205" t="s">
        <v>66165</v>
      </c>
      <c r="B4237" s="1205" t="s">
        <v>66164</v>
      </c>
      <c r="C4237" s="1205">
        <v>55.49</v>
      </c>
    </row>
    <row r="4238" spans="1:3" ht="24" customHeight="1">
      <c r="A4238" s="1205" t="s">
        <v>66163</v>
      </c>
      <c r="B4238" s="1205" t="s">
        <v>66162</v>
      </c>
      <c r="C4238" s="1205">
        <v>8.49</v>
      </c>
    </row>
    <row r="4239" spans="1:3" ht="24" customHeight="1">
      <c r="A4239" s="1205" t="s">
        <v>66161</v>
      </c>
      <c r="B4239" s="1205" t="s">
        <v>66160</v>
      </c>
      <c r="C4239" s="1205">
        <v>23.49</v>
      </c>
    </row>
    <row r="4240" spans="1:3" ht="24" customHeight="1">
      <c r="A4240" s="1205" t="s">
        <v>66159</v>
      </c>
      <c r="B4240" s="1205" t="s">
        <v>66158</v>
      </c>
      <c r="C4240" s="1205">
        <v>29.99</v>
      </c>
    </row>
    <row r="4241" spans="1:3" ht="24" customHeight="1">
      <c r="A4241" s="1205" t="s">
        <v>66157</v>
      </c>
      <c r="B4241" s="1205" t="s">
        <v>66156</v>
      </c>
      <c r="C4241" s="1205">
        <v>32.99</v>
      </c>
    </row>
    <row r="4242" spans="1:3" ht="24" customHeight="1">
      <c r="A4242" s="1205" t="s">
        <v>66155</v>
      </c>
      <c r="B4242" s="1205" t="s">
        <v>66154</v>
      </c>
      <c r="C4242" s="1205">
        <v>40.99</v>
      </c>
    </row>
    <row r="4243" spans="1:3" ht="24" customHeight="1">
      <c r="A4243" s="1205" t="s">
        <v>66153</v>
      </c>
      <c r="B4243" s="1205" t="s">
        <v>66152</v>
      </c>
      <c r="C4243" s="1205">
        <v>53.99</v>
      </c>
    </row>
    <row r="4244" spans="1:3" ht="24" customHeight="1">
      <c r="A4244" s="1205" t="s">
        <v>66151</v>
      </c>
      <c r="B4244" s="1205" t="s">
        <v>66150</v>
      </c>
      <c r="C4244" s="1205">
        <v>18.989999999999998</v>
      </c>
    </row>
    <row r="4245" spans="1:3" ht="24" customHeight="1">
      <c r="A4245" s="1205" t="s">
        <v>66149</v>
      </c>
      <c r="B4245" s="1205" t="s">
        <v>66148</v>
      </c>
      <c r="C4245" s="1205">
        <v>54.99</v>
      </c>
    </row>
    <row r="4246" spans="1:3" ht="24" customHeight="1">
      <c r="A4246" s="1205" t="s">
        <v>66147</v>
      </c>
      <c r="B4246" s="1205" t="s">
        <v>66146</v>
      </c>
      <c r="C4246" s="1205">
        <v>5.49</v>
      </c>
    </row>
    <row r="4247" spans="1:3" ht="24" customHeight="1">
      <c r="A4247" s="1205" t="s">
        <v>66145</v>
      </c>
      <c r="B4247" s="1205" t="s">
        <v>66144</v>
      </c>
      <c r="C4247" s="1205">
        <v>40.99</v>
      </c>
    </row>
    <row r="4248" spans="1:3" ht="24" customHeight="1">
      <c r="A4248" s="1205" t="s">
        <v>66143</v>
      </c>
      <c r="B4248" s="1205" t="s">
        <v>66142</v>
      </c>
      <c r="C4248" s="1205">
        <v>47.49</v>
      </c>
    </row>
    <row r="4249" spans="1:3" ht="24" customHeight="1">
      <c r="A4249" s="1205" t="s">
        <v>66141</v>
      </c>
      <c r="B4249" s="1205" t="s">
        <v>66140</v>
      </c>
      <c r="C4249" s="1205">
        <v>51.49</v>
      </c>
    </row>
    <row r="4250" spans="1:3" ht="24" customHeight="1">
      <c r="A4250" s="1205" t="s">
        <v>66139</v>
      </c>
      <c r="B4250" s="1205" t="s">
        <v>66138</v>
      </c>
      <c r="C4250" s="1205">
        <v>33.99</v>
      </c>
    </row>
    <row r="4251" spans="1:3" ht="24" customHeight="1">
      <c r="A4251" s="1205" t="s">
        <v>66137</v>
      </c>
      <c r="B4251" s="1205" t="s">
        <v>66136</v>
      </c>
      <c r="C4251" s="1205">
        <v>26.49</v>
      </c>
    </row>
    <row r="4252" spans="1:3" ht="24" customHeight="1">
      <c r="A4252" s="1205" t="s">
        <v>66135</v>
      </c>
      <c r="B4252" s="1205" t="s">
        <v>66134</v>
      </c>
      <c r="C4252" s="1205">
        <v>114.49</v>
      </c>
    </row>
    <row r="4253" spans="1:3" ht="24" customHeight="1">
      <c r="A4253" s="1205" t="s">
        <v>66133</v>
      </c>
      <c r="B4253" s="1205" t="s">
        <v>66132</v>
      </c>
      <c r="C4253" s="1205">
        <v>22.49</v>
      </c>
    </row>
    <row r="4254" spans="1:3" ht="24" customHeight="1">
      <c r="A4254" s="1205" t="s">
        <v>66131</v>
      </c>
      <c r="B4254" s="1205" t="s">
        <v>66130</v>
      </c>
      <c r="C4254" s="1205">
        <v>19.489999999999998</v>
      </c>
    </row>
    <row r="4255" spans="1:3" ht="24" customHeight="1">
      <c r="A4255" s="1205" t="s">
        <v>66129</v>
      </c>
      <c r="B4255" s="1205" t="s">
        <v>66128</v>
      </c>
      <c r="C4255" s="1205">
        <v>54.49</v>
      </c>
    </row>
    <row r="4256" spans="1:3" ht="24" customHeight="1">
      <c r="A4256" s="1205" t="s">
        <v>66127</v>
      </c>
      <c r="B4256" s="1205" t="s">
        <v>66126</v>
      </c>
      <c r="C4256" s="1205">
        <v>76.989999999999995</v>
      </c>
    </row>
    <row r="4257" spans="1:3" ht="24" customHeight="1">
      <c r="A4257" s="1205" t="s">
        <v>66125</v>
      </c>
      <c r="B4257" s="1205" t="s">
        <v>66124</v>
      </c>
      <c r="C4257" s="1205">
        <v>74.489999999999995</v>
      </c>
    </row>
    <row r="4258" spans="1:3" ht="24" customHeight="1">
      <c r="A4258" s="1205" t="s">
        <v>66123</v>
      </c>
      <c r="B4258" s="1205" t="s">
        <v>66122</v>
      </c>
      <c r="C4258" s="1205">
        <v>54.49</v>
      </c>
    </row>
    <row r="4259" spans="1:3" ht="24" customHeight="1">
      <c r="A4259" s="1205" t="s">
        <v>66121</v>
      </c>
      <c r="B4259" s="1205" t="s">
        <v>66120</v>
      </c>
      <c r="C4259" s="1205">
        <v>51.49</v>
      </c>
    </row>
    <row r="4260" spans="1:3" ht="24" customHeight="1">
      <c r="A4260" s="1205" t="s">
        <v>66119</v>
      </c>
      <c r="B4260" s="1205" t="s">
        <v>66118</v>
      </c>
      <c r="C4260" s="1205">
        <v>206.49</v>
      </c>
    </row>
    <row r="4261" spans="1:3" ht="24" customHeight="1">
      <c r="A4261" s="1205" t="s">
        <v>66117</v>
      </c>
      <c r="B4261" s="1205" t="s">
        <v>66116</v>
      </c>
      <c r="C4261" s="1205">
        <v>194.99</v>
      </c>
    </row>
    <row r="4262" spans="1:3" ht="24" customHeight="1">
      <c r="A4262" s="1205" t="s">
        <v>66115</v>
      </c>
      <c r="B4262" s="1205" t="s">
        <v>66114</v>
      </c>
      <c r="C4262" s="1205">
        <v>162.99</v>
      </c>
    </row>
    <row r="4263" spans="1:3" ht="24" customHeight="1">
      <c r="A4263" s="1205" t="s">
        <v>66113</v>
      </c>
      <c r="B4263" s="1205" t="s">
        <v>66112</v>
      </c>
      <c r="C4263" s="1205">
        <v>92.99</v>
      </c>
    </row>
    <row r="4264" spans="1:3" ht="24" customHeight="1">
      <c r="A4264" s="1205" t="s">
        <v>66111</v>
      </c>
      <c r="B4264" s="1205" t="s">
        <v>66110</v>
      </c>
      <c r="C4264" s="1205">
        <v>90.49</v>
      </c>
    </row>
    <row r="4265" spans="1:3" ht="24" customHeight="1">
      <c r="A4265" s="1205" t="s">
        <v>66109</v>
      </c>
      <c r="B4265" s="1205" t="s">
        <v>66108</v>
      </c>
      <c r="C4265" s="1205">
        <v>7.99</v>
      </c>
    </row>
    <row r="4266" spans="1:3" ht="24" customHeight="1">
      <c r="A4266" s="1205" t="s">
        <v>66107</v>
      </c>
      <c r="B4266" s="1205" t="s">
        <v>66106</v>
      </c>
      <c r="C4266" s="1205">
        <v>5.49</v>
      </c>
    </row>
    <row r="4267" spans="1:3" ht="24" customHeight="1">
      <c r="A4267" s="1205" t="s">
        <v>66105</v>
      </c>
      <c r="B4267" s="1205" t="s">
        <v>66104</v>
      </c>
      <c r="C4267" s="1205">
        <v>67.489999999999995</v>
      </c>
    </row>
    <row r="4268" spans="1:3" ht="24" customHeight="1">
      <c r="A4268" s="1205" t="s">
        <v>66103</v>
      </c>
      <c r="B4268" s="1205" t="s">
        <v>66102</v>
      </c>
      <c r="C4268" s="1205">
        <v>222.49</v>
      </c>
    </row>
    <row r="4269" spans="1:3" ht="24" customHeight="1">
      <c r="A4269" s="1205" t="s">
        <v>66101</v>
      </c>
      <c r="B4269" s="1205" t="s">
        <v>66100</v>
      </c>
      <c r="C4269" s="1205">
        <v>210.99</v>
      </c>
    </row>
    <row r="4270" spans="1:3" ht="24" customHeight="1">
      <c r="A4270" s="1205" t="s">
        <v>66099</v>
      </c>
      <c r="B4270" s="1205" t="s">
        <v>66098</v>
      </c>
      <c r="C4270" s="1205">
        <v>178.99</v>
      </c>
    </row>
    <row r="4271" spans="1:3" ht="24" customHeight="1">
      <c r="A4271" s="1205" t="s">
        <v>66097</v>
      </c>
      <c r="B4271" s="1205" t="s">
        <v>66096</v>
      </c>
      <c r="C4271" s="1205">
        <v>66.489999999999995</v>
      </c>
    </row>
    <row r="4272" spans="1:3" ht="24" customHeight="1">
      <c r="A4272" s="1205" t="s">
        <v>66095</v>
      </c>
      <c r="B4272" s="1205" t="s">
        <v>66094</v>
      </c>
      <c r="C4272" s="1205">
        <v>22.99</v>
      </c>
    </row>
    <row r="4273" spans="1:3" ht="24" customHeight="1">
      <c r="A4273" s="1205" t="s">
        <v>66093</v>
      </c>
      <c r="B4273" s="1205" t="s">
        <v>66092</v>
      </c>
      <c r="C4273" s="1205">
        <v>31.99</v>
      </c>
    </row>
    <row r="4274" spans="1:3" ht="24" customHeight="1">
      <c r="A4274" s="1205" t="s">
        <v>66091</v>
      </c>
      <c r="B4274" s="1205" t="s">
        <v>66090</v>
      </c>
      <c r="C4274" s="1205">
        <v>22.99</v>
      </c>
    </row>
    <row r="4275" spans="1:3" ht="24" customHeight="1">
      <c r="A4275" s="1205" t="s">
        <v>66089</v>
      </c>
      <c r="B4275" s="1205" t="s">
        <v>66088</v>
      </c>
      <c r="C4275" s="1205">
        <v>17.489999999999998</v>
      </c>
    </row>
    <row r="4276" spans="1:3" ht="24" customHeight="1">
      <c r="A4276" s="1205" t="s">
        <v>66087</v>
      </c>
      <c r="B4276" s="1205" t="s">
        <v>66086</v>
      </c>
      <c r="C4276" s="1205">
        <v>30.99</v>
      </c>
    </row>
    <row r="4277" spans="1:3" ht="24" customHeight="1">
      <c r="A4277" s="1205" t="s">
        <v>66085</v>
      </c>
      <c r="B4277" s="1205" t="s">
        <v>66084</v>
      </c>
      <c r="C4277" s="1205">
        <v>26.99</v>
      </c>
    </row>
    <row r="4278" spans="1:3" ht="24" customHeight="1">
      <c r="A4278" s="1205" t="s">
        <v>66083</v>
      </c>
      <c r="B4278" s="1205" t="s">
        <v>66082</v>
      </c>
      <c r="C4278" s="1205">
        <v>33.99</v>
      </c>
    </row>
    <row r="4279" spans="1:3" ht="24" customHeight="1">
      <c r="A4279" s="1205" t="s">
        <v>66081</v>
      </c>
      <c r="B4279" s="1205" t="s">
        <v>66080</v>
      </c>
      <c r="C4279" s="1205">
        <v>95.99</v>
      </c>
    </row>
    <row r="4280" spans="1:3" ht="24" customHeight="1">
      <c r="A4280" s="1205" t="s">
        <v>66079</v>
      </c>
      <c r="B4280" s="1205" t="s">
        <v>66078</v>
      </c>
      <c r="C4280" s="1205">
        <v>143.49</v>
      </c>
    </row>
    <row r="4281" spans="1:3" ht="24" customHeight="1">
      <c r="A4281" s="1205" t="s">
        <v>66077</v>
      </c>
      <c r="B4281" s="1205" t="s">
        <v>66076</v>
      </c>
      <c r="C4281" s="1205">
        <v>150.99</v>
      </c>
    </row>
    <row r="4282" spans="1:3" ht="24" customHeight="1">
      <c r="A4282" s="1205" t="s">
        <v>66075</v>
      </c>
      <c r="B4282" s="1205" t="s">
        <v>66071</v>
      </c>
      <c r="C4282" s="1205">
        <v>216.49</v>
      </c>
    </row>
    <row r="4283" spans="1:3" ht="24" customHeight="1">
      <c r="A4283" s="1205" t="s">
        <v>66074</v>
      </c>
      <c r="B4283" s="1205" t="s">
        <v>66073</v>
      </c>
      <c r="C4283" s="1205">
        <v>189.49</v>
      </c>
    </row>
    <row r="4284" spans="1:3" ht="24" customHeight="1">
      <c r="A4284" s="1205" t="s">
        <v>66072</v>
      </c>
      <c r="B4284" s="1205" t="s">
        <v>66071</v>
      </c>
      <c r="C4284" s="1205">
        <v>235.49</v>
      </c>
    </row>
    <row r="4285" spans="1:3" ht="24" customHeight="1">
      <c r="A4285" s="1205" t="s">
        <v>66070</v>
      </c>
      <c r="B4285" s="1205" t="s">
        <v>66069</v>
      </c>
      <c r="C4285" s="1205">
        <v>302.49</v>
      </c>
    </row>
    <row r="4286" spans="1:3" ht="24" customHeight="1">
      <c r="A4286" s="1205" t="s">
        <v>66068</v>
      </c>
      <c r="B4286" s="1205" t="s">
        <v>66067</v>
      </c>
      <c r="C4286" s="1205">
        <v>56.49</v>
      </c>
    </row>
    <row r="4287" spans="1:3" ht="24" customHeight="1">
      <c r="A4287" s="1205" t="s">
        <v>66066</v>
      </c>
      <c r="B4287" s="1205" t="s">
        <v>66065</v>
      </c>
      <c r="C4287" s="1205">
        <v>55.49</v>
      </c>
    </row>
    <row r="4288" spans="1:3" ht="24" customHeight="1">
      <c r="A4288" s="1205" t="s">
        <v>66064</v>
      </c>
      <c r="B4288" s="1205" t="s">
        <v>66063</v>
      </c>
      <c r="C4288" s="1205">
        <v>64.989999999999995</v>
      </c>
    </row>
    <row r="4289" spans="1:3" ht="24" customHeight="1">
      <c r="A4289" s="1205" t="s">
        <v>66062</v>
      </c>
      <c r="B4289" s="1205" t="s">
        <v>66061</v>
      </c>
      <c r="C4289" s="1205">
        <v>72.489999999999995</v>
      </c>
    </row>
    <row r="4290" spans="1:3" ht="24" customHeight="1">
      <c r="A4290" s="1205" t="s">
        <v>66060</v>
      </c>
      <c r="B4290" s="1205" t="s">
        <v>66059</v>
      </c>
      <c r="C4290" s="1205">
        <v>9.49</v>
      </c>
    </row>
    <row r="4291" spans="1:3" ht="24" customHeight="1">
      <c r="A4291" s="1205" t="s">
        <v>66058</v>
      </c>
      <c r="B4291" s="1205" t="s">
        <v>66057</v>
      </c>
      <c r="C4291" s="1205">
        <v>9.99</v>
      </c>
    </row>
    <row r="4292" spans="1:3" ht="24" customHeight="1">
      <c r="A4292" s="1205" t="s">
        <v>66056</v>
      </c>
      <c r="B4292" s="1205" t="s">
        <v>66055</v>
      </c>
      <c r="C4292" s="1205">
        <v>4.99</v>
      </c>
    </row>
    <row r="4293" spans="1:3" ht="24" customHeight="1">
      <c r="A4293" s="1205" t="s">
        <v>66054</v>
      </c>
      <c r="B4293" s="1205" t="s">
        <v>66053</v>
      </c>
      <c r="C4293" s="1205">
        <v>15.99</v>
      </c>
    </row>
    <row r="4294" spans="1:3" ht="24" customHeight="1">
      <c r="A4294" s="1205" t="s">
        <v>66052</v>
      </c>
      <c r="B4294" s="1205" t="s">
        <v>66051</v>
      </c>
      <c r="C4294" s="1205">
        <v>3.49</v>
      </c>
    </row>
    <row r="4295" spans="1:3" ht="24" customHeight="1">
      <c r="A4295" s="1205" t="s">
        <v>66050</v>
      </c>
      <c r="B4295" s="1205" t="s">
        <v>66049</v>
      </c>
      <c r="C4295" s="1205">
        <v>102.99</v>
      </c>
    </row>
    <row r="4296" spans="1:3" ht="24" customHeight="1">
      <c r="A4296" s="1205" t="s">
        <v>66048</v>
      </c>
      <c r="B4296" s="1205" t="s">
        <v>66047</v>
      </c>
      <c r="C4296" s="1205">
        <v>135.49</v>
      </c>
    </row>
    <row r="4297" spans="1:3" ht="24" customHeight="1">
      <c r="A4297" s="1205" t="s">
        <v>66046</v>
      </c>
      <c r="B4297" s="1205" t="s">
        <v>66045</v>
      </c>
      <c r="C4297" s="1205">
        <v>117.99</v>
      </c>
    </row>
    <row r="4298" spans="1:3" ht="24" customHeight="1">
      <c r="A4298" s="1205" t="s">
        <v>66044</v>
      </c>
      <c r="B4298" s="1205" t="s">
        <v>66043</v>
      </c>
      <c r="C4298" s="1205">
        <v>93.99</v>
      </c>
    </row>
    <row r="4299" spans="1:3" ht="24" customHeight="1">
      <c r="A4299" s="1205" t="s">
        <v>66042</v>
      </c>
      <c r="B4299" s="1205" t="s">
        <v>66041</v>
      </c>
      <c r="C4299" s="1205">
        <v>108.49</v>
      </c>
    </row>
    <row r="4300" spans="1:3" ht="24" customHeight="1">
      <c r="A4300" s="1205" t="s">
        <v>66040</v>
      </c>
      <c r="B4300" s="1205" t="s">
        <v>66038</v>
      </c>
      <c r="C4300" s="1205">
        <v>131.99</v>
      </c>
    </row>
    <row r="4301" spans="1:3" ht="24" customHeight="1">
      <c r="A4301" s="1205" t="s">
        <v>66039</v>
      </c>
      <c r="B4301" s="1205" t="s">
        <v>66038</v>
      </c>
      <c r="C4301" s="1205">
        <v>114.49</v>
      </c>
    </row>
    <row r="4302" spans="1:3" ht="24" customHeight="1">
      <c r="A4302" s="1205" t="s">
        <v>66037</v>
      </c>
      <c r="B4302" s="1205" t="s">
        <v>66036</v>
      </c>
      <c r="C4302" s="1205">
        <v>86.49</v>
      </c>
    </row>
    <row r="4303" spans="1:3" ht="24" customHeight="1">
      <c r="A4303" s="1205" t="s">
        <v>66035</v>
      </c>
      <c r="B4303" s="1205" t="s">
        <v>66034</v>
      </c>
      <c r="C4303" s="1205">
        <v>118.49</v>
      </c>
    </row>
    <row r="4304" spans="1:3" ht="24" customHeight="1">
      <c r="A4304" s="1205" t="s">
        <v>66033</v>
      </c>
      <c r="B4304" s="1205" t="s">
        <v>66032</v>
      </c>
      <c r="C4304" s="1205">
        <v>87.49</v>
      </c>
    </row>
    <row r="4305" spans="1:3" ht="24" customHeight="1">
      <c r="A4305" s="1205" t="s">
        <v>66031</v>
      </c>
      <c r="B4305" s="1205" t="s">
        <v>66030</v>
      </c>
      <c r="C4305" s="1205">
        <v>101.99</v>
      </c>
    </row>
    <row r="4306" spans="1:3" ht="24" customHeight="1">
      <c r="A4306" s="1205" t="s">
        <v>66029</v>
      </c>
      <c r="B4306" s="1205" t="s">
        <v>66028</v>
      </c>
      <c r="C4306" s="1205">
        <v>118.49</v>
      </c>
    </row>
    <row r="4307" spans="1:3" ht="24" customHeight="1">
      <c r="A4307" s="1205" t="s">
        <v>66027</v>
      </c>
      <c r="B4307" s="1205" t="s">
        <v>66025</v>
      </c>
      <c r="C4307" s="1205">
        <v>5.99</v>
      </c>
    </row>
    <row r="4308" spans="1:3" ht="24" customHeight="1">
      <c r="A4308" s="1205" t="s">
        <v>66026</v>
      </c>
      <c r="B4308" s="1205" t="s">
        <v>66025</v>
      </c>
      <c r="C4308" s="1205">
        <v>4.99</v>
      </c>
    </row>
    <row r="4309" spans="1:3" ht="24" customHeight="1">
      <c r="A4309" s="1205" t="s">
        <v>66024</v>
      </c>
      <c r="B4309" s="1205" t="s">
        <v>66023</v>
      </c>
      <c r="C4309" s="1205">
        <v>30.99</v>
      </c>
    </row>
    <row r="4310" spans="1:3" ht="24" customHeight="1">
      <c r="A4310" s="1205" t="s">
        <v>66022</v>
      </c>
      <c r="B4310" s="1205" t="s">
        <v>66021</v>
      </c>
      <c r="C4310" s="1205">
        <v>26.49</v>
      </c>
    </row>
    <row r="4311" spans="1:3" ht="24" customHeight="1">
      <c r="A4311" s="1205" t="s">
        <v>66020</v>
      </c>
      <c r="B4311" s="1205" t="s">
        <v>66019</v>
      </c>
      <c r="C4311" s="1205">
        <v>25.99</v>
      </c>
    </row>
    <row r="4312" spans="1:3" ht="24" customHeight="1">
      <c r="A4312" s="1205" t="s">
        <v>66018</v>
      </c>
      <c r="B4312" s="1205" t="s">
        <v>66017</v>
      </c>
      <c r="C4312" s="1205">
        <v>36.49</v>
      </c>
    </row>
    <row r="4313" spans="1:3" ht="24" customHeight="1">
      <c r="A4313" s="1205" t="s">
        <v>66016</v>
      </c>
      <c r="B4313" s="1205" t="s">
        <v>66015</v>
      </c>
      <c r="C4313" s="1205">
        <v>29.99</v>
      </c>
    </row>
    <row r="4314" spans="1:3" ht="24" customHeight="1">
      <c r="A4314" s="1205" t="s">
        <v>66014</v>
      </c>
      <c r="B4314" s="1205" t="s">
        <v>66013</v>
      </c>
      <c r="C4314" s="1205">
        <v>31.49</v>
      </c>
    </row>
    <row r="4315" spans="1:3" ht="24" customHeight="1">
      <c r="A4315" s="1205" t="s">
        <v>66012</v>
      </c>
      <c r="B4315" s="1205" t="s">
        <v>66011</v>
      </c>
      <c r="C4315" s="1205">
        <v>18.489999999999998</v>
      </c>
    </row>
    <row r="4316" spans="1:3" ht="24" customHeight="1">
      <c r="A4316" s="1205" t="s">
        <v>66010</v>
      </c>
      <c r="B4316" s="1205" t="s">
        <v>66009</v>
      </c>
      <c r="C4316" s="1205">
        <v>15.49</v>
      </c>
    </row>
    <row r="4317" spans="1:3" ht="24" customHeight="1">
      <c r="A4317" s="1205" t="s">
        <v>66008</v>
      </c>
      <c r="B4317" s="1205" t="s">
        <v>66007</v>
      </c>
      <c r="C4317" s="1205">
        <v>13.49</v>
      </c>
    </row>
    <row r="4318" spans="1:3" ht="24" customHeight="1">
      <c r="A4318" s="1205" t="s">
        <v>66006</v>
      </c>
      <c r="B4318" s="1205" t="s">
        <v>66005</v>
      </c>
      <c r="C4318" s="1205">
        <v>20.99</v>
      </c>
    </row>
    <row r="4319" spans="1:3" ht="24" customHeight="1">
      <c r="A4319" s="1205" t="s">
        <v>66004</v>
      </c>
      <c r="B4319" s="1205" t="s">
        <v>66003</v>
      </c>
      <c r="C4319" s="1205">
        <v>16.989999999999998</v>
      </c>
    </row>
    <row r="4320" spans="1:3" ht="24" customHeight="1">
      <c r="A4320" s="1205" t="s">
        <v>66002</v>
      </c>
      <c r="B4320" s="1205" t="s">
        <v>66001</v>
      </c>
      <c r="C4320" s="1205">
        <v>15.99</v>
      </c>
    </row>
    <row r="4321" spans="1:3" ht="24" customHeight="1">
      <c r="A4321" s="1205" t="s">
        <v>66000</v>
      </c>
      <c r="B4321" s="1205" t="s">
        <v>65999</v>
      </c>
      <c r="C4321" s="1205">
        <v>26.49</v>
      </c>
    </row>
    <row r="4322" spans="1:3" ht="24" customHeight="1">
      <c r="A4322" s="1205" t="s">
        <v>65998</v>
      </c>
      <c r="B4322" s="1205" t="s">
        <v>65997</v>
      </c>
      <c r="C4322" s="1205">
        <v>131.49</v>
      </c>
    </row>
    <row r="4323" spans="1:3" ht="24" customHeight="1">
      <c r="A4323" s="1205" t="s">
        <v>65996</v>
      </c>
      <c r="B4323" s="1205" t="s">
        <v>65995</v>
      </c>
      <c r="C4323" s="1205">
        <v>21.49</v>
      </c>
    </row>
    <row r="4324" spans="1:3" ht="24" customHeight="1">
      <c r="A4324" s="1205" t="s">
        <v>65994</v>
      </c>
      <c r="B4324" s="1205" t="s">
        <v>65993</v>
      </c>
      <c r="C4324" s="1205">
        <v>21.49</v>
      </c>
    </row>
    <row r="4325" spans="1:3" ht="24" customHeight="1">
      <c r="A4325" s="1205" t="s">
        <v>65992</v>
      </c>
      <c r="B4325" s="1205" t="s">
        <v>65991</v>
      </c>
      <c r="C4325" s="1205">
        <v>38.99</v>
      </c>
    </row>
    <row r="4326" spans="1:3" ht="24" customHeight="1">
      <c r="A4326" s="1205" t="s">
        <v>65990</v>
      </c>
      <c r="B4326" s="1205" t="s">
        <v>65989</v>
      </c>
      <c r="C4326" s="1205">
        <v>33.99</v>
      </c>
    </row>
    <row r="4327" spans="1:3" ht="24" customHeight="1">
      <c r="A4327" s="1205" t="s">
        <v>65988</v>
      </c>
      <c r="B4327" s="1205" t="s">
        <v>65987</v>
      </c>
      <c r="C4327" s="1205">
        <v>42.99</v>
      </c>
    </row>
    <row r="4328" spans="1:3" ht="24" customHeight="1">
      <c r="A4328" s="1205" t="s">
        <v>65986</v>
      </c>
      <c r="B4328" s="1205" t="s">
        <v>65985</v>
      </c>
      <c r="C4328" s="1205">
        <v>37.99</v>
      </c>
    </row>
    <row r="4329" spans="1:3" ht="24" customHeight="1">
      <c r="A4329" s="1205" t="s">
        <v>65984</v>
      </c>
      <c r="B4329" s="1205" t="s">
        <v>65983</v>
      </c>
      <c r="C4329" s="1205">
        <v>43.99</v>
      </c>
    </row>
    <row r="4330" spans="1:3" ht="24" customHeight="1">
      <c r="A4330" s="1205" t="s">
        <v>65982</v>
      </c>
      <c r="B4330" s="1205" t="s">
        <v>65981</v>
      </c>
      <c r="C4330" s="1205">
        <v>39.49</v>
      </c>
    </row>
    <row r="4331" spans="1:3" ht="24" customHeight="1">
      <c r="A4331" s="1205" t="s">
        <v>65980</v>
      </c>
      <c r="B4331" s="1205" t="s">
        <v>65979</v>
      </c>
      <c r="C4331" s="1205">
        <v>55.49</v>
      </c>
    </row>
    <row r="4332" spans="1:3" ht="24" customHeight="1">
      <c r="A4332" s="1205" t="s">
        <v>65978</v>
      </c>
      <c r="B4332" s="1205" t="s">
        <v>65977</v>
      </c>
      <c r="C4332" s="1205">
        <v>50.99</v>
      </c>
    </row>
    <row r="4333" spans="1:3" ht="24" customHeight="1">
      <c r="A4333" s="1205" t="s">
        <v>65976</v>
      </c>
      <c r="B4333" s="1205" t="s">
        <v>65975</v>
      </c>
      <c r="C4333" s="1205">
        <v>72.989999999999995</v>
      </c>
    </row>
    <row r="4334" spans="1:3" ht="24" customHeight="1">
      <c r="A4334" s="1205" t="s">
        <v>65974</v>
      </c>
      <c r="B4334" s="1205" t="s">
        <v>65973</v>
      </c>
      <c r="C4334" s="1205">
        <v>27.99</v>
      </c>
    </row>
    <row r="4335" spans="1:3" ht="24" customHeight="1">
      <c r="A4335" s="1205" t="s">
        <v>65972</v>
      </c>
      <c r="B4335" s="1205" t="s">
        <v>65971</v>
      </c>
      <c r="C4335" s="1205">
        <v>32.49</v>
      </c>
    </row>
    <row r="4336" spans="1:3" ht="24" customHeight="1">
      <c r="A4336" s="1205" t="s">
        <v>65970</v>
      </c>
      <c r="B4336" s="1205" t="s">
        <v>65969</v>
      </c>
      <c r="C4336" s="1205">
        <v>27.49</v>
      </c>
    </row>
    <row r="4337" spans="1:3" ht="24" customHeight="1">
      <c r="A4337" s="1205" t="s">
        <v>65968</v>
      </c>
      <c r="B4337" s="1205" t="s">
        <v>65967</v>
      </c>
      <c r="C4337" s="1205">
        <v>34.49</v>
      </c>
    </row>
    <row r="4338" spans="1:3" ht="24" customHeight="1">
      <c r="A4338" s="1205" t="s">
        <v>65966</v>
      </c>
      <c r="B4338" s="1205" t="s">
        <v>65965</v>
      </c>
      <c r="C4338" s="1205">
        <v>29.99</v>
      </c>
    </row>
    <row r="4339" spans="1:3" ht="24" customHeight="1">
      <c r="A4339" s="1205" t="s">
        <v>65964</v>
      </c>
      <c r="B4339" s="1205" t="s">
        <v>65963</v>
      </c>
      <c r="C4339" s="1205">
        <v>40.99</v>
      </c>
    </row>
    <row r="4340" spans="1:3" ht="24" customHeight="1">
      <c r="A4340" s="1205" t="s">
        <v>65962</v>
      </c>
      <c r="B4340" s="1205" t="s">
        <v>65961</v>
      </c>
      <c r="C4340" s="1205">
        <v>36.49</v>
      </c>
    </row>
    <row r="4341" spans="1:3" ht="24" customHeight="1">
      <c r="A4341" s="1205" t="s">
        <v>65960</v>
      </c>
      <c r="B4341" s="1205" t="s">
        <v>65959</v>
      </c>
      <c r="C4341" s="1205">
        <v>30.99</v>
      </c>
    </row>
    <row r="4342" spans="1:3" ht="24" customHeight="1">
      <c r="A4342" s="1205" t="s">
        <v>65958</v>
      </c>
      <c r="B4342" s="1205" t="s">
        <v>65957</v>
      </c>
      <c r="C4342" s="1205">
        <v>34.99</v>
      </c>
    </row>
    <row r="4343" spans="1:3" ht="24" customHeight="1">
      <c r="A4343" s="1205" t="s">
        <v>65956</v>
      </c>
      <c r="B4343" s="1205" t="s">
        <v>65955</v>
      </c>
      <c r="C4343" s="1205">
        <v>35.99</v>
      </c>
    </row>
    <row r="4344" spans="1:3" ht="24" customHeight="1">
      <c r="A4344" s="1205" t="s">
        <v>65954</v>
      </c>
      <c r="B4344" s="1205" t="s">
        <v>65953</v>
      </c>
      <c r="C4344" s="1205">
        <v>47.49</v>
      </c>
    </row>
    <row r="4345" spans="1:3" ht="24" customHeight="1">
      <c r="A4345" s="1205" t="s">
        <v>65952</v>
      </c>
      <c r="B4345" s="1205" t="s">
        <v>65951</v>
      </c>
      <c r="C4345" s="1205">
        <v>69.489999999999995</v>
      </c>
    </row>
    <row r="4346" spans="1:3" ht="24" customHeight="1">
      <c r="A4346" s="1205" t="s">
        <v>65950</v>
      </c>
      <c r="B4346" s="1205" t="s">
        <v>65949</v>
      </c>
      <c r="C4346" s="1205">
        <v>27.99</v>
      </c>
    </row>
    <row r="4347" spans="1:3" ht="24" customHeight="1">
      <c r="A4347" s="1205" t="s">
        <v>65948</v>
      </c>
      <c r="B4347" s="1205" t="s">
        <v>65947</v>
      </c>
      <c r="C4347" s="1205">
        <v>24.49</v>
      </c>
    </row>
    <row r="4348" spans="1:3" ht="24" customHeight="1">
      <c r="A4348" s="1205" t="s">
        <v>65946</v>
      </c>
      <c r="B4348" s="1205" t="s">
        <v>65945</v>
      </c>
      <c r="C4348" s="1205">
        <v>29.99</v>
      </c>
    </row>
    <row r="4349" spans="1:3" ht="24" customHeight="1">
      <c r="A4349" s="1205" t="s">
        <v>65944</v>
      </c>
      <c r="B4349" s="1205" t="s">
        <v>65943</v>
      </c>
      <c r="C4349" s="1205">
        <v>26.49</v>
      </c>
    </row>
    <row r="4350" spans="1:3" ht="24" customHeight="1">
      <c r="A4350" s="1205" t="s">
        <v>65942</v>
      </c>
      <c r="B4350" s="1205" t="s">
        <v>65941</v>
      </c>
      <c r="C4350" s="1205">
        <v>36.49</v>
      </c>
    </row>
    <row r="4351" spans="1:3" ht="24" customHeight="1">
      <c r="A4351" s="1205" t="s">
        <v>65940</v>
      </c>
      <c r="B4351" s="1205" t="s">
        <v>65939</v>
      </c>
      <c r="C4351" s="1205">
        <v>32.99</v>
      </c>
    </row>
    <row r="4352" spans="1:3" ht="24" customHeight="1">
      <c r="A4352" s="1205" t="s">
        <v>65938</v>
      </c>
      <c r="B4352" s="1205" t="s">
        <v>65937</v>
      </c>
      <c r="C4352" s="1205">
        <v>274.49</v>
      </c>
    </row>
    <row r="4353" spans="1:3" ht="24" customHeight="1">
      <c r="A4353" s="1205" t="s">
        <v>65936</v>
      </c>
      <c r="B4353" s="1205" t="s">
        <v>65935</v>
      </c>
      <c r="C4353" s="1205">
        <v>387.49</v>
      </c>
    </row>
    <row r="4354" spans="1:3" ht="24" customHeight="1">
      <c r="A4354" s="1205" t="s">
        <v>65934</v>
      </c>
      <c r="B4354" s="1205" t="s">
        <v>65933</v>
      </c>
      <c r="C4354" s="1205">
        <v>364.99</v>
      </c>
    </row>
    <row r="4355" spans="1:3" ht="24" customHeight="1">
      <c r="A4355" s="1205" t="s">
        <v>65932</v>
      </c>
      <c r="B4355" s="1205" t="s">
        <v>65931</v>
      </c>
      <c r="C4355" s="1205">
        <v>343.99</v>
      </c>
    </row>
    <row r="4356" spans="1:3" ht="24" customHeight="1">
      <c r="A4356" s="1205" t="s">
        <v>65930</v>
      </c>
      <c r="B4356" s="1205" t="s">
        <v>65929</v>
      </c>
      <c r="C4356" s="1205">
        <v>382.49</v>
      </c>
    </row>
    <row r="4357" spans="1:3" ht="24" customHeight="1">
      <c r="A4357" s="1205" t="s">
        <v>65928</v>
      </c>
      <c r="B4357" s="1205" t="s">
        <v>65927</v>
      </c>
      <c r="C4357" s="1205">
        <v>85.99</v>
      </c>
    </row>
    <row r="4358" spans="1:3" ht="24" customHeight="1">
      <c r="A4358" s="1205" t="s">
        <v>65926</v>
      </c>
      <c r="B4358" s="1205" t="s">
        <v>65925</v>
      </c>
      <c r="C4358" s="1205">
        <v>326.99</v>
      </c>
    </row>
    <row r="4359" spans="1:3" ht="24" customHeight="1">
      <c r="A4359" s="1205" t="s">
        <v>65924</v>
      </c>
      <c r="B4359" s="1205" t="s">
        <v>65923</v>
      </c>
      <c r="C4359" s="1205">
        <v>119.99</v>
      </c>
    </row>
    <row r="4360" spans="1:3" ht="24" customHeight="1">
      <c r="A4360" s="1205" t="s">
        <v>65922</v>
      </c>
      <c r="B4360" s="1205" t="s">
        <v>65921</v>
      </c>
      <c r="C4360" s="1205">
        <v>78.989999999999995</v>
      </c>
    </row>
    <row r="4361" spans="1:3" ht="24" customHeight="1">
      <c r="A4361" s="1205" t="s">
        <v>65920</v>
      </c>
      <c r="B4361" s="1205" t="s">
        <v>65919</v>
      </c>
      <c r="C4361" s="1205">
        <v>352.99</v>
      </c>
    </row>
    <row r="4362" spans="1:3" ht="24" customHeight="1">
      <c r="A4362" s="1205" t="s">
        <v>65918</v>
      </c>
      <c r="B4362" s="1205" t="s">
        <v>65917</v>
      </c>
      <c r="C4362" s="1205">
        <v>85.49</v>
      </c>
    </row>
    <row r="4363" spans="1:3" ht="24" customHeight="1">
      <c r="A4363" s="1205" t="s">
        <v>65916</v>
      </c>
      <c r="B4363" s="1205" t="s">
        <v>65915</v>
      </c>
      <c r="C4363" s="1205">
        <v>326.49</v>
      </c>
    </row>
    <row r="4364" spans="1:3" ht="24" customHeight="1">
      <c r="A4364" s="1205" t="s">
        <v>65914</v>
      </c>
      <c r="B4364" s="1205" t="s">
        <v>65913</v>
      </c>
      <c r="C4364" s="1205">
        <v>127.99</v>
      </c>
    </row>
    <row r="4365" spans="1:3" ht="24" customHeight="1">
      <c r="A4365" s="1205" t="s">
        <v>65912</v>
      </c>
      <c r="B4365" s="1205" t="s">
        <v>65911</v>
      </c>
      <c r="C4365" s="1205">
        <v>302.49</v>
      </c>
    </row>
    <row r="4366" spans="1:3" ht="24" customHeight="1">
      <c r="A4366" s="1205" t="s">
        <v>65910</v>
      </c>
      <c r="B4366" s="1205" t="s">
        <v>65906</v>
      </c>
      <c r="C4366" s="1205">
        <v>408.49</v>
      </c>
    </row>
    <row r="4367" spans="1:3" ht="24" customHeight="1">
      <c r="A4367" s="1205" t="s">
        <v>65909</v>
      </c>
      <c r="B4367" s="1205" t="s">
        <v>65908</v>
      </c>
      <c r="C4367" s="1205">
        <v>76.989999999999995</v>
      </c>
    </row>
    <row r="4368" spans="1:3" ht="24" customHeight="1">
      <c r="A4368" s="1205" t="s">
        <v>65907</v>
      </c>
      <c r="B4368" s="1205" t="s">
        <v>65906</v>
      </c>
      <c r="C4368" s="1205">
        <v>368.99</v>
      </c>
    </row>
    <row r="4369" spans="1:3" ht="24" customHeight="1">
      <c r="A4369" s="1205" t="s">
        <v>65905</v>
      </c>
      <c r="B4369" s="1205" t="s">
        <v>65904</v>
      </c>
      <c r="C4369" s="1205">
        <v>76.989999999999995</v>
      </c>
    </row>
    <row r="4370" spans="1:3" ht="24" customHeight="1">
      <c r="A4370" s="1205" t="s">
        <v>65903</v>
      </c>
      <c r="B4370" s="1205" t="s">
        <v>65901</v>
      </c>
      <c r="C4370" s="1205">
        <v>357.49</v>
      </c>
    </row>
    <row r="4371" spans="1:3" ht="24" customHeight="1">
      <c r="A4371" s="1205" t="s">
        <v>65902</v>
      </c>
      <c r="B4371" s="1205" t="s">
        <v>65901</v>
      </c>
      <c r="C4371" s="1205">
        <v>317.99</v>
      </c>
    </row>
    <row r="4372" spans="1:3" ht="24" customHeight="1">
      <c r="A4372" s="1205" t="s">
        <v>65900</v>
      </c>
      <c r="B4372" s="1205" t="s">
        <v>65795</v>
      </c>
      <c r="C4372" s="1205">
        <v>113.49</v>
      </c>
    </row>
    <row r="4373" spans="1:3" ht="24" customHeight="1">
      <c r="A4373" s="1205" t="s">
        <v>65899</v>
      </c>
      <c r="B4373" s="1205" t="s">
        <v>65898</v>
      </c>
      <c r="C4373" s="1205">
        <v>1396.99</v>
      </c>
    </row>
    <row r="4374" spans="1:3" ht="24" customHeight="1">
      <c r="A4374" s="1205" t="s">
        <v>65897</v>
      </c>
      <c r="B4374" s="1205" t="s">
        <v>65896</v>
      </c>
      <c r="C4374" s="1205">
        <v>155.99</v>
      </c>
    </row>
    <row r="4375" spans="1:3" ht="24" customHeight="1">
      <c r="A4375" s="1205" t="s">
        <v>65895</v>
      </c>
      <c r="B4375" s="1205" t="s">
        <v>65894</v>
      </c>
      <c r="C4375" s="1205">
        <v>396.99</v>
      </c>
    </row>
    <row r="4376" spans="1:3" ht="24" customHeight="1">
      <c r="A4376" s="1205" t="s">
        <v>65893</v>
      </c>
      <c r="B4376" s="1205" t="s">
        <v>65791</v>
      </c>
      <c r="C4376" s="1205">
        <v>354.49</v>
      </c>
    </row>
    <row r="4377" spans="1:3" ht="24" customHeight="1">
      <c r="A4377" s="1205" t="s">
        <v>65892</v>
      </c>
      <c r="B4377" s="1205" t="s">
        <v>65891</v>
      </c>
      <c r="C4377" s="1205">
        <v>274.99</v>
      </c>
    </row>
    <row r="4378" spans="1:3" ht="24" customHeight="1">
      <c r="A4378" s="1205" t="s">
        <v>65890</v>
      </c>
      <c r="B4378" s="1205" t="s">
        <v>65889</v>
      </c>
      <c r="C4378" s="1205">
        <v>91.49</v>
      </c>
    </row>
    <row r="4379" spans="1:3" ht="24" customHeight="1">
      <c r="A4379" s="1205" t="s">
        <v>65888</v>
      </c>
      <c r="B4379" s="1205" t="s">
        <v>65887</v>
      </c>
      <c r="C4379" s="1205">
        <v>331.99</v>
      </c>
    </row>
    <row r="4380" spans="1:3" ht="24" customHeight="1">
      <c r="A4380" s="1205" t="s">
        <v>65886</v>
      </c>
      <c r="B4380" s="1205" t="s">
        <v>65872</v>
      </c>
      <c r="C4380" s="1205">
        <v>117.49</v>
      </c>
    </row>
    <row r="4381" spans="1:3" ht="24" customHeight="1">
      <c r="A4381" s="1205" t="s">
        <v>65885</v>
      </c>
      <c r="B4381" s="1205" t="s">
        <v>65884</v>
      </c>
      <c r="C4381" s="1205">
        <v>95.49</v>
      </c>
    </row>
    <row r="4382" spans="1:3" ht="24" customHeight="1">
      <c r="A4382" s="1205" t="s">
        <v>65883</v>
      </c>
      <c r="B4382" s="1205" t="s">
        <v>65882</v>
      </c>
      <c r="C4382" s="1205">
        <v>292.49</v>
      </c>
    </row>
    <row r="4383" spans="1:3" ht="24" customHeight="1">
      <c r="A4383" s="1205" t="s">
        <v>65881</v>
      </c>
      <c r="B4383" s="1205" t="s">
        <v>65880</v>
      </c>
      <c r="C4383" s="1205">
        <v>56.99</v>
      </c>
    </row>
    <row r="4384" spans="1:3" ht="24" customHeight="1">
      <c r="A4384" s="1205" t="s">
        <v>65879</v>
      </c>
      <c r="B4384" s="1205" t="s">
        <v>65878</v>
      </c>
      <c r="C4384" s="1205">
        <v>37.99</v>
      </c>
    </row>
    <row r="4385" spans="1:3" ht="24" customHeight="1">
      <c r="A4385" s="1205" t="s">
        <v>65877</v>
      </c>
      <c r="B4385" s="1205" t="s">
        <v>65848</v>
      </c>
      <c r="C4385" s="1205">
        <v>79.489999999999995</v>
      </c>
    </row>
    <row r="4386" spans="1:3" ht="24" customHeight="1">
      <c r="A4386" s="1205" t="s">
        <v>65876</v>
      </c>
      <c r="B4386" s="1205" t="s">
        <v>65843</v>
      </c>
      <c r="C4386" s="1205">
        <v>72.489999999999995</v>
      </c>
    </row>
    <row r="4387" spans="1:3" ht="24" customHeight="1">
      <c r="A4387" s="1205" t="s">
        <v>65875</v>
      </c>
      <c r="B4387" s="1205" t="s">
        <v>65874</v>
      </c>
      <c r="C4387" s="1205">
        <v>95.49</v>
      </c>
    </row>
    <row r="4388" spans="1:3" ht="24" customHeight="1">
      <c r="A4388" s="1205" t="s">
        <v>65873</v>
      </c>
      <c r="B4388" s="1205" t="s">
        <v>65872</v>
      </c>
      <c r="C4388" s="1205">
        <v>157.49</v>
      </c>
    </row>
    <row r="4389" spans="1:3" ht="24" customHeight="1">
      <c r="A4389" s="1205" t="s">
        <v>65871</v>
      </c>
      <c r="B4389" s="1205" t="s">
        <v>65863</v>
      </c>
      <c r="C4389" s="1205">
        <v>398.49</v>
      </c>
    </row>
    <row r="4390" spans="1:3" ht="24" customHeight="1">
      <c r="A4390" s="1205" t="s">
        <v>65870</v>
      </c>
      <c r="B4390" s="1205" t="s">
        <v>65869</v>
      </c>
      <c r="C4390" s="1205">
        <v>395.99</v>
      </c>
    </row>
    <row r="4391" spans="1:3" ht="24" customHeight="1">
      <c r="A4391" s="1205" t="s">
        <v>65868</v>
      </c>
      <c r="B4391" s="1205" t="s">
        <v>65867</v>
      </c>
      <c r="C4391" s="1205">
        <v>74.989999999999995</v>
      </c>
    </row>
    <row r="4392" spans="1:3" ht="24" customHeight="1">
      <c r="A4392" s="1205" t="s">
        <v>65866</v>
      </c>
      <c r="B4392" s="1205" t="s">
        <v>65865</v>
      </c>
      <c r="C4392" s="1205">
        <v>306.49</v>
      </c>
    </row>
    <row r="4393" spans="1:3" ht="24" customHeight="1">
      <c r="A4393" s="1205" t="s">
        <v>65864</v>
      </c>
      <c r="B4393" s="1205" t="s">
        <v>65863</v>
      </c>
      <c r="C4393" s="1205">
        <v>358.49</v>
      </c>
    </row>
    <row r="4394" spans="1:3" ht="24" customHeight="1">
      <c r="A4394" s="1205" t="s">
        <v>65862</v>
      </c>
      <c r="B4394" s="1205" t="s">
        <v>65861</v>
      </c>
      <c r="C4394" s="1205">
        <v>142.49</v>
      </c>
    </row>
    <row r="4395" spans="1:3" ht="24" customHeight="1">
      <c r="A4395" s="1205" t="s">
        <v>65860</v>
      </c>
      <c r="B4395" s="1205" t="s">
        <v>65859</v>
      </c>
      <c r="C4395" s="1205">
        <v>104.99</v>
      </c>
    </row>
    <row r="4396" spans="1:3" ht="24" customHeight="1">
      <c r="A4396" s="1205" t="s">
        <v>65858</v>
      </c>
      <c r="B4396" s="1205" t="s">
        <v>65857</v>
      </c>
      <c r="C4396" s="1205">
        <v>127.99</v>
      </c>
    </row>
    <row r="4397" spans="1:3" ht="24" customHeight="1">
      <c r="A4397" s="1205" t="s">
        <v>65856</v>
      </c>
      <c r="B4397" s="1205" t="s">
        <v>65855</v>
      </c>
      <c r="C4397" s="1205">
        <v>80.989999999999995</v>
      </c>
    </row>
    <row r="4398" spans="1:3" ht="24" customHeight="1">
      <c r="A4398" s="1205" t="s">
        <v>65854</v>
      </c>
      <c r="B4398" s="1205" t="s">
        <v>65355</v>
      </c>
      <c r="C4398" s="1205">
        <v>96.99</v>
      </c>
    </row>
    <row r="4399" spans="1:3" ht="24" customHeight="1">
      <c r="A4399" s="1205" t="s">
        <v>65853</v>
      </c>
      <c r="B4399" s="1205" t="s">
        <v>65852</v>
      </c>
      <c r="C4399" s="1205">
        <v>317.99</v>
      </c>
    </row>
    <row r="4400" spans="1:3" ht="24" customHeight="1">
      <c r="A4400" s="1205" t="s">
        <v>65851</v>
      </c>
      <c r="B4400" s="1205" t="s">
        <v>65850</v>
      </c>
      <c r="C4400" s="1205">
        <v>111.99</v>
      </c>
    </row>
    <row r="4401" spans="1:3" ht="24" customHeight="1">
      <c r="A4401" s="1205" t="s">
        <v>65849</v>
      </c>
      <c r="B4401" s="1205" t="s">
        <v>65848</v>
      </c>
      <c r="C4401" s="1205">
        <v>80.989999999999995</v>
      </c>
    </row>
    <row r="4402" spans="1:3" ht="24" customHeight="1">
      <c r="A4402" s="1205" t="s">
        <v>65847</v>
      </c>
      <c r="B4402" s="1205" t="s">
        <v>65843</v>
      </c>
      <c r="C4402" s="1205">
        <v>60.49</v>
      </c>
    </row>
    <row r="4403" spans="1:3" ht="24" customHeight="1">
      <c r="A4403" s="1205" t="s">
        <v>65846</v>
      </c>
      <c r="B4403" s="1205" t="s">
        <v>65845</v>
      </c>
      <c r="C4403" s="1205">
        <v>52.99</v>
      </c>
    </row>
    <row r="4404" spans="1:3" ht="24" customHeight="1">
      <c r="A4404" s="1205" t="s">
        <v>65844</v>
      </c>
      <c r="B4404" s="1205" t="s">
        <v>65843</v>
      </c>
      <c r="C4404" s="1205">
        <v>67.989999999999995</v>
      </c>
    </row>
    <row r="4405" spans="1:3" ht="24" customHeight="1">
      <c r="A4405" s="1205" t="s">
        <v>65842</v>
      </c>
      <c r="B4405" s="1205" t="s">
        <v>65841</v>
      </c>
      <c r="C4405" s="1205">
        <v>95.99</v>
      </c>
    </row>
    <row r="4406" spans="1:3" ht="24" customHeight="1">
      <c r="A4406" s="1205" t="s">
        <v>65840</v>
      </c>
      <c r="B4406" s="1205" t="s">
        <v>65839</v>
      </c>
      <c r="C4406" s="1205">
        <v>383.49</v>
      </c>
    </row>
    <row r="4407" spans="1:3" ht="24" customHeight="1">
      <c r="A4407" s="1205" t="s">
        <v>65838</v>
      </c>
      <c r="B4407" s="1205" t="s">
        <v>65837</v>
      </c>
      <c r="C4407" s="1205">
        <v>303.99</v>
      </c>
    </row>
    <row r="4408" spans="1:3" ht="24" customHeight="1">
      <c r="A4408" s="1205" t="s">
        <v>65836</v>
      </c>
      <c r="B4408" s="1205" t="s">
        <v>65835</v>
      </c>
      <c r="C4408" s="1205">
        <v>150.99</v>
      </c>
    </row>
    <row r="4409" spans="1:3" ht="24" customHeight="1">
      <c r="A4409" s="1205" t="s">
        <v>65834</v>
      </c>
      <c r="B4409" s="1205" t="s">
        <v>65833</v>
      </c>
      <c r="C4409" s="1205">
        <v>110.49</v>
      </c>
    </row>
    <row r="4410" spans="1:3" ht="24" customHeight="1">
      <c r="A4410" s="1205" t="s">
        <v>65832</v>
      </c>
      <c r="B4410" s="1205" t="s">
        <v>65831</v>
      </c>
      <c r="C4410" s="1205">
        <v>65.989999999999995</v>
      </c>
    </row>
    <row r="4411" spans="1:3" ht="24" customHeight="1">
      <c r="A4411" s="1205" t="s">
        <v>65830</v>
      </c>
      <c r="B4411" s="1205" t="s">
        <v>65829</v>
      </c>
      <c r="C4411" s="1205">
        <v>306.99</v>
      </c>
    </row>
    <row r="4412" spans="1:3" ht="24" customHeight="1">
      <c r="A4412" s="1205" t="s">
        <v>65828</v>
      </c>
      <c r="B4412" s="1205" t="s">
        <v>65827</v>
      </c>
      <c r="C4412" s="1205">
        <v>45.99</v>
      </c>
    </row>
    <row r="4413" spans="1:3" ht="24" customHeight="1">
      <c r="A4413" s="1205" t="s">
        <v>65826</v>
      </c>
      <c r="B4413" s="1205" t="s">
        <v>65825</v>
      </c>
      <c r="C4413" s="1205">
        <v>281.49</v>
      </c>
    </row>
    <row r="4414" spans="1:3" ht="24" customHeight="1">
      <c r="A4414" s="1205" t="s">
        <v>65824</v>
      </c>
      <c r="B4414" s="1205" t="s">
        <v>65823</v>
      </c>
      <c r="C4414" s="1205">
        <v>114.99</v>
      </c>
    </row>
    <row r="4415" spans="1:3" ht="24" customHeight="1">
      <c r="A4415" s="1205" t="s">
        <v>65822</v>
      </c>
      <c r="B4415" s="1205" t="s">
        <v>65821</v>
      </c>
      <c r="C4415" s="1205">
        <v>291.99</v>
      </c>
    </row>
    <row r="4416" spans="1:3" ht="24" customHeight="1">
      <c r="A4416" s="1205" t="s">
        <v>65820</v>
      </c>
      <c r="B4416" s="1205" t="s">
        <v>65819</v>
      </c>
      <c r="C4416" s="1205">
        <v>72.489999999999995</v>
      </c>
    </row>
    <row r="4417" spans="1:3" ht="24" customHeight="1">
      <c r="A4417" s="1205" t="s">
        <v>65818</v>
      </c>
      <c r="B4417" s="1205" t="s">
        <v>65817</v>
      </c>
      <c r="C4417" s="1205">
        <v>303.99</v>
      </c>
    </row>
    <row r="4418" spans="1:3" ht="24" customHeight="1">
      <c r="A4418" s="1205" t="s">
        <v>65816</v>
      </c>
      <c r="B4418" s="1205" t="s">
        <v>65815</v>
      </c>
      <c r="C4418" s="1205">
        <v>348.49</v>
      </c>
    </row>
    <row r="4419" spans="1:3" ht="24" customHeight="1">
      <c r="A4419" s="1205" t="s">
        <v>65814</v>
      </c>
      <c r="B4419" s="1205" t="s">
        <v>65813</v>
      </c>
      <c r="C4419" s="1205">
        <v>63.99</v>
      </c>
    </row>
    <row r="4420" spans="1:3" ht="24" customHeight="1">
      <c r="A4420" s="1205" t="s">
        <v>65812</v>
      </c>
      <c r="B4420" s="1205" t="s">
        <v>65811</v>
      </c>
      <c r="C4420" s="1205">
        <v>304.49</v>
      </c>
    </row>
    <row r="4421" spans="1:3" ht="24" customHeight="1">
      <c r="A4421" s="1205" t="s">
        <v>65810</v>
      </c>
      <c r="B4421" s="1205" t="s">
        <v>65809</v>
      </c>
      <c r="C4421" s="1205">
        <v>46.99</v>
      </c>
    </row>
    <row r="4422" spans="1:3" ht="24" customHeight="1">
      <c r="A4422" s="1205" t="s">
        <v>65808</v>
      </c>
      <c r="B4422" s="1205" t="s">
        <v>65807</v>
      </c>
      <c r="C4422" s="1205">
        <v>287.99</v>
      </c>
    </row>
    <row r="4423" spans="1:3" ht="24" customHeight="1">
      <c r="A4423" s="1205" t="s">
        <v>65806</v>
      </c>
      <c r="B4423" s="1205" t="s">
        <v>65805</v>
      </c>
      <c r="C4423" s="1205">
        <v>116.49</v>
      </c>
    </row>
    <row r="4424" spans="1:3" ht="24" customHeight="1">
      <c r="A4424" s="1205" t="s">
        <v>65804</v>
      </c>
      <c r="B4424" s="1205" t="s">
        <v>65803</v>
      </c>
      <c r="C4424" s="1205">
        <v>166.49</v>
      </c>
    </row>
    <row r="4425" spans="1:3" ht="24" customHeight="1">
      <c r="A4425" s="1205" t="s">
        <v>65802</v>
      </c>
      <c r="B4425" s="1205" t="s">
        <v>65801</v>
      </c>
      <c r="C4425" s="1205">
        <v>407.49</v>
      </c>
    </row>
    <row r="4426" spans="1:3" ht="24" customHeight="1">
      <c r="A4426" s="1205" t="s">
        <v>65800</v>
      </c>
      <c r="B4426" s="1205" t="s">
        <v>65799</v>
      </c>
      <c r="C4426" s="1205">
        <v>73.989999999999995</v>
      </c>
    </row>
    <row r="4427" spans="1:3" ht="24" customHeight="1">
      <c r="A4427" s="1205" t="s">
        <v>65798</v>
      </c>
      <c r="B4427" s="1205" t="s">
        <v>65797</v>
      </c>
      <c r="C4427" s="1205">
        <v>356.99</v>
      </c>
    </row>
    <row r="4428" spans="1:3" ht="24" customHeight="1">
      <c r="A4428" s="1205" t="s">
        <v>65796</v>
      </c>
      <c r="B4428" s="1205" t="s">
        <v>65795</v>
      </c>
      <c r="C4428" s="1205">
        <v>81.99</v>
      </c>
    </row>
    <row r="4429" spans="1:3" ht="24" customHeight="1">
      <c r="A4429" s="1205" t="s">
        <v>65794</v>
      </c>
      <c r="B4429" s="1205" t="s">
        <v>65793</v>
      </c>
      <c r="C4429" s="1205">
        <v>228.99</v>
      </c>
    </row>
    <row r="4430" spans="1:3" ht="24" customHeight="1">
      <c r="A4430" s="1205" t="s">
        <v>65792</v>
      </c>
      <c r="B4430" s="1205" t="s">
        <v>65791</v>
      </c>
      <c r="C4430" s="1205">
        <v>294.49</v>
      </c>
    </row>
    <row r="4431" spans="1:3" ht="24" customHeight="1">
      <c r="A4431" s="1205" t="s">
        <v>65790</v>
      </c>
      <c r="B4431" s="1205" t="s">
        <v>65789</v>
      </c>
      <c r="C4431" s="1205">
        <v>93.49</v>
      </c>
    </row>
    <row r="4432" spans="1:3" ht="24" customHeight="1">
      <c r="A4432" s="1205" t="s">
        <v>65788</v>
      </c>
      <c r="B4432" s="1205" t="s">
        <v>65787</v>
      </c>
      <c r="C4432" s="1205">
        <v>307.99</v>
      </c>
    </row>
    <row r="4433" spans="1:3" ht="24" customHeight="1">
      <c r="A4433" s="1205" t="s">
        <v>65786</v>
      </c>
      <c r="B4433" s="1205" t="s">
        <v>65785</v>
      </c>
      <c r="C4433" s="1205">
        <v>97.49</v>
      </c>
    </row>
    <row r="4434" spans="1:3" ht="24" customHeight="1">
      <c r="A4434" s="1205" t="s">
        <v>65784</v>
      </c>
      <c r="B4434" s="1205" t="s">
        <v>65783</v>
      </c>
      <c r="C4434" s="1205">
        <v>245.49</v>
      </c>
    </row>
    <row r="4435" spans="1:3" ht="24" customHeight="1">
      <c r="A4435" s="1205" t="s">
        <v>65782</v>
      </c>
      <c r="B4435" s="1205" t="s">
        <v>65781</v>
      </c>
      <c r="C4435" s="1205">
        <v>232.99</v>
      </c>
    </row>
    <row r="4436" spans="1:3" ht="24" customHeight="1">
      <c r="A4436" s="1205" t="s">
        <v>65780</v>
      </c>
      <c r="B4436" s="1205" t="s">
        <v>65776</v>
      </c>
      <c r="C4436" s="1205">
        <v>347.49</v>
      </c>
    </row>
    <row r="4437" spans="1:3" ht="24" customHeight="1">
      <c r="A4437" s="1205" t="s">
        <v>65779</v>
      </c>
      <c r="B4437" s="1205" t="s">
        <v>65778</v>
      </c>
      <c r="C4437" s="1205">
        <v>381.99</v>
      </c>
    </row>
    <row r="4438" spans="1:3" ht="24" customHeight="1">
      <c r="A4438" s="1205" t="s">
        <v>65777</v>
      </c>
      <c r="B4438" s="1205" t="s">
        <v>65776</v>
      </c>
      <c r="C4438" s="1205">
        <v>310.49</v>
      </c>
    </row>
    <row r="4439" spans="1:3" ht="24" customHeight="1">
      <c r="A4439" s="1205" t="s">
        <v>65775</v>
      </c>
      <c r="B4439" s="1205" t="s">
        <v>65774</v>
      </c>
      <c r="C4439" s="1205">
        <v>308.49</v>
      </c>
    </row>
    <row r="4440" spans="1:3" ht="24" customHeight="1">
      <c r="A4440" s="1205" t="s">
        <v>65773</v>
      </c>
      <c r="B4440" s="1205" t="s">
        <v>65772</v>
      </c>
      <c r="C4440" s="1205">
        <v>113.99</v>
      </c>
    </row>
    <row r="4441" spans="1:3" ht="24" customHeight="1">
      <c r="A4441" s="1205" t="s">
        <v>65771</v>
      </c>
      <c r="B4441" s="1205" t="s">
        <v>65770</v>
      </c>
      <c r="C4441" s="1205">
        <v>326.99</v>
      </c>
    </row>
    <row r="4442" spans="1:3" ht="24" customHeight="1">
      <c r="A4442" s="1205" t="s">
        <v>65769</v>
      </c>
      <c r="B4442" s="1205" t="s">
        <v>65768</v>
      </c>
      <c r="C4442" s="1205">
        <v>107.99</v>
      </c>
    </row>
    <row r="4443" spans="1:3" ht="24" customHeight="1">
      <c r="A4443" s="1205" t="s">
        <v>65767</v>
      </c>
      <c r="B4443" s="1205" t="s">
        <v>65766</v>
      </c>
      <c r="C4443" s="1205">
        <v>348.99</v>
      </c>
    </row>
    <row r="4444" spans="1:3" ht="24" customHeight="1">
      <c r="A4444" s="1205" t="s">
        <v>65765</v>
      </c>
      <c r="B4444" s="1205" t="s">
        <v>65764</v>
      </c>
      <c r="C4444" s="1205">
        <v>92.49</v>
      </c>
    </row>
    <row r="4445" spans="1:3" ht="24" customHeight="1">
      <c r="A4445" s="1205" t="s">
        <v>65763</v>
      </c>
      <c r="B4445" s="1205" t="s">
        <v>65762</v>
      </c>
      <c r="C4445" s="1205">
        <v>332.49</v>
      </c>
    </row>
    <row r="4446" spans="1:3" ht="24" customHeight="1">
      <c r="A4446" s="1205" t="s">
        <v>65761</v>
      </c>
      <c r="B4446" s="1205" t="s">
        <v>65760</v>
      </c>
      <c r="C4446" s="1205">
        <v>340.99</v>
      </c>
    </row>
    <row r="4447" spans="1:3" ht="24" customHeight="1">
      <c r="A4447" s="1205" t="s">
        <v>65759</v>
      </c>
      <c r="B4447" s="1205" t="s">
        <v>65758</v>
      </c>
      <c r="C4447" s="1205">
        <v>66.489999999999995</v>
      </c>
    </row>
    <row r="4448" spans="1:3" ht="24" customHeight="1">
      <c r="A4448" s="1205" t="s">
        <v>65757</v>
      </c>
      <c r="B4448" s="1205" t="s">
        <v>65756</v>
      </c>
      <c r="C4448" s="1205">
        <v>307.49</v>
      </c>
    </row>
    <row r="4449" spans="1:3" ht="24" customHeight="1">
      <c r="A4449" s="1205" t="s">
        <v>65755</v>
      </c>
      <c r="B4449" s="1205" t="s">
        <v>65754</v>
      </c>
      <c r="C4449" s="1205">
        <v>227.49</v>
      </c>
    </row>
    <row r="4450" spans="1:3" ht="24" customHeight="1">
      <c r="A4450" s="1205" t="s">
        <v>65753</v>
      </c>
      <c r="B4450" s="1205" t="s">
        <v>65744</v>
      </c>
      <c r="C4450" s="1205">
        <v>111.99</v>
      </c>
    </row>
    <row r="4451" spans="1:3" ht="24" customHeight="1">
      <c r="A4451" s="1205" t="s">
        <v>65752</v>
      </c>
      <c r="B4451" s="1205" t="s">
        <v>65751</v>
      </c>
      <c r="C4451" s="1205">
        <v>158.49</v>
      </c>
    </row>
    <row r="4452" spans="1:3" ht="24" customHeight="1">
      <c r="A4452" s="1205" t="s">
        <v>65750</v>
      </c>
      <c r="B4452" s="1205" t="s">
        <v>65749</v>
      </c>
      <c r="C4452" s="1205">
        <v>332.99</v>
      </c>
    </row>
    <row r="4453" spans="1:3" ht="24" customHeight="1">
      <c r="A4453" s="1205" t="s">
        <v>65748</v>
      </c>
      <c r="B4453" s="1205" t="s">
        <v>65747</v>
      </c>
      <c r="C4453" s="1205">
        <v>399.49</v>
      </c>
    </row>
    <row r="4454" spans="1:3" ht="24" customHeight="1">
      <c r="A4454" s="1205" t="s">
        <v>65746</v>
      </c>
      <c r="B4454" s="1205" t="s">
        <v>65741</v>
      </c>
      <c r="C4454" s="1205">
        <v>392.49</v>
      </c>
    </row>
    <row r="4455" spans="1:3" ht="24" customHeight="1">
      <c r="A4455" s="1205" t="s">
        <v>65745</v>
      </c>
      <c r="B4455" s="1205" t="s">
        <v>65744</v>
      </c>
      <c r="C4455" s="1205">
        <v>111.99</v>
      </c>
    </row>
    <row r="4456" spans="1:3" ht="24" customHeight="1">
      <c r="A4456" s="1205" t="s">
        <v>65743</v>
      </c>
      <c r="B4456" s="1205" t="s">
        <v>65741</v>
      </c>
      <c r="C4456" s="1205">
        <v>352.99</v>
      </c>
    </row>
    <row r="4457" spans="1:3" ht="24" customHeight="1">
      <c r="A4457" s="1205" t="s">
        <v>65742</v>
      </c>
      <c r="B4457" s="1205" t="s">
        <v>65741</v>
      </c>
      <c r="C4457" s="1205">
        <v>352.99</v>
      </c>
    </row>
    <row r="4458" spans="1:3" ht="24" customHeight="1">
      <c r="A4458" s="1205" t="s">
        <v>65740</v>
      </c>
      <c r="B4458" s="1205" t="s">
        <v>65739</v>
      </c>
      <c r="C4458" s="1205">
        <v>69.989999999999995</v>
      </c>
    </row>
    <row r="4459" spans="1:3" ht="24" customHeight="1">
      <c r="A4459" s="1205" t="s">
        <v>65738</v>
      </c>
      <c r="B4459" s="1205" t="s">
        <v>65737</v>
      </c>
      <c r="C4459" s="1205">
        <v>310.99</v>
      </c>
    </row>
    <row r="4460" spans="1:3" ht="24" customHeight="1">
      <c r="A4460" s="1205" t="s">
        <v>65736</v>
      </c>
      <c r="B4460" s="1205" t="s">
        <v>65735</v>
      </c>
      <c r="C4460" s="1205">
        <v>72.989999999999995</v>
      </c>
    </row>
    <row r="4461" spans="1:3" ht="24" customHeight="1">
      <c r="A4461" s="1205" t="s">
        <v>65734</v>
      </c>
      <c r="B4461" s="1205" t="s">
        <v>65733</v>
      </c>
      <c r="C4461" s="1205">
        <v>313.99</v>
      </c>
    </row>
    <row r="4462" spans="1:3" ht="24" customHeight="1">
      <c r="A4462" s="1205" t="s">
        <v>65732</v>
      </c>
      <c r="B4462" s="1205" t="s">
        <v>65731</v>
      </c>
      <c r="C4462" s="1205">
        <v>68.489999999999995</v>
      </c>
    </row>
    <row r="4463" spans="1:3" ht="24" customHeight="1">
      <c r="A4463" s="1205" t="s">
        <v>65730</v>
      </c>
      <c r="B4463" s="1205" t="s">
        <v>65729</v>
      </c>
      <c r="C4463" s="1205">
        <v>309.49</v>
      </c>
    </row>
    <row r="4464" spans="1:3" ht="24" customHeight="1">
      <c r="A4464" s="1205" t="s">
        <v>65728</v>
      </c>
      <c r="B4464" s="1205" t="s">
        <v>65727</v>
      </c>
      <c r="C4464" s="1205">
        <v>65.489999999999995</v>
      </c>
    </row>
    <row r="4465" spans="1:3" ht="24" customHeight="1">
      <c r="A4465" s="1205" t="s">
        <v>65726</v>
      </c>
      <c r="B4465" s="1205" t="s">
        <v>65725</v>
      </c>
      <c r="C4465" s="1205">
        <v>77.989999999999995</v>
      </c>
    </row>
    <row r="4466" spans="1:3" ht="24" customHeight="1">
      <c r="A4466" s="1205" t="s">
        <v>65724</v>
      </c>
      <c r="B4466" s="1205" t="s">
        <v>65723</v>
      </c>
      <c r="C4466" s="1205">
        <v>318.99</v>
      </c>
    </row>
    <row r="4467" spans="1:3" ht="24" customHeight="1">
      <c r="A4467" s="1205" t="s">
        <v>65722</v>
      </c>
      <c r="B4467" s="1205" t="s">
        <v>65721</v>
      </c>
      <c r="C4467" s="1205">
        <v>305.99</v>
      </c>
    </row>
    <row r="4468" spans="1:3" ht="24" customHeight="1">
      <c r="A4468" s="1205" t="s">
        <v>65720</v>
      </c>
      <c r="B4468" s="1205" t="s">
        <v>65719</v>
      </c>
      <c r="C4468" s="1205">
        <v>156.49</v>
      </c>
    </row>
    <row r="4469" spans="1:3" ht="24" customHeight="1">
      <c r="A4469" s="1205" t="s">
        <v>65718</v>
      </c>
      <c r="B4469" s="1205" t="s">
        <v>65717</v>
      </c>
      <c r="C4469" s="1205">
        <v>166.49</v>
      </c>
    </row>
    <row r="4470" spans="1:3" ht="24" customHeight="1">
      <c r="A4470" s="1205" t="s">
        <v>65716</v>
      </c>
      <c r="B4470" s="1205" t="s">
        <v>65715</v>
      </c>
      <c r="C4470" s="1205">
        <v>407.49</v>
      </c>
    </row>
    <row r="4471" spans="1:3" ht="24" customHeight="1">
      <c r="A4471" s="1205" t="s">
        <v>65714</v>
      </c>
      <c r="B4471" s="1205" t="s">
        <v>65713</v>
      </c>
      <c r="C4471" s="1205">
        <v>168.49</v>
      </c>
    </row>
    <row r="4472" spans="1:3" ht="24" customHeight="1">
      <c r="A4472" s="1205" t="s">
        <v>65712</v>
      </c>
      <c r="B4472" s="1205" t="s">
        <v>65711</v>
      </c>
      <c r="C4472" s="1205">
        <v>409.49</v>
      </c>
    </row>
    <row r="4473" spans="1:3" ht="24" customHeight="1">
      <c r="A4473" s="1205" t="s">
        <v>65710</v>
      </c>
      <c r="B4473" s="1205" t="s">
        <v>65709</v>
      </c>
      <c r="C4473" s="1205">
        <v>397.49</v>
      </c>
    </row>
    <row r="4474" spans="1:3" ht="24" customHeight="1">
      <c r="A4474" s="1205" t="s">
        <v>65708</v>
      </c>
      <c r="B4474" s="1205" t="s">
        <v>65707</v>
      </c>
      <c r="C4474" s="1205">
        <v>330.49</v>
      </c>
    </row>
    <row r="4475" spans="1:3" ht="24" customHeight="1">
      <c r="A4475" s="1205" t="s">
        <v>65706</v>
      </c>
      <c r="B4475" s="1205" t="s">
        <v>65705</v>
      </c>
      <c r="C4475" s="1205">
        <v>487.99</v>
      </c>
    </row>
    <row r="4476" spans="1:3" ht="24" customHeight="1">
      <c r="A4476" s="1205" t="s">
        <v>65704</v>
      </c>
      <c r="B4476" s="1205" t="s">
        <v>65703</v>
      </c>
      <c r="C4476" s="1205">
        <v>486.49</v>
      </c>
    </row>
    <row r="4477" spans="1:3" ht="24" customHeight="1">
      <c r="A4477" s="1205" t="s">
        <v>65702</v>
      </c>
      <c r="B4477" s="1205" t="s">
        <v>65701</v>
      </c>
      <c r="C4477" s="1205">
        <v>63.49</v>
      </c>
    </row>
    <row r="4478" spans="1:3" ht="24" customHeight="1">
      <c r="A4478" s="1205" t="s">
        <v>65700</v>
      </c>
      <c r="B4478" s="1205" t="s">
        <v>65699</v>
      </c>
      <c r="C4478" s="1205">
        <v>304.49</v>
      </c>
    </row>
    <row r="4479" spans="1:3" ht="24" customHeight="1">
      <c r="A4479" s="1205" t="s">
        <v>65698</v>
      </c>
      <c r="B4479" s="1205" t="s">
        <v>65697</v>
      </c>
      <c r="C4479" s="1205">
        <v>79.489999999999995</v>
      </c>
    </row>
    <row r="4480" spans="1:3" ht="24" customHeight="1">
      <c r="A4480" s="1205" t="s">
        <v>65696</v>
      </c>
      <c r="B4480" s="1205" t="s">
        <v>65695</v>
      </c>
      <c r="C4480" s="1205">
        <v>299.99</v>
      </c>
    </row>
    <row r="4481" spans="1:3" ht="24" customHeight="1">
      <c r="A4481" s="1205" t="s">
        <v>65694</v>
      </c>
      <c r="B4481" s="1205" t="s">
        <v>65693</v>
      </c>
      <c r="C4481" s="1205">
        <v>47.49</v>
      </c>
    </row>
    <row r="4482" spans="1:3" ht="24" customHeight="1">
      <c r="A4482" s="1205" t="s">
        <v>65692</v>
      </c>
      <c r="B4482" s="1205" t="s">
        <v>65691</v>
      </c>
      <c r="C4482" s="1205">
        <v>287.99</v>
      </c>
    </row>
    <row r="4483" spans="1:3" ht="24" customHeight="1">
      <c r="A4483" s="1205" t="s">
        <v>65690</v>
      </c>
      <c r="B4483" s="1205" t="s">
        <v>65689</v>
      </c>
      <c r="C4483" s="1205">
        <v>74.489999999999995</v>
      </c>
    </row>
    <row r="4484" spans="1:3" ht="24" customHeight="1">
      <c r="A4484" s="1205" t="s">
        <v>65688</v>
      </c>
      <c r="B4484" s="1205" t="s">
        <v>65687</v>
      </c>
      <c r="C4484" s="1205">
        <v>315.49</v>
      </c>
    </row>
    <row r="4485" spans="1:3" ht="24" customHeight="1">
      <c r="A4485" s="1205" t="s">
        <v>65686</v>
      </c>
      <c r="B4485" s="1205" t="s">
        <v>65685</v>
      </c>
      <c r="C4485" s="1205">
        <v>122.49</v>
      </c>
    </row>
    <row r="4486" spans="1:3" ht="24" customHeight="1">
      <c r="A4486" s="1205" t="s">
        <v>65684</v>
      </c>
      <c r="B4486" s="1205" t="s">
        <v>65683</v>
      </c>
      <c r="C4486" s="1205">
        <v>268.99</v>
      </c>
    </row>
    <row r="4487" spans="1:3" ht="24" customHeight="1">
      <c r="A4487" s="1205" t="s">
        <v>65682</v>
      </c>
      <c r="B4487" s="1205" t="s">
        <v>65676</v>
      </c>
      <c r="C4487" s="1205">
        <v>372.49</v>
      </c>
    </row>
    <row r="4488" spans="1:3" ht="24" customHeight="1">
      <c r="A4488" s="1205" t="s">
        <v>65681</v>
      </c>
      <c r="B4488" s="1205" t="s">
        <v>65680</v>
      </c>
      <c r="C4488" s="1205">
        <v>274.99</v>
      </c>
    </row>
    <row r="4489" spans="1:3" ht="24" customHeight="1">
      <c r="A4489" s="1205" t="s">
        <v>65679</v>
      </c>
      <c r="B4489" s="1205" t="s">
        <v>65678</v>
      </c>
      <c r="C4489" s="1205">
        <v>7.99</v>
      </c>
    </row>
    <row r="4490" spans="1:3" ht="24" customHeight="1">
      <c r="A4490" s="1205" t="s">
        <v>65677</v>
      </c>
      <c r="B4490" s="1205" t="s">
        <v>65676</v>
      </c>
      <c r="C4490" s="1205">
        <v>335.49</v>
      </c>
    </row>
    <row r="4491" spans="1:3" ht="24" customHeight="1">
      <c r="A4491" s="1205" t="s">
        <v>65675</v>
      </c>
      <c r="B4491" s="1205" t="s">
        <v>65674</v>
      </c>
      <c r="C4491" s="1205">
        <v>51.49</v>
      </c>
    </row>
    <row r="4492" spans="1:3" ht="24" customHeight="1">
      <c r="A4492" s="1205" t="s">
        <v>65673</v>
      </c>
      <c r="B4492" s="1205" t="s">
        <v>65672</v>
      </c>
      <c r="C4492" s="1205">
        <v>292.49</v>
      </c>
    </row>
    <row r="4493" spans="1:3" ht="24" customHeight="1">
      <c r="A4493" s="1205" t="s">
        <v>65671</v>
      </c>
      <c r="B4493" s="1205" t="s">
        <v>65670</v>
      </c>
      <c r="C4493" s="1205">
        <v>94.99</v>
      </c>
    </row>
    <row r="4494" spans="1:3" ht="24" customHeight="1">
      <c r="A4494" s="1205" t="s">
        <v>65669</v>
      </c>
      <c r="B4494" s="1205" t="s">
        <v>65668</v>
      </c>
      <c r="C4494" s="1205">
        <v>292.99</v>
      </c>
    </row>
    <row r="4495" spans="1:3" ht="24" customHeight="1">
      <c r="A4495" s="1205" t="s">
        <v>65667</v>
      </c>
      <c r="B4495" s="1205" t="s">
        <v>65666</v>
      </c>
      <c r="C4495" s="1205">
        <v>335.49</v>
      </c>
    </row>
    <row r="4496" spans="1:3" ht="24" customHeight="1">
      <c r="A4496" s="1205" t="s">
        <v>65665</v>
      </c>
      <c r="B4496" s="1205" t="s">
        <v>65664</v>
      </c>
      <c r="C4496" s="1205">
        <v>195.99</v>
      </c>
    </row>
    <row r="4497" spans="1:3" ht="24" customHeight="1">
      <c r="A4497" s="1205" t="s">
        <v>65663</v>
      </c>
      <c r="B4497" s="1205" t="s">
        <v>65662</v>
      </c>
      <c r="C4497" s="1205">
        <v>429.49</v>
      </c>
    </row>
    <row r="4498" spans="1:3" ht="24" customHeight="1">
      <c r="A4498" s="1205" t="s">
        <v>65661</v>
      </c>
      <c r="B4498" s="1205" t="s">
        <v>65660</v>
      </c>
      <c r="C4498" s="1205">
        <v>444.99</v>
      </c>
    </row>
    <row r="4499" spans="1:3" ht="24" customHeight="1">
      <c r="A4499" s="1205" t="s">
        <v>65659</v>
      </c>
      <c r="B4499" s="1205" t="s">
        <v>65658</v>
      </c>
      <c r="C4499" s="1205">
        <v>51.49</v>
      </c>
    </row>
    <row r="4500" spans="1:3" ht="24" customHeight="1">
      <c r="A4500" s="1205" t="s">
        <v>65657</v>
      </c>
      <c r="B4500" s="1205" t="s">
        <v>65656</v>
      </c>
      <c r="C4500" s="1205">
        <v>292.49</v>
      </c>
    </row>
    <row r="4501" spans="1:3" ht="24" customHeight="1">
      <c r="A4501" s="1205" t="s">
        <v>65655</v>
      </c>
      <c r="B4501" s="1205" t="s">
        <v>65654</v>
      </c>
      <c r="C4501" s="1205">
        <v>93.49</v>
      </c>
    </row>
    <row r="4502" spans="1:3" ht="24" customHeight="1">
      <c r="A4502" s="1205" t="s">
        <v>65653</v>
      </c>
      <c r="B4502" s="1205" t="s">
        <v>65652</v>
      </c>
      <c r="C4502" s="1205">
        <v>334.49</v>
      </c>
    </row>
    <row r="4503" spans="1:3" ht="24" customHeight="1">
      <c r="A4503" s="1205" t="s">
        <v>65651</v>
      </c>
      <c r="B4503" s="1205" t="s">
        <v>65650</v>
      </c>
      <c r="C4503" s="1205">
        <v>156.49</v>
      </c>
    </row>
    <row r="4504" spans="1:3" ht="24" customHeight="1">
      <c r="A4504" s="1205" t="s">
        <v>65649</v>
      </c>
      <c r="B4504" s="1205" t="s">
        <v>65648</v>
      </c>
      <c r="C4504" s="1205">
        <v>394.49</v>
      </c>
    </row>
    <row r="4505" spans="1:3" ht="24" customHeight="1">
      <c r="A4505" s="1205" t="s">
        <v>65647</v>
      </c>
      <c r="B4505" s="1205" t="s">
        <v>65646</v>
      </c>
      <c r="C4505" s="1205">
        <v>84.99</v>
      </c>
    </row>
    <row r="4506" spans="1:3" ht="24" customHeight="1">
      <c r="A4506" s="1205" t="s">
        <v>65645</v>
      </c>
      <c r="B4506" s="1205" t="s">
        <v>65644</v>
      </c>
      <c r="C4506" s="1205">
        <v>305.49</v>
      </c>
    </row>
    <row r="4507" spans="1:3" ht="24" customHeight="1">
      <c r="A4507" s="1205" t="s">
        <v>65643</v>
      </c>
      <c r="B4507" s="1205" t="s">
        <v>65642</v>
      </c>
      <c r="C4507" s="1205">
        <v>86.99</v>
      </c>
    </row>
    <row r="4508" spans="1:3" ht="24" customHeight="1">
      <c r="A4508" s="1205" t="s">
        <v>65641</v>
      </c>
      <c r="B4508" s="1205" t="s">
        <v>65640</v>
      </c>
      <c r="C4508" s="1205">
        <v>327.99</v>
      </c>
    </row>
    <row r="4509" spans="1:3" ht="24" customHeight="1">
      <c r="A4509" s="1205" t="s">
        <v>65639</v>
      </c>
      <c r="B4509" s="1205" t="s">
        <v>65638</v>
      </c>
      <c r="C4509" s="1205">
        <v>62.49</v>
      </c>
    </row>
    <row r="4510" spans="1:3" ht="24" customHeight="1">
      <c r="A4510" s="1205" t="s">
        <v>65637</v>
      </c>
      <c r="B4510" s="1205" t="s">
        <v>65636</v>
      </c>
      <c r="C4510" s="1205">
        <v>303.49</v>
      </c>
    </row>
    <row r="4511" spans="1:3" ht="24" customHeight="1">
      <c r="A4511" s="1205" t="s">
        <v>65635</v>
      </c>
      <c r="B4511" s="1205" t="s">
        <v>65634</v>
      </c>
      <c r="C4511" s="1205">
        <v>102.99</v>
      </c>
    </row>
    <row r="4512" spans="1:3" ht="24" customHeight="1">
      <c r="A4512" s="1205" t="s">
        <v>65633</v>
      </c>
      <c r="B4512" s="1205" t="s">
        <v>65632</v>
      </c>
      <c r="C4512" s="1205">
        <v>343.99</v>
      </c>
    </row>
    <row r="4513" spans="1:3" ht="24" customHeight="1">
      <c r="A4513" s="1205" t="s">
        <v>65631</v>
      </c>
      <c r="B4513" s="1205" t="s">
        <v>65630</v>
      </c>
      <c r="C4513" s="1205">
        <v>66.989999999999995</v>
      </c>
    </row>
    <row r="4514" spans="1:3" ht="24" customHeight="1">
      <c r="A4514" s="1205" t="s">
        <v>65629</v>
      </c>
      <c r="B4514" s="1205" t="s">
        <v>65628</v>
      </c>
      <c r="C4514" s="1205">
        <v>65.989999999999995</v>
      </c>
    </row>
    <row r="4515" spans="1:3" ht="24" customHeight="1">
      <c r="A4515" s="1205" t="s">
        <v>65627</v>
      </c>
      <c r="B4515" s="1205" t="s">
        <v>65626</v>
      </c>
      <c r="C4515" s="1205">
        <v>306.99</v>
      </c>
    </row>
    <row r="4516" spans="1:3" ht="24" customHeight="1">
      <c r="A4516" s="1205" t="s">
        <v>65625</v>
      </c>
      <c r="B4516" s="1205" t="s">
        <v>65624</v>
      </c>
      <c r="C4516" s="1205">
        <v>307.49</v>
      </c>
    </row>
    <row r="4517" spans="1:3" ht="24" customHeight="1">
      <c r="A4517" s="1205" t="s">
        <v>65623</v>
      </c>
      <c r="B4517" s="1205" t="s">
        <v>65622</v>
      </c>
      <c r="C4517" s="1205">
        <v>75.989999999999995</v>
      </c>
    </row>
    <row r="4518" spans="1:3" ht="24" customHeight="1">
      <c r="A4518" s="1205" t="s">
        <v>65621</v>
      </c>
      <c r="B4518" s="1205" t="s">
        <v>65620</v>
      </c>
      <c r="C4518" s="1205">
        <v>316.99</v>
      </c>
    </row>
    <row r="4519" spans="1:3" ht="24" customHeight="1">
      <c r="A4519" s="1205" t="s">
        <v>65619</v>
      </c>
      <c r="B4519" s="1205" t="s">
        <v>65618</v>
      </c>
      <c r="C4519" s="1205">
        <v>48.99</v>
      </c>
    </row>
    <row r="4520" spans="1:3" ht="24" customHeight="1">
      <c r="A4520" s="1205" t="s">
        <v>65617</v>
      </c>
      <c r="B4520" s="1205" t="s">
        <v>65616</v>
      </c>
      <c r="C4520" s="1205">
        <v>289.99</v>
      </c>
    </row>
    <row r="4521" spans="1:3" ht="24" customHeight="1">
      <c r="A4521" s="1205" t="s">
        <v>65615</v>
      </c>
      <c r="B4521" s="1205" t="s">
        <v>65614</v>
      </c>
      <c r="C4521" s="1205">
        <v>170.49</v>
      </c>
    </row>
    <row r="4522" spans="1:3" ht="24" customHeight="1">
      <c r="A4522" s="1205" t="s">
        <v>65613</v>
      </c>
      <c r="B4522" s="1205" t="s">
        <v>65612</v>
      </c>
      <c r="C4522" s="1205">
        <v>344.99</v>
      </c>
    </row>
    <row r="4523" spans="1:3" ht="24" customHeight="1">
      <c r="A4523" s="1205" t="s">
        <v>65611</v>
      </c>
      <c r="B4523" s="1205" t="s">
        <v>65610</v>
      </c>
      <c r="C4523" s="1205">
        <v>87.99</v>
      </c>
    </row>
    <row r="4524" spans="1:3" ht="24" customHeight="1">
      <c r="A4524" s="1205" t="s">
        <v>65609</v>
      </c>
      <c r="B4524" s="1205" t="s">
        <v>65605</v>
      </c>
      <c r="C4524" s="1205">
        <v>328.99</v>
      </c>
    </row>
    <row r="4525" spans="1:3" ht="24" customHeight="1">
      <c r="A4525" s="1205" t="s">
        <v>65608</v>
      </c>
      <c r="B4525" s="1205" t="s">
        <v>65607</v>
      </c>
      <c r="C4525" s="1205">
        <v>358.99</v>
      </c>
    </row>
    <row r="4526" spans="1:3" ht="24" customHeight="1">
      <c r="A4526" s="1205" t="s">
        <v>65606</v>
      </c>
      <c r="B4526" s="1205" t="s">
        <v>65605</v>
      </c>
      <c r="C4526" s="1205">
        <v>411.49</v>
      </c>
    </row>
    <row r="4527" spans="1:3" ht="24" customHeight="1">
      <c r="A4527" s="1205" t="s">
        <v>65604</v>
      </c>
      <c r="B4527" s="1205" t="s">
        <v>65603</v>
      </c>
      <c r="C4527" s="1205">
        <v>126.99</v>
      </c>
    </row>
    <row r="4528" spans="1:3" ht="24" customHeight="1">
      <c r="A4528" s="1205" t="s">
        <v>65602</v>
      </c>
      <c r="B4528" s="1205" t="s">
        <v>65601</v>
      </c>
      <c r="C4528" s="1205">
        <v>86.99</v>
      </c>
    </row>
    <row r="4529" spans="1:3" ht="24" customHeight="1">
      <c r="A4529" s="1205" t="s">
        <v>65600</v>
      </c>
      <c r="B4529" s="1205" t="s">
        <v>65599</v>
      </c>
      <c r="C4529" s="1205">
        <v>324.99</v>
      </c>
    </row>
    <row r="4530" spans="1:3" ht="24" customHeight="1">
      <c r="A4530" s="1205" t="s">
        <v>65598</v>
      </c>
      <c r="B4530" s="1205" t="s">
        <v>65597</v>
      </c>
      <c r="C4530" s="1205">
        <v>365.49</v>
      </c>
    </row>
    <row r="4531" spans="1:3" ht="24" customHeight="1">
      <c r="A4531" s="1205" t="s">
        <v>65596</v>
      </c>
      <c r="B4531" s="1205" t="s">
        <v>65595</v>
      </c>
      <c r="C4531" s="1205">
        <v>142.49</v>
      </c>
    </row>
    <row r="4532" spans="1:3" ht="24" customHeight="1">
      <c r="A4532" s="1205" t="s">
        <v>65594</v>
      </c>
      <c r="B4532" s="1205" t="s">
        <v>65593</v>
      </c>
      <c r="C4532" s="1205">
        <v>385.49</v>
      </c>
    </row>
    <row r="4533" spans="1:3" ht="24" customHeight="1">
      <c r="A4533" s="1205" t="s">
        <v>65592</v>
      </c>
      <c r="B4533" s="1205" t="s">
        <v>65591</v>
      </c>
      <c r="C4533" s="1205">
        <v>134.99</v>
      </c>
    </row>
    <row r="4534" spans="1:3" ht="24" customHeight="1">
      <c r="A4534" s="1205" t="s">
        <v>65590</v>
      </c>
      <c r="B4534" s="1205" t="s">
        <v>65589</v>
      </c>
      <c r="C4534" s="1205">
        <v>51.99</v>
      </c>
    </row>
    <row r="4535" spans="1:3" ht="24" customHeight="1">
      <c r="A4535" s="1205" t="s">
        <v>65588</v>
      </c>
      <c r="B4535" s="1205" t="s">
        <v>65587</v>
      </c>
      <c r="C4535" s="1205">
        <v>367.99</v>
      </c>
    </row>
    <row r="4536" spans="1:3" ht="24" customHeight="1">
      <c r="A4536" s="1205" t="s">
        <v>65586</v>
      </c>
      <c r="B4536" s="1205" t="s">
        <v>65585</v>
      </c>
      <c r="C4536" s="1205">
        <v>60.49</v>
      </c>
    </row>
    <row r="4537" spans="1:3" ht="24" customHeight="1">
      <c r="A4537" s="1205" t="s">
        <v>65584</v>
      </c>
      <c r="B4537" s="1205" t="s">
        <v>65583</v>
      </c>
      <c r="C4537" s="1205">
        <v>281.49</v>
      </c>
    </row>
    <row r="4538" spans="1:3" ht="24" customHeight="1">
      <c r="A4538" s="1205" t="s">
        <v>65582</v>
      </c>
      <c r="B4538" s="1205" t="s">
        <v>65581</v>
      </c>
      <c r="C4538" s="1205">
        <v>135.49</v>
      </c>
    </row>
    <row r="4539" spans="1:3" ht="24" customHeight="1">
      <c r="A4539" s="1205" t="s">
        <v>65580</v>
      </c>
      <c r="B4539" s="1205" t="s">
        <v>65579</v>
      </c>
      <c r="C4539" s="1205">
        <v>375.99</v>
      </c>
    </row>
    <row r="4540" spans="1:3" ht="24" customHeight="1">
      <c r="A4540" s="1205" t="s">
        <v>65578</v>
      </c>
      <c r="B4540" s="1205" t="s">
        <v>65577</v>
      </c>
      <c r="C4540" s="1205">
        <v>39.99</v>
      </c>
    </row>
    <row r="4541" spans="1:3" ht="24" customHeight="1">
      <c r="A4541" s="1205" t="s">
        <v>65576</v>
      </c>
      <c r="B4541" s="1205" t="s">
        <v>65575</v>
      </c>
      <c r="C4541" s="1205">
        <v>280.99</v>
      </c>
    </row>
    <row r="4542" spans="1:3" ht="24" customHeight="1">
      <c r="A4542" s="1205" t="s">
        <v>65574</v>
      </c>
      <c r="B4542" s="1205" t="s">
        <v>65573</v>
      </c>
      <c r="C4542" s="1205">
        <v>185.99</v>
      </c>
    </row>
    <row r="4543" spans="1:3" ht="24" customHeight="1">
      <c r="A4543" s="1205" t="s">
        <v>65572</v>
      </c>
      <c r="B4543" s="1205" t="s">
        <v>65571</v>
      </c>
      <c r="C4543" s="1205">
        <v>424.99</v>
      </c>
    </row>
    <row r="4544" spans="1:3" ht="24" customHeight="1">
      <c r="A4544" s="1205" t="s">
        <v>65570</v>
      </c>
      <c r="B4544" s="1205" t="s">
        <v>65568</v>
      </c>
      <c r="C4544" s="1205">
        <v>409.99</v>
      </c>
    </row>
    <row r="4545" spans="1:3" ht="24" customHeight="1">
      <c r="A4545" s="1205" t="s">
        <v>65569</v>
      </c>
      <c r="B4545" s="1205" t="s">
        <v>65568</v>
      </c>
      <c r="C4545" s="1205">
        <v>406.49</v>
      </c>
    </row>
    <row r="4546" spans="1:3" ht="24" customHeight="1">
      <c r="A4546" s="1205" t="s">
        <v>65567</v>
      </c>
      <c r="B4546" s="1205" t="s">
        <v>65566</v>
      </c>
      <c r="C4546" s="1205">
        <v>393.49</v>
      </c>
    </row>
    <row r="4547" spans="1:3" ht="24" customHeight="1">
      <c r="A4547" s="1205" t="s">
        <v>65565</v>
      </c>
      <c r="B4547" s="1205" t="s">
        <v>65561</v>
      </c>
      <c r="C4547" s="1205">
        <v>377.49</v>
      </c>
    </row>
    <row r="4548" spans="1:3" ht="24" customHeight="1">
      <c r="A4548" s="1205" t="s">
        <v>65564</v>
      </c>
      <c r="B4548" s="1205" t="s">
        <v>65563</v>
      </c>
      <c r="C4548" s="1205">
        <v>413.49</v>
      </c>
    </row>
    <row r="4549" spans="1:3" ht="24" customHeight="1">
      <c r="A4549" s="1205" t="s">
        <v>65562</v>
      </c>
      <c r="B4549" s="1205" t="s">
        <v>65561</v>
      </c>
      <c r="C4549" s="1205">
        <v>481.99</v>
      </c>
    </row>
    <row r="4550" spans="1:3" ht="24" customHeight="1">
      <c r="A4550" s="1205" t="s">
        <v>65560</v>
      </c>
      <c r="B4550" s="1205" t="s">
        <v>65559</v>
      </c>
      <c r="C4550" s="1205">
        <v>401.99</v>
      </c>
    </row>
    <row r="4551" spans="1:3" ht="24" customHeight="1">
      <c r="A4551" s="1205" t="s">
        <v>65558</v>
      </c>
      <c r="B4551" s="1205" t="s">
        <v>65557</v>
      </c>
      <c r="C4551" s="1205">
        <v>356.99</v>
      </c>
    </row>
    <row r="4552" spans="1:3" ht="24" customHeight="1">
      <c r="A4552" s="1205" t="s">
        <v>65556</v>
      </c>
      <c r="B4552" s="1205" t="s">
        <v>65555</v>
      </c>
      <c r="C4552" s="1205">
        <v>148.99</v>
      </c>
    </row>
    <row r="4553" spans="1:3" ht="24" customHeight="1">
      <c r="A4553" s="1205" t="s">
        <v>65554</v>
      </c>
      <c r="B4553" s="1205" t="s">
        <v>65553</v>
      </c>
      <c r="C4553" s="1205">
        <v>389.99</v>
      </c>
    </row>
    <row r="4554" spans="1:3" ht="24" customHeight="1">
      <c r="A4554" s="1205" t="s">
        <v>65552</v>
      </c>
      <c r="B4554" s="1205" t="s">
        <v>65551</v>
      </c>
      <c r="C4554" s="1205">
        <v>34.49</v>
      </c>
    </row>
    <row r="4555" spans="1:3" ht="24" customHeight="1">
      <c r="A4555" s="1205" t="s">
        <v>65550</v>
      </c>
      <c r="B4555" s="1205" t="s">
        <v>65549</v>
      </c>
      <c r="C4555" s="1205">
        <v>274.99</v>
      </c>
    </row>
    <row r="4556" spans="1:3" ht="24" customHeight="1">
      <c r="A4556" s="1205" t="s">
        <v>65548</v>
      </c>
      <c r="B4556" s="1205" t="s">
        <v>65547</v>
      </c>
      <c r="C4556" s="1205">
        <v>105.99</v>
      </c>
    </row>
    <row r="4557" spans="1:3" ht="24" customHeight="1">
      <c r="A4557" s="1205" t="s">
        <v>65546</v>
      </c>
      <c r="B4557" s="1205" t="s">
        <v>65545</v>
      </c>
      <c r="C4557" s="1205">
        <v>346.99</v>
      </c>
    </row>
    <row r="4558" spans="1:3" ht="24" customHeight="1">
      <c r="A4558" s="1205" t="s">
        <v>65544</v>
      </c>
      <c r="B4558" s="1205" t="s">
        <v>65543</v>
      </c>
      <c r="C4558" s="1205">
        <v>79.489999999999995</v>
      </c>
    </row>
    <row r="4559" spans="1:3" ht="24" customHeight="1">
      <c r="A4559" s="1205" t="s">
        <v>65542</v>
      </c>
      <c r="B4559" s="1205" t="s">
        <v>65541</v>
      </c>
      <c r="C4559" s="1205">
        <v>319.99</v>
      </c>
    </row>
    <row r="4560" spans="1:3" ht="24" customHeight="1">
      <c r="A4560" s="1205" t="s">
        <v>65540</v>
      </c>
      <c r="B4560" s="1205" t="s">
        <v>65539</v>
      </c>
      <c r="C4560" s="1205">
        <v>55.99</v>
      </c>
    </row>
    <row r="4561" spans="1:3" ht="24" customHeight="1">
      <c r="A4561" s="1205" t="s">
        <v>65538</v>
      </c>
      <c r="B4561" s="1205" t="s">
        <v>65537</v>
      </c>
      <c r="C4561" s="1205">
        <v>268.49</v>
      </c>
    </row>
    <row r="4562" spans="1:3" ht="24" customHeight="1">
      <c r="A4562" s="1205" t="s">
        <v>65536</v>
      </c>
      <c r="B4562" s="1205" t="s">
        <v>65535</v>
      </c>
      <c r="C4562" s="1205">
        <v>68.989999999999995</v>
      </c>
    </row>
    <row r="4563" spans="1:3" ht="24" customHeight="1">
      <c r="A4563" s="1205" t="s">
        <v>65534</v>
      </c>
      <c r="B4563" s="1205" t="s">
        <v>65533</v>
      </c>
      <c r="C4563" s="1205">
        <v>297.49</v>
      </c>
    </row>
    <row r="4564" spans="1:3" ht="24" customHeight="1">
      <c r="A4564" s="1205" t="s">
        <v>65532</v>
      </c>
      <c r="B4564" s="1205" t="s">
        <v>65531</v>
      </c>
      <c r="C4564" s="1205">
        <v>78.489999999999995</v>
      </c>
    </row>
    <row r="4565" spans="1:3" ht="24" customHeight="1">
      <c r="A4565" s="1205" t="s">
        <v>65530</v>
      </c>
      <c r="B4565" s="1205" t="s">
        <v>65529</v>
      </c>
      <c r="C4565" s="1205">
        <v>321.49</v>
      </c>
    </row>
    <row r="4566" spans="1:3" ht="24" customHeight="1">
      <c r="A4566" s="1205" t="s">
        <v>65528</v>
      </c>
      <c r="B4566" s="1205" t="s">
        <v>65527</v>
      </c>
      <c r="C4566" s="1205">
        <v>104.99</v>
      </c>
    </row>
    <row r="4567" spans="1:3" ht="24" customHeight="1">
      <c r="A4567" s="1205" t="s">
        <v>65526</v>
      </c>
      <c r="B4567" s="1205" t="s">
        <v>65525</v>
      </c>
      <c r="C4567" s="1205">
        <v>144.99</v>
      </c>
    </row>
    <row r="4568" spans="1:3" ht="24" customHeight="1">
      <c r="A4568" s="1205" t="s">
        <v>65524</v>
      </c>
      <c r="B4568" s="1205" t="s">
        <v>65523</v>
      </c>
      <c r="C4568" s="1205">
        <v>284.99</v>
      </c>
    </row>
    <row r="4569" spans="1:3" ht="24" customHeight="1">
      <c r="A4569" s="1205" t="s">
        <v>65522</v>
      </c>
      <c r="B4569" s="1205" t="s">
        <v>65520</v>
      </c>
      <c r="C4569" s="1205">
        <v>385.49</v>
      </c>
    </row>
    <row r="4570" spans="1:3" ht="24" customHeight="1">
      <c r="A4570" s="1205" t="s">
        <v>65521</v>
      </c>
      <c r="B4570" s="1205" t="s">
        <v>65520</v>
      </c>
      <c r="C4570" s="1205">
        <v>381.49</v>
      </c>
    </row>
    <row r="4571" spans="1:3" ht="24" customHeight="1">
      <c r="A4571" s="1205" t="s">
        <v>65519</v>
      </c>
      <c r="B4571" s="1205" t="s">
        <v>65518</v>
      </c>
      <c r="C4571" s="1205">
        <v>305.99</v>
      </c>
    </row>
    <row r="4572" spans="1:3" ht="24" customHeight="1">
      <c r="A4572" s="1205" t="s">
        <v>65517</v>
      </c>
      <c r="B4572" s="1205" t="s">
        <v>65516</v>
      </c>
      <c r="C4572" s="1205">
        <v>62.49</v>
      </c>
    </row>
    <row r="4573" spans="1:3" ht="24" customHeight="1">
      <c r="A4573" s="1205" t="s">
        <v>65515</v>
      </c>
      <c r="B4573" s="1205" t="s">
        <v>65514</v>
      </c>
      <c r="C4573" s="1205">
        <v>345.49</v>
      </c>
    </row>
    <row r="4574" spans="1:3" ht="24" customHeight="1">
      <c r="A4574" s="1205" t="s">
        <v>65513</v>
      </c>
      <c r="B4574" s="1205" t="s">
        <v>65512</v>
      </c>
      <c r="C4574" s="1205">
        <v>135.49</v>
      </c>
    </row>
    <row r="4575" spans="1:3" ht="24" customHeight="1">
      <c r="A4575" s="1205" t="s">
        <v>65511</v>
      </c>
      <c r="B4575" s="1205" t="s">
        <v>65510</v>
      </c>
      <c r="C4575" s="1205">
        <v>376.49</v>
      </c>
    </row>
    <row r="4576" spans="1:3" ht="24" customHeight="1">
      <c r="A4576" s="1205" t="s">
        <v>65509</v>
      </c>
      <c r="B4576" s="1205" t="s">
        <v>65508</v>
      </c>
      <c r="C4576" s="1205">
        <v>207.99</v>
      </c>
    </row>
    <row r="4577" spans="1:3" ht="24" customHeight="1">
      <c r="A4577" s="1205" t="s">
        <v>65507</v>
      </c>
      <c r="B4577" s="1205" t="s">
        <v>65506</v>
      </c>
      <c r="C4577" s="1205">
        <v>125.49</v>
      </c>
    </row>
    <row r="4578" spans="1:3" ht="24" customHeight="1">
      <c r="A4578" s="1205" t="s">
        <v>65505</v>
      </c>
      <c r="B4578" s="1205" t="s">
        <v>65504</v>
      </c>
      <c r="C4578" s="1205">
        <v>448.99</v>
      </c>
    </row>
    <row r="4579" spans="1:3" ht="24" customHeight="1">
      <c r="A4579" s="1205" t="s">
        <v>65503</v>
      </c>
      <c r="B4579" s="1205" t="s">
        <v>65502</v>
      </c>
      <c r="C4579" s="1205">
        <v>527.99</v>
      </c>
    </row>
    <row r="4580" spans="1:3" ht="24" customHeight="1">
      <c r="A4580" s="1205" t="s">
        <v>65501</v>
      </c>
      <c r="B4580" s="1205" t="s">
        <v>65500</v>
      </c>
      <c r="C4580" s="1205">
        <v>525.99</v>
      </c>
    </row>
    <row r="4581" spans="1:3" ht="24" customHeight="1">
      <c r="A4581" s="1205" t="s">
        <v>65499</v>
      </c>
      <c r="B4581" s="1205" t="s">
        <v>65497</v>
      </c>
      <c r="C4581" s="1205">
        <v>47.49</v>
      </c>
    </row>
    <row r="4582" spans="1:3" ht="24" customHeight="1">
      <c r="A4582" s="1205" t="s">
        <v>65498</v>
      </c>
      <c r="B4582" s="1205" t="s">
        <v>65497</v>
      </c>
      <c r="C4582" s="1205">
        <v>259.99</v>
      </c>
    </row>
    <row r="4583" spans="1:3" ht="24" customHeight="1">
      <c r="A4583" s="1205" t="s">
        <v>65496</v>
      </c>
      <c r="B4583" s="1205" t="s">
        <v>65495</v>
      </c>
      <c r="C4583" s="1205">
        <v>281.49</v>
      </c>
    </row>
    <row r="4584" spans="1:3" ht="24" customHeight="1">
      <c r="A4584" s="1205" t="s">
        <v>65494</v>
      </c>
      <c r="B4584" s="1205" t="s">
        <v>65493</v>
      </c>
      <c r="C4584" s="1205">
        <v>249.99</v>
      </c>
    </row>
    <row r="4585" spans="1:3" ht="24" customHeight="1">
      <c r="A4585" s="1205" t="s">
        <v>65492</v>
      </c>
      <c r="B4585" s="1205" t="s">
        <v>65491</v>
      </c>
      <c r="C4585" s="1205">
        <v>490.99</v>
      </c>
    </row>
    <row r="4586" spans="1:3" ht="24" customHeight="1">
      <c r="A4586" s="1205" t="s">
        <v>65490</v>
      </c>
      <c r="B4586" s="1205" t="s">
        <v>65489</v>
      </c>
      <c r="C4586" s="1205">
        <v>36.49</v>
      </c>
    </row>
    <row r="4587" spans="1:3" ht="24" customHeight="1">
      <c r="A4587" s="1205" t="s">
        <v>65488</v>
      </c>
      <c r="B4587" s="1205" t="s">
        <v>65487</v>
      </c>
      <c r="C4587" s="1205">
        <v>42.99</v>
      </c>
    </row>
    <row r="4588" spans="1:3" ht="24" customHeight="1">
      <c r="A4588" s="1205" t="s">
        <v>65486</v>
      </c>
      <c r="B4588" s="1205" t="s">
        <v>65485</v>
      </c>
      <c r="C4588" s="1205">
        <v>255.49</v>
      </c>
    </row>
    <row r="4589" spans="1:3" ht="24" customHeight="1">
      <c r="A4589" s="1205" t="s">
        <v>65484</v>
      </c>
      <c r="B4589" s="1205" t="s">
        <v>65483</v>
      </c>
      <c r="C4589" s="1205">
        <v>125.99</v>
      </c>
    </row>
    <row r="4590" spans="1:3" ht="24" customHeight="1">
      <c r="A4590" s="1205" t="s">
        <v>65482</v>
      </c>
      <c r="B4590" s="1205" t="s">
        <v>65481</v>
      </c>
      <c r="C4590" s="1205">
        <v>366.99</v>
      </c>
    </row>
    <row r="4591" spans="1:3" ht="24" customHeight="1">
      <c r="A4591" s="1205" t="s">
        <v>65480</v>
      </c>
      <c r="B4591" s="1205" t="s">
        <v>65479</v>
      </c>
      <c r="C4591" s="1205">
        <v>434.99</v>
      </c>
    </row>
    <row r="4592" spans="1:3" ht="24" customHeight="1">
      <c r="A4592" s="1205" t="s">
        <v>65478</v>
      </c>
      <c r="B4592" s="1205" t="s">
        <v>65477</v>
      </c>
      <c r="C4592" s="1205">
        <v>286.99</v>
      </c>
    </row>
    <row r="4593" spans="1:3" ht="24" customHeight="1">
      <c r="A4593" s="1205" t="s">
        <v>65476</v>
      </c>
      <c r="B4593" s="1205" t="s">
        <v>65475</v>
      </c>
      <c r="C4593" s="1205">
        <v>314.99</v>
      </c>
    </row>
    <row r="4594" spans="1:3" ht="24" customHeight="1">
      <c r="A4594" s="1205" t="s">
        <v>65474</v>
      </c>
      <c r="B4594" s="1205" t="s">
        <v>65473</v>
      </c>
      <c r="C4594" s="1205">
        <v>386.49</v>
      </c>
    </row>
    <row r="4595" spans="1:3" ht="24" customHeight="1">
      <c r="A4595" s="1205" t="s">
        <v>65472</v>
      </c>
      <c r="B4595" s="1205" t="s">
        <v>65471</v>
      </c>
      <c r="C4595" s="1205">
        <v>71.989999999999995</v>
      </c>
    </row>
    <row r="4596" spans="1:3" ht="24" customHeight="1">
      <c r="A4596" s="1205" t="s">
        <v>65470</v>
      </c>
      <c r="B4596" s="1205" t="s">
        <v>65469</v>
      </c>
      <c r="C4596" s="1205">
        <v>67.989999999999995</v>
      </c>
    </row>
    <row r="4597" spans="1:3" ht="24" customHeight="1">
      <c r="A4597" s="1205" t="s">
        <v>65468</v>
      </c>
      <c r="B4597" s="1205" t="s">
        <v>65467</v>
      </c>
      <c r="C4597" s="1205">
        <v>312.49</v>
      </c>
    </row>
    <row r="4598" spans="1:3" ht="24" customHeight="1">
      <c r="A4598" s="1205" t="s">
        <v>65466</v>
      </c>
      <c r="B4598" s="1205" t="s">
        <v>65465</v>
      </c>
      <c r="C4598" s="1205">
        <v>232.49</v>
      </c>
    </row>
    <row r="4599" spans="1:3" ht="24" customHeight="1">
      <c r="A4599" s="1205" t="s">
        <v>65464</v>
      </c>
      <c r="B4599" s="1205" t="s">
        <v>65463</v>
      </c>
      <c r="C4599" s="1205">
        <v>312.99</v>
      </c>
    </row>
    <row r="4600" spans="1:3" ht="24" customHeight="1">
      <c r="A4600" s="1205" t="s">
        <v>65462</v>
      </c>
      <c r="B4600" s="1205" t="s">
        <v>65461</v>
      </c>
      <c r="C4600" s="1205">
        <v>65.989999999999995</v>
      </c>
    </row>
    <row r="4601" spans="1:3" ht="24" customHeight="1">
      <c r="A4601" s="1205" t="s">
        <v>65460</v>
      </c>
      <c r="B4601" s="1205" t="s">
        <v>65459</v>
      </c>
      <c r="C4601" s="1205">
        <v>314.49</v>
      </c>
    </row>
    <row r="4602" spans="1:3" ht="24" customHeight="1">
      <c r="A4602" s="1205" t="s">
        <v>65458</v>
      </c>
      <c r="B4602" s="1205" t="s">
        <v>65457</v>
      </c>
      <c r="C4602" s="1205">
        <v>324.99</v>
      </c>
    </row>
    <row r="4603" spans="1:3" ht="24" customHeight="1">
      <c r="A4603" s="1205" t="s">
        <v>65456</v>
      </c>
      <c r="B4603" s="1205" t="s">
        <v>65455</v>
      </c>
      <c r="C4603" s="1205">
        <v>260.99</v>
      </c>
    </row>
    <row r="4604" spans="1:3" ht="24" customHeight="1">
      <c r="A4604" s="1205" t="s">
        <v>65454</v>
      </c>
      <c r="B4604" s="1205" t="s">
        <v>65453</v>
      </c>
      <c r="C4604" s="1205">
        <v>473.49</v>
      </c>
    </row>
    <row r="4605" spans="1:3" ht="24" customHeight="1">
      <c r="A4605" s="1205" t="s">
        <v>65452</v>
      </c>
      <c r="B4605" s="1205" t="s">
        <v>65451</v>
      </c>
      <c r="C4605" s="1205">
        <v>127.49</v>
      </c>
    </row>
    <row r="4606" spans="1:3" ht="24" customHeight="1">
      <c r="A4606" s="1205" t="s">
        <v>65450</v>
      </c>
      <c r="B4606" s="1205" t="s">
        <v>65449</v>
      </c>
      <c r="C4606" s="1205">
        <v>365.49</v>
      </c>
    </row>
    <row r="4607" spans="1:3" ht="24" customHeight="1">
      <c r="A4607" s="1205" t="s">
        <v>65448</v>
      </c>
      <c r="B4607" s="1205" t="s">
        <v>65447</v>
      </c>
      <c r="C4607" s="1205">
        <v>122.99</v>
      </c>
    </row>
    <row r="4608" spans="1:3" ht="24" customHeight="1">
      <c r="A4608" s="1205" t="s">
        <v>65446</v>
      </c>
      <c r="B4608" s="1205" t="s">
        <v>65445</v>
      </c>
      <c r="C4608" s="1205">
        <v>405.49</v>
      </c>
    </row>
    <row r="4609" spans="1:3" ht="24" customHeight="1">
      <c r="A4609" s="1205" t="s">
        <v>65444</v>
      </c>
      <c r="B4609" s="1205" t="s">
        <v>65443</v>
      </c>
      <c r="C4609" s="1205">
        <v>332.49</v>
      </c>
    </row>
    <row r="4610" spans="1:3" ht="24" customHeight="1">
      <c r="A4610" s="1205" t="s">
        <v>65442</v>
      </c>
      <c r="B4610" s="1205" t="s">
        <v>65440</v>
      </c>
      <c r="C4610" s="1205">
        <v>245.99</v>
      </c>
    </row>
    <row r="4611" spans="1:3" ht="24" customHeight="1">
      <c r="A4611" s="1205" t="s">
        <v>65441</v>
      </c>
      <c r="B4611" s="1205" t="s">
        <v>65440</v>
      </c>
      <c r="C4611" s="1205">
        <v>163.49</v>
      </c>
    </row>
    <row r="4612" spans="1:3" ht="24" customHeight="1">
      <c r="A4612" s="1205" t="s">
        <v>65439</v>
      </c>
      <c r="B4612" s="1205" t="s">
        <v>65438</v>
      </c>
      <c r="C4612" s="1205">
        <v>486.99</v>
      </c>
    </row>
    <row r="4613" spans="1:3" ht="24" customHeight="1">
      <c r="A4613" s="1205" t="s">
        <v>65437</v>
      </c>
      <c r="B4613" s="1205" t="s">
        <v>65436</v>
      </c>
      <c r="C4613" s="1205">
        <v>406.99</v>
      </c>
    </row>
    <row r="4614" spans="1:3" ht="24" customHeight="1">
      <c r="A4614" s="1205" t="s">
        <v>65435</v>
      </c>
      <c r="B4614" s="1205" t="s">
        <v>65434</v>
      </c>
      <c r="C4614" s="1205">
        <v>35.99</v>
      </c>
    </row>
    <row r="4615" spans="1:3" ht="24" customHeight="1">
      <c r="A4615" s="1205" t="s">
        <v>65433</v>
      </c>
      <c r="B4615" s="1205" t="s">
        <v>65432</v>
      </c>
      <c r="C4615" s="1205">
        <v>287.49</v>
      </c>
    </row>
    <row r="4616" spans="1:3" ht="24" customHeight="1">
      <c r="A4616" s="1205" t="s">
        <v>65431</v>
      </c>
      <c r="B4616" s="1205" t="s">
        <v>65430</v>
      </c>
      <c r="C4616" s="1205">
        <v>207.49</v>
      </c>
    </row>
    <row r="4617" spans="1:3" ht="24" customHeight="1">
      <c r="A4617" s="1205" t="s">
        <v>65429</v>
      </c>
      <c r="B4617" s="1205" t="s">
        <v>65428</v>
      </c>
      <c r="C4617" s="1205">
        <v>68.989999999999995</v>
      </c>
    </row>
    <row r="4618" spans="1:3" ht="24" customHeight="1">
      <c r="A4618" s="1205" t="s">
        <v>65427</v>
      </c>
      <c r="B4618" s="1205" t="s">
        <v>65426</v>
      </c>
      <c r="C4618" s="1205">
        <v>227.49</v>
      </c>
    </row>
    <row r="4619" spans="1:3" ht="24" customHeight="1">
      <c r="A4619" s="1205" t="s">
        <v>65425</v>
      </c>
      <c r="B4619" s="1205" t="s">
        <v>65424</v>
      </c>
      <c r="C4619" s="1205">
        <v>313.49</v>
      </c>
    </row>
    <row r="4620" spans="1:3" ht="24" customHeight="1">
      <c r="A4620" s="1205" t="s">
        <v>65423</v>
      </c>
      <c r="B4620" s="1205" t="s">
        <v>65422</v>
      </c>
      <c r="C4620" s="1205">
        <v>233.99</v>
      </c>
    </row>
    <row r="4621" spans="1:3" ht="24" customHeight="1">
      <c r="A4621" s="1205" t="s">
        <v>65421</v>
      </c>
      <c r="B4621" s="1205" t="s">
        <v>65420</v>
      </c>
      <c r="C4621" s="1205">
        <v>308.49</v>
      </c>
    </row>
    <row r="4622" spans="1:3" ht="24" customHeight="1">
      <c r="A4622" s="1205" t="s">
        <v>65419</v>
      </c>
      <c r="B4622" s="1205" t="s">
        <v>65418</v>
      </c>
      <c r="C4622" s="1205">
        <v>372.49</v>
      </c>
    </row>
    <row r="4623" spans="1:3" ht="24" customHeight="1">
      <c r="A4623" s="1205" t="s">
        <v>65417</v>
      </c>
      <c r="B4623" s="1205" t="s">
        <v>65416</v>
      </c>
      <c r="C4623" s="1205">
        <v>370.99</v>
      </c>
    </row>
    <row r="4624" spans="1:3" ht="24" customHeight="1">
      <c r="A4624" s="1205" t="s">
        <v>65415</v>
      </c>
      <c r="B4624" s="1205" t="s">
        <v>65414</v>
      </c>
      <c r="C4624" s="1205">
        <v>96.49</v>
      </c>
    </row>
    <row r="4625" spans="1:3" ht="24" customHeight="1">
      <c r="A4625" s="1205" t="s">
        <v>65413</v>
      </c>
      <c r="B4625" s="1205" t="s">
        <v>65412</v>
      </c>
      <c r="C4625" s="1205">
        <v>97.99</v>
      </c>
    </row>
    <row r="4626" spans="1:3" ht="24" customHeight="1">
      <c r="A4626" s="1205" t="s">
        <v>65411</v>
      </c>
      <c r="B4626" s="1205" t="s">
        <v>65410</v>
      </c>
      <c r="C4626" s="1205">
        <v>310.49</v>
      </c>
    </row>
    <row r="4627" spans="1:3" ht="24" customHeight="1">
      <c r="A4627" s="1205" t="s">
        <v>65409</v>
      </c>
      <c r="B4627" s="1205" t="s">
        <v>65408</v>
      </c>
      <c r="C4627" s="1205">
        <v>219.99</v>
      </c>
    </row>
    <row r="4628" spans="1:3" ht="24" customHeight="1">
      <c r="A4628" s="1205" t="s">
        <v>65407</v>
      </c>
      <c r="B4628" s="1205" t="s">
        <v>65406</v>
      </c>
      <c r="C4628" s="1205">
        <v>2297.4899999999998</v>
      </c>
    </row>
    <row r="4629" spans="1:3" ht="24" customHeight="1">
      <c r="A4629" s="1205" t="s">
        <v>65405</v>
      </c>
      <c r="B4629" s="1205" t="s">
        <v>65404</v>
      </c>
      <c r="C4629" s="1205">
        <v>309.49</v>
      </c>
    </row>
    <row r="4630" spans="1:3" ht="24" customHeight="1">
      <c r="A4630" s="1205" t="s">
        <v>65403</v>
      </c>
      <c r="B4630" s="1205" t="s">
        <v>65402</v>
      </c>
      <c r="C4630" s="1205">
        <v>238.99</v>
      </c>
    </row>
    <row r="4631" spans="1:3" ht="24" customHeight="1">
      <c r="A4631" s="1205" t="s">
        <v>65401</v>
      </c>
      <c r="B4631" s="1205" t="s">
        <v>65400</v>
      </c>
      <c r="C4631" s="1205">
        <v>380.49</v>
      </c>
    </row>
    <row r="4632" spans="1:3" ht="24" customHeight="1">
      <c r="A4632" s="1205" t="s">
        <v>65399</v>
      </c>
      <c r="B4632" s="1205" t="s">
        <v>65398</v>
      </c>
      <c r="C4632" s="1205">
        <v>378.49</v>
      </c>
    </row>
    <row r="4633" spans="1:3" ht="24" customHeight="1">
      <c r="A4633" s="1205" t="s">
        <v>65397</v>
      </c>
      <c r="B4633" s="1205" t="s">
        <v>65396</v>
      </c>
      <c r="C4633" s="1205">
        <v>180.49</v>
      </c>
    </row>
    <row r="4634" spans="1:3" ht="24" customHeight="1">
      <c r="A4634" s="1205" t="s">
        <v>65395</v>
      </c>
      <c r="B4634" s="1205" t="s">
        <v>65394</v>
      </c>
      <c r="C4634" s="1205">
        <v>101.49</v>
      </c>
    </row>
    <row r="4635" spans="1:3" ht="24" customHeight="1">
      <c r="A4635" s="1205" t="s">
        <v>65393</v>
      </c>
      <c r="B4635" s="1205" t="s">
        <v>65392</v>
      </c>
      <c r="C4635" s="1205">
        <v>82.99</v>
      </c>
    </row>
    <row r="4636" spans="1:3" ht="24" customHeight="1">
      <c r="A4636" s="1205" t="s">
        <v>65391</v>
      </c>
      <c r="B4636" s="1205" t="s">
        <v>65390</v>
      </c>
      <c r="C4636" s="1205">
        <v>78.989999999999995</v>
      </c>
    </row>
    <row r="4637" spans="1:3" ht="24" customHeight="1">
      <c r="A4637" s="1205" t="s">
        <v>65389</v>
      </c>
      <c r="B4637" s="1205" t="s">
        <v>65388</v>
      </c>
      <c r="C4637" s="1205">
        <v>336.49</v>
      </c>
    </row>
    <row r="4638" spans="1:3" ht="24" customHeight="1">
      <c r="A4638" s="1205" t="s">
        <v>65387</v>
      </c>
      <c r="B4638" s="1205" t="s">
        <v>65386</v>
      </c>
      <c r="C4638" s="1205">
        <v>327.49</v>
      </c>
    </row>
    <row r="4639" spans="1:3" ht="24" customHeight="1">
      <c r="A4639" s="1205" t="s">
        <v>65385</v>
      </c>
      <c r="B4639" s="1205" t="s">
        <v>65384</v>
      </c>
      <c r="C4639" s="1205">
        <v>247.49</v>
      </c>
    </row>
    <row r="4640" spans="1:3" ht="24" customHeight="1">
      <c r="A4640" s="1205" t="s">
        <v>65383</v>
      </c>
      <c r="B4640" s="1205" t="s">
        <v>65382</v>
      </c>
      <c r="C4640" s="1205">
        <v>75.489999999999995</v>
      </c>
    </row>
    <row r="4641" spans="1:3" ht="24" customHeight="1">
      <c r="A4641" s="1205" t="s">
        <v>65381</v>
      </c>
      <c r="B4641" s="1205" t="s">
        <v>65380</v>
      </c>
      <c r="C4641" s="1205">
        <v>252.99</v>
      </c>
    </row>
    <row r="4642" spans="1:3" ht="24" customHeight="1">
      <c r="A4642" s="1205" t="s">
        <v>65379</v>
      </c>
      <c r="B4642" s="1205" t="s">
        <v>65378</v>
      </c>
      <c r="C4642" s="1205">
        <v>339.99</v>
      </c>
    </row>
    <row r="4643" spans="1:3" ht="24" customHeight="1">
      <c r="A4643" s="1205" t="s">
        <v>65377</v>
      </c>
      <c r="B4643" s="1205" t="s">
        <v>65376</v>
      </c>
      <c r="C4643" s="1205">
        <v>260.49</v>
      </c>
    </row>
    <row r="4644" spans="1:3" ht="24" customHeight="1">
      <c r="A4644" s="1205" t="s">
        <v>65375</v>
      </c>
      <c r="B4644" s="1205" t="s">
        <v>65374</v>
      </c>
      <c r="C4644" s="1205">
        <v>58.49</v>
      </c>
    </row>
    <row r="4645" spans="1:3" ht="24" customHeight="1">
      <c r="A4645" s="1205" t="s">
        <v>65373</v>
      </c>
      <c r="B4645" s="1205" t="s">
        <v>65372</v>
      </c>
      <c r="C4645" s="1205">
        <v>323.99</v>
      </c>
    </row>
    <row r="4646" spans="1:3" ht="24" customHeight="1">
      <c r="A4646" s="1205" t="s">
        <v>65371</v>
      </c>
      <c r="B4646" s="1205" t="s">
        <v>65370</v>
      </c>
      <c r="C4646" s="1205">
        <v>230.99</v>
      </c>
    </row>
    <row r="4647" spans="1:3" ht="24" customHeight="1">
      <c r="A4647" s="1205" t="s">
        <v>65369</v>
      </c>
      <c r="B4647" s="1205" t="s">
        <v>65368</v>
      </c>
      <c r="C4647" s="1205">
        <v>82.99</v>
      </c>
    </row>
    <row r="4648" spans="1:3" ht="24" customHeight="1">
      <c r="A4648" s="1205" t="s">
        <v>65367</v>
      </c>
      <c r="B4648" s="1205" t="s">
        <v>65366</v>
      </c>
      <c r="C4648" s="1205">
        <v>83.49</v>
      </c>
    </row>
    <row r="4649" spans="1:3" ht="24" customHeight="1">
      <c r="A4649" s="1205" t="s">
        <v>65365</v>
      </c>
      <c r="B4649" s="1205" t="s">
        <v>65364</v>
      </c>
      <c r="C4649" s="1205">
        <v>268.49</v>
      </c>
    </row>
    <row r="4650" spans="1:3" ht="24" customHeight="1">
      <c r="A4650" s="1205" t="s">
        <v>65363</v>
      </c>
      <c r="B4650" s="1205" t="s">
        <v>65361</v>
      </c>
      <c r="C4650" s="1205">
        <v>327.99</v>
      </c>
    </row>
    <row r="4651" spans="1:3" ht="24" customHeight="1">
      <c r="A4651" s="1205" t="s">
        <v>65362</v>
      </c>
      <c r="B4651" s="1205" t="s">
        <v>65361</v>
      </c>
      <c r="C4651" s="1205">
        <v>324.49</v>
      </c>
    </row>
    <row r="4652" spans="1:3" ht="24" customHeight="1">
      <c r="A4652" s="1205" t="s">
        <v>65360</v>
      </c>
      <c r="B4652" s="1205" t="s">
        <v>65359</v>
      </c>
      <c r="C4652" s="1205">
        <v>138.49</v>
      </c>
    </row>
    <row r="4653" spans="1:3" ht="24" customHeight="1">
      <c r="A4653" s="1205" t="s">
        <v>65358</v>
      </c>
      <c r="B4653" s="1205" t="s">
        <v>65357</v>
      </c>
      <c r="C4653" s="1205">
        <v>116.99</v>
      </c>
    </row>
    <row r="4654" spans="1:3" ht="24" customHeight="1">
      <c r="A4654" s="1205" t="s">
        <v>65356</v>
      </c>
      <c r="B4654" s="1205" t="s">
        <v>65355</v>
      </c>
      <c r="C4654" s="1205">
        <v>147.99</v>
      </c>
    </row>
    <row r="4655" spans="1:3" ht="24" customHeight="1">
      <c r="A4655" s="1205" t="s">
        <v>65354</v>
      </c>
      <c r="B4655" s="1205" t="s">
        <v>65353</v>
      </c>
      <c r="C4655" s="1205">
        <v>87.99</v>
      </c>
    </row>
    <row r="4656" spans="1:3" ht="24" customHeight="1">
      <c r="A4656" s="1205" t="s">
        <v>65352</v>
      </c>
      <c r="B4656" s="1205" t="s">
        <v>65351</v>
      </c>
      <c r="C4656" s="1205">
        <v>85.49</v>
      </c>
    </row>
    <row r="4657" spans="1:3" ht="24" customHeight="1">
      <c r="A4657" s="1205" t="s">
        <v>65350</v>
      </c>
      <c r="B4657" s="1205" t="s">
        <v>65349</v>
      </c>
      <c r="C4657" s="1205">
        <v>231.99</v>
      </c>
    </row>
    <row r="4658" spans="1:3" ht="24" customHeight="1">
      <c r="A4658" s="1205" t="s">
        <v>65348</v>
      </c>
      <c r="B4658" s="1205" t="s">
        <v>65347</v>
      </c>
      <c r="C4658" s="1205">
        <v>254.49</v>
      </c>
    </row>
    <row r="4659" spans="1:3" ht="24" customHeight="1">
      <c r="A4659" s="1205" t="s">
        <v>65346</v>
      </c>
      <c r="B4659" s="1205" t="s">
        <v>65345</v>
      </c>
      <c r="C4659" s="1205">
        <v>414.99</v>
      </c>
    </row>
    <row r="4660" spans="1:3" ht="24" customHeight="1">
      <c r="A4660" s="1205" t="s">
        <v>65344</v>
      </c>
      <c r="B4660" s="1205" t="s">
        <v>65338</v>
      </c>
      <c r="C4660" s="1205">
        <v>337.99</v>
      </c>
    </row>
    <row r="4661" spans="1:3" ht="24" customHeight="1">
      <c r="A4661" s="1205" t="s">
        <v>65343</v>
      </c>
      <c r="B4661" s="1205" t="s">
        <v>65342</v>
      </c>
      <c r="C4661" s="1205">
        <v>218.49</v>
      </c>
    </row>
    <row r="4662" spans="1:3" ht="24" customHeight="1">
      <c r="A4662" s="1205" t="s">
        <v>65341</v>
      </c>
      <c r="B4662" s="1205" t="s">
        <v>65340</v>
      </c>
      <c r="C4662" s="1205">
        <v>240.49</v>
      </c>
    </row>
    <row r="4663" spans="1:3" ht="24" customHeight="1">
      <c r="A4663" s="1205" t="s">
        <v>65339</v>
      </c>
      <c r="B4663" s="1205" t="s">
        <v>65338</v>
      </c>
      <c r="C4663" s="1205">
        <v>294.99</v>
      </c>
    </row>
    <row r="4664" spans="1:3" ht="24" customHeight="1">
      <c r="A4664" s="1205" t="s">
        <v>65337</v>
      </c>
      <c r="B4664" s="1205" t="s">
        <v>65336</v>
      </c>
      <c r="C4664" s="1205">
        <v>312.99</v>
      </c>
    </row>
    <row r="4665" spans="1:3" ht="24" customHeight="1">
      <c r="A4665" s="1205" t="s">
        <v>65335</v>
      </c>
      <c r="B4665" s="1205" t="s">
        <v>65334</v>
      </c>
      <c r="C4665" s="1205">
        <v>72.989999999999995</v>
      </c>
    </row>
    <row r="4666" spans="1:3" ht="24" customHeight="1">
      <c r="A4666" s="1205" t="s">
        <v>65333</v>
      </c>
      <c r="B4666" s="1205" t="s">
        <v>65332</v>
      </c>
      <c r="C4666" s="1205">
        <v>219.99</v>
      </c>
    </row>
    <row r="4667" spans="1:3" ht="24" customHeight="1">
      <c r="A4667" s="1205" t="s">
        <v>65331</v>
      </c>
      <c r="B4667" s="1205" t="s">
        <v>65330</v>
      </c>
      <c r="C4667" s="1205">
        <v>285.49</v>
      </c>
    </row>
    <row r="4668" spans="1:3" ht="24" customHeight="1">
      <c r="A4668" s="1205" t="s">
        <v>65329</v>
      </c>
      <c r="B4668" s="1205" t="s">
        <v>65328</v>
      </c>
      <c r="C4668" s="1205">
        <v>280.99</v>
      </c>
    </row>
    <row r="4669" spans="1:3" ht="24" customHeight="1">
      <c r="A4669" s="1205" t="s">
        <v>65327</v>
      </c>
      <c r="B4669" s="1205" t="s">
        <v>65325</v>
      </c>
      <c r="C4669" s="1205">
        <v>39.49</v>
      </c>
    </row>
    <row r="4670" spans="1:3" ht="24" customHeight="1">
      <c r="A4670" s="1205" t="s">
        <v>65326</v>
      </c>
      <c r="B4670" s="1205" t="s">
        <v>65325</v>
      </c>
      <c r="C4670" s="1205">
        <v>280.49</v>
      </c>
    </row>
    <row r="4671" spans="1:3" ht="24" customHeight="1">
      <c r="A4671" s="1205" t="s">
        <v>65324</v>
      </c>
      <c r="B4671" s="1205" t="s">
        <v>65322</v>
      </c>
      <c r="C4671" s="1205">
        <v>69.489999999999995</v>
      </c>
    </row>
    <row r="4672" spans="1:3" ht="24" customHeight="1">
      <c r="A4672" s="1205" t="s">
        <v>65323</v>
      </c>
      <c r="B4672" s="1205" t="s">
        <v>65322</v>
      </c>
      <c r="C4672" s="1205">
        <v>281.99</v>
      </c>
    </row>
    <row r="4673" spans="1:3" ht="24" customHeight="1">
      <c r="A4673" s="1205" t="s">
        <v>65321</v>
      </c>
      <c r="B4673" s="1205" t="s">
        <v>65320</v>
      </c>
      <c r="C4673" s="1205">
        <v>390.99</v>
      </c>
    </row>
    <row r="4674" spans="1:3" ht="24" customHeight="1">
      <c r="A4674" s="1205" t="s">
        <v>65319</v>
      </c>
      <c r="B4674" s="1205" t="s">
        <v>65318</v>
      </c>
      <c r="C4674" s="1205">
        <v>47.99</v>
      </c>
    </row>
    <row r="4675" spans="1:3" ht="24" customHeight="1">
      <c r="A4675" s="1205" t="s">
        <v>65317</v>
      </c>
      <c r="B4675" s="1205" t="s">
        <v>65316</v>
      </c>
      <c r="C4675" s="1205">
        <v>181.49</v>
      </c>
    </row>
    <row r="4676" spans="1:3" ht="24" customHeight="1">
      <c r="A4676" s="1205" t="s">
        <v>65315</v>
      </c>
      <c r="B4676" s="1205" t="s">
        <v>65314</v>
      </c>
      <c r="C4676" s="1205">
        <v>69.489999999999995</v>
      </c>
    </row>
    <row r="4677" spans="1:3" ht="24" customHeight="1">
      <c r="A4677" s="1205" t="s">
        <v>65313</v>
      </c>
      <c r="B4677" s="1205" t="s">
        <v>65312</v>
      </c>
      <c r="C4677" s="1205">
        <v>48.99</v>
      </c>
    </row>
    <row r="4678" spans="1:3" ht="24" customHeight="1">
      <c r="A4678" s="1205" t="s">
        <v>65311</v>
      </c>
      <c r="B4678" s="1205" t="s">
        <v>65310</v>
      </c>
      <c r="C4678" s="1205">
        <v>32.99</v>
      </c>
    </row>
    <row r="4679" spans="1:3" ht="24" customHeight="1">
      <c r="A4679" s="1205" t="s">
        <v>65309</v>
      </c>
      <c r="B4679" s="1205" t="s">
        <v>65308</v>
      </c>
      <c r="C4679" s="1205">
        <v>42.99</v>
      </c>
    </row>
    <row r="4680" spans="1:3" ht="24" customHeight="1">
      <c r="A4680" s="1205" t="s">
        <v>65307</v>
      </c>
      <c r="B4680" s="1205" t="s">
        <v>65306</v>
      </c>
      <c r="C4680" s="1205">
        <v>51.49</v>
      </c>
    </row>
    <row r="4681" spans="1:3" ht="24" customHeight="1">
      <c r="A4681" s="1205" t="s">
        <v>65305</v>
      </c>
      <c r="B4681" s="1205" t="s">
        <v>65304</v>
      </c>
      <c r="C4681" s="1205">
        <v>74.489999999999995</v>
      </c>
    </row>
    <row r="4682" spans="1:3" ht="24" customHeight="1">
      <c r="A4682" s="1205" t="s">
        <v>65303</v>
      </c>
      <c r="B4682" s="1205" t="s">
        <v>65302</v>
      </c>
      <c r="C4682" s="1205">
        <v>47.99</v>
      </c>
    </row>
    <row r="4683" spans="1:3" ht="24" customHeight="1">
      <c r="A4683" s="1205" t="s">
        <v>65301</v>
      </c>
      <c r="B4683" s="1205" t="s">
        <v>65300</v>
      </c>
      <c r="C4683" s="1205">
        <v>81.489999999999995</v>
      </c>
    </row>
    <row r="4684" spans="1:3" ht="24" customHeight="1">
      <c r="A4684" s="1205" t="s">
        <v>65299</v>
      </c>
      <c r="B4684" s="1205" t="s">
        <v>65298</v>
      </c>
      <c r="C4684" s="1205">
        <v>49.99</v>
      </c>
    </row>
    <row r="4685" spans="1:3" ht="24" customHeight="1">
      <c r="A4685" s="1205" t="s">
        <v>65297</v>
      </c>
      <c r="B4685" s="1205" t="s">
        <v>65293</v>
      </c>
      <c r="C4685" s="1205">
        <v>50.49</v>
      </c>
    </row>
    <row r="4686" spans="1:3" ht="24" customHeight="1">
      <c r="A4686" s="1205" t="s">
        <v>65296</v>
      </c>
      <c r="B4686" s="1205" t="s">
        <v>65295</v>
      </c>
      <c r="C4686" s="1205">
        <v>84.49</v>
      </c>
    </row>
    <row r="4687" spans="1:3" ht="24" customHeight="1">
      <c r="A4687" s="1205" t="s">
        <v>65294</v>
      </c>
      <c r="B4687" s="1205" t="s">
        <v>65293</v>
      </c>
      <c r="C4687" s="1205">
        <v>49.49</v>
      </c>
    </row>
    <row r="4688" spans="1:3" ht="24" customHeight="1">
      <c r="A4688" s="1205" t="s">
        <v>65292</v>
      </c>
      <c r="B4688" s="1205" t="s">
        <v>65291</v>
      </c>
      <c r="C4688" s="1205">
        <v>219.99</v>
      </c>
    </row>
    <row r="4689" spans="1:3" ht="24" customHeight="1">
      <c r="A4689" s="1205" t="s">
        <v>65290</v>
      </c>
      <c r="B4689" s="1205" t="s">
        <v>65289</v>
      </c>
      <c r="C4689" s="1205">
        <v>36.49</v>
      </c>
    </row>
    <row r="4690" spans="1:3" ht="24" customHeight="1">
      <c r="A4690" s="1205" t="s">
        <v>65288</v>
      </c>
      <c r="B4690" s="1205" t="s">
        <v>65287</v>
      </c>
      <c r="C4690" s="1205">
        <v>36.99</v>
      </c>
    </row>
    <row r="4691" spans="1:3" ht="24" customHeight="1">
      <c r="A4691" s="1205" t="s">
        <v>65286</v>
      </c>
      <c r="B4691" s="1205" t="s">
        <v>65285</v>
      </c>
      <c r="C4691" s="1205">
        <v>163.99</v>
      </c>
    </row>
    <row r="4692" spans="1:3" ht="24" customHeight="1">
      <c r="A4692" s="1205" t="s">
        <v>65284</v>
      </c>
      <c r="B4692" s="1205" t="s">
        <v>65283</v>
      </c>
      <c r="C4692" s="1205">
        <v>126.99</v>
      </c>
    </row>
    <row r="4693" spans="1:3" ht="24" customHeight="1">
      <c r="A4693" s="1205" t="s">
        <v>65282</v>
      </c>
      <c r="B4693" s="1205" t="s">
        <v>65281</v>
      </c>
      <c r="C4693" s="1205">
        <v>192.49</v>
      </c>
    </row>
    <row r="4694" spans="1:3" ht="24" customHeight="1">
      <c r="A4694" s="1205" t="s">
        <v>65280</v>
      </c>
      <c r="B4694" s="1205" t="s">
        <v>65279</v>
      </c>
      <c r="C4694" s="1205">
        <v>142.49</v>
      </c>
    </row>
    <row r="4695" spans="1:3" ht="24" customHeight="1">
      <c r="A4695" s="1205" t="s">
        <v>65278</v>
      </c>
      <c r="B4695" s="1205" t="s">
        <v>65277</v>
      </c>
      <c r="C4695" s="1205">
        <v>193.49</v>
      </c>
    </row>
    <row r="4696" spans="1:3" ht="24" customHeight="1">
      <c r="A4696" s="1205" t="s">
        <v>65276</v>
      </c>
      <c r="B4696" s="1205" t="s">
        <v>65275</v>
      </c>
      <c r="C4696" s="1205">
        <v>143.99</v>
      </c>
    </row>
    <row r="4697" spans="1:3" ht="24" customHeight="1">
      <c r="A4697" s="1205" t="s">
        <v>65274</v>
      </c>
      <c r="B4697" s="1205" t="s">
        <v>65273</v>
      </c>
      <c r="C4697" s="1205">
        <v>151.99</v>
      </c>
    </row>
    <row r="4698" spans="1:3" ht="24" customHeight="1">
      <c r="A4698" s="1205" t="s">
        <v>65272</v>
      </c>
      <c r="B4698" s="1205" t="s">
        <v>65271</v>
      </c>
      <c r="C4698" s="1205">
        <v>122.99</v>
      </c>
    </row>
    <row r="4699" spans="1:3" ht="24" customHeight="1">
      <c r="A4699" s="1205" t="s">
        <v>65270</v>
      </c>
      <c r="B4699" s="1205" t="s">
        <v>65269</v>
      </c>
      <c r="C4699" s="1205">
        <v>294.49</v>
      </c>
    </row>
    <row r="4700" spans="1:3" ht="24" customHeight="1">
      <c r="A4700" s="1205" t="s">
        <v>65268</v>
      </c>
      <c r="B4700" s="1205" t="s">
        <v>65267</v>
      </c>
      <c r="C4700" s="1205">
        <v>276.99</v>
      </c>
    </row>
    <row r="4701" spans="1:3" ht="24" customHeight="1">
      <c r="A4701" s="1205" t="s">
        <v>65266</v>
      </c>
      <c r="B4701" s="1205" t="s">
        <v>65265</v>
      </c>
      <c r="C4701" s="1205">
        <v>299.99</v>
      </c>
    </row>
    <row r="4702" spans="1:3" ht="24" customHeight="1">
      <c r="A4702" s="1205" t="s">
        <v>65264</v>
      </c>
      <c r="B4702" s="1205" t="s">
        <v>65263</v>
      </c>
      <c r="C4702" s="1205">
        <v>281.99</v>
      </c>
    </row>
    <row r="4703" spans="1:3" ht="24" customHeight="1">
      <c r="A4703" s="1205" t="s">
        <v>65262</v>
      </c>
      <c r="B4703" s="1205" t="s">
        <v>65254</v>
      </c>
      <c r="C4703" s="1205">
        <v>313.99</v>
      </c>
    </row>
    <row r="4704" spans="1:3" ht="24" customHeight="1">
      <c r="A4704" s="1205" t="s">
        <v>65261</v>
      </c>
      <c r="B4704" s="1205" t="s">
        <v>65260</v>
      </c>
      <c r="C4704" s="1205">
        <v>296.49</v>
      </c>
    </row>
    <row r="4705" spans="1:3" ht="24" customHeight="1">
      <c r="A4705" s="1205" t="s">
        <v>65259</v>
      </c>
      <c r="B4705" s="1205" t="s">
        <v>65258</v>
      </c>
      <c r="C4705" s="1205">
        <v>462.49</v>
      </c>
    </row>
    <row r="4706" spans="1:3" ht="24" customHeight="1">
      <c r="A4706" s="1205" t="s">
        <v>65257</v>
      </c>
      <c r="B4706" s="1205" t="s">
        <v>65256</v>
      </c>
      <c r="C4706" s="1205">
        <v>329.99</v>
      </c>
    </row>
    <row r="4707" spans="1:3" ht="24" customHeight="1">
      <c r="A4707" s="1205" t="s">
        <v>65255</v>
      </c>
      <c r="B4707" s="1205" t="s">
        <v>65254</v>
      </c>
      <c r="C4707" s="1205">
        <v>421.99</v>
      </c>
    </row>
    <row r="4708" spans="1:3" ht="24" customHeight="1">
      <c r="A4708" s="1205" t="s">
        <v>65253</v>
      </c>
      <c r="B4708" s="1205" t="s">
        <v>65251</v>
      </c>
      <c r="C4708" s="1205">
        <v>494.49</v>
      </c>
    </row>
    <row r="4709" spans="1:3" ht="24" customHeight="1">
      <c r="A4709" s="1205" t="s">
        <v>65252</v>
      </c>
      <c r="B4709" s="1205" t="s">
        <v>65251</v>
      </c>
      <c r="C4709" s="1205">
        <v>429.99</v>
      </c>
    </row>
    <row r="4710" spans="1:3" ht="24" customHeight="1">
      <c r="A4710" s="1205" t="s">
        <v>65250</v>
      </c>
      <c r="B4710" s="1205" t="s">
        <v>65249</v>
      </c>
      <c r="C4710" s="1205">
        <v>29.49</v>
      </c>
    </row>
    <row r="4711" spans="1:3" ht="24" customHeight="1">
      <c r="A4711" s="1205" t="s">
        <v>65248</v>
      </c>
      <c r="B4711" s="1205" t="s">
        <v>65247</v>
      </c>
      <c r="C4711" s="1205">
        <v>43.49</v>
      </c>
    </row>
    <row r="4712" spans="1:3" ht="24" customHeight="1">
      <c r="A4712" s="1205" t="s">
        <v>65246</v>
      </c>
      <c r="B4712" s="1205" t="s">
        <v>65245</v>
      </c>
      <c r="C4712" s="1205">
        <v>156.49</v>
      </c>
    </row>
    <row r="4713" spans="1:3" ht="24" customHeight="1">
      <c r="A4713" s="1205" t="s">
        <v>65244</v>
      </c>
      <c r="B4713" s="1205" t="s">
        <v>65243</v>
      </c>
      <c r="C4713" s="1205">
        <v>159.99</v>
      </c>
    </row>
    <row r="4714" spans="1:3" ht="24" customHeight="1">
      <c r="A4714" s="1205" t="s">
        <v>65242</v>
      </c>
      <c r="B4714" s="1205" t="s">
        <v>65241</v>
      </c>
      <c r="C4714" s="1205">
        <v>308.49</v>
      </c>
    </row>
    <row r="4715" spans="1:3" ht="24" customHeight="1">
      <c r="A4715" s="1205" t="s">
        <v>65240</v>
      </c>
      <c r="B4715" s="1205" t="s">
        <v>65239</v>
      </c>
      <c r="C4715" s="1205">
        <v>62.49</v>
      </c>
    </row>
    <row r="4716" spans="1:3" ht="24" customHeight="1">
      <c r="A4716" s="1205" t="s">
        <v>65238</v>
      </c>
      <c r="B4716" s="1205" t="s">
        <v>65237</v>
      </c>
      <c r="C4716" s="1205">
        <v>94.49</v>
      </c>
    </row>
    <row r="4717" spans="1:3" ht="24" customHeight="1">
      <c r="A4717" s="1205" t="s">
        <v>65236</v>
      </c>
      <c r="B4717" s="1205" t="s">
        <v>65235</v>
      </c>
      <c r="C4717" s="1205">
        <v>144.99</v>
      </c>
    </row>
    <row r="4718" spans="1:3" ht="24" customHeight="1">
      <c r="A4718" s="1205" t="s">
        <v>65234</v>
      </c>
      <c r="B4718" s="1205" t="s">
        <v>65233</v>
      </c>
      <c r="C4718" s="1205">
        <v>295.99</v>
      </c>
    </row>
    <row r="4719" spans="1:3" ht="24" customHeight="1">
      <c r="A4719" s="1205" t="s">
        <v>65232</v>
      </c>
      <c r="B4719" s="1205" t="s">
        <v>65231</v>
      </c>
      <c r="C4719" s="1205">
        <v>11.49</v>
      </c>
    </row>
    <row r="4720" spans="1:3" ht="24" customHeight="1">
      <c r="A4720" s="1205" t="s">
        <v>65230</v>
      </c>
      <c r="B4720" s="1205" t="s">
        <v>65229</v>
      </c>
      <c r="C4720" s="1205">
        <v>12.49</v>
      </c>
    </row>
    <row r="4721" spans="1:3" ht="24" customHeight="1">
      <c r="A4721" s="1205" t="s">
        <v>65228</v>
      </c>
      <c r="B4721" s="1205" t="s">
        <v>65227</v>
      </c>
      <c r="C4721" s="1205">
        <v>54.49</v>
      </c>
    </row>
    <row r="4722" spans="1:3" ht="24" customHeight="1">
      <c r="A4722" s="1205" t="s">
        <v>65226</v>
      </c>
      <c r="B4722" s="1205" t="s">
        <v>65225</v>
      </c>
      <c r="C4722" s="1205">
        <v>89.49</v>
      </c>
    </row>
    <row r="4723" spans="1:3" ht="24" customHeight="1">
      <c r="A4723" s="1205" t="s">
        <v>65224</v>
      </c>
      <c r="B4723" s="1205" t="s">
        <v>65223</v>
      </c>
      <c r="C4723" s="1205">
        <v>77.989999999999995</v>
      </c>
    </row>
    <row r="4724" spans="1:3" ht="24" customHeight="1">
      <c r="A4724" s="1205" t="s">
        <v>65222</v>
      </c>
      <c r="B4724" s="1205" t="s">
        <v>65221</v>
      </c>
      <c r="C4724" s="1205">
        <v>31.99</v>
      </c>
    </row>
    <row r="4725" spans="1:3" ht="24" customHeight="1">
      <c r="A4725" s="1205" t="s">
        <v>65220</v>
      </c>
      <c r="B4725" s="1205" t="s">
        <v>65219</v>
      </c>
      <c r="C4725" s="1205">
        <v>70.989999999999995</v>
      </c>
    </row>
    <row r="4726" spans="1:3" ht="24" customHeight="1">
      <c r="A4726" s="1205" t="s">
        <v>65218</v>
      </c>
      <c r="B4726" s="1205" t="s">
        <v>65217</v>
      </c>
      <c r="C4726" s="1205">
        <v>101.49</v>
      </c>
    </row>
    <row r="4727" spans="1:3" ht="24" customHeight="1">
      <c r="A4727" s="1205" t="s">
        <v>65216</v>
      </c>
      <c r="B4727" s="1205" t="s">
        <v>65215</v>
      </c>
      <c r="C4727" s="1205">
        <v>102.49</v>
      </c>
    </row>
    <row r="4728" spans="1:3" ht="24" customHeight="1">
      <c r="A4728" s="1205" t="s">
        <v>65214</v>
      </c>
      <c r="B4728" s="1205" t="s">
        <v>65213</v>
      </c>
      <c r="C4728" s="1205">
        <v>55.49</v>
      </c>
    </row>
    <row r="4729" spans="1:3" ht="24" customHeight="1">
      <c r="A4729" s="1205" t="s">
        <v>65212</v>
      </c>
      <c r="B4729" s="1205" t="s">
        <v>65211</v>
      </c>
      <c r="C4729" s="1205">
        <v>103.99</v>
      </c>
    </row>
    <row r="4730" spans="1:3" ht="24" customHeight="1">
      <c r="A4730" s="1205" t="s">
        <v>65210</v>
      </c>
      <c r="B4730" s="1205" t="s">
        <v>65209</v>
      </c>
      <c r="C4730" s="1205">
        <v>307.49</v>
      </c>
    </row>
    <row r="4731" spans="1:3" ht="24" customHeight="1">
      <c r="A4731" s="1205" t="s">
        <v>65208</v>
      </c>
      <c r="B4731" s="1205" t="s">
        <v>65207</v>
      </c>
      <c r="C4731" s="1205">
        <v>72.989999999999995</v>
      </c>
    </row>
    <row r="4732" spans="1:3" ht="24" customHeight="1">
      <c r="A4732" s="1205" t="s">
        <v>65206</v>
      </c>
      <c r="B4732" s="1205" t="s">
        <v>65205</v>
      </c>
      <c r="C4732" s="1205">
        <v>92.99</v>
      </c>
    </row>
    <row r="4733" spans="1:3" ht="24" customHeight="1">
      <c r="A4733" s="1205" t="s">
        <v>65204</v>
      </c>
      <c r="B4733" s="1205" t="s">
        <v>65203</v>
      </c>
      <c r="C4733" s="1205">
        <v>68.989999999999995</v>
      </c>
    </row>
    <row r="4734" spans="1:3" ht="24" customHeight="1">
      <c r="A4734" s="1205" t="s">
        <v>65202</v>
      </c>
      <c r="B4734" s="1205" t="s">
        <v>65201</v>
      </c>
      <c r="C4734" s="1205">
        <v>39.49</v>
      </c>
    </row>
    <row r="4735" spans="1:3" ht="24" customHeight="1">
      <c r="A4735" s="1205" t="s">
        <v>65200</v>
      </c>
      <c r="B4735" s="1205" t="s">
        <v>65199</v>
      </c>
      <c r="C4735" s="1205">
        <v>74.489999999999995</v>
      </c>
    </row>
    <row r="4736" spans="1:3" ht="24" customHeight="1">
      <c r="A4736" s="1205" t="s">
        <v>65198</v>
      </c>
      <c r="B4736" s="1205" t="s">
        <v>65197</v>
      </c>
      <c r="C4736" s="1205">
        <v>10.99</v>
      </c>
    </row>
    <row r="4737" spans="1:3" ht="24" customHeight="1">
      <c r="A4737" s="1205" t="s">
        <v>65196</v>
      </c>
      <c r="B4737" s="1205" t="s">
        <v>65195</v>
      </c>
      <c r="C4737" s="1205">
        <v>19.989999999999998</v>
      </c>
    </row>
    <row r="4738" spans="1:3" ht="24" customHeight="1">
      <c r="A4738" s="1205" t="s">
        <v>65194</v>
      </c>
      <c r="B4738" s="1205" t="s">
        <v>65193</v>
      </c>
      <c r="C4738" s="1205">
        <v>19.489999999999998</v>
      </c>
    </row>
    <row r="4739" spans="1:3" ht="24" customHeight="1">
      <c r="A4739" s="1205" t="s">
        <v>65192</v>
      </c>
      <c r="B4739" s="1205" t="s">
        <v>65191</v>
      </c>
      <c r="C4739" s="1205">
        <v>30.99</v>
      </c>
    </row>
    <row r="4740" spans="1:3" ht="24" customHeight="1">
      <c r="A4740" s="1205" t="s">
        <v>65190</v>
      </c>
      <c r="B4740" s="1205" t="s">
        <v>65189</v>
      </c>
      <c r="C4740" s="1205">
        <v>38.99</v>
      </c>
    </row>
    <row r="4741" spans="1:3" ht="24" customHeight="1">
      <c r="A4741" s="1205" t="s">
        <v>65188</v>
      </c>
      <c r="B4741" s="1205" t="s">
        <v>65187</v>
      </c>
      <c r="C4741" s="1205">
        <v>11.49</v>
      </c>
    </row>
    <row r="4742" spans="1:3" ht="24" customHeight="1">
      <c r="A4742" s="1205" t="s">
        <v>65186</v>
      </c>
      <c r="B4742" s="1205" t="s">
        <v>65185</v>
      </c>
      <c r="C4742" s="1205">
        <v>13.99</v>
      </c>
    </row>
    <row r="4743" spans="1:3" ht="24" customHeight="1">
      <c r="A4743" s="1205" t="s">
        <v>65184</v>
      </c>
      <c r="B4743" s="1205" t="s">
        <v>65183</v>
      </c>
      <c r="C4743" s="1205">
        <v>74.989999999999995</v>
      </c>
    </row>
    <row r="4744" spans="1:3" ht="24" customHeight="1">
      <c r="A4744" s="1205" t="s">
        <v>65182</v>
      </c>
      <c r="B4744" s="1205" t="s">
        <v>65181</v>
      </c>
      <c r="C4744" s="1205">
        <v>77.989999999999995</v>
      </c>
    </row>
    <row r="4745" spans="1:3" ht="24" customHeight="1">
      <c r="A4745" s="1205" t="s">
        <v>65180</v>
      </c>
      <c r="B4745" s="1205" t="s">
        <v>65179</v>
      </c>
      <c r="C4745" s="1205">
        <v>82.49</v>
      </c>
    </row>
    <row r="4746" spans="1:3" ht="24" customHeight="1">
      <c r="A4746" s="1205" t="s">
        <v>65178</v>
      </c>
      <c r="B4746" s="1205" t="s">
        <v>65177</v>
      </c>
      <c r="C4746" s="1205">
        <v>97.49</v>
      </c>
    </row>
    <row r="4747" spans="1:3" ht="24" customHeight="1">
      <c r="A4747" s="1205" t="s">
        <v>65176</v>
      </c>
      <c r="B4747" s="1205" t="s">
        <v>65175</v>
      </c>
      <c r="C4747" s="1205">
        <v>167.49</v>
      </c>
    </row>
    <row r="4748" spans="1:3" ht="24" customHeight="1">
      <c r="A4748" s="1205" t="s">
        <v>65174</v>
      </c>
      <c r="B4748" s="1205" t="s">
        <v>65173</v>
      </c>
      <c r="C4748" s="1205">
        <v>164.99</v>
      </c>
    </row>
    <row r="4749" spans="1:3" ht="24" customHeight="1">
      <c r="A4749" s="1205" t="s">
        <v>65172</v>
      </c>
      <c r="B4749" s="1205" t="s">
        <v>65171</v>
      </c>
      <c r="C4749" s="1205">
        <v>188.99</v>
      </c>
    </row>
    <row r="4750" spans="1:3" ht="24" customHeight="1">
      <c r="A4750" s="1205" t="s">
        <v>65170</v>
      </c>
      <c r="B4750" s="1205" t="s">
        <v>65169</v>
      </c>
      <c r="C4750" s="1205">
        <v>185.99</v>
      </c>
    </row>
    <row r="4751" spans="1:3" ht="24" customHeight="1">
      <c r="A4751" s="1205" t="s">
        <v>65168</v>
      </c>
      <c r="B4751" s="1205" t="s">
        <v>65167</v>
      </c>
      <c r="C4751" s="1205">
        <v>44.99</v>
      </c>
    </row>
    <row r="4752" spans="1:3" ht="24" customHeight="1">
      <c r="A4752" s="1205" t="s">
        <v>65166</v>
      </c>
      <c r="B4752" s="1205" t="s">
        <v>65165</v>
      </c>
      <c r="C4752" s="1205">
        <v>42.49</v>
      </c>
    </row>
    <row r="4753" spans="1:3" ht="24" customHeight="1">
      <c r="A4753" s="1205" t="s">
        <v>65164</v>
      </c>
      <c r="B4753" s="1205" t="s">
        <v>65163</v>
      </c>
      <c r="C4753" s="1205">
        <v>237.49</v>
      </c>
    </row>
    <row r="4754" spans="1:3" ht="24" customHeight="1">
      <c r="A4754" s="1205" t="s">
        <v>65162</v>
      </c>
      <c r="B4754" s="1205" t="s">
        <v>65161</v>
      </c>
      <c r="C4754" s="1205">
        <v>212.99</v>
      </c>
    </row>
    <row r="4755" spans="1:3" ht="24" customHeight="1">
      <c r="A4755" s="1205" t="s">
        <v>65160</v>
      </c>
      <c r="B4755" s="1205" t="s">
        <v>65159</v>
      </c>
      <c r="C4755" s="1205">
        <v>4.99</v>
      </c>
    </row>
    <row r="4756" spans="1:3" ht="24" customHeight="1">
      <c r="A4756" s="1205" t="s">
        <v>65158</v>
      </c>
      <c r="B4756" s="1205" t="s">
        <v>65157</v>
      </c>
      <c r="C4756" s="1205">
        <v>195.49</v>
      </c>
    </row>
    <row r="4757" spans="1:3" ht="24" customHeight="1">
      <c r="A4757" s="1205" t="s">
        <v>65156</v>
      </c>
      <c r="B4757" s="1205" t="s">
        <v>65155</v>
      </c>
      <c r="C4757" s="1205">
        <v>65.489999999999995</v>
      </c>
    </row>
    <row r="4758" spans="1:3" ht="24" customHeight="1">
      <c r="A4758" s="1205" t="s">
        <v>65154</v>
      </c>
      <c r="B4758" s="1205" t="s">
        <v>65153</v>
      </c>
      <c r="C4758" s="1205">
        <v>139.99</v>
      </c>
    </row>
    <row r="4759" spans="1:3" ht="24" customHeight="1">
      <c r="A4759" s="1205" t="s">
        <v>65152</v>
      </c>
      <c r="B4759" s="1205" t="s">
        <v>65151</v>
      </c>
      <c r="C4759" s="1205">
        <v>160.99</v>
      </c>
    </row>
    <row r="4760" spans="1:3" ht="24" customHeight="1">
      <c r="A4760" s="1205" t="s">
        <v>65150</v>
      </c>
      <c r="B4760" s="1205" t="s">
        <v>65149</v>
      </c>
      <c r="C4760" s="1205">
        <v>48.99</v>
      </c>
    </row>
    <row r="4761" spans="1:3" ht="24" customHeight="1">
      <c r="A4761" s="1205" t="s">
        <v>65148</v>
      </c>
      <c r="B4761" s="1205" t="s">
        <v>65147</v>
      </c>
      <c r="C4761" s="1205">
        <v>119.49</v>
      </c>
    </row>
    <row r="4762" spans="1:3" ht="24" customHeight="1">
      <c r="A4762" s="1205" t="s">
        <v>65146</v>
      </c>
      <c r="B4762" s="1205" t="s">
        <v>65145</v>
      </c>
      <c r="C4762" s="1205">
        <v>53.49</v>
      </c>
    </row>
    <row r="4763" spans="1:3" ht="24" customHeight="1">
      <c r="A4763" s="1205" t="s">
        <v>65144</v>
      </c>
      <c r="B4763" s="1205" t="s">
        <v>65143</v>
      </c>
      <c r="C4763" s="1205">
        <v>123.99</v>
      </c>
    </row>
    <row r="4764" spans="1:3" ht="24" customHeight="1">
      <c r="A4764" s="1205" t="s">
        <v>65142</v>
      </c>
      <c r="B4764" s="1205" t="s">
        <v>65133</v>
      </c>
      <c r="C4764" s="1205">
        <v>49.49</v>
      </c>
    </row>
    <row r="4765" spans="1:3" ht="24" customHeight="1">
      <c r="A4765" s="1205" t="s">
        <v>65141</v>
      </c>
      <c r="B4765" s="1205" t="s">
        <v>65138</v>
      </c>
      <c r="C4765" s="1205">
        <v>119.99</v>
      </c>
    </row>
    <row r="4766" spans="1:3" ht="24" customHeight="1">
      <c r="A4766" s="1205" t="s">
        <v>65140</v>
      </c>
      <c r="B4766" s="1205" t="s">
        <v>65133</v>
      </c>
      <c r="C4766" s="1205">
        <v>53.49</v>
      </c>
    </row>
    <row r="4767" spans="1:3" ht="24" customHeight="1">
      <c r="A4767" s="1205" t="s">
        <v>65139</v>
      </c>
      <c r="B4767" s="1205" t="s">
        <v>65138</v>
      </c>
      <c r="C4767" s="1205">
        <v>124.49</v>
      </c>
    </row>
    <row r="4768" spans="1:3" ht="24" customHeight="1">
      <c r="A4768" s="1205" t="s">
        <v>65137</v>
      </c>
      <c r="B4768" s="1205" t="s">
        <v>65135</v>
      </c>
      <c r="C4768" s="1205">
        <v>333.49</v>
      </c>
    </row>
    <row r="4769" spans="1:3" ht="24" customHeight="1">
      <c r="A4769" s="1205" t="s">
        <v>65136</v>
      </c>
      <c r="B4769" s="1205" t="s">
        <v>65135</v>
      </c>
      <c r="C4769" s="1205">
        <v>310.99</v>
      </c>
    </row>
    <row r="4770" spans="1:3" ht="24" customHeight="1">
      <c r="A4770" s="1205" t="s">
        <v>65134</v>
      </c>
      <c r="B4770" s="1205" t="s">
        <v>65133</v>
      </c>
      <c r="C4770" s="1205">
        <v>275.49</v>
      </c>
    </row>
    <row r="4771" spans="1:3" ht="24" customHeight="1">
      <c r="A4771" s="1205" t="s">
        <v>65132</v>
      </c>
      <c r="B4771" s="1205" t="s">
        <v>65131</v>
      </c>
      <c r="C4771" s="1205">
        <v>42.49</v>
      </c>
    </row>
    <row r="4772" spans="1:3" ht="24" customHeight="1">
      <c r="A4772" s="1205" t="s">
        <v>65130</v>
      </c>
      <c r="B4772" s="1205" t="s">
        <v>65129</v>
      </c>
      <c r="C4772" s="1205">
        <v>112.49</v>
      </c>
    </row>
    <row r="4773" spans="1:3" ht="24" customHeight="1">
      <c r="A4773" s="1205" t="s">
        <v>65128</v>
      </c>
      <c r="B4773" s="1205" t="s">
        <v>65127</v>
      </c>
      <c r="C4773" s="1205">
        <v>51.49</v>
      </c>
    </row>
    <row r="4774" spans="1:3" ht="24" customHeight="1">
      <c r="A4774" s="1205" t="s">
        <v>65126</v>
      </c>
      <c r="B4774" s="1205" t="s">
        <v>65125</v>
      </c>
      <c r="C4774" s="1205">
        <v>121.99</v>
      </c>
    </row>
    <row r="4775" spans="1:3" ht="24" customHeight="1">
      <c r="A4775" s="1205" t="s">
        <v>65124</v>
      </c>
      <c r="B4775" s="1205" t="s">
        <v>65123</v>
      </c>
      <c r="C4775" s="1205">
        <v>138.99</v>
      </c>
    </row>
    <row r="4776" spans="1:3" ht="24" customHeight="1">
      <c r="A4776" s="1205" t="s">
        <v>65122</v>
      </c>
      <c r="B4776" s="1205" t="s">
        <v>65121</v>
      </c>
      <c r="C4776" s="1205">
        <v>182.99</v>
      </c>
    </row>
    <row r="4777" spans="1:3" ht="24" customHeight="1">
      <c r="A4777" s="1205" t="s">
        <v>65120</v>
      </c>
      <c r="B4777" s="1205" t="s">
        <v>65119</v>
      </c>
      <c r="C4777" s="1205">
        <v>199.49</v>
      </c>
    </row>
    <row r="4778" spans="1:3" ht="24" customHeight="1">
      <c r="A4778" s="1205" t="s">
        <v>65118</v>
      </c>
      <c r="B4778" s="1205" t="s">
        <v>65117</v>
      </c>
      <c r="C4778" s="1205">
        <v>195.49</v>
      </c>
    </row>
    <row r="4779" spans="1:3" ht="24" customHeight="1">
      <c r="A4779" s="1205" t="s">
        <v>65116</v>
      </c>
      <c r="B4779" s="1205" t="s">
        <v>65115</v>
      </c>
      <c r="C4779" s="1205">
        <v>154.99</v>
      </c>
    </row>
    <row r="4780" spans="1:3" ht="24" customHeight="1">
      <c r="A4780" s="1205" t="s">
        <v>65114</v>
      </c>
      <c r="B4780" s="1205" t="s">
        <v>65113</v>
      </c>
      <c r="C4780" s="1205">
        <v>151.99</v>
      </c>
    </row>
    <row r="4781" spans="1:3" ht="24" customHeight="1">
      <c r="A4781" s="1205" t="s">
        <v>65112</v>
      </c>
      <c r="B4781" s="1205" t="s">
        <v>65111</v>
      </c>
      <c r="C4781" s="1205">
        <v>167.49</v>
      </c>
    </row>
    <row r="4782" spans="1:3" ht="24" customHeight="1">
      <c r="A4782" s="1205" t="s">
        <v>65110</v>
      </c>
      <c r="B4782" s="1205" t="s">
        <v>65109</v>
      </c>
      <c r="C4782" s="1205">
        <v>183.99</v>
      </c>
    </row>
    <row r="4783" spans="1:3" ht="24" customHeight="1">
      <c r="A4783" s="1205" t="s">
        <v>65108</v>
      </c>
      <c r="B4783" s="1205" t="s">
        <v>65107</v>
      </c>
      <c r="C4783" s="1205">
        <v>180.99</v>
      </c>
    </row>
    <row r="4784" spans="1:3" ht="24" customHeight="1">
      <c r="A4784" s="1205" t="s">
        <v>65106</v>
      </c>
      <c r="B4784" s="1205" t="s">
        <v>65102</v>
      </c>
      <c r="C4784" s="1205">
        <v>127.99</v>
      </c>
    </row>
    <row r="4785" spans="1:3" ht="24" customHeight="1">
      <c r="A4785" s="1205" t="s">
        <v>65105</v>
      </c>
      <c r="B4785" s="1205" t="s">
        <v>65104</v>
      </c>
      <c r="C4785" s="1205">
        <v>217.49</v>
      </c>
    </row>
    <row r="4786" spans="1:3" ht="24" customHeight="1">
      <c r="A4786" s="1205" t="s">
        <v>65103</v>
      </c>
      <c r="B4786" s="1205" t="s">
        <v>65102</v>
      </c>
      <c r="C4786" s="1205">
        <v>141.49</v>
      </c>
    </row>
    <row r="4787" spans="1:3" ht="24" customHeight="1">
      <c r="A4787" s="1205" t="s">
        <v>65101</v>
      </c>
      <c r="B4787" s="1205" t="s">
        <v>65100</v>
      </c>
      <c r="C4787" s="1205">
        <v>151.49</v>
      </c>
    </row>
    <row r="4788" spans="1:3" ht="24" customHeight="1">
      <c r="A4788" s="1205" t="s">
        <v>65099</v>
      </c>
      <c r="B4788" s="1205" t="s">
        <v>65098</v>
      </c>
      <c r="C4788" s="1205">
        <v>167.99</v>
      </c>
    </row>
    <row r="4789" spans="1:3" ht="24" customHeight="1">
      <c r="A4789" s="1205" t="s">
        <v>65097</v>
      </c>
      <c r="B4789" s="1205" t="s">
        <v>65096</v>
      </c>
      <c r="C4789" s="1205">
        <v>165.49</v>
      </c>
    </row>
    <row r="4790" spans="1:3" ht="24" customHeight="1">
      <c r="A4790" s="1205" t="s">
        <v>65095</v>
      </c>
      <c r="B4790" s="1205" t="s">
        <v>65094</v>
      </c>
      <c r="C4790" s="1205">
        <v>164.99</v>
      </c>
    </row>
    <row r="4791" spans="1:3" ht="24" customHeight="1">
      <c r="A4791" s="1205" t="s">
        <v>65093</v>
      </c>
      <c r="B4791" s="1205" t="s">
        <v>65092</v>
      </c>
      <c r="C4791" s="1205">
        <v>172.99</v>
      </c>
    </row>
    <row r="4792" spans="1:3" ht="24" customHeight="1">
      <c r="A4792" s="1205" t="s">
        <v>65091</v>
      </c>
      <c r="B4792" s="1205" t="s">
        <v>65090</v>
      </c>
      <c r="C4792" s="1205">
        <v>172.99</v>
      </c>
    </row>
    <row r="4793" spans="1:3" ht="24" customHeight="1">
      <c r="A4793" s="1205" t="s">
        <v>65089</v>
      </c>
      <c r="B4793" s="1205" t="s">
        <v>65088</v>
      </c>
      <c r="C4793" s="1205">
        <v>143.49</v>
      </c>
    </row>
    <row r="4794" spans="1:3" ht="24" customHeight="1">
      <c r="A4794" s="1205" t="s">
        <v>65087</v>
      </c>
      <c r="B4794" s="1205" t="s">
        <v>65086</v>
      </c>
      <c r="C4794" s="1205">
        <v>146.99</v>
      </c>
    </row>
    <row r="4795" spans="1:3" ht="24" customHeight="1">
      <c r="A4795" s="1205" t="s">
        <v>65085</v>
      </c>
      <c r="B4795" s="1205" t="s">
        <v>65084</v>
      </c>
      <c r="C4795" s="1205">
        <v>148.49</v>
      </c>
    </row>
    <row r="4796" spans="1:3" ht="24" customHeight="1">
      <c r="A4796" s="1205" t="s">
        <v>65083</v>
      </c>
      <c r="B4796" s="1205" t="s">
        <v>65080</v>
      </c>
      <c r="C4796" s="1205">
        <v>158.99</v>
      </c>
    </row>
    <row r="4797" spans="1:3" ht="24" customHeight="1">
      <c r="A4797" s="1205" t="s">
        <v>65082</v>
      </c>
      <c r="B4797" s="1205" t="s">
        <v>65080</v>
      </c>
      <c r="C4797" s="1205">
        <v>175.99</v>
      </c>
    </row>
    <row r="4798" spans="1:3" ht="24" customHeight="1">
      <c r="A4798" s="1205" t="s">
        <v>65081</v>
      </c>
      <c r="B4798" s="1205" t="s">
        <v>65080</v>
      </c>
      <c r="C4798" s="1205">
        <v>172.49</v>
      </c>
    </row>
    <row r="4799" spans="1:3" ht="24" customHeight="1">
      <c r="A4799" s="1205" t="s">
        <v>65079</v>
      </c>
      <c r="B4799" s="1205" t="s">
        <v>65078</v>
      </c>
      <c r="C4799" s="1205">
        <v>153.99</v>
      </c>
    </row>
    <row r="4800" spans="1:3" ht="24" customHeight="1">
      <c r="A4800" s="1205" t="s">
        <v>65077</v>
      </c>
      <c r="B4800" s="1205" t="s">
        <v>65076</v>
      </c>
      <c r="C4800" s="1205">
        <v>117.49</v>
      </c>
    </row>
    <row r="4801" spans="1:3" ht="24" customHeight="1">
      <c r="A4801" s="1205" t="s">
        <v>65075</v>
      </c>
      <c r="B4801" s="1205" t="s">
        <v>65074</v>
      </c>
      <c r="C4801" s="1205">
        <v>182.99</v>
      </c>
    </row>
    <row r="4802" spans="1:3" ht="24" customHeight="1">
      <c r="A4802" s="1205" t="s">
        <v>65073</v>
      </c>
      <c r="B4802" s="1205" t="s">
        <v>65069</v>
      </c>
      <c r="C4802" s="1205">
        <v>114.99</v>
      </c>
    </row>
    <row r="4803" spans="1:3" ht="24" customHeight="1">
      <c r="A4803" s="1205" t="s">
        <v>65072</v>
      </c>
      <c r="B4803" s="1205" t="s">
        <v>65071</v>
      </c>
      <c r="C4803" s="1205">
        <v>122.99</v>
      </c>
    </row>
    <row r="4804" spans="1:3" ht="24" customHeight="1">
      <c r="A4804" s="1205" t="s">
        <v>65070</v>
      </c>
      <c r="B4804" s="1205" t="s">
        <v>65069</v>
      </c>
      <c r="C4804" s="1205">
        <v>119.99</v>
      </c>
    </row>
    <row r="4805" spans="1:3" ht="24" customHeight="1">
      <c r="A4805" s="1205" t="s">
        <v>65068</v>
      </c>
      <c r="B4805" s="1205" t="s">
        <v>65065</v>
      </c>
      <c r="C4805" s="1205">
        <v>143.49</v>
      </c>
    </row>
    <row r="4806" spans="1:3" ht="24" customHeight="1">
      <c r="A4806" s="1205" t="s">
        <v>65067</v>
      </c>
      <c r="B4806" s="1205" t="s">
        <v>65065</v>
      </c>
      <c r="C4806" s="1205">
        <v>150.99</v>
      </c>
    </row>
    <row r="4807" spans="1:3" ht="24" customHeight="1">
      <c r="A4807" s="1205" t="s">
        <v>65066</v>
      </c>
      <c r="B4807" s="1205" t="s">
        <v>65065</v>
      </c>
      <c r="C4807" s="1205">
        <v>148.49</v>
      </c>
    </row>
    <row r="4808" spans="1:3" ht="24" customHeight="1">
      <c r="A4808" s="1205" t="s">
        <v>65064</v>
      </c>
      <c r="B4808" s="1205" t="s">
        <v>65063</v>
      </c>
      <c r="C4808" s="1205">
        <v>202.99</v>
      </c>
    </row>
    <row r="4809" spans="1:3" ht="24" customHeight="1">
      <c r="A4809" s="1205" t="s">
        <v>65062</v>
      </c>
      <c r="B4809" s="1205" t="s">
        <v>65061</v>
      </c>
      <c r="C4809" s="1205">
        <v>206.99</v>
      </c>
    </row>
    <row r="4810" spans="1:3" ht="24" customHeight="1">
      <c r="A4810" s="1205" t="s">
        <v>65060</v>
      </c>
      <c r="B4810" s="1205" t="s">
        <v>65059</v>
      </c>
      <c r="C4810" s="1205">
        <v>188.49</v>
      </c>
    </row>
    <row r="4811" spans="1:3" ht="24" customHeight="1">
      <c r="A4811" s="1205" t="s">
        <v>65058</v>
      </c>
      <c r="B4811" s="1205" t="s">
        <v>65057</v>
      </c>
      <c r="C4811" s="1205">
        <v>192.49</v>
      </c>
    </row>
    <row r="4812" spans="1:3" ht="24" customHeight="1">
      <c r="A4812" s="1205" t="s">
        <v>65056</v>
      </c>
      <c r="B4812" s="1205" t="s">
        <v>65055</v>
      </c>
      <c r="C4812" s="1205">
        <v>216.99</v>
      </c>
    </row>
    <row r="4813" spans="1:3" ht="24" customHeight="1">
      <c r="A4813" s="1205" t="s">
        <v>65054</v>
      </c>
      <c r="B4813" s="1205" t="s">
        <v>65053</v>
      </c>
      <c r="C4813" s="1205">
        <v>220.49</v>
      </c>
    </row>
    <row r="4814" spans="1:3" ht="24" customHeight="1">
      <c r="A4814" s="1205" t="s">
        <v>65052</v>
      </c>
      <c r="B4814" s="1205" t="s">
        <v>65051</v>
      </c>
      <c r="C4814" s="1205">
        <v>32.49</v>
      </c>
    </row>
    <row r="4815" spans="1:3" ht="24" customHeight="1">
      <c r="A4815" s="1205" t="s">
        <v>65050</v>
      </c>
      <c r="B4815" s="1205" t="s">
        <v>65049</v>
      </c>
      <c r="C4815" s="1205">
        <v>44.49</v>
      </c>
    </row>
    <row r="4816" spans="1:3" ht="24" customHeight="1">
      <c r="A4816" s="1205" t="s">
        <v>65048</v>
      </c>
      <c r="B4816" s="1205" t="s">
        <v>65047</v>
      </c>
      <c r="C4816" s="1205">
        <v>23.99</v>
      </c>
    </row>
    <row r="4817" spans="1:3" ht="24" customHeight="1">
      <c r="A4817" s="1205" t="s">
        <v>65046</v>
      </c>
      <c r="B4817" s="1205" t="s">
        <v>65045</v>
      </c>
      <c r="C4817" s="1205">
        <v>28.99</v>
      </c>
    </row>
    <row r="4818" spans="1:3" ht="24" customHeight="1">
      <c r="A4818" s="1205" t="s">
        <v>65044</v>
      </c>
      <c r="B4818" s="1205" t="s">
        <v>65043</v>
      </c>
      <c r="C4818" s="1205">
        <v>28.99</v>
      </c>
    </row>
    <row r="4819" spans="1:3" ht="24" customHeight="1">
      <c r="A4819" s="1205" t="s">
        <v>65042</v>
      </c>
      <c r="B4819" s="1205" t="s">
        <v>65041</v>
      </c>
      <c r="C4819" s="1205">
        <v>35.99</v>
      </c>
    </row>
    <row r="4820" spans="1:3" ht="24" customHeight="1">
      <c r="A4820" s="1205" t="s">
        <v>65040</v>
      </c>
      <c r="B4820" s="1205" t="s">
        <v>65039</v>
      </c>
      <c r="C4820" s="1205">
        <v>50.49</v>
      </c>
    </row>
    <row r="4821" spans="1:3" ht="24" customHeight="1">
      <c r="A4821" s="1205" t="s">
        <v>65038</v>
      </c>
      <c r="B4821" s="1205" t="s">
        <v>65037</v>
      </c>
      <c r="C4821" s="1205">
        <v>39.99</v>
      </c>
    </row>
    <row r="4822" spans="1:3" ht="24" customHeight="1">
      <c r="A4822" s="1205" t="s">
        <v>65036</v>
      </c>
      <c r="B4822" s="1205" t="s">
        <v>65035</v>
      </c>
      <c r="C4822" s="1205">
        <v>109.99</v>
      </c>
    </row>
    <row r="4823" spans="1:3" ht="24" customHeight="1">
      <c r="A4823" s="1205" t="s">
        <v>65034</v>
      </c>
      <c r="B4823" s="1205" t="s">
        <v>65033</v>
      </c>
      <c r="C4823" s="1205">
        <v>51.99</v>
      </c>
    </row>
    <row r="4824" spans="1:3" ht="24" customHeight="1">
      <c r="A4824" s="1205" t="s">
        <v>65032</v>
      </c>
      <c r="B4824" s="1205" t="s">
        <v>65031</v>
      </c>
      <c r="C4824" s="1205">
        <v>40.99</v>
      </c>
    </row>
    <row r="4825" spans="1:3" ht="24" customHeight="1">
      <c r="A4825" s="1205" t="s">
        <v>65030</v>
      </c>
      <c r="B4825" s="1205" t="s">
        <v>65029</v>
      </c>
      <c r="C4825" s="1205">
        <v>42.49</v>
      </c>
    </row>
    <row r="4826" spans="1:3" ht="24" customHeight="1">
      <c r="A4826" s="1205" t="s">
        <v>65028</v>
      </c>
      <c r="B4826" s="1205" t="s">
        <v>65027</v>
      </c>
      <c r="C4826" s="1205">
        <v>130.99</v>
      </c>
    </row>
    <row r="4827" spans="1:3" ht="24" customHeight="1">
      <c r="A4827" s="1205" t="s">
        <v>65026</v>
      </c>
      <c r="B4827" s="1205" t="s">
        <v>65025</v>
      </c>
      <c r="C4827" s="1205">
        <v>193.49</v>
      </c>
    </row>
    <row r="4828" spans="1:3" ht="24" customHeight="1">
      <c r="A4828" s="1205" t="s">
        <v>65024</v>
      </c>
      <c r="B4828" s="1205" t="s">
        <v>65023</v>
      </c>
      <c r="C4828" s="1205">
        <v>61.99</v>
      </c>
    </row>
    <row r="4829" spans="1:3" ht="24" customHeight="1">
      <c r="A4829" s="1205" t="s">
        <v>65022</v>
      </c>
      <c r="B4829" s="1205" t="s">
        <v>65021</v>
      </c>
      <c r="C4829" s="1205">
        <v>43.99</v>
      </c>
    </row>
    <row r="4830" spans="1:3" ht="24" customHeight="1">
      <c r="A4830" s="1205" t="s">
        <v>65020</v>
      </c>
      <c r="B4830" s="1205" t="s">
        <v>65019</v>
      </c>
      <c r="C4830" s="1205">
        <v>122.49</v>
      </c>
    </row>
    <row r="4831" spans="1:3" ht="24" customHeight="1">
      <c r="A4831" s="1205" t="s">
        <v>65018</v>
      </c>
      <c r="B4831" s="1205" t="s">
        <v>65017</v>
      </c>
      <c r="C4831" s="1205">
        <v>123.49</v>
      </c>
    </row>
    <row r="4832" spans="1:3" ht="24" customHeight="1">
      <c r="A4832" s="1205" t="s">
        <v>65016</v>
      </c>
      <c r="B4832" s="1205" t="s">
        <v>65015</v>
      </c>
      <c r="C4832" s="1205">
        <v>184.99</v>
      </c>
    </row>
    <row r="4833" spans="1:3" ht="24" customHeight="1">
      <c r="A4833" s="1205" t="s">
        <v>65014</v>
      </c>
      <c r="B4833" s="1205" t="s">
        <v>65013</v>
      </c>
      <c r="C4833" s="1205">
        <v>52.99</v>
      </c>
    </row>
    <row r="4834" spans="1:3" ht="24" customHeight="1">
      <c r="A4834" s="1205" t="s">
        <v>65012</v>
      </c>
      <c r="B4834" s="1205" t="s">
        <v>65011</v>
      </c>
      <c r="C4834" s="1205">
        <v>109.49</v>
      </c>
    </row>
    <row r="4835" spans="1:3" ht="24" customHeight="1">
      <c r="A4835" s="1205" t="s">
        <v>65010</v>
      </c>
      <c r="B4835" s="1205" t="s">
        <v>65009</v>
      </c>
      <c r="C4835" s="1205">
        <v>92.49</v>
      </c>
    </row>
    <row r="4836" spans="1:3" ht="24" customHeight="1">
      <c r="A4836" s="1205" t="s">
        <v>65008</v>
      </c>
      <c r="B4836" s="1205" t="s">
        <v>65007</v>
      </c>
      <c r="C4836" s="1205">
        <v>216.99</v>
      </c>
    </row>
    <row r="4837" spans="1:3" ht="24" customHeight="1">
      <c r="A4837" s="1205" t="s">
        <v>65006</v>
      </c>
      <c r="B4837" s="1205" t="s">
        <v>65005</v>
      </c>
      <c r="C4837" s="1205">
        <v>204.99</v>
      </c>
    </row>
    <row r="4838" spans="1:3" ht="24" customHeight="1">
      <c r="A4838" s="1205" t="s">
        <v>65004</v>
      </c>
      <c r="B4838" s="1205" t="s">
        <v>65003</v>
      </c>
      <c r="C4838" s="1205">
        <v>55.49</v>
      </c>
    </row>
    <row r="4839" spans="1:3" ht="24" customHeight="1">
      <c r="A4839" s="1205" t="s">
        <v>65002</v>
      </c>
      <c r="B4839" s="1205" t="s">
        <v>65001</v>
      </c>
      <c r="C4839" s="1205">
        <v>54.49</v>
      </c>
    </row>
    <row r="4840" spans="1:3" ht="24" customHeight="1">
      <c r="A4840" s="1205" t="s">
        <v>65000</v>
      </c>
      <c r="B4840" s="1205" t="s">
        <v>64999</v>
      </c>
      <c r="C4840" s="1205">
        <v>42.99</v>
      </c>
    </row>
    <row r="4841" spans="1:3" ht="24" customHeight="1">
      <c r="A4841" s="1205" t="s">
        <v>64998</v>
      </c>
      <c r="B4841" s="1205" t="s">
        <v>64997</v>
      </c>
      <c r="C4841" s="1205">
        <v>38.49</v>
      </c>
    </row>
    <row r="4842" spans="1:3" ht="24" customHeight="1">
      <c r="A4842" s="1205" t="s">
        <v>64996</v>
      </c>
      <c r="B4842" s="1205" t="s">
        <v>64995</v>
      </c>
      <c r="C4842" s="1205">
        <v>51.49</v>
      </c>
    </row>
    <row r="4843" spans="1:3" ht="24" customHeight="1">
      <c r="A4843" s="1205" t="s">
        <v>64994</v>
      </c>
      <c r="B4843" s="1205" t="s">
        <v>64993</v>
      </c>
      <c r="C4843" s="1205">
        <v>48.49</v>
      </c>
    </row>
    <row r="4844" spans="1:3" ht="24" customHeight="1">
      <c r="A4844" s="1205" t="s">
        <v>64992</v>
      </c>
      <c r="B4844" s="1205" t="s">
        <v>64991</v>
      </c>
      <c r="C4844" s="1205">
        <v>28.49</v>
      </c>
    </row>
    <row r="4845" spans="1:3" ht="24" customHeight="1">
      <c r="A4845" s="1205" t="s">
        <v>64990</v>
      </c>
      <c r="B4845" s="1205" t="s">
        <v>64989</v>
      </c>
      <c r="C4845" s="1205">
        <v>22.99</v>
      </c>
    </row>
    <row r="4846" spans="1:3" ht="24" customHeight="1">
      <c r="A4846" s="1205" t="s">
        <v>64988</v>
      </c>
      <c r="B4846" s="1205" t="s">
        <v>64987</v>
      </c>
      <c r="C4846" s="1205">
        <v>21.49</v>
      </c>
    </row>
    <row r="4847" spans="1:3" ht="24" customHeight="1">
      <c r="A4847" s="1205" t="s">
        <v>64986</v>
      </c>
      <c r="B4847" s="1205" t="s">
        <v>64985</v>
      </c>
      <c r="C4847" s="1205">
        <v>21.99</v>
      </c>
    </row>
    <row r="4848" spans="1:3" ht="24" customHeight="1">
      <c r="A4848" s="1205" t="s">
        <v>64984</v>
      </c>
      <c r="B4848" s="1205" t="s">
        <v>64983</v>
      </c>
      <c r="C4848" s="1205">
        <v>35.49</v>
      </c>
    </row>
    <row r="4849" spans="1:3" ht="24" customHeight="1">
      <c r="A4849" s="1205" t="s">
        <v>64982</v>
      </c>
      <c r="B4849" s="1205" t="s">
        <v>64981</v>
      </c>
      <c r="C4849" s="1205">
        <v>35.49</v>
      </c>
    </row>
    <row r="4850" spans="1:3" ht="24" customHeight="1">
      <c r="A4850" s="1205" t="s">
        <v>64980</v>
      </c>
      <c r="B4850" s="1205" t="s">
        <v>64979</v>
      </c>
      <c r="C4850" s="1205">
        <v>35.99</v>
      </c>
    </row>
    <row r="4851" spans="1:3" ht="24" customHeight="1">
      <c r="A4851" s="1205" t="s">
        <v>64978</v>
      </c>
      <c r="B4851" s="1205" t="s">
        <v>64977</v>
      </c>
      <c r="C4851" s="1205">
        <v>40.99</v>
      </c>
    </row>
    <row r="4852" spans="1:3" ht="24" customHeight="1">
      <c r="A4852" s="1205" t="s">
        <v>64976</v>
      </c>
      <c r="B4852" s="1205" t="s">
        <v>64975</v>
      </c>
      <c r="C4852" s="1205">
        <v>38.99</v>
      </c>
    </row>
    <row r="4853" spans="1:3" ht="24" customHeight="1">
      <c r="A4853" s="1205" t="s">
        <v>64974</v>
      </c>
      <c r="B4853" s="1205" t="s">
        <v>64973</v>
      </c>
      <c r="C4853" s="1205">
        <v>38.49</v>
      </c>
    </row>
    <row r="4854" spans="1:3" ht="24" customHeight="1">
      <c r="A4854" s="1205" t="s">
        <v>64972</v>
      </c>
      <c r="B4854" s="1205" t="s">
        <v>64971</v>
      </c>
      <c r="C4854" s="1205">
        <v>48.99</v>
      </c>
    </row>
    <row r="4855" spans="1:3" ht="24" customHeight="1">
      <c r="A4855" s="1205" t="s">
        <v>64970</v>
      </c>
      <c r="B4855" s="1205" t="s">
        <v>64969</v>
      </c>
      <c r="C4855" s="1205">
        <v>29.49</v>
      </c>
    </row>
    <row r="4856" spans="1:3" ht="24" customHeight="1">
      <c r="A4856" s="1205" t="s">
        <v>64968</v>
      </c>
      <c r="B4856" s="1205" t="s">
        <v>64966</v>
      </c>
      <c r="C4856" s="1205">
        <v>24.99</v>
      </c>
    </row>
    <row r="4857" spans="1:3" ht="24" customHeight="1">
      <c r="A4857" s="1205" t="s">
        <v>64967</v>
      </c>
      <c r="B4857" s="1205" t="s">
        <v>64966</v>
      </c>
      <c r="C4857" s="1205">
        <v>27.49</v>
      </c>
    </row>
    <row r="4858" spans="1:3" ht="24" customHeight="1">
      <c r="A4858" s="1205" t="s">
        <v>64965</v>
      </c>
      <c r="B4858" s="1205" t="s">
        <v>64964</v>
      </c>
      <c r="C4858" s="1205">
        <v>17.989999999999998</v>
      </c>
    </row>
    <row r="4859" spans="1:3" ht="24" customHeight="1">
      <c r="A4859" s="1205" t="s">
        <v>64963</v>
      </c>
      <c r="B4859" s="1205" t="s">
        <v>64962</v>
      </c>
      <c r="C4859" s="1205">
        <v>14.99</v>
      </c>
    </row>
    <row r="4860" spans="1:3" ht="24" customHeight="1">
      <c r="A4860" s="1205" t="s">
        <v>64961</v>
      </c>
      <c r="B4860" s="1205" t="s">
        <v>64960</v>
      </c>
      <c r="C4860" s="1205">
        <v>17.989999999999998</v>
      </c>
    </row>
    <row r="4861" spans="1:3" ht="24" customHeight="1">
      <c r="A4861" s="1205" t="s">
        <v>64959</v>
      </c>
      <c r="B4861" s="1205" t="s">
        <v>64958</v>
      </c>
      <c r="C4861" s="1205">
        <v>14.49</v>
      </c>
    </row>
    <row r="4862" spans="1:3" ht="24" customHeight="1">
      <c r="A4862" s="1205" t="s">
        <v>64957</v>
      </c>
      <c r="B4862" s="1205" t="s">
        <v>64956</v>
      </c>
      <c r="C4862" s="1205">
        <v>28.49</v>
      </c>
    </row>
    <row r="4863" spans="1:3" ht="24" customHeight="1">
      <c r="A4863" s="1205" t="s">
        <v>64955</v>
      </c>
      <c r="B4863" s="1205" t="s">
        <v>64954</v>
      </c>
      <c r="C4863" s="1205">
        <v>19.989999999999998</v>
      </c>
    </row>
    <row r="4864" spans="1:3" ht="24" customHeight="1">
      <c r="A4864" s="1205" t="s">
        <v>64953</v>
      </c>
      <c r="B4864" s="1205" t="s">
        <v>64952</v>
      </c>
      <c r="C4864" s="1205">
        <v>15.49</v>
      </c>
    </row>
    <row r="4865" spans="1:3" ht="24" customHeight="1">
      <c r="A4865" s="1205" t="s">
        <v>64951</v>
      </c>
      <c r="B4865" s="1205" t="s">
        <v>64950</v>
      </c>
      <c r="C4865" s="1205">
        <v>57.99</v>
      </c>
    </row>
    <row r="4866" spans="1:3" ht="24" customHeight="1">
      <c r="A4866" s="1205" t="s">
        <v>64949</v>
      </c>
      <c r="B4866" s="1205" t="s">
        <v>63849</v>
      </c>
      <c r="C4866" s="1205">
        <v>51.99</v>
      </c>
    </row>
    <row r="4867" spans="1:3" ht="24" customHeight="1">
      <c r="A4867" s="1205" t="s">
        <v>64948</v>
      </c>
      <c r="B4867" s="1205" t="s">
        <v>63847</v>
      </c>
      <c r="C4867" s="1205">
        <v>48.49</v>
      </c>
    </row>
    <row r="4868" spans="1:3" ht="24" customHeight="1">
      <c r="A4868" s="1205" t="s">
        <v>64947</v>
      </c>
      <c r="B4868" s="1205" t="s">
        <v>64946</v>
      </c>
      <c r="C4868" s="1205">
        <v>20.99</v>
      </c>
    </row>
    <row r="4869" spans="1:3" ht="24" customHeight="1">
      <c r="A4869" s="1205" t="s">
        <v>64945</v>
      </c>
      <c r="B4869" s="1205" t="s">
        <v>64944</v>
      </c>
      <c r="C4869" s="1205">
        <v>49.49</v>
      </c>
    </row>
    <row r="4870" spans="1:3" ht="24" customHeight="1">
      <c r="A4870" s="1205" t="s">
        <v>64943</v>
      </c>
      <c r="B4870" s="1205" t="s">
        <v>64942</v>
      </c>
      <c r="C4870" s="1205">
        <v>38.49</v>
      </c>
    </row>
    <row r="4871" spans="1:3" ht="24" customHeight="1">
      <c r="A4871" s="1205" t="s">
        <v>64941</v>
      </c>
      <c r="B4871" s="1205" t="s">
        <v>64940</v>
      </c>
      <c r="C4871" s="1205">
        <v>39.49</v>
      </c>
    </row>
    <row r="4872" spans="1:3" ht="24" customHeight="1">
      <c r="A4872" s="1205" t="s">
        <v>64939</v>
      </c>
      <c r="B4872" s="1205" t="s">
        <v>64938</v>
      </c>
      <c r="C4872" s="1205">
        <v>15.49</v>
      </c>
    </row>
    <row r="4873" spans="1:3" ht="24" customHeight="1">
      <c r="A4873" s="1205" t="s">
        <v>64937</v>
      </c>
      <c r="B4873" s="1205" t="s">
        <v>64936</v>
      </c>
      <c r="C4873" s="1205">
        <v>13.99</v>
      </c>
    </row>
    <row r="4874" spans="1:3" ht="24" customHeight="1">
      <c r="A4874" s="1205" t="s">
        <v>64935</v>
      </c>
      <c r="B4874" s="1205" t="s">
        <v>64933</v>
      </c>
      <c r="C4874" s="1205">
        <v>54.99</v>
      </c>
    </row>
    <row r="4875" spans="1:3" ht="24" customHeight="1">
      <c r="A4875" s="1205" t="s">
        <v>64934</v>
      </c>
      <c r="B4875" s="1205" t="s">
        <v>64933</v>
      </c>
      <c r="C4875" s="1205">
        <v>44.49</v>
      </c>
    </row>
    <row r="4876" spans="1:3" ht="24" customHeight="1">
      <c r="A4876" s="1205" t="s">
        <v>64932</v>
      </c>
      <c r="B4876" s="1205" t="s">
        <v>64931</v>
      </c>
      <c r="C4876" s="1205">
        <v>36.49</v>
      </c>
    </row>
    <row r="4877" spans="1:3" ht="24" customHeight="1">
      <c r="A4877" s="1205" t="s">
        <v>64930</v>
      </c>
      <c r="B4877" s="1205" t="s">
        <v>64929</v>
      </c>
      <c r="C4877" s="1205">
        <v>24.49</v>
      </c>
    </row>
    <row r="4878" spans="1:3" ht="24" customHeight="1">
      <c r="A4878" s="1205" t="s">
        <v>64928</v>
      </c>
      <c r="B4878" s="1205" t="s">
        <v>64926</v>
      </c>
      <c r="C4878" s="1205">
        <v>37.99</v>
      </c>
    </row>
    <row r="4879" spans="1:3" ht="24" customHeight="1">
      <c r="A4879" s="1205" t="s">
        <v>64927</v>
      </c>
      <c r="B4879" s="1205" t="s">
        <v>64926</v>
      </c>
      <c r="C4879" s="1205">
        <v>32.99</v>
      </c>
    </row>
    <row r="4880" spans="1:3" ht="24" customHeight="1">
      <c r="A4880" s="1205" t="s">
        <v>64925</v>
      </c>
      <c r="B4880" s="1205" t="s">
        <v>64924</v>
      </c>
      <c r="C4880" s="1205">
        <v>34.99</v>
      </c>
    </row>
    <row r="4881" spans="1:3" ht="24" customHeight="1">
      <c r="A4881" s="1205" t="s">
        <v>64923</v>
      </c>
      <c r="B4881" s="1205" t="s">
        <v>64922</v>
      </c>
      <c r="C4881" s="1205">
        <v>33.99</v>
      </c>
    </row>
    <row r="4882" spans="1:3" ht="24" customHeight="1">
      <c r="A4882" s="1205" t="s">
        <v>64921</v>
      </c>
      <c r="B4882" s="1205" t="s">
        <v>64920</v>
      </c>
      <c r="C4882" s="1205">
        <v>112.99</v>
      </c>
    </row>
    <row r="4883" spans="1:3" ht="24" customHeight="1">
      <c r="A4883" s="1205" t="s">
        <v>64919</v>
      </c>
      <c r="B4883" s="1205" t="s">
        <v>64918</v>
      </c>
      <c r="C4883" s="1205">
        <v>95.99</v>
      </c>
    </row>
    <row r="4884" spans="1:3" ht="24" customHeight="1">
      <c r="A4884" s="1205" t="s">
        <v>64917</v>
      </c>
      <c r="B4884" s="1205" t="s">
        <v>64916</v>
      </c>
      <c r="C4884" s="1205">
        <v>23.99</v>
      </c>
    </row>
    <row r="4885" spans="1:3" ht="24" customHeight="1">
      <c r="A4885" s="1205" t="s">
        <v>64915</v>
      </c>
      <c r="B4885" s="1205" t="s">
        <v>64914</v>
      </c>
      <c r="C4885" s="1205">
        <v>21.99</v>
      </c>
    </row>
    <row r="4886" spans="1:3" ht="24" customHeight="1">
      <c r="A4886" s="1205" t="s">
        <v>64913</v>
      </c>
      <c r="B4886" s="1205" t="s">
        <v>64912</v>
      </c>
      <c r="C4886" s="1205">
        <v>18.989999999999998</v>
      </c>
    </row>
    <row r="4887" spans="1:3" ht="24" customHeight="1">
      <c r="A4887" s="1205" t="s">
        <v>64911</v>
      </c>
      <c r="B4887" s="1205" t="s">
        <v>64910</v>
      </c>
      <c r="C4887" s="1205">
        <v>7.99</v>
      </c>
    </row>
    <row r="4888" spans="1:3" ht="24" customHeight="1">
      <c r="A4888" s="1205" t="s">
        <v>64909</v>
      </c>
      <c r="B4888" s="1205" t="s">
        <v>64908</v>
      </c>
      <c r="C4888" s="1205">
        <v>9.99</v>
      </c>
    </row>
    <row r="4889" spans="1:3" ht="24" customHeight="1">
      <c r="A4889" s="1205" t="s">
        <v>64907</v>
      </c>
      <c r="B4889" s="1205" t="s">
        <v>64905</v>
      </c>
      <c r="C4889" s="1205">
        <v>13.49</v>
      </c>
    </row>
    <row r="4890" spans="1:3" ht="24" customHeight="1">
      <c r="A4890" s="1205" t="s">
        <v>64906</v>
      </c>
      <c r="B4890" s="1205" t="s">
        <v>64905</v>
      </c>
      <c r="C4890" s="1205">
        <v>10.49</v>
      </c>
    </row>
    <row r="4891" spans="1:3" ht="24" customHeight="1">
      <c r="A4891" s="1205" t="s">
        <v>64904</v>
      </c>
      <c r="B4891" s="1205" t="s">
        <v>64903</v>
      </c>
      <c r="C4891" s="1205">
        <v>12.49</v>
      </c>
    </row>
    <row r="4892" spans="1:3" ht="24" customHeight="1">
      <c r="A4892" s="1205" t="s">
        <v>64902</v>
      </c>
      <c r="B4892" s="1205" t="s">
        <v>64901</v>
      </c>
      <c r="C4892" s="1205">
        <v>60.99</v>
      </c>
    </row>
    <row r="4893" spans="1:3" ht="24" customHeight="1">
      <c r="A4893" s="1205" t="s">
        <v>64900</v>
      </c>
      <c r="B4893" s="1205" t="s">
        <v>64899</v>
      </c>
      <c r="C4893" s="1205">
        <v>52.49</v>
      </c>
    </row>
    <row r="4894" spans="1:3" ht="24" customHeight="1">
      <c r="A4894" s="1205" t="s">
        <v>64898</v>
      </c>
      <c r="B4894" s="1205" t="s">
        <v>64897</v>
      </c>
      <c r="C4894" s="1205">
        <v>13.99</v>
      </c>
    </row>
    <row r="4895" spans="1:3" ht="24" customHeight="1">
      <c r="A4895" s="1205" t="s">
        <v>64896</v>
      </c>
      <c r="B4895" s="1205" t="s">
        <v>64895</v>
      </c>
      <c r="C4895" s="1205">
        <v>60.49</v>
      </c>
    </row>
    <row r="4896" spans="1:3" ht="24" customHeight="1">
      <c r="A4896" s="1205" t="s">
        <v>64894</v>
      </c>
      <c r="B4896" s="1205" t="s">
        <v>64893</v>
      </c>
      <c r="C4896" s="1205">
        <v>101.99</v>
      </c>
    </row>
    <row r="4897" spans="1:3" ht="24" customHeight="1">
      <c r="A4897" s="1205" t="s">
        <v>64892</v>
      </c>
      <c r="B4897" s="1205" t="s">
        <v>64891</v>
      </c>
      <c r="C4897" s="1205">
        <v>79.489999999999995</v>
      </c>
    </row>
    <row r="4898" spans="1:3" ht="24" customHeight="1">
      <c r="A4898" s="1205" t="s">
        <v>64890</v>
      </c>
      <c r="B4898" s="1205" t="s">
        <v>64889</v>
      </c>
      <c r="C4898" s="1205">
        <v>36.99</v>
      </c>
    </row>
    <row r="4899" spans="1:3" ht="24" customHeight="1">
      <c r="A4899" s="1205" t="s">
        <v>64888</v>
      </c>
      <c r="B4899" s="1205" t="s">
        <v>64887</v>
      </c>
      <c r="C4899" s="1205">
        <v>6.99</v>
      </c>
    </row>
    <row r="4900" spans="1:3" ht="24" customHeight="1">
      <c r="A4900" s="1205" t="s">
        <v>64886</v>
      </c>
      <c r="B4900" s="1205" t="s">
        <v>64885</v>
      </c>
      <c r="C4900" s="1205">
        <v>11.49</v>
      </c>
    </row>
    <row r="4901" spans="1:3" ht="24" customHeight="1">
      <c r="A4901" s="1205" t="s">
        <v>64884</v>
      </c>
      <c r="B4901" s="1205" t="s">
        <v>64883</v>
      </c>
      <c r="C4901" s="1205">
        <v>22.99</v>
      </c>
    </row>
    <row r="4902" spans="1:3" ht="24" customHeight="1">
      <c r="A4902" s="1205" t="s">
        <v>64882</v>
      </c>
      <c r="B4902" s="1205" t="s">
        <v>64881</v>
      </c>
      <c r="C4902" s="1205">
        <v>59.49</v>
      </c>
    </row>
    <row r="4903" spans="1:3" ht="24" customHeight="1">
      <c r="A4903" s="1205" t="s">
        <v>64880</v>
      </c>
      <c r="B4903" s="1205" t="s">
        <v>64879</v>
      </c>
      <c r="C4903" s="1205">
        <v>36.99</v>
      </c>
    </row>
    <row r="4904" spans="1:3" ht="24" customHeight="1">
      <c r="A4904" s="1205" t="s">
        <v>64878</v>
      </c>
      <c r="B4904" s="1205" t="s">
        <v>64876</v>
      </c>
      <c r="C4904" s="1205">
        <v>61.99</v>
      </c>
    </row>
    <row r="4905" spans="1:3" ht="24" customHeight="1">
      <c r="A4905" s="1205" t="s">
        <v>64877</v>
      </c>
      <c r="B4905" s="1205" t="s">
        <v>64876</v>
      </c>
      <c r="C4905" s="1205">
        <v>60.49</v>
      </c>
    </row>
    <row r="4906" spans="1:3" ht="24" customHeight="1">
      <c r="A4906" s="1205" t="s">
        <v>64875</v>
      </c>
      <c r="B4906" s="1205" t="s">
        <v>64874</v>
      </c>
      <c r="C4906" s="1205">
        <v>17.989999999999998</v>
      </c>
    </row>
    <row r="4907" spans="1:3" ht="24" customHeight="1">
      <c r="A4907" s="1205" t="s">
        <v>64873</v>
      </c>
      <c r="B4907" s="1205" t="s">
        <v>64872</v>
      </c>
      <c r="C4907" s="1205">
        <v>23.99</v>
      </c>
    </row>
    <row r="4908" spans="1:3" ht="24" customHeight="1">
      <c r="A4908" s="1205" t="s">
        <v>64871</v>
      </c>
      <c r="B4908" s="1205" t="s">
        <v>64870</v>
      </c>
      <c r="C4908" s="1205">
        <v>21.99</v>
      </c>
    </row>
    <row r="4909" spans="1:3" ht="24" customHeight="1">
      <c r="A4909" s="1205" t="s">
        <v>64869</v>
      </c>
      <c r="B4909" s="1205" t="s">
        <v>64868</v>
      </c>
      <c r="C4909" s="1205">
        <v>47.49</v>
      </c>
    </row>
    <row r="4910" spans="1:3" ht="24" customHeight="1">
      <c r="A4910" s="1205" t="s">
        <v>64867</v>
      </c>
      <c r="B4910" s="1205" t="s">
        <v>64866</v>
      </c>
      <c r="C4910" s="1205">
        <v>45.49</v>
      </c>
    </row>
    <row r="4911" spans="1:3" ht="24" customHeight="1">
      <c r="A4911" s="1205" t="s">
        <v>64865</v>
      </c>
      <c r="B4911" s="1205" t="s">
        <v>64863</v>
      </c>
      <c r="C4911" s="1205">
        <v>37.49</v>
      </c>
    </row>
    <row r="4912" spans="1:3" ht="24" customHeight="1">
      <c r="A4912" s="1205" t="s">
        <v>64864</v>
      </c>
      <c r="B4912" s="1205" t="s">
        <v>64863</v>
      </c>
      <c r="C4912" s="1205">
        <v>35.99</v>
      </c>
    </row>
    <row r="4913" spans="1:3" ht="24" customHeight="1">
      <c r="A4913" s="1205" t="s">
        <v>64862</v>
      </c>
      <c r="B4913" s="1205" t="s">
        <v>64861</v>
      </c>
      <c r="C4913" s="1205">
        <v>34.49</v>
      </c>
    </row>
    <row r="4914" spans="1:3" ht="24" customHeight="1">
      <c r="A4914" s="1205" t="s">
        <v>64860</v>
      </c>
      <c r="B4914" s="1205" t="s">
        <v>64859</v>
      </c>
      <c r="C4914" s="1205">
        <v>80.989999999999995</v>
      </c>
    </row>
    <row r="4915" spans="1:3" ht="24" customHeight="1">
      <c r="A4915" s="1205" t="s">
        <v>64858</v>
      </c>
      <c r="B4915" s="1205" t="s">
        <v>64857</v>
      </c>
      <c r="C4915" s="1205">
        <v>17.489999999999998</v>
      </c>
    </row>
    <row r="4916" spans="1:3" ht="24" customHeight="1">
      <c r="A4916" s="1205" t="s">
        <v>64856</v>
      </c>
      <c r="B4916" s="1205" t="s">
        <v>64855</v>
      </c>
      <c r="C4916" s="1205">
        <v>22.49</v>
      </c>
    </row>
    <row r="4917" spans="1:3" ht="24" customHeight="1">
      <c r="A4917" s="1205" t="s">
        <v>64854</v>
      </c>
      <c r="B4917" s="1205" t="s">
        <v>64853</v>
      </c>
      <c r="C4917" s="1205">
        <v>14.49</v>
      </c>
    </row>
    <row r="4918" spans="1:3" ht="24" customHeight="1">
      <c r="A4918" s="1205" t="s">
        <v>64852</v>
      </c>
      <c r="B4918" s="1205" t="s">
        <v>64851</v>
      </c>
      <c r="C4918" s="1205">
        <v>13.99</v>
      </c>
    </row>
    <row r="4919" spans="1:3" ht="24" customHeight="1">
      <c r="A4919" s="1205" t="s">
        <v>64850</v>
      </c>
      <c r="B4919" s="1205" t="s">
        <v>63493</v>
      </c>
      <c r="C4919" s="1205">
        <v>17.989999999999998</v>
      </c>
    </row>
    <row r="4920" spans="1:3" ht="24" customHeight="1">
      <c r="A4920" s="1205" t="s">
        <v>64849</v>
      </c>
      <c r="B4920" s="1205" t="s">
        <v>64848</v>
      </c>
      <c r="C4920" s="1205">
        <v>29.99</v>
      </c>
    </row>
    <row r="4921" spans="1:3" ht="24" customHeight="1">
      <c r="A4921" s="1205" t="s">
        <v>64847</v>
      </c>
      <c r="B4921" s="1205" t="s">
        <v>64846</v>
      </c>
      <c r="C4921" s="1205">
        <v>15.99</v>
      </c>
    </row>
    <row r="4922" spans="1:3" ht="24" customHeight="1">
      <c r="A4922" s="1205" t="s">
        <v>64845</v>
      </c>
      <c r="B4922" s="1205" t="s">
        <v>64844</v>
      </c>
      <c r="C4922" s="1205">
        <v>38.49</v>
      </c>
    </row>
    <row r="4923" spans="1:3" ht="24" customHeight="1">
      <c r="A4923" s="1205" t="s">
        <v>64843</v>
      </c>
      <c r="B4923" s="1205" t="s">
        <v>64842</v>
      </c>
      <c r="C4923" s="1205">
        <v>83.99</v>
      </c>
    </row>
    <row r="4924" spans="1:3" ht="24" customHeight="1">
      <c r="A4924" s="1205" t="s">
        <v>64841</v>
      </c>
      <c r="B4924" s="1205" t="s">
        <v>64840</v>
      </c>
      <c r="C4924" s="1205">
        <v>61.49</v>
      </c>
    </row>
    <row r="4925" spans="1:3" ht="24" customHeight="1">
      <c r="A4925" s="1205" t="s">
        <v>64839</v>
      </c>
      <c r="B4925" s="1205" t="s">
        <v>64838</v>
      </c>
      <c r="C4925" s="1205">
        <v>29.49</v>
      </c>
    </row>
    <row r="4926" spans="1:3" ht="24" customHeight="1">
      <c r="A4926" s="1205" t="s">
        <v>64837</v>
      </c>
      <c r="B4926" s="1205" t="s">
        <v>64836</v>
      </c>
      <c r="C4926" s="1205">
        <v>20.99</v>
      </c>
    </row>
    <row r="4927" spans="1:3" ht="24" customHeight="1">
      <c r="A4927" s="1205" t="s">
        <v>64835</v>
      </c>
      <c r="B4927" s="1205" t="s">
        <v>64834</v>
      </c>
      <c r="C4927" s="1205">
        <v>15.99</v>
      </c>
    </row>
    <row r="4928" spans="1:3" ht="24" customHeight="1">
      <c r="A4928" s="1205" t="s">
        <v>64833</v>
      </c>
      <c r="B4928" s="1205" t="s">
        <v>64832</v>
      </c>
      <c r="C4928" s="1205">
        <v>15.99</v>
      </c>
    </row>
    <row r="4929" spans="1:3" ht="24" customHeight="1">
      <c r="A4929" s="1205" t="s">
        <v>64831</v>
      </c>
      <c r="B4929" s="1205" t="s">
        <v>64830</v>
      </c>
      <c r="C4929" s="1205">
        <v>50.99</v>
      </c>
    </row>
    <row r="4930" spans="1:3" ht="24" customHeight="1">
      <c r="A4930" s="1205" t="s">
        <v>64829</v>
      </c>
      <c r="B4930" s="1205" t="s">
        <v>64828</v>
      </c>
      <c r="C4930" s="1205">
        <v>15.49</v>
      </c>
    </row>
    <row r="4931" spans="1:3" ht="24" customHeight="1">
      <c r="A4931" s="1205" t="s">
        <v>64827</v>
      </c>
      <c r="B4931" s="1205" t="s">
        <v>64826</v>
      </c>
      <c r="C4931" s="1205">
        <v>9.49</v>
      </c>
    </row>
    <row r="4932" spans="1:3" ht="24" customHeight="1">
      <c r="A4932" s="1205" t="s">
        <v>64825</v>
      </c>
      <c r="B4932" s="1205" t="s">
        <v>64824</v>
      </c>
      <c r="C4932" s="1205">
        <v>10.49</v>
      </c>
    </row>
    <row r="4933" spans="1:3" ht="24" customHeight="1">
      <c r="A4933" s="1205" t="s">
        <v>64823</v>
      </c>
      <c r="B4933" s="1205" t="s">
        <v>64822</v>
      </c>
      <c r="C4933" s="1205">
        <v>13.49</v>
      </c>
    </row>
    <row r="4934" spans="1:3" ht="24" customHeight="1">
      <c r="A4934" s="1205" t="s">
        <v>64821</v>
      </c>
      <c r="B4934" s="1205" t="s">
        <v>64820</v>
      </c>
      <c r="C4934" s="1205">
        <v>12.99</v>
      </c>
    </row>
    <row r="4935" spans="1:3" ht="24" customHeight="1">
      <c r="A4935" s="1205" t="s">
        <v>64819</v>
      </c>
      <c r="B4935" s="1205" t="s">
        <v>64818</v>
      </c>
      <c r="C4935" s="1205">
        <v>17.989999999999998</v>
      </c>
    </row>
    <row r="4936" spans="1:3" ht="24" customHeight="1">
      <c r="A4936" s="1205" t="s">
        <v>64817</v>
      </c>
      <c r="B4936" s="1205" t="s">
        <v>64816</v>
      </c>
      <c r="C4936" s="1205">
        <v>19.489999999999998</v>
      </c>
    </row>
    <row r="4937" spans="1:3" ht="24" customHeight="1">
      <c r="A4937" s="1205" t="s">
        <v>64815</v>
      </c>
      <c r="B4937" s="1205" t="s">
        <v>64814</v>
      </c>
      <c r="C4937" s="1205">
        <v>11.99</v>
      </c>
    </row>
    <row r="4938" spans="1:3" ht="24" customHeight="1">
      <c r="A4938" s="1205" t="s">
        <v>64813</v>
      </c>
      <c r="B4938" s="1205" t="s">
        <v>64812</v>
      </c>
      <c r="C4938" s="1205">
        <v>18.989999999999998</v>
      </c>
    </row>
    <row r="4939" spans="1:3" ht="24" customHeight="1">
      <c r="A4939" s="1205" t="s">
        <v>64811</v>
      </c>
      <c r="B4939" s="1205" t="s">
        <v>64810</v>
      </c>
      <c r="C4939" s="1205">
        <v>71.989999999999995</v>
      </c>
    </row>
    <row r="4940" spans="1:3" ht="24" customHeight="1">
      <c r="A4940" s="1205" t="s">
        <v>64809</v>
      </c>
      <c r="B4940" s="1205" t="s">
        <v>64808</v>
      </c>
      <c r="C4940" s="1205">
        <v>98.49</v>
      </c>
    </row>
    <row r="4941" spans="1:3" ht="24" customHeight="1">
      <c r="A4941" s="1205" t="s">
        <v>64807</v>
      </c>
      <c r="B4941" s="1205" t="s">
        <v>64806</v>
      </c>
      <c r="C4941" s="1205">
        <v>93.99</v>
      </c>
    </row>
    <row r="4942" spans="1:3" ht="24" customHeight="1">
      <c r="A4942" s="1205" t="s">
        <v>64805</v>
      </c>
      <c r="B4942" s="1205" t="s">
        <v>64804</v>
      </c>
      <c r="C4942" s="1205">
        <v>16.489999999999998</v>
      </c>
    </row>
    <row r="4943" spans="1:3" ht="24" customHeight="1">
      <c r="A4943" s="1205" t="s">
        <v>64803</v>
      </c>
      <c r="B4943" s="1205" t="s">
        <v>64802</v>
      </c>
      <c r="C4943" s="1205">
        <v>36.49</v>
      </c>
    </row>
    <row r="4944" spans="1:3" ht="24" customHeight="1">
      <c r="A4944" s="1205" t="s">
        <v>64801</v>
      </c>
      <c r="B4944" s="1205" t="s">
        <v>64800</v>
      </c>
      <c r="C4944" s="1205">
        <v>8.99</v>
      </c>
    </row>
    <row r="4945" spans="1:3" ht="24" customHeight="1">
      <c r="A4945" s="1205" t="s">
        <v>64799</v>
      </c>
      <c r="B4945" s="1205" t="s">
        <v>64798</v>
      </c>
      <c r="C4945" s="1205">
        <v>51.49</v>
      </c>
    </row>
    <row r="4946" spans="1:3" ht="24" customHeight="1">
      <c r="A4946" s="1205" t="s">
        <v>64797</v>
      </c>
      <c r="B4946" s="1205" t="s">
        <v>64796</v>
      </c>
      <c r="C4946" s="1205">
        <v>8.99</v>
      </c>
    </row>
    <row r="4947" spans="1:3" ht="24" customHeight="1">
      <c r="A4947" s="1205" t="s">
        <v>64795</v>
      </c>
      <c r="B4947" s="1205" t="s">
        <v>64794</v>
      </c>
      <c r="C4947" s="1205">
        <v>14.49</v>
      </c>
    </row>
    <row r="4948" spans="1:3" ht="24" customHeight="1">
      <c r="A4948" s="1205" t="s">
        <v>64793</v>
      </c>
      <c r="B4948" s="1205" t="s">
        <v>64792</v>
      </c>
      <c r="C4948" s="1205">
        <v>176.99</v>
      </c>
    </row>
    <row r="4949" spans="1:3" ht="24" customHeight="1">
      <c r="A4949" s="1205" t="s">
        <v>64791</v>
      </c>
      <c r="B4949" s="1205" t="s">
        <v>64790</v>
      </c>
      <c r="C4949" s="1205">
        <v>46.99</v>
      </c>
    </row>
    <row r="4950" spans="1:3" ht="24" customHeight="1">
      <c r="A4950" s="1205" t="s">
        <v>64789</v>
      </c>
      <c r="B4950" s="1205" t="s">
        <v>64788</v>
      </c>
      <c r="C4950" s="1205">
        <v>16.989999999999998</v>
      </c>
    </row>
    <row r="4951" spans="1:3" ht="24" customHeight="1">
      <c r="A4951" s="1205" t="s">
        <v>64787</v>
      </c>
      <c r="B4951" s="1205" t="s">
        <v>64786</v>
      </c>
      <c r="C4951" s="1205">
        <v>9.99</v>
      </c>
    </row>
    <row r="4952" spans="1:3" ht="24" customHeight="1">
      <c r="A4952" s="1205" t="s">
        <v>64785</v>
      </c>
      <c r="B4952" s="1205" t="s">
        <v>64784</v>
      </c>
      <c r="C4952" s="1205">
        <v>11.99</v>
      </c>
    </row>
    <row r="4953" spans="1:3" ht="24" customHeight="1">
      <c r="A4953" s="1205" t="s">
        <v>64783</v>
      </c>
      <c r="B4953" s="1205" t="s">
        <v>64782</v>
      </c>
      <c r="C4953" s="1205">
        <v>15.49</v>
      </c>
    </row>
    <row r="4954" spans="1:3" ht="24" customHeight="1">
      <c r="A4954" s="1205" t="s">
        <v>64781</v>
      </c>
      <c r="B4954" s="1205" t="s">
        <v>64780</v>
      </c>
      <c r="C4954" s="1205">
        <v>4.49</v>
      </c>
    </row>
    <row r="4955" spans="1:3" ht="24" customHeight="1">
      <c r="A4955" s="1205" t="s">
        <v>64779</v>
      </c>
      <c r="B4955" s="1205" t="s">
        <v>64778</v>
      </c>
      <c r="C4955" s="1205">
        <v>19.489999999999998</v>
      </c>
    </row>
    <row r="4956" spans="1:3" ht="24" customHeight="1">
      <c r="A4956" s="1205" t="s">
        <v>64777</v>
      </c>
      <c r="B4956" s="1205" t="s">
        <v>64776</v>
      </c>
      <c r="C4956" s="1205">
        <v>16.489999999999998</v>
      </c>
    </row>
    <row r="4957" spans="1:3" ht="24" customHeight="1">
      <c r="A4957" s="1205" t="s">
        <v>64775</v>
      </c>
      <c r="B4957" s="1205" t="s">
        <v>64774</v>
      </c>
      <c r="C4957" s="1205">
        <v>13.99</v>
      </c>
    </row>
    <row r="4958" spans="1:3" ht="24" customHeight="1">
      <c r="A4958" s="1205" t="s">
        <v>64773</v>
      </c>
      <c r="B4958" s="1205" t="s">
        <v>64772</v>
      </c>
      <c r="C4958" s="1205">
        <v>16.989999999999998</v>
      </c>
    </row>
    <row r="4959" spans="1:3" ht="24" customHeight="1">
      <c r="A4959" s="1205" t="s">
        <v>64771</v>
      </c>
      <c r="B4959" s="1205" t="s">
        <v>64770</v>
      </c>
      <c r="C4959" s="1205">
        <v>23.49</v>
      </c>
    </row>
    <row r="4960" spans="1:3" ht="24" customHeight="1">
      <c r="A4960" s="1205" t="s">
        <v>64769</v>
      </c>
      <c r="B4960" s="1205" t="s">
        <v>64768</v>
      </c>
      <c r="C4960" s="1205">
        <v>22.49</v>
      </c>
    </row>
    <row r="4961" spans="1:3" ht="24" customHeight="1">
      <c r="A4961" s="1205" t="s">
        <v>64767</v>
      </c>
      <c r="B4961" s="1205" t="s">
        <v>64766</v>
      </c>
      <c r="C4961" s="1205">
        <v>20.99</v>
      </c>
    </row>
    <row r="4962" spans="1:3" ht="24" customHeight="1">
      <c r="A4962" s="1205" t="s">
        <v>64765</v>
      </c>
      <c r="B4962" s="1205" t="s">
        <v>64764</v>
      </c>
      <c r="C4962" s="1205">
        <v>21.99</v>
      </c>
    </row>
    <row r="4963" spans="1:3" ht="24" customHeight="1">
      <c r="A4963" s="1205" t="s">
        <v>64763</v>
      </c>
      <c r="B4963" s="1205" t="s">
        <v>64762</v>
      </c>
      <c r="C4963" s="1205">
        <v>23.99</v>
      </c>
    </row>
    <row r="4964" spans="1:3" ht="24" customHeight="1">
      <c r="A4964" s="1205" t="s">
        <v>64761</v>
      </c>
      <c r="B4964" s="1205" t="s">
        <v>64760</v>
      </c>
      <c r="C4964" s="1205">
        <v>22.49</v>
      </c>
    </row>
    <row r="4965" spans="1:3" ht="24" customHeight="1">
      <c r="A4965" s="1205" t="s">
        <v>64759</v>
      </c>
      <c r="B4965" s="1205" t="s">
        <v>64758</v>
      </c>
      <c r="C4965" s="1205">
        <v>20.99</v>
      </c>
    </row>
    <row r="4966" spans="1:3" ht="24" customHeight="1">
      <c r="A4966" s="1205" t="s">
        <v>64757</v>
      </c>
      <c r="B4966" s="1205" t="s">
        <v>64756</v>
      </c>
      <c r="C4966" s="1205">
        <v>51.49</v>
      </c>
    </row>
    <row r="4967" spans="1:3" ht="24" customHeight="1">
      <c r="A4967" s="1205" t="s">
        <v>64755</v>
      </c>
      <c r="B4967" s="1205" t="s">
        <v>64754</v>
      </c>
      <c r="C4967" s="1205">
        <v>66.489999999999995</v>
      </c>
    </row>
    <row r="4968" spans="1:3" ht="24" customHeight="1">
      <c r="A4968" s="1205" t="s">
        <v>64753</v>
      </c>
      <c r="B4968" s="1205" t="s">
        <v>64752</v>
      </c>
      <c r="C4968" s="1205">
        <v>7.99</v>
      </c>
    </row>
    <row r="4969" spans="1:3" ht="24" customHeight="1">
      <c r="A4969" s="1205" t="s">
        <v>64751</v>
      </c>
      <c r="B4969" s="1205" t="s">
        <v>64750</v>
      </c>
      <c r="C4969" s="1205">
        <v>5.49</v>
      </c>
    </row>
    <row r="4970" spans="1:3" ht="24" customHeight="1">
      <c r="A4970" s="1205" t="s">
        <v>64749</v>
      </c>
      <c r="B4970" s="1205" t="s">
        <v>64748</v>
      </c>
      <c r="C4970" s="1205">
        <v>24.49</v>
      </c>
    </row>
    <row r="4971" spans="1:3" ht="24" customHeight="1">
      <c r="A4971" s="1205" t="s">
        <v>64747</v>
      </c>
      <c r="B4971" s="1205" t="s">
        <v>64746</v>
      </c>
      <c r="C4971" s="1205">
        <v>28.49</v>
      </c>
    </row>
    <row r="4972" spans="1:3" ht="24" customHeight="1">
      <c r="A4972" s="1205" t="s">
        <v>64745</v>
      </c>
      <c r="B4972" s="1205" t="s">
        <v>64744</v>
      </c>
      <c r="C4972" s="1205">
        <v>26.99</v>
      </c>
    </row>
    <row r="4973" spans="1:3" ht="24" customHeight="1">
      <c r="A4973" s="1205" t="s">
        <v>64743</v>
      </c>
      <c r="B4973" s="1205" t="s">
        <v>64742</v>
      </c>
      <c r="C4973" s="1205">
        <v>28.99</v>
      </c>
    </row>
    <row r="4974" spans="1:3" ht="24" customHeight="1">
      <c r="A4974" s="1205" t="s">
        <v>64741</v>
      </c>
      <c r="B4974" s="1205" t="s">
        <v>64740</v>
      </c>
      <c r="C4974" s="1205">
        <v>23.99</v>
      </c>
    </row>
    <row r="4975" spans="1:3" ht="24" customHeight="1">
      <c r="A4975" s="1205" t="s">
        <v>64739</v>
      </c>
      <c r="B4975" s="1205" t="s">
        <v>64738</v>
      </c>
      <c r="C4975" s="1205">
        <v>28.49</v>
      </c>
    </row>
    <row r="4976" spans="1:3" ht="24" customHeight="1">
      <c r="A4976" s="1205" t="s">
        <v>64737</v>
      </c>
      <c r="B4976" s="1205" t="s">
        <v>64736</v>
      </c>
      <c r="C4976" s="1205">
        <v>29.99</v>
      </c>
    </row>
    <row r="4977" spans="1:3" ht="24" customHeight="1">
      <c r="A4977" s="1205" t="s">
        <v>64735</v>
      </c>
      <c r="B4977" s="1205" t="s">
        <v>64734</v>
      </c>
      <c r="C4977" s="1205">
        <v>26.99</v>
      </c>
    </row>
    <row r="4978" spans="1:3" ht="24" customHeight="1">
      <c r="A4978" s="1205" t="s">
        <v>64733</v>
      </c>
      <c r="B4978" s="1205" t="s">
        <v>64732</v>
      </c>
      <c r="C4978" s="1205">
        <v>30.99</v>
      </c>
    </row>
    <row r="4979" spans="1:3" ht="24" customHeight="1">
      <c r="A4979" s="1205" t="s">
        <v>64731</v>
      </c>
      <c r="B4979" s="1205" t="s">
        <v>64730</v>
      </c>
      <c r="C4979" s="1205">
        <v>30.49</v>
      </c>
    </row>
    <row r="4980" spans="1:3" ht="24" customHeight="1">
      <c r="A4980" s="1205" t="s">
        <v>64729</v>
      </c>
      <c r="B4980" s="1205" t="s">
        <v>64728</v>
      </c>
      <c r="C4980" s="1205">
        <v>22.99</v>
      </c>
    </row>
    <row r="4981" spans="1:3" ht="24" customHeight="1">
      <c r="A4981" s="1205" t="s">
        <v>64727</v>
      </c>
      <c r="B4981" s="1205" t="s">
        <v>64726</v>
      </c>
      <c r="C4981" s="1205">
        <v>31.49</v>
      </c>
    </row>
    <row r="4982" spans="1:3" ht="24" customHeight="1">
      <c r="A4982" s="1205" t="s">
        <v>64725</v>
      </c>
      <c r="B4982" s="1205" t="s">
        <v>64724</v>
      </c>
      <c r="C4982" s="1205">
        <v>16.489999999999998</v>
      </c>
    </row>
    <row r="4983" spans="1:3" ht="24" customHeight="1">
      <c r="A4983" s="1205" t="s">
        <v>64723</v>
      </c>
      <c r="B4983" s="1205" t="s">
        <v>64722</v>
      </c>
      <c r="C4983" s="1205">
        <v>25.49</v>
      </c>
    </row>
    <row r="4984" spans="1:3" ht="24" customHeight="1">
      <c r="A4984" s="1205" t="s">
        <v>64721</v>
      </c>
      <c r="B4984" s="1205" t="s">
        <v>64720</v>
      </c>
      <c r="C4984" s="1205">
        <v>24.99</v>
      </c>
    </row>
    <row r="4985" spans="1:3" ht="24" customHeight="1">
      <c r="A4985" s="1205" t="s">
        <v>64719</v>
      </c>
      <c r="B4985" s="1205" t="s">
        <v>64718</v>
      </c>
      <c r="C4985" s="1205">
        <v>9.49</v>
      </c>
    </row>
    <row r="4986" spans="1:3" ht="24" customHeight="1">
      <c r="A4986" s="1205" t="s">
        <v>64717</v>
      </c>
      <c r="B4986" s="1205" t="s">
        <v>64716</v>
      </c>
      <c r="C4986" s="1205">
        <v>32.99</v>
      </c>
    </row>
    <row r="4987" spans="1:3" ht="24" customHeight="1">
      <c r="A4987" s="1205" t="s">
        <v>64715</v>
      </c>
      <c r="B4987" s="1205" t="s">
        <v>64714</v>
      </c>
      <c r="C4987" s="1205">
        <v>25.99</v>
      </c>
    </row>
    <row r="4988" spans="1:3" ht="24" customHeight="1">
      <c r="A4988" s="1205" t="s">
        <v>64713</v>
      </c>
      <c r="B4988" s="1205" t="s">
        <v>64712</v>
      </c>
      <c r="C4988" s="1205">
        <v>13.49</v>
      </c>
    </row>
    <row r="4989" spans="1:3" ht="24" customHeight="1">
      <c r="A4989" s="1205" t="s">
        <v>64711</v>
      </c>
      <c r="B4989" s="1205" t="s">
        <v>64710</v>
      </c>
      <c r="C4989" s="1205">
        <v>52.49</v>
      </c>
    </row>
    <row r="4990" spans="1:3" ht="24" customHeight="1">
      <c r="A4990" s="1205" t="s">
        <v>64709</v>
      </c>
      <c r="B4990" s="1205" t="s">
        <v>64708</v>
      </c>
      <c r="C4990" s="1205">
        <v>46.99</v>
      </c>
    </row>
    <row r="4991" spans="1:3" ht="24" customHeight="1">
      <c r="A4991" s="1205" t="s">
        <v>64707</v>
      </c>
      <c r="B4991" s="1205" t="s">
        <v>64706</v>
      </c>
      <c r="C4991" s="1205">
        <v>48.99</v>
      </c>
    </row>
    <row r="4992" spans="1:3" ht="24" customHeight="1">
      <c r="A4992" s="1205" t="s">
        <v>64705</v>
      </c>
      <c r="B4992" s="1205" t="s">
        <v>64704</v>
      </c>
      <c r="C4992" s="1205">
        <v>39.99</v>
      </c>
    </row>
    <row r="4993" spans="1:3" ht="24" customHeight="1">
      <c r="A4993" s="1205" t="s">
        <v>64703</v>
      </c>
      <c r="B4993" s="1205" t="s">
        <v>64702</v>
      </c>
      <c r="C4993" s="1205">
        <v>19.989999999999998</v>
      </c>
    </row>
    <row r="4994" spans="1:3" ht="24" customHeight="1">
      <c r="A4994" s="1205" t="s">
        <v>64701</v>
      </c>
      <c r="B4994" s="1205" t="s">
        <v>64700</v>
      </c>
      <c r="C4994" s="1205">
        <v>8.49</v>
      </c>
    </row>
    <row r="4995" spans="1:3" ht="24" customHeight="1">
      <c r="A4995" s="1205" t="s">
        <v>64699</v>
      </c>
      <c r="B4995" s="1205" t="s">
        <v>64698</v>
      </c>
      <c r="C4995" s="1205">
        <v>8.49</v>
      </c>
    </row>
    <row r="4996" spans="1:3" ht="24" customHeight="1">
      <c r="A4996" s="1205" t="s">
        <v>64697</v>
      </c>
      <c r="B4996" s="1205" t="s">
        <v>64696</v>
      </c>
      <c r="C4996" s="1205">
        <v>5.99</v>
      </c>
    </row>
    <row r="4997" spans="1:3" ht="24" customHeight="1">
      <c r="A4997" s="1205" t="s">
        <v>64695</v>
      </c>
      <c r="B4997" s="1205" t="s">
        <v>64694</v>
      </c>
      <c r="C4997" s="1205">
        <v>14.99</v>
      </c>
    </row>
    <row r="4998" spans="1:3" ht="24" customHeight="1">
      <c r="A4998" s="1205" t="s">
        <v>64693</v>
      </c>
      <c r="B4998" s="1205" t="s">
        <v>64692</v>
      </c>
      <c r="C4998" s="1205">
        <v>12.49</v>
      </c>
    </row>
    <row r="4999" spans="1:3" ht="24" customHeight="1">
      <c r="A4999" s="1205" t="s">
        <v>64691</v>
      </c>
      <c r="B4999" s="1205" t="s">
        <v>64690</v>
      </c>
      <c r="C4999" s="1205">
        <v>4.99</v>
      </c>
    </row>
    <row r="5000" spans="1:3" ht="24" customHeight="1">
      <c r="A5000" s="1205" t="s">
        <v>64689</v>
      </c>
      <c r="B5000" s="1205" t="s">
        <v>64688</v>
      </c>
      <c r="C5000" s="1205">
        <v>12.99</v>
      </c>
    </row>
    <row r="5001" spans="1:3" ht="24" customHeight="1">
      <c r="A5001" s="1205" t="s">
        <v>64687</v>
      </c>
      <c r="B5001" s="1205" t="s">
        <v>64686</v>
      </c>
      <c r="C5001" s="1205">
        <v>10.49</v>
      </c>
    </row>
    <row r="5002" spans="1:3" ht="24" customHeight="1">
      <c r="A5002" s="1205" t="s">
        <v>64685</v>
      </c>
      <c r="B5002" s="1205" t="s">
        <v>64684</v>
      </c>
      <c r="C5002" s="1205">
        <v>27.99</v>
      </c>
    </row>
    <row r="5003" spans="1:3" ht="24" customHeight="1">
      <c r="A5003" s="1205" t="s">
        <v>64683</v>
      </c>
      <c r="B5003" s="1205" t="s">
        <v>64682</v>
      </c>
      <c r="C5003" s="1205">
        <v>27.99</v>
      </c>
    </row>
    <row r="5004" spans="1:3" ht="24" customHeight="1">
      <c r="A5004" s="1205" t="s">
        <v>64681</v>
      </c>
      <c r="B5004" s="1205" t="s">
        <v>64680</v>
      </c>
      <c r="C5004" s="1205">
        <v>3.99</v>
      </c>
    </row>
    <row r="5005" spans="1:3" ht="24" customHeight="1">
      <c r="A5005" s="1205" t="s">
        <v>64679</v>
      </c>
      <c r="B5005" s="1205" t="s">
        <v>64678</v>
      </c>
      <c r="C5005" s="1205">
        <v>24.49</v>
      </c>
    </row>
    <row r="5006" spans="1:3" ht="24" customHeight="1">
      <c r="A5006" s="1205" t="s">
        <v>64677</v>
      </c>
      <c r="B5006" s="1205" t="s">
        <v>64676</v>
      </c>
      <c r="C5006" s="1205">
        <v>19.989999999999998</v>
      </c>
    </row>
    <row r="5007" spans="1:3" ht="24" customHeight="1">
      <c r="A5007" s="1205" t="s">
        <v>64675</v>
      </c>
      <c r="B5007" s="1205" t="s">
        <v>64674</v>
      </c>
      <c r="C5007" s="1205">
        <v>22.49</v>
      </c>
    </row>
    <row r="5008" spans="1:3" ht="24" customHeight="1">
      <c r="A5008" s="1205" t="s">
        <v>64673</v>
      </c>
      <c r="B5008" s="1205" t="s">
        <v>64672</v>
      </c>
      <c r="C5008" s="1205">
        <v>33.49</v>
      </c>
    </row>
    <row r="5009" spans="1:3" ht="24" customHeight="1">
      <c r="A5009" s="1205" t="s">
        <v>64671</v>
      </c>
      <c r="B5009" s="1205" t="s">
        <v>64670</v>
      </c>
      <c r="C5009" s="1205">
        <v>10.49</v>
      </c>
    </row>
    <row r="5010" spans="1:3" ht="24" customHeight="1">
      <c r="A5010" s="1205" t="s">
        <v>64669</v>
      </c>
      <c r="B5010" s="1205" t="s">
        <v>64668</v>
      </c>
      <c r="C5010" s="1205">
        <v>5.49</v>
      </c>
    </row>
    <row r="5011" spans="1:3" ht="24" customHeight="1">
      <c r="A5011" s="1205" t="s">
        <v>64667</v>
      </c>
      <c r="B5011" s="1205" t="s">
        <v>64666</v>
      </c>
      <c r="C5011" s="1205">
        <v>14.99</v>
      </c>
    </row>
    <row r="5012" spans="1:3" ht="24" customHeight="1">
      <c r="A5012" s="1205" t="s">
        <v>64665</v>
      </c>
      <c r="B5012" s="1205" t="s">
        <v>64664</v>
      </c>
      <c r="C5012" s="1205">
        <v>8.99</v>
      </c>
    </row>
    <row r="5013" spans="1:3" ht="24" customHeight="1">
      <c r="A5013" s="1205" t="s">
        <v>64663</v>
      </c>
      <c r="B5013" s="1205" t="s">
        <v>64662</v>
      </c>
      <c r="C5013" s="1205">
        <v>13.49</v>
      </c>
    </row>
    <row r="5014" spans="1:3" ht="24" customHeight="1">
      <c r="A5014" s="1205" t="s">
        <v>64661</v>
      </c>
      <c r="B5014" s="1205" t="s">
        <v>64660</v>
      </c>
      <c r="C5014" s="1205">
        <v>9.99</v>
      </c>
    </row>
    <row r="5015" spans="1:3" ht="24" customHeight="1">
      <c r="A5015" s="1205" t="s">
        <v>64659</v>
      </c>
      <c r="B5015" s="1205" t="s">
        <v>64657</v>
      </c>
      <c r="C5015" s="1205">
        <v>32.99</v>
      </c>
    </row>
    <row r="5016" spans="1:3" ht="24" customHeight="1">
      <c r="A5016" s="1205" t="s">
        <v>64658</v>
      </c>
      <c r="B5016" s="1205" t="s">
        <v>64657</v>
      </c>
      <c r="C5016" s="1205">
        <v>27.49</v>
      </c>
    </row>
    <row r="5017" spans="1:3" ht="24" customHeight="1">
      <c r="A5017" s="1205" t="s">
        <v>64656</v>
      </c>
      <c r="B5017" s="1205" t="s">
        <v>64655</v>
      </c>
      <c r="C5017" s="1205">
        <v>30.99</v>
      </c>
    </row>
    <row r="5018" spans="1:3" ht="24" customHeight="1">
      <c r="A5018" s="1205" t="s">
        <v>64654</v>
      </c>
      <c r="B5018" s="1205" t="s">
        <v>64653</v>
      </c>
      <c r="C5018" s="1205">
        <v>19.989999999999998</v>
      </c>
    </row>
    <row r="5019" spans="1:3" ht="24" customHeight="1">
      <c r="A5019" s="1205" t="s">
        <v>64652</v>
      </c>
      <c r="B5019" s="1205" t="s">
        <v>64651</v>
      </c>
      <c r="C5019" s="1205">
        <v>49.99</v>
      </c>
    </row>
    <row r="5020" spans="1:3" ht="24" customHeight="1">
      <c r="A5020" s="1205" t="s">
        <v>64650</v>
      </c>
      <c r="B5020" s="1205" t="s">
        <v>64618</v>
      </c>
      <c r="C5020" s="1205">
        <v>46.49</v>
      </c>
    </row>
    <row r="5021" spans="1:3" ht="24" customHeight="1">
      <c r="A5021" s="1205" t="s">
        <v>64649</v>
      </c>
      <c r="B5021" s="1205" t="s">
        <v>64648</v>
      </c>
      <c r="C5021" s="1205">
        <v>46.49</v>
      </c>
    </row>
    <row r="5022" spans="1:3" ht="24" customHeight="1">
      <c r="A5022" s="1205" t="s">
        <v>64647</v>
      </c>
      <c r="B5022" s="1205" t="s">
        <v>64646</v>
      </c>
      <c r="C5022" s="1205">
        <v>42.99</v>
      </c>
    </row>
    <row r="5023" spans="1:3" ht="24" customHeight="1">
      <c r="A5023" s="1205" t="s">
        <v>64645</v>
      </c>
      <c r="B5023" s="1205" t="s">
        <v>64644</v>
      </c>
      <c r="C5023" s="1205">
        <v>52.49</v>
      </c>
    </row>
    <row r="5024" spans="1:3" ht="24" customHeight="1">
      <c r="A5024" s="1205" t="s">
        <v>64643</v>
      </c>
      <c r="B5024" s="1205" t="s">
        <v>64642</v>
      </c>
      <c r="C5024" s="1205">
        <v>52.49</v>
      </c>
    </row>
    <row r="5025" spans="1:3" ht="24" customHeight="1">
      <c r="A5025" s="1205" t="s">
        <v>64641</v>
      </c>
      <c r="B5025" s="1205" t="s">
        <v>64640</v>
      </c>
      <c r="C5025" s="1205">
        <v>51.49</v>
      </c>
    </row>
    <row r="5026" spans="1:3" ht="24" customHeight="1">
      <c r="A5026" s="1205" t="s">
        <v>64639</v>
      </c>
      <c r="B5026" s="1205" t="s">
        <v>64638</v>
      </c>
      <c r="C5026" s="1205">
        <v>49.99</v>
      </c>
    </row>
    <row r="5027" spans="1:3" ht="24" customHeight="1">
      <c r="A5027" s="1205" t="s">
        <v>64637</v>
      </c>
      <c r="B5027" s="1205" t="s">
        <v>64636</v>
      </c>
      <c r="C5027" s="1205">
        <v>50.99</v>
      </c>
    </row>
    <row r="5028" spans="1:3" ht="24" customHeight="1">
      <c r="A5028" s="1205" t="s">
        <v>64635</v>
      </c>
      <c r="B5028" s="1205" t="s">
        <v>64634</v>
      </c>
      <c r="C5028" s="1205">
        <v>52.49</v>
      </c>
    </row>
    <row r="5029" spans="1:3" ht="24" customHeight="1">
      <c r="A5029" s="1205" t="s">
        <v>64633</v>
      </c>
      <c r="B5029" s="1205" t="s">
        <v>64632</v>
      </c>
      <c r="C5029" s="1205">
        <v>51.49</v>
      </c>
    </row>
    <row r="5030" spans="1:3" ht="24" customHeight="1">
      <c r="A5030" s="1205" t="s">
        <v>64631</v>
      </c>
      <c r="B5030" s="1205" t="s">
        <v>64630</v>
      </c>
      <c r="C5030" s="1205">
        <v>49.99</v>
      </c>
    </row>
    <row r="5031" spans="1:3" ht="24" customHeight="1">
      <c r="A5031" s="1205" t="s">
        <v>64629</v>
      </c>
      <c r="B5031" s="1205" t="s">
        <v>64628</v>
      </c>
      <c r="C5031" s="1205">
        <v>56.99</v>
      </c>
    </row>
    <row r="5032" spans="1:3" ht="24" customHeight="1">
      <c r="A5032" s="1205" t="s">
        <v>64627</v>
      </c>
      <c r="B5032" s="1205" t="s">
        <v>64626</v>
      </c>
      <c r="C5032" s="1205">
        <v>56.49</v>
      </c>
    </row>
    <row r="5033" spans="1:3" ht="24" customHeight="1">
      <c r="A5033" s="1205" t="s">
        <v>64625</v>
      </c>
      <c r="B5033" s="1205" t="s">
        <v>64624</v>
      </c>
      <c r="C5033" s="1205">
        <v>76.489999999999995</v>
      </c>
    </row>
    <row r="5034" spans="1:3" ht="24" customHeight="1">
      <c r="A5034" s="1205" t="s">
        <v>64623</v>
      </c>
      <c r="B5034" s="1205" t="s">
        <v>64622</v>
      </c>
      <c r="C5034" s="1205">
        <v>56.99</v>
      </c>
    </row>
    <row r="5035" spans="1:3" ht="24" customHeight="1">
      <c r="A5035" s="1205" t="s">
        <v>64621</v>
      </c>
      <c r="B5035" s="1205" t="s">
        <v>64620</v>
      </c>
      <c r="C5035" s="1205">
        <v>59.99</v>
      </c>
    </row>
    <row r="5036" spans="1:3" ht="24" customHeight="1">
      <c r="A5036" s="1205" t="s">
        <v>64619</v>
      </c>
      <c r="B5036" s="1205" t="s">
        <v>64618</v>
      </c>
      <c r="C5036" s="1205">
        <v>41.49</v>
      </c>
    </row>
    <row r="5037" spans="1:3" ht="24" customHeight="1">
      <c r="A5037" s="1205" t="s">
        <v>64617</v>
      </c>
      <c r="B5037" s="1205" t="s">
        <v>64616</v>
      </c>
      <c r="C5037" s="1205">
        <v>80.989999999999995</v>
      </c>
    </row>
    <row r="5038" spans="1:3" ht="24" customHeight="1">
      <c r="A5038" s="1205" t="s">
        <v>64615</v>
      </c>
      <c r="B5038" s="1205" t="s">
        <v>64595</v>
      </c>
      <c r="C5038" s="1205">
        <v>37.49</v>
      </c>
    </row>
    <row r="5039" spans="1:3" ht="24" customHeight="1">
      <c r="A5039" s="1205" t="s">
        <v>64614</v>
      </c>
      <c r="B5039" s="1205" t="s">
        <v>64613</v>
      </c>
      <c r="C5039" s="1205">
        <v>57.99</v>
      </c>
    </row>
    <row r="5040" spans="1:3" ht="24" customHeight="1">
      <c r="A5040" s="1205" t="s">
        <v>64612</v>
      </c>
      <c r="B5040" s="1205" t="s">
        <v>64611</v>
      </c>
      <c r="C5040" s="1205">
        <v>97.49</v>
      </c>
    </row>
    <row r="5041" spans="1:3" ht="24" customHeight="1">
      <c r="A5041" s="1205" t="s">
        <v>64610</v>
      </c>
      <c r="B5041" s="1205" t="s">
        <v>64609</v>
      </c>
      <c r="C5041" s="1205">
        <v>92.99</v>
      </c>
    </row>
    <row r="5042" spans="1:3" ht="24" customHeight="1">
      <c r="A5042" s="1205" t="s">
        <v>64608</v>
      </c>
      <c r="B5042" s="1205" t="s">
        <v>64607</v>
      </c>
      <c r="C5042" s="1205">
        <v>104.49</v>
      </c>
    </row>
    <row r="5043" spans="1:3" ht="24" customHeight="1">
      <c r="A5043" s="1205" t="s">
        <v>64606</v>
      </c>
      <c r="B5043" s="1205" t="s">
        <v>64605</v>
      </c>
      <c r="C5043" s="1205">
        <v>101.49</v>
      </c>
    </row>
    <row r="5044" spans="1:3" ht="24" customHeight="1">
      <c r="A5044" s="1205" t="s">
        <v>64604</v>
      </c>
      <c r="B5044" s="1205" t="s">
        <v>64603</v>
      </c>
      <c r="C5044" s="1205">
        <v>56.49</v>
      </c>
    </row>
    <row r="5045" spans="1:3" ht="24" customHeight="1">
      <c r="A5045" s="1205" t="s">
        <v>64602</v>
      </c>
      <c r="B5045" s="1205" t="s">
        <v>64601</v>
      </c>
      <c r="C5045" s="1205">
        <v>136.49</v>
      </c>
    </row>
    <row r="5046" spans="1:3" ht="24" customHeight="1">
      <c r="A5046" s="1205" t="s">
        <v>64600</v>
      </c>
      <c r="B5046" s="1205" t="s">
        <v>64599</v>
      </c>
      <c r="C5046" s="1205">
        <v>110.99</v>
      </c>
    </row>
    <row r="5047" spans="1:3" ht="24" customHeight="1">
      <c r="A5047" s="1205" t="s">
        <v>64598</v>
      </c>
      <c r="B5047" s="1205" t="s">
        <v>64597</v>
      </c>
      <c r="C5047" s="1205">
        <v>112.99</v>
      </c>
    </row>
    <row r="5048" spans="1:3" ht="24" customHeight="1">
      <c r="A5048" s="1205" t="s">
        <v>64596</v>
      </c>
      <c r="B5048" s="1205" t="s">
        <v>64595</v>
      </c>
      <c r="C5048" s="1205">
        <v>34.49</v>
      </c>
    </row>
    <row r="5049" spans="1:3" ht="24" customHeight="1">
      <c r="A5049" s="1205" t="s">
        <v>64594</v>
      </c>
      <c r="B5049" s="1205" t="s">
        <v>64592</v>
      </c>
      <c r="C5049" s="1205">
        <v>94.49</v>
      </c>
    </row>
    <row r="5050" spans="1:3" ht="24" customHeight="1">
      <c r="A5050" s="1205" t="s">
        <v>64593</v>
      </c>
      <c r="B5050" s="1205" t="s">
        <v>64592</v>
      </c>
      <c r="C5050" s="1205">
        <v>89.49</v>
      </c>
    </row>
    <row r="5051" spans="1:3" ht="24" customHeight="1">
      <c r="A5051" s="1205" t="s">
        <v>64591</v>
      </c>
      <c r="B5051" s="1205" t="s">
        <v>64590</v>
      </c>
      <c r="C5051" s="1205">
        <v>155.49</v>
      </c>
    </row>
    <row r="5052" spans="1:3" ht="24" customHeight="1">
      <c r="A5052" s="1205" t="s">
        <v>64589</v>
      </c>
      <c r="B5052" s="1205" t="s">
        <v>64588</v>
      </c>
      <c r="C5052" s="1205">
        <v>89.99</v>
      </c>
    </row>
    <row r="5053" spans="1:3" ht="24" customHeight="1">
      <c r="A5053" s="1205" t="s">
        <v>64587</v>
      </c>
      <c r="B5053" s="1205" t="s">
        <v>64586</v>
      </c>
      <c r="C5053" s="1205">
        <v>85.49</v>
      </c>
    </row>
    <row r="5054" spans="1:3" ht="24" customHeight="1">
      <c r="A5054" s="1205" t="s">
        <v>64585</v>
      </c>
      <c r="B5054" s="1205" t="s">
        <v>64583</v>
      </c>
      <c r="C5054" s="1205">
        <v>104.99</v>
      </c>
    </row>
    <row r="5055" spans="1:3" ht="24" customHeight="1">
      <c r="A5055" s="1205" t="s">
        <v>64584</v>
      </c>
      <c r="B5055" s="1205" t="s">
        <v>64583</v>
      </c>
      <c r="C5055" s="1205">
        <v>99.99</v>
      </c>
    </row>
    <row r="5056" spans="1:3" ht="24" customHeight="1">
      <c r="A5056" s="1205" t="s">
        <v>64582</v>
      </c>
      <c r="B5056" s="1205" t="s">
        <v>64581</v>
      </c>
      <c r="C5056" s="1205">
        <v>152.49</v>
      </c>
    </row>
    <row r="5057" spans="1:3" ht="24" customHeight="1">
      <c r="A5057" s="1205" t="s">
        <v>64580</v>
      </c>
      <c r="B5057" s="1205" t="s">
        <v>64579</v>
      </c>
      <c r="C5057" s="1205">
        <v>65.489999999999995</v>
      </c>
    </row>
    <row r="5058" spans="1:3" ht="24" customHeight="1">
      <c r="A5058" s="1205" t="s">
        <v>64578</v>
      </c>
      <c r="B5058" s="1205" t="s">
        <v>64577</v>
      </c>
      <c r="C5058" s="1205">
        <v>16.489999999999998</v>
      </c>
    </row>
    <row r="5059" spans="1:3" ht="24" customHeight="1">
      <c r="A5059" s="1205" t="s">
        <v>64576</v>
      </c>
      <c r="B5059" s="1205" t="s">
        <v>64575</v>
      </c>
      <c r="C5059" s="1205">
        <v>18.489999999999998</v>
      </c>
    </row>
    <row r="5060" spans="1:3" ht="24" customHeight="1">
      <c r="A5060" s="1205" t="s">
        <v>64574</v>
      </c>
      <c r="B5060" s="1205" t="s">
        <v>64573</v>
      </c>
      <c r="C5060" s="1205">
        <v>23.99</v>
      </c>
    </row>
    <row r="5061" spans="1:3" ht="24" customHeight="1">
      <c r="A5061" s="1205" t="s">
        <v>64572</v>
      </c>
      <c r="B5061" s="1205" t="s">
        <v>64571</v>
      </c>
      <c r="C5061" s="1205">
        <v>4.49</v>
      </c>
    </row>
    <row r="5062" spans="1:3" ht="24" customHeight="1">
      <c r="A5062" s="1205" t="s">
        <v>64570</v>
      </c>
      <c r="B5062" s="1205" t="s">
        <v>64569</v>
      </c>
      <c r="C5062" s="1205">
        <v>5.99</v>
      </c>
    </row>
    <row r="5063" spans="1:3" ht="24" customHeight="1">
      <c r="A5063" s="1205" t="s">
        <v>64568</v>
      </c>
      <c r="B5063" s="1205" t="s">
        <v>64567</v>
      </c>
      <c r="C5063" s="1205">
        <v>20.49</v>
      </c>
    </row>
    <row r="5064" spans="1:3" ht="24" customHeight="1">
      <c r="A5064" s="1205" t="s">
        <v>64566</v>
      </c>
      <c r="B5064" s="1205" t="s">
        <v>64565</v>
      </c>
      <c r="C5064" s="1205">
        <v>13.99</v>
      </c>
    </row>
    <row r="5065" spans="1:3" ht="24" customHeight="1">
      <c r="A5065" s="1205" t="s">
        <v>64564</v>
      </c>
      <c r="B5065" s="1205" t="s">
        <v>64563</v>
      </c>
      <c r="C5065" s="1205">
        <v>21.49</v>
      </c>
    </row>
    <row r="5066" spans="1:3" ht="24" customHeight="1">
      <c r="A5066" s="1205" t="s">
        <v>64562</v>
      </c>
      <c r="B5066" s="1205" t="s">
        <v>64560</v>
      </c>
      <c r="C5066" s="1205">
        <v>11.99</v>
      </c>
    </row>
    <row r="5067" spans="1:3" ht="24" customHeight="1">
      <c r="A5067" s="1205" t="s">
        <v>64561</v>
      </c>
      <c r="B5067" s="1205" t="s">
        <v>64560</v>
      </c>
      <c r="C5067" s="1205">
        <v>8.99</v>
      </c>
    </row>
    <row r="5068" spans="1:3" ht="24" customHeight="1">
      <c r="A5068" s="1205" t="s">
        <v>64559</v>
      </c>
      <c r="B5068" s="1205" t="s">
        <v>64558</v>
      </c>
      <c r="C5068" s="1205">
        <v>51.99</v>
      </c>
    </row>
    <row r="5069" spans="1:3" ht="24" customHeight="1">
      <c r="A5069" s="1205" t="s">
        <v>64557</v>
      </c>
      <c r="B5069" s="1205" t="s">
        <v>64556</v>
      </c>
      <c r="C5069" s="1205">
        <v>38.49</v>
      </c>
    </row>
    <row r="5070" spans="1:3" ht="24" customHeight="1">
      <c r="A5070" s="1205" t="s">
        <v>64555</v>
      </c>
      <c r="B5070" s="1205" t="s">
        <v>64554</v>
      </c>
      <c r="C5070" s="1205">
        <v>29.49</v>
      </c>
    </row>
    <row r="5071" spans="1:3" ht="24" customHeight="1">
      <c r="A5071" s="1205" t="s">
        <v>64553</v>
      </c>
      <c r="B5071" s="1205" t="s">
        <v>64552</v>
      </c>
      <c r="C5071" s="1205">
        <v>9.99</v>
      </c>
    </row>
    <row r="5072" spans="1:3" ht="24" customHeight="1">
      <c r="A5072" s="1205" t="s">
        <v>64551</v>
      </c>
      <c r="B5072" s="1205" t="s">
        <v>64550</v>
      </c>
      <c r="C5072" s="1205">
        <v>3.49</v>
      </c>
    </row>
    <row r="5073" spans="1:3" ht="24" customHeight="1">
      <c r="A5073" s="1205" t="s">
        <v>64549</v>
      </c>
      <c r="B5073" s="1205" t="s">
        <v>64548</v>
      </c>
      <c r="C5073" s="1205">
        <v>9.99</v>
      </c>
    </row>
    <row r="5074" spans="1:3" ht="24" customHeight="1">
      <c r="A5074" s="1205" t="s">
        <v>64547</v>
      </c>
      <c r="B5074" s="1205" t="s">
        <v>64546</v>
      </c>
      <c r="C5074" s="1205">
        <v>13.49</v>
      </c>
    </row>
    <row r="5075" spans="1:3" ht="24" customHeight="1">
      <c r="A5075" s="1205" t="s">
        <v>64545</v>
      </c>
      <c r="B5075" s="1205" t="s">
        <v>64544</v>
      </c>
      <c r="C5075" s="1205">
        <v>10.49</v>
      </c>
    </row>
    <row r="5076" spans="1:3" ht="24" customHeight="1">
      <c r="A5076" s="1205" t="s">
        <v>64543</v>
      </c>
      <c r="B5076" s="1205" t="s">
        <v>64535</v>
      </c>
      <c r="C5076" s="1205">
        <v>12.99</v>
      </c>
    </row>
    <row r="5077" spans="1:3" ht="24" customHeight="1">
      <c r="A5077" s="1205" t="s">
        <v>64542</v>
      </c>
      <c r="B5077" s="1205" t="s">
        <v>64541</v>
      </c>
      <c r="C5077" s="1205">
        <v>8.49</v>
      </c>
    </row>
    <row r="5078" spans="1:3" ht="24" customHeight="1">
      <c r="A5078" s="1205" t="s">
        <v>64540</v>
      </c>
      <c r="B5078" s="1205" t="s">
        <v>64539</v>
      </c>
      <c r="C5078" s="1205">
        <v>7.99</v>
      </c>
    </row>
    <row r="5079" spans="1:3" ht="24" customHeight="1">
      <c r="A5079" s="1205" t="s">
        <v>64538</v>
      </c>
      <c r="B5079" s="1205" t="s">
        <v>64537</v>
      </c>
      <c r="C5079" s="1205">
        <v>7.99</v>
      </c>
    </row>
    <row r="5080" spans="1:3" ht="24" customHeight="1">
      <c r="A5080" s="1205" t="s">
        <v>64536</v>
      </c>
      <c r="B5080" s="1205" t="s">
        <v>64535</v>
      </c>
      <c r="C5080" s="1205">
        <v>10.49</v>
      </c>
    </row>
    <row r="5081" spans="1:3" ht="24" customHeight="1">
      <c r="A5081" s="1205" t="s">
        <v>64534</v>
      </c>
      <c r="B5081" s="1205" t="s">
        <v>64533</v>
      </c>
      <c r="C5081" s="1205">
        <v>23.99</v>
      </c>
    </row>
    <row r="5082" spans="1:3" ht="24" customHeight="1">
      <c r="A5082" s="1205" t="s">
        <v>64532</v>
      </c>
      <c r="B5082" s="1205" t="s">
        <v>64531</v>
      </c>
      <c r="C5082" s="1205">
        <v>16.989999999999998</v>
      </c>
    </row>
    <row r="5083" spans="1:3" ht="24" customHeight="1">
      <c r="A5083" s="1205" t="s">
        <v>64530</v>
      </c>
      <c r="B5083" s="1205" t="s">
        <v>64529</v>
      </c>
      <c r="C5083" s="1205">
        <v>23.99</v>
      </c>
    </row>
    <row r="5084" spans="1:3" ht="24" customHeight="1">
      <c r="A5084" s="1205" t="s">
        <v>64528</v>
      </c>
      <c r="B5084" s="1205" t="s">
        <v>64527</v>
      </c>
      <c r="C5084" s="1205">
        <v>20.99</v>
      </c>
    </row>
    <row r="5085" spans="1:3" ht="24" customHeight="1">
      <c r="A5085" s="1205" t="s">
        <v>64526</v>
      </c>
      <c r="B5085" s="1205" t="s">
        <v>64525</v>
      </c>
      <c r="C5085" s="1205">
        <v>31.49</v>
      </c>
    </row>
    <row r="5086" spans="1:3" ht="24" customHeight="1">
      <c r="A5086" s="1205" t="s">
        <v>64524</v>
      </c>
      <c r="B5086" s="1205" t="s">
        <v>64523</v>
      </c>
      <c r="C5086" s="1205">
        <v>39.99</v>
      </c>
    </row>
    <row r="5087" spans="1:3" ht="24" customHeight="1">
      <c r="A5087" s="1205" t="s">
        <v>64522</v>
      </c>
      <c r="B5087" s="1205" t="s">
        <v>64521</v>
      </c>
      <c r="C5087" s="1205">
        <v>21.99</v>
      </c>
    </row>
    <row r="5088" spans="1:3" ht="24" customHeight="1">
      <c r="A5088" s="1205" t="s">
        <v>64520</v>
      </c>
      <c r="B5088" s="1205" t="s">
        <v>64518</v>
      </c>
      <c r="C5088" s="1205">
        <v>36.99</v>
      </c>
    </row>
    <row r="5089" spans="1:3" ht="24" customHeight="1">
      <c r="A5089" s="1205" t="s">
        <v>64519</v>
      </c>
      <c r="B5089" s="1205" t="s">
        <v>64518</v>
      </c>
      <c r="C5089" s="1205">
        <v>34.99</v>
      </c>
    </row>
    <row r="5090" spans="1:3" ht="24" customHeight="1">
      <c r="A5090" s="1205" t="s">
        <v>64517</v>
      </c>
      <c r="B5090" s="1205" t="s">
        <v>64516</v>
      </c>
      <c r="C5090" s="1205">
        <v>31.99</v>
      </c>
    </row>
    <row r="5091" spans="1:3" ht="24" customHeight="1">
      <c r="A5091" s="1205" t="s">
        <v>64515</v>
      </c>
      <c r="B5091" s="1205" t="s">
        <v>64514</v>
      </c>
      <c r="C5091" s="1205">
        <v>40.49</v>
      </c>
    </row>
    <row r="5092" spans="1:3" ht="24" customHeight="1">
      <c r="A5092" s="1205" t="s">
        <v>64513</v>
      </c>
      <c r="B5092" s="1205" t="s">
        <v>64512</v>
      </c>
      <c r="C5092" s="1205">
        <v>22.49</v>
      </c>
    </row>
    <row r="5093" spans="1:3" ht="24" customHeight="1">
      <c r="A5093" s="1205" t="s">
        <v>64511</v>
      </c>
      <c r="B5093" s="1205" t="s">
        <v>64510</v>
      </c>
      <c r="C5093" s="1205">
        <v>810.99</v>
      </c>
    </row>
    <row r="5094" spans="1:3" ht="24" customHeight="1">
      <c r="A5094" s="1205" t="s">
        <v>64509</v>
      </c>
      <c r="B5094" s="1205" t="s">
        <v>64507</v>
      </c>
      <c r="C5094" s="1205">
        <v>37.49</v>
      </c>
    </row>
    <row r="5095" spans="1:3" ht="24" customHeight="1">
      <c r="A5095" s="1205" t="s">
        <v>64508</v>
      </c>
      <c r="B5095" s="1205" t="s">
        <v>64507</v>
      </c>
      <c r="C5095" s="1205">
        <v>35.99</v>
      </c>
    </row>
    <row r="5096" spans="1:3" ht="24" customHeight="1">
      <c r="A5096" s="1205" t="s">
        <v>64506</v>
      </c>
      <c r="B5096" s="1205" t="s">
        <v>64487</v>
      </c>
      <c r="C5096" s="1205">
        <v>20.49</v>
      </c>
    </row>
    <row r="5097" spans="1:3" ht="24" customHeight="1">
      <c r="A5097" s="1205" t="s">
        <v>64505</v>
      </c>
      <c r="B5097" s="1205" t="s">
        <v>64492</v>
      </c>
      <c r="C5097" s="1205">
        <v>14.99</v>
      </c>
    </row>
    <row r="5098" spans="1:3" ht="24" customHeight="1">
      <c r="A5098" s="1205" t="s">
        <v>64504</v>
      </c>
      <c r="B5098" s="1205" t="s">
        <v>64497</v>
      </c>
      <c r="C5098" s="1205">
        <v>19.489999999999998</v>
      </c>
    </row>
    <row r="5099" spans="1:3" ht="24" customHeight="1">
      <c r="A5099" s="1205" t="s">
        <v>64503</v>
      </c>
      <c r="B5099" s="1205" t="s">
        <v>64501</v>
      </c>
      <c r="C5099" s="1205">
        <v>20.99</v>
      </c>
    </row>
    <row r="5100" spans="1:3" ht="24" customHeight="1">
      <c r="A5100" s="1205" t="s">
        <v>64502</v>
      </c>
      <c r="B5100" s="1205" t="s">
        <v>64501</v>
      </c>
      <c r="C5100" s="1205">
        <v>17.989999999999998</v>
      </c>
    </row>
    <row r="5101" spans="1:3" ht="24" customHeight="1">
      <c r="A5101" s="1205" t="s">
        <v>64500</v>
      </c>
      <c r="B5101" s="1205" t="s">
        <v>64499</v>
      </c>
      <c r="C5101" s="1205">
        <v>13.49</v>
      </c>
    </row>
    <row r="5102" spans="1:3" ht="24" customHeight="1">
      <c r="A5102" s="1205" t="s">
        <v>64498</v>
      </c>
      <c r="B5102" s="1205" t="s">
        <v>64497</v>
      </c>
      <c r="C5102" s="1205">
        <v>16.489999999999998</v>
      </c>
    </row>
    <row r="5103" spans="1:3" ht="24" customHeight="1">
      <c r="A5103" s="1205" t="s">
        <v>64496</v>
      </c>
      <c r="B5103" s="1205" t="s">
        <v>64494</v>
      </c>
      <c r="C5103" s="1205">
        <v>16.489999999999998</v>
      </c>
    </row>
    <row r="5104" spans="1:3" ht="24" customHeight="1">
      <c r="A5104" s="1205" t="s">
        <v>64495</v>
      </c>
      <c r="B5104" s="1205" t="s">
        <v>64494</v>
      </c>
      <c r="C5104" s="1205">
        <v>12.99</v>
      </c>
    </row>
    <row r="5105" spans="1:3" ht="24" customHeight="1">
      <c r="A5105" s="1205" t="s">
        <v>64493</v>
      </c>
      <c r="B5105" s="1205" t="s">
        <v>64492</v>
      </c>
      <c r="C5105" s="1205">
        <v>11.99</v>
      </c>
    </row>
    <row r="5106" spans="1:3" ht="24" customHeight="1">
      <c r="A5106" s="1205" t="s">
        <v>64491</v>
      </c>
      <c r="B5106" s="1205" t="s">
        <v>64489</v>
      </c>
      <c r="C5106" s="1205">
        <v>23.49</v>
      </c>
    </row>
    <row r="5107" spans="1:3" ht="24" customHeight="1">
      <c r="A5107" s="1205" t="s">
        <v>64490</v>
      </c>
      <c r="B5107" s="1205" t="s">
        <v>64489</v>
      </c>
      <c r="C5107" s="1205">
        <v>20.49</v>
      </c>
    </row>
    <row r="5108" spans="1:3" ht="24" customHeight="1">
      <c r="A5108" s="1205" t="s">
        <v>64488</v>
      </c>
      <c r="B5108" s="1205" t="s">
        <v>64487</v>
      </c>
      <c r="C5108" s="1205">
        <v>17.489999999999998</v>
      </c>
    </row>
    <row r="5109" spans="1:3" ht="24" customHeight="1">
      <c r="A5109" s="1205" t="s">
        <v>64486</v>
      </c>
      <c r="B5109" s="1205" t="s">
        <v>64485</v>
      </c>
      <c r="C5109" s="1205">
        <v>14.99</v>
      </c>
    </row>
    <row r="5110" spans="1:3" ht="24" customHeight="1">
      <c r="A5110" s="1205" t="s">
        <v>64484</v>
      </c>
      <c r="B5110" s="1205" t="s">
        <v>64483</v>
      </c>
      <c r="C5110" s="1205">
        <v>23.49</v>
      </c>
    </row>
    <row r="5111" spans="1:3" ht="24" customHeight="1">
      <c r="A5111" s="1205" t="s">
        <v>64482</v>
      </c>
      <c r="B5111" s="1205" t="s">
        <v>64481</v>
      </c>
      <c r="C5111" s="1205">
        <v>34.49</v>
      </c>
    </row>
    <row r="5112" spans="1:3" ht="24" customHeight="1">
      <c r="A5112" s="1205" t="s">
        <v>64480</v>
      </c>
      <c r="B5112" s="1205" t="s">
        <v>64479</v>
      </c>
      <c r="C5112" s="1205">
        <v>21.49</v>
      </c>
    </row>
    <row r="5113" spans="1:3" ht="24" customHeight="1">
      <c r="A5113" s="1205" t="s">
        <v>64478</v>
      </c>
      <c r="B5113" s="1205" t="s">
        <v>64477</v>
      </c>
      <c r="C5113" s="1205">
        <v>22.49</v>
      </c>
    </row>
    <row r="5114" spans="1:3" ht="24" customHeight="1">
      <c r="A5114" s="1205" t="s">
        <v>64476</v>
      </c>
      <c r="B5114" s="1205" t="s">
        <v>63301</v>
      </c>
      <c r="C5114" s="1205">
        <v>19.489999999999998</v>
      </c>
    </row>
    <row r="5115" spans="1:3" ht="24" customHeight="1">
      <c r="A5115" s="1205" t="s">
        <v>64475</v>
      </c>
      <c r="B5115" s="1205" t="s">
        <v>64474</v>
      </c>
      <c r="C5115" s="1205">
        <v>23.49</v>
      </c>
    </row>
    <row r="5116" spans="1:3" ht="24" customHeight="1">
      <c r="A5116" s="1205" t="s">
        <v>64473</v>
      </c>
      <c r="B5116" s="1205" t="s">
        <v>64472</v>
      </c>
      <c r="C5116" s="1205">
        <v>22.99</v>
      </c>
    </row>
    <row r="5117" spans="1:3" ht="24" customHeight="1">
      <c r="A5117" s="1205" t="s">
        <v>64471</v>
      </c>
      <c r="B5117" s="1205" t="s">
        <v>64470</v>
      </c>
      <c r="C5117" s="1205">
        <v>96.49</v>
      </c>
    </row>
    <row r="5118" spans="1:3" ht="24" customHeight="1">
      <c r="A5118" s="1205" t="s">
        <v>64469</v>
      </c>
      <c r="B5118" s="1205" t="s">
        <v>64468</v>
      </c>
      <c r="C5118" s="1205">
        <v>77.489999999999995</v>
      </c>
    </row>
    <row r="5119" spans="1:3" ht="24" customHeight="1">
      <c r="A5119" s="1205" t="s">
        <v>64467</v>
      </c>
      <c r="B5119" s="1205" t="s">
        <v>64466</v>
      </c>
      <c r="C5119" s="1205">
        <v>4.49</v>
      </c>
    </row>
    <row r="5120" spans="1:3" ht="24" customHeight="1">
      <c r="A5120" s="1205" t="s">
        <v>64465</v>
      </c>
      <c r="B5120" s="1205" t="s">
        <v>64464</v>
      </c>
      <c r="C5120" s="1205">
        <v>20.99</v>
      </c>
    </row>
    <row r="5121" spans="1:3" ht="24" customHeight="1">
      <c r="A5121" s="1205" t="s">
        <v>64463</v>
      </c>
      <c r="B5121" s="1205" t="s">
        <v>64462</v>
      </c>
      <c r="C5121" s="1205">
        <v>16.489999999999998</v>
      </c>
    </row>
    <row r="5122" spans="1:3" ht="24" customHeight="1">
      <c r="A5122" s="1205" t="s">
        <v>64461</v>
      </c>
      <c r="B5122" s="1205" t="s">
        <v>64460</v>
      </c>
      <c r="C5122" s="1205">
        <v>18.989999999999998</v>
      </c>
    </row>
    <row r="5123" spans="1:3" ht="24" customHeight="1">
      <c r="A5123" s="1205" t="s">
        <v>64459</v>
      </c>
      <c r="B5123" s="1205" t="s">
        <v>64458</v>
      </c>
      <c r="C5123" s="1205">
        <v>22.99</v>
      </c>
    </row>
    <row r="5124" spans="1:3" ht="24" customHeight="1">
      <c r="A5124" s="1205" t="s">
        <v>64457</v>
      </c>
      <c r="B5124" s="1205" t="s">
        <v>64453</v>
      </c>
      <c r="C5124" s="1205">
        <v>42.99</v>
      </c>
    </row>
    <row r="5125" spans="1:3" ht="24" customHeight="1">
      <c r="A5125" s="1205" t="s">
        <v>64456</v>
      </c>
      <c r="B5125" s="1205" t="s">
        <v>64455</v>
      </c>
      <c r="C5125" s="1205">
        <v>51.99</v>
      </c>
    </row>
    <row r="5126" spans="1:3" ht="24" customHeight="1">
      <c r="A5126" s="1205" t="s">
        <v>64454</v>
      </c>
      <c r="B5126" s="1205" t="s">
        <v>64453</v>
      </c>
      <c r="C5126" s="1205">
        <v>45.99</v>
      </c>
    </row>
    <row r="5127" spans="1:3" ht="24" customHeight="1">
      <c r="A5127" s="1205" t="s">
        <v>64452</v>
      </c>
      <c r="B5127" s="1205" t="s">
        <v>64451</v>
      </c>
      <c r="C5127" s="1205">
        <v>38.99</v>
      </c>
    </row>
    <row r="5128" spans="1:3" ht="24" customHeight="1">
      <c r="A5128" s="1205" t="s">
        <v>64450</v>
      </c>
      <c r="B5128" s="1205" t="s">
        <v>64448</v>
      </c>
      <c r="C5128" s="1205">
        <v>116.99</v>
      </c>
    </row>
    <row r="5129" spans="1:3" ht="24" customHeight="1">
      <c r="A5129" s="1205" t="s">
        <v>64449</v>
      </c>
      <c r="B5129" s="1205" t="s">
        <v>64448</v>
      </c>
      <c r="C5129" s="1205">
        <v>121.49</v>
      </c>
    </row>
    <row r="5130" spans="1:3" ht="24" customHeight="1">
      <c r="A5130" s="1205" t="s">
        <v>64447</v>
      </c>
      <c r="B5130" s="1205" t="s">
        <v>64441</v>
      </c>
      <c r="C5130" s="1205">
        <v>106.99</v>
      </c>
    </row>
    <row r="5131" spans="1:3" ht="24" customHeight="1">
      <c r="A5131" s="1205" t="s">
        <v>64446</v>
      </c>
      <c r="B5131" s="1205" t="s">
        <v>64445</v>
      </c>
      <c r="C5131" s="1205">
        <v>47.99</v>
      </c>
    </row>
    <row r="5132" spans="1:3" ht="24" customHeight="1">
      <c r="A5132" s="1205" t="s">
        <v>64444</v>
      </c>
      <c r="B5132" s="1205" t="s">
        <v>64443</v>
      </c>
      <c r="C5132" s="1205">
        <v>67.489999999999995</v>
      </c>
    </row>
    <row r="5133" spans="1:3" ht="24" customHeight="1">
      <c r="A5133" s="1205" t="s">
        <v>64442</v>
      </c>
      <c r="B5133" s="1205" t="s">
        <v>64441</v>
      </c>
      <c r="C5133" s="1205">
        <v>115.99</v>
      </c>
    </row>
    <row r="5134" spans="1:3" ht="24" customHeight="1">
      <c r="A5134" s="1205" t="s">
        <v>64440</v>
      </c>
      <c r="B5134" s="1205" t="s">
        <v>64439</v>
      </c>
      <c r="C5134" s="1205">
        <v>132.49</v>
      </c>
    </row>
    <row r="5135" spans="1:3" ht="24" customHeight="1">
      <c r="A5135" s="1205" t="s">
        <v>64438</v>
      </c>
      <c r="B5135" s="1205" t="s">
        <v>64437</v>
      </c>
      <c r="C5135" s="1205">
        <v>10.49</v>
      </c>
    </row>
    <row r="5136" spans="1:3" ht="24" customHeight="1">
      <c r="A5136" s="1205" t="s">
        <v>64436</v>
      </c>
      <c r="B5136" s="1205" t="s">
        <v>63278</v>
      </c>
      <c r="C5136" s="1205">
        <v>17.489999999999998</v>
      </c>
    </row>
    <row r="5137" spans="1:3" ht="24" customHeight="1">
      <c r="A5137" s="1205" t="s">
        <v>64435</v>
      </c>
      <c r="B5137" s="1205" t="s">
        <v>64434</v>
      </c>
      <c r="C5137" s="1205">
        <v>67.489999999999995</v>
      </c>
    </row>
    <row r="5138" spans="1:3" ht="24" customHeight="1">
      <c r="A5138" s="1205" t="s">
        <v>64433</v>
      </c>
      <c r="B5138" s="1205" t="s">
        <v>64432</v>
      </c>
      <c r="C5138" s="1205">
        <v>87.49</v>
      </c>
    </row>
    <row r="5139" spans="1:3" ht="24" customHeight="1">
      <c r="A5139" s="1205" t="s">
        <v>64431</v>
      </c>
      <c r="B5139" s="1205" t="s">
        <v>64430</v>
      </c>
      <c r="C5139" s="1205">
        <v>66.489999999999995</v>
      </c>
    </row>
    <row r="5140" spans="1:3" ht="24" customHeight="1">
      <c r="A5140" s="1205" t="s">
        <v>64429</v>
      </c>
      <c r="B5140" s="1205" t="s">
        <v>64428</v>
      </c>
      <c r="C5140" s="1205">
        <v>56.49</v>
      </c>
    </row>
    <row r="5141" spans="1:3" ht="24" customHeight="1">
      <c r="A5141" s="1205" t="s">
        <v>64427</v>
      </c>
      <c r="B5141" s="1205" t="s">
        <v>64426</v>
      </c>
      <c r="C5141" s="1205">
        <v>83.49</v>
      </c>
    </row>
    <row r="5142" spans="1:3" ht="24" customHeight="1">
      <c r="A5142" s="1205" t="s">
        <v>64425</v>
      </c>
      <c r="B5142" s="1205" t="s">
        <v>64424</v>
      </c>
      <c r="C5142" s="1205">
        <v>88.49</v>
      </c>
    </row>
    <row r="5143" spans="1:3" ht="24" customHeight="1">
      <c r="A5143" s="1205" t="s">
        <v>64423</v>
      </c>
      <c r="B5143" s="1205" t="s">
        <v>64422</v>
      </c>
      <c r="C5143" s="1205">
        <v>70.489999999999995</v>
      </c>
    </row>
    <row r="5144" spans="1:3" ht="24" customHeight="1">
      <c r="A5144" s="1205" t="s">
        <v>64421</v>
      </c>
      <c r="B5144" s="1205" t="s">
        <v>64420</v>
      </c>
      <c r="C5144" s="1205">
        <v>100.49</v>
      </c>
    </row>
    <row r="5145" spans="1:3" ht="24" customHeight="1">
      <c r="A5145" s="1205" t="s">
        <v>64419</v>
      </c>
      <c r="B5145" s="1205" t="s">
        <v>64418</v>
      </c>
      <c r="C5145" s="1205">
        <v>93.99</v>
      </c>
    </row>
    <row r="5146" spans="1:3" ht="24" customHeight="1">
      <c r="A5146" s="1205" t="s">
        <v>64417</v>
      </c>
      <c r="B5146" s="1205" t="s">
        <v>64416</v>
      </c>
      <c r="C5146" s="1205">
        <v>82.49</v>
      </c>
    </row>
    <row r="5147" spans="1:3" ht="24" customHeight="1">
      <c r="A5147" s="1205" t="s">
        <v>64415</v>
      </c>
      <c r="B5147" s="1205" t="s">
        <v>63262</v>
      </c>
      <c r="C5147" s="1205">
        <v>23.49</v>
      </c>
    </row>
    <row r="5148" spans="1:3" ht="24" customHeight="1">
      <c r="A5148" s="1205" t="s">
        <v>64414</v>
      </c>
      <c r="B5148" s="1205" t="s">
        <v>63190</v>
      </c>
      <c r="C5148" s="1205">
        <v>14.49</v>
      </c>
    </row>
    <row r="5149" spans="1:3" ht="24" customHeight="1">
      <c r="A5149" s="1205" t="s">
        <v>64413</v>
      </c>
      <c r="B5149" s="1205" t="s">
        <v>63186</v>
      </c>
      <c r="C5149" s="1205">
        <v>13.99</v>
      </c>
    </row>
    <row r="5150" spans="1:3" ht="24" customHeight="1">
      <c r="A5150" s="1205" t="s">
        <v>64412</v>
      </c>
      <c r="B5150" s="1205" t="s">
        <v>63183</v>
      </c>
      <c r="C5150" s="1205">
        <v>14.49</v>
      </c>
    </row>
    <row r="5151" spans="1:3" ht="24" customHeight="1">
      <c r="A5151" s="1205" t="s">
        <v>64411</v>
      </c>
      <c r="B5151" s="1205" t="s">
        <v>63183</v>
      </c>
      <c r="C5151" s="1205">
        <v>14.49</v>
      </c>
    </row>
    <row r="5152" spans="1:3" ht="24" customHeight="1">
      <c r="A5152" s="1205" t="s">
        <v>64410</v>
      </c>
      <c r="B5152" s="1205" t="s">
        <v>63179</v>
      </c>
      <c r="C5152" s="1205">
        <v>15.49</v>
      </c>
    </row>
    <row r="5153" spans="1:3" ht="24" customHeight="1">
      <c r="A5153" s="1205" t="s">
        <v>64409</v>
      </c>
      <c r="B5153" s="1205" t="s">
        <v>63175</v>
      </c>
      <c r="C5153" s="1205">
        <v>13.99</v>
      </c>
    </row>
    <row r="5154" spans="1:3" ht="24" customHeight="1">
      <c r="A5154" s="1205" t="s">
        <v>64408</v>
      </c>
      <c r="B5154" s="1205" t="s">
        <v>63173</v>
      </c>
      <c r="C5154" s="1205">
        <v>13.99</v>
      </c>
    </row>
    <row r="5155" spans="1:3" ht="24" customHeight="1">
      <c r="A5155" s="1205" t="s">
        <v>64407</v>
      </c>
      <c r="B5155" s="1205" t="s">
        <v>64406</v>
      </c>
      <c r="C5155" s="1205">
        <v>13.49</v>
      </c>
    </row>
    <row r="5156" spans="1:3" ht="24" customHeight="1">
      <c r="A5156" s="1205" t="s">
        <v>64405</v>
      </c>
      <c r="B5156" s="1205" t="s">
        <v>63169</v>
      </c>
      <c r="C5156" s="1205">
        <v>14.49</v>
      </c>
    </row>
    <row r="5157" spans="1:3" ht="24" customHeight="1">
      <c r="A5157" s="1205" t="s">
        <v>64404</v>
      </c>
      <c r="B5157" s="1205" t="s">
        <v>63165</v>
      </c>
      <c r="C5157" s="1205">
        <v>15.99</v>
      </c>
    </row>
    <row r="5158" spans="1:3" ht="24" customHeight="1">
      <c r="A5158" s="1205" t="s">
        <v>64403</v>
      </c>
      <c r="B5158" s="1205" t="s">
        <v>63163</v>
      </c>
      <c r="C5158" s="1205">
        <v>15.49</v>
      </c>
    </row>
    <row r="5159" spans="1:3" ht="24" customHeight="1">
      <c r="A5159" s="1205" t="s">
        <v>64402</v>
      </c>
      <c r="B5159" s="1205" t="s">
        <v>64401</v>
      </c>
      <c r="C5159" s="1205">
        <v>24.99</v>
      </c>
    </row>
    <row r="5160" spans="1:3" ht="24" customHeight="1">
      <c r="A5160" s="1205" t="s">
        <v>64400</v>
      </c>
      <c r="B5160" s="1205" t="s">
        <v>64399</v>
      </c>
      <c r="C5160" s="1205">
        <v>34.49</v>
      </c>
    </row>
    <row r="5161" spans="1:3" ht="24" customHeight="1">
      <c r="A5161" s="1205" t="s">
        <v>64398</v>
      </c>
      <c r="B5161" s="1205" t="s">
        <v>64397</v>
      </c>
      <c r="C5161" s="1205">
        <v>17.989999999999998</v>
      </c>
    </row>
    <row r="5162" spans="1:3" ht="24" customHeight="1">
      <c r="A5162" s="1205" t="s">
        <v>64396</v>
      </c>
      <c r="B5162" s="1205" t="s">
        <v>64395</v>
      </c>
      <c r="C5162" s="1205">
        <v>14.99</v>
      </c>
    </row>
    <row r="5163" spans="1:3" ht="24" customHeight="1">
      <c r="A5163" s="1205" t="s">
        <v>64394</v>
      </c>
      <c r="B5163" s="1205" t="s">
        <v>64393</v>
      </c>
      <c r="C5163" s="1205">
        <v>14.99</v>
      </c>
    </row>
    <row r="5164" spans="1:3" ht="24" customHeight="1">
      <c r="A5164" s="1205" t="s">
        <v>64392</v>
      </c>
      <c r="B5164" s="1205" t="s">
        <v>64391</v>
      </c>
      <c r="C5164" s="1205">
        <v>15.99</v>
      </c>
    </row>
    <row r="5165" spans="1:3" ht="24" customHeight="1">
      <c r="A5165" s="1205" t="s">
        <v>64390</v>
      </c>
      <c r="B5165" s="1205" t="s">
        <v>63155</v>
      </c>
      <c r="C5165" s="1205">
        <v>13.99</v>
      </c>
    </row>
    <row r="5166" spans="1:3" ht="24" customHeight="1">
      <c r="A5166" s="1205" t="s">
        <v>64389</v>
      </c>
      <c r="B5166" s="1205" t="s">
        <v>64388</v>
      </c>
      <c r="C5166" s="1205">
        <v>14.99</v>
      </c>
    </row>
    <row r="5167" spans="1:3" ht="24" customHeight="1">
      <c r="A5167" s="1205" t="s">
        <v>64387</v>
      </c>
      <c r="B5167" s="1205" t="s">
        <v>64386</v>
      </c>
      <c r="C5167" s="1205">
        <v>14.49</v>
      </c>
    </row>
    <row r="5168" spans="1:3" ht="24" customHeight="1">
      <c r="A5168" s="1205" t="s">
        <v>64385</v>
      </c>
      <c r="B5168" s="1205" t="s">
        <v>64384</v>
      </c>
      <c r="C5168" s="1205">
        <v>30.49</v>
      </c>
    </row>
    <row r="5169" spans="1:3" ht="24" customHeight="1">
      <c r="A5169" s="1205" t="s">
        <v>64383</v>
      </c>
      <c r="B5169" s="1205" t="s">
        <v>64382</v>
      </c>
      <c r="C5169" s="1205">
        <v>26.49</v>
      </c>
    </row>
    <row r="5170" spans="1:3" ht="24" customHeight="1">
      <c r="A5170" s="1205" t="s">
        <v>64381</v>
      </c>
      <c r="B5170" s="1205" t="s">
        <v>64380</v>
      </c>
      <c r="C5170" s="1205">
        <v>14.49</v>
      </c>
    </row>
    <row r="5171" spans="1:3" ht="24" customHeight="1">
      <c r="A5171" s="1205" t="s">
        <v>64379</v>
      </c>
      <c r="B5171" s="1205" t="s">
        <v>64378</v>
      </c>
      <c r="C5171" s="1205">
        <v>26.99</v>
      </c>
    </row>
    <row r="5172" spans="1:3" ht="24" customHeight="1">
      <c r="A5172" s="1205" t="s">
        <v>64377</v>
      </c>
      <c r="B5172" s="1205" t="s">
        <v>64376</v>
      </c>
      <c r="C5172" s="1205">
        <v>112.99</v>
      </c>
    </row>
    <row r="5173" spans="1:3" ht="24" customHeight="1">
      <c r="A5173" s="1205" t="s">
        <v>64375</v>
      </c>
      <c r="B5173" s="1205" t="s">
        <v>64374</v>
      </c>
      <c r="C5173" s="1205">
        <v>85.99</v>
      </c>
    </row>
    <row r="5174" spans="1:3" ht="24" customHeight="1">
      <c r="A5174" s="1205" t="s">
        <v>64373</v>
      </c>
      <c r="B5174" s="1205" t="s">
        <v>64372</v>
      </c>
      <c r="C5174" s="1205">
        <v>58.99</v>
      </c>
    </row>
    <row r="5175" spans="1:3" ht="24" customHeight="1">
      <c r="A5175" s="1205" t="s">
        <v>64371</v>
      </c>
      <c r="B5175" s="1205" t="s">
        <v>64370</v>
      </c>
      <c r="C5175" s="1205">
        <v>41.49</v>
      </c>
    </row>
    <row r="5176" spans="1:3" ht="24" customHeight="1">
      <c r="A5176" s="1205" t="s">
        <v>64369</v>
      </c>
      <c r="B5176" s="1205" t="s">
        <v>64368</v>
      </c>
      <c r="C5176" s="1205">
        <v>37.99</v>
      </c>
    </row>
    <row r="5177" spans="1:3" ht="24" customHeight="1">
      <c r="A5177" s="1205" t="s">
        <v>64367</v>
      </c>
      <c r="B5177" s="1205" t="s">
        <v>64366</v>
      </c>
      <c r="C5177" s="1205">
        <v>20.99</v>
      </c>
    </row>
    <row r="5178" spans="1:3" ht="24" customHeight="1">
      <c r="A5178" s="1205" t="s">
        <v>64365</v>
      </c>
      <c r="B5178" s="1205" t="s">
        <v>64364</v>
      </c>
      <c r="C5178" s="1205">
        <v>18.489999999999998</v>
      </c>
    </row>
    <row r="5179" spans="1:3" ht="24" customHeight="1">
      <c r="A5179" s="1205" t="s">
        <v>64363</v>
      </c>
      <c r="B5179" s="1205" t="s">
        <v>64362</v>
      </c>
      <c r="C5179" s="1205">
        <v>20.49</v>
      </c>
    </row>
    <row r="5180" spans="1:3" ht="24" customHeight="1">
      <c r="A5180" s="1205" t="s">
        <v>64361</v>
      </c>
      <c r="B5180" s="1205" t="s">
        <v>64291</v>
      </c>
      <c r="C5180" s="1205">
        <v>20.99</v>
      </c>
    </row>
    <row r="5181" spans="1:3" ht="24" customHeight="1">
      <c r="A5181" s="1205" t="s">
        <v>64360</v>
      </c>
      <c r="B5181" s="1205" t="s">
        <v>64359</v>
      </c>
      <c r="C5181" s="1205">
        <v>82.49</v>
      </c>
    </row>
    <row r="5182" spans="1:3" ht="24" customHeight="1">
      <c r="A5182" s="1205" t="s">
        <v>64358</v>
      </c>
      <c r="B5182" s="1205" t="s">
        <v>64357</v>
      </c>
      <c r="C5182" s="1205">
        <v>72.489999999999995</v>
      </c>
    </row>
    <row r="5183" spans="1:3" ht="24" customHeight="1">
      <c r="A5183" s="1205" t="s">
        <v>64356</v>
      </c>
      <c r="B5183" s="1205" t="s">
        <v>64355</v>
      </c>
      <c r="C5183" s="1205">
        <v>32.99</v>
      </c>
    </row>
    <row r="5184" spans="1:3" ht="24" customHeight="1">
      <c r="A5184" s="1205" t="s">
        <v>64354</v>
      </c>
      <c r="B5184" s="1205" t="s">
        <v>64353</v>
      </c>
      <c r="C5184" s="1205">
        <v>32.99</v>
      </c>
    </row>
    <row r="5185" spans="1:3" ht="24" customHeight="1">
      <c r="A5185" s="1205" t="s">
        <v>64352</v>
      </c>
      <c r="B5185" s="1205" t="s">
        <v>64351</v>
      </c>
      <c r="C5185" s="1205">
        <v>34.99</v>
      </c>
    </row>
    <row r="5186" spans="1:3" ht="24" customHeight="1">
      <c r="A5186" s="1205" t="s">
        <v>64350</v>
      </c>
      <c r="B5186" s="1205" t="s">
        <v>64349</v>
      </c>
      <c r="C5186" s="1205">
        <v>43.99</v>
      </c>
    </row>
    <row r="5187" spans="1:3" ht="24" customHeight="1">
      <c r="A5187" s="1205" t="s">
        <v>64348</v>
      </c>
      <c r="B5187" s="1205" t="s">
        <v>64347</v>
      </c>
      <c r="C5187" s="1205">
        <v>38.49</v>
      </c>
    </row>
    <row r="5188" spans="1:3" ht="24" customHeight="1">
      <c r="A5188" s="1205" t="s">
        <v>64346</v>
      </c>
      <c r="B5188" s="1205" t="s">
        <v>64345</v>
      </c>
      <c r="C5188" s="1205">
        <v>39.99</v>
      </c>
    </row>
    <row r="5189" spans="1:3" ht="24" customHeight="1">
      <c r="A5189" s="1205" t="s">
        <v>64344</v>
      </c>
      <c r="B5189" s="1205" t="s">
        <v>64343</v>
      </c>
      <c r="C5189" s="1205">
        <v>41.99</v>
      </c>
    </row>
    <row r="5190" spans="1:3" ht="24" customHeight="1">
      <c r="A5190" s="1205" t="s">
        <v>64342</v>
      </c>
      <c r="B5190" s="1205" t="s">
        <v>64341</v>
      </c>
      <c r="C5190" s="1205">
        <v>32.99</v>
      </c>
    </row>
    <row r="5191" spans="1:3" ht="24" customHeight="1">
      <c r="A5191" s="1205" t="s">
        <v>64340</v>
      </c>
      <c r="B5191" s="1205" t="s">
        <v>64339</v>
      </c>
      <c r="C5191" s="1205">
        <v>33.49</v>
      </c>
    </row>
    <row r="5192" spans="1:3" ht="24" customHeight="1">
      <c r="A5192" s="1205" t="s">
        <v>64338</v>
      </c>
      <c r="B5192" s="1205" t="s">
        <v>64337</v>
      </c>
      <c r="C5192" s="1205">
        <v>27.99</v>
      </c>
    </row>
    <row r="5193" spans="1:3" ht="24" customHeight="1">
      <c r="A5193" s="1205" t="s">
        <v>64336</v>
      </c>
      <c r="B5193" s="1205" t="s">
        <v>64335</v>
      </c>
      <c r="C5193" s="1205">
        <v>29.49</v>
      </c>
    </row>
    <row r="5194" spans="1:3" ht="24" customHeight="1">
      <c r="A5194" s="1205" t="s">
        <v>64334</v>
      </c>
      <c r="B5194" s="1205" t="s">
        <v>64333</v>
      </c>
      <c r="C5194" s="1205">
        <v>40.49</v>
      </c>
    </row>
    <row r="5195" spans="1:3" ht="24" customHeight="1">
      <c r="A5195" s="1205" t="s">
        <v>64332</v>
      </c>
      <c r="B5195" s="1205" t="s">
        <v>64331</v>
      </c>
      <c r="C5195" s="1205">
        <v>30.49</v>
      </c>
    </row>
    <row r="5196" spans="1:3" ht="24" customHeight="1">
      <c r="A5196" s="1205" t="s">
        <v>64330</v>
      </c>
      <c r="B5196" s="1205" t="s">
        <v>64329</v>
      </c>
      <c r="C5196" s="1205">
        <v>10.99</v>
      </c>
    </row>
    <row r="5197" spans="1:3" ht="24" customHeight="1">
      <c r="A5197" s="1205" t="s">
        <v>64328</v>
      </c>
      <c r="B5197" s="1205" t="s">
        <v>64327</v>
      </c>
      <c r="C5197" s="1205">
        <v>51.99</v>
      </c>
    </row>
    <row r="5198" spans="1:3" ht="24" customHeight="1">
      <c r="A5198" s="1205" t="s">
        <v>64326</v>
      </c>
      <c r="B5198" s="1205" t="s">
        <v>64325</v>
      </c>
      <c r="C5198" s="1205">
        <v>36.49</v>
      </c>
    </row>
    <row r="5199" spans="1:3" ht="24" customHeight="1">
      <c r="A5199" s="1205" t="s">
        <v>64324</v>
      </c>
      <c r="B5199" s="1205" t="s">
        <v>64323</v>
      </c>
      <c r="C5199" s="1205">
        <v>46.49</v>
      </c>
    </row>
    <row r="5200" spans="1:3" ht="24" customHeight="1">
      <c r="A5200" s="1205" t="s">
        <v>64322</v>
      </c>
      <c r="B5200" s="1205" t="s">
        <v>64321</v>
      </c>
      <c r="C5200" s="1205">
        <v>43.49</v>
      </c>
    </row>
    <row r="5201" spans="1:3" ht="24" customHeight="1">
      <c r="A5201" s="1205" t="s">
        <v>64320</v>
      </c>
      <c r="B5201" s="1205" t="s">
        <v>64319</v>
      </c>
      <c r="C5201" s="1205">
        <v>71.489999999999995</v>
      </c>
    </row>
    <row r="5202" spans="1:3" ht="24" customHeight="1">
      <c r="A5202" s="1205" t="s">
        <v>64318</v>
      </c>
      <c r="B5202" s="1205" t="s">
        <v>64317</v>
      </c>
      <c r="C5202" s="1205">
        <v>69.489999999999995</v>
      </c>
    </row>
    <row r="5203" spans="1:3" ht="24" customHeight="1">
      <c r="A5203" s="1205" t="s">
        <v>64316</v>
      </c>
      <c r="B5203" s="1205" t="s">
        <v>64314</v>
      </c>
      <c r="C5203" s="1205">
        <v>33.99</v>
      </c>
    </row>
    <row r="5204" spans="1:3" ht="24" customHeight="1">
      <c r="A5204" s="1205" t="s">
        <v>64315</v>
      </c>
      <c r="B5204" s="1205" t="s">
        <v>64314</v>
      </c>
      <c r="C5204" s="1205">
        <v>32.49</v>
      </c>
    </row>
    <row r="5205" spans="1:3" ht="24" customHeight="1">
      <c r="A5205" s="1205" t="s">
        <v>64313</v>
      </c>
      <c r="B5205" s="1205" t="s">
        <v>64311</v>
      </c>
      <c r="C5205" s="1205">
        <v>42.99</v>
      </c>
    </row>
    <row r="5206" spans="1:3" ht="24" customHeight="1">
      <c r="A5206" s="1205" t="s">
        <v>64312</v>
      </c>
      <c r="B5206" s="1205" t="s">
        <v>64311</v>
      </c>
      <c r="C5206" s="1205">
        <v>45.49</v>
      </c>
    </row>
    <row r="5207" spans="1:3" ht="24" customHeight="1">
      <c r="A5207" s="1205" t="s">
        <v>64310</v>
      </c>
      <c r="B5207" s="1205" t="s">
        <v>64309</v>
      </c>
      <c r="C5207" s="1205">
        <v>43.99</v>
      </c>
    </row>
    <row r="5208" spans="1:3" ht="24" customHeight="1">
      <c r="A5208" s="1205" t="s">
        <v>64308</v>
      </c>
      <c r="B5208" s="1205" t="s">
        <v>64307</v>
      </c>
      <c r="C5208" s="1205">
        <v>32.49</v>
      </c>
    </row>
    <row r="5209" spans="1:3" ht="24" customHeight="1">
      <c r="A5209" s="1205" t="s">
        <v>64306</v>
      </c>
      <c r="B5209" s="1205" t="s">
        <v>64305</v>
      </c>
      <c r="C5209" s="1205">
        <v>39.49</v>
      </c>
    </row>
    <row r="5210" spans="1:3" ht="24" customHeight="1">
      <c r="A5210" s="1205" t="s">
        <v>64304</v>
      </c>
      <c r="B5210" s="1205" t="s">
        <v>64302</v>
      </c>
      <c r="C5210" s="1205">
        <v>30.99</v>
      </c>
    </row>
    <row r="5211" spans="1:3" ht="24" customHeight="1">
      <c r="A5211" s="1205" t="s">
        <v>64303</v>
      </c>
      <c r="B5211" s="1205" t="s">
        <v>64302</v>
      </c>
      <c r="C5211" s="1205">
        <v>31.49</v>
      </c>
    </row>
    <row r="5212" spans="1:3" ht="24" customHeight="1">
      <c r="A5212" s="1205" t="s">
        <v>64301</v>
      </c>
      <c r="B5212" s="1205" t="s">
        <v>64300</v>
      </c>
      <c r="C5212" s="1205">
        <v>25.99</v>
      </c>
    </row>
    <row r="5213" spans="1:3" ht="24" customHeight="1">
      <c r="A5213" s="1205" t="s">
        <v>64299</v>
      </c>
      <c r="B5213" s="1205" t="s">
        <v>64295</v>
      </c>
      <c r="C5213" s="1205">
        <v>26.99</v>
      </c>
    </row>
    <row r="5214" spans="1:3" ht="24" customHeight="1">
      <c r="A5214" s="1205" t="s">
        <v>64298</v>
      </c>
      <c r="B5214" s="1205" t="s">
        <v>64297</v>
      </c>
      <c r="C5214" s="1205">
        <v>38.49</v>
      </c>
    </row>
    <row r="5215" spans="1:3" ht="24" customHeight="1">
      <c r="A5215" s="1205" t="s">
        <v>64296</v>
      </c>
      <c r="B5215" s="1205" t="s">
        <v>64295</v>
      </c>
      <c r="C5215" s="1205">
        <v>27.99</v>
      </c>
    </row>
    <row r="5216" spans="1:3" ht="24" customHeight="1">
      <c r="A5216" s="1205" t="s">
        <v>64294</v>
      </c>
      <c r="B5216" s="1205" t="s">
        <v>64293</v>
      </c>
      <c r="C5216" s="1205">
        <v>19.989999999999998</v>
      </c>
    </row>
    <row r="5217" spans="1:3" ht="24" customHeight="1">
      <c r="A5217" s="1205" t="s">
        <v>64292</v>
      </c>
      <c r="B5217" s="1205" t="s">
        <v>64291</v>
      </c>
      <c r="C5217" s="1205">
        <v>22.49</v>
      </c>
    </row>
    <row r="5218" spans="1:3" ht="24" customHeight="1">
      <c r="A5218" s="1205" t="s">
        <v>64290</v>
      </c>
      <c r="B5218" s="1205" t="s">
        <v>64289</v>
      </c>
      <c r="C5218" s="1205">
        <v>17.989999999999998</v>
      </c>
    </row>
    <row r="5219" spans="1:3" ht="24" customHeight="1">
      <c r="A5219" s="1205" t="s">
        <v>64288</v>
      </c>
      <c r="B5219" s="1205" t="s">
        <v>64287</v>
      </c>
      <c r="C5219" s="1205">
        <v>47.99</v>
      </c>
    </row>
    <row r="5220" spans="1:3" ht="24" customHeight="1">
      <c r="A5220" s="1205" t="s">
        <v>64286</v>
      </c>
      <c r="B5220" s="1205" t="s">
        <v>64285</v>
      </c>
      <c r="C5220" s="1205">
        <v>33.99</v>
      </c>
    </row>
    <row r="5221" spans="1:3" ht="24" customHeight="1">
      <c r="A5221" s="1205" t="s">
        <v>64284</v>
      </c>
      <c r="B5221" s="1205" t="s">
        <v>64283</v>
      </c>
      <c r="C5221" s="1205">
        <v>33.99</v>
      </c>
    </row>
    <row r="5222" spans="1:3" ht="24" customHeight="1">
      <c r="A5222" s="1205" t="s">
        <v>64282</v>
      </c>
      <c r="B5222" s="1205" t="s">
        <v>64281</v>
      </c>
      <c r="C5222" s="1205">
        <v>39.49</v>
      </c>
    </row>
    <row r="5223" spans="1:3" ht="24" customHeight="1">
      <c r="A5223" s="1205" t="s">
        <v>64280</v>
      </c>
      <c r="B5223" s="1205" t="s">
        <v>64279</v>
      </c>
      <c r="C5223" s="1205">
        <v>37.99</v>
      </c>
    </row>
    <row r="5224" spans="1:3" ht="24" customHeight="1">
      <c r="A5224" s="1205" t="s">
        <v>64278</v>
      </c>
      <c r="B5224" s="1205" t="s">
        <v>64277</v>
      </c>
      <c r="C5224" s="1205">
        <v>36.49</v>
      </c>
    </row>
    <row r="5225" spans="1:3" ht="24" customHeight="1">
      <c r="A5225" s="1205" t="s">
        <v>64276</v>
      </c>
      <c r="B5225" s="1205" t="s">
        <v>64275</v>
      </c>
      <c r="C5225" s="1205">
        <v>44.99</v>
      </c>
    </row>
    <row r="5226" spans="1:3" ht="24" customHeight="1">
      <c r="A5226" s="1205" t="s">
        <v>64274</v>
      </c>
      <c r="B5226" s="1205" t="s">
        <v>64273</v>
      </c>
      <c r="C5226" s="1205">
        <v>34.49</v>
      </c>
    </row>
    <row r="5227" spans="1:3" ht="24" customHeight="1">
      <c r="A5227" s="1205" t="s">
        <v>64272</v>
      </c>
      <c r="B5227" s="1205" t="s">
        <v>64271</v>
      </c>
      <c r="C5227" s="1205">
        <v>33.99</v>
      </c>
    </row>
    <row r="5228" spans="1:3" ht="24" customHeight="1">
      <c r="A5228" s="1205" t="s">
        <v>64270</v>
      </c>
      <c r="B5228" s="1205" t="s">
        <v>64269</v>
      </c>
      <c r="C5228" s="1205">
        <v>26.99</v>
      </c>
    </row>
    <row r="5229" spans="1:3" ht="24" customHeight="1">
      <c r="A5229" s="1205" t="s">
        <v>64268</v>
      </c>
      <c r="B5229" s="1205" t="s">
        <v>64267</v>
      </c>
      <c r="C5229" s="1205">
        <v>58.49</v>
      </c>
    </row>
    <row r="5230" spans="1:3" ht="24" customHeight="1">
      <c r="A5230" s="1205" t="s">
        <v>64266</v>
      </c>
      <c r="B5230" s="1205" t="s">
        <v>64265</v>
      </c>
      <c r="C5230" s="1205">
        <v>53.99</v>
      </c>
    </row>
    <row r="5231" spans="1:3" ht="24" customHeight="1">
      <c r="A5231" s="1205" t="s">
        <v>64264</v>
      </c>
      <c r="B5231" s="1205" t="s">
        <v>64263</v>
      </c>
      <c r="C5231" s="1205">
        <v>47.49</v>
      </c>
    </row>
    <row r="5232" spans="1:3" ht="24" customHeight="1">
      <c r="A5232" s="1205" t="s">
        <v>64262</v>
      </c>
      <c r="B5232" s="1205" t="s">
        <v>64261</v>
      </c>
      <c r="C5232" s="1205">
        <v>68.489999999999995</v>
      </c>
    </row>
    <row r="5233" spans="1:3" ht="24" customHeight="1">
      <c r="A5233" s="1205" t="s">
        <v>64260</v>
      </c>
      <c r="B5233" s="1205" t="s">
        <v>64259</v>
      </c>
      <c r="C5233" s="1205">
        <v>8.49</v>
      </c>
    </row>
    <row r="5234" spans="1:3" ht="24" customHeight="1">
      <c r="A5234" s="1205" t="s">
        <v>64258</v>
      </c>
      <c r="B5234" s="1205" t="s">
        <v>64257</v>
      </c>
      <c r="C5234" s="1205">
        <v>12.99</v>
      </c>
    </row>
    <row r="5235" spans="1:3" ht="24" customHeight="1">
      <c r="A5235" s="1205" t="s">
        <v>64256</v>
      </c>
      <c r="B5235" s="1205" t="s">
        <v>64255</v>
      </c>
      <c r="C5235" s="1205">
        <v>43.99</v>
      </c>
    </row>
    <row r="5236" spans="1:3" ht="24" customHeight="1">
      <c r="A5236" s="1205" t="s">
        <v>64254</v>
      </c>
      <c r="B5236" s="1205" t="s">
        <v>64253</v>
      </c>
      <c r="C5236" s="1205">
        <v>17.489999999999998</v>
      </c>
    </row>
    <row r="5237" spans="1:3" ht="24" customHeight="1">
      <c r="A5237" s="1205" t="s">
        <v>64252</v>
      </c>
      <c r="B5237" s="1205" t="s">
        <v>64251</v>
      </c>
      <c r="C5237" s="1205">
        <v>10.49</v>
      </c>
    </row>
    <row r="5238" spans="1:3" ht="24" customHeight="1">
      <c r="A5238" s="1205" t="s">
        <v>64250</v>
      </c>
      <c r="B5238" s="1205" t="s">
        <v>64249</v>
      </c>
      <c r="C5238" s="1205">
        <v>3.99</v>
      </c>
    </row>
    <row r="5239" spans="1:3" ht="24" customHeight="1">
      <c r="A5239" s="1205" t="s">
        <v>64248</v>
      </c>
      <c r="B5239" s="1205" t="s">
        <v>64247</v>
      </c>
      <c r="C5239" s="1205">
        <v>8.99</v>
      </c>
    </row>
    <row r="5240" spans="1:3" ht="24" customHeight="1">
      <c r="A5240" s="1205" t="s">
        <v>64246</v>
      </c>
      <c r="B5240" s="1205" t="s">
        <v>64245</v>
      </c>
      <c r="C5240" s="1205">
        <v>87.99</v>
      </c>
    </row>
    <row r="5241" spans="1:3" ht="24" customHeight="1">
      <c r="A5241" s="1205" t="s">
        <v>64244</v>
      </c>
      <c r="B5241" s="1205" t="s">
        <v>64243</v>
      </c>
      <c r="C5241" s="1205">
        <v>37.49</v>
      </c>
    </row>
    <row r="5242" spans="1:3" ht="24" customHeight="1">
      <c r="A5242" s="1205" t="s">
        <v>64242</v>
      </c>
      <c r="B5242" s="1205" t="s">
        <v>64232</v>
      </c>
      <c r="C5242" s="1205">
        <v>54.99</v>
      </c>
    </row>
    <row r="5243" spans="1:3" ht="24" customHeight="1">
      <c r="A5243" s="1205" t="s">
        <v>64241</v>
      </c>
      <c r="B5243" s="1205" t="s">
        <v>64240</v>
      </c>
      <c r="C5243" s="1205">
        <v>71.489999999999995</v>
      </c>
    </row>
    <row r="5244" spans="1:3" ht="24" customHeight="1">
      <c r="A5244" s="1205" t="s">
        <v>64239</v>
      </c>
      <c r="B5244" s="1205" t="s">
        <v>64238</v>
      </c>
      <c r="C5244" s="1205">
        <v>52.49</v>
      </c>
    </row>
    <row r="5245" spans="1:3" ht="24" customHeight="1">
      <c r="A5245" s="1205" t="s">
        <v>64237</v>
      </c>
      <c r="B5245" s="1205" t="s">
        <v>64236</v>
      </c>
      <c r="C5245" s="1205">
        <v>48.99</v>
      </c>
    </row>
    <row r="5246" spans="1:3" ht="24" customHeight="1">
      <c r="A5246" s="1205" t="s">
        <v>64235</v>
      </c>
      <c r="B5246" s="1205" t="s">
        <v>64234</v>
      </c>
      <c r="C5246" s="1205">
        <v>43.99</v>
      </c>
    </row>
    <row r="5247" spans="1:3" ht="24" customHeight="1">
      <c r="A5247" s="1205" t="s">
        <v>64233</v>
      </c>
      <c r="B5247" s="1205" t="s">
        <v>64232</v>
      </c>
      <c r="C5247" s="1205">
        <v>54.99</v>
      </c>
    </row>
    <row r="5248" spans="1:3" ht="24" customHeight="1">
      <c r="A5248" s="1205" t="s">
        <v>64231</v>
      </c>
      <c r="B5248" s="1205" t="s">
        <v>64230</v>
      </c>
      <c r="C5248" s="1205">
        <v>71.489999999999995</v>
      </c>
    </row>
    <row r="5249" spans="1:3" ht="24" customHeight="1">
      <c r="A5249" s="1205" t="s">
        <v>64229</v>
      </c>
      <c r="B5249" s="1205" t="s">
        <v>64228</v>
      </c>
      <c r="C5249" s="1205">
        <v>52.49</v>
      </c>
    </row>
    <row r="5250" spans="1:3" ht="24" customHeight="1">
      <c r="A5250" s="1205" t="s">
        <v>64227</v>
      </c>
      <c r="B5250" s="1205" t="s">
        <v>64226</v>
      </c>
      <c r="C5250" s="1205">
        <v>49.49</v>
      </c>
    </row>
    <row r="5251" spans="1:3" ht="24" customHeight="1">
      <c r="A5251" s="1205" t="s">
        <v>64225</v>
      </c>
      <c r="B5251" s="1205" t="s">
        <v>64224</v>
      </c>
      <c r="C5251" s="1205">
        <v>43.99</v>
      </c>
    </row>
    <row r="5252" spans="1:3" ht="24" customHeight="1">
      <c r="A5252" s="1205" t="s">
        <v>64223</v>
      </c>
      <c r="B5252" s="1205" t="s">
        <v>64222</v>
      </c>
      <c r="C5252" s="1205">
        <v>37.49</v>
      </c>
    </row>
    <row r="5253" spans="1:3" ht="24" customHeight="1">
      <c r="A5253" s="1205" t="s">
        <v>64221</v>
      </c>
      <c r="B5253" s="1205" t="s">
        <v>64220</v>
      </c>
      <c r="C5253" s="1205">
        <v>46.99</v>
      </c>
    </row>
    <row r="5254" spans="1:3" ht="24" customHeight="1">
      <c r="A5254" s="1205" t="s">
        <v>64219</v>
      </c>
      <c r="B5254" s="1205" t="s">
        <v>64218</v>
      </c>
      <c r="C5254" s="1205">
        <v>48.99</v>
      </c>
    </row>
    <row r="5255" spans="1:3" ht="24" customHeight="1">
      <c r="A5255" s="1205" t="s">
        <v>64217</v>
      </c>
      <c r="B5255" s="1205" t="s">
        <v>64216</v>
      </c>
      <c r="C5255" s="1205">
        <v>94.99</v>
      </c>
    </row>
    <row r="5256" spans="1:3" ht="24" customHeight="1">
      <c r="A5256" s="1205" t="s">
        <v>64215</v>
      </c>
      <c r="B5256" s="1205" t="s">
        <v>64214</v>
      </c>
      <c r="C5256" s="1205">
        <v>144.99</v>
      </c>
    </row>
    <row r="5257" spans="1:3" ht="24" customHeight="1">
      <c r="A5257" s="1205" t="s">
        <v>64213</v>
      </c>
      <c r="B5257" s="1205" t="s">
        <v>64212</v>
      </c>
      <c r="C5257" s="1205">
        <v>39.49</v>
      </c>
    </row>
    <row r="5258" spans="1:3" ht="24" customHeight="1">
      <c r="A5258" s="1205" t="s">
        <v>64211</v>
      </c>
      <c r="B5258" s="1205" t="s">
        <v>64210</v>
      </c>
      <c r="C5258" s="1205">
        <v>114.99</v>
      </c>
    </row>
    <row r="5259" spans="1:3" ht="24" customHeight="1">
      <c r="A5259" s="1205" t="s">
        <v>64209</v>
      </c>
      <c r="B5259" s="1205" t="s">
        <v>64208</v>
      </c>
      <c r="C5259" s="1205">
        <v>97.49</v>
      </c>
    </row>
    <row r="5260" spans="1:3" ht="24" customHeight="1">
      <c r="A5260" s="1205" t="s">
        <v>64207</v>
      </c>
      <c r="B5260" s="1205" t="s">
        <v>64206</v>
      </c>
      <c r="C5260" s="1205">
        <v>87.49</v>
      </c>
    </row>
    <row r="5261" spans="1:3" ht="24" customHeight="1">
      <c r="A5261" s="1205" t="s">
        <v>64205</v>
      </c>
      <c r="B5261" s="1205" t="s">
        <v>64204</v>
      </c>
      <c r="C5261" s="1205">
        <v>101.99</v>
      </c>
    </row>
    <row r="5262" spans="1:3" ht="24" customHeight="1">
      <c r="A5262" s="1205" t="s">
        <v>64203</v>
      </c>
      <c r="B5262" s="1205" t="s">
        <v>64202</v>
      </c>
      <c r="C5262" s="1205">
        <v>74.989999999999995</v>
      </c>
    </row>
    <row r="5263" spans="1:3" ht="24" customHeight="1">
      <c r="A5263" s="1205" t="s">
        <v>64201</v>
      </c>
      <c r="B5263" s="1205" t="s">
        <v>64200</v>
      </c>
      <c r="C5263" s="1205">
        <v>111.49</v>
      </c>
    </row>
    <row r="5264" spans="1:3" ht="24" customHeight="1">
      <c r="A5264" s="1205" t="s">
        <v>64199</v>
      </c>
      <c r="B5264" s="1205" t="s">
        <v>64198</v>
      </c>
      <c r="C5264" s="1205">
        <v>29.99</v>
      </c>
    </row>
    <row r="5265" spans="1:3" ht="24" customHeight="1">
      <c r="A5265" s="1205" t="s">
        <v>64197</v>
      </c>
      <c r="B5265" s="1205" t="s">
        <v>64196</v>
      </c>
      <c r="C5265" s="1205">
        <v>44.99</v>
      </c>
    </row>
    <row r="5266" spans="1:3" ht="24" customHeight="1">
      <c r="A5266" s="1205" t="s">
        <v>64195</v>
      </c>
      <c r="B5266" s="1205" t="s">
        <v>64194</v>
      </c>
      <c r="C5266" s="1205">
        <v>44.49</v>
      </c>
    </row>
    <row r="5267" spans="1:3" ht="24" customHeight="1">
      <c r="A5267" s="1205" t="s">
        <v>64193</v>
      </c>
      <c r="B5267" s="1205" t="s">
        <v>64192</v>
      </c>
      <c r="C5267" s="1205">
        <v>113.49</v>
      </c>
    </row>
    <row r="5268" spans="1:3" ht="24" customHeight="1">
      <c r="A5268" s="1205" t="s">
        <v>64191</v>
      </c>
      <c r="B5268" s="1205" t="s">
        <v>64190</v>
      </c>
      <c r="C5268" s="1205">
        <v>202.99</v>
      </c>
    </row>
    <row r="5269" spans="1:3" ht="24" customHeight="1">
      <c r="A5269" s="1205" t="s">
        <v>64189</v>
      </c>
      <c r="B5269" s="1205" t="s">
        <v>64188</v>
      </c>
      <c r="C5269" s="1205">
        <v>241.99</v>
      </c>
    </row>
    <row r="5270" spans="1:3" ht="24" customHeight="1">
      <c r="A5270" s="1205" t="s">
        <v>64187</v>
      </c>
      <c r="B5270" s="1205" t="s">
        <v>64186</v>
      </c>
      <c r="C5270" s="1205">
        <v>297.49</v>
      </c>
    </row>
    <row r="5271" spans="1:3" ht="24" customHeight="1">
      <c r="A5271" s="1205" t="s">
        <v>64185</v>
      </c>
      <c r="B5271" s="1205" t="s">
        <v>64184</v>
      </c>
      <c r="C5271" s="1205">
        <v>107.49</v>
      </c>
    </row>
    <row r="5272" spans="1:3" ht="24" customHeight="1">
      <c r="A5272" s="1205" t="s">
        <v>64183</v>
      </c>
      <c r="B5272" s="1205" t="s">
        <v>64182</v>
      </c>
      <c r="C5272" s="1205">
        <v>69.989999999999995</v>
      </c>
    </row>
    <row r="5273" spans="1:3" ht="24" customHeight="1">
      <c r="A5273" s="1205" t="s">
        <v>64181</v>
      </c>
      <c r="B5273" s="1205" t="s">
        <v>64180</v>
      </c>
      <c r="C5273" s="1205">
        <v>69.489999999999995</v>
      </c>
    </row>
    <row r="5274" spans="1:3" ht="24" customHeight="1">
      <c r="A5274" s="1205" t="s">
        <v>64179</v>
      </c>
      <c r="B5274" s="1205" t="s">
        <v>64178</v>
      </c>
      <c r="C5274" s="1205">
        <v>28.49</v>
      </c>
    </row>
    <row r="5275" spans="1:3" ht="24" customHeight="1">
      <c r="A5275" s="1205" t="s">
        <v>64177</v>
      </c>
      <c r="B5275" s="1205" t="s">
        <v>64176</v>
      </c>
      <c r="C5275" s="1205">
        <v>24.99</v>
      </c>
    </row>
    <row r="5276" spans="1:3" ht="24" customHeight="1">
      <c r="A5276" s="1205" t="s">
        <v>64175</v>
      </c>
      <c r="B5276" s="1205" t="s">
        <v>64174</v>
      </c>
      <c r="C5276" s="1205">
        <v>17.989999999999998</v>
      </c>
    </row>
    <row r="5277" spans="1:3" ht="24" customHeight="1">
      <c r="A5277" s="1205" t="s">
        <v>64173</v>
      </c>
      <c r="B5277" s="1205" t="s">
        <v>64172</v>
      </c>
      <c r="C5277" s="1205">
        <v>32.49</v>
      </c>
    </row>
    <row r="5278" spans="1:3" ht="24" customHeight="1">
      <c r="A5278" s="1205" t="s">
        <v>64171</v>
      </c>
      <c r="B5278" s="1205" t="s">
        <v>64170</v>
      </c>
      <c r="C5278" s="1205">
        <v>7.49</v>
      </c>
    </row>
    <row r="5279" spans="1:3" ht="24" customHeight="1">
      <c r="A5279" s="1205" t="s">
        <v>64169</v>
      </c>
      <c r="B5279" s="1205" t="s">
        <v>64168</v>
      </c>
      <c r="C5279" s="1205">
        <v>15.49</v>
      </c>
    </row>
    <row r="5280" spans="1:3" ht="24" customHeight="1">
      <c r="A5280" s="1205" t="s">
        <v>64167</v>
      </c>
      <c r="B5280" s="1205" t="s">
        <v>64166</v>
      </c>
      <c r="C5280" s="1205">
        <v>97.99</v>
      </c>
    </row>
    <row r="5281" spans="1:3" ht="24" customHeight="1">
      <c r="A5281" s="1205" t="s">
        <v>64165</v>
      </c>
      <c r="B5281" s="1205" t="s">
        <v>64164</v>
      </c>
      <c r="C5281" s="1205">
        <v>95.49</v>
      </c>
    </row>
    <row r="5282" spans="1:3" ht="24" customHeight="1">
      <c r="A5282" s="1205" t="s">
        <v>64163</v>
      </c>
      <c r="B5282" s="1205" t="s">
        <v>64161</v>
      </c>
      <c r="C5282" s="1205">
        <v>102.99</v>
      </c>
    </row>
    <row r="5283" spans="1:3" ht="24" customHeight="1">
      <c r="A5283" s="1205" t="s">
        <v>64162</v>
      </c>
      <c r="B5283" s="1205" t="s">
        <v>64161</v>
      </c>
      <c r="C5283" s="1205">
        <v>100.99</v>
      </c>
    </row>
    <row r="5284" spans="1:3" ht="24" customHeight="1">
      <c r="A5284" s="1205" t="s">
        <v>64160</v>
      </c>
      <c r="B5284" s="1205" t="s">
        <v>64159</v>
      </c>
      <c r="C5284" s="1205">
        <v>131.99</v>
      </c>
    </row>
    <row r="5285" spans="1:3" ht="24" customHeight="1">
      <c r="A5285" s="1205" t="s">
        <v>64158</v>
      </c>
      <c r="B5285" s="1205" t="s">
        <v>64157</v>
      </c>
      <c r="C5285" s="1205">
        <v>51.49</v>
      </c>
    </row>
    <row r="5286" spans="1:3" ht="24" customHeight="1">
      <c r="A5286" s="1205" t="s">
        <v>64156</v>
      </c>
      <c r="B5286" s="1205" t="s">
        <v>64155</v>
      </c>
      <c r="C5286" s="1205">
        <v>51.49</v>
      </c>
    </row>
    <row r="5287" spans="1:3" ht="24" customHeight="1">
      <c r="A5287" s="1205" t="s">
        <v>64154</v>
      </c>
      <c r="B5287" s="1205" t="s">
        <v>64153</v>
      </c>
      <c r="C5287" s="1205">
        <v>30.99</v>
      </c>
    </row>
    <row r="5288" spans="1:3" ht="24" customHeight="1">
      <c r="A5288" s="1205" t="s">
        <v>64152</v>
      </c>
      <c r="B5288" s="1205" t="s">
        <v>64151</v>
      </c>
      <c r="C5288" s="1205">
        <v>25.49</v>
      </c>
    </row>
    <row r="5289" spans="1:3" ht="24" customHeight="1">
      <c r="A5289" s="1205" t="s">
        <v>64150</v>
      </c>
      <c r="B5289" s="1205" t="s">
        <v>64149</v>
      </c>
      <c r="C5289" s="1205">
        <v>5.99</v>
      </c>
    </row>
    <row r="5290" spans="1:3" ht="24" customHeight="1">
      <c r="A5290" s="1205" t="s">
        <v>64148</v>
      </c>
      <c r="B5290" s="1205" t="s">
        <v>64147</v>
      </c>
      <c r="C5290" s="1205">
        <v>85.99</v>
      </c>
    </row>
    <row r="5291" spans="1:3" ht="24" customHeight="1">
      <c r="A5291" s="1205" t="s">
        <v>64146</v>
      </c>
      <c r="B5291" s="1205" t="s">
        <v>64145</v>
      </c>
      <c r="C5291" s="1205">
        <v>54.49</v>
      </c>
    </row>
    <row r="5292" spans="1:3" ht="24" customHeight="1">
      <c r="A5292" s="1205" t="s">
        <v>64144</v>
      </c>
      <c r="B5292" s="1205" t="s">
        <v>64143</v>
      </c>
      <c r="C5292" s="1205">
        <v>34.99</v>
      </c>
    </row>
    <row r="5293" spans="1:3" ht="24" customHeight="1">
      <c r="A5293" s="1205" t="s">
        <v>64142</v>
      </c>
      <c r="B5293" s="1205" t="s">
        <v>64141</v>
      </c>
      <c r="C5293" s="1205">
        <v>16.489999999999998</v>
      </c>
    </row>
    <row r="5294" spans="1:3" ht="24" customHeight="1">
      <c r="A5294" s="1205" t="s">
        <v>64140</v>
      </c>
      <c r="B5294" s="1205" t="s">
        <v>64139</v>
      </c>
      <c r="C5294" s="1205">
        <v>28.49</v>
      </c>
    </row>
    <row r="5295" spans="1:3" ht="24" customHeight="1">
      <c r="A5295" s="1205" t="s">
        <v>64138</v>
      </c>
      <c r="B5295" s="1205" t="s">
        <v>64137</v>
      </c>
      <c r="C5295" s="1205">
        <v>132.99</v>
      </c>
    </row>
    <row r="5296" spans="1:3" ht="24" customHeight="1">
      <c r="A5296" s="1205" t="s">
        <v>64136</v>
      </c>
      <c r="B5296" s="1205" t="s">
        <v>64135</v>
      </c>
      <c r="C5296" s="1205">
        <v>115.99</v>
      </c>
    </row>
    <row r="5297" spans="1:3" ht="24" customHeight="1">
      <c r="A5297" s="1205" t="s">
        <v>64134</v>
      </c>
      <c r="B5297" s="1205" t="s">
        <v>64133</v>
      </c>
      <c r="C5297" s="1205">
        <v>100.99</v>
      </c>
    </row>
    <row r="5298" spans="1:3" ht="24" customHeight="1">
      <c r="A5298" s="1205" t="s">
        <v>64132</v>
      </c>
      <c r="B5298" s="1205" t="s">
        <v>64131</v>
      </c>
      <c r="C5298" s="1205">
        <v>83.99</v>
      </c>
    </row>
    <row r="5299" spans="1:3" ht="24" customHeight="1">
      <c r="A5299" s="1205" t="s">
        <v>64130</v>
      </c>
      <c r="B5299" s="1205" t="s">
        <v>64129</v>
      </c>
      <c r="C5299" s="1205">
        <v>71.489999999999995</v>
      </c>
    </row>
    <row r="5300" spans="1:3" ht="24" customHeight="1">
      <c r="A5300" s="1205" t="s">
        <v>64128</v>
      </c>
      <c r="B5300" s="1205" t="s">
        <v>64127</v>
      </c>
      <c r="C5300" s="1205">
        <v>40.99</v>
      </c>
    </row>
    <row r="5301" spans="1:3" ht="24" customHeight="1">
      <c r="A5301" s="1205" t="s">
        <v>64126</v>
      </c>
      <c r="B5301" s="1205" t="s">
        <v>64125</v>
      </c>
      <c r="C5301" s="1205">
        <v>105.99</v>
      </c>
    </row>
    <row r="5302" spans="1:3" ht="24" customHeight="1">
      <c r="A5302" s="1205" t="s">
        <v>64124</v>
      </c>
      <c r="B5302" s="1205" t="s">
        <v>64123</v>
      </c>
      <c r="C5302" s="1205">
        <v>21.99</v>
      </c>
    </row>
    <row r="5303" spans="1:3" ht="24" customHeight="1">
      <c r="A5303" s="1205" t="s">
        <v>64122</v>
      </c>
      <c r="B5303" s="1205" t="s">
        <v>64121</v>
      </c>
      <c r="C5303" s="1205">
        <v>39.49</v>
      </c>
    </row>
    <row r="5304" spans="1:3" ht="24" customHeight="1">
      <c r="A5304" s="1205" t="s">
        <v>64120</v>
      </c>
      <c r="B5304" s="1205" t="s">
        <v>64119</v>
      </c>
      <c r="C5304" s="1205">
        <v>20.49</v>
      </c>
    </row>
    <row r="5305" spans="1:3" ht="24" customHeight="1">
      <c r="A5305" s="1205" t="s">
        <v>64118</v>
      </c>
      <c r="B5305" s="1205" t="s">
        <v>64117</v>
      </c>
      <c r="C5305" s="1205">
        <v>50.99</v>
      </c>
    </row>
    <row r="5306" spans="1:3" ht="24" customHeight="1">
      <c r="A5306" s="1205" t="s">
        <v>64116</v>
      </c>
      <c r="B5306" s="1205" t="s">
        <v>64115</v>
      </c>
      <c r="C5306" s="1205">
        <v>8.99</v>
      </c>
    </row>
    <row r="5307" spans="1:3" ht="24" customHeight="1">
      <c r="A5307" s="1205" t="s">
        <v>64114</v>
      </c>
      <c r="B5307" s="1205" t="s">
        <v>64113</v>
      </c>
      <c r="C5307" s="1205">
        <v>21.49</v>
      </c>
    </row>
    <row r="5308" spans="1:3" ht="24" customHeight="1">
      <c r="A5308" s="1205" t="s">
        <v>64112</v>
      </c>
      <c r="B5308" s="1205" t="s">
        <v>64111</v>
      </c>
      <c r="C5308" s="1205">
        <v>98.49</v>
      </c>
    </row>
    <row r="5309" spans="1:3" ht="24" customHeight="1">
      <c r="A5309" s="1205" t="s">
        <v>64110</v>
      </c>
      <c r="B5309" s="1205" t="s">
        <v>64109</v>
      </c>
      <c r="C5309" s="1205">
        <v>19.489999999999998</v>
      </c>
    </row>
    <row r="5310" spans="1:3" ht="24" customHeight="1">
      <c r="A5310" s="1205" t="s">
        <v>64108</v>
      </c>
      <c r="B5310" s="1205" t="s">
        <v>64107</v>
      </c>
      <c r="C5310" s="1205">
        <v>26.99</v>
      </c>
    </row>
    <row r="5311" spans="1:3" ht="24" customHeight="1">
      <c r="A5311" s="1205" t="s">
        <v>64106</v>
      </c>
      <c r="B5311" s="1205" t="s">
        <v>64105</v>
      </c>
      <c r="C5311" s="1205">
        <v>17.489999999999998</v>
      </c>
    </row>
    <row r="5312" spans="1:3" ht="24" customHeight="1">
      <c r="A5312" s="1205" t="s">
        <v>64104</v>
      </c>
      <c r="B5312" s="1205" t="s">
        <v>64103</v>
      </c>
      <c r="C5312" s="1205">
        <v>103.49</v>
      </c>
    </row>
    <row r="5313" spans="1:3" ht="24" customHeight="1">
      <c r="A5313" s="1205" t="s">
        <v>64102</v>
      </c>
      <c r="B5313" s="1205" t="s">
        <v>64101</v>
      </c>
      <c r="C5313" s="1205">
        <v>78.489999999999995</v>
      </c>
    </row>
    <row r="5314" spans="1:3" ht="24" customHeight="1">
      <c r="A5314" s="1205" t="s">
        <v>64100</v>
      </c>
      <c r="B5314" s="1205" t="s">
        <v>64099</v>
      </c>
      <c r="C5314" s="1205">
        <v>106.49</v>
      </c>
    </row>
    <row r="5315" spans="1:3" ht="24" customHeight="1">
      <c r="A5315" s="1205" t="s">
        <v>64098</v>
      </c>
      <c r="B5315" s="1205" t="s">
        <v>64097</v>
      </c>
      <c r="C5315" s="1205">
        <v>60.99</v>
      </c>
    </row>
    <row r="5316" spans="1:3" ht="24" customHeight="1">
      <c r="A5316" s="1205" t="s">
        <v>64096</v>
      </c>
      <c r="B5316" s="1205" t="s">
        <v>64095</v>
      </c>
      <c r="C5316" s="1205">
        <v>102.99</v>
      </c>
    </row>
    <row r="5317" spans="1:3" ht="24" customHeight="1">
      <c r="A5317" s="1205" t="s">
        <v>64094</v>
      </c>
      <c r="B5317" s="1205" t="s">
        <v>64093</v>
      </c>
      <c r="C5317" s="1205">
        <v>51.99</v>
      </c>
    </row>
    <row r="5318" spans="1:3" ht="24" customHeight="1">
      <c r="A5318" s="1205" t="s">
        <v>64092</v>
      </c>
      <c r="B5318" s="1205" t="s">
        <v>64091</v>
      </c>
      <c r="C5318" s="1205">
        <v>20.49</v>
      </c>
    </row>
    <row r="5319" spans="1:3" ht="24" customHeight="1">
      <c r="A5319" s="1205" t="s">
        <v>64090</v>
      </c>
      <c r="B5319" s="1205" t="s">
        <v>64089</v>
      </c>
      <c r="C5319" s="1205">
        <v>25.99</v>
      </c>
    </row>
    <row r="5320" spans="1:3" ht="24" customHeight="1">
      <c r="A5320" s="1205" t="s">
        <v>64088</v>
      </c>
      <c r="B5320" s="1205" t="s">
        <v>64087</v>
      </c>
      <c r="C5320" s="1205">
        <v>26.49</v>
      </c>
    </row>
    <row r="5321" spans="1:3" ht="24" customHeight="1">
      <c r="A5321" s="1205" t="s">
        <v>64086</v>
      </c>
      <c r="B5321" s="1205" t="s">
        <v>64085</v>
      </c>
      <c r="C5321" s="1205">
        <v>20.99</v>
      </c>
    </row>
    <row r="5322" spans="1:3" ht="24" customHeight="1">
      <c r="A5322" s="1205" t="s">
        <v>64084</v>
      </c>
      <c r="B5322" s="1205" t="s">
        <v>64083</v>
      </c>
      <c r="C5322" s="1205">
        <v>40.99</v>
      </c>
    </row>
    <row r="5323" spans="1:3" ht="24" customHeight="1">
      <c r="A5323" s="1205" t="s">
        <v>64082</v>
      </c>
      <c r="B5323" s="1205" t="s">
        <v>64081</v>
      </c>
      <c r="C5323" s="1205">
        <v>36.49</v>
      </c>
    </row>
    <row r="5324" spans="1:3" ht="24" customHeight="1">
      <c r="A5324" s="1205" t="s">
        <v>64080</v>
      </c>
      <c r="B5324" s="1205" t="s">
        <v>64079</v>
      </c>
      <c r="C5324" s="1205">
        <v>42.99</v>
      </c>
    </row>
    <row r="5325" spans="1:3" ht="24" customHeight="1">
      <c r="A5325" s="1205" t="s">
        <v>64078</v>
      </c>
      <c r="B5325" s="1205" t="s">
        <v>64077</v>
      </c>
      <c r="C5325" s="1205">
        <v>38.99</v>
      </c>
    </row>
    <row r="5326" spans="1:3" ht="24" customHeight="1">
      <c r="A5326" s="1205" t="s">
        <v>64076</v>
      </c>
      <c r="B5326" s="1205" t="s">
        <v>64075</v>
      </c>
      <c r="C5326" s="1205">
        <v>22.99</v>
      </c>
    </row>
    <row r="5327" spans="1:3" ht="24" customHeight="1">
      <c r="A5327" s="1205" t="s">
        <v>64074</v>
      </c>
      <c r="B5327" s="1205" t="s">
        <v>64073</v>
      </c>
      <c r="C5327" s="1205">
        <v>18.989999999999998</v>
      </c>
    </row>
    <row r="5328" spans="1:3" ht="24" customHeight="1">
      <c r="A5328" s="1205" t="s">
        <v>64072</v>
      </c>
      <c r="B5328" s="1205" t="s">
        <v>64071</v>
      </c>
      <c r="C5328" s="1205">
        <v>21.99</v>
      </c>
    </row>
    <row r="5329" spans="1:3" ht="24" customHeight="1">
      <c r="A5329" s="1205" t="s">
        <v>64070</v>
      </c>
      <c r="B5329" s="1205" t="s">
        <v>64069</v>
      </c>
      <c r="C5329" s="1205">
        <v>23.99</v>
      </c>
    </row>
    <row r="5330" spans="1:3" ht="24" customHeight="1">
      <c r="A5330" s="1205" t="s">
        <v>64068</v>
      </c>
      <c r="B5330" s="1205" t="s">
        <v>64067</v>
      </c>
      <c r="C5330" s="1205">
        <v>17.989999999999998</v>
      </c>
    </row>
    <row r="5331" spans="1:3" ht="24" customHeight="1">
      <c r="A5331" s="1205" t="s">
        <v>64066</v>
      </c>
      <c r="B5331" s="1205" t="s">
        <v>64065</v>
      </c>
      <c r="C5331" s="1205">
        <v>16.989999999999998</v>
      </c>
    </row>
    <row r="5332" spans="1:3" ht="24" customHeight="1">
      <c r="A5332" s="1205" t="s">
        <v>64064</v>
      </c>
      <c r="B5332" s="1205" t="s">
        <v>64063</v>
      </c>
      <c r="C5332" s="1205">
        <v>13.49</v>
      </c>
    </row>
    <row r="5333" spans="1:3" ht="24" customHeight="1">
      <c r="A5333" s="1205" t="s">
        <v>64062</v>
      </c>
      <c r="B5333" s="1205" t="s">
        <v>64061</v>
      </c>
      <c r="C5333" s="1205">
        <v>56.49</v>
      </c>
    </row>
    <row r="5334" spans="1:3" ht="24" customHeight="1">
      <c r="A5334" s="1205" t="s">
        <v>64060</v>
      </c>
      <c r="B5334" s="1205" t="s">
        <v>64059</v>
      </c>
      <c r="C5334" s="1205">
        <v>58.49</v>
      </c>
    </row>
    <row r="5335" spans="1:3" ht="24" customHeight="1">
      <c r="A5335" s="1205" t="s">
        <v>64058</v>
      </c>
      <c r="B5335" s="1205" t="s">
        <v>64057</v>
      </c>
      <c r="C5335" s="1205">
        <v>41.99</v>
      </c>
    </row>
    <row r="5336" spans="1:3" ht="24" customHeight="1">
      <c r="A5336" s="1205" t="s">
        <v>64056</v>
      </c>
      <c r="B5336" s="1205" t="s">
        <v>64055</v>
      </c>
      <c r="C5336" s="1205">
        <v>81.489999999999995</v>
      </c>
    </row>
    <row r="5337" spans="1:3" ht="24" customHeight="1">
      <c r="A5337" s="1205" t="s">
        <v>64054</v>
      </c>
      <c r="B5337" s="1205" t="s">
        <v>64053</v>
      </c>
      <c r="C5337" s="1205">
        <v>39.99</v>
      </c>
    </row>
    <row r="5338" spans="1:3" ht="24" customHeight="1">
      <c r="A5338" s="1205" t="s">
        <v>64052</v>
      </c>
      <c r="B5338" s="1205" t="s">
        <v>64051</v>
      </c>
      <c r="C5338" s="1205">
        <v>38.49</v>
      </c>
    </row>
    <row r="5339" spans="1:3" ht="24" customHeight="1">
      <c r="A5339" s="1205" t="s">
        <v>64050</v>
      </c>
      <c r="B5339" s="1205" t="s">
        <v>64049</v>
      </c>
      <c r="C5339" s="1205">
        <v>22.49</v>
      </c>
    </row>
    <row r="5340" spans="1:3" ht="24" customHeight="1">
      <c r="A5340" s="1205" t="s">
        <v>64048</v>
      </c>
      <c r="B5340" s="1205" t="s">
        <v>64047</v>
      </c>
      <c r="C5340" s="1205">
        <v>61.49</v>
      </c>
    </row>
    <row r="5341" spans="1:3" ht="24" customHeight="1">
      <c r="A5341" s="1205" t="s">
        <v>64046</v>
      </c>
      <c r="B5341" s="1205" t="s">
        <v>64045</v>
      </c>
      <c r="C5341" s="1205">
        <v>35.49</v>
      </c>
    </row>
    <row r="5342" spans="1:3" ht="24" customHeight="1">
      <c r="A5342" s="1205" t="s">
        <v>64044</v>
      </c>
      <c r="B5342" s="1205" t="s">
        <v>64043</v>
      </c>
      <c r="C5342" s="1205">
        <v>48.99</v>
      </c>
    </row>
    <row r="5343" spans="1:3" ht="24" customHeight="1">
      <c r="A5343" s="1205" t="s">
        <v>64042</v>
      </c>
      <c r="B5343" s="1205" t="s">
        <v>64041</v>
      </c>
      <c r="C5343" s="1205">
        <v>8.99</v>
      </c>
    </row>
    <row r="5344" spans="1:3" ht="24" customHeight="1">
      <c r="A5344" s="1205" t="s">
        <v>64040</v>
      </c>
      <c r="B5344" s="1205" t="s">
        <v>64039</v>
      </c>
      <c r="C5344" s="1205">
        <v>48.49</v>
      </c>
    </row>
    <row r="5345" spans="1:3" ht="24" customHeight="1">
      <c r="A5345" s="1205" t="s">
        <v>64038</v>
      </c>
      <c r="B5345" s="1205" t="s">
        <v>64037</v>
      </c>
      <c r="C5345" s="1205">
        <v>57.99</v>
      </c>
    </row>
    <row r="5346" spans="1:3" ht="24" customHeight="1">
      <c r="A5346" s="1205" t="s">
        <v>64036</v>
      </c>
      <c r="B5346" s="1205" t="s">
        <v>64035</v>
      </c>
      <c r="C5346" s="1205">
        <v>47.49</v>
      </c>
    </row>
    <row r="5347" spans="1:3" ht="24" customHeight="1">
      <c r="A5347" s="1205" t="s">
        <v>64034</v>
      </c>
      <c r="B5347" s="1205" t="s">
        <v>64033</v>
      </c>
      <c r="C5347" s="1205">
        <v>54.99</v>
      </c>
    </row>
    <row r="5348" spans="1:3" ht="24" customHeight="1">
      <c r="A5348" s="1205" t="s">
        <v>64032</v>
      </c>
      <c r="B5348" s="1205" t="s">
        <v>64031</v>
      </c>
      <c r="C5348" s="1205">
        <v>45.99</v>
      </c>
    </row>
    <row r="5349" spans="1:3" ht="24" customHeight="1">
      <c r="A5349" s="1205" t="s">
        <v>64030</v>
      </c>
      <c r="B5349" s="1205" t="s">
        <v>64029</v>
      </c>
      <c r="C5349" s="1205">
        <v>41.99</v>
      </c>
    </row>
    <row r="5350" spans="1:3" ht="24" customHeight="1">
      <c r="A5350" s="1205" t="s">
        <v>64028</v>
      </c>
      <c r="B5350" s="1205" t="s">
        <v>64027</v>
      </c>
      <c r="C5350" s="1205">
        <v>40.49</v>
      </c>
    </row>
    <row r="5351" spans="1:3" ht="24" customHeight="1">
      <c r="A5351" s="1205" t="s">
        <v>64026</v>
      </c>
      <c r="B5351" s="1205" t="s">
        <v>64025</v>
      </c>
      <c r="C5351" s="1205">
        <v>43.99</v>
      </c>
    </row>
    <row r="5352" spans="1:3" ht="24" customHeight="1">
      <c r="A5352" s="1205" t="s">
        <v>64024</v>
      </c>
      <c r="B5352" s="1205" t="s">
        <v>64023</v>
      </c>
      <c r="C5352" s="1205">
        <v>34.99</v>
      </c>
    </row>
    <row r="5353" spans="1:3" ht="24" customHeight="1">
      <c r="A5353" s="1205" t="s">
        <v>64022</v>
      </c>
      <c r="B5353" s="1205" t="s">
        <v>64021</v>
      </c>
      <c r="C5353" s="1205">
        <v>69.489999999999995</v>
      </c>
    </row>
    <row r="5354" spans="1:3" ht="24" customHeight="1">
      <c r="A5354" s="1205" t="s">
        <v>64020</v>
      </c>
      <c r="B5354" s="1205" t="s">
        <v>64019</v>
      </c>
      <c r="C5354" s="1205">
        <v>34.99</v>
      </c>
    </row>
    <row r="5355" spans="1:3" ht="24" customHeight="1">
      <c r="A5355" s="1205" t="s">
        <v>64018</v>
      </c>
      <c r="B5355" s="1205" t="s">
        <v>64017</v>
      </c>
      <c r="C5355" s="1205">
        <v>52.49</v>
      </c>
    </row>
    <row r="5356" spans="1:3" ht="24" customHeight="1">
      <c r="A5356" s="1205" t="s">
        <v>64016</v>
      </c>
      <c r="B5356" s="1205" t="s">
        <v>64015</v>
      </c>
      <c r="C5356" s="1205">
        <v>20.99</v>
      </c>
    </row>
    <row r="5357" spans="1:3" ht="24" customHeight="1">
      <c r="A5357" s="1205" t="s">
        <v>64014</v>
      </c>
      <c r="B5357" s="1205" t="s">
        <v>64013</v>
      </c>
      <c r="C5357" s="1205">
        <v>60.49</v>
      </c>
    </row>
    <row r="5358" spans="1:3" ht="24" customHeight="1">
      <c r="A5358" s="1205" t="s">
        <v>64012</v>
      </c>
      <c r="B5358" s="1205" t="s">
        <v>64011</v>
      </c>
      <c r="C5358" s="1205">
        <v>56.49</v>
      </c>
    </row>
    <row r="5359" spans="1:3" ht="24" customHeight="1">
      <c r="A5359" s="1205" t="s">
        <v>64010</v>
      </c>
      <c r="B5359" s="1205" t="s">
        <v>64009</v>
      </c>
      <c r="C5359" s="1205">
        <v>35.49</v>
      </c>
    </row>
    <row r="5360" spans="1:3" ht="24" customHeight="1">
      <c r="A5360" s="1205" t="s">
        <v>64008</v>
      </c>
      <c r="B5360" s="1205" t="s">
        <v>64004</v>
      </c>
      <c r="C5360" s="1205">
        <v>19.489999999999998</v>
      </c>
    </row>
    <row r="5361" spans="1:3" ht="24" customHeight="1">
      <c r="A5361" s="1205" t="s">
        <v>64007</v>
      </c>
      <c r="B5361" s="1205" t="s">
        <v>64006</v>
      </c>
      <c r="C5361" s="1205">
        <v>18.989999999999998</v>
      </c>
    </row>
    <row r="5362" spans="1:3" ht="24" customHeight="1">
      <c r="A5362" s="1205" t="s">
        <v>64005</v>
      </c>
      <c r="B5362" s="1205" t="s">
        <v>64004</v>
      </c>
      <c r="C5362" s="1205">
        <v>17.989999999999998</v>
      </c>
    </row>
    <row r="5363" spans="1:3" ht="24" customHeight="1">
      <c r="A5363" s="1205" t="s">
        <v>64003</v>
      </c>
      <c r="B5363" s="1205" t="s">
        <v>64002</v>
      </c>
      <c r="C5363" s="1205">
        <v>18.489999999999998</v>
      </c>
    </row>
    <row r="5364" spans="1:3" ht="24" customHeight="1">
      <c r="A5364" s="1205" t="s">
        <v>64001</v>
      </c>
      <c r="B5364" s="1205" t="s">
        <v>64000</v>
      </c>
      <c r="C5364" s="1205">
        <v>13.49</v>
      </c>
    </row>
    <row r="5365" spans="1:3" ht="24" customHeight="1">
      <c r="A5365" s="1205" t="s">
        <v>63999</v>
      </c>
      <c r="B5365" s="1205" t="s">
        <v>63998</v>
      </c>
      <c r="C5365" s="1205">
        <v>34.99</v>
      </c>
    </row>
    <row r="5366" spans="1:3" ht="24" customHeight="1">
      <c r="A5366" s="1205" t="s">
        <v>63997</v>
      </c>
      <c r="B5366" s="1205" t="s">
        <v>63996</v>
      </c>
      <c r="C5366" s="1205">
        <v>14.99</v>
      </c>
    </row>
    <row r="5367" spans="1:3" ht="24" customHeight="1">
      <c r="A5367" s="1205" t="s">
        <v>63995</v>
      </c>
      <c r="B5367" s="1205" t="s">
        <v>63994</v>
      </c>
      <c r="C5367" s="1205">
        <v>17.489999999999998</v>
      </c>
    </row>
    <row r="5368" spans="1:3" ht="24" customHeight="1">
      <c r="A5368" s="1205" t="s">
        <v>63993</v>
      </c>
      <c r="B5368" s="1205" t="s">
        <v>63992</v>
      </c>
      <c r="C5368" s="1205">
        <v>29.99</v>
      </c>
    </row>
    <row r="5369" spans="1:3" ht="24" customHeight="1">
      <c r="A5369" s="1205" t="s">
        <v>63991</v>
      </c>
      <c r="B5369" s="1205" t="s">
        <v>63990</v>
      </c>
      <c r="C5369" s="1205">
        <v>25.99</v>
      </c>
    </row>
    <row r="5370" spans="1:3" ht="24" customHeight="1">
      <c r="A5370" s="1205" t="s">
        <v>63989</v>
      </c>
      <c r="B5370" s="1205" t="s">
        <v>63988</v>
      </c>
      <c r="C5370" s="1205">
        <v>39.49</v>
      </c>
    </row>
    <row r="5371" spans="1:3" ht="24" customHeight="1">
      <c r="A5371" s="1205" t="s">
        <v>63987</v>
      </c>
      <c r="B5371" s="1205" t="s">
        <v>63986</v>
      </c>
      <c r="C5371" s="1205">
        <v>222.49</v>
      </c>
    </row>
    <row r="5372" spans="1:3" ht="24" customHeight="1">
      <c r="A5372" s="1205" t="s">
        <v>63985</v>
      </c>
      <c r="B5372" s="1205" t="s">
        <v>63984</v>
      </c>
      <c r="C5372" s="1205">
        <v>148.99</v>
      </c>
    </row>
    <row r="5373" spans="1:3" ht="24" customHeight="1">
      <c r="A5373" s="1205" t="s">
        <v>63983</v>
      </c>
      <c r="B5373" s="1205" t="s">
        <v>63982</v>
      </c>
      <c r="C5373" s="1205">
        <v>151.99</v>
      </c>
    </row>
    <row r="5374" spans="1:3" ht="24" customHeight="1">
      <c r="A5374" s="1205" t="s">
        <v>63981</v>
      </c>
      <c r="B5374" s="1205" t="s">
        <v>63980</v>
      </c>
      <c r="C5374" s="1205">
        <v>28.99</v>
      </c>
    </row>
    <row r="5375" spans="1:3" ht="24" customHeight="1">
      <c r="A5375" s="1205" t="s">
        <v>63979</v>
      </c>
      <c r="B5375" s="1205" t="s">
        <v>63978</v>
      </c>
      <c r="C5375" s="1205">
        <v>19.989999999999998</v>
      </c>
    </row>
    <row r="5376" spans="1:3" ht="24" customHeight="1">
      <c r="A5376" s="1205" t="s">
        <v>63977</v>
      </c>
      <c r="B5376" s="1205" t="s">
        <v>63976</v>
      </c>
      <c r="C5376" s="1205">
        <v>22.99</v>
      </c>
    </row>
    <row r="5377" spans="1:3" ht="24" customHeight="1">
      <c r="A5377" s="1205" t="s">
        <v>63975</v>
      </c>
      <c r="B5377" s="1205" t="s">
        <v>63974</v>
      </c>
      <c r="C5377" s="1205">
        <v>23.49</v>
      </c>
    </row>
    <row r="5378" spans="1:3" ht="24" customHeight="1">
      <c r="A5378" s="1205" t="s">
        <v>63973</v>
      </c>
      <c r="B5378" s="1205" t="s">
        <v>63972</v>
      </c>
      <c r="C5378" s="1205">
        <v>15.99</v>
      </c>
    </row>
    <row r="5379" spans="1:3" ht="24" customHeight="1">
      <c r="A5379" s="1205" t="s">
        <v>63971</v>
      </c>
      <c r="B5379" s="1205" t="s">
        <v>63970</v>
      </c>
      <c r="C5379" s="1205">
        <v>17.989999999999998</v>
      </c>
    </row>
    <row r="5380" spans="1:3" ht="24" customHeight="1">
      <c r="A5380" s="1205" t="s">
        <v>63969</v>
      </c>
      <c r="B5380" s="1205" t="s">
        <v>63968</v>
      </c>
      <c r="C5380" s="1205">
        <v>12.99</v>
      </c>
    </row>
    <row r="5381" spans="1:3" ht="24" customHeight="1">
      <c r="A5381" s="1205" t="s">
        <v>63967</v>
      </c>
      <c r="B5381" s="1205" t="s">
        <v>63966</v>
      </c>
      <c r="C5381" s="1205">
        <v>28.99</v>
      </c>
    </row>
    <row r="5382" spans="1:3" ht="24" customHeight="1">
      <c r="A5382" s="1205" t="s">
        <v>63965</v>
      </c>
      <c r="B5382" s="1205" t="s">
        <v>63964</v>
      </c>
      <c r="C5382" s="1205">
        <v>27.49</v>
      </c>
    </row>
    <row r="5383" spans="1:3" ht="24" customHeight="1">
      <c r="A5383" s="1205" t="s">
        <v>63963</v>
      </c>
      <c r="B5383" s="1205" t="s">
        <v>63962</v>
      </c>
      <c r="C5383" s="1205">
        <v>42.99</v>
      </c>
    </row>
    <row r="5384" spans="1:3" ht="24" customHeight="1">
      <c r="A5384" s="1205" t="s">
        <v>63961</v>
      </c>
      <c r="B5384" s="1205" t="s">
        <v>63960</v>
      </c>
      <c r="C5384" s="1205">
        <v>39.49</v>
      </c>
    </row>
    <row r="5385" spans="1:3" ht="24" customHeight="1">
      <c r="A5385" s="1205" t="s">
        <v>63959</v>
      </c>
      <c r="B5385" s="1205" t="s">
        <v>63958</v>
      </c>
      <c r="C5385" s="1205">
        <v>30.99</v>
      </c>
    </row>
    <row r="5386" spans="1:3" ht="24" customHeight="1">
      <c r="A5386" s="1205" t="s">
        <v>63957</v>
      </c>
      <c r="B5386" s="1205" t="s">
        <v>63956</v>
      </c>
      <c r="C5386" s="1205">
        <v>28.49</v>
      </c>
    </row>
    <row r="5387" spans="1:3" ht="24" customHeight="1">
      <c r="A5387" s="1205" t="s">
        <v>63955</v>
      </c>
      <c r="B5387" s="1205" t="s">
        <v>63954</v>
      </c>
      <c r="C5387" s="1205">
        <v>33.99</v>
      </c>
    </row>
    <row r="5388" spans="1:3" ht="24" customHeight="1">
      <c r="A5388" s="1205" t="s">
        <v>63953</v>
      </c>
      <c r="B5388" s="1205" t="s">
        <v>63952</v>
      </c>
      <c r="C5388" s="1205">
        <v>30.99</v>
      </c>
    </row>
    <row r="5389" spans="1:3" ht="24" customHeight="1">
      <c r="A5389" s="1205" t="s">
        <v>63951</v>
      </c>
      <c r="B5389" s="1205" t="s">
        <v>63939</v>
      </c>
      <c r="C5389" s="1205">
        <v>36.49</v>
      </c>
    </row>
    <row r="5390" spans="1:3" ht="24" customHeight="1">
      <c r="A5390" s="1205" t="s">
        <v>63950</v>
      </c>
      <c r="B5390" s="1205" t="s">
        <v>63949</v>
      </c>
      <c r="C5390" s="1205">
        <v>36.49</v>
      </c>
    </row>
    <row r="5391" spans="1:3" ht="24" customHeight="1">
      <c r="A5391" s="1205" t="s">
        <v>63948</v>
      </c>
      <c r="B5391" s="1205" t="s">
        <v>63947</v>
      </c>
      <c r="C5391" s="1205">
        <v>30.49</v>
      </c>
    </row>
    <row r="5392" spans="1:3" ht="24" customHeight="1">
      <c r="A5392" s="1205" t="s">
        <v>63946</v>
      </c>
      <c r="B5392" s="1205" t="s">
        <v>63945</v>
      </c>
      <c r="C5392" s="1205">
        <v>25.49</v>
      </c>
    </row>
    <row r="5393" spans="1:3" ht="24" customHeight="1">
      <c r="A5393" s="1205" t="s">
        <v>63944</v>
      </c>
      <c r="B5393" s="1205" t="s">
        <v>63943</v>
      </c>
      <c r="C5393" s="1205">
        <v>33.49</v>
      </c>
    </row>
    <row r="5394" spans="1:3" ht="24" customHeight="1">
      <c r="A5394" s="1205" t="s">
        <v>63942</v>
      </c>
      <c r="B5394" s="1205" t="s">
        <v>63941</v>
      </c>
      <c r="C5394" s="1205">
        <v>31.99</v>
      </c>
    </row>
    <row r="5395" spans="1:3" ht="24" customHeight="1">
      <c r="A5395" s="1205" t="s">
        <v>63940</v>
      </c>
      <c r="B5395" s="1205" t="s">
        <v>63939</v>
      </c>
      <c r="C5395" s="1205">
        <v>33.49</v>
      </c>
    </row>
    <row r="5396" spans="1:3" ht="24" customHeight="1">
      <c r="A5396" s="1205" t="s">
        <v>63938</v>
      </c>
      <c r="B5396" s="1205" t="s">
        <v>63937</v>
      </c>
      <c r="C5396" s="1205">
        <v>26.49</v>
      </c>
    </row>
    <row r="5397" spans="1:3" ht="24" customHeight="1">
      <c r="A5397" s="1205" t="s">
        <v>63936</v>
      </c>
      <c r="B5397" s="1205" t="s">
        <v>63935</v>
      </c>
      <c r="C5397" s="1205">
        <v>49.49</v>
      </c>
    </row>
    <row r="5398" spans="1:3" ht="24" customHeight="1">
      <c r="A5398" s="1205" t="s">
        <v>63934</v>
      </c>
      <c r="B5398" s="1205" t="s">
        <v>63933</v>
      </c>
      <c r="C5398" s="1205">
        <v>36.49</v>
      </c>
    </row>
    <row r="5399" spans="1:3" ht="24" customHeight="1">
      <c r="A5399" s="1205" t="s">
        <v>63932</v>
      </c>
      <c r="B5399" s="1205" t="s">
        <v>63931</v>
      </c>
      <c r="C5399" s="1205">
        <v>28.99</v>
      </c>
    </row>
    <row r="5400" spans="1:3" ht="24" customHeight="1">
      <c r="A5400" s="1205" t="s">
        <v>63930</v>
      </c>
      <c r="B5400" s="1205" t="s">
        <v>63929</v>
      </c>
      <c r="C5400" s="1205">
        <v>19.989999999999998</v>
      </c>
    </row>
    <row r="5401" spans="1:3" ht="24" customHeight="1">
      <c r="A5401" s="1205" t="s">
        <v>63928</v>
      </c>
      <c r="B5401" s="1205" t="s">
        <v>63927</v>
      </c>
      <c r="C5401" s="1205">
        <v>54.99</v>
      </c>
    </row>
    <row r="5402" spans="1:3" ht="24" customHeight="1">
      <c r="A5402" s="1205" t="s">
        <v>63926</v>
      </c>
      <c r="B5402" s="1205" t="s">
        <v>63925</v>
      </c>
      <c r="C5402" s="1205">
        <v>25.49</v>
      </c>
    </row>
    <row r="5403" spans="1:3" ht="24" customHeight="1">
      <c r="A5403" s="1205" t="s">
        <v>63924</v>
      </c>
      <c r="B5403" s="1205" t="s">
        <v>63922</v>
      </c>
      <c r="C5403" s="1205">
        <v>24.49</v>
      </c>
    </row>
    <row r="5404" spans="1:3" ht="24" customHeight="1">
      <c r="A5404" s="1205" t="s">
        <v>63923</v>
      </c>
      <c r="B5404" s="1205" t="s">
        <v>63922</v>
      </c>
      <c r="C5404" s="1205">
        <v>21.99</v>
      </c>
    </row>
    <row r="5405" spans="1:3" ht="24" customHeight="1">
      <c r="A5405" s="1205" t="s">
        <v>63921</v>
      </c>
      <c r="B5405" s="1205" t="s">
        <v>63920</v>
      </c>
      <c r="C5405" s="1205">
        <v>57.49</v>
      </c>
    </row>
    <row r="5406" spans="1:3" ht="24" customHeight="1">
      <c r="A5406" s="1205" t="s">
        <v>63919</v>
      </c>
      <c r="B5406" s="1205" t="s">
        <v>63918</v>
      </c>
      <c r="C5406" s="1205">
        <v>16.989999999999998</v>
      </c>
    </row>
    <row r="5407" spans="1:3" ht="24" customHeight="1">
      <c r="A5407" s="1205" t="s">
        <v>63917</v>
      </c>
      <c r="B5407" s="1205" t="s">
        <v>63916</v>
      </c>
      <c r="C5407" s="1205">
        <v>36.99</v>
      </c>
    </row>
    <row r="5408" spans="1:3" ht="24" customHeight="1">
      <c r="A5408" s="1205" t="s">
        <v>63915</v>
      </c>
      <c r="B5408" s="1205" t="s">
        <v>63914</v>
      </c>
      <c r="C5408" s="1205">
        <v>41.49</v>
      </c>
    </row>
    <row r="5409" spans="1:3" ht="24" customHeight="1">
      <c r="A5409" s="1205" t="s">
        <v>63913</v>
      </c>
      <c r="B5409" s="1205" t="s">
        <v>63912</v>
      </c>
      <c r="C5409" s="1205">
        <v>41.49</v>
      </c>
    </row>
    <row r="5410" spans="1:3" ht="24" customHeight="1">
      <c r="A5410" s="1205" t="s">
        <v>63911</v>
      </c>
      <c r="B5410" s="1205" t="s">
        <v>63910</v>
      </c>
      <c r="C5410" s="1205">
        <v>46.49</v>
      </c>
    </row>
    <row r="5411" spans="1:3" ht="24" customHeight="1">
      <c r="A5411" s="1205" t="s">
        <v>63909</v>
      </c>
      <c r="B5411" s="1205" t="s">
        <v>63908</v>
      </c>
      <c r="C5411" s="1205">
        <v>45.49</v>
      </c>
    </row>
    <row r="5412" spans="1:3" ht="24" customHeight="1">
      <c r="A5412" s="1205" t="s">
        <v>63907</v>
      </c>
      <c r="B5412" s="1205" t="s">
        <v>63906</v>
      </c>
      <c r="C5412" s="1205">
        <v>44.49</v>
      </c>
    </row>
    <row r="5413" spans="1:3" ht="24" customHeight="1">
      <c r="A5413" s="1205" t="s">
        <v>63905</v>
      </c>
      <c r="B5413" s="1205" t="s">
        <v>63904</v>
      </c>
      <c r="C5413" s="1205">
        <v>53.49</v>
      </c>
    </row>
    <row r="5414" spans="1:3" ht="24" customHeight="1">
      <c r="A5414" s="1205" t="s">
        <v>63903</v>
      </c>
      <c r="B5414" s="1205" t="s">
        <v>63902</v>
      </c>
      <c r="C5414" s="1205">
        <v>43.99</v>
      </c>
    </row>
    <row r="5415" spans="1:3" ht="24" customHeight="1">
      <c r="A5415" s="1205" t="s">
        <v>63901</v>
      </c>
      <c r="B5415" s="1205" t="s">
        <v>63900</v>
      </c>
      <c r="C5415" s="1205">
        <v>40.49</v>
      </c>
    </row>
    <row r="5416" spans="1:3" ht="24" customHeight="1">
      <c r="A5416" s="1205" t="s">
        <v>63899</v>
      </c>
      <c r="B5416" s="1205" t="s">
        <v>63898</v>
      </c>
      <c r="C5416" s="1205">
        <v>69.989999999999995</v>
      </c>
    </row>
    <row r="5417" spans="1:3" ht="24" customHeight="1">
      <c r="A5417" s="1205" t="s">
        <v>63897</v>
      </c>
      <c r="B5417" s="1205" t="s">
        <v>63896</v>
      </c>
      <c r="C5417" s="1205">
        <v>57.99</v>
      </c>
    </row>
    <row r="5418" spans="1:3" ht="24" customHeight="1">
      <c r="A5418" s="1205" t="s">
        <v>63895</v>
      </c>
      <c r="B5418" s="1205" t="s">
        <v>63894</v>
      </c>
      <c r="C5418" s="1205">
        <v>36.99</v>
      </c>
    </row>
    <row r="5419" spans="1:3" ht="24" customHeight="1">
      <c r="A5419" s="1205" t="s">
        <v>63893</v>
      </c>
      <c r="B5419" s="1205" t="s">
        <v>63881</v>
      </c>
      <c r="C5419" s="1205">
        <v>32.99</v>
      </c>
    </row>
    <row r="5420" spans="1:3" ht="24" customHeight="1">
      <c r="A5420" s="1205" t="s">
        <v>63892</v>
      </c>
      <c r="B5420" s="1205" t="s">
        <v>63891</v>
      </c>
      <c r="C5420" s="1205">
        <v>21.99</v>
      </c>
    </row>
    <row r="5421" spans="1:3" ht="24" customHeight="1">
      <c r="A5421" s="1205" t="s">
        <v>63890</v>
      </c>
      <c r="B5421" s="1205" t="s">
        <v>63889</v>
      </c>
      <c r="C5421" s="1205">
        <v>69.989999999999995</v>
      </c>
    </row>
    <row r="5422" spans="1:3" ht="24" customHeight="1">
      <c r="A5422" s="1205" t="s">
        <v>63888</v>
      </c>
      <c r="B5422" s="1205" t="s">
        <v>63887</v>
      </c>
      <c r="C5422" s="1205">
        <v>67.989999999999995</v>
      </c>
    </row>
    <row r="5423" spans="1:3" ht="24" customHeight="1">
      <c r="A5423" s="1205" t="s">
        <v>63886</v>
      </c>
      <c r="B5423" s="1205" t="s">
        <v>63885</v>
      </c>
      <c r="C5423" s="1205">
        <v>66.489999999999995</v>
      </c>
    </row>
    <row r="5424" spans="1:3" ht="24" customHeight="1">
      <c r="A5424" s="1205" t="s">
        <v>63884</v>
      </c>
      <c r="B5424" s="1205" t="s">
        <v>63883</v>
      </c>
      <c r="C5424" s="1205">
        <v>29.99</v>
      </c>
    </row>
    <row r="5425" spans="1:3" ht="24" customHeight="1">
      <c r="A5425" s="1205" t="s">
        <v>63882</v>
      </c>
      <c r="B5425" s="1205" t="s">
        <v>63881</v>
      </c>
      <c r="C5425" s="1205">
        <v>32.99</v>
      </c>
    </row>
    <row r="5426" spans="1:3" ht="24" customHeight="1">
      <c r="A5426" s="1205" t="s">
        <v>63880</v>
      </c>
      <c r="B5426" s="1205" t="s">
        <v>63879</v>
      </c>
      <c r="C5426" s="1205">
        <v>18.489999999999998</v>
      </c>
    </row>
    <row r="5427" spans="1:3" ht="24" customHeight="1">
      <c r="A5427" s="1205" t="s">
        <v>63878</v>
      </c>
      <c r="B5427" s="1205" t="s">
        <v>63877</v>
      </c>
      <c r="C5427" s="1205">
        <v>31.99</v>
      </c>
    </row>
    <row r="5428" spans="1:3" ht="24" customHeight="1">
      <c r="A5428" s="1205" t="s">
        <v>63876</v>
      </c>
      <c r="B5428" s="1205" t="s">
        <v>63875</v>
      </c>
      <c r="C5428" s="1205">
        <v>30.99</v>
      </c>
    </row>
    <row r="5429" spans="1:3" ht="24" customHeight="1">
      <c r="A5429" s="1205" t="s">
        <v>63874</v>
      </c>
      <c r="B5429" s="1205" t="s">
        <v>63873</v>
      </c>
      <c r="C5429" s="1205">
        <v>29.99</v>
      </c>
    </row>
    <row r="5430" spans="1:3" ht="24" customHeight="1">
      <c r="A5430" s="1205" t="s">
        <v>63872</v>
      </c>
      <c r="B5430" s="1205" t="s">
        <v>63871</v>
      </c>
      <c r="C5430" s="1205">
        <v>20.99</v>
      </c>
    </row>
    <row r="5431" spans="1:3" ht="24" customHeight="1">
      <c r="A5431" s="1205" t="s">
        <v>63870</v>
      </c>
      <c r="B5431" s="1205" t="s">
        <v>63869</v>
      </c>
      <c r="C5431" s="1205">
        <v>26.99</v>
      </c>
    </row>
    <row r="5432" spans="1:3" ht="24" customHeight="1">
      <c r="A5432" s="1205" t="s">
        <v>63868</v>
      </c>
      <c r="B5432" s="1205" t="s">
        <v>63867</v>
      </c>
      <c r="C5432" s="1205">
        <v>18.989999999999998</v>
      </c>
    </row>
    <row r="5433" spans="1:3" ht="24" customHeight="1">
      <c r="A5433" s="1205" t="s">
        <v>63866</v>
      </c>
      <c r="B5433" s="1205" t="s">
        <v>63865</v>
      </c>
      <c r="C5433" s="1205">
        <v>24.99</v>
      </c>
    </row>
    <row r="5434" spans="1:3" ht="24" customHeight="1">
      <c r="A5434" s="1205" t="s">
        <v>63864</v>
      </c>
      <c r="B5434" s="1205" t="s">
        <v>62471</v>
      </c>
      <c r="C5434" s="1205">
        <v>68.989999999999995</v>
      </c>
    </row>
    <row r="5435" spans="1:3" ht="24" customHeight="1">
      <c r="A5435" s="1205" t="s">
        <v>63863</v>
      </c>
      <c r="B5435" s="1205" t="s">
        <v>63862</v>
      </c>
      <c r="C5435" s="1205">
        <v>21.49</v>
      </c>
    </row>
    <row r="5436" spans="1:3" ht="24" customHeight="1">
      <c r="A5436" s="1205" t="s">
        <v>63861</v>
      </c>
      <c r="B5436" s="1205" t="s">
        <v>63860</v>
      </c>
      <c r="C5436" s="1205">
        <v>45.49</v>
      </c>
    </row>
    <row r="5437" spans="1:3" ht="24" customHeight="1">
      <c r="A5437" s="1205" t="s">
        <v>63859</v>
      </c>
      <c r="B5437" s="1205" t="s">
        <v>63857</v>
      </c>
      <c r="C5437" s="1205">
        <v>43.49</v>
      </c>
    </row>
    <row r="5438" spans="1:3" ht="24" customHeight="1">
      <c r="A5438" s="1205" t="s">
        <v>63858</v>
      </c>
      <c r="B5438" s="1205" t="s">
        <v>63857</v>
      </c>
      <c r="C5438" s="1205">
        <v>42.49</v>
      </c>
    </row>
    <row r="5439" spans="1:3" ht="24" customHeight="1">
      <c r="A5439" s="1205" t="s">
        <v>63856</v>
      </c>
      <c r="B5439" s="1205" t="s">
        <v>63855</v>
      </c>
      <c r="C5439" s="1205">
        <v>35.99</v>
      </c>
    </row>
    <row r="5440" spans="1:3" ht="24" customHeight="1">
      <c r="A5440" s="1205" t="s">
        <v>63854</v>
      </c>
      <c r="B5440" s="1205" t="s">
        <v>63845</v>
      </c>
      <c r="C5440" s="1205">
        <v>48.99</v>
      </c>
    </row>
    <row r="5441" spans="1:3" ht="24" customHeight="1">
      <c r="A5441" s="1205" t="s">
        <v>63853</v>
      </c>
      <c r="B5441" s="1205" t="s">
        <v>63843</v>
      </c>
      <c r="C5441" s="1205">
        <v>47.49</v>
      </c>
    </row>
    <row r="5442" spans="1:3" ht="24" customHeight="1">
      <c r="A5442" s="1205" t="s">
        <v>63852</v>
      </c>
      <c r="B5442" s="1205" t="s">
        <v>63851</v>
      </c>
      <c r="C5442" s="1205">
        <v>41.99</v>
      </c>
    </row>
    <row r="5443" spans="1:3" ht="24" customHeight="1">
      <c r="A5443" s="1205" t="s">
        <v>63850</v>
      </c>
      <c r="B5443" s="1205" t="s">
        <v>63849</v>
      </c>
      <c r="C5443" s="1205">
        <v>34.99</v>
      </c>
    </row>
    <row r="5444" spans="1:3" ht="24" customHeight="1">
      <c r="A5444" s="1205" t="s">
        <v>63848</v>
      </c>
      <c r="B5444" s="1205" t="s">
        <v>63847</v>
      </c>
      <c r="C5444" s="1205">
        <v>33.49</v>
      </c>
    </row>
    <row r="5445" spans="1:3" ht="24" customHeight="1">
      <c r="A5445" s="1205" t="s">
        <v>63846</v>
      </c>
      <c r="B5445" s="1205" t="s">
        <v>63845</v>
      </c>
      <c r="C5445" s="1205">
        <v>42.99</v>
      </c>
    </row>
    <row r="5446" spans="1:3" ht="24" customHeight="1">
      <c r="A5446" s="1205" t="s">
        <v>63844</v>
      </c>
      <c r="B5446" s="1205" t="s">
        <v>63843</v>
      </c>
      <c r="C5446" s="1205">
        <v>41.99</v>
      </c>
    </row>
    <row r="5447" spans="1:3" ht="24" customHeight="1">
      <c r="A5447" s="1205" t="s">
        <v>63842</v>
      </c>
      <c r="B5447" s="1205" t="s">
        <v>63841</v>
      </c>
      <c r="C5447" s="1205">
        <v>31.99</v>
      </c>
    </row>
    <row r="5448" spans="1:3" ht="24" customHeight="1">
      <c r="A5448" s="1205" t="s">
        <v>63840</v>
      </c>
      <c r="B5448" s="1205" t="s">
        <v>63839</v>
      </c>
      <c r="C5448" s="1205">
        <v>10.49</v>
      </c>
    </row>
    <row r="5449" spans="1:3" ht="24" customHeight="1">
      <c r="A5449" s="1205" t="s">
        <v>63838</v>
      </c>
      <c r="B5449" s="1205" t="s">
        <v>63837</v>
      </c>
      <c r="C5449" s="1205">
        <v>8.99</v>
      </c>
    </row>
    <row r="5450" spans="1:3" ht="24" customHeight="1">
      <c r="A5450" s="1205" t="s">
        <v>63836</v>
      </c>
      <c r="B5450" s="1205" t="s">
        <v>63835</v>
      </c>
      <c r="C5450" s="1205">
        <v>13.49</v>
      </c>
    </row>
    <row r="5451" spans="1:3" ht="24" customHeight="1">
      <c r="A5451" s="1205" t="s">
        <v>63834</v>
      </c>
      <c r="B5451" s="1205" t="s">
        <v>63833</v>
      </c>
      <c r="C5451" s="1205">
        <v>57.99</v>
      </c>
    </row>
    <row r="5452" spans="1:3" ht="24" customHeight="1">
      <c r="A5452" s="1205" t="s">
        <v>63832</v>
      </c>
      <c r="B5452" s="1205" t="s">
        <v>63831</v>
      </c>
      <c r="C5452" s="1205">
        <v>20.49</v>
      </c>
    </row>
    <row r="5453" spans="1:3" ht="24" customHeight="1">
      <c r="A5453" s="1205" t="s">
        <v>63830</v>
      </c>
      <c r="B5453" s="1205" t="s">
        <v>63829</v>
      </c>
      <c r="C5453" s="1205">
        <v>47.99</v>
      </c>
    </row>
    <row r="5454" spans="1:3" ht="24" customHeight="1">
      <c r="A5454" s="1205" t="s">
        <v>63828</v>
      </c>
      <c r="B5454" s="1205" t="s">
        <v>63827</v>
      </c>
      <c r="C5454" s="1205">
        <v>62.99</v>
      </c>
    </row>
    <row r="5455" spans="1:3" ht="24" customHeight="1">
      <c r="A5455" s="1205" t="s">
        <v>63826</v>
      </c>
      <c r="B5455" s="1205" t="s">
        <v>63825</v>
      </c>
      <c r="C5455" s="1205">
        <v>43.99</v>
      </c>
    </row>
    <row r="5456" spans="1:3" ht="24" customHeight="1">
      <c r="A5456" s="1205" t="s">
        <v>63824</v>
      </c>
      <c r="B5456" s="1205" t="s">
        <v>63823</v>
      </c>
      <c r="C5456" s="1205">
        <v>41.99</v>
      </c>
    </row>
    <row r="5457" spans="1:3" ht="24" customHeight="1">
      <c r="A5457" s="1205" t="s">
        <v>63822</v>
      </c>
      <c r="B5457" s="1205" t="s">
        <v>63821</v>
      </c>
      <c r="C5457" s="1205">
        <v>30.99</v>
      </c>
    </row>
    <row r="5458" spans="1:3" ht="24" customHeight="1">
      <c r="A5458" s="1205" t="s">
        <v>63820</v>
      </c>
      <c r="B5458" s="1205" t="s">
        <v>63819</v>
      </c>
      <c r="C5458" s="1205">
        <v>13.49</v>
      </c>
    </row>
    <row r="5459" spans="1:3" ht="24" customHeight="1">
      <c r="A5459" s="1205" t="s">
        <v>63818</v>
      </c>
      <c r="B5459" s="1205" t="s">
        <v>63817</v>
      </c>
      <c r="C5459" s="1205">
        <v>6.99</v>
      </c>
    </row>
    <row r="5460" spans="1:3" ht="24" customHeight="1">
      <c r="A5460" s="1205" t="s">
        <v>63816</v>
      </c>
      <c r="B5460" s="1205" t="s">
        <v>63815</v>
      </c>
      <c r="C5460" s="1205">
        <v>10.49</v>
      </c>
    </row>
    <row r="5461" spans="1:3" ht="24" customHeight="1">
      <c r="A5461" s="1205" t="s">
        <v>63814</v>
      </c>
      <c r="B5461" s="1205" t="s">
        <v>63813</v>
      </c>
      <c r="C5461" s="1205">
        <v>55.49</v>
      </c>
    </row>
    <row r="5462" spans="1:3" ht="24" customHeight="1">
      <c r="A5462" s="1205" t="s">
        <v>63812</v>
      </c>
      <c r="B5462" s="1205" t="s">
        <v>63811</v>
      </c>
      <c r="C5462" s="1205">
        <v>27.49</v>
      </c>
    </row>
    <row r="5463" spans="1:3" ht="24" customHeight="1">
      <c r="A5463" s="1205" t="s">
        <v>63810</v>
      </c>
      <c r="B5463" s="1205" t="s">
        <v>63809</v>
      </c>
      <c r="C5463" s="1205">
        <v>50.99</v>
      </c>
    </row>
    <row r="5464" spans="1:3" ht="24" customHeight="1">
      <c r="A5464" s="1205" t="s">
        <v>63808</v>
      </c>
      <c r="B5464" s="1205" t="s">
        <v>63807</v>
      </c>
      <c r="C5464" s="1205">
        <v>57.49</v>
      </c>
    </row>
    <row r="5465" spans="1:3" ht="24" customHeight="1">
      <c r="A5465" s="1205" t="s">
        <v>63806</v>
      </c>
      <c r="B5465" s="1205" t="s">
        <v>63805</v>
      </c>
      <c r="C5465" s="1205">
        <v>55.49</v>
      </c>
    </row>
    <row r="5466" spans="1:3" ht="24" customHeight="1">
      <c r="A5466" s="1205" t="s">
        <v>63804</v>
      </c>
      <c r="B5466" s="1205" t="s">
        <v>63803</v>
      </c>
      <c r="C5466" s="1205">
        <v>54.99</v>
      </c>
    </row>
    <row r="5467" spans="1:3" ht="24" customHeight="1">
      <c r="A5467" s="1205" t="s">
        <v>63802</v>
      </c>
      <c r="B5467" s="1205" t="s">
        <v>63801</v>
      </c>
      <c r="C5467" s="1205">
        <v>97.49</v>
      </c>
    </row>
    <row r="5468" spans="1:3" ht="24" customHeight="1">
      <c r="A5468" s="1205" t="s">
        <v>63800</v>
      </c>
      <c r="B5468" s="1205" t="s">
        <v>63799</v>
      </c>
      <c r="C5468" s="1205">
        <v>52.49</v>
      </c>
    </row>
    <row r="5469" spans="1:3" ht="24" customHeight="1">
      <c r="A5469" s="1205" t="s">
        <v>63798</v>
      </c>
      <c r="B5469" s="1205" t="s">
        <v>63797</v>
      </c>
      <c r="C5469" s="1205">
        <v>61.49</v>
      </c>
    </row>
    <row r="5470" spans="1:3" ht="24" customHeight="1">
      <c r="A5470" s="1205" t="s">
        <v>63796</v>
      </c>
      <c r="B5470" s="1205" t="s">
        <v>63795</v>
      </c>
      <c r="C5470" s="1205">
        <v>65.489999999999995</v>
      </c>
    </row>
    <row r="5471" spans="1:3" ht="24" customHeight="1">
      <c r="A5471" s="1205" t="s">
        <v>63794</v>
      </c>
      <c r="B5471" s="1205" t="s">
        <v>63793</v>
      </c>
      <c r="C5471" s="1205">
        <v>44.49</v>
      </c>
    </row>
    <row r="5472" spans="1:3" ht="24" customHeight="1">
      <c r="A5472" s="1205" t="s">
        <v>63792</v>
      </c>
      <c r="B5472" s="1205" t="s">
        <v>63791</v>
      </c>
      <c r="C5472" s="1205">
        <v>80.989999999999995</v>
      </c>
    </row>
    <row r="5473" spans="1:3" ht="24" customHeight="1">
      <c r="A5473" s="1205" t="s">
        <v>63790</v>
      </c>
      <c r="B5473" s="1205" t="s">
        <v>63789</v>
      </c>
      <c r="C5473" s="1205">
        <v>72.489999999999995</v>
      </c>
    </row>
    <row r="5474" spans="1:3" ht="24" customHeight="1">
      <c r="A5474" s="1205" t="s">
        <v>63788</v>
      </c>
      <c r="B5474" s="1205" t="s">
        <v>63787</v>
      </c>
      <c r="C5474" s="1205">
        <v>44.99</v>
      </c>
    </row>
    <row r="5475" spans="1:3" ht="24" customHeight="1">
      <c r="A5475" s="1205" t="s">
        <v>63786</v>
      </c>
      <c r="B5475" s="1205" t="s">
        <v>63785</v>
      </c>
      <c r="C5475" s="1205">
        <v>40.99</v>
      </c>
    </row>
    <row r="5476" spans="1:3" ht="24" customHeight="1">
      <c r="A5476" s="1205" t="s">
        <v>63784</v>
      </c>
      <c r="B5476" s="1205" t="s">
        <v>63783</v>
      </c>
      <c r="C5476" s="1205">
        <v>36.49</v>
      </c>
    </row>
    <row r="5477" spans="1:3" ht="24" customHeight="1">
      <c r="A5477" s="1205" t="s">
        <v>63782</v>
      </c>
      <c r="B5477" s="1205" t="s">
        <v>63781</v>
      </c>
      <c r="C5477" s="1205">
        <v>33.49</v>
      </c>
    </row>
    <row r="5478" spans="1:3" ht="24" customHeight="1">
      <c r="A5478" s="1205" t="s">
        <v>63780</v>
      </c>
      <c r="B5478" s="1205" t="s">
        <v>63779</v>
      </c>
      <c r="C5478" s="1205">
        <v>63.49</v>
      </c>
    </row>
    <row r="5479" spans="1:3" ht="24" customHeight="1">
      <c r="A5479" s="1205" t="s">
        <v>63778</v>
      </c>
      <c r="B5479" s="1205" t="s">
        <v>63777</v>
      </c>
      <c r="C5479" s="1205">
        <v>29.49</v>
      </c>
    </row>
    <row r="5480" spans="1:3" ht="24" customHeight="1">
      <c r="A5480" s="1205" t="s">
        <v>63776</v>
      </c>
      <c r="B5480" s="1205" t="s">
        <v>63775</v>
      </c>
      <c r="C5480" s="1205">
        <v>52.49</v>
      </c>
    </row>
    <row r="5481" spans="1:3" ht="24" customHeight="1">
      <c r="A5481" s="1205" t="s">
        <v>63774</v>
      </c>
      <c r="B5481" s="1205" t="s">
        <v>63773</v>
      </c>
      <c r="C5481" s="1205">
        <v>34.99</v>
      </c>
    </row>
    <row r="5482" spans="1:3" ht="24" customHeight="1">
      <c r="A5482" s="1205" t="s">
        <v>63772</v>
      </c>
      <c r="B5482" s="1205" t="s">
        <v>63771</v>
      </c>
      <c r="C5482" s="1205">
        <v>26.99</v>
      </c>
    </row>
    <row r="5483" spans="1:3" ht="24" customHeight="1">
      <c r="A5483" s="1205" t="s">
        <v>63770</v>
      </c>
      <c r="B5483" s="1205" t="s">
        <v>63769</v>
      </c>
      <c r="C5483" s="1205">
        <v>35.99</v>
      </c>
    </row>
    <row r="5484" spans="1:3" ht="24" customHeight="1">
      <c r="A5484" s="1205" t="s">
        <v>63768</v>
      </c>
      <c r="B5484" s="1205" t="s">
        <v>63767</v>
      </c>
      <c r="C5484" s="1205">
        <v>34.99</v>
      </c>
    </row>
    <row r="5485" spans="1:3" ht="24" customHeight="1">
      <c r="A5485" s="1205" t="s">
        <v>63766</v>
      </c>
      <c r="B5485" s="1205" t="s">
        <v>63765</v>
      </c>
      <c r="C5485" s="1205">
        <v>33.49</v>
      </c>
    </row>
    <row r="5486" spans="1:3" ht="24" customHeight="1">
      <c r="A5486" s="1205" t="s">
        <v>63764</v>
      </c>
      <c r="B5486" s="1205" t="s">
        <v>63763</v>
      </c>
      <c r="C5486" s="1205">
        <v>34.49</v>
      </c>
    </row>
    <row r="5487" spans="1:3" ht="24" customHeight="1">
      <c r="A5487" s="1205" t="s">
        <v>63762</v>
      </c>
      <c r="B5487" s="1205" t="s">
        <v>63761</v>
      </c>
      <c r="C5487" s="1205">
        <v>35.99</v>
      </c>
    </row>
    <row r="5488" spans="1:3" ht="24" customHeight="1">
      <c r="A5488" s="1205" t="s">
        <v>63760</v>
      </c>
      <c r="B5488" s="1205" t="s">
        <v>63759</v>
      </c>
      <c r="C5488" s="1205">
        <v>34.99</v>
      </c>
    </row>
    <row r="5489" spans="1:3" ht="24" customHeight="1">
      <c r="A5489" s="1205" t="s">
        <v>63758</v>
      </c>
      <c r="B5489" s="1205" t="s">
        <v>63757</v>
      </c>
      <c r="C5489" s="1205">
        <v>33.49</v>
      </c>
    </row>
    <row r="5490" spans="1:3" ht="24" customHeight="1">
      <c r="A5490" s="1205" t="s">
        <v>63756</v>
      </c>
      <c r="B5490" s="1205" t="s">
        <v>63755</v>
      </c>
      <c r="C5490" s="1205">
        <v>71.989999999999995</v>
      </c>
    </row>
    <row r="5491" spans="1:3" ht="24" customHeight="1">
      <c r="A5491" s="1205" t="s">
        <v>63754</v>
      </c>
      <c r="B5491" s="1205" t="s">
        <v>63753</v>
      </c>
      <c r="C5491" s="1205">
        <v>88.99</v>
      </c>
    </row>
    <row r="5492" spans="1:3" ht="24" customHeight="1">
      <c r="A5492" s="1205" t="s">
        <v>63752</v>
      </c>
      <c r="B5492" s="1205" t="s">
        <v>63751</v>
      </c>
      <c r="C5492" s="1205">
        <v>61.49</v>
      </c>
    </row>
    <row r="5493" spans="1:3" ht="24" customHeight="1">
      <c r="A5493" s="1205" t="s">
        <v>63750</v>
      </c>
      <c r="B5493" s="1205" t="s">
        <v>63749</v>
      </c>
      <c r="C5493" s="1205">
        <v>78.989999999999995</v>
      </c>
    </row>
    <row r="5494" spans="1:3" ht="24" customHeight="1">
      <c r="A5494" s="1205" t="s">
        <v>63748</v>
      </c>
      <c r="B5494" s="1205" t="s">
        <v>63747</v>
      </c>
      <c r="C5494" s="1205">
        <v>22.49</v>
      </c>
    </row>
    <row r="5495" spans="1:3" ht="24" customHeight="1">
      <c r="A5495" s="1205" t="s">
        <v>63746</v>
      </c>
      <c r="B5495" s="1205" t="s">
        <v>63745</v>
      </c>
      <c r="C5495" s="1205">
        <v>41.49</v>
      </c>
    </row>
    <row r="5496" spans="1:3" ht="24" customHeight="1">
      <c r="A5496" s="1205" t="s">
        <v>63744</v>
      </c>
      <c r="B5496" s="1205" t="s">
        <v>63743</v>
      </c>
      <c r="C5496" s="1205">
        <v>37.49</v>
      </c>
    </row>
    <row r="5497" spans="1:3" ht="24" customHeight="1">
      <c r="A5497" s="1205" t="s">
        <v>63742</v>
      </c>
      <c r="B5497" s="1205" t="s">
        <v>63741</v>
      </c>
      <c r="C5497" s="1205">
        <v>33.49</v>
      </c>
    </row>
    <row r="5498" spans="1:3" ht="24" customHeight="1">
      <c r="A5498" s="1205" t="s">
        <v>63740</v>
      </c>
      <c r="B5498" s="1205" t="s">
        <v>63739</v>
      </c>
      <c r="C5498" s="1205">
        <v>42.49</v>
      </c>
    </row>
    <row r="5499" spans="1:3" ht="24" customHeight="1">
      <c r="A5499" s="1205" t="s">
        <v>63738</v>
      </c>
      <c r="B5499" s="1205" t="s">
        <v>63737</v>
      </c>
      <c r="C5499" s="1205">
        <v>40.49</v>
      </c>
    </row>
    <row r="5500" spans="1:3" ht="24" customHeight="1">
      <c r="A5500" s="1205" t="s">
        <v>63736</v>
      </c>
      <c r="B5500" s="1205" t="s">
        <v>63735</v>
      </c>
      <c r="C5500" s="1205">
        <v>45.49</v>
      </c>
    </row>
    <row r="5501" spans="1:3" ht="24" customHeight="1">
      <c r="A5501" s="1205" t="s">
        <v>63734</v>
      </c>
      <c r="B5501" s="1205" t="s">
        <v>63733</v>
      </c>
      <c r="C5501" s="1205">
        <v>52.49</v>
      </c>
    </row>
    <row r="5502" spans="1:3" ht="24" customHeight="1">
      <c r="A5502" s="1205" t="s">
        <v>63732</v>
      </c>
      <c r="B5502" s="1205" t="s">
        <v>63731</v>
      </c>
      <c r="C5502" s="1205">
        <v>39.99</v>
      </c>
    </row>
    <row r="5503" spans="1:3" ht="24" customHeight="1">
      <c r="A5503" s="1205" t="s">
        <v>63730</v>
      </c>
      <c r="B5503" s="1205" t="s">
        <v>63729</v>
      </c>
      <c r="C5503" s="1205">
        <v>38.99</v>
      </c>
    </row>
    <row r="5504" spans="1:3" ht="24" customHeight="1">
      <c r="A5504" s="1205" t="s">
        <v>63728</v>
      </c>
      <c r="B5504" s="1205" t="s">
        <v>63727</v>
      </c>
      <c r="C5504" s="1205">
        <v>40.99</v>
      </c>
    </row>
    <row r="5505" spans="1:3" ht="24" customHeight="1">
      <c r="A5505" s="1205" t="s">
        <v>63726</v>
      </c>
      <c r="B5505" s="1205" t="s">
        <v>63725</v>
      </c>
      <c r="C5505" s="1205">
        <v>38.99</v>
      </c>
    </row>
    <row r="5506" spans="1:3" ht="24" customHeight="1">
      <c r="A5506" s="1205" t="s">
        <v>63724</v>
      </c>
      <c r="B5506" s="1205" t="s">
        <v>63723</v>
      </c>
      <c r="C5506" s="1205">
        <v>42.49</v>
      </c>
    </row>
    <row r="5507" spans="1:3" ht="24" customHeight="1">
      <c r="A5507" s="1205" t="s">
        <v>63722</v>
      </c>
      <c r="B5507" s="1205" t="s">
        <v>63721</v>
      </c>
      <c r="C5507" s="1205">
        <v>39.49</v>
      </c>
    </row>
    <row r="5508" spans="1:3" ht="24" customHeight="1">
      <c r="A5508" s="1205" t="s">
        <v>63720</v>
      </c>
      <c r="B5508" s="1205" t="s">
        <v>63719</v>
      </c>
      <c r="C5508" s="1205">
        <v>40.49</v>
      </c>
    </row>
    <row r="5509" spans="1:3" ht="24" customHeight="1">
      <c r="A5509" s="1205" t="s">
        <v>63718</v>
      </c>
      <c r="B5509" s="1205" t="s">
        <v>63717</v>
      </c>
      <c r="C5509" s="1205">
        <v>45.49</v>
      </c>
    </row>
    <row r="5510" spans="1:3" ht="24" customHeight="1">
      <c r="A5510" s="1205" t="s">
        <v>63716</v>
      </c>
      <c r="B5510" s="1205" t="s">
        <v>63715</v>
      </c>
      <c r="C5510" s="1205">
        <v>40.49</v>
      </c>
    </row>
    <row r="5511" spans="1:3" ht="24" customHeight="1">
      <c r="A5511" s="1205" t="s">
        <v>63714</v>
      </c>
      <c r="B5511" s="1205" t="s">
        <v>63713</v>
      </c>
      <c r="C5511" s="1205">
        <v>36.49</v>
      </c>
    </row>
    <row r="5512" spans="1:3" ht="24" customHeight="1">
      <c r="A5512" s="1205" t="s">
        <v>63712</v>
      </c>
      <c r="B5512" s="1205" t="s">
        <v>63711</v>
      </c>
      <c r="C5512" s="1205">
        <v>40.99</v>
      </c>
    </row>
    <row r="5513" spans="1:3" ht="24" customHeight="1">
      <c r="A5513" s="1205" t="s">
        <v>63710</v>
      </c>
      <c r="B5513" s="1205" t="s">
        <v>63709</v>
      </c>
      <c r="C5513" s="1205">
        <v>35.99</v>
      </c>
    </row>
    <row r="5514" spans="1:3" ht="24" customHeight="1">
      <c r="A5514" s="1205" t="s">
        <v>63708</v>
      </c>
      <c r="B5514" s="1205" t="s">
        <v>63707</v>
      </c>
      <c r="C5514" s="1205">
        <v>29.49</v>
      </c>
    </row>
    <row r="5515" spans="1:3" ht="24" customHeight="1">
      <c r="A5515" s="1205" t="s">
        <v>63706</v>
      </c>
      <c r="B5515" s="1205" t="s">
        <v>63705</v>
      </c>
      <c r="C5515" s="1205">
        <v>41.49</v>
      </c>
    </row>
    <row r="5516" spans="1:3" ht="24" customHeight="1">
      <c r="A5516" s="1205" t="s">
        <v>63704</v>
      </c>
      <c r="B5516" s="1205" t="s">
        <v>63703</v>
      </c>
      <c r="C5516" s="1205">
        <v>48.49</v>
      </c>
    </row>
    <row r="5517" spans="1:3" ht="24" customHeight="1">
      <c r="A5517" s="1205" t="s">
        <v>63702</v>
      </c>
      <c r="B5517" s="1205" t="s">
        <v>63701</v>
      </c>
      <c r="C5517" s="1205">
        <v>41.99</v>
      </c>
    </row>
    <row r="5518" spans="1:3" ht="24" customHeight="1">
      <c r="A5518" s="1205" t="s">
        <v>63700</v>
      </c>
      <c r="B5518" s="1205" t="s">
        <v>63699</v>
      </c>
      <c r="C5518" s="1205">
        <v>46.49</v>
      </c>
    </row>
    <row r="5519" spans="1:3" ht="24" customHeight="1">
      <c r="A5519" s="1205" t="s">
        <v>63698</v>
      </c>
      <c r="B5519" s="1205" t="s">
        <v>63697</v>
      </c>
      <c r="C5519" s="1205">
        <v>24.99</v>
      </c>
    </row>
    <row r="5520" spans="1:3" ht="24" customHeight="1">
      <c r="A5520" s="1205" t="s">
        <v>63696</v>
      </c>
      <c r="B5520" s="1205" t="s">
        <v>63695</v>
      </c>
      <c r="C5520" s="1205">
        <v>65.989999999999995</v>
      </c>
    </row>
    <row r="5521" spans="1:3" ht="24" customHeight="1">
      <c r="A5521" s="1205" t="s">
        <v>63694</v>
      </c>
      <c r="B5521" s="1205" t="s">
        <v>63693</v>
      </c>
      <c r="C5521" s="1205">
        <v>57.99</v>
      </c>
    </row>
    <row r="5522" spans="1:3" ht="24" customHeight="1">
      <c r="A5522" s="1205" t="s">
        <v>63692</v>
      </c>
      <c r="B5522" s="1205" t="s">
        <v>63691</v>
      </c>
      <c r="C5522" s="1205">
        <v>53.99</v>
      </c>
    </row>
    <row r="5523" spans="1:3" ht="24" customHeight="1">
      <c r="A5523" s="1205" t="s">
        <v>63690</v>
      </c>
      <c r="B5523" s="1205" t="s">
        <v>63689</v>
      </c>
      <c r="C5523" s="1205">
        <v>32.99</v>
      </c>
    </row>
    <row r="5524" spans="1:3" ht="24" customHeight="1">
      <c r="A5524" s="1205" t="s">
        <v>63688</v>
      </c>
      <c r="B5524" s="1205" t="s">
        <v>63687</v>
      </c>
      <c r="C5524" s="1205">
        <v>24.99</v>
      </c>
    </row>
    <row r="5525" spans="1:3" ht="24" customHeight="1">
      <c r="A5525" s="1205" t="s">
        <v>63686</v>
      </c>
      <c r="B5525" s="1205" t="s">
        <v>63685</v>
      </c>
      <c r="C5525" s="1205">
        <v>81.489999999999995</v>
      </c>
    </row>
    <row r="5526" spans="1:3" ht="24" customHeight="1">
      <c r="A5526" s="1205" t="s">
        <v>63684</v>
      </c>
      <c r="B5526" s="1205" t="s">
        <v>63683</v>
      </c>
      <c r="C5526" s="1205">
        <v>84.99</v>
      </c>
    </row>
    <row r="5527" spans="1:3" ht="24" customHeight="1">
      <c r="A5527" s="1205" t="s">
        <v>63682</v>
      </c>
      <c r="B5527" s="1205" t="s">
        <v>63681</v>
      </c>
      <c r="C5527" s="1205">
        <v>67.989999999999995</v>
      </c>
    </row>
    <row r="5528" spans="1:3" ht="24" customHeight="1">
      <c r="A5528" s="1205" t="s">
        <v>63680</v>
      </c>
      <c r="B5528" s="1205" t="s">
        <v>63679</v>
      </c>
      <c r="C5528" s="1205">
        <v>88.49</v>
      </c>
    </row>
    <row r="5529" spans="1:3" ht="24" customHeight="1">
      <c r="A5529" s="1205" t="s">
        <v>63678</v>
      </c>
      <c r="B5529" s="1205" t="s">
        <v>63677</v>
      </c>
      <c r="C5529" s="1205">
        <v>38.49</v>
      </c>
    </row>
    <row r="5530" spans="1:3" ht="24" customHeight="1">
      <c r="A5530" s="1205" t="s">
        <v>63676</v>
      </c>
      <c r="B5530" s="1205" t="s">
        <v>63675</v>
      </c>
      <c r="C5530" s="1205">
        <v>24.49</v>
      </c>
    </row>
    <row r="5531" spans="1:3" ht="24" customHeight="1">
      <c r="A5531" s="1205" t="s">
        <v>63674</v>
      </c>
      <c r="B5531" s="1205" t="s">
        <v>63673</v>
      </c>
      <c r="C5531" s="1205">
        <v>21.99</v>
      </c>
    </row>
    <row r="5532" spans="1:3" ht="24" customHeight="1">
      <c r="A5532" s="1205" t="s">
        <v>63672</v>
      </c>
      <c r="B5532" s="1205" t="s">
        <v>63671</v>
      </c>
      <c r="C5532" s="1205">
        <v>40.99</v>
      </c>
    </row>
    <row r="5533" spans="1:3" ht="24" customHeight="1">
      <c r="A5533" s="1205" t="s">
        <v>63670</v>
      </c>
      <c r="B5533" s="1205" t="s">
        <v>63669</v>
      </c>
      <c r="C5533" s="1205">
        <v>57.99</v>
      </c>
    </row>
    <row r="5534" spans="1:3" ht="24" customHeight="1">
      <c r="A5534" s="1205" t="s">
        <v>63668</v>
      </c>
      <c r="B5534" s="1205" t="s">
        <v>63667</v>
      </c>
      <c r="C5534" s="1205">
        <v>44.49</v>
      </c>
    </row>
    <row r="5535" spans="1:3" ht="24" customHeight="1">
      <c r="A5535" s="1205" t="s">
        <v>63666</v>
      </c>
      <c r="B5535" s="1205" t="s">
        <v>63665</v>
      </c>
      <c r="C5535" s="1205">
        <v>30.49</v>
      </c>
    </row>
    <row r="5536" spans="1:3" ht="24" customHeight="1">
      <c r="A5536" s="1205" t="s">
        <v>63664</v>
      </c>
      <c r="B5536" s="1205" t="s">
        <v>63663</v>
      </c>
      <c r="C5536" s="1205">
        <v>42.99</v>
      </c>
    </row>
    <row r="5537" spans="1:3" ht="24" customHeight="1">
      <c r="A5537" s="1205" t="s">
        <v>63662</v>
      </c>
      <c r="B5537" s="1205" t="s">
        <v>63661</v>
      </c>
      <c r="C5537" s="1205">
        <v>37.99</v>
      </c>
    </row>
    <row r="5538" spans="1:3" ht="24" customHeight="1">
      <c r="A5538" s="1205" t="s">
        <v>63660</v>
      </c>
      <c r="B5538" s="1205" t="s">
        <v>63659</v>
      </c>
      <c r="C5538" s="1205">
        <v>38.49</v>
      </c>
    </row>
    <row r="5539" spans="1:3" ht="24" customHeight="1">
      <c r="A5539" s="1205" t="s">
        <v>63658</v>
      </c>
      <c r="B5539" s="1205" t="s">
        <v>63657</v>
      </c>
      <c r="C5539" s="1205">
        <v>50.99</v>
      </c>
    </row>
    <row r="5540" spans="1:3" ht="24" customHeight="1">
      <c r="A5540" s="1205" t="s">
        <v>63656</v>
      </c>
      <c r="B5540" s="1205" t="s">
        <v>63655</v>
      </c>
      <c r="C5540" s="1205">
        <v>45.99</v>
      </c>
    </row>
    <row r="5541" spans="1:3" ht="24" customHeight="1">
      <c r="A5541" s="1205" t="s">
        <v>63654</v>
      </c>
      <c r="B5541" s="1205" t="s">
        <v>63653</v>
      </c>
      <c r="C5541" s="1205">
        <v>54.49</v>
      </c>
    </row>
    <row r="5542" spans="1:3" ht="24" customHeight="1">
      <c r="A5542" s="1205" t="s">
        <v>63652</v>
      </c>
      <c r="B5542" s="1205" t="s">
        <v>63651</v>
      </c>
      <c r="C5542" s="1205">
        <v>41.49</v>
      </c>
    </row>
    <row r="5543" spans="1:3" ht="24" customHeight="1">
      <c r="A5543" s="1205" t="s">
        <v>63650</v>
      </c>
      <c r="B5543" s="1205" t="s">
        <v>63649</v>
      </c>
      <c r="C5543" s="1205">
        <v>39.99</v>
      </c>
    </row>
    <row r="5544" spans="1:3" ht="24" customHeight="1">
      <c r="A5544" s="1205" t="s">
        <v>63648</v>
      </c>
      <c r="B5544" s="1205" t="s">
        <v>63647</v>
      </c>
      <c r="C5544" s="1205">
        <v>41.49</v>
      </c>
    </row>
    <row r="5545" spans="1:3" ht="24" customHeight="1">
      <c r="A5545" s="1205" t="s">
        <v>63646</v>
      </c>
      <c r="B5545" s="1205" t="s">
        <v>63645</v>
      </c>
      <c r="C5545" s="1205">
        <v>36.49</v>
      </c>
    </row>
    <row r="5546" spans="1:3" ht="24" customHeight="1">
      <c r="A5546" s="1205" t="s">
        <v>63644</v>
      </c>
      <c r="B5546" s="1205" t="s">
        <v>63643</v>
      </c>
      <c r="C5546" s="1205">
        <v>36.99</v>
      </c>
    </row>
    <row r="5547" spans="1:3" ht="24" customHeight="1">
      <c r="A5547" s="1205" t="s">
        <v>63642</v>
      </c>
      <c r="B5547" s="1205" t="s">
        <v>63641</v>
      </c>
      <c r="C5547" s="1205">
        <v>25.49</v>
      </c>
    </row>
    <row r="5548" spans="1:3" ht="24" customHeight="1">
      <c r="A5548" s="1205" t="s">
        <v>63640</v>
      </c>
      <c r="B5548" s="1205" t="s">
        <v>63639</v>
      </c>
      <c r="C5548" s="1205">
        <v>40.99</v>
      </c>
    </row>
    <row r="5549" spans="1:3" ht="24" customHeight="1">
      <c r="A5549" s="1205" t="s">
        <v>63638</v>
      </c>
      <c r="B5549" s="1205" t="s">
        <v>63637</v>
      </c>
      <c r="C5549" s="1205">
        <v>31.49</v>
      </c>
    </row>
    <row r="5550" spans="1:3" ht="24" customHeight="1">
      <c r="A5550" s="1205" t="s">
        <v>63636</v>
      </c>
      <c r="B5550" s="1205" t="s">
        <v>63635</v>
      </c>
      <c r="C5550" s="1205">
        <v>37.49</v>
      </c>
    </row>
    <row r="5551" spans="1:3" ht="24" customHeight="1">
      <c r="A5551" s="1205" t="s">
        <v>63634</v>
      </c>
      <c r="B5551" s="1205" t="s">
        <v>63633</v>
      </c>
      <c r="C5551" s="1205">
        <v>20.49</v>
      </c>
    </row>
    <row r="5552" spans="1:3" ht="24" customHeight="1">
      <c r="A5552" s="1205" t="s">
        <v>63632</v>
      </c>
      <c r="B5552" s="1205" t="s">
        <v>63631</v>
      </c>
      <c r="C5552" s="1205">
        <v>29.49</v>
      </c>
    </row>
    <row r="5553" spans="1:3" ht="24" customHeight="1">
      <c r="A5553" s="1205" t="s">
        <v>63630</v>
      </c>
      <c r="B5553" s="1205" t="s">
        <v>63629</v>
      </c>
      <c r="C5553" s="1205">
        <v>32.49</v>
      </c>
    </row>
    <row r="5554" spans="1:3" ht="24" customHeight="1">
      <c r="A5554" s="1205" t="s">
        <v>63628</v>
      </c>
      <c r="B5554" s="1205" t="s">
        <v>63627</v>
      </c>
      <c r="C5554" s="1205">
        <v>41.99</v>
      </c>
    </row>
    <row r="5555" spans="1:3" ht="24" customHeight="1">
      <c r="A5555" s="1205" t="s">
        <v>63626</v>
      </c>
      <c r="B5555" s="1205" t="s">
        <v>63625</v>
      </c>
      <c r="C5555" s="1205">
        <v>38.49</v>
      </c>
    </row>
    <row r="5556" spans="1:3" ht="24" customHeight="1">
      <c r="A5556" s="1205" t="s">
        <v>63624</v>
      </c>
      <c r="B5556" s="1205" t="s">
        <v>63623</v>
      </c>
      <c r="C5556" s="1205">
        <v>41.49</v>
      </c>
    </row>
    <row r="5557" spans="1:3" ht="24" customHeight="1">
      <c r="A5557" s="1205" t="s">
        <v>63622</v>
      </c>
      <c r="B5557" s="1205" t="s">
        <v>63621</v>
      </c>
      <c r="C5557" s="1205">
        <v>40.49</v>
      </c>
    </row>
    <row r="5558" spans="1:3" ht="24" customHeight="1">
      <c r="A5558" s="1205" t="s">
        <v>63620</v>
      </c>
      <c r="B5558" s="1205" t="s">
        <v>63619</v>
      </c>
      <c r="C5558" s="1205">
        <v>40.49</v>
      </c>
    </row>
    <row r="5559" spans="1:3" ht="24" customHeight="1">
      <c r="A5559" s="1205" t="s">
        <v>63618</v>
      </c>
      <c r="B5559" s="1205" t="s">
        <v>63617</v>
      </c>
      <c r="C5559" s="1205">
        <v>39.99</v>
      </c>
    </row>
    <row r="5560" spans="1:3" ht="24" customHeight="1">
      <c r="A5560" s="1205" t="s">
        <v>63616</v>
      </c>
      <c r="B5560" s="1205" t="s">
        <v>63615</v>
      </c>
      <c r="C5560" s="1205">
        <v>37.99</v>
      </c>
    </row>
    <row r="5561" spans="1:3" ht="24" customHeight="1">
      <c r="A5561" s="1205" t="s">
        <v>63614</v>
      </c>
      <c r="B5561" s="1205" t="s">
        <v>63613</v>
      </c>
      <c r="C5561" s="1205">
        <v>38.99</v>
      </c>
    </row>
    <row r="5562" spans="1:3" ht="24" customHeight="1">
      <c r="A5562" s="1205" t="s">
        <v>63612</v>
      </c>
      <c r="B5562" s="1205" t="s">
        <v>63611</v>
      </c>
      <c r="C5562" s="1205">
        <v>40.99</v>
      </c>
    </row>
    <row r="5563" spans="1:3" ht="24" customHeight="1">
      <c r="A5563" s="1205" t="s">
        <v>63610</v>
      </c>
      <c r="B5563" s="1205" t="s">
        <v>63609</v>
      </c>
      <c r="C5563" s="1205">
        <v>39.49</v>
      </c>
    </row>
    <row r="5564" spans="1:3" ht="24" customHeight="1">
      <c r="A5564" s="1205" t="s">
        <v>63608</v>
      </c>
      <c r="B5564" s="1205" t="s">
        <v>63607</v>
      </c>
      <c r="C5564" s="1205">
        <v>37.99</v>
      </c>
    </row>
    <row r="5565" spans="1:3" ht="24" customHeight="1">
      <c r="A5565" s="1205" t="s">
        <v>63606</v>
      </c>
      <c r="B5565" s="1205" t="s">
        <v>63605</v>
      </c>
      <c r="C5565" s="1205">
        <v>82.99</v>
      </c>
    </row>
    <row r="5566" spans="1:3" ht="24" customHeight="1">
      <c r="A5566" s="1205" t="s">
        <v>63604</v>
      </c>
      <c r="B5566" s="1205" t="s">
        <v>63603</v>
      </c>
      <c r="C5566" s="1205">
        <v>60.99</v>
      </c>
    </row>
    <row r="5567" spans="1:3" ht="24" customHeight="1">
      <c r="A5567" s="1205" t="s">
        <v>63602</v>
      </c>
      <c r="B5567" s="1205" t="s">
        <v>63601</v>
      </c>
      <c r="C5567" s="1205">
        <v>38.49</v>
      </c>
    </row>
    <row r="5568" spans="1:3" ht="24" customHeight="1">
      <c r="A5568" s="1205" t="s">
        <v>63600</v>
      </c>
      <c r="B5568" s="1205" t="s">
        <v>63599</v>
      </c>
      <c r="C5568" s="1205">
        <v>43.99</v>
      </c>
    </row>
    <row r="5569" spans="1:3" ht="24" customHeight="1">
      <c r="A5569" s="1205" t="s">
        <v>63598</v>
      </c>
      <c r="B5569" s="1205" t="s">
        <v>63597</v>
      </c>
      <c r="C5569" s="1205">
        <v>38.99</v>
      </c>
    </row>
    <row r="5570" spans="1:3" ht="24" customHeight="1">
      <c r="A5570" s="1205" t="s">
        <v>63596</v>
      </c>
      <c r="B5570" s="1205" t="s">
        <v>63595</v>
      </c>
      <c r="C5570" s="1205">
        <v>44.99</v>
      </c>
    </row>
    <row r="5571" spans="1:3" ht="24" customHeight="1">
      <c r="A5571" s="1205" t="s">
        <v>63594</v>
      </c>
      <c r="B5571" s="1205" t="s">
        <v>63593</v>
      </c>
      <c r="C5571" s="1205">
        <v>44.99</v>
      </c>
    </row>
    <row r="5572" spans="1:3" ht="24" customHeight="1">
      <c r="A5572" s="1205" t="s">
        <v>63592</v>
      </c>
      <c r="B5572" s="1205" t="s">
        <v>63591</v>
      </c>
      <c r="C5572" s="1205">
        <v>45.99</v>
      </c>
    </row>
    <row r="5573" spans="1:3" ht="24" customHeight="1">
      <c r="A5573" s="1205" t="s">
        <v>63590</v>
      </c>
      <c r="B5573" s="1205" t="s">
        <v>63589</v>
      </c>
      <c r="C5573" s="1205">
        <v>43.49</v>
      </c>
    </row>
    <row r="5574" spans="1:3" ht="24" customHeight="1">
      <c r="A5574" s="1205" t="s">
        <v>63588</v>
      </c>
      <c r="B5574" s="1205" t="s">
        <v>63587</v>
      </c>
      <c r="C5574" s="1205">
        <v>43.99</v>
      </c>
    </row>
    <row r="5575" spans="1:3" ht="24" customHeight="1">
      <c r="A5575" s="1205" t="s">
        <v>63586</v>
      </c>
      <c r="B5575" s="1205" t="s">
        <v>63585</v>
      </c>
      <c r="C5575" s="1205">
        <v>46.99</v>
      </c>
    </row>
    <row r="5576" spans="1:3" ht="24" customHeight="1">
      <c r="A5576" s="1205" t="s">
        <v>63584</v>
      </c>
      <c r="B5576" s="1205" t="s">
        <v>63583</v>
      </c>
      <c r="C5576" s="1205">
        <v>40.49</v>
      </c>
    </row>
    <row r="5577" spans="1:3" ht="24" customHeight="1">
      <c r="A5577" s="1205" t="s">
        <v>63582</v>
      </c>
      <c r="B5577" s="1205" t="s">
        <v>63581</v>
      </c>
      <c r="C5577" s="1205">
        <v>46.99</v>
      </c>
    </row>
    <row r="5578" spans="1:3" ht="24" customHeight="1">
      <c r="A5578" s="1205" t="s">
        <v>63580</v>
      </c>
      <c r="B5578" s="1205" t="s">
        <v>63579</v>
      </c>
      <c r="C5578" s="1205">
        <v>45.99</v>
      </c>
    </row>
    <row r="5579" spans="1:3" ht="24" customHeight="1">
      <c r="A5579" s="1205" t="s">
        <v>63578</v>
      </c>
      <c r="B5579" s="1205" t="s">
        <v>63577</v>
      </c>
      <c r="C5579" s="1205">
        <v>43.49</v>
      </c>
    </row>
    <row r="5580" spans="1:3" ht="24" customHeight="1">
      <c r="A5580" s="1205" t="s">
        <v>63576</v>
      </c>
      <c r="B5580" s="1205" t="s">
        <v>63575</v>
      </c>
      <c r="C5580" s="1205">
        <v>44.99</v>
      </c>
    </row>
    <row r="5581" spans="1:3" ht="24" customHeight="1">
      <c r="A5581" s="1205" t="s">
        <v>63574</v>
      </c>
      <c r="B5581" s="1205" t="s">
        <v>63573</v>
      </c>
      <c r="C5581" s="1205">
        <v>41.99</v>
      </c>
    </row>
    <row r="5582" spans="1:3" ht="24" customHeight="1">
      <c r="A5582" s="1205" t="s">
        <v>63572</v>
      </c>
      <c r="B5582" s="1205" t="s">
        <v>63571</v>
      </c>
      <c r="C5582" s="1205">
        <v>29.99</v>
      </c>
    </row>
    <row r="5583" spans="1:3" ht="24" customHeight="1">
      <c r="A5583" s="1205" t="s">
        <v>63570</v>
      </c>
      <c r="B5583" s="1205" t="s">
        <v>63569</v>
      </c>
      <c r="C5583" s="1205">
        <v>69.989999999999995</v>
      </c>
    </row>
    <row r="5584" spans="1:3" ht="24" customHeight="1">
      <c r="A5584" s="1205" t="s">
        <v>63568</v>
      </c>
      <c r="B5584" s="1205" t="s">
        <v>63567</v>
      </c>
      <c r="C5584" s="1205">
        <v>61.99</v>
      </c>
    </row>
    <row r="5585" spans="1:3" ht="24" customHeight="1">
      <c r="A5585" s="1205" t="s">
        <v>63566</v>
      </c>
      <c r="B5585" s="1205" t="s">
        <v>63565</v>
      </c>
      <c r="C5585" s="1205">
        <v>68.489999999999995</v>
      </c>
    </row>
    <row r="5586" spans="1:3" ht="24" customHeight="1">
      <c r="A5586" s="1205" t="s">
        <v>63564</v>
      </c>
      <c r="B5586" s="1205" t="s">
        <v>63563</v>
      </c>
      <c r="C5586" s="1205">
        <v>58.99</v>
      </c>
    </row>
    <row r="5587" spans="1:3" ht="24" customHeight="1">
      <c r="A5587" s="1205" t="s">
        <v>63562</v>
      </c>
      <c r="B5587" s="1205" t="s">
        <v>63561</v>
      </c>
      <c r="C5587" s="1205">
        <v>37.99</v>
      </c>
    </row>
    <row r="5588" spans="1:3" ht="24" customHeight="1">
      <c r="A5588" s="1205" t="s">
        <v>63560</v>
      </c>
      <c r="B5588" s="1205" t="s">
        <v>63559</v>
      </c>
      <c r="C5588" s="1205">
        <v>35.99</v>
      </c>
    </row>
    <row r="5589" spans="1:3" ht="24" customHeight="1">
      <c r="A5589" s="1205" t="s">
        <v>63558</v>
      </c>
      <c r="B5589" s="1205" t="s">
        <v>63557</v>
      </c>
      <c r="C5589" s="1205">
        <v>37.49</v>
      </c>
    </row>
    <row r="5590" spans="1:3" ht="24" customHeight="1">
      <c r="A5590" s="1205" t="s">
        <v>63556</v>
      </c>
      <c r="B5590" s="1205" t="s">
        <v>63519</v>
      </c>
      <c r="C5590" s="1205">
        <v>38.99</v>
      </c>
    </row>
    <row r="5591" spans="1:3" ht="24" customHeight="1">
      <c r="A5591" s="1205" t="s">
        <v>63555</v>
      </c>
      <c r="B5591" s="1205" t="s">
        <v>63554</v>
      </c>
      <c r="C5591" s="1205">
        <v>54.49</v>
      </c>
    </row>
    <row r="5592" spans="1:3" ht="24" customHeight="1">
      <c r="A5592" s="1205" t="s">
        <v>63553</v>
      </c>
      <c r="B5592" s="1205" t="s">
        <v>63552</v>
      </c>
      <c r="C5592" s="1205">
        <v>52.49</v>
      </c>
    </row>
    <row r="5593" spans="1:3" ht="24" customHeight="1">
      <c r="A5593" s="1205" t="s">
        <v>63551</v>
      </c>
      <c r="B5593" s="1205" t="s">
        <v>63550</v>
      </c>
      <c r="C5593" s="1205">
        <v>52.99</v>
      </c>
    </row>
    <row r="5594" spans="1:3" ht="24" customHeight="1">
      <c r="A5594" s="1205" t="s">
        <v>63549</v>
      </c>
      <c r="B5594" s="1205" t="s">
        <v>63548</v>
      </c>
      <c r="C5594" s="1205">
        <v>54.99</v>
      </c>
    </row>
    <row r="5595" spans="1:3" ht="24" customHeight="1">
      <c r="A5595" s="1205" t="s">
        <v>63547</v>
      </c>
      <c r="B5595" s="1205" t="s">
        <v>63546</v>
      </c>
      <c r="C5595" s="1205">
        <v>51.49</v>
      </c>
    </row>
    <row r="5596" spans="1:3" ht="24" customHeight="1">
      <c r="A5596" s="1205" t="s">
        <v>63545</v>
      </c>
      <c r="B5596" s="1205" t="s">
        <v>63544</v>
      </c>
      <c r="C5596" s="1205">
        <v>52.49</v>
      </c>
    </row>
    <row r="5597" spans="1:3" ht="24" customHeight="1">
      <c r="A5597" s="1205" t="s">
        <v>63543</v>
      </c>
      <c r="B5597" s="1205" t="s">
        <v>63542</v>
      </c>
      <c r="C5597" s="1205">
        <v>57.49</v>
      </c>
    </row>
    <row r="5598" spans="1:3" ht="24" customHeight="1">
      <c r="A5598" s="1205" t="s">
        <v>63541</v>
      </c>
      <c r="B5598" s="1205" t="s">
        <v>63540</v>
      </c>
      <c r="C5598" s="1205">
        <v>52.49</v>
      </c>
    </row>
    <row r="5599" spans="1:3" ht="24" customHeight="1">
      <c r="A5599" s="1205" t="s">
        <v>63539</v>
      </c>
      <c r="B5599" s="1205" t="s">
        <v>63538</v>
      </c>
      <c r="C5599" s="1205">
        <v>52.99</v>
      </c>
    </row>
    <row r="5600" spans="1:3" ht="24" customHeight="1">
      <c r="A5600" s="1205" t="s">
        <v>63537</v>
      </c>
      <c r="B5600" s="1205" t="s">
        <v>63536</v>
      </c>
      <c r="C5600" s="1205">
        <v>45.99</v>
      </c>
    </row>
    <row r="5601" spans="1:3" ht="24" customHeight="1">
      <c r="A5601" s="1205" t="s">
        <v>63535</v>
      </c>
      <c r="B5601" s="1205" t="s">
        <v>63534</v>
      </c>
      <c r="C5601" s="1205">
        <v>53.49</v>
      </c>
    </row>
    <row r="5602" spans="1:3" ht="24" customHeight="1">
      <c r="A5602" s="1205" t="s">
        <v>63533</v>
      </c>
      <c r="B5602" s="1205" t="s">
        <v>63532</v>
      </c>
      <c r="C5602" s="1205">
        <v>60.49</v>
      </c>
    </row>
    <row r="5603" spans="1:3" ht="24" customHeight="1">
      <c r="A5603" s="1205" t="s">
        <v>63531</v>
      </c>
      <c r="B5603" s="1205" t="s">
        <v>63530</v>
      </c>
      <c r="C5603" s="1205">
        <v>54.49</v>
      </c>
    </row>
    <row r="5604" spans="1:3" ht="24" customHeight="1">
      <c r="A5604" s="1205" t="s">
        <v>63529</v>
      </c>
      <c r="B5604" s="1205" t="s">
        <v>63528</v>
      </c>
      <c r="C5604" s="1205">
        <v>72.489999999999995</v>
      </c>
    </row>
    <row r="5605" spans="1:3" ht="24" customHeight="1">
      <c r="A5605" s="1205" t="s">
        <v>63527</v>
      </c>
      <c r="B5605" s="1205" t="s">
        <v>63526</v>
      </c>
      <c r="C5605" s="1205">
        <v>58.49</v>
      </c>
    </row>
    <row r="5606" spans="1:3" ht="24" customHeight="1">
      <c r="A5606" s="1205" t="s">
        <v>63525</v>
      </c>
      <c r="B5606" s="1205" t="s">
        <v>63524</v>
      </c>
      <c r="C5606" s="1205">
        <v>39.49</v>
      </c>
    </row>
    <row r="5607" spans="1:3" ht="24" customHeight="1">
      <c r="A5607" s="1205" t="s">
        <v>63523</v>
      </c>
      <c r="B5607" s="1205" t="s">
        <v>63522</v>
      </c>
      <c r="C5607" s="1205">
        <v>40.99</v>
      </c>
    </row>
    <row r="5608" spans="1:3" ht="24" customHeight="1">
      <c r="A5608" s="1205" t="s">
        <v>63521</v>
      </c>
      <c r="B5608" s="1205" t="s">
        <v>63519</v>
      </c>
      <c r="C5608" s="1205">
        <v>37.99</v>
      </c>
    </row>
    <row r="5609" spans="1:3" ht="24" customHeight="1">
      <c r="A5609" s="1205" t="s">
        <v>63520</v>
      </c>
      <c r="B5609" s="1205" t="s">
        <v>63519</v>
      </c>
      <c r="C5609" s="1205">
        <v>35.99</v>
      </c>
    </row>
    <row r="5610" spans="1:3" ht="24" customHeight="1">
      <c r="A5610" s="1205" t="s">
        <v>63518</v>
      </c>
      <c r="B5610" s="1205" t="s">
        <v>63517</v>
      </c>
      <c r="C5610" s="1205">
        <v>53.99</v>
      </c>
    </row>
    <row r="5611" spans="1:3" ht="24" customHeight="1">
      <c r="A5611" s="1205" t="s">
        <v>63516</v>
      </c>
      <c r="B5611" s="1205" t="s">
        <v>63515</v>
      </c>
      <c r="C5611" s="1205">
        <v>81.99</v>
      </c>
    </row>
    <row r="5612" spans="1:3" ht="24" customHeight="1">
      <c r="A5612" s="1205" t="s">
        <v>63514</v>
      </c>
      <c r="B5612" s="1205" t="s">
        <v>63513</v>
      </c>
      <c r="C5612" s="1205">
        <v>68.489999999999995</v>
      </c>
    </row>
    <row r="5613" spans="1:3" ht="24" customHeight="1">
      <c r="A5613" s="1205" t="s">
        <v>63512</v>
      </c>
      <c r="B5613" s="1205" t="s">
        <v>63511</v>
      </c>
      <c r="C5613" s="1205">
        <v>66.489999999999995</v>
      </c>
    </row>
    <row r="5614" spans="1:3" ht="24" customHeight="1">
      <c r="A5614" s="1205" t="s">
        <v>63510</v>
      </c>
      <c r="B5614" s="1205" t="s">
        <v>63509</v>
      </c>
      <c r="C5614" s="1205">
        <v>26.99</v>
      </c>
    </row>
    <row r="5615" spans="1:3" ht="24" customHeight="1">
      <c r="A5615" s="1205" t="s">
        <v>63508</v>
      </c>
      <c r="B5615" s="1205" t="s">
        <v>63507</v>
      </c>
      <c r="C5615" s="1205">
        <v>40.99</v>
      </c>
    </row>
    <row r="5616" spans="1:3" ht="24" customHeight="1">
      <c r="A5616" s="1205" t="s">
        <v>63506</v>
      </c>
      <c r="B5616" s="1205" t="s">
        <v>63505</v>
      </c>
      <c r="C5616" s="1205">
        <v>35.99</v>
      </c>
    </row>
    <row r="5617" spans="1:3" ht="24" customHeight="1">
      <c r="A5617" s="1205" t="s">
        <v>63504</v>
      </c>
      <c r="B5617" s="1205" t="s">
        <v>63503</v>
      </c>
      <c r="C5617" s="1205">
        <v>36.99</v>
      </c>
    </row>
    <row r="5618" spans="1:3" ht="24" customHeight="1">
      <c r="A5618" s="1205" t="s">
        <v>63502</v>
      </c>
      <c r="B5618" s="1205" t="s">
        <v>63501</v>
      </c>
      <c r="C5618" s="1205">
        <v>35.49</v>
      </c>
    </row>
    <row r="5619" spans="1:3" ht="24" customHeight="1">
      <c r="A5619" s="1205" t="s">
        <v>63500</v>
      </c>
      <c r="B5619" s="1205" t="s">
        <v>63499</v>
      </c>
      <c r="C5619" s="1205">
        <v>13.49</v>
      </c>
    </row>
    <row r="5620" spans="1:3" ht="24" customHeight="1">
      <c r="A5620" s="1205" t="s">
        <v>63498</v>
      </c>
      <c r="B5620" s="1205" t="s">
        <v>63497</v>
      </c>
      <c r="C5620" s="1205">
        <v>59.49</v>
      </c>
    </row>
    <row r="5621" spans="1:3" ht="24" customHeight="1">
      <c r="A5621" s="1205" t="s">
        <v>63496</v>
      </c>
      <c r="B5621" s="1205" t="s">
        <v>63495</v>
      </c>
      <c r="C5621" s="1205">
        <v>50.49</v>
      </c>
    </row>
    <row r="5622" spans="1:3" ht="24" customHeight="1">
      <c r="A5622" s="1205" t="s">
        <v>63494</v>
      </c>
      <c r="B5622" s="1205" t="s">
        <v>63493</v>
      </c>
      <c r="C5622" s="1205">
        <v>12.99</v>
      </c>
    </row>
    <row r="5623" spans="1:3" ht="24" customHeight="1">
      <c r="A5623" s="1205" t="s">
        <v>63492</v>
      </c>
      <c r="B5623" s="1205" t="s">
        <v>63491</v>
      </c>
      <c r="C5623" s="1205">
        <v>18.489999999999998</v>
      </c>
    </row>
    <row r="5624" spans="1:3" ht="24" customHeight="1">
      <c r="A5624" s="1205" t="s">
        <v>63490</v>
      </c>
      <c r="B5624" s="1205" t="s">
        <v>63489</v>
      </c>
      <c r="C5624" s="1205">
        <v>70.989999999999995</v>
      </c>
    </row>
    <row r="5625" spans="1:3" ht="24" customHeight="1">
      <c r="A5625" s="1205" t="s">
        <v>63488</v>
      </c>
      <c r="B5625" s="1205" t="s">
        <v>63487</v>
      </c>
      <c r="C5625" s="1205">
        <v>65.989999999999995</v>
      </c>
    </row>
    <row r="5626" spans="1:3" ht="24" customHeight="1">
      <c r="A5626" s="1205" t="s">
        <v>63486</v>
      </c>
      <c r="B5626" s="1205" t="s">
        <v>63485</v>
      </c>
      <c r="C5626" s="1205">
        <v>9.99</v>
      </c>
    </row>
    <row r="5627" spans="1:3" ht="24" customHeight="1">
      <c r="A5627" s="1205" t="s">
        <v>63484</v>
      </c>
      <c r="B5627" s="1205" t="s">
        <v>63483</v>
      </c>
      <c r="C5627" s="1205">
        <v>30.99</v>
      </c>
    </row>
    <row r="5628" spans="1:3" ht="24" customHeight="1">
      <c r="A5628" s="1205" t="s">
        <v>63482</v>
      </c>
      <c r="B5628" s="1205" t="s">
        <v>63481</v>
      </c>
      <c r="C5628" s="1205">
        <v>27.49</v>
      </c>
    </row>
    <row r="5629" spans="1:3" ht="24" customHeight="1">
      <c r="A5629" s="1205" t="s">
        <v>63480</v>
      </c>
      <c r="B5629" s="1205" t="s">
        <v>63479</v>
      </c>
      <c r="C5629" s="1205">
        <v>27.99</v>
      </c>
    </row>
    <row r="5630" spans="1:3" ht="24" customHeight="1">
      <c r="A5630" s="1205" t="s">
        <v>63478</v>
      </c>
      <c r="B5630" s="1205" t="s">
        <v>63477</v>
      </c>
      <c r="C5630" s="1205">
        <v>16.489999999999998</v>
      </c>
    </row>
    <row r="5631" spans="1:3" ht="24" customHeight="1">
      <c r="A5631" s="1205" t="s">
        <v>63476</v>
      </c>
      <c r="B5631" s="1205" t="s">
        <v>63475</v>
      </c>
      <c r="C5631" s="1205">
        <v>8.49</v>
      </c>
    </row>
    <row r="5632" spans="1:3" ht="24" customHeight="1">
      <c r="A5632" s="1205" t="s">
        <v>63474</v>
      </c>
      <c r="B5632" s="1205" t="s">
        <v>63468</v>
      </c>
      <c r="C5632" s="1205">
        <v>14.99</v>
      </c>
    </row>
    <row r="5633" spans="1:3" ht="24" customHeight="1">
      <c r="A5633" s="1205" t="s">
        <v>63473</v>
      </c>
      <c r="B5633" s="1205" t="s">
        <v>63472</v>
      </c>
      <c r="C5633" s="1205">
        <v>31.99</v>
      </c>
    </row>
    <row r="5634" spans="1:3" ht="24" customHeight="1">
      <c r="A5634" s="1205" t="s">
        <v>63471</v>
      </c>
      <c r="B5634" s="1205" t="s">
        <v>63470</v>
      </c>
      <c r="C5634" s="1205">
        <v>13.49</v>
      </c>
    </row>
    <row r="5635" spans="1:3" ht="24" customHeight="1">
      <c r="A5635" s="1205" t="s">
        <v>63469</v>
      </c>
      <c r="B5635" s="1205" t="s">
        <v>63468</v>
      </c>
      <c r="C5635" s="1205">
        <v>11.49</v>
      </c>
    </row>
    <row r="5636" spans="1:3" ht="24" customHeight="1">
      <c r="A5636" s="1205" t="s">
        <v>63467</v>
      </c>
      <c r="B5636" s="1205" t="s">
        <v>63466</v>
      </c>
      <c r="C5636" s="1205">
        <v>11.49</v>
      </c>
    </row>
    <row r="5637" spans="1:3" ht="24" customHeight="1">
      <c r="A5637" s="1205" t="s">
        <v>63465</v>
      </c>
      <c r="B5637" s="1205" t="s">
        <v>63464</v>
      </c>
      <c r="C5637" s="1205">
        <v>39.99</v>
      </c>
    </row>
    <row r="5638" spans="1:3" ht="24" customHeight="1">
      <c r="A5638" s="1205" t="s">
        <v>63463</v>
      </c>
      <c r="B5638" s="1205" t="s">
        <v>63462</v>
      </c>
      <c r="C5638" s="1205">
        <v>38.99</v>
      </c>
    </row>
    <row r="5639" spans="1:3" ht="24" customHeight="1">
      <c r="A5639" s="1205" t="s">
        <v>63461</v>
      </c>
      <c r="B5639" s="1205" t="s">
        <v>63460</v>
      </c>
      <c r="C5639" s="1205">
        <v>28.49</v>
      </c>
    </row>
    <row r="5640" spans="1:3" ht="24" customHeight="1">
      <c r="A5640" s="1205" t="s">
        <v>63459</v>
      </c>
      <c r="B5640" s="1205" t="s">
        <v>63458</v>
      </c>
      <c r="C5640" s="1205">
        <v>14.99</v>
      </c>
    </row>
    <row r="5641" spans="1:3" ht="24" customHeight="1">
      <c r="A5641" s="1205" t="s">
        <v>63457</v>
      </c>
      <c r="B5641" s="1205" t="s">
        <v>63456</v>
      </c>
      <c r="C5641" s="1205">
        <v>13.99</v>
      </c>
    </row>
    <row r="5642" spans="1:3" ht="24" customHeight="1">
      <c r="A5642" s="1205" t="s">
        <v>63455</v>
      </c>
      <c r="B5642" s="1205" t="s">
        <v>63454</v>
      </c>
      <c r="C5642" s="1205">
        <v>13.99</v>
      </c>
    </row>
    <row r="5643" spans="1:3" ht="24" customHeight="1">
      <c r="A5643" s="1205" t="s">
        <v>63453</v>
      </c>
      <c r="B5643" s="1205" t="s">
        <v>63452</v>
      </c>
      <c r="C5643" s="1205">
        <v>11.99</v>
      </c>
    </row>
    <row r="5644" spans="1:3" ht="24" customHeight="1">
      <c r="A5644" s="1205" t="s">
        <v>63451</v>
      </c>
      <c r="B5644" s="1205" t="s">
        <v>63450</v>
      </c>
      <c r="C5644" s="1205">
        <v>15.99</v>
      </c>
    </row>
    <row r="5645" spans="1:3" ht="24" customHeight="1">
      <c r="A5645" s="1205" t="s">
        <v>63449</v>
      </c>
      <c r="B5645" s="1205" t="s">
        <v>63448</v>
      </c>
      <c r="C5645" s="1205">
        <v>12.49</v>
      </c>
    </row>
    <row r="5646" spans="1:3" ht="24" customHeight="1">
      <c r="A5646" s="1205" t="s">
        <v>63447</v>
      </c>
      <c r="B5646" s="1205" t="s">
        <v>63446</v>
      </c>
      <c r="C5646" s="1205">
        <v>37.99</v>
      </c>
    </row>
    <row r="5647" spans="1:3" ht="24" customHeight="1">
      <c r="A5647" s="1205" t="s">
        <v>63445</v>
      </c>
      <c r="B5647" s="1205" t="s">
        <v>63444</v>
      </c>
      <c r="C5647" s="1205">
        <v>14.99</v>
      </c>
    </row>
    <row r="5648" spans="1:3" ht="24" customHeight="1">
      <c r="A5648" s="1205" t="s">
        <v>63443</v>
      </c>
      <c r="B5648" s="1205" t="s">
        <v>63442</v>
      </c>
      <c r="C5648" s="1205">
        <v>43.49</v>
      </c>
    </row>
    <row r="5649" spans="1:3" ht="24" customHeight="1">
      <c r="A5649" s="1205" t="s">
        <v>63441</v>
      </c>
      <c r="B5649" s="1205" t="s">
        <v>63440</v>
      </c>
      <c r="C5649" s="1205">
        <v>42.49</v>
      </c>
    </row>
    <row r="5650" spans="1:3" ht="24" customHeight="1">
      <c r="A5650" s="1205" t="s">
        <v>63439</v>
      </c>
      <c r="B5650" s="1205" t="s">
        <v>63438</v>
      </c>
      <c r="C5650" s="1205">
        <v>42.99</v>
      </c>
    </row>
    <row r="5651" spans="1:3" ht="24" customHeight="1">
      <c r="A5651" s="1205" t="s">
        <v>63437</v>
      </c>
      <c r="B5651" s="1205" t="s">
        <v>63436</v>
      </c>
      <c r="C5651" s="1205">
        <v>26.99</v>
      </c>
    </row>
    <row r="5652" spans="1:3" ht="24" customHeight="1">
      <c r="A5652" s="1205" t="s">
        <v>63435</v>
      </c>
      <c r="B5652" s="1205" t="s">
        <v>63434</v>
      </c>
      <c r="C5652" s="1205">
        <v>75.989999999999995</v>
      </c>
    </row>
    <row r="5653" spans="1:3" ht="24" customHeight="1">
      <c r="A5653" s="1205" t="s">
        <v>63433</v>
      </c>
      <c r="B5653" s="1205" t="s">
        <v>63432</v>
      </c>
      <c r="C5653" s="1205">
        <v>14.99</v>
      </c>
    </row>
    <row r="5654" spans="1:3" ht="24" customHeight="1">
      <c r="A5654" s="1205" t="s">
        <v>63431</v>
      </c>
      <c r="B5654" s="1205" t="s">
        <v>63430</v>
      </c>
      <c r="C5654" s="1205">
        <v>15.99</v>
      </c>
    </row>
    <row r="5655" spans="1:3" ht="24" customHeight="1">
      <c r="A5655" s="1205" t="s">
        <v>63429</v>
      </c>
      <c r="B5655" s="1205" t="s">
        <v>63427</v>
      </c>
      <c r="C5655" s="1205">
        <v>40.99</v>
      </c>
    </row>
    <row r="5656" spans="1:3" ht="24" customHeight="1">
      <c r="A5656" s="1205" t="s">
        <v>63428</v>
      </c>
      <c r="B5656" s="1205" t="s">
        <v>63427</v>
      </c>
      <c r="C5656" s="1205">
        <v>39.49</v>
      </c>
    </row>
    <row r="5657" spans="1:3" ht="24" customHeight="1">
      <c r="A5657" s="1205" t="s">
        <v>63426</v>
      </c>
      <c r="B5657" s="1205" t="s">
        <v>63425</v>
      </c>
      <c r="C5657" s="1205">
        <v>8.49</v>
      </c>
    </row>
    <row r="5658" spans="1:3" ht="24" customHeight="1">
      <c r="A5658" s="1205" t="s">
        <v>63424</v>
      </c>
      <c r="B5658" s="1205" t="s">
        <v>63423</v>
      </c>
      <c r="C5658" s="1205">
        <v>8.99</v>
      </c>
    </row>
    <row r="5659" spans="1:3" ht="24" customHeight="1">
      <c r="A5659" s="1205" t="s">
        <v>63422</v>
      </c>
      <c r="B5659" s="1205" t="s">
        <v>63421</v>
      </c>
      <c r="C5659" s="1205">
        <v>11.49</v>
      </c>
    </row>
    <row r="5660" spans="1:3" ht="24" customHeight="1">
      <c r="A5660" s="1205" t="s">
        <v>63420</v>
      </c>
      <c r="B5660" s="1205" t="s">
        <v>63419</v>
      </c>
      <c r="C5660" s="1205">
        <v>12.49</v>
      </c>
    </row>
    <row r="5661" spans="1:3" ht="24" customHeight="1">
      <c r="A5661" s="1205" t="s">
        <v>63418</v>
      </c>
      <c r="B5661" s="1205" t="s">
        <v>63417</v>
      </c>
      <c r="C5661" s="1205">
        <v>1098.99</v>
      </c>
    </row>
    <row r="5662" spans="1:3" ht="24" customHeight="1">
      <c r="A5662" s="1205" t="s">
        <v>63416</v>
      </c>
      <c r="B5662" s="1205" t="s">
        <v>63415</v>
      </c>
      <c r="C5662" s="1205">
        <v>13.99</v>
      </c>
    </row>
    <row r="5663" spans="1:3" ht="24" customHeight="1">
      <c r="A5663" s="1205" t="s">
        <v>63414</v>
      </c>
      <c r="B5663" s="1205" t="s">
        <v>63413</v>
      </c>
      <c r="C5663" s="1205">
        <v>14.49</v>
      </c>
    </row>
    <row r="5664" spans="1:3" ht="24" customHeight="1">
      <c r="A5664" s="1205" t="s">
        <v>63412</v>
      </c>
      <c r="B5664" s="1205" t="s">
        <v>63411</v>
      </c>
      <c r="C5664" s="1205">
        <v>91.99</v>
      </c>
    </row>
    <row r="5665" spans="1:3" ht="24" customHeight="1">
      <c r="A5665" s="1205" t="s">
        <v>63410</v>
      </c>
      <c r="B5665" s="1205" t="s">
        <v>63409</v>
      </c>
      <c r="C5665" s="1205">
        <v>39.49</v>
      </c>
    </row>
    <row r="5666" spans="1:3" ht="24" customHeight="1">
      <c r="A5666" s="1205" t="s">
        <v>63408</v>
      </c>
      <c r="B5666" s="1205" t="s">
        <v>63407</v>
      </c>
      <c r="C5666" s="1205">
        <v>40.99</v>
      </c>
    </row>
    <row r="5667" spans="1:3" ht="24" customHeight="1">
      <c r="A5667" s="1205" t="s">
        <v>63406</v>
      </c>
      <c r="B5667" s="1205" t="s">
        <v>63405</v>
      </c>
      <c r="C5667" s="1205">
        <v>24.49</v>
      </c>
    </row>
    <row r="5668" spans="1:3" ht="24" customHeight="1">
      <c r="A5668" s="1205" t="s">
        <v>63404</v>
      </c>
      <c r="B5668" s="1205" t="s">
        <v>63403</v>
      </c>
      <c r="C5668" s="1205">
        <v>44.99</v>
      </c>
    </row>
    <row r="5669" spans="1:3" ht="24" customHeight="1">
      <c r="A5669" s="1205" t="s">
        <v>63402</v>
      </c>
      <c r="B5669" s="1205" t="s">
        <v>63401</v>
      </c>
      <c r="C5669" s="1205">
        <v>21.49</v>
      </c>
    </row>
    <row r="5670" spans="1:3" ht="24" customHeight="1">
      <c r="A5670" s="1205" t="s">
        <v>63400</v>
      </c>
      <c r="B5670" s="1205" t="s">
        <v>63395</v>
      </c>
      <c r="C5670" s="1205">
        <v>17.989999999999998</v>
      </c>
    </row>
    <row r="5671" spans="1:3" ht="24" customHeight="1">
      <c r="A5671" s="1205" t="s">
        <v>63399</v>
      </c>
      <c r="B5671" s="1205" t="s">
        <v>63392</v>
      </c>
      <c r="C5671" s="1205">
        <v>33.99</v>
      </c>
    </row>
    <row r="5672" spans="1:3" ht="24" customHeight="1">
      <c r="A5672" s="1205" t="s">
        <v>63398</v>
      </c>
      <c r="B5672" s="1205" t="s">
        <v>63397</v>
      </c>
      <c r="C5672" s="1205">
        <v>62.99</v>
      </c>
    </row>
    <row r="5673" spans="1:3" ht="24" customHeight="1">
      <c r="A5673" s="1205" t="s">
        <v>63396</v>
      </c>
      <c r="B5673" s="1205" t="s">
        <v>63395</v>
      </c>
      <c r="C5673" s="1205">
        <v>16.989999999999998</v>
      </c>
    </row>
    <row r="5674" spans="1:3" ht="24" customHeight="1">
      <c r="A5674" s="1205" t="s">
        <v>63394</v>
      </c>
      <c r="B5674" s="1205" t="s">
        <v>63392</v>
      </c>
      <c r="C5674" s="1205">
        <v>42.49</v>
      </c>
    </row>
    <row r="5675" spans="1:3" ht="24" customHeight="1">
      <c r="A5675" s="1205" t="s">
        <v>63393</v>
      </c>
      <c r="B5675" s="1205" t="s">
        <v>63392</v>
      </c>
      <c r="C5675" s="1205">
        <v>38.49</v>
      </c>
    </row>
    <row r="5676" spans="1:3" ht="24" customHeight="1">
      <c r="A5676" s="1205" t="s">
        <v>63391</v>
      </c>
      <c r="B5676" s="1205" t="s">
        <v>63390</v>
      </c>
      <c r="C5676" s="1205">
        <v>18.489999999999998</v>
      </c>
    </row>
    <row r="5677" spans="1:3" ht="24" customHeight="1">
      <c r="A5677" s="1205" t="s">
        <v>63389</v>
      </c>
      <c r="B5677" s="1205" t="s">
        <v>63388</v>
      </c>
      <c r="C5677" s="1205">
        <v>13.49</v>
      </c>
    </row>
    <row r="5678" spans="1:3" ht="24" customHeight="1">
      <c r="A5678" s="1205" t="s">
        <v>63387</v>
      </c>
      <c r="B5678" s="1205" t="s">
        <v>63385</v>
      </c>
      <c r="C5678" s="1205">
        <v>50.49</v>
      </c>
    </row>
    <row r="5679" spans="1:3" ht="24" customHeight="1">
      <c r="A5679" s="1205" t="s">
        <v>63386</v>
      </c>
      <c r="B5679" s="1205" t="s">
        <v>63385</v>
      </c>
      <c r="C5679" s="1205">
        <v>45.99</v>
      </c>
    </row>
    <row r="5680" spans="1:3" ht="24" customHeight="1">
      <c r="A5680" s="1205" t="s">
        <v>63384</v>
      </c>
      <c r="B5680" s="1205" t="s">
        <v>63383</v>
      </c>
      <c r="C5680" s="1205">
        <v>12.49</v>
      </c>
    </row>
    <row r="5681" spans="1:3" ht="24" customHeight="1">
      <c r="A5681" s="1205" t="s">
        <v>63382</v>
      </c>
      <c r="B5681" s="1205" t="s">
        <v>63381</v>
      </c>
      <c r="C5681" s="1205">
        <v>9.49</v>
      </c>
    </row>
    <row r="5682" spans="1:3" ht="24" customHeight="1">
      <c r="A5682" s="1205" t="s">
        <v>63380</v>
      </c>
      <c r="B5682" s="1205" t="s">
        <v>63379</v>
      </c>
      <c r="C5682" s="1205">
        <v>60.99</v>
      </c>
    </row>
    <row r="5683" spans="1:3" ht="24" customHeight="1">
      <c r="A5683" s="1205" t="s">
        <v>63378</v>
      </c>
      <c r="B5683" s="1205" t="s">
        <v>63377</v>
      </c>
      <c r="C5683" s="1205">
        <v>57.49</v>
      </c>
    </row>
    <row r="5684" spans="1:3" ht="24" customHeight="1">
      <c r="A5684" s="1205" t="s">
        <v>63376</v>
      </c>
      <c r="B5684" s="1205" t="s">
        <v>63375</v>
      </c>
      <c r="C5684" s="1205">
        <v>10.99</v>
      </c>
    </row>
    <row r="5685" spans="1:3" ht="24" customHeight="1">
      <c r="A5685" s="1205" t="s">
        <v>63374</v>
      </c>
      <c r="B5685" s="1205" t="s">
        <v>63373</v>
      </c>
      <c r="C5685" s="1205">
        <v>21.99</v>
      </c>
    </row>
    <row r="5686" spans="1:3" ht="24" customHeight="1">
      <c r="A5686" s="1205" t="s">
        <v>63372</v>
      </c>
      <c r="B5686" s="1205" t="s">
        <v>63371</v>
      </c>
      <c r="C5686" s="1205">
        <v>12.49</v>
      </c>
    </row>
    <row r="5687" spans="1:3" ht="24" customHeight="1">
      <c r="A5687" s="1205" t="s">
        <v>63370</v>
      </c>
      <c r="B5687" s="1205" t="s">
        <v>63369</v>
      </c>
      <c r="C5687" s="1205">
        <v>11.49</v>
      </c>
    </row>
    <row r="5688" spans="1:3" ht="24" customHeight="1">
      <c r="A5688" s="1205" t="s">
        <v>63368</v>
      </c>
      <c r="B5688" s="1205" t="s">
        <v>63367</v>
      </c>
      <c r="C5688" s="1205">
        <v>7.99</v>
      </c>
    </row>
    <row r="5689" spans="1:3" ht="24" customHeight="1">
      <c r="A5689" s="1205" t="s">
        <v>63366</v>
      </c>
      <c r="B5689" s="1205" t="s">
        <v>63365</v>
      </c>
      <c r="C5689" s="1205">
        <v>28.99</v>
      </c>
    </row>
    <row r="5690" spans="1:3" ht="24" customHeight="1">
      <c r="A5690" s="1205" t="s">
        <v>63364</v>
      </c>
      <c r="B5690" s="1205" t="s">
        <v>63363</v>
      </c>
      <c r="C5690" s="1205">
        <v>30.49</v>
      </c>
    </row>
    <row r="5691" spans="1:3" ht="24" customHeight="1">
      <c r="A5691" s="1205" t="s">
        <v>63362</v>
      </c>
      <c r="B5691" s="1205" t="s">
        <v>63361</v>
      </c>
      <c r="C5691" s="1205">
        <v>61.99</v>
      </c>
    </row>
    <row r="5692" spans="1:3" ht="24" customHeight="1">
      <c r="A5692" s="1205" t="s">
        <v>63360</v>
      </c>
      <c r="B5692" s="1205" t="s">
        <v>63359</v>
      </c>
      <c r="C5692" s="1205">
        <v>54.49</v>
      </c>
    </row>
    <row r="5693" spans="1:3" ht="24" customHeight="1">
      <c r="A5693" s="1205" t="s">
        <v>63358</v>
      </c>
      <c r="B5693" s="1205" t="s">
        <v>63357</v>
      </c>
      <c r="C5693" s="1205">
        <v>53.99</v>
      </c>
    </row>
    <row r="5694" spans="1:3" ht="24" customHeight="1">
      <c r="A5694" s="1205" t="s">
        <v>63356</v>
      </c>
      <c r="B5694" s="1205" t="s">
        <v>63355</v>
      </c>
      <c r="C5694" s="1205">
        <v>9.49</v>
      </c>
    </row>
    <row r="5695" spans="1:3" ht="24" customHeight="1">
      <c r="A5695" s="1205" t="s">
        <v>63354</v>
      </c>
      <c r="B5695" s="1205" t="s">
        <v>63353</v>
      </c>
      <c r="C5695" s="1205">
        <v>43.99</v>
      </c>
    </row>
    <row r="5696" spans="1:3" ht="24" customHeight="1">
      <c r="A5696" s="1205" t="s">
        <v>63352</v>
      </c>
      <c r="B5696" s="1205" t="s">
        <v>63351</v>
      </c>
      <c r="C5696" s="1205">
        <v>59.99</v>
      </c>
    </row>
    <row r="5697" spans="1:3" ht="24" customHeight="1">
      <c r="A5697" s="1205" t="s">
        <v>63350</v>
      </c>
      <c r="B5697" s="1205" t="s">
        <v>63349</v>
      </c>
      <c r="C5697" s="1205">
        <v>49.49</v>
      </c>
    </row>
    <row r="5698" spans="1:3" ht="24" customHeight="1">
      <c r="A5698" s="1205" t="s">
        <v>63348</v>
      </c>
      <c r="B5698" s="1205" t="s">
        <v>63347</v>
      </c>
      <c r="C5698" s="1205">
        <v>48.99</v>
      </c>
    </row>
    <row r="5699" spans="1:3" ht="24" customHeight="1">
      <c r="A5699" s="1205" t="s">
        <v>63346</v>
      </c>
      <c r="B5699" s="1205" t="s">
        <v>63345</v>
      </c>
      <c r="C5699" s="1205">
        <v>53.99</v>
      </c>
    </row>
    <row r="5700" spans="1:3" ht="24" customHeight="1">
      <c r="A5700" s="1205" t="s">
        <v>63344</v>
      </c>
      <c r="B5700" s="1205" t="s">
        <v>63343</v>
      </c>
      <c r="C5700" s="1205">
        <v>53.99</v>
      </c>
    </row>
    <row r="5701" spans="1:3" ht="24" customHeight="1">
      <c r="A5701" s="1205" t="s">
        <v>63342</v>
      </c>
      <c r="B5701" s="1205" t="s">
        <v>63341</v>
      </c>
      <c r="C5701" s="1205">
        <v>79.989999999999995</v>
      </c>
    </row>
    <row r="5702" spans="1:3" ht="24" customHeight="1">
      <c r="A5702" s="1205" t="s">
        <v>63340</v>
      </c>
      <c r="B5702" s="1205" t="s">
        <v>63339</v>
      </c>
      <c r="C5702" s="1205">
        <v>76.489999999999995</v>
      </c>
    </row>
    <row r="5703" spans="1:3" ht="24" customHeight="1">
      <c r="A5703" s="1205" t="s">
        <v>63338</v>
      </c>
      <c r="B5703" s="1205" t="s">
        <v>63337</v>
      </c>
      <c r="C5703" s="1205">
        <v>33.99</v>
      </c>
    </row>
    <row r="5704" spans="1:3" ht="24" customHeight="1">
      <c r="A5704" s="1205" t="s">
        <v>63336</v>
      </c>
      <c r="B5704" s="1205" t="s">
        <v>63330</v>
      </c>
      <c r="C5704" s="1205">
        <v>86.49</v>
      </c>
    </row>
    <row r="5705" spans="1:3" ht="24" customHeight="1">
      <c r="A5705" s="1205" t="s">
        <v>63335</v>
      </c>
      <c r="B5705" s="1205" t="s">
        <v>63330</v>
      </c>
      <c r="C5705" s="1205">
        <v>82.49</v>
      </c>
    </row>
    <row r="5706" spans="1:3" ht="24" customHeight="1">
      <c r="A5706" s="1205" t="s">
        <v>63334</v>
      </c>
      <c r="B5706" s="1205" t="s">
        <v>63333</v>
      </c>
      <c r="C5706" s="1205">
        <v>82.49</v>
      </c>
    </row>
    <row r="5707" spans="1:3" ht="24" customHeight="1">
      <c r="A5707" s="1205" t="s">
        <v>63332</v>
      </c>
      <c r="B5707" s="1205" t="s">
        <v>63330</v>
      </c>
      <c r="C5707" s="1205">
        <v>77.989999999999995</v>
      </c>
    </row>
    <row r="5708" spans="1:3" ht="24" customHeight="1">
      <c r="A5708" s="1205" t="s">
        <v>63331</v>
      </c>
      <c r="B5708" s="1205" t="s">
        <v>63330</v>
      </c>
      <c r="C5708" s="1205">
        <v>91.99</v>
      </c>
    </row>
    <row r="5709" spans="1:3" ht="24" customHeight="1">
      <c r="A5709" s="1205" t="s">
        <v>63329</v>
      </c>
      <c r="B5709" s="1205" t="s">
        <v>63328</v>
      </c>
      <c r="C5709" s="1205">
        <v>14.49</v>
      </c>
    </row>
    <row r="5710" spans="1:3" ht="24" customHeight="1">
      <c r="A5710" s="1205" t="s">
        <v>63327</v>
      </c>
      <c r="B5710" s="1205" t="s">
        <v>63326</v>
      </c>
      <c r="C5710" s="1205">
        <v>17.989999999999998</v>
      </c>
    </row>
    <row r="5711" spans="1:3" ht="24" customHeight="1">
      <c r="A5711" s="1205" t="s">
        <v>63325</v>
      </c>
      <c r="B5711" s="1205" t="s">
        <v>63324</v>
      </c>
      <c r="C5711" s="1205">
        <v>44.99</v>
      </c>
    </row>
    <row r="5712" spans="1:3" ht="24" customHeight="1">
      <c r="A5712" s="1205" t="s">
        <v>63323</v>
      </c>
      <c r="B5712" s="1205" t="s">
        <v>63321</v>
      </c>
      <c r="C5712" s="1205">
        <v>31.99</v>
      </c>
    </row>
    <row r="5713" spans="1:3" ht="24" customHeight="1">
      <c r="A5713" s="1205" t="s">
        <v>63322</v>
      </c>
      <c r="B5713" s="1205" t="s">
        <v>63321</v>
      </c>
      <c r="C5713" s="1205">
        <v>30.49</v>
      </c>
    </row>
    <row r="5714" spans="1:3" ht="24" customHeight="1">
      <c r="A5714" s="1205" t="s">
        <v>63320</v>
      </c>
      <c r="B5714" s="1205" t="s">
        <v>63319</v>
      </c>
      <c r="C5714" s="1205">
        <v>8.49</v>
      </c>
    </row>
    <row r="5715" spans="1:3" ht="24" customHeight="1">
      <c r="A5715" s="1205" t="s">
        <v>63318</v>
      </c>
      <c r="B5715" s="1205" t="s">
        <v>63317</v>
      </c>
      <c r="C5715" s="1205">
        <v>7.99</v>
      </c>
    </row>
    <row r="5716" spans="1:3" ht="24" customHeight="1">
      <c r="A5716" s="1205" t="s">
        <v>63316</v>
      </c>
      <c r="B5716" s="1205" t="s">
        <v>63315</v>
      </c>
      <c r="C5716" s="1205">
        <v>7.99</v>
      </c>
    </row>
    <row r="5717" spans="1:3" ht="24" customHeight="1">
      <c r="A5717" s="1205" t="s">
        <v>63314</v>
      </c>
      <c r="B5717" s="1205" t="s">
        <v>63313</v>
      </c>
      <c r="C5717" s="1205">
        <v>9.49</v>
      </c>
    </row>
    <row r="5718" spans="1:3" ht="24" customHeight="1">
      <c r="A5718" s="1205" t="s">
        <v>63312</v>
      </c>
      <c r="B5718" s="1205" t="s">
        <v>63311</v>
      </c>
      <c r="C5718" s="1205">
        <v>8.49</v>
      </c>
    </row>
    <row r="5719" spans="1:3" ht="24" customHeight="1">
      <c r="A5719" s="1205" t="s">
        <v>63310</v>
      </c>
      <c r="B5719" s="1205" t="s">
        <v>63309</v>
      </c>
      <c r="C5719" s="1205">
        <v>15.99</v>
      </c>
    </row>
    <row r="5720" spans="1:3" ht="24" customHeight="1">
      <c r="A5720" s="1205" t="s">
        <v>63308</v>
      </c>
      <c r="B5720" s="1205" t="s">
        <v>63307</v>
      </c>
      <c r="C5720" s="1205">
        <v>28.99</v>
      </c>
    </row>
    <row r="5721" spans="1:3" ht="24" customHeight="1">
      <c r="A5721" s="1205" t="s">
        <v>63306</v>
      </c>
      <c r="B5721" s="1205" t="s">
        <v>63305</v>
      </c>
      <c r="C5721" s="1205">
        <v>16.989999999999998</v>
      </c>
    </row>
    <row r="5722" spans="1:3" ht="24" customHeight="1">
      <c r="A5722" s="1205" t="s">
        <v>63304</v>
      </c>
      <c r="B5722" s="1205" t="s">
        <v>63303</v>
      </c>
      <c r="C5722" s="1205">
        <v>15.99</v>
      </c>
    </row>
    <row r="5723" spans="1:3" ht="24" customHeight="1">
      <c r="A5723" s="1205" t="s">
        <v>63302</v>
      </c>
      <c r="B5723" s="1205" t="s">
        <v>63301</v>
      </c>
      <c r="C5723" s="1205">
        <v>13.49</v>
      </c>
    </row>
    <row r="5724" spans="1:3" ht="24" customHeight="1">
      <c r="A5724" s="1205" t="s">
        <v>63300</v>
      </c>
      <c r="B5724" s="1205" t="s">
        <v>63294</v>
      </c>
      <c r="C5724" s="1205">
        <v>17.489999999999998</v>
      </c>
    </row>
    <row r="5725" spans="1:3" ht="24" customHeight="1">
      <c r="A5725" s="1205" t="s">
        <v>63299</v>
      </c>
      <c r="B5725" s="1205" t="s">
        <v>63298</v>
      </c>
      <c r="C5725" s="1205">
        <v>17.489999999999998</v>
      </c>
    </row>
    <row r="5726" spans="1:3" ht="24" customHeight="1">
      <c r="A5726" s="1205" t="s">
        <v>63297</v>
      </c>
      <c r="B5726" s="1205" t="s">
        <v>63296</v>
      </c>
      <c r="C5726" s="1205">
        <v>14.49</v>
      </c>
    </row>
    <row r="5727" spans="1:3" ht="24" customHeight="1">
      <c r="A5727" s="1205" t="s">
        <v>63295</v>
      </c>
      <c r="B5727" s="1205" t="s">
        <v>63294</v>
      </c>
      <c r="C5727" s="1205">
        <v>14.99</v>
      </c>
    </row>
    <row r="5728" spans="1:3" ht="24" customHeight="1">
      <c r="A5728" s="1205" t="s">
        <v>63293</v>
      </c>
      <c r="B5728" s="1205" t="s">
        <v>63292</v>
      </c>
      <c r="C5728" s="1205">
        <v>140.49</v>
      </c>
    </row>
    <row r="5729" spans="1:3" ht="24" customHeight="1">
      <c r="A5729" s="1205" t="s">
        <v>63291</v>
      </c>
      <c r="B5729" s="1205" t="s">
        <v>63290</v>
      </c>
      <c r="C5729" s="1205">
        <v>56.49</v>
      </c>
    </row>
    <row r="5730" spans="1:3" ht="24" customHeight="1">
      <c r="A5730" s="1205" t="s">
        <v>63289</v>
      </c>
      <c r="B5730" s="1205" t="s">
        <v>63288</v>
      </c>
      <c r="C5730" s="1205">
        <v>88.49</v>
      </c>
    </row>
    <row r="5731" spans="1:3" ht="24" customHeight="1">
      <c r="A5731" s="1205" t="s">
        <v>63287</v>
      </c>
      <c r="B5731" s="1205" t="s">
        <v>63286</v>
      </c>
      <c r="C5731" s="1205">
        <v>83.49</v>
      </c>
    </row>
    <row r="5732" spans="1:3" ht="24" customHeight="1">
      <c r="A5732" s="1205" t="s">
        <v>63285</v>
      </c>
      <c r="B5732" s="1205" t="s">
        <v>63284</v>
      </c>
      <c r="C5732" s="1205">
        <v>13.99</v>
      </c>
    </row>
    <row r="5733" spans="1:3" ht="24" customHeight="1">
      <c r="A5733" s="1205" t="s">
        <v>63283</v>
      </c>
      <c r="B5733" s="1205" t="s">
        <v>63282</v>
      </c>
      <c r="C5733" s="1205">
        <v>35.49</v>
      </c>
    </row>
    <row r="5734" spans="1:3" ht="24" customHeight="1">
      <c r="A5734" s="1205" t="s">
        <v>63281</v>
      </c>
      <c r="B5734" s="1205" t="s">
        <v>63280</v>
      </c>
      <c r="C5734" s="1205">
        <v>33.99</v>
      </c>
    </row>
    <row r="5735" spans="1:3" ht="24" customHeight="1">
      <c r="A5735" s="1205" t="s">
        <v>63279</v>
      </c>
      <c r="B5735" s="1205" t="s">
        <v>63278</v>
      </c>
      <c r="C5735" s="1205">
        <v>10.99</v>
      </c>
    </row>
    <row r="5736" spans="1:3" ht="24" customHeight="1">
      <c r="A5736" s="1205" t="s">
        <v>63277</v>
      </c>
      <c r="B5736" s="1205" t="s">
        <v>63276</v>
      </c>
      <c r="C5736" s="1205">
        <v>38.99</v>
      </c>
    </row>
    <row r="5737" spans="1:3" ht="24" customHeight="1">
      <c r="A5737" s="1205" t="s">
        <v>63275</v>
      </c>
      <c r="B5737" s="1205" t="s">
        <v>63274</v>
      </c>
      <c r="C5737" s="1205">
        <v>19.489999999999998</v>
      </c>
    </row>
    <row r="5738" spans="1:3" ht="24" customHeight="1">
      <c r="A5738" s="1205" t="s">
        <v>63273</v>
      </c>
      <c r="B5738" s="1205" t="s">
        <v>63272</v>
      </c>
      <c r="C5738" s="1205">
        <v>39.99</v>
      </c>
    </row>
    <row r="5739" spans="1:3" ht="24" customHeight="1">
      <c r="A5739" s="1205" t="s">
        <v>63271</v>
      </c>
      <c r="B5739" s="1205" t="s">
        <v>63269</v>
      </c>
      <c r="C5739" s="1205">
        <v>20.49</v>
      </c>
    </row>
    <row r="5740" spans="1:3" ht="24" customHeight="1">
      <c r="A5740" s="1205" t="s">
        <v>63270</v>
      </c>
      <c r="B5740" s="1205" t="s">
        <v>63269</v>
      </c>
      <c r="C5740" s="1205">
        <v>74.489999999999995</v>
      </c>
    </row>
    <row r="5741" spans="1:3" ht="24" customHeight="1">
      <c r="A5741" s="1205" t="s">
        <v>63268</v>
      </c>
      <c r="B5741" s="1205" t="s">
        <v>63266</v>
      </c>
      <c r="C5741" s="1205">
        <v>18.989999999999998</v>
      </c>
    </row>
    <row r="5742" spans="1:3" ht="24" customHeight="1">
      <c r="A5742" s="1205" t="s">
        <v>63267</v>
      </c>
      <c r="B5742" s="1205" t="s">
        <v>63266</v>
      </c>
      <c r="C5742" s="1205">
        <v>72.989999999999995</v>
      </c>
    </row>
    <row r="5743" spans="1:3" ht="24" customHeight="1">
      <c r="A5743" s="1205" t="s">
        <v>63265</v>
      </c>
      <c r="B5743" s="1205" t="s">
        <v>63264</v>
      </c>
      <c r="C5743" s="1205">
        <v>62.99</v>
      </c>
    </row>
    <row r="5744" spans="1:3" ht="24" customHeight="1">
      <c r="A5744" s="1205" t="s">
        <v>63263</v>
      </c>
      <c r="B5744" s="1205" t="s">
        <v>63262</v>
      </c>
      <c r="C5744" s="1205">
        <v>13.49</v>
      </c>
    </row>
    <row r="5745" spans="1:3" ht="24" customHeight="1">
      <c r="A5745" s="1205" t="s">
        <v>63261</v>
      </c>
      <c r="B5745" s="1205" t="s">
        <v>63260</v>
      </c>
      <c r="C5745" s="1205">
        <v>20.49</v>
      </c>
    </row>
    <row r="5746" spans="1:3" ht="24" customHeight="1">
      <c r="A5746" s="1205" t="s">
        <v>63259</v>
      </c>
      <c r="B5746" s="1205" t="s">
        <v>63258</v>
      </c>
      <c r="C5746" s="1205">
        <v>37.99</v>
      </c>
    </row>
    <row r="5747" spans="1:3" ht="24" customHeight="1">
      <c r="A5747" s="1205" t="s">
        <v>63257</v>
      </c>
      <c r="B5747" s="1205" t="s">
        <v>63256</v>
      </c>
      <c r="C5747" s="1205">
        <v>33.49</v>
      </c>
    </row>
    <row r="5748" spans="1:3" ht="24" customHeight="1">
      <c r="A5748" s="1205" t="s">
        <v>63255</v>
      </c>
      <c r="B5748" s="1205" t="s">
        <v>63254</v>
      </c>
      <c r="C5748" s="1205">
        <v>30.99</v>
      </c>
    </row>
    <row r="5749" spans="1:3" ht="24" customHeight="1">
      <c r="A5749" s="1205" t="s">
        <v>63253</v>
      </c>
      <c r="B5749" s="1205" t="s">
        <v>63252</v>
      </c>
      <c r="C5749" s="1205">
        <v>30.99</v>
      </c>
    </row>
    <row r="5750" spans="1:3" ht="24" customHeight="1">
      <c r="A5750" s="1205" t="s">
        <v>63251</v>
      </c>
      <c r="B5750" s="1205" t="s">
        <v>63250</v>
      </c>
      <c r="C5750" s="1205">
        <v>41.49</v>
      </c>
    </row>
    <row r="5751" spans="1:3" ht="24" customHeight="1">
      <c r="A5751" s="1205" t="s">
        <v>63249</v>
      </c>
      <c r="B5751" s="1205" t="s">
        <v>63248</v>
      </c>
      <c r="C5751" s="1205">
        <v>40.49</v>
      </c>
    </row>
    <row r="5752" spans="1:3" ht="24" customHeight="1">
      <c r="A5752" s="1205" t="s">
        <v>63247</v>
      </c>
      <c r="B5752" s="1205" t="s">
        <v>63246</v>
      </c>
      <c r="C5752" s="1205">
        <v>40.49</v>
      </c>
    </row>
    <row r="5753" spans="1:3" ht="24" customHeight="1">
      <c r="A5753" s="1205" t="s">
        <v>63245</v>
      </c>
      <c r="B5753" s="1205" t="s">
        <v>63244</v>
      </c>
      <c r="C5753" s="1205">
        <v>85.99</v>
      </c>
    </row>
    <row r="5754" spans="1:3" ht="24" customHeight="1">
      <c r="A5754" s="1205" t="s">
        <v>63243</v>
      </c>
      <c r="B5754" s="1205" t="s">
        <v>63242</v>
      </c>
      <c r="C5754" s="1205">
        <v>85.99</v>
      </c>
    </row>
    <row r="5755" spans="1:3" ht="24" customHeight="1">
      <c r="A5755" s="1205" t="s">
        <v>63241</v>
      </c>
      <c r="B5755" s="1205" t="s">
        <v>63240</v>
      </c>
      <c r="C5755" s="1205">
        <v>66.489999999999995</v>
      </c>
    </row>
    <row r="5756" spans="1:3" ht="24" customHeight="1">
      <c r="A5756" s="1205" t="s">
        <v>63239</v>
      </c>
      <c r="B5756" s="1205" t="s">
        <v>63238</v>
      </c>
      <c r="C5756" s="1205">
        <v>45.99</v>
      </c>
    </row>
    <row r="5757" spans="1:3" ht="24" customHeight="1">
      <c r="A5757" s="1205" t="s">
        <v>63237</v>
      </c>
      <c r="B5757" s="1205" t="s">
        <v>63236</v>
      </c>
      <c r="C5757" s="1205">
        <v>49.49</v>
      </c>
    </row>
    <row r="5758" spans="1:3" ht="24" customHeight="1">
      <c r="A5758" s="1205" t="s">
        <v>63235</v>
      </c>
      <c r="B5758" s="1205" t="s">
        <v>63234</v>
      </c>
      <c r="C5758" s="1205">
        <v>49.49</v>
      </c>
    </row>
    <row r="5759" spans="1:3" ht="24" customHeight="1">
      <c r="A5759" s="1205" t="s">
        <v>63233</v>
      </c>
      <c r="B5759" s="1205" t="s">
        <v>63232</v>
      </c>
      <c r="C5759" s="1205">
        <v>51.49</v>
      </c>
    </row>
    <row r="5760" spans="1:3" ht="24" customHeight="1">
      <c r="A5760" s="1205" t="s">
        <v>63231</v>
      </c>
      <c r="B5760" s="1205" t="s">
        <v>63230</v>
      </c>
      <c r="C5760" s="1205">
        <v>49.49</v>
      </c>
    </row>
    <row r="5761" spans="1:3" ht="24" customHeight="1">
      <c r="A5761" s="1205" t="s">
        <v>63229</v>
      </c>
      <c r="B5761" s="1205" t="s">
        <v>63228</v>
      </c>
      <c r="C5761" s="1205">
        <v>48.99</v>
      </c>
    </row>
    <row r="5762" spans="1:3" ht="24" customHeight="1">
      <c r="A5762" s="1205" t="s">
        <v>63227</v>
      </c>
      <c r="B5762" s="1205" t="s">
        <v>63226</v>
      </c>
      <c r="C5762" s="1205">
        <v>77.989999999999995</v>
      </c>
    </row>
    <row r="5763" spans="1:3" ht="24" customHeight="1">
      <c r="A5763" s="1205" t="s">
        <v>63225</v>
      </c>
      <c r="B5763" s="1205" t="s">
        <v>63224</v>
      </c>
      <c r="C5763" s="1205">
        <v>45.99</v>
      </c>
    </row>
    <row r="5764" spans="1:3" ht="24" customHeight="1">
      <c r="A5764" s="1205" t="s">
        <v>63223</v>
      </c>
      <c r="B5764" s="1205" t="s">
        <v>63222</v>
      </c>
      <c r="C5764" s="1205">
        <v>16.989999999999998</v>
      </c>
    </row>
    <row r="5765" spans="1:3" ht="24" customHeight="1">
      <c r="A5765" s="1205" t="s">
        <v>63221</v>
      </c>
      <c r="B5765" s="1205" t="s">
        <v>63220</v>
      </c>
      <c r="C5765" s="1205">
        <v>68.989999999999995</v>
      </c>
    </row>
    <row r="5766" spans="1:3" ht="24" customHeight="1">
      <c r="A5766" s="1205" t="s">
        <v>63219</v>
      </c>
      <c r="B5766" s="1205" t="s">
        <v>63218</v>
      </c>
      <c r="C5766" s="1205">
        <v>66.489999999999995</v>
      </c>
    </row>
    <row r="5767" spans="1:3" ht="24" customHeight="1">
      <c r="A5767" s="1205" t="s">
        <v>63217</v>
      </c>
      <c r="B5767" s="1205" t="s">
        <v>63216</v>
      </c>
      <c r="C5767" s="1205">
        <v>74.489999999999995</v>
      </c>
    </row>
    <row r="5768" spans="1:3" ht="24" customHeight="1">
      <c r="A5768" s="1205" t="s">
        <v>63215</v>
      </c>
      <c r="B5768" s="1205" t="s">
        <v>63214</v>
      </c>
      <c r="C5768" s="1205">
        <v>64.989999999999995</v>
      </c>
    </row>
    <row r="5769" spans="1:3" ht="24" customHeight="1">
      <c r="A5769" s="1205" t="s">
        <v>63213</v>
      </c>
      <c r="B5769" s="1205" t="s">
        <v>63212</v>
      </c>
      <c r="C5769" s="1205">
        <v>62.49</v>
      </c>
    </row>
    <row r="5770" spans="1:3" ht="24" customHeight="1">
      <c r="A5770" s="1205" t="s">
        <v>63211</v>
      </c>
      <c r="B5770" s="1205" t="s">
        <v>63210</v>
      </c>
      <c r="C5770" s="1205">
        <v>80.989999999999995</v>
      </c>
    </row>
    <row r="5771" spans="1:3" ht="24" customHeight="1">
      <c r="A5771" s="1205" t="s">
        <v>63209</v>
      </c>
      <c r="B5771" s="1205" t="s">
        <v>63208</v>
      </c>
      <c r="C5771" s="1205">
        <v>75.489999999999995</v>
      </c>
    </row>
    <row r="5772" spans="1:3" ht="24" customHeight="1">
      <c r="A5772" s="1205" t="s">
        <v>63207</v>
      </c>
      <c r="B5772" s="1205" t="s">
        <v>63206</v>
      </c>
      <c r="C5772" s="1205">
        <v>34.99</v>
      </c>
    </row>
    <row r="5773" spans="1:3" ht="24" customHeight="1">
      <c r="A5773" s="1205" t="s">
        <v>63205</v>
      </c>
      <c r="B5773" s="1205" t="s">
        <v>63204</v>
      </c>
      <c r="C5773" s="1205">
        <v>13.49</v>
      </c>
    </row>
    <row r="5774" spans="1:3" ht="24" customHeight="1">
      <c r="A5774" s="1205" t="s">
        <v>63203</v>
      </c>
      <c r="B5774" s="1205" t="s">
        <v>63202</v>
      </c>
      <c r="C5774" s="1205">
        <v>14.49</v>
      </c>
    </row>
    <row r="5775" spans="1:3" ht="24" customHeight="1">
      <c r="A5775" s="1205" t="s">
        <v>63201</v>
      </c>
      <c r="B5775" s="1205" t="s">
        <v>63200</v>
      </c>
      <c r="C5775" s="1205">
        <v>45.99</v>
      </c>
    </row>
    <row r="5776" spans="1:3" ht="24" customHeight="1">
      <c r="A5776" s="1205" t="s">
        <v>63199</v>
      </c>
      <c r="B5776" s="1205" t="s">
        <v>63198</v>
      </c>
      <c r="C5776" s="1205">
        <v>39.99</v>
      </c>
    </row>
    <row r="5777" spans="1:3" ht="24" customHeight="1">
      <c r="A5777" s="1205" t="s">
        <v>63197</v>
      </c>
      <c r="B5777" s="1205" t="s">
        <v>63196</v>
      </c>
      <c r="C5777" s="1205">
        <v>65.489999999999995</v>
      </c>
    </row>
    <row r="5778" spans="1:3" ht="24" customHeight="1">
      <c r="A5778" s="1205" t="s">
        <v>63195</v>
      </c>
      <c r="B5778" s="1205" t="s">
        <v>63194</v>
      </c>
      <c r="C5778" s="1205">
        <v>19.989999999999998</v>
      </c>
    </row>
    <row r="5779" spans="1:3" ht="24" customHeight="1">
      <c r="A5779" s="1205" t="s">
        <v>63193</v>
      </c>
      <c r="B5779" s="1205" t="s">
        <v>63192</v>
      </c>
      <c r="C5779" s="1205">
        <v>12.99</v>
      </c>
    </row>
    <row r="5780" spans="1:3" ht="24" customHeight="1">
      <c r="A5780" s="1205" t="s">
        <v>63191</v>
      </c>
      <c r="B5780" s="1205" t="s">
        <v>63190</v>
      </c>
      <c r="C5780" s="1205">
        <v>10.49</v>
      </c>
    </row>
    <row r="5781" spans="1:3" ht="24" customHeight="1">
      <c r="A5781" s="1205" t="s">
        <v>63189</v>
      </c>
      <c r="B5781" s="1205" t="s">
        <v>63188</v>
      </c>
      <c r="C5781" s="1205">
        <v>10.49</v>
      </c>
    </row>
    <row r="5782" spans="1:3" ht="24" customHeight="1">
      <c r="A5782" s="1205" t="s">
        <v>63187</v>
      </c>
      <c r="B5782" s="1205" t="s">
        <v>63186</v>
      </c>
      <c r="C5782" s="1205">
        <v>11.49</v>
      </c>
    </row>
    <row r="5783" spans="1:3" ht="24" customHeight="1">
      <c r="A5783" s="1205" t="s">
        <v>63185</v>
      </c>
      <c r="B5783" s="1205" t="s">
        <v>63183</v>
      </c>
      <c r="C5783" s="1205">
        <v>11.49</v>
      </c>
    </row>
    <row r="5784" spans="1:3" ht="24" customHeight="1">
      <c r="A5784" s="1205" t="s">
        <v>63184</v>
      </c>
      <c r="B5784" s="1205" t="s">
        <v>63183</v>
      </c>
      <c r="C5784" s="1205">
        <v>11.49</v>
      </c>
    </row>
    <row r="5785" spans="1:3" ht="24" customHeight="1">
      <c r="A5785" s="1205" t="s">
        <v>63182</v>
      </c>
      <c r="B5785" s="1205" t="s">
        <v>63181</v>
      </c>
      <c r="C5785" s="1205">
        <v>11.49</v>
      </c>
    </row>
    <row r="5786" spans="1:3" ht="24" customHeight="1">
      <c r="A5786" s="1205" t="s">
        <v>63180</v>
      </c>
      <c r="B5786" s="1205" t="s">
        <v>63179</v>
      </c>
      <c r="C5786" s="1205">
        <v>11.49</v>
      </c>
    </row>
    <row r="5787" spans="1:3" ht="24" customHeight="1">
      <c r="A5787" s="1205" t="s">
        <v>63178</v>
      </c>
      <c r="B5787" s="1205" t="s">
        <v>63177</v>
      </c>
      <c r="C5787" s="1205">
        <v>20.99</v>
      </c>
    </row>
    <row r="5788" spans="1:3" ht="24" customHeight="1">
      <c r="A5788" s="1205" t="s">
        <v>63176</v>
      </c>
      <c r="B5788" s="1205" t="s">
        <v>63175</v>
      </c>
      <c r="C5788" s="1205">
        <v>10.99</v>
      </c>
    </row>
    <row r="5789" spans="1:3" ht="24" customHeight="1">
      <c r="A5789" s="1205" t="s">
        <v>63174</v>
      </c>
      <c r="B5789" s="1205" t="s">
        <v>63173</v>
      </c>
      <c r="C5789" s="1205">
        <v>12.99</v>
      </c>
    </row>
    <row r="5790" spans="1:3" ht="24" customHeight="1">
      <c r="A5790" s="1205" t="s">
        <v>63172</v>
      </c>
      <c r="B5790" s="1205" t="s">
        <v>63171</v>
      </c>
      <c r="C5790" s="1205">
        <v>10.99</v>
      </c>
    </row>
    <row r="5791" spans="1:3" ht="24" customHeight="1">
      <c r="A5791" s="1205" t="s">
        <v>63170</v>
      </c>
      <c r="B5791" s="1205" t="s">
        <v>63169</v>
      </c>
      <c r="C5791" s="1205">
        <v>11.49</v>
      </c>
    </row>
    <row r="5792" spans="1:3" ht="24" customHeight="1">
      <c r="A5792" s="1205" t="s">
        <v>63168</v>
      </c>
      <c r="B5792" s="1205" t="s">
        <v>63167</v>
      </c>
      <c r="C5792" s="1205">
        <v>16.989999999999998</v>
      </c>
    </row>
    <row r="5793" spans="1:3" ht="24" customHeight="1">
      <c r="A5793" s="1205" t="s">
        <v>63166</v>
      </c>
      <c r="B5793" s="1205" t="s">
        <v>63165</v>
      </c>
      <c r="C5793" s="1205">
        <v>12.99</v>
      </c>
    </row>
    <row r="5794" spans="1:3" ht="24" customHeight="1">
      <c r="A5794" s="1205" t="s">
        <v>63164</v>
      </c>
      <c r="B5794" s="1205" t="s">
        <v>63163</v>
      </c>
      <c r="C5794" s="1205">
        <v>18.489999999999998</v>
      </c>
    </row>
    <row r="5795" spans="1:3" ht="24" customHeight="1">
      <c r="A5795" s="1205" t="s">
        <v>63162</v>
      </c>
      <c r="B5795" s="1205" t="s">
        <v>63161</v>
      </c>
      <c r="C5795" s="1205">
        <v>33.99</v>
      </c>
    </row>
    <row r="5796" spans="1:3" ht="24" customHeight="1">
      <c r="A5796" s="1205" t="s">
        <v>63160</v>
      </c>
      <c r="B5796" s="1205" t="s">
        <v>63159</v>
      </c>
      <c r="C5796" s="1205">
        <v>11.49</v>
      </c>
    </row>
    <row r="5797" spans="1:3" ht="24" customHeight="1">
      <c r="A5797" s="1205" t="s">
        <v>63158</v>
      </c>
      <c r="B5797" s="1205" t="s">
        <v>63157</v>
      </c>
      <c r="C5797" s="1205">
        <v>13.99</v>
      </c>
    </row>
    <row r="5798" spans="1:3" ht="24" customHeight="1">
      <c r="A5798" s="1205" t="s">
        <v>63156</v>
      </c>
      <c r="B5798" s="1205" t="s">
        <v>63155</v>
      </c>
      <c r="C5798" s="1205">
        <v>10.49</v>
      </c>
    </row>
    <row r="5799" spans="1:3" ht="24" customHeight="1">
      <c r="A5799" s="1205" t="s">
        <v>63154</v>
      </c>
      <c r="B5799" s="1205" t="s">
        <v>63153</v>
      </c>
      <c r="C5799" s="1205">
        <v>10.49</v>
      </c>
    </row>
    <row r="5800" spans="1:3" ht="24" customHeight="1">
      <c r="A5800" s="1205" t="s">
        <v>63152</v>
      </c>
      <c r="B5800" s="1205" t="s">
        <v>63151</v>
      </c>
      <c r="C5800" s="1205">
        <v>25.49</v>
      </c>
    </row>
    <row r="5801" spans="1:3" ht="24" customHeight="1">
      <c r="A5801" s="1205" t="s">
        <v>63150</v>
      </c>
      <c r="B5801" s="1205" t="s">
        <v>63149</v>
      </c>
      <c r="C5801" s="1205">
        <v>47.49</v>
      </c>
    </row>
    <row r="5802" spans="1:3" ht="24" customHeight="1">
      <c r="A5802" s="1205" t="s">
        <v>63148</v>
      </c>
      <c r="B5802" s="1205" t="s">
        <v>63147</v>
      </c>
      <c r="C5802" s="1205">
        <v>22.49</v>
      </c>
    </row>
    <row r="5803" spans="1:3" ht="24" customHeight="1">
      <c r="A5803" s="1205" t="s">
        <v>63146</v>
      </c>
      <c r="B5803" s="1205" t="s">
        <v>63145</v>
      </c>
      <c r="C5803" s="1205">
        <v>35.99</v>
      </c>
    </row>
    <row r="5804" spans="1:3" ht="24" customHeight="1">
      <c r="A5804" s="1205" t="s">
        <v>63144</v>
      </c>
      <c r="B5804" s="1205" t="s">
        <v>63143</v>
      </c>
      <c r="C5804" s="1205">
        <v>31.99</v>
      </c>
    </row>
    <row r="5805" spans="1:3" ht="24" customHeight="1">
      <c r="A5805" s="1205" t="s">
        <v>63142</v>
      </c>
      <c r="B5805" s="1205" t="s">
        <v>63141</v>
      </c>
      <c r="C5805" s="1205">
        <v>65.989999999999995</v>
      </c>
    </row>
    <row r="5806" spans="1:3" ht="24" customHeight="1">
      <c r="A5806" s="1205" t="s">
        <v>63140</v>
      </c>
      <c r="B5806" s="1205" t="s">
        <v>63139</v>
      </c>
      <c r="C5806" s="1205">
        <v>26.49</v>
      </c>
    </row>
    <row r="5807" spans="1:3" ht="24" customHeight="1">
      <c r="A5807" s="1205" t="s">
        <v>63138</v>
      </c>
      <c r="B5807" s="1205" t="s">
        <v>63137</v>
      </c>
      <c r="C5807" s="1205">
        <v>33.49</v>
      </c>
    </row>
    <row r="5808" spans="1:3" ht="24" customHeight="1">
      <c r="A5808" s="1205" t="s">
        <v>63136</v>
      </c>
      <c r="B5808" s="1205" t="s">
        <v>63135</v>
      </c>
      <c r="C5808" s="1205">
        <v>39.49</v>
      </c>
    </row>
    <row r="5809" spans="1:3" ht="24" customHeight="1">
      <c r="A5809" s="1205" t="s">
        <v>63134</v>
      </c>
      <c r="B5809" s="1205" t="s">
        <v>63133</v>
      </c>
      <c r="C5809" s="1205">
        <v>23.49</v>
      </c>
    </row>
    <row r="5810" spans="1:3" ht="24" customHeight="1">
      <c r="A5810" s="1205" t="s">
        <v>63132</v>
      </c>
      <c r="B5810" s="1205" t="s">
        <v>63131</v>
      </c>
      <c r="C5810" s="1205">
        <v>32.49</v>
      </c>
    </row>
    <row r="5811" spans="1:3" ht="24" customHeight="1">
      <c r="A5811" s="1205" t="s">
        <v>63130</v>
      </c>
      <c r="B5811" s="1205" t="s">
        <v>63129</v>
      </c>
      <c r="C5811" s="1205">
        <v>39.49</v>
      </c>
    </row>
    <row r="5812" spans="1:3" ht="24" customHeight="1">
      <c r="A5812" s="1205" t="s">
        <v>63128</v>
      </c>
      <c r="B5812" s="1205" t="s">
        <v>63127</v>
      </c>
      <c r="C5812" s="1205">
        <v>45.49</v>
      </c>
    </row>
    <row r="5813" spans="1:3" ht="24" customHeight="1">
      <c r="A5813" s="1205" t="s">
        <v>63126</v>
      </c>
      <c r="B5813" s="1205" t="s">
        <v>63125</v>
      </c>
      <c r="C5813" s="1205">
        <v>29.99</v>
      </c>
    </row>
    <row r="5814" spans="1:3" ht="24" customHeight="1">
      <c r="A5814" s="1205" t="s">
        <v>63124</v>
      </c>
      <c r="B5814" s="1205" t="s">
        <v>63123</v>
      </c>
      <c r="C5814" s="1205">
        <v>7.49</v>
      </c>
    </row>
    <row r="5815" spans="1:3" ht="24" customHeight="1">
      <c r="A5815" s="1205" t="s">
        <v>63122</v>
      </c>
      <c r="B5815" s="1205" t="s">
        <v>63121</v>
      </c>
      <c r="C5815" s="1205">
        <v>8.49</v>
      </c>
    </row>
    <row r="5816" spans="1:3" ht="24" customHeight="1">
      <c r="A5816" s="1205" t="s">
        <v>63120</v>
      </c>
      <c r="B5816" s="1205" t="s">
        <v>63119</v>
      </c>
      <c r="C5816" s="1205">
        <v>42.49</v>
      </c>
    </row>
    <row r="5817" spans="1:3" ht="24" customHeight="1">
      <c r="A5817" s="1205" t="s">
        <v>63118</v>
      </c>
      <c r="B5817" s="1205" t="s">
        <v>63117</v>
      </c>
      <c r="C5817" s="1205">
        <v>41.49</v>
      </c>
    </row>
    <row r="5818" spans="1:3" ht="24" customHeight="1">
      <c r="A5818" s="1205" t="s">
        <v>63116</v>
      </c>
      <c r="B5818" s="1205" t="s">
        <v>63115</v>
      </c>
      <c r="C5818" s="1205">
        <v>47.99</v>
      </c>
    </row>
    <row r="5819" spans="1:3" ht="24" customHeight="1">
      <c r="A5819" s="1205" t="s">
        <v>63114</v>
      </c>
      <c r="B5819" s="1205" t="s">
        <v>63113</v>
      </c>
      <c r="C5819" s="1205">
        <v>58.99</v>
      </c>
    </row>
    <row r="5820" spans="1:3" ht="24" customHeight="1">
      <c r="A5820" s="1205" t="s">
        <v>63112</v>
      </c>
      <c r="B5820" s="1205" t="s">
        <v>63111</v>
      </c>
      <c r="C5820" s="1205">
        <v>49.49</v>
      </c>
    </row>
    <row r="5821" spans="1:3" ht="24" customHeight="1">
      <c r="A5821" s="1205" t="s">
        <v>63110</v>
      </c>
      <c r="B5821" s="1205" t="s">
        <v>63109</v>
      </c>
      <c r="C5821" s="1205">
        <v>64.489999999999995</v>
      </c>
    </row>
    <row r="5822" spans="1:3" ht="24" customHeight="1">
      <c r="A5822" s="1205" t="s">
        <v>63108</v>
      </c>
      <c r="B5822" s="1205" t="s">
        <v>63106</v>
      </c>
      <c r="C5822" s="1205">
        <v>54.99</v>
      </c>
    </row>
    <row r="5823" spans="1:3" ht="24" customHeight="1">
      <c r="A5823" s="1205" t="s">
        <v>63107</v>
      </c>
      <c r="B5823" s="1205" t="s">
        <v>63106</v>
      </c>
      <c r="C5823" s="1205">
        <v>54.99</v>
      </c>
    </row>
    <row r="5824" spans="1:3" ht="24" customHeight="1">
      <c r="A5824" s="1205" t="s">
        <v>63105</v>
      </c>
      <c r="B5824" s="1205" t="s">
        <v>63104</v>
      </c>
      <c r="C5824" s="1205">
        <v>57.99</v>
      </c>
    </row>
    <row r="5825" spans="1:3" ht="24" customHeight="1">
      <c r="A5825" s="1205" t="s">
        <v>63103</v>
      </c>
      <c r="B5825" s="1205" t="s">
        <v>63102</v>
      </c>
      <c r="C5825" s="1205">
        <v>71.489999999999995</v>
      </c>
    </row>
    <row r="5826" spans="1:3" ht="24" customHeight="1">
      <c r="A5826" s="1205" t="s">
        <v>63101</v>
      </c>
      <c r="B5826" s="1205" t="s">
        <v>63100</v>
      </c>
      <c r="C5826" s="1205">
        <v>63.99</v>
      </c>
    </row>
    <row r="5827" spans="1:3" ht="24" customHeight="1">
      <c r="A5827" s="1205" t="s">
        <v>63099</v>
      </c>
      <c r="B5827" s="1205" t="s">
        <v>63098</v>
      </c>
      <c r="C5827" s="1205">
        <v>64.489999999999995</v>
      </c>
    </row>
    <row r="5828" spans="1:3" ht="24" customHeight="1">
      <c r="A5828" s="1205" t="s">
        <v>63097</v>
      </c>
      <c r="B5828" s="1205" t="s">
        <v>63096</v>
      </c>
      <c r="C5828" s="1205">
        <v>71.489999999999995</v>
      </c>
    </row>
    <row r="5829" spans="1:3" ht="24" customHeight="1">
      <c r="A5829" s="1205" t="s">
        <v>63095</v>
      </c>
      <c r="B5829" s="1205" t="s">
        <v>63094</v>
      </c>
      <c r="C5829" s="1205">
        <v>58.49</v>
      </c>
    </row>
    <row r="5830" spans="1:3" ht="24" customHeight="1">
      <c r="A5830" s="1205" t="s">
        <v>63093</v>
      </c>
      <c r="B5830" s="1205" t="s">
        <v>63092</v>
      </c>
      <c r="C5830" s="1205">
        <v>38.49</v>
      </c>
    </row>
    <row r="5831" spans="1:3" ht="24" customHeight="1">
      <c r="A5831" s="1205" t="s">
        <v>63091</v>
      </c>
      <c r="B5831" s="1205" t="s">
        <v>63090</v>
      </c>
      <c r="C5831" s="1205">
        <v>67.489999999999995</v>
      </c>
    </row>
    <row r="5832" spans="1:3" ht="24" customHeight="1">
      <c r="A5832" s="1205" t="s">
        <v>63089</v>
      </c>
      <c r="B5832" s="1205" t="s">
        <v>63088</v>
      </c>
      <c r="C5832" s="1205">
        <v>101.49</v>
      </c>
    </row>
    <row r="5833" spans="1:3" ht="24" customHeight="1">
      <c r="A5833" s="1205" t="s">
        <v>63087</v>
      </c>
      <c r="B5833" s="1205" t="s">
        <v>63086</v>
      </c>
      <c r="C5833" s="1205">
        <v>63.49</v>
      </c>
    </row>
    <row r="5834" spans="1:3" ht="24" customHeight="1">
      <c r="A5834" s="1205" t="s">
        <v>63085</v>
      </c>
      <c r="B5834" s="1205" t="s">
        <v>63084</v>
      </c>
      <c r="C5834" s="1205">
        <v>48.99</v>
      </c>
    </row>
    <row r="5835" spans="1:3" ht="24" customHeight="1">
      <c r="A5835" s="1205" t="s">
        <v>63083</v>
      </c>
      <c r="B5835" s="1205" t="s">
        <v>63082</v>
      </c>
      <c r="C5835" s="1205">
        <v>55.99</v>
      </c>
    </row>
    <row r="5836" spans="1:3" ht="24" customHeight="1">
      <c r="A5836" s="1205" t="s">
        <v>63081</v>
      </c>
      <c r="B5836" s="1205" t="s">
        <v>63080</v>
      </c>
      <c r="C5836" s="1205">
        <v>61.99</v>
      </c>
    </row>
    <row r="5837" spans="1:3" ht="24" customHeight="1">
      <c r="A5837" s="1205" t="s">
        <v>63079</v>
      </c>
      <c r="B5837" s="1205" t="s">
        <v>63078</v>
      </c>
      <c r="C5837" s="1205">
        <v>71.489999999999995</v>
      </c>
    </row>
    <row r="5838" spans="1:3" ht="24" customHeight="1">
      <c r="A5838" s="1205" t="s">
        <v>63077</v>
      </c>
      <c r="B5838" s="1205" t="s">
        <v>63076</v>
      </c>
      <c r="C5838" s="1205">
        <v>66.989999999999995</v>
      </c>
    </row>
    <row r="5839" spans="1:3" ht="24" customHeight="1">
      <c r="A5839" s="1205" t="s">
        <v>63075</v>
      </c>
      <c r="B5839" s="1205" t="s">
        <v>63074</v>
      </c>
      <c r="C5839" s="1205">
        <v>45.49</v>
      </c>
    </row>
    <row r="5840" spans="1:3" ht="24" customHeight="1">
      <c r="A5840" s="1205" t="s">
        <v>63073</v>
      </c>
      <c r="B5840" s="1205" t="s">
        <v>63072</v>
      </c>
      <c r="C5840" s="1205">
        <v>20.99</v>
      </c>
    </row>
    <row r="5841" spans="1:3" ht="24" customHeight="1">
      <c r="A5841" s="1205" t="s">
        <v>63071</v>
      </c>
      <c r="B5841" s="1205" t="s">
        <v>63068</v>
      </c>
      <c r="C5841" s="1205">
        <v>117.49</v>
      </c>
    </row>
    <row r="5842" spans="1:3" ht="24" customHeight="1">
      <c r="A5842" s="1205" t="s">
        <v>63070</v>
      </c>
      <c r="B5842" s="1205" t="s">
        <v>63065</v>
      </c>
      <c r="C5842" s="1205">
        <v>112.49</v>
      </c>
    </row>
    <row r="5843" spans="1:3" ht="24" customHeight="1">
      <c r="A5843" s="1205" t="s">
        <v>63069</v>
      </c>
      <c r="B5843" s="1205" t="s">
        <v>63068</v>
      </c>
      <c r="C5843" s="1205">
        <v>113.49</v>
      </c>
    </row>
    <row r="5844" spans="1:3" ht="24" customHeight="1">
      <c r="A5844" s="1205" t="s">
        <v>63067</v>
      </c>
      <c r="B5844" s="1205" t="s">
        <v>63065</v>
      </c>
      <c r="C5844" s="1205">
        <v>108.49</v>
      </c>
    </row>
    <row r="5845" spans="1:3" ht="24" customHeight="1">
      <c r="A5845" s="1205" t="s">
        <v>63066</v>
      </c>
      <c r="B5845" s="1205" t="s">
        <v>63065</v>
      </c>
      <c r="C5845" s="1205">
        <v>122.49</v>
      </c>
    </row>
    <row r="5846" spans="1:3" ht="24" customHeight="1">
      <c r="A5846" s="1205" t="s">
        <v>63064</v>
      </c>
      <c r="B5846" s="1205" t="s">
        <v>63063</v>
      </c>
      <c r="C5846" s="1205">
        <v>10.49</v>
      </c>
    </row>
    <row r="5847" spans="1:3" ht="24" customHeight="1">
      <c r="A5847" s="1205" t="s">
        <v>63062</v>
      </c>
      <c r="B5847" s="1205" t="s">
        <v>63061</v>
      </c>
      <c r="C5847" s="1205">
        <v>63.99</v>
      </c>
    </row>
    <row r="5848" spans="1:3" ht="24" customHeight="1">
      <c r="A5848" s="1205" t="s">
        <v>63060</v>
      </c>
      <c r="B5848" s="1205" t="s">
        <v>63059</v>
      </c>
      <c r="C5848" s="1205">
        <v>44.99</v>
      </c>
    </row>
    <row r="5849" spans="1:3" ht="24" customHeight="1">
      <c r="A5849" s="1205" t="s">
        <v>63058</v>
      </c>
      <c r="B5849" s="1205" t="s">
        <v>63056</v>
      </c>
      <c r="C5849" s="1205">
        <v>63.49</v>
      </c>
    </row>
    <row r="5850" spans="1:3" ht="24" customHeight="1">
      <c r="A5850" s="1205" t="s">
        <v>63057</v>
      </c>
      <c r="B5850" s="1205" t="s">
        <v>63056</v>
      </c>
      <c r="C5850" s="1205">
        <v>61.99</v>
      </c>
    </row>
    <row r="5851" spans="1:3" ht="24" customHeight="1">
      <c r="A5851" s="1205" t="s">
        <v>63055</v>
      </c>
      <c r="B5851" s="1205" t="s">
        <v>63053</v>
      </c>
      <c r="C5851" s="1205">
        <v>45.99</v>
      </c>
    </row>
    <row r="5852" spans="1:3" ht="24" customHeight="1">
      <c r="A5852" s="1205" t="s">
        <v>63054</v>
      </c>
      <c r="B5852" s="1205" t="s">
        <v>63053</v>
      </c>
      <c r="C5852" s="1205">
        <v>44.99</v>
      </c>
    </row>
    <row r="5853" spans="1:3" ht="24" customHeight="1">
      <c r="A5853" s="1205" t="s">
        <v>63052</v>
      </c>
      <c r="B5853" s="1205" t="s">
        <v>63051</v>
      </c>
      <c r="C5853" s="1205">
        <v>79.489999999999995</v>
      </c>
    </row>
    <row r="5854" spans="1:3" ht="24" customHeight="1">
      <c r="A5854" s="1205" t="s">
        <v>63050</v>
      </c>
      <c r="B5854" s="1205" t="s">
        <v>63049</v>
      </c>
      <c r="C5854" s="1205">
        <v>26.99</v>
      </c>
    </row>
    <row r="5855" spans="1:3" ht="24" customHeight="1">
      <c r="A5855" s="1205" t="s">
        <v>63048</v>
      </c>
      <c r="B5855" s="1205" t="s">
        <v>63047</v>
      </c>
      <c r="C5855" s="1205">
        <v>42.99</v>
      </c>
    </row>
    <row r="5856" spans="1:3" ht="24" customHeight="1">
      <c r="A5856" s="1205" t="s">
        <v>63046</v>
      </c>
      <c r="B5856" s="1205" t="s">
        <v>63045</v>
      </c>
      <c r="C5856" s="1205">
        <v>61.49</v>
      </c>
    </row>
    <row r="5857" spans="1:3" ht="24" customHeight="1">
      <c r="A5857" s="1205" t="s">
        <v>63044</v>
      </c>
      <c r="B5857" s="1205" t="s">
        <v>63043</v>
      </c>
      <c r="C5857" s="1205">
        <v>64.489999999999995</v>
      </c>
    </row>
    <row r="5858" spans="1:3" ht="24" customHeight="1">
      <c r="A5858" s="1205" t="s">
        <v>63042</v>
      </c>
      <c r="B5858" s="1205" t="s">
        <v>63041</v>
      </c>
      <c r="C5858" s="1205">
        <v>23.99</v>
      </c>
    </row>
    <row r="5859" spans="1:3" ht="24" customHeight="1">
      <c r="A5859" s="1205" t="s">
        <v>63040</v>
      </c>
      <c r="B5859" s="1205" t="s">
        <v>63039</v>
      </c>
      <c r="C5859" s="1205">
        <v>26.49</v>
      </c>
    </row>
    <row r="5860" spans="1:3" ht="24" customHeight="1">
      <c r="A5860" s="1205" t="s">
        <v>63038</v>
      </c>
      <c r="B5860" s="1205" t="s">
        <v>63037</v>
      </c>
      <c r="C5860" s="1205">
        <v>33.49</v>
      </c>
    </row>
    <row r="5861" spans="1:3" ht="24" customHeight="1">
      <c r="A5861" s="1205" t="s">
        <v>63036</v>
      </c>
      <c r="B5861" s="1205" t="s">
        <v>63035</v>
      </c>
      <c r="C5861" s="1205">
        <v>29.49</v>
      </c>
    </row>
    <row r="5862" spans="1:3" ht="24" customHeight="1">
      <c r="A5862" s="1205" t="s">
        <v>63034</v>
      </c>
      <c r="B5862" s="1205" t="s">
        <v>63033</v>
      </c>
      <c r="C5862" s="1205">
        <v>18.989999999999998</v>
      </c>
    </row>
    <row r="5863" spans="1:3" ht="24" customHeight="1">
      <c r="A5863" s="1205" t="s">
        <v>63032</v>
      </c>
      <c r="B5863" s="1205" t="s">
        <v>63031</v>
      </c>
      <c r="C5863" s="1205">
        <v>35.49</v>
      </c>
    </row>
    <row r="5864" spans="1:3" ht="24" customHeight="1">
      <c r="A5864" s="1205" t="s">
        <v>63030</v>
      </c>
      <c r="B5864" s="1205" t="s">
        <v>63029</v>
      </c>
      <c r="C5864" s="1205">
        <v>25.49</v>
      </c>
    </row>
    <row r="5865" spans="1:3" ht="24" customHeight="1">
      <c r="A5865" s="1205" t="s">
        <v>63028</v>
      </c>
      <c r="B5865" s="1205" t="s">
        <v>63027</v>
      </c>
      <c r="C5865" s="1205">
        <v>31.99</v>
      </c>
    </row>
    <row r="5866" spans="1:3" ht="24" customHeight="1">
      <c r="A5866" s="1205" t="s">
        <v>63026</v>
      </c>
      <c r="B5866" s="1205" t="s">
        <v>63025</v>
      </c>
      <c r="C5866" s="1205">
        <v>55.49</v>
      </c>
    </row>
    <row r="5867" spans="1:3" ht="24" customHeight="1">
      <c r="A5867" s="1205" t="s">
        <v>63024</v>
      </c>
      <c r="B5867" s="1205" t="s">
        <v>63023</v>
      </c>
      <c r="C5867" s="1205">
        <v>57.49</v>
      </c>
    </row>
    <row r="5868" spans="1:3" ht="24" customHeight="1">
      <c r="A5868" s="1205" t="s">
        <v>63022</v>
      </c>
      <c r="B5868" s="1205" t="s">
        <v>63020</v>
      </c>
      <c r="C5868" s="1205">
        <v>32.99</v>
      </c>
    </row>
    <row r="5869" spans="1:3" ht="24" customHeight="1">
      <c r="A5869" s="1205" t="s">
        <v>63021</v>
      </c>
      <c r="B5869" s="1205" t="s">
        <v>63020</v>
      </c>
      <c r="C5869" s="1205">
        <v>28.99</v>
      </c>
    </row>
    <row r="5870" spans="1:3" ht="24" customHeight="1">
      <c r="A5870" s="1205" t="s">
        <v>63019</v>
      </c>
      <c r="B5870" s="1205" t="s">
        <v>63018</v>
      </c>
      <c r="C5870" s="1205">
        <v>50.49</v>
      </c>
    </row>
    <row r="5871" spans="1:3" ht="24" customHeight="1">
      <c r="A5871" s="1205" t="s">
        <v>63017</v>
      </c>
      <c r="B5871" s="1205" t="s">
        <v>63016</v>
      </c>
      <c r="C5871" s="1205">
        <v>49.99</v>
      </c>
    </row>
    <row r="5872" spans="1:3" ht="24" customHeight="1">
      <c r="A5872" s="1205" t="s">
        <v>63015</v>
      </c>
      <c r="B5872" s="1205" t="s">
        <v>63013</v>
      </c>
      <c r="C5872" s="1205">
        <v>35.99</v>
      </c>
    </row>
    <row r="5873" spans="1:3" ht="24" customHeight="1">
      <c r="A5873" s="1205" t="s">
        <v>63014</v>
      </c>
      <c r="B5873" s="1205" t="s">
        <v>63013</v>
      </c>
      <c r="C5873" s="1205">
        <v>31.99</v>
      </c>
    </row>
    <row r="5874" spans="1:3" ht="24" customHeight="1">
      <c r="A5874" s="1205" t="s">
        <v>63012</v>
      </c>
      <c r="B5874" s="1205" t="s">
        <v>63011</v>
      </c>
      <c r="C5874" s="1205">
        <v>58.99</v>
      </c>
    </row>
    <row r="5875" spans="1:3" ht="24" customHeight="1">
      <c r="A5875" s="1205" t="s">
        <v>63010</v>
      </c>
      <c r="B5875" s="1205" t="s">
        <v>63009</v>
      </c>
      <c r="C5875" s="1205">
        <v>30.99</v>
      </c>
    </row>
    <row r="5876" spans="1:3" ht="24" customHeight="1">
      <c r="A5876" s="1205" t="s">
        <v>63008</v>
      </c>
      <c r="B5876" s="1205" t="s">
        <v>63007</v>
      </c>
      <c r="C5876" s="1205">
        <v>60.99</v>
      </c>
    </row>
    <row r="5877" spans="1:3" ht="24" customHeight="1">
      <c r="A5877" s="1205" t="s">
        <v>63006</v>
      </c>
      <c r="B5877" s="1205" t="s">
        <v>63005</v>
      </c>
      <c r="C5877" s="1205">
        <v>13.99</v>
      </c>
    </row>
    <row r="5878" spans="1:3" ht="24" customHeight="1">
      <c r="A5878" s="1205" t="s">
        <v>63004</v>
      </c>
      <c r="B5878" s="1205" t="s">
        <v>63003</v>
      </c>
      <c r="C5878" s="1205">
        <v>36.99</v>
      </c>
    </row>
    <row r="5879" spans="1:3" ht="24" customHeight="1">
      <c r="A5879" s="1205" t="s">
        <v>63002</v>
      </c>
      <c r="B5879" s="1205" t="s">
        <v>63001</v>
      </c>
      <c r="C5879" s="1205">
        <v>32.49</v>
      </c>
    </row>
    <row r="5880" spans="1:3" ht="24" customHeight="1">
      <c r="A5880" s="1205" t="s">
        <v>63000</v>
      </c>
      <c r="B5880" s="1205" t="s">
        <v>62999</v>
      </c>
      <c r="C5880" s="1205">
        <v>31.49</v>
      </c>
    </row>
    <row r="5881" spans="1:3" ht="24" customHeight="1">
      <c r="A5881" s="1205" t="s">
        <v>62998</v>
      </c>
      <c r="B5881" s="1205" t="s">
        <v>62997</v>
      </c>
      <c r="C5881" s="1205">
        <v>46.99</v>
      </c>
    </row>
    <row r="5882" spans="1:3" ht="24" customHeight="1">
      <c r="A5882" s="1205" t="s">
        <v>62996</v>
      </c>
      <c r="B5882" s="1205" t="s">
        <v>62995</v>
      </c>
      <c r="C5882" s="1205">
        <v>37.99</v>
      </c>
    </row>
    <row r="5883" spans="1:3" ht="24" customHeight="1">
      <c r="A5883" s="1205" t="s">
        <v>62994</v>
      </c>
      <c r="B5883" s="1205" t="s">
        <v>62993</v>
      </c>
      <c r="C5883" s="1205">
        <v>33.99</v>
      </c>
    </row>
    <row r="5884" spans="1:3" ht="24" customHeight="1">
      <c r="A5884" s="1205" t="s">
        <v>62992</v>
      </c>
      <c r="B5884" s="1205" t="s">
        <v>62991</v>
      </c>
      <c r="C5884" s="1205">
        <v>16.489999999999998</v>
      </c>
    </row>
    <row r="5885" spans="1:3" ht="24" customHeight="1">
      <c r="A5885" s="1205" t="s">
        <v>62990</v>
      </c>
      <c r="B5885" s="1205" t="s">
        <v>62989</v>
      </c>
      <c r="C5885" s="1205">
        <v>11.99</v>
      </c>
    </row>
    <row r="5886" spans="1:3" ht="24" customHeight="1">
      <c r="A5886" s="1205" t="s">
        <v>62988</v>
      </c>
      <c r="B5886" s="1205" t="s">
        <v>62987</v>
      </c>
      <c r="C5886" s="1205">
        <v>8.49</v>
      </c>
    </row>
    <row r="5887" spans="1:3" ht="24" customHeight="1">
      <c r="A5887" s="1205" t="s">
        <v>62986</v>
      </c>
      <c r="B5887" s="1205" t="s">
        <v>62985</v>
      </c>
      <c r="C5887" s="1205">
        <v>7.49</v>
      </c>
    </row>
    <row r="5888" spans="1:3" ht="24" customHeight="1">
      <c r="A5888" s="1205" t="s">
        <v>62984</v>
      </c>
      <c r="B5888" s="1205" t="s">
        <v>62983</v>
      </c>
      <c r="C5888" s="1205">
        <v>7.99</v>
      </c>
    </row>
    <row r="5889" spans="1:3" ht="24" customHeight="1">
      <c r="A5889" s="1205" t="s">
        <v>62982</v>
      </c>
      <c r="B5889" s="1205" t="s">
        <v>62976</v>
      </c>
      <c r="C5889" s="1205">
        <v>51.49</v>
      </c>
    </row>
    <row r="5890" spans="1:3" ht="24" customHeight="1">
      <c r="A5890" s="1205" t="s">
        <v>62981</v>
      </c>
      <c r="B5890" s="1205" t="s">
        <v>62980</v>
      </c>
      <c r="C5890" s="1205">
        <v>43.49</v>
      </c>
    </row>
    <row r="5891" spans="1:3" ht="24" customHeight="1">
      <c r="A5891" s="1205" t="s">
        <v>62979</v>
      </c>
      <c r="B5891" s="1205" t="s">
        <v>62978</v>
      </c>
      <c r="C5891" s="1205">
        <v>50.99</v>
      </c>
    </row>
    <row r="5892" spans="1:3" ht="24" customHeight="1">
      <c r="A5892" s="1205" t="s">
        <v>62977</v>
      </c>
      <c r="B5892" s="1205" t="s">
        <v>62976</v>
      </c>
      <c r="C5892" s="1205">
        <v>47.49</v>
      </c>
    </row>
    <row r="5893" spans="1:3" ht="24" customHeight="1">
      <c r="A5893" s="1205" t="s">
        <v>62975</v>
      </c>
      <c r="B5893" s="1205" t="s">
        <v>62971</v>
      </c>
      <c r="C5893" s="1205">
        <v>62.49</v>
      </c>
    </row>
    <row r="5894" spans="1:3" ht="24" customHeight="1">
      <c r="A5894" s="1205" t="s">
        <v>62974</v>
      </c>
      <c r="B5894" s="1205" t="s">
        <v>62973</v>
      </c>
      <c r="C5894" s="1205">
        <v>62.49</v>
      </c>
    </row>
    <row r="5895" spans="1:3" ht="24" customHeight="1">
      <c r="A5895" s="1205" t="s">
        <v>62972</v>
      </c>
      <c r="B5895" s="1205" t="s">
        <v>62971</v>
      </c>
      <c r="C5895" s="1205">
        <v>59.99</v>
      </c>
    </row>
    <row r="5896" spans="1:3" ht="24" customHeight="1">
      <c r="A5896" s="1205" t="s">
        <v>62970</v>
      </c>
      <c r="B5896" s="1205" t="s">
        <v>62969</v>
      </c>
      <c r="C5896" s="1205">
        <v>9.49</v>
      </c>
    </row>
    <row r="5897" spans="1:3" ht="24" customHeight="1">
      <c r="A5897" s="1205" t="s">
        <v>62968</v>
      </c>
      <c r="B5897" s="1205" t="s">
        <v>62967</v>
      </c>
      <c r="C5897" s="1205">
        <v>7.99</v>
      </c>
    </row>
    <row r="5898" spans="1:3" ht="24" customHeight="1">
      <c r="A5898" s="1205" t="s">
        <v>62966</v>
      </c>
      <c r="B5898" s="1205" t="s">
        <v>62965</v>
      </c>
      <c r="C5898" s="1205">
        <v>8.49</v>
      </c>
    </row>
    <row r="5899" spans="1:3" ht="24" customHeight="1">
      <c r="A5899" s="1205" t="s">
        <v>62964</v>
      </c>
      <c r="B5899" s="1205" t="s">
        <v>62963</v>
      </c>
      <c r="C5899" s="1205">
        <v>8.49</v>
      </c>
    </row>
    <row r="5900" spans="1:3" ht="24" customHeight="1">
      <c r="A5900" s="1205" t="s">
        <v>62962</v>
      </c>
      <c r="B5900" s="1205" t="s">
        <v>62961</v>
      </c>
      <c r="C5900" s="1205">
        <v>44.99</v>
      </c>
    </row>
    <row r="5901" spans="1:3" ht="24" customHeight="1">
      <c r="A5901" s="1205" t="s">
        <v>62960</v>
      </c>
      <c r="B5901" s="1205" t="s">
        <v>62959</v>
      </c>
      <c r="C5901" s="1205">
        <v>3.99</v>
      </c>
    </row>
    <row r="5902" spans="1:3" ht="24" customHeight="1">
      <c r="A5902" s="1205" t="s">
        <v>62958</v>
      </c>
      <c r="B5902" s="1205" t="s">
        <v>62957</v>
      </c>
      <c r="C5902" s="1205">
        <v>3.99</v>
      </c>
    </row>
    <row r="5903" spans="1:3" ht="24" customHeight="1">
      <c r="A5903" s="1205" t="s">
        <v>62956</v>
      </c>
      <c r="B5903" s="1205" t="s">
        <v>62955</v>
      </c>
      <c r="C5903" s="1205">
        <v>9.49</v>
      </c>
    </row>
    <row r="5904" spans="1:3" ht="24" customHeight="1">
      <c r="A5904" s="1205" t="s">
        <v>62954</v>
      </c>
      <c r="B5904" s="1205" t="s">
        <v>62953</v>
      </c>
      <c r="C5904" s="1205">
        <v>4.99</v>
      </c>
    </row>
    <row r="5905" spans="1:3" ht="24" customHeight="1">
      <c r="A5905" s="1205" t="s">
        <v>62952</v>
      </c>
      <c r="B5905" s="1205" t="s">
        <v>62951</v>
      </c>
      <c r="C5905" s="1205">
        <v>11.99</v>
      </c>
    </row>
    <row r="5906" spans="1:3" ht="24" customHeight="1">
      <c r="A5906" s="1205" t="s">
        <v>62950</v>
      </c>
      <c r="B5906" s="1205" t="s">
        <v>62949</v>
      </c>
      <c r="C5906" s="1205">
        <v>7.99</v>
      </c>
    </row>
    <row r="5907" spans="1:3" ht="24" customHeight="1">
      <c r="A5907" s="1205" t="s">
        <v>62948</v>
      </c>
      <c r="B5907" s="1205" t="s">
        <v>62947</v>
      </c>
      <c r="C5907" s="1205">
        <v>9.99</v>
      </c>
    </row>
    <row r="5908" spans="1:3" ht="24" customHeight="1">
      <c r="A5908" s="1205" t="s">
        <v>62946</v>
      </c>
      <c r="B5908" s="1205" t="s">
        <v>62945</v>
      </c>
      <c r="C5908" s="1205">
        <v>4.99</v>
      </c>
    </row>
    <row r="5909" spans="1:3" ht="24" customHeight="1">
      <c r="A5909" s="1205" t="s">
        <v>62944</v>
      </c>
      <c r="B5909" s="1205" t="s">
        <v>62943</v>
      </c>
      <c r="C5909" s="1205">
        <v>4.99</v>
      </c>
    </row>
    <row r="5910" spans="1:3" ht="24" customHeight="1">
      <c r="A5910" s="1205" t="s">
        <v>62942</v>
      </c>
      <c r="B5910" s="1205" t="s">
        <v>62941</v>
      </c>
      <c r="C5910" s="1205">
        <v>6.99</v>
      </c>
    </row>
    <row r="5911" spans="1:3" ht="24" customHeight="1">
      <c r="A5911" s="1205" t="s">
        <v>62940</v>
      </c>
      <c r="B5911" s="1205" t="s">
        <v>62939</v>
      </c>
      <c r="C5911" s="1205">
        <v>4.49</v>
      </c>
    </row>
    <row r="5912" spans="1:3" ht="24" customHeight="1">
      <c r="A5912" s="1205" t="s">
        <v>62938</v>
      </c>
      <c r="B5912" s="1205" t="s">
        <v>62901</v>
      </c>
      <c r="C5912" s="1205">
        <v>24.99</v>
      </c>
    </row>
    <row r="5913" spans="1:3" ht="24" customHeight="1">
      <c r="A5913" s="1205" t="s">
        <v>62937</v>
      </c>
      <c r="B5913" s="1205" t="s">
        <v>62935</v>
      </c>
      <c r="C5913" s="1205">
        <v>35.99</v>
      </c>
    </row>
    <row r="5914" spans="1:3" ht="24" customHeight="1">
      <c r="A5914" s="1205" t="s">
        <v>62936</v>
      </c>
      <c r="B5914" s="1205" t="s">
        <v>62935</v>
      </c>
      <c r="C5914" s="1205">
        <v>33.49</v>
      </c>
    </row>
    <row r="5915" spans="1:3" ht="24" customHeight="1">
      <c r="A5915" s="1205" t="s">
        <v>62934</v>
      </c>
      <c r="B5915" s="1205" t="s">
        <v>62933</v>
      </c>
      <c r="C5915" s="1205">
        <v>29.99</v>
      </c>
    </row>
    <row r="5916" spans="1:3" ht="24" customHeight="1">
      <c r="A5916" s="1205" t="s">
        <v>62932</v>
      </c>
      <c r="B5916" s="1205" t="s">
        <v>62931</v>
      </c>
      <c r="C5916" s="1205">
        <v>28.99</v>
      </c>
    </row>
    <row r="5917" spans="1:3" ht="24" customHeight="1">
      <c r="A5917" s="1205" t="s">
        <v>62930</v>
      </c>
      <c r="B5917" s="1205" t="s">
        <v>62929</v>
      </c>
      <c r="C5917" s="1205">
        <v>27.49</v>
      </c>
    </row>
    <row r="5918" spans="1:3" ht="24" customHeight="1">
      <c r="A5918" s="1205" t="s">
        <v>62928</v>
      </c>
      <c r="B5918" s="1205" t="s">
        <v>62927</v>
      </c>
      <c r="C5918" s="1205">
        <v>27.99</v>
      </c>
    </row>
    <row r="5919" spans="1:3" ht="24" customHeight="1">
      <c r="A5919" s="1205" t="s">
        <v>62926</v>
      </c>
      <c r="B5919" s="1205" t="s">
        <v>62925</v>
      </c>
      <c r="C5919" s="1205">
        <v>29.99</v>
      </c>
    </row>
    <row r="5920" spans="1:3" ht="24" customHeight="1">
      <c r="A5920" s="1205" t="s">
        <v>62924</v>
      </c>
      <c r="B5920" s="1205" t="s">
        <v>62923</v>
      </c>
      <c r="C5920" s="1205">
        <v>28.99</v>
      </c>
    </row>
    <row r="5921" spans="1:3" ht="24" customHeight="1">
      <c r="A5921" s="1205" t="s">
        <v>62922</v>
      </c>
      <c r="B5921" s="1205" t="s">
        <v>62921</v>
      </c>
      <c r="C5921" s="1205">
        <v>27.49</v>
      </c>
    </row>
    <row r="5922" spans="1:3" ht="24" customHeight="1">
      <c r="A5922" s="1205" t="s">
        <v>62920</v>
      </c>
      <c r="B5922" s="1205" t="s">
        <v>62919</v>
      </c>
      <c r="C5922" s="1205">
        <v>30.99</v>
      </c>
    </row>
    <row r="5923" spans="1:3" ht="24" customHeight="1">
      <c r="A5923" s="1205" t="s">
        <v>62918</v>
      </c>
      <c r="B5923" s="1205" t="s">
        <v>62917</v>
      </c>
      <c r="C5923" s="1205">
        <v>31.99</v>
      </c>
    </row>
    <row r="5924" spans="1:3" ht="24" customHeight="1">
      <c r="A5924" s="1205" t="s">
        <v>62916</v>
      </c>
      <c r="B5924" s="1205" t="s">
        <v>62915</v>
      </c>
      <c r="C5924" s="1205">
        <v>34.99</v>
      </c>
    </row>
    <row r="5925" spans="1:3" ht="24" customHeight="1">
      <c r="A5925" s="1205" t="s">
        <v>62914</v>
      </c>
      <c r="B5925" s="1205" t="s">
        <v>62913</v>
      </c>
      <c r="C5925" s="1205">
        <v>33.49</v>
      </c>
    </row>
    <row r="5926" spans="1:3" ht="24" customHeight="1">
      <c r="A5926" s="1205" t="s">
        <v>62912</v>
      </c>
      <c r="B5926" s="1205" t="s">
        <v>62911</v>
      </c>
      <c r="C5926" s="1205">
        <v>36.99</v>
      </c>
    </row>
    <row r="5927" spans="1:3" ht="24" customHeight="1">
      <c r="A5927" s="1205" t="s">
        <v>62910</v>
      </c>
      <c r="B5927" s="1205" t="s">
        <v>62909</v>
      </c>
      <c r="C5927" s="1205">
        <v>33.99</v>
      </c>
    </row>
    <row r="5928" spans="1:3" ht="24" customHeight="1">
      <c r="A5928" s="1205" t="s">
        <v>62908</v>
      </c>
      <c r="B5928" s="1205" t="s">
        <v>62907</v>
      </c>
      <c r="C5928" s="1205">
        <v>29.99</v>
      </c>
    </row>
    <row r="5929" spans="1:3" ht="24" customHeight="1">
      <c r="A5929" s="1205" t="s">
        <v>62906</v>
      </c>
      <c r="B5929" s="1205" t="s">
        <v>62905</v>
      </c>
      <c r="C5929" s="1205">
        <v>35.99</v>
      </c>
    </row>
    <row r="5930" spans="1:3" ht="24" customHeight="1">
      <c r="A5930" s="1205" t="s">
        <v>62904</v>
      </c>
      <c r="B5930" s="1205" t="s">
        <v>62903</v>
      </c>
      <c r="C5930" s="1205">
        <v>31.99</v>
      </c>
    </row>
    <row r="5931" spans="1:3" ht="24" customHeight="1">
      <c r="A5931" s="1205" t="s">
        <v>62902</v>
      </c>
      <c r="B5931" s="1205" t="s">
        <v>62901</v>
      </c>
      <c r="C5931" s="1205">
        <v>22.49</v>
      </c>
    </row>
    <row r="5932" spans="1:3" ht="24" customHeight="1">
      <c r="A5932" s="1205" t="s">
        <v>62900</v>
      </c>
      <c r="B5932" s="1205" t="s">
        <v>62899</v>
      </c>
      <c r="C5932" s="1205">
        <v>58.49</v>
      </c>
    </row>
    <row r="5933" spans="1:3" ht="24" customHeight="1">
      <c r="A5933" s="1205" t="s">
        <v>62898</v>
      </c>
      <c r="B5933" s="1205" t="s">
        <v>62897</v>
      </c>
      <c r="C5933" s="1205">
        <v>58.99</v>
      </c>
    </row>
    <row r="5934" spans="1:3" ht="24" customHeight="1">
      <c r="A5934" s="1205" t="s">
        <v>62896</v>
      </c>
      <c r="B5934" s="1205" t="s">
        <v>62895</v>
      </c>
      <c r="C5934" s="1205">
        <v>23.49</v>
      </c>
    </row>
    <row r="5935" spans="1:3" ht="24" customHeight="1">
      <c r="A5935" s="1205" t="s">
        <v>62894</v>
      </c>
      <c r="B5935" s="1205" t="s">
        <v>62893</v>
      </c>
      <c r="C5935" s="1205">
        <v>23.49</v>
      </c>
    </row>
    <row r="5936" spans="1:3" ht="24" customHeight="1">
      <c r="A5936" s="1205" t="s">
        <v>62892</v>
      </c>
      <c r="B5936" s="1205" t="s">
        <v>62891</v>
      </c>
      <c r="C5936" s="1205">
        <v>21.49</v>
      </c>
    </row>
    <row r="5937" spans="1:3" ht="24" customHeight="1">
      <c r="A5937" s="1205" t="s">
        <v>62890</v>
      </c>
      <c r="B5937" s="1205" t="s">
        <v>62889</v>
      </c>
      <c r="C5937" s="1205">
        <v>21.49</v>
      </c>
    </row>
    <row r="5938" spans="1:3" ht="24" customHeight="1">
      <c r="A5938" s="1205" t="s">
        <v>62888</v>
      </c>
      <c r="B5938" s="1205" t="s">
        <v>62887</v>
      </c>
      <c r="C5938" s="1205">
        <v>27.99</v>
      </c>
    </row>
    <row r="5939" spans="1:3" ht="24" customHeight="1">
      <c r="A5939" s="1205" t="s">
        <v>62886</v>
      </c>
      <c r="B5939" s="1205" t="s">
        <v>62885</v>
      </c>
      <c r="C5939" s="1205">
        <v>28.49</v>
      </c>
    </row>
    <row r="5940" spans="1:3" ht="24" customHeight="1">
      <c r="A5940" s="1205" t="s">
        <v>62884</v>
      </c>
      <c r="B5940" s="1205" t="s">
        <v>62883</v>
      </c>
      <c r="C5940" s="1205">
        <v>30.99</v>
      </c>
    </row>
    <row r="5941" spans="1:3" ht="24" customHeight="1">
      <c r="A5941" s="1205" t="s">
        <v>62882</v>
      </c>
      <c r="B5941" s="1205" t="s">
        <v>62881</v>
      </c>
      <c r="C5941" s="1205">
        <v>31.99</v>
      </c>
    </row>
    <row r="5942" spans="1:3" ht="24" customHeight="1">
      <c r="A5942" s="1205" t="s">
        <v>62880</v>
      </c>
      <c r="B5942" s="1205" t="s">
        <v>62879</v>
      </c>
      <c r="C5942" s="1205">
        <v>29.49</v>
      </c>
    </row>
    <row r="5943" spans="1:3" ht="24" customHeight="1">
      <c r="A5943" s="1205" t="s">
        <v>62878</v>
      </c>
      <c r="B5943" s="1205" t="s">
        <v>62876</v>
      </c>
      <c r="C5943" s="1205">
        <v>29.49</v>
      </c>
    </row>
    <row r="5944" spans="1:3" ht="24" customHeight="1">
      <c r="A5944" s="1205" t="s">
        <v>62877</v>
      </c>
      <c r="B5944" s="1205" t="s">
        <v>62876</v>
      </c>
      <c r="C5944" s="1205">
        <v>25.99</v>
      </c>
    </row>
    <row r="5945" spans="1:3" ht="24" customHeight="1">
      <c r="A5945" s="1205" t="s">
        <v>62875</v>
      </c>
      <c r="B5945" s="1205" t="s">
        <v>62874</v>
      </c>
      <c r="C5945" s="1205">
        <v>30.99</v>
      </c>
    </row>
    <row r="5946" spans="1:3" ht="24" customHeight="1">
      <c r="A5946" s="1205" t="s">
        <v>62873</v>
      </c>
      <c r="B5946" s="1205" t="s">
        <v>62872</v>
      </c>
      <c r="C5946" s="1205">
        <v>35.99</v>
      </c>
    </row>
    <row r="5947" spans="1:3" ht="24" customHeight="1">
      <c r="A5947" s="1205" t="s">
        <v>62871</v>
      </c>
      <c r="B5947" s="1205" t="s">
        <v>62870</v>
      </c>
      <c r="C5947" s="1205">
        <v>30.49</v>
      </c>
    </row>
    <row r="5948" spans="1:3" ht="24" customHeight="1">
      <c r="A5948" s="1205" t="s">
        <v>62869</v>
      </c>
      <c r="B5948" s="1205" t="s">
        <v>62868</v>
      </c>
      <c r="C5948" s="1205">
        <v>34.49</v>
      </c>
    </row>
    <row r="5949" spans="1:3" ht="24" customHeight="1">
      <c r="A5949" s="1205" t="s">
        <v>62867</v>
      </c>
      <c r="B5949" s="1205" t="s">
        <v>62865</v>
      </c>
      <c r="C5949" s="1205">
        <v>108.49</v>
      </c>
    </row>
    <row r="5950" spans="1:3" ht="24" customHeight="1">
      <c r="A5950" s="1205" t="s">
        <v>62866</v>
      </c>
      <c r="B5950" s="1205" t="s">
        <v>62865</v>
      </c>
      <c r="C5950" s="1205">
        <v>129.49</v>
      </c>
    </row>
    <row r="5951" spans="1:3" ht="24" customHeight="1">
      <c r="A5951" s="1205" t="s">
        <v>62864</v>
      </c>
      <c r="B5951" s="1205" t="s">
        <v>62863</v>
      </c>
      <c r="C5951" s="1205">
        <v>79.489999999999995</v>
      </c>
    </row>
    <row r="5952" spans="1:3" ht="24" customHeight="1">
      <c r="A5952" s="1205" t="s">
        <v>62862</v>
      </c>
      <c r="B5952" s="1205" t="s">
        <v>62861</v>
      </c>
      <c r="C5952" s="1205">
        <v>31.99</v>
      </c>
    </row>
    <row r="5953" spans="1:3" ht="24" customHeight="1">
      <c r="A5953" s="1205" t="s">
        <v>62860</v>
      </c>
      <c r="B5953" s="1205" t="s">
        <v>62859</v>
      </c>
      <c r="C5953" s="1205">
        <v>32.49</v>
      </c>
    </row>
    <row r="5954" spans="1:3" ht="24" customHeight="1">
      <c r="A5954" s="1205" t="s">
        <v>62858</v>
      </c>
      <c r="B5954" s="1205" t="s">
        <v>62857</v>
      </c>
      <c r="C5954" s="1205">
        <v>13.49</v>
      </c>
    </row>
    <row r="5955" spans="1:3" ht="24" customHeight="1">
      <c r="A5955" s="1205" t="s">
        <v>62856</v>
      </c>
      <c r="B5955" s="1205" t="s">
        <v>62855</v>
      </c>
      <c r="C5955" s="1205">
        <v>31.99</v>
      </c>
    </row>
    <row r="5956" spans="1:3" ht="24" customHeight="1">
      <c r="A5956" s="1205" t="s">
        <v>62854</v>
      </c>
      <c r="B5956" s="1205" t="s">
        <v>62853</v>
      </c>
      <c r="C5956" s="1205">
        <v>30.49</v>
      </c>
    </row>
    <row r="5957" spans="1:3" ht="24" customHeight="1">
      <c r="A5957" s="1205" t="s">
        <v>62852</v>
      </c>
      <c r="B5957" s="1205" t="s">
        <v>62851</v>
      </c>
      <c r="C5957" s="1205">
        <v>27.99</v>
      </c>
    </row>
    <row r="5958" spans="1:3" ht="24" customHeight="1">
      <c r="A5958" s="1205" t="s">
        <v>62850</v>
      </c>
      <c r="B5958" s="1205" t="s">
        <v>62849</v>
      </c>
      <c r="C5958" s="1205">
        <v>18.989999999999998</v>
      </c>
    </row>
    <row r="5959" spans="1:3" ht="24" customHeight="1">
      <c r="A5959" s="1205" t="s">
        <v>62848</v>
      </c>
      <c r="B5959" s="1205" t="s">
        <v>62847</v>
      </c>
      <c r="C5959" s="1205">
        <v>54.99</v>
      </c>
    </row>
    <row r="5960" spans="1:3" ht="24" customHeight="1">
      <c r="A5960" s="1205" t="s">
        <v>62846</v>
      </c>
      <c r="B5960" s="1205" t="s">
        <v>62845</v>
      </c>
      <c r="C5960" s="1205">
        <v>59.99</v>
      </c>
    </row>
    <row r="5961" spans="1:3" ht="24" customHeight="1">
      <c r="A5961" s="1205" t="s">
        <v>62844</v>
      </c>
      <c r="B5961" s="1205" t="s">
        <v>62842</v>
      </c>
      <c r="C5961" s="1205">
        <v>50.99</v>
      </c>
    </row>
    <row r="5962" spans="1:3" ht="24" customHeight="1">
      <c r="A5962" s="1205" t="s">
        <v>62843</v>
      </c>
      <c r="B5962" s="1205" t="s">
        <v>62842</v>
      </c>
      <c r="C5962" s="1205">
        <v>42.99</v>
      </c>
    </row>
    <row r="5963" spans="1:3" ht="24" customHeight="1">
      <c r="A5963" s="1205" t="s">
        <v>62841</v>
      </c>
      <c r="B5963" s="1205" t="s">
        <v>62840</v>
      </c>
      <c r="C5963" s="1205">
        <v>15.49</v>
      </c>
    </row>
    <row r="5964" spans="1:3" ht="24" customHeight="1">
      <c r="A5964" s="1205" t="s">
        <v>62839</v>
      </c>
      <c r="B5964" s="1205" t="s">
        <v>62838</v>
      </c>
      <c r="C5964" s="1205">
        <v>20.99</v>
      </c>
    </row>
    <row r="5965" spans="1:3" ht="24" customHeight="1">
      <c r="A5965" s="1205" t="s">
        <v>62837</v>
      </c>
      <c r="B5965" s="1205" t="s">
        <v>62836</v>
      </c>
      <c r="C5965" s="1205">
        <v>29.49</v>
      </c>
    </row>
    <row r="5966" spans="1:3" ht="24" customHeight="1">
      <c r="A5966" s="1205" t="s">
        <v>62835</v>
      </c>
      <c r="B5966" s="1205" t="s">
        <v>62834</v>
      </c>
      <c r="C5966" s="1205">
        <v>27.99</v>
      </c>
    </row>
    <row r="5967" spans="1:3" ht="24" customHeight="1">
      <c r="A5967" s="1205" t="s">
        <v>62833</v>
      </c>
      <c r="B5967" s="1205" t="s">
        <v>62832</v>
      </c>
      <c r="C5967" s="1205">
        <v>25.99</v>
      </c>
    </row>
    <row r="5968" spans="1:3" ht="24" customHeight="1">
      <c r="A5968" s="1205" t="s">
        <v>62831</v>
      </c>
      <c r="B5968" s="1205" t="s">
        <v>62830</v>
      </c>
      <c r="C5968" s="1205">
        <v>14.99</v>
      </c>
    </row>
    <row r="5969" spans="1:3" ht="24" customHeight="1">
      <c r="A5969" s="1205" t="s">
        <v>62829</v>
      </c>
      <c r="B5969" s="1205" t="s">
        <v>62828</v>
      </c>
      <c r="C5969" s="1205">
        <v>32.49</v>
      </c>
    </row>
    <row r="5970" spans="1:3" ht="24" customHeight="1">
      <c r="A5970" s="1205" t="s">
        <v>62827</v>
      </c>
      <c r="B5970" s="1205" t="s">
        <v>62826</v>
      </c>
      <c r="C5970" s="1205">
        <v>29.99</v>
      </c>
    </row>
    <row r="5971" spans="1:3" ht="24" customHeight="1">
      <c r="A5971" s="1205" t="s">
        <v>62825</v>
      </c>
      <c r="B5971" s="1205" t="s">
        <v>62824</v>
      </c>
      <c r="C5971" s="1205">
        <v>34.99</v>
      </c>
    </row>
    <row r="5972" spans="1:3" ht="24" customHeight="1">
      <c r="A5972" s="1205" t="s">
        <v>62823</v>
      </c>
      <c r="B5972" s="1205" t="s">
        <v>62822</v>
      </c>
      <c r="C5972" s="1205">
        <v>32.99</v>
      </c>
    </row>
    <row r="5973" spans="1:3" ht="24" customHeight="1">
      <c r="A5973" s="1205" t="s">
        <v>62821</v>
      </c>
      <c r="B5973" s="1205" t="s">
        <v>62820</v>
      </c>
      <c r="C5973" s="1205">
        <v>32.49</v>
      </c>
    </row>
    <row r="5974" spans="1:3" ht="24" customHeight="1">
      <c r="A5974" s="1205" t="s">
        <v>62819</v>
      </c>
      <c r="B5974" s="1205" t="s">
        <v>62818</v>
      </c>
      <c r="C5974" s="1205">
        <v>31.99</v>
      </c>
    </row>
    <row r="5975" spans="1:3" ht="24" customHeight="1">
      <c r="A5975" s="1205" t="s">
        <v>62817</v>
      </c>
      <c r="B5975" s="1205" t="s">
        <v>62816</v>
      </c>
      <c r="C5975" s="1205">
        <v>33.49</v>
      </c>
    </row>
    <row r="5976" spans="1:3" ht="24" customHeight="1">
      <c r="A5976" s="1205" t="s">
        <v>62815</v>
      </c>
      <c r="B5976" s="1205" t="s">
        <v>62814</v>
      </c>
      <c r="C5976" s="1205">
        <v>31.49</v>
      </c>
    </row>
    <row r="5977" spans="1:3" ht="24" customHeight="1">
      <c r="A5977" s="1205" t="s">
        <v>62813</v>
      </c>
      <c r="B5977" s="1205" t="s">
        <v>62812</v>
      </c>
      <c r="C5977" s="1205">
        <v>34.99</v>
      </c>
    </row>
    <row r="5978" spans="1:3" ht="24" customHeight="1">
      <c r="A5978" s="1205" t="s">
        <v>62811</v>
      </c>
      <c r="B5978" s="1205" t="s">
        <v>62810</v>
      </c>
      <c r="C5978" s="1205">
        <v>31.99</v>
      </c>
    </row>
    <row r="5979" spans="1:3" ht="24" customHeight="1">
      <c r="A5979" s="1205" t="s">
        <v>62809</v>
      </c>
      <c r="B5979" s="1205" t="s">
        <v>62808</v>
      </c>
      <c r="C5979" s="1205">
        <v>32.99</v>
      </c>
    </row>
    <row r="5980" spans="1:3" ht="24" customHeight="1">
      <c r="A5980" s="1205" t="s">
        <v>62807</v>
      </c>
      <c r="B5980" s="1205" t="s">
        <v>62806</v>
      </c>
      <c r="C5980" s="1205">
        <v>37.99</v>
      </c>
    </row>
    <row r="5981" spans="1:3" ht="24" customHeight="1">
      <c r="A5981" s="1205" t="s">
        <v>62805</v>
      </c>
      <c r="B5981" s="1205" t="s">
        <v>62804</v>
      </c>
      <c r="C5981" s="1205">
        <v>32.99</v>
      </c>
    </row>
    <row r="5982" spans="1:3" ht="24" customHeight="1">
      <c r="A5982" s="1205" t="s">
        <v>62803</v>
      </c>
      <c r="B5982" s="1205" t="s">
        <v>62802</v>
      </c>
      <c r="C5982" s="1205">
        <v>36.49</v>
      </c>
    </row>
    <row r="5983" spans="1:3" ht="24" customHeight="1">
      <c r="A5983" s="1205" t="s">
        <v>62801</v>
      </c>
      <c r="B5983" s="1205" t="s">
        <v>62800</v>
      </c>
      <c r="C5983" s="1205">
        <v>16.989999999999998</v>
      </c>
    </row>
    <row r="5984" spans="1:3" ht="24" customHeight="1">
      <c r="A5984" s="1205" t="s">
        <v>62799</v>
      </c>
      <c r="B5984" s="1205" t="s">
        <v>62798</v>
      </c>
      <c r="C5984" s="1205">
        <v>16.489999999999998</v>
      </c>
    </row>
    <row r="5985" spans="1:3" ht="24" customHeight="1">
      <c r="A5985" s="1205" t="s">
        <v>62797</v>
      </c>
      <c r="B5985" s="1205" t="s">
        <v>62796</v>
      </c>
      <c r="C5985" s="1205">
        <v>21.49</v>
      </c>
    </row>
    <row r="5986" spans="1:3" ht="24" customHeight="1">
      <c r="A5986" s="1205" t="s">
        <v>62795</v>
      </c>
      <c r="B5986" s="1205" t="s">
        <v>62794</v>
      </c>
      <c r="C5986" s="1205">
        <v>33.99</v>
      </c>
    </row>
    <row r="5987" spans="1:3" ht="24" customHeight="1">
      <c r="A5987" s="1205" t="s">
        <v>62793</v>
      </c>
      <c r="B5987" s="1205" t="s">
        <v>62792</v>
      </c>
      <c r="C5987" s="1205">
        <v>18.489999999999998</v>
      </c>
    </row>
    <row r="5988" spans="1:3" ht="24" customHeight="1">
      <c r="A5988" s="1205" t="s">
        <v>62791</v>
      </c>
      <c r="B5988" s="1205" t="s">
        <v>62790</v>
      </c>
      <c r="C5988" s="1205">
        <v>34.49</v>
      </c>
    </row>
    <row r="5989" spans="1:3" ht="24" customHeight="1">
      <c r="A5989" s="1205" t="s">
        <v>62789</v>
      </c>
      <c r="B5989" s="1205" t="s">
        <v>62788</v>
      </c>
      <c r="C5989" s="1205">
        <v>16.989999999999998</v>
      </c>
    </row>
    <row r="5990" spans="1:3" ht="24" customHeight="1">
      <c r="A5990" s="1205" t="s">
        <v>62787</v>
      </c>
      <c r="B5990" s="1205" t="s">
        <v>62786</v>
      </c>
      <c r="C5990" s="1205">
        <v>29.49</v>
      </c>
    </row>
    <row r="5991" spans="1:3" ht="24" customHeight="1">
      <c r="A5991" s="1205" t="s">
        <v>62785</v>
      </c>
      <c r="B5991" s="1205" t="s">
        <v>62784</v>
      </c>
      <c r="C5991" s="1205">
        <v>17.989999999999998</v>
      </c>
    </row>
    <row r="5992" spans="1:3" ht="24" customHeight="1">
      <c r="A5992" s="1205" t="s">
        <v>62783</v>
      </c>
      <c r="B5992" s="1205" t="s">
        <v>62782</v>
      </c>
      <c r="C5992" s="1205">
        <v>61.99</v>
      </c>
    </row>
    <row r="5993" spans="1:3" ht="24" customHeight="1">
      <c r="A5993" s="1205" t="s">
        <v>62781</v>
      </c>
      <c r="B5993" s="1205" t="s">
        <v>62780</v>
      </c>
      <c r="C5993" s="1205">
        <v>48.99</v>
      </c>
    </row>
    <row r="5994" spans="1:3" ht="24" customHeight="1">
      <c r="A5994" s="1205" t="s">
        <v>62779</v>
      </c>
      <c r="B5994" s="1205" t="s">
        <v>62778</v>
      </c>
      <c r="C5994" s="1205">
        <v>44.99</v>
      </c>
    </row>
    <row r="5995" spans="1:3" ht="24" customHeight="1">
      <c r="A5995" s="1205" t="s">
        <v>62777</v>
      </c>
      <c r="B5995" s="1205" t="s">
        <v>62776</v>
      </c>
      <c r="C5995" s="1205">
        <v>10.99</v>
      </c>
    </row>
    <row r="5996" spans="1:3" ht="24" customHeight="1">
      <c r="A5996" s="1205" t="s">
        <v>62775</v>
      </c>
      <c r="B5996" s="1205" t="s">
        <v>62774</v>
      </c>
      <c r="C5996" s="1205">
        <v>8.49</v>
      </c>
    </row>
    <row r="5997" spans="1:3" ht="24" customHeight="1">
      <c r="A5997" s="1205" t="s">
        <v>62773</v>
      </c>
      <c r="B5997" s="1205" t="s">
        <v>62772</v>
      </c>
      <c r="C5997" s="1205">
        <v>7.99</v>
      </c>
    </row>
    <row r="5998" spans="1:3" ht="24" customHeight="1">
      <c r="A5998" s="1205" t="s">
        <v>62771</v>
      </c>
      <c r="B5998" s="1205" t="s">
        <v>62770</v>
      </c>
      <c r="C5998" s="1205">
        <v>13.99</v>
      </c>
    </row>
    <row r="5999" spans="1:3" ht="24" customHeight="1">
      <c r="A5999" s="1205" t="s">
        <v>62769</v>
      </c>
      <c r="B5999" s="1205" t="s">
        <v>62767</v>
      </c>
      <c r="C5999" s="1205">
        <v>11.99</v>
      </c>
    </row>
    <row r="6000" spans="1:3" ht="24" customHeight="1">
      <c r="A6000" s="1205" t="s">
        <v>62768</v>
      </c>
      <c r="B6000" s="1205" t="s">
        <v>62767</v>
      </c>
      <c r="C6000" s="1205">
        <v>9.49</v>
      </c>
    </row>
    <row r="6001" spans="1:3" ht="24" customHeight="1">
      <c r="A6001" s="1205" t="s">
        <v>62766</v>
      </c>
      <c r="B6001" s="1205" t="s">
        <v>62765</v>
      </c>
      <c r="C6001" s="1205">
        <v>16.489999999999998</v>
      </c>
    </row>
    <row r="6002" spans="1:3" ht="24" customHeight="1">
      <c r="A6002" s="1205" t="s">
        <v>62764</v>
      </c>
      <c r="B6002" s="1205" t="s">
        <v>62763</v>
      </c>
      <c r="C6002" s="1205">
        <v>9.99</v>
      </c>
    </row>
    <row r="6003" spans="1:3" ht="24" customHeight="1">
      <c r="A6003" s="1205" t="s">
        <v>62762</v>
      </c>
      <c r="B6003" s="1205" t="s">
        <v>62761</v>
      </c>
      <c r="C6003" s="1205">
        <v>7.49</v>
      </c>
    </row>
    <row r="6004" spans="1:3" ht="24" customHeight="1">
      <c r="A6004" s="1205" t="s">
        <v>62760</v>
      </c>
      <c r="B6004" s="1205" t="s">
        <v>62759</v>
      </c>
      <c r="C6004" s="1205">
        <v>26.99</v>
      </c>
    </row>
    <row r="6005" spans="1:3" ht="24" customHeight="1">
      <c r="A6005" s="1205" t="s">
        <v>62758</v>
      </c>
      <c r="B6005" s="1205" t="s">
        <v>62757</v>
      </c>
      <c r="C6005" s="1205">
        <v>14.99</v>
      </c>
    </row>
    <row r="6006" spans="1:3" ht="24" customHeight="1">
      <c r="A6006" s="1205" t="s">
        <v>62756</v>
      </c>
      <c r="B6006" s="1205" t="s">
        <v>62755</v>
      </c>
      <c r="C6006" s="1205">
        <v>50.99</v>
      </c>
    </row>
    <row r="6007" spans="1:3" ht="24" customHeight="1">
      <c r="A6007" s="1205" t="s">
        <v>62754</v>
      </c>
      <c r="B6007" s="1205" t="s">
        <v>62753</v>
      </c>
      <c r="C6007" s="1205">
        <v>46.99</v>
      </c>
    </row>
    <row r="6008" spans="1:3" ht="24" customHeight="1">
      <c r="A6008" s="1205" t="s">
        <v>62752</v>
      </c>
      <c r="B6008" s="1205" t="s">
        <v>62751</v>
      </c>
      <c r="C6008" s="1205">
        <v>8.49</v>
      </c>
    </row>
    <row r="6009" spans="1:3" ht="24" customHeight="1">
      <c r="A6009" s="1205" t="s">
        <v>62750</v>
      </c>
      <c r="B6009" s="1205" t="s">
        <v>62749</v>
      </c>
      <c r="C6009" s="1205">
        <v>4.99</v>
      </c>
    </row>
    <row r="6010" spans="1:3" ht="24" customHeight="1">
      <c r="A6010" s="1205" t="s">
        <v>62748</v>
      </c>
      <c r="B6010" s="1205" t="s">
        <v>62747</v>
      </c>
      <c r="C6010" s="1205">
        <v>5.99</v>
      </c>
    </row>
    <row r="6011" spans="1:3" ht="24" customHeight="1">
      <c r="A6011" s="1205" t="s">
        <v>62746</v>
      </c>
      <c r="B6011" s="1205" t="s">
        <v>62745</v>
      </c>
      <c r="C6011" s="1205">
        <v>9.99</v>
      </c>
    </row>
    <row r="6012" spans="1:3" ht="24" customHeight="1">
      <c r="A6012" s="1205" t="s">
        <v>62744</v>
      </c>
      <c r="B6012" s="1205" t="s">
        <v>62743</v>
      </c>
      <c r="C6012" s="1205">
        <v>7.49</v>
      </c>
    </row>
    <row r="6013" spans="1:3" ht="24" customHeight="1">
      <c r="A6013" s="1205" t="s">
        <v>62742</v>
      </c>
      <c r="B6013" s="1205" t="s">
        <v>62741</v>
      </c>
      <c r="C6013" s="1205">
        <v>5.49</v>
      </c>
    </row>
    <row r="6014" spans="1:3" ht="24" customHeight="1">
      <c r="A6014" s="1205" t="s">
        <v>62740</v>
      </c>
      <c r="B6014" s="1205" t="s">
        <v>62739</v>
      </c>
      <c r="C6014" s="1205">
        <v>5.99</v>
      </c>
    </row>
    <row r="6015" spans="1:3" ht="24" customHeight="1">
      <c r="A6015" s="1205" t="s">
        <v>62738</v>
      </c>
      <c r="B6015" s="1205" t="s">
        <v>62737</v>
      </c>
      <c r="C6015" s="1205">
        <v>4.99</v>
      </c>
    </row>
    <row r="6016" spans="1:3" ht="24" customHeight="1">
      <c r="A6016" s="1205" t="s">
        <v>62736</v>
      </c>
      <c r="B6016" s="1205" t="s">
        <v>62735</v>
      </c>
      <c r="C6016" s="1205">
        <v>13.99</v>
      </c>
    </row>
    <row r="6017" spans="1:3" ht="24" customHeight="1">
      <c r="A6017" s="1205" t="s">
        <v>62734</v>
      </c>
      <c r="B6017" s="1205" t="s">
        <v>62733</v>
      </c>
      <c r="C6017" s="1205">
        <v>92.49</v>
      </c>
    </row>
    <row r="6018" spans="1:3" ht="24" customHeight="1">
      <c r="A6018" s="1205" t="s">
        <v>62732</v>
      </c>
      <c r="B6018" s="1205" t="s">
        <v>62731</v>
      </c>
      <c r="C6018" s="1205">
        <v>100.99</v>
      </c>
    </row>
    <row r="6019" spans="1:3" ht="24" customHeight="1">
      <c r="A6019" s="1205" t="s">
        <v>62730</v>
      </c>
      <c r="B6019" s="1205" t="s">
        <v>62729</v>
      </c>
      <c r="C6019" s="1205">
        <v>4.99</v>
      </c>
    </row>
    <row r="6020" spans="1:3" ht="24" customHeight="1">
      <c r="A6020" s="1205" t="s">
        <v>62728</v>
      </c>
      <c r="B6020" s="1205" t="s">
        <v>62727</v>
      </c>
      <c r="C6020" s="1205">
        <v>4.49</v>
      </c>
    </row>
    <row r="6021" spans="1:3" ht="24" customHeight="1">
      <c r="A6021" s="1205" t="s">
        <v>62726</v>
      </c>
      <c r="B6021" s="1205" t="s">
        <v>62725</v>
      </c>
      <c r="C6021" s="1205">
        <v>5.49</v>
      </c>
    </row>
    <row r="6022" spans="1:3" ht="24" customHeight="1">
      <c r="A6022" s="1205" t="s">
        <v>62724</v>
      </c>
      <c r="B6022" s="1205" t="s">
        <v>62723</v>
      </c>
      <c r="C6022" s="1205">
        <v>4.99</v>
      </c>
    </row>
    <row r="6023" spans="1:3" ht="24" customHeight="1">
      <c r="A6023" s="1205" t="s">
        <v>62722</v>
      </c>
      <c r="B6023" s="1205" t="s">
        <v>62721</v>
      </c>
      <c r="C6023" s="1205">
        <v>7.49</v>
      </c>
    </row>
    <row r="6024" spans="1:3" ht="24" customHeight="1">
      <c r="A6024" s="1205" t="s">
        <v>62720</v>
      </c>
      <c r="B6024" s="1205" t="s">
        <v>62719</v>
      </c>
      <c r="C6024" s="1205">
        <v>4.49</v>
      </c>
    </row>
    <row r="6025" spans="1:3" ht="24" customHeight="1">
      <c r="A6025" s="1205" t="s">
        <v>62718</v>
      </c>
      <c r="B6025" s="1205" t="s">
        <v>62717</v>
      </c>
      <c r="C6025" s="1205">
        <v>7.49</v>
      </c>
    </row>
    <row r="6026" spans="1:3" ht="24" customHeight="1">
      <c r="A6026" s="1205" t="s">
        <v>62716</v>
      </c>
      <c r="B6026" s="1205" t="s">
        <v>62715</v>
      </c>
      <c r="C6026" s="1205">
        <v>4.49</v>
      </c>
    </row>
    <row r="6027" spans="1:3" ht="24" customHeight="1">
      <c r="A6027" s="1205" t="s">
        <v>62714</v>
      </c>
      <c r="B6027" s="1205" t="s">
        <v>62713</v>
      </c>
      <c r="C6027" s="1205">
        <v>4.49</v>
      </c>
    </row>
    <row r="6028" spans="1:3" ht="24" customHeight="1">
      <c r="A6028" s="1205" t="s">
        <v>62712</v>
      </c>
      <c r="B6028" s="1205" t="s">
        <v>62711</v>
      </c>
      <c r="C6028" s="1205">
        <v>7.49</v>
      </c>
    </row>
    <row r="6029" spans="1:3" ht="24" customHeight="1">
      <c r="A6029" s="1205" t="s">
        <v>62710</v>
      </c>
      <c r="B6029" s="1205" t="s">
        <v>62709</v>
      </c>
      <c r="C6029" s="1205">
        <v>4.49</v>
      </c>
    </row>
    <row r="6030" spans="1:3" ht="24" customHeight="1">
      <c r="A6030" s="1205" t="s">
        <v>62708</v>
      </c>
      <c r="B6030" s="1205" t="s">
        <v>62707</v>
      </c>
      <c r="C6030" s="1205">
        <v>7.99</v>
      </c>
    </row>
    <row r="6031" spans="1:3" ht="24" customHeight="1">
      <c r="A6031" s="1205" t="s">
        <v>62706</v>
      </c>
      <c r="B6031" s="1205" t="s">
        <v>62705</v>
      </c>
      <c r="C6031" s="1205">
        <v>4.99</v>
      </c>
    </row>
    <row r="6032" spans="1:3" ht="24" customHeight="1">
      <c r="A6032" s="1205" t="s">
        <v>62704</v>
      </c>
      <c r="B6032" s="1205" t="s">
        <v>62703</v>
      </c>
      <c r="C6032" s="1205">
        <v>7.99</v>
      </c>
    </row>
    <row r="6033" spans="1:3" ht="24" customHeight="1">
      <c r="A6033" s="1205" t="s">
        <v>62702</v>
      </c>
      <c r="B6033" s="1205" t="s">
        <v>62701</v>
      </c>
      <c r="C6033" s="1205">
        <v>4.99</v>
      </c>
    </row>
    <row r="6034" spans="1:3" ht="24" customHeight="1">
      <c r="A6034" s="1205" t="s">
        <v>62700</v>
      </c>
      <c r="B6034" s="1205" t="s">
        <v>62699</v>
      </c>
      <c r="C6034" s="1205">
        <v>7.99</v>
      </c>
    </row>
    <row r="6035" spans="1:3" ht="24" customHeight="1">
      <c r="A6035" s="1205" t="s">
        <v>62698</v>
      </c>
      <c r="B6035" s="1205" t="s">
        <v>62697</v>
      </c>
      <c r="C6035" s="1205">
        <v>4.99</v>
      </c>
    </row>
    <row r="6036" spans="1:3" ht="24" customHeight="1">
      <c r="A6036" s="1205" t="s">
        <v>62696</v>
      </c>
      <c r="B6036" s="1205" t="s">
        <v>62695</v>
      </c>
      <c r="C6036" s="1205">
        <v>4.99</v>
      </c>
    </row>
    <row r="6037" spans="1:3" ht="24" customHeight="1">
      <c r="A6037" s="1205" t="s">
        <v>62694</v>
      </c>
      <c r="B6037" s="1205" t="s">
        <v>62693</v>
      </c>
      <c r="C6037" s="1205">
        <v>4.49</v>
      </c>
    </row>
    <row r="6038" spans="1:3" ht="24" customHeight="1">
      <c r="A6038" s="1205" t="s">
        <v>62692</v>
      </c>
      <c r="B6038" s="1205" t="s">
        <v>62691</v>
      </c>
      <c r="C6038" s="1205">
        <v>4.99</v>
      </c>
    </row>
    <row r="6039" spans="1:3" ht="24" customHeight="1">
      <c r="A6039" s="1205" t="s">
        <v>62690</v>
      </c>
      <c r="B6039" s="1205" t="s">
        <v>62689</v>
      </c>
      <c r="C6039" s="1205">
        <v>4.99</v>
      </c>
    </row>
    <row r="6040" spans="1:3" ht="24" customHeight="1">
      <c r="A6040" s="1205" t="s">
        <v>62688</v>
      </c>
      <c r="B6040" s="1205" t="s">
        <v>62687</v>
      </c>
      <c r="C6040" s="1205">
        <v>4.99</v>
      </c>
    </row>
    <row r="6041" spans="1:3" ht="24" customHeight="1">
      <c r="A6041" s="1205" t="s">
        <v>62686</v>
      </c>
      <c r="B6041" s="1205" t="s">
        <v>62683</v>
      </c>
      <c r="C6041" s="1205">
        <v>26.49</v>
      </c>
    </row>
    <row r="6042" spans="1:3" ht="24" customHeight="1">
      <c r="A6042" s="1205" t="s">
        <v>62685</v>
      </c>
      <c r="B6042" s="1205" t="s">
        <v>62584</v>
      </c>
      <c r="C6042" s="1205">
        <v>33.99</v>
      </c>
    </row>
    <row r="6043" spans="1:3" ht="24" customHeight="1">
      <c r="A6043" s="1205" t="s">
        <v>62684</v>
      </c>
      <c r="B6043" s="1205" t="s">
        <v>62683</v>
      </c>
      <c r="C6043" s="1205">
        <v>25.49</v>
      </c>
    </row>
    <row r="6044" spans="1:3" ht="24" customHeight="1">
      <c r="A6044" s="1205" t="s">
        <v>62682</v>
      </c>
      <c r="B6044" s="1205" t="s">
        <v>62681</v>
      </c>
      <c r="C6044" s="1205">
        <v>12.49</v>
      </c>
    </row>
    <row r="6045" spans="1:3" ht="24" customHeight="1">
      <c r="A6045" s="1205" t="s">
        <v>62680</v>
      </c>
      <c r="B6045" s="1205" t="s">
        <v>62679</v>
      </c>
      <c r="C6045" s="1205">
        <v>26.99</v>
      </c>
    </row>
    <row r="6046" spans="1:3" ht="24" customHeight="1">
      <c r="A6046" s="1205" t="s">
        <v>62678</v>
      </c>
      <c r="B6046" s="1205" t="s">
        <v>62677</v>
      </c>
      <c r="C6046" s="1205">
        <v>12.49</v>
      </c>
    </row>
    <row r="6047" spans="1:3" ht="24" customHeight="1">
      <c r="A6047" s="1205" t="s">
        <v>62676</v>
      </c>
      <c r="B6047" s="1205" t="s">
        <v>62675</v>
      </c>
      <c r="C6047" s="1205">
        <v>8.99</v>
      </c>
    </row>
    <row r="6048" spans="1:3" ht="24" customHeight="1">
      <c r="A6048" s="1205" t="s">
        <v>62674</v>
      </c>
      <c r="B6048" s="1205" t="s">
        <v>62673</v>
      </c>
      <c r="C6048" s="1205">
        <v>12.49</v>
      </c>
    </row>
    <row r="6049" spans="1:3" ht="24" customHeight="1">
      <c r="A6049" s="1205" t="s">
        <v>62672</v>
      </c>
      <c r="B6049" s="1205" t="s">
        <v>62671</v>
      </c>
      <c r="C6049" s="1205">
        <v>8.99</v>
      </c>
    </row>
    <row r="6050" spans="1:3" ht="24" customHeight="1">
      <c r="A6050" s="1205" t="s">
        <v>62670</v>
      </c>
      <c r="B6050" s="1205" t="s">
        <v>62669</v>
      </c>
      <c r="C6050" s="1205">
        <v>12.49</v>
      </c>
    </row>
    <row r="6051" spans="1:3" ht="24" customHeight="1">
      <c r="A6051" s="1205" t="s">
        <v>62668</v>
      </c>
      <c r="B6051" s="1205" t="s">
        <v>62667</v>
      </c>
      <c r="C6051" s="1205">
        <v>8.99</v>
      </c>
    </row>
    <row r="6052" spans="1:3" ht="24" customHeight="1">
      <c r="A6052" s="1205" t="s">
        <v>62666</v>
      </c>
      <c r="B6052" s="1205" t="s">
        <v>62665</v>
      </c>
      <c r="C6052" s="1205">
        <v>11.99</v>
      </c>
    </row>
    <row r="6053" spans="1:3" ht="24" customHeight="1">
      <c r="A6053" s="1205" t="s">
        <v>62664</v>
      </c>
      <c r="B6053" s="1205" t="s">
        <v>62663</v>
      </c>
      <c r="C6053" s="1205">
        <v>8.99</v>
      </c>
    </row>
    <row r="6054" spans="1:3" ht="24" customHeight="1">
      <c r="A6054" s="1205" t="s">
        <v>62662</v>
      </c>
      <c r="B6054" s="1205" t="s">
        <v>62660</v>
      </c>
      <c r="C6054" s="1205">
        <v>28.49</v>
      </c>
    </row>
    <row r="6055" spans="1:3" ht="24" customHeight="1">
      <c r="A6055" s="1205" t="s">
        <v>62661</v>
      </c>
      <c r="B6055" s="1205" t="s">
        <v>62660</v>
      </c>
      <c r="C6055" s="1205">
        <v>25.99</v>
      </c>
    </row>
    <row r="6056" spans="1:3" ht="24" customHeight="1">
      <c r="A6056" s="1205" t="s">
        <v>62659</v>
      </c>
      <c r="B6056" s="1205" t="s">
        <v>62658</v>
      </c>
      <c r="C6056" s="1205">
        <v>9.49</v>
      </c>
    </row>
    <row r="6057" spans="1:3" ht="24" customHeight="1">
      <c r="A6057" s="1205" t="s">
        <v>62657</v>
      </c>
      <c r="B6057" s="1205" t="s">
        <v>62656</v>
      </c>
      <c r="C6057" s="1205">
        <v>15.49</v>
      </c>
    </row>
    <row r="6058" spans="1:3" ht="24" customHeight="1">
      <c r="A6058" s="1205" t="s">
        <v>62655</v>
      </c>
      <c r="B6058" s="1205" t="s">
        <v>62654</v>
      </c>
      <c r="C6058" s="1205">
        <v>15.49</v>
      </c>
    </row>
    <row r="6059" spans="1:3" ht="24" customHeight="1">
      <c r="A6059" s="1205" t="s">
        <v>62653</v>
      </c>
      <c r="B6059" s="1205" t="s">
        <v>62652</v>
      </c>
      <c r="C6059" s="1205">
        <v>12.49</v>
      </c>
    </row>
    <row r="6060" spans="1:3" ht="24" customHeight="1">
      <c r="A6060" s="1205" t="s">
        <v>62651</v>
      </c>
      <c r="B6060" s="1205" t="s">
        <v>62650</v>
      </c>
      <c r="C6060" s="1205">
        <v>15.99</v>
      </c>
    </row>
    <row r="6061" spans="1:3" ht="24" customHeight="1">
      <c r="A6061" s="1205" t="s">
        <v>62649</v>
      </c>
      <c r="B6061" s="1205" t="s">
        <v>62648</v>
      </c>
      <c r="C6061" s="1205">
        <v>12.99</v>
      </c>
    </row>
    <row r="6062" spans="1:3" ht="24" customHeight="1">
      <c r="A6062" s="1205" t="s">
        <v>62647</v>
      </c>
      <c r="B6062" s="1205" t="s">
        <v>62646</v>
      </c>
      <c r="C6062" s="1205">
        <v>15.49</v>
      </c>
    </row>
    <row r="6063" spans="1:3" ht="24" customHeight="1">
      <c r="A6063" s="1205" t="s">
        <v>62645</v>
      </c>
      <c r="B6063" s="1205" t="s">
        <v>62644</v>
      </c>
      <c r="C6063" s="1205">
        <v>12.49</v>
      </c>
    </row>
    <row r="6064" spans="1:3" ht="24" customHeight="1">
      <c r="A6064" s="1205" t="s">
        <v>62643</v>
      </c>
      <c r="B6064" s="1205" t="s">
        <v>62642</v>
      </c>
      <c r="C6064" s="1205">
        <v>15.49</v>
      </c>
    </row>
    <row r="6065" spans="1:3" ht="24" customHeight="1">
      <c r="A6065" s="1205" t="s">
        <v>62641</v>
      </c>
      <c r="B6065" s="1205" t="s">
        <v>62640</v>
      </c>
      <c r="C6065" s="1205">
        <v>12.49</v>
      </c>
    </row>
    <row r="6066" spans="1:3" ht="24" customHeight="1">
      <c r="A6066" s="1205" t="s">
        <v>62639</v>
      </c>
      <c r="B6066" s="1205" t="s">
        <v>62637</v>
      </c>
      <c r="C6066" s="1205">
        <v>29.99</v>
      </c>
    </row>
    <row r="6067" spans="1:3" ht="24" customHeight="1">
      <c r="A6067" s="1205" t="s">
        <v>62638</v>
      </c>
      <c r="B6067" s="1205" t="s">
        <v>62637</v>
      </c>
      <c r="C6067" s="1205">
        <v>27.99</v>
      </c>
    </row>
    <row r="6068" spans="1:3" ht="24" customHeight="1">
      <c r="A6068" s="1205" t="s">
        <v>62636</v>
      </c>
      <c r="B6068" s="1205" t="s">
        <v>62635</v>
      </c>
      <c r="C6068" s="1205">
        <v>13.49</v>
      </c>
    </row>
    <row r="6069" spans="1:3" ht="24" customHeight="1">
      <c r="A6069" s="1205" t="s">
        <v>62634</v>
      </c>
      <c r="B6069" s="1205" t="s">
        <v>62633</v>
      </c>
      <c r="C6069" s="1205">
        <v>16.489999999999998</v>
      </c>
    </row>
    <row r="6070" spans="1:3" ht="24" customHeight="1">
      <c r="A6070" s="1205" t="s">
        <v>62632</v>
      </c>
      <c r="B6070" s="1205" t="s">
        <v>62631</v>
      </c>
      <c r="C6070" s="1205">
        <v>13.49</v>
      </c>
    </row>
    <row r="6071" spans="1:3" ht="24" customHeight="1">
      <c r="A6071" s="1205" t="s">
        <v>62630</v>
      </c>
      <c r="B6071" s="1205" t="s">
        <v>62629</v>
      </c>
      <c r="C6071" s="1205">
        <v>17.489999999999998</v>
      </c>
    </row>
    <row r="6072" spans="1:3" ht="24" customHeight="1">
      <c r="A6072" s="1205" t="s">
        <v>62628</v>
      </c>
      <c r="B6072" s="1205" t="s">
        <v>62627</v>
      </c>
      <c r="C6072" s="1205">
        <v>14.49</v>
      </c>
    </row>
    <row r="6073" spans="1:3" ht="24" customHeight="1">
      <c r="A6073" s="1205" t="s">
        <v>62626</v>
      </c>
      <c r="B6073" s="1205" t="s">
        <v>62625</v>
      </c>
      <c r="C6073" s="1205">
        <v>16.989999999999998</v>
      </c>
    </row>
    <row r="6074" spans="1:3" ht="24" customHeight="1">
      <c r="A6074" s="1205" t="s">
        <v>62624</v>
      </c>
      <c r="B6074" s="1205" t="s">
        <v>62623</v>
      </c>
      <c r="C6074" s="1205">
        <v>13.99</v>
      </c>
    </row>
    <row r="6075" spans="1:3" ht="24" customHeight="1">
      <c r="A6075" s="1205" t="s">
        <v>62622</v>
      </c>
      <c r="B6075" s="1205" t="s">
        <v>62621</v>
      </c>
      <c r="C6075" s="1205">
        <v>16.489999999999998</v>
      </c>
    </row>
    <row r="6076" spans="1:3" ht="24" customHeight="1">
      <c r="A6076" s="1205" t="s">
        <v>62620</v>
      </c>
      <c r="B6076" s="1205" t="s">
        <v>62619</v>
      </c>
      <c r="C6076" s="1205">
        <v>13.49</v>
      </c>
    </row>
    <row r="6077" spans="1:3" ht="24" customHeight="1">
      <c r="A6077" s="1205" t="s">
        <v>62618</v>
      </c>
      <c r="B6077" s="1205" t="s">
        <v>62617</v>
      </c>
      <c r="C6077" s="1205">
        <v>14.99</v>
      </c>
    </row>
    <row r="6078" spans="1:3" ht="24" customHeight="1">
      <c r="A6078" s="1205" t="s">
        <v>62616</v>
      </c>
      <c r="B6078" s="1205" t="s">
        <v>62614</v>
      </c>
      <c r="C6078" s="1205">
        <v>18.989999999999998</v>
      </c>
    </row>
    <row r="6079" spans="1:3" ht="24" customHeight="1">
      <c r="A6079" s="1205" t="s">
        <v>62615</v>
      </c>
      <c r="B6079" s="1205" t="s">
        <v>62614</v>
      </c>
      <c r="C6079" s="1205">
        <v>15.99</v>
      </c>
    </row>
    <row r="6080" spans="1:3" ht="24" customHeight="1">
      <c r="A6080" s="1205" t="s">
        <v>62613</v>
      </c>
      <c r="B6080" s="1205" t="s">
        <v>62611</v>
      </c>
      <c r="C6080" s="1205">
        <v>19.489999999999998</v>
      </c>
    </row>
    <row r="6081" spans="1:3" ht="24" customHeight="1">
      <c r="A6081" s="1205" t="s">
        <v>62612</v>
      </c>
      <c r="B6081" s="1205" t="s">
        <v>62611</v>
      </c>
      <c r="C6081" s="1205">
        <v>16.489999999999998</v>
      </c>
    </row>
    <row r="6082" spans="1:3" ht="24" customHeight="1">
      <c r="A6082" s="1205" t="s">
        <v>62610</v>
      </c>
      <c r="B6082" s="1205" t="s">
        <v>62608</v>
      </c>
      <c r="C6082" s="1205">
        <v>18.989999999999998</v>
      </c>
    </row>
    <row r="6083" spans="1:3" ht="24" customHeight="1">
      <c r="A6083" s="1205" t="s">
        <v>62609</v>
      </c>
      <c r="B6083" s="1205" t="s">
        <v>62608</v>
      </c>
      <c r="C6083" s="1205">
        <v>15.99</v>
      </c>
    </row>
    <row r="6084" spans="1:3" ht="24" customHeight="1">
      <c r="A6084" s="1205" t="s">
        <v>62607</v>
      </c>
      <c r="B6084" s="1205" t="s">
        <v>62606</v>
      </c>
      <c r="C6084" s="1205">
        <v>15.99</v>
      </c>
    </row>
    <row r="6085" spans="1:3" ht="24" customHeight="1">
      <c r="A6085" s="1205" t="s">
        <v>62605</v>
      </c>
      <c r="B6085" s="1205" t="s">
        <v>62604</v>
      </c>
      <c r="C6085" s="1205">
        <v>16.989999999999998</v>
      </c>
    </row>
    <row r="6086" spans="1:3" ht="24" customHeight="1">
      <c r="A6086" s="1205" t="s">
        <v>62603</v>
      </c>
      <c r="B6086" s="1205" t="s">
        <v>62586</v>
      </c>
      <c r="C6086" s="1205">
        <v>19.489999999999998</v>
      </c>
    </row>
    <row r="6087" spans="1:3" ht="24" customHeight="1">
      <c r="A6087" s="1205" t="s">
        <v>62602</v>
      </c>
      <c r="B6087" s="1205" t="s">
        <v>62597</v>
      </c>
      <c r="C6087" s="1205">
        <v>42.49</v>
      </c>
    </row>
    <row r="6088" spans="1:3" ht="24" customHeight="1">
      <c r="A6088" s="1205" t="s">
        <v>62601</v>
      </c>
      <c r="B6088" s="1205" t="s">
        <v>62599</v>
      </c>
      <c r="C6088" s="1205">
        <v>51.49</v>
      </c>
    </row>
    <row r="6089" spans="1:3" ht="24" customHeight="1">
      <c r="A6089" s="1205" t="s">
        <v>62600</v>
      </c>
      <c r="B6089" s="1205" t="s">
        <v>62599</v>
      </c>
      <c r="C6089" s="1205">
        <v>47.99</v>
      </c>
    </row>
    <row r="6090" spans="1:3" ht="24" customHeight="1">
      <c r="A6090" s="1205" t="s">
        <v>62598</v>
      </c>
      <c r="B6090" s="1205" t="s">
        <v>62597</v>
      </c>
      <c r="C6090" s="1205">
        <v>39.99</v>
      </c>
    </row>
    <row r="6091" spans="1:3" ht="24" customHeight="1">
      <c r="A6091" s="1205" t="s">
        <v>62596</v>
      </c>
      <c r="B6091" s="1205" t="s">
        <v>62588</v>
      </c>
      <c r="C6091" s="1205">
        <v>19.489999999999998</v>
      </c>
    </row>
    <row r="6092" spans="1:3" ht="24" customHeight="1">
      <c r="A6092" s="1205" t="s">
        <v>62595</v>
      </c>
      <c r="B6092" s="1205" t="s">
        <v>62588</v>
      </c>
      <c r="C6092" s="1205">
        <v>16.489999999999998</v>
      </c>
    </row>
    <row r="6093" spans="1:3" ht="24" customHeight="1">
      <c r="A6093" s="1205" t="s">
        <v>62594</v>
      </c>
      <c r="B6093" s="1205" t="s">
        <v>62588</v>
      </c>
      <c r="C6093" s="1205">
        <v>19.989999999999998</v>
      </c>
    </row>
    <row r="6094" spans="1:3" ht="24" customHeight="1">
      <c r="A6094" s="1205" t="s">
        <v>62593</v>
      </c>
      <c r="B6094" s="1205" t="s">
        <v>62588</v>
      </c>
      <c r="C6094" s="1205">
        <v>16.989999999999998</v>
      </c>
    </row>
    <row r="6095" spans="1:3" ht="24" customHeight="1">
      <c r="A6095" s="1205" t="s">
        <v>62592</v>
      </c>
      <c r="B6095" s="1205" t="s">
        <v>62588</v>
      </c>
      <c r="C6095" s="1205">
        <v>19.989999999999998</v>
      </c>
    </row>
    <row r="6096" spans="1:3" ht="24" customHeight="1">
      <c r="A6096" s="1205" t="s">
        <v>62591</v>
      </c>
      <c r="B6096" s="1205" t="s">
        <v>62588</v>
      </c>
      <c r="C6096" s="1205">
        <v>16.989999999999998</v>
      </c>
    </row>
    <row r="6097" spans="1:3" ht="24" customHeight="1">
      <c r="A6097" s="1205" t="s">
        <v>62590</v>
      </c>
      <c r="B6097" s="1205" t="s">
        <v>62588</v>
      </c>
      <c r="C6097" s="1205">
        <v>19.989999999999998</v>
      </c>
    </row>
    <row r="6098" spans="1:3" ht="24" customHeight="1">
      <c r="A6098" s="1205" t="s">
        <v>62589</v>
      </c>
      <c r="B6098" s="1205" t="s">
        <v>62588</v>
      </c>
      <c r="C6098" s="1205">
        <v>16.989999999999998</v>
      </c>
    </row>
    <row r="6099" spans="1:3" ht="24" customHeight="1">
      <c r="A6099" s="1205" t="s">
        <v>62587</v>
      </c>
      <c r="B6099" s="1205" t="s">
        <v>62586</v>
      </c>
      <c r="C6099" s="1205">
        <v>16.989999999999998</v>
      </c>
    </row>
    <row r="6100" spans="1:3" ht="24" customHeight="1">
      <c r="A6100" s="1205" t="s">
        <v>62585</v>
      </c>
      <c r="B6100" s="1205" t="s">
        <v>62584</v>
      </c>
      <c r="C6100" s="1205">
        <v>30.49</v>
      </c>
    </row>
    <row r="6101" spans="1:3" ht="24" customHeight="1">
      <c r="A6101" s="1205" t="s">
        <v>62583</v>
      </c>
      <c r="B6101" s="1205" t="s">
        <v>62582</v>
      </c>
      <c r="C6101" s="1205">
        <v>22.49</v>
      </c>
    </row>
    <row r="6102" spans="1:3" ht="24" customHeight="1">
      <c r="A6102" s="1205" t="s">
        <v>62581</v>
      </c>
      <c r="B6102" s="1205" t="s">
        <v>62580</v>
      </c>
      <c r="C6102" s="1205">
        <v>12.49</v>
      </c>
    </row>
    <row r="6103" spans="1:3" ht="24" customHeight="1">
      <c r="A6103" s="1205" t="s">
        <v>62579</v>
      </c>
      <c r="B6103" s="1205" t="s">
        <v>62578</v>
      </c>
      <c r="C6103" s="1205">
        <v>11.49</v>
      </c>
    </row>
    <row r="6104" spans="1:3" ht="24" customHeight="1">
      <c r="A6104" s="1205" t="s">
        <v>62577</v>
      </c>
      <c r="B6104" s="1205" t="s">
        <v>62576</v>
      </c>
      <c r="C6104" s="1205">
        <v>8.49</v>
      </c>
    </row>
    <row r="6105" spans="1:3" ht="24" customHeight="1">
      <c r="A6105" s="1205" t="s">
        <v>62575</v>
      </c>
      <c r="B6105" s="1205" t="s">
        <v>62574</v>
      </c>
      <c r="C6105" s="1205">
        <v>12.49</v>
      </c>
    </row>
    <row r="6106" spans="1:3" ht="24" customHeight="1">
      <c r="A6106" s="1205" t="s">
        <v>62573</v>
      </c>
      <c r="B6106" s="1205" t="s">
        <v>62572</v>
      </c>
      <c r="C6106" s="1205">
        <v>9.49</v>
      </c>
    </row>
    <row r="6107" spans="1:3" ht="24" customHeight="1">
      <c r="A6107" s="1205" t="s">
        <v>62571</v>
      </c>
      <c r="B6107" s="1205" t="s">
        <v>62570</v>
      </c>
      <c r="C6107" s="1205">
        <v>11.99</v>
      </c>
    </row>
    <row r="6108" spans="1:3" ht="24" customHeight="1">
      <c r="A6108" s="1205" t="s">
        <v>62569</v>
      </c>
      <c r="B6108" s="1205" t="s">
        <v>62568</v>
      </c>
      <c r="C6108" s="1205">
        <v>8.99</v>
      </c>
    </row>
    <row r="6109" spans="1:3" ht="24" customHeight="1">
      <c r="A6109" s="1205" t="s">
        <v>62567</v>
      </c>
      <c r="B6109" s="1205" t="s">
        <v>62566</v>
      </c>
      <c r="C6109" s="1205">
        <v>12.49</v>
      </c>
    </row>
    <row r="6110" spans="1:3" ht="24" customHeight="1">
      <c r="A6110" s="1205" t="s">
        <v>62565</v>
      </c>
      <c r="B6110" s="1205" t="s">
        <v>62564</v>
      </c>
      <c r="C6110" s="1205">
        <v>8.99</v>
      </c>
    </row>
    <row r="6111" spans="1:3" ht="24" customHeight="1">
      <c r="A6111" s="1205" t="s">
        <v>62563</v>
      </c>
      <c r="B6111" s="1205" t="s">
        <v>62561</v>
      </c>
      <c r="C6111" s="1205">
        <v>25.99</v>
      </c>
    </row>
    <row r="6112" spans="1:3" ht="24" customHeight="1">
      <c r="A6112" s="1205" t="s">
        <v>62562</v>
      </c>
      <c r="B6112" s="1205" t="s">
        <v>62561</v>
      </c>
      <c r="C6112" s="1205">
        <v>23.99</v>
      </c>
    </row>
    <row r="6113" spans="1:3" ht="24" customHeight="1">
      <c r="A6113" s="1205" t="s">
        <v>62560</v>
      </c>
      <c r="B6113" s="1205" t="s">
        <v>62559</v>
      </c>
      <c r="C6113" s="1205">
        <v>9.99</v>
      </c>
    </row>
    <row r="6114" spans="1:3" ht="24" customHeight="1">
      <c r="A6114" s="1205" t="s">
        <v>62558</v>
      </c>
      <c r="B6114" s="1205" t="s">
        <v>62557</v>
      </c>
      <c r="C6114" s="1205">
        <v>74.489999999999995</v>
      </c>
    </row>
    <row r="6115" spans="1:3" ht="24" customHeight="1">
      <c r="A6115" s="1205" t="s">
        <v>62556</v>
      </c>
      <c r="B6115" s="1205" t="s">
        <v>62555</v>
      </c>
      <c r="C6115" s="1205">
        <v>16.489999999999998</v>
      </c>
    </row>
    <row r="6116" spans="1:3" ht="24" customHeight="1">
      <c r="A6116" s="1205" t="s">
        <v>62554</v>
      </c>
      <c r="B6116" s="1205" t="s">
        <v>62553</v>
      </c>
      <c r="C6116" s="1205">
        <v>12.49</v>
      </c>
    </row>
    <row r="6117" spans="1:3" ht="24" customHeight="1">
      <c r="A6117" s="1205" t="s">
        <v>62552</v>
      </c>
      <c r="B6117" s="1205" t="s">
        <v>62551</v>
      </c>
      <c r="C6117" s="1205">
        <v>16.989999999999998</v>
      </c>
    </row>
    <row r="6118" spans="1:3" ht="24" customHeight="1">
      <c r="A6118" s="1205" t="s">
        <v>62550</v>
      </c>
      <c r="B6118" s="1205" t="s">
        <v>62549</v>
      </c>
      <c r="C6118" s="1205">
        <v>13.49</v>
      </c>
    </row>
    <row r="6119" spans="1:3" ht="24" customHeight="1">
      <c r="A6119" s="1205" t="s">
        <v>62548</v>
      </c>
      <c r="B6119" s="1205" t="s">
        <v>62547</v>
      </c>
      <c r="C6119" s="1205">
        <v>11.49</v>
      </c>
    </row>
    <row r="6120" spans="1:3" ht="24" customHeight="1">
      <c r="A6120" s="1205" t="s">
        <v>62546</v>
      </c>
      <c r="B6120" s="1205" t="s">
        <v>62545</v>
      </c>
      <c r="C6120" s="1205">
        <v>7.99</v>
      </c>
    </row>
    <row r="6121" spans="1:3" ht="24" customHeight="1">
      <c r="A6121" s="1205" t="s">
        <v>62544</v>
      </c>
      <c r="B6121" s="1205" t="s">
        <v>62543</v>
      </c>
      <c r="C6121" s="1205">
        <v>11.99</v>
      </c>
    </row>
    <row r="6122" spans="1:3" ht="24" customHeight="1">
      <c r="A6122" s="1205" t="s">
        <v>62542</v>
      </c>
      <c r="B6122" s="1205" t="s">
        <v>62541</v>
      </c>
      <c r="C6122" s="1205">
        <v>7.99</v>
      </c>
    </row>
    <row r="6123" spans="1:3" ht="24" customHeight="1">
      <c r="A6123" s="1205" t="s">
        <v>62540</v>
      </c>
      <c r="B6123" s="1205" t="s">
        <v>62539</v>
      </c>
      <c r="C6123" s="1205">
        <v>13.99</v>
      </c>
    </row>
    <row r="6124" spans="1:3" ht="24" customHeight="1">
      <c r="A6124" s="1205" t="s">
        <v>62538</v>
      </c>
      <c r="B6124" s="1205" t="s">
        <v>62537</v>
      </c>
      <c r="C6124" s="1205">
        <v>9.99</v>
      </c>
    </row>
    <row r="6125" spans="1:3" ht="24" customHeight="1">
      <c r="A6125" s="1205" t="s">
        <v>62536</v>
      </c>
      <c r="B6125" s="1205" t="s">
        <v>62535</v>
      </c>
      <c r="C6125" s="1205">
        <v>14.99</v>
      </c>
    </row>
    <row r="6126" spans="1:3" ht="24" customHeight="1">
      <c r="A6126" s="1205" t="s">
        <v>62534</v>
      </c>
      <c r="B6126" s="1205" t="s">
        <v>62533</v>
      </c>
      <c r="C6126" s="1205">
        <v>11.49</v>
      </c>
    </row>
    <row r="6127" spans="1:3" ht="24" customHeight="1">
      <c r="A6127" s="1205" t="s">
        <v>62532</v>
      </c>
      <c r="B6127" s="1205" t="s">
        <v>62531</v>
      </c>
      <c r="C6127" s="1205">
        <v>27.99</v>
      </c>
    </row>
    <row r="6128" spans="1:3" ht="24" customHeight="1">
      <c r="A6128" s="1205" t="s">
        <v>62530</v>
      </c>
      <c r="B6128" s="1205" t="s">
        <v>62529</v>
      </c>
      <c r="C6128" s="1205">
        <v>26.49</v>
      </c>
    </row>
    <row r="6129" spans="1:3" ht="24" customHeight="1">
      <c r="A6129" s="1205" t="s">
        <v>62528</v>
      </c>
      <c r="B6129" s="1205" t="s">
        <v>62527</v>
      </c>
      <c r="C6129" s="1205">
        <v>34.49</v>
      </c>
    </row>
    <row r="6130" spans="1:3" ht="24" customHeight="1">
      <c r="A6130" s="1205" t="s">
        <v>62526</v>
      </c>
      <c r="B6130" s="1205" t="s">
        <v>62525</v>
      </c>
      <c r="C6130" s="1205">
        <v>29.49</v>
      </c>
    </row>
    <row r="6131" spans="1:3" ht="24" customHeight="1">
      <c r="A6131" s="1205" t="s">
        <v>62524</v>
      </c>
      <c r="B6131" s="1205" t="s">
        <v>62523</v>
      </c>
      <c r="C6131" s="1205">
        <v>36.49</v>
      </c>
    </row>
    <row r="6132" spans="1:3" ht="24" customHeight="1">
      <c r="A6132" s="1205" t="s">
        <v>62522</v>
      </c>
      <c r="B6132" s="1205" t="s">
        <v>62521</v>
      </c>
      <c r="C6132" s="1205">
        <v>44.49</v>
      </c>
    </row>
    <row r="6133" spans="1:3" ht="24" customHeight="1">
      <c r="A6133" s="1205" t="s">
        <v>62520</v>
      </c>
      <c r="B6133" s="1205" t="s">
        <v>62519</v>
      </c>
      <c r="C6133" s="1205">
        <v>33.49</v>
      </c>
    </row>
    <row r="6134" spans="1:3" ht="24" customHeight="1">
      <c r="A6134" s="1205" t="s">
        <v>62518</v>
      </c>
      <c r="B6134" s="1205" t="s">
        <v>62517</v>
      </c>
      <c r="C6134" s="1205">
        <v>24.49</v>
      </c>
    </row>
    <row r="6135" spans="1:3" ht="24" customHeight="1">
      <c r="A6135" s="1205" t="s">
        <v>62516</v>
      </c>
      <c r="B6135" s="1205" t="s">
        <v>62515</v>
      </c>
      <c r="C6135" s="1205">
        <v>20.99</v>
      </c>
    </row>
    <row r="6136" spans="1:3" ht="24" customHeight="1">
      <c r="A6136" s="1205" t="s">
        <v>62514</v>
      </c>
      <c r="B6136" s="1205" t="s">
        <v>62513</v>
      </c>
      <c r="C6136" s="1205">
        <v>28.49</v>
      </c>
    </row>
    <row r="6137" spans="1:3" ht="24" customHeight="1">
      <c r="A6137" s="1205" t="s">
        <v>62512</v>
      </c>
      <c r="B6137" s="1205" t="s">
        <v>62511</v>
      </c>
      <c r="C6137" s="1205">
        <v>25.99</v>
      </c>
    </row>
    <row r="6138" spans="1:3" ht="24" customHeight="1">
      <c r="A6138" s="1205" t="s">
        <v>62510</v>
      </c>
      <c r="B6138" s="1205" t="s">
        <v>62509</v>
      </c>
      <c r="C6138" s="1205">
        <v>13.49</v>
      </c>
    </row>
    <row r="6139" spans="1:3" ht="24" customHeight="1">
      <c r="A6139" s="1205" t="s">
        <v>62508</v>
      </c>
      <c r="B6139" s="1205" t="s">
        <v>62507</v>
      </c>
      <c r="C6139" s="1205">
        <v>8.49</v>
      </c>
    </row>
    <row r="6140" spans="1:3" ht="24" customHeight="1">
      <c r="A6140" s="1205" t="s">
        <v>62506</v>
      </c>
      <c r="B6140" s="1205" t="s">
        <v>62505</v>
      </c>
      <c r="C6140" s="1205">
        <v>14.49</v>
      </c>
    </row>
    <row r="6141" spans="1:3" ht="24" customHeight="1">
      <c r="A6141" s="1205" t="s">
        <v>62504</v>
      </c>
      <c r="B6141" s="1205" t="s">
        <v>62503</v>
      </c>
      <c r="C6141" s="1205">
        <v>9.49</v>
      </c>
    </row>
    <row r="6142" spans="1:3" ht="24" customHeight="1">
      <c r="A6142" s="1205" t="s">
        <v>62502</v>
      </c>
      <c r="B6142" s="1205" t="s">
        <v>62501</v>
      </c>
      <c r="C6142" s="1205">
        <v>15.99</v>
      </c>
    </row>
    <row r="6143" spans="1:3" ht="24" customHeight="1">
      <c r="A6143" s="1205" t="s">
        <v>62500</v>
      </c>
      <c r="B6143" s="1205" t="s">
        <v>62499</v>
      </c>
      <c r="C6143" s="1205">
        <v>10.99</v>
      </c>
    </row>
    <row r="6144" spans="1:3" ht="24" customHeight="1">
      <c r="A6144" s="1205" t="s">
        <v>62498</v>
      </c>
      <c r="B6144" s="1205" t="s">
        <v>62497</v>
      </c>
      <c r="C6144" s="1205">
        <v>16.989999999999998</v>
      </c>
    </row>
    <row r="6145" spans="1:3" ht="24" customHeight="1">
      <c r="A6145" s="1205" t="s">
        <v>62496</v>
      </c>
      <c r="B6145" s="1205" t="s">
        <v>62495</v>
      </c>
      <c r="C6145" s="1205">
        <v>11.99</v>
      </c>
    </row>
    <row r="6146" spans="1:3" ht="24" customHeight="1">
      <c r="A6146" s="1205" t="s">
        <v>62494</v>
      </c>
      <c r="B6146" s="1205" t="s">
        <v>62493</v>
      </c>
      <c r="C6146" s="1205">
        <v>32.49</v>
      </c>
    </row>
    <row r="6147" spans="1:3" ht="24" customHeight="1">
      <c r="A6147" s="1205" t="s">
        <v>62492</v>
      </c>
      <c r="B6147" s="1205" t="s">
        <v>62491</v>
      </c>
      <c r="C6147" s="1205">
        <v>33.99</v>
      </c>
    </row>
    <row r="6148" spans="1:3" ht="24" customHeight="1">
      <c r="A6148" s="1205" t="s">
        <v>62490</v>
      </c>
      <c r="B6148" s="1205" t="s">
        <v>62489</v>
      </c>
      <c r="C6148" s="1205">
        <v>5.99</v>
      </c>
    </row>
    <row r="6149" spans="1:3" ht="24" customHeight="1">
      <c r="A6149" s="1205" t="s">
        <v>62488</v>
      </c>
      <c r="B6149" s="1205" t="s">
        <v>62487</v>
      </c>
      <c r="C6149" s="1205">
        <v>11.49</v>
      </c>
    </row>
    <row r="6150" spans="1:3" ht="24" customHeight="1">
      <c r="A6150" s="1205" t="s">
        <v>62486</v>
      </c>
      <c r="B6150" s="1205" t="s">
        <v>62485</v>
      </c>
      <c r="C6150" s="1205">
        <v>5.99</v>
      </c>
    </row>
    <row r="6151" spans="1:3" ht="24" customHeight="1">
      <c r="A6151" s="1205" t="s">
        <v>62484</v>
      </c>
      <c r="B6151" s="1205" t="s">
        <v>62483</v>
      </c>
      <c r="C6151" s="1205">
        <v>11.99</v>
      </c>
    </row>
    <row r="6152" spans="1:3" ht="24" customHeight="1">
      <c r="A6152" s="1205" t="s">
        <v>62482</v>
      </c>
      <c r="B6152" s="1205" t="s">
        <v>62481</v>
      </c>
      <c r="C6152" s="1205">
        <v>6.99</v>
      </c>
    </row>
    <row r="6153" spans="1:3" ht="24" customHeight="1">
      <c r="A6153" s="1205" t="s">
        <v>62480</v>
      </c>
      <c r="B6153" s="1205" t="s">
        <v>62479</v>
      </c>
      <c r="C6153" s="1205">
        <v>9.99</v>
      </c>
    </row>
    <row r="6154" spans="1:3" ht="24" customHeight="1">
      <c r="A6154" s="1205" t="s">
        <v>62478</v>
      </c>
      <c r="B6154" s="1205" t="s">
        <v>62477</v>
      </c>
      <c r="C6154" s="1205">
        <v>7.49</v>
      </c>
    </row>
    <row r="6155" spans="1:3" ht="24" customHeight="1">
      <c r="A6155" s="1205" t="s">
        <v>62476</v>
      </c>
      <c r="B6155" s="1205" t="s">
        <v>62475</v>
      </c>
      <c r="C6155" s="1205">
        <v>7.49</v>
      </c>
    </row>
    <row r="6156" spans="1:3" ht="24" customHeight="1">
      <c r="A6156" s="1205" t="s">
        <v>62474</v>
      </c>
      <c r="B6156" s="1205" t="s">
        <v>62473</v>
      </c>
      <c r="C6156" s="1205">
        <v>4.49</v>
      </c>
    </row>
    <row r="6157" spans="1:3" ht="24" customHeight="1">
      <c r="A6157" s="1205" t="s">
        <v>62472</v>
      </c>
      <c r="B6157" s="1205" t="s">
        <v>62471</v>
      </c>
      <c r="C6157" s="1205">
        <v>57.99</v>
      </c>
    </row>
    <row r="6158" spans="1:3" ht="24" customHeight="1">
      <c r="A6158" s="1205" t="s">
        <v>62470</v>
      </c>
      <c r="B6158" s="1205" t="s">
        <v>62469</v>
      </c>
      <c r="C6158" s="1205">
        <v>11.49</v>
      </c>
    </row>
    <row r="6159" spans="1:3" ht="24" customHeight="1">
      <c r="A6159" s="1205" t="s">
        <v>62468</v>
      </c>
      <c r="B6159" s="1205" t="s">
        <v>62466</v>
      </c>
      <c r="C6159" s="1205">
        <v>9.99</v>
      </c>
    </row>
    <row r="6160" spans="1:3" ht="24" customHeight="1">
      <c r="A6160" s="1205" t="s">
        <v>62467</v>
      </c>
      <c r="B6160" s="1205" t="s">
        <v>62466</v>
      </c>
      <c r="C6160" s="1205">
        <v>7.99</v>
      </c>
    </row>
    <row r="6161" spans="1:3" ht="24" customHeight="1">
      <c r="A6161" s="1205" t="s">
        <v>62465</v>
      </c>
      <c r="B6161" s="1205" t="s">
        <v>62463</v>
      </c>
      <c r="C6161" s="1205">
        <v>9.99</v>
      </c>
    </row>
    <row r="6162" spans="1:3" ht="24" customHeight="1">
      <c r="A6162" s="1205" t="s">
        <v>62464</v>
      </c>
      <c r="B6162" s="1205" t="s">
        <v>62463</v>
      </c>
      <c r="C6162" s="1205">
        <v>7.99</v>
      </c>
    </row>
    <row r="6163" spans="1:3" ht="24" customHeight="1">
      <c r="A6163" s="1205" t="s">
        <v>62462</v>
      </c>
      <c r="B6163" s="1205" t="s">
        <v>62461</v>
      </c>
      <c r="C6163" s="1205">
        <v>7.49</v>
      </c>
    </row>
    <row r="6164" spans="1:3" ht="24" customHeight="1">
      <c r="A6164" s="1205" t="s">
        <v>62460</v>
      </c>
      <c r="B6164" s="1205" t="s">
        <v>62459</v>
      </c>
      <c r="C6164" s="1205">
        <v>5.99</v>
      </c>
    </row>
    <row r="6165" spans="1:3" ht="24" customHeight="1">
      <c r="A6165" s="1205" t="s">
        <v>62458</v>
      </c>
      <c r="B6165" s="1205" t="s">
        <v>62457</v>
      </c>
      <c r="C6165" s="1205">
        <v>2.99</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DE021-F6E4-47CF-9F27-BEFE78053FB1}">
  <sheetPr>
    <tabColor theme="2" tint="-9.9978637043366805E-2"/>
  </sheetPr>
  <dimension ref="A1:AG416"/>
  <sheetViews>
    <sheetView workbookViewId="0">
      <pane ySplit="2" topLeftCell="A6" activePane="bottomLeft" state="frozen"/>
      <selection activeCell="C8" sqref="C8"/>
      <selection pane="bottomLeft" activeCell="C8" sqref="C8"/>
    </sheetView>
  </sheetViews>
  <sheetFormatPr defaultRowHeight="14.5"/>
  <cols>
    <col min="1" max="1" width="19.81640625" style="1108" customWidth="1"/>
    <col min="2" max="2" width="65.36328125" style="1108" customWidth="1"/>
    <col min="3" max="3" width="11.6328125" style="1108" customWidth="1"/>
    <col min="4" max="12" width="16.54296875" style="1108" bestFit="1" customWidth="1"/>
    <col min="13" max="33" width="17.81640625" style="1108" bestFit="1" customWidth="1"/>
    <col min="34" max="16384" width="8.7265625" style="1108"/>
  </cols>
  <sheetData>
    <row r="1" spans="1:33" ht="15">
      <c r="A1" s="1127" t="s">
        <v>55291</v>
      </c>
      <c r="B1" s="1126"/>
      <c r="C1" s="1125"/>
      <c r="D1" s="1124" t="s">
        <v>55290</v>
      </c>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123"/>
      <c r="AC1" s="1123"/>
      <c r="AD1" s="1123"/>
      <c r="AE1" s="1123"/>
      <c r="AF1" s="1123"/>
      <c r="AG1" s="1122"/>
    </row>
    <row r="2" spans="1:33" ht="15">
      <c r="A2" s="1121" t="s">
        <v>55289</v>
      </c>
      <c r="B2" s="1121" t="s">
        <v>1</v>
      </c>
      <c r="C2" s="1120" t="s">
        <v>55288</v>
      </c>
      <c r="D2" s="1119" t="s">
        <v>55287</v>
      </c>
      <c r="E2" s="1119" t="s">
        <v>55286</v>
      </c>
      <c r="F2" s="1119" t="s">
        <v>55285</v>
      </c>
      <c r="G2" s="1119" t="s">
        <v>55284</v>
      </c>
      <c r="H2" s="1119" t="s">
        <v>55283</v>
      </c>
      <c r="I2" s="1119" t="s">
        <v>55282</v>
      </c>
      <c r="J2" s="1119" t="s">
        <v>55281</v>
      </c>
      <c r="K2" s="1119" t="s">
        <v>55280</v>
      </c>
      <c r="L2" s="1119" t="s">
        <v>55279</v>
      </c>
      <c r="M2" s="1119" t="s">
        <v>55278</v>
      </c>
      <c r="N2" s="1119" t="s">
        <v>55277</v>
      </c>
      <c r="O2" s="1119" t="s">
        <v>55276</v>
      </c>
      <c r="P2" s="1119" t="s">
        <v>55275</v>
      </c>
      <c r="Q2" s="1119" t="s">
        <v>55274</v>
      </c>
      <c r="R2" s="1119" t="s">
        <v>55273</v>
      </c>
      <c r="S2" s="1119" t="s">
        <v>55272</v>
      </c>
      <c r="T2" s="1119" t="s">
        <v>55271</v>
      </c>
      <c r="U2" s="1119" t="s">
        <v>55270</v>
      </c>
      <c r="V2" s="1119" t="s">
        <v>55269</v>
      </c>
      <c r="W2" s="1119" t="s">
        <v>55268</v>
      </c>
      <c r="X2" s="1119" t="s">
        <v>55267</v>
      </c>
      <c r="Y2" s="1119" t="s">
        <v>55266</v>
      </c>
      <c r="Z2" s="1119" t="s">
        <v>55265</v>
      </c>
      <c r="AA2" s="1119" t="s">
        <v>55264</v>
      </c>
      <c r="AB2" s="1119" t="s">
        <v>55263</v>
      </c>
      <c r="AC2" s="1119" t="s">
        <v>55262</v>
      </c>
      <c r="AD2" s="1119" t="s">
        <v>55261</v>
      </c>
      <c r="AE2" s="1119" t="s">
        <v>55260</v>
      </c>
      <c r="AF2" s="1119" t="s">
        <v>55259</v>
      </c>
      <c r="AG2" s="1119" t="s">
        <v>55258</v>
      </c>
    </row>
    <row r="4" spans="1:33" ht="20">
      <c r="A4" s="10"/>
      <c r="B4" s="11" t="s">
        <v>4</v>
      </c>
      <c r="C4" s="12"/>
    </row>
    <row r="5" spans="1:33" ht="45">
      <c r="A5" s="4" t="s">
        <v>55196</v>
      </c>
      <c r="B5" s="4" t="s">
        <v>5</v>
      </c>
      <c r="C5" s="5">
        <v>3150</v>
      </c>
      <c r="D5" s="1112">
        <f>($C5*0.01)+$C5</f>
        <v>3181.5</v>
      </c>
      <c r="E5" s="1112">
        <f>($C5*0.02)+$C5</f>
        <v>3213</v>
      </c>
      <c r="F5" s="1112">
        <f>($C5*0.03)+$C5</f>
        <v>3244.5</v>
      </c>
      <c r="G5" s="1112">
        <f>($C5*0.04)+$C5</f>
        <v>3276</v>
      </c>
      <c r="H5" s="1112">
        <f>($C5*0.05)+$C5</f>
        <v>3307.5</v>
      </c>
      <c r="I5" s="1112">
        <f>($C5*0.06)+$C5</f>
        <v>3339</v>
      </c>
      <c r="J5" s="1112">
        <f>($C5*0.07)+$C5</f>
        <v>3370.5</v>
      </c>
      <c r="K5" s="1112">
        <f>($C5*0.08)+$C5</f>
        <v>3402</v>
      </c>
      <c r="L5" s="1112">
        <f>($C5*0.09)+$C5</f>
        <v>3433.5</v>
      </c>
      <c r="M5" s="1112">
        <f>($C5*0.1)+$C5</f>
        <v>3465</v>
      </c>
      <c r="N5" s="1112">
        <f>($C5*0.11)+$C5</f>
        <v>3496.5</v>
      </c>
      <c r="O5" s="1112">
        <f>($C5*0.12)+$C5</f>
        <v>3528</v>
      </c>
      <c r="P5" s="1112">
        <f>($C5*0.13)+$C5</f>
        <v>3559.5</v>
      </c>
      <c r="Q5" s="1112">
        <f>($C5*0.14)+$C5</f>
        <v>3591</v>
      </c>
      <c r="R5" s="1112">
        <f>($C5*0.15)+$C5</f>
        <v>3622.5</v>
      </c>
      <c r="S5" s="1112">
        <f>($C5*0.16)+$C5</f>
        <v>3654</v>
      </c>
      <c r="T5" s="1112">
        <f>($C5*0.17)+$C5</f>
        <v>3685.5</v>
      </c>
      <c r="U5" s="1112">
        <f>($C5*0.18)+$C5</f>
        <v>3717</v>
      </c>
      <c r="V5" s="1112">
        <f>($C5*0.19)+$C5</f>
        <v>3748.5</v>
      </c>
      <c r="W5" s="1112">
        <f>($C5*0.2)+$C5</f>
        <v>3780</v>
      </c>
      <c r="X5" s="1112">
        <f>($C5*0.21)+$C5</f>
        <v>3811.5</v>
      </c>
      <c r="Y5" s="1112">
        <f>($C5*0.22)+$C5</f>
        <v>3843</v>
      </c>
      <c r="Z5" s="1112">
        <f>($C5*0.23)+$C5</f>
        <v>3874.5</v>
      </c>
      <c r="AA5" s="1112">
        <f>($C5*0.24)+$C5</f>
        <v>3906</v>
      </c>
      <c r="AB5" s="1112">
        <f>($C5*0.25)+$C5</f>
        <v>3937.5</v>
      </c>
      <c r="AC5" s="1112">
        <f>($C5*0.26)+$C5</f>
        <v>3969</v>
      </c>
      <c r="AD5" s="1112">
        <f>($C5*0.27)+$C5</f>
        <v>4000.5</v>
      </c>
      <c r="AE5" s="1112">
        <f>($C5*0.28)+$C5</f>
        <v>4032</v>
      </c>
      <c r="AF5" s="1112">
        <f>($C5*0.29)+$C5</f>
        <v>4063.5</v>
      </c>
      <c r="AG5" s="1112">
        <f>($C5*0.3)+$C5</f>
        <v>4095</v>
      </c>
    </row>
    <row r="6" spans="1:33" ht="60">
      <c r="A6" s="4" t="s">
        <v>55198</v>
      </c>
      <c r="B6" s="4" t="s">
        <v>6</v>
      </c>
      <c r="C6" s="5">
        <v>2250</v>
      </c>
      <c r="D6" s="1112">
        <f>($C6*0.01)+$C6</f>
        <v>2272.5</v>
      </c>
      <c r="E6" s="1112">
        <f>($C6*0.02)+$C6</f>
        <v>2295</v>
      </c>
      <c r="F6" s="1112">
        <f>($C6*0.03)+$C6</f>
        <v>2317.5</v>
      </c>
      <c r="G6" s="1112">
        <f>($C6*0.04)+$C6</f>
        <v>2340</v>
      </c>
      <c r="H6" s="1112">
        <f>($C6*0.05)+$C6</f>
        <v>2362.5</v>
      </c>
      <c r="I6" s="1112">
        <f>($C6*0.06)+$C6</f>
        <v>2385</v>
      </c>
      <c r="J6" s="1112">
        <f>($C6*0.07)+$C6</f>
        <v>2407.5</v>
      </c>
      <c r="K6" s="1112">
        <f>($C6*0.08)+$C6</f>
        <v>2430</v>
      </c>
      <c r="L6" s="1112">
        <f>($C6*0.09)+$C6</f>
        <v>2452.5</v>
      </c>
      <c r="M6" s="1112">
        <f>($C6*0.1)+$C6</f>
        <v>2475</v>
      </c>
      <c r="N6" s="1112">
        <f>($C6*0.11)+$C6</f>
        <v>2497.5</v>
      </c>
      <c r="O6" s="1112">
        <f>($C6*0.12)+$C6</f>
        <v>2520</v>
      </c>
      <c r="P6" s="1112">
        <f>($C6*0.13)+$C6</f>
        <v>2542.5</v>
      </c>
      <c r="Q6" s="1112">
        <f>($C6*0.14)+$C6</f>
        <v>2565</v>
      </c>
      <c r="R6" s="1112">
        <f>($C6*0.15)+$C6</f>
        <v>2587.5</v>
      </c>
      <c r="S6" s="1112">
        <f>($C6*0.16)+$C6</f>
        <v>2610</v>
      </c>
      <c r="T6" s="1112">
        <f>($C6*0.17)+$C6</f>
        <v>2632.5</v>
      </c>
      <c r="U6" s="1112">
        <f>($C6*0.18)+$C6</f>
        <v>2655</v>
      </c>
      <c r="V6" s="1112">
        <f>($C6*0.19)+$C6</f>
        <v>2677.5</v>
      </c>
      <c r="W6" s="1112">
        <f>($C6*0.2)+$C6</f>
        <v>2700</v>
      </c>
      <c r="X6" s="1112">
        <f>($C6*0.21)+$C6</f>
        <v>2722.5</v>
      </c>
      <c r="Y6" s="1112">
        <f>($C6*0.22)+$C6</f>
        <v>2745</v>
      </c>
      <c r="Z6" s="1112">
        <f>($C6*0.23)+$C6</f>
        <v>2767.5</v>
      </c>
      <c r="AA6" s="1112">
        <f>($C6*0.24)+$C6</f>
        <v>2790</v>
      </c>
      <c r="AB6" s="1112">
        <f>($C6*0.25)+$C6</f>
        <v>2812.5</v>
      </c>
      <c r="AC6" s="1112">
        <f>($C6*0.26)+$C6</f>
        <v>2835</v>
      </c>
      <c r="AD6" s="1112">
        <f>($C6*0.27)+$C6</f>
        <v>2857.5</v>
      </c>
      <c r="AE6" s="1112">
        <f>($C6*0.28)+$C6</f>
        <v>2880</v>
      </c>
      <c r="AF6" s="1112">
        <f>($C6*0.29)+$C6</f>
        <v>2902.5</v>
      </c>
      <c r="AG6" s="1112">
        <f>($C6*0.3)+$C6</f>
        <v>2925</v>
      </c>
    </row>
    <row r="7" spans="1:33" ht="45">
      <c r="A7" s="6" t="s">
        <v>55197</v>
      </c>
      <c r="B7" s="7" t="s">
        <v>55201</v>
      </c>
      <c r="C7" s="8">
        <v>2925</v>
      </c>
      <c r="D7" s="1112">
        <f>($C7*0.01)+$C7</f>
        <v>2954.25</v>
      </c>
      <c r="E7" s="1112">
        <f>($C7*0.02)+$C7</f>
        <v>2983.5</v>
      </c>
      <c r="F7" s="1112">
        <f>($C7*0.03)+$C7</f>
        <v>3012.75</v>
      </c>
      <c r="G7" s="1112">
        <f>($C7*0.04)+$C7</f>
        <v>3042</v>
      </c>
      <c r="H7" s="1112">
        <f>($C7*0.05)+$C7</f>
        <v>3071.25</v>
      </c>
      <c r="I7" s="1112">
        <f>($C7*0.06)+$C7</f>
        <v>3100.5</v>
      </c>
      <c r="J7" s="1112">
        <f>($C7*0.07)+$C7</f>
        <v>3129.75</v>
      </c>
      <c r="K7" s="1112">
        <f>($C7*0.08)+$C7</f>
        <v>3159</v>
      </c>
      <c r="L7" s="1112">
        <f>($C7*0.09)+$C7</f>
        <v>3188.25</v>
      </c>
      <c r="M7" s="1112">
        <f>($C7*0.1)+$C7</f>
        <v>3217.5</v>
      </c>
      <c r="N7" s="1112">
        <f>($C7*0.11)+$C7</f>
        <v>3246.75</v>
      </c>
      <c r="O7" s="1112">
        <f>($C7*0.12)+$C7</f>
        <v>3276</v>
      </c>
      <c r="P7" s="1112">
        <f>($C7*0.13)+$C7</f>
        <v>3305.25</v>
      </c>
      <c r="Q7" s="1112">
        <f>($C7*0.14)+$C7</f>
        <v>3334.5</v>
      </c>
      <c r="R7" s="1112">
        <f>($C7*0.15)+$C7</f>
        <v>3363.75</v>
      </c>
      <c r="S7" s="1112">
        <f>($C7*0.16)+$C7</f>
        <v>3393</v>
      </c>
      <c r="T7" s="1112">
        <f>($C7*0.17)+$C7</f>
        <v>3422.25</v>
      </c>
      <c r="U7" s="1112">
        <f>($C7*0.18)+$C7</f>
        <v>3451.5</v>
      </c>
      <c r="V7" s="1112">
        <f>($C7*0.19)+$C7</f>
        <v>3480.75</v>
      </c>
      <c r="W7" s="1112">
        <f>($C7*0.2)+$C7</f>
        <v>3510</v>
      </c>
      <c r="X7" s="1112">
        <f>($C7*0.21)+$C7</f>
        <v>3539.25</v>
      </c>
      <c r="Y7" s="1112">
        <f>($C7*0.22)+$C7</f>
        <v>3568.5</v>
      </c>
      <c r="Z7" s="1112">
        <f>($C7*0.23)+$C7</f>
        <v>3597.75</v>
      </c>
      <c r="AA7" s="1112">
        <f>($C7*0.24)+$C7</f>
        <v>3627</v>
      </c>
      <c r="AB7" s="1112">
        <f>($C7*0.25)+$C7</f>
        <v>3656.25</v>
      </c>
      <c r="AC7" s="1112">
        <f>($C7*0.26)+$C7</f>
        <v>3685.5</v>
      </c>
      <c r="AD7" s="1112">
        <f>($C7*0.27)+$C7</f>
        <v>3714.75</v>
      </c>
      <c r="AE7" s="1112">
        <f>($C7*0.28)+$C7</f>
        <v>3744</v>
      </c>
      <c r="AF7" s="1112">
        <f>($C7*0.29)+$C7</f>
        <v>3773.25</v>
      </c>
      <c r="AG7" s="1112">
        <f>($C7*0.3)+$C7</f>
        <v>3802.5</v>
      </c>
    </row>
    <row r="8" spans="1:33" ht="45">
      <c r="A8" s="4" t="s">
        <v>55199</v>
      </c>
      <c r="B8" s="4" t="s">
        <v>7</v>
      </c>
      <c r="C8" s="5">
        <v>1500</v>
      </c>
      <c r="D8" s="1112">
        <f>($C8*0.01)+$C8</f>
        <v>1515</v>
      </c>
      <c r="E8" s="1112">
        <f>($C8*0.02)+$C8</f>
        <v>1530</v>
      </c>
      <c r="F8" s="1112">
        <f>($C8*0.03)+$C8</f>
        <v>1545</v>
      </c>
      <c r="G8" s="1112">
        <f>($C8*0.04)+$C8</f>
        <v>1560</v>
      </c>
      <c r="H8" s="1112">
        <f>($C8*0.05)+$C8</f>
        <v>1575</v>
      </c>
      <c r="I8" s="1112">
        <f>($C8*0.06)+$C8</f>
        <v>1590</v>
      </c>
      <c r="J8" s="1112">
        <f>($C8*0.07)+$C8</f>
        <v>1605</v>
      </c>
      <c r="K8" s="1112">
        <f>($C8*0.08)+$C8</f>
        <v>1620</v>
      </c>
      <c r="L8" s="1112">
        <f>($C8*0.09)+$C8</f>
        <v>1635</v>
      </c>
      <c r="M8" s="1112">
        <f>($C8*0.1)+$C8</f>
        <v>1650</v>
      </c>
      <c r="N8" s="1112">
        <f>($C8*0.11)+$C8</f>
        <v>1665</v>
      </c>
      <c r="O8" s="1112">
        <f>($C8*0.12)+$C8</f>
        <v>1680</v>
      </c>
      <c r="P8" s="1112">
        <f>($C8*0.13)+$C8</f>
        <v>1695</v>
      </c>
      <c r="Q8" s="1112">
        <f>($C8*0.14)+$C8</f>
        <v>1710</v>
      </c>
      <c r="R8" s="1112">
        <f>($C8*0.15)+$C8</f>
        <v>1725</v>
      </c>
      <c r="S8" s="1112">
        <f>($C8*0.16)+$C8</f>
        <v>1740</v>
      </c>
      <c r="T8" s="1112">
        <f>($C8*0.17)+$C8</f>
        <v>1755</v>
      </c>
      <c r="U8" s="1112">
        <f>($C8*0.18)+$C8</f>
        <v>1770</v>
      </c>
      <c r="V8" s="1112">
        <f>($C8*0.19)+$C8</f>
        <v>1785</v>
      </c>
      <c r="W8" s="1112">
        <f>($C8*0.2)+$C8</f>
        <v>1800</v>
      </c>
      <c r="X8" s="1112">
        <f>($C8*0.21)+$C8</f>
        <v>1815</v>
      </c>
      <c r="Y8" s="1112">
        <f>($C8*0.22)+$C8</f>
        <v>1830</v>
      </c>
      <c r="Z8" s="1112">
        <f>($C8*0.23)+$C8</f>
        <v>1845</v>
      </c>
      <c r="AA8" s="1112">
        <f>($C8*0.24)+$C8</f>
        <v>1860</v>
      </c>
      <c r="AB8" s="1112">
        <f>($C8*0.25)+$C8</f>
        <v>1875</v>
      </c>
      <c r="AC8" s="1112">
        <f>($C8*0.26)+$C8</f>
        <v>1890</v>
      </c>
      <c r="AD8" s="1112">
        <f>($C8*0.27)+$C8</f>
        <v>1905</v>
      </c>
      <c r="AE8" s="1112">
        <f>($C8*0.28)+$C8</f>
        <v>1920</v>
      </c>
      <c r="AF8" s="1112">
        <f>($C8*0.29)+$C8</f>
        <v>1935</v>
      </c>
      <c r="AG8" s="1112">
        <f>($C8*0.3)+$C8</f>
        <v>1950</v>
      </c>
    </row>
    <row r="9" spans="1:33" ht="45">
      <c r="A9" s="7" t="s">
        <v>8</v>
      </c>
      <c r="B9" s="7" t="s">
        <v>9</v>
      </c>
      <c r="C9" s="8">
        <v>900</v>
      </c>
      <c r="D9" s="1112">
        <f>($C9*0.01)+$C9</f>
        <v>909</v>
      </c>
      <c r="E9" s="1112">
        <f>($C9*0.02)+$C9</f>
        <v>918</v>
      </c>
      <c r="F9" s="1112">
        <f>($C9*0.03)+$C9</f>
        <v>927</v>
      </c>
      <c r="G9" s="1112">
        <f>($C9*0.04)+$C9</f>
        <v>936</v>
      </c>
      <c r="H9" s="1112">
        <f>($C9*0.05)+$C9</f>
        <v>945</v>
      </c>
      <c r="I9" s="1112">
        <f>($C9*0.06)+$C9</f>
        <v>954</v>
      </c>
      <c r="J9" s="1112">
        <f>($C9*0.07)+$C9</f>
        <v>963</v>
      </c>
      <c r="K9" s="1112">
        <f>($C9*0.08)+$C9</f>
        <v>972</v>
      </c>
      <c r="L9" s="1112">
        <f>($C9*0.09)+$C9</f>
        <v>981</v>
      </c>
      <c r="M9" s="1112">
        <f>($C9*0.1)+$C9</f>
        <v>990</v>
      </c>
      <c r="N9" s="1112">
        <f>($C9*0.11)+$C9</f>
        <v>999</v>
      </c>
      <c r="O9" s="1112">
        <f>($C9*0.12)+$C9</f>
        <v>1008</v>
      </c>
      <c r="P9" s="1112">
        <f>($C9*0.13)+$C9</f>
        <v>1017</v>
      </c>
      <c r="Q9" s="1112">
        <f>($C9*0.14)+$C9</f>
        <v>1026</v>
      </c>
      <c r="R9" s="1112">
        <f>($C9*0.15)+$C9</f>
        <v>1035</v>
      </c>
      <c r="S9" s="1112">
        <f>($C9*0.16)+$C9</f>
        <v>1044</v>
      </c>
      <c r="T9" s="1112">
        <f>($C9*0.17)+$C9</f>
        <v>1053</v>
      </c>
      <c r="U9" s="1112">
        <f>($C9*0.18)+$C9</f>
        <v>1062</v>
      </c>
      <c r="V9" s="1112">
        <f>($C9*0.19)+$C9</f>
        <v>1071</v>
      </c>
      <c r="W9" s="1112">
        <f>($C9*0.2)+$C9</f>
        <v>1080</v>
      </c>
      <c r="X9" s="1112">
        <f>($C9*0.21)+$C9</f>
        <v>1089</v>
      </c>
      <c r="Y9" s="1112">
        <f>($C9*0.22)+$C9</f>
        <v>1098</v>
      </c>
      <c r="Z9" s="1112">
        <f>($C9*0.23)+$C9</f>
        <v>1107</v>
      </c>
      <c r="AA9" s="1112">
        <f>($C9*0.24)+$C9</f>
        <v>1116</v>
      </c>
      <c r="AB9" s="1112">
        <f>($C9*0.25)+$C9</f>
        <v>1125</v>
      </c>
      <c r="AC9" s="1112">
        <f>($C9*0.26)+$C9</f>
        <v>1134</v>
      </c>
      <c r="AD9" s="1112">
        <f>($C9*0.27)+$C9</f>
        <v>1143</v>
      </c>
      <c r="AE9" s="1112">
        <f>($C9*0.28)+$C9</f>
        <v>1152</v>
      </c>
      <c r="AF9" s="1112">
        <f>($C9*0.29)+$C9</f>
        <v>1161</v>
      </c>
      <c r="AG9" s="1112">
        <f>($C9*0.3)+$C9</f>
        <v>1170</v>
      </c>
    </row>
    <row r="10" spans="1:33" ht="15">
      <c r="A10" s="7" t="s">
        <v>37604</v>
      </c>
      <c r="B10" s="7" t="s">
        <v>37605</v>
      </c>
      <c r="C10" s="8">
        <v>4100</v>
      </c>
      <c r="D10" s="1112">
        <f>($C10*0.01)+$C10</f>
        <v>4141</v>
      </c>
      <c r="E10" s="1112">
        <f>($C10*0.02)+$C10</f>
        <v>4182</v>
      </c>
      <c r="F10" s="1112">
        <f>($C10*0.03)+$C10</f>
        <v>4223</v>
      </c>
      <c r="G10" s="1112">
        <f>($C10*0.04)+$C10</f>
        <v>4264</v>
      </c>
      <c r="H10" s="1112">
        <f>($C10*0.05)+$C10</f>
        <v>4305</v>
      </c>
      <c r="I10" s="1112">
        <f>($C10*0.06)+$C10</f>
        <v>4346</v>
      </c>
      <c r="J10" s="1112">
        <f>($C10*0.07)+$C10</f>
        <v>4387</v>
      </c>
      <c r="K10" s="1112">
        <f>($C10*0.08)+$C10</f>
        <v>4428</v>
      </c>
      <c r="L10" s="1112">
        <f>($C10*0.09)+$C10</f>
        <v>4469</v>
      </c>
      <c r="M10" s="1112">
        <f>($C10*0.1)+$C10</f>
        <v>4510</v>
      </c>
      <c r="N10" s="1112">
        <f>($C10*0.11)+$C10</f>
        <v>4551</v>
      </c>
      <c r="O10" s="1112">
        <f>($C10*0.12)+$C10</f>
        <v>4592</v>
      </c>
      <c r="P10" s="1112">
        <f>($C10*0.13)+$C10</f>
        <v>4633</v>
      </c>
      <c r="Q10" s="1112">
        <f>($C10*0.14)+$C10</f>
        <v>4674</v>
      </c>
      <c r="R10" s="1112">
        <f>($C10*0.15)+$C10</f>
        <v>4715</v>
      </c>
      <c r="S10" s="1112">
        <f>($C10*0.16)+$C10</f>
        <v>4756</v>
      </c>
      <c r="T10" s="1112">
        <f>($C10*0.17)+$C10</f>
        <v>4797</v>
      </c>
      <c r="U10" s="1112">
        <f>($C10*0.18)+$C10</f>
        <v>4838</v>
      </c>
      <c r="V10" s="1112">
        <f>($C10*0.19)+$C10</f>
        <v>4879</v>
      </c>
      <c r="W10" s="1112">
        <f>($C10*0.2)+$C10</f>
        <v>4920</v>
      </c>
      <c r="X10" s="1112">
        <f>($C10*0.21)+$C10</f>
        <v>4961</v>
      </c>
      <c r="Y10" s="1112">
        <f>($C10*0.22)+$C10</f>
        <v>5002</v>
      </c>
      <c r="Z10" s="1112">
        <f>($C10*0.23)+$C10</f>
        <v>5043</v>
      </c>
      <c r="AA10" s="1112">
        <f>($C10*0.24)+$C10</f>
        <v>5084</v>
      </c>
      <c r="AB10" s="1112">
        <f>($C10*0.25)+$C10</f>
        <v>5125</v>
      </c>
      <c r="AC10" s="1112">
        <f>($C10*0.26)+$C10</f>
        <v>5166</v>
      </c>
      <c r="AD10" s="1112">
        <f>($C10*0.27)+$C10</f>
        <v>5207</v>
      </c>
      <c r="AE10" s="1112">
        <f>($C10*0.28)+$C10</f>
        <v>5248</v>
      </c>
      <c r="AF10" s="1112">
        <f>($C10*0.29)+$C10</f>
        <v>5289</v>
      </c>
      <c r="AG10" s="1112">
        <f>($C10*0.3)+$C10</f>
        <v>5330</v>
      </c>
    </row>
    <row r="11" spans="1:33" ht="15">
      <c r="A11" s="7" t="s">
        <v>37604</v>
      </c>
      <c r="B11" s="7" t="s">
        <v>37606</v>
      </c>
      <c r="C11" s="8">
        <v>4700</v>
      </c>
      <c r="D11" s="1112">
        <f>($C11*0.01)+$C11</f>
        <v>4747</v>
      </c>
      <c r="E11" s="1112">
        <f>($C11*0.02)+$C11</f>
        <v>4794</v>
      </c>
      <c r="F11" s="1112">
        <f>($C11*0.03)+$C11</f>
        <v>4841</v>
      </c>
      <c r="G11" s="1112">
        <f>($C11*0.04)+$C11</f>
        <v>4888</v>
      </c>
      <c r="H11" s="1112">
        <f>($C11*0.05)+$C11</f>
        <v>4935</v>
      </c>
      <c r="I11" s="1112">
        <f>($C11*0.06)+$C11</f>
        <v>4982</v>
      </c>
      <c r="J11" s="1112">
        <f>($C11*0.07)+$C11</f>
        <v>5029</v>
      </c>
      <c r="K11" s="1112">
        <f>($C11*0.08)+$C11</f>
        <v>5076</v>
      </c>
      <c r="L11" s="1112">
        <f>($C11*0.09)+$C11</f>
        <v>5123</v>
      </c>
      <c r="M11" s="1112">
        <f>($C11*0.1)+$C11</f>
        <v>5170</v>
      </c>
      <c r="N11" s="1112">
        <f>($C11*0.11)+$C11</f>
        <v>5217</v>
      </c>
      <c r="O11" s="1112">
        <f>($C11*0.12)+$C11</f>
        <v>5264</v>
      </c>
      <c r="P11" s="1112">
        <f>($C11*0.13)+$C11</f>
        <v>5311</v>
      </c>
      <c r="Q11" s="1112">
        <f>($C11*0.14)+$C11</f>
        <v>5358</v>
      </c>
      <c r="R11" s="1112">
        <f>($C11*0.15)+$C11</f>
        <v>5405</v>
      </c>
      <c r="S11" s="1112">
        <f>($C11*0.16)+$C11</f>
        <v>5452</v>
      </c>
      <c r="T11" s="1112">
        <f>($C11*0.17)+$C11</f>
        <v>5499</v>
      </c>
      <c r="U11" s="1112">
        <f>($C11*0.18)+$C11</f>
        <v>5546</v>
      </c>
      <c r="V11" s="1112">
        <f>($C11*0.19)+$C11</f>
        <v>5593</v>
      </c>
      <c r="W11" s="1112">
        <f>($C11*0.2)+$C11</f>
        <v>5640</v>
      </c>
      <c r="X11" s="1112">
        <f>($C11*0.21)+$C11</f>
        <v>5687</v>
      </c>
      <c r="Y11" s="1112">
        <f>($C11*0.22)+$C11</f>
        <v>5734</v>
      </c>
      <c r="Z11" s="1112">
        <f>($C11*0.23)+$C11</f>
        <v>5781</v>
      </c>
      <c r="AA11" s="1112">
        <f>($C11*0.24)+$C11</f>
        <v>5828</v>
      </c>
      <c r="AB11" s="1112">
        <f>($C11*0.25)+$C11</f>
        <v>5875</v>
      </c>
      <c r="AC11" s="1112">
        <f>($C11*0.26)+$C11</f>
        <v>5922</v>
      </c>
      <c r="AD11" s="1112">
        <f>($C11*0.27)+$C11</f>
        <v>5969</v>
      </c>
      <c r="AE11" s="1112">
        <f>($C11*0.28)+$C11</f>
        <v>6016</v>
      </c>
      <c r="AF11" s="1112">
        <f>($C11*0.29)+$C11</f>
        <v>6063</v>
      </c>
      <c r="AG11" s="1112">
        <f>($C11*0.3)+$C11</f>
        <v>6110</v>
      </c>
    </row>
    <row r="12" spans="1:33" ht="15">
      <c r="A12" s="7" t="s">
        <v>37607</v>
      </c>
      <c r="B12" s="7" t="s">
        <v>37619</v>
      </c>
      <c r="C12" s="8">
        <v>3400</v>
      </c>
      <c r="D12" s="1112">
        <f>($C12*0.01)+$C12</f>
        <v>3434</v>
      </c>
      <c r="E12" s="1112">
        <f>($C12*0.02)+$C12</f>
        <v>3468</v>
      </c>
      <c r="F12" s="1112">
        <f>($C12*0.03)+$C12</f>
        <v>3502</v>
      </c>
      <c r="G12" s="1112">
        <f>($C12*0.04)+$C12</f>
        <v>3536</v>
      </c>
      <c r="H12" s="1112">
        <f>($C12*0.05)+$C12</f>
        <v>3570</v>
      </c>
      <c r="I12" s="1112">
        <f>($C12*0.06)+$C12</f>
        <v>3604</v>
      </c>
      <c r="J12" s="1112">
        <f>($C12*0.07)+$C12</f>
        <v>3638</v>
      </c>
      <c r="K12" s="1112">
        <f>($C12*0.08)+$C12</f>
        <v>3672</v>
      </c>
      <c r="L12" s="1112">
        <f>($C12*0.09)+$C12</f>
        <v>3706</v>
      </c>
      <c r="M12" s="1112">
        <f>($C12*0.1)+$C12</f>
        <v>3740</v>
      </c>
      <c r="N12" s="1112">
        <f>($C12*0.11)+$C12</f>
        <v>3774</v>
      </c>
      <c r="O12" s="1112">
        <f>($C12*0.12)+$C12</f>
        <v>3808</v>
      </c>
      <c r="P12" s="1112">
        <f>($C12*0.13)+$C12</f>
        <v>3842</v>
      </c>
      <c r="Q12" s="1112">
        <f>($C12*0.14)+$C12</f>
        <v>3876</v>
      </c>
      <c r="R12" s="1112">
        <f>($C12*0.15)+$C12</f>
        <v>3910</v>
      </c>
      <c r="S12" s="1112">
        <f>($C12*0.16)+$C12</f>
        <v>3944</v>
      </c>
      <c r="T12" s="1112">
        <f>($C12*0.17)+$C12</f>
        <v>3978</v>
      </c>
      <c r="U12" s="1112">
        <f>($C12*0.18)+$C12</f>
        <v>4012</v>
      </c>
      <c r="V12" s="1112">
        <f>($C12*0.19)+$C12</f>
        <v>4046</v>
      </c>
      <c r="W12" s="1112">
        <f>($C12*0.2)+$C12</f>
        <v>4080</v>
      </c>
      <c r="X12" s="1112">
        <f>($C12*0.21)+$C12</f>
        <v>4114</v>
      </c>
      <c r="Y12" s="1112">
        <f>($C12*0.22)+$C12</f>
        <v>4148</v>
      </c>
      <c r="Z12" s="1112">
        <f>($C12*0.23)+$C12</f>
        <v>4182</v>
      </c>
      <c r="AA12" s="1112">
        <f>($C12*0.24)+$C12</f>
        <v>4216</v>
      </c>
      <c r="AB12" s="1112">
        <f>($C12*0.25)+$C12</f>
        <v>4250</v>
      </c>
      <c r="AC12" s="1112">
        <f>($C12*0.26)+$C12</f>
        <v>4284</v>
      </c>
      <c r="AD12" s="1112">
        <f>($C12*0.27)+$C12</f>
        <v>4318</v>
      </c>
      <c r="AE12" s="1112">
        <f>($C12*0.28)+$C12</f>
        <v>4352</v>
      </c>
      <c r="AF12" s="1112">
        <f>($C12*0.29)+$C12</f>
        <v>4386</v>
      </c>
      <c r="AG12" s="1112">
        <f>($C12*0.3)+$C12</f>
        <v>4420</v>
      </c>
    </row>
    <row r="13" spans="1:33" ht="15">
      <c r="A13" s="7" t="s">
        <v>37607</v>
      </c>
      <c r="B13" s="7" t="s">
        <v>37620</v>
      </c>
      <c r="C13" s="8">
        <v>4200</v>
      </c>
      <c r="D13" s="1112">
        <f>($C13*0.01)+$C13</f>
        <v>4242</v>
      </c>
      <c r="E13" s="1112">
        <f>($C13*0.02)+$C13</f>
        <v>4284</v>
      </c>
      <c r="F13" s="1112">
        <f>($C13*0.03)+$C13</f>
        <v>4326</v>
      </c>
      <c r="G13" s="1112">
        <f>($C13*0.04)+$C13</f>
        <v>4368</v>
      </c>
      <c r="H13" s="1112">
        <f>($C13*0.05)+$C13</f>
        <v>4410</v>
      </c>
      <c r="I13" s="1112">
        <f>($C13*0.06)+$C13</f>
        <v>4452</v>
      </c>
      <c r="J13" s="1112">
        <f>($C13*0.07)+$C13</f>
        <v>4494</v>
      </c>
      <c r="K13" s="1112">
        <f>($C13*0.08)+$C13</f>
        <v>4536</v>
      </c>
      <c r="L13" s="1112">
        <f>($C13*0.09)+$C13</f>
        <v>4578</v>
      </c>
      <c r="M13" s="1112">
        <f>($C13*0.1)+$C13</f>
        <v>4620</v>
      </c>
      <c r="N13" s="1112">
        <f>($C13*0.11)+$C13</f>
        <v>4662</v>
      </c>
      <c r="O13" s="1112">
        <f>($C13*0.12)+$C13</f>
        <v>4704</v>
      </c>
      <c r="P13" s="1112">
        <f>($C13*0.13)+$C13</f>
        <v>4746</v>
      </c>
      <c r="Q13" s="1112">
        <f>($C13*0.14)+$C13</f>
        <v>4788</v>
      </c>
      <c r="R13" s="1112">
        <f>($C13*0.15)+$C13</f>
        <v>4830</v>
      </c>
      <c r="S13" s="1112">
        <f>($C13*0.16)+$C13</f>
        <v>4872</v>
      </c>
      <c r="T13" s="1112">
        <f>($C13*0.17)+$C13</f>
        <v>4914</v>
      </c>
      <c r="U13" s="1112">
        <f>($C13*0.18)+$C13</f>
        <v>4956</v>
      </c>
      <c r="V13" s="1112">
        <f>($C13*0.19)+$C13</f>
        <v>4998</v>
      </c>
      <c r="W13" s="1112">
        <f>($C13*0.2)+$C13</f>
        <v>5040</v>
      </c>
      <c r="X13" s="1112">
        <f>($C13*0.21)+$C13</f>
        <v>5082</v>
      </c>
      <c r="Y13" s="1112">
        <f>($C13*0.22)+$C13</f>
        <v>5124</v>
      </c>
      <c r="Z13" s="1112">
        <f>($C13*0.23)+$C13</f>
        <v>5166</v>
      </c>
      <c r="AA13" s="1112">
        <f>($C13*0.24)+$C13</f>
        <v>5208</v>
      </c>
      <c r="AB13" s="1112">
        <f>($C13*0.25)+$C13</f>
        <v>5250</v>
      </c>
      <c r="AC13" s="1112">
        <f>($C13*0.26)+$C13</f>
        <v>5292</v>
      </c>
      <c r="AD13" s="1112">
        <f>($C13*0.27)+$C13</f>
        <v>5334</v>
      </c>
      <c r="AE13" s="1112">
        <f>($C13*0.28)+$C13</f>
        <v>5376</v>
      </c>
      <c r="AF13" s="1112">
        <f>($C13*0.29)+$C13</f>
        <v>5418</v>
      </c>
      <c r="AG13" s="1112">
        <f>($C13*0.3)+$C13</f>
        <v>5460</v>
      </c>
    </row>
    <row r="14" spans="1:33" ht="15">
      <c r="A14" s="7" t="s">
        <v>37608</v>
      </c>
      <c r="B14" s="7" t="s">
        <v>37621</v>
      </c>
      <c r="C14" s="8">
        <v>2800</v>
      </c>
      <c r="D14" s="1112">
        <f>($C14*0.01)+$C14</f>
        <v>2828</v>
      </c>
      <c r="E14" s="1112">
        <f>($C14*0.02)+$C14</f>
        <v>2856</v>
      </c>
      <c r="F14" s="1112">
        <f>($C14*0.03)+$C14</f>
        <v>2884</v>
      </c>
      <c r="G14" s="1112">
        <f>($C14*0.04)+$C14</f>
        <v>2912</v>
      </c>
      <c r="H14" s="1112">
        <f>($C14*0.05)+$C14</f>
        <v>2940</v>
      </c>
      <c r="I14" s="1112">
        <f>($C14*0.06)+$C14</f>
        <v>2968</v>
      </c>
      <c r="J14" s="1112">
        <f>($C14*0.07)+$C14</f>
        <v>2996</v>
      </c>
      <c r="K14" s="1112">
        <f>($C14*0.08)+$C14</f>
        <v>3024</v>
      </c>
      <c r="L14" s="1112">
        <f>($C14*0.09)+$C14</f>
        <v>3052</v>
      </c>
      <c r="M14" s="1112">
        <f>($C14*0.1)+$C14</f>
        <v>3080</v>
      </c>
      <c r="N14" s="1112">
        <f>($C14*0.11)+$C14</f>
        <v>3108</v>
      </c>
      <c r="O14" s="1112">
        <f>($C14*0.12)+$C14</f>
        <v>3136</v>
      </c>
      <c r="P14" s="1112">
        <f>($C14*0.13)+$C14</f>
        <v>3164</v>
      </c>
      <c r="Q14" s="1112">
        <f>($C14*0.14)+$C14</f>
        <v>3192</v>
      </c>
      <c r="R14" s="1112">
        <f>($C14*0.15)+$C14</f>
        <v>3220</v>
      </c>
      <c r="S14" s="1112">
        <f>($C14*0.16)+$C14</f>
        <v>3248</v>
      </c>
      <c r="T14" s="1112">
        <f>($C14*0.17)+$C14</f>
        <v>3276</v>
      </c>
      <c r="U14" s="1112">
        <f>($C14*0.18)+$C14</f>
        <v>3304</v>
      </c>
      <c r="V14" s="1112">
        <f>($C14*0.19)+$C14</f>
        <v>3332</v>
      </c>
      <c r="W14" s="1112">
        <f>($C14*0.2)+$C14</f>
        <v>3360</v>
      </c>
      <c r="X14" s="1112">
        <f>($C14*0.21)+$C14</f>
        <v>3388</v>
      </c>
      <c r="Y14" s="1112">
        <f>($C14*0.22)+$C14</f>
        <v>3416</v>
      </c>
      <c r="Z14" s="1112">
        <f>($C14*0.23)+$C14</f>
        <v>3444</v>
      </c>
      <c r="AA14" s="1112">
        <f>($C14*0.24)+$C14</f>
        <v>3472</v>
      </c>
      <c r="AB14" s="1112">
        <f>($C14*0.25)+$C14</f>
        <v>3500</v>
      </c>
      <c r="AC14" s="1112">
        <f>($C14*0.26)+$C14</f>
        <v>3528</v>
      </c>
      <c r="AD14" s="1112">
        <f>($C14*0.27)+$C14</f>
        <v>3556</v>
      </c>
      <c r="AE14" s="1112">
        <f>($C14*0.28)+$C14</f>
        <v>3584</v>
      </c>
      <c r="AF14" s="1112">
        <f>($C14*0.29)+$C14</f>
        <v>3612</v>
      </c>
      <c r="AG14" s="1112">
        <f>($C14*0.3)+$C14</f>
        <v>3640</v>
      </c>
    </row>
    <row r="15" spans="1:33" ht="15">
      <c r="A15" s="7" t="s">
        <v>37609</v>
      </c>
      <c r="B15" s="7" t="s">
        <v>37610</v>
      </c>
      <c r="C15" s="8">
        <v>2000</v>
      </c>
      <c r="D15" s="1112">
        <f>($C15*0.01)+$C15</f>
        <v>2020</v>
      </c>
      <c r="E15" s="1112">
        <f>($C15*0.02)+$C15</f>
        <v>2040</v>
      </c>
      <c r="F15" s="1112">
        <f>($C15*0.03)+$C15</f>
        <v>2060</v>
      </c>
      <c r="G15" s="1112">
        <f>($C15*0.04)+$C15</f>
        <v>2080</v>
      </c>
      <c r="H15" s="1112">
        <f>($C15*0.05)+$C15</f>
        <v>2100</v>
      </c>
      <c r="I15" s="1112">
        <f>($C15*0.06)+$C15</f>
        <v>2120</v>
      </c>
      <c r="J15" s="1112">
        <f>($C15*0.07)+$C15</f>
        <v>2140</v>
      </c>
      <c r="K15" s="1112">
        <f>($C15*0.08)+$C15</f>
        <v>2160</v>
      </c>
      <c r="L15" s="1112">
        <f>($C15*0.09)+$C15</f>
        <v>2180</v>
      </c>
      <c r="M15" s="1112">
        <f>($C15*0.1)+$C15</f>
        <v>2200</v>
      </c>
      <c r="N15" s="1112">
        <f>($C15*0.11)+$C15</f>
        <v>2220</v>
      </c>
      <c r="O15" s="1112">
        <f>($C15*0.12)+$C15</f>
        <v>2240</v>
      </c>
      <c r="P15" s="1112">
        <f>($C15*0.13)+$C15</f>
        <v>2260</v>
      </c>
      <c r="Q15" s="1112">
        <f>($C15*0.14)+$C15</f>
        <v>2280</v>
      </c>
      <c r="R15" s="1112">
        <f>($C15*0.15)+$C15</f>
        <v>2300</v>
      </c>
      <c r="S15" s="1112">
        <f>($C15*0.16)+$C15</f>
        <v>2320</v>
      </c>
      <c r="T15" s="1112">
        <f>($C15*0.17)+$C15</f>
        <v>2340</v>
      </c>
      <c r="U15" s="1112">
        <f>($C15*0.18)+$C15</f>
        <v>2360</v>
      </c>
      <c r="V15" s="1112">
        <f>($C15*0.19)+$C15</f>
        <v>2380</v>
      </c>
      <c r="W15" s="1112">
        <f>($C15*0.2)+$C15</f>
        <v>2400</v>
      </c>
      <c r="X15" s="1112">
        <f>($C15*0.21)+$C15</f>
        <v>2420</v>
      </c>
      <c r="Y15" s="1112">
        <f>($C15*0.22)+$C15</f>
        <v>2440</v>
      </c>
      <c r="Z15" s="1112">
        <f>($C15*0.23)+$C15</f>
        <v>2460</v>
      </c>
      <c r="AA15" s="1112">
        <f>($C15*0.24)+$C15</f>
        <v>2480</v>
      </c>
      <c r="AB15" s="1112">
        <f>($C15*0.25)+$C15</f>
        <v>2500</v>
      </c>
      <c r="AC15" s="1112">
        <f>($C15*0.26)+$C15</f>
        <v>2520</v>
      </c>
      <c r="AD15" s="1112">
        <f>($C15*0.27)+$C15</f>
        <v>2540</v>
      </c>
      <c r="AE15" s="1112">
        <f>($C15*0.28)+$C15</f>
        <v>2560</v>
      </c>
      <c r="AF15" s="1112">
        <f>($C15*0.29)+$C15</f>
        <v>2580</v>
      </c>
      <c r="AG15" s="1112">
        <f>($C15*0.3)+$C15</f>
        <v>2600</v>
      </c>
    </row>
    <row r="16" spans="1:33" ht="15">
      <c r="A16" s="7" t="s">
        <v>37611</v>
      </c>
      <c r="B16" s="7" t="s">
        <v>37612</v>
      </c>
      <c r="C16" s="8">
        <v>1100</v>
      </c>
      <c r="D16" s="1112">
        <f>($C16*0.01)+$C16</f>
        <v>1111</v>
      </c>
      <c r="E16" s="1112">
        <f>($C16*0.02)+$C16</f>
        <v>1122</v>
      </c>
      <c r="F16" s="1112">
        <f>($C16*0.03)+$C16</f>
        <v>1133</v>
      </c>
      <c r="G16" s="1112">
        <f>($C16*0.04)+$C16</f>
        <v>1144</v>
      </c>
      <c r="H16" s="1112">
        <f>($C16*0.05)+$C16</f>
        <v>1155</v>
      </c>
      <c r="I16" s="1112">
        <f>($C16*0.06)+$C16</f>
        <v>1166</v>
      </c>
      <c r="J16" s="1112">
        <f>($C16*0.07)+$C16</f>
        <v>1177</v>
      </c>
      <c r="K16" s="1112">
        <f>($C16*0.08)+$C16</f>
        <v>1188</v>
      </c>
      <c r="L16" s="1112">
        <f>($C16*0.09)+$C16</f>
        <v>1199</v>
      </c>
      <c r="M16" s="1112">
        <f>($C16*0.1)+$C16</f>
        <v>1210</v>
      </c>
      <c r="N16" s="1112">
        <f>($C16*0.11)+$C16</f>
        <v>1221</v>
      </c>
      <c r="O16" s="1112">
        <f>($C16*0.12)+$C16</f>
        <v>1232</v>
      </c>
      <c r="P16" s="1112">
        <f>($C16*0.13)+$C16</f>
        <v>1243</v>
      </c>
      <c r="Q16" s="1112">
        <f>($C16*0.14)+$C16</f>
        <v>1254</v>
      </c>
      <c r="R16" s="1112">
        <f>($C16*0.15)+$C16</f>
        <v>1265</v>
      </c>
      <c r="S16" s="1112">
        <f>($C16*0.16)+$C16</f>
        <v>1276</v>
      </c>
      <c r="T16" s="1112">
        <f>($C16*0.17)+$C16</f>
        <v>1287</v>
      </c>
      <c r="U16" s="1112">
        <f>($C16*0.18)+$C16</f>
        <v>1298</v>
      </c>
      <c r="V16" s="1112">
        <f>($C16*0.19)+$C16</f>
        <v>1309</v>
      </c>
      <c r="W16" s="1112">
        <f>($C16*0.2)+$C16</f>
        <v>1320</v>
      </c>
      <c r="X16" s="1112">
        <f>($C16*0.21)+$C16</f>
        <v>1331</v>
      </c>
      <c r="Y16" s="1112">
        <f>($C16*0.22)+$C16</f>
        <v>1342</v>
      </c>
      <c r="Z16" s="1112">
        <f>($C16*0.23)+$C16</f>
        <v>1353</v>
      </c>
      <c r="AA16" s="1112">
        <f>($C16*0.24)+$C16</f>
        <v>1364</v>
      </c>
      <c r="AB16" s="1112">
        <f>($C16*0.25)+$C16</f>
        <v>1375</v>
      </c>
      <c r="AC16" s="1112">
        <f>($C16*0.26)+$C16</f>
        <v>1386</v>
      </c>
      <c r="AD16" s="1112">
        <f>($C16*0.27)+$C16</f>
        <v>1397</v>
      </c>
      <c r="AE16" s="1112">
        <f>($C16*0.28)+$C16</f>
        <v>1408</v>
      </c>
      <c r="AF16" s="1112">
        <f>($C16*0.29)+$C16</f>
        <v>1419</v>
      </c>
      <c r="AG16" s="1112">
        <f>($C16*0.3)+$C16</f>
        <v>1430</v>
      </c>
    </row>
    <row r="17" spans="1:33" ht="15">
      <c r="A17" s="7" t="s">
        <v>37611</v>
      </c>
      <c r="B17" s="7" t="s">
        <v>37613</v>
      </c>
      <c r="C17" s="8">
        <v>1200</v>
      </c>
      <c r="D17" s="1112">
        <f>($C17*0.01)+$C17</f>
        <v>1212</v>
      </c>
      <c r="E17" s="1112">
        <f>($C17*0.02)+$C17</f>
        <v>1224</v>
      </c>
      <c r="F17" s="1112">
        <f>($C17*0.03)+$C17</f>
        <v>1236</v>
      </c>
      <c r="G17" s="1112">
        <f>($C17*0.04)+$C17</f>
        <v>1248</v>
      </c>
      <c r="H17" s="1112">
        <f>($C17*0.05)+$C17</f>
        <v>1260</v>
      </c>
      <c r="I17" s="1112">
        <f>($C17*0.06)+$C17</f>
        <v>1272</v>
      </c>
      <c r="J17" s="1112">
        <f>($C17*0.07)+$C17</f>
        <v>1284</v>
      </c>
      <c r="K17" s="1112">
        <f>($C17*0.08)+$C17</f>
        <v>1296</v>
      </c>
      <c r="L17" s="1112">
        <f>($C17*0.09)+$C17</f>
        <v>1308</v>
      </c>
      <c r="M17" s="1112">
        <f>($C17*0.1)+$C17</f>
        <v>1320</v>
      </c>
      <c r="N17" s="1112">
        <f>($C17*0.11)+$C17</f>
        <v>1332</v>
      </c>
      <c r="O17" s="1112">
        <f>($C17*0.12)+$C17</f>
        <v>1344</v>
      </c>
      <c r="P17" s="1112">
        <f>($C17*0.13)+$C17</f>
        <v>1356</v>
      </c>
      <c r="Q17" s="1112">
        <f>($C17*0.14)+$C17</f>
        <v>1368</v>
      </c>
      <c r="R17" s="1112">
        <f>($C17*0.15)+$C17</f>
        <v>1380</v>
      </c>
      <c r="S17" s="1112">
        <f>($C17*0.16)+$C17</f>
        <v>1392</v>
      </c>
      <c r="T17" s="1112">
        <f>($C17*0.17)+$C17</f>
        <v>1404</v>
      </c>
      <c r="U17" s="1112">
        <f>($C17*0.18)+$C17</f>
        <v>1416</v>
      </c>
      <c r="V17" s="1112">
        <f>($C17*0.19)+$C17</f>
        <v>1428</v>
      </c>
      <c r="W17" s="1112">
        <f>($C17*0.2)+$C17</f>
        <v>1440</v>
      </c>
      <c r="X17" s="1112">
        <f>($C17*0.21)+$C17</f>
        <v>1452</v>
      </c>
      <c r="Y17" s="1112">
        <f>($C17*0.22)+$C17</f>
        <v>1464</v>
      </c>
      <c r="Z17" s="1112">
        <f>($C17*0.23)+$C17</f>
        <v>1476</v>
      </c>
      <c r="AA17" s="1112">
        <f>($C17*0.24)+$C17</f>
        <v>1488</v>
      </c>
      <c r="AB17" s="1112">
        <f>($C17*0.25)+$C17</f>
        <v>1500</v>
      </c>
      <c r="AC17" s="1112">
        <f>($C17*0.26)+$C17</f>
        <v>1512</v>
      </c>
      <c r="AD17" s="1112">
        <f>($C17*0.27)+$C17</f>
        <v>1524</v>
      </c>
      <c r="AE17" s="1112">
        <f>($C17*0.28)+$C17</f>
        <v>1536</v>
      </c>
      <c r="AF17" s="1112">
        <f>($C17*0.29)+$C17</f>
        <v>1548</v>
      </c>
      <c r="AG17" s="1112">
        <f>($C17*0.3)+$C17</f>
        <v>1560</v>
      </c>
    </row>
    <row r="18" spans="1:33" ht="15">
      <c r="A18" s="7" t="s">
        <v>210</v>
      </c>
      <c r="B18" s="7" t="s">
        <v>2660</v>
      </c>
      <c r="C18" s="8">
        <v>600</v>
      </c>
      <c r="D18" s="1112">
        <f>($C18*0.01)+$C18</f>
        <v>606</v>
      </c>
      <c r="E18" s="1112">
        <f>($C18*0.02)+$C18</f>
        <v>612</v>
      </c>
      <c r="F18" s="1112">
        <f>($C18*0.03)+$C18</f>
        <v>618</v>
      </c>
      <c r="G18" s="1112">
        <f>($C18*0.04)+$C18</f>
        <v>624</v>
      </c>
      <c r="H18" s="1112">
        <f>($C18*0.05)+$C18</f>
        <v>630</v>
      </c>
      <c r="I18" s="1112">
        <f>($C18*0.06)+$C18</f>
        <v>636</v>
      </c>
      <c r="J18" s="1112">
        <f>($C18*0.07)+$C18</f>
        <v>642</v>
      </c>
      <c r="K18" s="1112">
        <f>($C18*0.08)+$C18</f>
        <v>648</v>
      </c>
      <c r="L18" s="1112">
        <f>($C18*0.09)+$C18</f>
        <v>654</v>
      </c>
      <c r="M18" s="1112">
        <f>($C18*0.1)+$C18</f>
        <v>660</v>
      </c>
      <c r="N18" s="1112">
        <f>($C18*0.11)+$C18</f>
        <v>666</v>
      </c>
      <c r="O18" s="1112">
        <f>($C18*0.12)+$C18</f>
        <v>672</v>
      </c>
      <c r="P18" s="1112">
        <f>($C18*0.13)+$C18</f>
        <v>678</v>
      </c>
      <c r="Q18" s="1112">
        <f>($C18*0.14)+$C18</f>
        <v>684</v>
      </c>
      <c r="R18" s="1112">
        <f>($C18*0.15)+$C18</f>
        <v>690</v>
      </c>
      <c r="S18" s="1112">
        <f>($C18*0.16)+$C18</f>
        <v>696</v>
      </c>
      <c r="T18" s="1112">
        <f>($C18*0.17)+$C18</f>
        <v>702</v>
      </c>
      <c r="U18" s="1112">
        <f>($C18*0.18)+$C18</f>
        <v>708</v>
      </c>
      <c r="V18" s="1112">
        <f>($C18*0.19)+$C18</f>
        <v>714</v>
      </c>
      <c r="W18" s="1112">
        <f>($C18*0.2)+$C18</f>
        <v>720</v>
      </c>
      <c r="X18" s="1112">
        <f>($C18*0.21)+$C18</f>
        <v>726</v>
      </c>
      <c r="Y18" s="1112">
        <f>($C18*0.22)+$C18</f>
        <v>732</v>
      </c>
      <c r="Z18" s="1112">
        <f>($C18*0.23)+$C18</f>
        <v>738</v>
      </c>
      <c r="AA18" s="1112">
        <f>($C18*0.24)+$C18</f>
        <v>744</v>
      </c>
      <c r="AB18" s="1112">
        <f>($C18*0.25)+$C18</f>
        <v>750</v>
      </c>
      <c r="AC18" s="1112">
        <f>($C18*0.26)+$C18</f>
        <v>756</v>
      </c>
      <c r="AD18" s="1112">
        <f>($C18*0.27)+$C18</f>
        <v>762</v>
      </c>
      <c r="AE18" s="1112">
        <f>($C18*0.28)+$C18</f>
        <v>768</v>
      </c>
      <c r="AF18" s="1112">
        <f>($C18*0.29)+$C18</f>
        <v>774</v>
      </c>
      <c r="AG18" s="1112">
        <f>($C18*0.3)+$C18</f>
        <v>780</v>
      </c>
    </row>
    <row r="19" spans="1:33" ht="15">
      <c r="A19" s="7" t="s">
        <v>211</v>
      </c>
      <c r="B19" s="7" t="s">
        <v>37614</v>
      </c>
      <c r="C19" s="8">
        <v>500</v>
      </c>
      <c r="D19" s="1112">
        <f>($C19*0.01)+$C19</f>
        <v>505</v>
      </c>
      <c r="E19" s="1112">
        <f>($C19*0.02)+$C19</f>
        <v>510</v>
      </c>
      <c r="F19" s="1112">
        <f>($C19*0.03)+$C19</f>
        <v>515</v>
      </c>
      <c r="G19" s="1112">
        <f>($C19*0.04)+$C19</f>
        <v>520</v>
      </c>
      <c r="H19" s="1112">
        <f>($C19*0.05)+$C19</f>
        <v>525</v>
      </c>
      <c r="I19" s="1112">
        <f>($C19*0.06)+$C19</f>
        <v>530</v>
      </c>
      <c r="J19" s="1112">
        <f>($C19*0.07)+$C19</f>
        <v>535</v>
      </c>
      <c r="K19" s="1112">
        <f>($C19*0.08)+$C19</f>
        <v>540</v>
      </c>
      <c r="L19" s="1112">
        <f>($C19*0.09)+$C19</f>
        <v>545</v>
      </c>
      <c r="M19" s="1112">
        <f>($C19*0.1)+$C19</f>
        <v>550</v>
      </c>
      <c r="N19" s="1112">
        <f>($C19*0.11)+$C19</f>
        <v>555</v>
      </c>
      <c r="O19" s="1112">
        <f>($C19*0.12)+$C19</f>
        <v>560</v>
      </c>
      <c r="P19" s="1112">
        <f>($C19*0.13)+$C19</f>
        <v>565</v>
      </c>
      <c r="Q19" s="1112">
        <f>($C19*0.14)+$C19</f>
        <v>570</v>
      </c>
      <c r="R19" s="1112">
        <f>($C19*0.15)+$C19</f>
        <v>575</v>
      </c>
      <c r="S19" s="1112">
        <f>($C19*0.16)+$C19</f>
        <v>580</v>
      </c>
      <c r="T19" s="1112">
        <f>($C19*0.17)+$C19</f>
        <v>585</v>
      </c>
      <c r="U19" s="1112">
        <f>($C19*0.18)+$C19</f>
        <v>590</v>
      </c>
      <c r="V19" s="1112">
        <f>($C19*0.19)+$C19</f>
        <v>595</v>
      </c>
      <c r="W19" s="1112">
        <f>($C19*0.2)+$C19</f>
        <v>600</v>
      </c>
      <c r="X19" s="1112">
        <f>($C19*0.21)+$C19</f>
        <v>605</v>
      </c>
      <c r="Y19" s="1112">
        <f>($C19*0.22)+$C19</f>
        <v>610</v>
      </c>
      <c r="Z19" s="1112">
        <f>($C19*0.23)+$C19</f>
        <v>615</v>
      </c>
      <c r="AA19" s="1112">
        <f>($C19*0.24)+$C19</f>
        <v>620</v>
      </c>
      <c r="AB19" s="1112">
        <f>($C19*0.25)+$C19</f>
        <v>625</v>
      </c>
      <c r="AC19" s="1112">
        <f>($C19*0.26)+$C19</f>
        <v>630</v>
      </c>
      <c r="AD19" s="1112">
        <f>($C19*0.27)+$C19</f>
        <v>635</v>
      </c>
      <c r="AE19" s="1112">
        <f>($C19*0.28)+$C19</f>
        <v>640</v>
      </c>
      <c r="AF19" s="1112">
        <f>($C19*0.29)+$C19</f>
        <v>645</v>
      </c>
      <c r="AG19" s="1112">
        <f>($C19*0.3)+$C19</f>
        <v>650</v>
      </c>
    </row>
    <row r="20" spans="1:33" ht="15">
      <c r="A20" s="7" t="s">
        <v>37615</v>
      </c>
      <c r="B20" s="7" t="s">
        <v>37616</v>
      </c>
      <c r="C20" s="8">
        <v>650</v>
      </c>
      <c r="D20" s="1112">
        <f>($C20*0.01)+$C20</f>
        <v>656.5</v>
      </c>
      <c r="E20" s="1112">
        <f>($C20*0.02)+$C20</f>
        <v>663</v>
      </c>
      <c r="F20" s="1112">
        <f>($C20*0.03)+$C20</f>
        <v>669.5</v>
      </c>
      <c r="G20" s="1112">
        <f>($C20*0.04)+$C20</f>
        <v>676</v>
      </c>
      <c r="H20" s="1112">
        <f>($C20*0.05)+$C20</f>
        <v>682.5</v>
      </c>
      <c r="I20" s="1112">
        <f>($C20*0.06)+$C20</f>
        <v>689</v>
      </c>
      <c r="J20" s="1112">
        <f>($C20*0.07)+$C20</f>
        <v>695.5</v>
      </c>
      <c r="K20" s="1112">
        <f>($C20*0.08)+$C20</f>
        <v>702</v>
      </c>
      <c r="L20" s="1112">
        <f>($C20*0.09)+$C20</f>
        <v>708.5</v>
      </c>
      <c r="M20" s="1112">
        <f>($C20*0.1)+$C20</f>
        <v>715</v>
      </c>
      <c r="N20" s="1112">
        <f>($C20*0.11)+$C20</f>
        <v>721.5</v>
      </c>
      <c r="O20" s="1112">
        <f>($C20*0.12)+$C20</f>
        <v>728</v>
      </c>
      <c r="P20" s="1112">
        <f>($C20*0.13)+$C20</f>
        <v>734.5</v>
      </c>
      <c r="Q20" s="1112">
        <f>($C20*0.14)+$C20</f>
        <v>741</v>
      </c>
      <c r="R20" s="1112">
        <f>($C20*0.15)+$C20</f>
        <v>747.5</v>
      </c>
      <c r="S20" s="1112">
        <f>($C20*0.16)+$C20</f>
        <v>754</v>
      </c>
      <c r="T20" s="1112">
        <f>($C20*0.17)+$C20</f>
        <v>760.5</v>
      </c>
      <c r="U20" s="1112">
        <f>($C20*0.18)+$C20</f>
        <v>767</v>
      </c>
      <c r="V20" s="1112">
        <f>($C20*0.19)+$C20</f>
        <v>773.5</v>
      </c>
      <c r="W20" s="1112">
        <f>($C20*0.2)+$C20</f>
        <v>780</v>
      </c>
      <c r="X20" s="1112">
        <f>($C20*0.21)+$C20</f>
        <v>786.5</v>
      </c>
      <c r="Y20" s="1112">
        <f>($C20*0.22)+$C20</f>
        <v>793</v>
      </c>
      <c r="Z20" s="1112">
        <f>($C20*0.23)+$C20</f>
        <v>799.5</v>
      </c>
      <c r="AA20" s="1112">
        <f>($C20*0.24)+$C20</f>
        <v>806</v>
      </c>
      <c r="AB20" s="1112">
        <f>($C20*0.25)+$C20</f>
        <v>812.5</v>
      </c>
      <c r="AC20" s="1112">
        <f>($C20*0.26)+$C20</f>
        <v>819</v>
      </c>
      <c r="AD20" s="1112">
        <f>($C20*0.27)+$C20</f>
        <v>825.5</v>
      </c>
      <c r="AE20" s="1112">
        <f>($C20*0.28)+$C20</f>
        <v>832</v>
      </c>
      <c r="AF20" s="1112">
        <f>($C20*0.29)+$C20</f>
        <v>838.5</v>
      </c>
      <c r="AG20" s="1112">
        <f>($C20*0.3)+$C20</f>
        <v>845</v>
      </c>
    </row>
    <row r="21" spans="1:33" ht="15">
      <c r="A21" s="7" t="s">
        <v>37617</v>
      </c>
      <c r="B21" s="7" t="s">
        <v>37618</v>
      </c>
      <c r="C21" s="8">
        <v>900</v>
      </c>
      <c r="D21" s="1112">
        <f>($C21*0.01)+$C21</f>
        <v>909</v>
      </c>
      <c r="E21" s="1112">
        <f>($C21*0.02)+$C21</f>
        <v>918</v>
      </c>
      <c r="F21" s="1112">
        <f>($C21*0.03)+$C21</f>
        <v>927</v>
      </c>
      <c r="G21" s="1112">
        <f>($C21*0.04)+$C21</f>
        <v>936</v>
      </c>
      <c r="H21" s="1112">
        <f>($C21*0.05)+$C21</f>
        <v>945</v>
      </c>
      <c r="I21" s="1112">
        <f>($C21*0.06)+$C21</f>
        <v>954</v>
      </c>
      <c r="J21" s="1112">
        <f>($C21*0.07)+$C21</f>
        <v>963</v>
      </c>
      <c r="K21" s="1112">
        <f>($C21*0.08)+$C21</f>
        <v>972</v>
      </c>
      <c r="L21" s="1112">
        <f>($C21*0.09)+$C21</f>
        <v>981</v>
      </c>
      <c r="M21" s="1112">
        <f>($C21*0.1)+$C21</f>
        <v>990</v>
      </c>
      <c r="N21" s="1112">
        <f>($C21*0.11)+$C21</f>
        <v>999</v>
      </c>
      <c r="O21" s="1112">
        <f>($C21*0.12)+$C21</f>
        <v>1008</v>
      </c>
      <c r="P21" s="1112">
        <f>($C21*0.13)+$C21</f>
        <v>1017</v>
      </c>
      <c r="Q21" s="1112">
        <f>($C21*0.14)+$C21</f>
        <v>1026</v>
      </c>
      <c r="R21" s="1112">
        <f>($C21*0.15)+$C21</f>
        <v>1035</v>
      </c>
      <c r="S21" s="1112">
        <f>($C21*0.16)+$C21</f>
        <v>1044</v>
      </c>
      <c r="T21" s="1112">
        <f>($C21*0.17)+$C21</f>
        <v>1053</v>
      </c>
      <c r="U21" s="1112">
        <f>($C21*0.18)+$C21</f>
        <v>1062</v>
      </c>
      <c r="V21" s="1112">
        <f>($C21*0.19)+$C21</f>
        <v>1071</v>
      </c>
      <c r="W21" s="1112">
        <f>($C21*0.2)+$C21</f>
        <v>1080</v>
      </c>
      <c r="X21" s="1112">
        <f>($C21*0.21)+$C21</f>
        <v>1089</v>
      </c>
      <c r="Y21" s="1112">
        <f>($C21*0.22)+$C21</f>
        <v>1098</v>
      </c>
      <c r="Z21" s="1112">
        <f>($C21*0.23)+$C21</f>
        <v>1107</v>
      </c>
      <c r="AA21" s="1112">
        <f>($C21*0.24)+$C21</f>
        <v>1116</v>
      </c>
      <c r="AB21" s="1112">
        <f>($C21*0.25)+$C21</f>
        <v>1125</v>
      </c>
      <c r="AC21" s="1112">
        <f>($C21*0.26)+$C21</f>
        <v>1134</v>
      </c>
      <c r="AD21" s="1112">
        <f>($C21*0.27)+$C21</f>
        <v>1143</v>
      </c>
      <c r="AE21" s="1112">
        <f>($C21*0.28)+$C21</f>
        <v>1152</v>
      </c>
      <c r="AF21" s="1112">
        <f>($C21*0.29)+$C21</f>
        <v>1161</v>
      </c>
      <c r="AG21" s="1112">
        <f>($C21*0.3)+$C21</f>
        <v>1170</v>
      </c>
    </row>
    <row r="22" spans="1:33" ht="45">
      <c r="A22" s="4" t="s">
        <v>27049</v>
      </c>
      <c r="B22" s="4" t="s">
        <v>37623</v>
      </c>
      <c r="C22" s="5">
        <v>6000</v>
      </c>
      <c r="D22" s="1112">
        <f>($C22*0.01)+$C22</f>
        <v>6060</v>
      </c>
      <c r="E22" s="1112">
        <f>($C22*0.02)+$C22</f>
        <v>6120</v>
      </c>
      <c r="F22" s="1112">
        <f>($C22*0.03)+$C22</f>
        <v>6180</v>
      </c>
      <c r="G22" s="1112">
        <f>($C22*0.04)+$C22</f>
        <v>6240</v>
      </c>
      <c r="H22" s="1112">
        <f>($C22*0.05)+$C22</f>
        <v>6300</v>
      </c>
      <c r="I22" s="1112">
        <f>($C22*0.06)+$C22</f>
        <v>6360</v>
      </c>
      <c r="J22" s="1112">
        <f>($C22*0.07)+$C22</f>
        <v>6420</v>
      </c>
      <c r="K22" s="1112">
        <f>($C22*0.08)+$C22</f>
        <v>6480</v>
      </c>
      <c r="L22" s="1112">
        <f>($C22*0.09)+$C22</f>
        <v>6540</v>
      </c>
      <c r="M22" s="1112">
        <f>($C22*0.1)+$C22</f>
        <v>6600</v>
      </c>
      <c r="N22" s="1112">
        <f>($C22*0.11)+$C22</f>
        <v>6660</v>
      </c>
      <c r="O22" s="1112">
        <f>($C22*0.12)+$C22</f>
        <v>6720</v>
      </c>
      <c r="P22" s="1112">
        <f>($C22*0.13)+$C22</f>
        <v>6780</v>
      </c>
      <c r="Q22" s="1112">
        <f>($C22*0.14)+$C22</f>
        <v>6840</v>
      </c>
      <c r="R22" s="1112">
        <f>($C22*0.15)+$C22</f>
        <v>6900</v>
      </c>
      <c r="S22" s="1112">
        <f>($C22*0.16)+$C22</f>
        <v>6960</v>
      </c>
      <c r="T22" s="1112">
        <f>($C22*0.17)+$C22</f>
        <v>7020</v>
      </c>
      <c r="U22" s="1112">
        <f>($C22*0.18)+$C22</f>
        <v>7080</v>
      </c>
      <c r="V22" s="1112">
        <f>($C22*0.19)+$C22</f>
        <v>7140</v>
      </c>
      <c r="W22" s="1112">
        <f>($C22*0.2)+$C22</f>
        <v>7200</v>
      </c>
      <c r="X22" s="1112">
        <f>($C22*0.21)+$C22</f>
        <v>7260</v>
      </c>
      <c r="Y22" s="1112">
        <f>($C22*0.22)+$C22</f>
        <v>7320</v>
      </c>
      <c r="Z22" s="1112">
        <f>($C22*0.23)+$C22</f>
        <v>7380</v>
      </c>
      <c r="AA22" s="1112">
        <f>($C22*0.24)+$C22</f>
        <v>7440</v>
      </c>
      <c r="AB22" s="1112">
        <f>($C22*0.25)+$C22</f>
        <v>7500</v>
      </c>
      <c r="AC22" s="1112">
        <f>($C22*0.26)+$C22</f>
        <v>7560</v>
      </c>
      <c r="AD22" s="1112">
        <f>($C22*0.27)+$C22</f>
        <v>7620</v>
      </c>
      <c r="AE22" s="1112">
        <f>($C22*0.28)+$C22</f>
        <v>7680</v>
      </c>
      <c r="AF22" s="1112">
        <f>($C22*0.29)+$C22</f>
        <v>7740</v>
      </c>
      <c r="AG22" s="1112">
        <f>($C22*0.3)+$C22</f>
        <v>7800</v>
      </c>
    </row>
    <row r="23" spans="1:33" ht="60">
      <c r="A23" s="4" t="s">
        <v>30363</v>
      </c>
      <c r="B23" s="4" t="s">
        <v>37622</v>
      </c>
      <c r="C23" s="5">
        <v>3000</v>
      </c>
      <c r="D23" s="1112">
        <f>($C23*0.01)+$C23</f>
        <v>3030</v>
      </c>
      <c r="E23" s="1112">
        <f>($C23*0.02)+$C23</f>
        <v>3060</v>
      </c>
      <c r="F23" s="1112">
        <f>($C23*0.03)+$C23</f>
        <v>3090</v>
      </c>
      <c r="G23" s="1112">
        <f>($C23*0.04)+$C23</f>
        <v>3120</v>
      </c>
      <c r="H23" s="1112">
        <f>($C23*0.05)+$C23</f>
        <v>3150</v>
      </c>
      <c r="I23" s="1112">
        <f>($C23*0.06)+$C23</f>
        <v>3180</v>
      </c>
      <c r="J23" s="1112">
        <f>($C23*0.07)+$C23</f>
        <v>3210</v>
      </c>
      <c r="K23" s="1112">
        <f>($C23*0.08)+$C23</f>
        <v>3240</v>
      </c>
      <c r="L23" s="1112">
        <f>($C23*0.09)+$C23</f>
        <v>3270</v>
      </c>
      <c r="M23" s="1112">
        <f>($C23*0.1)+$C23</f>
        <v>3300</v>
      </c>
      <c r="N23" s="1112">
        <f>($C23*0.11)+$C23</f>
        <v>3330</v>
      </c>
      <c r="O23" s="1112">
        <f>($C23*0.12)+$C23</f>
        <v>3360</v>
      </c>
      <c r="P23" s="1112">
        <f>($C23*0.13)+$C23</f>
        <v>3390</v>
      </c>
      <c r="Q23" s="1112">
        <f>($C23*0.14)+$C23</f>
        <v>3420</v>
      </c>
      <c r="R23" s="1112">
        <f>($C23*0.15)+$C23</f>
        <v>3450</v>
      </c>
      <c r="S23" s="1112">
        <f>($C23*0.16)+$C23</f>
        <v>3480</v>
      </c>
      <c r="T23" s="1112">
        <f>($C23*0.17)+$C23</f>
        <v>3510</v>
      </c>
      <c r="U23" s="1112">
        <f>($C23*0.18)+$C23</f>
        <v>3540</v>
      </c>
      <c r="V23" s="1112">
        <f>($C23*0.19)+$C23</f>
        <v>3570</v>
      </c>
      <c r="W23" s="1112">
        <f>($C23*0.2)+$C23</f>
        <v>3600</v>
      </c>
      <c r="X23" s="1112">
        <f>($C23*0.21)+$C23</f>
        <v>3630</v>
      </c>
      <c r="Y23" s="1112">
        <f>($C23*0.22)+$C23</f>
        <v>3660</v>
      </c>
      <c r="Z23" s="1112">
        <f>($C23*0.23)+$C23</f>
        <v>3690</v>
      </c>
      <c r="AA23" s="1112">
        <f>($C23*0.24)+$C23</f>
        <v>3720</v>
      </c>
      <c r="AB23" s="1112">
        <f>($C23*0.25)+$C23</f>
        <v>3750</v>
      </c>
      <c r="AC23" s="1112">
        <f>($C23*0.26)+$C23</f>
        <v>3780</v>
      </c>
      <c r="AD23" s="1112">
        <f>($C23*0.27)+$C23</f>
        <v>3810</v>
      </c>
      <c r="AE23" s="1112">
        <f>($C23*0.28)+$C23</f>
        <v>3840</v>
      </c>
      <c r="AF23" s="1112">
        <f>($C23*0.29)+$C23</f>
        <v>3870</v>
      </c>
      <c r="AG23" s="1112">
        <f>($C23*0.3)+$C23</f>
        <v>3900</v>
      </c>
    </row>
    <row r="24" spans="1:33" ht="60">
      <c r="A24" s="4" t="s">
        <v>27055</v>
      </c>
      <c r="B24" s="4" t="s">
        <v>37624</v>
      </c>
      <c r="C24" s="5">
        <v>2750</v>
      </c>
      <c r="D24" s="1112">
        <f>($C24*0.01)+$C24</f>
        <v>2777.5</v>
      </c>
      <c r="E24" s="1112">
        <f>($C24*0.02)+$C24</f>
        <v>2805</v>
      </c>
      <c r="F24" s="1112">
        <f>($C24*0.03)+$C24</f>
        <v>2832.5</v>
      </c>
      <c r="G24" s="1112">
        <f>($C24*0.04)+$C24</f>
        <v>2860</v>
      </c>
      <c r="H24" s="1112">
        <f>($C24*0.05)+$C24</f>
        <v>2887.5</v>
      </c>
      <c r="I24" s="1112">
        <f>($C24*0.06)+$C24</f>
        <v>2915</v>
      </c>
      <c r="J24" s="1112">
        <f>($C24*0.07)+$C24</f>
        <v>2942.5</v>
      </c>
      <c r="K24" s="1112">
        <f>($C24*0.08)+$C24</f>
        <v>2970</v>
      </c>
      <c r="L24" s="1112">
        <f>($C24*0.09)+$C24</f>
        <v>2997.5</v>
      </c>
      <c r="M24" s="1112">
        <f>($C24*0.1)+$C24</f>
        <v>3025</v>
      </c>
      <c r="N24" s="1112">
        <f>($C24*0.11)+$C24</f>
        <v>3052.5</v>
      </c>
      <c r="O24" s="1112">
        <f>($C24*0.12)+$C24</f>
        <v>3080</v>
      </c>
      <c r="P24" s="1112">
        <f>($C24*0.13)+$C24</f>
        <v>3107.5</v>
      </c>
      <c r="Q24" s="1112">
        <f>($C24*0.14)+$C24</f>
        <v>3135</v>
      </c>
      <c r="R24" s="1112">
        <f>($C24*0.15)+$C24</f>
        <v>3162.5</v>
      </c>
      <c r="S24" s="1112">
        <f>($C24*0.16)+$C24</f>
        <v>3190</v>
      </c>
      <c r="T24" s="1112">
        <f>($C24*0.17)+$C24</f>
        <v>3217.5</v>
      </c>
      <c r="U24" s="1112">
        <f>($C24*0.18)+$C24</f>
        <v>3245</v>
      </c>
      <c r="V24" s="1112">
        <f>($C24*0.19)+$C24</f>
        <v>3272.5</v>
      </c>
      <c r="W24" s="1112">
        <f>($C24*0.2)+$C24</f>
        <v>3300</v>
      </c>
      <c r="X24" s="1112">
        <f>($C24*0.21)+$C24</f>
        <v>3327.5</v>
      </c>
      <c r="Y24" s="1112">
        <f>($C24*0.22)+$C24</f>
        <v>3355</v>
      </c>
      <c r="Z24" s="1112">
        <f>($C24*0.23)+$C24</f>
        <v>3382.5</v>
      </c>
      <c r="AA24" s="1112">
        <f>($C24*0.24)+$C24</f>
        <v>3410</v>
      </c>
      <c r="AB24" s="1112">
        <f>($C24*0.25)+$C24</f>
        <v>3437.5</v>
      </c>
      <c r="AC24" s="1112">
        <f>($C24*0.26)+$C24</f>
        <v>3465</v>
      </c>
      <c r="AD24" s="1112">
        <f>($C24*0.27)+$C24</f>
        <v>3492.5</v>
      </c>
      <c r="AE24" s="1112">
        <f>($C24*0.28)+$C24</f>
        <v>3520</v>
      </c>
      <c r="AF24" s="1112">
        <f>($C24*0.29)+$C24</f>
        <v>3547.5</v>
      </c>
      <c r="AG24" s="1112">
        <f>($C24*0.3)+$C24</f>
        <v>3575</v>
      </c>
    </row>
    <row r="25" spans="1:33" ht="60">
      <c r="A25" s="4" t="s">
        <v>27055</v>
      </c>
      <c r="B25" s="4" t="s">
        <v>37625</v>
      </c>
      <c r="C25" s="5">
        <v>6500</v>
      </c>
      <c r="D25" s="1112">
        <f>($C25*0.01)+$C25</f>
        <v>6565</v>
      </c>
      <c r="E25" s="1112">
        <f>($C25*0.02)+$C25</f>
        <v>6630</v>
      </c>
      <c r="F25" s="1112">
        <f>($C25*0.03)+$C25</f>
        <v>6695</v>
      </c>
      <c r="G25" s="1112">
        <f>($C25*0.04)+$C25</f>
        <v>6760</v>
      </c>
      <c r="H25" s="1112">
        <f>($C25*0.05)+$C25</f>
        <v>6825</v>
      </c>
      <c r="I25" s="1112">
        <f>($C25*0.06)+$C25</f>
        <v>6890</v>
      </c>
      <c r="J25" s="1112">
        <f>($C25*0.07)+$C25</f>
        <v>6955</v>
      </c>
      <c r="K25" s="1112">
        <f>($C25*0.08)+$C25</f>
        <v>7020</v>
      </c>
      <c r="L25" s="1112">
        <f>($C25*0.09)+$C25</f>
        <v>7085</v>
      </c>
      <c r="M25" s="1112">
        <f>($C25*0.1)+$C25</f>
        <v>7150</v>
      </c>
      <c r="N25" s="1112">
        <f>($C25*0.11)+$C25</f>
        <v>7215</v>
      </c>
      <c r="O25" s="1112">
        <f>($C25*0.12)+$C25</f>
        <v>7280</v>
      </c>
      <c r="P25" s="1112">
        <f>($C25*0.13)+$C25</f>
        <v>7345</v>
      </c>
      <c r="Q25" s="1112">
        <f>($C25*0.14)+$C25</f>
        <v>7410</v>
      </c>
      <c r="R25" s="1112">
        <f>($C25*0.15)+$C25</f>
        <v>7475</v>
      </c>
      <c r="S25" s="1112">
        <f>($C25*0.16)+$C25</f>
        <v>7540</v>
      </c>
      <c r="T25" s="1112">
        <f>($C25*0.17)+$C25</f>
        <v>7605</v>
      </c>
      <c r="U25" s="1112">
        <f>($C25*0.18)+$C25</f>
        <v>7670</v>
      </c>
      <c r="V25" s="1112">
        <f>($C25*0.19)+$C25</f>
        <v>7735</v>
      </c>
      <c r="W25" s="1112">
        <f>($C25*0.2)+$C25</f>
        <v>7800</v>
      </c>
      <c r="X25" s="1112">
        <f>($C25*0.21)+$C25</f>
        <v>7865</v>
      </c>
      <c r="Y25" s="1112">
        <f>($C25*0.22)+$C25</f>
        <v>7930</v>
      </c>
      <c r="Z25" s="1112">
        <f>($C25*0.23)+$C25</f>
        <v>7995</v>
      </c>
      <c r="AA25" s="1112">
        <f>($C25*0.24)+$C25</f>
        <v>8060</v>
      </c>
      <c r="AB25" s="1112">
        <f>($C25*0.25)+$C25</f>
        <v>8125</v>
      </c>
      <c r="AC25" s="1112">
        <f>($C25*0.26)+$C25</f>
        <v>8190</v>
      </c>
      <c r="AD25" s="1112">
        <f>($C25*0.27)+$C25</f>
        <v>8255</v>
      </c>
      <c r="AE25" s="1112">
        <f>($C25*0.28)+$C25</f>
        <v>8320</v>
      </c>
      <c r="AF25" s="1112">
        <f>($C25*0.29)+$C25</f>
        <v>8385</v>
      </c>
      <c r="AG25" s="1112">
        <f>($C25*0.3)+$C25</f>
        <v>8450</v>
      </c>
    </row>
    <row r="26" spans="1:33" ht="45">
      <c r="A26" s="4" t="s">
        <v>27056</v>
      </c>
      <c r="B26" s="4" t="s">
        <v>37626</v>
      </c>
      <c r="C26" s="5">
        <v>5500</v>
      </c>
      <c r="D26" s="1112">
        <f>($C26*0.01)+$C26</f>
        <v>5555</v>
      </c>
      <c r="E26" s="1112">
        <f>($C26*0.02)+$C26</f>
        <v>5610</v>
      </c>
      <c r="F26" s="1112">
        <f>($C26*0.03)+$C26</f>
        <v>5665</v>
      </c>
      <c r="G26" s="1112">
        <f>($C26*0.04)+$C26</f>
        <v>5720</v>
      </c>
      <c r="H26" s="1112">
        <f>($C26*0.05)+$C26</f>
        <v>5775</v>
      </c>
      <c r="I26" s="1112">
        <f>($C26*0.06)+$C26</f>
        <v>5830</v>
      </c>
      <c r="J26" s="1112">
        <f>($C26*0.07)+$C26</f>
        <v>5885</v>
      </c>
      <c r="K26" s="1112">
        <f>($C26*0.08)+$C26</f>
        <v>5940</v>
      </c>
      <c r="L26" s="1112">
        <f>($C26*0.09)+$C26</f>
        <v>5995</v>
      </c>
      <c r="M26" s="1112">
        <f>($C26*0.1)+$C26</f>
        <v>6050</v>
      </c>
      <c r="N26" s="1112">
        <f>($C26*0.11)+$C26</f>
        <v>6105</v>
      </c>
      <c r="O26" s="1112">
        <f>($C26*0.12)+$C26</f>
        <v>6160</v>
      </c>
      <c r="P26" s="1112">
        <f>($C26*0.13)+$C26</f>
        <v>6215</v>
      </c>
      <c r="Q26" s="1112">
        <f>($C26*0.14)+$C26</f>
        <v>6270</v>
      </c>
      <c r="R26" s="1112">
        <f>($C26*0.15)+$C26</f>
        <v>6325</v>
      </c>
      <c r="S26" s="1112">
        <f>($C26*0.16)+$C26</f>
        <v>6380</v>
      </c>
      <c r="T26" s="1112">
        <f>($C26*0.17)+$C26</f>
        <v>6435</v>
      </c>
      <c r="U26" s="1112">
        <f>($C26*0.18)+$C26</f>
        <v>6490</v>
      </c>
      <c r="V26" s="1112">
        <f>($C26*0.19)+$C26</f>
        <v>6545</v>
      </c>
      <c r="W26" s="1112">
        <f>($C26*0.2)+$C26</f>
        <v>6600</v>
      </c>
      <c r="X26" s="1112">
        <f>($C26*0.21)+$C26</f>
        <v>6655</v>
      </c>
      <c r="Y26" s="1112">
        <f>($C26*0.22)+$C26</f>
        <v>6710</v>
      </c>
      <c r="Z26" s="1112">
        <f>($C26*0.23)+$C26</f>
        <v>6765</v>
      </c>
      <c r="AA26" s="1112">
        <f>($C26*0.24)+$C26</f>
        <v>6820</v>
      </c>
      <c r="AB26" s="1112">
        <f>($C26*0.25)+$C26</f>
        <v>6875</v>
      </c>
      <c r="AC26" s="1112">
        <f>($C26*0.26)+$C26</f>
        <v>6930</v>
      </c>
      <c r="AD26" s="1112">
        <f>($C26*0.27)+$C26</f>
        <v>6985</v>
      </c>
      <c r="AE26" s="1112">
        <f>($C26*0.28)+$C26</f>
        <v>7040</v>
      </c>
      <c r="AF26" s="1112">
        <f>($C26*0.29)+$C26</f>
        <v>7095</v>
      </c>
      <c r="AG26" s="1112">
        <f>($C26*0.3)+$C26</f>
        <v>7150</v>
      </c>
    </row>
    <row r="27" spans="1:33" ht="15">
      <c r="A27" s="4" t="s">
        <v>27051</v>
      </c>
      <c r="B27" s="4" t="s">
        <v>37627</v>
      </c>
      <c r="C27" s="5">
        <v>2750</v>
      </c>
      <c r="D27" s="1112">
        <f>($C27*0.01)+$C27</f>
        <v>2777.5</v>
      </c>
      <c r="E27" s="1112">
        <f>($C27*0.02)+$C27</f>
        <v>2805</v>
      </c>
      <c r="F27" s="1112">
        <f>($C27*0.03)+$C27</f>
        <v>2832.5</v>
      </c>
      <c r="G27" s="1112">
        <f>($C27*0.04)+$C27</f>
        <v>2860</v>
      </c>
      <c r="H27" s="1112">
        <f>($C27*0.05)+$C27</f>
        <v>2887.5</v>
      </c>
      <c r="I27" s="1112">
        <f>($C27*0.06)+$C27</f>
        <v>2915</v>
      </c>
      <c r="J27" s="1112">
        <f>($C27*0.07)+$C27</f>
        <v>2942.5</v>
      </c>
      <c r="K27" s="1112">
        <f>($C27*0.08)+$C27</f>
        <v>2970</v>
      </c>
      <c r="L27" s="1112">
        <f>($C27*0.09)+$C27</f>
        <v>2997.5</v>
      </c>
      <c r="M27" s="1112">
        <f>($C27*0.1)+$C27</f>
        <v>3025</v>
      </c>
      <c r="N27" s="1112">
        <f>($C27*0.11)+$C27</f>
        <v>3052.5</v>
      </c>
      <c r="O27" s="1112">
        <f>($C27*0.12)+$C27</f>
        <v>3080</v>
      </c>
      <c r="P27" s="1112">
        <f>($C27*0.13)+$C27</f>
        <v>3107.5</v>
      </c>
      <c r="Q27" s="1112">
        <f>($C27*0.14)+$C27</f>
        <v>3135</v>
      </c>
      <c r="R27" s="1112">
        <f>($C27*0.15)+$C27</f>
        <v>3162.5</v>
      </c>
      <c r="S27" s="1112">
        <f>($C27*0.16)+$C27</f>
        <v>3190</v>
      </c>
      <c r="T27" s="1112">
        <f>($C27*0.17)+$C27</f>
        <v>3217.5</v>
      </c>
      <c r="U27" s="1112">
        <f>($C27*0.18)+$C27</f>
        <v>3245</v>
      </c>
      <c r="V27" s="1112">
        <f>($C27*0.19)+$C27</f>
        <v>3272.5</v>
      </c>
      <c r="W27" s="1112">
        <f>($C27*0.2)+$C27</f>
        <v>3300</v>
      </c>
      <c r="X27" s="1112">
        <f>($C27*0.21)+$C27</f>
        <v>3327.5</v>
      </c>
      <c r="Y27" s="1112">
        <f>($C27*0.22)+$C27</f>
        <v>3355</v>
      </c>
      <c r="Z27" s="1112">
        <f>($C27*0.23)+$C27</f>
        <v>3382.5</v>
      </c>
      <c r="AA27" s="1112">
        <f>($C27*0.24)+$C27</f>
        <v>3410</v>
      </c>
      <c r="AB27" s="1112">
        <f>($C27*0.25)+$C27</f>
        <v>3437.5</v>
      </c>
      <c r="AC27" s="1112">
        <f>($C27*0.26)+$C27</f>
        <v>3465</v>
      </c>
      <c r="AD27" s="1112">
        <f>($C27*0.27)+$C27</f>
        <v>3492.5</v>
      </c>
      <c r="AE27" s="1112">
        <f>($C27*0.28)+$C27</f>
        <v>3520</v>
      </c>
      <c r="AF27" s="1112">
        <f>($C27*0.29)+$C27</f>
        <v>3547.5</v>
      </c>
      <c r="AG27" s="1112">
        <f>($C27*0.3)+$C27</f>
        <v>3575</v>
      </c>
    </row>
    <row r="28" spans="1:33" ht="30">
      <c r="A28" s="4" t="s">
        <v>27052</v>
      </c>
      <c r="B28" s="4" t="s">
        <v>37628</v>
      </c>
      <c r="C28" s="5">
        <v>1700</v>
      </c>
      <c r="D28" s="1112">
        <f>($C28*0.01)+$C28</f>
        <v>1717</v>
      </c>
      <c r="E28" s="1112">
        <f>($C28*0.02)+$C28</f>
        <v>1734</v>
      </c>
      <c r="F28" s="1112">
        <f>($C28*0.03)+$C28</f>
        <v>1751</v>
      </c>
      <c r="G28" s="1112">
        <f>($C28*0.04)+$C28</f>
        <v>1768</v>
      </c>
      <c r="H28" s="1112">
        <f>($C28*0.05)+$C28</f>
        <v>1785</v>
      </c>
      <c r="I28" s="1112">
        <f>($C28*0.06)+$C28</f>
        <v>1802</v>
      </c>
      <c r="J28" s="1112">
        <f>($C28*0.07)+$C28</f>
        <v>1819</v>
      </c>
      <c r="K28" s="1112">
        <f>($C28*0.08)+$C28</f>
        <v>1836</v>
      </c>
      <c r="L28" s="1112">
        <f>($C28*0.09)+$C28</f>
        <v>1853</v>
      </c>
      <c r="M28" s="1112">
        <f>($C28*0.1)+$C28</f>
        <v>1870</v>
      </c>
      <c r="N28" s="1112">
        <f>($C28*0.11)+$C28</f>
        <v>1887</v>
      </c>
      <c r="O28" s="1112">
        <f>($C28*0.12)+$C28</f>
        <v>1904</v>
      </c>
      <c r="P28" s="1112">
        <f>($C28*0.13)+$C28</f>
        <v>1921</v>
      </c>
      <c r="Q28" s="1112">
        <f>($C28*0.14)+$C28</f>
        <v>1938</v>
      </c>
      <c r="R28" s="1112">
        <f>($C28*0.15)+$C28</f>
        <v>1955</v>
      </c>
      <c r="S28" s="1112">
        <f>($C28*0.16)+$C28</f>
        <v>1972</v>
      </c>
      <c r="T28" s="1112">
        <f>($C28*0.17)+$C28</f>
        <v>1989</v>
      </c>
      <c r="U28" s="1112">
        <f>($C28*0.18)+$C28</f>
        <v>2006</v>
      </c>
      <c r="V28" s="1112">
        <f>($C28*0.19)+$C28</f>
        <v>2023</v>
      </c>
      <c r="W28" s="1112">
        <f>($C28*0.2)+$C28</f>
        <v>2040</v>
      </c>
      <c r="X28" s="1112">
        <f>($C28*0.21)+$C28</f>
        <v>2057</v>
      </c>
      <c r="Y28" s="1112">
        <f>($C28*0.22)+$C28</f>
        <v>2074</v>
      </c>
      <c r="Z28" s="1112">
        <f>($C28*0.23)+$C28</f>
        <v>2091</v>
      </c>
      <c r="AA28" s="1112">
        <f>($C28*0.24)+$C28</f>
        <v>2108</v>
      </c>
      <c r="AB28" s="1112">
        <f>($C28*0.25)+$C28</f>
        <v>2125</v>
      </c>
      <c r="AC28" s="1112">
        <f>($C28*0.26)+$C28</f>
        <v>2142</v>
      </c>
      <c r="AD28" s="1112">
        <f>($C28*0.27)+$C28</f>
        <v>2159</v>
      </c>
      <c r="AE28" s="1112">
        <f>($C28*0.28)+$C28</f>
        <v>2176</v>
      </c>
      <c r="AF28" s="1112">
        <f>($C28*0.29)+$C28</f>
        <v>2193</v>
      </c>
      <c r="AG28" s="1112">
        <f>($C28*0.3)+$C28</f>
        <v>2210</v>
      </c>
    </row>
    <row r="29" spans="1:33" ht="15">
      <c r="A29" s="4" t="s">
        <v>27054</v>
      </c>
      <c r="B29" s="4" t="s">
        <v>37629</v>
      </c>
      <c r="C29" s="5">
        <v>1800</v>
      </c>
      <c r="D29" s="1112">
        <f>($C29*0.01)+$C29</f>
        <v>1818</v>
      </c>
      <c r="E29" s="1112">
        <f>($C29*0.02)+$C29</f>
        <v>1836</v>
      </c>
      <c r="F29" s="1112">
        <f>($C29*0.03)+$C29</f>
        <v>1854</v>
      </c>
      <c r="G29" s="1112">
        <f>($C29*0.04)+$C29</f>
        <v>1872</v>
      </c>
      <c r="H29" s="1112">
        <f>($C29*0.05)+$C29</f>
        <v>1890</v>
      </c>
      <c r="I29" s="1112">
        <f>($C29*0.06)+$C29</f>
        <v>1908</v>
      </c>
      <c r="J29" s="1112">
        <f>($C29*0.07)+$C29</f>
        <v>1926</v>
      </c>
      <c r="K29" s="1112">
        <f>($C29*0.08)+$C29</f>
        <v>1944</v>
      </c>
      <c r="L29" s="1112">
        <f>($C29*0.09)+$C29</f>
        <v>1962</v>
      </c>
      <c r="M29" s="1112">
        <f>($C29*0.1)+$C29</f>
        <v>1980</v>
      </c>
      <c r="N29" s="1112">
        <f>($C29*0.11)+$C29</f>
        <v>1998</v>
      </c>
      <c r="O29" s="1112">
        <f>($C29*0.12)+$C29</f>
        <v>2016</v>
      </c>
      <c r="P29" s="1112">
        <f>($C29*0.13)+$C29</f>
        <v>2034</v>
      </c>
      <c r="Q29" s="1112">
        <f>($C29*0.14)+$C29</f>
        <v>2052</v>
      </c>
      <c r="R29" s="1112">
        <f>($C29*0.15)+$C29</f>
        <v>2070</v>
      </c>
      <c r="S29" s="1112">
        <f>($C29*0.16)+$C29</f>
        <v>2088</v>
      </c>
      <c r="T29" s="1112">
        <f>($C29*0.17)+$C29</f>
        <v>2106</v>
      </c>
      <c r="U29" s="1112">
        <f>($C29*0.18)+$C29</f>
        <v>2124</v>
      </c>
      <c r="V29" s="1112">
        <f>($C29*0.19)+$C29</f>
        <v>2142</v>
      </c>
      <c r="W29" s="1112">
        <f>($C29*0.2)+$C29</f>
        <v>2160</v>
      </c>
      <c r="X29" s="1112">
        <f>($C29*0.21)+$C29</f>
        <v>2178</v>
      </c>
      <c r="Y29" s="1112">
        <f>($C29*0.22)+$C29</f>
        <v>2196</v>
      </c>
      <c r="Z29" s="1112">
        <f>($C29*0.23)+$C29</f>
        <v>2214</v>
      </c>
      <c r="AA29" s="1112">
        <f>($C29*0.24)+$C29</f>
        <v>2232</v>
      </c>
      <c r="AB29" s="1112">
        <f>($C29*0.25)+$C29</f>
        <v>2250</v>
      </c>
      <c r="AC29" s="1112">
        <f>($C29*0.26)+$C29</f>
        <v>2268</v>
      </c>
      <c r="AD29" s="1112">
        <f>($C29*0.27)+$C29</f>
        <v>2286</v>
      </c>
      <c r="AE29" s="1112">
        <f>($C29*0.28)+$C29</f>
        <v>2304</v>
      </c>
      <c r="AF29" s="1112">
        <f>($C29*0.29)+$C29</f>
        <v>2322</v>
      </c>
      <c r="AG29" s="1112">
        <f>($C29*0.3)+$C29</f>
        <v>2340</v>
      </c>
    </row>
    <row r="30" spans="1:33" ht="30">
      <c r="A30" s="4" t="s">
        <v>27053</v>
      </c>
      <c r="B30" s="4" t="s">
        <v>37630</v>
      </c>
      <c r="C30" s="5">
        <v>1800</v>
      </c>
      <c r="D30" s="1112">
        <f>($C30*0.01)+$C30</f>
        <v>1818</v>
      </c>
      <c r="E30" s="1112">
        <f>($C30*0.02)+$C30</f>
        <v>1836</v>
      </c>
      <c r="F30" s="1112">
        <f>($C30*0.03)+$C30</f>
        <v>1854</v>
      </c>
      <c r="G30" s="1112">
        <f>($C30*0.04)+$C30</f>
        <v>1872</v>
      </c>
      <c r="H30" s="1112">
        <f>($C30*0.05)+$C30</f>
        <v>1890</v>
      </c>
      <c r="I30" s="1112">
        <f>($C30*0.06)+$C30</f>
        <v>1908</v>
      </c>
      <c r="J30" s="1112">
        <f>($C30*0.07)+$C30</f>
        <v>1926</v>
      </c>
      <c r="K30" s="1112">
        <f>($C30*0.08)+$C30</f>
        <v>1944</v>
      </c>
      <c r="L30" s="1112">
        <f>($C30*0.09)+$C30</f>
        <v>1962</v>
      </c>
      <c r="M30" s="1112">
        <f>($C30*0.1)+$C30</f>
        <v>1980</v>
      </c>
      <c r="N30" s="1112">
        <f>($C30*0.11)+$C30</f>
        <v>1998</v>
      </c>
      <c r="O30" s="1112">
        <f>($C30*0.12)+$C30</f>
        <v>2016</v>
      </c>
      <c r="P30" s="1112">
        <f>($C30*0.13)+$C30</f>
        <v>2034</v>
      </c>
      <c r="Q30" s="1112">
        <f>($C30*0.14)+$C30</f>
        <v>2052</v>
      </c>
      <c r="R30" s="1112">
        <f>($C30*0.15)+$C30</f>
        <v>2070</v>
      </c>
      <c r="S30" s="1112">
        <f>($C30*0.16)+$C30</f>
        <v>2088</v>
      </c>
      <c r="T30" s="1112">
        <f>($C30*0.17)+$C30</f>
        <v>2106</v>
      </c>
      <c r="U30" s="1112">
        <f>($C30*0.18)+$C30</f>
        <v>2124</v>
      </c>
      <c r="V30" s="1112">
        <f>($C30*0.19)+$C30</f>
        <v>2142</v>
      </c>
      <c r="W30" s="1112">
        <f>($C30*0.2)+$C30</f>
        <v>2160</v>
      </c>
      <c r="X30" s="1112">
        <f>($C30*0.21)+$C30</f>
        <v>2178</v>
      </c>
      <c r="Y30" s="1112">
        <f>($C30*0.22)+$C30</f>
        <v>2196</v>
      </c>
      <c r="Z30" s="1112">
        <f>($C30*0.23)+$C30</f>
        <v>2214</v>
      </c>
      <c r="AA30" s="1112">
        <f>($C30*0.24)+$C30</f>
        <v>2232</v>
      </c>
      <c r="AB30" s="1112">
        <f>($C30*0.25)+$C30</f>
        <v>2250</v>
      </c>
      <c r="AC30" s="1112">
        <f>($C30*0.26)+$C30</f>
        <v>2268</v>
      </c>
      <c r="AD30" s="1112">
        <f>($C30*0.27)+$C30</f>
        <v>2286</v>
      </c>
      <c r="AE30" s="1112">
        <f>($C30*0.28)+$C30</f>
        <v>2304</v>
      </c>
      <c r="AF30" s="1112">
        <f>($C30*0.29)+$C30</f>
        <v>2322</v>
      </c>
      <c r="AG30" s="1112">
        <f>($C30*0.3)+$C30</f>
        <v>2340</v>
      </c>
    </row>
    <row r="31" spans="1:33" ht="30">
      <c r="A31" s="4" t="s">
        <v>27050</v>
      </c>
      <c r="B31" s="4" t="s">
        <v>37631</v>
      </c>
      <c r="C31" s="5">
        <v>1000</v>
      </c>
      <c r="D31" s="1112">
        <f>($C31*0.01)+$C31</f>
        <v>1010</v>
      </c>
      <c r="E31" s="1112">
        <f>($C31*0.02)+$C31</f>
        <v>1020</v>
      </c>
      <c r="F31" s="1112">
        <f>($C31*0.03)+$C31</f>
        <v>1030</v>
      </c>
      <c r="G31" s="1112">
        <f>($C31*0.04)+$C31</f>
        <v>1040</v>
      </c>
      <c r="H31" s="1112">
        <f>($C31*0.05)+$C31</f>
        <v>1050</v>
      </c>
      <c r="I31" s="1112">
        <f>($C31*0.06)+$C31</f>
        <v>1060</v>
      </c>
      <c r="J31" s="1112">
        <f>($C31*0.07)+$C31</f>
        <v>1070</v>
      </c>
      <c r="K31" s="1112">
        <f>($C31*0.08)+$C31</f>
        <v>1080</v>
      </c>
      <c r="L31" s="1112">
        <f>($C31*0.09)+$C31</f>
        <v>1090</v>
      </c>
      <c r="M31" s="1112">
        <f>($C31*0.1)+$C31</f>
        <v>1100</v>
      </c>
      <c r="N31" s="1112">
        <f>($C31*0.11)+$C31</f>
        <v>1110</v>
      </c>
      <c r="O31" s="1112">
        <f>($C31*0.12)+$C31</f>
        <v>1120</v>
      </c>
      <c r="P31" s="1112">
        <f>($C31*0.13)+$C31</f>
        <v>1130</v>
      </c>
      <c r="Q31" s="1112">
        <f>($C31*0.14)+$C31</f>
        <v>1140</v>
      </c>
      <c r="R31" s="1112">
        <f>($C31*0.15)+$C31</f>
        <v>1150</v>
      </c>
      <c r="S31" s="1112">
        <f>($C31*0.16)+$C31</f>
        <v>1160</v>
      </c>
      <c r="T31" s="1112">
        <f>($C31*0.17)+$C31</f>
        <v>1170</v>
      </c>
      <c r="U31" s="1112">
        <f>($C31*0.18)+$C31</f>
        <v>1180</v>
      </c>
      <c r="V31" s="1112">
        <f>($C31*0.19)+$C31</f>
        <v>1190</v>
      </c>
      <c r="W31" s="1112">
        <f>($C31*0.2)+$C31</f>
        <v>1200</v>
      </c>
      <c r="X31" s="1112">
        <f>($C31*0.21)+$C31</f>
        <v>1210</v>
      </c>
      <c r="Y31" s="1112">
        <f>($C31*0.22)+$C31</f>
        <v>1220</v>
      </c>
      <c r="Z31" s="1112">
        <f>($C31*0.23)+$C31</f>
        <v>1230</v>
      </c>
      <c r="AA31" s="1112">
        <f>($C31*0.24)+$C31</f>
        <v>1240</v>
      </c>
      <c r="AB31" s="1112">
        <f>($C31*0.25)+$C31</f>
        <v>1250</v>
      </c>
      <c r="AC31" s="1112">
        <f>($C31*0.26)+$C31</f>
        <v>1260</v>
      </c>
      <c r="AD31" s="1112">
        <f>($C31*0.27)+$C31</f>
        <v>1270</v>
      </c>
      <c r="AE31" s="1112">
        <f>($C31*0.28)+$C31</f>
        <v>1280</v>
      </c>
      <c r="AF31" s="1112">
        <f>($C31*0.29)+$C31</f>
        <v>1290</v>
      </c>
      <c r="AG31" s="1112">
        <f>($C31*0.3)+$C31</f>
        <v>1300</v>
      </c>
    </row>
    <row r="32" spans="1:33" ht="15">
      <c r="A32" s="7"/>
      <c r="B32" s="7"/>
      <c r="C32" s="8"/>
      <c r="D32" s="1112"/>
      <c r="E32" s="1112"/>
      <c r="F32" s="1112"/>
      <c r="G32" s="1112"/>
      <c r="H32" s="1112"/>
      <c r="I32" s="1112"/>
      <c r="J32" s="1112"/>
      <c r="K32" s="1112"/>
      <c r="L32" s="1112"/>
      <c r="M32" s="1112"/>
      <c r="N32" s="1112"/>
      <c r="O32" s="1112"/>
      <c r="P32" s="1112"/>
      <c r="Q32" s="1112"/>
      <c r="R32" s="1112"/>
      <c r="S32" s="1112"/>
      <c r="T32" s="1112"/>
      <c r="U32" s="1112"/>
      <c r="V32" s="1112"/>
      <c r="W32" s="1112"/>
      <c r="X32" s="1112"/>
      <c r="Y32" s="1112"/>
      <c r="Z32" s="1112"/>
      <c r="AA32" s="1112"/>
      <c r="AB32" s="1112"/>
      <c r="AC32" s="1112"/>
      <c r="AD32" s="1112"/>
      <c r="AE32" s="1112"/>
      <c r="AF32" s="1112"/>
      <c r="AG32" s="1112"/>
    </row>
    <row r="33" spans="1:33" ht="40">
      <c r="A33" s="13"/>
      <c r="B33" s="11" t="s">
        <v>37632</v>
      </c>
      <c r="C33" s="14"/>
      <c r="D33" s="1112"/>
      <c r="E33" s="1112"/>
      <c r="F33" s="1112"/>
      <c r="G33" s="1112"/>
      <c r="H33" s="1112"/>
      <c r="I33" s="1112"/>
      <c r="J33" s="1112"/>
      <c r="K33" s="1112"/>
      <c r="L33" s="1112"/>
      <c r="M33" s="1112"/>
      <c r="N33" s="1112"/>
      <c r="O33" s="1112"/>
      <c r="P33" s="1112"/>
      <c r="Q33" s="1112"/>
      <c r="R33" s="1112"/>
      <c r="S33" s="1112"/>
      <c r="T33" s="1112"/>
      <c r="U33" s="1112"/>
      <c r="V33" s="1112"/>
      <c r="W33" s="1112"/>
      <c r="X33" s="1112"/>
      <c r="Y33" s="1112"/>
      <c r="Z33" s="1112"/>
      <c r="AA33" s="1112"/>
      <c r="AB33" s="1112"/>
      <c r="AC33" s="1112"/>
      <c r="AD33" s="1112"/>
      <c r="AE33" s="1112"/>
      <c r="AF33" s="1112"/>
      <c r="AG33" s="1112"/>
    </row>
    <row r="34" spans="1:33" ht="75">
      <c r="A34" s="7" t="s">
        <v>10</v>
      </c>
      <c r="B34" s="7" t="s">
        <v>11</v>
      </c>
      <c r="C34" s="8">
        <v>1200</v>
      </c>
      <c r="D34" s="1112">
        <f>($C34*0.01)+$C34</f>
        <v>1212</v>
      </c>
      <c r="E34" s="1112">
        <f>($C34*0.02)+$C34</f>
        <v>1224</v>
      </c>
      <c r="F34" s="1112">
        <f>($C34*0.03)+$C34</f>
        <v>1236</v>
      </c>
      <c r="G34" s="1112">
        <f>($C34*0.04)+$C34</f>
        <v>1248</v>
      </c>
      <c r="H34" s="1112">
        <f>($C34*0.05)+$C34</f>
        <v>1260</v>
      </c>
      <c r="I34" s="1112">
        <f>($C34*0.06)+$C34</f>
        <v>1272</v>
      </c>
      <c r="J34" s="1112">
        <f>($C34*0.07)+$C34</f>
        <v>1284</v>
      </c>
      <c r="K34" s="1112">
        <f>($C34*0.08)+$C34</f>
        <v>1296</v>
      </c>
      <c r="L34" s="1112">
        <f>($C34*0.09)+$C34</f>
        <v>1308</v>
      </c>
      <c r="M34" s="1112">
        <f>($C34*0.1)+$C34</f>
        <v>1320</v>
      </c>
      <c r="N34" s="1112">
        <f>($C34*0.11)+$C34</f>
        <v>1332</v>
      </c>
      <c r="O34" s="1112">
        <f>($C34*0.12)+$C34</f>
        <v>1344</v>
      </c>
      <c r="P34" s="1112">
        <f>($C34*0.13)+$C34</f>
        <v>1356</v>
      </c>
      <c r="Q34" s="1112">
        <f>($C34*0.14)+$C34</f>
        <v>1368</v>
      </c>
      <c r="R34" s="1112">
        <f>($C34*0.15)+$C34</f>
        <v>1380</v>
      </c>
      <c r="S34" s="1112">
        <f>($C34*0.16)+$C34</f>
        <v>1392</v>
      </c>
      <c r="T34" s="1112">
        <f>($C34*0.17)+$C34</f>
        <v>1404</v>
      </c>
      <c r="U34" s="1112">
        <f>($C34*0.18)+$C34</f>
        <v>1416</v>
      </c>
      <c r="V34" s="1112">
        <f>($C34*0.19)+$C34</f>
        <v>1428</v>
      </c>
      <c r="W34" s="1112">
        <f>($C34*0.2)+$C34</f>
        <v>1440</v>
      </c>
      <c r="X34" s="1112">
        <f>($C34*0.21)+$C34</f>
        <v>1452</v>
      </c>
      <c r="Y34" s="1112">
        <f>($C34*0.22)+$C34</f>
        <v>1464</v>
      </c>
      <c r="Z34" s="1112">
        <f>($C34*0.23)+$C34</f>
        <v>1476</v>
      </c>
      <c r="AA34" s="1112">
        <f>($C34*0.24)+$C34</f>
        <v>1488</v>
      </c>
      <c r="AB34" s="1112">
        <f>($C34*0.25)+$C34</f>
        <v>1500</v>
      </c>
      <c r="AC34" s="1112">
        <f>($C34*0.26)+$C34</f>
        <v>1512</v>
      </c>
      <c r="AD34" s="1112">
        <f>($C34*0.27)+$C34</f>
        <v>1524</v>
      </c>
      <c r="AE34" s="1112">
        <f>($C34*0.28)+$C34</f>
        <v>1536</v>
      </c>
      <c r="AF34" s="1112">
        <f>($C34*0.29)+$C34</f>
        <v>1548</v>
      </c>
      <c r="AG34" s="1112">
        <f>($C34*0.3)+$C34</f>
        <v>1560</v>
      </c>
    </row>
    <row r="35" spans="1:33" ht="60">
      <c r="A35" s="7" t="s">
        <v>12</v>
      </c>
      <c r="B35" s="7" t="s">
        <v>13</v>
      </c>
      <c r="C35" s="8">
        <v>975</v>
      </c>
      <c r="D35" s="1112">
        <f>($C35*0.01)+$C35</f>
        <v>984.75</v>
      </c>
      <c r="E35" s="1112">
        <f>($C35*0.02)+$C35</f>
        <v>994.5</v>
      </c>
      <c r="F35" s="1112">
        <f>($C35*0.03)+$C35</f>
        <v>1004.25</v>
      </c>
      <c r="G35" s="1112">
        <f>($C35*0.04)+$C35</f>
        <v>1014</v>
      </c>
      <c r="H35" s="1112">
        <f>($C35*0.05)+$C35</f>
        <v>1023.75</v>
      </c>
      <c r="I35" s="1112">
        <f>($C35*0.06)+$C35</f>
        <v>1033.5</v>
      </c>
      <c r="J35" s="1112">
        <f>($C35*0.07)+$C35</f>
        <v>1043.25</v>
      </c>
      <c r="K35" s="1112">
        <f>($C35*0.08)+$C35</f>
        <v>1053</v>
      </c>
      <c r="L35" s="1112">
        <f>($C35*0.09)+$C35</f>
        <v>1062.75</v>
      </c>
      <c r="M35" s="1112">
        <f>($C35*0.1)+$C35</f>
        <v>1072.5</v>
      </c>
      <c r="N35" s="1112">
        <f>($C35*0.11)+$C35</f>
        <v>1082.25</v>
      </c>
      <c r="O35" s="1112">
        <f>($C35*0.12)+$C35</f>
        <v>1092</v>
      </c>
      <c r="P35" s="1112">
        <f>($C35*0.13)+$C35</f>
        <v>1101.75</v>
      </c>
      <c r="Q35" s="1112">
        <f>($C35*0.14)+$C35</f>
        <v>1111.5</v>
      </c>
      <c r="R35" s="1112">
        <f>($C35*0.15)+$C35</f>
        <v>1121.25</v>
      </c>
      <c r="S35" s="1112">
        <f>($C35*0.16)+$C35</f>
        <v>1131</v>
      </c>
      <c r="T35" s="1112">
        <f>($C35*0.17)+$C35</f>
        <v>1140.75</v>
      </c>
      <c r="U35" s="1112">
        <f>($C35*0.18)+$C35</f>
        <v>1150.5</v>
      </c>
      <c r="V35" s="1112">
        <f>($C35*0.19)+$C35</f>
        <v>1160.25</v>
      </c>
      <c r="W35" s="1112">
        <f>($C35*0.2)+$C35</f>
        <v>1170</v>
      </c>
      <c r="X35" s="1112">
        <f>($C35*0.21)+$C35</f>
        <v>1179.75</v>
      </c>
      <c r="Y35" s="1112">
        <f>($C35*0.22)+$C35</f>
        <v>1189.5</v>
      </c>
      <c r="Z35" s="1112">
        <f>($C35*0.23)+$C35</f>
        <v>1199.25</v>
      </c>
      <c r="AA35" s="1112">
        <f>($C35*0.24)+$C35</f>
        <v>1209</v>
      </c>
      <c r="AB35" s="1112">
        <f>($C35*0.25)+$C35</f>
        <v>1218.75</v>
      </c>
      <c r="AC35" s="1112">
        <f>($C35*0.26)+$C35</f>
        <v>1228.5</v>
      </c>
      <c r="AD35" s="1112">
        <f>($C35*0.27)+$C35</f>
        <v>1238.25</v>
      </c>
      <c r="AE35" s="1112">
        <f>($C35*0.28)+$C35</f>
        <v>1248</v>
      </c>
      <c r="AF35" s="1112">
        <f>($C35*0.29)+$C35</f>
        <v>1257.75</v>
      </c>
      <c r="AG35" s="1112">
        <f>($C35*0.3)+$C35</f>
        <v>1267.5</v>
      </c>
    </row>
    <row r="36" spans="1:33" ht="15">
      <c r="A36" s="4" t="s">
        <v>55213</v>
      </c>
      <c r="B36" s="4" t="s">
        <v>55235</v>
      </c>
      <c r="C36" s="5">
        <v>700</v>
      </c>
      <c r="D36" s="1112">
        <f>($C36*0.01)+$C36</f>
        <v>707</v>
      </c>
      <c r="E36" s="1112">
        <f>($C36*0.02)+$C36</f>
        <v>714</v>
      </c>
      <c r="F36" s="1112">
        <f>($C36*0.03)+$C36</f>
        <v>721</v>
      </c>
      <c r="G36" s="1112">
        <f>($C36*0.04)+$C36</f>
        <v>728</v>
      </c>
      <c r="H36" s="1112">
        <f>($C36*0.05)+$C36</f>
        <v>735</v>
      </c>
      <c r="I36" s="1112">
        <f>($C36*0.06)+$C36</f>
        <v>742</v>
      </c>
      <c r="J36" s="1112">
        <f>($C36*0.07)+$C36</f>
        <v>749</v>
      </c>
      <c r="K36" s="1112">
        <f>($C36*0.08)+$C36</f>
        <v>756</v>
      </c>
      <c r="L36" s="1112">
        <f>($C36*0.09)+$C36</f>
        <v>763</v>
      </c>
      <c r="M36" s="1112">
        <f>($C36*0.1)+$C36</f>
        <v>770</v>
      </c>
      <c r="N36" s="1112">
        <f>($C36*0.11)+$C36</f>
        <v>777</v>
      </c>
      <c r="O36" s="1112">
        <f>($C36*0.12)+$C36</f>
        <v>784</v>
      </c>
      <c r="P36" s="1112">
        <f>($C36*0.13)+$C36</f>
        <v>791</v>
      </c>
      <c r="Q36" s="1112">
        <f>($C36*0.14)+$C36</f>
        <v>798</v>
      </c>
      <c r="R36" s="1112">
        <f>($C36*0.15)+$C36</f>
        <v>805</v>
      </c>
      <c r="S36" s="1112">
        <f>($C36*0.16)+$C36</f>
        <v>812</v>
      </c>
      <c r="T36" s="1112">
        <f>($C36*0.17)+$C36</f>
        <v>819</v>
      </c>
      <c r="U36" s="1112">
        <f>($C36*0.18)+$C36</f>
        <v>826</v>
      </c>
      <c r="V36" s="1112">
        <f>($C36*0.19)+$C36</f>
        <v>833</v>
      </c>
      <c r="W36" s="1112">
        <f>($C36*0.2)+$C36</f>
        <v>840</v>
      </c>
      <c r="X36" s="1112">
        <f>($C36*0.21)+$C36</f>
        <v>847</v>
      </c>
      <c r="Y36" s="1112">
        <f>($C36*0.22)+$C36</f>
        <v>854</v>
      </c>
      <c r="Z36" s="1112">
        <f>($C36*0.23)+$C36</f>
        <v>861</v>
      </c>
      <c r="AA36" s="1112">
        <f>($C36*0.24)+$C36</f>
        <v>868</v>
      </c>
      <c r="AB36" s="1112">
        <f>($C36*0.25)+$C36</f>
        <v>875</v>
      </c>
      <c r="AC36" s="1112">
        <f>($C36*0.26)+$C36</f>
        <v>882</v>
      </c>
      <c r="AD36" s="1112">
        <f>($C36*0.27)+$C36</f>
        <v>889</v>
      </c>
      <c r="AE36" s="1112">
        <f>($C36*0.28)+$C36</f>
        <v>896</v>
      </c>
      <c r="AF36" s="1112">
        <f>($C36*0.29)+$C36</f>
        <v>903</v>
      </c>
      <c r="AG36" s="1112">
        <f>($C36*0.3)+$C36</f>
        <v>910</v>
      </c>
    </row>
    <row r="37" spans="1:33" ht="15">
      <c r="A37" s="4" t="s">
        <v>55212</v>
      </c>
      <c r="B37" s="4" t="s">
        <v>55236</v>
      </c>
      <c r="C37" s="5">
        <v>1200</v>
      </c>
      <c r="D37" s="1112">
        <f>($C37*0.01)+$C37</f>
        <v>1212</v>
      </c>
      <c r="E37" s="1112">
        <f>($C37*0.02)+$C37</f>
        <v>1224</v>
      </c>
      <c r="F37" s="1112">
        <f>($C37*0.03)+$C37</f>
        <v>1236</v>
      </c>
      <c r="G37" s="1112">
        <f>($C37*0.04)+$C37</f>
        <v>1248</v>
      </c>
      <c r="H37" s="1112">
        <f>($C37*0.05)+$C37</f>
        <v>1260</v>
      </c>
      <c r="I37" s="1112">
        <f>($C37*0.06)+$C37</f>
        <v>1272</v>
      </c>
      <c r="J37" s="1112">
        <f>($C37*0.07)+$C37</f>
        <v>1284</v>
      </c>
      <c r="K37" s="1112">
        <f>($C37*0.08)+$C37</f>
        <v>1296</v>
      </c>
      <c r="L37" s="1112">
        <f>($C37*0.09)+$C37</f>
        <v>1308</v>
      </c>
      <c r="M37" s="1112">
        <f>($C37*0.1)+$C37</f>
        <v>1320</v>
      </c>
      <c r="N37" s="1112">
        <f>($C37*0.11)+$C37</f>
        <v>1332</v>
      </c>
      <c r="O37" s="1112">
        <f>($C37*0.12)+$C37</f>
        <v>1344</v>
      </c>
      <c r="P37" s="1112">
        <f>($C37*0.13)+$C37</f>
        <v>1356</v>
      </c>
      <c r="Q37" s="1112">
        <f>($C37*0.14)+$C37</f>
        <v>1368</v>
      </c>
      <c r="R37" s="1112">
        <f>($C37*0.15)+$C37</f>
        <v>1380</v>
      </c>
      <c r="S37" s="1112">
        <f>($C37*0.16)+$C37</f>
        <v>1392</v>
      </c>
      <c r="T37" s="1112">
        <f>($C37*0.17)+$C37</f>
        <v>1404</v>
      </c>
      <c r="U37" s="1112">
        <f>($C37*0.18)+$C37</f>
        <v>1416</v>
      </c>
      <c r="V37" s="1112">
        <f>($C37*0.19)+$C37</f>
        <v>1428</v>
      </c>
      <c r="W37" s="1112">
        <f>($C37*0.2)+$C37</f>
        <v>1440</v>
      </c>
      <c r="X37" s="1112">
        <f>($C37*0.21)+$C37</f>
        <v>1452</v>
      </c>
      <c r="Y37" s="1112">
        <f>($C37*0.22)+$C37</f>
        <v>1464</v>
      </c>
      <c r="Z37" s="1112">
        <f>($C37*0.23)+$C37</f>
        <v>1476</v>
      </c>
      <c r="AA37" s="1112">
        <f>($C37*0.24)+$C37</f>
        <v>1488</v>
      </c>
      <c r="AB37" s="1112">
        <f>($C37*0.25)+$C37</f>
        <v>1500</v>
      </c>
      <c r="AC37" s="1112">
        <f>($C37*0.26)+$C37</f>
        <v>1512</v>
      </c>
      <c r="AD37" s="1112">
        <f>($C37*0.27)+$C37</f>
        <v>1524</v>
      </c>
      <c r="AE37" s="1112">
        <f>($C37*0.28)+$C37</f>
        <v>1536</v>
      </c>
      <c r="AF37" s="1112">
        <f>($C37*0.29)+$C37</f>
        <v>1548</v>
      </c>
      <c r="AG37" s="1112">
        <f>($C37*0.3)+$C37</f>
        <v>1560</v>
      </c>
    </row>
    <row r="38" spans="1:33" ht="15">
      <c r="A38" s="7" t="s">
        <v>37633</v>
      </c>
      <c r="B38" s="7" t="s">
        <v>37634</v>
      </c>
      <c r="C38" s="8">
        <v>1500</v>
      </c>
      <c r="D38" s="1112">
        <f>($C38*0.01)+$C38</f>
        <v>1515</v>
      </c>
      <c r="E38" s="1112">
        <f>($C38*0.02)+$C38</f>
        <v>1530</v>
      </c>
      <c r="F38" s="1112">
        <f>($C38*0.03)+$C38</f>
        <v>1545</v>
      </c>
      <c r="G38" s="1112">
        <f>($C38*0.04)+$C38</f>
        <v>1560</v>
      </c>
      <c r="H38" s="1112">
        <f>($C38*0.05)+$C38</f>
        <v>1575</v>
      </c>
      <c r="I38" s="1112">
        <f>($C38*0.06)+$C38</f>
        <v>1590</v>
      </c>
      <c r="J38" s="1112">
        <f>($C38*0.07)+$C38</f>
        <v>1605</v>
      </c>
      <c r="K38" s="1112">
        <f>($C38*0.08)+$C38</f>
        <v>1620</v>
      </c>
      <c r="L38" s="1112">
        <f>($C38*0.09)+$C38</f>
        <v>1635</v>
      </c>
      <c r="M38" s="1112">
        <f>($C38*0.1)+$C38</f>
        <v>1650</v>
      </c>
      <c r="N38" s="1112">
        <f>($C38*0.11)+$C38</f>
        <v>1665</v>
      </c>
      <c r="O38" s="1112">
        <f>($C38*0.12)+$C38</f>
        <v>1680</v>
      </c>
      <c r="P38" s="1112">
        <f>($C38*0.13)+$C38</f>
        <v>1695</v>
      </c>
      <c r="Q38" s="1112">
        <f>($C38*0.14)+$C38</f>
        <v>1710</v>
      </c>
      <c r="R38" s="1112">
        <f>($C38*0.15)+$C38</f>
        <v>1725</v>
      </c>
      <c r="S38" s="1112">
        <f>($C38*0.16)+$C38</f>
        <v>1740</v>
      </c>
      <c r="T38" s="1112">
        <f>($C38*0.17)+$C38</f>
        <v>1755</v>
      </c>
      <c r="U38" s="1112">
        <f>($C38*0.18)+$C38</f>
        <v>1770</v>
      </c>
      <c r="V38" s="1112">
        <f>($C38*0.19)+$C38</f>
        <v>1785</v>
      </c>
      <c r="W38" s="1112">
        <f>($C38*0.2)+$C38</f>
        <v>1800</v>
      </c>
      <c r="X38" s="1112">
        <f>($C38*0.21)+$C38</f>
        <v>1815</v>
      </c>
      <c r="Y38" s="1112">
        <f>($C38*0.22)+$C38</f>
        <v>1830</v>
      </c>
      <c r="Z38" s="1112">
        <f>($C38*0.23)+$C38</f>
        <v>1845</v>
      </c>
      <c r="AA38" s="1112">
        <f>($C38*0.24)+$C38</f>
        <v>1860</v>
      </c>
      <c r="AB38" s="1112">
        <f>($C38*0.25)+$C38</f>
        <v>1875</v>
      </c>
      <c r="AC38" s="1112">
        <f>($C38*0.26)+$C38</f>
        <v>1890</v>
      </c>
      <c r="AD38" s="1112">
        <f>($C38*0.27)+$C38</f>
        <v>1905</v>
      </c>
      <c r="AE38" s="1112">
        <f>($C38*0.28)+$C38</f>
        <v>1920</v>
      </c>
      <c r="AF38" s="1112">
        <f>($C38*0.29)+$C38</f>
        <v>1935</v>
      </c>
      <c r="AG38" s="1112">
        <f>($C38*0.3)+$C38</f>
        <v>1950</v>
      </c>
    </row>
    <row r="39" spans="1:33" ht="15">
      <c r="A39" s="7" t="s">
        <v>37633</v>
      </c>
      <c r="B39" s="7" t="s">
        <v>37635</v>
      </c>
      <c r="C39" s="8">
        <v>1600</v>
      </c>
      <c r="D39" s="1112">
        <f>($C39*0.01)+$C39</f>
        <v>1616</v>
      </c>
      <c r="E39" s="1112">
        <f>($C39*0.02)+$C39</f>
        <v>1632</v>
      </c>
      <c r="F39" s="1112">
        <f>($C39*0.03)+$C39</f>
        <v>1648</v>
      </c>
      <c r="G39" s="1112">
        <f>($C39*0.04)+$C39</f>
        <v>1664</v>
      </c>
      <c r="H39" s="1112">
        <f>($C39*0.05)+$C39</f>
        <v>1680</v>
      </c>
      <c r="I39" s="1112">
        <f>($C39*0.06)+$C39</f>
        <v>1696</v>
      </c>
      <c r="J39" s="1112">
        <f>($C39*0.07)+$C39</f>
        <v>1712</v>
      </c>
      <c r="K39" s="1112">
        <f>($C39*0.08)+$C39</f>
        <v>1728</v>
      </c>
      <c r="L39" s="1112">
        <f>($C39*0.09)+$C39</f>
        <v>1744</v>
      </c>
      <c r="M39" s="1112">
        <f>($C39*0.1)+$C39</f>
        <v>1760</v>
      </c>
      <c r="N39" s="1112">
        <f>($C39*0.11)+$C39</f>
        <v>1776</v>
      </c>
      <c r="O39" s="1112">
        <f>($C39*0.12)+$C39</f>
        <v>1792</v>
      </c>
      <c r="P39" s="1112">
        <f>($C39*0.13)+$C39</f>
        <v>1808</v>
      </c>
      <c r="Q39" s="1112">
        <f>($C39*0.14)+$C39</f>
        <v>1824</v>
      </c>
      <c r="R39" s="1112">
        <f>($C39*0.15)+$C39</f>
        <v>1840</v>
      </c>
      <c r="S39" s="1112">
        <f>($C39*0.16)+$C39</f>
        <v>1856</v>
      </c>
      <c r="T39" s="1112">
        <f>($C39*0.17)+$C39</f>
        <v>1872</v>
      </c>
      <c r="U39" s="1112">
        <f>($C39*0.18)+$C39</f>
        <v>1888</v>
      </c>
      <c r="V39" s="1112">
        <f>($C39*0.19)+$C39</f>
        <v>1904</v>
      </c>
      <c r="W39" s="1112">
        <f>($C39*0.2)+$C39</f>
        <v>1920</v>
      </c>
      <c r="X39" s="1112">
        <f>($C39*0.21)+$C39</f>
        <v>1936</v>
      </c>
      <c r="Y39" s="1112">
        <f>($C39*0.22)+$C39</f>
        <v>1952</v>
      </c>
      <c r="Z39" s="1112">
        <f>($C39*0.23)+$C39</f>
        <v>1968</v>
      </c>
      <c r="AA39" s="1112">
        <f>($C39*0.24)+$C39</f>
        <v>1984</v>
      </c>
      <c r="AB39" s="1112">
        <f>($C39*0.25)+$C39</f>
        <v>2000</v>
      </c>
      <c r="AC39" s="1112">
        <f>($C39*0.26)+$C39</f>
        <v>2016</v>
      </c>
      <c r="AD39" s="1112">
        <f>($C39*0.27)+$C39</f>
        <v>2032</v>
      </c>
      <c r="AE39" s="1112">
        <f>($C39*0.28)+$C39</f>
        <v>2048</v>
      </c>
      <c r="AF39" s="1112">
        <f>($C39*0.29)+$C39</f>
        <v>2064</v>
      </c>
      <c r="AG39" s="1112">
        <f>($C39*0.3)+$C39</f>
        <v>2080</v>
      </c>
    </row>
    <row r="40" spans="1:33" ht="15">
      <c r="A40" s="7" t="s">
        <v>37633</v>
      </c>
      <c r="B40" s="7" t="s">
        <v>37636</v>
      </c>
      <c r="C40" s="8">
        <v>1000</v>
      </c>
      <c r="D40" s="1112">
        <f>($C40*0.01)+$C40</f>
        <v>1010</v>
      </c>
      <c r="E40" s="1112">
        <f>($C40*0.02)+$C40</f>
        <v>1020</v>
      </c>
      <c r="F40" s="1112">
        <f>($C40*0.03)+$C40</f>
        <v>1030</v>
      </c>
      <c r="G40" s="1112">
        <f>($C40*0.04)+$C40</f>
        <v>1040</v>
      </c>
      <c r="H40" s="1112">
        <f>($C40*0.05)+$C40</f>
        <v>1050</v>
      </c>
      <c r="I40" s="1112">
        <f>($C40*0.06)+$C40</f>
        <v>1060</v>
      </c>
      <c r="J40" s="1112">
        <f>($C40*0.07)+$C40</f>
        <v>1070</v>
      </c>
      <c r="K40" s="1112">
        <f>($C40*0.08)+$C40</f>
        <v>1080</v>
      </c>
      <c r="L40" s="1112">
        <f>($C40*0.09)+$C40</f>
        <v>1090</v>
      </c>
      <c r="M40" s="1112">
        <f>($C40*0.1)+$C40</f>
        <v>1100</v>
      </c>
      <c r="N40" s="1112">
        <f>($C40*0.11)+$C40</f>
        <v>1110</v>
      </c>
      <c r="O40" s="1112">
        <f>($C40*0.12)+$C40</f>
        <v>1120</v>
      </c>
      <c r="P40" s="1112">
        <f>($C40*0.13)+$C40</f>
        <v>1130</v>
      </c>
      <c r="Q40" s="1112">
        <f>($C40*0.14)+$C40</f>
        <v>1140</v>
      </c>
      <c r="R40" s="1112">
        <f>($C40*0.15)+$C40</f>
        <v>1150</v>
      </c>
      <c r="S40" s="1112">
        <f>($C40*0.16)+$C40</f>
        <v>1160</v>
      </c>
      <c r="T40" s="1112">
        <f>($C40*0.17)+$C40</f>
        <v>1170</v>
      </c>
      <c r="U40" s="1112">
        <f>($C40*0.18)+$C40</f>
        <v>1180</v>
      </c>
      <c r="V40" s="1112">
        <f>($C40*0.19)+$C40</f>
        <v>1190</v>
      </c>
      <c r="W40" s="1112">
        <f>($C40*0.2)+$C40</f>
        <v>1200</v>
      </c>
      <c r="X40" s="1112">
        <f>($C40*0.21)+$C40</f>
        <v>1210</v>
      </c>
      <c r="Y40" s="1112">
        <f>($C40*0.22)+$C40</f>
        <v>1220</v>
      </c>
      <c r="Z40" s="1112">
        <f>($C40*0.23)+$C40</f>
        <v>1230</v>
      </c>
      <c r="AA40" s="1112">
        <f>($C40*0.24)+$C40</f>
        <v>1240</v>
      </c>
      <c r="AB40" s="1112">
        <f>($C40*0.25)+$C40</f>
        <v>1250</v>
      </c>
      <c r="AC40" s="1112">
        <f>($C40*0.26)+$C40</f>
        <v>1260</v>
      </c>
      <c r="AD40" s="1112">
        <f>($C40*0.27)+$C40</f>
        <v>1270</v>
      </c>
      <c r="AE40" s="1112">
        <f>($C40*0.28)+$C40</f>
        <v>1280</v>
      </c>
      <c r="AF40" s="1112">
        <f>($C40*0.29)+$C40</f>
        <v>1290</v>
      </c>
      <c r="AG40" s="1112">
        <f>($C40*0.3)+$C40</f>
        <v>1300</v>
      </c>
    </row>
    <row r="41" spans="1:33" ht="15">
      <c r="A41" s="7" t="s">
        <v>37633</v>
      </c>
      <c r="B41" s="7" t="s">
        <v>37637</v>
      </c>
      <c r="C41" s="8">
        <v>1100</v>
      </c>
      <c r="D41" s="1112">
        <f>($C41*0.01)+$C41</f>
        <v>1111</v>
      </c>
      <c r="E41" s="1112">
        <f>($C41*0.02)+$C41</f>
        <v>1122</v>
      </c>
      <c r="F41" s="1112">
        <f>($C41*0.03)+$C41</f>
        <v>1133</v>
      </c>
      <c r="G41" s="1112">
        <f>($C41*0.04)+$C41</f>
        <v>1144</v>
      </c>
      <c r="H41" s="1112">
        <f>($C41*0.05)+$C41</f>
        <v>1155</v>
      </c>
      <c r="I41" s="1112">
        <f>($C41*0.06)+$C41</f>
        <v>1166</v>
      </c>
      <c r="J41" s="1112">
        <f>($C41*0.07)+$C41</f>
        <v>1177</v>
      </c>
      <c r="K41" s="1112">
        <f>($C41*0.08)+$C41</f>
        <v>1188</v>
      </c>
      <c r="L41" s="1112">
        <f>($C41*0.09)+$C41</f>
        <v>1199</v>
      </c>
      <c r="M41" s="1112">
        <f>($C41*0.1)+$C41</f>
        <v>1210</v>
      </c>
      <c r="N41" s="1112">
        <f>($C41*0.11)+$C41</f>
        <v>1221</v>
      </c>
      <c r="O41" s="1112">
        <f>($C41*0.12)+$C41</f>
        <v>1232</v>
      </c>
      <c r="P41" s="1112">
        <f>($C41*0.13)+$C41</f>
        <v>1243</v>
      </c>
      <c r="Q41" s="1112">
        <f>($C41*0.14)+$C41</f>
        <v>1254</v>
      </c>
      <c r="R41" s="1112">
        <f>($C41*0.15)+$C41</f>
        <v>1265</v>
      </c>
      <c r="S41" s="1112">
        <f>($C41*0.16)+$C41</f>
        <v>1276</v>
      </c>
      <c r="T41" s="1112">
        <f>($C41*0.17)+$C41</f>
        <v>1287</v>
      </c>
      <c r="U41" s="1112">
        <f>($C41*0.18)+$C41</f>
        <v>1298</v>
      </c>
      <c r="V41" s="1112">
        <f>($C41*0.19)+$C41</f>
        <v>1309</v>
      </c>
      <c r="W41" s="1112">
        <f>($C41*0.2)+$C41</f>
        <v>1320</v>
      </c>
      <c r="X41" s="1112">
        <f>($C41*0.21)+$C41</f>
        <v>1331</v>
      </c>
      <c r="Y41" s="1112">
        <f>($C41*0.22)+$C41</f>
        <v>1342</v>
      </c>
      <c r="Z41" s="1112">
        <f>($C41*0.23)+$C41</f>
        <v>1353</v>
      </c>
      <c r="AA41" s="1112">
        <f>($C41*0.24)+$C41</f>
        <v>1364</v>
      </c>
      <c r="AB41" s="1112">
        <f>($C41*0.25)+$C41</f>
        <v>1375</v>
      </c>
      <c r="AC41" s="1112">
        <f>($C41*0.26)+$C41</f>
        <v>1386</v>
      </c>
      <c r="AD41" s="1112">
        <f>($C41*0.27)+$C41</f>
        <v>1397</v>
      </c>
      <c r="AE41" s="1112">
        <f>($C41*0.28)+$C41</f>
        <v>1408</v>
      </c>
      <c r="AF41" s="1112">
        <f>($C41*0.29)+$C41</f>
        <v>1419</v>
      </c>
      <c r="AG41" s="1112">
        <f>($C41*0.3)+$C41</f>
        <v>1430</v>
      </c>
    </row>
    <row r="42" spans="1:33" ht="15">
      <c r="A42" s="7" t="s">
        <v>37633</v>
      </c>
      <c r="B42" s="7" t="s">
        <v>37638</v>
      </c>
      <c r="C42" s="8">
        <v>1400</v>
      </c>
      <c r="D42" s="1112">
        <f>($C42*0.01)+$C42</f>
        <v>1414</v>
      </c>
      <c r="E42" s="1112">
        <f>($C42*0.02)+$C42</f>
        <v>1428</v>
      </c>
      <c r="F42" s="1112">
        <f>($C42*0.03)+$C42</f>
        <v>1442</v>
      </c>
      <c r="G42" s="1112">
        <f>($C42*0.04)+$C42</f>
        <v>1456</v>
      </c>
      <c r="H42" s="1112">
        <f>($C42*0.05)+$C42</f>
        <v>1470</v>
      </c>
      <c r="I42" s="1112">
        <f>($C42*0.06)+$C42</f>
        <v>1484</v>
      </c>
      <c r="J42" s="1112">
        <f>($C42*0.07)+$C42</f>
        <v>1498</v>
      </c>
      <c r="K42" s="1112">
        <f>($C42*0.08)+$C42</f>
        <v>1512</v>
      </c>
      <c r="L42" s="1112">
        <f>($C42*0.09)+$C42</f>
        <v>1526</v>
      </c>
      <c r="M42" s="1112">
        <f>($C42*0.1)+$C42</f>
        <v>1540</v>
      </c>
      <c r="N42" s="1112">
        <f>($C42*0.11)+$C42</f>
        <v>1554</v>
      </c>
      <c r="O42" s="1112">
        <f>($C42*0.12)+$C42</f>
        <v>1568</v>
      </c>
      <c r="P42" s="1112">
        <f>($C42*0.13)+$C42</f>
        <v>1582</v>
      </c>
      <c r="Q42" s="1112">
        <f>($C42*0.14)+$C42</f>
        <v>1596</v>
      </c>
      <c r="R42" s="1112">
        <f>($C42*0.15)+$C42</f>
        <v>1610</v>
      </c>
      <c r="S42" s="1112">
        <f>($C42*0.16)+$C42</f>
        <v>1624</v>
      </c>
      <c r="T42" s="1112">
        <f>($C42*0.17)+$C42</f>
        <v>1638</v>
      </c>
      <c r="U42" s="1112">
        <f>($C42*0.18)+$C42</f>
        <v>1652</v>
      </c>
      <c r="V42" s="1112">
        <f>($C42*0.19)+$C42</f>
        <v>1666</v>
      </c>
      <c r="W42" s="1112">
        <f>($C42*0.2)+$C42</f>
        <v>1680</v>
      </c>
      <c r="X42" s="1112">
        <f>($C42*0.21)+$C42</f>
        <v>1694</v>
      </c>
      <c r="Y42" s="1112">
        <f>($C42*0.22)+$C42</f>
        <v>1708</v>
      </c>
      <c r="Z42" s="1112">
        <f>($C42*0.23)+$C42</f>
        <v>1722</v>
      </c>
      <c r="AA42" s="1112">
        <f>($C42*0.24)+$C42</f>
        <v>1736</v>
      </c>
      <c r="AB42" s="1112">
        <f>($C42*0.25)+$C42</f>
        <v>1750</v>
      </c>
      <c r="AC42" s="1112">
        <f>($C42*0.26)+$C42</f>
        <v>1764</v>
      </c>
      <c r="AD42" s="1112">
        <f>($C42*0.27)+$C42</f>
        <v>1778</v>
      </c>
      <c r="AE42" s="1112">
        <f>($C42*0.28)+$C42</f>
        <v>1792</v>
      </c>
      <c r="AF42" s="1112">
        <f>($C42*0.29)+$C42</f>
        <v>1806</v>
      </c>
      <c r="AG42" s="1112">
        <f>($C42*0.3)+$C42</f>
        <v>1820</v>
      </c>
    </row>
    <row r="43" spans="1:33" ht="15">
      <c r="A43" s="7" t="s">
        <v>37633</v>
      </c>
      <c r="B43" s="7" t="s">
        <v>37639</v>
      </c>
      <c r="C43" s="8">
        <v>1500</v>
      </c>
      <c r="D43" s="1112">
        <f>($C43*0.01)+$C43</f>
        <v>1515</v>
      </c>
      <c r="E43" s="1112">
        <f>($C43*0.02)+$C43</f>
        <v>1530</v>
      </c>
      <c r="F43" s="1112">
        <f>($C43*0.03)+$C43</f>
        <v>1545</v>
      </c>
      <c r="G43" s="1112">
        <f>($C43*0.04)+$C43</f>
        <v>1560</v>
      </c>
      <c r="H43" s="1112">
        <f>($C43*0.05)+$C43</f>
        <v>1575</v>
      </c>
      <c r="I43" s="1112">
        <f>($C43*0.06)+$C43</f>
        <v>1590</v>
      </c>
      <c r="J43" s="1112">
        <f>($C43*0.07)+$C43</f>
        <v>1605</v>
      </c>
      <c r="K43" s="1112">
        <f>($C43*0.08)+$C43</f>
        <v>1620</v>
      </c>
      <c r="L43" s="1112">
        <f>($C43*0.09)+$C43</f>
        <v>1635</v>
      </c>
      <c r="M43" s="1112">
        <f>($C43*0.1)+$C43</f>
        <v>1650</v>
      </c>
      <c r="N43" s="1112">
        <f>($C43*0.11)+$C43</f>
        <v>1665</v>
      </c>
      <c r="O43" s="1112">
        <f>($C43*0.12)+$C43</f>
        <v>1680</v>
      </c>
      <c r="P43" s="1112">
        <f>($C43*0.13)+$C43</f>
        <v>1695</v>
      </c>
      <c r="Q43" s="1112">
        <f>($C43*0.14)+$C43</f>
        <v>1710</v>
      </c>
      <c r="R43" s="1112">
        <f>($C43*0.15)+$C43</f>
        <v>1725</v>
      </c>
      <c r="S43" s="1112">
        <f>($C43*0.16)+$C43</f>
        <v>1740</v>
      </c>
      <c r="T43" s="1112">
        <f>($C43*0.17)+$C43</f>
        <v>1755</v>
      </c>
      <c r="U43" s="1112">
        <f>($C43*0.18)+$C43</f>
        <v>1770</v>
      </c>
      <c r="V43" s="1112">
        <f>($C43*0.19)+$C43</f>
        <v>1785</v>
      </c>
      <c r="W43" s="1112">
        <f>($C43*0.2)+$C43</f>
        <v>1800</v>
      </c>
      <c r="X43" s="1112">
        <f>($C43*0.21)+$C43</f>
        <v>1815</v>
      </c>
      <c r="Y43" s="1112">
        <f>($C43*0.22)+$C43</f>
        <v>1830</v>
      </c>
      <c r="Z43" s="1112">
        <f>($C43*0.23)+$C43</f>
        <v>1845</v>
      </c>
      <c r="AA43" s="1112">
        <f>($C43*0.24)+$C43</f>
        <v>1860</v>
      </c>
      <c r="AB43" s="1112">
        <f>($C43*0.25)+$C43</f>
        <v>1875</v>
      </c>
      <c r="AC43" s="1112">
        <f>($C43*0.26)+$C43</f>
        <v>1890</v>
      </c>
      <c r="AD43" s="1112">
        <f>($C43*0.27)+$C43</f>
        <v>1905</v>
      </c>
      <c r="AE43" s="1112">
        <f>($C43*0.28)+$C43</f>
        <v>1920</v>
      </c>
      <c r="AF43" s="1112">
        <f>($C43*0.29)+$C43</f>
        <v>1935</v>
      </c>
      <c r="AG43" s="1112">
        <f>($C43*0.3)+$C43</f>
        <v>1950</v>
      </c>
    </row>
    <row r="44" spans="1:33" ht="15">
      <c r="A44" s="7" t="s">
        <v>37633</v>
      </c>
      <c r="B44" s="7" t="s">
        <v>37640</v>
      </c>
      <c r="C44" s="8">
        <v>1600</v>
      </c>
      <c r="D44" s="1112">
        <f>($C44*0.01)+$C44</f>
        <v>1616</v>
      </c>
      <c r="E44" s="1112">
        <f>($C44*0.02)+$C44</f>
        <v>1632</v>
      </c>
      <c r="F44" s="1112">
        <f>($C44*0.03)+$C44</f>
        <v>1648</v>
      </c>
      <c r="G44" s="1112">
        <f>($C44*0.04)+$C44</f>
        <v>1664</v>
      </c>
      <c r="H44" s="1112">
        <f>($C44*0.05)+$C44</f>
        <v>1680</v>
      </c>
      <c r="I44" s="1112">
        <f>($C44*0.06)+$C44</f>
        <v>1696</v>
      </c>
      <c r="J44" s="1112">
        <f>($C44*0.07)+$C44</f>
        <v>1712</v>
      </c>
      <c r="K44" s="1112">
        <f>($C44*0.08)+$C44</f>
        <v>1728</v>
      </c>
      <c r="L44" s="1112">
        <f>($C44*0.09)+$C44</f>
        <v>1744</v>
      </c>
      <c r="M44" s="1112">
        <f>($C44*0.1)+$C44</f>
        <v>1760</v>
      </c>
      <c r="N44" s="1112">
        <f>($C44*0.11)+$C44</f>
        <v>1776</v>
      </c>
      <c r="O44" s="1112">
        <f>($C44*0.12)+$C44</f>
        <v>1792</v>
      </c>
      <c r="P44" s="1112">
        <f>($C44*0.13)+$C44</f>
        <v>1808</v>
      </c>
      <c r="Q44" s="1112">
        <f>($C44*0.14)+$C44</f>
        <v>1824</v>
      </c>
      <c r="R44" s="1112">
        <f>($C44*0.15)+$C44</f>
        <v>1840</v>
      </c>
      <c r="S44" s="1112">
        <f>($C44*0.16)+$C44</f>
        <v>1856</v>
      </c>
      <c r="T44" s="1112">
        <f>($C44*0.17)+$C44</f>
        <v>1872</v>
      </c>
      <c r="U44" s="1112">
        <f>($C44*0.18)+$C44</f>
        <v>1888</v>
      </c>
      <c r="V44" s="1112">
        <f>($C44*0.19)+$C44</f>
        <v>1904</v>
      </c>
      <c r="W44" s="1112">
        <f>($C44*0.2)+$C44</f>
        <v>1920</v>
      </c>
      <c r="X44" s="1112">
        <f>($C44*0.21)+$C44</f>
        <v>1936</v>
      </c>
      <c r="Y44" s="1112">
        <f>($C44*0.22)+$C44</f>
        <v>1952</v>
      </c>
      <c r="Z44" s="1112">
        <f>($C44*0.23)+$C44</f>
        <v>1968</v>
      </c>
      <c r="AA44" s="1112">
        <f>($C44*0.24)+$C44</f>
        <v>1984</v>
      </c>
      <c r="AB44" s="1112">
        <f>($C44*0.25)+$C44</f>
        <v>2000</v>
      </c>
      <c r="AC44" s="1112">
        <f>($C44*0.26)+$C44</f>
        <v>2016</v>
      </c>
      <c r="AD44" s="1112">
        <f>($C44*0.27)+$C44</f>
        <v>2032</v>
      </c>
      <c r="AE44" s="1112">
        <f>($C44*0.28)+$C44</f>
        <v>2048</v>
      </c>
      <c r="AF44" s="1112">
        <f>($C44*0.29)+$C44</f>
        <v>2064</v>
      </c>
      <c r="AG44" s="1112">
        <f>($C44*0.3)+$C44</f>
        <v>2080</v>
      </c>
    </row>
    <row r="45" spans="1:33" ht="15">
      <c r="A45" s="7" t="s">
        <v>37633</v>
      </c>
      <c r="B45" s="7" t="s">
        <v>37641</v>
      </c>
      <c r="C45" s="8">
        <v>1700</v>
      </c>
      <c r="D45" s="1112">
        <f>($C45*0.01)+$C45</f>
        <v>1717</v>
      </c>
      <c r="E45" s="1112">
        <f>($C45*0.02)+$C45</f>
        <v>1734</v>
      </c>
      <c r="F45" s="1112">
        <f>($C45*0.03)+$C45</f>
        <v>1751</v>
      </c>
      <c r="G45" s="1112">
        <f>($C45*0.04)+$C45</f>
        <v>1768</v>
      </c>
      <c r="H45" s="1112">
        <f>($C45*0.05)+$C45</f>
        <v>1785</v>
      </c>
      <c r="I45" s="1112">
        <f>($C45*0.06)+$C45</f>
        <v>1802</v>
      </c>
      <c r="J45" s="1112">
        <f>($C45*0.07)+$C45</f>
        <v>1819</v>
      </c>
      <c r="K45" s="1112">
        <f>($C45*0.08)+$C45</f>
        <v>1836</v>
      </c>
      <c r="L45" s="1112">
        <f>($C45*0.09)+$C45</f>
        <v>1853</v>
      </c>
      <c r="M45" s="1112">
        <f>($C45*0.1)+$C45</f>
        <v>1870</v>
      </c>
      <c r="N45" s="1112">
        <f>($C45*0.11)+$C45</f>
        <v>1887</v>
      </c>
      <c r="O45" s="1112">
        <f>($C45*0.12)+$C45</f>
        <v>1904</v>
      </c>
      <c r="P45" s="1112">
        <f>($C45*0.13)+$C45</f>
        <v>1921</v>
      </c>
      <c r="Q45" s="1112">
        <f>($C45*0.14)+$C45</f>
        <v>1938</v>
      </c>
      <c r="R45" s="1112">
        <f>($C45*0.15)+$C45</f>
        <v>1955</v>
      </c>
      <c r="S45" s="1112">
        <f>($C45*0.16)+$C45</f>
        <v>1972</v>
      </c>
      <c r="T45" s="1112">
        <f>($C45*0.17)+$C45</f>
        <v>1989</v>
      </c>
      <c r="U45" s="1112">
        <f>($C45*0.18)+$C45</f>
        <v>2006</v>
      </c>
      <c r="V45" s="1112">
        <f>($C45*0.19)+$C45</f>
        <v>2023</v>
      </c>
      <c r="W45" s="1112">
        <f>($C45*0.2)+$C45</f>
        <v>2040</v>
      </c>
      <c r="X45" s="1112">
        <f>($C45*0.21)+$C45</f>
        <v>2057</v>
      </c>
      <c r="Y45" s="1112">
        <f>($C45*0.22)+$C45</f>
        <v>2074</v>
      </c>
      <c r="Z45" s="1112">
        <f>($C45*0.23)+$C45</f>
        <v>2091</v>
      </c>
      <c r="AA45" s="1112">
        <f>($C45*0.24)+$C45</f>
        <v>2108</v>
      </c>
      <c r="AB45" s="1112">
        <f>($C45*0.25)+$C45</f>
        <v>2125</v>
      </c>
      <c r="AC45" s="1112">
        <f>($C45*0.26)+$C45</f>
        <v>2142</v>
      </c>
      <c r="AD45" s="1112">
        <f>($C45*0.27)+$C45</f>
        <v>2159</v>
      </c>
      <c r="AE45" s="1112">
        <f>($C45*0.28)+$C45</f>
        <v>2176</v>
      </c>
      <c r="AF45" s="1112">
        <f>($C45*0.29)+$C45</f>
        <v>2193</v>
      </c>
      <c r="AG45" s="1112">
        <f>($C45*0.3)+$C45</f>
        <v>2210</v>
      </c>
    </row>
    <row r="46" spans="1:33" ht="15">
      <c r="A46" s="7" t="s">
        <v>37642</v>
      </c>
      <c r="B46" s="7" t="s">
        <v>55237</v>
      </c>
      <c r="C46" s="8">
        <v>1200</v>
      </c>
      <c r="D46" s="1112">
        <f>($C46*0.01)+$C46</f>
        <v>1212</v>
      </c>
      <c r="E46" s="1112">
        <f>($C46*0.02)+$C46</f>
        <v>1224</v>
      </c>
      <c r="F46" s="1112">
        <f>($C46*0.03)+$C46</f>
        <v>1236</v>
      </c>
      <c r="G46" s="1112">
        <f>($C46*0.04)+$C46</f>
        <v>1248</v>
      </c>
      <c r="H46" s="1112">
        <f>($C46*0.05)+$C46</f>
        <v>1260</v>
      </c>
      <c r="I46" s="1112">
        <f>($C46*0.06)+$C46</f>
        <v>1272</v>
      </c>
      <c r="J46" s="1112">
        <f>($C46*0.07)+$C46</f>
        <v>1284</v>
      </c>
      <c r="K46" s="1112">
        <f>($C46*0.08)+$C46</f>
        <v>1296</v>
      </c>
      <c r="L46" s="1112">
        <f>($C46*0.09)+$C46</f>
        <v>1308</v>
      </c>
      <c r="M46" s="1112">
        <f>($C46*0.1)+$C46</f>
        <v>1320</v>
      </c>
      <c r="N46" s="1112">
        <f>($C46*0.11)+$C46</f>
        <v>1332</v>
      </c>
      <c r="O46" s="1112">
        <f>($C46*0.12)+$C46</f>
        <v>1344</v>
      </c>
      <c r="P46" s="1112">
        <f>($C46*0.13)+$C46</f>
        <v>1356</v>
      </c>
      <c r="Q46" s="1112">
        <f>($C46*0.14)+$C46</f>
        <v>1368</v>
      </c>
      <c r="R46" s="1112">
        <f>($C46*0.15)+$C46</f>
        <v>1380</v>
      </c>
      <c r="S46" s="1112">
        <f>($C46*0.16)+$C46</f>
        <v>1392</v>
      </c>
      <c r="T46" s="1112">
        <f>($C46*0.17)+$C46</f>
        <v>1404</v>
      </c>
      <c r="U46" s="1112">
        <f>($C46*0.18)+$C46</f>
        <v>1416</v>
      </c>
      <c r="V46" s="1112">
        <f>($C46*0.19)+$C46</f>
        <v>1428</v>
      </c>
      <c r="W46" s="1112">
        <f>($C46*0.2)+$C46</f>
        <v>1440</v>
      </c>
      <c r="X46" s="1112">
        <f>($C46*0.21)+$C46</f>
        <v>1452</v>
      </c>
      <c r="Y46" s="1112">
        <f>($C46*0.22)+$C46</f>
        <v>1464</v>
      </c>
      <c r="Z46" s="1112">
        <f>($C46*0.23)+$C46</f>
        <v>1476</v>
      </c>
      <c r="AA46" s="1112">
        <f>($C46*0.24)+$C46</f>
        <v>1488</v>
      </c>
      <c r="AB46" s="1112">
        <f>($C46*0.25)+$C46</f>
        <v>1500</v>
      </c>
      <c r="AC46" s="1112">
        <f>($C46*0.26)+$C46</f>
        <v>1512</v>
      </c>
      <c r="AD46" s="1112">
        <f>($C46*0.27)+$C46</f>
        <v>1524</v>
      </c>
      <c r="AE46" s="1112">
        <f>($C46*0.28)+$C46</f>
        <v>1536</v>
      </c>
      <c r="AF46" s="1112">
        <f>($C46*0.29)+$C46</f>
        <v>1548</v>
      </c>
      <c r="AG46" s="1112">
        <f>($C46*0.3)+$C46</f>
        <v>1560</v>
      </c>
    </row>
    <row r="47" spans="1:33" ht="15">
      <c r="A47" s="7" t="s">
        <v>37642</v>
      </c>
      <c r="B47" s="7" t="s">
        <v>55238</v>
      </c>
      <c r="C47" s="8">
        <v>1300</v>
      </c>
      <c r="D47" s="1112">
        <f>($C47*0.01)+$C47</f>
        <v>1313</v>
      </c>
      <c r="E47" s="1112">
        <f>($C47*0.02)+$C47</f>
        <v>1326</v>
      </c>
      <c r="F47" s="1112">
        <f>($C47*0.03)+$C47</f>
        <v>1339</v>
      </c>
      <c r="G47" s="1112">
        <f>($C47*0.04)+$C47</f>
        <v>1352</v>
      </c>
      <c r="H47" s="1112">
        <f>($C47*0.05)+$C47</f>
        <v>1365</v>
      </c>
      <c r="I47" s="1112">
        <f>($C47*0.06)+$C47</f>
        <v>1378</v>
      </c>
      <c r="J47" s="1112">
        <f>($C47*0.07)+$C47</f>
        <v>1391</v>
      </c>
      <c r="K47" s="1112">
        <f>($C47*0.08)+$C47</f>
        <v>1404</v>
      </c>
      <c r="L47" s="1112">
        <f>($C47*0.09)+$C47</f>
        <v>1417</v>
      </c>
      <c r="M47" s="1112">
        <f>($C47*0.1)+$C47</f>
        <v>1430</v>
      </c>
      <c r="N47" s="1112">
        <f>($C47*0.11)+$C47</f>
        <v>1443</v>
      </c>
      <c r="O47" s="1112">
        <f>($C47*0.12)+$C47</f>
        <v>1456</v>
      </c>
      <c r="P47" s="1112">
        <f>($C47*0.13)+$C47</f>
        <v>1469</v>
      </c>
      <c r="Q47" s="1112">
        <f>($C47*0.14)+$C47</f>
        <v>1482</v>
      </c>
      <c r="R47" s="1112">
        <f>($C47*0.15)+$C47</f>
        <v>1495</v>
      </c>
      <c r="S47" s="1112">
        <f>($C47*0.16)+$C47</f>
        <v>1508</v>
      </c>
      <c r="T47" s="1112">
        <f>($C47*0.17)+$C47</f>
        <v>1521</v>
      </c>
      <c r="U47" s="1112">
        <f>($C47*0.18)+$C47</f>
        <v>1534</v>
      </c>
      <c r="V47" s="1112">
        <f>($C47*0.19)+$C47</f>
        <v>1547</v>
      </c>
      <c r="W47" s="1112">
        <f>($C47*0.2)+$C47</f>
        <v>1560</v>
      </c>
      <c r="X47" s="1112">
        <f>($C47*0.21)+$C47</f>
        <v>1573</v>
      </c>
      <c r="Y47" s="1112">
        <f>($C47*0.22)+$C47</f>
        <v>1586</v>
      </c>
      <c r="Z47" s="1112">
        <f>($C47*0.23)+$C47</f>
        <v>1599</v>
      </c>
      <c r="AA47" s="1112">
        <f>($C47*0.24)+$C47</f>
        <v>1612</v>
      </c>
      <c r="AB47" s="1112">
        <f>($C47*0.25)+$C47</f>
        <v>1625</v>
      </c>
      <c r="AC47" s="1112">
        <f>($C47*0.26)+$C47</f>
        <v>1638</v>
      </c>
      <c r="AD47" s="1112">
        <f>($C47*0.27)+$C47</f>
        <v>1651</v>
      </c>
      <c r="AE47" s="1112">
        <f>($C47*0.28)+$C47</f>
        <v>1664</v>
      </c>
      <c r="AF47" s="1112">
        <f>($C47*0.29)+$C47</f>
        <v>1677</v>
      </c>
      <c r="AG47" s="1112">
        <f>($C47*0.3)+$C47</f>
        <v>1690</v>
      </c>
    </row>
    <row r="48" spans="1:33" ht="15">
      <c r="A48" s="7" t="s">
        <v>37642</v>
      </c>
      <c r="B48" s="7" t="s">
        <v>55239</v>
      </c>
      <c r="C48" s="8">
        <v>1400</v>
      </c>
      <c r="D48" s="1112">
        <f>($C48*0.01)+$C48</f>
        <v>1414</v>
      </c>
      <c r="E48" s="1112">
        <f>($C48*0.02)+$C48</f>
        <v>1428</v>
      </c>
      <c r="F48" s="1112">
        <f>($C48*0.03)+$C48</f>
        <v>1442</v>
      </c>
      <c r="G48" s="1112">
        <f>($C48*0.04)+$C48</f>
        <v>1456</v>
      </c>
      <c r="H48" s="1112">
        <f>($C48*0.05)+$C48</f>
        <v>1470</v>
      </c>
      <c r="I48" s="1112">
        <f>($C48*0.06)+$C48</f>
        <v>1484</v>
      </c>
      <c r="J48" s="1112">
        <f>($C48*0.07)+$C48</f>
        <v>1498</v>
      </c>
      <c r="K48" s="1112">
        <f>($C48*0.08)+$C48</f>
        <v>1512</v>
      </c>
      <c r="L48" s="1112">
        <f>($C48*0.09)+$C48</f>
        <v>1526</v>
      </c>
      <c r="M48" s="1112">
        <f>($C48*0.1)+$C48</f>
        <v>1540</v>
      </c>
      <c r="N48" s="1112">
        <f>($C48*0.11)+$C48</f>
        <v>1554</v>
      </c>
      <c r="O48" s="1112">
        <f>($C48*0.12)+$C48</f>
        <v>1568</v>
      </c>
      <c r="P48" s="1112">
        <f>($C48*0.13)+$C48</f>
        <v>1582</v>
      </c>
      <c r="Q48" s="1112">
        <f>($C48*0.14)+$C48</f>
        <v>1596</v>
      </c>
      <c r="R48" s="1112">
        <f>($C48*0.15)+$C48</f>
        <v>1610</v>
      </c>
      <c r="S48" s="1112">
        <f>($C48*0.16)+$C48</f>
        <v>1624</v>
      </c>
      <c r="T48" s="1112">
        <f>($C48*0.17)+$C48</f>
        <v>1638</v>
      </c>
      <c r="U48" s="1112">
        <f>($C48*0.18)+$C48</f>
        <v>1652</v>
      </c>
      <c r="V48" s="1112">
        <f>($C48*0.19)+$C48</f>
        <v>1666</v>
      </c>
      <c r="W48" s="1112">
        <f>($C48*0.2)+$C48</f>
        <v>1680</v>
      </c>
      <c r="X48" s="1112">
        <f>($C48*0.21)+$C48</f>
        <v>1694</v>
      </c>
      <c r="Y48" s="1112">
        <f>($C48*0.22)+$C48</f>
        <v>1708</v>
      </c>
      <c r="Z48" s="1112">
        <f>($C48*0.23)+$C48</f>
        <v>1722</v>
      </c>
      <c r="AA48" s="1112">
        <f>($C48*0.24)+$C48</f>
        <v>1736</v>
      </c>
      <c r="AB48" s="1112">
        <f>($C48*0.25)+$C48</f>
        <v>1750</v>
      </c>
      <c r="AC48" s="1112">
        <f>($C48*0.26)+$C48</f>
        <v>1764</v>
      </c>
      <c r="AD48" s="1112">
        <f>($C48*0.27)+$C48</f>
        <v>1778</v>
      </c>
      <c r="AE48" s="1112">
        <f>($C48*0.28)+$C48</f>
        <v>1792</v>
      </c>
      <c r="AF48" s="1112">
        <f>($C48*0.29)+$C48</f>
        <v>1806</v>
      </c>
      <c r="AG48" s="1112">
        <f>($C48*0.3)+$C48</f>
        <v>1820</v>
      </c>
    </row>
    <row r="49" spans="1:33" ht="15">
      <c r="A49" s="7" t="s">
        <v>37642</v>
      </c>
      <c r="B49" s="7" t="s">
        <v>55240</v>
      </c>
      <c r="C49" s="8">
        <v>1600</v>
      </c>
      <c r="D49" s="1112">
        <f>($C49*0.01)+$C49</f>
        <v>1616</v>
      </c>
      <c r="E49" s="1112">
        <f>($C49*0.02)+$C49</f>
        <v>1632</v>
      </c>
      <c r="F49" s="1112">
        <f>($C49*0.03)+$C49</f>
        <v>1648</v>
      </c>
      <c r="G49" s="1112">
        <f>($C49*0.04)+$C49</f>
        <v>1664</v>
      </c>
      <c r="H49" s="1112">
        <f>($C49*0.05)+$C49</f>
        <v>1680</v>
      </c>
      <c r="I49" s="1112">
        <f>($C49*0.06)+$C49</f>
        <v>1696</v>
      </c>
      <c r="J49" s="1112">
        <f>($C49*0.07)+$C49</f>
        <v>1712</v>
      </c>
      <c r="K49" s="1112">
        <f>($C49*0.08)+$C49</f>
        <v>1728</v>
      </c>
      <c r="L49" s="1112">
        <f>($C49*0.09)+$C49</f>
        <v>1744</v>
      </c>
      <c r="M49" s="1112">
        <f>($C49*0.1)+$C49</f>
        <v>1760</v>
      </c>
      <c r="N49" s="1112">
        <f>($C49*0.11)+$C49</f>
        <v>1776</v>
      </c>
      <c r="O49" s="1112">
        <f>($C49*0.12)+$C49</f>
        <v>1792</v>
      </c>
      <c r="P49" s="1112">
        <f>($C49*0.13)+$C49</f>
        <v>1808</v>
      </c>
      <c r="Q49" s="1112">
        <f>($C49*0.14)+$C49</f>
        <v>1824</v>
      </c>
      <c r="R49" s="1112">
        <f>($C49*0.15)+$C49</f>
        <v>1840</v>
      </c>
      <c r="S49" s="1112">
        <f>($C49*0.16)+$C49</f>
        <v>1856</v>
      </c>
      <c r="T49" s="1112">
        <f>($C49*0.17)+$C49</f>
        <v>1872</v>
      </c>
      <c r="U49" s="1112">
        <f>($C49*0.18)+$C49</f>
        <v>1888</v>
      </c>
      <c r="V49" s="1112">
        <f>($C49*0.19)+$C49</f>
        <v>1904</v>
      </c>
      <c r="W49" s="1112">
        <f>($C49*0.2)+$C49</f>
        <v>1920</v>
      </c>
      <c r="X49" s="1112">
        <f>($C49*0.21)+$C49</f>
        <v>1936</v>
      </c>
      <c r="Y49" s="1112">
        <f>($C49*0.22)+$C49</f>
        <v>1952</v>
      </c>
      <c r="Z49" s="1112">
        <f>($C49*0.23)+$C49</f>
        <v>1968</v>
      </c>
      <c r="AA49" s="1112">
        <f>($C49*0.24)+$C49</f>
        <v>1984</v>
      </c>
      <c r="AB49" s="1112">
        <f>($C49*0.25)+$C49</f>
        <v>2000</v>
      </c>
      <c r="AC49" s="1112">
        <f>($C49*0.26)+$C49</f>
        <v>2016</v>
      </c>
      <c r="AD49" s="1112">
        <f>($C49*0.27)+$C49</f>
        <v>2032</v>
      </c>
      <c r="AE49" s="1112">
        <f>($C49*0.28)+$C49</f>
        <v>2048</v>
      </c>
      <c r="AF49" s="1112">
        <f>($C49*0.29)+$C49</f>
        <v>2064</v>
      </c>
      <c r="AG49" s="1112">
        <f>($C49*0.3)+$C49</f>
        <v>2080</v>
      </c>
    </row>
    <row r="50" spans="1:33" ht="15">
      <c r="A50" s="7" t="s">
        <v>37642</v>
      </c>
      <c r="B50" s="7" t="s">
        <v>55241</v>
      </c>
      <c r="C50" s="8">
        <v>1800</v>
      </c>
      <c r="D50" s="1112">
        <f>($C50*0.01)+$C50</f>
        <v>1818</v>
      </c>
      <c r="E50" s="1112">
        <f>($C50*0.02)+$C50</f>
        <v>1836</v>
      </c>
      <c r="F50" s="1112">
        <f>($C50*0.03)+$C50</f>
        <v>1854</v>
      </c>
      <c r="G50" s="1112">
        <f>($C50*0.04)+$C50</f>
        <v>1872</v>
      </c>
      <c r="H50" s="1112">
        <f>($C50*0.05)+$C50</f>
        <v>1890</v>
      </c>
      <c r="I50" s="1112">
        <f>($C50*0.06)+$C50</f>
        <v>1908</v>
      </c>
      <c r="J50" s="1112">
        <f>($C50*0.07)+$C50</f>
        <v>1926</v>
      </c>
      <c r="K50" s="1112">
        <f>($C50*0.08)+$C50</f>
        <v>1944</v>
      </c>
      <c r="L50" s="1112">
        <f>($C50*0.09)+$C50</f>
        <v>1962</v>
      </c>
      <c r="M50" s="1112">
        <f>($C50*0.1)+$C50</f>
        <v>1980</v>
      </c>
      <c r="N50" s="1112">
        <f>($C50*0.11)+$C50</f>
        <v>1998</v>
      </c>
      <c r="O50" s="1112">
        <f>($C50*0.12)+$C50</f>
        <v>2016</v>
      </c>
      <c r="P50" s="1112">
        <f>($C50*0.13)+$C50</f>
        <v>2034</v>
      </c>
      <c r="Q50" s="1112">
        <f>($C50*0.14)+$C50</f>
        <v>2052</v>
      </c>
      <c r="R50" s="1112">
        <f>($C50*0.15)+$C50</f>
        <v>2070</v>
      </c>
      <c r="S50" s="1112">
        <f>($C50*0.16)+$C50</f>
        <v>2088</v>
      </c>
      <c r="T50" s="1112">
        <f>($C50*0.17)+$C50</f>
        <v>2106</v>
      </c>
      <c r="U50" s="1112">
        <f>($C50*0.18)+$C50</f>
        <v>2124</v>
      </c>
      <c r="V50" s="1112">
        <f>($C50*0.19)+$C50</f>
        <v>2142</v>
      </c>
      <c r="W50" s="1112">
        <f>($C50*0.2)+$C50</f>
        <v>2160</v>
      </c>
      <c r="X50" s="1112">
        <f>($C50*0.21)+$C50</f>
        <v>2178</v>
      </c>
      <c r="Y50" s="1112">
        <f>($C50*0.22)+$C50</f>
        <v>2196</v>
      </c>
      <c r="Z50" s="1112">
        <f>($C50*0.23)+$C50</f>
        <v>2214</v>
      </c>
      <c r="AA50" s="1112">
        <f>($C50*0.24)+$C50</f>
        <v>2232</v>
      </c>
      <c r="AB50" s="1112">
        <f>($C50*0.25)+$C50</f>
        <v>2250</v>
      </c>
      <c r="AC50" s="1112">
        <f>($C50*0.26)+$C50</f>
        <v>2268</v>
      </c>
      <c r="AD50" s="1112">
        <f>($C50*0.27)+$C50</f>
        <v>2286</v>
      </c>
      <c r="AE50" s="1112">
        <f>($C50*0.28)+$C50</f>
        <v>2304</v>
      </c>
      <c r="AF50" s="1112">
        <f>($C50*0.29)+$C50</f>
        <v>2322</v>
      </c>
      <c r="AG50" s="1112">
        <f>($C50*0.3)+$C50</f>
        <v>2340</v>
      </c>
    </row>
    <row r="51" spans="1:33" ht="30">
      <c r="A51" s="7" t="s">
        <v>21987</v>
      </c>
      <c r="B51" s="7" t="s">
        <v>55202</v>
      </c>
      <c r="C51" s="8">
        <v>5500</v>
      </c>
      <c r="D51" s="1112">
        <f>($C51*0.01)+$C51</f>
        <v>5555</v>
      </c>
      <c r="E51" s="1112">
        <f>($C51*0.02)+$C51</f>
        <v>5610</v>
      </c>
      <c r="F51" s="1112">
        <f>($C51*0.03)+$C51</f>
        <v>5665</v>
      </c>
      <c r="G51" s="1112">
        <f>($C51*0.04)+$C51</f>
        <v>5720</v>
      </c>
      <c r="H51" s="1112">
        <f>($C51*0.05)+$C51</f>
        <v>5775</v>
      </c>
      <c r="I51" s="1112">
        <f>($C51*0.06)+$C51</f>
        <v>5830</v>
      </c>
      <c r="J51" s="1112">
        <f>($C51*0.07)+$C51</f>
        <v>5885</v>
      </c>
      <c r="K51" s="1112">
        <f>($C51*0.08)+$C51</f>
        <v>5940</v>
      </c>
      <c r="L51" s="1112">
        <f>($C51*0.09)+$C51</f>
        <v>5995</v>
      </c>
      <c r="M51" s="1112">
        <f>($C51*0.1)+$C51</f>
        <v>6050</v>
      </c>
      <c r="N51" s="1112">
        <f>($C51*0.11)+$C51</f>
        <v>6105</v>
      </c>
      <c r="O51" s="1112">
        <f>($C51*0.12)+$C51</f>
        <v>6160</v>
      </c>
      <c r="P51" s="1112">
        <f>($C51*0.13)+$C51</f>
        <v>6215</v>
      </c>
      <c r="Q51" s="1112">
        <f>($C51*0.14)+$C51</f>
        <v>6270</v>
      </c>
      <c r="R51" s="1112">
        <f>($C51*0.15)+$C51</f>
        <v>6325</v>
      </c>
      <c r="S51" s="1112">
        <f>($C51*0.16)+$C51</f>
        <v>6380</v>
      </c>
      <c r="T51" s="1112">
        <f>($C51*0.17)+$C51</f>
        <v>6435</v>
      </c>
      <c r="U51" s="1112">
        <f>($C51*0.18)+$C51</f>
        <v>6490</v>
      </c>
      <c r="V51" s="1112">
        <f>($C51*0.19)+$C51</f>
        <v>6545</v>
      </c>
      <c r="W51" s="1112">
        <f>($C51*0.2)+$C51</f>
        <v>6600</v>
      </c>
      <c r="X51" s="1112">
        <f>($C51*0.21)+$C51</f>
        <v>6655</v>
      </c>
      <c r="Y51" s="1112">
        <f>($C51*0.22)+$C51</f>
        <v>6710</v>
      </c>
      <c r="Z51" s="1112">
        <f>($C51*0.23)+$C51</f>
        <v>6765</v>
      </c>
      <c r="AA51" s="1112">
        <f>($C51*0.24)+$C51</f>
        <v>6820</v>
      </c>
      <c r="AB51" s="1112">
        <f>($C51*0.25)+$C51</f>
        <v>6875</v>
      </c>
      <c r="AC51" s="1112">
        <f>($C51*0.26)+$C51</f>
        <v>6930</v>
      </c>
      <c r="AD51" s="1112">
        <f>($C51*0.27)+$C51</f>
        <v>6985</v>
      </c>
      <c r="AE51" s="1112">
        <f>($C51*0.28)+$C51</f>
        <v>7040</v>
      </c>
      <c r="AF51" s="1112">
        <f>($C51*0.29)+$C51</f>
        <v>7095</v>
      </c>
      <c r="AG51" s="1112">
        <f>($C51*0.3)+$C51</f>
        <v>7150</v>
      </c>
    </row>
    <row r="52" spans="1:33" ht="30">
      <c r="A52" s="7" t="s">
        <v>21988</v>
      </c>
      <c r="B52" s="7" t="s">
        <v>55203</v>
      </c>
      <c r="C52" s="8">
        <v>1000</v>
      </c>
      <c r="D52" s="1112">
        <f>($C52*0.01)+$C52</f>
        <v>1010</v>
      </c>
      <c r="E52" s="1112">
        <f>($C52*0.02)+$C52</f>
        <v>1020</v>
      </c>
      <c r="F52" s="1112">
        <f>($C52*0.03)+$C52</f>
        <v>1030</v>
      </c>
      <c r="G52" s="1112">
        <f>($C52*0.04)+$C52</f>
        <v>1040</v>
      </c>
      <c r="H52" s="1112">
        <f>($C52*0.05)+$C52</f>
        <v>1050</v>
      </c>
      <c r="I52" s="1112">
        <f>($C52*0.06)+$C52</f>
        <v>1060</v>
      </c>
      <c r="J52" s="1112">
        <f>($C52*0.07)+$C52</f>
        <v>1070</v>
      </c>
      <c r="K52" s="1112">
        <f>($C52*0.08)+$C52</f>
        <v>1080</v>
      </c>
      <c r="L52" s="1112">
        <f>($C52*0.09)+$C52</f>
        <v>1090</v>
      </c>
      <c r="M52" s="1112">
        <f>($C52*0.1)+$C52</f>
        <v>1100</v>
      </c>
      <c r="N52" s="1112">
        <f>($C52*0.11)+$C52</f>
        <v>1110</v>
      </c>
      <c r="O52" s="1112">
        <f>($C52*0.12)+$C52</f>
        <v>1120</v>
      </c>
      <c r="P52" s="1112">
        <f>($C52*0.13)+$C52</f>
        <v>1130</v>
      </c>
      <c r="Q52" s="1112">
        <f>($C52*0.14)+$C52</f>
        <v>1140</v>
      </c>
      <c r="R52" s="1112">
        <f>($C52*0.15)+$C52</f>
        <v>1150</v>
      </c>
      <c r="S52" s="1112">
        <f>($C52*0.16)+$C52</f>
        <v>1160</v>
      </c>
      <c r="T52" s="1112">
        <f>($C52*0.17)+$C52</f>
        <v>1170</v>
      </c>
      <c r="U52" s="1112">
        <f>($C52*0.18)+$C52</f>
        <v>1180</v>
      </c>
      <c r="V52" s="1112">
        <f>($C52*0.19)+$C52</f>
        <v>1190</v>
      </c>
      <c r="W52" s="1112">
        <f>($C52*0.2)+$C52</f>
        <v>1200</v>
      </c>
      <c r="X52" s="1112">
        <f>($C52*0.21)+$C52</f>
        <v>1210</v>
      </c>
      <c r="Y52" s="1112">
        <f>($C52*0.22)+$C52</f>
        <v>1220</v>
      </c>
      <c r="Z52" s="1112">
        <f>($C52*0.23)+$C52</f>
        <v>1230</v>
      </c>
      <c r="AA52" s="1112">
        <f>($C52*0.24)+$C52</f>
        <v>1240</v>
      </c>
      <c r="AB52" s="1112">
        <f>($C52*0.25)+$C52</f>
        <v>1250</v>
      </c>
      <c r="AC52" s="1112">
        <f>($C52*0.26)+$C52</f>
        <v>1260</v>
      </c>
      <c r="AD52" s="1112">
        <f>($C52*0.27)+$C52</f>
        <v>1270</v>
      </c>
      <c r="AE52" s="1112">
        <f>($C52*0.28)+$C52</f>
        <v>1280</v>
      </c>
      <c r="AF52" s="1112">
        <f>($C52*0.29)+$C52</f>
        <v>1290</v>
      </c>
      <c r="AG52" s="1112">
        <f>($C52*0.3)+$C52</f>
        <v>1300</v>
      </c>
    </row>
    <row r="53" spans="1:33" ht="45">
      <c r="A53" s="7" t="s">
        <v>21989</v>
      </c>
      <c r="B53" s="7" t="s">
        <v>55204</v>
      </c>
      <c r="C53" s="8">
        <v>1400</v>
      </c>
      <c r="D53" s="1112">
        <f>($C53*0.01)+$C53</f>
        <v>1414</v>
      </c>
      <c r="E53" s="1112">
        <f>($C53*0.02)+$C53</f>
        <v>1428</v>
      </c>
      <c r="F53" s="1112">
        <f>($C53*0.03)+$C53</f>
        <v>1442</v>
      </c>
      <c r="G53" s="1112">
        <f>($C53*0.04)+$C53</f>
        <v>1456</v>
      </c>
      <c r="H53" s="1112">
        <f>($C53*0.05)+$C53</f>
        <v>1470</v>
      </c>
      <c r="I53" s="1112">
        <f>($C53*0.06)+$C53</f>
        <v>1484</v>
      </c>
      <c r="J53" s="1112">
        <f>($C53*0.07)+$C53</f>
        <v>1498</v>
      </c>
      <c r="K53" s="1112">
        <f>($C53*0.08)+$C53</f>
        <v>1512</v>
      </c>
      <c r="L53" s="1112">
        <f>($C53*0.09)+$C53</f>
        <v>1526</v>
      </c>
      <c r="M53" s="1112">
        <f>($C53*0.1)+$C53</f>
        <v>1540</v>
      </c>
      <c r="N53" s="1112">
        <f>($C53*0.11)+$C53</f>
        <v>1554</v>
      </c>
      <c r="O53" s="1112">
        <f>($C53*0.12)+$C53</f>
        <v>1568</v>
      </c>
      <c r="P53" s="1112">
        <f>($C53*0.13)+$C53</f>
        <v>1582</v>
      </c>
      <c r="Q53" s="1112">
        <f>($C53*0.14)+$C53</f>
        <v>1596</v>
      </c>
      <c r="R53" s="1112">
        <f>($C53*0.15)+$C53</f>
        <v>1610</v>
      </c>
      <c r="S53" s="1112">
        <f>($C53*0.16)+$C53</f>
        <v>1624</v>
      </c>
      <c r="T53" s="1112">
        <f>($C53*0.17)+$C53</f>
        <v>1638</v>
      </c>
      <c r="U53" s="1112">
        <f>($C53*0.18)+$C53</f>
        <v>1652</v>
      </c>
      <c r="V53" s="1112">
        <f>($C53*0.19)+$C53</f>
        <v>1666</v>
      </c>
      <c r="W53" s="1112">
        <f>($C53*0.2)+$C53</f>
        <v>1680</v>
      </c>
      <c r="X53" s="1112">
        <f>($C53*0.21)+$C53</f>
        <v>1694</v>
      </c>
      <c r="Y53" s="1112">
        <f>($C53*0.22)+$C53</f>
        <v>1708</v>
      </c>
      <c r="Z53" s="1112">
        <f>($C53*0.23)+$C53</f>
        <v>1722</v>
      </c>
      <c r="AA53" s="1112">
        <f>($C53*0.24)+$C53</f>
        <v>1736</v>
      </c>
      <c r="AB53" s="1112">
        <f>($C53*0.25)+$C53</f>
        <v>1750</v>
      </c>
      <c r="AC53" s="1112">
        <f>($C53*0.26)+$C53</f>
        <v>1764</v>
      </c>
      <c r="AD53" s="1112">
        <f>($C53*0.27)+$C53</f>
        <v>1778</v>
      </c>
      <c r="AE53" s="1112">
        <f>($C53*0.28)+$C53</f>
        <v>1792</v>
      </c>
      <c r="AF53" s="1112">
        <f>($C53*0.29)+$C53</f>
        <v>1806</v>
      </c>
      <c r="AG53" s="1112">
        <f>($C53*0.3)+$C53</f>
        <v>1820</v>
      </c>
    </row>
    <row r="54" spans="1:33" ht="30">
      <c r="A54" s="7" t="s">
        <v>21990</v>
      </c>
      <c r="B54" s="7" t="s">
        <v>55205</v>
      </c>
      <c r="C54" s="8">
        <v>1600</v>
      </c>
      <c r="D54" s="1112">
        <f>($C54*0.01)+$C54</f>
        <v>1616</v>
      </c>
      <c r="E54" s="1112">
        <f>($C54*0.02)+$C54</f>
        <v>1632</v>
      </c>
      <c r="F54" s="1112">
        <f>($C54*0.03)+$C54</f>
        <v>1648</v>
      </c>
      <c r="G54" s="1112">
        <f>($C54*0.04)+$C54</f>
        <v>1664</v>
      </c>
      <c r="H54" s="1112">
        <f>($C54*0.05)+$C54</f>
        <v>1680</v>
      </c>
      <c r="I54" s="1112">
        <f>($C54*0.06)+$C54</f>
        <v>1696</v>
      </c>
      <c r="J54" s="1112">
        <f>($C54*0.07)+$C54</f>
        <v>1712</v>
      </c>
      <c r="K54" s="1112">
        <f>($C54*0.08)+$C54</f>
        <v>1728</v>
      </c>
      <c r="L54" s="1112">
        <f>($C54*0.09)+$C54</f>
        <v>1744</v>
      </c>
      <c r="M54" s="1112">
        <f>($C54*0.1)+$C54</f>
        <v>1760</v>
      </c>
      <c r="N54" s="1112">
        <f>($C54*0.11)+$C54</f>
        <v>1776</v>
      </c>
      <c r="O54" s="1112">
        <f>($C54*0.12)+$C54</f>
        <v>1792</v>
      </c>
      <c r="P54" s="1112">
        <f>($C54*0.13)+$C54</f>
        <v>1808</v>
      </c>
      <c r="Q54" s="1112">
        <f>($C54*0.14)+$C54</f>
        <v>1824</v>
      </c>
      <c r="R54" s="1112">
        <f>($C54*0.15)+$C54</f>
        <v>1840</v>
      </c>
      <c r="S54" s="1112">
        <f>($C54*0.16)+$C54</f>
        <v>1856</v>
      </c>
      <c r="T54" s="1112">
        <f>($C54*0.17)+$C54</f>
        <v>1872</v>
      </c>
      <c r="U54" s="1112">
        <f>($C54*0.18)+$C54</f>
        <v>1888</v>
      </c>
      <c r="V54" s="1112">
        <f>($C54*0.19)+$C54</f>
        <v>1904</v>
      </c>
      <c r="W54" s="1112">
        <f>($C54*0.2)+$C54</f>
        <v>1920</v>
      </c>
      <c r="X54" s="1112">
        <f>($C54*0.21)+$C54</f>
        <v>1936</v>
      </c>
      <c r="Y54" s="1112">
        <f>($C54*0.22)+$C54</f>
        <v>1952</v>
      </c>
      <c r="Z54" s="1112">
        <f>($C54*0.23)+$C54</f>
        <v>1968</v>
      </c>
      <c r="AA54" s="1112">
        <f>($C54*0.24)+$C54</f>
        <v>1984</v>
      </c>
      <c r="AB54" s="1112">
        <f>($C54*0.25)+$C54</f>
        <v>2000</v>
      </c>
      <c r="AC54" s="1112">
        <f>($C54*0.26)+$C54</f>
        <v>2016</v>
      </c>
      <c r="AD54" s="1112">
        <f>($C54*0.27)+$C54</f>
        <v>2032</v>
      </c>
      <c r="AE54" s="1112">
        <f>($C54*0.28)+$C54</f>
        <v>2048</v>
      </c>
      <c r="AF54" s="1112">
        <f>($C54*0.29)+$C54</f>
        <v>2064</v>
      </c>
      <c r="AG54" s="1112">
        <f>($C54*0.3)+$C54</f>
        <v>2080</v>
      </c>
    </row>
    <row r="55" spans="1:33" ht="15">
      <c r="A55" s="7" t="s">
        <v>21991</v>
      </c>
      <c r="B55" s="7" t="s">
        <v>55206</v>
      </c>
      <c r="C55" s="8">
        <v>600</v>
      </c>
      <c r="D55" s="1112">
        <f>($C55*0.01)+$C55</f>
        <v>606</v>
      </c>
      <c r="E55" s="1112">
        <f>($C55*0.02)+$C55</f>
        <v>612</v>
      </c>
      <c r="F55" s="1112">
        <f>($C55*0.03)+$C55</f>
        <v>618</v>
      </c>
      <c r="G55" s="1112">
        <f>($C55*0.04)+$C55</f>
        <v>624</v>
      </c>
      <c r="H55" s="1112">
        <f>($C55*0.05)+$C55</f>
        <v>630</v>
      </c>
      <c r="I55" s="1112">
        <f>($C55*0.06)+$C55</f>
        <v>636</v>
      </c>
      <c r="J55" s="1112">
        <f>($C55*0.07)+$C55</f>
        <v>642</v>
      </c>
      <c r="K55" s="1112">
        <f>($C55*0.08)+$C55</f>
        <v>648</v>
      </c>
      <c r="L55" s="1112">
        <f>($C55*0.09)+$C55</f>
        <v>654</v>
      </c>
      <c r="M55" s="1112">
        <f>($C55*0.1)+$C55</f>
        <v>660</v>
      </c>
      <c r="N55" s="1112">
        <f>($C55*0.11)+$C55</f>
        <v>666</v>
      </c>
      <c r="O55" s="1112">
        <f>($C55*0.12)+$C55</f>
        <v>672</v>
      </c>
      <c r="P55" s="1112">
        <f>($C55*0.13)+$C55</f>
        <v>678</v>
      </c>
      <c r="Q55" s="1112">
        <f>($C55*0.14)+$C55</f>
        <v>684</v>
      </c>
      <c r="R55" s="1112">
        <f>($C55*0.15)+$C55</f>
        <v>690</v>
      </c>
      <c r="S55" s="1112">
        <f>($C55*0.16)+$C55</f>
        <v>696</v>
      </c>
      <c r="T55" s="1112">
        <f>($C55*0.17)+$C55</f>
        <v>702</v>
      </c>
      <c r="U55" s="1112">
        <f>($C55*0.18)+$C55</f>
        <v>708</v>
      </c>
      <c r="V55" s="1112">
        <f>($C55*0.19)+$C55</f>
        <v>714</v>
      </c>
      <c r="W55" s="1112">
        <f>($C55*0.2)+$C55</f>
        <v>720</v>
      </c>
      <c r="X55" s="1112">
        <f>($C55*0.21)+$C55</f>
        <v>726</v>
      </c>
      <c r="Y55" s="1112">
        <f>($C55*0.22)+$C55</f>
        <v>732</v>
      </c>
      <c r="Z55" s="1112">
        <f>($C55*0.23)+$C55</f>
        <v>738</v>
      </c>
      <c r="AA55" s="1112">
        <f>($C55*0.24)+$C55</f>
        <v>744</v>
      </c>
      <c r="AB55" s="1112">
        <f>($C55*0.25)+$C55</f>
        <v>750</v>
      </c>
      <c r="AC55" s="1112">
        <f>($C55*0.26)+$C55</f>
        <v>756</v>
      </c>
      <c r="AD55" s="1112">
        <f>($C55*0.27)+$C55</f>
        <v>762</v>
      </c>
      <c r="AE55" s="1112">
        <f>($C55*0.28)+$C55</f>
        <v>768</v>
      </c>
      <c r="AF55" s="1112">
        <f>($C55*0.29)+$C55</f>
        <v>774</v>
      </c>
      <c r="AG55" s="1112">
        <f>($C55*0.3)+$C55</f>
        <v>780</v>
      </c>
    </row>
    <row r="56" spans="1:33" ht="30">
      <c r="A56" s="7" t="s">
        <v>21996</v>
      </c>
      <c r="B56" s="7" t="s">
        <v>55207</v>
      </c>
      <c r="C56" s="8">
        <v>1400</v>
      </c>
      <c r="D56" s="1112">
        <f>($C56*0.01)+$C56</f>
        <v>1414</v>
      </c>
      <c r="E56" s="1112">
        <f>($C56*0.02)+$C56</f>
        <v>1428</v>
      </c>
      <c r="F56" s="1112">
        <f>($C56*0.03)+$C56</f>
        <v>1442</v>
      </c>
      <c r="G56" s="1112">
        <f>($C56*0.04)+$C56</f>
        <v>1456</v>
      </c>
      <c r="H56" s="1112">
        <f>($C56*0.05)+$C56</f>
        <v>1470</v>
      </c>
      <c r="I56" s="1112">
        <f>($C56*0.06)+$C56</f>
        <v>1484</v>
      </c>
      <c r="J56" s="1112">
        <f>($C56*0.07)+$C56</f>
        <v>1498</v>
      </c>
      <c r="K56" s="1112">
        <f>($C56*0.08)+$C56</f>
        <v>1512</v>
      </c>
      <c r="L56" s="1112">
        <f>($C56*0.09)+$C56</f>
        <v>1526</v>
      </c>
      <c r="M56" s="1112">
        <f>($C56*0.1)+$C56</f>
        <v>1540</v>
      </c>
      <c r="N56" s="1112">
        <f>($C56*0.11)+$C56</f>
        <v>1554</v>
      </c>
      <c r="O56" s="1112">
        <f>($C56*0.12)+$C56</f>
        <v>1568</v>
      </c>
      <c r="P56" s="1112">
        <f>($C56*0.13)+$C56</f>
        <v>1582</v>
      </c>
      <c r="Q56" s="1112">
        <f>($C56*0.14)+$C56</f>
        <v>1596</v>
      </c>
      <c r="R56" s="1112">
        <f>($C56*0.15)+$C56</f>
        <v>1610</v>
      </c>
      <c r="S56" s="1112">
        <f>($C56*0.16)+$C56</f>
        <v>1624</v>
      </c>
      <c r="T56" s="1112">
        <f>($C56*0.17)+$C56</f>
        <v>1638</v>
      </c>
      <c r="U56" s="1112">
        <f>($C56*0.18)+$C56</f>
        <v>1652</v>
      </c>
      <c r="V56" s="1112">
        <f>($C56*0.19)+$C56</f>
        <v>1666</v>
      </c>
      <c r="W56" s="1112">
        <f>($C56*0.2)+$C56</f>
        <v>1680</v>
      </c>
      <c r="X56" s="1112">
        <f>($C56*0.21)+$C56</f>
        <v>1694</v>
      </c>
      <c r="Y56" s="1112">
        <f>($C56*0.22)+$C56</f>
        <v>1708</v>
      </c>
      <c r="Z56" s="1112">
        <f>($C56*0.23)+$C56</f>
        <v>1722</v>
      </c>
      <c r="AA56" s="1112">
        <f>($C56*0.24)+$C56</f>
        <v>1736</v>
      </c>
      <c r="AB56" s="1112">
        <f>($C56*0.25)+$C56</f>
        <v>1750</v>
      </c>
      <c r="AC56" s="1112">
        <f>($C56*0.26)+$C56</f>
        <v>1764</v>
      </c>
      <c r="AD56" s="1112">
        <f>($C56*0.27)+$C56</f>
        <v>1778</v>
      </c>
      <c r="AE56" s="1112">
        <f>($C56*0.28)+$C56</f>
        <v>1792</v>
      </c>
      <c r="AF56" s="1112">
        <f>($C56*0.29)+$C56</f>
        <v>1806</v>
      </c>
      <c r="AG56" s="1112">
        <f>($C56*0.3)+$C56</f>
        <v>1820</v>
      </c>
    </row>
    <row r="57" spans="1:33" ht="30">
      <c r="A57" s="7" t="s">
        <v>21992</v>
      </c>
      <c r="B57" s="7" t="s">
        <v>55208</v>
      </c>
      <c r="C57" s="8">
        <v>1500</v>
      </c>
      <c r="D57" s="1112">
        <f>($C57*0.01)+$C57</f>
        <v>1515</v>
      </c>
      <c r="E57" s="1112">
        <f>($C57*0.02)+$C57</f>
        <v>1530</v>
      </c>
      <c r="F57" s="1112">
        <f>($C57*0.03)+$C57</f>
        <v>1545</v>
      </c>
      <c r="G57" s="1112">
        <f>($C57*0.04)+$C57</f>
        <v>1560</v>
      </c>
      <c r="H57" s="1112">
        <f>($C57*0.05)+$C57</f>
        <v>1575</v>
      </c>
      <c r="I57" s="1112">
        <f>($C57*0.06)+$C57</f>
        <v>1590</v>
      </c>
      <c r="J57" s="1112">
        <f>($C57*0.07)+$C57</f>
        <v>1605</v>
      </c>
      <c r="K57" s="1112">
        <f>($C57*0.08)+$C57</f>
        <v>1620</v>
      </c>
      <c r="L57" s="1112">
        <f>($C57*0.09)+$C57</f>
        <v>1635</v>
      </c>
      <c r="M57" s="1112">
        <f>($C57*0.1)+$C57</f>
        <v>1650</v>
      </c>
      <c r="N57" s="1112">
        <f>($C57*0.11)+$C57</f>
        <v>1665</v>
      </c>
      <c r="O57" s="1112">
        <f>($C57*0.12)+$C57</f>
        <v>1680</v>
      </c>
      <c r="P57" s="1112">
        <f>($C57*0.13)+$C57</f>
        <v>1695</v>
      </c>
      <c r="Q57" s="1112">
        <f>($C57*0.14)+$C57</f>
        <v>1710</v>
      </c>
      <c r="R57" s="1112">
        <f>($C57*0.15)+$C57</f>
        <v>1725</v>
      </c>
      <c r="S57" s="1112">
        <f>($C57*0.16)+$C57</f>
        <v>1740</v>
      </c>
      <c r="T57" s="1112">
        <f>($C57*0.17)+$C57</f>
        <v>1755</v>
      </c>
      <c r="U57" s="1112">
        <f>($C57*0.18)+$C57</f>
        <v>1770</v>
      </c>
      <c r="V57" s="1112">
        <f>($C57*0.19)+$C57</f>
        <v>1785</v>
      </c>
      <c r="W57" s="1112">
        <f>($C57*0.2)+$C57</f>
        <v>1800</v>
      </c>
      <c r="X57" s="1112">
        <f>($C57*0.21)+$C57</f>
        <v>1815</v>
      </c>
      <c r="Y57" s="1112">
        <f>($C57*0.22)+$C57</f>
        <v>1830</v>
      </c>
      <c r="Z57" s="1112">
        <f>($C57*0.23)+$C57</f>
        <v>1845</v>
      </c>
      <c r="AA57" s="1112">
        <f>($C57*0.24)+$C57</f>
        <v>1860</v>
      </c>
      <c r="AB57" s="1112">
        <f>($C57*0.25)+$C57</f>
        <v>1875</v>
      </c>
      <c r="AC57" s="1112">
        <f>($C57*0.26)+$C57</f>
        <v>1890</v>
      </c>
      <c r="AD57" s="1112">
        <f>($C57*0.27)+$C57</f>
        <v>1905</v>
      </c>
      <c r="AE57" s="1112">
        <f>($C57*0.28)+$C57</f>
        <v>1920</v>
      </c>
      <c r="AF57" s="1112">
        <f>($C57*0.29)+$C57</f>
        <v>1935</v>
      </c>
      <c r="AG57" s="1112">
        <f>($C57*0.3)+$C57</f>
        <v>1950</v>
      </c>
    </row>
    <row r="58" spans="1:33" ht="30">
      <c r="A58" s="7" t="s">
        <v>21993</v>
      </c>
      <c r="B58" s="7" t="s">
        <v>55209</v>
      </c>
      <c r="C58" s="8">
        <v>1400</v>
      </c>
      <c r="D58" s="1112">
        <f>($C58*0.01)+$C58</f>
        <v>1414</v>
      </c>
      <c r="E58" s="1112">
        <f>($C58*0.02)+$C58</f>
        <v>1428</v>
      </c>
      <c r="F58" s="1112">
        <f>($C58*0.03)+$C58</f>
        <v>1442</v>
      </c>
      <c r="G58" s="1112">
        <f>($C58*0.04)+$C58</f>
        <v>1456</v>
      </c>
      <c r="H58" s="1112">
        <f>($C58*0.05)+$C58</f>
        <v>1470</v>
      </c>
      <c r="I58" s="1112">
        <f>($C58*0.06)+$C58</f>
        <v>1484</v>
      </c>
      <c r="J58" s="1112">
        <f>($C58*0.07)+$C58</f>
        <v>1498</v>
      </c>
      <c r="K58" s="1112">
        <f>($C58*0.08)+$C58</f>
        <v>1512</v>
      </c>
      <c r="L58" s="1112">
        <f>($C58*0.09)+$C58</f>
        <v>1526</v>
      </c>
      <c r="M58" s="1112">
        <f>($C58*0.1)+$C58</f>
        <v>1540</v>
      </c>
      <c r="N58" s="1112">
        <f>($C58*0.11)+$C58</f>
        <v>1554</v>
      </c>
      <c r="O58" s="1112">
        <f>($C58*0.12)+$C58</f>
        <v>1568</v>
      </c>
      <c r="P58" s="1112">
        <f>($C58*0.13)+$C58</f>
        <v>1582</v>
      </c>
      <c r="Q58" s="1112">
        <f>($C58*0.14)+$C58</f>
        <v>1596</v>
      </c>
      <c r="R58" s="1112">
        <f>($C58*0.15)+$C58</f>
        <v>1610</v>
      </c>
      <c r="S58" s="1112">
        <f>($C58*0.16)+$C58</f>
        <v>1624</v>
      </c>
      <c r="T58" s="1112">
        <f>($C58*0.17)+$C58</f>
        <v>1638</v>
      </c>
      <c r="U58" s="1112">
        <f>($C58*0.18)+$C58</f>
        <v>1652</v>
      </c>
      <c r="V58" s="1112">
        <f>($C58*0.19)+$C58</f>
        <v>1666</v>
      </c>
      <c r="W58" s="1112">
        <f>($C58*0.2)+$C58</f>
        <v>1680</v>
      </c>
      <c r="X58" s="1112">
        <f>($C58*0.21)+$C58</f>
        <v>1694</v>
      </c>
      <c r="Y58" s="1112">
        <f>($C58*0.22)+$C58</f>
        <v>1708</v>
      </c>
      <c r="Z58" s="1112">
        <f>($C58*0.23)+$C58</f>
        <v>1722</v>
      </c>
      <c r="AA58" s="1112">
        <f>($C58*0.24)+$C58</f>
        <v>1736</v>
      </c>
      <c r="AB58" s="1112">
        <f>($C58*0.25)+$C58</f>
        <v>1750</v>
      </c>
      <c r="AC58" s="1112">
        <f>($C58*0.26)+$C58</f>
        <v>1764</v>
      </c>
      <c r="AD58" s="1112">
        <f>($C58*0.27)+$C58</f>
        <v>1778</v>
      </c>
      <c r="AE58" s="1112">
        <f>($C58*0.28)+$C58</f>
        <v>1792</v>
      </c>
      <c r="AF58" s="1112">
        <f>($C58*0.29)+$C58</f>
        <v>1806</v>
      </c>
      <c r="AG58" s="1112">
        <f>($C58*0.3)+$C58</f>
        <v>1820</v>
      </c>
    </row>
    <row r="59" spans="1:33" ht="30">
      <c r="A59" s="7" t="s">
        <v>21994</v>
      </c>
      <c r="B59" s="7" t="s">
        <v>55210</v>
      </c>
      <c r="C59" s="8">
        <v>1300</v>
      </c>
      <c r="D59" s="1112">
        <f>($C59*0.01)+$C59</f>
        <v>1313</v>
      </c>
      <c r="E59" s="1112">
        <f>($C59*0.02)+$C59</f>
        <v>1326</v>
      </c>
      <c r="F59" s="1112">
        <f>($C59*0.03)+$C59</f>
        <v>1339</v>
      </c>
      <c r="G59" s="1112">
        <f>($C59*0.04)+$C59</f>
        <v>1352</v>
      </c>
      <c r="H59" s="1112">
        <f>($C59*0.05)+$C59</f>
        <v>1365</v>
      </c>
      <c r="I59" s="1112">
        <f>($C59*0.06)+$C59</f>
        <v>1378</v>
      </c>
      <c r="J59" s="1112">
        <f>($C59*0.07)+$C59</f>
        <v>1391</v>
      </c>
      <c r="K59" s="1112">
        <f>($C59*0.08)+$C59</f>
        <v>1404</v>
      </c>
      <c r="L59" s="1112">
        <f>($C59*0.09)+$C59</f>
        <v>1417</v>
      </c>
      <c r="M59" s="1112">
        <f>($C59*0.1)+$C59</f>
        <v>1430</v>
      </c>
      <c r="N59" s="1112">
        <f>($C59*0.11)+$C59</f>
        <v>1443</v>
      </c>
      <c r="O59" s="1112">
        <f>($C59*0.12)+$C59</f>
        <v>1456</v>
      </c>
      <c r="P59" s="1112">
        <f>($C59*0.13)+$C59</f>
        <v>1469</v>
      </c>
      <c r="Q59" s="1112">
        <f>($C59*0.14)+$C59</f>
        <v>1482</v>
      </c>
      <c r="R59" s="1112">
        <f>($C59*0.15)+$C59</f>
        <v>1495</v>
      </c>
      <c r="S59" s="1112">
        <f>($C59*0.16)+$C59</f>
        <v>1508</v>
      </c>
      <c r="T59" s="1112">
        <f>($C59*0.17)+$C59</f>
        <v>1521</v>
      </c>
      <c r="U59" s="1112">
        <f>($C59*0.18)+$C59</f>
        <v>1534</v>
      </c>
      <c r="V59" s="1112">
        <f>($C59*0.19)+$C59</f>
        <v>1547</v>
      </c>
      <c r="W59" s="1112">
        <f>($C59*0.2)+$C59</f>
        <v>1560</v>
      </c>
      <c r="X59" s="1112">
        <f>($C59*0.21)+$C59</f>
        <v>1573</v>
      </c>
      <c r="Y59" s="1112">
        <f>($C59*0.22)+$C59</f>
        <v>1586</v>
      </c>
      <c r="Z59" s="1112">
        <f>($C59*0.23)+$C59</f>
        <v>1599</v>
      </c>
      <c r="AA59" s="1112">
        <f>($C59*0.24)+$C59</f>
        <v>1612</v>
      </c>
      <c r="AB59" s="1112">
        <f>($C59*0.25)+$C59</f>
        <v>1625</v>
      </c>
      <c r="AC59" s="1112">
        <f>($C59*0.26)+$C59</f>
        <v>1638</v>
      </c>
      <c r="AD59" s="1112">
        <f>($C59*0.27)+$C59</f>
        <v>1651</v>
      </c>
      <c r="AE59" s="1112">
        <f>($C59*0.28)+$C59</f>
        <v>1664</v>
      </c>
      <c r="AF59" s="1112">
        <f>($C59*0.29)+$C59</f>
        <v>1677</v>
      </c>
      <c r="AG59" s="1112">
        <f>($C59*0.3)+$C59</f>
        <v>1690</v>
      </c>
    </row>
    <row r="60" spans="1:33" ht="30">
      <c r="A60" s="7" t="s">
        <v>21995</v>
      </c>
      <c r="B60" s="7" t="s">
        <v>55211</v>
      </c>
      <c r="C60" s="8">
        <v>1600</v>
      </c>
      <c r="D60" s="1112">
        <f>($C60*0.01)+$C60</f>
        <v>1616</v>
      </c>
      <c r="E60" s="1112">
        <f>($C60*0.02)+$C60</f>
        <v>1632</v>
      </c>
      <c r="F60" s="1112">
        <f>($C60*0.03)+$C60</f>
        <v>1648</v>
      </c>
      <c r="G60" s="1112">
        <f>($C60*0.04)+$C60</f>
        <v>1664</v>
      </c>
      <c r="H60" s="1112">
        <f>($C60*0.05)+$C60</f>
        <v>1680</v>
      </c>
      <c r="I60" s="1112">
        <f>($C60*0.06)+$C60</f>
        <v>1696</v>
      </c>
      <c r="J60" s="1112">
        <f>($C60*0.07)+$C60</f>
        <v>1712</v>
      </c>
      <c r="K60" s="1112">
        <f>($C60*0.08)+$C60</f>
        <v>1728</v>
      </c>
      <c r="L60" s="1112">
        <f>($C60*0.09)+$C60</f>
        <v>1744</v>
      </c>
      <c r="M60" s="1112">
        <f>($C60*0.1)+$C60</f>
        <v>1760</v>
      </c>
      <c r="N60" s="1112">
        <f>($C60*0.11)+$C60</f>
        <v>1776</v>
      </c>
      <c r="O60" s="1112">
        <f>($C60*0.12)+$C60</f>
        <v>1792</v>
      </c>
      <c r="P60" s="1112">
        <f>($C60*0.13)+$C60</f>
        <v>1808</v>
      </c>
      <c r="Q60" s="1112">
        <f>($C60*0.14)+$C60</f>
        <v>1824</v>
      </c>
      <c r="R60" s="1112">
        <f>($C60*0.15)+$C60</f>
        <v>1840</v>
      </c>
      <c r="S60" s="1112">
        <f>($C60*0.16)+$C60</f>
        <v>1856</v>
      </c>
      <c r="T60" s="1112">
        <f>($C60*0.17)+$C60</f>
        <v>1872</v>
      </c>
      <c r="U60" s="1112">
        <f>($C60*0.18)+$C60</f>
        <v>1888</v>
      </c>
      <c r="V60" s="1112">
        <f>($C60*0.19)+$C60</f>
        <v>1904</v>
      </c>
      <c r="W60" s="1112">
        <f>($C60*0.2)+$C60</f>
        <v>1920</v>
      </c>
      <c r="X60" s="1112">
        <f>($C60*0.21)+$C60</f>
        <v>1936</v>
      </c>
      <c r="Y60" s="1112">
        <f>($C60*0.22)+$C60</f>
        <v>1952</v>
      </c>
      <c r="Z60" s="1112">
        <f>($C60*0.23)+$C60</f>
        <v>1968</v>
      </c>
      <c r="AA60" s="1112">
        <f>($C60*0.24)+$C60</f>
        <v>1984</v>
      </c>
      <c r="AB60" s="1112">
        <f>($C60*0.25)+$C60</f>
        <v>2000</v>
      </c>
      <c r="AC60" s="1112">
        <f>($C60*0.26)+$C60</f>
        <v>2016</v>
      </c>
      <c r="AD60" s="1112">
        <f>($C60*0.27)+$C60</f>
        <v>2032</v>
      </c>
      <c r="AE60" s="1112">
        <f>($C60*0.28)+$C60</f>
        <v>2048</v>
      </c>
      <c r="AF60" s="1112">
        <f>($C60*0.29)+$C60</f>
        <v>2064</v>
      </c>
      <c r="AG60" s="1112">
        <f>($C60*0.3)+$C60</f>
        <v>2080</v>
      </c>
    </row>
    <row r="61" spans="1:33" ht="15">
      <c r="A61" s="7"/>
      <c r="B61" s="7"/>
      <c r="C61" s="8"/>
      <c r="D61" s="1112"/>
      <c r="E61" s="1112"/>
      <c r="F61" s="1112"/>
      <c r="G61" s="1112"/>
      <c r="H61" s="1112"/>
      <c r="I61" s="1112"/>
      <c r="J61" s="1112"/>
      <c r="K61" s="1112"/>
      <c r="L61" s="1112"/>
      <c r="M61" s="1112"/>
      <c r="N61" s="1112"/>
      <c r="O61" s="1112"/>
      <c r="P61" s="1112"/>
      <c r="Q61" s="1112"/>
      <c r="R61" s="1112"/>
      <c r="S61" s="1112"/>
      <c r="T61" s="1112"/>
      <c r="U61" s="1112"/>
      <c r="V61" s="1112"/>
      <c r="W61" s="1112"/>
      <c r="X61" s="1112"/>
      <c r="Y61" s="1112"/>
      <c r="Z61" s="1112"/>
      <c r="AA61" s="1112"/>
      <c r="AB61" s="1112"/>
      <c r="AC61" s="1112"/>
      <c r="AD61" s="1112"/>
      <c r="AE61" s="1112"/>
      <c r="AF61" s="1112"/>
      <c r="AG61" s="1112"/>
    </row>
    <row r="62" spans="1:33" ht="80">
      <c r="A62" s="10"/>
      <c r="B62" s="11" t="s">
        <v>14</v>
      </c>
      <c r="C62" s="12"/>
      <c r="D62" s="1112"/>
      <c r="E62" s="1112"/>
      <c r="F62" s="1112"/>
      <c r="G62" s="1112"/>
      <c r="H62" s="1112"/>
      <c r="I62" s="1112"/>
      <c r="J62" s="1112"/>
      <c r="K62" s="1112"/>
      <c r="L62" s="1112"/>
      <c r="M62" s="1112"/>
      <c r="N62" s="1112"/>
      <c r="O62" s="1112"/>
      <c r="P62" s="1112"/>
      <c r="Q62" s="1112"/>
      <c r="R62" s="1112"/>
      <c r="S62" s="1112"/>
      <c r="T62" s="1112"/>
      <c r="U62" s="1112"/>
      <c r="V62" s="1112"/>
      <c r="W62" s="1112"/>
      <c r="X62" s="1112"/>
      <c r="Y62" s="1112"/>
      <c r="Z62" s="1112"/>
      <c r="AA62" s="1112"/>
      <c r="AB62" s="1112"/>
      <c r="AC62" s="1112"/>
      <c r="AD62" s="1112"/>
      <c r="AE62" s="1112"/>
      <c r="AF62" s="1112"/>
      <c r="AG62" s="1112"/>
    </row>
    <row r="63" spans="1:33" ht="30">
      <c r="A63" s="4" t="s">
        <v>15</v>
      </c>
      <c r="B63" s="4" t="s">
        <v>16</v>
      </c>
      <c r="C63" s="5">
        <v>2000</v>
      </c>
      <c r="D63" s="1112">
        <f>($C63*0.01)+$C63</f>
        <v>2020</v>
      </c>
      <c r="E63" s="1112">
        <f>($C63*0.02)+$C63</f>
        <v>2040</v>
      </c>
      <c r="F63" s="1112">
        <f>($C63*0.03)+$C63</f>
        <v>2060</v>
      </c>
      <c r="G63" s="1112">
        <f>($C63*0.04)+$C63</f>
        <v>2080</v>
      </c>
      <c r="H63" s="1112">
        <f>($C63*0.05)+$C63</f>
        <v>2100</v>
      </c>
      <c r="I63" s="1112">
        <f>($C63*0.06)+$C63</f>
        <v>2120</v>
      </c>
      <c r="J63" s="1112">
        <f>($C63*0.07)+$C63</f>
        <v>2140</v>
      </c>
      <c r="K63" s="1112">
        <f>($C63*0.08)+$C63</f>
        <v>2160</v>
      </c>
      <c r="L63" s="1112">
        <f>($C63*0.09)+$C63</f>
        <v>2180</v>
      </c>
      <c r="M63" s="1112">
        <f>($C63*0.1)+$C63</f>
        <v>2200</v>
      </c>
      <c r="N63" s="1112">
        <f>($C63*0.11)+$C63</f>
        <v>2220</v>
      </c>
      <c r="O63" s="1112">
        <f>($C63*0.12)+$C63</f>
        <v>2240</v>
      </c>
      <c r="P63" s="1112">
        <f>($C63*0.13)+$C63</f>
        <v>2260</v>
      </c>
      <c r="Q63" s="1112">
        <f>($C63*0.14)+$C63</f>
        <v>2280</v>
      </c>
      <c r="R63" s="1112">
        <f>($C63*0.15)+$C63</f>
        <v>2300</v>
      </c>
      <c r="S63" s="1112">
        <f>($C63*0.16)+$C63</f>
        <v>2320</v>
      </c>
      <c r="T63" s="1112">
        <f>($C63*0.17)+$C63</f>
        <v>2340</v>
      </c>
      <c r="U63" s="1112">
        <f>($C63*0.18)+$C63</f>
        <v>2360</v>
      </c>
      <c r="V63" s="1112">
        <f>($C63*0.19)+$C63</f>
        <v>2380</v>
      </c>
      <c r="W63" s="1112">
        <f>($C63*0.2)+$C63</f>
        <v>2400</v>
      </c>
      <c r="X63" s="1112">
        <f>($C63*0.21)+$C63</f>
        <v>2420</v>
      </c>
      <c r="Y63" s="1112">
        <f>($C63*0.22)+$C63</f>
        <v>2440</v>
      </c>
      <c r="Z63" s="1112">
        <f>($C63*0.23)+$C63</f>
        <v>2460</v>
      </c>
      <c r="AA63" s="1112">
        <f>($C63*0.24)+$C63</f>
        <v>2480</v>
      </c>
      <c r="AB63" s="1112">
        <f>($C63*0.25)+$C63</f>
        <v>2500</v>
      </c>
      <c r="AC63" s="1112">
        <f>($C63*0.26)+$C63</f>
        <v>2520</v>
      </c>
      <c r="AD63" s="1112">
        <f>($C63*0.27)+$C63</f>
        <v>2540</v>
      </c>
      <c r="AE63" s="1112">
        <f>($C63*0.28)+$C63</f>
        <v>2560</v>
      </c>
      <c r="AF63" s="1112">
        <f>($C63*0.29)+$C63</f>
        <v>2580</v>
      </c>
      <c r="AG63" s="1112">
        <f>($C63*0.3)+$C63</f>
        <v>2600</v>
      </c>
    </row>
    <row r="64" spans="1:33" ht="30">
      <c r="A64" s="4" t="s">
        <v>17</v>
      </c>
      <c r="B64" s="4" t="s">
        <v>18</v>
      </c>
      <c r="C64" s="5">
        <v>2100</v>
      </c>
      <c r="D64" s="1112">
        <f>($C64*0.01)+$C64</f>
        <v>2121</v>
      </c>
      <c r="E64" s="1112">
        <f>($C64*0.02)+$C64</f>
        <v>2142</v>
      </c>
      <c r="F64" s="1112">
        <f>($C64*0.03)+$C64</f>
        <v>2163</v>
      </c>
      <c r="G64" s="1112">
        <f>($C64*0.04)+$C64</f>
        <v>2184</v>
      </c>
      <c r="H64" s="1112">
        <f>($C64*0.05)+$C64</f>
        <v>2205</v>
      </c>
      <c r="I64" s="1112">
        <f>($C64*0.06)+$C64</f>
        <v>2226</v>
      </c>
      <c r="J64" s="1112">
        <f>($C64*0.07)+$C64</f>
        <v>2247</v>
      </c>
      <c r="K64" s="1112">
        <f>($C64*0.08)+$C64</f>
        <v>2268</v>
      </c>
      <c r="L64" s="1112">
        <f>($C64*0.09)+$C64</f>
        <v>2289</v>
      </c>
      <c r="M64" s="1112">
        <f>($C64*0.1)+$C64</f>
        <v>2310</v>
      </c>
      <c r="N64" s="1112">
        <f>($C64*0.11)+$C64</f>
        <v>2331</v>
      </c>
      <c r="O64" s="1112">
        <f>($C64*0.12)+$C64</f>
        <v>2352</v>
      </c>
      <c r="P64" s="1112">
        <f>($C64*0.13)+$C64</f>
        <v>2373</v>
      </c>
      <c r="Q64" s="1112">
        <f>($C64*0.14)+$C64</f>
        <v>2394</v>
      </c>
      <c r="R64" s="1112">
        <f>($C64*0.15)+$C64</f>
        <v>2415</v>
      </c>
      <c r="S64" s="1112">
        <f>($C64*0.16)+$C64</f>
        <v>2436</v>
      </c>
      <c r="T64" s="1112">
        <f>($C64*0.17)+$C64</f>
        <v>2457</v>
      </c>
      <c r="U64" s="1112">
        <f>($C64*0.18)+$C64</f>
        <v>2478</v>
      </c>
      <c r="V64" s="1112">
        <f>($C64*0.19)+$C64</f>
        <v>2499</v>
      </c>
      <c r="W64" s="1112">
        <f>($C64*0.2)+$C64</f>
        <v>2520</v>
      </c>
      <c r="X64" s="1112">
        <f>($C64*0.21)+$C64</f>
        <v>2541</v>
      </c>
      <c r="Y64" s="1112">
        <f>($C64*0.22)+$C64</f>
        <v>2562</v>
      </c>
      <c r="Z64" s="1112">
        <f>($C64*0.23)+$C64</f>
        <v>2583</v>
      </c>
      <c r="AA64" s="1112">
        <f>($C64*0.24)+$C64</f>
        <v>2604</v>
      </c>
      <c r="AB64" s="1112">
        <f>($C64*0.25)+$C64</f>
        <v>2625</v>
      </c>
      <c r="AC64" s="1112">
        <f>($C64*0.26)+$C64</f>
        <v>2646</v>
      </c>
      <c r="AD64" s="1112">
        <f>($C64*0.27)+$C64</f>
        <v>2667</v>
      </c>
      <c r="AE64" s="1112">
        <f>($C64*0.28)+$C64</f>
        <v>2688</v>
      </c>
      <c r="AF64" s="1112">
        <f>($C64*0.29)+$C64</f>
        <v>2709</v>
      </c>
      <c r="AG64" s="1112">
        <f>($C64*0.3)+$C64</f>
        <v>2730</v>
      </c>
    </row>
    <row r="65" spans="1:33" ht="30">
      <c r="A65" s="4" t="s">
        <v>19</v>
      </c>
      <c r="B65" s="4" t="s">
        <v>20</v>
      </c>
      <c r="C65" s="5">
        <v>2150</v>
      </c>
      <c r="D65" s="1112">
        <f>($C65*0.01)+$C65</f>
        <v>2171.5</v>
      </c>
      <c r="E65" s="1112">
        <f>($C65*0.02)+$C65</f>
        <v>2193</v>
      </c>
      <c r="F65" s="1112">
        <f>($C65*0.03)+$C65</f>
        <v>2214.5</v>
      </c>
      <c r="G65" s="1112">
        <f>($C65*0.04)+$C65</f>
        <v>2236</v>
      </c>
      <c r="H65" s="1112">
        <f>($C65*0.05)+$C65</f>
        <v>2257.5</v>
      </c>
      <c r="I65" s="1112">
        <f>($C65*0.06)+$C65</f>
        <v>2279</v>
      </c>
      <c r="J65" s="1112">
        <f>($C65*0.07)+$C65</f>
        <v>2300.5</v>
      </c>
      <c r="K65" s="1112">
        <f>($C65*0.08)+$C65</f>
        <v>2322</v>
      </c>
      <c r="L65" s="1112">
        <f>($C65*0.09)+$C65</f>
        <v>2343.5</v>
      </c>
      <c r="M65" s="1112">
        <f>($C65*0.1)+$C65</f>
        <v>2365</v>
      </c>
      <c r="N65" s="1112">
        <f>($C65*0.11)+$C65</f>
        <v>2386.5</v>
      </c>
      <c r="O65" s="1112">
        <f>($C65*0.12)+$C65</f>
        <v>2408</v>
      </c>
      <c r="P65" s="1112">
        <f>($C65*0.13)+$C65</f>
        <v>2429.5</v>
      </c>
      <c r="Q65" s="1112">
        <f>($C65*0.14)+$C65</f>
        <v>2451</v>
      </c>
      <c r="R65" s="1112">
        <f>($C65*0.15)+$C65</f>
        <v>2472.5</v>
      </c>
      <c r="S65" s="1112">
        <f>($C65*0.16)+$C65</f>
        <v>2494</v>
      </c>
      <c r="T65" s="1112">
        <f>($C65*0.17)+$C65</f>
        <v>2515.5</v>
      </c>
      <c r="U65" s="1112">
        <f>($C65*0.18)+$C65</f>
        <v>2537</v>
      </c>
      <c r="V65" s="1112">
        <f>($C65*0.19)+$C65</f>
        <v>2558.5</v>
      </c>
      <c r="W65" s="1112">
        <f>($C65*0.2)+$C65</f>
        <v>2580</v>
      </c>
      <c r="X65" s="1112">
        <f>($C65*0.21)+$C65</f>
        <v>2601.5</v>
      </c>
      <c r="Y65" s="1112">
        <f>($C65*0.22)+$C65</f>
        <v>2623</v>
      </c>
      <c r="Z65" s="1112">
        <f>($C65*0.23)+$C65</f>
        <v>2644.5</v>
      </c>
      <c r="AA65" s="1112">
        <f>($C65*0.24)+$C65</f>
        <v>2666</v>
      </c>
      <c r="AB65" s="1112">
        <f>($C65*0.25)+$C65</f>
        <v>2687.5</v>
      </c>
      <c r="AC65" s="1112">
        <f>($C65*0.26)+$C65</f>
        <v>2709</v>
      </c>
      <c r="AD65" s="1112">
        <f>($C65*0.27)+$C65</f>
        <v>2730.5</v>
      </c>
      <c r="AE65" s="1112">
        <f>($C65*0.28)+$C65</f>
        <v>2752</v>
      </c>
      <c r="AF65" s="1112">
        <f>($C65*0.29)+$C65</f>
        <v>2773.5</v>
      </c>
      <c r="AG65" s="1112">
        <f>($C65*0.3)+$C65</f>
        <v>2795</v>
      </c>
    </row>
    <row r="66" spans="1:33" ht="30">
      <c r="A66" s="4" t="s">
        <v>21</v>
      </c>
      <c r="B66" s="4" t="s">
        <v>22</v>
      </c>
      <c r="C66" s="5">
        <v>2100</v>
      </c>
      <c r="D66" s="1112">
        <f>($C66*0.01)+$C66</f>
        <v>2121</v>
      </c>
      <c r="E66" s="1112">
        <f>($C66*0.02)+$C66</f>
        <v>2142</v>
      </c>
      <c r="F66" s="1112">
        <f>($C66*0.03)+$C66</f>
        <v>2163</v>
      </c>
      <c r="G66" s="1112">
        <f>($C66*0.04)+$C66</f>
        <v>2184</v>
      </c>
      <c r="H66" s="1112">
        <f>($C66*0.05)+$C66</f>
        <v>2205</v>
      </c>
      <c r="I66" s="1112">
        <f>($C66*0.06)+$C66</f>
        <v>2226</v>
      </c>
      <c r="J66" s="1112">
        <f>($C66*0.07)+$C66</f>
        <v>2247</v>
      </c>
      <c r="K66" s="1112">
        <f>($C66*0.08)+$C66</f>
        <v>2268</v>
      </c>
      <c r="L66" s="1112">
        <f>($C66*0.09)+$C66</f>
        <v>2289</v>
      </c>
      <c r="M66" s="1112">
        <f>($C66*0.1)+$C66</f>
        <v>2310</v>
      </c>
      <c r="N66" s="1112">
        <f>($C66*0.11)+$C66</f>
        <v>2331</v>
      </c>
      <c r="O66" s="1112">
        <f>($C66*0.12)+$C66</f>
        <v>2352</v>
      </c>
      <c r="P66" s="1112">
        <f>($C66*0.13)+$C66</f>
        <v>2373</v>
      </c>
      <c r="Q66" s="1112">
        <f>($C66*0.14)+$C66</f>
        <v>2394</v>
      </c>
      <c r="R66" s="1112">
        <f>($C66*0.15)+$C66</f>
        <v>2415</v>
      </c>
      <c r="S66" s="1112">
        <f>($C66*0.16)+$C66</f>
        <v>2436</v>
      </c>
      <c r="T66" s="1112">
        <f>($C66*0.17)+$C66</f>
        <v>2457</v>
      </c>
      <c r="U66" s="1112">
        <f>($C66*0.18)+$C66</f>
        <v>2478</v>
      </c>
      <c r="V66" s="1112">
        <f>($C66*0.19)+$C66</f>
        <v>2499</v>
      </c>
      <c r="W66" s="1112">
        <f>($C66*0.2)+$C66</f>
        <v>2520</v>
      </c>
      <c r="X66" s="1112">
        <f>($C66*0.21)+$C66</f>
        <v>2541</v>
      </c>
      <c r="Y66" s="1112">
        <f>($C66*0.22)+$C66</f>
        <v>2562</v>
      </c>
      <c r="Z66" s="1112">
        <f>($C66*0.23)+$C66</f>
        <v>2583</v>
      </c>
      <c r="AA66" s="1112">
        <f>($C66*0.24)+$C66</f>
        <v>2604</v>
      </c>
      <c r="AB66" s="1112">
        <f>($C66*0.25)+$C66</f>
        <v>2625</v>
      </c>
      <c r="AC66" s="1112">
        <f>($C66*0.26)+$C66</f>
        <v>2646</v>
      </c>
      <c r="AD66" s="1112">
        <f>($C66*0.27)+$C66</f>
        <v>2667</v>
      </c>
      <c r="AE66" s="1112">
        <f>($C66*0.28)+$C66</f>
        <v>2688</v>
      </c>
      <c r="AF66" s="1112">
        <f>($C66*0.29)+$C66</f>
        <v>2709</v>
      </c>
      <c r="AG66" s="1112">
        <f>($C66*0.3)+$C66</f>
        <v>2730</v>
      </c>
    </row>
    <row r="67" spans="1:33" ht="30">
      <c r="A67" s="4" t="s">
        <v>23</v>
      </c>
      <c r="B67" s="4" t="s">
        <v>24</v>
      </c>
      <c r="C67" s="5">
        <v>2150</v>
      </c>
      <c r="D67" s="1112">
        <f>($C67*0.01)+$C67</f>
        <v>2171.5</v>
      </c>
      <c r="E67" s="1112">
        <f>($C67*0.02)+$C67</f>
        <v>2193</v>
      </c>
      <c r="F67" s="1112">
        <f>($C67*0.03)+$C67</f>
        <v>2214.5</v>
      </c>
      <c r="G67" s="1112">
        <f>($C67*0.04)+$C67</f>
        <v>2236</v>
      </c>
      <c r="H67" s="1112">
        <f>($C67*0.05)+$C67</f>
        <v>2257.5</v>
      </c>
      <c r="I67" s="1112">
        <f>($C67*0.06)+$C67</f>
        <v>2279</v>
      </c>
      <c r="J67" s="1112">
        <f>($C67*0.07)+$C67</f>
        <v>2300.5</v>
      </c>
      <c r="K67" s="1112">
        <f>($C67*0.08)+$C67</f>
        <v>2322</v>
      </c>
      <c r="L67" s="1112">
        <f>($C67*0.09)+$C67</f>
        <v>2343.5</v>
      </c>
      <c r="M67" s="1112">
        <f>($C67*0.1)+$C67</f>
        <v>2365</v>
      </c>
      <c r="N67" s="1112">
        <f>($C67*0.11)+$C67</f>
        <v>2386.5</v>
      </c>
      <c r="O67" s="1112">
        <f>($C67*0.12)+$C67</f>
        <v>2408</v>
      </c>
      <c r="P67" s="1112">
        <f>($C67*0.13)+$C67</f>
        <v>2429.5</v>
      </c>
      <c r="Q67" s="1112">
        <f>($C67*0.14)+$C67</f>
        <v>2451</v>
      </c>
      <c r="R67" s="1112">
        <f>($C67*0.15)+$C67</f>
        <v>2472.5</v>
      </c>
      <c r="S67" s="1112">
        <f>($C67*0.16)+$C67</f>
        <v>2494</v>
      </c>
      <c r="T67" s="1112">
        <f>($C67*0.17)+$C67</f>
        <v>2515.5</v>
      </c>
      <c r="U67" s="1112">
        <f>($C67*0.18)+$C67</f>
        <v>2537</v>
      </c>
      <c r="V67" s="1112">
        <f>($C67*0.19)+$C67</f>
        <v>2558.5</v>
      </c>
      <c r="W67" s="1112">
        <f>($C67*0.2)+$C67</f>
        <v>2580</v>
      </c>
      <c r="X67" s="1112">
        <f>($C67*0.21)+$C67</f>
        <v>2601.5</v>
      </c>
      <c r="Y67" s="1112">
        <f>($C67*0.22)+$C67</f>
        <v>2623</v>
      </c>
      <c r="Z67" s="1112">
        <f>($C67*0.23)+$C67</f>
        <v>2644.5</v>
      </c>
      <c r="AA67" s="1112">
        <f>($C67*0.24)+$C67</f>
        <v>2666</v>
      </c>
      <c r="AB67" s="1112">
        <f>($C67*0.25)+$C67</f>
        <v>2687.5</v>
      </c>
      <c r="AC67" s="1112">
        <f>($C67*0.26)+$C67</f>
        <v>2709</v>
      </c>
      <c r="AD67" s="1112">
        <f>($C67*0.27)+$C67</f>
        <v>2730.5</v>
      </c>
      <c r="AE67" s="1112">
        <f>($C67*0.28)+$C67</f>
        <v>2752</v>
      </c>
      <c r="AF67" s="1112">
        <f>($C67*0.29)+$C67</f>
        <v>2773.5</v>
      </c>
      <c r="AG67" s="1112">
        <f>($C67*0.3)+$C67</f>
        <v>2795</v>
      </c>
    </row>
    <row r="68" spans="1:33" ht="30">
      <c r="A68" s="4" t="s">
        <v>25</v>
      </c>
      <c r="B68" s="4" t="s">
        <v>26</v>
      </c>
      <c r="C68" s="5">
        <v>2100</v>
      </c>
      <c r="D68" s="1112">
        <f>($C68*0.01)+$C68</f>
        <v>2121</v>
      </c>
      <c r="E68" s="1112">
        <f>($C68*0.02)+$C68</f>
        <v>2142</v>
      </c>
      <c r="F68" s="1112">
        <f>($C68*0.03)+$C68</f>
        <v>2163</v>
      </c>
      <c r="G68" s="1112">
        <f>($C68*0.04)+$C68</f>
        <v>2184</v>
      </c>
      <c r="H68" s="1112">
        <f>($C68*0.05)+$C68</f>
        <v>2205</v>
      </c>
      <c r="I68" s="1112">
        <f>($C68*0.06)+$C68</f>
        <v>2226</v>
      </c>
      <c r="J68" s="1112">
        <f>($C68*0.07)+$C68</f>
        <v>2247</v>
      </c>
      <c r="K68" s="1112">
        <f>($C68*0.08)+$C68</f>
        <v>2268</v>
      </c>
      <c r="L68" s="1112">
        <f>($C68*0.09)+$C68</f>
        <v>2289</v>
      </c>
      <c r="M68" s="1112">
        <f>($C68*0.1)+$C68</f>
        <v>2310</v>
      </c>
      <c r="N68" s="1112">
        <f>($C68*0.11)+$C68</f>
        <v>2331</v>
      </c>
      <c r="O68" s="1112">
        <f>($C68*0.12)+$C68</f>
        <v>2352</v>
      </c>
      <c r="P68" s="1112">
        <f>($C68*0.13)+$C68</f>
        <v>2373</v>
      </c>
      <c r="Q68" s="1112">
        <f>($C68*0.14)+$C68</f>
        <v>2394</v>
      </c>
      <c r="R68" s="1112">
        <f>($C68*0.15)+$C68</f>
        <v>2415</v>
      </c>
      <c r="S68" s="1112">
        <f>($C68*0.16)+$C68</f>
        <v>2436</v>
      </c>
      <c r="T68" s="1112">
        <f>($C68*0.17)+$C68</f>
        <v>2457</v>
      </c>
      <c r="U68" s="1112">
        <f>($C68*0.18)+$C68</f>
        <v>2478</v>
      </c>
      <c r="V68" s="1112">
        <f>($C68*0.19)+$C68</f>
        <v>2499</v>
      </c>
      <c r="W68" s="1112">
        <f>($C68*0.2)+$C68</f>
        <v>2520</v>
      </c>
      <c r="X68" s="1112">
        <f>($C68*0.21)+$C68</f>
        <v>2541</v>
      </c>
      <c r="Y68" s="1112">
        <f>($C68*0.22)+$C68</f>
        <v>2562</v>
      </c>
      <c r="Z68" s="1112">
        <f>($C68*0.23)+$C68</f>
        <v>2583</v>
      </c>
      <c r="AA68" s="1112">
        <f>($C68*0.24)+$C68</f>
        <v>2604</v>
      </c>
      <c r="AB68" s="1112">
        <f>($C68*0.25)+$C68</f>
        <v>2625</v>
      </c>
      <c r="AC68" s="1112">
        <f>($C68*0.26)+$C68</f>
        <v>2646</v>
      </c>
      <c r="AD68" s="1112">
        <f>($C68*0.27)+$C68</f>
        <v>2667</v>
      </c>
      <c r="AE68" s="1112">
        <f>($C68*0.28)+$C68</f>
        <v>2688</v>
      </c>
      <c r="AF68" s="1112">
        <f>($C68*0.29)+$C68</f>
        <v>2709</v>
      </c>
      <c r="AG68" s="1112">
        <f>($C68*0.3)+$C68</f>
        <v>2730</v>
      </c>
    </row>
    <row r="69" spans="1:33" ht="30">
      <c r="A69" s="4" t="s">
        <v>27</v>
      </c>
      <c r="B69" s="4" t="s">
        <v>28</v>
      </c>
      <c r="C69" s="5">
        <v>2300</v>
      </c>
      <c r="D69" s="1112">
        <f>($C69*0.01)+$C69</f>
        <v>2323</v>
      </c>
      <c r="E69" s="1112">
        <f>($C69*0.02)+$C69</f>
        <v>2346</v>
      </c>
      <c r="F69" s="1112">
        <f>($C69*0.03)+$C69</f>
        <v>2369</v>
      </c>
      <c r="G69" s="1112">
        <f>($C69*0.04)+$C69</f>
        <v>2392</v>
      </c>
      <c r="H69" s="1112">
        <f>($C69*0.05)+$C69</f>
        <v>2415</v>
      </c>
      <c r="I69" s="1112">
        <f>($C69*0.06)+$C69</f>
        <v>2438</v>
      </c>
      <c r="J69" s="1112">
        <f>($C69*0.07)+$C69</f>
        <v>2461</v>
      </c>
      <c r="K69" s="1112">
        <f>($C69*0.08)+$C69</f>
        <v>2484</v>
      </c>
      <c r="L69" s="1112">
        <f>($C69*0.09)+$C69</f>
        <v>2507</v>
      </c>
      <c r="M69" s="1112">
        <f>($C69*0.1)+$C69</f>
        <v>2530</v>
      </c>
      <c r="N69" s="1112">
        <f>($C69*0.11)+$C69</f>
        <v>2553</v>
      </c>
      <c r="O69" s="1112">
        <f>($C69*0.12)+$C69</f>
        <v>2576</v>
      </c>
      <c r="P69" s="1112">
        <f>($C69*0.13)+$C69</f>
        <v>2599</v>
      </c>
      <c r="Q69" s="1112">
        <f>($C69*0.14)+$C69</f>
        <v>2622</v>
      </c>
      <c r="R69" s="1112">
        <f>($C69*0.15)+$C69</f>
        <v>2645</v>
      </c>
      <c r="S69" s="1112">
        <f>($C69*0.16)+$C69</f>
        <v>2668</v>
      </c>
      <c r="T69" s="1112">
        <f>($C69*0.17)+$C69</f>
        <v>2691</v>
      </c>
      <c r="U69" s="1112">
        <f>($C69*0.18)+$C69</f>
        <v>2714</v>
      </c>
      <c r="V69" s="1112">
        <f>($C69*0.19)+$C69</f>
        <v>2737</v>
      </c>
      <c r="W69" s="1112">
        <f>($C69*0.2)+$C69</f>
        <v>2760</v>
      </c>
      <c r="X69" s="1112">
        <f>($C69*0.21)+$C69</f>
        <v>2783</v>
      </c>
      <c r="Y69" s="1112">
        <f>($C69*0.22)+$C69</f>
        <v>2806</v>
      </c>
      <c r="Z69" s="1112">
        <f>($C69*0.23)+$C69</f>
        <v>2829</v>
      </c>
      <c r="AA69" s="1112">
        <f>($C69*0.24)+$C69</f>
        <v>2852</v>
      </c>
      <c r="AB69" s="1112">
        <f>($C69*0.25)+$C69</f>
        <v>2875</v>
      </c>
      <c r="AC69" s="1112">
        <f>($C69*0.26)+$C69</f>
        <v>2898</v>
      </c>
      <c r="AD69" s="1112">
        <f>($C69*0.27)+$C69</f>
        <v>2921</v>
      </c>
      <c r="AE69" s="1112">
        <f>($C69*0.28)+$C69</f>
        <v>2944</v>
      </c>
      <c r="AF69" s="1112">
        <f>($C69*0.29)+$C69</f>
        <v>2967</v>
      </c>
      <c r="AG69" s="1112">
        <f>($C69*0.3)+$C69</f>
        <v>2990</v>
      </c>
    </row>
    <row r="70" spans="1:33" ht="45">
      <c r="A70" s="4" t="s">
        <v>29</v>
      </c>
      <c r="B70" s="4" t="s">
        <v>30</v>
      </c>
      <c r="C70" s="5">
        <v>1450</v>
      </c>
      <c r="D70" s="1112">
        <f>($C70*0.01)+$C70</f>
        <v>1464.5</v>
      </c>
      <c r="E70" s="1112">
        <f>($C70*0.02)+$C70</f>
        <v>1479</v>
      </c>
      <c r="F70" s="1112">
        <f>($C70*0.03)+$C70</f>
        <v>1493.5</v>
      </c>
      <c r="G70" s="1112">
        <f>($C70*0.04)+$C70</f>
        <v>1508</v>
      </c>
      <c r="H70" s="1112">
        <f>($C70*0.05)+$C70</f>
        <v>1522.5</v>
      </c>
      <c r="I70" s="1112">
        <f>($C70*0.06)+$C70</f>
        <v>1537</v>
      </c>
      <c r="J70" s="1112">
        <f>($C70*0.07)+$C70</f>
        <v>1551.5</v>
      </c>
      <c r="K70" s="1112">
        <f>($C70*0.08)+$C70</f>
        <v>1566</v>
      </c>
      <c r="L70" s="1112">
        <f>($C70*0.09)+$C70</f>
        <v>1580.5</v>
      </c>
      <c r="M70" s="1112">
        <f>($C70*0.1)+$C70</f>
        <v>1595</v>
      </c>
      <c r="N70" s="1112">
        <f>($C70*0.11)+$C70</f>
        <v>1609.5</v>
      </c>
      <c r="O70" s="1112">
        <f>($C70*0.12)+$C70</f>
        <v>1624</v>
      </c>
      <c r="P70" s="1112">
        <f>($C70*0.13)+$C70</f>
        <v>1638.5</v>
      </c>
      <c r="Q70" s="1112">
        <f>($C70*0.14)+$C70</f>
        <v>1653</v>
      </c>
      <c r="R70" s="1112">
        <f>($C70*0.15)+$C70</f>
        <v>1667.5</v>
      </c>
      <c r="S70" s="1112">
        <f>($C70*0.16)+$C70</f>
        <v>1682</v>
      </c>
      <c r="T70" s="1112">
        <f>($C70*0.17)+$C70</f>
        <v>1696.5</v>
      </c>
      <c r="U70" s="1112">
        <f>($C70*0.18)+$C70</f>
        <v>1711</v>
      </c>
      <c r="V70" s="1112">
        <f>($C70*0.19)+$C70</f>
        <v>1725.5</v>
      </c>
      <c r="W70" s="1112">
        <f>($C70*0.2)+$C70</f>
        <v>1740</v>
      </c>
      <c r="X70" s="1112">
        <f>($C70*0.21)+$C70</f>
        <v>1754.5</v>
      </c>
      <c r="Y70" s="1112">
        <f>($C70*0.22)+$C70</f>
        <v>1769</v>
      </c>
      <c r="Z70" s="1112">
        <f>($C70*0.23)+$C70</f>
        <v>1783.5</v>
      </c>
      <c r="AA70" s="1112">
        <f>($C70*0.24)+$C70</f>
        <v>1798</v>
      </c>
      <c r="AB70" s="1112">
        <f>($C70*0.25)+$C70</f>
        <v>1812.5</v>
      </c>
      <c r="AC70" s="1112">
        <f>($C70*0.26)+$C70</f>
        <v>1827</v>
      </c>
      <c r="AD70" s="1112">
        <f>($C70*0.27)+$C70</f>
        <v>1841.5</v>
      </c>
      <c r="AE70" s="1112">
        <f>($C70*0.28)+$C70</f>
        <v>1856</v>
      </c>
      <c r="AF70" s="1112">
        <f>($C70*0.29)+$C70</f>
        <v>1870.5</v>
      </c>
      <c r="AG70" s="1112">
        <f>($C70*0.3)+$C70</f>
        <v>1885</v>
      </c>
    </row>
    <row r="71" spans="1:33" ht="30">
      <c r="A71" s="4" t="s">
        <v>31</v>
      </c>
      <c r="B71" s="4" t="s">
        <v>32</v>
      </c>
      <c r="C71" s="5">
        <v>1450</v>
      </c>
      <c r="D71" s="1112">
        <f>($C71*0.01)+$C71</f>
        <v>1464.5</v>
      </c>
      <c r="E71" s="1112">
        <f>($C71*0.02)+$C71</f>
        <v>1479</v>
      </c>
      <c r="F71" s="1112">
        <f>($C71*0.03)+$C71</f>
        <v>1493.5</v>
      </c>
      <c r="G71" s="1112">
        <f>($C71*0.04)+$C71</f>
        <v>1508</v>
      </c>
      <c r="H71" s="1112">
        <f>($C71*0.05)+$C71</f>
        <v>1522.5</v>
      </c>
      <c r="I71" s="1112">
        <f>($C71*0.06)+$C71</f>
        <v>1537</v>
      </c>
      <c r="J71" s="1112">
        <f>($C71*0.07)+$C71</f>
        <v>1551.5</v>
      </c>
      <c r="K71" s="1112">
        <f>($C71*0.08)+$C71</f>
        <v>1566</v>
      </c>
      <c r="L71" s="1112">
        <f>($C71*0.09)+$C71</f>
        <v>1580.5</v>
      </c>
      <c r="M71" s="1112">
        <f>($C71*0.1)+$C71</f>
        <v>1595</v>
      </c>
      <c r="N71" s="1112">
        <f>($C71*0.11)+$C71</f>
        <v>1609.5</v>
      </c>
      <c r="O71" s="1112">
        <f>($C71*0.12)+$C71</f>
        <v>1624</v>
      </c>
      <c r="P71" s="1112">
        <f>($C71*0.13)+$C71</f>
        <v>1638.5</v>
      </c>
      <c r="Q71" s="1112">
        <f>($C71*0.14)+$C71</f>
        <v>1653</v>
      </c>
      <c r="R71" s="1112">
        <f>($C71*0.15)+$C71</f>
        <v>1667.5</v>
      </c>
      <c r="S71" s="1112">
        <f>($C71*0.16)+$C71</f>
        <v>1682</v>
      </c>
      <c r="T71" s="1112">
        <f>($C71*0.17)+$C71</f>
        <v>1696.5</v>
      </c>
      <c r="U71" s="1112">
        <f>($C71*0.18)+$C71</f>
        <v>1711</v>
      </c>
      <c r="V71" s="1112">
        <f>($C71*0.19)+$C71</f>
        <v>1725.5</v>
      </c>
      <c r="W71" s="1112">
        <f>($C71*0.2)+$C71</f>
        <v>1740</v>
      </c>
      <c r="X71" s="1112">
        <f>($C71*0.21)+$C71</f>
        <v>1754.5</v>
      </c>
      <c r="Y71" s="1112">
        <f>($C71*0.22)+$C71</f>
        <v>1769</v>
      </c>
      <c r="Z71" s="1112">
        <f>($C71*0.23)+$C71</f>
        <v>1783.5</v>
      </c>
      <c r="AA71" s="1112">
        <f>($C71*0.24)+$C71</f>
        <v>1798</v>
      </c>
      <c r="AB71" s="1112">
        <f>($C71*0.25)+$C71</f>
        <v>1812.5</v>
      </c>
      <c r="AC71" s="1112">
        <f>($C71*0.26)+$C71</f>
        <v>1827</v>
      </c>
      <c r="AD71" s="1112">
        <f>($C71*0.27)+$C71</f>
        <v>1841.5</v>
      </c>
      <c r="AE71" s="1112">
        <f>($C71*0.28)+$C71</f>
        <v>1856</v>
      </c>
      <c r="AF71" s="1112">
        <f>($C71*0.29)+$C71</f>
        <v>1870.5</v>
      </c>
      <c r="AG71" s="1112">
        <f>($C71*0.3)+$C71</f>
        <v>1885</v>
      </c>
    </row>
    <row r="72" spans="1:33" ht="60">
      <c r="A72" s="4" t="s">
        <v>33</v>
      </c>
      <c r="B72" s="4" t="s">
        <v>55245</v>
      </c>
      <c r="C72" s="5">
        <v>2750</v>
      </c>
      <c r="D72" s="1112">
        <f>($C72*0.01)+$C72</f>
        <v>2777.5</v>
      </c>
      <c r="E72" s="1112">
        <f>($C72*0.02)+$C72</f>
        <v>2805</v>
      </c>
      <c r="F72" s="1112">
        <f>($C72*0.03)+$C72</f>
        <v>2832.5</v>
      </c>
      <c r="G72" s="1112">
        <f>($C72*0.04)+$C72</f>
        <v>2860</v>
      </c>
      <c r="H72" s="1112">
        <f>($C72*0.05)+$C72</f>
        <v>2887.5</v>
      </c>
      <c r="I72" s="1112">
        <f>($C72*0.06)+$C72</f>
        <v>2915</v>
      </c>
      <c r="J72" s="1112">
        <f>($C72*0.07)+$C72</f>
        <v>2942.5</v>
      </c>
      <c r="K72" s="1112">
        <f>($C72*0.08)+$C72</f>
        <v>2970</v>
      </c>
      <c r="L72" s="1112">
        <f>($C72*0.09)+$C72</f>
        <v>2997.5</v>
      </c>
      <c r="M72" s="1112">
        <f>($C72*0.1)+$C72</f>
        <v>3025</v>
      </c>
      <c r="N72" s="1112">
        <f>($C72*0.11)+$C72</f>
        <v>3052.5</v>
      </c>
      <c r="O72" s="1112">
        <f>($C72*0.12)+$C72</f>
        <v>3080</v>
      </c>
      <c r="P72" s="1112">
        <f>($C72*0.13)+$C72</f>
        <v>3107.5</v>
      </c>
      <c r="Q72" s="1112">
        <f>($C72*0.14)+$C72</f>
        <v>3135</v>
      </c>
      <c r="R72" s="1112">
        <f>($C72*0.15)+$C72</f>
        <v>3162.5</v>
      </c>
      <c r="S72" s="1112">
        <f>($C72*0.16)+$C72</f>
        <v>3190</v>
      </c>
      <c r="T72" s="1112">
        <f>($C72*0.17)+$C72</f>
        <v>3217.5</v>
      </c>
      <c r="U72" s="1112">
        <f>($C72*0.18)+$C72</f>
        <v>3245</v>
      </c>
      <c r="V72" s="1112">
        <f>($C72*0.19)+$C72</f>
        <v>3272.5</v>
      </c>
      <c r="W72" s="1112">
        <f>($C72*0.2)+$C72</f>
        <v>3300</v>
      </c>
      <c r="X72" s="1112">
        <f>($C72*0.21)+$C72</f>
        <v>3327.5</v>
      </c>
      <c r="Y72" s="1112">
        <f>($C72*0.22)+$C72</f>
        <v>3355</v>
      </c>
      <c r="Z72" s="1112">
        <f>($C72*0.23)+$C72</f>
        <v>3382.5</v>
      </c>
      <c r="AA72" s="1112">
        <f>($C72*0.24)+$C72</f>
        <v>3410</v>
      </c>
      <c r="AB72" s="1112">
        <f>($C72*0.25)+$C72</f>
        <v>3437.5</v>
      </c>
      <c r="AC72" s="1112">
        <f>($C72*0.26)+$C72</f>
        <v>3465</v>
      </c>
      <c r="AD72" s="1112">
        <f>($C72*0.27)+$C72</f>
        <v>3492.5</v>
      </c>
      <c r="AE72" s="1112">
        <f>($C72*0.28)+$C72</f>
        <v>3520</v>
      </c>
      <c r="AF72" s="1112">
        <f>($C72*0.29)+$C72</f>
        <v>3547.5</v>
      </c>
      <c r="AG72" s="1112">
        <f>($C72*0.3)+$C72</f>
        <v>3575</v>
      </c>
    </row>
    <row r="73" spans="1:33" ht="60">
      <c r="A73" s="4" t="s">
        <v>34</v>
      </c>
      <c r="B73" s="4" t="s">
        <v>55243</v>
      </c>
      <c r="C73" s="5">
        <v>3000</v>
      </c>
      <c r="D73" s="1112">
        <f>($C73*0.01)+$C73</f>
        <v>3030</v>
      </c>
      <c r="E73" s="1112">
        <f>($C73*0.02)+$C73</f>
        <v>3060</v>
      </c>
      <c r="F73" s="1112">
        <f>($C73*0.03)+$C73</f>
        <v>3090</v>
      </c>
      <c r="G73" s="1112">
        <f>($C73*0.04)+$C73</f>
        <v>3120</v>
      </c>
      <c r="H73" s="1112">
        <f>($C73*0.05)+$C73</f>
        <v>3150</v>
      </c>
      <c r="I73" s="1112">
        <f>($C73*0.06)+$C73</f>
        <v>3180</v>
      </c>
      <c r="J73" s="1112">
        <f>($C73*0.07)+$C73</f>
        <v>3210</v>
      </c>
      <c r="K73" s="1112">
        <f>($C73*0.08)+$C73</f>
        <v>3240</v>
      </c>
      <c r="L73" s="1112">
        <f>($C73*0.09)+$C73</f>
        <v>3270</v>
      </c>
      <c r="M73" s="1112">
        <f>($C73*0.1)+$C73</f>
        <v>3300</v>
      </c>
      <c r="N73" s="1112">
        <f>($C73*0.11)+$C73</f>
        <v>3330</v>
      </c>
      <c r="O73" s="1112">
        <f>($C73*0.12)+$C73</f>
        <v>3360</v>
      </c>
      <c r="P73" s="1112">
        <f>($C73*0.13)+$C73</f>
        <v>3390</v>
      </c>
      <c r="Q73" s="1112">
        <f>($C73*0.14)+$C73</f>
        <v>3420</v>
      </c>
      <c r="R73" s="1112">
        <f>($C73*0.15)+$C73</f>
        <v>3450</v>
      </c>
      <c r="S73" s="1112">
        <f>($C73*0.16)+$C73</f>
        <v>3480</v>
      </c>
      <c r="T73" s="1112">
        <f>($C73*0.17)+$C73</f>
        <v>3510</v>
      </c>
      <c r="U73" s="1112">
        <f>($C73*0.18)+$C73</f>
        <v>3540</v>
      </c>
      <c r="V73" s="1112">
        <f>($C73*0.19)+$C73</f>
        <v>3570</v>
      </c>
      <c r="W73" s="1112">
        <f>($C73*0.2)+$C73</f>
        <v>3600</v>
      </c>
      <c r="X73" s="1112">
        <f>($C73*0.21)+$C73</f>
        <v>3630</v>
      </c>
      <c r="Y73" s="1112">
        <f>($C73*0.22)+$C73</f>
        <v>3660</v>
      </c>
      <c r="Z73" s="1112">
        <f>($C73*0.23)+$C73</f>
        <v>3690</v>
      </c>
      <c r="AA73" s="1112">
        <f>($C73*0.24)+$C73</f>
        <v>3720</v>
      </c>
      <c r="AB73" s="1112">
        <f>($C73*0.25)+$C73</f>
        <v>3750</v>
      </c>
      <c r="AC73" s="1112">
        <f>($C73*0.26)+$C73</f>
        <v>3780</v>
      </c>
      <c r="AD73" s="1112">
        <f>($C73*0.27)+$C73</f>
        <v>3810</v>
      </c>
      <c r="AE73" s="1112">
        <f>($C73*0.28)+$C73</f>
        <v>3840</v>
      </c>
      <c r="AF73" s="1112">
        <f>($C73*0.29)+$C73</f>
        <v>3870</v>
      </c>
      <c r="AG73" s="1112">
        <f>($C73*0.3)+$C73</f>
        <v>3900</v>
      </c>
    </row>
    <row r="74" spans="1:33" ht="60">
      <c r="A74" s="4" t="s">
        <v>35</v>
      </c>
      <c r="B74" s="4" t="s">
        <v>55244</v>
      </c>
      <c r="C74" s="5">
        <v>3000</v>
      </c>
      <c r="D74" s="1112">
        <f>($C74*0.01)+$C74</f>
        <v>3030</v>
      </c>
      <c r="E74" s="1112">
        <f>($C74*0.02)+$C74</f>
        <v>3060</v>
      </c>
      <c r="F74" s="1112">
        <f>($C74*0.03)+$C74</f>
        <v>3090</v>
      </c>
      <c r="G74" s="1112">
        <f>($C74*0.04)+$C74</f>
        <v>3120</v>
      </c>
      <c r="H74" s="1112">
        <f>($C74*0.05)+$C74</f>
        <v>3150</v>
      </c>
      <c r="I74" s="1112">
        <f>($C74*0.06)+$C74</f>
        <v>3180</v>
      </c>
      <c r="J74" s="1112">
        <f>($C74*0.07)+$C74</f>
        <v>3210</v>
      </c>
      <c r="K74" s="1112">
        <f>($C74*0.08)+$C74</f>
        <v>3240</v>
      </c>
      <c r="L74" s="1112">
        <f>($C74*0.09)+$C74</f>
        <v>3270</v>
      </c>
      <c r="M74" s="1112">
        <f>($C74*0.1)+$C74</f>
        <v>3300</v>
      </c>
      <c r="N74" s="1112">
        <f>($C74*0.11)+$C74</f>
        <v>3330</v>
      </c>
      <c r="O74" s="1112">
        <f>($C74*0.12)+$C74</f>
        <v>3360</v>
      </c>
      <c r="P74" s="1112">
        <f>($C74*0.13)+$C74</f>
        <v>3390</v>
      </c>
      <c r="Q74" s="1112">
        <f>($C74*0.14)+$C74</f>
        <v>3420</v>
      </c>
      <c r="R74" s="1112">
        <f>($C74*0.15)+$C74</f>
        <v>3450</v>
      </c>
      <c r="S74" s="1112">
        <f>($C74*0.16)+$C74</f>
        <v>3480</v>
      </c>
      <c r="T74" s="1112">
        <f>($C74*0.17)+$C74</f>
        <v>3510</v>
      </c>
      <c r="U74" s="1112">
        <f>($C74*0.18)+$C74</f>
        <v>3540</v>
      </c>
      <c r="V74" s="1112">
        <f>($C74*0.19)+$C74</f>
        <v>3570</v>
      </c>
      <c r="W74" s="1112">
        <f>($C74*0.2)+$C74</f>
        <v>3600</v>
      </c>
      <c r="X74" s="1112">
        <f>($C74*0.21)+$C74</f>
        <v>3630</v>
      </c>
      <c r="Y74" s="1112">
        <f>($C74*0.22)+$C74</f>
        <v>3660</v>
      </c>
      <c r="Z74" s="1112">
        <f>($C74*0.23)+$C74</f>
        <v>3690</v>
      </c>
      <c r="AA74" s="1112">
        <f>($C74*0.24)+$C74</f>
        <v>3720</v>
      </c>
      <c r="AB74" s="1112">
        <f>($C74*0.25)+$C74</f>
        <v>3750</v>
      </c>
      <c r="AC74" s="1112">
        <f>($C74*0.26)+$C74</f>
        <v>3780</v>
      </c>
      <c r="AD74" s="1112">
        <f>($C74*0.27)+$C74</f>
        <v>3810</v>
      </c>
      <c r="AE74" s="1112">
        <f>($C74*0.28)+$C74</f>
        <v>3840</v>
      </c>
      <c r="AF74" s="1112">
        <f>($C74*0.29)+$C74</f>
        <v>3870</v>
      </c>
      <c r="AG74" s="1112">
        <f>($C74*0.3)+$C74</f>
        <v>3900</v>
      </c>
    </row>
    <row r="75" spans="1:33" ht="60">
      <c r="A75" s="4" t="s">
        <v>36</v>
      </c>
      <c r="B75" s="4" t="s">
        <v>55246</v>
      </c>
      <c r="C75" s="5">
        <v>3000</v>
      </c>
      <c r="D75" s="1112">
        <f>($C75*0.01)+$C75</f>
        <v>3030</v>
      </c>
      <c r="E75" s="1112">
        <f>($C75*0.02)+$C75</f>
        <v>3060</v>
      </c>
      <c r="F75" s="1112">
        <f>($C75*0.03)+$C75</f>
        <v>3090</v>
      </c>
      <c r="G75" s="1112">
        <f>($C75*0.04)+$C75</f>
        <v>3120</v>
      </c>
      <c r="H75" s="1112">
        <f>($C75*0.05)+$C75</f>
        <v>3150</v>
      </c>
      <c r="I75" s="1112">
        <f>($C75*0.06)+$C75</f>
        <v>3180</v>
      </c>
      <c r="J75" s="1112">
        <f>($C75*0.07)+$C75</f>
        <v>3210</v>
      </c>
      <c r="K75" s="1112">
        <f>($C75*0.08)+$C75</f>
        <v>3240</v>
      </c>
      <c r="L75" s="1112">
        <f>($C75*0.09)+$C75</f>
        <v>3270</v>
      </c>
      <c r="M75" s="1112">
        <f>($C75*0.1)+$C75</f>
        <v>3300</v>
      </c>
      <c r="N75" s="1112">
        <f>($C75*0.11)+$C75</f>
        <v>3330</v>
      </c>
      <c r="O75" s="1112">
        <f>($C75*0.12)+$C75</f>
        <v>3360</v>
      </c>
      <c r="P75" s="1112">
        <f>($C75*0.13)+$C75</f>
        <v>3390</v>
      </c>
      <c r="Q75" s="1112">
        <f>($C75*0.14)+$C75</f>
        <v>3420</v>
      </c>
      <c r="R75" s="1112">
        <f>($C75*0.15)+$C75</f>
        <v>3450</v>
      </c>
      <c r="S75" s="1112">
        <f>($C75*0.16)+$C75</f>
        <v>3480</v>
      </c>
      <c r="T75" s="1112">
        <f>($C75*0.17)+$C75</f>
        <v>3510</v>
      </c>
      <c r="U75" s="1112">
        <f>($C75*0.18)+$C75</f>
        <v>3540</v>
      </c>
      <c r="V75" s="1112">
        <f>($C75*0.19)+$C75</f>
        <v>3570</v>
      </c>
      <c r="W75" s="1112">
        <f>($C75*0.2)+$C75</f>
        <v>3600</v>
      </c>
      <c r="X75" s="1112">
        <f>($C75*0.21)+$C75</f>
        <v>3630</v>
      </c>
      <c r="Y75" s="1112">
        <f>($C75*0.22)+$C75</f>
        <v>3660</v>
      </c>
      <c r="Z75" s="1112">
        <f>($C75*0.23)+$C75</f>
        <v>3690</v>
      </c>
      <c r="AA75" s="1112">
        <f>($C75*0.24)+$C75</f>
        <v>3720</v>
      </c>
      <c r="AB75" s="1112">
        <f>($C75*0.25)+$C75</f>
        <v>3750</v>
      </c>
      <c r="AC75" s="1112">
        <f>($C75*0.26)+$C75</f>
        <v>3780</v>
      </c>
      <c r="AD75" s="1112">
        <f>($C75*0.27)+$C75</f>
        <v>3810</v>
      </c>
      <c r="AE75" s="1112">
        <f>($C75*0.28)+$C75</f>
        <v>3840</v>
      </c>
      <c r="AF75" s="1112">
        <f>($C75*0.29)+$C75</f>
        <v>3870</v>
      </c>
      <c r="AG75" s="1112">
        <f>($C75*0.3)+$C75</f>
        <v>3900</v>
      </c>
    </row>
    <row r="76" spans="1:33" ht="15">
      <c r="A76" s="4"/>
      <c r="B76" s="4"/>
      <c r="C76" s="5"/>
      <c r="D76" s="1112"/>
      <c r="E76" s="1112"/>
      <c r="F76" s="1112"/>
      <c r="G76" s="1112"/>
      <c r="H76" s="1112"/>
      <c r="I76" s="1112"/>
      <c r="J76" s="1112"/>
      <c r="K76" s="1112"/>
      <c r="L76" s="1112"/>
      <c r="M76" s="1112"/>
      <c r="N76" s="1112"/>
      <c r="O76" s="1112"/>
      <c r="P76" s="1112"/>
      <c r="Q76" s="1112"/>
      <c r="R76" s="1112"/>
      <c r="S76" s="1112"/>
      <c r="T76" s="1112"/>
      <c r="U76" s="1112"/>
      <c r="V76" s="1112"/>
      <c r="W76" s="1112"/>
      <c r="X76" s="1112"/>
      <c r="Y76" s="1112"/>
      <c r="Z76" s="1112"/>
      <c r="AA76" s="1112"/>
      <c r="AB76" s="1112"/>
      <c r="AC76" s="1112"/>
      <c r="AD76" s="1112"/>
      <c r="AE76" s="1112"/>
      <c r="AF76" s="1112"/>
      <c r="AG76" s="1112"/>
    </row>
    <row r="77" spans="1:33" ht="20">
      <c r="A77" s="13"/>
      <c r="B77" s="11" t="s">
        <v>37643</v>
      </c>
      <c r="C77" s="14"/>
      <c r="D77" s="1112"/>
      <c r="E77" s="1112"/>
      <c r="F77" s="1112"/>
      <c r="G77" s="1112"/>
      <c r="H77" s="1112"/>
      <c r="I77" s="1112"/>
      <c r="J77" s="1112"/>
      <c r="K77" s="1112"/>
      <c r="L77" s="1112"/>
      <c r="M77" s="1112"/>
      <c r="N77" s="1112"/>
      <c r="O77" s="1112"/>
      <c r="P77" s="1112"/>
      <c r="Q77" s="1112"/>
      <c r="R77" s="1112"/>
      <c r="S77" s="1112"/>
      <c r="T77" s="1112"/>
      <c r="U77" s="1112"/>
      <c r="V77" s="1112"/>
      <c r="W77" s="1112"/>
      <c r="X77" s="1112"/>
      <c r="Y77" s="1112"/>
      <c r="Z77" s="1112"/>
      <c r="AA77" s="1112"/>
      <c r="AB77" s="1112"/>
      <c r="AC77" s="1112"/>
      <c r="AD77" s="1112"/>
      <c r="AE77" s="1112"/>
      <c r="AF77" s="1112"/>
      <c r="AG77" s="1112"/>
    </row>
    <row r="78" spans="1:33" ht="45">
      <c r="A78" s="4" t="s">
        <v>37</v>
      </c>
      <c r="B78" s="9" t="s">
        <v>38</v>
      </c>
      <c r="C78" s="5">
        <v>1100</v>
      </c>
      <c r="D78" s="1112">
        <f>($C78*0.01)+$C78</f>
        <v>1111</v>
      </c>
      <c r="E78" s="1112">
        <f>($C78*0.02)+$C78</f>
        <v>1122</v>
      </c>
      <c r="F78" s="1112">
        <f>($C78*0.03)+$C78</f>
        <v>1133</v>
      </c>
      <c r="G78" s="1112">
        <f>($C78*0.04)+$C78</f>
        <v>1144</v>
      </c>
      <c r="H78" s="1112">
        <f>($C78*0.05)+$C78</f>
        <v>1155</v>
      </c>
      <c r="I78" s="1112">
        <f>($C78*0.06)+$C78</f>
        <v>1166</v>
      </c>
      <c r="J78" s="1112">
        <f>($C78*0.07)+$C78</f>
        <v>1177</v>
      </c>
      <c r="K78" s="1112">
        <f>($C78*0.08)+$C78</f>
        <v>1188</v>
      </c>
      <c r="L78" s="1112">
        <f>($C78*0.09)+$C78</f>
        <v>1199</v>
      </c>
      <c r="M78" s="1112">
        <f>($C78*0.1)+$C78</f>
        <v>1210</v>
      </c>
      <c r="N78" s="1112">
        <f>($C78*0.11)+$C78</f>
        <v>1221</v>
      </c>
      <c r="O78" s="1112">
        <f>($C78*0.12)+$C78</f>
        <v>1232</v>
      </c>
      <c r="P78" s="1112">
        <f>($C78*0.13)+$C78</f>
        <v>1243</v>
      </c>
      <c r="Q78" s="1112">
        <f>($C78*0.14)+$C78</f>
        <v>1254</v>
      </c>
      <c r="R78" s="1112">
        <f>($C78*0.15)+$C78</f>
        <v>1265</v>
      </c>
      <c r="S78" s="1112">
        <f>($C78*0.16)+$C78</f>
        <v>1276</v>
      </c>
      <c r="T78" s="1112">
        <f>($C78*0.17)+$C78</f>
        <v>1287</v>
      </c>
      <c r="U78" s="1112">
        <f>($C78*0.18)+$C78</f>
        <v>1298</v>
      </c>
      <c r="V78" s="1112">
        <f>($C78*0.19)+$C78</f>
        <v>1309</v>
      </c>
      <c r="W78" s="1112">
        <f>($C78*0.2)+$C78</f>
        <v>1320</v>
      </c>
      <c r="X78" s="1112">
        <f>($C78*0.21)+$C78</f>
        <v>1331</v>
      </c>
      <c r="Y78" s="1112">
        <f>($C78*0.22)+$C78</f>
        <v>1342</v>
      </c>
      <c r="Z78" s="1112">
        <f>($C78*0.23)+$C78</f>
        <v>1353</v>
      </c>
      <c r="AA78" s="1112">
        <f>($C78*0.24)+$C78</f>
        <v>1364</v>
      </c>
      <c r="AB78" s="1112">
        <f>($C78*0.25)+$C78</f>
        <v>1375</v>
      </c>
      <c r="AC78" s="1112">
        <f>($C78*0.26)+$C78</f>
        <v>1386</v>
      </c>
      <c r="AD78" s="1112">
        <f>($C78*0.27)+$C78</f>
        <v>1397</v>
      </c>
      <c r="AE78" s="1112">
        <f>($C78*0.28)+$C78</f>
        <v>1408</v>
      </c>
      <c r="AF78" s="1112">
        <f>($C78*0.29)+$C78</f>
        <v>1419</v>
      </c>
      <c r="AG78" s="1112">
        <f>($C78*0.3)+$C78</f>
        <v>1430</v>
      </c>
    </row>
    <row r="79" spans="1:33" ht="45">
      <c r="A79" s="4" t="s">
        <v>39</v>
      </c>
      <c r="B79" s="9" t="s">
        <v>40</v>
      </c>
      <c r="C79" s="5">
        <v>1200</v>
      </c>
      <c r="D79" s="1112">
        <f>($C79*0.01)+$C79</f>
        <v>1212</v>
      </c>
      <c r="E79" s="1112">
        <f>($C79*0.02)+$C79</f>
        <v>1224</v>
      </c>
      <c r="F79" s="1112">
        <f>($C79*0.03)+$C79</f>
        <v>1236</v>
      </c>
      <c r="G79" s="1112">
        <f>($C79*0.04)+$C79</f>
        <v>1248</v>
      </c>
      <c r="H79" s="1112">
        <f>($C79*0.05)+$C79</f>
        <v>1260</v>
      </c>
      <c r="I79" s="1112">
        <f>($C79*0.06)+$C79</f>
        <v>1272</v>
      </c>
      <c r="J79" s="1112">
        <f>($C79*0.07)+$C79</f>
        <v>1284</v>
      </c>
      <c r="K79" s="1112">
        <f>($C79*0.08)+$C79</f>
        <v>1296</v>
      </c>
      <c r="L79" s="1112">
        <f>($C79*0.09)+$C79</f>
        <v>1308</v>
      </c>
      <c r="M79" s="1112">
        <f>($C79*0.1)+$C79</f>
        <v>1320</v>
      </c>
      <c r="N79" s="1112">
        <f>($C79*0.11)+$C79</f>
        <v>1332</v>
      </c>
      <c r="O79" s="1112">
        <f>($C79*0.12)+$C79</f>
        <v>1344</v>
      </c>
      <c r="P79" s="1112">
        <f>($C79*0.13)+$C79</f>
        <v>1356</v>
      </c>
      <c r="Q79" s="1112">
        <f>($C79*0.14)+$C79</f>
        <v>1368</v>
      </c>
      <c r="R79" s="1112">
        <f>($C79*0.15)+$C79</f>
        <v>1380</v>
      </c>
      <c r="S79" s="1112">
        <f>($C79*0.16)+$C79</f>
        <v>1392</v>
      </c>
      <c r="T79" s="1112">
        <f>($C79*0.17)+$C79</f>
        <v>1404</v>
      </c>
      <c r="U79" s="1112">
        <f>($C79*0.18)+$C79</f>
        <v>1416</v>
      </c>
      <c r="V79" s="1112">
        <f>($C79*0.19)+$C79</f>
        <v>1428</v>
      </c>
      <c r="W79" s="1112">
        <f>($C79*0.2)+$C79</f>
        <v>1440</v>
      </c>
      <c r="X79" s="1112">
        <f>($C79*0.21)+$C79</f>
        <v>1452</v>
      </c>
      <c r="Y79" s="1112">
        <f>($C79*0.22)+$C79</f>
        <v>1464</v>
      </c>
      <c r="Z79" s="1112">
        <f>($C79*0.23)+$C79</f>
        <v>1476</v>
      </c>
      <c r="AA79" s="1112">
        <f>($C79*0.24)+$C79</f>
        <v>1488</v>
      </c>
      <c r="AB79" s="1112">
        <f>($C79*0.25)+$C79</f>
        <v>1500</v>
      </c>
      <c r="AC79" s="1112">
        <f>($C79*0.26)+$C79</f>
        <v>1512</v>
      </c>
      <c r="AD79" s="1112">
        <f>($C79*0.27)+$C79</f>
        <v>1524</v>
      </c>
      <c r="AE79" s="1112">
        <f>($C79*0.28)+$C79</f>
        <v>1536</v>
      </c>
      <c r="AF79" s="1112">
        <f>($C79*0.29)+$C79</f>
        <v>1548</v>
      </c>
      <c r="AG79" s="1112">
        <f>($C79*0.3)+$C79</f>
        <v>1560</v>
      </c>
    </row>
    <row r="80" spans="1:33" ht="45">
      <c r="A80" s="4" t="s">
        <v>41</v>
      </c>
      <c r="B80" s="9" t="s">
        <v>42</v>
      </c>
      <c r="C80" s="5">
        <v>1200</v>
      </c>
      <c r="D80" s="1112">
        <f>($C80*0.01)+$C80</f>
        <v>1212</v>
      </c>
      <c r="E80" s="1112">
        <f>($C80*0.02)+$C80</f>
        <v>1224</v>
      </c>
      <c r="F80" s="1112">
        <f>($C80*0.03)+$C80</f>
        <v>1236</v>
      </c>
      <c r="G80" s="1112">
        <f>($C80*0.04)+$C80</f>
        <v>1248</v>
      </c>
      <c r="H80" s="1112">
        <f>($C80*0.05)+$C80</f>
        <v>1260</v>
      </c>
      <c r="I80" s="1112">
        <f>($C80*0.06)+$C80</f>
        <v>1272</v>
      </c>
      <c r="J80" s="1112">
        <f>($C80*0.07)+$C80</f>
        <v>1284</v>
      </c>
      <c r="K80" s="1112">
        <f>($C80*0.08)+$C80</f>
        <v>1296</v>
      </c>
      <c r="L80" s="1112">
        <f>($C80*0.09)+$C80</f>
        <v>1308</v>
      </c>
      <c r="M80" s="1112">
        <f>($C80*0.1)+$C80</f>
        <v>1320</v>
      </c>
      <c r="N80" s="1112">
        <f>($C80*0.11)+$C80</f>
        <v>1332</v>
      </c>
      <c r="O80" s="1112">
        <f>($C80*0.12)+$C80</f>
        <v>1344</v>
      </c>
      <c r="P80" s="1112">
        <f>($C80*0.13)+$C80</f>
        <v>1356</v>
      </c>
      <c r="Q80" s="1112">
        <f>($C80*0.14)+$C80</f>
        <v>1368</v>
      </c>
      <c r="R80" s="1112">
        <f>($C80*0.15)+$C80</f>
        <v>1380</v>
      </c>
      <c r="S80" s="1112">
        <f>($C80*0.16)+$C80</f>
        <v>1392</v>
      </c>
      <c r="T80" s="1112">
        <f>($C80*0.17)+$C80</f>
        <v>1404</v>
      </c>
      <c r="U80" s="1112">
        <f>($C80*0.18)+$C80</f>
        <v>1416</v>
      </c>
      <c r="V80" s="1112">
        <f>($C80*0.19)+$C80</f>
        <v>1428</v>
      </c>
      <c r="W80" s="1112">
        <f>($C80*0.2)+$C80</f>
        <v>1440</v>
      </c>
      <c r="X80" s="1112">
        <f>($C80*0.21)+$C80</f>
        <v>1452</v>
      </c>
      <c r="Y80" s="1112">
        <f>($C80*0.22)+$C80</f>
        <v>1464</v>
      </c>
      <c r="Z80" s="1112">
        <f>($C80*0.23)+$C80</f>
        <v>1476</v>
      </c>
      <c r="AA80" s="1112">
        <f>($C80*0.24)+$C80</f>
        <v>1488</v>
      </c>
      <c r="AB80" s="1112">
        <f>($C80*0.25)+$C80</f>
        <v>1500</v>
      </c>
      <c r="AC80" s="1112">
        <f>($C80*0.26)+$C80</f>
        <v>1512</v>
      </c>
      <c r="AD80" s="1112">
        <f>($C80*0.27)+$C80</f>
        <v>1524</v>
      </c>
      <c r="AE80" s="1112">
        <f>($C80*0.28)+$C80</f>
        <v>1536</v>
      </c>
      <c r="AF80" s="1112">
        <f>($C80*0.29)+$C80</f>
        <v>1548</v>
      </c>
      <c r="AG80" s="1112">
        <f>($C80*0.3)+$C80</f>
        <v>1560</v>
      </c>
    </row>
    <row r="81" spans="1:33" ht="45">
      <c r="A81" s="4" t="s">
        <v>43</v>
      </c>
      <c r="B81" s="9" t="s">
        <v>44</v>
      </c>
      <c r="C81" s="5">
        <v>1550</v>
      </c>
      <c r="D81" s="1112">
        <f>($C81*0.01)+$C81</f>
        <v>1565.5</v>
      </c>
      <c r="E81" s="1112">
        <f>($C81*0.02)+$C81</f>
        <v>1581</v>
      </c>
      <c r="F81" s="1112">
        <f>($C81*0.03)+$C81</f>
        <v>1596.5</v>
      </c>
      <c r="G81" s="1112">
        <f>($C81*0.04)+$C81</f>
        <v>1612</v>
      </c>
      <c r="H81" s="1112">
        <f>($C81*0.05)+$C81</f>
        <v>1627.5</v>
      </c>
      <c r="I81" s="1112">
        <f>($C81*0.06)+$C81</f>
        <v>1643</v>
      </c>
      <c r="J81" s="1112">
        <f>($C81*0.07)+$C81</f>
        <v>1658.5</v>
      </c>
      <c r="K81" s="1112">
        <f>($C81*0.08)+$C81</f>
        <v>1674</v>
      </c>
      <c r="L81" s="1112">
        <f>($C81*0.09)+$C81</f>
        <v>1689.5</v>
      </c>
      <c r="M81" s="1112">
        <f>($C81*0.1)+$C81</f>
        <v>1705</v>
      </c>
      <c r="N81" s="1112">
        <f>($C81*0.11)+$C81</f>
        <v>1720.5</v>
      </c>
      <c r="O81" s="1112">
        <f>($C81*0.12)+$C81</f>
        <v>1736</v>
      </c>
      <c r="P81" s="1112">
        <f>($C81*0.13)+$C81</f>
        <v>1751.5</v>
      </c>
      <c r="Q81" s="1112">
        <f>($C81*0.14)+$C81</f>
        <v>1767</v>
      </c>
      <c r="R81" s="1112">
        <f>($C81*0.15)+$C81</f>
        <v>1782.5</v>
      </c>
      <c r="S81" s="1112">
        <f>($C81*0.16)+$C81</f>
        <v>1798</v>
      </c>
      <c r="T81" s="1112">
        <f>($C81*0.17)+$C81</f>
        <v>1813.5</v>
      </c>
      <c r="U81" s="1112">
        <f>($C81*0.18)+$C81</f>
        <v>1829</v>
      </c>
      <c r="V81" s="1112">
        <f>($C81*0.19)+$C81</f>
        <v>1844.5</v>
      </c>
      <c r="W81" s="1112">
        <f>($C81*0.2)+$C81</f>
        <v>1860</v>
      </c>
      <c r="X81" s="1112">
        <f>($C81*0.21)+$C81</f>
        <v>1875.5</v>
      </c>
      <c r="Y81" s="1112">
        <f>($C81*0.22)+$C81</f>
        <v>1891</v>
      </c>
      <c r="Z81" s="1112">
        <f>($C81*0.23)+$C81</f>
        <v>1906.5</v>
      </c>
      <c r="AA81" s="1112">
        <f>($C81*0.24)+$C81</f>
        <v>1922</v>
      </c>
      <c r="AB81" s="1112">
        <f>($C81*0.25)+$C81</f>
        <v>1937.5</v>
      </c>
      <c r="AC81" s="1112">
        <f>($C81*0.26)+$C81</f>
        <v>1953</v>
      </c>
      <c r="AD81" s="1112">
        <f>($C81*0.27)+$C81</f>
        <v>1968.5</v>
      </c>
      <c r="AE81" s="1112">
        <f>($C81*0.28)+$C81</f>
        <v>1984</v>
      </c>
      <c r="AF81" s="1112">
        <f>($C81*0.29)+$C81</f>
        <v>1999.5</v>
      </c>
      <c r="AG81" s="1112">
        <f>($C81*0.3)+$C81</f>
        <v>2015</v>
      </c>
    </row>
    <row r="82" spans="1:33" ht="45">
      <c r="A82" s="4" t="s">
        <v>45</v>
      </c>
      <c r="B82" s="9" t="s">
        <v>46</v>
      </c>
      <c r="C82" s="5">
        <v>1700</v>
      </c>
      <c r="D82" s="1112">
        <f>($C82*0.01)+$C82</f>
        <v>1717</v>
      </c>
      <c r="E82" s="1112">
        <f>($C82*0.02)+$C82</f>
        <v>1734</v>
      </c>
      <c r="F82" s="1112">
        <f>($C82*0.03)+$C82</f>
        <v>1751</v>
      </c>
      <c r="G82" s="1112">
        <f>($C82*0.04)+$C82</f>
        <v>1768</v>
      </c>
      <c r="H82" s="1112">
        <f>($C82*0.05)+$C82</f>
        <v>1785</v>
      </c>
      <c r="I82" s="1112">
        <f>($C82*0.06)+$C82</f>
        <v>1802</v>
      </c>
      <c r="J82" s="1112">
        <f>($C82*0.07)+$C82</f>
        <v>1819</v>
      </c>
      <c r="K82" s="1112">
        <f>($C82*0.08)+$C82</f>
        <v>1836</v>
      </c>
      <c r="L82" s="1112">
        <f>($C82*0.09)+$C82</f>
        <v>1853</v>
      </c>
      <c r="M82" s="1112">
        <f>($C82*0.1)+$C82</f>
        <v>1870</v>
      </c>
      <c r="N82" s="1112">
        <f>($C82*0.11)+$C82</f>
        <v>1887</v>
      </c>
      <c r="O82" s="1112">
        <f>($C82*0.12)+$C82</f>
        <v>1904</v>
      </c>
      <c r="P82" s="1112">
        <f>($C82*0.13)+$C82</f>
        <v>1921</v>
      </c>
      <c r="Q82" s="1112">
        <f>($C82*0.14)+$C82</f>
        <v>1938</v>
      </c>
      <c r="R82" s="1112">
        <f>($C82*0.15)+$C82</f>
        <v>1955</v>
      </c>
      <c r="S82" s="1112">
        <f>($C82*0.16)+$C82</f>
        <v>1972</v>
      </c>
      <c r="T82" s="1112">
        <f>($C82*0.17)+$C82</f>
        <v>1989</v>
      </c>
      <c r="U82" s="1112">
        <f>($C82*0.18)+$C82</f>
        <v>2006</v>
      </c>
      <c r="V82" s="1112">
        <f>($C82*0.19)+$C82</f>
        <v>2023</v>
      </c>
      <c r="W82" s="1112">
        <f>($C82*0.2)+$C82</f>
        <v>2040</v>
      </c>
      <c r="X82" s="1112">
        <f>($C82*0.21)+$C82</f>
        <v>2057</v>
      </c>
      <c r="Y82" s="1112">
        <f>($C82*0.22)+$C82</f>
        <v>2074</v>
      </c>
      <c r="Z82" s="1112">
        <f>($C82*0.23)+$C82</f>
        <v>2091</v>
      </c>
      <c r="AA82" s="1112">
        <f>($C82*0.24)+$C82</f>
        <v>2108</v>
      </c>
      <c r="AB82" s="1112">
        <f>($C82*0.25)+$C82</f>
        <v>2125</v>
      </c>
      <c r="AC82" s="1112">
        <f>($C82*0.26)+$C82</f>
        <v>2142</v>
      </c>
      <c r="AD82" s="1112">
        <f>($C82*0.27)+$C82</f>
        <v>2159</v>
      </c>
      <c r="AE82" s="1112">
        <f>($C82*0.28)+$C82</f>
        <v>2176</v>
      </c>
      <c r="AF82" s="1112">
        <f>($C82*0.29)+$C82</f>
        <v>2193</v>
      </c>
      <c r="AG82" s="1112">
        <f>($C82*0.3)+$C82</f>
        <v>2210</v>
      </c>
    </row>
    <row r="83" spans="1:33" ht="45">
      <c r="A83" s="4" t="s">
        <v>47</v>
      </c>
      <c r="B83" s="9" t="s">
        <v>48</v>
      </c>
      <c r="C83" s="5">
        <v>1700</v>
      </c>
      <c r="D83" s="1112">
        <f>($C83*0.01)+$C83</f>
        <v>1717</v>
      </c>
      <c r="E83" s="1112">
        <f>($C83*0.02)+$C83</f>
        <v>1734</v>
      </c>
      <c r="F83" s="1112">
        <f>($C83*0.03)+$C83</f>
        <v>1751</v>
      </c>
      <c r="G83" s="1112">
        <f>($C83*0.04)+$C83</f>
        <v>1768</v>
      </c>
      <c r="H83" s="1112">
        <f>($C83*0.05)+$C83</f>
        <v>1785</v>
      </c>
      <c r="I83" s="1112">
        <f>($C83*0.06)+$C83</f>
        <v>1802</v>
      </c>
      <c r="J83" s="1112">
        <f>($C83*0.07)+$C83</f>
        <v>1819</v>
      </c>
      <c r="K83" s="1112">
        <f>($C83*0.08)+$C83</f>
        <v>1836</v>
      </c>
      <c r="L83" s="1112">
        <f>($C83*0.09)+$C83</f>
        <v>1853</v>
      </c>
      <c r="M83" s="1112">
        <f>($C83*0.1)+$C83</f>
        <v>1870</v>
      </c>
      <c r="N83" s="1112">
        <f>($C83*0.11)+$C83</f>
        <v>1887</v>
      </c>
      <c r="O83" s="1112">
        <f>($C83*0.12)+$C83</f>
        <v>1904</v>
      </c>
      <c r="P83" s="1112">
        <f>($C83*0.13)+$C83</f>
        <v>1921</v>
      </c>
      <c r="Q83" s="1112">
        <f>($C83*0.14)+$C83</f>
        <v>1938</v>
      </c>
      <c r="R83" s="1112">
        <f>($C83*0.15)+$C83</f>
        <v>1955</v>
      </c>
      <c r="S83" s="1112">
        <f>($C83*0.16)+$C83</f>
        <v>1972</v>
      </c>
      <c r="T83" s="1112">
        <f>($C83*0.17)+$C83</f>
        <v>1989</v>
      </c>
      <c r="U83" s="1112">
        <f>($C83*0.18)+$C83</f>
        <v>2006</v>
      </c>
      <c r="V83" s="1112">
        <f>($C83*0.19)+$C83</f>
        <v>2023</v>
      </c>
      <c r="W83" s="1112">
        <f>($C83*0.2)+$C83</f>
        <v>2040</v>
      </c>
      <c r="X83" s="1112">
        <f>($C83*0.21)+$C83</f>
        <v>2057</v>
      </c>
      <c r="Y83" s="1112">
        <f>($C83*0.22)+$C83</f>
        <v>2074</v>
      </c>
      <c r="Z83" s="1112">
        <f>($C83*0.23)+$C83</f>
        <v>2091</v>
      </c>
      <c r="AA83" s="1112">
        <f>($C83*0.24)+$C83</f>
        <v>2108</v>
      </c>
      <c r="AB83" s="1112">
        <f>($C83*0.25)+$C83</f>
        <v>2125</v>
      </c>
      <c r="AC83" s="1112">
        <f>($C83*0.26)+$C83</f>
        <v>2142</v>
      </c>
      <c r="AD83" s="1112">
        <f>($C83*0.27)+$C83</f>
        <v>2159</v>
      </c>
      <c r="AE83" s="1112">
        <f>($C83*0.28)+$C83</f>
        <v>2176</v>
      </c>
      <c r="AF83" s="1112">
        <f>($C83*0.29)+$C83</f>
        <v>2193</v>
      </c>
      <c r="AG83" s="1112">
        <f>($C83*0.3)+$C83</f>
        <v>2210</v>
      </c>
    </row>
    <row r="84" spans="1:33" ht="45">
      <c r="A84" s="4" t="s">
        <v>49</v>
      </c>
      <c r="B84" s="9" t="s">
        <v>50</v>
      </c>
      <c r="C84" s="5">
        <v>1100</v>
      </c>
      <c r="D84" s="1112">
        <f>($C84*0.01)+$C84</f>
        <v>1111</v>
      </c>
      <c r="E84" s="1112">
        <f>($C84*0.02)+$C84</f>
        <v>1122</v>
      </c>
      <c r="F84" s="1112">
        <f>($C84*0.03)+$C84</f>
        <v>1133</v>
      </c>
      <c r="G84" s="1112">
        <f>($C84*0.04)+$C84</f>
        <v>1144</v>
      </c>
      <c r="H84" s="1112">
        <f>($C84*0.05)+$C84</f>
        <v>1155</v>
      </c>
      <c r="I84" s="1112">
        <f>($C84*0.06)+$C84</f>
        <v>1166</v>
      </c>
      <c r="J84" s="1112">
        <f>($C84*0.07)+$C84</f>
        <v>1177</v>
      </c>
      <c r="K84" s="1112">
        <f>($C84*0.08)+$C84</f>
        <v>1188</v>
      </c>
      <c r="L84" s="1112">
        <f>($C84*0.09)+$C84</f>
        <v>1199</v>
      </c>
      <c r="M84" s="1112">
        <f>($C84*0.1)+$C84</f>
        <v>1210</v>
      </c>
      <c r="N84" s="1112">
        <f>($C84*0.11)+$C84</f>
        <v>1221</v>
      </c>
      <c r="O84" s="1112">
        <f>($C84*0.12)+$C84</f>
        <v>1232</v>
      </c>
      <c r="P84" s="1112">
        <f>($C84*0.13)+$C84</f>
        <v>1243</v>
      </c>
      <c r="Q84" s="1112">
        <f>($C84*0.14)+$C84</f>
        <v>1254</v>
      </c>
      <c r="R84" s="1112">
        <f>($C84*0.15)+$C84</f>
        <v>1265</v>
      </c>
      <c r="S84" s="1112">
        <f>($C84*0.16)+$C84</f>
        <v>1276</v>
      </c>
      <c r="T84" s="1112">
        <f>($C84*0.17)+$C84</f>
        <v>1287</v>
      </c>
      <c r="U84" s="1112">
        <f>($C84*0.18)+$C84</f>
        <v>1298</v>
      </c>
      <c r="V84" s="1112">
        <f>($C84*0.19)+$C84</f>
        <v>1309</v>
      </c>
      <c r="W84" s="1112">
        <f>($C84*0.2)+$C84</f>
        <v>1320</v>
      </c>
      <c r="X84" s="1112">
        <f>($C84*0.21)+$C84</f>
        <v>1331</v>
      </c>
      <c r="Y84" s="1112">
        <f>($C84*0.22)+$C84</f>
        <v>1342</v>
      </c>
      <c r="Z84" s="1112">
        <f>($C84*0.23)+$C84</f>
        <v>1353</v>
      </c>
      <c r="AA84" s="1112">
        <f>($C84*0.24)+$C84</f>
        <v>1364</v>
      </c>
      <c r="AB84" s="1112">
        <f>($C84*0.25)+$C84</f>
        <v>1375</v>
      </c>
      <c r="AC84" s="1112">
        <f>($C84*0.26)+$C84</f>
        <v>1386</v>
      </c>
      <c r="AD84" s="1112">
        <f>($C84*0.27)+$C84</f>
        <v>1397</v>
      </c>
      <c r="AE84" s="1112">
        <f>($C84*0.28)+$C84</f>
        <v>1408</v>
      </c>
      <c r="AF84" s="1112">
        <f>($C84*0.29)+$C84</f>
        <v>1419</v>
      </c>
      <c r="AG84" s="1112">
        <f>($C84*0.3)+$C84</f>
        <v>1430</v>
      </c>
    </row>
    <row r="85" spans="1:33" ht="45">
      <c r="A85" s="4" t="s">
        <v>51</v>
      </c>
      <c r="B85" s="4" t="s">
        <v>52</v>
      </c>
      <c r="C85" s="5">
        <v>1150</v>
      </c>
      <c r="D85" s="1112">
        <f>($C85*0.01)+$C85</f>
        <v>1161.5</v>
      </c>
      <c r="E85" s="1112">
        <f>($C85*0.02)+$C85</f>
        <v>1173</v>
      </c>
      <c r="F85" s="1112">
        <f>($C85*0.03)+$C85</f>
        <v>1184.5</v>
      </c>
      <c r="G85" s="1112">
        <f>($C85*0.04)+$C85</f>
        <v>1196</v>
      </c>
      <c r="H85" s="1112">
        <f>($C85*0.05)+$C85</f>
        <v>1207.5</v>
      </c>
      <c r="I85" s="1112">
        <f>($C85*0.06)+$C85</f>
        <v>1219</v>
      </c>
      <c r="J85" s="1112">
        <f>($C85*0.07)+$C85</f>
        <v>1230.5</v>
      </c>
      <c r="K85" s="1112">
        <f>($C85*0.08)+$C85</f>
        <v>1242</v>
      </c>
      <c r="L85" s="1112">
        <f>($C85*0.09)+$C85</f>
        <v>1253.5</v>
      </c>
      <c r="M85" s="1112">
        <f>($C85*0.1)+$C85</f>
        <v>1265</v>
      </c>
      <c r="N85" s="1112">
        <f>($C85*0.11)+$C85</f>
        <v>1276.5</v>
      </c>
      <c r="O85" s="1112">
        <f>($C85*0.12)+$C85</f>
        <v>1288</v>
      </c>
      <c r="P85" s="1112">
        <f>($C85*0.13)+$C85</f>
        <v>1299.5</v>
      </c>
      <c r="Q85" s="1112">
        <f>($C85*0.14)+$C85</f>
        <v>1311</v>
      </c>
      <c r="R85" s="1112">
        <f>($C85*0.15)+$C85</f>
        <v>1322.5</v>
      </c>
      <c r="S85" s="1112">
        <f>($C85*0.16)+$C85</f>
        <v>1334</v>
      </c>
      <c r="T85" s="1112">
        <f>($C85*0.17)+$C85</f>
        <v>1345.5</v>
      </c>
      <c r="U85" s="1112">
        <f>($C85*0.18)+$C85</f>
        <v>1357</v>
      </c>
      <c r="V85" s="1112">
        <f>($C85*0.19)+$C85</f>
        <v>1368.5</v>
      </c>
      <c r="W85" s="1112">
        <f>($C85*0.2)+$C85</f>
        <v>1380</v>
      </c>
      <c r="X85" s="1112">
        <f>($C85*0.21)+$C85</f>
        <v>1391.5</v>
      </c>
      <c r="Y85" s="1112">
        <f>($C85*0.22)+$C85</f>
        <v>1403</v>
      </c>
      <c r="Z85" s="1112">
        <f>($C85*0.23)+$C85</f>
        <v>1414.5</v>
      </c>
      <c r="AA85" s="1112">
        <f>($C85*0.24)+$C85</f>
        <v>1426</v>
      </c>
      <c r="AB85" s="1112">
        <f>($C85*0.25)+$C85</f>
        <v>1437.5</v>
      </c>
      <c r="AC85" s="1112">
        <f>($C85*0.26)+$C85</f>
        <v>1449</v>
      </c>
      <c r="AD85" s="1112">
        <f>($C85*0.27)+$C85</f>
        <v>1460.5</v>
      </c>
      <c r="AE85" s="1112">
        <f>($C85*0.28)+$C85</f>
        <v>1472</v>
      </c>
      <c r="AF85" s="1112">
        <f>($C85*0.29)+$C85</f>
        <v>1483.5</v>
      </c>
      <c r="AG85" s="1112">
        <f>($C85*0.3)+$C85</f>
        <v>1495</v>
      </c>
    </row>
    <row r="86" spans="1:33" ht="30">
      <c r="A86" s="4" t="s">
        <v>53</v>
      </c>
      <c r="B86" s="4" t="s">
        <v>54</v>
      </c>
      <c r="C86" s="5">
        <v>800</v>
      </c>
      <c r="D86" s="1112">
        <f>($C86*0.01)+$C86</f>
        <v>808</v>
      </c>
      <c r="E86" s="1112">
        <f>($C86*0.02)+$C86</f>
        <v>816</v>
      </c>
      <c r="F86" s="1112">
        <f>($C86*0.03)+$C86</f>
        <v>824</v>
      </c>
      <c r="G86" s="1112">
        <f>($C86*0.04)+$C86</f>
        <v>832</v>
      </c>
      <c r="H86" s="1112">
        <f>($C86*0.05)+$C86</f>
        <v>840</v>
      </c>
      <c r="I86" s="1112">
        <f>($C86*0.06)+$C86</f>
        <v>848</v>
      </c>
      <c r="J86" s="1112">
        <f>($C86*0.07)+$C86</f>
        <v>856</v>
      </c>
      <c r="K86" s="1112">
        <f>($C86*0.08)+$C86</f>
        <v>864</v>
      </c>
      <c r="L86" s="1112">
        <f>($C86*0.09)+$C86</f>
        <v>872</v>
      </c>
      <c r="M86" s="1112">
        <f>($C86*0.1)+$C86</f>
        <v>880</v>
      </c>
      <c r="N86" s="1112">
        <f>($C86*0.11)+$C86</f>
        <v>888</v>
      </c>
      <c r="O86" s="1112">
        <f>($C86*0.12)+$C86</f>
        <v>896</v>
      </c>
      <c r="P86" s="1112">
        <f>($C86*0.13)+$C86</f>
        <v>904</v>
      </c>
      <c r="Q86" s="1112">
        <f>($C86*0.14)+$C86</f>
        <v>912</v>
      </c>
      <c r="R86" s="1112">
        <f>($C86*0.15)+$C86</f>
        <v>920</v>
      </c>
      <c r="S86" s="1112">
        <f>($C86*0.16)+$C86</f>
        <v>928</v>
      </c>
      <c r="T86" s="1112">
        <f>($C86*0.17)+$C86</f>
        <v>936</v>
      </c>
      <c r="U86" s="1112">
        <f>($C86*0.18)+$C86</f>
        <v>944</v>
      </c>
      <c r="V86" s="1112">
        <f>($C86*0.19)+$C86</f>
        <v>952</v>
      </c>
      <c r="W86" s="1112">
        <f>($C86*0.2)+$C86</f>
        <v>960</v>
      </c>
      <c r="X86" s="1112">
        <f>($C86*0.21)+$C86</f>
        <v>968</v>
      </c>
      <c r="Y86" s="1112">
        <f>($C86*0.22)+$C86</f>
        <v>976</v>
      </c>
      <c r="Z86" s="1112">
        <f>($C86*0.23)+$C86</f>
        <v>984</v>
      </c>
      <c r="AA86" s="1112">
        <f>($C86*0.24)+$C86</f>
        <v>992</v>
      </c>
      <c r="AB86" s="1112">
        <f>($C86*0.25)+$C86</f>
        <v>1000</v>
      </c>
      <c r="AC86" s="1112">
        <f>($C86*0.26)+$C86</f>
        <v>1008</v>
      </c>
      <c r="AD86" s="1112">
        <f>($C86*0.27)+$C86</f>
        <v>1016</v>
      </c>
      <c r="AE86" s="1112">
        <f>($C86*0.28)+$C86</f>
        <v>1024</v>
      </c>
      <c r="AF86" s="1112">
        <f>($C86*0.29)+$C86</f>
        <v>1032</v>
      </c>
      <c r="AG86" s="1112">
        <f>($C86*0.3)+$C86</f>
        <v>1040</v>
      </c>
    </row>
    <row r="87" spans="1:33" ht="30">
      <c r="A87" s="4" t="s">
        <v>55</v>
      </c>
      <c r="B87" s="4" t="s">
        <v>56</v>
      </c>
      <c r="C87" s="5">
        <v>800</v>
      </c>
      <c r="D87" s="1112">
        <f>($C87*0.01)+$C87</f>
        <v>808</v>
      </c>
      <c r="E87" s="1112">
        <f>($C87*0.02)+$C87</f>
        <v>816</v>
      </c>
      <c r="F87" s="1112">
        <f>($C87*0.03)+$C87</f>
        <v>824</v>
      </c>
      <c r="G87" s="1112">
        <f>($C87*0.04)+$C87</f>
        <v>832</v>
      </c>
      <c r="H87" s="1112">
        <f>($C87*0.05)+$C87</f>
        <v>840</v>
      </c>
      <c r="I87" s="1112">
        <f>($C87*0.06)+$C87</f>
        <v>848</v>
      </c>
      <c r="J87" s="1112">
        <f>($C87*0.07)+$C87</f>
        <v>856</v>
      </c>
      <c r="K87" s="1112">
        <f>($C87*0.08)+$C87</f>
        <v>864</v>
      </c>
      <c r="L87" s="1112">
        <f>($C87*0.09)+$C87</f>
        <v>872</v>
      </c>
      <c r="M87" s="1112">
        <f>($C87*0.1)+$C87</f>
        <v>880</v>
      </c>
      <c r="N87" s="1112">
        <f>($C87*0.11)+$C87</f>
        <v>888</v>
      </c>
      <c r="O87" s="1112">
        <f>($C87*0.12)+$C87</f>
        <v>896</v>
      </c>
      <c r="P87" s="1112">
        <f>($C87*0.13)+$C87</f>
        <v>904</v>
      </c>
      <c r="Q87" s="1112">
        <f>($C87*0.14)+$C87</f>
        <v>912</v>
      </c>
      <c r="R87" s="1112">
        <f>($C87*0.15)+$C87</f>
        <v>920</v>
      </c>
      <c r="S87" s="1112">
        <f>($C87*0.16)+$C87</f>
        <v>928</v>
      </c>
      <c r="T87" s="1112">
        <f>($C87*0.17)+$C87</f>
        <v>936</v>
      </c>
      <c r="U87" s="1112">
        <f>($C87*0.18)+$C87</f>
        <v>944</v>
      </c>
      <c r="V87" s="1112">
        <f>($C87*0.19)+$C87</f>
        <v>952</v>
      </c>
      <c r="W87" s="1112">
        <f>($C87*0.2)+$C87</f>
        <v>960</v>
      </c>
      <c r="X87" s="1112">
        <f>($C87*0.21)+$C87</f>
        <v>968</v>
      </c>
      <c r="Y87" s="1112">
        <f>($C87*0.22)+$C87</f>
        <v>976</v>
      </c>
      <c r="Z87" s="1112">
        <f>($C87*0.23)+$C87</f>
        <v>984</v>
      </c>
      <c r="AA87" s="1112">
        <f>($C87*0.24)+$C87</f>
        <v>992</v>
      </c>
      <c r="AB87" s="1112">
        <f>($C87*0.25)+$C87</f>
        <v>1000</v>
      </c>
      <c r="AC87" s="1112">
        <f>($C87*0.26)+$C87</f>
        <v>1008</v>
      </c>
      <c r="AD87" s="1112">
        <f>($C87*0.27)+$C87</f>
        <v>1016</v>
      </c>
      <c r="AE87" s="1112">
        <f>($C87*0.28)+$C87</f>
        <v>1024</v>
      </c>
      <c r="AF87" s="1112">
        <f>($C87*0.29)+$C87</f>
        <v>1032</v>
      </c>
      <c r="AG87" s="1112">
        <f>($C87*0.3)+$C87</f>
        <v>1040</v>
      </c>
    </row>
    <row r="88" spans="1:33" ht="30">
      <c r="A88" s="4" t="s">
        <v>57</v>
      </c>
      <c r="B88" s="4" t="s">
        <v>58</v>
      </c>
      <c r="C88" s="5">
        <v>800</v>
      </c>
      <c r="D88" s="1112">
        <f>($C88*0.01)+$C88</f>
        <v>808</v>
      </c>
      <c r="E88" s="1112">
        <f>($C88*0.02)+$C88</f>
        <v>816</v>
      </c>
      <c r="F88" s="1112">
        <f>($C88*0.03)+$C88</f>
        <v>824</v>
      </c>
      <c r="G88" s="1112">
        <f>($C88*0.04)+$C88</f>
        <v>832</v>
      </c>
      <c r="H88" s="1112">
        <f>($C88*0.05)+$C88</f>
        <v>840</v>
      </c>
      <c r="I88" s="1112">
        <f>($C88*0.06)+$C88</f>
        <v>848</v>
      </c>
      <c r="J88" s="1112">
        <f>($C88*0.07)+$C88</f>
        <v>856</v>
      </c>
      <c r="K88" s="1112">
        <f>($C88*0.08)+$C88</f>
        <v>864</v>
      </c>
      <c r="L88" s="1112">
        <f>($C88*0.09)+$C88</f>
        <v>872</v>
      </c>
      <c r="M88" s="1112">
        <f>($C88*0.1)+$C88</f>
        <v>880</v>
      </c>
      <c r="N88" s="1112">
        <f>($C88*0.11)+$C88</f>
        <v>888</v>
      </c>
      <c r="O88" s="1112">
        <f>($C88*0.12)+$C88</f>
        <v>896</v>
      </c>
      <c r="P88" s="1112">
        <f>($C88*0.13)+$C88</f>
        <v>904</v>
      </c>
      <c r="Q88" s="1112">
        <f>($C88*0.14)+$C88</f>
        <v>912</v>
      </c>
      <c r="R88" s="1112">
        <f>($C88*0.15)+$C88</f>
        <v>920</v>
      </c>
      <c r="S88" s="1112">
        <f>($C88*0.16)+$C88</f>
        <v>928</v>
      </c>
      <c r="T88" s="1112">
        <f>($C88*0.17)+$C88</f>
        <v>936</v>
      </c>
      <c r="U88" s="1112">
        <f>($C88*0.18)+$C88</f>
        <v>944</v>
      </c>
      <c r="V88" s="1112">
        <f>($C88*0.19)+$C88</f>
        <v>952</v>
      </c>
      <c r="W88" s="1112">
        <f>($C88*0.2)+$C88</f>
        <v>960</v>
      </c>
      <c r="X88" s="1112">
        <f>($C88*0.21)+$C88</f>
        <v>968</v>
      </c>
      <c r="Y88" s="1112">
        <f>($C88*0.22)+$C88</f>
        <v>976</v>
      </c>
      <c r="Z88" s="1112">
        <f>($C88*0.23)+$C88</f>
        <v>984</v>
      </c>
      <c r="AA88" s="1112">
        <f>($C88*0.24)+$C88</f>
        <v>992</v>
      </c>
      <c r="AB88" s="1112">
        <f>($C88*0.25)+$C88</f>
        <v>1000</v>
      </c>
      <c r="AC88" s="1112">
        <f>($C88*0.26)+$C88</f>
        <v>1008</v>
      </c>
      <c r="AD88" s="1112">
        <f>($C88*0.27)+$C88</f>
        <v>1016</v>
      </c>
      <c r="AE88" s="1112">
        <f>($C88*0.28)+$C88</f>
        <v>1024</v>
      </c>
      <c r="AF88" s="1112">
        <f>($C88*0.29)+$C88</f>
        <v>1032</v>
      </c>
      <c r="AG88" s="1112">
        <f>($C88*0.3)+$C88</f>
        <v>1040</v>
      </c>
    </row>
    <row r="89" spans="1:33" ht="30">
      <c r="A89" s="4" t="s">
        <v>59</v>
      </c>
      <c r="B89" s="4" t="s">
        <v>60</v>
      </c>
      <c r="C89" s="5">
        <v>950</v>
      </c>
      <c r="D89" s="1112">
        <f>($C89*0.01)+$C89</f>
        <v>959.5</v>
      </c>
      <c r="E89" s="1112">
        <f>($C89*0.02)+$C89</f>
        <v>969</v>
      </c>
      <c r="F89" s="1112">
        <f>($C89*0.03)+$C89</f>
        <v>978.5</v>
      </c>
      <c r="G89" s="1112">
        <f>($C89*0.04)+$C89</f>
        <v>988</v>
      </c>
      <c r="H89" s="1112">
        <f>($C89*0.05)+$C89</f>
        <v>997.5</v>
      </c>
      <c r="I89" s="1112">
        <f>($C89*0.06)+$C89</f>
        <v>1007</v>
      </c>
      <c r="J89" s="1112">
        <f>($C89*0.07)+$C89</f>
        <v>1016.5</v>
      </c>
      <c r="K89" s="1112">
        <f>($C89*0.08)+$C89</f>
        <v>1026</v>
      </c>
      <c r="L89" s="1112">
        <f>($C89*0.09)+$C89</f>
        <v>1035.5</v>
      </c>
      <c r="M89" s="1112">
        <f>($C89*0.1)+$C89</f>
        <v>1045</v>
      </c>
      <c r="N89" s="1112">
        <f>($C89*0.11)+$C89</f>
        <v>1054.5</v>
      </c>
      <c r="O89" s="1112">
        <f>($C89*0.12)+$C89</f>
        <v>1064</v>
      </c>
      <c r="P89" s="1112">
        <f>($C89*0.13)+$C89</f>
        <v>1073.5</v>
      </c>
      <c r="Q89" s="1112">
        <f>($C89*0.14)+$C89</f>
        <v>1083</v>
      </c>
      <c r="R89" s="1112">
        <f>($C89*0.15)+$C89</f>
        <v>1092.5</v>
      </c>
      <c r="S89" s="1112">
        <f>($C89*0.16)+$C89</f>
        <v>1102</v>
      </c>
      <c r="T89" s="1112">
        <f>($C89*0.17)+$C89</f>
        <v>1111.5</v>
      </c>
      <c r="U89" s="1112">
        <f>($C89*0.18)+$C89</f>
        <v>1121</v>
      </c>
      <c r="V89" s="1112">
        <f>($C89*0.19)+$C89</f>
        <v>1130.5</v>
      </c>
      <c r="W89" s="1112">
        <f>($C89*0.2)+$C89</f>
        <v>1140</v>
      </c>
      <c r="X89" s="1112">
        <f>($C89*0.21)+$C89</f>
        <v>1149.5</v>
      </c>
      <c r="Y89" s="1112">
        <f>($C89*0.22)+$C89</f>
        <v>1159</v>
      </c>
      <c r="Z89" s="1112">
        <f>($C89*0.23)+$C89</f>
        <v>1168.5</v>
      </c>
      <c r="AA89" s="1112">
        <f>($C89*0.24)+$C89</f>
        <v>1178</v>
      </c>
      <c r="AB89" s="1112">
        <f>($C89*0.25)+$C89</f>
        <v>1187.5</v>
      </c>
      <c r="AC89" s="1112">
        <f>($C89*0.26)+$C89</f>
        <v>1197</v>
      </c>
      <c r="AD89" s="1112">
        <f>($C89*0.27)+$C89</f>
        <v>1206.5</v>
      </c>
      <c r="AE89" s="1112">
        <f>($C89*0.28)+$C89</f>
        <v>1216</v>
      </c>
      <c r="AF89" s="1112">
        <f>($C89*0.29)+$C89</f>
        <v>1225.5</v>
      </c>
      <c r="AG89" s="1112">
        <f>($C89*0.3)+$C89</f>
        <v>1235</v>
      </c>
    </row>
    <row r="90" spans="1:33" ht="60">
      <c r="A90" s="7" t="s">
        <v>61</v>
      </c>
      <c r="B90" s="7" t="s">
        <v>62</v>
      </c>
      <c r="C90" s="8">
        <v>725</v>
      </c>
      <c r="D90" s="1112">
        <f>($C90*0.01)+$C90</f>
        <v>732.25</v>
      </c>
      <c r="E90" s="1112">
        <f>($C90*0.02)+$C90</f>
        <v>739.5</v>
      </c>
      <c r="F90" s="1112">
        <f>($C90*0.03)+$C90</f>
        <v>746.75</v>
      </c>
      <c r="G90" s="1112">
        <f>($C90*0.04)+$C90</f>
        <v>754</v>
      </c>
      <c r="H90" s="1112">
        <f>($C90*0.05)+$C90</f>
        <v>761.25</v>
      </c>
      <c r="I90" s="1112">
        <f>($C90*0.06)+$C90</f>
        <v>768.5</v>
      </c>
      <c r="J90" s="1112">
        <f>($C90*0.07)+$C90</f>
        <v>775.75</v>
      </c>
      <c r="K90" s="1112">
        <f>($C90*0.08)+$C90</f>
        <v>783</v>
      </c>
      <c r="L90" s="1112">
        <f>($C90*0.09)+$C90</f>
        <v>790.25</v>
      </c>
      <c r="M90" s="1112">
        <f>($C90*0.1)+$C90</f>
        <v>797.5</v>
      </c>
      <c r="N90" s="1112">
        <f>($C90*0.11)+$C90</f>
        <v>804.75</v>
      </c>
      <c r="O90" s="1112">
        <f>($C90*0.12)+$C90</f>
        <v>812</v>
      </c>
      <c r="P90" s="1112">
        <f>($C90*0.13)+$C90</f>
        <v>819.25</v>
      </c>
      <c r="Q90" s="1112">
        <f>($C90*0.14)+$C90</f>
        <v>826.5</v>
      </c>
      <c r="R90" s="1112">
        <f>($C90*0.15)+$C90</f>
        <v>833.75</v>
      </c>
      <c r="S90" s="1112">
        <f>($C90*0.16)+$C90</f>
        <v>841</v>
      </c>
      <c r="T90" s="1112">
        <f>($C90*0.17)+$C90</f>
        <v>848.25</v>
      </c>
      <c r="U90" s="1112">
        <f>($C90*0.18)+$C90</f>
        <v>855.5</v>
      </c>
      <c r="V90" s="1112">
        <f>($C90*0.19)+$C90</f>
        <v>862.75</v>
      </c>
      <c r="W90" s="1112">
        <f>($C90*0.2)+$C90</f>
        <v>870</v>
      </c>
      <c r="X90" s="1112">
        <f>($C90*0.21)+$C90</f>
        <v>877.25</v>
      </c>
      <c r="Y90" s="1112">
        <f>($C90*0.22)+$C90</f>
        <v>884.5</v>
      </c>
      <c r="Z90" s="1112">
        <f>($C90*0.23)+$C90</f>
        <v>891.75</v>
      </c>
      <c r="AA90" s="1112">
        <f>($C90*0.24)+$C90</f>
        <v>899</v>
      </c>
      <c r="AB90" s="1112">
        <f>($C90*0.25)+$C90</f>
        <v>906.25</v>
      </c>
      <c r="AC90" s="1112">
        <f>($C90*0.26)+$C90</f>
        <v>913.5</v>
      </c>
      <c r="AD90" s="1112">
        <f>($C90*0.27)+$C90</f>
        <v>920.75</v>
      </c>
      <c r="AE90" s="1112">
        <f>($C90*0.28)+$C90</f>
        <v>928</v>
      </c>
      <c r="AF90" s="1112">
        <f>($C90*0.29)+$C90</f>
        <v>935.25</v>
      </c>
      <c r="AG90" s="1112">
        <f>($C90*0.3)+$C90</f>
        <v>942.5</v>
      </c>
    </row>
    <row r="91" spans="1:33" ht="60">
      <c r="A91" s="7" t="s">
        <v>63</v>
      </c>
      <c r="B91" s="7" t="s">
        <v>64</v>
      </c>
      <c r="C91" s="8">
        <v>400</v>
      </c>
      <c r="D91" s="1112">
        <f>($C91*0.01)+$C91</f>
        <v>404</v>
      </c>
      <c r="E91" s="1112">
        <f>($C91*0.02)+$C91</f>
        <v>408</v>
      </c>
      <c r="F91" s="1112">
        <f>($C91*0.03)+$C91</f>
        <v>412</v>
      </c>
      <c r="G91" s="1112">
        <f>($C91*0.04)+$C91</f>
        <v>416</v>
      </c>
      <c r="H91" s="1112">
        <f>($C91*0.05)+$C91</f>
        <v>420</v>
      </c>
      <c r="I91" s="1112">
        <f>($C91*0.06)+$C91</f>
        <v>424</v>
      </c>
      <c r="J91" s="1112">
        <f>($C91*0.07)+$C91</f>
        <v>428</v>
      </c>
      <c r="K91" s="1112">
        <f>($C91*0.08)+$C91</f>
        <v>432</v>
      </c>
      <c r="L91" s="1112">
        <f>($C91*0.09)+$C91</f>
        <v>436</v>
      </c>
      <c r="M91" s="1112">
        <f>($C91*0.1)+$C91</f>
        <v>440</v>
      </c>
      <c r="N91" s="1112">
        <f>($C91*0.11)+$C91</f>
        <v>444</v>
      </c>
      <c r="O91" s="1112">
        <f>($C91*0.12)+$C91</f>
        <v>448</v>
      </c>
      <c r="P91" s="1112">
        <f>($C91*0.13)+$C91</f>
        <v>452</v>
      </c>
      <c r="Q91" s="1112">
        <f>($C91*0.14)+$C91</f>
        <v>456</v>
      </c>
      <c r="R91" s="1112">
        <f>($C91*0.15)+$C91</f>
        <v>460</v>
      </c>
      <c r="S91" s="1112">
        <f>($C91*0.16)+$C91</f>
        <v>464</v>
      </c>
      <c r="T91" s="1112">
        <f>($C91*0.17)+$C91</f>
        <v>468</v>
      </c>
      <c r="U91" s="1112">
        <f>($C91*0.18)+$C91</f>
        <v>472</v>
      </c>
      <c r="V91" s="1112">
        <f>($C91*0.19)+$C91</f>
        <v>476</v>
      </c>
      <c r="W91" s="1112">
        <f>($C91*0.2)+$C91</f>
        <v>480</v>
      </c>
      <c r="X91" s="1112">
        <f>($C91*0.21)+$C91</f>
        <v>484</v>
      </c>
      <c r="Y91" s="1112">
        <f>($C91*0.22)+$C91</f>
        <v>488</v>
      </c>
      <c r="Z91" s="1112">
        <f>($C91*0.23)+$C91</f>
        <v>492</v>
      </c>
      <c r="AA91" s="1112">
        <f>($C91*0.24)+$C91</f>
        <v>496</v>
      </c>
      <c r="AB91" s="1112">
        <f>($C91*0.25)+$C91</f>
        <v>500</v>
      </c>
      <c r="AC91" s="1112">
        <f>($C91*0.26)+$C91</f>
        <v>504</v>
      </c>
      <c r="AD91" s="1112">
        <f>($C91*0.27)+$C91</f>
        <v>508</v>
      </c>
      <c r="AE91" s="1112">
        <f>($C91*0.28)+$C91</f>
        <v>512</v>
      </c>
      <c r="AF91" s="1112">
        <f>($C91*0.29)+$C91</f>
        <v>516</v>
      </c>
      <c r="AG91" s="1112">
        <f>($C91*0.3)+$C91</f>
        <v>520</v>
      </c>
    </row>
    <row r="92" spans="1:33" ht="60">
      <c r="A92" s="7" t="s">
        <v>65</v>
      </c>
      <c r="B92" s="7" t="s">
        <v>66</v>
      </c>
      <c r="C92" s="8">
        <v>450</v>
      </c>
      <c r="D92" s="1112">
        <f>($C92*0.01)+$C92</f>
        <v>454.5</v>
      </c>
      <c r="E92" s="1112">
        <f>($C92*0.02)+$C92</f>
        <v>459</v>
      </c>
      <c r="F92" s="1112">
        <f>($C92*0.03)+$C92</f>
        <v>463.5</v>
      </c>
      <c r="G92" s="1112">
        <f>($C92*0.04)+$C92</f>
        <v>468</v>
      </c>
      <c r="H92" s="1112">
        <f>($C92*0.05)+$C92</f>
        <v>472.5</v>
      </c>
      <c r="I92" s="1112">
        <f>($C92*0.06)+$C92</f>
        <v>477</v>
      </c>
      <c r="J92" s="1112">
        <f>($C92*0.07)+$C92</f>
        <v>481.5</v>
      </c>
      <c r="K92" s="1112">
        <f>($C92*0.08)+$C92</f>
        <v>486</v>
      </c>
      <c r="L92" s="1112">
        <f>($C92*0.09)+$C92</f>
        <v>490.5</v>
      </c>
      <c r="M92" s="1112">
        <f>($C92*0.1)+$C92</f>
        <v>495</v>
      </c>
      <c r="N92" s="1112">
        <f>($C92*0.11)+$C92</f>
        <v>499.5</v>
      </c>
      <c r="O92" s="1112">
        <f>($C92*0.12)+$C92</f>
        <v>504</v>
      </c>
      <c r="P92" s="1112">
        <f>($C92*0.13)+$C92</f>
        <v>508.5</v>
      </c>
      <c r="Q92" s="1112">
        <f>($C92*0.14)+$C92</f>
        <v>513</v>
      </c>
      <c r="R92" s="1112">
        <f>($C92*0.15)+$C92</f>
        <v>517.5</v>
      </c>
      <c r="S92" s="1112">
        <f>($C92*0.16)+$C92</f>
        <v>522</v>
      </c>
      <c r="T92" s="1112">
        <f>($C92*0.17)+$C92</f>
        <v>526.5</v>
      </c>
      <c r="U92" s="1112">
        <f>($C92*0.18)+$C92</f>
        <v>531</v>
      </c>
      <c r="V92" s="1112">
        <f>($C92*0.19)+$C92</f>
        <v>535.5</v>
      </c>
      <c r="W92" s="1112">
        <f>($C92*0.2)+$C92</f>
        <v>540</v>
      </c>
      <c r="X92" s="1112">
        <f>($C92*0.21)+$C92</f>
        <v>544.5</v>
      </c>
      <c r="Y92" s="1112">
        <f>($C92*0.22)+$C92</f>
        <v>549</v>
      </c>
      <c r="Z92" s="1112">
        <f>($C92*0.23)+$C92</f>
        <v>553.5</v>
      </c>
      <c r="AA92" s="1112">
        <f>($C92*0.24)+$C92</f>
        <v>558</v>
      </c>
      <c r="AB92" s="1112">
        <f>($C92*0.25)+$C92</f>
        <v>562.5</v>
      </c>
      <c r="AC92" s="1112">
        <f>($C92*0.26)+$C92</f>
        <v>567</v>
      </c>
      <c r="AD92" s="1112">
        <f>($C92*0.27)+$C92</f>
        <v>571.5</v>
      </c>
      <c r="AE92" s="1112">
        <f>($C92*0.28)+$C92</f>
        <v>576</v>
      </c>
      <c r="AF92" s="1112">
        <f>($C92*0.29)+$C92</f>
        <v>580.5</v>
      </c>
      <c r="AG92" s="1112">
        <f>($C92*0.3)+$C92</f>
        <v>585</v>
      </c>
    </row>
    <row r="93" spans="1:33" ht="45">
      <c r="A93" s="7" t="s">
        <v>67</v>
      </c>
      <c r="B93" s="7" t="s">
        <v>68</v>
      </c>
      <c r="C93" s="8">
        <v>595</v>
      </c>
      <c r="D93" s="1112">
        <f>($C93*0.01)+$C93</f>
        <v>600.95000000000005</v>
      </c>
      <c r="E93" s="1112">
        <f>($C93*0.02)+$C93</f>
        <v>606.9</v>
      </c>
      <c r="F93" s="1112">
        <f>($C93*0.03)+$C93</f>
        <v>612.85</v>
      </c>
      <c r="G93" s="1112">
        <f>($C93*0.04)+$C93</f>
        <v>618.79999999999995</v>
      </c>
      <c r="H93" s="1112">
        <f>($C93*0.05)+$C93</f>
        <v>624.75</v>
      </c>
      <c r="I93" s="1112">
        <f>($C93*0.06)+$C93</f>
        <v>630.70000000000005</v>
      </c>
      <c r="J93" s="1112">
        <f>($C93*0.07)+$C93</f>
        <v>636.65</v>
      </c>
      <c r="K93" s="1112">
        <f>($C93*0.08)+$C93</f>
        <v>642.6</v>
      </c>
      <c r="L93" s="1112">
        <f>($C93*0.09)+$C93</f>
        <v>648.54999999999995</v>
      </c>
      <c r="M93" s="1112">
        <f>($C93*0.1)+$C93</f>
        <v>654.5</v>
      </c>
      <c r="N93" s="1112">
        <f>($C93*0.11)+$C93</f>
        <v>660.45</v>
      </c>
      <c r="O93" s="1112">
        <f>($C93*0.12)+$C93</f>
        <v>666.4</v>
      </c>
      <c r="P93" s="1112">
        <f>($C93*0.13)+$C93</f>
        <v>672.35</v>
      </c>
      <c r="Q93" s="1112">
        <f>($C93*0.14)+$C93</f>
        <v>678.3</v>
      </c>
      <c r="R93" s="1112">
        <f>($C93*0.15)+$C93</f>
        <v>684.25</v>
      </c>
      <c r="S93" s="1112">
        <f>($C93*0.16)+$C93</f>
        <v>690.2</v>
      </c>
      <c r="T93" s="1112">
        <f>($C93*0.17)+$C93</f>
        <v>696.15</v>
      </c>
      <c r="U93" s="1112">
        <f>($C93*0.18)+$C93</f>
        <v>702.1</v>
      </c>
      <c r="V93" s="1112">
        <f>($C93*0.19)+$C93</f>
        <v>708.05</v>
      </c>
      <c r="W93" s="1112">
        <f>($C93*0.2)+$C93</f>
        <v>714</v>
      </c>
      <c r="X93" s="1112">
        <f>($C93*0.21)+$C93</f>
        <v>719.95</v>
      </c>
      <c r="Y93" s="1112">
        <f>($C93*0.22)+$C93</f>
        <v>725.9</v>
      </c>
      <c r="Z93" s="1112">
        <f>($C93*0.23)+$C93</f>
        <v>731.85</v>
      </c>
      <c r="AA93" s="1112">
        <f>($C93*0.24)+$C93</f>
        <v>737.8</v>
      </c>
      <c r="AB93" s="1112">
        <f>($C93*0.25)+$C93</f>
        <v>743.75</v>
      </c>
      <c r="AC93" s="1112">
        <f>($C93*0.26)+$C93</f>
        <v>749.7</v>
      </c>
      <c r="AD93" s="1112">
        <f>($C93*0.27)+$C93</f>
        <v>755.65</v>
      </c>
      <c r="AE93" s="1112">
        <f>($C93*0.28)+$C93</f>
        <v>761.6</v>
      </c>
      <c r="AF93" s="1112">
        <f>($C93*0.29)+$C93</f>
        <v>767.55</v>
      </c>
      <c r="AG93" s="1112">
        <f>($C93*0.3)+$C93</f>
        <v>773.5</v>
      </c>
    </row>
    <row r="94" spans="1:33" ht="60">
      <c r="A94" s="7" t="s">
        <v>69</v>
      </c>
      <c r="B94" s="7" t="s">
        <v>70</v>
      </c>
      <c r="C94" s="8">
        <v>250</v>
      </c>
      <c r="D94" s="1112">
        <f>($C94*0.01)+$C94</f>
        <v>252.5</v>
      </c>
      <c r="E94" s="1112">
        <f>($C94*0.02)+$C94</f>
        <v>255</v>
      </c>
      <c r="F94" s="1112">
        <f>($C94*0.03)+$C94</f>
        <v>257.5</v>
      </c>
      <c r="G94" s="1112">
        <f>($C94*0.04)+$C94</f>
        <v>260</v>
      </c>
      <c r="H94" s="1112">
        <f>($C94*0.05)+$C94</f>
        <v>262.5</v>
      </c>
      <c r="I94" s="1112">
        <f>($C94*0.06)+$C94</f>
        <v>265</v>
      </c>
      <c r="J94" s="1112">
        <f>($C94*0.07)+$C94</f>
        <v>267.5</v>
      </c>
      <c r="K94" s="1112">
        <f>($C94*0.08)+$C94</f>
        <v>270</v>
      </c>
      <c r="L94" s="1112">
        <f>($C94*0.09)+$C94</f>
        <v>272.5</v>
      </c>
      <c r="M94" s="1112">
        <f>($C94*0.1)+$C94</f>
        <v>275</v>
      </c>
      <c r="N94" s="1112">
        <f>($C94*0.11)+$C94</f>
        <v>277.5</v>
      </c>
      <c r="O94" s="1112">
        <f>($C94*0.12)+$C94</f>
        <v>280</v>
      </c>
      <c r="P94" s="1112">
        <f>($C94*0.13)+$C94</f>
        <v>282.5</v>
      </c>
      <c r="Q94" s="1112">
        <f>($C94*0.14)+$C94</f>
        <v>285</v>
      </c>
      <c r="R94" s="1112">
        <f>($C94*0.15)+$C94</f>
        <v>287.5</v>
      </c>
      <c r="S94" s="1112">
        <f>($C94*0.16)+$C94</f>
        <v>290</v>
      </c>
      <c r="T94" s="1112">
        <f>($C94*0.17)+$C94</f>
        <v>292.5</v>
      </c>
      <c r="U94" s="1112">
        <f>($C94*0.18)+$C94</f>
        <v>295</v>
      </c>
      <c r="V94" s="1112">
        <f>($C94*0.19)+$C94</f>
        <v>297.5</v>
      </c>
      <c r="W94" s="1112">
        <f>($C94*0.2)+$C94</f>
        <v>300</v>
      </c>
      <c r="X94" s="1112">
        <f>($C94*0.21)+$C94</f>
        <v>302.5</v>
      </c>
      <c r="Y94" s="1112">
        <f>($C94*0.22)+$C94</f>
        <v>305</v>
      </c>
      <c r="Z94" s="1112">
        <f>($C94*0.23)+$C94</f>
        <v>307.5</v>
      </c>
      <c r="AA94" s="1112">
        <f>($C94*0.24)+$C94</f>
        <v>310</v>
      </c>
      <c r="AB94" s="1112">
        <f>($C94*0.25)+$C94</f>
        <v>312.5</v>
      </c>
      <c r="AC94" s="1112">
        <f>($C94*0.26)+$C94</f>
        <v>315</v>
      </c>
      <c r="AD94" s="1112">
        <f>($C94*0.27)+$C94</f>
        <v>317.5</v>
      </c>
      <c r="AE94" s="1112">
        <f>($C94*0.28)+$C94</f>
        <v>320</v>
      </c>
      <c r="AF94" s="1112">
        <f>($C94*0.29)+$C94</f>
        <v>322.5</v>
      </c>
      <c r="AG94" s="1112">
        <f>($C94*0.3)+$C94</f>
        <v>325</v>
      </c>
    </row>
    <row r="95" spans="1:33" ht="45">
      <c r="A95" s="7" t="s">
        <v>71</v>
      </c>
      <c r="B95" s="7" t="s">
        <v>72</v>
      </c>
      <c r="C95" s="8">
        <v>250</v>
      </c>
      <c r="D95" s="1112">
        <f>($C95*0.01)+$C95</f>
        <v>252.5</v>
      </c>
      <c r="E95" s="1112">
        <f>($C95*0.02)+$C95</f>
        <v>255</v>
      </c>
      <c r="F95" s="1112">
        <f>($C95*0.03)+$C95</f>
        <v>257.5</v>
      </c>
      <c r="G95" s="1112">
        <f>($C95*0.04)+$C95</f>
        <v>260</v>
      </c>
      <c r="H95" s="1112">
        <f>($C95*0.05)+$C95</f>
        <v>262.5</v>
      </c>
      <c r="I95" s="1112">
        <f>($C95*0.06)+$C95</f>
        <v>265</v>
      </c>
      <c r="J95" s="1112">
        <f>($C95*0.07)+$C95</f>
        <v>267.5</v>
      </c>
      <c r="K95" s="1112">
        <f>($C95*0.08)+$C95</f>
        <v>270</v>
      </c>
      <c r="L95" s="1112">
        <f>($C95*0.09)+$C95</f>
        <v>272.5</v>
      </c>
      <c r="M95" s="1112">
        <f>($C95*0.1)+$C95</f>
        <v>275</v>
      </c>
      <c r="N95" s="1112">
        <f>($C95*0.11)+$C95</f>
        <v>277.5</v>
      </c>
      <c r="O95" s="1112">
        <f>($C95*0.12)+$C95</f>
        <v>280</v>
      </c>
      <c r="P95" s="1112">
        <f>($C95*0.13)+$C95</f>
        <v>282.5</v>
      </c>
      <c r="Q95" s="1112">
        <f>($C95*0.14)+$C95</f>
        <v>285</v>
      </c>
      <c r="R95" s="1112">
        <f>($C95*0.15)+$C95</f>
        <v>287.5</v>
      </c>
      <c r="S95" s="1112">
        <f>($C95*0.16)+$C95</f>
        <v>290</v>
      </c>
      <c r="T95" s="1112">
        <f>($C95*0.17)+$C95</f>
        <v>292.5</v>
      </c>
      <c r="U95" s="1112">
        <f>($C95*0.18)+$C95</f>
        <v>295</v>
      </c>
      <c r="V95" s="1112">
        <f>($C95*0.19)+$C95</f>
        <v>297.5</v>
      </c>
      <c r="W95" s="1112">
        <f>($C95*0.2)+$C95</f>
        <v>300</v>
      </c>
      <c r="X95" s="1112">
        <f>($C95*0.21)+$C95</f>
        <v>302.5</v>
      </c>
      <c r="Y95" s="1112">
        <f>($C95*0.22)+$C95</f>
        <v>305</v>
      </c>
      <c r="Z95" s="1112">
        <f>($C95*0.23)+$C95</f>
        <v>307.5</v>
      </c>
      <c r="AA95" s="1112">
        <f>($C95*0.24)+$C95</f>
        <v>310</v>
      </c>
      <c r="AB95" s="1112">
        <f>($C95*0.25)+$C95</f>
        <v>312.5</v>
      </c>
      <c r="AC95" s="1112">
        <f>($C95*0.26)+$C95</f>
        <v>315</v>
      </c>
      <c r="AD95" s="1112">
        <f>($C95*0.27)+$C95</f>
        <v>317.5</v>
      </c>
      <c r="AE95" s="1112">
        <f>($C95*0.28)+$C95</f>
        <v>320</v>
      </c>
      <c r="AF95" s="1112">
        <f>($C95*0.29)+$C95</f>
        <v>322.5</v>
      </c>
      <c r="AG95" s="1112">
        <f>($C95*0.3)+$C95</f>
        <v>325</v>
      </c>
    </row>
    <row r="96" spans="1:33" ht="45">
      <c r="A96" s="7" t="s">
        <v>73</v>
      </c>
      <c r="B96" s="7" t="s">
        <v>74</v>
      </c>
      <c r="C96" s="8">
        <v>350</v>
      </c>
      <c r="D96" s="1112">
        <f>($C96*0.01)+$C96</f>
        <v>353.5</v>
      </c>
      <c r="E96" s="1112">
        <f>($C96*0.02)+$C96</f>
        <v>357</v>
      </c>
      <c r="F96" s="1112">
        <f>($C96*0.03)+$C96</f>
        <v>360.5</v>
      </c>
      <c r="G96" s="1112">
        <f>($C96*0.04)+$C96</f>
        <v>364</v>
      </c>
      <c r="H96" s="1112">
        <f>($C96*0.05)+$C96</f>
        <v>367.5</v>
      </c>
      <c r="I96" s="1112">
        <f>($C96*0.06)+$C96</f>
        <v>371</v>
      </c>
      <c r="J96" s="1112">
        <f>($C96*0.07)+$C96</f>
        <v>374.5</v>
      </c>
      <c r="K96" s="1112">
        <f>($C96*0.08)+$C96</f>
        <v>378</v>
      </c>
      <c r="L96" s="1112">
        <f>($C96*0.09)+$C96</f>
        <v>381.5</v>
      </c>
      <c r="M96" s="1112">
        <f>($C96*0.1)+$C96</f>
        <v>385</v>
      </c>
      <c r="N96" s="1112">
        <f>($C96*0.11)+$C96</f>
        <v>388.5</v>
      </c>
      <c r="O96" s="1112">
        <f>($C96*0.12)+$C96</f>
        <v>392</v>
      </c>
      <c r="P96" s="1112">
        <f>($C96*0.13)+$C96</f>
        <v>395.5</v>
      </c>
      <c r="Q96" s="1112">
        <f>($C96*0.14)+$C96</f>
        <v>399</v>
      </c>
      <c r="R96" s="1112">
        <f>($C96*0.15)+$C96</f>
        <v>402.5</v>
      </c>
      <c r="S96" s="1112">
        <f>($C96*0.16)+$C96</f>
        <v>406</v>
      </c>
      <c r="T96" s="1112">
        <f>($C96*0.17)+$C96</f>
        <v>409.5</v>
      </c>
      <c r="U96" s="1112">
        <f>($C96*0.18)+$C96</f>
        <v>413</v>
      </c>
      <c r="V96" s="1112">
        <f>($C96*0.19)+$C96</f>
        <v>416.5</v>
      </c>
      <c r="W96" s="1112">
        <f>($C96*0.2)+$C96</f>
        <v>420</v>
      </c>
      <c r="X96" s="1112">
        <f>($C96*0.21)+$C96</f>
        <v>423.5</v>
      </c>
      <c r="Y96" s="1112">
        <f>($C96*0.22)+$C96</f>
        <v>427</v>
      </c>
      <c r="Z96" s="1112">
        <f>($C96*0.23)+$C96</f>
        <v>430.5</v>
      </c>
      <c r="AA96" s="1112">
        <f>($C96*0.24)+$C96</f>
        <v>434</v>
      </c>
      <c r="AB96" s="1112">
        <f>($C96*0.25)+$C96</f>
        <v>437.5</v>
      </c>
      <c r="AC96" s="1112">
        <f>($C96*0.26)+$C96</f>
        <v>441</v>
      </c>
      <c r="AD96" s="1112">
        <f>($C96*0.27)+$C96</f>
        <v>444.5</v>
      </c>
      <c r="AE96" s="1112">
        <f>($C96*0.28)+$C96</f>
        <v>448</v>
      </c>
      <c r="AF96" s="1112">
        <f>($C96*0.29)+$C96</f>
        <v>451.5</v>
      </c>
      <c r="AG96" s="1112">
        <f>($C96*0.3)+$C96</f>
        <v>455</v>
      </c>
    </row>
    <row r="97" spans="1:33" ht="45">
      <c r="A97" s="7" t="s">
        <v>75</v>
      </c>
      <c r="B97" s="7" t="s">
        <v>76</v>
      </c>
      <c r="C97" s="8">
        <v>250</v>
      </c>
      <c r="D97" s="1112">
        <f>($C97*0.01)+$C97</f>
        <v>252.5</v>
      </c>
      <c r="E97" s="1112">
        <f>($C97*0.02)+$C97</f>
        <v>255</v>
      </c>
      <c r="F97" s="1112">
        <f>($C97*0.03)+$C97</f>
        <v>257.5</v>
      </c>
      <c r="G97" s="1112">
        <f>($C97*0.04)+$C97</f>
        <v>260</v>
      </c>
      <c r="H97" s="1112">
        <f>($C97*0.05)+$C97</f>
        <v>262.5</v>
      </c>
      <c r="I97" s="1112">
        <f>($C97*0.06)+$C97</f>
        <v>265</v>
      </c>
      <c r="J97" s="1112">
        <f>($C97*0.07)+$C97</f>
        <v>267.5</v>
      </c>
      <c r="K97" s="1112">
        <f>($C97*0.08)+$C97</f>
        <v>270</v>
      </c>
      <c r="L97" s="1112">
        <f>($C97*0.09)+$C97</f>
        <v>272.5</v>
      </c>
      <c r="M97" s="1112">
        <f>($C97*0.1)+$C97</f>
        <v>275</v>
      </c>
      <c r="N97" s="1112">
        <f>($C97*0.11)+$C97</f>
        <v>277.5</v>
      </c>
      <c r="O97" s="1112">
        <f>($C97*0.12)+$C97</f>
        <v>280</v>
      </c>
      <c r="P97" s="1112">
        <f>($C97*0.13)+$C97</f>
        <v>282.5</v>
      </c>
      <c r="Q97" s="1112">
        <f>($C97*0.14)+$C97</f>
        <v>285</v>
      </c>
      <c r="R97" s="1112">
        <f>($C97*0.15)+$C97</f>
        <v>287.5</v>
      </c>
      <c r="S97" s="1112">
        <f>($C97*0.16)+$C97</f>
        <v>290</v>
      </c>
      <c r="T97" s="1112">
        <f>($C97*0.17)+$C97</f>
        <v>292.5</v>
      </c>
      <c r="U97" s="1112">
        <f>($C97*0.18)+$C97</f>
        <v>295</v>
      </c>
      <c r="V97" s="1112">
        <f>($C97*0.19)+$C97</f>
        <v>297.5</v>
      </c>
      <c r="W97" s="1112">
        <f>($C97*0.2)+$C97</f>
        <v>300</v>
      </c>
      <c r="X97" s="1112">
        <f>($C97*0.21)+$C97</f>
        <v>302.5</v>
      </c>
      <c r="Y97" s="1112">
        <f>($C97*0.22)+$C97</f>
        <v>305</v>
      </c>
      <c r="Z97" s="1112">
        <f>($C97*0.23)+$C97</f>
        <v>307.5</v>
      </c>
      <c r="AA97" s="1112">
        <f>($C97*0.24)+$C97</f>
        <v>310</v>
      </c>
      <c r="AB97" s="1112">
        <f>($C97*0.25)+$C97</f>
        <v>312.5</v>
      </c>
      <c r="AC97" s="1112">
        <f>($C97*0.26)+$C97</f>
        <v>315</v>
      </c>
      <c r="AD97" s="1112">
        <f>($C97*0.27)+$C97</f>
        <v>317.5</v>
      </c>
      <c r="AE97" s="1112">
        <f>($C97*0.28)+$C97</f>
        <v>320</v>
      </c>
      <c r="AF97" s="1112">
        <f>($C97*0.29)+$C97</f>
        <v>322.5</v>
      </c>
      <c r="AG97" s="1112">
        <f>($C97*0.3)+$C97</f>
        <v>325</v>
      </c>
    </row>
    <row r="98" spans="1:33" ht="45">
      <c r="A98" s="7" t="s">
        <v>77</v>
      </c>
      <c r="B98" s="7" t="s">
        <v>78</v>
      </c>
      <c r="C98" s="8">
        <v>250</v>
      </c>
      <c r="D98" s="1112">
        <f>($C98*0.01)+$C98</f>
        <v>252.5</v>
      </c>
      <c r="E98" s="1112">
        <f>($C98*0.02)+$C98</f>
        <v>255</v>
      </c>
      <c r="F98" s="1112">
        <f>($C98*0.03)+$C98</f>
        <v>257.5</v>
      </c>
      <c r="G98" s="1112">
        <f>($C98*0.04)+$C98</f>
        <v>260</v>
      </c>
      <c r="H98" s="1112">
        <f>($C98*0.05)+$C98</f>
        <v>262.5</v>
      </c>
      <c r="I98" s="1112">
        <f>($C98*0.06)+$C98</f>
        <v>265</v>
      </c>
      <c r="J98" s="1112">
        <f>($C98*0.07)+$C98</f>
        <v>267.5</v>
      </c>
      <c r="K98" s="1112">
        <f>($C98*0.08)+$C98</f>
        <v>270</v>
      </c>
      <c r="L98" s="1112">
        <f>($C98*0.09)+$C98</f>
        <v>272.5</v>
      </c>
      <c r="M98" s="1112">
        <f>($C98*0.1)+$C98</f>
        <v>275</v>
      </c>
      <c r="N98" s="1112">
        <f>($C98*0.11)+$C98</f>
        <v>277.5</v>
      </c>
      <c r="O98" s="1112">
        <f>($C98*0.12)+$C98</f>
        <v>280</v>
      </c>
      <c r="P98" s="1112">
        <f>($C98*0.13)+$C98</f>
        <v>282.5</v>
      </c>
      <c r="Q98" s="1112">
        <f>($C98*0.14)+$C98</f>
        <v>285</v>
      </c>
      <c r="R98" s="1112">
        <f>($C98*0.15)+$C98</f>
        <v>287.5</v>
      </c>
      <c r="S98" s="1112">
        <f>($C98*0.16)+$C98</f>
        <v>290</v>
      </c>
      <c r="T98" s="1112">
        <f>($C98*0.17)+$C98</f>
        <v>292.5</v>
      </c>
      <c r="U98" s="1112">
        <f>($C98*0.18)+$C98</f>
        <v>295</v>
      </c>
      <c r="V98" s="1112">
        <f>($C98*0.19)+$C98</f>
        <v>297.5</v>
      </c>
      <c r="W98" s="1112">
        <f>($C98*0.2)+$C98</f>
        <v>300</v>
      </c>
      <c r="X98" s="1112">
        <f>($C98*0.21)+$C98</f>
        <v>302.5</v>
      </c>
      <c r="Y98" s="1112">
        <f>($C98*0.22)+$C98</f>
        <v>305</v>
      </c>
      <c r="Z98" s="1112">
        <f>($C98*0.23)+$C98</f>
        <v>307.5</v>
      </c>
      <c r="AA98" s="1112">
        <f>($C98*0.24)+$C98</f>
        <v>310</v>
      </c>
      <c r="AB98" s="1112">
        <f>($C98*0.25)+$C98</f>
        <v>312.5</v>
      </c>
      <c r="AC98" s="1112">
        <f>($C98*0.26)+$C98</f>
        <v>315</v>
      </c>
      <c r="AD98" s="1112">
        <f>($C98*0.27)+$C98</f>
        <v>317.5</v>
      </c>
      <c r="AE98" s="1112">
        <f>($C98*0.28)+$C98</f>
        <v>320</v>
      </c>
      <c r="AF98" s="1112">
        <f>($C98*0.29)+$C98</f>
        <v>322.5</v>
      </c>
      <c r="AG98" s="1112">
        <f>($C98*0.3)+$C98</f>
        <v>325</v>
      </c>
    </row>
    <row r="99" spans="1:33" ht="45">
      <c r="A99" s="7" t="s">
        <v>79</v>
      </c>
      <c r="B99" s="7" t="s">
        <v>80</v>
      </c>
      <c r="C99" s="8">
        <v>250</v>
      </c>
      <c r="D99" s="1112">
        <f>($C99*0.01)+$C99</f>
        <v>252.5</v>
      </c>
      <c r="E99" s="1112">
        <f>($C99*0.02)+$C99</f>
        <v>255</v>
      </c>
      <c r="F99" s="1112">
        <f>($C99*0.03)+$C99</f>
        <v>257.5</v>
      </c>
      <c r="G99" s="1112">
        <f>($C99*0.04)+$C99</f>
        <v>260</v>
      </c>
      <c r="H99" s="1112">
        <f>($C99*0.05)+$C99</f>
        <v>262.5</v>
      </c>
      <c r="I99" s="1112">
        <f>($C99*0.06)+$C99</f>
        <v>265</v>
      </c>
      <c r="J99" s="1112">
        <f>($C99*0.07)+$C99</f>
        <v>267.5</v>
      </c>
      <c r="K99" s="1112">
        <f>($C99*0.08)+$C99</f>
        <v>270</v>
      </c>
      <c r="L99" s="1112">
        <f>($C99*0.09)+$C99</f>
        <v>272.5</v>
      </c>
      <c r="M99" s="1112">
        <f>($C99*0.1)+$C99</f>
        <v>275</v>
      </c>
      <c r="N99" s="1112">
        <f>($C99*0.11)+$C99</f>
        <v>277.5</v>
      </c>
      <c r="O99" s="1112">
        <f>($C99*0.12)+$C99</f>
        <v>280</v>
      </c>
      <c r="P99" s="1112">
        <f>($C99*0.13)+$C99</f>
        <v>282.5</v>
      </c>
      <c r="Q99" s="1112">
        <f>($C99*0.14)+$C99</f>
        <v>285</v>
      </c>
      <c r="R99" s="1112">
        <f>($C99*0.15)+$C99</f>
        <v>287.5</v>
      </c>
      <c r="S99" s="1112">
        <f>($C99*0.16)+$C99</f>
        <v>290</v>
      </c>
      <c r="T99" s="1112">
        <f>($C99*0.17)+$C99</f>
        <v>292.5</v>
      </c>
      <c r="U99" s="1112">
        <f>($C99*0.18)+$C99</f>
        <v>295</v>
      </c>
      <c r="V99" s="1112">
        <f>($C99*0.19)+$C99</f>
        <v>297.5</v>
      </c>
      <c r="W99" s="1112">
        <f>($C99*0.2)+$C99</f>
        <v>300</v>
      </c>
      <c r="X99" s="1112">
        <f>($C99*0.21)+$C99</f>
        <v>302.5</v>
      </c>
      <c r="Y99" s="1112">
        <f>($C99*0.22)+$C99</f>
        <v>305</v>
      </c>
      <c r="Z99" s="1112">
        <f>($C99*0.23)+$C99</f>
        <v>307.5</v>
      </c>
      <c r="AA99" s="1112">
        <f>($C99*0.24)+$C99</f>
        <v>310</v>
      </c>
      <c r="AB99" s="1112">
        <f>($C99*0.25)+$C99</f>
        <v>312.5</v>
      </c>
      <c r="AC99" s="1112">
        <f>($C99*0.26)+$C99</f>
        <v>315</v>
      </c>
      <c r="AD99" s="1112">
        <f>($C99*0.27)+$C99</f>
        <v>317.5</v>
      </c>
      <c r="AE99" s="1112">
        <f>($C99*0.28)+$C99</f>
        <v>320</v>
      </c>
      <c r="AF99" s="1112">
        <f>($C99*0.29)+$C99</f>
        <v>322.5</v>
      </c>
      <c r="AG99" s="1112">
        <f>($C99*0.3)+$C99</f>
        <v>325</v>
      </c>
    </row>
    <row r="100" spans="1:33" ht="30">
      <c r="A100" s="4">
        <v>650003</v>
      </c>
      <c r="B100" s="4" t="s">
        <v>81</v>
      </c>
      <c r="C100" s="5">
        <v>850</v>
      </c>
      <c r="D100" s="1112">
        <f>($C100*0.01)+$C100</f>
        <v>858.5</v>
      </c>
      <c r="E100" s="1112">
        <f>($C100*0.02)+$C100</f>
        <v>867</v>
      </c>
      <c r="F100" s="1112">
        <f>($C100*0.03)+$C100</f>
        <v>875.5</v>
      </c>
      <c r="G100" s="1112">
        <f>($C100*0.04)+$C100</f>
        <v>884</v>
      </c>
      <c r="H100" s="1112">
        <f>($C100*0.05)+$C100</f>
        <v>892.5</v>
      </c>
      <c r="I100" s="1112">
        <f>($C100*0.06)+$C100</f>
        <v>901</v>
      </c>
      <c r="J100" s="1112">
        <f>($C100*0.07)+$C100</f>
        <v>909.5</v>
      </c>
      <c r="K100" s="1112">
        <f>($C100*0.08)+$C100</f>
        <v>918</v>
      </c>
      <c r="L100" s="1112">
        <f>($C100*0.09)+$C100</f>
        <v>926.5</v>
      </c>
      <c r="M100" s="1112">
        <f>($C100*0.1)+$C100</f>
        <v>935</v>
      </c>
      <c r="N100" s="1112">
        <f>($C100*0.11)+$C100</f>
        <v>943.5</v>
      </c>
      <c r="O100" s="1112">
        <f>($C100*0.12)+$C100</f>
        <v>952</v>
      </c>
      <c r="P100" s="1112">
        <f>($C100*0.13)+$C100</f>
        <v>960.5</v>
      </c>
      <c r="Q100" s="1112">
        <f>($C100*0.14)+$C100</f>
        <v>969</v>
      </c>
      <c r="R100" s="1112">
        <f>($C100*0.15)+$C100</f>
        <v>977.5</v>
      </c>
      <c r="S100" s="1112">
        <f>($C100*0.16)+$C100</f>
        <v>986</v>
      </c>
      <c r="T100" s="1112">
        <f>($C100*0.17)+$C100</f>
        <v>994.5</v>
      </c>
      <c r="U100" s="1112">
        <f>($C100*0.18)+$C100</f>
        <v>1003</v>
      </c>
      <c r="V100" s="1112">
        <f>($C100*0.19)+$C100</f>
        <v>1011.5</v>
      </c>
      <c r="W100" s="1112">
        <f>($C100*0.2)+$C100</f>
        <v>1020</v>
      </c>
      <c r="X100" s="1112">
        <f>($C100*0.21)+$C100</f>
        <v>1028.5</v>
      </c>
      <c r="Y100" s="1112">
        <f>($C100*0.22)+$C100</f>
        <v>1037</v>
      </c>
      <c r="Z100" s="1112">
        <f>($C100*0.23)+$C100</f>
        <v>1045.5</v>
      </c>
      <c r="AA100" s="1112">
        <f>($C100*0.24)+$C100</f>
        <v>1054</v>
      </c>
      <c r="AB100" s="1112">
        <f>($C100*0.25)+$C100</f>
        <v>1062.5</v>
      </c>
      <c r="AC100" s="1112">
        <f>($C100*0.26)+$C100</f>
        <v>1071</v>
      </c>
      <c r="AD100" s="1112">
        <f>($C100*0.27)+$C100</f>
        <v>1079.5</v>
      </c>
      <c r="AE100" s="1112">
        <f>($C100*0.28)+$C100</f>
        <v>1088</v>
      </c>
      <c r="AF100" s="1112">
        <f>($C100*0.29)+$C100</f>
        <v>1096.5</v>
      </c>
      <c r="AG100" s="1112">
        <f>($C100*0.3)+$C100</f>
        <v>1105</v>
      </c>
    </row>
    <row r="101" spans="1:33" ht="30">
      <c r="A101" s="4" t="s">
        <v>82</v>
      </c>
      <c r="B101" s="4" t="s">
        <v>83</v>
      </c>
      <c r="C101" s="5">
        <v>850</v>
      </c>
      <c r="D101" s="1112">
        <f>($C101*0.01)+$C101</f>
        <v>858.5</v>
      </c>
      <c r="E101" s="1112">
        <f>($C101*0.02)+$C101</f>
        <v>867</v>
      </c>
      <c r="F101" s="1112">
        <f>($C101*0.03)+$C101</f>
        <v>875.5</v>
      </c>
      <c r="G101" s="1112">
        <f>($C101*0.04)+$C101</f>
        <v>884</v>
      </c>
      <c r="H101" s="1112">
        <f>($C101*0.05)+$C101</f>
        <v>892.5</v>
      </c>
      <c r="I101" s="1112">
        <f>($C101*0.06)+$C101</f>
        <v>901</v>
      </c>
      <c r="J101" s="1112">
        <f>($C101*0.07)+$C101</f>
        <v>909.5</v>
      </c>
      <c r="K101" s="1112">
        <f>($C101*0.08)+$C101</f>
        <v>918</v>
      </c>
      <c r="L101" s="1112">
        <f>($C101*0.09)+$C101</f>
        <v>926.5</v>
      </c>
      <c r="M101" s="1112">
        <f>($C101*0.1)+$C101</f>
        <v>935</v>
      </c>
      <c r="N101" s="1112">
        <f>($C101*0.11)+$C101</f>
        <v>943.5</v>
      </c>
      <c r="O101" s="1112">
        <f>($C101*0.12)+$C101</f>
        <v>952</v>
      </c>
      <c r="P101" s="1112">
        <f>($C101*0.13)+$C101</f>
        <v>960.5</v>
      </c>
      <c r="Q101" s="1112">
        <f>($C101*0.14)+$C101</f>
        <v>969</v>
      </c>
      <c r="R101" s="1112">
        <f>($C101*0.15)+$C101</f>
        <v>977.5</v>
      </c>
      <c r="S101" s="1112">
        <f>($C101*0.16)+$C101</f>
        <v>986</v>
      </c>
      <c r="T101" s="1112">
        <f>($C101*0.17)+$C101</f>
        <v>994.5</v>
      </c>
      <c r="U101" s="1112">
        <f>($C101*0.18)+$C101</f>
        <v>1003</v>
      </c>
      <c r="V101" s="1112">
        <f>($C101*0.19)+$C101</f>
        <v>1011.5</v>
      </c>
      <c r="W101" s="1112">
        <f>($C101*0.2)+$C101</f>
        <v>1020</v>
      </c>
      <c r="X101" s="1112">
        <f>($C101*0.21)+$C101</f>
        <v>1028.5</v>
      </c>
      <c r="Y101" s="1112">
        <f>($C101*0.22)+$C101</f>
        <v>1037</v>
      </c>
      <c r="Z101" s="1112">
        <f>($C101*0.23)+$C101</f>
        <v>1045.5</v>
      </c>
      <c r="AA101" s="1112">
        <f>($C101*0.24)+$C101</f>
        <v>1054</v>
      </c>
      <c r="AB101" s="1112">
        <f>($C101*0.25)+$C101</f>
        <v>1062.5</v>
      </c>
      <c r="AC101" s="1112">
        <f>($C101*0.26)+$C101</f>
        <v>1071</v>
      </c>
      <c r="AD101" s="1112">
        <f>($C101*0.27)+$C101</f>
        <v>1079.5</v>
      </c>
      <c r="AE101" s="1112">
        <f>($C101*0.28)+$C101</f>
        <v>1088</v>
      </c>
      <c r="AF101" s="1112">
        <f>($C101*0.29)+$C101</f>
        <v>1096.5</v>
      </c>
      <c r="AG101" s="1112">
        <f>($C101*0.3)+$C101</f>
        <v>1105</v>
      </c>
    </row>
    <row r="102" spans="1:33" ht="30">
      <c r="A102" s="4" t="s">
        <v>84</v>
      </c>
      <c r="B102" s="4" t="s">
        <v>85</v>
      </c>
      <c r="C102" s="5">
        <v>345</v>
      </c>
      <c r="D102" s="1112">
        <f>($C102*0.01)+$C102</f>
        <v>348.45</v>
      </c>
      <c r="E102" s="1112">
        <f>($C102*0.02)+$C102</f>
        <v>351.9</v>
      </c>
      <c r="F102" s="1112">
        <f>($C102*0.03)+$C102</f>
        <v>355.35</v>
      </c>
      <c r="G102" s="1112">
        <f>($C102*0.04)+$C102</f>
        <v>358.8</v>
      </c>
      <c r="H102" s="1112">
        <f>($C102*0.05)+$C102</f>
        <v>362.25</v>
      </c>
      <c r="I102" s="1112">
        <f>($C102*0.06)+$C102</f>
        <v>365.7</v>
      </c>
      <c r="J102" s="1112">
        <f>($C102*0.07)+$C102</f>
        <v>369.15</v>
      </c>
      <c r="K102" s="1112">
        <f>($C102*0.08)+$C102</f>
        <v>372.6</v>
      </c>
      <c r="L102" s="1112">
        <f>($C102*0.09)+$C102</f>
        <v>376.05</v>
      </c>
      <c r="M102" s="1112">
        <f>($C102*0.1)+$C102</f>
        <v>379.5</v>
      </c>
      <c r="N102" s="1112">
        <f>($C102*0.11)+$C102</f>
        <v>382.95</v>
      </c>
      <c r="O102" s="1112">
        <f>($C102*0.12)+$C102</f>
        <v>386.4</v>
      </c>
      <c r="P102" s="1112">
        <f>($C102*0.13)+$C102</f>
        <v>389.85</v>
      </c>
      <c r="Q102" s="1112">
        <f>($C102*0.14)+$C102</f>
        <v>393.3</v>
      </c>
      <c r="R102" s="1112">
        <f>($C102*0.15)+$C102</f>
        <v>396.75</v>
      </c>
      <c r="S102" s="1112">
        <f>($C102*0.16)+$C102</f>
        <v>400.2</v>
      </c>
      <c r="T102" s="1112">
        <f>($C102*0.17)+$C102</f>
        <v>403.65</v>
      </c>
      <c r="U102" s="1112">
        <f>($C102*0.18)+$C102</f>
        <v>407.1</v>
      </c>
      <c r="V102" s="1112">
        <f>($C102*0.19)+$C102</f>
        <v>410.55</v>
      </c>
      <c r="W102" s="1112">
        <f>($C102*0.2)+$C102</f>
        <v>414</v>
      </c>
      <c r="X102" s="1112">
        <f>($C102*0.21)+$C102</f>
        <v>417.45</v>
      </c>
      <c r="Y102" s="1112">
        <f>($C102*0.22)+$C102</f>
        <v>420.9</v>
      </c>
      <c r="Z102" s="1112">
        <f>($C102*0.23)+$C102</f>
        <v>424.35</v>
      </c>
      <c r="AA102" s="1112">
        <f>($C102*0.24)+$C102</f>
        <v>427.8</v>
      </c>
      <c r="AB102" s="1112">
        <f>($C102*0.25)+$C102</f>
        <v>431.25</v>
      </c>
      <c r="AC102" s="1112">
        <f>($C102*0.26)+$C102</f>
        <v>434.7</v>
      </c>
      <c r="AD102" s="1112">
        <f>($C102*0.27)+$C102</f>
        <v>438.15</v>
      </c>
      <c r="AE102" s="1112">
        <f>($C102*0.28)+$C102</f>
        <v>441.6</v>
      </c>
      <c r="AF102" s="1112">
        <f>($C102*0.29)+$C102</f>
        <v>445.05</v>
      </c>
      <c r="AG102" s="1112">
        <f>($C102*0.3)+$C102</f>
        <v>448.5</v>
      </c>
    </row>
    <row r="103" spans="1:33" ht="30">
      <c r="A103" s="4">
        <v>750501</v>
      </c>
      <c r="B103" s="4" t="s">
        <v>86</v>
      </c>
      <c r="C103" s="5">
        <v>305</v>
      </c>
      <c r="D103" s="1112">
        <f>($C103*0.01)+$C103</f>
        <v>308.05</v>
      </c>
      <c r="E103" s="1112">
        <f>($C103*0.02)+$C103</f>
        <v>311.10000000000002</v>
      </c>
      <c r="F103" s="1112">
        <f>($C103*0.03)+$C103</f>
        <v>314.14999999999998</v>
      </c>
      <c r="G103" s="1112">
        <f>($C103*0.04)+$C103</f>
        <v>317.2</v>
      </c>
      <c r="H103" s="1112">
        <f>($C103*0.05)+$C103</f>
        <v>320.25</v>
      </c>
      <c r="I103" s="1112">
        <f>($C103*0.06)+$C103</f>
        <v>323.3</v>
      </c>
      <c r="J103" s="1112">
        <f>($C103*0.07)+$C103</f>
        <v>326.35000000000002</v>
      </c>
      <c r="K103" s="1112">
        <f>($C103*0.08)+$C103</f>
        <v>329.4</v>
      </c>
      <c r="L103" s="1112">
        <f>($C103*0.09)+$C103</f>
        <v>332.45</v>
      </c>
      <c r="M103" s="1112">
        <f>($C103*0.1)+$C103</f>
        <v>335.5</v>
      </c>
      <c r="N103" s="1112">
        <f>($C103*0.11)+$C103</f>
        <v>338.55</v>
      </c>
      <c r="O103" s="1112">
        <f>($C103*0.12)+$C103</f>
        <v>341.6</v>
      </c>
      <c r="P103" s="1112">
        <f>($C103*0.13)+$C103</f>
        <v>344.65</v>
      </c>
      <c r="Q103" s="1112">
        <f>($C103*0.14)+$C103</f>
        <v>347.7</v>
      </c>
      <c r="R103" s="1112">
        <f>($C103*0.15)+$C103</f>
        <v>350.75</v>
      </c>
      <c r="S103" s="1112">
        <f>($C103*0.16)+$C103</f>
        <v>353.8</v>
      </c>
      <c r="T103" s="1112">
        <f>($C103*0.17)+$C103</f>
        <v>356.85</v>
      </c>
      <c r="U103" s="1112">
        <f>($C103*0.18)+$C103</f>
        <v>359.9</v>
      </c>
      <c r="V103" s="1112">
        <f>($C103*0.19)+$C103</f>
        <v>362.95</v>
      </c>
      <c r="W103" s="1112">
        <f>($C103*0.2)+$C103</f>
        <v>366</v>
      </c>
      <c r="X103" s="1112">
        <f>($C103*0.21)+$C103</f>
        <v>369.05</v>
      </c>
      <c r="Y103" s="1112">
        <f>($C103*0.22)+$C103</f>
        <v>372.1</v>
      </c>
      <c r="Z103" s="1112">
        <f>($C103*0.23)+$C103</f>
        <v>375.15</v>
      </c>
      <c r="AA103" s="1112">
        <f>($C103*0.24)+$C103</f>
        <v>378.2</v>
      </c>
      <c r="AB103" s="1112">
        <f>($C103*0.25)+$C103</f>
        <v>381.25</v>
      </c>
      <c r="AC103" s="1112">
        <f>($C103*0.26)+$C103</f>
        <v>384.3</v>
      </c>
      <c r="AD103" s="1112">
        <f>($C103*0.27)+$C103</f>
        <v>387.35</v>
      </c>
      <c r="AE103" s="1112">
        <f>($C103*0.28)+$C103</f>
        <v>390.4</v>
      </c>
      <c r="AF103" s="1112">
        <f>($C103*0.29)+$C103</f>
        <v>393.45</v>
      </c>
      <c r="AG103" s="1112">
        <f>($C103*0.3)+$C103</f>
        <v>396.5</v>
      </c>
    </row>
    <row r="104" spans="1:33" ht="15">
      <c r="A104" s="4" t="s">
        <v>212</v>
      </c>
      <c r="B104" s="4" t="s">
        <v>37644</v>
      </c>
      <c r="C104" s="5">
        <v>1100</v>
      </c>
      <c r="D104" s="1112">
        <f>($C104*0.01)+$C104</f>
        <v>1111</v>
      </c>
      <c r="E104" s="1112">
        <f>($C104*0.02)+$C104</f>
        <v>1122</v>
      </c>
      <c r="F104" s="1112">
        <f>($C104*0.03)+$C104</f>
        <v>1133</v>
      </c>
      <c r="G104" s="1112">
        <f>($C104*0.04)+$C104</f>
        <v>1144</v>
      </c>
      <c r="H104" s="1112">
        <f>($C104*0.05)+$C104</f>
        <v>1155</v>
      </c>
      <c r="I104" s="1112">
        <f>($C104*0.06)+$C104</f>
        <v>1166</v>
      </c>
      <c r="J104" s="1112">
        <f>($C104*0.07)+$C104</f>
        <v>1177</v>
      </c>
      <c r="K104" s="1112">
        <f>($C104*0.08)+$C104</f>
        <v>1188</v>
      </c>
      <c r="L104" s="1112">
        <f>($C104*0.09)+$C104</f>
        <v>1199</v>
      </c>
      <c r="M104" s="1112">
        <f>($C104*0.1)+$C104</f>
        <v>1210</v>
      </c>
      <c r="N104" s="1112">
        <f>($C104*0.11)+$C104</f>
        <v>1221</v>
      </c>
      <c r="O104" s="1112">
        <f>($C104*0.12)+$C104</f>
        <v>1232</v>
      </c>
      <c r="P104" s="1112">
        <f>($C104*0.13)+$C104</f>
        <v>1243</v>
      </c>
      <c r="Q104" s="1112">
        <f>($C104*0.14)+$C104</f>
        <v>1254</v>
      </c>
      <c r="R104" s="1112">
        <f>($C104*0.15)+$C104</f>
        <v>1265</v>
      </c>
      <c r="S104" s="1112">
        <f>($C104*0.16)+$C104</f>
        <v>1276</v>
      </c>
      <c r="T104" s="1112">
        <f>($C104*0.17)+$C104</f>
        <v>1287</v>
      </c>
      <c r="U104" s="1112">
        <f>($C104*0.18)+$C104</f>
        <v>1298</v>
      </c>
      <c r="V104" s="1112">
        <f>($C104*0.19)+$C104</f>
        <v>1309</v>
      </c>
      <c r="W104" s="1112">
        <f>($C104*0.2)+$C104</f>
        <v>1320</v>
      </c>
      <c r="X104" s="1112">
        <f>($C104*0.21)+$C104</f>
        <v>1331</v>
      </c>
      <c r="Y104" s="1112">
        <f>($C104*0.22)+$C104</f>
        <v>1342</v>
      </c>
      <c r="Z104" s="1112">
        <f>($C104*0.23)+$C104</f>
        <v>1353</v>
      </c>
      <c r="AA104" s="1112">
        <f>($C104*0.24)+$C104</f>
        <v>1364</v>
      </c>
      <c r="AB104" s="1112">
        <f>($C104*0.25)+$C104</f>
        <v>1375</v>
      </c>
      <c r="AC104" s="1112">
        <f>($C104*0.26)+$C104</f>
        <v>1386</v>
      </c>
      <c r="AD104" s="1112">
        <f>($C104*0.27)+$C104</f>
        <v>1397</v>
      </c>
      <c r="AE104" s="1112">
        <f>($C104*0.28)+$C104</f>
        <v>1408</v>
      </c>
      <c r="AF104" s="1112">
        <f>($C104*0.29)+$C104</f>
        <v>1419</v>
      </c>
      <c r="AG104" s="1112">
        <f>($C104*0.3)+$C104</f>
        <v>1430</v>
      </c>
    </row>
    <row r="105" spans="1:33" ht="15">
      <c r="A105" s="4" t="s">
        <v>213</v>
      </c>
      <c r="B105" s="4" t="s">
        <v>37645</v>
      </c>
      <c r="C105" s="5">
        <v>900</v>
      </c>
      <c r="D105" s="1112">
        <f>($C105*0.01)+$C105</f>
        <v>909</v>
      </c>
      <c r="E105" s="1112">
        <f>($C105*0.02)+$C105</f>
        <v>918</v>
      </c>
      <c r="F105" s="1112">
        <f>($C105*0.03)+$C105</f>
        <v>927</v>
      </c>
      <c r="G105" s="1112">
        <f>($C105*0.04)+$C105</f>
        <v>936</v>
      </c>
      <c r="H105" s="1112">
        <f>($C105*0.05)+$C105</f>
        <v>945</v>
      </c>
      <c r="I105" s="1112">
        <f>($C105*0.06)+$C105</f>
        <v>954</v>
      </c>
      <c r="J105" s="1112">
        <f>($C105*0.07)+$C105</f>
        <v>963</v>
      </c>
      <c r="K105" s="1112">
        <f>($C105*0.08)+$C105</f>
        <v>972</v>
      </c>
      <c r="L105" s="1112">
        <f>($C105*0.09)+$C105</f>
        <v>981</v>
      </c>
      <c r="M105" s="1112">
        <f>($C105*0.1)+$C105</f>
        <v>990</v>
      </c>
      <c r="N105" s="1112">
        <f>($C105*0.11)+$C105</f>
        <v>999</v>
      </c>
      <c r="O105" s="1112">
        <f>($C105*0.12)+$C105</f>
        <v>1008</v>
      </c>
      <c r="P105" s="1112">
        <f>($C105*0.13)+$C105</f>
        <v>1017</v>
      </c>
      <c r="Q105" s="1112">
        <f>($C105*0.14)+$C105</f>
        <v>1026</v>
      </c>
      <c r="R105" s="1112">
        <f>($C105*0.15)+$C105</f>
        <v>1035</v>
      </c>
      <c r="S105" s="1112">
        <f>($C105*0.16)+$C105</f>
        <v>1044</v>
      </c>
      <c r="T105" s="1112">
        <f>($C105*0.17)+$C105</f>
        <v>1053</v>
      </c>
      <c r="U105" s="1112">
        <f>($C105*0.18)+$C105</f>
        <v>1062</v>
      </c>
      <c r="V105" s="1112">
        <f>($C105*0.19)+$C105</f>
        <v>1071</v>
      </c>
      <c r="W105" s="1112">
        <f>($C105*0.2)+$C105</f>
        <v>1080</v>
      </c>
      <c r="X105" s="1112">
        <f>($C105*0.21)+$C105</f>
        <v>1089</v>
      </c>
      <c r="Y105" s="1112">
        <f>($C105*0.22)+$C105</f>
        <v>1098</v>
      </c>
      <c r="Z105" s="1112">
        <f>($C105*0.23)+$C105</f>
        <v>1107</v>
      </c>
      <c r="AA105" s="1112">
        <f>($C105*0.24)+$C105</f>
        <v>1116</v>
      </c>
      <c r="AB105" s="1112">
        <f>($C105*0.25)+$C105</f>
        <v>1125</v>
      </c>
      <c r="AC105" s="1112">
        <f>($C105*0.26)+$C105</f>
        <v>1134</v>
      </c>
      <c r="AD105" s="1112">
        <f>($C105*0.27)+$C105</f>
        <v>1143</v>
      </c>
      <c r="AE105" s="1112">
        <f>($C105*0.28)+$C105</f>
        <v>1152</v>
      </c>
      <c r="AF105" s="1112">
        <f>($C105*0.29)+$C105</f>
        <v>1161</v>
      </c>
      <c r="AG105" s="1112">
        <f>($C105*0.3)+$C105</f>
        <v>1170</v>
      </c>
    </row>
    <row r="106" spans="1:33" ht="15">
      <c r="A106" s="4" t="s">
        <v>214</v>
      </c>
      <c r="B106" s="4" t="s">
        <v>37646</v>
      </c>
      <c r="C106" s="5">
        <v>500</v>
      </c>
      <c r="D106" s="1112">
        <f>($C106*0.01)+$C106</f>
        <v>505</v>
      </c>
      <c r="E106" s="1112">
        <f>($C106*0.02)+$C106</f>
        <v>510</v>
      </c>
      <c r="F106" s="1112">
        <f>($C106*0.03)+$C106</f>
        <v>515</v>
      </c>
      <c r="G106" s="1112">
        <f>($C106*0.04)+$C106</f>
        <v>520</v>
      </c>
      <c r="H106" s="1112">
        <f>($C106*0.05)+$C106</f>
        <v>525</v>
      </c>
      <c r="I106" s="1112">
        <f>($C106*0.06)+$C106</f>
        <v>530</v>
      </c>
      <c r="J106" s="1112">
        <f>($C106*0.07)+$C106</f>
        <v>535</v>
      </c>
      <c r="K106" s="1112">
        <f>($C106*0.08)+$C106</f>
        <v>540</v>
      </c>
      <c r="L106" s="1112">
        <f>($C106*0.09)+$C106</f>
        <v>545</v>
      </c>
      <c r="M106" s="1112">
        <f>($C106*0.1)+$C106</f>
        <v>550</v>
      </c>
      <c r="N106" s="1112">
        <f>($C106*0.11)+$C106</f>
        <v>555</v>
      </c>
      <c r="O106" s="1112">
        <f>($C106*0.12)+$C106</f>
        <v>560</v>
      </c>
      <c r="P106" s="1112">
        <f>($C106*0.13)+$C106</f>
        <v>565</v>
      </c>
      <c r="Q106" s="1112">
        <f>($C106*0.14)+$C106</f>
        <v>570</v>
      </c>
      <c r="R106" s="1112">
        <f>($C106*0.15)+$C106</f>
        <v>575</v>
      </c>
      <c r="S106" s="1112">
        <f>($C106*0.16)+$C106</f>
        <v>580</v>
      </c>
      <c r="T106" s="1112">
        <f>($C106*0.17)+$C106</f>
        <v>585</v>
      </c>
      <c r="U106" s="1112">
        <f>($C106*0.18)+$C106</f>
        <v>590</v>
      </c>
      <c r="V106" s="1112">
        <f>($C106*0.19)+$C106</f>
        <v>595</v>
      </c>
      <c r="W106" s="1112">
        <f>($C106*0.2)+$C106</f>
        <v>600</v>
      </c>
      <c r="X106" s="1112">
        <f>($C106*0.21)+$C106</f>
        <v>605</v>
      </c>
      <c r="Y106" s="1112">
        <f>($C106*0.22)+$C106</f>
        <v>610</v>
      </c>
      <c r="Z106" s="1112">
        <f>($C106*0.23)+$C106</f>
        <v>615</v>
      </c>
      <c r="AA106" s="1112">
        <f>($C106*0.24)+$C106</f>
        <v>620</v>
      </c>
      <c r="AB106" s="1112">
        <f>($C106*0.25)+$C106</f>
        <v>625</v>
      </c>
      <c r="AC106" s="1112">
        <f>($C106*0.26)+$C106</f>
        <v>630</v>
      </c>
      <c r="AD106" s="1112">
        <f>($C106*0.27)+$C106</f>
        <v>635</v>
      </c>
      <c r="AE106" s="1112">
        <f>($C106*0.28)+$C106</f>
        <v>640</v>
      </c>
      <c r="AF106" s="1112">
        <f>($C106*0.29)+$C106</f>
        <v>645</v>
      </c>
      <c r="AG106" s="1112">
        <f>($C106*0.3)+$C106</f>
        <v>650</v>
      </c>
    </row>
    <row r="107" spans="1:33" ht="15">
      <c r="A107" s="4" t="s">
        <v>37647</v>
      </c>
      <c r="B107" s="4" t="s">
        <v>37648</v>
      </c>
      <c r="C107" s="5">
        <v>700</v>
      </c>
      <c r="D107" s="1112">
        <f>($C107*0.01)+$C107</f>
        <v>707</v>
      </c>
      <c r="E107" s="1112">
        <f>($C107*0.02)+$C107</f>
        <v>714</v>
      </c>
      <c r="F107" s="1112">
        <f>($C107*0.03)+$C107</f>
        <v>721</v>
      </c>
      <c r="G107" s="1112">
        <f>($C107*0.04)+$C107</f>
        <v>728</v>
      </c>
      <c r="H107" s="1112">
        <f>($C107*0.05)+$C107</f>
        <v>735</v>
      </c>
      <c r="I107" s="1112">
        <f>($C107*0.06)+$C107</f>
        <v>742</v>
      </c>
      <c r="J107" s="1112">
        <f>($C107*0.07)+$C107</f>
        <v>749</v>
      </c>
      <c r="K107" s="1112">
        <f>($C107*0.08)+$C107</f>
        <v>756</v>
      </c>
      <c r="L107" s="1112">
        <f>($C107*0.09)+$C107</f>
        <v>763</v>
      </c>
      <c r="M107" s="1112">
        <f>($C107*0.1)+$C107</f>
        <v>770</v>
      </c>
      <c r="N107" s="1112">
        <f>($C107*0.11)+$C107</f>
        <v>777</v>
      </c>
      <c r="O107" s="1112">
        <f>($C107*0.12)+$C107</f>
        <v>784</v>
      </c>
      <c r="P107" s="1112">
        <f>($C107*0.13)+$C107</f>
        <v>791</v>
      </c>
      <c r="Q107" s="1112">
        <f>($C107*0.14)+$C107</f>
        <v>798</v>
      </c>
      <c r="R107" s="1112">
        <f>($C107*0.15)+$C107</f>
        <v>805</v>
      </c>
      <c r="S107" s="1112">
        <f>($C107*0.16)+$C107</f>
        <v>812</v>
      </c>
      <c r="T107" s="1112">
        <f>($C107*0.17)+$C107</f>
        <v>819</v>
      </c>
      <c r="U107" s="1112">
        <f>($C107*0.18)+$C107</f>
        <v>826</v>
      </c>
      <c r="V107" s="1112">
        <f>($C107*0.19)+$C107</f>
        <v>833</v>
      </c>
      <c r="W107" s="1112">
        <f>($C107*0.2)+$C107</f>
        <v>840</v>
      </c>
      <c r="X107" s="1112">
        <f>($C107*0.21)+$C107</f>
        <v>847</v>
      </c>
      <c r="Y107" s="1112">
        <f>($C107*0.22)+$C107</f>
        <v>854</v>
      </c>
      <c r="Z107" s="1112">
        <f>($C107*0.23)+$C107</f>
        <v>861</v>
      </c>
      <c r="AA107" s="1112">
        <f>($C107*0.24)+$C107</f>
        <v>868</v>
      </c>
      <c r="AB107" s="1112">
        <f>($C107*0.25)+$C107</f>
        <v>875</v>
      </c>
      <c r="AC107" s="1112">
        <f>($C107*0.26)+$C107</f>
        <v>882</v>
      </c>
      <c r="AD107" s="1112">
        <f>($C107*0.27)+$C107</f>
        <v>889</v>
      </c>
      <c r="AE107" s="1112">
        <f>($C107*0.28)+$C107</f>
        <v>896</v>
      </c>
      <c r="AF107" s="1112">
        <f>($C107*0.29)+$C107</f>
        <v>903</v>
      </c>
      <c r="AG107" s="1112">
        <f>($C107*0.3)+$C107</f>
        <v>910</v>
      </c>
    </row>
    <row r="108" spans="1:33" ht="15">
      <c r="A108" s="4" t="s">
        <v>215</v>
      </c>
      <c r="B108" s="4" t="s">
        <v>37649</v>
      </c>
      <c r="C108" s="5">
        <v>900</v>
      </c>
      <c r="D108" s="1112">
        <f>($C108*0.01)+$C108</f>
        <v>909</v>
      </c>
      <c r="E108" s="1112">
        <f>($C108*0.02)+$C108</f>
        <v>918</v>
      </c>
      <c r="F108" s="1112">
        <f>($C108*0.03)+$C108</f>
        <v>927</v>
      </c>
      <c r="G108" s="1112">
        <f>($C108*0.04)+$C108</f>
        <v>936</v>
      </c>
      <c r="H108" s="1112">
        <f>($C108*0.05)+$C108</f>
        <v>945</v>
      </c>
      <c r="I108" s="1112">
        <f>($C108*0.06)+$C108</f>
        <v>954</v>
      </c>
      <c r="J108" s="1112">
        <f>($C108*0.07)+$C108</f>
        <v>963</v>
      </c>
      <c r="K108" s="1112">
        <f>($C108*0.08)+$C108</f>
        <v>972</v>
      </c>
      <c r="L108" s="1112">
        <f>($C108*0.09)+$C108</f>
        <v>981</v>
      </c>
      <c r="M108" s="1112">
        <f>($C108*0.1)+$C108</f>
        <v>990</v>
      </c>
      <c r="N108" s="1112">
        <f>($C108*0.11)+$C108</f>
        <v>999</v>
      </c>
      <c r="O108" s="1112">
        <f>($C108*0.12)+$C108</f>
        <v>1008</v>
      </c>
      <c r="P108" s="1112">
        <f>($C108*0.13)+$C108</f>
        <v>1017</v>
      </c>
      <c r="Q108" s="1112">
        <f>($C108*0.14)+$C108</f>
        <v>1026</v>
      </c>
      <c r="R108" s="1112">
        <f>($C108*0.15)+$C108</f>
        <v>1035</v>
      </c>
      <c r="S108" s="1112">
        <f>($C108*0.16)+$C108</f>
        <v>1044</v>
      </c>
      <c r="T108" s="1112">
        <f>($C108*0.17)+$C108</f>
        <v>1053</v>
      </c>
      <c r="U108" s="1112">
        <f>($C108*0.18)+$C108</f>
        <v>1062</v>
      </c>
      <c r="V108" s="1112">
        <f>($C108*0.19)+$C108</f>
        <v>1071</v>
      </c>
      <c r="W108" s="1112">
        <f>($C108*0.2)+$C108</f>
        <v>1080</v>
      </c>
      <c r="X108" s="1112">
        <f>($C108*0.21)+$C108</f>
        <v>1089</v>
      </c>
      <c r="Y108" s="1112">
        <f>($C108*0.22)+$C108</f>
        <v>1098</v>
      </c>
      <c r="Z108" s="1112">
        <f>($C108*0.23)+$C108</f>
        <v>1107</v>
      </c>
      <c r="AA108" s="1112">
        <f>($C108*0.24)+$C108</f>
        <v>1116</v>
      </c>
      <c r="AB108" s="1112">
        <f>($C108*0.25)+$C108</f>
        <v>1125</v>
      </c>
      <c r="AC108" s="1112">
        <f>($C108*0.26)+$C108</f>
        <v>1134</v>
      </c>
      <c r="AD108" s="1112">
        <f>($C108*0.27)+$C108</f>
        <v>1143</v>
      </c>
      <c r="AE108" s="1112">
        <f>($C108*0.28)+$C108</f>
        <v>1152</v>
      </c>
      <c r="AF108" s="1112">
        <f>($C108*0.29)+$C108</f>
        <v>1161</v>
      </c>
      <c r="AG108" s="1112">
        <f>($C108*0.3)+$C108</f>
        <v>1170</v>
      </c>
    </row>
    <row r="109" spans="1:33" ht="15">
      <c r="A109" s="4" t="s">
        <v>37652</v>
      </c>
      <c r="B109" s="4" t="s">
        <v>37650</v>
      </c>
      <c r="C109" s="5">
        <v>1200</v>
      </c>
      <c r="D109" s="1112">
        <f>($C109*0.01)+$C109</f>
        <v>1212</v>
      </c>
      <c r="E109" s="1112">
        <f>($C109*0.02)+$C109</f>
        <v>1224</v>
      </c>
      <c r="F109" s="1112">
        <f>($C109*0.03)+$C109</f>
        <v>1236</v>
      </c>
      <c r="G109" s="1112">
        <f>($C109*0.04)+$C109</f>
        <v>1248</v>
      </c>
      <c r="H109" s="1112">
        <f>($C109*0.05)+$C109</f>
        <v>1260</v>
      </c>
      <c r="I109" s="1112">
        <f>($C109*0.06)+$C109</f>
        <v>1272</v>
      </c>
      <c r="J109" s="1112">
        <f>($C109*0.07)+$C109</f>
        <v>1284</v>
      </c>
      <c r="K109" s="1112">
        <f>($C109*0.08)+$C109</f>
        <v>1296</v>
      </c>
      <c r="L109" s="1112">
        <f>($C109*0.09)+$C109</f>
        <v>1308</v>
      </c>
      <c r="M109" s="1112">
        <f>($C109*0.1)+$C109</f>
        <v>1320</v>
      </c>
      <c r="N109" s="1112">
        <f>($C109*0.11)+$C109</f>
        <v>1332</v>
      </c>
      <c r="O109" s="1112">
        <f>($C109*0.12)+$C109</f>
        <v>1344</v>
      </c>
      <c r="P109" s="1112">
        <f>($C109*0.13)+$C109</f>
        <v>1356</v>
      </c>
      <c r="Q109" s="1112">
        <f>($C109*0.14)+$C109</f>
        <v>1368</v>
      </c>
      <c r="R109" s="1112">
        <f>($C109*0.15)+$C109</f>
        <v>1380</v>
      </c>
      <c r="S109" s="1112">
        <f>($C109*0.16)+$C109</f>
        <v>1392</v>
      </c>
      <c r="T109" s="1112">
        <f>($C109*0.17)+$C109</f>
        <v>1404</v>
      </c>
      <c r="U109" s="1112">
        <f>($C109*0.18)+$C109</f>
        <v>1416</v>
      </c>
      <c r="V109" s="1112">
        <f>($C109*0.19)+$C109</f>
        <v>1428</v>
      </c>
      <c r="W109" s="1112">
        <f>($C109*0.2)+$C109</f>
        <v>1440</v>
      </c>
      <c r="X109" s="1112">
        <f>($C109*0.21)+$C109</f>
        <v>1452</v>
      </c>
      <c r="Y109" s="1112">
        <f>($C109*0.22)+$C109</f>
        <v>1464</v>
      </c>
      <c r="Z109" s="1112">
        <f>($C109*0.23)+$C109</f>
        <v>1476</v>
      </c>
      <c r="AA109" s="1112">
        <f>($C109*0.24)+$C109</f>
        <v>1488</v>
      </c>
      <c r="AB109" s="1112">
        <f>($C109*0.25)+$C109</f>
        <v>1500</v>
      </c>
      <c r="AC109" s="1112">
        <f>($C109*0.26)+$C109</f>
        <v>1512</v>
      </c>
      <c r="AD109" s="1112">
        <f>($C109*0.27)+$C109</f>
        <v>1524</v>
      </c>
      <c r="AE109" s="1112">
        <f>($C109*0.28)+$C109</f>
        <v>1536</v>
      </c>
      <c r="AF109" s="1112">
        <f>($C109*0.29)+$C109</f>
        <v>1548</v>
      </c>
      <c r="AG109" s="1112">
        <f>($C109*0.3)+$C109</f>
        <v>1560</v>
      </c>
    </row>
    <row r="110" spans="1:33" ht="15">
      <c r="A110" s="4" t="s">
        <v>216</v>
      </c>
      <c r="B110" s="4" t="s">
        <v>37651</v>
      </c>
      <c r="C110" s="5">
        <v>400</v>
      </c>
      <c r="D110" s="1112">
        <f>($C110*0.01)+$C110</f>
        <v>404</v>
      </c>
      <c r="E110" s="1112">
        <f>($C110*0.02)+$C110</f>
        <v>408</v>
      </c>
      <c r="F110" s="1112">
        <f>($C110*0.03)+$C110</f>
        <v>412</v>
      </c>
      <c r="G110" s="1112">
        <f>($C110*0.04)+$C110</f>
        <v>416</v>
      </c>
      <c r="H110" s="1112">
        <f>($C110*0.05)+$C110</f>
        <v>420</v>
      </c>
      <c r="I110" s="1112">
        <f>($C110*0.06)+$C110</f>
        <v>424</v>
      </c>
      <c r="J110" s="1112">
        <f>($C110*0.07)+$C110</f>
        <v>428</v>
      </c>
      <c r="K110" s="1112">
        <f>($C110*0.08)+$C110</f>
        <v>432</v>
      </c>
      <c r="L110" s="1112">
        <f>($C110*0.09)+$C110</f>
        <v>436</v>
      </c>
      <c r="M110" s="1112">
        <f>($C110*0.1)+$C110</f>
        <v>440</v>
      </c>
      <c r="N110" s="1112">
        <f>($C110*0.11)+$C110</f>
        <v>444</v>
      </c>
      <c r="O110" s="1112">
        <f>($C110*0.12)+$C110</f>
        <v>448</v>
      </c>
      <c r="P110" s="1112">
        <f>($C110*0.13)+$C110</f>
        <v>452</v>
      </c>
      <c r="Q110" s="1112">
        <f>($C110*0.14)+$C110</f>
        <v>456</v>
      </c>
      <c r="R110" s="1112">
        <f>($C110*0.15)+$C110</f>
        <v>460</v>
      </c>
      <c r="S110" s="1112">
        <f>($C110*0.16)+$C110</f>
        <v>464</v>
      </c>
      <c r="T110" s="1112">
        <f>($C110*0.17)+$C110</f>
        <v>468</v>
      </c>
      <c r="U110" s="1112">
        <f>($C110*0.18)+$C110</f>
        <v>472</v>
      </c>
      <c r="V110" s="1112">
        <f>($C110*0.19)+$C110</f>
        <v>476</v>
      </c>
      <c r="W110" s="1112">
        <f>($C110*0.2)+$C110</f>
        <v>480</v>
      </c>
      <c r="X110" s="1112">
        <f>($C110*0.21)+$C110</f>
        <v>484</v>
      </c>
      <c r="Y110" s="1112">
        <f>($C110*0.22)+$C110</f>
        <v>488</v>
      </c>
      <c r="Z110" s="1112">
        <f>($C110*0.23)+$C110</f>
        <v>492</v>
      </c>
      <c r="AA110" s="1112">
        <f>($C110*0.24)+$C110</f>
        <v>496</v>
      </c>
      <c r="AB110" s="1112">
        <f>($C110*0.25)+$C110</f>
        <v>500</v>
      </c>
      <c r="AC110" s="1112">
        <f>($C110*0.26)+$C110</f>
        <v>504</v>
      </c>
      <c r="AD110" s="1112">
        <f>($C110*0.27)+$C110</f>
        <v>508</v>
      </c>
      <c r="AE110" s="1112">
        <f>($C110*0.28)+$C110</f>
        <v>512</v>
      </c>
      <c r="AF110" s="1112">
        <f>($C110*0.29)+$C110</f>
        <v>516</v>
      </c>
      <c r="AG110" s="1112">
        <f>($C110*0.3)+$C110</f>
        <v>520</v>
      </c>
    </row>
    <row r="111" spans="1:33" ht="15">
      <c r="A111" s="4" t="s">
        <v>217</v>
      </c>
      <c r="B111" s="4" t="s">
        <v>37653</v>
      </c>
      <c r="C111" s="5">
        <v>450</v>
      </c>
      <c r="D111" s="1112">
        <f>($C111*0.01)+$C111</f>
        <v>454.5</v>
      </c>
      <c r="E111" s="1112">
        <f>($C111*0.02)+$C111</f>
        <v>459</v>
      </c>
      <c r="F111" s="1112">
        <f>($C111*0.03)+$C111</f>
        <v>463.5</v>
      </c>
      <c r="G111" s="1112">
        <f>($C111*0.04)+$C111</f>
        <v>468</v>
      </c>
      <c r="H111" s="1112">
        <f>($C111*0.05)+$C111</f>
        <v>472.5</v>
      </c>
      <c r="I111" s="1112">
        <f>($C111*0.06)+$C111</f>
        <v>477</v>
      </c>
      <c r="J111" s="1112">
        <f>($C111*0.07)+$C111</f>
        <v>481.5</v>
      </c>
      <c r="K111" s="1112">
        <f>($C111*0.08)+$C111</f>
        <v>486</v>
      </c>
      <c r="L111" s="1112">
        <f>($C111*0.09)+$C111</f>
        <v>490.5</v>
      </c>
      <c r="M111" s="1112">
        <f>($C111*0.1)+$C111</f>
        <v>495</v>
      </c>
      <c r="N111" s="1112">
        <f>($C111*0.11)+$C111</f>
        <v>499.5</v>
      </c>
      <c r="O111" s="1112">
        <f>($C111*0.12)+$C111</f>
        <v>504</v>
      </c>
      <c r="P111" s="1112">
        <f>($C111*0.13)+$C111</f>
        <v>508.5</v>
      </c>
      <c r="Q111" s="1112">
        <f>($C111*0.14)+$C111</f>
        <v>513</v>
      </c>
      <c r="R111" s="1112">
        <f>($C111*0.15)+$C111</f>
        <v>517.5</v>
      </c>
      <c r="S111" s="1112">
        <f>($C111*0.16)+$C111</f>
        <v>522</v>
      </c>
      <c r="T111" s="1112">
        <f>($C111*0.17)+$C111</f>
        <v>526.5</v>
      </c>
      <c r="U111" s="1112">
        <f>($C111*0.18)+$C111</f>
        <v>531</v>
      </c>
      <c r="V111" s="1112">
        <f>($C111*0.19)+$C111</f>
        <v>535.5</v>
      </c>
      <c r="W111" s="1112">
        <f>($C111*0.2)+$C111</f>
        <v>540</v>
      </c>
      <c r="X111" s="1112">
        <f>($C111*0.21)+$C111</f>
        <v>544.5</v>
      </c>
      <c r="Y111" s="1112">
        <f>($C111*0.22)+$C111</f>
        <v>549</v>
      </c>
      <c r="Z111" s="1112">
        <f>($C111*0.23)+$C111</f>
        <v>553.5</v>
      </c>
      <c r="AA111" s="1112">
        <f>($C111*0.24)+$C111</f>
        <v>558</v>
      </c>
      <c r="AB111" s="1112">
        <f>($C111*0.25)+$C111</f>
        <v>562.5</v>
      </c>
      <c r="AC111" s="1112">
        <f>($C111*0.26)+$C111</f>
        <v>567</v>
      </c>
      <c r="AD111" s="1112">
        <f>($C111*0.27)+$C111</f>
        <v>571.5</v>
      </c>
      <c r="AE111" s="1112">
        <f>($C111*0.28)+$C111</f>
        <v>576</v>
      </c>
      <c r="AF111" s="1112">
        <f>($C111*0.29)+$C111</f>
        <v>580.5</v>
      </c>
      <c r="AG111" s="1112">
        <f>($C111*0.3)+$C111</f>
        <v>585</v>
      </c>
    </row>
    <row r="112" spans="1:33" ht="15">
      <c r="A112" s="4" t="s">
        <v>218</v>
      </c>
      <c r="B112" s="4" t="s">
        <v>37654</v>
      </c>
      <c r="C112" s="5">
        <v>450</v>
      </c>
      <c r="D112" s="1112">
        <f>($C112*0.01)+$C112</f>
        <v>454.5</v>
      </c>
      <c r="E112" s="1112">
        <f>($C112*0.02)+$C112</f>
        <v>459</v>
      </c>
      <c r="F112" s="1112">
        <f>($C112*0.03)+$C112</f>
        <v>463.5</v>
      </c>
      <c r="G112" s="1112">
        <f>($C112*0.04)+$C112</f>
        <v>468</v>
      </c>
      <c r="H112" s="1112">
        <f>($C112*0.05)+$C112</f>
        <v>472.5</v>
      </c>
      <c r="I112" s="1112">
        <f>($C112*0.06)+$C112</f>
        <v>477</v>
      </c>
      <c r="J112" s="1112">
        <f>($C112*0.07)+$C112</f>
        <v>481.5</v>
      </c>
      <c r="K112" s="1112">
        <f>($C112*0.08)+$C112</f>
        <v>486</v>
      </c>
      <c r="L112" s="1112">
        <f>($C112*0.09)+$C112</f>
        <v>490.5</v>
      </c>
      <c r="M112" s="1112">
        <f>($C112*0.1)+$C112</f>
        <v>495</v>
      </c>
      <c r="N112" s="1112">
        <f>($C112*0.11)+$C112</f>
        <v>499.5</v>
      </c>
      <c r="O112" s="1112">
        <f>($C112*0.12)+$C112</f>
        <v>504</v>
      </c>
      <c r="P112" s="1112">
        <f>($C112*0.13)+$C112</f>
        <v>508.5</v>
      </c>
      <c r="Q112" s="1112">
        <f>($C112*0.14)+$C112</f>
        <v>513</v>
      </c>
      <c r="R112" s="1112">
        <f>($C112*0.15)+$C112</f>
        <v>517.5</v>
      </c>
      <c r="S112" s="1112">
        <f>($C112*0.16)+$C112</f>
        <v>522</v>
      </c>
      <c r="T112" s="1112">
        <f>($C112*0.17)+$C112</f>
        <v>526.5</v>
      </c>
      <c r="U112" s="1112">
        <f>($C112*0.18)+$C112</f>
        <v>531</v>
      </c>
      <c r="V112" s="1112">
        <f>($C112*0.19)+$C112</f>
        <v>535.5</v>
      </c>
      <c r="W112" s="1112">
        <f>($C112*0.2)+$C112</f>
        <v>540</v>
      </c>
      <c r="X112" s="1112">
        <f>($C112*0.21)+$C112</f>
        <v>544.5</v>
      </c>
      <c r="Y112" s="1112">
        <f>($C112*0.22)+$C112</f>
        <v>549</v>
      </c>
      <c r="Z112" s="1112">
        <f>($C112*0.23)+$C112</f>
        <v>553.5</v>
      </c>
      <c r="AA112" s="1112">
        <f>($C112*0.24)+$C112</f>
        <v>558</v>
      </c>
      <c r="AB112" s="1112">
        <f>($C112*0.25)+$C112</f>
        <v>562.5</v>
      </c>
      <c r="AC112" s="1112">
        <f>($C112*0.26)+$C112</f>
        <v>567</v>
      </c>
      <c r="AD112" s="1112">
        <f>($C112*0.27)+$C112</f>
        <v>571.5</v>
      </c>
      <c r="AE112" s="1112">
        <f>($C112*0.28)+$C112</f>
        <v>576</v>
      </c>
      <c r="AF112" s="1112">
        <f>($C112*0.29)+$C112</f>
        <v>580.5</v>
      </c>
      <c r="AG112" s="1112">
        <f>($C112*0.3)+$C112</f>
        <v>585</v>
      </c>
    </row>
    <row r="113" spans="1:33" ht="15">
      <c r="A113" s="4" t="s">
        <v>219</v>
      </c>
      <c r="B113" s="4" t="s">
        <v>37655</v>
      </c>
      <c r="C113" s="5">
        <v>500</v>
      </c>
      <c r="D113" s="1112">
        <f>($C113*0.01)+$C113</f>
        <v>505</v>
      </c>
      <c r="E113" s="1112">
        <f>($C113*0.02)+$C113</f>
        <v>510</v>
      </c>
      <c r="F113" s="1112">
        <f>($C113*0.03)+$C113</f>
        <v>515</v>
      </c>
      <c r="G113" s="1112">
        <f>($C113*0.04)+$C113</f>
        <v>520</v>
      </c>
      <c r="H113" s="1112">
        <f>($C113*0.05)+$C113</f>
        <v>525</v>
      </c>
      <c r="I113" s="1112">
        <f>($C113*0.06)+$C113</f>
        <v>530</v>
      </c>
      <c r="J113" s="1112">
        <f>($C113*0.07)+$C113</f>
        <v>535</v>
      </c>
      <c r="K113" s="1112">
        <f>($C113*0.08)+$C113</f>
        <v>540</v>
      </c>
      <c r="L113" s="1112">
        <f>($C113*0.09)+$C113</f>
        <v>545</v>
      </c>
      <c r="M113" s="1112">
        <f>($C113*0.1)+$C113</f>
        <v>550</v>
      </c>
      <c r="N113" s="1112">
        <f>($C113*0.11)+$C113</f>
        <v>555</v>
      </c>
      <c r="O113" s="1112">
        <f>($C113*0.12)+$C113</f>
        <v>560</v>
      </c>
      <c r="P113" s="1112">
        <f>($C113*0.13)+$C113</f>
        <v>565</v>
      </c>
      <c r="Q113" s="1112">
        <f>($C113*0.14)+$C113</f>
        <v>570</v>
      </c>
      <c r="R113" s="1112">
        <f>($C113*0.15)+$C113</f>
        <v>575</v>
      </c>
      <c r="S113" s="1112">
        <f>($C113*0.16)+$C113</f>
        <v>580</v>
      </c>
      <c r="T113" s="1112">
        <f>($C113*0.17)+$C113</f>
        <v>585</v>
      </c>
      <c r="U113" s="1112">
        <f>($C113*0.18)+$C113</f>
        <v>590</v>
      </c>
      <c r="V113" s="1112">
        <f>($C113*0.19)+$C113</f>
        <v>595</v>
      </c>
      <c r="W113" s="1112">
        <f>($C113*0.2)+$C113</f>
        <v>600</v>
      </c>
      <c r="X113" s="1112">
        <f>($C113*0.21)+$C113</f>
        <v>605</v>
      </c>
      <c r="Y113" s="1112">
        <f>($C113*0.22)+$C113</f>
        <v>610</v>
      </c>
      <c r="Z113" s="1112">
        <f>($C113*0.23)+$C113</f>
        <v>615</v>
      </c>
      <c r="AA113" s="1112">
        <f>($C113*0.24)+$C113</f>
        <v>620</v>
      </c>
      <c r="AB113" s="1112">
        <f>($C113*0.25)+$C113</f>
        <v>625</v>
      </c>
      <c r="AC113" s="1112">
        <f>($C113*0.26)+$C113</f>
        <v>630</v>
      </c>
      <c r="AD113" s="1112">
        <f>($C113*0.27)+$C113</f>
        <v>635</v>
      </c>
      <c r="AE113" s="1112">
        <f>($C113*0.28)+$C113</f>
        <v>640</v>
      </c>
      <c r="AF113" s="1112">
        <f>($C113*0.29)+$C113</f>
        <v>645</v>
      </c>
      <c r="AG113" s="1112">
        <f>($C113*0.3)+$C113</f>
        <v>650</v>
      </c>
    </row>
    <row r="114" spans="1:33" ht="15">
      <c r="A114" s="4" t="s">
        <v>220</v>
      </c>
      <c r="B114" s="4" t="s">
        <v>37656</v>
      </c>
      <c r="C114" s="5">
        <v>1600</v>
      </c>
      <c r="D114" s="1112">
        <f>($C114*0.01)+$C114</f>
        <v>1616</v>
      </c>
      <c r="E114" s="1112">
        <f>($C114*0.02)+$C114</f>
        <v>1632</v>
      </c>
      <c r="F114" s="1112">
        <f>($C114*0.03)+$C114</f>
        <v>1648</v>
      </c>
      <c r="G114" s="1112">
        <f>($C114*0.04)+$C114</f>
        <v>1664</v>
      </c>
      <c r="H114" s="1112">
        <f>($C114*0.05)+$C114</f>
        <v>1680</v>
      </c>
      <c r="I114" s="1112">
        <f>($C114*0.06)+$C114</f>
        <v>1696</v>
      </c>
      <c r="J114" s="1112">
        <f>($C114*0.07)+$C114</f>
        <v>1712</v>
      </c>
      <c r="K114" s="1112">
        <f>($C114*0.08)+$C114</f>
        <v>1728</v>
      </c>
      <c r="L114" s="1112">
        <f>($C114*0.09)+$C114</f>
        <v>1744</v>
      </c>
      <c r="M114" s="1112">
        <f>($C114*0.1)+$C114</f>
        <v>1760</v>
      </c>
      <c r="N114" s="1112">
        <f>($C114*0.11)+$C114</f>
        <v>1776</v>
      </c>
      <c r="O114" s="1112">
        <f>($C114*0.12)+$C114</f>
        <v>1792</v>
      </c>
      <c r="P114" s="1112">
        <f>($C114*0.13)+$C114</f>
        <v>1808</v>
      </c>
      <c r="Q114" s="1112">
        <f>($C114*0.14)+$C114</f>
        <v>1824</v>
      </c>
      <c r="R114" s="1112">
        <f>($C114*0.15)+$C114</f>
        <v>1840</v>
      </c>
      <c r="S114" s="1112">
        <f>($C114*0.16)+$C114</f>
        <v>1856</v>
      </c>
      <c r="T114" s="1112">
        <f>($C114*0.17)+$C114</f>
        <v>1872</v>
      </c>
      <c r="U114" s="1112">
        <f>($C114*0.18)+$C114</f>
        <v>1888</v>
      </c>
      <c r="V114" s="1112">
        <f>($C114*0.19)+$C114</f>
        <v>1904</v>
      </c>
      <c r="W114" s="1112">
        <f>($C114*0.2)+$C114</f>
        <v>1920</v>
      </c>
      <c r="X114" s="1112">
        <f>($C114*0.21)+$C114</f>
        <v>1936</v>
      </c>
      <c r="Y114" s="1112">
        <f>($C114*0.22)+$C114</f>
        <v>1952</v>
      </c>
      <c r="Z114" s="1112">
        <f>($C114*0.23)+$C114</f>
        <v>1968</v>
      </c>
      <c r="AA114" s="1112">
        <f>($C114*0.24)+$C114</f>
        <v>1984</v>
      </c>
      <c r="AB114" s="1112">
        <f>($C114*0.25)+$C114</f>
        <v>2000</v>
      </c>
      <c r="AC114" s="1112">
        <f>($C114*0.26)+$C114</f>
        <v>2016</v>
      </c>
      <c r="AD114" s="1112">
        <f>($C114*0.27)+$C114</f>
        <v>2032</v>
      </c>
      <c r="AE114" s="1112">
        <f>($C114*0.28)+$C114</f>
        <v>2048</v>
      </c>
      <c r="AF114" s="1112">
        <f>($C114*0.29)+$C114</f>
        <v>2064</v>
      </c>
      <c r="AG114" s="1112">
        <f>($C114*0.3)+$C114</f>
        <v>2080</v>
      </c>
    </row>
    <row r="115" spans="1:33" ht="15">
      <c r="A115" s="4" t="s">
        <v>221</v>
      </c>
      <c r="B115" s="4" t="s">
        <v>37657</v>
      </c>
      <c r="C115" s="5">
        <v>1600</v>
      </c>
      <c r="D115" s="1112">
        <f>($C115*0.01)+$C115</f>
        <v>1616</v>
      </c>
      <c r="E115" s="1112">
        <f>($C115*0.02)+$C115</f>
        <v>1632</v>
      </c>
      <c r="F115" s="1112">
        <f>($C115*0.03)+$C115</f>
        <v>1648</v>
      </c>
      <c r="G115" s="1112">
        <f>($C115*0.04)+$C115</f>
        <v>1664</v>
      </c>
      <c r="H115" s="1112">
        <f>($C115*0.05)+$C115</f>
        <v>1680</v>
      </c>
      <c r="I115" s="1112">
        <f>($C115*0.06)+$C115</f>
        <v>1696</v>
      </c>
      <c r="J115" s="1112">
        <f>($C115*0.07)+$C115</f>
        <v>1712</v>
      </c>
      <c r="K115" s="1112">
        <f>($C115*0.08)+$C115</f>
        <v>1728</v>
      </c>
      <c r="L115" s="1112">
        <f>($C115*0.09)+$C115</f>
        <v>1744</v>
      </c>
      <c r="M115" s="1112">
        <f>($C115*0.1)+$C115</f>
        <v>1760</v>
      </c>
      <c r="N115" s="1112">
        <f>($C115*0.11)+$C115</f>
        <v>1776</v>
      </c>
      <c r="O115" s="1112">
        <f>($C115*0.12)+$C115</f>
        <v>1792</v>
      </c>
      <c r="P115" s="1112">
        <f>($C115*0.13)+$C115</f>
        <v>1808</v>
      </c>
      <c r="Q115" s="1112">
        <f>($C115*0.14)+$C115</f>
        <v>1824</v>
      </c>
      <c r="R115" s="1112">
        <f>($C115*0.15)+$C115</f>
        <v>1840</v>
      </c>
      <c r="S115" s="1112">
        <f>($C115*0.16)+$C115</f>
        <v>1856</v>
      </c>
      <c r="T115" s="1112">
        <f>($C115*0.17)+$C115</f>
        <v>1872</v>
      </c>
      <c r="U115" s="1112">
        <f>($C115*0.18)+$C115</f>
        <v>1888</v>
      </c>
      <c r="V115" s="1112">
        <f>($C115*0.19)+$C115</f>
        <v>1904</v>
      </c>
      <c r="W115" s="1112">
        <f>($C115*0.2)+$C115</f>
        <v>1920</v>
      </c>
      <c r="X115" s="1112">
        <f>($C115*0.21)+$C115</f>
        <v>1936</v>
      </c>
      <c r="Y115" s="1112">
        <f>($C115*0.22)+$C115</f>
        <v>1952</v>
      </c>
      <c r="Z115" s="1112">
        <f>($C115*0.23)+$C115</f>
        <v>1968</v>
      </c>
      <c r="AA115" s="1112">
        <f>($C115*0.24)+$C115</f>
        <v>1984</v>
      </c>
      <c r="AB115" s="1112">
        <f>($C115*0.25)+$C115</f>
        <v>2000</v>
      </c>
      <c r="AC115" s="1112">
        <f>($C115*0.26)+$C115</f>
        <v>2016</v>
      </c>
      <c r="AD115" s="1112">
        <f>($C115*0.27)+$C115</f>
        <v>2032</v>
      </c>
      <c r="AE115" s="1112">
        <f>($C115*0.28)+$C115</f>
        <v>2048</v>
      </c>
      <c r="AF115" s="1112">
        <f>($C115*0.29)+$C115</f>
        <v>2064</v>
      </c>
      <c r="AG115" s="1112">
        <f>($C115*0.3)+$C115</f>
        <v>2080</v>
      </c>
    </row>
    <row r="116" spans="1:33" ht="15">
      <c r="A116" s="4" t="s">
        <v>222</v>
      </c>
      <c r="B116" s="4" t="s">
        <v>37658</v>
      </c>
      <c r="C116" s="5">
        <v>1400</v>
      </c>
      <c r="D116" s="1112">
        <f>($C116*0.01)+$C116</f>
        <v>1414</v>
      </c>
      <c r="E116" s="1112">
        <f>($C116*0.02)+$C116</f>
        <v>1428</v>
      </c>
      <c r="F116" s="1112">
        <f>($C116*0.03)+$C116</f>
        <v>1442</v>
      </c>
      <c r="G116" s="1112">
        <f>($C116*0.04)+$C116</f>
        <v>1456</v>
      </c>
      <c r="H116" s="1112">
        <f>($C116*0.05)+$C116</f>
        <v>1470</v>
      </c>
      <c r="I116" s="1112">
        <f>($C116*0.06)+$C116</f>
        <v>1484</v>
      </c>
      <c r="J116" s="1112">
        <f>($C116*0.07)+$C116</f>
        <v>1498</v>
      </c>
      <c r="K116" s="1112">
        <f>($C116*0.08)+$C116</f>
        <v>1512</v>
      </c>
      <c r="L116" s="1112">
        <f>($C116*0.09)+$C116</f>
        <v>1526</v>
      </c>
      <c r="M116" s="1112">
        <f>($C116*0.1)+$C116</f>
        <v>1540</v>
      </c>
      <c r="N116" s="1112">
        <f>($C116*0.11)+$C116</f>
        <v>1554</v>
      </c>
      <c r="O116" s="1112">
        <f>($C116*0.12)+$C116</f>
        <v>1568</v>
      </c>
      <c r="P116" s="1112">
        <f>($C116*0.13)+$C116</f>
        <v>1582</v>
      </c>
      <c r="Q116" s="1112">
        <f>($C116*0.14)+$C116</f>
        <v>1596</v>
      </c>
      <c r="R116" s="1112">
        <f>($C116*0.15)+$C116</f>
        <v>1610</v>
      </c>
      <c r="S116" s="1112">
        <f>($C116*0.16)+$C116</f>
        <v>1624</v>
      </c>
      <c r="T116" s="1112">
        <f>($C116*0.17)+$C116</f>
        <v>1638</v>
      </c>
      <c r="U116" s="1112">
        <f>($C116*0.18)+$C116</f>
        <v>1652</v>
      </c>
      <c r="V116" s="1112">
        <f>($C116*0.19)+$C116</f>
        <v>1666</v>
      </c>
      <c r="W116" s="1112">
        <f>($C116*0.2)+$C116</f>
        <v>1680</v>
      </c>
      <c r="X116" s="1112">
        <f>($C116*0.21)+$C116</f>
        <v>1694</v>
      </c>
      <c r="Y116" s="1112">
        <f>($C116*0.22)+$C116</f>
        <v>1708</v>
      </c>
      <c r="Z116" s="1112">
        <f>($C116*0.23)+$C116</f>
        <v>1722</v>
      </c>
      <c r="AA116" s="1112">
        <f>($C116*0.24)+$C116</f>
        <v>1736</v>
      </c>
      <c r="AB116" s="1112">
        <f>($C116*0.25)+$C116</f>
        <v>1750</v>
      </c>
      <c r="AC116" s="1112">
        <f>($C116*0.26)+$C116</f>
        <v>1764</v>
      </c>
      <c r="AD116" s="1112">
        <f>($C116*0.27)+$C116</f>
        <v>1778</v>
      </c>
      <c r="AE116" s="1112">
        <f>($C116*0.28)+$C116</f>
        <v>1792</v>
      </c>
      <c r="AF116" s="1112">
        <f>($C116*0.29)+$C116</f>
        <v>1806</v>
      </c>
      <c r="AG116" s="1112">
        <f>($C116*0.3)+$C116</f>
        <v>1820</v>
      </c>
    </row>
    <row r="117" spans="1:33" ht="15">
      <c r="A117" s="4" t="s">
        <v>37659</v>
      </c>
      <c r="B117" s="4" t="s">
        <v>37660</v>
      </c>
      <c r="C117" s="5">
        <v>600</v>
      </c>
      <c r="D117" s="1112">
        <f>($C117*0.01)+$C117</f>
        <v>606</v>
      </c>
      <c r="E117" s="1112">
        <f>($C117*0.02)+$C117</f>
        <v>612</v>
      </c>
      <c r="F117" s="1112">
        <f>($C117*0.03)+$C117</f>
        <v>618</v>
      </c>
      <c r="G117" s="1112">
        <f>($C117*0.04)+$C117</f>
        <v>624</v>
      </c>
      <c r="H117" s="1112">
        <f>($C117*0.05)+$C117</f>
        <v>630</v>
      </c>
      <c r="I117" s="1112">
        <f>($C117*0.06)+$C117</f>
        <v>636</v>
      </c>
      <c r="J117" s="1112">
        <f>($C117*0.07)+$C117</f>
        <v>642</v>
      </c>
      <c r="K117" s="1112">
        <f>($C117*0.08)+$C117</f>
        <v>648</v>
      </c>
      <c r="L117" s="1112">
        <f>($C117*0.09)+$C117</f>
        <v>654</v>
      </c>
      <c r="M117" s="1112">
        <f>($C117*0.1)+$C117</f>
        <v>660</v>
      </c>
      <c r="N117" s="1112">
        <f>($C117*0.11)+$C117</f>
        <v>666</v>
      </c>
      <c r="O117" s="1112">
        <f>($C117*0.12)+$C117</f>
        <v>672</v>
      </c>
      <c r="P117" s="1112">
        <f>($C117*0.13)+$C117</f>
        <v>678</v>
      </c>
      <c r="Q117" s="1112">
        <f>($C117*0.14)+$C117</f>
        <v>684</v>
      </c>
      <c r="R117" s="1112">
        <f>($C117*0.15)+$C117</f>
        <v>690</v>
      </c>
      <c r="S117" s="1112">
        <f>($C117*0.16)+$C117</f>
        <v>696</v>
      </c>
      <c r="T117" s="1112">
        <f>($C117*0.17)+$C117</f>
        <v>702</v>
      </c>
      <c r="U117" s="1112">
        <f>($C117*0.18)+$C117</f>
        <v>708</v>
      </c>
      <c r="V117" s="1112">
        <f>($C117*0.19)+$C117</f>
        <v>714</v>
      </c>
      <c r="W117" s="1112">
        <f>($C117*0.2)+$C117</f>
        <v>720</v>
      </c>
      <c r="X117" s="1112">
        <f>($C117*0.21)+$C117</f>
        <v>726</v>
      </c>
      <c r="Y117" s="1112">
        <f>($C117*0.22)+$C117</f>
        <v>732</v>
      </c>
      <c r="Z117" s="1112">
        <f>($C117*0.23)+$C117</f>
        <v>738</v>
      </c>
      <c r="AA117" s="1112">
        <f>($C117*0.24)+$C117</f>
        <v>744</v>
      </c>
      <c r="AB117" s="1112">
        <f>($C117*0.25)+$C117</f>
        <v>750</v>
      </c>
      <c r="AC117" s="1112">
        <f>($C117*0.26)+$C117</f>
        <v>756</v>
      </c>
      <c r="AD117" s="1112">
        <f>($C117*0.27)+$C117</f>
        <v>762</v>
      </c>
      <c r="AE117" s="1112">
        <f>($C117*0.28)+$C117</f>
        <v>768</v>
      </c>
      <c r="AF117" s="1112">
        <f>($C117*0.29)+$C117</f>
        <v>774</v>
      </c>
      <c r="AG117" s="1112">
        <f>($C117*0.3)+$C117</f>
        <v>780</v>
      </c>
    </row>
    <row r="118" spans="1:33" ht="15">
      <c r="A118" s="4" t="s">
        <v>37661</v>
      </c>
      <c r="B118" s="4" t="s">
        <v>37662</v>
      </c>
      <c r="C118" s="5">
        <v>400</v>
      </c>
      <c r="D118" s="1112">
        <f>($C118*0.01)+$C118</f>
        <v>404</v>
      </c>
      <c r="E118" s="1112">
        <f>($C118*0.02)+$C118</f>
        <v>408</v>
      </c>
      <c r="F118" s="1112">
        <f>($C118*0.03)+$C118</f>
        <v>412</v>
      </c>
      <c r="G118" s="1112">
        <f>($C118*0.04)+$C118</f>
        <v>416</v>
      </c>
      <c r="H118" s="1112">
        <f>($C118*0.05)+$C118</f>
        <v>420</v>
      </c>
      <c r="I118" s="1112">
        <f>($C118*0.06)+$C118</f>
        <v>424</v>
      </c>
      <c r="J118" s="1112">
        <f>($C118*0.07)+$C118</f>
        <v>428</v>
      </c>
      <c r="K118" s="1112">
        <f>($C118*0.08)+$C118</f>
        <v>432</v>
      </c>
      <c r="L118" s="1112">
        <f>($C118*0.09)+$C118</f>
        <v>436</v>
      </c>
      <c r="M118" s="1112">
        <f>($C118*0.1)+$C118</f>
        <v>440</v>
      </c>
      <c r="N118" s="1112">
        <f>($C118*0.11)+$C118</f>
        <v>444</v>
      </c>
      <c r="O118" s="1112">
        <f>($C118*0.12)+$C118</f>
        <v>448</v>
      </c>
      <c r="P118" s="1112">
        <f>($C118*0.13)+$C118</f>
        <v>452</v>
      </c>
      <c r="Q118" s="1112">
        <f>($C118*0.14)+$C118</f>
        <v>456</v>
      </c>
      <c r="R118" s="1112">
        <f>($C118*0.15)+$C118</f>
        <v>460</v>
      </c>
      <c r="S118" s="1112">
        <f>($C118*0.16)+$C118</f>
        <v>464</v>
      </c>
      <c r="T118" s="1112">
        <f>($C118*0.17)+$C118</f>
        <v>468</v>
      </c>
      <c r="U118" s="1112">
        <f>($C118*0.18)+$C118</f>
        <v>472</v>
      </c>
      <c r="V118" s="1112">
        <f>($C118*0.19)+$C118</f>
        <v>476</v>
      </c>
      <c r="W118" s="1112">
        <f>($C118*0.2)+$C118</f>
        <v>480</v>
      </c>
      <c r="X118" s="1112">
        <f>($C118*0.21)+$C118</f>
        <v>484</v>
      </c>
      <c r="Y118" s="1112">
        <f>($C118*0.22)+$C118</f>
        <v>488</v>
      </c>
      <c r="Z118" s="1112">
        <f>($C118*0.23)+$C118</f>
        <v>492</v>
      </c>
      <c r="AA118" s="1112">
        <f>($C118*0.24)+$C118</f>
        <v>496</v>
      </c>
      <c r="AB118" s="1112">
        <f>($C118*0.25)+$C118</f>
        <v>500</v>
      </c>
      <c r="AC118" s="1112">
        <f>($C118*0.26)+$C118</f>
        <v>504</v>
      </c>
      <c r="AD118" s="1112">
        <f>($C118*0.27)+$C118</f>
        <v>508</v>
      </c>
      <c r="AE118" s="1112">
        <f>($C118*0.28)+$C118</f>
        <v>512</v>
      </c>
      <c r="AF118" s="1112">
        <f>($C118*0.29)+$C118</f>
        <v>516</v>
      </c>
      <c r="AG118" s="1112">
        <f>($C118*0.3)+$C118</f>
        <v>520</v>
      </c>
    </row>
    <row r="119" spans="1:33" ht="15">
      <c r="A119" s="4" t="s">
        <v>223</v>
      </c>
      <c r="B119" s="4" t="s">
        <v>37663</v>
      </c>
      <c r="C119" s="5">
        <v>500</v>
      </c>
      <c r="D119" s="1112">
        <f>($C119*0.01)+$C119</f>
        <v>505</v>
      </c>
      <c r="E119" s="1112">
        <f>($C119*0.02)+$C119</f>
        <v>510</v>
      </c>
      <c r="F119" s="1112">
        <f>($C119*0.03)+$C119</f>
        <v>515</v>
      </c>
      <c r="G119" s="1112">
        <f>($C119*0.04)+$C119</f>
        <v>520</v>
      </c>
      <c r="H119" s="1112">
        <f>($C119*0.05)+$C119</f>
        <v>525</v>
      </c>
      <c r="I119" s="1112">
        <f>($C119*0.06)+$C119</f>
        <v>530</v>
      </c>
      <c r="J119" s="1112">
        <f>($C119*0.07)+$C119</f>
        <v>535</v>
      </c>
      <c r="K119" s="1112">
        <f>($C119*0.08)+$C119</f>
        <v>540</v>
      </c>
      <c r="L119" s="1112">
        <f>($C119*0.09)+$C119</f>
        <v>545</v>
      </c>
      <c r="M119" s="1112">
        <f>($C119*0.1)+$C119</f>
        <v>550</v>
      </c>
      <c r="N119" s="1112">
        <f>($C119*0.11)+$C119</f>
        <v>555</v>
      </c>
      <c r="O119" s="1112">
        <f>($C119*0.12)+$C119</f>
        <v>560</v>
      </c>
      <c r="P119" s="1112">
        <f>($C119*0.13)+$C119</f>
        <v>565</v>
      </c>
      <c r="Q119" s="1112">
        <f>($C119*0.14)+$C119</f>
        <v>570</v>
      </c>
      <c r="R119" s="1112">
        <f>($C119*0.15)+$C119</f>
        <v>575</v>
      </c>
      <c r="S119" s="1112">
        <f>($C119*0.16)+$C119</f>
        <v>580</v>
      </c>
      <c r="T119" s="1112">
        <f>($C119*0.17)+$C119</f>
        <v>585</v>
      </c>
      <c r="U119" s="1112">
        <f>($C119*0.18)+$C119</f>
        <v>590</v>
      </c>
      <c r="V119" s="1112">
        <f>($C119*0.19)+$C119</f>
        <v>595</v>
      </c>
      <c r="W119" s="1112">
        <f>($C119*0.2)+$C119</f>
        <v>600</v>
      </c>
      <c r="X119" s="1112">
        <f>($C119*0.21)+$C119</f>
        <v>605</v>
      </c>
      <c r="Y119" s="1112">
        <f>($C119*0.22)+$C119</f>
        <v>610</v>
      </c>
      <c r="Z119" s="1112">
        <f>($C119*0.23)+$C119</f>
        <v>615</v>
      </c>
      <c r="AA119" s="1112">
        <f>($C119*0.24)+$C119</f>
        <v>620</v>
      </c>
      <c r="AB119" s="1112">
        <f>($C119*0.25)+$C119</f>
        <v>625</v>
      </c>
      <c r="AC119" s="1112">
        <f>($C119*0.26)+$C119</f>
        <v>630</v>
      </c>
      <c r="AD119" s="1112">
        <f>($C119*0.27)+$C119</f>
        <v>635</v>
      </c>
      <c r="AE119" s="1112">
        <f>($C119*0.28)+$C119</f>
        <v>640</v>
      </c>
      <c r="AF119" s="1112">
        <f>($C119*0.29)+$C119</f>
        <v>645</v>
      </c>
      <c r="AG119" s="1112">
        <f>($C119*0.3)+$C119</f>
        <v>650</v>
      </c>
    </row>
    <row r="120" spans="1:33" ht="15">
      <c r="A120" s="4" t="s">
        <v>224</v>
      </c>
      <c r="B120" s="4" t="s">
        <v>37664</v>
      </c>
      <c r="C120" s="5">
        <v>700</v>
      </c>
      <c r="D120" s="1112">
        <f>($C120*0.01)+$C120</f>
        <v>707</v>
      </c>
      <c r="E120" s="1112">
        <f>($C120*0.02)+$C120</f>
        <v>714</v>
      </c>
      <c r="F120" s="1112">
        <f>($C120*0.03)+$C120</f>
        <v>721</v>
      </c>
      <c r="G120" s="1112">
        <f>($C120*0.04)+$C120</f>
        <v>728</v>
      </c>
      <c r="H120" s="1112">
        <f>($C120*0.05)+$C120</f>
        <v>735</v>
      </c>
      <c r="I120" s="1112">
        <f>($C120*0.06)+$C120</f>
        <v>742</v>
      </c>
      <c r="J120" s="1112">
        <f>($C120*0.07)+$C120</f>
        <v>749</v>
      </c>
      <c r="K120" s="1112">
        <f>($C120*0.08)+$C120</f>
        <v>756</v>
      </c>
      <c r="L120" s="1112">
        <f>($C120*0.09)+$C120</f>
        <v>763</v>
      </c>
      <c r="M120" s="1112">
        <f>($C120*0.1)+$C120</f>
        <v>770</v>
      </c>
      <c r="N120" s="1112">
        <f>($C120*0.11)+$C120</f>
        <v>777</v>
      </c>
      <c r="O120" s="1112">
        <f>($C120*0.12)+$C120</f>
        <v>784</v>
      </c>
      <c r="P120" s="1112">
        <f>($C120*0.13)+$C120</f>
        <v>791</v>
      </c>
      <c r="Q120" s="1112">
        <f>($C120*0.14)+$C120</f>
        <v>798</v>
      </c>
      <c r="R120" s="1112">
        <f>($C120*0.15)+$C120</f>
        <v>805</v>
      </c>
      <c r="S120" s="1112">
        <f>($C120*0.16)+$C120</f>
        <v>812</v>
      </c>
      <c r="T120" s="1112">
        <f>($C120*0.17)+$C120</f>
        <v>819</v>
      </c>
      <c r="U120" s="1112">
        <f>($C120*0.18)+$C120</f>
        <v>826</v>
      </c>
      <c r="V120" s="1112">
        <f>($C120*0.19)+$C120</f>
        <v>833</v>
      </c>
      <c r="W120" s="1112">
        <f>($C120*0.2)+$C120</f>
        <v>840</v>
      </c>
      <c r="X120" s="1112">
        <f>($C120*0.21)+$C120</f>
        <v>847</v>
      </c>
      <c r="Y120" s="1112">
        <f>($C120*0.22)+$C120</f>
        <v>854</v>
      </c>
      <c r="Z120" s="1112">
        <f>($C120*0.23)+$C120</f>
        <v>861</v>
      </c>
      <c r="AA120" s="1112">
        <f>($C120*0.24)+$C120</f>
        <v>868</v>
      </c>
      <c r="AB120" s="1112">
        <f>($C120*0.25)+$C120</f>
        <v>875</v>
      </c>
      <c r="AC120" s="1112">
        <f>($C120*0.26)+$C120</f>
        <v>882</v>
      </c>
      <c r="AD120" s="1112">
        <f>($C120*0.27)+$C120</f>
        <v>889</v>
      </c>
      <c r="AE120" s="1112">
        <f>($C120*0.28)+$C120</f>
        <v>896</v>
      </c>
      <c r="AF120" s="1112">
        <f>($C120*0.29)+$C120</f>
        <v>903</v>
      </c>
      <c r="AG120" s="1112">
        <f>($C120*0.3)+$C120</f>
        <v>910</v>
      </c>
    </row>
    <row r="121" spans="1:33" ht="15">
      <c r="A121" s="4" t="s">
        <v>37665</v>
      </c>
      <c r="B121" s="4" t="s">
        <v>37666</v>
      </c>
      <c r="C121" s="5">
        <v>150</v>
      </c>
      <c r="D121" s="1112">
        <f>($C121*0.01)+$C121</f>
        <v>151.5</v>
      </c>
      <c r="E121" s="1112">
        <f>($C121*0.02)+$C121</f>
        <v>153</v>
      </c>
      <c r="F121" s="1112">
        <f>($C121*0.03)+$C121</f>
        <v>154.5</v>
      </c>
      <c r="G121" s="1112">
        <f>($C121*0.04)+$C121</f>
        <v>156</v>
      </c>
      <c r="H121" s="1112">
        <f>($C121*0.05)+$C121</f>
        <v>157.5</v>
      </c>
      <c r="I121" s="1112">
        <f>($C121*0.06)+$C121</f>
        <v>159</v>
      </c>
      <c r="J121" s="1112">
        <f>($C121*0.07)+$C121</f>
        <v>160.5</v>
      </c>
      <c r="K121" s="1112">
        <f>($C121*0.08)+$C121</f>
        <v>162</v>
      </c>
      <c r="L121" s="1112">
        <f>($C121*0.09)+$C121</f>
        <v>163.5</v>
      </c>
      <c r="M121" s="1112">
        <f>($C121*0.1)+$C121</f>
        <v>165</v>
      </c>
      <c r="N121" s="1112">
        <f>($C121*0.11)+$C121</f>
        <v>166.5</v>
      </c>
      <c r="O121" s="1112">
        <f>($C121*0.12)+$C121</f>
        <v>168</v>
      </c>
      <c r="P121" s="1112">
        <f>($C121*0.13)+$C121</f>
        <v>169.5</v>
      </c>
      <c r="Q121" s="1112">
        <f>($C121*0.14)+$C121</f>
        <v>171</v>
      </c>
      <c r="R121" s="1112">
        <f>($C121*0.15)+$C121</f>
        <v>172.5</v>
      </c>
      <c r="S121" s="1112">
        <f>($C121*0.16)+$C121</f>
        <v>174</v>
      </c>
      <c r="T121" s="1112">
        <f>($C121*0.17)+$C121</f>
        <v>175.5</v>
      </c>
      <c r="U121" s="1112">
        <f>($C121*0.18)+$C121</f>
        <v>177</v>
      </c>
      <c r="V121" s="1112">
        <f>($C121*0.19)+$C121</f>
        <v>178.5</v>
      </c>
      <c r="W121" s="1112">
        <f>($C121*0.2)+$C121</f>
        <v>180</v>
      </c>
      <c r="X121" s="1112">
        <f>($C121*0.21)+$C121</f>
        <v>181.5</v>
      </c>
      <c r="Y121" s="1112">
        <f>($C121*0.22)+$C121</f>
        <v>183</v>
      </c>
      <c r="Z121" s="1112">
        <f>($C121*0.23)+$C121</f>
        <v>184.5</v>
      </c>
      <c r="AA121" s="1112">
        <f>($C121*0.24)+$C121</f>
        <v>186</v>
      </c>
      <c r="AB121" s="1112">
        <f>($C121*0.25)+$C121</f>
        <v>187.5</v>
      </c>
      <c r="AC121" s="1112">
        <f>($C121*0.26)+$C121</f>
        <v>189</v>
      </c>
      <c r="AD121" s="1112">
        <f>($C121*0.27)+$C121</f>
        <v>190.5</v>
      </c>
      <c r="AE121" s="1112">
        <f>($C121*0.28)+$C121</f>
        <v>192</v>
      </c>
      <c r="AF121" s="1112">
        <f>($C121*0.29)+$C121</f>
        <v>193.5</v>
      </c>
      <c r="AG121" s="1112">
        <f>($C121*0.3)+$C121</f>
        <v>195</v>
      </c>
    </row>
    <row r="122" spans="1:33" ht="15">
      <c r="A122" s="4" t="s">
        <v>37667</v>
      </c>
      <c r="B122" s="4" t="s">
        <v>37668</v>
      </c>
      <c r="C122" s="5">
        <v>150</v>
      </c>
      <c r="D122" s="1112">
        <f>($C122*0.01)+$C122</f>
        <v>151.5</v>
      </c>
      <c r="E122" s="1112">
        <f>($C122*0.02)+$C122</f>
        <v>153</v>
      </c>
      <c r="F122" s="1112">
        <f>($C122*0.03)+$C122</f>
        <v>154.5</v>
      </c>
      <c r="G122" s="1112">
        <f>($C122*0.04)+$C122</f>
        <v>156</v>
      </c>
      <c r="H122" s="1112">
        <f>($C122*0.05)+$C122</f>
        <v>157.5</v>
      </c>
      <c r="I122" s="1112">
        <f>($C122*0.06)+$C122</f>
        <v>159</v>
      </c>
      <c r="J122" s="1112">
        <f>($C122*0.07)+$C122</f>
        <v>160.5</v>
      </c>
      <c r="K122" s="1112">
        <f>($C122*0.08)+$C122</f>
        <v>162</v>
      </c>
      <c r="L122" s="1112">
        <f>($C122*0.09)+$C122</f>
        <v>163.5</v>
      </c>
      <c r="M122" s="1112">
        <f>($C122*0.1)+$C122</f>
        <v>165</v>
      </c>
      <c r="N122" s="1112">
        <f>($C122*0.11)+$C122</f>
        <v>166.5</v>
      </c>
      <c r="O122" s="1112">
        <f>($C122*0.12)+$C122</f>
        <v>168</v>
      </c>
      <c r="P122" s="1112">
        <f>($C122*0.13)+$C122</f>
        <v>169.5</v>
      </c>
      <c r="Q122" s="1112">
        <f>($C122*0.14)+$C122</f>
        <v>171</v>
      </c>
      <c r="R122" s="1112">
        <f>($C122*0.15)+$C122</f>
        <v>172.5</v>
      </c>
      <c r="S122" s="1112">
        <f>($C122*0.16)+$C122</f>
        <v>174</v>
      </c>
      <c r="T122" s="1112">
        <f>($C122*0.17)+$C122</f>
        <v>175.5</v>
      </c>
      <c r="U122" s="1112">
        <f>($C122*0.18)+$C122</f>
        <v>177</v>
      </c>
      <c r="V122" s="1112">
        <f>($C122*0.19)+$C122</f>
        <v>178.5</v>
      </c>
      <c r="W122" s="1112">
        <f>($C122*0.2)+$C122</f>
        <v>180</v>
      </c>
      <c r="X122" s="1112">
        <f>($C122*0.21)+$C122</f>
        <v>181.5</v>
      </c>
      <c r="Y122" s="1112">
        <f>($C122*0.22)+$C122</f>
        <v>183</v>
      </c>
      <c r="Z122" s="1112">
        <f>($C122*0.23)+$C122</f>
        <v>184.5</v>
      </c>
      <c r="AA122" s="1112">
        <f>($C122*0.24)+$C122</f>
        <v>186</v>
      </c>
      <c r="AB122" s="1112">
        <f>($C122*0.25)+$C122</f>
        <v>187.5</v>
      </c>
      <c r="AC122" s="1112">
        <f>($C122*0.26)+$C122</f>
        <v>189</v>
      </c>
      <c r="AD122" s="1112">
        <f>($C122*0.27)+$C122</f>
        <v>190.5</v>
      </c>
      <c r="AE122" s="1112">
        <f>($C122*0.28)+$C122</f>
        <v>192</v>
      </c>
      <c r="AF122" s="1112">
        <f>($C122*0.29)+$C122</f>
        <v>193.5</v>
      </c>
      <c r="AG122" s="1112">
        <f>($C122*0.3)+$C122</f>
        <v>195</v>
      </c>
    </row>
    <row r="123" spans="1:33" ht="30">
      <c r="A123" s="4" t="s">
        <v>22007</v>
      </c>
      <c r="B123" s="4" t="s">
        <v>22004</v>
      </c>
      <c r="C123" s="5">
        <v>1000</v>
      </c>
      <c r="D123" s="1112">
        <f>($C123*0.01)+$C123</f>
        <v>1010</v>
      </c>
      <c r="E123" s="1112">
        <f>($C123*0.02)+$C123</f>
        <v>1020</v>
      </c>
      <c r="F123" s="1112">
        <f>($C123*0.03)+$C123</f>
        <v>1030</v>
      </c>
      <c r="G123" s="1112">
        <f>($C123*0.04)+$C123</f>
        <v>1040</v>
      </c>
      <c r="H123" s="1112">
        <f>($C123*0.05)+$C123</f>
        <v>1050</v>
      </c>
      <c r="I123" s="1112">
        <f>($C123*0.06)+$C123</f>
        <v>1060</v>
      </c>
      <c r="J123" s="1112">
        <f>($C123*0.07)+$C123</f>
        <v>1070</v>
      </c>
      <c r="K123" s="1112">
        <f>($C123*0.08)+$C123</f>
        <v>1080</v>
      </c>
      <c r="L123" s="1112">
        <f>($C123*0.09)+$C123</f>
        <v>1090</v>
      </c>
      <c r="M123" s="1112">
        <f>($C123*0.1)+$C123</f>
        <v>1100</v>
      </c>
      <c r="N123" s="1112">
        <f>($C123*0.11)+$C123</f>
        <v>1110</v>
      </c>
      <c r="O123" s="1112">
        <f>($C123*0.12)+$C123</f>
        <v>1120</v>
      </c>
      <c r="P123" s="1112">
        <f>($C123*0.13)+$C123</f>
        <v>1130</v>
      </c>
      <c r="Q123" s="1112">
        <f>($C123*0.14)+$C123</f>
        <v>1140</v>
      </c>
      <c r="R123" s="1112">
        <f>($C123*0.15)+$C123</f>
        <v>1150</v>
      </c>
      <c r="S123" s="1112">
        <f>($C123*0.16)+$C123</f>
        <v>1160</v>
      </c>
      <c r="T123" s="1112">
        <f>($C123*0.17)+$C123</f>
        <v>1170</v>
      </c>
      <c r="U123" s="1112">
        <f>($C123*0.18)+$C123</f>
        <v>1180</v>
      </c>
      <c r="V123" s="1112">
        <f>($C123*0.19)+$C123</f>
        <v>1190</v>
      </c>
      <c r="W123" s="1112">
        <f>($C123*0.2)+$C123</f>
        <v>1200</v>
      </c>
      <c r="X123" s="1112">
        <f>($C123*0.21)+$C123</f>
        <v>1210</v>
      </c>
      <c r="Y123" s="1112">
        <f>($C123*0.22)+$C123</f>
        <v>1220</v>
      </c>
      <c r="Z123" s="1112">
        <f>($C123*0.23)+$C123</f>
        <v>1230</v>
      </c>
      <c r="AA123" s="1112">
        <f>($C123*0.24)+$C123</f>
        <v>1240</v>
      </c>
      <c r="AB123" s="1112">
        <f>($C123*0.25)+$C123</f>
        <v>1250</v>
      </c>
      <c r="AC123" s="1112">
        <f>($C123*0.26)+$C123</f>
        <v>1260</v>
      </c>
      <c r="AD123" s="1112">
        <f>($C123*0.27)+$C123</f>
        <v>1270</v>
      </c>
      <c r="AE123" s="1112">
        <f>($C123*0.28)+$C123</f>
        <v>1280</v>
      </c>
      <c r="AF123" s="1112">
        <f>($C123*0.29)+$C123</f>
        <v>1290</v>
      </c>
      <c r="AG123" s="1112">
        <f>($C123*0.3)+$C123</f>
        <v>1300</v>
      </c>
    </row>
    <row r="124" spans="1:33" ht="30">
      <c r="A124" s="4" t="s">
        <v>22006</v>
      </c>
      <c r="B124" s="4" t="s">
        <v>22005</v>
      </c>
      <c r="C124" s="5">
        <v>1000</v>
      </c>
      <c r="D124" s="1112">
        <f>($C124*0.01)+$C124</f>
        <v>1010</v>
      </c>
      <c r="E124" s="1112">
        <f>($C124*0.02)+$C124</f>
        <v>1020</v>
      </c>
      <c r="F124" s="1112">
        <f>($C124*0.03)+$C124</f>
        <v>1030</v>
      </c>
      <c r="G124" s="1112">
        <f>($C124*0.04)+$C124</f>
        <v>1040</v>
      </c>
      <c r="H124" s="1112">
        <f>($C124*0.05)+$C124</f>
        <v>1050</v>
      </c>
      <c r="I124" s="1112">
        <f>($C124*0.06)+$C124</f>
        <v>1060</v>
      </c>
      <c r="J124" s="1112">
        <f>($C124*0.07)+$C124</f>
        <v>1070</v>
      </c>
      <c r="K124" s="1112">
        <f>($C124*0.08)+$C124</f>
        <v>1080</v>
      </c>
      <c r="L124" s="1112">
        <f>($C124*0.09)+$C124</f>
        <v>1090</v>
      </c>
      <c r="M124" s="1112">
        <f>($C124*0.1)+$C124</f>
        <v>1100</v>
      </c>
      <c r="N124" s="1112">
        <f>($C124*0.11)+$C124</f>
        <v>1110</v>
      </c>
      <c r="O124" s="1112">
        <f>($C124*0.12)+$C124</f>
        <v>1120</v>
      </c>
      <c r="P124" s="1112">
        <f>($C124*0.13)+$C124</f>
        <v>1130</v>
      </c>
      <c r="Q124" s="1112">
        <f>($C124*0.14)+$C124</f>
        <v>1140</v>
      </c>
      <c r="R124" s="1112">
        <f>($C124*0.15)+$C124</f>
        <v>1150</v>
      </c>
      <c r="S124" s="1112">
        <f>($C124*0.16)+$C124</f>
        <v>1160</v>
      </c>
      <c r="T124" s="1112">
        <f>($C124*0.17)+$C124</f>
        <v>1170</v>
      </c>
      <c r="U124" s="1112">
        <f>($C124*0.18)+$C124</f>
        <v>1180</v>
      </c>
      <c r="V124" s="1112">
        <f>($C124*0.19)+$C124</f>
        <v>1190</v>
      </c>
      <c r="W124" s="1112">
        <f>($C124*0.2)+$C124</f>
        <v>1200</v>
      </c>
      <c r="X124" s="1112">
        <f>($C124*0.21)+$C124</f>
        <v>1210</v>
      </c>
      <c r="Y124" s="1112">
        <f>($C124*0.22)+$C124</f>
        <v>1220</v>
      </c>
      <c r="Z124" s="1112">
        <f>($C124*0.23)+$C124</f>
        <v>1230</v>
      </c>
      <c r="AA124" s="1112">
        <f>($C124*0.24)+$C124</f>
        <v>1240</v>
      </c>
      <c r="AB124" s="1112">
        <f>($C124*0.25)+$C124</f>
        <v>1250</v>
      </c>
      <c r="AC124" s="1112">
        <f>($C124*0.26)+$C124</f>
        <v>1260</v>
      </c>
      <c r="AD124" s="1112">
        <f>($C124*0.27)+$C124</f>
        <v>1270</v>
      </c>
      <c r="AE124" s="1112">
        <f>($C124*0.28)+$C124</f>
        <v>1280</v>
      </c>
      <c r="AF124" s="1112">
        <f>($C124*0.29)+$C124</f>
        <v>1290</v>
      </c>
      <c r="AG124" s="1112">
        <f>($C124*0.3)+$C124</f>
        <v>1300</v>
      </c>
    </row>
    <row r="125" spans="1:33" ht="15">
      <c r="A125" s="4" t="s">
        <v>22016</v>
      </c>
      <c r="B125" s="4" t="s">
        <v>22008</v>
      </c>
      <c r="C125" s="5">
        <v>1200</v>
      </c>
      <c r="D125" s="1112">
        <f>($C125*0.01)+$C125</f>
        <v>1212</v>
      </c>
      <c r="E125" s="1112">
        <f>($C125*0.02)+$C125</f>
        <v>1224</v>
      </c>
      <c r="F125" s="1112">
        <f>($C125*0.03)+$C125</f>
        <v>1236</v>
      </c>
      <c r="G125" s="1112">
        <f>($C125*0.04)+$C125</f>
        <v>1248</v>
      </c>
      <c r="H125" s="1112">
        <f>($C125*0.05)+$C125</f>
        <v>1260</v>
      </c>
      <c r="I125" s="1112">
        <f>($C125*0.06)+$C125</f>
        <v>1272</v>
      </c>
      <c r="J125" s="1112">
        <f>($C125*0.07)+$C125</f>
        <v>1284</v>
      </c>
      <c r="K125" s="1112">
        <f>($C125*0.08)+$C125</f>
        <v>1296</v>
      </c>
      <c r="L125" s="1112">
        <f>($C125*0.09)+$C125</f>
        <v>1308</v>
      </c>
      <c r="M125" s="1112">
        <f>($C125*0.1)+$C125</f>
        <v>1320</v>
      </c>
      <c r="N125" s="1112">
        <f>($C125*0.11)+$C125</f>
        <v>1332</v>
      </c>
      <c r="O125" s="1112">
        <f>($C125*0.12)+$C125</f>
        <v>1344</v>
      </c>
      <c r="P125" s="1112">
        <f>($C125*0.13)+$C125</f>
        <v>1356</v>
      </c>
      <c r="Q125" s="1112">
        <f>($C125*0.14)+$C125</f>
        <v>1368</v>
      </c>
      <c r="R125" s="1112">
        <f>($C125*0.15)+$C125</f>
        <v>1380</v>
      </c>
      <c r="S125" s="1112">
        <f>($C125*0.16)+$C125</f>
        <v>1392</v>
      </c>
      <c r="T125" s="1112">
        <f>($C125*0.17)+$C125</f>
        <v>1404</v>
      </c>
      <c r="U125" s="1112">
        <f>($C125*0.18)+$C125</f>
        <v>1416</v>
      </c>
      <c r="V125" s="1112">
        <f>($C125*0.19)+$C125</f>
        <v>1428</v>
      </c>
      <c r="W125" s="1112">
        <f>($C125*0.2)+$C125</f>
        <v>1440</v>
      </c>
      <c r="X125" s="1112">
        <f>($C125*0.21)+$C125</f>
        <v>1452</v>
      </c>
      <c r="Y125" s="1112">
        <f>($C125*0.22)+$C125</f>
        <v>1464</v>
      </c>
      <c r="Z125" s="1112">
        <f>($C125*0.23)+$C125</f>
        <v>1476</v>
      </c>
      <c r="AA125" s="1112">
        <f>($C125*0.24)+$C125</f>
        <v>1488</v>
      </c>
      <c r="AB125" s="1112">
        <f>($C125*0.25)+$C125</f>
        <v>1500</v>
      </c>
      <c r="AC125" s="1112">
        <f>($C125*0.26)+$C125</f>
        <v>1512</v>
      </c>
      <c r="AD125" s="1112">
        <f>($C125*0.27)+$C125</f>
        <v>1524</v>
      </c>
      <c r="AE125" s="1112">
        <f>($C125*0.28)+$C125</f>
        <v>1536</v>
      </c>
      <c r="AF125" s="1112">
        <f>($C125*0.29)+$C125</f>
        <v>1548</v>
      </c>
      <c r="AG125" s="1112">
        <f>($C125*0.3)+$C125</f>
        <v>1560</v>
      </c>
    </row>
    <row r="126" spans="1:33" ht="30">
      <c r="A126" s="4" t="s">
        <v>22017</v>
      </c>
      <c r="B126" s="4" t="s">
        <v>22009</v>
      </c>
      <c r="C126" s="5">
        <v>600</v>
      </c>
      <c r="D126" s="1112">
        <f>($C126*0.01)+$C126</f>
        <v>606</v>
      </c>
      <c r="E126" s="1112">
        <f>($C126*0.02)+$C126</f>
        <v>612</v>
      </c>
      <c r="F126" s="1112">
        <f>($C126*0.03)+$C126</f>
        <v>618</v>
      </c>
      <c r="G126" s="1112">
        <f>($C126*0.04)+$C126</f>
        <v>624</v>
      </c>
      <c r="H126" s="1112">
        <f>($C126*0.05)+$C126</f>
        <v>630</v>
      </c>
      <c r="I126" s="1112">
        <f>($C126*0.06)+$C126</f>
        <v>636</v>
      </c>
      <c r="J126" s="1112">
        <f>($C126*0.07)+$C126</f>
        <v>642</v>
      </c>
      <c r="K126" s="1112">
        <f>($C126*0.08)+$C126</f>
        <v>648</v>
      </c>
      <c r="L126" s="1112">
        <f>($C126*0.09)+$C126</f>
        <v>654</v>
      </c>
      <c r="M126" s="1112">
        <f>($C126*0.1)+$C126</f>
        <v>660</v>
      </c>
      <c r="N126" s="1112">
        <f>($C126*0.11)+$C126</f>
        <v>666</v>
      </c>
      <c r="O126" s="1112">
        <f>($C126*0.12)+$C126</f>
        <v>672</v>
      </c>
      <c r="P126" s="1112">
        <f>($C126*0.13)+$C126</f>
        <v>678</v>
      </c>
      <c r="Q126" s="1112">
        <f>($C126*0.14)+$C126</f>
        <v>684</v>
      </c>
      <c r="R126" s="1112">
        <f>($C126*0.15)+$C126</f>
        <v>690</v>
      </c>
      <c r="S126" s="1112">
        <f>($C126*0.16)+$C126</f>
        <v>696</v>
      </c>
      <c r="T126" s="1112">
        <f>($C126*0.17)+$C126</f>
        <v>702</v>
      </c>
      <c r="U126" s="1112">
        <f>($C126*0.18)+$C126</f>
        <v>708</v>
      </c>
      <c r="V126" s="1112">
        <f>($C126*0.19)+$C126</f>
        <v>714</v>
      </c>
      <c r="W126" s="1112">
        <f>($C126*0.2)+$C126</f>
        <v>720</v>
      </c>
      <c r="X126" s="1112">
        <f>($C126*0.21)+$C126</f>
        <v>726</v>
      </c>
      <c r="Y126" s="1112">
        <f>($C126*0.22)+$C126</f>
        <v>732</v>
      </c>
      <c r="Z126" s="1112">
        <f>($C126*0.23)+$C126</f>
        <v>738</v>
      </c>
      <c r="AA126" s="1112">
        <f>($C126*0.24)+$C126</f>
        <v>744</v>
      </c>
      <c r="AB126" s="1112">
        <f>($C126*0.25)+$C126</f>
        <v>750</v>
      </c>
      <c r="AC126" s="1112">
        <f>($C126*0.26)+$C126</f>
        <v>756</v>
      </c>
      <c r="AD126" s="1112">
        <f>($C126*0.27)+$C126</f>
        <v>762</v>
      </c>
      <c r="AE126" s="1112">
        <f>($C126*0.28)+$C126</f>
        <v>768</v>
      </c>
      <c r="AF126" s="1112">
        <f>($C126*0.29)+$C126</f>
        <v>774</v>
      </c>
      <c r="AG126" s="1112">
        <f>($C126*0.3)+$C126</f>
        <v>780</v>
      </c>
    </row>
    <row r="127" spans="1:33" ht="30">
      <c r="A127" s="4" t="s">
        <v>22018</v>
      </c>
      <c r="B127" s="4" t="s">
        <v>22010</v>
      </c>
      <c r="C127" s="5">
        <v>650</v>
      </c>
      <c r="D127" s="1112">
        <f>($C127*0.01)+$C127</f>
        <v>656.5</v>
      </c>
      <c r="E127" s="1112">
        <f>($C127*0.02)+$C127</f>
        <v>663</v>
      </c>
      <c r="F127" s="1112">
        <f>($C127*0.03)+$C127</f>
        <v>669.5</v>
      </c>
      <c r="G127" s="1112">
        <f>($C127*0.04)+$C127</f>
        <v>676</v>
      </c>
      <c r="H127" s="1112">
        <f>($C127*0.05)+$C127</f>
        <v>682.5</v>
      </c>
      <c r="I127" s="1112">
        <f>($C127*0.06)+$C127</f>
        <v>689</v>
      </c>
      <c r="J127" s="1112">
        <f>($C127*0.07)+$C127</f>
        <v>695.5</v>
      </c>
      <c r="K127" s="1112">
        <f>($C127*0.08)+$C127</f>
        <v>702</v>
      </c>
      <c r="L127" s="1112">
        <f>($C127*0.09)+$C127</f>
        <v>708.5</v>
      </c>
      <c r="M127" s="1112">
        <f>($C127*0.1)+$C127</f>
        <v>715</v>
      </c>
      <c r="N127" s="1112">
        <f>($C127*0.11)+$C127</f>
        <v>721.5</v>
      </c>
      <c r="O127" s="1112">
        <f>($C127*0.12)+$C127</f>
        <v>728</v>
      </c>
      <c r="P127" s="1112">
        <f>($C127*0.13)+$C127</f>
        <v>734.5</v>
      </c>
      <c r="Q127" s="1112">
        <f>($C127*0.14)+$C127</f>
        <v>741</v>
      </c>
      <c r="R127" s="1112">
        <f>($C127*0.15)+$C127</f>
        <v>747.5</v>
      </c>
      <c r="S127" s="1112">
        <f>($C127*0.16)+$C127</f>
        <v>754</v>
      </c>
      <c r="T127" s="1112">
        <f>($C127*0.17)+$C127</f>
        <v>760.5</v>
      </c>
      <c r="U127" s="1112">
        <f>($C127*0.18)+$C127</f>
        <v>767</v>
      </c>
      <c r="V127" s="1112">
        <f>($C127*0.19)+$C127</f>
        <v>773.5</v>
      </c>
      <c r="W127" s="1112">
        <f>($C127*0.2)+$C127</f>
        <v>780</v>
      </c>
      <c r="X127" s="1112">
        <f>($C127*0.21)+$C127</f>
        <v>786.5</v>
      </c>
      <c r="Y127" s="1112">
        <f>($C127*0.22)+$C127</f>
        <v>793</v>
      </c>
      <c r="Z127" s="1112">
        <f>($C127*0.23)+$C127</f>
        <v>799.5</v>
      </c>
      <c r="AA127" s="1112">
        <f>($C127*0.24)+$C127</f>
        <v>806</v>
      </c>
      <c r="AB127" s="1112">
        <f>($C127*0.25)+$C127</f>
        <v>812.5</v>
      </c>
      <c r="AC127" s="1112">
        <f>($C127*0.26)+$C127</f>
        <v>819</v>
      </c>
      <c r="AD127" s="1112">
        <f>($C127*0.27)+$C127</f>
        <v>825.5</v>
      </c>
      <c r="AE127" s="1112">
        <f>($C127*0.28)+$C127</f>
        <v>832</v>
      </c>
      <c r="AF127" s="1112">
        <f>($C127*0.29)+$C127</f>
        <v>838.5</v>
      </c>
      <c r="AG127" s="1112">
        <f>($C127*0.3)+$C127</f>
        <v>845</v>
      </c>
    </row>
    <row r="128" spans="1:33" ht="30">
      <c r="A128" s="4" t="s">
        <v>22019</v>
      </c>
      <c r="B128" s="4" t="s">
        <v>22011</v>
      </c>
      <c r="C128" s="5">
        <v>500</v>
      </c>
      <c r="D128" s="1112">
        <f>($C128*0.01)+$C128</f>
        <v>505</v>
      </c>
      <c r="E128" s="1112">
        <f>($C128*0.02)+$C128</f>
        <v>510</v>
      </c>
      <c r="F128" s="1112">
        <f>($C128*0.03)+$C128</f>
        <v>515</v>
      </c>
      <c r="G128" s="1112">
        <f>($C128*0.04)+$C128</f>
        <v>520</v>
      </c>
      <c r="H128" s="1112">
        <f>($C128*0.05)+$C128</f>
        <v>525</v>
      </c>
      <c r="I128" s="1112">
        <f>($C128*0.06)+$C128</f>
        <v>530</v>
      </c>
      <c r="J128" s="1112">
        <f>($C128*0.07)+$C128</f>
        <v>535</v>
      </c>
      <c r="K128" s="1112">
        <f>($C128*0.08)+$C128</f>
        <v>540</v>
      </c>
      <c r="L128" s="1112">
        <f>($C128*0.09)+$C128</f>
        <v>545</v>
      </c>
      <c r="M128" s="1112">
        <f>($C128*0.1)+$C128</f>
        <v>550</v>
      </c>
      <c r="N128" s="1112">
        <f>($C128*0.11)+$C128</f>
        <v>555</v>
      </c>
      <c r="O128" s="1112">
        <f>($C128*0.12)+$C128</f>
        <v>560</v>
      </c>
      <c r="P128" s="1112">
        <f>($C128*0.13)+$C128</f>
        <v>565</v>
      </c>
      <c r="Q128" s="1112">
        <f>($C128*0.14)+$C128</f>
        <v>570</v>
      </c>
      <c r="R128" s="1112">
        <f>($C128*0.15)+$C128</f>
        <v>575</v>
      </c>
      <c r="S128" s="1112">
        <f>($C128*0.16)+$C128</f>
        <v>580</v>
      </c>
      <c r="T128" s="1112">
        <f>($C128*0.17)+$C128</f>
        <v>585</v>
      </c>
      <c r="U128" s="1112">
        <f>($C128*0.18)+$C128</f>
        <v>590</v>
      </c>
      <c r="V128" s="1112">
        <f>($C128*0.19)+$C128</f>
        <v>595</v>
      </c>
      <c r="W128" s="1112">
        <f>($C128*0.2)+$C128</f>
        <v>600</v>
      </c>
      <c r="X128" s="1112">
        <f>($C128*0.21)+$C128</f>
        <v>605</v>
      </c>
      <c r="Y128" s="1112">
        <f>($C128*0.22)+$C128</f>
        <v>610</v>
      </c>
      <c r="Z128" s="1112">
        <f>($C128*0.23)+$C128</f>
        <v>615</v>
      </c>
      <c r="AA128" s="1112">
        <f>($C128*0.24)+$C128</f>
        <v>620</v>
      </c>
      <c r="AB128" s="1112">
        <f>($C128*0.25)+$C128</f>
        <v>625</v>
      </c>
      <c r="AC128" s="1112">
        <f>($C128*0.26)+$C128</f>
        <v>630</v>
      </c>
      <c r="AD128" s="1112">
        <f>($C128*0.27)+$C128</f>
        <v>635</v>
      </c>
      <c r="AE128" s="1112">
        <f>($C128*0.28)+$C128</f>
        <v>640</v>
      </c>
      <c r="AF128" s="1112">
        <f>($C128*0.29)+$C128</f>
        <v>645</v>
      </c>
      <c r="AG128" s="1112">
        <f>($C128*0.3)+$C128</f>
        <v>650</v>
      </c>
    </row>
    <row r="129" spans="1:33" ht="30">
      <c r="A129" s="4" t="s">
        <v>22020</v>
      </c>
      <c r="B129" s="4" t="s">
        <v>22012</v>
      </c>
      <c r="C129" s="5">
        <v>800</v>
      </c>
      <c r="D129" s="1112">
        <f>($C129*0.01)+$C129</f>
        <v>808</v>
      </c>
      <c r="E129" s="1112">
        <f>($C129*0.02)+$C129</f>
        <v>816</v>
      </c>
      <c r="F129" s="1112">
        <f>($C129*0.03)+$C129</f>
        <v>824</v>
      </c>
      <c r="G129" s="1112">
        <f>($C129*0.04)+$C129</f>
        <v>832</v>
      </c>
      <c r="H129" s="1112">
        <f>($C129*0.05)+$C129</f>
        <v>840</v>
      </c>
      <c r="I129" s="1112">
        <f>($C129*0.06)+$C129</f>
        <v>848</v>
      </c>
      <c r="J129" s="1112">
        <f>($C129*0.07)+$C129</f>
        <v>856</v>
      </c>
      <c r="K129" s="1112">
        <f>($C129*0.08)+$C129</f>
        <v>864</v>
      </c>
      <c r="L129" s="1112">
        <f>($C129*0.09)+$C129</f>
        <v>872</v>
      </c>
      <c r="M129" s="1112">
        <f>($C129*0.1)+$C129</f>
        <v>880</v>
      </c>
      <c r="N129" s="1112">
        <f>($C129*0.11)+$C129</f>
        <v>888</v>
      </c>
      <c r="O129" s="1112">
        <f>($C129*0.12)+$C129</f>
        <v>896</v>
      </c>
      <c r="P129" s="1112">
        <f>($C129*0.13)+$C129</f>
        <v>904</v>
      </c>
      <c r="Q129" s="1112">
        <f>($C129*0.14)+$C129</f>
        <v>912</v>
      </c>
      <c r="R129" s="1112">
        <f>($C129*0.15)+$C129</f>
        <v>920</v>
      </c>
      <c r="S129" s="1112">
        <f>($C129*0.16)+$C129</f>
        <v>928</v>
      </c>
      <c r="T129" s="1112">
        <f>($C129*0.17)+$C129</f>
        <v>936</v>
      </c>
      <c r="U129" s="1112">
        <f>($C129*0.18)+$C129</f>
        <v>944</v>
      </c>
      <c r="V129" s="1112">
        <f>($C129*0.19)+$C129</f>
        <v>952</v>
      </c>
      <c r="W129" s="1112">
        <f>($C129*0.2)+$C129</f>
        <v>960</v>
      </c>
      <c r="X129" s="1112">
        <f>($C129*0.21)+$C129</f>
        <v>968</v>
      </c>
      <c r="Y129" s="1112">
        <f>($C129*0.22)+$C129</f>
        <v>976</v>
      </c>
      <c r="Z129" s="1112">
        <f>($C129*0.23)+$C129</f>
        <v>984</v>
      </c>
      <c r="AA129" s="1112">
        <f>($C129*0.24)+$C129</f>
        <v>992</v>
      </c>
      <c r="AB129" s="1112">
        <f>($C129*0.25)+$C129</f>
        <v>1000</v>
      </c>
      <c r="AC129" s="1112">
        <f>($C129*0.26)+$C129</f>
        <v>1008</v>
      </c>
      <c r="AD129" s="1112">
        <f>($C129*0.27)+$C129</f>
        <v>1016</v>
      </c>
      <c r="AE129" s="1112">
        <f>($C129*0.28)+$C129</f>
        <v>1024</v>
      </c>
      <c r="AF129" s="1112">
        <f>($C129*0.29)+$C129</f>
        <v>1032</v>
      </c>
      <c r="AG129" s="1112">
        <f>($C129*0.3)+$C129</f>
        <v>1040</v>
      </c>
    </row>
    <row r="130" spans="1:33" ht="15">
      <c r="A130" s="4" t="s">
        <v>22021</v>
      </c>
      <c r="B130" s="4" t="s">
        <v>22013</v>
      </c>
      <c r="C130" s="5">
        <v>450</v>
      </c>
      <c r="D130" s="1112">
        <f>($C130*0.01)+$C130</f>
        <v>454.5</v>
      </c>
      <c r="E130" s="1112">
        <f>($C130*0.02)+$C130</f>
        <v>459</v>
      </c>
      <c r="F130" s="1112">
        <f>($C130*0.03)+$C130</f>
        <v>463.5</v>
      </c>
      <c r="G130" s="1112">
        <f>($C130*0.04)+$C130</f>
        <v>468</v>
      </c>
      <c r="H130" s="1112">
        <f>($C130*0.05)+$C130</f>
        <v>472.5</v>
      </c>
      <c r="I130" s="1112">
        <f>($C130*0.06)+$C130</f>
        <v>477</v>
      </c>
      <c r="J130" s="1112">
        <f>($C130*0.07)+$C130</f>
        <v>481.5</v>
      </c>
      <c r="K130" s="1112">
        <f>($C130*0.08)+$C130</f>
        <v>486</v>
      </c>
      <c r="L130" s="1112">
        <f>($C130*0.09)+$C130</f>
        <v>490.5</v>
      </c>
      <c r="M130" s="1112">
        <f>($C130*0.1)+$C130</f>
        <v>495</v>
      </c>
      <c r="N130" s="1112">
        <f>($C130*0.11)+$C130</f>
        <v>499.5</v>
      </c>
      <c r="O130" s="1112">
        <f>($C130*0.12)+$C130</f>
        <v>504</v>
      </c>
      <c r="P130" s="1112">
        <f>($C130*0.13)+$C130</f>
        <v>508.5</v>
      </c>
      <c r="Q130" s="1112">
        <f>($C130*0.14)+$C130</f>
        <v>513</v>
      </c>
      <c r="R130" s="1112">
        <f>($C130*0.15)+$C130</f>
        <v>517.5</v>
      </c>
      <c r="S130" s="1112">
        <f>($C130*0.16)+$C130</f>
        <v>522</v>
      </c>
      <c r="T130" s="1112">
        <f>($C130*0.17)+$C130</f>
        <v>526.5</v>
      </c>
      <c r="U130" s="1112">
        <f>($C130*0.18)+$C130</f>
        <v>531</v>
      </c>
      <c r="V130" s="1112">
        <f>($C130*0.19)+$C130</f>
        <v>535.5</v>
      </c>
      <c r="W130" s="1112">
        <f>($C130*0.2)+$C130</f>
        <v>540</v>
      </c>
      <c r="X130" s="1112">
        <f>($C130*0.21)+$C130</f>
        <v>544.5</v>
      </c>
      <c r="Y130" s="1112">
        <f>($C130*0.22)+$C130</f>
        <v>549</v>
      </c>
      <c r="Z130" s="1112">
        <f>($C130*0.23)+$C130</f>
        <v>553.5</v>
      </c>
      <c r="AA130" s="1112">
        <f>($C130*0.24)+$C130</f>
        <v>558</v>
      </c>
      <c r="AB130" s="1112">
        <f>($C130*0.25)+$C130</f>
        <v>562.5</v>
      </c>
      <c r="AC130" s="1112">
        <f>($C130*0.26)+$C130</f>
        <v>567</v>
      </c>
      <c r="AD130" s="1112">
        <f>($C130*0.27)+$C130</f>
        <v>571.5</v>
      </c>
      <c r="AE130" s="1112">
        <f>($C130*0.28)+$C130</f>
        <v>576</v>
      </c>
      <c r="AF130" s="1112">
        <f>($C130*0.29)+$C130</f>
        <v>580.5</v>
      </c>
      <c r="AG130" s="1112">
        <f>($C130*0.3)+$C130</f>
        <v>585</v>
      </c>
    </row>
    <row r="131" spans="1:33" ht="15">
      <c r="A131" s="4" t="s">
        <v>22022</v>
      </c>
      <c r="B131" s="4" t="s">
        <v>22014</v>
      </c>
      <c r="C131" s="5">
        <v>350</v>
      </c>
      <c r="D131" s="1112">
        <f>($C131*0.01)+$C131</f>
        <v>353.5</v>
      </c>
      <c r="E131" s="1112">
        <f>($C131*0.02)+$C131</f>
        <v>357</v>
      </c>
      <c r="F131" s="1112">
        <f>($C131*0.03)+$C131</f>
        <v>360.5</v>
      </c>
      <c r="G131" s="1112">
        <f>($C131*0.04)+$C131</f>
        <v>364</v>
      </c>
      <c r="H131" s="1112">
        <f>($C131*0.05)+$C131</f>
        <v>367.5</v>
      </c>
      <c r="I131" s="1112">
        <f>($C131*0.06)+$C131</f>
        <v>371</v>
      </c>
      <c r="J131" s="1112">
        <f>($C131*0.07)+$C131</f>
        <v>374.5</v>
      </c>
      <c r="K131" s="1112">
        <f>($C131*0.08)+$C131</f>
        <v>378</v>
      </c>
      <c r="L131" s="1112">
        <f>($C131*0.09)+$C131</f>
        <v>381.5</v>
      </c>
      <c r="M131" s="1112">
        <f>($C131*0.1)+$C131</f>
        <v>385</v>
      </c>
      <c r="N131" s="1112">
        <f>($C131*0.11)+$C131</f>
        <v>388.5</v>
      </c>
      <c r="O131" s="1112">
        <f>($C131*0.12)+$C131</f>
        <v>392</v>
      </c>
      <c r="P131" s="1112">
        <f>($C131*0.13)+$C131</f>
        <v>395.5</v>
      </c>
      <c r="Q131" s="1112">
        <f>($C131*0.14)+$C131</f>
        <v>399</v>
      </c>
      <c r="R131" s="1112">
        <f>($C131*0.15)+$C131</f>
        <v>402.5</v>
      </c>
      <c r="S131" s="1112">
        <f>($C131*0.16)+$C131</f>
        <v>406</v>
      </c>
      <c r="T131" s="1112">
        <f>($C131*0.17)+$C131</f>
        <v>409.5</v>
      </c>
      <c r="U131" s="1112">
        <f>($C131*0.18)+$C131</f>
        <v>413</v>
      </c>
      <c r="V131" s="1112">
        <f>($C131*0.19)+$C131</f>
        <v>416.5</v>
      </c>
      <c r="W131" s="1112">
        <f>($C131*0.2)+$C131</f>
        <v>420</v>
      </c>
      <c r="X131" s="1112">
        <f>($C131*0.21)+$C131</f>
        <v>423.5</v>
      </c>
      <c r="Y131" s="1112">
        <f>($C131*0.22)+$C131</f>
        <v>427</v>
      </c>
      <c r="Z131" s="1112">
        <f>($C131*0.23)+$C131</f>
        <v>430.5</v>
      </c>
      <c r="AA131" s="1112">
        <f>($C131*0.24)+$C131</f>
        <v>434</v>
      </c>
      <c r="AB131" s="1112">
        <f>($C131*0.25)+$C131</f>
        <v>437.5</v>
      </c>
      <c r="AC131" s="1112">
        <f>($C131*0.26)+$C131</f>
        <v>441</v>
      </c>
      <c r="AD131" s="1112">
        <f>($C131*0.27)+$C131</f>
        <v>444.5</v>
      </c>
      <c r="AE131" s="1112">
        <f>($C131*0.28)+$C131</f>
        <v>448</v>
      </c>
      <c r="AF131" s="1112">
        <f>($C131*0.29)+$C131</f>
        <v>451.5</v>
      </c>
      <c r="AG131" s="1112">
        <f>($C131*0.3)+$C131</f>
        <v>455</v>
      </c>
    </row>
    <row r="132" spans="1:33" ht="15">
      <c r="A132" s="4" t="s">
        <v>22023</v>
      </c>
      <c r="B132" s="4" t="s">
        <v>22015</v>
      </c>
      <c r="C132" s="5">
        <v>450</v>
      </c>
      <c r="D132" s="1112">
        <f>($C132*0.01)+$C132</f>
        <v>454.5</v>
      </c>
      <c r="E132" s="1112">
        <f>($C132*0.02)+$C132</f>
        <v>459</v>
      </c>
      <c r="F132" s="1112">
        <f>($C132*0.03)+$C132</f>
        <v>463.5</v>
      </c>
      <c r="G132" s="1112">
        <f>($C132*0.04)+$C132</f>
        <v>468</v>
      </c>
      <c r="H132" s="1112">
        <f>($C132*0.05)+$C132</f>
        <v>472.5</v>
      </c>
      <c r="I132" s="1112">
        <f>($C132*0.06)+$C132</f>
        <v>477</v>
      </c>
      <c r="J132" s="1112">
        <f>($C132*0.07)+$C132</f>
        <v>481.5</v>
      </c>
      <c r="K132" s="1112">
        <f>($C132*0.08)+$C132</f>
        <v>486</v>
      </c>
      <c r="L132" s="1112">
        <f>($C132*0.09)+$C132</f>
        <v>490.5</v>
      </c>
      <c r="M132" s="1112">
        <f>($C132*0.1)+$C132</f>
        <v>495</v>
      </c>
      <c r="N132" s="1112">
        <f>($C132*0.11)+$C132</f>
        <v>499.5</v>
      </c>
      <c r="O132" s="1112">
        <f>($C132*0.12)+$C132</f>
        <v>504</v>
      </c>
      <c r="P132" s="1112">
        <f>($C132*0.13)+$C132</f>
        <v>508.5</v>
      </c>
      <c r="Q132" s="1112">
        <f>($C132*0.14)+$C132</f>
        <v>513</v>
      </c>
      <c r="R132" s="1112">
        <f>($C132*0.15)+$C132</f>
        <v>517.5</v>
      </c>
      <c r="S132" s="1112">
        <f>($C132*0.16)+$C132</f>
        <v>522</v>
      </c>
      <c r="T132" s="1112">
        <f>($C132*0.17)+$C132</f>
        <v>526.5</v>
      </c>
      <c r="U132" s="1112">
        <f>($C132*0.18)+$C132</f>
        <v>531</v>
      </c>
      <c r="V132" s="1112">
        <f>($C132*0.19)+$C132</f>
        <v>535.5</v>
      </c>
      <c r="W132" s="1112">
        <f>($C132*0.2)+$C132</f>
        <v>540</v>
      </c>
      <c r="X132" s="1112">
        <f>($C132*0.21)+$C132</f>
        <v>544.5</v>
      </c>
      <c r="Y132" s="1112">
        <f>($C132*0.22)+$C132</f>
        <v>549</v>
      </c>
      <c r="Z132" s="1112">
        <f>($C132*0.23)+$C132</f>
        <v>553.5</v>
      </c>
      <c r="AA132" s="1112">
        <f>($C132*0.24)+$C132</f>
        <v>558</v>
      </c>
      <c r="AB132" s="1112">
        <f>($C132*0.25)+$C132</f>
        <v>562.5</v>
      </c>
      <c r="AC132" s="1112">
        <f>($C132*0.26)+$C132</f>
        <v>567</v>
      </c>
      <c r="AD132" s="1112">
        <f>($C132*0.27)+$C132</f>
        <v>571.5</v>
      </c>
      <c r="AE132" s="1112">
        <f>($C132*0.28)+$C132</f>
        <v>576</v>
      </c>
      <c r="AF132" s="1112">
        <f>($C132*0.29)+$C132</f>
        <v>580.5</v>
      </c>
      <c r="AG132" s="1112">
        <f>($C132*0.3)+$C132</f>
        <v>585</v>
      </c>
    </row>
    <row r="133" spans="1:33" ht="15">
      <c r="A133" s="4"/>
      <c r="B133" s="4"/>
      <c r="C133" s="5"/>
      <c r="D133" s="1112"/>
      <c r="E133" s="1112"/>
      <c r="F133" s="1112"/>
      <c r="G133" s="1112"/>
      <c r="H133" s="1112"/>
      <c r="I133" s="1112"/>
      <c r="J133" s="1112"/>
      <c r="K133" s="1112"/>
      <c r="L133" s="1112"/>
      <c r="M133" s="1112"/>
      <c r="N133" s="1112"/>
      <c r="O133" s="1112"/>
      <c r="P133" s="1112"/>
      <c r="Q133" s="1112"/>
      <c r="R133" s="1112"/>
      <c r="S133" s="1112"/>
      <c r="T133" s="1112"/>
      <c r="U133" s="1112"/>
      <c r="V133" s="1112"/>
      <c r="W133" s="1112"/>
      <c r="X133" s="1112"/>
      <c r="Y133" s="1112"/>
      <c r="Z133" s="1112"/>
      <c r="AA133" s="1112"/>
      <c r="AB133" s="1112"/>
      <c r="AC133" s="1112"/>
      <c r="AD133" s="1112"/>
      <c r="AE133" s="1112"/>
      <c r="AF133" s="1112"/>
      <c r="AG133" s="1112"/>
    </row>
    <row r="134" spans="1:33" ht="20">
      <c r="A134" s="13"/>
      <c r="B134" s="11" t="s">
        <v>37716</v>
      </c>
      <c r="C134" s="14"/>
      <c r="D134" s="1112"/>
      <c r="E134" s="1112"/>
      <c r="F134" s="1112"/>
      <c r="G134" s="1112"/>
      <c r="H134" s="1112"/>
      <c r="I134" s="1112"/>
      <c r="J134" s="1112"/>
      <c r="K134" s="1112"/>
      <c r="L134" s="1112"/>
      <c r="M134" s="1112"/>
      <c r="N134" s="1112"/>
      <c r="O134" s="1112"/>
      <c r="P134" s="1112"/>
      <c r="Q134" s="1112"/>
      <c r="R134" s="1112"/>
      <c r="S134" s="1112"/>
      <c r="T134" s="1112"/>
      <c r="U134" s="1112"/>
      <c r="V134" s="1112"/>
      <c r="W134" s="1112"/>
      <c r="X134" s="1112"/>
      <c r="Y134" s="1112"/>
      <c r="Z134" s="1112"/>
      <c r="AA134" s="1112"/>
      <c r="AB134" s="1112"/>
      <c r="AC134" s="1112"/>
      <c r="AD134" s="1112"/>
      <c r="AE134" s="1112"/>
      <c r="AF134" s="1112"/>
      <c r="AG134" s="1112"/>
    </row>
    <row r="135" spans="1:33" ht="45">
      <c r="A135" s="4" t="s">
        <v>87</v>
      </c>
      <c r="B135" s="4" t="s">
        <v>88</v>
      </c>
      <c r="C135" s="5">
        <v>350</v>
      </c>
      <c r="D135" s="1112">
        <f>($C135*0.01)+$C135</f>
        <v>353.5</v>
      </c>
      <c r="E135" s="1112">
        <f>($C135*0.02)+$C135</f>
        <v>357</v>
      </c>
      <c r="F135" s="1112">
        <f>($C135*0.03)+$C135</f>
        <v>360.5</v>
      </c>
      <c r="G135" s="1112">
        <f>($C135*0.04)+$C135</f>
        <v>364</v>
      </c>
      <c r="H135" s="1112">
        <f>($C135*0.05)+$C135</f>
        <v>367.5</v>
      </c>
      <c r="I135" s="1112">
        <f>($C135*0.06)+$C135</f>
        <v>371</v>
      </c>
      <c r="J135" s="1112">
        <f>($C135*0.07)+$C135</f>
        <v>374.5</v>
      </c>
      <c r="K135" s="1112">
        <f>($C135*0.08)+$C135</f>
        <v>378</v>
      </c>
      <c r="L135" s="1112">
        <f>($C135*0.09)+$C135</f>
        <v>381.5</v>
      </c>
      <c r="M135" s="1112">
        <f>($C135*0.1)+$C135</f>
        <v>385</v>
      </c>
      <c r="N135" s="1112">
        <f>($C135*0.11)+$C135</f>
        <v>388.5</v>
      </c>
      <c r="O135" s="1112">
        <f>($C135*0.12)+$C135</f>
        <v>392</v>
      </c>
      <c r="P135" s="1112">
        <f>($C135*0.13)+$C135</f>
        <v>395.5</v>
      </c>
      <c r="Q135" s="1112">
        <f>($C135*0.14)+$C135</f>
        <v>399</v>
      </c>
      <c r="R135" s="1112">
        <f>($C135*0.15)+$C135</f>
        <v>402.5</v>
      </c>
      <c r="S135" s="1112">
        <f>($C135*0.16)+$C135</f>
        <v>406</v>
      </c>
      <c r="T135" s="1112">
        <f>($C135*0.17)+$C135</f>
        <v>409.5</v>
      </c>
      <c r="U135" s="1112">
        <f>($C135*0.18)+$C135</f>
        <v>413</v>
      </c>
      <c r="V135" s="1112">
        <f>($C135*0.19)+$C135</f>
        <v>416.5</v>
      </c>
      <c r="W135" s="1112">
        <f>($C135*0.2)+$C135</f>
        <v>420</v>
      </c>
      <c r="X135" s="1112">
        <f>($C135*0.21)+$C135</f>
        <v>423.5</v>
      </c>
      <c r="Y135" s="1112">
        <f>($C135*0.22)+$C135</f>
        <v>427</v>
      </c>
      <c r="Z135" s="1112">
        <f>($C135*0.23)+$C135</f>
        <v>430.5</v>
      </c>
      <c r="AA135" s="1112">
        <f>($C135*0.24)+$C135</f>
        <v>434</v>
      </c>
      <c r="AB135" s="1112">
        <f>($C135*0.25)+$C135</f>
        <v>437.5</v>
      </c>
      <c r="AC135" s="1112">
        <f>($C135*0.26)+$C135</f>
        <v>441</v>
      </c>
      <c r="AD135" s="1112">
        <f>($C135*0.27)+$C135</f>
        <v>444.5</v>
      </c>
      <c r="AE135" s="1112">
        <f>($C135*0.28)+$C135</f>
        <v>448</v>
      </c>
      <c r="AF135" s="1112">
        <f>($C135*0.29)+$C135</f>
        <v>451.5</v>
      </c>
      <c r="AG135" s="1112">
        <f>($C135*0.3)+$C135</f>
        <v>455</v>
      </c>
    </row>
    <row r="136" spans="1:33" ht="45">
      <c r="A136" s="4" t="s">
        <v>89</v>
      </c>
      <c r="B136" s="4" t="s">
        <v>90</v>
      </c>
      <c r="C136" s="5">
        <v>355</v>
      </c>
      <c r="D136" s="1112">
        <f>($C136*0.01)+$C136</f>
        <v>358.55</v>
      </c>
      <c r="E136" s="1112">
        <f>($C136*0.02)+$C136</f>
        <v>362.1</v>
      </c>
      <c r="F136" s="1112">
        <f>($C136*0.03)+$C136</f>
        <v>365.65</v>
      </c>
      <c r="G136" s="1112">
        <f>($C136*0.04)+$C136</f>
        <v>369.2</v>
      </c>
      <c r="H136" s="1112">
        <f>($C136*0.05)+$C136</f>
        <v>372.75</v>
      </c>
      <c r="I136" s="1112">
        <f>($C136*0.06)+$C136</f>
        <v>376.3</v>
      </c>
      <c r="J136" s="1112">
        <f>($C136*0.07)+$C136</f>
        <v>379.85</v>
      </c>
      <c r="K136" s="1112">
        <f>($C136*0.08)+$C136</f>
        <v>383.4</v>
      </c>
      <c r="L136" s="1112">
        <f>($C136*0.09)+$C136</f>
        <v>386.95</v>
      </c>
      <c r="M136" s="1112">
        <f>($C136*0.1)+$C136</f>
        <v>390.5</v>
      </c>
      <c r="N136" s="1112">
        <f>($C136*0.11)+$C136</f>
        <v>394.05</v>
      </c>
      <c r="O136" s="1112">
        <f>($C136*0.12)+$C136</f>
        <v>397.6</v>
      </c>
      <c r="P136" s="1112">
        <f>($C136*0.13)+$C136</f>
        <v>401.15</v>
      </c>
      <c r="Q136" s="1112">
        <f>($C136*0.14)+$C136</f>
        <v>404.7</v>
      </c>
      <c r="R136" s="1112">
        <f>($C136*0.15)+$C136</f>
        <v>408.25</v>
      </c>
      <c r="S136" s="1112">
        <f>($C136*0.16)+$C136</f>
        <v>411.8</v>
      </c>
      <c r="T136" s="1112">
        <f>($C136*0.17)+$C136</f>
        <v>415.35</v>
      </c>
      <c r="U136" s="1112">
        <f>($C136*0.18)+$C136</f>
        <v>418.9</v>
      </c>
      <c r="V136" s="1112">
        <f>($C136*0.19)+$C136</f>
        <v>422.45</v>
      </c>
      <c r="W136" s="1112">
        <f>($C136*0.2)+$C136</f>
        <v>426</v>
      </c>
      <c r="X136" s="1112">
        <f>($C136*0.21)+$C136</f>
        <v>429.55</v>
      </c>
      <c r="Y136" s="1112">
        <f>($C136*0.22)+$C136</f>
        <v>433.1</v>
      </c>
      <c r="Z136" s="1112">
        <f>($C136*0.23)+$C136</f>
        <v>436.65</v>
      </c>
      <c r="AA136" s="1112">
        <f>($C136*0.24)+$C136</f>
        <v>440.2</v>
      </c>
      <c r="AB136" s="1112">
        <f>($C136*0.25)+$C136</f>
        <v>443.75</v>
      </c>
      <c r="AC136" s="1112">
        <f>($C136*0.26)+$C136</f>
        <v>447.3</v>
      </c>
      <c r="AD136" s="1112">
        <f>($C136*0.27)+$C136</f>
        <v>450.85</v>
      </c>
      <c r="AE136" s="1112">
        <f>($C136*0.28)+$C136</f>
        <v>454.4</v>
      </c>
      <c r="AF136" s="1112">
        <f>($C136*0.29)+$C136</f>
        <v>457.95</v>
      </c>
      <c r="AG136" s="1112">
        <f>($C136*0.3)+$C136</f>
        <v>461.5</v>
      </c>
    </row>
    <row r="137" spans="1:33" ht="45">
      <c r="A137" s="4" t="s">
        <v>91</v>
      </c>
      <c r="B137" s="4" t="s">
        <v>92</v>
      </c>
      <c r="C137" s="5">
        <v>440</v>
      </c>
      <c r="D137" s="1112">
        <f>($C137*0.01)+$C137</f>
        <v>444.4</v>
      </c>
      <c r="E137" s="1112">
        <f>($C137*0.02)+$C137</f>
        <v>448.8</v>
      </c>
      <c r="F137" s="1112">
        <f>($C137*0.03)+$C137</f>
        <v>453.2</v>
      </c>
      <c r="G137" s="1112">
        <f>($C137*0.04)+$C137</f>
        <v>457.6</v>
      </c>
      <c r="H137" s="1112">
        <f>($C137*0.05)+$C137</f>
        <v>462</v>
      </c>
      <c r="I137" s="1112">
        <f>($C137*0.06)+$C137</f>
        <v>466.4</v>
      </c>
      <c r="J137" s="1112">
        <f>($C137*0.07)+$C137</f>
        <v>470.8</v>
      </c>
      <c r="K137" s="1112">
        <f>($C137*0.08)+$C137</f>
        <v>475.2</v>
      </c>
      <c r="L137" s="1112">
        <f>($C137*0.09)+$C137</f>
        <v>479.6</v>
      </c>
      <c r="M137" s="1112">
        <f>($C137*0.1)+$C137</f>
        <v>484</v>
      </c>
      <c r="N137" s="1112">
        <f>($C137*0.11)+$C137</f>
        <v>488.4</v>
      </c>
      <c r="O137" s="1112">
        <f>($C137*0.12)+$C137</f>
        <v>492.8</v>
      </c>
      <c r="P137" s="1112">
        <f>($C137*0.13)+$C137</f>
        <v>497.2</v>
      </c>
      <c r="Q137" s="1112">
        <f>($C137*0.14)+$C137</f>
        <v>501.6</v>
      </c>
      <c r="R137" s="1112">
        <f>($C137*0.15)+$C137</f>
        <v>506</v>
      </c>
      <c r="S137" s="1112">
        <f>($C137*0.16)+$C137</f>
        <v>510.4</v>
      </c>
      <c r="T137" s="1112">
        <f>($C137*0.17)+$C137</f>
        <v>514.79999999999995</v>
      </c>
      <c r="U137" s="1112">
        <f>($C137*0.18)+$C137</f>
        <v>519.20000000000005</v>
      </c>
      <c r="V137" s="1112">
        <f>($C137*0.19)+$C137</f>
        <v>523.6</v>
      </c>
      <c r="W137" s="1112">
        <f>($C137*0.2)+$C137</f>
        <v>528</v>
      </c>
      <c r="X137" s="1112">
        <f>($C137*0.21)+$C137</f>
        <v>532.4</v>
      </c>
      <c r="Y137" s="1112">
        <f>($C137*0.22)+$C137</f>
        <v>536.79999999999995</v>
      </c>
      <c r="Z137" s="1112">
        <f>($C137*0.23)+$C137</f>
        <v>541.20000000000005</v>
      </c>
      <c r="AA137" s="1112">
        <f>($C137*0.24)+$C137</f>
        <v>545.6</v>
      </c>
      <c r="AB137" s="1112">
        <f>($C137*0.25)+$C137</f>
        <v>550</v>
      </c>
      <c r="AC137" s="1112">
        <f>($C137*0.26)+$C137</f>
        <v>554.4</v>
      </c>
      <c r="AD137" s="1112">
        <f>($C137*0.27)+$C137</f>
        <v>558.79999999999995</v>
      </c>
      <c r="AE137" s="1112">
        <f>($C137*0.28)+$C137</f>
        <v>563.20000000000005</v>
      </c>
      <c r="AF137" s="1112">
        <f>($C137*0.29)+$C137</f>
        <v>567.6</v>
      </c>
      <c r="AG137" s="1112">
        <f>($C137*0.3)+$C137</f>
        <v>572</v>
      </c>
    </row>
    <row r="138" spans="1:33" ht="45">
      <c r="A138" s="4" t="s">
        <v>93</v>
      </c>
      <c r="B138" s="4" t="s">
        <v>94</v>
      </c>
      <c r="C138" s="5">
        <v>450</v>
      </c>
      <c r="D138" s="1112">
        <f>($C138*0.01)+$C138</f>
        <v>454.5</v>
      </c>
      <c r="E138" s="1112">
        <f>($C138*0.02)+$C138</f>
        <v>459</v>
      </c>
      <c r="F138" s="1112">
        <f>($C138*0.03)+$C138</f>
        <v>463.5</v>
      </c>
      <c r="G138" s="1112">
        <f>($C138*0.04)+$C138</f>
        <v>468</v>
      </c>
      <c r="H138" s="1112">
        <f>($C138*0.05)+$C138</f>
        <v>472.5</v>
      </c>
      <c r="I138" s="1112">
        <f>($C138*0.06)+$C138</f>
        <v>477</v>
      </c>
      <c r="J138" s="1112">
        <f>($C138*0.07)+$C138</f>
        <v>481.5</v>
      </c>
      <c r="K138" s="1112">
        <f>($C138*0.08)+$C138</f>
        <v>486</v>
      </c>
      <c r="L138" s="1112">
        <f>($C138*0.09)+$C138</f>
        <v>490.5</v>
      </c>
      <c r="M138" s="1112">
        <f>($C138*0.1)+$C138</f>
        <v>495</v>
      </c>
      <c r="N138" s="1112">
        <f>($C138*0.11)+$C138</f>
        <v>499.5</v>
      </c>
      <c r="O138" s="1112">
        <f>($C138*0.12)+$C138</f>
        <v>504</v>
      </c>
      <c r="P138" s="1112">
        <f>($C138*0.13)+$C138</f>
        <v>508.5</v>
      </c>
      <c r="Q138" s="1112">
        <f>($C138*0.14)+$C138</f>
        <v>513</v>
      </c>
      <c r="R138" s="1112">
        <f>($C138*0.15)+$C138</f>
        <v>517.5</v>
      </c>
      <c r="S138" s="1112">
        <f>($C138*0.16)+$C138</f>
        <v>522</v>
      </c>
      <c r="T138" s="1112">
        <f>($C138*0.17)+$C138</f>
        <v>526.5</v>
      </c>
      <c r="U138" s="1112">
        <f>($C138*0.18)+$C138</f>
        <v>531</v>
      </c>
      <c r="V138" s="1112">
        <f>($C138*0.19)+$C138</f>
        <v>535.5</v>
      </c>
      <c r="W138" s="1112">
        <f>($C138*0.2)+$C138</f>
        <v>540</v>
      </c>
      <c r="X138" s="1112">
        <f>($C138*0.21)+$C138</f>
        <v>544.5</v>
      </c>
      <c r="Y138" s="1112">
        <f>($C138*0.22)+$C138</f>
        <v>549</v>
      </c>
      <c r="Z138" s="1112">
        <f>($C138*0.23)+$C138</f>
        <v>553.5</v>
      </c>
      <c r="AA138" s="1112">
        <f>($C138*0.24)+$C138</f>
        <v>558</v>
      </c>
      <c r="AB138" s="1112">
        <f>($C138*0.25)+$C138</f>
        <v>562.5</v>
      </c>
      <c r="AC138" s="1112">
        <f>($C138*0.26)+$C138</f>
        <v>567</v>
      </c>
      <c r="AD138" s="1112">
        <f>($C138*0.27)+$C138</f>
        <v>571.5</v>
      </c>
      <c r="AE138" s="1112">
        <f>($C138*0.28)+$C138</f>
        <v>576</v>
      </c>
      <c r="AF138" s="1112">
        <f>($C138*0.29)+$C138</f>
        <v>580.5</v>
      </c>
      <c r="AG138" s="1112">
        <f>($C138*0.3)+$C138</f>
        <v>585</v>
      </c>
    </row>
    <row r="139" spans="1:33" ht="45">
      <c r="A139" s="4" t="s">
        <v>95</v>
      </c>
      <c r="B139" s="4" t="s">
        <v>55214</v>
      </c>
      <c r="C139" s="5">
        <v>450</v>
      </c>
      <c r="D139" s="1112">
        <f>($C139*0.01)+$C139</f>
        <v>454.5</v>
      </c>
      <c r="E139" s="1112">
        <f>($C139*0.02)+$C139</f>
        <v>459</v>
      </c>
      <c r="F139" s="1112">
        <f>($C139*0.03)+$C139</f>
        <v>463.5</v>
      </c>
      <c r="G139" s="1112">
        <f>($C139*0.04)+$C139</f>
        <v>468</v>
      </c>
      <c r="H139" s="1112">
        <f>($C139*0.05)+$C139</f>
        <v>472.5</v>
      </c>
      <c r="I139" s="1112">
        <f>($C139*0.06)+$C139</f>
        <v>477</v>
      </c>
      <c r="J139" s="1112">
        <f>($C139*0.07)+$C139</f>
        <v>481.5</v>
      </c>
      <c r="K139" s="1112">
        <f>($C139*0.08)+$C139</f>
        <v>486</v>
      </c>
      <c r="L139" s="1112">
        <f>($C139*0.09)+$C139</f>
        <v>490.5</v>
      </c>
      <c r="M139" s="1112">
        <f>($C139*0.1)+$C139</f>
        <v>495</v>
      </c>
      <c r="N139" s="1112">
        <f>($C139*0.11)+$C139</f>
        <v>499.5</v>
      </c>
      <c r="O139" s="1112">
        <f>($C139*0.12)+$C139</f>
        <v>504</v>
      </c>
      <c r="P139" s="1112">
        <f>($C139*0.13)+$C139</f>
        <v>508.5</v>
      </c>
      <c r="Q139" s="1112">
        <f>($C139*0.14)+$C139</f>
        <v>513</v>
      </c>
      <c r="R139" s="1112">
        <f>($C139*0.15)+$C139</f>
        <v>517.5</v>
      </c>
      <c r="S139" s="1112">
        <f>($C139*0.16)+$C139</f>
        <v>522</v>
      </c>
      <c r="T139" s="1112">
        <f>($C139*0.17)+$C139</f>
        <v>526.5</v>
      </c>
      <c r="U139" s="1112">
        <f>($C139*0.18)+$C139</f>
        <v>531</v>
      </c>
      <c r="V139" s="1112">
        <f>($C139*0.19)+$C139</f>
        <v>535.5</v>
      </c>
      <c r="W139" s="1112">
        <f>($C139*0.2)+$C139</f>
        <v>540</v>
      </c>
      <c r="X139" s="1112">
        <f>($C139*0.21)+$C139</f>
        <v>544.5</v>
      </c>
      <c r="Y139" s="1112">
        <f>($C139*0.22)+$C139</f>
        <v>549</v>
      </c>
      <c r="Z139" s="1112">
        <f>($C139*0.23)+$C139</f>
        <v>553.5</v>
      </c>
      <c r="AA139" s="1112">
        <f>($C139*0.24)+$C139</f>
        <v>558</v>
      </c>
      <c r="AB139" s="1112">
        <f>($C139*0.25)+$C139</f>
        <v>562.5</v>
      </c>
      <c r="AC139" s="1112">
        <f>($C139*0.26)+$C139</f>
        <v>567</v>
      </c>
      <c r="AD139" s="1112">
        <f>($C139*0.27)+$C139</f>
        <v>571.5</v>
      </c>
      <c r="AE139" s="1112">
        <f>($C139*0.28)+$C139</f>
        <v>576</v>
      </c>
      <c r="AF139" s="1112">
        <f>($C139*0.29)+$C139</f>
        <v>580.5</v>
      </c>
      <c r="AG139" s="1112">
        <f>($C139*0.3)+$C139</f>
        <v>585</v>
      </c>
    </row>
    <row r="140" spans="1:33" ht="60">
      <c r="A140" s="4" t="s">
        <v>96</v>
      </c>
      <c r="B140" s="4" t="s">
        <v>97</v>
      </c>
      <c r="C140" s="5">
        <v>450</v>
      </c>
      <c r="D140" s="1112">
        <f>($C140*0.01)+$C140</f>
        <v>454.5</v>
      </c>
      <c r="E140" s="1112">
        <f>($C140*0.02)+$C140</f>
        <v>459</v>
      </c>
      <c r="F140" s="1112">
        <f>($C140*0.03)+$C140</f>
        <v>463.5</v>
      </c>
      <c r="G140" s="1112">
        <f>($C140*0.04)+$C140</f>
        <v>468</v>
      </c>
      <c r="H140" s="1112">
        <f>($C140*0.05)+$C140</f>
        <v>472.5</v>
      </c>
      <c r="I140" s="1112">
        <f>($C140*0.06)+$C140</f>
        <v>477</v>
      </c>
      <c r="J140" s="1112">
        <f>($C140*0.07)+$C140</f>
        <v>481.5</v>
      </c>
      <c r="K140" s="1112">
        <f>($C140*0.08)+$C140</f>
        <v>486</v>
      </c>
      <c r="L140" s="1112">
        <f>($C140*0.09)+$C140</f>
        <v>490.5</v>
      </c>
      <c r="M140" s="1112">
        <f>($C140*0.1)+$C140</f>
        <v>495</v>
      </c>
      <c r="N140" s="1112">
        <f>($C140*0.11)+$C140</f>
        <v>499.5</v>
      </c>
      <c r="O140" s="1112">
        <f>($C140*0.12)+$C140</f>
        <v>504</v>
      </c>
      <c r="P140" s="1112">
        <f>($C140*0.13)+$C140</f>
        <v>508.5</v>
      </c>
      <c r="Q140" s="1112">
        <f>($C140*0.14)+$C140</f>
        <v>513</v>
      </c>
      <c r="R140" s="1112">
        <f>($C140*0.15)+$C140</f>
        <v>517.5</v>
      </c>
      <c r="S140" s="1112">
        <f>($C140*0.16)+$C140</f>
        <v>522</v>
      </c>
      <c r="T140" s="1112">
        <f>($C140*0.17)+$C140</f>
        <v>526.5</v>
      </c>
      <c r="U140" s="1112">
        <f>($C140*0.18)+$C140</f>
        <v>531</v>
      </c>
      <c r="V140" s="1112">
        <f>($C140*0.19)+$C140</f>
        <v>535.5</v>
      </c>
      <c r="W140" s="1112">
        <f>($C140*0.2)+$C140</f>
        <v>540</v>
      </c>
      <c r="X140" s="1112">
        <f>($C140*0.21)+$C140</f>
        <v>544.5</v>
      </c>
      <c r="Y140" s="1112">
        <f>($C140*0.22)+$C140</f>
        <v>549</v>
      </c>
      <c r="Z140" s="1112">
        <f>($C140*0.23)+$C140</f>
        <v>553.5</v>
      </c>
      <c r="AA140" s="1112">
        <f>($C140*0.24)+$C140</f>
        <v>558</v>
      </c>
      <c r="AB140" s="1112">
        <f>($C140*0.25)+$C140</f>
        <v>562.5</v>
      </c>
      <c r="AC140" s="1112">
        <f>($C140*0.26)+$C140</f>
        <v>567</v>
      </c>
      <c r="AD140" s="1112">
        <f>($C140*0.27)+$C140</f>
        <v>571.5</v>
      </c>
      <c r="AE140" s="1112">
        <f>($C140*0.28)+$C140</f>
        <v>576</v>
      </c>
      <c r="AF140" s="1112">
        <f>($C140*0.29)+$C140</f>
        <v>580.5</v>
      </c>
      <c r="AG140" s="1112">
        <f>($C140*0.3)+$C140</f>
        <v>585</v>
      </c>
    </row>
    <row r="141" spans="1:33" ht="60">
      <c r="A141" s="4" t="s">
        <v>98</v>
      </c>
      <c r="B141" s="4" t="s">
        <v>99</v>
      </c>
      <c r="C141" s="5">
        <v>500</v>
      </c>
      <c r="D141" s="1112">
        <f>($C141*0.01)+$C141</f>
        <v>505</v>
      </c>
      <c r="E141" s="1112">
        <f>($C141*0.02)+$C141</f>
        <v>510</v>
      </c>
      <c r="F141" s="1112">
        <f>($C141*0.03)+$C141</f>
        <v>515</v>
      </c>
      <c r="G141" s="1112">
        <f>($C141*0.04)+$C141</f>
        <v>520</v>
      </c>
      <c r="H141" s="1112">
        <f>($C141*0.05)+$C141</f>
        <v>525</v>
      </c>
      <c r="I141" s="1112">
        <f>($C141*0.06)+$C141</f>
        <v>530</v>
      </c>
      <c r="J141" s="1112">
        <f>($C141*0.07)+$C141</f>
        <v>535</v>
      </c>
      <c r="K141" s="1112">
        <f>($C141*0.08)+$C141</f>
        <v>540</v>
      </c>
      <c r="L141" s="1112">
        <f>($C141*0.09)+$C141</f>
        <v>545</v>
      </c>
      <c r="M141" s="1112">
        <f>($C141*0.1)+$C141</f>
        <v>550</v>
      </c>
      <c r="N141" s="1112">
        <f>($C141*0.11)+$C141</f>
        <v>555</v>
      </c>
      <c r="O141" s="1112">
        <f>($C141*0.12)+$C141</f>
        <v>560</v>
      </c>
      <c r="P141" s="1112">
        <f>($C141*0.13)+$C141</f>
        <v>565</v>
      </c>
      <c r="Q141" s="1112">
        <f>($C141*0.14)+$C141</f>
        <v>570</v>
      </c>
      <c r="R141" s="1112">
        <f>($C141*0.15)+$C141</f>
        <v>575</v>
      </c>
      <c r="S141" s="1112">
        <f>($C141*0.16)+$C141</f>
        <v>580</v>
      </c>
      <c r="T141" s="1112">
        <f>($C141*0.17)+$C141</f>
        <v>585</v>
      </c>
      <c r="U141" s="1112">
        <f>($C141*0.18)+$C141</f>
        <v>590</v>
      </c>
      <c r="V141" s="1112">
        <f>($C141*0.19)+$C141</f>
        <v>595</v>
      </c>
      <c r="W141" s="1112">
        <f>($C141*0.2)+$C141</f>
        <v>600</v>
      </c>
      <c r="X141" s="1112">
        <f>($C141*0.21)+$C141</f>
        <v>605</v>
      </c>
      <c r="Y141" s="1112">
        <f>($C141*0.22)+$C141</f>
        <v>610</v>
      </c>
      <c r="Z141" s="1112">
        <f>($C141*0.23)+$C141</f>
        <v>615</v>
      </c>
      <c r="AA141" s="1112">
        <f>($C141*0.24)+$C141</f>
        <v>620</v>
      </c>
      <c r="AB141" s="1112">
        <f>($C141*0.25)+$C141</f>
        <v>625</v>
      </c>
      <c r="AC141" s="1112">
        <f>($C141*0.26)+$C141</f>
        <v>630</v>
      </c>
      <c r="AD141" s="1112">
        <f>($C141*0.27)+$C141</f>
        <v>635</v>
      </c>
      <c r="AE141" s="1112">
        <f>($C141*0.28)+$C141</f>
        <v>640</v>
      </c>
      <c r="AF141" s="1112">
        <f>($C141*0.29)+$C141</f>
        <v>645</v>
      </c>
      <c r="AG141" s="1112">
        <f>($C141*0.3)+$C141</f>
        <v>650</v>
      </c>
    </row>
    <row r="142" spans="1:33" ht="45">
      <c r="A142" s="4" t="s">
        <v>100</v>
      </c>
      <c r="B142" s="4" t="s">
        <v>101</v>
      </c>
      <c r="C142" s="5">
        <v>450</v>
      </c>
      <c r="D142" s="1112">
        <f>($C142*0.01)+$C142</f>
        <v>454.5</v>
      </c>
      <c r="E142" s="1112">
        <f>($C142*0.02)+$C142</f>
        <v>459</v>
      </c>
      <c r="F142" s="1112">
        <f>($C142*0.03)+$C142</f>
        <v>463.5</v>
      </c>
      <c r="G142" s="1112">
        <f>($C142*0.04)+$C142</f>
        <v>468</v>
      </c>
      <c r="H142" s="1112">
        <f>($C142*0.05)+$C142</f>
        <v>472.5</v>
      </c>
      <c r="I142" s="1112">
        <f>($C142*0.06)+$C142</f>
        <v>477</v>
      </c>
      <c r="J142" s="1112">
        <f>($C142*0.07)+$C142</f>
        <v>481.5</v>
      </c>
      <c r="K142" s="1112">
        <f>($C142*0.08)+$C142</f>
        <v>486</v>
      </c>
      <c r="L142" s="1112">
        <f>($C142*0.09)+$C142</f>
        <v>490.5</v>
      </c>
      <c r="M142" s="1112">
        <f>($C142*0.1)+$C142</f>
        <v>495</v>
      </c>
      <c r="N142" s="1112">
        <f>($C142*0.11)+$C142</f>
        <v>499.5</v>
      </c>
      <c r="O142" s="1112">
        <f>($C142*0.12)+$C142</f>
        <v>504</v>
      </c>
      <c r="P142" s="1112">
        <f>($C142*0.13)+$C142</f>
        <v>508.5</v>
      </c>
      <c r="Q142" s="1112">
        <f>($C142*0.14)+$C142</f>
        <v>513</v>
      </c>
      <c r="R142" s="1112">
        <f>($C142*0.15)+$C142</f>
        <v>517.5</v>
      </c>
      <c r="S142" s="1112">
        <f>($C142*0.16)+$C142</f>
        <v>522</v>
      </c>
      <c r="T142" s="1112">
        <f>($C142*0.17)+$C142</f>
        <v>526.5</v>
      </c>
      <c r="U142" s="1112">
        <f>($C142*0.18)+$C142</f>
        <v>531</v>
      </c>
      <c r="V142" s="1112">
        <f>($C142*0.19)+$C142</f>
        <v>535.5</v>
      </c>
      <c r="W142" s="1112">
        <f>($C142*0.2)+$C142</f>
        <v>540</v>
      </c>
      <c r="X142" s="1112">
        <f>($C142*0.21)+$C142</f>
        <v>544.5</v>
      </c>
      <c r="Y142" s="1112">
        <f>($C142*0.22)+$C142</f>
        <v>549</v>
      </c>
      <c r="Z142" s="1112">
        <f>($C142*0.23)+$C142</f>
        <v>553.5</v>
      </c>
      <c r="AA142" s="1112">
        <f>($C142*0.24)+$C142</f>
        <v>558</v>
      </c>
      <c r="AB142" s="1112">
        <f>($C142*0.25)+$C142</f>
        <v>562.5</v>
      </c>
      <c r="AC142" s="1112">
        <f>($C142*0.26)+$C142</f>
        <v>567</v>
      </c>
      <c r="AD142" s="1112">
        <f>($C142*0.27)+$C142</f>
        <v>571.5</v>
      </c>
      <c r="AE142" s="1112">
        <f>($C142*0.28)+$C142</f>
        <v>576</v>
      </c>
      <c r="AF142" s="1112">
        <f>($C142*0.29)+$C142</f>
        <v>580.5</v>
      </c>
      <c r="AG142" s="1112">
        <f>($C142*0.3)+$C142</f>
        <v>585</v>
      </c>
    </row>
    <row r="143" spans="1:33" ht="30">
      <c r="A143" s="4" t="s">
        <v>102</v>
      </c>
      <c r="B143" s="4" t="s">
        <v>103</v>
      </c>
      <c r="C143" s="5">
        <v>600</v>
      </c>
      <c r="D143" s="1112">
        <f>($C143*0.01)+$C143</f>
        <v>606</v>
      </c>
      <c r="E143" s="1112">
        <f>($C143*0.02)+$C143</f>
        <v>612</v>
      </c>
      <c r="F143" s="1112">
        <f>($C143*0.03)+$C143</f>
        <v>618</v>
      </c>
      <c r="G143" s="1112">
        <f>($C143*0.04)+$C143</f>
        <v>624</v>
      </c>
      <c r="H143" s="1112">
        <f>($C143*0.05)+$C143</f>
        <v>630</v>
      </c>
      <c r="I143" s="1112">
        <f>($C143*0.06)+$C143</f>
        <v>636</v>
      </c>
      <c r="J143" s="1112">
        <f>($C143*0.07)+$C143</f>
        <v>642</v>
      </c>
      <c r="K143" s="1112">
        <f>($C143*0.08)+$C143</f>
        <v>648</v>
      </c>
      <c r="L143" s="1112">
        <f>($C143*0.09)+$C143</f>
        <v>654</v>
      </c>
      <c r="M143" s="1112">
        <f>($C143*0.1)+$C143</f>
        <v>660</v>
      </c>
      <c r="N143" s="1112">
        <f>($C143*0.11)+$C143</f>
        <v>666</v>
      </c>
      <c r="O143" s="1112">
        <f>($C143*0.12)+$C143</f>
        <v>672</v>
      </c>
      <c r="P143" s="1112">
        <f>($C143*0.13)+$C143</f>
        <v>678</v>
      </c>
      <c r="Q143" s="1112">
        <f>($C143*0.14)+$C143</f>
        <v>684</v>
      </c>
      <c r="R143" s="1112">
        <f>($C143*0.15)+$C143</f>
        <v>690</v>
      </c>
      <c r="S143" s="1112">
        <f>($C143*0.16)+$C143</f>
        <v>696</v>
      </c>
      <c r="T143" s="1112">
        <f>($C143*0.17)+$C143</f>
        <v>702</v>
      </c>
      <c r="U143" s="1112">
        <f>($C143*0.18)+$C143</f>
        <v>708</v>
      </c>
      <c r="V143" s="1112">
        <f>($C143*0.19)+$C143</f>
        <v>714</v>
      </c>
      <c r="W143" s="1112">
        <f>($C143*0.2)+$C143</f>
        <v>720</v>
      </c>
      <c r="X143" s="1112">
        <f>($C143*0.21)+$C143</f>
        <v>726</v>
      </c>
      <c r="Y143" s="1112">
        <f>($C143*0.22)+$C143</f>
        <v>732</v>
      </c>
      <c r="Z143" s="1112">
        <f>($C143*0.23)+$C143</f>
        <v>738</v>
      </c>
      <c r="AA143" s="1112">
        <f>($C143*0.24)+$C143</f>
        <v>744</v>
      </c>
      <c r="AB143" s="1112">
        <f>($C143*0.25)+$C143</f>
        <v>750</v>
      </c>
      <c r="AC143" s="1112">
        <f>($C143*0.26)+$C143</f>
        <v>756</v>
      </c>
      <c r="AD143" s="1112">
        <f>($C143*0.27)+$C143</f>
        <v>762</v>
      </c>
      <c r="AE143" s="1112">
        <f>($C143*0.28)+$C143</f>
        <v>768</v>
      </c>
      <c r="AF143" s="1112">
        <f>($C143*0.29)+$C143</f>
        <v>774</v>
      </c>
      <c r="AG143" s="1112">
        <f>($C143*0.3)+$C143</f>
        <v>780</v>
      </c>
    </row>
    <row r="144" spans="1:33" ht="30">
      <c r="A144" s="4" t="s">
        <v>104</v>
      </c>
      <c r="B144" s="4" t="s">
        <v>105</v>
      </c>
      <c r="C144" s="5">
        <v>600</v>
      </c>
      <c r="D144" s="1112">
        <f>($C144*0.01)+$C144</f>
        <v>606</v>
      </c>
      <c r="E144" s="1112">
        <f>($C144*0.02)+$C144</f>
        <v>612</v>
      </c>
      <c r="F144" s="1112">
        <f>($C144*0.03)+$C144</f>
        <v>618</v>
      </c>
      <c r="G144" s="1112">
        <f>($C144*0.04)+$C144</f>
        <v>624</v>
      </c>
      <c r="H144" s="1112">
        <f>($C144*0.05)+$C144</f>
        <v>630</v>
      </c>
      <c r="I144" s="1112">
        <f>($C144*0.06)+$C144</f>
        <v>636</v>
      </c>
      <c r="J144" s="1112">
        <f>($C144*0.07)+$C144</f>
        <v>642</v>
      </c>
      <c r="K144" s="1112">
        <f>($C144*0.08)+$C144</f>
        <v>648</v>
      </c>
      <c r="L144" s="1112">
        <f>($C144*0.09)+$C144</f>
        <v>654</v>
      </c>
      <c r="M144" s="1112">
        <f>($C144*0.1)+$C144</f>
        <v>660</v>
      </c>
      <c r="N144" s="1112">
        <f>($C144*0.11)+$C144</f>
        <v>666</v>
      </c>
      <c r="O144" s="1112">
        <f>($C144*0.12)+$C144</f>
        <v>672</v>
      </c>
      <c r="P144" s="1112">
        <f>($C144*0.13)+$C144</f>
        <v>678</v>
      </c>
      <c r="Q144" s="1112">
        <f>($C144*0.14)+$C144</f>
        <v>684</v>
      </c>
      <c r="R144" s="1112">
        <f>($C144*0.15)+$C144</f>
        <v>690</v>
      </c>
      <c r="S144" s="1112">
        <f>($C144*0.16)+$C144</f>
        <v>696</v>
      </c>
      <c r="T144" s="1112">
        <f>($C144*0.17)+$C144</f>
        <v>702</v>
      </c>
      <c r="U144" s="1112">
        <f>($C144*0.18)+$C144</f>
        <v>708</v>
      </c>
      <c r="V144" s="1112">
        <f>($C144*0.19)+$C144</f>
        <v>714</v>
      </c>
      <c r="W144" s="1112">
        <f>($C144*0.2)+$C144</f>
        <v>720</v>
      </c>
      <c r="X144" s="1112">
        <f>($C144*0.21)+$C144</f>
        <v>726</v>
      </c>
      <c r="Y144" s="1112">
        <f>($C144*0.22)+$C144</f>
        <v>732</v>
      </c>
      <c r="Z144" s="1112">
        <f>($C144*0.23)+$C144</f>
        <v>738</v>
      </c>
      <c r="AA144" s="1112">
        <f>($C144*0.24)+$C144</f>
        <v>744</v>
      </c>
      <c r="AB144" s="1112">
        <f>($C144*0.25)+$C144</f>
        <v>750</v>
      </c>
      <c r="AC144" s="1112">
        <f>($C144*0.26)+$C144</f>
        <v>756</v>
      </c>
      <c r="AD144" s="1112">
        <f>($C144*0.27)+$C144</f>
        <v>762</v>
      </c>
      <c r="AE144" s="1112">
        <f>($C144*0.28)+$C144</f>
        <v>768</v>
      </c>
      <c r="AF144" s="1112">
        <f>($C144*0.29)+$C144</f>
        <v>774</v>
      </c>
      <c r="AG144" s="1112">
        <f>($C144*0.3)+$C144</f>
        <v>780</v>
      </c>
    </row>
    <row r="145" spans="1:33" ht="45">
      <c r="A145" s="4" t="s">
        <v>106</v>
      </c>
      <c r="B145" s="4" t="s">
        <v>107</v>
      </c>
      <c r="C145" s="5">
        <v>650</v>
      </c>
      <c r="D145" s="1112">
        <f>($C145*0.01)+$C145</f>
        <v>656.5</v>
      </c>
      <c r="E145" s="1112">
        <f>($C145*0.02)+$C145</f>
        <v>663</v>
      </c>
      <c r="F145" s="1112">
        <f>($C145*0.03)+$C145</f>
        <v>669.5</v>
      </c>
      <c r="G145" s="1112">
        <f>($C145*0.04)+$C145</f>
        <v>676</v>
      </c>
      <c r="H145" s="1112">
        <f>($C145*0.05)+$C145</f>
        <v>682.5</v>
      </c>
      <c r="I145" s="1112">
        <f>($C145*0.06)+$C145</f>
        <v>689</v>
      </c>
      <c r="J145" s="1112">
        <f>($C145*0.07)+$C145</f>
        <v>695.5</v>
      </c>
      <c r="K145" s="1112">
        <f>($C145*0.08)+$C145</f>
        <v>702</v>
      </c>
      <c r="L145" s="1112">
        <f>($C145*0.09)+$C145</f>
        <v>708.5</v>
      </c>
      <c r="M145" s="1112">
        <f>($C145*0.1)+$C145</f>
        <v>715</v>
      </c>
      <c r="N145" s="1112">
        <f>($C145*0.11)+$C145</f>
        <v>721.5</v>
      </c>
      <c r="O145" s="1112">
        <f>($C145*0.12)+$C145</f>
        <v>728</v>
      </c>
      <c r="P145" s="1112">
        <f>($C145*0.13)+$C145</f>
        <v>734.5</v>
      </c>
      <c r="Q145" s="1112">
        <f>($C145*0.14)+$C145</f>
        <v>741</v>
      </c>
      <c r="R145" s="1112">
        <f>($C145*0.15)+$C145</f>
        <v>747.5</v>
      </c>
      <c r="S145" s="1112">
        <f>($C145*0.16)+$C145</f>
        <v>754</v>
      </c>
      <c r="T145" s="1112">
        <f>($C145*0.17)+$C145</f>
        <v>760.5</v>
      </c>
      <c r="U145" s="1112">
        <f>($C145*0.18)+$C145</f>
        <v>767</v>
      </c>
      <c r="V145" s="1112">
        <f>($C145*0.19)+$C145</f>
        <v>773.5</v>
      </c>
      <c r="W145" s="1112">
        <f>($C145*0.2)+$C145</f>
        <v>780</v>
      </c>
      <c r="X145" s="1112">
        <f>($C145*0.21)+$C145</f>
        <v>786.5</v>
      </c>
      <c r="Y145" s="1112">
        <f>($C145*0.22)+$C145</f>
        <v>793</v>
      </c>
      <c r="Z145" s="1112">
        <f>($C145*0.23)+$C145</f>
        <v>799.5</v>
      </c>
      <c r="AA145" s="1112">
        <f>($C145*0.24)+$C145</f>
        <v>806</v>
      </c>
      <c r="AB145" s="1112">
        <f>($C145*0.25)+$C145</f>
        <v>812.5</v>
      </c>
      <c r="AC145" s="1112">
        <f>($C145*0.26)+$C145</f>
        <v>819</v>
      </c>
      <c r="AD145" s="1112">
        <f>($C145*0.27)+$C145</f>
        <v>825.5</v>
      </c>
      <c r="AE145" s="1112">
        <f>($C145*0.28)+$C145</f>
        <v>832</v>
      </c>
      <c r="AF145" s="1112">
        <f>($C145*0.29)+$C145</f>
        <v>838.5</v>
      </c>
      <c r="AG145" s="1112">
        <f>($C145*0.3)+$C145</f>
        <v>845</v>
      </c>
    </row>
    <row r="146" spans="1:33" ht="45">
      <c r="A146" s="4" t="s">
        <v>108</v>
      </c>
      <c r="B146" s="4" t="s">
        <v>109</v>
      </c>
      <c r="C146" s="5">
        <v>650</v>
      </c>
      <c r="D146" s="1112">
        <f>($C146*0.01)+$C146</f>
        <v>656.5</v>
      </c>
      <c r="E146" s="1112">
        <f>($C146*0.02)+$C146</f>
        <v>663</v>
      </c>
      <c r="F146" s="1112">
        <f>($C146*0.03)+$C146</f>
        <v>669.5</v>
      </c>
      <c r="G146" s="1112">
        <f>($C146*0.04)+$C146</f>
        <v>676</v>
      </c>
      <c r="H146" s="1112">
        <f>($C146*0.05)+$C146</f>
        <v>682.5</v>
      </c>
      <c r="I146" s="1112">
        <f>($C146*0.06)+$C146</f>
        <v>689</v>
      </c>
      <c r="J146" s="1112">
        <f>($C146*0.07)+$C146</f>
        <v>695.5</v>
      </c>
      <c r="K146" s="1112">
        <f>($C146*0.08)+$C146</f>
        <v>702</v>
      </c>
      <c r="L146" s="1112">
        <f>($C146*0.09)+$C146</f>
        <v>708.5</v>
      </c>
      <c r="M146" s="1112">
        <f>($C146*0.1)+$C146</f>
        <v>715</v>
      </c>
      <c r="N146" s="1112">
        <f>($C146*0.11)+$C146</f>
        <v>721.5</v>
      </c>
      <c r="O146" s="1112">
        <f>($C146*0.12)+$C146</f>
        <v>728</v>
      </c>
      <c r="P146" s="1112">
        <f>($C146*0.13)+$C146</f>
        <v>734.5</v>
      </c>
      <c r="Q146" s="1112">
        <f>($C146*0.14)+$C146</f>
        <v>741</v>
      </c>
      <c r="R146" s="1112">
        <f>($C146*0.15)+$C146</f>
        <v>747.5</v>
      </c>
      <c r="S146" s="1112">
        <f>($C146*0.16)+$C146</f>
        <v>754</v>
      </c>
      <c r="T146" s="1112">
        <f>($C146*0.17)+$C146</f>
        <v>760.5</v>
      </c>
      <c r="U146" s="1112">
        <f>($C146*0.18)+$C146</f>
        <v>767</v>
      </c>
      <c r="V146" s="1112">
        <f>($C146*0.19)+$C146</f>
        <v>773.5</v>
      </c>
      <c r="W146" s="1112">
        <f>($C146*0.2)+$C146</f>
        <v>780</v>
      </c>
      <c r="X146" s="1112">
        <f>($C146*0.21)+$C146</f>
        <v>786.5</v>
      </c>
      <c r="Y146" s="1112">
        <f>($C146*0.22)+$C146</f>
        <v>793</v>
      </c>
      <c r="Z146" s="1112">
        <f>($C146*0.23)+$C146</f>
        <v>799.5</v>
      </c>
      <c r="AA146" s="1112">
        <f>($C146*0.24)+$C146</f>
        <v>806</v>
      </c>
      <c r="AB146" s="1112">
        <f>($C146*0.25)+$C146</f>
        <v>812.5</v>
      </c>
      <c r="AC146" s="1112">
        <f>($C146*0.26)+$C146</f>
        <v>819</v>
      </c>
      <c r="AD146" s="1112">
        <f>($C146*0.27)+$C146</f>
        <v>825.5</v>
      </c>
      <c r="AE146" s="1112">
        <f>($C146*0.28)+$C146</f>
        <v>832</v>
      </c>
      <c r="AF146" s="1112">
        <f>($C146*0.29)+$C146</f>
        <v>838.5</v>
      </c>
      <c r="AG146" s="1112">
        <f>($C146*0.3)+$C146</f>
        <v>845</v>
      </c>
    </row>
    <row r="147" spans="1:33" ht="45">
      <c r="A147" s="4" t="s">
        <v>110</v>
      </c>
      <c r="B147" s="4" t="s">
        <v>111</v>
      </c>
      <c r="C147" s="5">
        <v>450</v>
      </c>
      <c r="D147" s="1112">
        <f>($C147*0.01)+$C147</f>
        <v>454.5</v>
      </c>
      <c r="E147" s="1112">
        <f>($C147*0.02)+$C147</f>
        <v>459</v>
      </c>
      <c r="F147" s="1112">
        <f>($C147*0.03)+$C147</f>
        <v>463.5</v>
      </c>
      <c r="G147" s="1112">
        <f>($C147*0.04)+$C147</f>
        <v>468</v>
      </c>
      <c r="H147" s="1112">
        <f>($C147*0.05)+$C147</f>
        <v>472.5</v>
      </c>
      <c r="I147" s="1112">
        <f>($C147*0.06)+$C147</f>
        <v>477</v>
      </c>
      <c r="J147" s="1112">
        <f>($C147*0.07)+$C147</f>
        <v>481.5</v>
      </c>
      <c r="K147" s="1112">
        <f>($C147*0.08)+$C147</f>
        <v>486</v>
      </c>
      <c r="L147" s="1112">
        <f>($C147*0.09)+$C147</f>
        <v>490.5</v>
      </c>
      <c r="M147" s="1112">
        <f>($C147*0.1)+$C147</f>
        <v>495</v>
      </c>
      <c r="N147" s="1112">
        <f>($C147*0.11)+$C147</f>
        <v>499.5</v>
      </c>
      <c r="O147" s="1112">
        <f>($C147*0.12)+$C147</f>
        <v>504</v>
      </c>
      <c r="P147" s="1112">
        <f>($C147*0.13)+$C147</f>
        <v>508.5</v>
      </c>
      <c r="Q147" s="1112">
        <f>($C147*0.14)+$C147</f>
        <v>513</v>
      </c>
      <c r="R147" s="1112">
        <f>($C147*0.15)+$C147</f>
        <v>517.5</v>
      </c>
      <c r="S147" s="1112">
        <f>($C147*0.16)+$C147</f>
        <v>522</v>
      </c>
      <c r="T147" s="1112">
        <f>($C147*0.17)+$C147</f>
        <v>526.5</v>
      </c>
      <c r="U147" s="1112">
        <f>($C147*0.18)+$C147</f>
        <v>531</v>
      </c>
      <c r="V147" s="1112">
        <f>($C147*0.19)+$C147</f>
        <v>535.5</v>
      </c>
      <c r="W147" s="1112">
        <f>($C147*0.2)+$C147</f>
        <v>540</v>
      </c>
      <c r="X147" s="1112">
        <f>($C147*0.21)+$C147</f>
        <v>544.5</v>
      </c>
      <c r="Y147" s="1112">
        <f>($C147*0.22)+$C147</f>
        <v>549</v>
      </c>
      <c r="Z147" s="1112">
        <f>($C147*0.23)+$C147</f>
        <v>553.5</v>
      </c>
      <c r="AA147" s="1112">
        <f>($C147*0.24)+$C147</f>
        <v>558</v>
      </c>
      <c r="AB147" s="1112">
        <f>($C147*0.25)+$C147</f>
        <v>562.5</v>
      </c>
      <c r="AC147" s="1112">
        <f>($C147*0.26)+$C147</f>
        <v>567</v>
      </c>
      <c r="AD147" s="1112">
        <f>($C147*0.27)+$C147</f>
        <v>571.5</v>
      </c>
      <c r="AE147" s="1112">
        <f>($C147*0.28)+$C147</f>
        <v>576</v>
      </c>
      <c r="AF147" s="1112">
        <f>($C147*0.29)+$C147</f>
        <v>580.5</v>
      </c>
      <c r="AG147" s="1112">
        <f>($C147*0.3)+$C147</f>
        <v>585</v>
      </c>
    </row>
    <row r="148" spans="1:33" ht="45">
      <c r="A148" s="4" t="s">
        <v>112</v>
      </c>
      <c r="B148" s="4" t="s">
        <v>113</v>
      </c>
      <c r="C148" s="5">
        <v>500</v>
      </c>
      <c r="D148" s="1112">
        <f>($C148*0.01)+$C148</f>
        <v>505</v>
      </c>
      <c r="E148" s="1112">
        <f>($C148*0.02)+$C148</f>
        <v>510</v>
      </c>
      <c r="F148" s="1112">
        <f>($C148*0.03)+$C148</f>
        <v>515</v>
      </c>
      <c r="G148" s="1112">
        <f>($C148*0.04)+$C148</f>
        <v>520</v>
      </c>
      <c r="H148" s="1112">
        <f>($C148*0.05)+$C148</f>
        <v>525</v>
      </c>
      <c r="I148" s="1112">
        <f>($C148*0.06)+$C148</f>
        <v>530</v>
      </c>
      <c r="J148" s="1112">
        <f>($C148*0.07)+$C148</f>
        <v>535</v>
      </c>
      <c r="K148" s="1112">
        <f>($C148*0.08)+$C148</f>
        <v>540</v>
      </c>
      <c r="L148" s="1112">
        <f>($C148*0.09)+$C148</f>
        <v>545</v>
      </c>
      <c r="M148" s="1112">
        <f>($C148*0.1)+$C148</f>
        <v>550</v>
      </c>
      <c r="N148" s="1112">
        <f>($C148*0.11)+$C148</f>
        <v>555</v>
      </c>
      <c r="O148" s="1112">
        <f>($C148*0.12)+$C148</f>
        <v>560</v>
      </c>
      <c r="P148" s="1112">
        <f>($C148*0.13)+$C148</f>
        <v>565</v>
      </c>
      <c r="Q148" s="1112">
        <f>($C148*0.14)+$C148</f>
        <v>570</v>
      </c>
      <c r="R148" s="1112">
        <f>($C148*0.15)+$C148</f>
        <v>575</v>
      </c>
      <c r="S148" s="1112">
        <f>($C148*0.16)+$C148</f>
        <v>580</v>
      </c>
      <c r="T148" s="1112">
        <f>($C148*0.17)+$C148</f>
        <v>585</v>
      </c>
      <c r="U148" s="1112">
        <f>($C148*0.18)+$C148</f>
        <v>590</v>
      </c>
      <c r="V148" s="1112">
        <f>($C148*0.19)+$C148</f>
        <v>595</v>
      </c>
      <c r="W148" s="1112">
        <f>($C148*0.2)+$C148</f>
        <v>600</v>
      </c>
      <c r="X148" s="1112">
        <f>($C148*0.21)+$C148</f>
        <v>605</v>
      </c>
      <c r="Y148" s="1112">
        <f>($C148*0.22)+$C148</f>
        <v>610</v>
      </c>
      <c r="Z148" s="1112">
        <f>($C148*0.23)+$C148</f>
        <v>615</v>
      </c>
      <c r="AA148" s="1112">
        <f>($C148*0.24)+$C148</f>
        <v>620</v>
      </c>
      <c r="AB148" s="1112">
        <f>($C148*0.25)+$C148</f>
        <v>625</v>
      </c>
      <c r="AC148" s="1112">
        <f>($C148*0.26)+$C148</f>
        <v>630</v>
      </c>
      <c r="AD148" s="1112">
        <f>($C148*0.27)+$C148</f>
        <v>635</v>
      </c>
      <c r="AE148" s="1112">
        <f>($C148*0.28)+$C148</f>
        <v>640</v>
      </c>
      <c r="AF148" s="1112">
        <f>($C148*0.29)+$C148</f>
        <v>645</v>
      </c>
      <c r="AG148" s="1112">
        <f>($C148*0.3)+$C148</f>
        <v>650</v>
      </c>
    </row>
    <row r="149" spans="1:33" ht="60">
      <c r="A149" s="4" t="s">
        <v>114</v>
      </c>
      <c r="B149" s="4" t="s">
        <v>115</v>
      </c>
      <c r="C149" s="5">
        <v>500</v>
      </c>
      <c r="D149" s="1112">
        <f>($C149*0.01)+$C149</f>
        <v>505</v>
      </c>
      <c r="E149" s="1112">
        <f>($C149*0.02)+$C149</f>
        <v>510</v>
      </c>
      <c r="F149" s="1112">
        <f>($C149*0.03)+$C149</f>
        <v>515</v>
      </c>
      <c r="G149" s="1112">
        <f>($C149*0.04)+$C149</f>
        <v>520</v>
      </c>
      <c r="H149" s="1112">
        <f>($C149*0.05)+$C149</f>
        <v>525</v>
      </c>
      <c r="I149" s="1112">
        <f>($C149*0.06)+$C149</f>
        <v>530</v>
      </c>
      <c r="J149" s="1112">
        <f>($C149*0.07)+$C149</f>
        <v>535</v>
      </c>
      <c r="K149" s="1112">
        <f>($C149*0.08)+$C149</f>
        <v>540</v>
      </c>
      <c r="L149" s="1112">
        <f>($C149*0.09)+$C149</f>
        <v>545</v>
      </c>
      <c r="M149" s="1112">
        <f>($C149*0.1)+$C149</f>
        <v>550</v>
      </c>
      <c r="N149" s="1112">
        <f>($C149*0.11)+$C149</f>
        <v>555</v>
      </c>
      <c r="O149" s="1112">
        <f>($C149*0.12)+$C149</f>
        <v>560</v>
      </c>
      <c r="P149" s="1112">
        <f>($C149*0.13)+$C149</f>
        <v>565</v>
      </c>
      <c r="Q149" s="1112">
        <f>($C149*0.14)+$C149</f>
        <v>570</v>
      </c>
      <c r="R149" s="1112">
        <f>($C149*0.15)+$C149</f>
        <v>575</v>
      </c>
      <c r="S149" s="1112">
        <f>($C149*0.16)+$C149</f>
        <v>580</v>
      </c>
      <c r="T149" s="1112">
        <f>($C149*0.17)+$C149</f>
        <v>585</v>
      </c>
      <c r="U149" s="1112">
        <f>($C149*0.18)+$C149</f>
        <v>590</v>
      </c>
      <c r="V149" s="1112">
        <f>($C149*0.19)+$C149</f>
        <v>595</v>
      </c>
      <c r="W149" s="1112">
        <f>($C149*0.2)+$C149</f>
        <v>600</v>
      </c>
      <c r="X149" s="1112">
        <f>($C149*0.21)+$C149</f>
        <v>605</v>
      </c>
      <c r="Y149" s="1112">
        <f>($C149*0.22)+$C149</f>
        <v>610</v>
      </c>
      <c r="Z149" s="1112">
        <f>($C149*0.23)+$C149</f>
        <v>615</v>
      </c>
      <c r="AA149" s="1112">
        <f>($C149*0.24)+$C149</f>
        <v>620</v>
      </c>
      <c r="AB149" s="1112">
        <f>($C149*0.25)+$C149</f>
        <v>625</v>
      </c>
      <c r="AC149" s="1112">
        <f>($C149*0.26)+$C149</f>
        <v>630</v>
      </c>
      <c r="AD149" s="1112">
        <f>($C149*0.27)+$C149</f>
        <v>635</v>
      </c>
      <c r="AE149" s="1112">
        <f>($C149*0.28)+$C149</f>
        <v>640</v>
      </c>
      <c r="AF149" s="1112">
        <f>($C149*0.29)+$C149</f>
        <v>645</v>
      </c>
      <c r="AG149" s="1112">
        <f>($C149*0.3)+$C149</f>
        <v>650</v>
      </c>
    </row>
    <row r="150" spans="1:33" ht="60">
      <c r="A150" s="4" t="s">
        <v>136</v>
      </c>
      <c r="B150" s="4" t="s">
        <v>137</v>
      </c>
      <c r="C150" s="5">
        <v>400</v>
      </c>
      <c r="D150" s="1112">
        <f>($C150*0.01)+$C150</f>
        <v>404</v>
      </c>
      <c r="E150" s="1112">
        <f>($C150*0.02)+$C150</f>
        <v>408</v>
      </c>
      <c r="F150" s="1112">
        <f>($C150*0.03)+$C150</f>
        <v>412</v>
      </c>
      <c r="G150" s="1112">
        <f>($C150*0.04)+$C150</f>
        <v>416</v>
      </c>
      <c r="H150" s="1112">
        <f>($C150*0.05)+$C150</f>
        <v>420</v>
      </c>
      <c r="I150" s="1112">
        <f>($C150*0.06)+$C150</f>
        <v>424</v>
      </c>
      <c r="J150" s="1112">
        <f>($C150*0.07)+$C150</f>
        <v>428</v>
      </c>
      <c r="K150" s="1112">
        <f>($C150*0.08)+$C150</f>
        <v>432</v>
      </c>
      <c r="L150" s="1112">
        <f>($C150*0.09)+$C150</f>
        <v>436</v>
      </c>
      <c r="M150" s="1112">
        <f>($C150*0.1)+$C150</f>
        <v>440</v>
      </c>
      <c r="N150" s="1112">
        <f>($C150*0.11)+$C150</f>
        <v>444</v>
      </c>
      <c r="O150" s="1112">
        <f>($C150*0.12)+$C150</f>
        <v>448</v>
      </c>
      <c r="P150" s="1112">
        <f>($C150*0.13)+$C150</f>
        <v>452</v>
      </c>
      <c r="Q150" s="1112">
        <f>($C150*0.14)+$C150</f>
        <v>456</v>
      </c>
      <c r="R150" s="1112">
        <f>($C150*0.15)+$C150</f>
        <v>460</v>
      </c>
      <c r="S150" s="1112">
        <f>($C150*0.16)+$C150</f>
        <v>464</v>
      </c>
      <c r="T150" s="1112">
        <f>($C150*0.17)+$C150</f>
        <v>468</v>
      </c>
      <c r="U150" s="1112">
        <f>($C150*0.18)+$C150</f>
        <v>472</v>
      </c>
      <c r="V150" s="1112">
        <f>($C150*0.19)+$C150</f>
        <v>476</v>
      </c>
      <c r="W150" s="1112">
        <f>($C150*0.2)+$C150</f>
        <v>480</v>
      </c>
      <c r="X150" s="1112">
        <f>($C150*0.21)+$C150</f>
        <v>484</v>
      </c>
      <c r="Y150" s="1112">
        <f>($C150*0.22)+$C150</f>
        <v>488</v>
      </c>
      <c r="Z150" s="1112">
        <f>($C150*0.23)+$C150</f>
        <v>492</v>
      </c>
      <c r="AA150" s="1112">
        <f>($C150*0.24)+$C150</f>
        <v>496</v>
      </c>
      <c r="AB150" s="1112">
        <f>($C150*0.25)+$C150</f>
        <v>500</v>
      </c>
      <c r="AC150" s="1112">
        <f>($C150*0.26)+$C150</f>
        <v>504</v>
      </c>
      <c r="AD150" s="1112">
        <f>($C150*0.27)+$C150</f>
        <v>508</v>
      </c>
      <c r="AE150" s="1112">
        <f>($C150*0.28)+$C150</f>
        <v>512</v>
      </c>
      <c r="AF150" s="1112">
        <f>($C150*0.29)+$C150</f>
        <v>516</v>
      </c>
      <c r="AG150" s="1112">
        <f>($C150*0.3)+$C150</f>
        <v>520</v>
      </c>
    </row>
    <row r="151" spans="1:33" ht="60">
      <c r="A151" s="4" t="s">
        <v>138</v>
      </c>
      <c r="B151" s="4" t="s">
        <v>139</v>
      </c>
      <c r="C151" s="5">
        <v>650</v>
      </c>
      <c r="D151" s="1112">
        <f>($C151*0.01)+$C151</f>
        <v>656.5</v>
      </c>
      <c r="E151" s="1112">
        <f>($C151*0.02)+$C151</f>
        <v>663</v>
      </c>
      <c r="F151" s="1112">
        <f>($C151*0.03)+$C151</f>
        <v>669.5</v>
      </c>
      <c r="G151" s="1112">
        <f>($C151*0.04)+$C151</f>
        <v>676</v>
      </c>
      <c r="H151" s="1112">
        <f>($C151*0.05)+$C151</f>
        <v>682.5</v>
      </c>
      <c r="I151" s="1112">
        <f>($C151*0.06)+$C151</f>
        <v>689</v>
      </c>
      <c r="J151" s="1112">
        <f>($C151*0.07)+$C151</f>
        <v>695.5</v>
      </c>
      <c r="K151" s="1112">
        <f>($C151*0.08)+$C151</f>
        <v>702</v>
      </c>
      <c r="L151" s="1112">
        <f>($C151*0.09)+$C151</f>
        <v>708.5</v>
      </c>
      <c r="M151" s="1112">
        <f>($C151*0.1)+$C151</f>
        <v>715</v>
      </c>
      <c r="N151" s="1112">
        <f>($C151*0.11)+$C151</f>
        <v>721.5</v>
      </c>
      <c r="O151" s="1112">
        <f>($C151*0.12)+$C151</f>
        <v>728</v>
      </c>
      <c r="P151" s="1112">
        <f>($C151*0.13)+$C151</f>
        <v>734.5</v>
      </c>
      <c r="Q151" s="1112">
        <f>($C151*0.14)+$C151</f>
        <v>741</v>
      </c>
      <c r="R151" s="1112">
        <f>($C151*0.15)+$C151</f>
        <v>747.5</v>
      </c>
      <c r="S151" s="1112">
        <f>($C151*0.16)+$C151</f>
        <v>754</v>
      </c>
      <c r="T151" s="1112">
        <f>($C151*0.17)+$C151</f>
        <v>760.5</v>
      </c>
      <c r="U151" s="1112">
        <f>($C151*0.18)+$C151</f>
        <v>767</v>
      </c>
      <c r="V151" s="1112">
        <f>($C151*0.19)+$C151</f>
        <v>773.5</v>
      </c>
      <c r="W151" s="1112">
        <f>($C151*0.2)+$C151</f>
        <v>780</v>
      </c>
      <c r="X151" s="1112">
        <f>($C151*0.21)+$C151</f>
        <v>786.5</v>
      </c>
      <c r="Y151" s="1112">
        <f>($C151*0.22)+$C151</f>
        <v>793</v>
      </c>
      <c r="Z151" s="1112">
        <f>($C151*0.23)+$C151</f>
        <v>799.5</v>
      </c>
      <c r="AA151" s="1112">
        <f>($C151*0.24)+$C151</f>
        <v>806</v>
      </c>
      <c r="AB151" s="1112">
        <f>($C151*0.25)+$C151</f>
        <v>812.5</v>
      </c>
      <c r="AC151" s="1112">
        <f>($C151*0.26)+$C151</f>
        <v>819</v>
      </c>
      <c r="AD151" s="1112">
        <f>($C151*0.27)+$C151</f>
        <v>825.5</v>
      </c>
      <c r="AE151" s="1112">
        <f>($C151*0.28)+$C151</f>
        <v>832</v>
      </c>
      <c r="AF151" s="1112">
        <f>($C151*0.29)+$C151</f>
        <v>838.5</v>
      </c>
      <c r="AG151" s="1112">
        <f>($C151*0.3)+$C151</f>
        <v>845</v>
      </c>
    </row>
    <row r="152" spans="1:33" ht="30">
      <c r="A152" s="4" t="s">
        <v>116</v>
      </c>
      <c r="B152" s="4" t="s">
        <v>117</v>
      </c>
      <c r="C152" s="5">
        <v>400</v>
      </c>
      <c r="D152" s="1112">
        <f>($C152*0.01)+$C152</f>
        <v>404</v>
      </c>
      <c r="E152" s="1112">
        <f>($C152*0.02)+$C152</f>
        <v>408</v>
      </c>
      <c r="F152" s="1112">
        <f>($C152*0.03)+$C152</f>
        <v>412</v>
      </c>
      <c r="G152" s="1112">
        <f>($C152*0.04)+$C152</f>
        <v>416</v>
      </c>
      <c r="H152" s="1112">
        <f>($C152*0.05)+$C152</f>
        <v>420</v>
      </c>
      <c r="I152" s="1112">
        <f>($C152*0.06)+$C152</f>
        <v>424</v>
      </c>
      <c r="J152" s="1112">
        <f>($C152*0.07)+$C152</f>
        <v>428</v>
      </c>
      <c r="K152" s="1112">
        <f>($C152*0.08)+$C152</f>
        <v>432</v>
      </c>
      <c r="L152" s="1112">
        <f>($C152*0.09)+$C152</f>
        <v>436</v>
      </c>
      <c r="M152" s="1112">
        <f>($C152*0.1)+$C152</f>
        <v>440</v>
      </c>
      <c r="N152" s="1112">
        <f>($C152*0.11)+$C152</f>
        <v>444</v>
      </c>
      <c r="O152" s="1112">
        <f>($C152*0.12)+$C152</f>
        <v>448</v>
      </c>
      <c r="P152" s="1112">
        <f>($C152*0.13)+$C152</f>
        <v>452</v>
      </c>
      <c r="Q152" s="1112">
        <f>($C152*0.14)+$C152</f>
        <v>456</v>
      </c>
      <c r="R152" s="1112">
        <f>($C152*0.15)+$C152</f>
        <v>460</v>
      </c>
      <c r="S152" s="1112">
        <f>($C152*0.16)+$C152</f>
        <v>464</v>
      </c>
      <c r="T152" s="1112">
        <f>($C152*0.17)+$C152</f>
        <v>468</v>
      </c>
      <c r="U152" s="1112">
        <f>($C152*0.18)+$C152</f>
        <v>472</v>
      </c>
      <c r="V152" s="1112">
        <f>($C152*0.19)+$C152</f>
        <v>476</v>
      </c>
      <c r="W152" s="1112">
        <f>($C152*0.2)+$C152</f>
        <v>480</v>
      </c>
      <c r="X152" s="1112">
        <f>($C152*0.21)+$C152</f>
        <v>484</v>
      </c>
      <c r="Y152" s="1112">
        <f>($C152*0.22)+$C152</f>
        <v>488</v>
      </c>
      <c r="Z152" s="1112">
        <f>($C152*0.23)+$C152</f>
        <v>492</v>
      </c>
      <c r="AA152" s="1112">
        <f>($C152*0.24)+$C152</f>
        <v>496</v>
      </c>
      <c r="AB152" s="1112">
        <f>($C152*0.25)+$C152</f>
        <v>500</v>
      </c>
      <c r="AC152" s="1112">
        <f>($C152*0.26)+$C152</f>
        <v>504</v>
      </c>
      <c r="AD152" s="1112">
        <f>($C152*0.27)+$C152</f>
        <v>508</v>
      </c>
      <c r="AE152" s="1112">
        <f>($C152*0.28)+$C152</f>
        <v>512</v>
      </c>
      <c r="AF152" s="1112">
        <f>($C152*0.29)+$C152</f>
        <v>516</v>
      </c>
      <c r="AG152" s="1112">
        <f>($C152*0.3)+$C152</f>
        <v>520</v>
      </c>
    </row>
    <row r="153" spans="1:33" ht="45">
      <c r="A153" s="4" t="s">
        <v>118</v>
      </c>
      <c r="B153" s="4" t="s">
        <v>119</v>
      </c>
      <c r="C153" s="5">
        <v>400</v>
      </c>
      <c r="D153" s="1112">
        <f>($C153*0.01)+$C153</f>
        <v>404</v>
      </c>
      <c r="E153" s="1112">
        <f>($C153*0.02)+$C153</f>
        <v>408</v>
      </c>
      <c r="F153" s="1112">
        <f>($C153*0.03)+$C153</f>
        <v>412</v>
      </c>
      <c r="G153" s="1112">
        <f>($C153*0.04)+$C153</f>
        <v>416</v>
      </c>
      <c r="H153" s="1112">
        <f>($C153*0.05)+$C153</f>
        <v>420</v>
      </c>
      <c r="I153" s="1112">
        <f>($C153*0.06)+$C153</f>
        <v>424</v>
      </c>
      <c r="J153" s="1112">
        <f>($C153*0.07)+$C153</f>
        <v>428</v>
      </c>
      <c r="K153" s="1112">
        <f>($C153*0.08)+$C153</f>
        <v>432</v>
      </c>
      <c r="L153" s="1112">
        <f>($C153*0.09)+$C153</f>
        <v>436</v>
      </c>
      <c r="M153" s="1112">
        <f>($C153*0.1)+$C153</f>
        <v>440</v>
      </c>
      <c r="N153" s="1112">
        <f>($C153*0.11)+$C153</f>
        <v>444</v>
      </c>
      <c r="O153" s="1112">
        <f>($C153*0.12)+$C153</f>
        <v>448</v>
      </c>
      <c r="P153" s="1112">
        <f>($C153*0.13)+$C153</f>
        <v>452</v>
      </c>
      <c r="Q153" s="1112">
        <f>($C153*0.14)+$C153</f>
        <v>456</v>
      </c>
      <c r="R153" s="1112">
        <f>($C153*0.15)+$C153</f>
        <v>460</v>
      </c>
      <c r="S153" s="1112">
        <f>($C153*0.16)+$C153</f>
        <v>464</v>
      </c>
      <c r="T153" s="1112">
        <f>($C153*0.17)+$C153</f>
        <v>468</v>
      </c>
      <c r="U153" s="1112">
        <f>($C153*0.18)+$C153</f>
        <v>472</v>
      </c>
      <c r="V153" s="1112">
        <f>($C153*0.19)+$C153</f>
        <v>476</v>
      </c>
      <c r="W153" s="1112">
        <f>($C153*0.2)+$C153</f>
        <v>480</v>
      </c>
      <c r="X153" s="1112">
        <f>($C153*0.21)+$C153</f>
        <v>484</v>
      </c>
      <c r="Y153" s="1112">
        <f>($C153*0.22)+$C153</f>
        <v>488</v>
      </c>
      <c r="Z153" s="1112">
        <f>($C153*0.23)+$C153</f>
        <v>492</v>
      </c>
      <c r="AA153" s="1112">
        <f>($C153*0.24)+$C153</f>
        <v>496</v>
      </c>
      <c r="AB153" s="1112">
        <f>($C153*0.25)+$C153</f>
        <v>500</v>
      </c>
      <c r="AC153" s="1112">
        <f>($C153*0.26)+$C153</f>
        <v>504</v>
      </c>
      <c r="AD153" s="1112">
        <f>($C153*0.27)+$C153</f>
        <v>508</v>
      </c>
      <c r="AE153" s="1112">
        <f>($C153*0.28)+$C153</f>
        <v>512</v>
      </c>
      <c r="AF153" s="1112">
        <f>($C153*0.29)+$C153</f>
        <v>516</v>
      </c>
      <c r="AG153" s="1112">
        <f>($C153*0.3)+$C153</f>
        <v>520</v>
      </c>
    </row>
    <row r="154" spans="1:33" ht="30">
      <c r="A154" s="4" t="s">
        <v>120</v>
      </c>
      <c r="B154" s="4" t="s">
        <v>121</v>
      </c>
      <c r="C154" s="5">
        <v>400</v>
      </c>
      <c r="D154" s="1112">
        <f>($C154*0.01)+$C154</f>
        <v>404</v>
      </c>
      <c r="E154" s="1112">
        <f>($C154*0.02)+$C154</f>
        <v>408</v>
      </c>
      <c r="F154" s="1112">
        <f>($C154*0.03)+$C154</f>
        <v>412</v>
      </c>
      <c r="G154" s="1112">
        <f>($C154*0.04)+$C154</f>
        <v>416</v>
      </c>
      <c r="H154" s="1112">
        <f>($C154*0.05)+$C154</f>
        <v>420</v>
      </c>
      <c r="I154" s="1112">
        <f>($C154*0.06)+$C154</f>
        <v>424</v>
      </c>
      <c r="J154" s="1112">
        <f>($C154*0.07)+$C154</f>
        <v>428</v>
      </c>
      <c r="K154" s="1112">
        <f>($C154*0.08)+$C154</f>
        <v>432</v>
      </c>
      <c r="L154" s="1112">
        <f>($C154*0.09)+$C154</f>
        <v>436</v>
      </c>
      <c r="M154" s="1112">
        <f>($C154*0.1)+$C154</f>
        <v>440</v>
      </c>
      <c r="N154" s="1112">
        <f>($C154*0.11)+$C154</f>
        <v>444</v>
      </c>
      <c r="O154" s="1112">
        <f>($C154*0.12)+$C154</f>
        <v>448</v>
      </c>
      <c r="P154" s="1112">
        <f>($C154*0.13)+$C154</f>
        <v>452</v>
      </c>
      <c r="Q154" s="1112">
        <f>($C154*0.14)+$C154</f>
        <v>456</v>
      </c>
      <c r="R154" s="1112">
        <f>($C154*0.15)+$C154</f>
        <v>460</v>
      </c>
      <c r="S154" s="1112">
        <f>($C154*0.16)+$C154</f>
        <v>464</v>
      </c>
      <c r="T154" s="1112">
        <f>($C154*0.17)+$C154</f>
        <v>468</v>
      </c>
      <c r="U154" s="1112">
        <f>($C154*0.18)+$C154</f>
        <v>472</v>
      </c>
      <c r="V154" s="1112">
        <f>($C154*0.19)+$C154</f>
        <v>476</v>
      </c>
      <c r="W154" s="1112">
        <f>($C154*0.2)+$C154</f>
        <v>480</v>
      </c>
      <c r="X154" s="1112">
        <f>($C154*0.21)+$C154</f>
        <v>484</v>
      </c>
      <c r="Y154" s="1112">
        <f>($C154*0.22)+$C154</f>
        <v>488</v>
      </c>
      <c r="Z154" s="1112">
        <f>($C154*0.23)+$C154</f>
        <v>492</v>
      </c>
      <c r="AA154" s="1112">
        <f>($C154*0.24)+$C154</f>
        <v>496</v>
      </c>
      <c r="AB154" s="1112">
        <f>($C154*0.25)+$C154</f>
        <v>500</v>
      </c>
      <c r="AC154" s="1112">
        <f>($C154*0.26)+$C154</f>
        <v>504</v>
      </c>
      <c r="AD154" s="1112">
        <f>($C154*0.27)+$C154</f>
        <v>508</v>
      </c>
      <c r="AE154" s="1112">
        <f>($C154*0.28)+$C154</f>
        <v>512</v>
      </c>
      <c r="AF154" s="1112">
        <f>($C154*0.29)+$C154</f>
        <v>516</v>
      </c>
      <c r="AG154" s="1112">
        <f>($C154*0.3)+$C154</f>
        <v>520</v>
      </c>
    </row>
    <row r="155" spans="1:33" ht="30">
      <c r="A155" s="4" t="s">
        <v>122</v>
      </c>
      <c r="B155" s="4" t="s">
        <v>123</v>
      </c>
      <c r="C155" s="5">
        <v>400</v>
      </c>
      <c r="D155" s="1112">
        <f>($C155*0.01)+$C155</f>
        <v>404</v>
      </c>
      <c r="E155" s="1112">
        <f>($C155*0.02)+$C155</f>
        <v>408</v>
      </c>
      <c r="F155" s="1112">
        <f>($C155*0.03)+$C155</f>
        <v>412</v>
      </c>
      <c r="G155" s="1112">
        <f>($C155*0.04)+$C155</f>
        <v>416</v>
      </c>
      <c r="H155" s="1112">
        <f>($C155*0.05)+$C155</f>
        <v>420</v>
      </c>
      <c r="I155" s="1112">
        <f>($C155*0.06)+$C155</f>
        <v>424</v>
      </c>
      <c r="J155" s="1112">
        <f>($C155*0.07)+$C155</f>
        <v>428</v>
      </c>
      <c r="K155" s="1112">
        <f>($C155*0.08)+$C155</f>
        <v>432</v>
      </c>
      <c r="L155" s="1112">
        <f>($C155*0.09)+$C155</f>
        <v>436</v>
      </c>
      <c r="M155" s="1112">
        <f>($C155*0.1)+$C155</f>
        <v>440</v>
      </c>
      <c r="N155" s="1112">
        <f>($C155*0.11)+$C155</f>
        <v>444</v>
      </c>
      <c r="O155" s="1112">
        <f>($C155*0.12)+$C155</f>
        <v>448</v>
      </c>
      <c r="P155" s="1112">
        <f>($C155*0.13)+$C155</f>
        <v>452</v>
      </c>
      <c r="Q155" s="1112">
        <f>($C155*0.14)+$C155</f>
        <v>456</v>
      </c>
      <c r="R155" s="1112">
        <f>($C155*0.15)+$C155</f>
        <v>460</v>
      </c>
      <c r="S155" s="1112">
        <f>($C155*0.16)+$C155</f>
        <v>464</v>
      </c>
      <c r="T155" s="1112">
        <f>($C155*0.17)+$C155</f>
        <v>468</v>
      </c>
      <c r="U155" s="1112">
        <f>($C155*0.18)+$C155</f>
        <v>472</v>
      </c>
      <c r="V155" s="1112">
        <f>($C155*0.19)+$C155</f>
        <v>476</v>
      </c>
      <c r="W155" s="1112">
        <f>($C155*0.2)+$C155</f>
        <v>480</v>
      </c>
      <c r="X155" s="1112">
        <f>($C155*0.21)+$C155</f>
        <v>484</v>
      </c>
      <c r="Y155" s="1112">
        <f>($C155*0.22)+$C155</f>
        <v>488</v>
      </c>
      <c r="Z155" s="1112">
        <f>($C155*0.23)+$C155</f>
        <v>492</v>
      </c>
      <c r="AA155" s="1112">
        <f>($C155*0.24)+$C155</f>
        <v>496</v>
      </c>
      <c r="AB155" s="1112">
        <f>($C155*0.25)+$C155</f>
        <v>500</v>
      </c>
      <c r="AC155" s="1112">
        <f>($C155*0.26)+$C155</f>
        <v>504</v>
      </c>
      <c r="AD155" s="1112">
        <f>($C155*0.27)+$C155</f>
        <v>508</v>
      </c>
      <c r="AE155" s="1112">
        <f>($C155*0.28)+$C155</f>
        <v>512</v>
      </c>
      <c r="AF155" s="1112">
        <f>($C155*0.29)+$C155</f>
        <v>516</v>
      </c>
      <c r="AG155" s="1112">
        <f>($C155*0.3)+$C155</f>
        <v>520</v>
      </c>
    </row>
    <row r="156" spans="1:33" ht="45">
      <c r="A156" s="4" t="s">
        <v>124</v>
      </c>
      <c r="B156" s="4" t="s">
        <v>125</v>
      </c>
      <c r="C156" s="5">
        <v>450</v>
      </c>
      <c r="D156" s="1112">
        <f>($C156*0.01)+$C156</f>
        <v>454.5</v>
      </c>
      <c r="E156" s="1112">
        <f>($C156*0.02)+$C156</f>
        <v>459</v>
      </c>
      <c r="F156" s="1112">
        <f>($C156*0.03)+$C156</f>
        <v>463.5</v>
      </c>
      <c r="G156" s="1112">
        <f>($C156*0.04)+$C156</f>
        <v>468</v>
      </c>
      <c r="H156" s="1112">
        <f>($C156*0.05)+$C156</f>
        <v>472.5</v>
      </c>
      <c r="I156" s="1112">
        <f>($C156*0.06)+$C156</f>
        <v>477</v>
      </c>
      <c r="J156" s="1112">
        <f>($C156*0.07)+$C156</f>
        <v>481.5</v>
      </c>
      <c r="K156" s="1112">
        <f>($C156*0.08)+$C156</f>
        <v>486</v>
      </c>
      <c r="L156" s="1112">
        <f>($C156*0.09)+$C156</f>
        <v>490.5</v>
      </c>
      <c r="M156" s="1112">
        <f>($C156*0.1)+$C156</f>
        <v>495</v>
      </c>
      <c r="N156" s="1112">
        <f>($C156*0.11)+$C156</f>
        <v>499.5</v>
      </c>
      <c r="O156" s="1112">
        <f>($C156*0.12)+$C156</f>
        <v>504</v>
      </c>
      <c r="P156" s="1112">
        <f>($C156*0.13)+$C156</f>
        <v>508.5</v>
      </c>
      <c r="Q156" s="1112">
        <f>($C156*0.14)+$C156</f>
        <v>513</v>
      </c>
      <c r="R156" s="1112">
        <f>($C156*0.15)+$C156</f>
        <v>517.5</v>
      </c>
      <c r="S156" s="1112">
        <f>($C156*0.16)+$C156</f>
        <v>522</v>
      </c>
      <c r="T156" s="1112">
        <f>($C156*0.17)+$C156</f>
        <v>526.5</v>
      </c>
      <c r="U156" s="1112">
        <f>($C156*0.18)+$C156</f>
        <v>531</v>
      </c>
      <c r="V156" s="1112">
        <f>($C156*0.19)+$C156</f>
        <v>535.5</v>
      </c>
      <c r="W156" s="1112">
        <f>($C156*0.2)+$C156</f>
        <v>540</v>
      </c>
      <c r="X156" s="1112">
        <f>($C156*0.21)+$C156</f>
        <v>544.5</v>
      </c>
      <c r="Y156" s="1112">
        <f>($C156*0.22)+$C156</f>
        <v>549</v>
      </c>
      <c r="Z156" s="1112">
        <f>($C156*0.23)+$C156</f>
        <v>553.5</v>
      </c>
      <c r="AA156" s="1112">
        <f>($C156*0.24)+$C156</f>
        <v>558</v>
      </c>
      <c r="AB156" s="1112">
        <f>($C156*0.25)+$C156</f>
        <v>562.5</v>
      </c>
      <c r="AC156" s="1112">
        <f>($C156*0.26)+$C156</f>
        <v>567</v>
      </c>
      <c r="AD156" s="1112">
        <f>($C156*0.27)+$C156</f>
        <v>571.5</v>
      </c>
      <c r="AE156" s="1112">
        <f>($C156*0.28)+$C156</f>
        <v>576</v>
      </c>
      <c r="AF156" s="1112">
        <f>($C156*0.29)+$C156</f>
        <v>580.5</v>
      </c>
      <c r="AG156" s="1112">
        <f>($C156*0.3)+$C156</f>
        <v>585</v>
      </c>
    </row>
    <row r="157" spans="1:33" ht="60">
      <c r="A157" s="4" t="s">
        <v>126</v>
      </c>
      <c r="B157" s="4" t="s">
        <v>127</v>
      </c>
      <c r="C157" s="5">
        <v>1900</v>
      </c>
      <c r="D157" s="1112">
        <f>($C157*0.01)+$C157</f>
        <v>1919</v>
      </c>
      <c r="E157" s="1112">
        <f>($C157*0.02)+$C157</f>
        <v>1938</v>
      </c>
      <c r="F157" s="1112">
        <f>($C157*0.03)+$C157</f>
        <v>1957</v>
      </c>
      <c r="G157" s="1112">
        <f>($C157*0.04)+$C157</f>
        <v>1976</v>
      </c>
      <c r="H157" s="1112">
        <f>($C157*0.05)+$C157</f>
        <v>1995</v>
      </c>
      <c r="I157" s="1112">
        <f>($C157*0.06)+$C157</f>
        <v>2014</v>
      </c>
      <c r="J157" s="1112">
        <f>($C157*0.07)+$C157</f>
        <v>2033</v>
      </c>
      <c r="K157" s="1112">
        <f>($C157*0.08)+$C157</f>
        <v>2052</v>
      </c>
      <c r="L157" s="1112">
        <f>($C157*0.09)+$C157</f>
        <v>2071</v>
      </c>
      <c r="M157" s="1112">
        <f>($C157*0.1)+$C157</f>
        <v>2090</v>
      </c>
      <c r="N157" s="1112">
        <f>($C157*0.11)+$C157</f>
        <v>2109</v>
      </c>
      <c r="O157" s="1112">
        <f>($C157*0.12)+$C157</f>
        <v>2128</v>
      </c>
      <c r="P157" s="1112">
        <f>($C157*0.13)+$C157</f>
        <v>2147</v>
      </c>
      <c r="Q157" s="1112">
        <f>($C157*0.14)+$C157</f>
        <v>2166</v>
      </c>
      <c r="R157" s="1112">
        <f>($C157*0.15)+$C157</f>
        <v>2185</v>
      </c>
      <c r="S157" s="1112">
        <f>($C157*0.16)+$C157</f>
        <v>2204</v>
      </c>
      <c r="T157" s="1112">
        <f>($C157*0.17)+$C157</f>
        <v>2223</v>
      </c>
      <c r="U157" s="1112">
        <f>($C157*0.18)+$C157</f>
        <v>2242</v>
      </c>
      <c r="V157" s="1112">
        <f>($C157*0.19)+$C157</f>
        <v>2261</v>
      </c>
      <c r="W157" s="1112">
        <f>($C157*0.2)+$C157</f>
        <v>2280</v>
      </c>
      <c r="X157" s="1112">
        <f>($C157*0.21)+$C157</f>
        <v>2299</v>
      </c>
      <c r="Y157" s="1112">
        <f>($C157*0.22)+$C157</f>
        <v>2318</v>
      </c>
      <c r="Z157" s="1112">
        <f>($C157*0.23)+$C157</f>
        <v>2337</v>
      </c>
      <c r="AA157" s="1112">
        <f>($C157*0.24)+$C157</f>
        <v>2356</v>
      </c>
      <c r="AB157" s="1112">
        <f>($C157*0.25)+$C157</f>
        <v>2375</v>
      </c>
      <c r="AC157" s="1112">
        <f>($C157*0.26)+$C157</f>
        <v>2394</v>
      </c>
      <c r="AD157" s="1112">
        <f>($C157*0.27)+$C157</f>
        <v>2413</v>
      </c>
      <c r="AE157" s="1112">
        <f>($C157*0.28)+$C157</f>
        <v>2432</v>
      </c>
      <c r="AF157" s="1112">
        <f>($C157*0.29)+$C157</f>
        <v>2451</v>
      </c>
      <c r="AG157" s="1112">
        <f>($C157*0.3)+$C157</f>
        <v>2470</v>
      </c>
    </row>
    <row r="158" spans="1:33" ht="75">
      <c r="A158" s="4" t="s">
        <v>154</v>
      </c>
      <c r="B158" s="4" t="s">
        <v>155</v>
      </c>
      <c r="C158" s="5">
        <v>2500</v>
      </c>
      <c r="D158" s="1112">
        <f>($C158*0.01)+$C158</f>
        <v>2525</v>
      </c>
      <c r="E158" s="1112">
        <f>($C158*0.02)+$C158</f>
        <v>2550</v>
      </c>
      <c r="F158" s="1112">
        <f>($C158*0.03)+$C158</f>
        <v>2575</v>
      </c>
      <c r="G158" s="1112">
        <f>($C158*0.04)+$C158</f>
        <v>2600</v>
      </c>
      <c r="H158" s="1112">
        <f>($C158*0.05)+$C158</f>
        <v>2625</v>
      </c>
      <c r="I158" s="1112">
        <f>($C158*0.06)+$C158</f>
        <v>2650</v>
      </c>
      <c r="J158" s="1112">
        <f>($C158*0.07)+$C158</f>
        <v>2675</v>
      </c>
      <c r="K158" s="1112">
        <f>($C158*0.08)+$C158</f>
        <v>2700</v>
      </c>
      <c r="L158" s="1112">
        <f>($C158*0.09)+$C158</f>
        <v>2725</v>
      </c>
      <c r="M158" s="1112">
        <f>($C158*0.1)+$C158</f>
        <v>2750</v>
      </c>
      <c r="N158" s="1112">
        <f>($C158*0.11)+$C158</f>
        <v>2775</v>
      </c>
      <c r="O158" s="1112">
        <f>($C158*0.12)+$C158</f>
        <v>2800</v>
      </c>
      <c r="P158" s="1112">
        <f>($C158*0.13)+$C158</f>
        <v>2825</v>
      </c>
      <c r="Q158" s="1112">
        <f>($C158*0.14)+$C158</f>
        <v>2850</v>
      </c>
      <c r="R158" s="1112">
        <f>($C158*0.15)+$C158</f>
        <v>2875</v>
      </c>
      <c r="S158" s="1112">
        <f>($C158*0.16)+$C158</f>
        <v>2900</v>
      </c>
      <c r="T158" s="1112">
        <f>($C158*0.17)+$C158</f>
        <v>2925</v>
      </c>
      <c r="U158" s="1112">
        <f>($C158*0.18)+$C158</f>
        <v>2950</v>
      </c>
      <c r="V158" s="1112">
        <f>($C158*0.19)+$C158</f>
        <v>2975</v>
      </c>
      <c r="W158" s="1112">
        <f>($C158*0.2)+$C158</f>
        <v>3000</v>
      </c>
      <c r="X158" s="1112">
        <f>($C158*0.21)+$C158</f>
        <v>3025</v>
      </c>
      <c r="Y158" s="1112">
        <f>($C158*0.22)+$C158</f>
        <v>3050</v>
      </c>
      <c r="Z158" s="1112">
        <f>($C158*0.23)+$C158</f>
        <v>3075</v>
      </c>
      <c r="AA158" s="1112">
        <f>($C158*0.24)+$C158</f>
        <v>3100</v>
      </c>
      <c r="AB158" s="1112">
        <f>($C158*0.25)+$C158</f>
        <v>3125</v>
      </c>
      <c r="AC158" s="1112">
        <f>($C158*0.26)+$C158</f>
        <v>3150</v>
      </c>
      <c r="AD158" s="1112">
        <f>($C158*0.27)+$C158</f>
        <v>3175</v>
      </c>
      <c r="AE158" s="1112">
        <f>($C158*0.28)+$C158</f>
        <v>3200</v>
      </c>
      <c r="AF158" s="1112">
        <f>($C158*0.29)+$C158</f>
        <v>3225</v>
      </c>
      <c r="AG158" s="1112">
        <f>($C158*0.3)+$C158</f>
        <v>3250</v>
      </c>
    </row>
    <row r="159" spans="1:33" ht="30">
      <c r="A159" s="4" t="s">
        <v>158</v>
      </c>
      <c r="B159" s="4" t="s">
        <v>159</v>
      </c>
      <c r="C159" s="5">
        <v>150</v>
      </c>
      <c r="D159" s="1112">
        <f>($C159*0.01)+$C159</f>
        <v>151.5</v>
      </c>
      <c r="E159" s="1112">
        <f>($C159*0.02)+$C159</f>
        <v>153</v>
      </c>
      <c r="F159" s="1112">
        <f>($C159*0.03)+$C159</f>
        <v>154.5</v>
      </c>
      <c r="G159" s="1112">
        <f>($C159*0.04)+$C159</f>
        <v>156</v>
      </c>
      <c r="H159" s="1112">
        <f>($C159*0.05)+$C159</f>
        <v>157.5</v>
      </c>
      <c r="I159" s="1112">
        <f>($C159*0.06)+$C159</f>
        <v>159</v>
      </c>
      <c r="J159" s="1112">
        <f>($C159*0.07)+$C159</f>
        <v>160.5</v>
      </c>
      <c r="K159" s="1112">
        <f>($C159*0.08)+$C159</f>
        <v>162</v>
      </c>
      <c r="L159" s="1112">
        <f>($C159*0.09)+$C159</f>
        <v>163.5</v>
      </c>
      <c r="M159" s="1112">
        <f>($C159*0.1)+$C159</f>
        <v>165</v>
      </c>
      <c r="N159" s="1112">
        <f>($C159*0.11)+$C159</f>
        <v>166.5</v>
      </c>
      <c r="O159" s="1112">
        <f>($C159*0.12)+$C159</f>
        <v>168</v>
      </c>
      <c r="P159" s="1112">
        <f>($C159*0.13)+$C159</f>
        <v>169.5</v>
      </c>
      <c r="Q159" s="1112">
        <f>($C159*0.14)+$C159</f>
        <v>171</v>
      </c>
      <c r="R159" s="1112">
        <f>($C159*0.15)+$C159</f>
        <v>172.5</v>
      </c>
      <c r="S159" s="1112">
        <f>($C159*0.16)+$C159</f>
        <v>174</v>
      </c>
      <c r="T159" s="1112">
        <f>($C159*0.17)+$C159</f>
        <v>175.5</v>
      </c>
      <c r="U159" s="1112">
        <f>($C159*0.18)+$C159</f>
        <v>177</v>
      </c>
      <c r="V159" s="1112">
        <f>($C159*0.19)+$C159</f>
        <v>178.5</v>
      </c>
      <c r="W159" s="1112">
        <f>($C159*0.2)+$C159</f>
        <v>180</v>
      </c>
      <c r="X159" s="1112">
        <f>($C159*0.21)+$C159</f>
        <v>181.5</v>
      </c>
      <c r="Y159" s="1112">
        <f>($C159*0.22)+$C159</f>
        <v>183</v>
      </c>
      <c r="Z159" s="1112">
        <f>($C159*0.23)+$C159</f>
        <v>184.5</v>
      </c>
      <c r="AA159" s="1112">
        <f>($C159*0.24)+$C159</f>
        <v>186</v>
      </c>
      <c r="AB159" s="1112">
        <f>($C159*0.25)+$C159</f>
        <v>187.5</v>
      </c>
      <c r="AC159" s="1112">
        <f>($C159*0.26)+$C159</f>
        <v>189</v>
      </c>
      <c r="AD159" s="1112">
        <f>($C159*0.27)+$C159</f>
        <v>190.5</v>
      </c>
      <c r="AE159" s="1112">
        <f>($C159*0.28)+$C159</f>
        <v>192</v>
      </c>
      <c r="AF159" s="1112">
        <f>($C159*0.29)+$C159</f>
        <v>193.5</v>
      </c>
      <c r="AG159" s="1112">
        <f>($C159*0.3)+$C159</f>
        <v>195</v>
      </c>
    </row>
    <row r="160" spans="1:33" ht="45">
      <c r="A160" s="4" t="s">
        <v>162</v>
      </c>
      <c r="B160" s="4" t="s">
        <v>163</v>
      </c>
      <c r="C160" s="5">
        <v>1300</v>
      </c>
      <c r="D160" s="1112">
        <f>($C160*0.01)+$C160</f>
        <v>1313</v>
      </c>
      <c r="E160" s="1112">
        <f>($C160*0.02)+$C160</f>
        <v>1326</v>
      </c>
      <c r="F160" s="1112">
        <f>($C160*0.03)+$C160</f>
        <v>1339</v>
      </c>
      <c r="G160" s="1112">
        <f>($C160*0.04)+$C160</f>
        <v>1352</v>
      </c>
      <c r="H160" s="1112">
        <f>($C160*0.05)+$C160</f>
        <v>1365</v>
      </c>
      <c r="I160" s="1112">
        <f>($C160*0.06)+$C160</f>
        <v>1378</v>
      </c>
      <c r="J160" s="1112">
        <f>($C160*0.07)+$C160</f>
        <v>1391</v>
      </c>
      <c r="K160" s="1112">
        <f>($C160*0.08)+$C160</f>
        <v>1404</v>
      </c>
      <c r="L160" s="1112">
        <f>($C160*0.09)+$C160</f>
        <v>1417</v>
      </c>
      <c r="M160" s="1112">
        <f>($C160*0.1)+$C160</f>
        <v>1430</v>
      </c>
      <c r="N160" s="1112">
        <f>($C160*0.11)+$C160</f>
        <v>1443</v>
      </c>
      <c r="O160" s="1112">
        <f>($C160*0.12)+$C160</f>
        <v>1456</v>
      </c>
      <c r="P160" s="1112">
        <f>($C160*0.13)+$C160</f>
        <v>1469</v>
      </c>
      <c r="Q160" s="1112">
        <f>($C160*0.14)+$C160</f>
        <v>1482</v>
      </c>
      <c r="R160" s="1112">
        <f>($C160*0.15)+$C160</f>
        <v>1495</v>
      </c>
      <c r="S160" s="1112">
        <f>($C160*0.16)+$C160</f>
        <v>1508</v>
      </c>
      <c r="T160" s="1112">
        <f>($C160*0.17)+$C160</f>
        <v>1521</v>
      </c>
      <c r="U160" s="1112">
        <f>($C160*0.18)+$C160</f>
        <v>1534</v>
      </c>
      <c r="V160" s="1112">
        <f>($C160*0.19)+$C160</f>
        <v>1547</v>
      </c>
      <c r="W160" s="1112">
        <f>($C160*0.2)+$C160</f>
        <v>1560</v>
      </c>
      <c r="X160" s="1112">
        <f>($C160*0.21)+$C160</f>
        <v>1573</v>
      </c>
      <c r="Y160" s="1112">
        <f>($C160*0.22)+$C160</f>
        <v>1586</v>
      </c>
      <c r="Z160" s="1112">
        <f>($C160*0.23)+$C160</f>
        <v>1599</v>
      </c>
      <c r="AA160" s="1112">
        <f>($C160*0.24)+$C160</f>
        <v>1612</v>
      </c>
      <c r="AB160" s="1112">
        <f>($C160*0.25)+$C160</f>
        <v>1625</v>
      </c>
      <c r="AC160" s="1112">
        <f>($C160*0.26)+$C160</f>
        <v>1638</v>
      </c>
      <c r="AD160" s="1112">
        <f>($C160*0.27)+$C160</f>
        <v>1651</v>
      </c>
      <c r="AE160" s="1112">
        <f>($C160*0.28)+$C160</f>
        <v>1664</v>
      </c>
      <c r="AF160" s="1112">
        <f>($C160*0.29)+$C160</f>
        <v>1677</v>
      </c>
      <c r="AG160" s="1112">
        <f>($C160*0.3)+$C160</f>
        <v>1690</v>
      </c>
    </row>
    <row r="161" spans="1:33" ht="60">
      <c r="A161" s="4" t="s">
        <v>164</v>
      </c>
      <c r="B161" s="4" t="s">
        <v>165</v>
      </c>
      <c r="C161" s="5">
        <v>1500</v>
      </c>
      <c r="D161" s="1112">
        <f>($C161*0.01)+$C161</f>
        <v>1515</v>
      </c>
      <c r="E161" s="1112">
        <f>($C161*0.02)+$C161</f>
        <v>1530</v>
      </c>
      <c r="F161" s="1112">
        <f>($C161*0.03)+$C161</f>
        <v>1545</v>
      </c>
      <c r="G161" s="1112">
        <f>($C161*0.04)+$C161</f>
        <v>1560</v>
      </c>
      <c r="H161" s="1112">
        <f>($C161*0.05)+$C161</f>
        <v>1575</v>
      </c>
      <c r="I161" s="1112">
        <f>($C161*0.06)+$C161</f>
        <v>1590</v>
      </c>
      <c r="J161" s="1112">
        <f>($C161*0.07)+$C161</f>
        <v>1605</v>
      </c>
      <c r="K161" s="1112">
        <f>($C161*0.08)+$C161</f>
        <v>1620</v>
      </c>
      <c r="L161" s="1112">
        <f>($C161*0.09)+$C161</f>
        <v>1635</v>
      </c>
      <c r="M161" s="1112">
        <f>($C161*0.1)+$C161</f>
        <v>1650</v>
      </c>
      <c r="N161" s="1112">
        <f>($C161*0.11)+$C161</f>
        <v>1665</v>
      </c>
      <c r="O161" s="1112">
        <f>($C161*0.12)+$C161</f>
        <v>1680</v>
      </c>
      <c r="P161" s="1112">
        <f>($C161*0.13)+$C161</f>
        <v>1695</v>
      </c>
      <c r="Q161" s="1112">
        <f>($C161*0.14)+$C161</f>
        <v>1710</v>
      </c>
      <c r="R161" s="1112">
        <f>($C161*0.15)+$C161</f>
        <v>1725</v>
      </c>
      <c r="S161" s="1112">
        <f>($C161*0.16)+$C161</f>
        <v>1740</v>
      </c>
      <c r="T161" s="1112">
        <f>($C161*0.17)+$C161</f>
        <v>1755</v>
      </c>
      <c r="U161" s="1112">
        <f>($C161*0.18)+$C161</f>
        <v>1770</v>
      </c>
      <c r="V161" s="1112">
        <f>($C161*0.19)+$C161</f>
        <v>1785</v>
      </c>
      <c r="W161" s="1112">
        <f>($C161*0.2)+$C161</f>
        <v>1800</v>
      </c>
      <c r="X161" s="1112">
        <f>($C161*0.21)+$C161</f>
        <v>1815</v>
      </c>
      <c r="Y161" s="1112">
        <f>($C161*0.22)+$C161</f>
        <v>1830</v>
      </c>
      <c r="Z161" s="1112">
        <f>($C161*0.23)+$C161</f>
        <v>1845</v>
      </c>
      <c r="AA161" s="1112">
        <f>($C161*0.24)+$C161</f>
        <v>1860</v>
      </c>
      <c r="AB161" s="1112">
        <f>($C161*0.25)+$C161</f>
        <v>1875</v>
      </c>
      <c r="AC161" s="1112">
        <f>($C161*0.26)+$C161</f>
        <v>1890</v>
      </c>
      <c r="AD161" s="1112">
        <f>($C161*0.27)+$C161</f>
        <v>1905</v>
      </c>
      <c r="AE161" s="1112">
        <f>($C161*0.28)+$C161</f>
        <v>1920</v>
      </c>
      <c r="AF161" s="1112">
        <f>($C161*0.29)+$C161</f>
        <v>1935</v>
      </c>
      <c r="AG161" s="1112">
        <f>($C161*0.3)+$C161</f>
        <v>1950</v>
      </c>
    </row>
    <row r="162" spans="1:33" ht="30">
      <c r="A162" s="4" t="s">
        <v>166</v>
      </c>
      <c r="B162" s="4" t="s">
        <v>167</v>
      </c>
      <c r="C162" s="5">
        <v>200</v>
      </c>
      <c r="D162" s="1112">
        <f>($C162*0.01)+$C162</f>
        <v>202</v>
      </c>
      <c r="E162" s="1112">
        <f>($C162*0.02)+$C162</f>
        <v>204</v>
      </c>
      <c r="F162" s="1112">
        <f>($C162*0.03)+$C162</f>
        <v>206</v>
      </c>
      <c r="G162" s="1112">
        <f>($C162*0.04)+$C162</f>
        <v>208</v>
      </c>
      <c r="H162" s="1112">
        <f>($C162*0.05)+$C162</f>
        <v>210</v>
      </c>
      <c r="I162" s="1112">
        <f>($C162*0.06)+$C162</f>
        <v>212</v>
      </c>
      <c r="J162" s="1112">
        <f>($C162*0.07)+$C162</f>
        <v>214</v>
      </c>
      <c r="K162" s="1112">
        <f>($C162*0.08)+$C162</f>
        <v>216</v>
      </c>
      <c r="L162" s="1112">
        <f>($C162*0.09)+$C162</f>
        <v>218</v>
      </c>
      <c r="M162" s="1112">
        <f>($C162*0.1)+$C162</f>
        <v>220</v>
      </c>
      <c r="N162" s="1112">
        <f>($C162*0.11)+$C162</f>
        <v>222</v>
      </c>
      <c r="O162" s="1112">
        <f>($C162*0.12)+$C162</f>
        <v>224</v>
      </c>
      <c r="P162" s="1112">
        <f>($C162*0.13)+$C162</f>
        <v>226</v>
      </c>
      <c r="Q162" s="1112">
        <f>($C162*0.14)+$C162</f>
        <v>228</v>
      </c>
      <c r="R162" s="1112">
        <f>($C162*0.15)+$C162</f>
        <v>230</v>
      </c>
      <c r="S162" s="1112">
        <f>($C162*0.16)+$C162</f>
        <v>232</v>
      </c>
      <c r="T162" s="1112">
        <f>($C162*0.17)+$C162</f>
        <v>234</v>
      </c>
      <c r="U162" s="1112">
        <f>($C162*0.18)+$C162</f>
        <v>236</v>
      </c>
      <c r="V162" s="1112">
        <f>($C162*0.19)+$C162</f>
        <v>238</v>
      </c>
      <c r="W162" s="1112">
        <f>($C162*0.2)+$C162</f>
        <v>240</v>
      </c>
      <c r="X162" s="1112">
        <f>($C162*0.21)+$C162</f>
        <v>242</v>
      </c>
      <c r="Y162" s="1112">
        <f>($C162*0.22)+$C162</f>
        <v>244</v>
      </c>
      <c r="Z162" s="1112">
        <f>($C162*0.23)+$C162</f>
        <v>246</v>
      </c>
      <c r="AA162" s="1112">
        <f>($C162*0.24)+$C162</f>
        <v>248</v>
      </c>
      <c r="AB162" s="1112">
        <f>($C162*0.25)+$C162</f>
        <v>250</v>
      </c>
      <c r="AC162" s="1112">
        <f>($C162*0.26)+$C162</f>
        <v>252</v>
      </c>
      <c r="AD162" s="1112">
        <f>($C162*0.27)+$C162</f>
        <v>254</v>
      </c>
      <c r="AE162" s="1112">
        <f>($C162*0.28)+$C162</f>
        <v>256</v>
      </c>
      <c r="AF162" s="1112">
        <f>($C162*0.29)+$C162</f>
        <v>258</v>
      </c>
      <c r="AG162" s="1112">
        <f>($C162*0.3)+$C162</f>
        <v>260</v>
      </c>
    </row>
    <row r="163" spans="1:33" ht="30">
      <c r="A163" s="4" t="s">
        <v>168</v>
      </c>
      <c r="B163" s="4" t="s">
        <v>169</v>
      </c>
      <c r="C163" s="5">
        <v>300</v>
      </c>
      <c r="D163" s="1112">
        <f>($C163*0.01)+$C163</f>
        <v>303</v>
      </c>
      <c r="E163" s="1112">
        <f>($C163*0.02)+$C163</f>
        <v>306</v>
      </c>
      <c r="F163" s="1112">
        <f>($C163*0.03)+$C163</f>
        <v>309</v>
      </c>
      <c r="G163" s="1112">
        <f>($C163*0.04)+$C163</f>
        <v>312</v>
      </c>
      <c r="H163" s="1112">
        <f>($C163*0.05)+$C163</f>
        <v>315</v>
      </c>
      <c r="I163" s="1112">
        <f>($C163*0.06)+$C163</f>
        <v>318</v>
      </c>
      <c r="J163" s="1112">
        <f>($C163*0.07)+$C163</f>
        <v>321</v>
      </c>
      <c r="K163" s="1112">
        <f>($C163*0.08)+$C163</f>
        <v>324</v>
      </c>
      <c r="L163" s="1112">
        <f>($C163*0.09)+$C163</f>
        <v>327</v>
      </c>
      <c r="M163" s="1112">
        <f>($C163*0.1)+$C163</f>
        <v>330</v>
      </c>
      <c r="N163" s="1112">
        <f>($C163*0.11)+$C163</f>
        <v>333</v>
      </c>
      <c r="O163" s="1112">
        <f>($C163*0.12)+$C163</f>
        <v>336</v>
      </c>
      <c r="P163" s="1112">
        <f>($C163*0.13)+$C163</f>
        <v>339</v>
      </c>
      <c r="Q163" s="1112">
        <f>($C163*0.14)+$C163</f>
        <v>342</v>
      </c>
      <c r="R163" s="1112">
        <f>($C163*0.15)+$C163</f>
        <v>345</v>
      </c>
      <c r="S163" s="1112">
        <f>($C163*0.16)+$C163</f>
        <v>348</v>
      </c>
      <c r="T163" s="1112">
        <f>($C163*0.17)+$C163</f>
        <v>351</v>
      </c>
      <c r="U163" s="1112">
        <f>($C163*0.18)+$C163</f>
        <v>354</v>
      </c>
      <c r="V163" s="1112">
        <f>($C163*0.19)+$C163</f>
        <v>357</v>
      </c>
      <c r="W163" s="1112">
        <f>($C163*0.2)+$C163</f>
        <v>360</v>
      </c>
      <c r="X163" s="1112">
        <f>($C163*0.21)+$C163</f>
        <v>363</v>
      </c>
      <c r="Y163" s="1112">
        <f>($C163*0.22)+$C163</f>
        <v>366</v>
      </c>
      <c r="Z163" s="1112">
        <f>($C163*0.23)+$C163</f>
        <v>369</v>
      </c>
      <c r="AA163" s="1112">
        <f>($C163*0.24)+$C163</f>
        <v>372</v>
      </c>
      <c r="AB163" s="1112">
        <f>($C163*0.25)+$C163</f>
        <v>375</v>
      </c>
      <c r="AC163" s="1112">
        <f>($C163*0.26)+$C163</f>
        <v>378</v>
      </c>
      <c r="AD163" s="1112">
        <f>($C163*0.27)+$C163</f>
        <v>381</v>
      </c>
      <c r="AE163" s="1112">
        <f>($C163*0.28)+$C163</f>
        <v>384</v>
      </c>
      <c r="AF163" s="1112">
        <f>($C163*0.29)+$C163</f>
        <v>387</v>
      </c>
      <c r="AG163" s="1112">
        <f>($C163*0.3)+$C163</f>
        <v>390</v>
      </c>
    </row>
    <row r="164" spans="1:33" ht="30">
      <c r="A164" s="4" t="s">
        <v>170</v>
      </c>
      <c r="B164" s="4" t="s">
        <v>171</v>
      </c>
      <c r="C164" s="5">
        <v>350</v>
      </c>
      <c r="D164" s="1112">
        <f>($C164*0.01)+$C164</f>
        <v>353.5</v>
      </c>
      <c r="E164" s="1112">
        <f>($C164*0.02)+$C164</f>
        <v>357</v>
      </c>
      <c r="F164" s="1112">
        <f>($C164*0.03)+$C164</f>
        <v>360.5</v>
      </c>
      <c r="G164" s="1112">
        <f>($C164*0.04)+$C164</f>
        <v>364</v>
      </c>
      <c r="H164" s="1112">
        <f>($C164*0.05)+$C164</f>
        <v>367.5</v>
      </c>
      <c r="I164" s="1112">
        <f>($C164*0.06)+$C164</f>
        <v>371</v>
      </c>
      <c r="J164" s="1112">
        <f>($C164*0.07)+$C164</f>
        <v>374.5</v>
      </c>
      <c r="K164" s="1112">
        <f>($C164*0.08)+$C164</f>
        <v>378</v>
      </c>
      <c r="L164" s="1112">
        <f>($C164*0.09)+$C164</f>
        <v>381.5</v>
      </c>
      <c r="M164" s="1112">
        <f>($C164*0.1)+$C164</f>
        <v>385</v>
      </c>
      <c r="N164" s="1112">
        <f>($C164*0.11)+$C164</f>
        <v>388.5</v>
      </c>
      <c r="O164" s="1112">
        <f>($C164*0.12)+$C164</f>
        <v>392</v>
      </c>
      <c r="P164" s="1112">
        <f>($C164*0.13)+$C164</f>
        <v>395.5</v>
      </c>
      <c r="Q164" s="1112">
        <f>($C164*0.14)+$C164</f>
        <v>399</v>
      </c>
      <c r="R164" s="1112">
        <f>($C164*0.15)+$C164</f>
        <v>402.5</v>
      </c>
      <c r="S164" s="1112">
        <f>($C164*0.16)+$C164</f>
        <v>406</v>
      </c>
      <c r="T164" s="1112">
        <f>($C164*0.17)+$C164</f>
        <v>409.5</v>
      </c>
      <c r="U164" s="1112">
        <f>($C164*0.18)+$C164</f>
        <v>413</v>
      </c>
      <c r="V164" s="1112">
        <f>($C164*0.19)+$C164</f>
        <v>416.5</v>
      </c>
      <c r="W164" s="1112">
        <f>($C164*0.2)+$C164</f>
        <v>420</v>
      </c>
      <c r="X164" s="1112">
        <f>($C164*0.21)+$C164</f>
        <v>423.5</v>
      </c>
      <c r="Y164" s="1112">
        <f>($C164*0.22)+$C164</f>
        <v>427</v>
      </c>
      <c r="Z164" s="1112">
        <f>($C164*0.23)+$C164</f>
        <v>430.5</v>
      </c>
      <c r="AA164" s="1112">
        <f>($C164*0.24)+$C164</f>
        <v>434</v>
      </c>
      <c r="AB164" s="1112">
        <f>($C164*0.25)+$C164</f>
        <v>437.5</v>
      </c>
      <c r="AC164" s="1112">
        <f>($C164*0.26)+$C164</f>
        <v>441</v>
      </c>
      <c r="AD164" s="1112">
        <f>($C164*0.27)+$C164</f>
        <v>444.5</v>
      </c>
      <c r="AE164" s="1112">
        <f>($C164*0.28)+$C164</f>
        <v>448</v>
      </c>
      <c r="AF164" s="1112">
        <f>($C164*0.29)+$C164</f>
        <v>451.5</v>
      </c>
      <c r="AG164" s="1112">
        <f>($C164*0.3)+$C164</f>
        <v>455</v>
      </c>
    </row>
    <row r="165" spans="1:33" ht="15">
      <c r="A165" s="4" t="s">
        <v>172</v>
      </c>
      <c r="B165" s="4" t="s">
        <v>173</v>
      </c>
      <c r="C165" s="5">
        <v>225</v>
      </c>
      <c r="D165" s="1112">
        <f>($C165*0.01)+$C165</f>
        <v>227.25</v>
      </c>
      <c r="E165" s="1112">
        <f>($C165*0.02)+$C165</f>
        <v>229.5</v>
      </c>
      <c r="F165" s="1112">
        <f>($C165*0.03)+$C165</f>
        <v>231.75</v>
      </c>
      <c r="G165" s="1112">
        <f>($C165*0.04)+$C165</f>
        <v>234</v>
      </c>
      <c r="H165" s="1112">
        <f>($C165*0.05)+$C165</f>
        <v>236.25</v>
      </c>
      <c r="I165" s="1112">
        <f>($C165*0.06)+$C165</f>
        <v>238.5</v>
      </c>
      <c r="J165" s="1112">
        <f>($C165*0.07)+$C165</f>
        <v>240.75</v>
      </c>
      <c r="K165" s="1112">
        <f>($C165*0.08)+$C165</f>
        <v>243</v>
      </c>
      <c r="L165" s="1112">
        <f>($C165*0.09)+$C165</f>
        <v>245.25</v>
      </c>
      <c r="M165" s="1112">
        <f>($C165*0.1)+$C165</f>
        <v>247.5</v>
      </c>
      <c r="N165" s="1112">
        <f>($C165*0.11)+$C165</f>
        <v>249.75</v>
      </c>
      <c r="O165" s="1112">
        <f>($C165*0.12)+$C165</f>
        <v>252</v>
      </c>
      <c r="P165" s="1112">
        <f>($C165*0.13)+$C165</f>
        <v>254.25</v>
      </c>
      <c r="Q165" s="1112">
        <f>($C165*0.14)+$C165</f>
        <v>256.5</v>
      </c>
      <c r="R165" s="1112">
        <f>($C165*0.15)+$C165</f>
        <v>258.75</v>
      </c>
      <c r="S165" s="1112">
        <f>($C165*0.16)+$C165</f>
        <v>261</v>
      </c>
      <c r="T165" s="1112">
        <f>($C165*0.17)+$C165</f>
        <v>263.25</v>
      </c>
      <c r="U165" s="1112">
        <f>($C165*0.18)+$C165</f>
        <v>265.5</v>
      </c>
      <c r="V165" s="1112">
        <f>($C165*0.19)+$C165</f>
        <v>267.75</v>
      </c>
      <c r="W165" s="1112">
        <f>($C165*0.2)+$C165</f>
        <v>270</v>
      </c>
      <c r="X165" s="1112">
        <f>($C165*0.21)+$C165</f>
        <v>272.25</v>
      </c>
      <c r="Y165" s="1112">
        <f>($C165*0.22)+$C165</f>
        <v>274.5</v>
      </c>
      <c r="Z165" s="1112">
        <f>($C165*0.23)+$C165</f>
        <v>276.75</v>
      </c>
      <c r="AA165" s="1112">
        <f>($C165*0.24)+$C165</f>
        <v>279</v>
      </c>
      <c r="AB165" s="1112">
        <f>($C165*0.25)+$C165</f>
        <v>281.25</v>
      </c>
      <c r="AC165" s="1112">
        <f>($C165*0.26)+$C165</f>
        <v>283.5</v>
      </c>
      <c r="AD165" s="1112">
        <f>($C165*0.27)+$C165</f>
        <v>285.75</v>
      </c>
      <c r="AE165" s="1112">
        <f>($C165*0.28)+$C165</f>
        <v>288</v>
      </c>
      <c r="AF165" s="1112">
        <f>($C165*0.29)+$C165</f>
        <v>290.25</v>
      </c>
      <c r="AG165" s="1112">
        <f>($C165*0.3)+$C165</f>
        <v>292.5</v>
      </c>
    </row>
    <row r="166" spans="1:33" ht="30">
      <c r="A166" s="4" t="s">
        <v>174</v>
      </c>
      <c r="B166" s="4" t="s">
        <v>175</v>
      </c>
      <c r="C166" s="5">
        <v>225</v>
      </c>
      <c r="D166" s="1112">
        <f>($C166*0.01)+$C166</f>
        <v>227.25</v>
      </c>
      <c r="E166" s="1112">
        <f>($C166*0.02)+$C166</f>
        <v>229.5</v>
      </c>
      <c r="F166" s="1112">
        <f>($C166*0.03)+$C166</f>
        <v>231.75</v>
      </c>
      <c r="G166" s="1112">
        <f>($C166*0.04)+$C166</f>
        <v>234</v>
      </c>
      <c r="H166" s="1112">
        <f>($C166*0.05)+$C166</f>
        <v>236.25</v>
      </c>
      <c r="I166" s="1112">
        <f>($C166*0.06)+$C166</f>
        <v>238.5</v>
      </c>
      <c r="J166" s="1112">
        <f>($C166*0.07)+$C166</f>
        <v>240.75</v>
      </c>
      <c r="K166" s="1112">
        <f>($C166*0.08)+$C166</f>
        <v>243</v>
      </c>
      <c r="L166" s="1112">
        <f>($C166*0.09)+$C166</f>
        <v>245.25</v>
      </c>
      <c r="M166" s="1112">
        <f>($C166*0.1)+$C166</f>
        <v>247.5</v>
      </c>
      <c r="N166" s="1112">
        <f>($C166*0.11)+$C166</f>
        <v>249.75</v>
      </c>
      <c r="O166" s="1112">
        <f>($C166*0.12)+$C166</f>
        <v>252</v>
      </c>
      <c r="P166" s="1112">
        <f>($C166*0.13)+$C166</f>
        <v>254.25</v>
      </c>
      <c r="Q166" s="1112">
        <f>($C166*0.14)+$C166</f>
        <v>256.5</v>
      </c>
      <c r="R166" s="1112">
        <f>($C166*0.15)+$C166</f>
        <v>258.75</v>
      </c>
      <c r="S166" s="1112">
        <f>($C166*0.16)+$C166</f>
        <v>261</v>
      </c>
      <c r="T166" s="1112">
        <f>($C166*0.17)+$C166</f>
        <v>263.25</v>
      </c>
      <c r="U166" s="1112">
        <f>($C166*0.18)+$C166</f>
        <v>265.5</v>
      </c>
      <c r="V166" s="1112">
        <f>($C166*0.19)+$C166</f>
        <v>267.75</v>
      </c>
      <c r="W166" s="1112">
        <f>($C166*0.2)+$C166</f>
        <v>270</v>
      </c>
      <c r="X166" s="1112">
        <f>($C166*0.21)+$C166</f>
        <v>272.25</v>
      </c>
      <c r="Y166" s="1112">
        <f>($C166*0.22)+$C166</f>
        <v>274.5</v>
      </c>
      <c r="Z166" s="1112">
        <f>($C166*0.23)+$C166</f>
        <v>276.75</v>
      </c>
      <c r="AA166" s="1112">
        <f>($C166*0.24)+$C166</f>
        <v>279</v>
      </c>
      <c r="AB166" s="1112">
        <f>($C166*0.25)+$C166</f>
        <v>281.25</v>
      </c>
      <c r="AC166" s="1112">
        <f>($C166*0.26)+$C166</f>
        <v>283.5</v>
      </c>
      <c r="AD166" s="1112">
        <f>($C166*0.27)+$C166</f>
        <v>285.75</v>
      </c>
      <c r="AE166" s="1112">
        <f>($C166*0.28)+$C166</f>
        <v>288</v>
      </c>
      <c r="AF166" s="1112">
        <f>($C166*0.29)+$C166</f>
        <v>290.25</v>
      </c>
      <c r="AG166" s="1112">
        <f>($C166*0.3)+$C166</f>
        <v>292.5</v>
      </c>
    </row>
    <row r="167" spans="1:33" ht="45">
      <c r="A167" s="4" t="s">
        <v>176</v>
      </c>
      <c r="B167" s="4" t="s">
        <v>177</v>
      </c>
      <c r="C167" s="5">
        <v>1500</v>
      </c>
      <c r="D167" s="1112">
        <f>($C167*0.01)+$C167</f>
        <v>1515</v>
      </c>
      <c r="E167" s="1112">
        <f>($C167*0.02)+$C167</f>
        <v>1530</v>
      </c>
      <c r="F167" s="1112">
        <f>($C167*0.03)+$C167</f>
        <v>1545</v>
      </c>
      <c r="G167" s="1112">
        <f>($C167*0.04)+$C167</f>
        <v>1560</v>
      </c>
      <c r="H167" s="1112">
        <f>($C167*0.05)+$C167</f>
        <v>1575</v>
      </c>
      <c r="I167" s="1112">
        <f>($C167*0.06)+$C167</f>
        <v>1590</v>
      </c>
      <c r="J167" s="1112">
        <f>($C167*0.07)+$C167</f>
        <v>1605</v>
      </c>
      <c r="K167" s="1112">
        <f>($C167*0.08)+$C167</f>
        <v>1620</v>
      </c>
      <c r="L167" s="1112">
        <f>($C167*0.09)+$C167</f>
        <v>1635</v>
      </c>
      <c r="M167" s="1112">
        <f>($C167*0.1)+$C167</f>
        <v>1650</v>
      </c>
      <c r="N167" s="1112">
        <f>($C167*0.11)+$C167</f>
        <v>1665</v>
      </c>
      <c r="O167" s="1112">
        <f>($C167*0.12)+$C167</f>
        <v>1680</v>
      </c>
      <c r="P167" s="1112">
        <f>($C167*0.13)+$C167</f>
        <v>1695</v>
      </c>
      <c r="Q167" s="1112">
        <f>($C167*0.14)+$C167</f>
        <v>1710</v>
      </c>
      <c r="R167" s="1112">
        <f>($C167*0.15)+$C167</f>
        <v>1725</v>
      </c>
      <c r="S167" s="1112">
        <f>($C167*0.16)+$C167</f>
        <v>1740</v>
      </c>
      <c r="T167" s="1112">
        <f>($C167*0.17)+$C167</f>
        <v>1755</v>
      </c>
      <c r="U167" s="1112">
        <f>($C167*0.18)+$C167</f>
        <v>1770</v>
      </c>
      <c r="V167" s="1112">
        <f>($C167*0.19)+$C167</f>
        <v>1785</v>
      </c>
      <c r="W167" s="1112">
        <f>($C167*0.2)+$C167</f>
        <v>1800</v>
      </c>
      <c r="X167" s="1112">
        <f>($C167*0.21)+$C167</f>
        <v>1815</v>
      </c>
      <c r="Y167" s="1112">
        <f>($C167*0.22)+$C167</f>
        <v>1830</v>
      </c>
      <c r="Z167" s="1112">
        <f>($C167*0.23)+$C167</f>
        <v>1845</v>
      </c>
      <c r="AA167" s="1112">
        <f>($C167*0.24)+$C167</f>
        <v>1860</v>
      </c>
      <c r="AB167" s="1112">
        <f>($C167*0.25)+$C167</f>
        <v>1875</v>
      </c>
      <c r="AC167" s="1112">
        <f>($C167*0.26)+$C167</f>
        <v>1890</v>
      </c>
      <c r="AD167" s="1112">
        <f>($C167*0.27)+$C167</f>
        <v>1905</v>
      </c>
      <c r="AE167" s="1112">
        <f>($C167*0.28)+$C167</f>
        <v>1920</v>
      </c>
      <c r="AF167" s="1112">
        <f>($C167*0.29)+$C167</f>
        <v>1935</v>
      </c>
      <c r="AG167" s="1112">
        <f>($C167*0.3)+$C167</f>
        <v>1950</v>
      </c>
    </row>
    <row r="168" spans="1:33" ht="30">
      <c r="A168" s="4" t="s">
        <v>37669</v>
      </c>
      <c r="B168" s="4" t="s">
        <v>37681</v>
      </c>
      <c r="C168" s="5">
        <v>440</v>
      </c>
      <c r="D168" s="1112">
        <f>($C168*0.01)+$C168</f>
        <v>444.4</v>
      </c>
      <c r="E168" s="1112">
        <f>($C168*0.02)+$C168</f>
        <v>448.8</v>
      </c>
      <c r="F168" s="1112">
        <f>($C168*0.03)+$C168</f>
        <v>453.2</v>
      </c>
      <c r="G168" s="1112">
        <f>($C168*0.04)+$C168</f>
        <v>457.6</v>
      </c>
      <c r="H168" s="1112">
        <f>($C168*0.05)+$C168</f>
        <v>462</v>
      </c>
      <c r="I168" s="1112">
        <f>($C168*0.06)+$C168</f>
        <v>466.4</v>
      </c>
      <c r="J168" s="1112">
        <f>($C168*0.07)+$C168</f>
        <v>470.8</v>
      </c>
      <c r="K168" s="1112">
        <f>($C168*0.08)+$C168</f>
        <v>475.2</v>
      </c>
      <c r="L168" s="1112">
        <f>($C168*0.09)+$C168</f>
        <v>479.6</v>
      </c>
      <c r="M168" s="1112">
        <f>($C168*0.1)+$C168</f>
        <v>484</v>
      </c>
      <c r="N168" s="1112">
        <f>($C168*0.11)+$C168</f>
        <v>488.4</v>
      </c>
      <c r="O168" s="1112">
        <f>($C168*0.12)+$C168</f>
        <v>492.8</v>
      </c>
      <c r="P168" s="1112">
        <f>($C168*0.13)+$C168</f>
        <v>497.2</v>
      </c>
      <c r="Q168" s="1112">
        <f>($C168*0.14)+$C168</f>
        <v>501.6</v>
      </c>
      <c r="R168" s="1112">
        <f>($C168*0.15)+$C168</f>
        <v>506</v>
      </c>
      <c r="S168" s="1112">
        <f>($C168*0.16)+$C168</f>
        <v>510.4</v>
      </c>
      <c r="T168" s="1112">
        <f>($C168*0.17)+$C168</f>
        <v>514.79999999999995</v>
      </c>
      <c r="U168" s="1112">
        <f>($C168*0.18)+$C168</f>
        <v>519.20000000000005</v>
      </c>
      <c r="V168" s="1112">
        <f>($C168*0.19)+$C168</f>
        <v>523.6</v>
      </c>
      <c r="W168" s="1112">
        <f>($C168*0.2)+$C168</f>
        <v>528</v>
      </c>
      <c r="X168" s="1112">
        <f>($C168*0.21)+$C168</f>
        <v>532.4</v>
      </c>
      <c r="Y168" s="1112">
        <f>($C168*0.22)+$C168</f>
        <v>536.79999999999995</v>
      </c>
      <c r="Z168" s="1112">
        <f>($C168*0.23)+$C168</f>
        <v>541.20000000000005</v>
      </c>
      <c r="AA168" s="1112">
        <f>($C168*0.24)+$C168</f>
        <v>545.6</v>
      </c>
      <c r="AB168" s="1112">
        <f>($C168*0.25)+$C168</f>
        <v>550</v>
      </c>
      <c r="AC168" s="1112">
        <f>($C168*0.26)+$C168</f>
        <v>554.4</v>
      </c>
      <c r="AD168" s="1112">
        <f>($C168*0.27)+$C168</f>
        <v>558.79999999999995</v>
      </c>
      <c r="AE168" s="1112">
        <f>($C168*0.28)+$C168</f>
        <v>563.20000000000005</v>
      </c>
      <c r="AF168" s="1112">
        <f>($C168*0.29)+$C168</f>
        <v>567.6</v>
      </c>
      <c r="AG168" s="1112">
        <f>($C168*0.3)+$C168</f>
        <v>572</v>
      </c>
    </row>
    <row r="169" spans="1:33" ht="30">
      <c r="A169" s="4" t="s">
        <v>37670</v>
      </c>
      <c r="B169" s="4" t="s">
        <v>37682</v>
      </c>
      <c r="C169" s="5">
        <v>450</v>
      </c>
      <c r="D169" s="1112">
        <f>($C169*0.01)+$C169</f>
        <v>454.5</v>
      </c>
      <c r="E169" s="1112">
        <f>($C169*0.02)+$C169</f>
        <v>459</v>
      </c>
      <c r="F169" s="1112">
        <f>($C169*0.03)+$C169</f>
        <v>463.5</v>
      </c>
      <c r="G169" s="1112">
        <f>($C169*0.04)+$C169</f>
        <v>468</v>
      </c>
      <c r="H169" s="1112">
        <f>($C169*0.05)+$C169</f>
        <v>472.5</v>
      </c>
      <c r="I169" s="1112">
        <f>($C169*0.06)+$C169</f>
        <v>477</v>
      </c>
      <c r="J169" s="1112">
        <f>($C169*0.07)+$C169</f>
        <v>481.5</v>
      </c>
      <c r="K169" s="1112">
        <f>($C169*0.08)+$C169</f>
        <v>486</v>
      </c>
      <c r="L169" s="1112">
        <f>($C169*0.09)+$C169</f>
        <v>490.5</v>
      </c>
      <c r="M169" s="1112">
        <f>($C169*0.1)+$C169</f>
        <v>495</v>
      </c>
      <c r="N169" s="1112">
        <f>($C169*0.11)+$C169</f>
        <v>499.5</v>
      </c>
      <c r="O169" s="1112">
        <f>($C169*0.12)+$C169</f>
        <v>504</v>
      </c>
      <c r="P169" s="1112">
        <f>($C169*0.13)+$C169</f>
        <v>508.5</v>
      </c>
      <c r="Q169" s="1112">
        <f>($C169*0.14)+$C169</f>
        <v>513</v>
      </c>
      <c r="R169" s="1112">
        <f>($C169*0.15)+$C169</f>
        <v>517.5</v>
      </c>
      <c r="S169" s="1112">
        <f>($C169*0.16)+$C169</f>
        <v>522</v>
      </c>
      <c r="T169" s="1112">
        <f>($C169*0.17)+$C169</f>
        <v>526.5</v>
      </c>
      <c r="U169" s="1112">
        <f>($C169*0.18)+$C169</f>
        <v>531</v>
      </c>
      <c r="V169" s="1112">
        <f>($C169*0.19)+$C169</f>
        <v>535.5</v>
      </c>
      <c r="W169" s="1112">
        <f>($C169*0.2)+$C169</f>
        <v>540</v>
      </c>
      <c r="X169" s="1112">
        <f>($C169*0.21)+$C169</f>
        <v>544.5</v>
      </c>
      <c r="Y169" s="1112">
        <f>($C169*0.22)+$C169</f>
        <v>549</v>
      </c>
      <c r="Z169" s="1112">
        <f>($C169*0.23)+$C169</f>
        <v>553.5</v>
      </c>
      <c r="AA169" s="1112">
        <f>($C169*0.24)+$C169</f>
        <v>558</v>
      </c>
      <c r="AB169" s="1112">
        <f>($C169*0.25)+$C169</f>
        <v>562.5</v>
      </c>
      <c r="AC169" s="1112">
        <f>($C169*0.26)+$C169</f>
        <v>567</v>
      </c>
      <c r="AD169" s="1112">
        <f>($C169*0.27)+$C169</f>
        <v>571.5</v>
      </c>
      <c r="AE169" s="1112">
        <f>($C169*0.28)+$C169</f>
        <v>576</v>
      </c>
      <c r="AF169" s="1112">
        <f>($C169*0.29)+$C169</f>
        <v>580.5</v>
      </c>
      <c r="AG169" s="1112">
        <f>($C169*0.3)+$C169</f>
        <v>585</v>
      </c>
    </row>
    <row r="170" spans="1:33" ht="30">
      <c r="A170" s="4" t="s">
        <v>37671</v>
      </c>
      <c r="B170" s="4" t="s">
        <v>37683</v>
      </c>
      <c r="C170" s="5">
        <v>450</v>
      </c>
      <c r="D170" s="1112">
        <f>($C170*0.01)+$C170</f>
        <v>454.5</v>
      </c>
      <c r="E170" s="1112">
        <f>($C170*0.02)+$C170</f>
        <v>459</v>
      </c>
      <c r="F170" s="1112">
        <f>($C170*0.03)+$C170</f>
        <v>463.5</v>
      </c>
      <c r="G170" s="1112">
        <f>($C170*0.04)+$C170</f>
        <v>468</v>
      </c>
      <c r="H170" s="1112">
        <f>($C170*0.05)+$C170</f>
        <v>472.5</v>
      </c>
      <c r="I170" s="1112">
        <f>($C170*0.06)+$C170</f>
        <v>477</v>
      </c>
      <c r="J170" s="1112">
        <f>($C170*0.07)+$C170</f>
        <v>481.5</v>
      </c>
      <c r="K170" s="1112">
        <f>($C170*0.08)+$C170</f>
        <v>486</v>
      </c>
      <c r="L170" s="1112">
        <f>($C170*0.09)+$C170</f>
        <v>490.5</v>
      </c>
      <c r="M170" s="1112">
        <f>($C170*0.1)+$C170</f>
        <v>495</v>
      </c>
      <c r="N170" s="1112">
        <f>($C170*0.11)+$C170</f>
        <v>499.5</v>
      </c>
      <c r="O170" s="1112">
        <f>($C170*0.12)+$C170</f>
        <v>504</v>
      </c>
      <c r="P170" s="1112">
        <f>($C170*0.13)+$C170</f>
        <v>508.5</v>
      </c>
      <c r="Q170" s="1112">
        <f>($C170*0.14)+$C170</f>
        <v>513</v>
      </c>
      <c r="R170" s="1112">
        <f>($C170*0.15)+$C170</f>
        <v>517.5</v>
      </c>
      <c r="S170" s="1112">
        <f>($C170*0.16)+$C170</f>
        <v>522</v>
      </c>
      <c r="T170" s="1112">
        <f>($C170*0.17)+$C170</f>
        <v>526.5</v>
      </c>
      <c r="U170" s="1112">
        <f>($C170*0.18)+$C170</f>
        <v>531</v>
      </c>
      <c r="V170" s="1112">
        <f>($C170*0.19)+$C170</f>
        <v>535.5</v>
      </c>
      <c r="W170" s="1112">
        <f>($C170*0.2)+$C170</f>
        <v>540</v>
      </c>
      <c r="X170" s="1112">
        <f>($C170*0.21)+$C170</f>
        <v>544.5</v>
      </c>
      <c r="Y170" s="1112">
        <f>($C170*0.22)+$C170</f>
        <v>549</v>
      </c>
      <c r="Z170" s="1112">
        <f>($C170*0.23)+$C170</f>
        <v>553.5</v>
      </c>
      <c r="AA170" s="1112">
        <f>($C170*0.24)+$C170</f>
        <v>558</v>
      </c>
      <c r="AB170" s="1112">
        <f>($C170*0.25)+$C170</f>
        <v>562.5</v>
      </c>
      <c r="AC170" s="1112">
        <f>($C170*0.26)+$C170</f>
        <v>567</v>
      </c>
      <c r="AD170" s="1112">
        <f>($C170*0.27)+$C170</f>
        <v>571.5</v>
      </c>
      <c r="AE170" s="1112">
        <f>($C170*0.28)+$C170</f>
        <v>576</v>
      </c>
      <c r="AF170" s="1112">
        <f>($C170*0.29)+$C170</f>
        <v>580.5</v>
      </c>
      <c r="AG170" s="1112">
        <f>($C170*0.3)+$C170</f>
        <v>585</v>
      </c>
    </row>
    <row r="171" spans="1:33" ht="30">
      <c r="A171" s="4" t="s">
        <v>37672</v>
      </c>
      <c r="B171" s="4" t="s">
        <v>37684</v>
      </c>
      <c r="C171" s="5">
        <v>500</v>
      </c>
      <c r="D171" s="1112">
        <f>($C171*0.01)+$C171</f>
        <v>505</v>
      </c>
      <c r="E171" s="1112">
        <f>($C171*0.02)+$C171</f>
        <v>510</v>
      </c>
      <c r="F171" s="1112">
        <f>($C171*0.03)+$C171</f>
        <v>515</v>
      </c>
      <c r="G171" s="1112">
        <f>($C171*0.04)+$C171</f>
        <v>520</v>
      </c>
      <c r="H171" s="1112">
        <f>($C171*0.05)+$C171</f>
        <v>525</v>
      </c>
      <c r="I171" s="1112">
        <f>($C171*0.06)+$C171</f>
        <v>530</v>
      </c>
      <c r="J171" s="1112">
        <f>($C171*0.07)+$C171</f>
        <v>535</v>
      </c>
      <c r="K171" s="1112">
        <f>($C171*0.08)+$C171</f>
        <v>540</v>
      </c>
      <c r="L171" s="1112">
        <f>($C171*0.09)+$C171</f>
        <v>545</v>
      </c>
      <c r="M171" s="1112">
        <f>($C171*0.1)+$C171</f>
        <v>550</v>
      </c>
      <c r="N171" s="1112">
        <f>($C171*0.11)+$C171</f>
        <v>555</v>
      </c>
      <c r="O171" s="1112">
        <f>($C171*0.12)+$C171</f>
        <v>560</v>
      </c>
      <c r="P171" s="1112">
        <f>($C171*0.13)+$C171</f>
        <v>565</v>
      </c>
      <c r="Q171" s="1112">
        <f>($C171*0.14)+$C171</f>
        <v>570</v>
      </c>
      <c r="R171" s="1112">
        <f>($C171*0.15)+$C171</f>
        <v>575</v>
      </c>
      <c r="S171" s="1112">
        <f>($C171*0.16)+$C171</f>
        <v>580</v>
      </c>
      <c r="T171" s="1112">
        <f>($C171*0.17)+$C171</f>
        <v>585</v>
      </c>
      <c r="U171" s="1112">
        <f>($C171*0.18)+$C171</f>
        <v>590</v>
      </c>
      <c r="V171" s="1112">
        <f>($C171*0.19)+$C171</f>
        <v>595</v>
      </c>
      <c r="W171" s="1112">
        <f>($C171*0.2)+$C171</f>
        <v>600</v>
      </c>
      <c r="X171" s="1112">
        <f>($C171*0.21)+$C171</f>
        <v>605</v>
      </c>
      <c r="Y171" s="1112">
        <f>($C171*0.22)+$C171</f>
        <v>610</v>
      </c>
      <c r="Z171" s="1112">
        <f>($C171*0.23)+$C171</f>
        <v>615</v>
      </c>
      <c r="AA171" s="1112">
        <f>($C171*0.24)+$C171</f>
        <v>620</v>
      </c>
      <c r="AB171" s="1112">
        <f>($C171*0.25)+$C171</f>
        <v>625</v>
      </c>
      <c r="AC171" s="1112">
        <f>($C171*0.26)+$C171</f>
        <v>630</v>
      </c>
      <c r="AD171" s="1112">
        <f>($C171*0.27)+$C171</f>
        <v>635</v>
      </c>
      <c r="AE171" s="1112">
        <f>($C171*0.28)+$C171</f>
        <v>640</v>
      </c>
      <c r="AF171" s="1112">
        <f>($C171*0.29)+$C171</f>
        <v>645</v>
      </c>
      <c r="AG171" s="1112">
        <f>($C171*0.3)+$C171</f>
        <v>650</v>
      </c>
    </row>
    <row r="172" spans="1:33" ht="30">
      <c r="A172" s="4" t="s">
        <v>37673</v>
      </c>
      <c r="B172" s="4" t="s">
        <v>37685</v>
      </c>
      <c r="C172" s="5">
        <v>600</v>
      </c>
      <c r="D172" s="1112">
        <f>($C172*0.01)+$C172</f>
        <v>606</v>
      </c>
      <c r="E172" s="1112">
        <f>($C172*0.02)+$C172</f>
        <v>612</v>
      </c>
      <c r="F172" s="1112">
        <f>($C172*0.03)+$C172</f>
        <v>618</v>
      </c>
      <c r="G172" s="1112">
        <f>($C172*0.04)+$C172</f>
        <v>624</v>
      </c>
      <c r="H172" s="1112">
        <f>($C172*0.05)+$C172</f>
        <v>630</v>
      </c>
      <c r="I172" s="1112">
        <f>($C172*0.06)+$C172</f>
        <v>636</v>
      </c>
      <c r="J172" s="1112">
        <f>($C172*0.07)+$C172</f>
        <v>642</v>
      </c>
      <c r="K172" s="1112">
        <f>($C172*0.08)+$C172</f>
        <v>648</v>
      </c>
      <c r="L172" s="1112">
        <f>($C172*0.09)+$C172</f>
        <v>654</v>
      </c>
      <c r="M172" s="1112">
        <f>($C172*0.1)+$C172</f>
        <v>660</v>
      </c>
      <c r="N172" s="1112">
        <f>($C172*0.11)+$C172</f>
        <v>666</v>
      </c>
      <c r="O172" s="1112">
        <f>($C172*0.12)+$C172</f>
        <v>672</v>
      </c>
      <c r="P172" s="1112">
        <f>($C172*0.13)+$C172</f>
        <v>678</v>
      </c>
      <c r="Q172" s="1112">
        <f>($C172*0.14)+$C172</f>
        <v>684</v>
      </c>
      <c r="R172" s="1112">
        <f>($C172*0.15)+$C172</f>
        <v>690</v>
      </c>
      <c r="S172" s="1112">
        <f>($C172*0.16)+$C172</f>
        <v>696</v>
      </c>
      <c r="T172" s="1112">
        <f>($C172*0.17)+$C172</f>
        <v>702</v>
      </c>
      <c r="U172" s="1112">
        <f>($C172*0.18)+$C172</f>
        <v>708</v>
      </c>
      <c r="V172" s="1112">
        <f>($C172*0.19)+$C172</f>
        <v>714</v>
      </c>
      <c r="W172" s="1112">
        <f>($C172*0.2)+$C172</f>
        <v>720</v>
      </c>
      <c r="X172" s="1112">
        <f>($C172*0.21)+$C172</f>
        <v>726</v>
      </c>
      <c r="Y172" s="1112">
        <f>($C172*0.22)+$C172</f>
        <v>732</v>
      </c>
      <c r="Z172" s="1112">
        <f>($C172*0.23)+$C172</f>
        <v>738</v>
      </c>
      <c r="AA172" s="1112">
        <f>($C172*0.24)+$C172</f>
        <v>744</v>
      </c>
      <c r="AB172" s="1112">
        <f>($C172*0.25)+$C172</f>
        <v>750</v>
      </c>
      <c r="AC172" s="1112">
        <f>($C172*0.26)+$C172</f>
        <v>756</v>
      </c>
      <c r="AD172" s="1112">
        <f>($C172*0.27)+$C172</f>
        <v>762</v>
      </c>
      <c r="AE172" s="1112">
        <f>($C172*0.28)+$C172</f>
        <v>768</v>
      </c>
      <c r="AF172" s="1112">
        <f>($C172*0.29)+$C172</f>
        <v>774</v>
      </c>
      <c r="AG172" s="1112">
        <f>($C172*0.3)+$C172</f>
        <v>780</v>
      </c>
    </row>
    <row r="173" spans="1:33" ht="30">
      <c r="A173" s="4" t="s">
        <v>37674</v>
      </c>
      <c r="B173" s="4" t="s">
        <v>37686</v>
      </c>
      <c r="C173" s="5">
        <v>640</v>
      </c>
      <c r="D173" s="1112">
        <f>($C173*0.01)+$C173</f>
        <v>646.4</v>
      </c>
      <c r="E173" s="1112">
        <f>($C173*0.02)+$C173</f>
        <v>652.79999999999995</v>
      </c>
      <c r="F173" s="1112">
        <f>($C173*0.03)+$C173</f>
        <v>659.2</v>
      </c>
      <c r="G173" s="1112">
        <f>($C173*0.04)+$C173</f>
        <v>665.6</v>
      </c>
      <c r="H173" s="1112">
        <f>($C173*0.05)+$C173</f>
        <v>672</v>
      </c>
      <c r="I173" s="1112">
        <f>($C173*0.06)+$C173</f>
        <v>678.4</v>
      </c>
      <c r="J173" s="1112">
        <f>($C173*0.07)+$C173</f>
        <v>684.8</v>
      </c>
      <c r="K173" s="1112">
        <f>($C173*0.08)+$C173</f>
        <v>691.2</v>
      </c>
      <c r="L173" s="1112">
        <f>($C173*0.09)+$C173</f>
        <v>697.6</v>
      </c>
      <c r="M173" s="1112">
        <f>($C173*0.1)+$C173</f>
        <v>704</v>
      </c>
      <c r="N173" s="1112">
        <f>($C173*0.11)+$C173</f>
        <v>710.4</v>
      </c>
      <c r="O173" s="1112">
        <f>($C173*0.12)+$C173</f>
        <v>716.8</v>
      </c>
      <c r="P173" s="1112">
        <f>($C173*0.13)+$C173</f>
        <v>723.2</v>
      </c>
      <c r="Q173" s="1112">
        <f>($C173*0.14)+$C173</f>
        <v>729.6</v>
      </c>
      <c r="R173" s="1112">
        <f>($C173*0.15)+$C173</f>
        <v>736</v>
      </c>
      <c r="S173" s="1112">
        <f>($C173*0.16)+$C173</f>
        <v>742.4</v>
      </c>
      <c r="T173" s="1112">
        <f>($C173*0.17)+$C173</f>
        <v>748.8</v>
      </c>
      <c r="U173" s="1112">
        <f>($C173*0.18)+$C173</f>
        <v>755.2</v>
      </c>
      <c r="V173" s="1112">
        <f>($C173*0.19)+$C173</f>
        <v>761.6</v>
      </c>
      <c r="W173" s="1112">
        <f>($C173*0.2)+$C173</f>
        <v>768</v>
      </c>
      <c r="X173" s="1112">
        <f>($C173*0.21)+$C173</f>
        <v>774.4</v>
      </c>
      <c r="Y173" s="1112">
        <f>($C173*0.22)+$C173</f>
        <v>780.8</v>
      </c>
      <c r="Z173" s="1112">
        <f>($C173*0.23)+$C173</f>
        <v>787.2</v>
      </c>
      <c r="AA173" s="1112">
        <f>($C173*0.24)+$C173</f>
        <v>793.6</v>
      </c>
      <c r="AB173" s="1112">
        <f>($C173*0.25)+$C173</f>
        <v>800</v>
      </c>
      <c r="AC173" s="1112">
        <f>($C173*0.26)+$C173</f>
        <v>806.4</v>
      </c>
      <c r="AD173" s="1112">
        <f>($C173*0.27)+$C173</f>
        <v>812.8</v>
      </c>
      <c r="AE173" s="1112">
        <f>($C173*0.28)+$C173</f>
        <v>819.2</v>
      </c>
      <c r="AF173" s="1112">
        <f>($C173*0.29)+$C173</f>
        <v>825.6</v>
      </c>
      <c r="AG173" s="1112">
        <f>($C173*0.3)+$C173</f>
        <v>832</v>
      </c>
    </row>
    <row r="174" spans="1:33" ht="30">
      <c r="A174" s="4" t="s">
        <v>37675</v>
      </c>
      <c r="B174" s="4" t="s">
        <v>37687</v>
      </c>
      <c r="C174" s="5">
        <v>600</v>
      </c>
      <c r="D174" s="1112">
        <f>($C174*0.01)+$C174</f>
        <v>606</v>
      </c>
      <c r="E174" s="1112">
        <f>($C174*0.02)+$C174</f>
        <v>612</v>
      </c>
      <c r="F174" s="1112">
        <f>($C174*0.03)+$C174</f>
        <v>618</v>
      </c>
      <c r="G174" s="1112">
        <f>($C174*0.04)+$C174</f>
        <v>624</v>
      </c>
      <c r="H174" s="1112">
        <f>($C174*0.05)+$C174</f>
        <v>630</v>
      </c>
      <c r="I174" s="1112">
        <f>($C174*0.06)+$C174</f>
        <v>636</v>
      </c>
      <c r="J174" s="1112">
        <f>($C174*0.07)+$C174</f>
        <v>642</v>
      </c>
      <c r="K174" s="1112">
        <f>($C174*0.08)+$C174</f>
        <v>648</v>
      </c>
      <c r="L174" s="1112">
        <f>($C174*0.09)+$C174</f>
        <v>654</v>
      </c>
      <c r="M174" s="1112">
        <f>($C174*0.1)+$C174</f>
        <v>660</v>
      </c>
      <c r="N174" s="1112">
        <f>($C174*0.11)+$C174</f>
        <v>666</v>
      </c>
      <c r="O174" s="1112">
        <f>($C174*0.12)+$C174</f>
        <v>672</v>
      </c>
      <c r="P174" s="1112">
        <f>($C174*0.13)+$C174</f>
        <v>678</v>
      </c>
      <c r="Q174" s="1112">
        <f>($C174*0.14)+$C174</f>
        <v>684</v>
      </c>
      <c r="R174" s="1112">
        <f>($C174*0.15)+$C174</f>
        <v>690</v>
      </c>
      <c r="S174" s="1112">
        <f>($C174*0.16)+$C174</f>
        <v>696</v>
      </c>
      <c r="T174" s="1112">
        <f>($C174*0.17)+$C174</f>
        <v>702</v>
      </c>
      <c r="U174" s="1112">
        <f>($C174*0.18)+$C174</f>
        <v>708</v>
      </c>
      <c r="V174" s="1112">
        <f>($C174*0.19)+$C174</f>
        <v>714</v>
      </c>
      <c r="W174" s="1112">
        <f>($C174*0.2)+$C174</f>
        <v>720</v>
      </c>
      <c r="X174" s="1112">
        <f>($C174*0.21)+$C174</f>
        <v>726</v>
      </c>
      <c r="Y174" s="1112">
        <f>($C174*0.22)+$C174</f>
        <v>732</v>
      </c>
      <c r="Z174" s="1112">
        <f>($C174*0.23)+$C174</f>
        <v>738</v>
      </c>
      <c r="AA174" s="1112">
        <f>($C174*0.24)+$C174</f>
        <v>744</v>
      </c>
      <c r="AB174" s="1112">
        <f>($C174*0.25)+$C174</f>
        <v>750</v>
      </c>
      <c r="AC174" s="1112">
        <f>($C174*0.26)+$C174</f>
        <v>756</v>
      </c>
      <c r="AD174" s="1112">
        <f>($C174*0.27)+$C174</f>
        <v>762</v>
      </c>
      <c r="AE174" s="1112">
        <f>($C174*0.28)+$C174</f>
        <v>768</v>
      </c>
      <c r="AF174" s="1112">
        <f>($C174*0.29)+$C174</f>
        <v>774</v>
      </c>
      <c r="AG174" s="1112">
        <f>($C174*0.3)+$C174</f>
        <v>780</v>
      </c>
    </row>
    <row r="175" spans="1:33" ht="30">
      <c r="A175" s="4" t="s">
        <v>37676</v>
      </c>
      <c r="B175" s="4" t="s">
        <v>37688</v>
      </c>
      <c r="C175" s="5">
        <v>600</v>
      </c>
      <c r="D175" s="1112">
        <f>($C175*0.01)+$C175</f>
        <v>606</v>
      </c>
      <c r="E175" s="1112">
        <f>($C175*0.02)+$C175</f>
        <v>612</v>
      </c>
      <c r="F175" s="1112">
        <f>($C175*0.03)+$C175</f>
        <v>618</v>
      </c>
      <c r="G175" s="1112">
        <f>($C175*0.04)+$C175</f>
        <v>624</v>
      </c>
      <c r="H175" s="1112">
        <f>($C175*0.05)+$C175</f>
        <v>630</v>
      </c>
      <c r="I175" s="1112">
        <f>($C175*0.06)+$C175</f>
        <v>636</v>
      </c>
      <c r="J175" s="1112">
        <f>($C175*0.07)+$C175</f>
        <v>642</v>
      </c>
      <c r="K175" s="1112">
        <f>($C175*0.08)+$C175</f>
        <v>648</v>
      </c>
      <c r="L175" s="1112">
        <f>($C175*0.09)+$C175</f>
        <v>654</v>
      </c>
      <c r="M175" s="1112">
        <f>($C175*0.1)+$C175</f>
        <v>660</v>
      </c>
      <c r="N175" s="1112">
        <f>($C175*0.11)+$C175</f>
        <v>666</v>
      </c>
      <c r="O175" s="1112">
        <f>($C175*0.12)+$C175</f>
        <v>672</v>
      </c>
      <c r="P175" s="1112">
        <f>($C175*0.13)+$C175</f>
        <v>678</v>
      </c>
      <c r="Q175" s="1112">
        <f>($C175*0.14)+$C175</f>
        <v>684</v>
      </c>
      <c r="R175" s="1112">
        <f>($C175*0.15)+$C175</f>
        <v>690</v>
      </c>
      <c r="S175" s="1112">
        <f>($C175*0.16)+$C175</f>
        <v>696</v>
      </c>
      <c r="T175" s="1112">
        <f>($C175*0.17)+$C175</f>
        <v>702</v>
      </c>
      <c r="U175" s="1112">
        <f>($C175*0.18)+$C175</f>
        <v>708</v>
      </c>
      <c r="V175" s="1112">
        <f>($C175*0.19)+$C175</f>
        <v>714</v>
      </c>
      <c r="W175" s="1112">
        <f>($C175*0.2)+$C175</f>
        <v>720</v>
      </c>
      <c r="X175" s="1112">
        <f>($C175*0.21)+$C175</f>
        <v>726</v>
      </c>
      <c r="Y175" s="1112">
        <f>($C175*0.22)+$C175</f>
        <v>732</v>
      </c>
      <c r="Z175" s="1112">
        <f>($C175*0.23)+$C175</f>
        <v>738</v>
      </c>
      <c r="AA175" s="1112">
        <f>($C175*0.24)+$C175</f>
        <v>744</v>
      </c>
      <c r="AB175" s="1112">
        <f>($C175*0.25)+$C175</f>
        <v>750</v>
      </c>
      <c r="AC175" s="1112">
        <f>($C175*0.26)+$C175</f>
        <v>756</v>
      </c>
      <c r="AD175" s="1112">
        <f>($C175*0.27)+$C175</f>
        <v>762</v>
      </c>
      <c r="AE175" s="1112">
        <f>($C175*0.28)+$C175</f>
        <v>768</v>
      </c>
      <c r="AF175" s="1112">
        <f>($C175*0.29)+$C175</f>
        <v>774</v>
      </c>
      <c r="AG175" s="1112">
        <f>($C175*0.3)+$C175</f>
        <v>780</v>
      </c>
    </row>
    <row r="176" spans="1:33" ht="15">
      <c r="A176" s="4" t="s">
        <v>225</v>
      </c>
      <c r="B176" s="4" t="s">
        <v>37721</v>
      </c>
      <c r="C176" s="5">
        <v>1100</v>
      </c>
      <c r="D176" s="1112">
        <f>($C176*0.01)+$C176</f>
        <v>1111</v>
      </c>
      <c r="E176" s="1112">
        <f>($C176*0.02)+$C176</f>
        <v>1122</v>
      </c>
      <c r="F176" s="1112">
        <f>($C176*0.03)+$C176</f>
        <v>1133</v>
      </c>
      <c r="G176" s="1112">
        <f>($C176*0.04)+$C176</f>
        <v>1144</v>
      </c>
      <c r="H176" s="1112">
        <f>($C176*0.05)+$C176</f>
        <v>1155</v>
      </c>
      <c r="I176" s="1112">
        <f>($C176*0.06)+$C176</f>
        <v>1166</v>
      </c>
      <c r="J176" s="1112">
        <f>($C176*0.07)+$C176</f>
        <v>1177</v>
      </c>
      <c r="K176" s="1112">
        <f>($C176*0.08)+$C176</f>
        <v>1188</v>
      </c>
      <c r="L176" s="1112">
        <f>($C176*0.09)+$C176</f>
        <v>1199</v>
      </c>
      <c r="M176" s="1112">
        <f>($C176*0.1)+$C176</f>
        <v>1210</v>
      </c>
      <c r="N176" s="1112">
        <f>($C176*0.11)+$C176</f>
        <v>1221</v>
      </c>
      <c r="O176" s="1112">
        <f>($C176*0.12)+$C176</f>
        <v>1232</v>
      </c>
      <c r="P176" s="1112">
        <f>($C176*0.13)+$C176</f>
        <v>1243</v>
      </c>
      <c r="Q176" s="1112">
        <f>($C176*0.14)+$C176</f>
        <v>1254</v>
      </c>
      <c r="R176" s="1112">
        <f>($C176*0.15)+$C176</f>
        <v>1265</v>
      </c>
      <c r="S176" s="1112">
        <f>($C176*0.16)+$C176</f>
        <v>1276</v>
      </c>
      <c r="T176" s="1112">
        <f>($C176*0.17)+$C176</f>
        <v>1287</v>
      </c>
      <c r="U176" s="1112">
        <f>($C176*0.18)+$C176</f>
        <v>1298</v>
      </c>
      <c r="V176" s="1112">
        <f>($C176*0.19)+$C176</f>
        <v>1309</v>
      </c>
      <c r="W176" s="1112">
        <f>($C176*0.2)+$C176</f>
        <v>1320</v>
      </c>
      <c r="X176" s="1112">
        <f>($C176*0.21)+$C176</f>
        <v>1331</v>
      </c>
      <c r="Y176" s="1112">
        <f>($C176*0.22)+$C176</f>
        <v>1342</v>
      </c>
      <c r="Z176" s="1112">
        <f>($C176*0.23)+$C176</f>
        <v>1353</v>
      </c>
      <c r="AA176" s="1112">
        <f>($C176*0.24)+$C176</f>
        <v>1364</v>
      </c>
      <c r="AB176" s="1112">
        <f>($C176*0.25)+$C176</f>
        <v>1375</v>
      </c>
      <c r="AC176" s="1112">
        <f>($C176*0.26)+$C176</f>
        <v>1386</v>
      </c>
      <c r="AD176" s="1112">
        <f>($C176*0.27)+$C176</f>
        <v>1397</v>
      </c>
      <c r="AE176" s="1112">
        <f>($C176*0.28)+$C176</f>
        <v>1408</v>
      </c>
      <c r="AF176" s="1112">
        <f>($C176*0.29)+$C176</f>
        <v>1419</v>
      </c>
      <c r="AG176" s="1112">
        <f>($C176*0.3)+$C176</f>
        <v>1430</v>
      </c>
    </row>
    <row r="177" spans="1:33" ht="15">
      <c r="A177" s="4" t="s">
        <v>37677</v>
      </c>
      <c r="B177" s="4" t="s">
        <v>37689</v>
      </c>
      <c r="C177" s="5">
        <v>800</v>
      </c>
      <c r="D177" s="1112">
        <f>($C177*0.01)+$C177</f>
        <v>808</v>
      </c>
      <c r="E177" s="1112">
        <f>($C177*0.02)+$C177</f>
        <v>816</v>
      </c>
      <c r="F177" s="1112">
        <f>($C177*0.03)+$C177</f>
        <v>824</v>
      </c>
      <c r="G177" s="1112">
        <f>($C177*0.04)+$C177</f>
        <v>832</v>
      </c>
      <c r="H177" s="1112">
        <f>($C177*0.05)+$C177</f>
        <v>840</v>
      </c>
      <c r="I177" s="1112">
        <f>($C177*0.06)+$C177</f>
        <v>848</v>
      </c>
      <c r="J177" s="1112">
        <f>($C177*0.07)+$C177</f>
        <v>856</v>
      </c>
      <c r="K177" s="1112">
        <f>($C177*0.08)+$C177</f>
        <v>864</v>
      </c>
      <c r="L177" s="1112">
        <f>($C177*0.09)+$C177</f>
        <v>872</v>
      </c>
      <c r="M177" s="1112">
        <f>($C177*0.1)+$C177</f>
        <v>880</v>
      </c>
      <c r="N177" s="1112">
        <f>($C177*0.11)+$C177</f>
        <v>888</v>
      </c>
      <c r="O177" s="1112">
        <f>($C177*0.12)+$C177</f>
        <v>896</v>
      </c>
      <c r="P177" s="1112">
        <f>($C177*0.13)+$C177</f>
        <v>904</v>
      </c>
      <c r="Q177" s="1112">
        <f>($C177*0.14)+$C177</f>
        <v>912</v>
      </c>
      <c r="R177" s="1112">
        <f>($C177*0.15)+$C177</f>
        <v>920</v>
      </c>
      <c r="S177" s="1112">
        <f>($C177*0.16)+$C177</f>
        <v>928</v>
      </c>
      <c r="T177" s="1112">
        <f>($C177*0.17)+$C177</f>
        <v>936</v>
      </c>
      <c r="U177" s="1112">
        <f>($C177*0.18)+$C177</f>
        <v>944</v>
      </c>
      <c r="V177" s="1112">
        <f>($C177*0.19)+$C177</f>
        <v>952</v>
      </c>
      <c r="W177" s="1112">
        <f>($C177*0.2)+$C177</f>
        <v>960</v>
      </c>
      <c r="X177" s="1112">
        <f>($C177*0.21)+$C177</f>
        <v>968</v>
      </c>
      <c r="Y177" s="1112">
        <f>($C177*0.22)+$C177</f>
        <v>976</v>
      </c>
      <c r="Z177" s="1112">
        <f>($C177*0.23)+$C177</f>
        <v>984</v>
      </c>
      <c r="AA177" s="1112">
        <f>($C177*0.24)+$C177</f>
        <v>992</v>
      </c>
      <c r="AB177" s="1112">
        <f>($C177*0.25)+$C177</f>
        <v>1000</v>
      </c>
      <c r="AC177" s="1112">
        <f>($C177*0.26)+$C177</f>
        <v>1008</v>
      </c>
      <c r="AD177" s="1112">
        <f>($C177*0.27)+$C177</f>
        <v>1016</v>
      </c>
      <c r="AE177" s="1112">
        <f>($C177*0.28)+$C177</f>
        <v>1024</v>
      </c>
      <c r="AF177" s="1112">
        <f>($C177*0.29)+$C177</f>
        <v>1032</v>
      </c>
      <c r="AG177" s="1112">
        <f>($C177*0.3)+$C177</f>
        <v>1040</v>
      </c>
    </row>
    <row r="178" spans="1:33" ht="15">
      <c r="A178" s="4" t="s">
        <v>37678</v>
      </c>
      <c r="B178" s="4" t="s">
        <v>37690</v>
      </c>
      <c r="C178" s="5">
        <v>600</v>
      </c>
      <c r="D178" s="1112">
        <f>($C178*0.01)+$C178</f>
        <v>606</v>
      </c>
      <c r="E178" s="1112">
        <f>($C178*0.02)+$C178</f>
        <v>612</v>
      </c>
      <c r="F178" s="1112">
        <f>($C178*0.03)+$C178</f>
        <v>618</v>
      </c>
      <c r="G178" s="1112">
        <f>($C178*0.04)+$C178</f>
        <v>624</v>
      </c>
      <c r="H178" s="1112">
        <f>($C178*0.05)+$C178</f>
        <v>630</v>
      </c>
      <c r="I178" s="1112">
        <f>($C178*0.06)+$C178</f>
        <v>636</v>
      </c>
      <c r="J178" s="1112">
        <f>($C178*0.07)+$C178</f>
        <v>642</v>
      </c>
      <c r="K178" s="1112">
        <f>($C178*0.08)+$C178</f>
        <v>648</v>
      </c>
      <c r="L178" s="1112">
        <f>($C178*0.09)+$C178</f>
        <v>654</v>
      </c>
      <c r="M178" s="1112">
        <f>($C178*0.1)+$C178</f>
        <v>660</v>
      </c>
      <c r="N178" s="1112">
        <f>($C178*0.11)+$C178</f>
        <v>666</v>
      </c>
      <c r="O178" s="1112">
        <f>($C178*0.12)+$C178</f>
        <v>672</v>
      </c>
      <c r="P178" s="1112">
        <f>($C178*0.13)+$C178</f>
        <v>678</v>
      </c>
      <c r="Q178" s="1112">
        <f>($C178*0.14)+$C178</f>
        <v>684</v>
      </c>
      <c r="R178" s="1112">
        <f>($C178*0.15)+$C178</f>
        <v>690</v>
      </c>
      <c r="S178" s="1112">
        <f>($C178*0.16)+$C178</f>
        <v>696</v>
      </c>
      <c r="T178" s="1112">
        <f>($C178*0.17)+$C178</f>
        <v>702</v>
      </c>
      <c r="U178" s="1112">
        <f>($C178*0.18)+$C178</f>
        <v>708</v>
      </c>
      <c r="V178" s="1112">
        <f>($C178*0.19)+$C178</f>
        <v>714</v>
      </c>
      <c r="W178" s="1112">
        <f>($C178*0.2)+$C178</f>
        <v>720</v>
      </c>
      <c r="X178" s="1112">
        <f>($C178*0.21)+$C178</f>
        <v>726</v>
      </c>
      <c r="Y178" s="1112">
        <f>($C178*0.22)+$C178</f>
        <v>732</v>
      </c>
      <c r="Z178" s="1112">
        <f>($C178*0.23)+$C178</f>
        <v>738</v>
      </c>
      <c r="AA178" s="1112">
        <f>($C178*0.24)+$C178</f>
        <v>744</v>
      </c>
      <c r="AB178" s="1112">
        <f>($C178*0.25)+$C178</f>
        <v>750</v>
      </c>
      <c r="AC178" s="1112">
        <f>($C178*0.26)+$C178</f>
        <v>756</v>
      </c>
      <c r="AD178" s="1112">
        <f>($C178*0.27)+$C178</f>
        <v>762</v>
      </c>
      <c r="AE178" s="1112">
        <f>($C178*0.28)+$C178</f>
        <v>768</v>
      </c>
      <c r="AF178" s="1112">
        <f>($C178*0.29)+$C178</f>
        <v>774</v>
      </c>
      <c r="AG178" s="1112">
        <f>($C178*0.3)+$C178</f>
        <v>780</v>
      </c>
    </row>
    <row r="179" spans="1:33" ht="15">
      <c r="A179" s="4" t="s">
        <v>37679</v>
      </c>
      <c r="B179" s="4" t="s">
        <v>37690</v>
      </c>
      <c r="C179" s="5">
        <v>600</v>
      </c>
      <c r="D179" s="1112">
        <f>($C179*0.01)+$C179</f>
        <v>606</v>
      </c>
      <c r="E179" s="1112">
        <f>($C179*0.02)+$C179</f>
        <v>612</v>
      </c>
      <c r="F179" s="1112">
        <f>($C179*0.03)+$C179</f>
        <v>618</v>
      </c>
      <c r="G179" s="1112">
        <f>($C179*0.04)+$C179</f>
        <v>624</v>
      </c>
      <c r="H179" s="1112">
        <f>($C179*0.05)+$C179</f>
        <v>630</v>
      </c>
      <c r="I179" s="1112">
        <f>($C179*0.06)+$C179</f>
        <v>636</v>
      </c>
      <c r="J179" s="1112">
        <f>($C179*0.07)+$C179</f>
        <v>642</v>
      </c>
      <c r="K179" s="1112">
        <f>($C179*0.08)+$C179</f>
        <v>648</v>
      </c>
      <c r="L179" s="1112">
        <f>($C179*0.09)+$C179</f>
        <v>654</v>
      </c>
      <c r="M179" s="1112">
        <f>($C179*0.1)+$C179</f>
        <v>660</v>
      </c>
      <c r="N179" s="1112">
        <f>($C179*0.11)+$C179</f>
        <v>666</v>
      </c>
      <c r="O179" s="1112">
        <f>($C179*0.12)+$C179</f>
        <v>672</v>
      </c>
      <c r="P179" s="1112">
        <f>($C179*0.13)+$C179</f>
        <v>678</v>
      </c>
      <c r="Q179" s="1112">
        <f>($C179*0.14)+$C179</f>
        <v>684</v>
      </c>
      <c r="R179" s="1112">
        <f>($C179*0.15)+$C179</f>
        <v>690</v>
      </c>
      <c r="S179" s="1112">
        <f>($C179*0.16)+$C179</f>
        <v>696</v>
      </c>
      <c r="T179" s="1112">
        <f>($C179*0.17)+$C179</f>
        <v>702</v>
      </c>
      <c r="U179" s="1112">
        <f>($C179*0.18)+$C179</f>
        <v>708</v>
      </c>
      <c r="V179" s="1112">
        <f>($C179*0.19)+$C179</f>
        <v>714</v>
      </c>
      <c r="W179" s="1112">
        <f>($C179*0.2)+$C179</f>
        <v>720</v>
      </c>
      <c r="X179" s="1112">
        <f>($C179*0.21)+$C179</f>
        <v>726</v>
      </c>
      <c r="Y179" s="1112">
        <f>($C179*0.22)+$C179</f>
        <v>732</v>
      </c>
      <c r="Z179" s="1112">
        <f>($C179*0.23)+$C179</f>
        <v>738</v>
      </c>
      <c r="AA179" s="1112">
        <f>($C179*0.24)+$C179</f>
        <v>744</v>
      </c>
      <c r="AB179" s="1112">
        <f>($C179*0.25)+$C179</f>
        <v>750</v>
      </c>
      <c r="AC179" s="1112">
        <f>($C179*0.26)+$C179</f>
        <v>756</v>
      </c>
      <c r="AD179" s="1112">
        <f>($C179*0.27)+$C179</f>
        <v>762</v>
      </c>
      <c r="AE179" s="1112">
        <f>($C179*0.28)+$C179</f>
        <v>768</v>
      </c>
      <c r="AF179" s="1112">
        <f>($C179*0.29)+$C179</f>
        <v>774</v>
      </c>
      <c r="AG179" s="1112">
        <f>($C179*0.3)+$C179</f>
        <v>780</v>
      </c>
    </row>
    <row r="180" spans="1:33" ht="15">
      <c r="A180" s="4" t="s">
        <v>37680</v>
      </c>
      <c r="B180" s="4" t="s">
        <v>37691</v>
      </c>
      <c r="C180" s="5">
        <v>400</v>
      </c>
      <c r="D180" s="1112">
        <f>($C180*0.01)+$C180</f>
        <v>404</v>
      </c>
      <c r="E180" s="1112">
        <f>($C180*0.02)+$C180</f>
        <v>408</v>
      </c>
      <c r="F180" s="1112">
        <f>($C180*0.03)+$C180</f>
        <v>412</v>
      </c>
      <c r="G180" s="1112">
        <f>($C180*0.04)+$C180</f>
        <v>416</v>
      </c>
      <c r="H180" s="1112">
        <f>($C180*0.05)+$C180</f>
        <v>420</v>
      </c>
      <c r="I180" s="1112">
        <f>($C180*0.06)+$C180</f>
        <v>424</v>
      </c>
      <c r="J180" s="1112">
        <f>($C180*0.07)+$C180</f>
        <v>428</v>
      </c>
      <c r="K180" s="1112">
        <f>($C180*0.08)+$C180</f>
        <v>432</v>
      </c>
      <c r="L180" s="1112">
        <f>($C180*0.09)+$C180</f>
        <v>436</v>
      </c>
      <c r="M180" s="1112">
        <f>($C180*0.1)+$C180</f>
        <v>440</v>
      </c>
      <c r="N180" s="1112">
        <f>($C180*0.11)+$C180</f>
        <v>444</v>
      </c>
      <c r="O180" s="1112">
        <f>($C180*0.12)+$C180</f>
        <v>448</v>
      </c>
      <c r="P180" s="1112">
        <f>($C180*0.13)+$C180</f>
        <v>452</v>
      </c>
      <c r="Q180" s="1112">
        <f>($C180*0.14)+$C180</f>
        <v>456</v>
      </c>
      <c r="R180" s="1112">
        <f>($C180*0.15)+$C180</f>
        <v>460</v>
      </c>
      <c r="S180" s="1112">
        <f>($C180*0.16)+$C180</f>
        <v>464</v>
      </c>
      <c r="T180" s="1112">
        <f>($C180*0.17)+$C180</f>
        <v>468</v>
      </c>
      <c r="U180" s="1112">
        <f>($C180*0.18)+$C180</f>
        <v>472</v>
      </c>
      <c r="V180" s="1112">
        <f>($C180*0.19)+$C180</f>
        <v>476</v>
      </c>
      <c r="W180" s="1112">
        <f>($C180*0.2)+$C180</f>
        <v>480</v>
      </c>
      <c r="X180" s="1112">
        <f>($C180*0.21)+$C180</f>
        <v>484</v>
      </c>
      <c r="Y180" s="1112">
        <f>($C180*0.22)+$C180</f>
        <v>488</v>
      </c>
      <c r="Z180" s="1112">
        <f>($C180*0.23)+$C180</f>
        <v>492</v>
      </c>
      <c r="AA180" s="1112">
        <f>($C180*0.24)+$C180</f>
        <v>496</v>
      </c>
      <c r="AB180" s="1112">
        <f>($C180*0.25)+$C180</f>
        <v>500</v>
      </c>
      <c r="AC180" s="1112">
        <f>($C180*0.26)+$C180</f>
        <v>504</v>
      </c>
      <c r="AD180" s="1112">
        <f>($C180*0.27)+$C180</f>
        <v>508</v>
      </c>
      <c r="AE180" s="1112">
        <f>($C180*0.28)+$C180</f>
        <v>512</v>
      </c>
      <c r="AF180" s="1112">
        <f>($C180*0.29)+$C180</f>
        <v>516</v>
      </c>
      <c r="AG180" s="1112">
        <f>($C180*0.3)+$C180</f>
        <v>520</v>
      </c>
    </row>
    <row r="181" spans="1:33" ht="15">
      <c r="A181" s="4" t="s">
        <v>226</v>
      </c>
      <c r="B181" s="4" t="s">
        <v>37722</v>
      </c>
      <c r="C181" s="5">
        <v>200</v>
      </c>
      <c r="D181" s="1112">
        <f>($C181*0.01)+$C181</f>
        <v>202</v>
      </c>
      <c r="E181" s="1112">
        <f>($C181*0.02)+$C181</f>
        <v>204</v>
      </c>
      <c r="F181" s="1112">
        <f>($C181*0.03)+$C181</f>
        <v>206</v>
      </c>
      <c r="G181" s="1112">
        <f>($C181*0.04)+$C181</f>
        <v>208</v>
      </c>
      <c r="H181" s="1112">
        <f>($C181*0.05)+$C181</f>
        <v>210</v>
      </c>
      <c r="I181" s="1112">
        <f>($C181*0.06)+$C181</f>
        <v>212</v>
      </c>
      <c r="J181" s="1112">
        <f>($C181*0.07)+$C181</f>
        <v>214</v>
      </c>
      <c r="K181" s="1112">
        <f>($C181*0.08)+$C181</f>
        <v>216</v>
      </c>
      <c r="L181" s="1112">
        <f>($C181*0.09)+$C181</f>
        <v>218</v>
      </c>
      <c r="M181" s="1112">
        <f>($C181*0.1)+$C181</f>
        <v>220</v>
      </c>
      <c r="N181" s="1112">
        <f>($C181*0.11)+$C181</f>
        <v>222</v>
      </c>
      <c r="O181" s="1112">
        <f>($C181*0.12)+$C181</f>
        <v>224</v>
      </c>
      <c r="P181" s="1112">
        <f>($C181*0.13)+$C181</f>
        <v>226</v>
      </c>
      <c r="Q181" s="1112">
        <f>($C181*0.14)+$C181</f>
        <v>228</v>
      </c>
      <c r="R181" s="1112">
        <f>($C181*0.15)+$C181</f>
        <v>230</v>
      </c>
      <c r="S181" s="1112">
        <f>($C181*0.16)+$C181</f>
        <v>232</v>
      </c>
      <c r="T181" s="1112">
        <f>($C181*0.17)+$C181</f>
        <v>234</v>
      </c>
      <c r="U181" s="1112">
        <f>($C181*0.18)+$C181</f>
        <v>236</v>
      </c>
      <c r="V181" s="1112">
        <f>($C181*0.19)+$C181</f>
        <v>238</v>
      </c>
      <c r="W181" s="1112">
        <f>($C181*0.2)+$C181</f>
        <v>240</v>
      </c>
      <c r="X181" s="1112">
        <f>($C181*0.21)+$C181</f>
        <v>242</v>
      </c>
      <c r="Y181" s="1112">
        <f>($C181*0.22)+$C181</f>
        <v>244</v>
      </c>
      <c r="Z181" s="1112">
        <f>($C181*0.23)+$C181</f>
        <v>246</v>
      </c>
      <c r="AA181" s="1112">
        <f>($C181*0.24)+$C181</f>
        <v>248</v>
      </c>
      <c r="AB181" s="1112">
        <f>($C181*0.25)+$C181</f>
        <v>250</v>
      </c>
      <c r="AC181" s="1112">
        <f>($C181*0.26)+$C181</f>
        <v>252</v>
      </c>
      <c r="AD181" s="1112">
        <f>($C181*0.27)+$C181</f>
        <v>254</v>
      </c>
      <c r="AE181" s="1112">
        <f>($C181*0.28)+$C181</f>
        <v>256</v>
      </c>
      <c r="AF181" s="1112">
        <f>($C181*0.29)+$C181</f>
        <v>258</v>
      </c>
      <c r="AG181" s="1112">
        <f>($C181*0.3)+$C181</f>
        <v>260</v>
      </c>
    </row>
    <row r="182" spans="1:33" ht="15">
      <c r="A182" s="4" t="s">
        <v>227</v>
      </c>
      <c r="B182" s="4" t="s">
        <v>37723</v>
      </c>
      <c r="C182" s="5">
        <v>150</v>
      </c>
      <c r="D182" s="1112">
        <f>($C182*0.01)+$C182</f>
        <v>151.5</v>
      </c>
      <c r="E182" s="1112">
        <f>($C182*0.02)+$C182</f>
        <v>153</v>
      </c>
      <c r="F182" s="1112">
        <f>($C182*0.03)+$C182</f>
        <v>154.5</v>
      </c>
      <c r="G182" s="1112">
        <f>($C182*0.04)+$C182</f>
        <v>156</v>
      </c>
      <c r="H182" s="1112">
        <f>($C182*0.05)+$C182</f>
        <v>157.5</v>
      </c>
      <c r="I182" s="1112">
        <f>($C182*0.06)+$C182</f>
        <v>159</v>
      </c>
      <c r="J182" s="1112">
        <f>($C182*0.07)+$C182</f>
        <v>160.5</v>
      </c>
      <c r="K182" s="1112">
        <f>($C182*0.08)+$C182</f>
        <v>162</v>
      </c>
      <c r="L182" s="1112">
        <f>($C182*0.09)+$C182</f>
        <v>163.5</v>
      </c>
      <c r="M182" s="1112">
        <f>($C182*0.1)+$C182</f>
        <v>165</v>
      </c>
      <c r="N182" s="1112">
        <f>($C182*0.11)+$C182</f>
        <v>166.5</v>
      </c>
      <c r="O182" s="1112">
        <f>($C182*0.12)+$C182</f>
        <v>168</v>
      </c>
      <c r="P182" s="1112">
        <f>($C182*0.13)+$C182</f>
        <v>169.5</v>
      </c>
      <c r="Q182" s="1112">
        <f>($C182*0.14)+$C182</f>
        <v>171</v>
      </c>
      <c r="R182" s="1112">
        <f>($C182*0.15)+$C182</f>
        <v>172.5</v>
      </c>
      <c r="S182" s="1112">
        <f>($C182*0.16)+$C182</f>
        <v>174</v>
      </c>
      <c r="T182" s="1112">
        <f>($C182*0.17)+$C182</f>
        <v>175.5</v>
      </c>
      <c r="U182" s="1112">
        <f>($C182*0.18)+$C182</f>
        <v>177</v>
      </c>
      <c r="V182" s="1112">
        <f>($C182*0.19)+$C182</f>
        <v>178.5</v>
      </c>
      <c r="W182" s="1112">
        <f>($C182*0.2)+$C182</f>
        <v>180</v>
      </c>
      <c r="X182" s="1112">
        <f>($C182*0.21)+$C182</f>
        <v>181.5</v>
      </c>
      <c r="Y182" s="1112">
        <f>($C182*0.22)+$C182</f>
        <v>183</v>
      </c>
      <c r="Z182" s="1112">
        <f>($C182*0.23)+$C182</f>
        <v>184.5</v>
      </c>
      <c r="AA182" s="1112">
        <f>($C182*0.24)+$C182</f>
        <v>186</v>
      </c>
      <c r="AB182" s="1112">
        <f>($C182*0.25)+$C182</f>
        <v>187.5</v>
      </c>
      <c r="AC182" s="1112">
        <f>($C182*0.26)+$C182</f>
        <v>189</v>
      </c>
      <c r="AD182" s="1112">
        <f>($C182*0.27)+$C182</f>
        <v>190.5</v>
      </c>
      <c r="AE182" s="1112">
        <f>($C182*0.28)+$C182</f>
        <v>192</v>
      </c>
      <c r="AF182" s="1112">
        <f>($C182*0.29)+$C182</f>
        <v>193.5</v>
      </c>
      <c r="AG182" s="1112">
        <f>($C182*0.3)+$C182</f>
        <v>195</v>
      </c>
    </row>
    <row r="183" spans="1:33" ht="15">
      <c r="A183" s="4" t="s">
        <v>228</v>
      </c>
      <c r="B183" s="4" t="s">
        <v>229</v>
      </c>
      <c r="C183" s="5">
        <v>175</v>
      </c>
      <c r="D183" s="1112">
        <f>($C183*0.01)+$C183</f>
        <v>176.75</v>
      </c>
      <c r="E183" s="1112">
        <f>($C183*0.02)+$C183</f>
        <v>178.5</v>
      </c>
      <c r="F183" s="1112">
        <f>($C183*0.03)+$C183</f>
        <v>180.25</v>
      </c>
      <c r="G183" s="1112">
        <f>($C183*0.04)+$C183</f>
        <v>182</v>
      </c>
      <c r="H183" s="1112">
        <f>($C183*0.05)+$C183</f>
        <v>183.75</v>
      </c>
      <c r="I183" s="1112">
        <f>($C183*0.06)+$C183</f>
        <v>185.5</v>
      </c>
      <c r="J183" s="1112">
        <f>($C183*0.07)+$C183</f>
        <v>187.25</v>
      </c>
      <c r="K183" s="1112">
        <f>($C183*0.08)+$C183</f>
        <v>189</v>
      </c>
      <c r="L183" s="1112">
        <f>($C183*0.09)+$C183</f>
        <v>190.75</v>
      </c>
      <c r="M183" s="1112">
        <f>($C183*0.1)+$C183</f>
        <v>192.5</v>
      </c>
      <c r="N183" s="1112">
        <f>($C183*0.11)+$C183</f>
        <v>194.25</v>
      </c>
      <c r="O183" s="1112">
        <f>($C183*0.12)+$C183</f>
        <v>196</v>
      </c>
      <c r="P183" s="1112">
        <f>($C183*0.13)+$C183</f>
        <v>197.75</v>
      </c>
      <c r="Q183" s="1112">
        <f>($C183*0.14)+$C183</f>
        <v>199.5</v>
      </c>
      <c r="R183" s="1112">
        <f>($C183*0.15)+$C183</f>
        <v>201.25</v>
      </c>
      <c r="S183" s="1112">
        <f>($C183*0.16)+$C183</f>
        <v>203</v>
      </c>
      <c r="T183" s="1112">
        <f>($C183*0.17)+$C183</f>
        <v>204.75</v>
      </c>
      <c r="U183" s="1112">
        <f>($C183*0.18)+$C183</f>
        <v>206.5</v>
      </c>
      <c r="V183" s="1112">
        <f>($C183*0.19)+$C183</f>
        <v>208.25</v>
      </c>
      <c r="W183" s="1112">
        <f>($C183*0.2)+$C183</f>
        <v>210</v>
      </c>
      <c r="X183" s="1112">
        <f>($C183*0.21)+$C183</f>
        <v>211.75</v>
      </c>
      <c r="Y183" s="1112">
        <f>($C183*0.22)+$C183</f>
        <v>213.5</v>
      </c>
      <c r="Z183" s="1112">
        <f>($C183*0.23)+$C183</f>
        <v>215.25</v>
      </c>
      <c r="AA183" s="1112">
        <f>($C183*0.24)+$C183</f>
        <v>217</v>
      </c>
      <c r="AB183" s="1112">
        <f>($C183*0.25)+$C183</f>
        <v>218.75</v>
      </c>
      <c r="AC183" s="1112">
        <f>($C183*0.26)+$C183</f>
        <v>220.5</v>
      </c>
      <c r="AD183" s="1112">
        <f>($C183*0.27)+$C183</f>
        <v>222.25</v>
      </c>
      <c r="AE183" s="1112">
        <f>($C183*0.28)+$C183</f>
        <v>224</v>
      </c>
      <c r="AF183" s="1112">
        <f>($C183*0.29)+$C183</f>
        <v>225.75</v>
      </c>
      <c r="AG183" s="1112">
        <f>($C183*0.3)+$C183</f>
        <v>227.5</v>
      </c>
    </row>
    <row r="184" spans="1:33" ht="15">
      <c r="A184" s="4" t="s">
        <v>21997</v>
      </c>
      <c r="B184" s="4" t="s">
        <v>21985</v>
      </c>
      <c r="C184" s="5">
        <v>800</v>
      </c>
      <c r="D184" s="1112">
        <f>($C184*0.01)+$C184</f>
        <v>808</v>
      </c>
      <c r="E184" s="1112">
        <f>($C184*0.02)+$C184</f>
        <v>816</v>
      </c>
      <c r="F184" s="1112">
        <f>($C184*0.03)+$C184</f>
        <v>824</v>
      </c>
      <c r="G184" s="1112">
        <f>($C184*0.04)+$C184</f>
        <v>832</v>
      </c>
      <c r="H184" s="1112">
        <f>($C184*0.05)+$C184</f>
        <v>840</v>
      </c>
      <c r="I184" s="1112">
        <f>($C184*0.06)+$C184</f>
        <v>848</v>
      </c>
      <c r="J184" s="1112">
        <f>($C184*0.07)+$C184</f>
        <v>856</v>
      </c>
      <c r="K184" s="1112">
        <f>($C184*0.08)+$C184</f>
        <v>864</v>
      </c>
      <c r="L184" s="1112">
        <f>($C184*0.09)+$C184</f>
        <v>872</v>
      </c>
      <c r="M184" s="1112">
        <f>($C184*0.1)+$C184</f>
        <v>880</v>
      </c>
      <c r="N184" s="1112">
        <f>($C184*0.11)+$C184</f>
        <v>888</v>
      </c>
      <c r="O184" s="1112">
        <f>($C184*0.12)+$C184</f>
        <v>896</v>
      </c>
      <c r="P184" s="1112">
        <f>($C184*0.13)+$C184</f>
        <v>904</v>
      </c>
      <c r="Q184" s="1112">
        <f>($C184*0.14)+$C184</f>
        <v>912</v>
      </c>
      <c r="R184" s="1112">
        <f>($C184*0.15)+$C184</f>
        <v>920</v>
      </c>
      <c r="S184" s="1112">
        <f>($C184*0.16)+$C184</f>
        <v>928</v>
      </c>
      <c r="T184" s="1112">
        <f>($C184*0.17)+$C184</f>
        <v>936</v>
      </c>
      <c r="U184" s="1112">
        <f>($C184*0.18)+$C184</f>
        <v>944</v>
      </c>
      <c r="V184" s="1112">
        <f>($C184*0.19)+$C184</f>
        <v>952</v>
      </c>
      <c r="W184" s="1112">
        <f>($C184*0.2)+$C184</f>
        <v>960</v>
      </c>
      <c r="X184" s="1112">
        <f>($C184*0.21)+$C184</f>
        <v>968</v>
      </c>
      <c r="Y184" s="1112">
        <f>($C184*0.22)+$C184</f>
        <v>976</v>
      </c>
      <c r="Z184" s="1112">
        <f>($C184*0.23)+$C184</f>
        <v>984</v>
      </c>
      <c r="AA184" s="1112">
        <f>($C184*0.24)+$C184</f>
        <v>992</v>
      </c>
      <c r="AB184" s="1112">
        <f>($C184*0.25)+$C184</f>
        <v>1000</v>
      </c>
      <c r="AC184" s="1112">
        <f>($C184*0.26)+$C184</f>
        <v>1008</v>
      </c>
      <c r="AD184" s="1112">
        <f>($C184*0.27)+$C184</f>
        <v>1016</v>
      </c>
      <c r="AE184" s="1112">
        <f>($C184*0.28)+$C184</f>
        <v>1024</v>
      </c>
      <c r="AF184" s="1112">
        <f>($C184*0.29)+$C184</f>
        <v>1032</v>
      </c>
      <c r="AG184" s="1112">
        <f>($C184*0.3)+$C184</f>
        <v>1040</v>
      </c>
    </row>
    <row r="185" spans="1:33" ht="30">
      <c r="A185" s="4" t="s">
        <v>21998</v>
      </c>
      <c r="B185" s="4" t="s">
        <v>22037</v>
      </c>
      <c r="C185" s="5">
        <v>650</v>
      </c>
      <c r="D185" s="1112">
        <f>($C185*0.01)+$C185</f>
        <v>656.5</v>
      </c>
      <c r="E185" s="1112">
        <f>($C185*0.02)+$C185</f>
        <v>663</v>
      </c>
      <c r="F185" s="1112">
        <f>($C185*0.03)+$C185</f>
        <v>669.5</v>
      </c>
      <c r="G185" s="1112">
        <f>($C185*0.04)+$C185</f>
        <v>676</v>
      </c>
      <c r="H185" s="1112">
        <f>($C185*0.05)+$C185</f>
        <v>682.5</v>
      </c>
      <c r="I185" s="1112">
        <f>($C185*0.06)+$C185</f>
        <v>689</v>
      </c>
      <c r="J185" s="1112">
        <f>($C185*0.07)+$C185</f>
        <v>695.5</v>
      </c>
      <c r="K185" s="1112">
        <f>($C185*0.08)+$C185</f>
        <v>702</v>
      </c>
      <c r="L185" s="1112">
        <f>($C185*0.09)+$C185</f>
        <v>708.5</v>
      </c>
      <c r="M185" s="1112">
        <f>($C185*0.1)+$C185</f>
        <v>715</v>
      </c>
      <c r="N185" s="1112">
        <f>($C185*0.11)+$C185</f>
        <v>721.5</v>
      </c>
      <c r="O185" s="1112">
        <f>($C185*0.12)+$C185</f>
        <v>728</v>
      </c>
      <c r="P185" s="1112">
        <f>($C185*0.13)+$C185</f>
        <v>734.5</v>
      </c>
      <c r="Q185" s="1112">
        <f>($C185*0.14)+$C185</f>
        <v>741</v>
      </c>
      <c r="R185" s="1112">
        <f>($C185*0.15)+$C185</f>
        <v>747.5</v>
      </c>
      <c r="S185" s="1112">
        <f>($C185*0.16)+$C185</f>
        <v>754</v>
      </c>
      <c r="T185" s="1112">
        <f>($C185*0.17)+$C185</f>
        <v>760.5</v>
      </c>
      <c r="U185" s="1112">
        <f>($C185*0.18)+$C185</f>
        <v>767</v>
      </c>
      <c r="V185" s="1112">
        <f>($C185*0.19)+$C185</f>
        <v>773.5</v>
      </c>
      <c r="W185" s="1112">
        <f>($C185*0.2)+$C185</f>
        <v>780</v>
      </c>
      <c r="X185" s="1112">
        <f>($C185*0.21)+$C185</f>
        <v>786.5</v>
      </c>
      <c r="Y185" s="1112">
        <f>($C185*0.22)+$C185</f>
        <v>793</v>
      </c>
      <c r="Z185" s="1112">
        <f>($C185*0.23)+$C185</f>
        <v>799.5</v>
      </c>
      <c r="AA185" s="1112">
        <f>($C185*0.24)+$C185</f>
        <v>806</v>
      </c>
      <c r="AB185" s="1112">
        <f>($C185*0.25)+$C185</f>
        <v>812.5</v>
      </c>
      <c r="AC185" s="1112">
        <f>($C185*0.26)+$C185</f>
        <v>819</v>
      </c>
      <c r="AD185" s="1112">
        <f>($C185*0.27)+$C185</f>
        <v>825.5</v>
      </c>
      <c r="AE185" s="1112">
        <f>($C185*0.28)+$C185</f>
        <v>832</v>
      </c>
      <c r="AF185" s="1112">
        <f>($C185*0.29)+$C185</f>
        <v>838.5</v>
      </c>
      <c r="AG185" s="1112">
        <f>($C185*0.3)+$C185</f>
        <v>845</v>
      </c>
    </row>
    <row r="186" spans="1:33" ht="30">
      <c r="A186" s="4" t="s">
        <v>21998</v>
      </c>
      <c r="B186" s="4" t="s">
        <v>22038</v>
      </c>
      <c r="C186" s="5">
        <v>600</v>
      </c>
      <c r="D186" s="1112">
        <f>($C186*0.01)+$C186</f>
        <v>606</v>
      </c>
      <c r="E186" s="1112">
        <f>($C186*0.02)+$C186</f>
        <v>612</v>
      </c>
      <c r="F186" s="1112">
        <f>($C186*0.03)+$C186</f>
        <v>618</v>
      </c>
      <c r="G186" s="1112">
        <f>($C186*0.04)+$C186</f>
        <v>624</v>
      </c>
      <c r="H186" s="1112">
        <f>($C186*0.05)+$C186</f>
        <v>630</v>
      </c>
      <c r="I186" s="1112">
        <f>($C186*0.06)+$C186</f>
        <v>636</v>
      </c>
      <c r="J186" s="1112">
        <f>($C186*0.07)+$C186</f>
        <v>642</v>
      </c>
      <c r="K186" s="1112">
        <f>($C186*0.08)+$C186</f>
        <v>648</v>
      </c>
      <c r="L186" s="1112">
        <f>($C186*0.09)+$C186</f>
        <v>654</v>
      </c>
      <c r="M186" s="1112">
        <f>($C186*0.1)+$C186</f>
        <v>660</v>
      </c>
      <c r="N186" s="1112">
        <f>($C186*0.11)+$C186</f>
        <v>666</v>
      </c>
      <c r="O186" s="1112">
        <f>($C186*0.12)+$C186</f>
        <v>672</v>
      </c>
      <c r="P186" s="1112">
        <f>($C186*0.13)+$C186</f>
        <v>678</v>
      </c>
      <c r="Q186" s="1112">
        <f>($C186*0.14)+$C186</f>
        <v>684</v>
      </c>
      <c r="R186" s="1112">
        <f>($C186*0.15)+$C186</f>
        <v>690</v>
      </c>
      <c r="S186" s="1112">
        <f>($C186*0.16)+$C186</f>
        <v>696</v>
      </c>
      <c r="T186" s="1112">
        <f>($C186*0.17)+$C186</f>
        <v>702</v>
      </c>
      <c r="U186" s="1112">
        <f>($C186*0.18)+$C186</f>
        <v>708</v>
      </c>
      <c r="V186" s="1112">
        <f>($C186*0.19)+$C186</f>
        <v>714</v>
      </c>
      <c r="W186" s="1112">
        <f>($C186*0.2)+$C186</f>
        <v>720</v>
      </c>
      <c r="X186" s="1112">
        <f>($C186*0.21)+$C186</f>
        <v>726</v>
      </c>
      <c r="Y186" s="1112">
        <f>($C186*0.22)+$C186</f>
        <v>732</v>
      </c>
      <c r="Z186" s="1112">
        <f>($C186*0.23)+$C186</f>
        <v>738</v>
      </c>
      <c r="AA186" s="1112">
        <f>($C186*0.24)+$C186</f>
        <v>744</v>
      </c>
      <c r="AB186" s="1112">
        <f>($C186*0.25)+$C186</f>
        <v>750</v>
      </c>
      <c r="AC186" s="1112">
        <f>($C186*0.26)+$C186</f>
        <v>756</v>
      </c>
      <c r="AD186" s="1112">
        <f>($C186*0.27)+$C186</f>
        <v>762</v>
      </c>
      <c r="AE186" s="1112">
        <f>($C186*0.28)+$C186</f>
        <v>768</v>
      </c>
      <c r="AF186" s="1112">
        <f>($C186*0.29)+$C186</f>
        <v>774</v>
      </c>
      <c r="AG186" s="1112">
        <f>($C186*0.3)+$C186</f>
        <v>780</v>
      </c>
    </row>
    <row r="187" spans="1:33" ht="30">
      <c r="A187" s="4" t="s">
        <v>21999</v>
      </c>
      <c r="B187" s="4" t="s">
        <v>22039</v>
      </c>
      <c r="C187" s="5">
        <v>650</v>
      </c>
      <c r="D187" s="1112">
        <f>($C187*0.01)+$C187</f>
        <v>656.5</v>
      </c>
      <c r="E187" s="1112">
        <f>($C187*0.02)+$C187</f>
        <v>663</v>
      </c>
      <c r="F187" s="1112">
        <f>($C187*0.03)+$C187</f>
        <v>669.5</v>
      </c>
      <c r="G187" s="1112">
        <f>($C187*0.04)+$C187</f>
        <v>676</v>
      </c>
      <c r="H187" s="1112">
        <f>($C187*0.05)+$C187</f>
        <v>682.5</v>
      </c>
      <c r="I187" s="1112">
        <f>($C187*0.06)+$C187</f>
        <v>689</v>
      </c>
      <c r="J187" s="1112">
        <f>($C187*0.07)+$C187</f>
        <v>695.5</v>
      </c>
      <c r="K187" s="1112">
        <f>($C187*0.08)+$C187</f>
        <v>702</v>
      </c>
      <c r="L187" s="1112">
        <f>($C187*0.09)+$C187</f>
        <v>708.5</v>
      </c>
      <c r="M187" s="1112">
        <f>($C187*0.1)+$C187</f>
        <v>715</v>
      </c>
      <c r="N187" s="1112">
        <f>($C187*0.11)+$C187</f>
        <v>721.5</v>
      </c>
      <c r="O187" s="1112">
        <f>($C187*0.12)+$C187</f>
        <v>728</v>
      </c>
      <c r="P187" s="1112">
        <f>($C187*0.13)+$C187</f>
        <v>734.5</v>
      </c>
      <c r="Q187" s="1112">
        <f>($C187*0.14)+$C187</f>
        <v>741</v>
      </c>
      <c r="R187" s="1112">
        <f>($C187*0.15)+$C187</f>
        <v>747.5</v>
      </c>
      <c r="S187" s="1112">
        <f>($C187*0.16)+$C187</f>
        <v>754</v>
      </c>
      <c r="T187" s="1112">
        <f>($C187*0.17)+$C187</f>
        <v>760.5</v>
      </c>
      <c r="U187" s="1112">
        <f>($C187*0.18)+$C187</f>
        <v>767</v>
      </c>
      <c r="V187" s="1112">
        <f>($C187*0.19)+$C187</f>
        <v>773.5</v>
      </c>
      <c r="W187" s="1112">
        <f>($C187*0.2)+$C187</f>
        <v>780</v>
      </c>
      <c r="X187" s="1112">
        <f>($C187*0.21)+$C187</f>
        <v>786.5</v>
      </c>
      <c r="Y187" s="1112">
        <f>($C187*0.22)+$C187</f>
        <v>793</v>
      </c>
      <c r="Z187" s="1112">
        <f>($C187*0.23)+$C187</f>
        <v>799.5</v>
      </c>
      <c r="AA187" s="1112">
        <f>($C187*0.24)+$C187</f>
        <v>806</v>
      </c>
      <c r="AB187" s="1112">
        <f>($C187*0.25)+$C187</f>
        <v>812.5</v>
      </c>
      <c r="AC187" s="1112">
        <f>($C187*0.26)+$C187</f>
        <v>819</v>
      </c>
      <c r="AD187" s="1112">
        <f>($C187*0.27)+$C187</f>
        <v>825.5</v>
      </c>
      <c r="AE187" s="1112">
        <f>($C187*0.28)+$C187</f>
        <v>832</v>
      </c>
      <c r="AF187" s="1112">
        <f>($C187*0.29)+$C187</f>
        <v>838.5</v>
      </c>
      <c r="AG187" s="1112">
        <f>($C187*0.3)+$C187</f>
        <v>845</v>
      </c>
    </row>
    <row r="188" spans="1:33" ht="30">
      <c r="A188" s="4" t="s">
        <v>22000</v>
      </c>
      <c r="B188" s="4" t="s">
        <v>22040</v>
      </c>
      <c r="C188" s="5">
        <v>650</v>
      </c>
      <c r="D188" s="1112">
        <f>($C188*0.01)+$C188</f>
        <v>656.5</v>
      </c>
      <c r="E188" s="1112">
        <f>($C188*0.02)+$C188</f>
        <v>663</v>
      </c>
      <c r="F188" s="1112">
        <f>($C188*0.03)+$C188</f>
        <v>669.5</v>
      </c>
      <c r="G188" s="1112">
        <f>($C188*0.04)+$C188</f>
        <v>676</v>
      </c>
      <c r="H188" s="1112">
        <f>($C188*0.05)+$C188</f>
        <v>682.5</v>
      </c>
      <c r="I188" s="1112">
        <f>($C188*0.06)+$C188</f>
        <v>689</v>
      </c>
      <c r="J188" s="1112">
        <f>($C188*0.07)+$C188</f>
        <v>695.5</v>
      </c>
      <c r="K188" s="1112">
        <f>($C188*0.08)+$C188</f>
        <v>702</v>
      </c>
      <c r="L188" s="1112">
        <f>($C188*0.09)+$C188</f>
        <v>708.5</v>
      </c>
      <c r="M188" s="1112">
        <f>($C188*0.1)+$C188</f>
        <v>715</v>
      </c>
      <c r="N188" s="1112">
        <f>($C188*0.11)+$C188</f>
        <v>721.5</v>
      </c>
      <c r="O188" s="1112">
        <f>($C188*0.12)+$C188</f>
        <v>728</v>
      </c>
      <c r="P188" s="1112">
        <f>($C188*0.13)+$C188</f>
        <v>734.5</v>
      </c>
      <c r="Q188" s="1112">
        <f>($C188*0.14)+$C188</f>
        <v>741</v>
      </c>
      <c r="R188" s="1112">
        <f>($C188*0.15)+$C188</f>
        <v>747.5</v>
      </c>
      <c r="S188" s="1112">
        <f>($C188*0.16)+$C188</f>
        <v>754</v>
      </c>
      <c r="T188" s="1112">
        <f>($C188*0.17)+$C188</f>
        <v>760.5</v>
      </c>
      <c r="U188" s="1112">
        <f>($C188*0.18)+$C188</f>
        <v>767</v>
      </c>
      <c r="V188" s="1112">
        <f>($C188*0.19)+$C188</f>
        <v>773.5</v>
      </c>
      <c r="W188" s="1112">
        <f>($C188*0.2)+$C188</f>
        <v>780</v>
      </c>
      <c r="X188" s="1112">
        <f>($C188*0.21)+$C188</f>
        <v>786.5</v>
      </c>
      <c r="Y188" s="1112">
        <f>($C188*0.22)+$C188</f>
        <v>793</v>
      </c>
      <c r="Z188" s="1112">
        <f>($C188*0.23)+$C188</f>
        <v>799.5</v>
      </c>
      <c r="AA188" s="1112">
        <f>($C188*0.24)+$C188</f>
        <v>806</v>
      </c>
      <c r="AB188" s="1112">
        <f>($C188*0.25)+$C188</f>
        <v>812.5</v>
      </c>
      <c r="AC188" s="1112">
        <f>($C188*0.26)+$C188</f>
        <v>819</v>
      </c>
      <c r="AD188" s="1112">
        <f>($C188*0.27)+$C188</f>
        <v>825.5</v>
      </c>
      <c r="AE188" s="1112">
        <f>($C188*0.28)+$C188</f>
        <v>832</v>
      </c>
      <c r="AF188" s="1112">
        <f>($C188*0.29)+$C188</f>
        <v>838.5</v>
      </c>
      <c r="AG188" s="1112">
        <f>($C188*0.3)+$C188</f>
        <v>845</v>
      </c>
    </row>
    <row r="189" spans="1:33" ht="30">
      <c r="A189" s="4" t="s">
        <v>22001</v>
      </c>
      <c r="B189" s="4" t="s">
        <v>22041</v>
      </c>
      <c r="C189" s="5">
        <v>700</v>
      </c>
      <c r="D189" s="1112">
        <f>($C189*0.01)+$C189</f>
        <v>707</v>
      </c>
      <c r="E189" s="1112">
        <f>($C189*0.02)+$C189</f>
        <v>714</v>
      </c>
      <c r="F189" s="1112">
        <f>($C189*0.03)+$C189</f>
        <v>721</v>
      </c>
      <c r="G189" s="1112">
        <f>($C189*0.04)+$C189</f>
        <v>728</v>
      </c>
      <c r="H189" s="1112">
        <f>($C189*0.05)+$C189</f>
        <v>735</v>
      </c>
      <c r="I189" s="1112">
        <f>($C189*0.06)+$C189</f>
        <v>742</v>
      </c>
      <c r="J189" s="1112">
        <f>($C189*0.07)+$C189</f>
        <v>749</v>
      </c>
      <c r="K189" s="1112">
        <f>($C189*0.08)+$C189</f>
        <v>756</v>
      </c>
      <c r="L189" s="1112">
        <f>($C189*0.09)+$C189</f>
        <v>763</v>
      </c>
      <c r="M189" s="1112">
        <f>($C189*0.1)+$C189</f>
        <v>770</v>
      </c>
      <c r="N189" s="1112">
        <f>($C189*0.11)+$C189</f>
        <v>777</v>
      </c>
      <c r="O189" s="1112">
        <f>($C189*0.12)+$C189</f>
        <v>784</v>
      </c>
      <c r="P189" s="1112">
        <f>($C189*0.13)+$C189</f>
        <v>791</v>
      </c>
      <c r="Q189" s="1112">
        <f>($C189*0.14)+$C189</f>
        <v>798</v>
      </c>
      <c r="R189" s="1112">
        <f>($C189*0.15)+$C189</f>
        <v>805</v>
      </c>
      <c r="S189" s="1112">
        <f>($C189*0.16)+$C189</f>
        <v>812</v>
      </c>
      <c r="T189" s="1112">
        <f>($C189*0.17)+$C189</f>
        <v>819</v>
      </c>
      <c r="U189" s="1112">
        <f>($C189*0.18)+$C189</f>
        <v>826</v>
      </c>
      <c r="V189" s="1112">
        <f>($C189*0.19)+$C189</f>
        <v>833</v>
      </c>
      <c r="W189" s="1112">
        <f>($C189*0.2)+$C189</f>
        <v>840</v>
      </c>
      <c r="X189" s="1112">
        <f>($C189*0.21)+$C189</f>
        <v>847</v>
      </c>
      <c r="Y189" s="1112">
        <f>($C189*0.22)+$C189</f>
        <v>854</v>
      </c>
      <c r="Z189" s="1112">
        <f>($C189*0.23)+$C189</f>
        <v>861</v>
      </c>
      <c r="AA189" s="1112">
        <f>($C189*0.24)+$C189</f>
        <v>868</v>
      </c>
      <c r="AB189" s="1112">
        <f>($C189*0.25)+$C189</f>
        <v>875</v>
      </c>
      <c r="AC189" s="1112">
        <f>($C189*0.26)+$C189</f>
        <v>882</v>
      </c>
      <c r="AD189" s="1112">
        <f>($C189*0.27)+$C189</f>
        <v>889</v>
      </c>
      <c r="AE189" s="1112">
        <f>($C189*0.28)+$C189</f>
        <v>896</v>
      </c>
      <c r="AF189" s="1112">
        <f>($C189*0.29)+$C189</f>
        <v>903</v>
      </c>
      <c r="AG189" s="1112">
        <f>($C189*0.3)+$C189</f>
        <v>910</v>
      </c>
    </row>
    <row r="190" spans="1:33" ht="30">
      <c r="A190" s="4" t="s">
        <v>22003</v>
      </c>
      <c r="B190" s="4" t="s">
        <v>55200</v>
      </c>
      <c r="C190" s="5">
        <v>500</v>
      </c>
      <c r="D190" s="1112">
        <f>($C190*0.01)+$C190</f>
        <v>505</v>
      </c>
      <c r="E190" s="1112">
        <f>($C190*0.02)+$C190</f>
        <v>510</v>
      </c>
      <c r="F190" s="1112">
        <f>($C190*0.03)+$C190</f>
        <v>515</v>
      </c>
      <c r="G190" s="1112">
        <f>($C190*0.04)+$C190</f>
        <v>520</v>
      </c>
      <c r="H190" s="1112">
        <f>($C190*0.05)+$C190</f>
        <v>525</v>
      </c>
      <c r="I190" s="1112">
        <f>($C190*0.06)+$C190</f>
        <v>530</v>
      </c>
      <c r="J190" s="1112">
        <f>($C190*0.07)+$C190</f>
        <v>535</v>
      </c>
      <c r="K190" s="1112">
        <f>($C190*0.08)+$C190</f>
        <v>540</v>
      </c>
      <c r="L190" s="1112">
        <f>($C190*0.09)+$C190</f>
        <v>545</v>
      </c>
      <c r="M190" s="1112">
        <f>($C190*0.1)+$C190</f>
        <v>550</v>
      </c>
      <c r="N190" s="1112">
        <f>($C190*0.11)+$C190</f>
        <v>555</v>
      </c>
      <c r="O190" s="1112">
        <f>($C190*0.12)+$C190</f>
        <v>560</v>
      </c>
      <c r="P190" s="1112">
        <f>($C190*0.13)+$C190</f>
        <v>565</v>
      </c>
      <c r="Q190" s="1112">
        <f>($C190*0.14)+$C190</f>
        <v>570</v>
      </c>
      <c r="R190" s="1112">
        <f>($C190*0.15)+$C190</f>
        <v>575</v>
      </c>
      <c r="S190" s="1112">
        <f>($C190*0.16)+$C190</f>
        <v>580</v>
      </c>
      <c r="T190" s="1112">
        <f>($C190*0.17)+$C190</f>
        <v>585</v>
      </c>
      <c r="U190" s="1112">
        <f>($C190*0.18)+$C190</f>
        <v>590</v>
      </c>
      <c r="V190" s="1112">
        <f>($C190*0.19)+$C190</f>
        <v>595</v>
      </c>
      <c r="W190" s="1112">
        <f>($C190*0.2)+$C190</f>
        <v>600</v>
      </c>
      <c r="X190" s="1112">
        <f>($C190*0.21)+$C190</f>
        <v>605</v>
      </c>
      <c r="Y190" s="1112">
        <f>($C190*0.22)+$C190</f>
        <v>610</v>
      </c>
      <c r="Z190" s="1112">
        <f>($C190*0.23)+$C190</f>
        <v>615</v>
      </c>
      <c r="AA190" s="1112">
        <f>($C190*0.24)+$C190</f>
        <v>620</v>
      </c>
      <c r="AB190" s="1112">
        <f>($C190*0.25)+$C190</f>
        <v>625</v>
      </c>
      <c r="AC190" s="1112">
        <f>($C190*0.26)+$C190</f>
        <v>630</v>
      </c>
      <c r="AD190" s="1112">
        <f>($C190*0.27)+$C190</f>
        <v>635</v>
      </c>
      <c r="AE190" s="1112">
        <f>($C190*0.28)+$C190</f>
        <v>640</v>
      </c>
      <c r="AF190" s="1112">
        <f>($C190*0.29)+$C190</f>
        <v>645</v>
      </c>
      <c r="AG190" s="1112">
        <f>($C190*0.3)+$C190</f>
        <v>650</v>
      </c>
    </row>
    <row r="191" spans="1:33" ht="45">
      <c r="A191" s="4" t="s">
        <v>22002</v>
      </c>
      <c r="B191" s="4" t="s">
        <v>21986</v>
      </c>
      <c r="C191" s="5">
        <v>50</v>
      </c>
      <c r="D191" s="1112">
        <f>($C191*0.01)+$C191</f>
        <v>50.5</v>
      </c>
      <c r="E191" s="1112">
        <f>($C191*0.02)+$C191</f>
        <v>51</v>
      </c>
      <c r="F191" s="1112">
        <f>($C191*0.03)+$C191</f>
        <v>51.5</v>
      </c>
      <c r="G191" s="1112">
        <f>($C191*0.04)+$C191</f>
        <v>52</v>
      </c>
      <c r="H191" s="1112">
        <f>($C191*0.05)+$C191</f>
        <v>52.5</v>
      </c>
      <c r="I191" s="1112">
        <f>($C191*0.06)+$C191</f>
        <v>53</v>
      </c>
      <c r="J191" s="1112">
        <f>($C191*0.07)+$C191</f>
        <v>53.5</v>
      </c>
      <c r="K191" s="1112">
        <f>($C191*0.08)+$C191</f>
        <v>54</v>
      </c>
      <c r="L191" s="1112">
        <f>($C191*0.09)+$C191</f>
        <v>54.5</v>
      </c>
      <c r="M191" s="1112">
        <f>($C191*0.1)+$C191</f>
        <v>55</v>
      </c>
      <c r="N191" s="1112">
        <f>($C191*0.11)+$C191</f>
        <v>55.5</v>
      </c>
      <c r="O191" s="1112">
        <f>($C191*0.12)+$C191</f>
        <v>56</v>
      </c>
      <c r="P191" s="1112">
        <f>($C191*0.13)+$C191</f>
        <v>56.5</v>
      </c>
      <c r="Q191" s="1112">
        <f>($C191*0.14)+$C191</f>
        <v>57</v>
      </c>
      <c r="R191" s="1112">
        <f>($C191*0.15)+$C191</f>
        <v>57.5</v>
      </c>
      <c r="S191" s="1112">
        <f>($C191*0.16)+$C191</f>
        <v>58</v>
      </c>
      <c r="T191" s="1112">
        <f>($C191*0.17)+$C191</f>
        <v>58.5</v>
      </c>
      <c r="U191" s="1112">
        <f>($C191*0.18)+$C191</f>
        <v>59</v>
      </c>
      <c r="V191" s="1112">
        <f>($C191*0.19)+$C191</f>
        <v>59.5</v>
      </c>
      <c r="W191" s="1112">
        <f>($C191*0.2)+$C191</f>
        <v>60</v>
      </c>
      <c r="X191" s="1112">
        <f>($C191*0.21)+$C191</f>
        <v>60.5</v>
      </c>
      <c r="Y191" s="1112">
        <f>($C191*0.22)+$C191</f>
        <v>61</v>
      </c>
      <c r="Z191" s="1112">
        <f>($C191*0.23)+$C191</f>
        <v>61.5</v>
      </c>
      <c r="AA191" s="1112">
        <f>($C191*0.24)+$C191</f>
        <v>62</v>
      </c>
      <c r="AB191" s="1112">
        <f>($C191*0.25)+$C191</f>
        <v>62.5</v>
      </c>
      <c r="AC191" s="1112">
        <f>($C191*0.26)+$C191</f>
        <v>63</v>
      </c>
      <c r="AD191" s="1112">
        <f>($C191*0.27)+$C191</f>
        <v>63.5</v>
      </c>
      <c r="AE191" s="1112">
        <f>($C191*0.28)+$C191</f>
        <v>64</v>
      </c>
      <c r="AF191" s="1112">
        <f>($C191*0.29)+$C191</f>
        <v>64.5</v>
      </c>
      <c r="AG191" s="1112">
        <f>($C191*0.3)+$C191</f>
        <v>65</v>
      </c>
    </row>
    <row r="192" spans="1:33" ht="30">
      <c r="A192" s="4" t="s">
        <v>22025</v>
      </c>
      <c r="B192" s="4" t="s">
        <v>22024</v>
      </c>
      <c r="C192" s="5">
        <v>1100</v>
      </c>
      <c r="D192" s="1112">
        <f>($C192*0.01)+$C192</f>
        <v>1111</v>
      </c>
      <c r="E192" s="1112">
        <f>($C192*0.02)+$C192</f>
        <v>1122</v>
      </c>
      <c r="F192" s="1112">
        <f>($C192*0.03)+$C192</f>
        <v>1133</v>
      </c>
      <c r="G192" s="1112">
        <f>($C192*0.04)+$C192</f>
        <v>1144</v>
      </c>
      <c r="H192" s="1112">
        <f>($C192*0.05)+$C192</f>
        <v>1155</v>
      </c>
      <c r="I192" s="1112">
        <f>($C192*0.06)+$C192</f>
        <v>1166</v>
      </c>
      <c r="J192" s="1112">
        <f>($C192*0.07)+$C192</f>
        <v>1177</v>
      </c>
      <c r="K192" s="1112">
        <f>($C192*0.08)+$C192</f>
        <v>1188</v>
      </c>
      <c r="L192" s="1112">
        <f>($C192*0.09)+$C192</f>
        <v>1199</v>
      </c>
      <c r="M192" s="1112">
        <f>($C192*0.1)+$C192</f>
        <v>1210</v>
      </c>
      <c r="N192" s="1112">
        <f>($C192*0.11)+$C192</f>
        <v>1221</v>
      </c>
      <c r="O192" s="1112">
        <f>($C192*0.12)+$C192</f>
        <v>1232</v>
      </c>
      <c r="P192" s="1112">
        <f>($C192*0.13)+$C192</f>
        <v>1243</v>
      </c>
      <c r="Q192" s="1112">
        <f>($C192*0.14)+$C192</f>
        <v>1254</v>
      </c>
      <c r="R192" s="1112">
        <f>($C192*0.15)+$C192</f>
        <v>1265</v>
      </c>
      <c r="S192" s="1112">
        <f>($C192*0.16)+$C192</f>
        <v>1276</v>
      </c>
      <c r="T192" s="1112">
        <f>($C192*0.17)+$C192</f>
        <v>1287</v>
      </c>
      <c r="U192" s="1112">
        <f>($C192*0.18)+$C192</f>
        <v>1298</v>
      </c>
      <c r="V192" s="1112">
        <f>($C192*0.19)+$C192</f>
        <v>1309</v>
      </c>
      <c r="W192" s="1112">
        <f>($C192*0.2)+$C192</f>
        <v>1320</v>
      </c>
      <c r="X192" s="1112">
        <f>($C192*0.21)+$C192</f>
        <v>1331</v>
      </c>
      <c r="Y192" s="1112">
        <f>($C192*0.22)+$C192</f>
        <v>1342</v>
      </c>
      <c r="Z192" s="1112">
        <f>($C192*0.23)+$C192</f>
        <v>1353</v>
      </c>
      <c r="AA192" s="1112">
        <f>($C192*0.24)+$C192</f>
        <v>1364</v>
      </c>
      <c r="AB192" s="1112">
        <f>($C192*0.25)+$C192</f>
        <v>1375</v>
      </c>
      <c r="AC192" s="1112">
        <f>($C192*0.26)+$C192</f>
        <v>1386</v>
      </c>
      <c r="AD192" s="1112">
        <f>($C192*0.27)+$C192</f>
        <v>1397</v>
      </c>
      <c r="AE192" s="1112">
        <f>($C192*0.28)+$C192</f>
        <v>1408</v>
      </c>
      <c r="AF192" s="1112">
        <f>($C192*0.29)+$C192</f>
        <v>1419</v>
      </c>
      <c r="AG192" s="1112">
        <f>($C192*0.3)+$C192</f>
        <v>1430</v>
      </c>
    </row>
    <row r="193" spans="1:33" ht="15">
      <c r="A193" s="4" t="s">
        <v>22030</v>
      </c>
      <c r="B193" s="4" t="s">
        <v>37697</v>
      </c>
      <c r="C193" s="5">
        <v>450</v>
      </c>
      <c r="D193" s="1112">
        <f>($C193*0.01)+$C193</f>
        <v>454.5</v>
      </c>
      <c r="E193" s="1112">
        <f>($C193*0.02)+$C193</f>
        <v>459</v>
      </c>
      <c r="F193" s="1112">
        <f>($C193*0.03)+$C193</f>
        <v>463.5</v>
      </c>
      <c r="G193" s="1112">
        <f>($C193*0.04)+$C193</f>
        <v>468</v>
      </c>
      <c r="H193" s="1112">
        <f>($C193*0.05)+$C193</f>
        <v>472.5</v>
      </c>
      <c r="I193" s="1112">
        <f>($C193*0.06)+$C193</f>
        <v>477</v>
      </c>
      <c r="J193" s="1112">
        <f>($C193*0.07)+$C193</f>
        <v>481.5</v>
      </c>
      <c r="K193" s="1112">
        <f>($C193*0.08)+$C193</f>
        <v>486</v>
      </c>
      <c r="L193" s="1112">
        <f>($C193*0.09)+$C193</f>
        <v>490.5</v>
      </c>
      <c r="M193" s="1112">
        <f>($C193*0.1)+$C193</f>
        <v>495</v>
      </c>
      <c r="N193" s="1112">
        <f>($C193*0.11)+$C193</f>
        <v>499.5</v>
      </c>
      <c r="O193" s="1112">
        <f>($C193*0.12)+$C193</f>
        <v>504</v>
      </c>
      <c r="P193" s="1112">
        <f>($C193*0.13)+$C193</f>
        <v>508.5</v>
      </c>
      <c r="Q193" s="1112">
        <f>($C193*0.14)+$C193</f>
        <v>513</v>
      </c>
      <c r="R193" s="1112">
        <f>($C193*0.15)+$C193</f>
        <v>517.5</v>
      </c>
      <c r="S193" s="1112">
        <f>($C193*0.16)+$C193</f>
        <v>522</v>
      </c>
      <c r="T193" s="1112">
        <f>($C193*0.17)+$C193</f>
        <v>526.5</v>
      </c>
      <c r="U193" s="1112">
        <f>($C193*0.18)+$C193</f>
        <v>531</v>
      </c>
      <c r="V193" s="1112">
        <f>($C193*0.19)+$C193</f>
        <v>535.5</v>
      </c>
      <c r="W193" s="1112">
        <f>($C193*0.2)+$C193</f>
        <v>540</v>
      </c>
      <c r="X193" s="1112">
        <f>($C193*0.21)+$C193</f>
        <v>544.5</v>
      </c>
      <c r="Y193" s="1112">
        <f>($C193*0.22)+$C193</f>
        <v>549</v>
      </c>
      <c r="Z193" s="1112">
        <f>($C193*0.23)+$C193</f>
        <v>553.5</v>
      </c>
      <c r="AA193" s="1112">
        <f>($C193*0.24)+$C193</f>
        <v>558</v>
      </c>
      <c r="AB193" s="1112">
        <f>($C193*0.25)+$C193</f>
        <v>562.5</v>
      </c>
      <c r="AC193" s="1112">
        <f>($C193*0.26)+$C193</f>
        <v>567</v>
      </c>
      <c r="AD193" s="1112">
        <f>($C193*0.27)+$C193</f>
        <v>571.5</v>
      </c>
      <c r="AE193" s="1112">
        <f>($C193*0.28)+$C193</f>
        <v>576</v>
      </c>
      <c r="AF193" s="1112">
        <f>($C193*0.29)+$C193</f>
        <v>580.5</v>
      </c>
      <c r="AG193" s="1112">
        <f>($C193*0.3)+$C193</f>
        <v>585</v>
      </c>
    </row>
    <row r="194" spans="1:33" ht="15">
      <c r="A194" s="4" t="s">
        <v>22031</v>
      </c>
      <c r="B194" s="4" t="s">
        <v>37696</v>
      </c>
      <c r="C194" s="5">
        <v>600</v>
      </c>
      <c r="D194" s="1112">
        <f>($C194*0.01)+$C194</f>
        <v>606</v>
      </c>
      <c r="E194" s="1112">
        <f>($C194*0.02)+$C194</f>
        <v>612</v>
      </c>
      <c r="F194" s="1112">
        <f>($C194*0.03)+$C194</f>
        <v>618</v>
      </c>
      <c r="G194" s="1112">
        <f>($C194*0.04)+$C194</f>
        <v>624</v>
      </c>
      <c r="H194" s="1112">
        <f>($C194*0.05)+$C194</f>
        <v>630</v>
      </c>
      <c r="I194" s="1112">
        <f>($C194*0.06)+$C194</f>
        <v>636</v>
      </c>
      <c r="J194" s="1112">
        <f>($C194*0.07)+$C194</f>
        <v>642</v>
      </c>
      <c r="K194" s="1112">
        <f>($C194*0.08)+$C194</f>
        <v>648</v>
      </c>
      <c r="L194" s="1112">
        <f>($C194*0.09)+$C194</f>
        <v>654</v>
      </c>
      <c r="M194" s="1112">
        <f>($C194*0.1)+$C194</f>
        <v>660</v>
      </c>
      <c r="N194" s="1112">
        <f>($C194*0.11)+$C194</f>
        <v>666</v>
      </c>
      <c r="O194" s="1112">
        <f>($C194*0.12)+$C194</f>
        <v>672</v>
      </c>
      <c r="P194" s="1112">
        <f>($C194*0.13)+$C194</f>
        <v>678</v>
      </c>
      <c r="Q194" s="1112">
        <f>($C194*0.14)+$C194</f>
        <v>684</v>
      </c>
      <c r="R194" s="1112">
        <f>($C194*0.15)+$C194</f>
        <v>690</v>
      </c>
      <c r="S194" s="1112">
        <f>($C194*0.16)+$C194</f>
        <v>696</v>
      </c>
      <c r="T194" s="1112">
        <f>($C194*0.17)+$C194</f>
        <v>702</v>
      </c>
      <c r="U194" s="1112">
        <f>($C194*0.18)+$C194</f>
        <v>708</v>
      </c>
      <c r="V194" s="1112">
        <f>($C194*0.19)+$C194</f>
        <v>714</v>
      </c>
      <c r="W194" s="1112">
        <f>($C194*0.2)+$C194</f>
        <v>720</v>
      </c>
      <c r="X194" s="1112">
        <f>($C194*0.21)+$C194</f>
        <v>726</v>
      </c>
      <c r="Y194" s="1112">
        <f>($C194*0.22)+$C194</f>
        <v>732</v>
      </c>
      <c r="Z194" s="1112">
        <f>($C194*0.23)+$C194</f>
        <v>738</v>
      </c>
      <c r="AA194" s="1112">
        <f>($C194*0.24)+$C194</f>
        <v>744</v>
      </c>
      <c r="AB194" s="1112">
        <f>($C194*0.25)+$C194</f>
        <v>750</v>
      </c>
      <c r="AC194" s="1112">
        <f>($C194*0.26)+$C194</f>
        <v>756</v>
      </c>
      <c r="AD194" s="1112">
        <f>($C194*0.27)+$C194</f>
        <v>762</v>
      </c>
      <c r="AE194" s="1112">
        <f>($C194*0.28)+$C194</f>
        <v>768</v>
      </c>
      <c r="AF194" s="1112">
        <f>($C194*0.29)+$C194</f>
        <v>774</v>
      </c>
      <c r="AG194" s="1112">
        <f>($C194*0.3)+$C194</f>
        <v>780</v>
      </c>
    </row>
    <row r="195" spans="1:33" ht="15">
      <c r="A195" s="4" t="s">
        <v>22032</v>
      </c>
      <c r="B195" s="4" t="s">
        <v>37698</v>
      </c>
      <c r="C195" s="5">
        <v>650</v>
      </c>
      <c r="D195" s="1112">
        <f>($C195*0.01)+$C195</f>
        <v>656.5</v>
      </c>
      <c r="E195" s="1112">
        <f>($C195*0.02)+$C195</f>
        <v>663</v>
      </c>
      <c r="F195" s="1112">
        <f>($C195*0.03)+$C195</f>
        <v>669.5</v>
      </c>
      <c r="G195" s="1112">
        <f>($C195*0.04)+$C195</f>
        <v>676</v>
      </c>
      <c r="H195" s="1112">
        <f>($C195*0.05)+$C195</f>
        <v>682.5</v>
      </c>
      <c r="I195" s="1112">
        <f>($C195*0.06)+$C195</f>
        <v>689</v>
      </c>
      <c r="J195" s="1112">
        <f>($C195*0.07)+$C195</f>
        <v>695.5</v>
      </c>
      <c r="K195" s="1112">
        <f>($C195*0.08)+$C195</f>
        <v>702</v>
      </c>
      <c r="L195" s="1112">
        <f>($C195*0.09)+$C195</f>
        <v>708.5</v>
      </c>
      <c r="M195" s="1112">
        <f>($C195*0.1)+$C195</f>
        <v>715</v>
      </c>
      <c r="N195" s="1112">
        <f>($C195*0.11)+$C195</f>
        <v>721.5</v>
      </c>
      <c r="O195" s="1112">
        <f>($C195*0.12)+$C195</f>
        <v>728</v>
      </c>
      <c r="P195" s="1112">
        <f>($C195*0.13)+$C195</f>
        <v>734.5</v>
      </c>
      <c r="Q195" s="1112">
        <f>($C195*0.14)+$C195</f>
        <v>741</v>
      </c>
      <c r="R195" s="1112">
        <f>($C195*0.15)+$C195</f>
        <v>747.5</v>
      </c>
      <c r="S195" s="1112">
        <f>($C195*0.16)+$C195</f>
        <v>754</v>
      </c>
      <c r="T195" s="1112">
        <f>($C195*0.17)+$C195</f>
        <v>760.5</v>
      </c>
      <c r="U195" s="1112">
        <f>($C195*0.18)+$C195</f>
        <v>767</v>
      </c>
      <c r="V195" s="1112">
        <f>($C195*0.19)+$C195</f>
        <v>773.5</v>
      </c>
      <c r="W195" s="1112">
        <f>($C195*0.2)+$C195</f>
        <v>780</v>
      </c>
      <c r="X195" s="1112">
        <f>($C195*0.21)+$C195</f>
        <v>786.5</v>
      </c>
      <c r="Y195" s="1112">
        <f>($C195*0.22)+$C195</f>
        <v>793</v>
      </c>
      <c r="Z195" s="1112">
        <f>($C195*0.23)+$C195</f>
        <v>799.5</v>
      </c>
      <c r="AA195" s="1112">
        <f>($C195*0.24)+$C195</f>
        <v>806</v>
      </c>
      <c r="AB195" s="1112">
        <f>($C195*0.25)+$C195</f>
        <v>812.5</v>
      </c>
      <c r="AC195" s="1112">
        <f>($C195*0.26)+$C195</f>
        <v>819</v>
      </c>
      <c r="AD195" s="1112">
        <f>($C195*0.27)+$C195</f>
        <v>825.5</v>
      </c>
      <c r="AE195" s="1112">
        <f>($C195*0.28)+$C195</f>
        <v>832</v>
      </c>
      <c r="AF195" s="1112">
        <f>($C195*0.29)+$C195</f>
        <v>838.5</v>
      </c>
      <c r="AG195" s="1112">
        <f>($C195*0.3)+$C195</f>
        <v>845</v>
      </c>
    </row>
    <row r="196" spans="1:33" ht="15">
      <c r="A196" s="4" t="s">
        <v>22033</v>
      </c>
      <c r="B196" s="4" t="s">
        <v>37699</v>
      </c>
      <c r="C196" s="5">
        <v>650</v>
      </c>
      <c r="D196" s="1112">
        <f>($C196*0.01)+$C196</f>
        <v>656.5</v>
      </c>
      <c r="E196" s="1112">
        <f>($C196*0.02)+$C196</f>
        <v>663</v>
      </c>
      <c r="F196" s="1112">
        <f>($C196*0.03)+$C196</f>
        <v>669.5</v>
      </c>
      <c r="G196" s="1112">
        <f>($C196*0.04)+$C196</f>
        <v>676</v>
      </c>
      <c r="H196" s="1112">
        <f>($C196*0.05)+$C196</f>
        <v>682.5</v>
      </c>
      <c r="I196" s="1112">
        <f>($C196*0.06)+$C196</f>
        <v>689</v>
      </c>
      <c r="J196" s="1112">
        <f>($C196*0.07)+$C196</f>
        <v>695.5</v>
      </c>
      <c r="K196" s="1112">
        <f>($C196*0.08)+$C196</f>
        <v>702</v>
      </c>
      <c r="L196" s="1112">
        <f>($C196*0.09)+$C196</f>
        <v>708.5</v>
      </c>
      <c r="M196" s="1112">
        <f>($C196*0.1)+$C196</f>
        <v>715</v>
      </c>
      <c r="N196" s="1112">
        <f>($C196*0.11)+$C196</f>
        <v>721.5</v>
      </c>
      <c r="O196" s="1112">
        <f>($C196*0.12)+$C196</f>
        <v>728</v>
      </c>
      <c r="P196" s="1112">
        <f>($C196*0.13)+$C196</f>
        <v>734.5</v>
      </c>
      <c r="Q196" s="1112">
        <f>($C196*0.14)+$C196</f>
        <v>741</v>
      </c>
      <c r="R196" s="1112">
        <f>($C196*0.15)+$C196</f>
        <v>747.5</v>
      </c>
      <c r="S196" s="1112">
        <f>($C196*0.16)+$C196</f>
        <v>754</v>
      </c>
      <c r="T196" s="1112">
        <f>($C196*0.17)+$C196</f>
        <v>760.5</v>
      </c>
      <c r="U196" s="1112">
        <f>($C196*0.18)+$C196</f>
        <v>767</v>
      </c>
      <c r="V196" s="1112">
        <f>($C196*0.19)+$C196</f>
        <v>773.5</v>
      </c>
      <c r="W196" s="1112">
        <f>($C196*0.2)+$C196</f>
        <v>780</v>
      </c>
      <c r="X196" s="1112">
        <f>($C196*0.21)+$C196</f>
        <v>786.5</v>
      </c>
      <c r="Y196" s="1112">
        <f>($C196*0.22)+$C196</f>
        <v>793</v>
      </c>
      <c r="Z196" s="1112">
        <f>($C196*0.23)+$C196</f>
        <v>799.5</v>
      </c>
      <c r="AA196" s="1112">
        <f>($C196*0.24)+$C196</f>
        <v>806</v>
      </c>
      <c r="AB196" s="1112">
        <f>($C196*0.25)+$C196</f>
        <v>812.5</v>
      </c>
      <c r="AC196" s="1112">
        <f>($C196*0.26)+$C196</f>
        <v>819</v>
      </c>
      <c r="AD196" s="1112">
        <f>($C196*0.27)+$C196</f>
        <v>825.5</v>
      </c>
      <c r="AE196" s="1112">
        <f>($C196*0.28)+$C196</f>
        <v>832</v>
      </c>
      <c r="AF196" s="1112">
        <f>($C196*0.29)+$C196</f>
        <v>838.5</v>
      </c>
      <c r="AG196" s="1112">
        <f>($C196*0.3)+$C196</f>
        <v>845</v>
      </c>
    </row>
    <row r="197" spans="1:33" ht="15">
      <c r="A197" s="4" t="s">
        <v>22034</v>
      </c>
      <c r="B197" s="4" t="s">
        <v>37695</v>
      </c>
      <c r="C197" s="5">
        <v>800</v>
      </c>
      <c r="D197" s="1112">
        <f>($C197*0.01)+$C197</f>
        <v>808</v>
      </c>
      <c r="E197" s="1112">
        <f>($C197*0.02)+$C197</f>
        <v>816</v>
      </c>
      <c r="F197" s="1112">
        <f>($C197*0.03)+$C197</f>
        <v>824</v>
      </c>
      <c r="G197" s="1112">
        <f>($C197*0.04)+$C197</f>
        <v>832</v>
      </c>
      <c r="H197" s="1112">
        <f>($C197*0.05)+$C197</f>
        <v>840</v>
      </c>
      <c r="I197" s="1112">
        <f>($C197*0.06)+$C197</f>
        <v>848</v>
      </c>
      <c r="J197" s="1112">
        <f>($C197*0.07)+$C197</f>
        <v>856</v>
      </c>
      <c r="K197" s="1112">
        <f>($C197*0.08)+$C197</f>
        <v>864</v>
      </c>
      <c r="L197" s="1112">
        <f>($C197*0.09)+$C197</f>
        <v>872</v>
      </c>
      <c r="M197" s="1112">
        <f>($C197*0.1)+$C197</f>
        <v>880</v>
      </c>
      <c r="N197" s="1112">
        <f>($C197*0.11)+$C197</f>
        <v>888</v>
      </c>
      <c r="O197" s="1112">
        <f>($C197*0.12)+$C197</f>
        <v>896</v>
      </c>
      <c r="P197" s="1112">
        <f>($C197*0.13)+$C197</f>
        <v>904</v>
      </c>
      <c r="Q197" s="1112">
        <f>($C197*0.14)+$C197</f>
        <v>912</v>
      </c>
      <c r="R197" s="1112">
        <f>($C197*0.15)+$C197</f>
        <v>920</v>
      </c>
      <c r="S197" s="1112">
        <f>($C197*0.16)+$C197</f>
        <v>928</v>
      </c>
      <c r="T197" s="1112">
        <f>($C197*0.17)+$C197</f>
        <v>936</v>
      </c>
      <c r="U197" s="1112">
        <f>($C197*0.18)+$C197</f>
        <v>944</v>
      </c>
      <c r="V197" s="1112">
        <f>($C197*0.19)+$C197</f>
        <v>952</v>
      </c>
      <c r="W197" s="1112">
        <f>($C197*0.2)+$C197</f>
        <v>960</v>
      </c>
      <c r="X197" s="1112">
        <f>($C197*0.21)+$C197</f>
        <v>968</v>
      </c>
      <c r="Y197" s="1112">
        <f>($C197*0.22)+$C197</f>
        <v>976</v>
      </c>
      <c r="Z197" s="1112">
        <f>($C197*0.23)+$C197</f>
        <v>984</v>
      </c>
      <c r="AA197" s="1112">
        <f>($C197*0.24)+$C197</f>
        <v>992</v>
      </c>
      <c r="AB197" s="1112">
        <f>($C197*0.25)+$C197</f>
        <v>1000</v>
      </c>
      <c r="AC197" s="1112">
        <f>($C197*0.26)+$C197</f>
        <v>1008</v>
      </c>
      <c r="AD197" s="1112">
        <f>($C197*0.27)+$C197</f>
        <v>1016</v>
      </c>
      <c r="AE197" s="1112">
        <f>($C197*0.28)+$C197</f>
        <v>1024</v>
      </c>
      <c r="AF197" s="1112">
        <f>($C197*0.29)+$C197</f>
        <v>1032</v>
      </c>
      <c r="AG197" s="1112">
        <f>($C197*0.3)+$C197</f>
        <v>1040</v>
      </c>
    </row>
    <row r="198" spans="1:33" ht="15">
      <c r="A198" s="4" t="s">
        <v>36384</v>
      </c>
      <c r="B198" s="4" t="s">
        <v>37694</v>
      </c>
      <c r="C198" s="5">
        <v>600</v>
      </c>
      <c r="D198" s="1112">
        <f>($C198*0.01)+$C198</f>
        <v>606</v>
      </c>
      <c r="E198" s="1112">
        <f>($C198*0.02)+$C198</f>
        <v>612</v>
      </c>
      <c r="F198" s="1112">
        <f>($C198*0.03)+$C198</f>
        <v>618</v>
      </c>
      <c r="G198" s="1112">
        <f>($C198*0.04)+$C198</f>
        <v>624</v>
      </c>
      <c r="H198" s="1112">
        <f>($C198*0.05)+$C198</f>
        <v>630</v>
      </c>
      <c r="I198" s="1112">
        <f>($C198*0.06)+$C198</f>
        <v>636</v>
      </c>
      <c r="J198" s="1112">
        <f>($C198*0.07)+$C198</f>
        <v>642</v>
      </c>
      <c r="K198" s="1112">
        <f>($C198*0.08)+$C198</f>
        <v>648</v>
      </c>
      <c r="L198" s="1112">
        <f>($C198*0.09)+$C198</f>
        <v>654</v>
      </c>
      <c r="M198" s="1112">
        <f>($C198*0.1)+$C198</f>
        <v>660</v>
      </c>
      <c r="N198" s="1112">
        <f>($C198*0.11)+$C198</f>
        <v>666</v>
      </c>
      <c r="O198" s="1112">
        <f>($C198*0.12)+$C198</f>
        <v>672</v>
      </c>
      <c r="P198" s="1112">
        <f>($C198*0.13)+$C198</f>
        <v>678</v>
      </c>
      <c r="Q198" s="1112">
        <f>($C198*0.14)+$C198</f>
        <v>684</v>
      </c>
      <c r="R198" s="1112">
        <f>($C198*0.15)+$C198</f>
        <v>690</v>
      </c>
      <c r="S198" s="1112">
        <f>($C198*0.16)+$C198</f>
        <v>696</v>
      </c>
      <c r="T198" s="1112">
        <f>($C198*0.17)+$C198</f>
        <v>702</v>
      </c>
      <c r="U198" s="1112">
        <f>($C198*0.18)+$C198</f>
        <v>708</v>
      </c>
      <c r="V198" s="1112">
        <f>($C198*0.19)+$C198</f>
        <v>714</v>
      </c>
      <c r="W198" s="1112">
        <f>($C198*0.2)+$C198</f>
        <v>720</v>
      </c>
      <c r="X198" s="1112">
        <f>($C198*0.21)+$C198</f>
        <v>726</v>
      </c>
      <c r="Y198" s="1112">
        <f>($C198*0.22)+$C198</f>
        <v>732</v>
      </c>
      <c r="Z198" s="1112">
        <f>($C198*0.23)+$C198</f>
        <v>738</v>
      </c>
      <c r="AA198" s="1112">
        <f>($C198*0.24)+$C198</f>
        <v>744</v>
      </c>
      <c r="AB198" s="1112">
        <f>($C198*0.25)+$C198</f>
        <v>750</v>
      </c>
      <c r="AC198" s="1112">
        <f>($C198*0.26)+$C198</f>
        <v>756</v>
      </c>
      <c r="AD198" s="1112">
        <f>($C198*0.27)+$C198</f>
        <v>762</v>
      </c>
      <c r="AE198" s="1112">
        <f>($C198*0.28)+$C198</f>
        <v>768</v>
      </c>
      <c r="AF198" s="1112">
        <f>($C198*0.29)+$C198</f>
        <v>774</v>
      </c>
      <c r="AG198" s="1112">
        <f>($C198*0.3)+$C198</f>
        <v>780</v>
      </c>
    </row>
    <row r="199" spans="1:33" ht="15">
      <c r="A199" s="4" t="s">
        <v>36383</v>
      </c>
      <c r="B199" s="4" t="s">
        <v>37693</v>
      </c>
      <c r="C199" s="5">
        <v>600</v>
      </c>
      <c r="D199" s="1112">
        <f>($C199*0.01)+$C199</f>
        <v>606</v>
      </c>
      <c r="E199" s="1112">
        <f>($C199*0.02)+$C199</f>
        <v>612</v>
      </c>
      <c r="F199" s="1112">
        <f>($C199*0.03)+$C199</f>
        <v>618</v>
      </c>
      <c r="G199" s="1112">
        <f>($C199*0.04)+$C199</f>
        <v>624</v>
      </c>
      <c r="H199" s="1112">
        <f>($C199*0.05)+$C199</f>
        <v>630</v>
      </c>
      <c r="I199" s="1112">
        <f>($C199*0.06)+$C199</f>
        <v>636</v>
      </c>
      <c r="J199" s="1112">
        <f>($C199*0.07)+$C199</f>
        <v>642</v>
      </c>
      <c r="K199" s="1112">
        <f>($C199*0.08)+$C199</f>
        <v>648</v>
      </c>
      <c r="L199" s="1112">
        <f>($C199*0.09)+$C199</f>
        <v>654</v>
      </c>
      <c r="M199" s="1112">
        <f>($C199*0.1)+$C199</f>
        <v>660</v>
      </c>
      <c r="N199" s="1112">
        <f>($C199*0.11)+$C199</f>
        <v>666</v>
      </c>
      <c r="O199" s="1112">
        <f>($C199*0.12)+$C199</f>
        <v>672</v>
      </c>
      <c r="P199" s="1112">
        <f>($C199*0.13)+$C199</f>
        <v>678</v>
      </c>
      <c r="Q199" s="1112">
        <f>($C199*0.14)+$C199</f>
        <v>684</v>
      </c>
      <c r="R199" s="1112">
        <f>($C199*0.15)+$C199</f>
        <v>690</v>
      </c>
      <c r="S199" s="1112">
        <f>($C199*0.16)+$C199</f>
        <v>696</v>
      </c>
      <c r="T199" s="1112">
        <f>($C199*0.17)+$C199</f>
        <v>702</v>
      </c>
      <c r="U199" s="1112">
        <f>($C199*0.18)+$C199</f>
        <v>708</v>
      </c>
      <c r="V199" s="1112">
        <f>($C199*0.19)+$C199</f>
        <v>714</v>
      </c>
      <c r="W199" s="1112">
        <f>($C199*0.2)+$C199</f>
        <v>720</v>
      </c>
      <c r="X199" s="1112">
        <f>($C199*0.21)+$C199</f>
        <v>726</v>
      </c>
      <c r="Y199" s="1112">
        <f>($C199*0.22)+$C199</f>
        <v>732</v>
      </c>
      <c r="Z199" s="1112">
        <f>($C199*0.23)+$C199</f>
        <v>738</v>
      </c>
      <c r="AA199" s="1112">
        <f>($C199*0.24)+$C199</f>
        <v>744</v>
      </c>
      <c r="AB199" s="1112">
        <f>($C199*0.25)+$C199</f>
        <v>750</v>
      </c>
      <c r="AC199" s="1112">
        <f>($C199*0.26)+$C199</f>
        <v>756</v>
      </c>
      <c r="AD199" s="1112">
        <f>($C199*0.27)+$C199</f>
        <v>762</v>
      </c>
      <c r="AE199" s="1112">
        <f>($C199*0.28)+$C199</f>
        <v>768</v>
      </c>
      <c r="AF199" s="1112">
        <f>($C199*0.29)+$C199</f>
        <v>774</v>
      </c>
      <c r="AG199" s="1112">
        <f>($C199*0.3)+$C199</f>
        <v>780</v>
      </c>
    </row>
    <row r="200" spans="1:33" ht="15">
      <c r="A200" s="4" t="s">
        <v>22035</v>
      </c>
      <c r="B200" s="4" t="s">
        <v>37704</v>
      </c>
      <c r="C200" s="5">
        <v>700</v>
      </c>
      <c r="D200" s="1112">
        <f>($C200*0.01)+$C200</f>
        <v>707</v>
      </c>
      <c r="E200" s="1112">
        <f>($C200*0.02)+$C200</f>
        <v>714</v>
      </c>
      <c r="F200" s="1112">
        <f>($C200*0.03)+$C200</f>
        <v>721</v>
      </c>
      <c r="G200" s="1112">
        <f>($C200*0.04)+$C200</f>
        <v>728</v>
      </c>
      <c r="H200" s="1112">
        <f>($C200*0.05)+$C200</f>
        <v>735</v>
      </c>
      <c r="I200" s="1112">
        <f>($C200*0.06)+$C200</f>
        <v>742</v>
      </c>
      <c r="J200" s="1112">
        <f>($C200*0.07)+$C200</f>
        <v>749</v>
      </c>
      <c r="K200" s="1112">
        <f>($C200*0.08)+$C200</f>
        <v>756</v>
      </c>
      <c r="L200" s="1112">
        <f>($C200*0.09)+$C200</f>
        <v>763</v>
      </c>
      <c r="M200" s="1112">
        <f>($C200*0.1)+$C200</f>
        <v>770</v>
      </c>
      <c r="N200" s="1112">
        <f>($C200*0.11)+$C200</f>
        <v>777</v>
      </c>
      <c r="O200" s="1112">
        <f>($C200*0.12)+$C200</f>
        <v>784</v>
      </c>
      <c r="P200" s="1112">
        <f>($C200*0.13)+$C200</f>
        <v>791</v>
      </c>
      <c r="Q200" s="1112">
        <f>($C200*0.14)+$C200</f>
        <v>798</v>
      </c>
      <c r="R200" s="1112">
        <f>($C200*0.15)+$C200</f>
        <v>805</v>
      </c>
      <c r="S200" s="1112">
        <f>($C200*0.16)+$C200</f>
        <v>812</v>
      </c>
      <c r="T200" s="1112">
        <f>($C200*0.17)+$C200</f>
        <v>819</v>
      </c>
      <c r="U200" s="1112">
        <f>($C200*0.18)+$C200</f>
        <v>826</v>
      </c>
      <c r="V200" s="1112">
        <f>($C200*0.19)+$C200</f>
        <v>833</v>
      </c>
      <c r="W200" s="1112">
        <f>($C200*0.2)+$C200</f>
        <v>840</v>
      </c>
      <c r="X200" s="1112">
        <f>($C200*0.21)+$C200</f>
        <v>847</v>
      </c>
      <c r="Y200" s="1112">
        <f>($C200*0.22)+$C200</f>
        <v>854</v>
      </c>
      <c r="Z200" s="1112">
        <f>($C200*0.23)+$C200</f>
        <v>861</v>
      </c>
      <c r="AA200" s="1112">
        <f>($C200*0.24)+$C200</f>
        <v>868</v>
      </c>
      <c r="AB200" s="1112">
        <f>($C200*0.25)+$C200</f>
        <v>875</v>
      </c>
      <c r="AC200" s="1112">
        <f>($C200*0.26)+$C200</f>
        <v>882</v>
      </c>
      <c r="AD200" s="1112">
        <f>($C200*0.27)+$C200</f>
        <v>889</v>
      </c>
      <c r="AE200" s="1112">
        <f>($C200*0.28)+$C200</f>
        <v>896</v>
      </c>
      <c r="AF200" s="1112">
        <f>($C200*0.29)+$C200</f>
        <v>903</v>
      </c>
      <c r="AG200" s="1112">
        <f>($C200*0.3)+$C200</f>
        <v>910</v>
      </c>
    </row>
    <row r="201" spans="1:33" ht="30">
      <c r="A201" s="4" t="s">
        <v>22036</v>
      </c>
      <c r="B201" s="4" t="s">
        <v>37703</v>
      </c>
      <c r="C201" s="5">
        <v>700</v>
      </c>
      <c r="D201" s="1112">
        <f>($C201*0.01)+$C201</f>
        <v>707</v>
      </c>
      <c r="E201" s="1112">
        <f>($C201*0.02)+$C201</f>
        <v>714</v>
      </c>
      <c r="F201" s="1112">
        <f>($C201*0.03)+$C201</f>
        <v>721</v>
      </c>
      <c r="G201" s="1112">
        <f>($C201*0.04)+$C201</f>
        <v>728</v>
      </c>
      <c r="H201" s="1112">
        <f>($C201*0.05)+$C201</f>
        <v>735</v>
      </c>
      <c r="I201" s="1112">
        <f>($C201*0.06)+$C201</f>
        <v>742</v>
      </c>
      <c r="J201" s="1112">
        <f>($C201*0.07)+$C201</f>
        <v>749</v>
      </c>
      <c r="K201" s="1112">
        <f>($C201*0.08)+$C201</f>
        <v>756</v>
      </c>
      <c r="L201" s="1112">
        <f>($C201*0.09)+$C201</f>
        <v>763</v>
      </c>
      <c r="M201" s="1112">
        <f>($C201*0.1)+$C201</f>
        <v>770</v>
      </c>
      <c r="N201" s="1112">
        <f>($C201*0.11)+$C201</f>
        <v>777</v>
      </c>
      <c r="O201" s="1112">
        <f>($C201*0.12)+$C201</f>
        <v>784</v>
      </c>
      <c r="P201" s="1112">
        <f>($C201*0.13)+$C201</f>
        <v>791</v>
      </c>
      <c r="Q201" s="1112">
        <f>($C201*0.14)+$C201</f>
        <v>798</v>
      </c>
      <c r="R201" s="1112">
        <f>($C201*0.15)+$C201</f>
        <v>805</v>
      </c>
      <c r="S201" s="1112">
        <f>($C201*0.16)+$C201</f>
        <v>812</v>
      </c>
      <c r="T201" s="1112">
        <f>($C201*0.17)+$C201</f>
        <v>819</v>
      </c>
      <c r="U201" s="1112">
        <f>($C201*0.18)+$C201</f>
        <v>826</v>
      </c>
      <c r="V201" s="1112">
        <f>($C201*0.19)+$C201</f>
        <v>833</v>
      </c>
      <c r="W201" s="1112">
        <f>($C201*0.2)+$C201</f>
        <v>840</v>
      </c>
      <c r="X201" s="1112">
        <f>($C201*0.21)+$C201</f>
        <v>847</v>
      </c>
      <c r="Y201" s="1112">
        <f>($C201*0.22)+$C201</f>
        <v>854</v>
      </c>
      <c r="Z201" s="1112">
        <f>($C201*0.23)+$C201</f>
        <v>861</v>
      </c>
      <c r="AA201" s="1112">
        <f>($C201*0.24)+$C201</f>
        <v>868</v>
      </c>
      <c r="AB201" s="1112">
        <f>($C201*0.25)+$C201</f>
        <v>875</v>
      </c>
      <c r="AC201" s="1112">
        <f>($C201*0.26)+$C201</f>
        <v>882</v>
      </c>
      <c r="AD201" s="1112">
        <f>($C201*0.27)+$C201</f>
        <v>889</v>
      </c>
      <c r="AE201" s="1112">
        <f>($C201*0.28)+$C201</f>
        <v>896</v>
      </c>
      <c r="AF201" s="1112">
        <f>($C201*0.29)+$C201</f>
        <v>903</v>
      </c>
      <c r="AG201" s="1112">
        <f>($C201*0.3)+$C201</f>
        <v>910</v>
      </c>
    </row>
    <row r="202" spans="1:33" ht="15">
      <c r="A202" s="4" t="s">
        <v>36385</v>
      </c>
      <c r="B202" s="4" t="s">
        <v>55216</v>
      </c>
      <c r="C202" s="5">
        <v>400</v>
      </c>
      <c r="D202" s="1112">
        <f>($C202*0.01)+$C202</f>
        <v>404</v>
      </c>
      <c r="E202" s="1112">
        <f>($C202*0.02)+$C202</f>
        <v>408</v>
      </c>
      <c r="F202" s="1112">
        <f>($C202*0.03)+$C202</f>
        <v>412</v>
      </c>
      <c r="G202" s="1112">
        <f>($C202*0.04)+$C202</f>
        <v>416</v>
      </c>
      <c r="H202" s="1112">
        <f>($C202*0.05)+$C202</f>
        <v>420</v>
      </c>
      <c r="I202" s="1112">
        <f>($C202*0.06)+$C202</f>
        <v>424</v>
      </c>
      <c r="J202" s="1112">
        <f>($C202*0.07)+$C202</f>
        <v>428</v>
      </c>
      <c r="K202" s="1112">
        <f>($C202*0.08)+$C202</f>
        <v>432</v>
      </c>
      <c r="L202" s="1112">
        <f>($C202*0.09)+$C202</f>
        <v>436</v>
      </c>
      <c r="M202" s="1112">
        <f>($C202*0.1)+$C202</f>
        <v>440</v>
      </c>
      <c r="N202" s="1112">
        <f>($C202*0.11)+$C202</f>
        <v>444</v>
      </c>
      <c r="O202" s="1112">
        <f>($C202*0.12)+$C202</f>
        <v>448</v>
      </c>
      <c r="P202" s="1112">
        <f>($C202*0.13)+$C202</f>
        <v>452</v>
      </c>
      <c r="Q202" s="1112">
        <f>($C202*0.14)+$C202</f>
        <v>456</v>
      </c>
      <c r="R202" s="1112">
        <f>($C202*0.15)+$C202</f>
        <v>460</v>
      </c>
      <c r="S202" s="1112">
        <f>($C202*0.16)+$C202</f>
        <v>464</v>
      </c>
      <c r="T202" s="1112">
        <f>($C202*0.17)+$C202</f>
        <v>468</v>
      </c>
      <c r="U202" s="1112">
        <f>($C202*0.18)+$C202</f>
        <v>472</v>
      </c>
      <c r="V202" s="1112">
        <f>($C202*0.19)+$C202</f>
        <v>476</v>
      </c>
      <c r="W202" s="1112">
        <f>($C202*0.2)+$C202</f>
        <v>480</v>
      </c>
      <c r="X202" s="1112">
        <f>($C202*0.21)+$C202</f>
        <v>484</v>
      </c>
      <c r="Y202" s="1112">
        <f>($C202*0.22)+$C202</f>
        <v>488</v>
      </c>
      <c r="Z202" s="1112">
        <f>($C202*0.23)+$C202</f>
        <v>492</v>
      </c>
      <c r="AA202" s="1112">
        <f>($C202*0.24)+$C202</f>
        <v>496</v>
      </c>
      <c r="AB202" s="1112">
        <f>($C202*0.25)+$C202</f>
        <v>500</v>
      </c>
      <c r="AC202" s="1112">
        <f>($C202*0.26)+$C202</f>
        <v>504</v>
      </c>
      <c r="AD202" s="1112">
        <f>($C202*0.27)+$C202</f>
        <v>508</v>
      </c>
      <c r="AE202" s="1112">
        <f>($C202*0.28)+$C202</f>
        <v>512</v>
      </c>
      <c r="AF202" s="1112">
        <f>($C202*0.29)+$C202</f>
        <v>516</v>
      </c>
      <c r="AG202" s="1112">
        <f>($C202*0.3)+$C202</f>
        <v>520</v>
      </c>
    </row>
    <row r="203" spans="1:33" ht="15">
      <c r="A203" s="4" t="s">
        <v>36389</v>
      </c>
      <c r="B203" s="4" t="s">
        <v>37706</v>
      </c>
      <c r="C203" s="5">
        <v>450</v>
      </c>
      <c r="D203" s="1112">
        <f>($C203*0.01)+$C203</f>
        <v>454.5</v>
      </c>
      <c r="E203" s="1112">
        <f>($C203*0.02)+$C203</f>
        <v>459</v>
      </c>
      <c r="F203" s="1112">
        <f>($C203*0.03)+$C203</f>
        <v>463.5</v>
      </c>
      <c r="G203" s="1112">
        <f>($C203*0.04)+$C203</f>
        <v>468</v>
      </c>
      <c r="H203" s="1112">
        <f>($C203*0.05)+$C203</f>
        <v>472.5</v>
      </c>
      <c r="I203" s="1112">
        <f>($C203*0.06)+$C203</f>
        <v>477</v>
      </c>
      <c r="J203" s="1112">
        <f>($C203*0.07)+$C203</f>
        <v>481.5</v>
      </c>
      <c r="K203" s="1112">
        <f>($C203*0.08)+$C203</f>
        <v>486</v>
      </c>
      <c r="L203" s="1112">
        <f>($C203*0.09)+$C203</f>
        <v>490.5</v>
      </c>
      <c r="M203" s="1112">
        <f>($C203*0.1)+$C203</f>
        <v>495</v>
      </c>
      <c r="N203" s="1112">
        <f>($C203*0.11)+$C203</f>
        <v>499.5</v>
      </c>
      <c r="O203" s="1112">
        <f>($C203*0.12)+$C203</f>
        <v>504</v>
      </c>
      <c r="P203" s="1112">
        <f>($C203*0.13)+$C203</f>
        <v>508.5</v>
      </c>
      <c r="Q203" s="1112">
        <f>($C203*0.14)+$C203</f>
        <v>513</v>
      </c>
      <c r="R203" s="1112">
        <f>($C203*0.15)+$C203</f>
        <v>517.5</v>
      </c>
      <c r="S203" s="1112">
        <f>($C203*0.16)+$C203</f>
        <v>522</v>
      </c>
      <c r="T203" s="1112">
        <f>($C203*0.17)+$C203</f>
        <v>526.5</v>
      </c>
      <c r="U203" s="1112">
        <f>($C203*0.18)+$C203</f>
        <v>531</v>
      </c>
      <c r="V203" s="1112">
        <f>($C203*0.19)+$C203</f>
        <v>535.5</v>
      </c>
      <c r="W203" s="1112">
        <f>($C203*0.2)+$C203</f>
        <v>540</v>
      </c>
      <c r="X203" s="1112">
        <f>($C203*0.21)+$C203</f>
        <v>544.5</v>
      </c>
      <c r="Y203" s="1112">
        <f>($C203*0.22)+$C203</f>
        <v>549</v>
      </c>
      <c r="Z203" s="1112">
        <f>($C203*0.23)+$C203</f>
        <v>553.5</v>
      </c>
      <c r="AA203" s="1112">
        <f>($C203*0.24)+$C203</f>
        <v>558</v>
      </c>
      <c r="AB203" s="1112">
        <f>($C203*0.25)+$C203</f>
        <v>562.5</v>
      </c>
      <c r="AC203" s="1112">
        <f>($C203*0.26)+$C203</f>
        <v>567</v>
      </c>
      <c r="AD203" s="1112">
        <f>($C203*0.27)+$C203</f>
        <v>571.5</v>
      </c>
      <c r="AE203" s="1112">
        <f>($C203*0.28)+$C203</f>
        <v>576</v>
      </c>
      <c r="AF203" s="1112">
        <f>($C203*0.29)+$C203</f>
        <v>580.5</v>
      </c>
      <c r="AG203" s="1112">
        <f>($C203*0.3)+$C203</f>
        <v>585</v>
      </c>
    </row>
    <row r="204" spans="1:33" ht="15">
      <c r="A204" s="4" t="s">
        <v>22042</v>
      </c>
      <c r="B204" s="4" t="s">
        <v>37705</v>
      </c>
      <c r="C204" s="5">
        <v>450</v>
      </c>
      <c r="D204" s="1112">
        <f>($C204*0.01)+$C204</f>
        <v>454.5</v>
      </c>
      <c r="E204" s="1112">
        <f>($C204*0.02)+$C204</f>
        <v>459</v>
      </c>
      <c r="F204" s="1112">
        <f>($C204*0.03)+$C204</f>
        <v>463.5</v>
      </c>
      <c r="G204" s="1112">
        <f>($C204*0.04)+$C204</f>
        <v>468</v>
      </c>
      <c r="H204" s="1112">
        <f>($C204*0.05)+$C204</f>
        <v>472.5</v>
      </c>
      <c r="I204" s="1112">
        <f>($C204*0.06)+$C204</f>
        <v>477</v>
      </c>
      <c r="J204" s="1112">
        <f>($C204*0.07)+$C204</f>
        <v>481.5</v>
      </c>
      <c r="K204" s="1112">
        <f>($C204*0.08)+$C204</f>
        <v>486</v>
      </c>
      <c r="L204" s="1112">
        <f>($C204*0.09)+$C204</f>
        <v>490.5</v>
      </c>
      <c r="M204" s="1112">
        <f>($C204*0.1)+$C204</f>
        <v>495</v>
      </c>
      <c r="N204" s="1112">
        <f>($C204*0.11)+$C204</f>
        <v>499.5</v>
      </c>
      <c r="O204" s="1112">
        <f>($C204*0.12)+$C204</f>
        <v>504</v>
      </c>
      <c r="P204" s="1112">
        <f>($C204*0.13)+$C204</f>
        <v>508.5</v>
      </c>
      <c r="Q204" s="1112">
        <f>($C204*0.14)+$C204</f>
        <v>513</v>
      </c>
      <c r="R204" s="1112">
        <f>($C204*0.15)+$C204</f>
        <v>517.5</v>
      </c>
      <c r="S204" s="1112">
        <f>($C204*0.16)+$C204</f>
        <v>522</v>
      </c>
      <c r="T204" s="1112">
        <f>($C204*0.17)+$C204</f>
        <v>526.5</v>
      </c>
      <c r="U204" s="1112">
        <f>($C204*0.18)+$C204</f>
        <v>531</v>
      </c>
      <c r="V204" s="1112">
        <f>($C204*0.19)+$C204</f>
        <v>535.5</v>
      </c>
      <c r="W204" s="1112">
        <f>($C204*0.2)+$C204</f>
        <v>540</v>
      </c>
      <c r="X204" s="1112">
        <f>($C204*0.21)+$C204</f>
        <v>544.5</v>
      </c>
      <c r="Y204" s="1112">
        <f>($C204*0.22)+$C204</f>
        <v>549</v>
      </c>
      <c r="Z204" s="1112">
        <f>($C204*0.23)+$C204</f>
        <v>553.5</v>
      </c>
      <c r="AA204" s="1112">
        <f>($C204*0.24)+$C204</f>
        <v>558</v>
      </c>
      <c r="AB204" s="1112">
        <f>($C204*0.25)+$C204</f>
        <v>562.5</v>
      </c>
      <c r="AC204" s="1112">
        <f>($C204*0.26)+$C204</f>
        <v>567</v>
      </c>
      <c r="AD204" s="1112">
        <f>($C204*0.27)+$C204</f>
        <v>571.5</v>
      </c>
      <c r="AE204" s="1112">
        <f>($C204*0.28)+$C204</f>
        <v>576</v>
      </c>
      <c r="AF204" s="1112">
        <f>($C204*0.29)+$C204</f>
        <v>580.5</v>
      </c>
      <c r="AG204" s="1112">
        <f>($C204*0.3)+$C204</f>
        <v>585</v>
      </c>
    </row>
    <row r="205" spans="1:33" ht="15">
      <c r="A205" s="4" t="s">
        <v>22043</v>
      </c>
      <c r="B205" s="4" t="s">
        <v>37702</v>
      </c>
      <c r="C205" s="5">
        <v>500</v>
      </c>
      <c r="D205" s="1112">
        <f>($C205*0.01)+$C205</f>
        <v>505</v>
      </c>
      <c r="E205" s="1112">
        <f>($C205*0.02)+$C205</f>
        <v>510</v>
      </c>
      <c r="F205" s="1112">
        <f>($C205*0.03)+$C205</f>
        <v>515</v>
      </c>
      <c r="G205" s="1112">
        <f>($C205*0.04)+$C205</f>
        <v>520</v>
      </c>
      <c r="H205" s="1112">
        <f>($C205*0.05)+$C205</f>
        <v>525</v>
      </c>
      <c r="I205" s="1112">
        <f>($C205*0.06)+$C205</f>
        <v>530</v>
      </c>
      <c r="J205" s="1112">
        <f>($C205*0.07)+$C205</f>
        <v>535</v>
      </c>
      <c r="K205" s="1112">
        <f>($C205*0.08)+$C205</f>
        <v>540</v>
      </c>
      <c r="L205" s="1112">
        <f>($C205*0.09)+$C205</f>
        <v>545</v>
      </c>
      <c r="M205" s="1112">
        <f>($C205*0.1)+$C205</f>
        <v>550</v>
      </c>
      <c r="N205" s="1112">
        <f>($C205*0.11)+$C205</f>
        <v>555</v>
      </c>
      <c r="O205" s="1112">
        <f>($C205*0.12)+$C205</f>
        <v>560</v>
      </c>
      <c r="P205" s="1112">
        <f>($C205*0.13)+$C205</f>
        <v>565</v>
      </c>
      <c r="Q205" s="1112">
        <f>($C205*0.14)+$C205</f>
        <v>570</v>
      </c>
      <c r="R205" s="1112">
        <f>($C205*0.15)+$C205</f>
        <v>575</v>
      </c>
      <c r="S205" s="1112">
        <f>($C205*0.16)+$C205</f>
        <v>580</v>
      </c>
      <c r="T205" s="1112">
        <f>($C205*0.17)+$C205</f>
        <v>585</v>
      </c>
      <c r="U205" s="1112">
        <f>($C205*0.18)+$C205</f>
        <v>590</v>
      </c>
      <c r="V205" s="1112">
        <f>($C205*0.19)+$C205</f>
        <v>595</v>
      </c>
      <c r="W205" s="1112">
        <f>($C205*0.2)+$C205</f>
        <v>600</v>
      </c>
      <c r="X205" s="1112">
        <f>($C205*0.21)+$C205</f>
        <v>605</v>
      </c>
      <c r="Y205" s="1112">
        <f>($C205*0.22)+$C205</f>
        <v>610</v>
      </c>
      <c r="Z205" s="1112">
        <f>($C205*0.23)+$C205</f>
        <v>615</v>
      </c>
      <c r="AA205" s="1112">
        <f>($C205*0.24)+$C205</f>
        <v>620</v>
      </c>
      <c r="AB205" s="1112">
        <f>($C205*0.25)+$C205</f>
        <v>625</v>
      </c>
      <c r="AC205" s="1112">
        <f>($C205*0.26)+$C205</f>
        <v>630</v>
      </c>
      <c r="AD205" s="1112">
        <f>($C205*0.27)+$C205</f>
        <v>635</v>
      </c>
      <c r="AE205" s="1112">
        <f>($C205*0.28)+$C205</f>
        <v>640</v>
      </c>
      <c r="AF205" s="1112">
        <f>($C205*0.29)+$C205</f>
        <v>645</v>
      </c>
      <c r="AG205" s="1112">
        <f>($C205*0.3)+$C205</f>
        <v>650</v>
      </c>
    </row>
    <row r="206" spans="1:33" ht="15">
      <c r="A206" s="4" t="s">
        <v>36386</v>
      </c>
      <c r="B206" s="4" t="s">
        <v>37700</v>
      </c>
      <c r="C206" s="5">
        <v>400</v>
      </c>
      <c r="D206" s="1112">
        <f>($C206*0.01)+$C206</f>
        <v>404</v>
      </c>
      <c r="E206" s="1112">
        <f>($C206*0.02)+$C206</f>
        <v>408</v>
      </c>
      <c r="F206" s="1112">
        <f>($C206*0.03)+$C206</f>
        <v>412</v>
      </c>
      <c r="G206" s="1112">
        <f>($C206*0.04)+$C206</f>
        <v>416</v>
      </c>
      <c r="H206" s="1112">
        <f>($C206*0.05)+$C206</f>
        <v>420</v>
      </c>
      <c r="I206" s="1112">
        <f>($C206*0.06)+$C206</f>
        <v>424</v>
      </c>
      <c r="J206" s="1112">
        <f>($C206*0.07)+$C206</f>
        <v>428</v>
      </c>
      <c r="K206" s="1112">
        <f>($C206*0.08)+$C206</f>
        <v>432</v>
      </c>
      <c r="L206" s="1112">
        <f>($C206*0.09)+$C206</f>
        <v>436</v>
      </c>
      <c r="M206" s="1112">
        <f>($C206*0.1)+$C206</f>
        <v>440</v>
      </c>
      <c r="N206" s="1112">
        <f>($C206*0.11)+$C206</f>
        <v>444</v>
      </c>
      <c r="O206" s="1112">
        <f>($C206*0.12)+$C206</f>
        <v>448</v>
      </c>
      <c r="P206" s="1112">
        <f>($C206*0.13)+$C206</f>
        <v>452</v>
      </c>
      <c r="Q206" s="1112">
        <f>($C206*0.14)+$C206</f>
        <v>456</v>
      </c>
      <c r="R206" s="1112">
        <f>($C206*0.15)+$C206</f>
        <v>460</v>
      </c>
      <c r="S206" s="1112">
        <f>($C206*0.16)+$C206</f>
        <v>464</v>
      </c>
      <c r="T206" s="1112">
        <f>($C206*0.17)+$C206</f>
        <v>468</v>
      </c>
      <c r="U206" s="1112">
        <f>($C206*0.18)+$C206</f>
        <v>472</v>
      </c>
      <c r="V206" s="1112">
        <f>($C206*0.19)+$C206</f>
        <v>476</v>
      </c>
      <c r="W206" s="1112">
        <f>($C206*0.2)+$C206</f>
        <v>480</v>
      </c>
      <c r="X206" s="1112">
        <f>($C206*0.21)+$C206</f>
        <v>484</v>
      </c>
      <c r="Y206" s="1112">
        <f>($C206*0.22)+$C206</f>
        <v>488</v>
      </c>
      <c r="Z206" s="1112">
        <f>($C206*0.23)+$C206</f>
        <v>492</v>
      </c>
      <c r="AA206" s="1112">
        <f>($C206*0.24)+$C206</f>
        <v>496</v>
      </c>
      <c r="AB206" s="1112">
        <f>($C206*0.25)+$C206</f>
        <v>500</v>
      </c>
      <c r="AC206" s="1112">
        <f>($C206*0.26)+$C206</f>
        <v>504</v>
      </c>
      <c r="AD206" s="1112">
        <f>($C206*0.27)+$C206</f>
        <v>508</v>
      </c>
      <c r="AE206" s="1112">
        <f>($C206*0.28)+$C206</f>
        <v>512</v>
      </c>
      <c r="AF206" s="1112">
        <f>($C206*0.29)+$C206</f>
        <v>516</v>
      </c>
      <c r="AG206" s="1112">
        <f>($C206*0.3)+$C206</f>
        <v>520</v>
      </c>
    </row>
    <row r="207" spans="1:33" ht="15">
      <c r="A207" s="4" t="s">
        <v>36387</v>
      </c>
      <c r="B207" s="4" t="s">
        <v>37701</v>
      </c>
      <c r="C207" s="5">
        <v>450</v>
      </c>
      <c r="D207" s="1112">
        <f>($C207*0.01)+$C207</f>
        <v>454.5</v>
      </c>
      <c r="E207" s="1112">
        <f>($C207*0.02)+$C207</f>
        <v>459</v>
      </c>
      <c r="F207" s="1112">
        <f>($C207*0.03)+$C207</f>
        <v>463.5</v>
      </c>
      <c r="G207" s="1112">
        <f>($C207*0.04)+$C207</f>
        <v>468</v>
      </c>
      <c r="H207" s="1112">
        <f>($C207*0.05)+$C207</f>
        <v>472.5</v>
      </c>
      <c r="I207" s="1112">
        <f>($C207*0.06)+$C207</f>
        <v>477</v>
      </c>
      <c r="J207" s="1112">
        <f>($C207*0.07)+$C207</f>
        <v>481.5</v>
      </c>
      <c r="K207" s="1112">
        <f>($C207*0.08)+$C207</f>
        <v>486</v>
      </c>
      <c r="L207" s="1112">
        <f>($C207*0.09)+$C207</f>
        <v>490.5</v>
      </c>
      <c r="M207" s="1112">
        <f>($C207*0.1)+$C207</f>
        <v>495</v>
      </c>
      <c r="N207" s="1112">
        <f>($C207*0.11)+$C207</f>
        <v>499.5</v>
      </c>
      <c r="O207" s="1112">
        <f>($C207*0.12)+$C207</f>
        <v>504</v>
      </c>
      <c r="P207" s="1112">
        <f>($C207*0.13)+$C207</f>
        <v>508.5</v>
      </c>
      <c r="Q207" s="1112">
        <f>($C207*0.14)+$C207</f>
        <v>513</v>
      </c>
      <c r="R207" s="1112">
        <f>($C207*0.15)+$C207</f>
        <v>517.5</v>
      </c>
      <c r="S207" s="1112">
        <f>($C207*0.16)+$C207</f>
        <v>522</v>
      </c>
      <c r="T207" s="1112">
        <f>($C207*0.17)+$C207</f>
        <v>526.5</v>
      </c>
      <c r="U207" s="1112">
        <f>($C207*0.18)+$C207</f>
        <v>531</v>
      </c>
      <c r="V207" s="1112">
        <f>($C207*0.19)+$C207</f>
        <v>535.5</v>
      </c>
      <c r="W207" s="1112">
        <f>($C207*0.2)+$C207</f>
        <v>540</v>
      </c>
      <c r="X207" s="1112">
        <f>($C207*0.21)+$C207</f>
        <v>544.5</v>
      </c>
      <c r="Y207" s="1112">
        <f>($C207*0.22)+$C207</f>
        <v>549</v>
      </c>
      <c r="Z207" s="1112">
        <f>($C207*0.23)+$C207</f>
        <v>553.5</v>
      </c>
      <c r="AA207" s="1112">
        <f>($C207*0.24)+$C207</f>
        <v>558</v>
      </c>
      <c r="AB207" s="1112">
        <f>($C207*0.25)+$C207</f>
        <v>562.5</v>
      </c>
      <c r="AC207" s="1112">
        <f>($C207*0.26)+$C207</f>
        <v>567</v>
      </c>
      <c r="AD207" s="1112">
        <f>($C207*0.27)+$C207</f>
        <v>571.5</v>
      </c>
      <c r="AE207" s="1112">
        <f>($C207*0.28)+$C207</f>
        <v>576</v>
      </c>
      <c r="AF207" s="1112">
        <f>($C207*0.29)+$C207</f>
        <v>580.5</v>
      </c>
      <c r="AG207" s="1112">
        <f>($C207*0.3)+$C207</f>
        <v>585</v>
      </c>
    </row>
    <row r="208" spans="1:33" ht="15">
      <c r="A208" s="4" t="s">
        <v>36388</v>
      </c>
      <c r="B208" s="4" t="s">
        <v>55217</v>
      </c>
      <c r="C208" s="5">
        <v>900</v>
      </c>
      <c r="D208" s="1112">
        <f>($C208*0.01)+$C208</f>
        <v>909</v>
      </c>
      <c r="E208" s="1112">
        <f>($C208*0.02)+$C208</f>
        <v>918</v>
      </c>
      <c r="F208" s="1112">
        <f>($C208*0.03)+$C208</f>
        <v>927</v>
      </c>
      <c r="G208" s="1112">
        <f>($C208*0.04)+$C208</f>
        <v>936</v>
      </c>
      <c r="H208" s="1112">
        <f>($C208*0.05)+$C208</f>
        <v>945</v>
      </c>
      <c r="I208" s="1112">
        <f>($C208*0.06)+$C208</f>
        <v>954</v>
      </c>
      <c r="J208" s="1112">
        <f>($C208*0.07)+$C208</f>
        <v>963</v>
      </c>
      <c r="K208" s="1112">
        <f>($C208*0.08)+$C208</f>
        <v>972</v>
      </c>
      <c r="L208" s="1112">
        <f>($C208*0.09)+$C208</f>
        <v>981</v>
      </c>
      <c r="M208" s="1112">
        <f>($C208*0.1)+$C208</f>
        <v>990</v>
      </c>
      <c r="N208" s="1112">
        <f>($C208*0.11)+$C208</f>
        <v>999</v>
      </c>
      <c r="O208" s="1112">
        <f>($C208*0.12)+$C208</f>
        <v>1008</v>
      </c>
      <c r="P208" s="1112">
        <f>($C208*0.13)+$C208</f>
        <v>1017</v>
      </c>
      <c r="Q208" s="1112">
        <f>($C208*0.14)+$C208</f>
        <v>1026</v>
      </c>
      <c r="R208" s="1112">
        <f>($C208*0.15)+$C208</f>
        <v>1035</v>
      </c>
      <c r="S208" s="1112">
        <f>($C208*0.16)+$C208</f>
        <v>1044</v>
      </c>
      <c r="T208" s="1112">
        <f>($C208*0.17)+$C208</f>
        <v>1053</v>
      </c>
      <c r="U208" s="1112">
        <f>($C208*0.18)+$C208</f>
        <v>1062</v>
      </c>
      <c r="V208" s="1112">
        <f>($C208*0.19)+$C208</f>
        <v>1071</v>
      </c>
      <c r="W208" s="1112">
        <f>($C208*0.2)+$C208</f>
        <v>1080</v>
      </c>
      <c r="X208" s="1112">
        <f>($C208*0.21)+$C208</f>
        <v>1089</v>
      </c>
      <c r="Y208" s="1112">
        <f>($C208*0.22)+$C208</f>
        <v>1098</v>
      </c>
      <c r="Z208" s="1112">
        <f>($C208*0.23)+$C208</f>
        <v>1107</v>
      </c>
      <c r="AA208" s="1112">
        <f>($C208*0.24)+$C208</f>
        <v>1116</v>
      </c>
      <c r="AB208" s="1112">
        <f>($C208*0.25)+$C208</f>
        <v>1125</v>
      </c>
      <c r="AC208" s="1112">
        <f>($C208*0.26)+$C208</f>
        <v>1134</v>
      </c>
      <c r="AD208" s="1112">
        <f>($C208*0.27)+$C208</f>
        <v>1143</v>
      </c>
      <c r="AE208" s="1112">
        <f>($C208*0.28)+$C208</f>
        <v>1152</v>
      </c>
      <c r="AF208" s="1112">
        <f>($C208*0.29)+$C208</f>
        <v>1161</v>
      </c>
      <c r="AG208" s="1112">
        <f>($C208*0.3)+$C208</f>
        <v>1170</v>
      </c>
    </row>
    <row r="209" spans="1:33" ht="15">
      <c r="A209" s="4" t="s">
        <v>37692</v>
      </c>
      <c r="B209" s="4" t="s">
        <v>53889</v>
      </c>
      <c r="C209" s="5">
        <v>600</v>
      </c>
      <c r="D209" s="1112">
        <f>($C209*0.01)+$C209</f>
        <v>606</v>
      </c>
      <c r="E209" s="1112">
        <f>($C209*0.02)+$C209</f>
        <v>612</v>
      </c>
      <c r="F209" s="1112">
        <f>($C209*0.03)+$C209</f>
        <v>618</v>
      </c>
      <c r="G209" s="1112">
        <f>($C209*0.04)+$C209</f>
        <v>624</v>
      </c>
      <c r="H209" s="1112">
        <f>($C209*0.05)+$C209</f>
        <v>630</v>
      </c>
      <c r="I209" s="1112">
        <f>($C209*0.06)+$C209</f>
        <v>636</v>
      </c>
      <c r="J209" s="1112">
        <f>($C209*0.07)+$C209</f>
        <v>642</v>
      </c>
      <c r="K209" s="1112">
        <f>($C209*0.08)+$C209</f>
        <v>648</v>
      </c>
      <c r="L209" s="1112">
        <f>($C209*0.09)+$C209</f>
        <v>654</v>
      </c>
      <c r="M209" s="1112">
        <f>($C209*0.1)+$C209</f>
        <v>660</v>
      </c>
      <c r="N209" s="1112">
        <f>($C209*0.11)+$C209</f>
        <v>666</v>
      </c>
      <c r="O209" s="1112">
        <f>($C209*0.12)+$C209</f>
        <v>672</v>
      </c>
      <c r="P209" s="1112">
        <f>($C209*0.13)+$C209</f>
        <v>678</v>
      </c>
      <c r="Q209" s="1112">
        <f>($C209*0.14)+$C209</f>
        <v>684</v>
      </c>
      <c r="R209" s="1112">
        <f>($C209*0.15)+$C209</f>
        <v>690</v>
      </c>
      <c r="S209" s="1112">
        <f>($C209*0.16)+$C209</f>
        <v>696</v>
      </c>
      <c r="T209" s="1112">
        <f>($C209*0.17)+$C209</f>
        <v>702</v>
      </c>
      <c r="U209" s="1112">
        <f>($C209*0.18)+$C209</f>
        <v>708</v>
      </c>
      <c r="V209" s="1112">
        <f>($C209*0.19)+$C209</f>
        <v>714</v>
      </c>
      <c r="W209" s="1112">
        <f>($C209*0.2)+$C209</f>
        <v>720</v>
      </c>
      <c r="X209" s="1112">
        <f>($C209*0.21)+$C209</f>
        <v>726</v>
      </c>
      <c r="Y209" s="1112">
        <f>($C209*0.22)+$C209</f>
        <v>732</v>
      </c>
      <c r="Z209" s="1112">
        <f>($C209*0.23)+$C209</f>
        <v>738</v>
      </c>
      <c r="AA209" s="1112">
        <f>($C209*0.24)+$C209</f>
        <v>744</v>
      </c>
      <c r="AB209" s="1112">
        <f>($C209*0.25)+$C209</f>
        <v>750</v>
      </c>
      <c r="AC209" s="1112">
        <f>($C209*0.26)+$C209</f>
        <v>756</v>
      </c>
      <c r="AD209" s="1112">
        <f>($C209*0.27)+$C209</f>
        <v>762</v>
      </c>
      <c r="AE209" s="1112">
        <f>($C209*0.28)+$C209</f>
        <v>768</v>
      </c>
      <c r="AF209" s="1112">
        <f>($C209*0.29)+$C209</f>
        <v>774</v>
      </c>
      <c r="AG209" s="1112">
        <f>($C209*0.3)+$C209</f>
        <v>780</v>
      </c>
    </row>
    <row r="210" spans="1:33" ht="15">
      <c r="A210" s="4" t="s">
        <v>8075</v>
      </c>
      <c r="B210" s="4" t="s">
        <v>22062</v>
      </c>
      <c r="C210" s="5">
        <v>500</v>
      </c>
      <c r="D210" s="1112">
        <f>($C210*0.01)+$C210</f>
        <v>505</v>
      </c>
      <c r="E210" s="1112">
        <f>($C210*0.02)+$C210</f>
        <v>510</v>
      </c>
      <c r="F210" s="1112">
        <f>($C210*0.03)+$C210</f>
        <v>515</v>
      </c>
      <c r="G210" s="1112">
        <f>($C210*0.04)+$C210</f>
        <v>520</v>
      </c>
      <c r="H210" s="1112">
        <f>($C210*0.05)+$C210</f>
        <v>525</v>
      </c>
      <c r="I210" s="1112">
        <f>($C210*0.06)+$C210</f>
        <v>530</v>
      </c>
      <c r="J210" s="1112">
        <f>($C210*0.07)+$C210</f>
        <v>535</v>
      </c>
      <c r="K210" s="1112">
        <f>($C210*0.08)+$C210</f>
        <v>540</v>
      </c>
      <c r="L210" s="1112">
        <f>($C210*0.09)+$C210</f>
        <v>545</v>
      </c>
      <c r="M210" s="1112">
        <f>($C210*0.1)+$C210</f>
        <v>550</v>
      </c>
      <c r="N210" s="1112">
        <f>($C210*0.11)+$C210</f>
        <v>555</v>
      </c>
      <c r="O210" s="1112">
        <f>($C210*0.12)+$C210</f>
        <v>560</v>
      </c>
      <c r="P210" s="1112">
        <f>($C210*0.13)+$C210</f>
        <v>565</v>
      </c>
      <c r="Q210" s="1112">
        <f>($C210*0.14)+$C210</f>
        <v>570</v>
      </c>
      <c r="R210" s="1112">
        <f>($C210*0.15)+$C210</f>
        <v>575</v>
      </c>
      <c r="S210" s="1112">
        <f>($C210*0.16)+$C210</f>
        <v>580</v>
      </c>
      <c r="T210" s="1112">
        <f>($C210*0.17)+$C210</f>
        <v>585</v>
      </c>
      <c r="U210" s="1112">
        <f>($C210*0.18)+$C210</f>
        <v>590</v>
      </c>
      <c r="V210" s="1112">
        <f>($C210*0.19)+$C210</f>
        <v>595</v>
      </c>
      <c r="W210" s="1112">
        <f>($C210*0.2)+$C210</f>
        <v>600</v>
      </c>
      <c r="X210" s="1112">
        <f>($C210*0.21)+$C210</f>
        <v>605</v>
      </c>
      <c r="Y210" s="1112">
        <f>($C210*0.22)+$C210</f>
        <v>610</v>
      </c>
      <c r="Z210" s="1112">
        <f>($C210*0.23)+$C210</f>
        <v>615</v>
      </c>
      <c r="AA210" s="1112">
        <f>($C210*0.24)+$C210</f>
        <v>620</v>
      </c>
      <c r="AB210" s="1112">
        <f>($C210*0.25)+$C210</f>
        <v>625</v>
      </c>
      <c r="AC210" s="1112">
        <f>($C210*0.26)+$C210</f>
        <v>630</v>
      </c>
      <c r="AD210" s="1112">
        <f>($C210*0.27)+$C210</f>
        <v>635</v>
      </c>
      <c r="AE210" s="1112">
        <f>($C210*0.28)+$C210</f>
        <v>640</v>
      </c>
      <c r="AF210" s="1112">
        <f>($C210*0.29)+$C210</f>
        <v>645</v>
      </c>
      <c r="AG210" s="1112">
        <f>($C210*0.3)+$C210</f>
        <v>650</v>
      </c>
    </row>
    <row r="211" spans="1:33" ht="15">
      <c r="A211" s="4"/>
      <c r="B211" s="4"/>
      <c r="C211" s="5"/>
      <c r="D211" s="1112"/>
      <c r="E211" s="1112"/>
      <c r="F211" s="1112"/>
      <c r="G211" s="1112"/>
      <c r="H211" s="1112"/>
      <c r="I211" s="1112"/>
      <c r="J211" s="1112"/>
      <c r="K211" s="1112"/>
      <c r="L211" s="1112"/>
      <c r="M211" s="1112"/>
      <c r="N211" s="1112"/>
      <c r="O211" s="1112"/>
      <c r="P211" s="1112"/>
      <c r="Q211" s="1112"/>
      <c r="R211" s="1112"/>
      <c r="S211" s="1112"/>
      <c r="T211" s="1112"/>
      <c r="U211" s="1112"/>
      <c r="V211" s="1112"/>
      <c r="W211" s="1112"/>
      <c r="X211" s="1112"/>
      <c r="Y211" s="1112"/>
      <c r="Z211" s="1112"/>
      <c r="AA211" s="1112"/>
      <c r="AB211" s="1112"/>
      <c r="AC211" s="1112"/>
      <c r="AD211" s="1112"/>
      <c r="AE211" s="1112"/>
      <c r="AF211" s="1112"/>
      <c r="AG211" s="1112"/>
    </row>
    <row r="212" spans="1:33" ht="20">
      <c r="A212" s="13"/>
      <c r="B212" s="11" t="s">
        <v>37707</v>
      </c>
      <c r="C212" s="14"/>
      <c r="D212" s="1112"/>
      <c r="E212" s="1112"/>
      <c r="F212" s="1112"/>
      <c r="G212" s="1112"/>
      <c r="H212" s="1112"/>
      <c r="I212" s="1112"/>
      <c r="J212" s="1112"/>
      <c r="K212" s="1112"/>
      <c r="L212" s="1112"/>
      <c r="M212" s="1112"/>
      <c r="N212" s="1112"/>
      <c r="O212" s="1112"/>
      <c r="P212" s="1112"/>
      <c r="Q212" s="1112"/>
      <c r="R212" s="1112"/>
      <c r="S212" s="1112"/>
      <c r="T212" s="1112"/>
      <c r="U212" s="1112"/>
      <c r="V212" s="1112"/>
      <c r="W212" s="1112"/>
      <c r="X212" s="1112"/>
      <c r="Y212" s="1112"/>
      <c r="Z212" s="1112"/>
      <c r="AA212" s="1112"/>
      <c r="AB212" s="1112"/>
      <c r="AC212" s="1112"/>
      <c r="AD212" s="1112"/>
      <c r="AE212" s="1112"/>
      <c r="AF212" s="1112"/>
      <c r="AG212" s="1112"/>
    </row>
    <row r="213" spans="1:33" ht="45">
      <c r="A213" s="7" t="s">
        <v>128</v>
      </c>
      <c r="B213" s="7" t="s">
        <v>129</v>
      </c>
      <c r="C213" s="8">
        <v>1550</v>
      </c>
      <c r="D213" s="1112">
        <f>($C213*0.01)+$C213</f>
        <v>1565.5</v>
      </c>
      <c r="E213" s="1112">
        <f>($C213*0.02)+$C213</f>
        <v>1581</v>
      </c>
      <c r="F213" s="1112">
        <f>($C213*0.03)+$C213</f>
        <v>1596.5</v>
      </c>
      <c r="G213" s="1112">
        <f>($C213*0.04)+$C213</f>
        <v>1612</v>
      </c>
      <c r="H213" s="1112">
        <f>($C213*0.05)+$C213</f>
        <v>1627.5</v>
      </c>
      <c r="I213" s="1112">
        <f>($C213*0.06)+$C213</f>
        <v>1643</v>
      </c>
      <c r="J213" s="1112">
        <f>($C213*0.07)+$C213</f>
        <v>1658.5</v>
      </c>
      <c r="K213" s="1112">
        <f>($C213*0.08)+$C213</f>
        <v>1674</v>
      </c>
      <c r="L213" s="1112">
        <f>($C213*0.09)+$C213</f>
        <v>1689.5</v>
      </c>
      <c r="M213" s="1112">
        <f>($C213*0.1)+$C213</f>
        <v>1705</v>
      </c>
      <c r="N213" s="1112">
        <f>($C213*0.11)+$C213</f>
        <v>1720.5</v>
      </c>
      <c r="O213" s="1112">
        <f>($C213*0.12)+$C213</f>
        <v>1736</v>
      </c>
      <c r="P213" s="1112">
        <f>($C213*0.13)+$C213</f>
        <v>1751.5</v>
      </c>
      <c r="Q213" s="1112">
        <f>($C213*0.14)+$C213</f>
        <v>1767</v>
      </c>
      <c r="R213" s="1112">
        <f>($C213*0.15)+$C213</f>
        <v>1782.5</v>
      </c>
      <c r="S213" s="1112">
        <f>($C213*0.16)+$C213</f>
        <v>1798</v>
      </c>
      <c r="T213" s="1112">
        <f>($C213*0.17)+$C213</f>
        <v>1813.5</v>
      </c>
      <c r="U213" s="1112">
        <f>($C213*0.18)+$C213</f>
        <v>1829</v>
      </c>
      <c r="V213" s="1112">
        <f>($C213*0.19)+$C213</f>
        <v>1844.5</v>
      </c>
      <c r="W213" s="1112">
        <f>($C213*0.2)+$C213</f>
        <v>1860</v>
      </c>
      <c r="X213" s="1112">
        <f>($C213*0.21)+$C213</f>
        <v>1875.5</v>
      </c>
      <c r="Y213" s="1112">
        <f>($C213*0.22)+$C213</f>
        <v>1891</v>
      </c>
      <c r="Z213" s="1112">
        <f>($C213*0.23)+$C213</f>
        <v>1906.5</v>
      </c>
      <c r="AA213" s="1112">
        <f>($C213*0.24)+$C213</f>
        <v>1922</v>
      </c>
      <c r="AB213" s="1112">
        <f>($C213*0.25)+$C213</f>
        <v>1937.5</v>
      </c>
      <c r="AC213" s="1112">
        <f>($C213*0.26)+$C213</f>
        <v>1953</v>
      </c>
      <c r="AD213" s="1112">
        <f>($C213*0.27)+$C213</f>
        <v>1968.5</v>
      </c>
      <c r="AE213" s="1112">
        <f>($C213*0.28)+$C213</f>
        <v>1984</v>
      </c>
      <c r="AF213" s="1112">
        <f>($C213*0.29)+$C213</f>
        <v>1999.5</v>
      </c>
      <c r="AG213" s="1112">
        <f>($C213*0.3)+$C213</f>
        <v>2015</v>
      </c>
    </row>
    <row r="214" spans="1:33" ht="45">
      <c r="A214" s="7" t="s">
        <v>130</v>
      </c>
      <c r="B214" s="7" t="s">
        <v>131</v>
      </c>
      <c r="C214" s="8">
        <v>1600</v>
      </c>
      <c r="D214" s="1112">
        <f>($C214*0.01)+$C214</f>
        <v>1616</v>
      </c>
      <c r="E214" s="1112">
        <f>($C214*0.02)+$C214</f>
        <v>1632</v>
      </c>
      <c r="F214" s="1112">
        <f>($C214*0.03)+$C214</f>
        <v>1648</v>
      </c>
      <c r="G214" s="1112">
        <f>($C214*0.04)+$C214</f>
        <v>1664</v>
      </c>
      <c r="H214" s="1112">
        <f>($C214*0.05)+$C214</f>
        <v>1680</v>
      </c>
      <c r="I214" s="1112">
        <f>($C214*0.06)+$C214</f>
        <v>1696</v>
      </c>
      <c r="J214" s="1112">
        <f>($C214*0.07)+$C214</f>
        <v>1712</v>
      </c>
      <c r="K214" s="1112">
        <f>($C214*0.08)+$C214</f>
        <v>1728</v>
      </c>
      <c r="L214" s="1112">
        <f>($C214*0.09)+$C214</f>
        <v>1744</v>
      </c>
      <c r="M214" s="1112">
        <f>($C214*0.1)+$C214</f>
        <v>1760</v>
      </c>
      <c r="N214" s="1112">
        <f>($C214*0.11)+$C214</f>
        <v>1776</v>
      </c>
      <c r="O214" s="1112">
        <f>($C214*0.12)+$C214</f>
        <v>1792</v>
      </c>
      <c r="P214" s="1112">
        <f>($C214*0.13)+$C214</f>
        <v>1808</v>
      </c>
      <c r="Q214" s="1112">
        <f>($C214*0.14)+$C214</f>
        <v>1824</v>
      </c>
      <c r="R214" s="1112">
        <f>($C214*0.15)+$C214</f>
        <v>1840</v>
      </c>
      <c r="S214" s="1112">
        <f>($C214*0.16)+$C214</f>
        <v>1856</v>
      </c>
      <c r="T214" s="1112">
        <f>($C214*0.17)+$C214</f>
        <v>1872</v>
      </c>
      <c r="U214" s="1112">
        <f>($C214*0.18)+$C214</f>
        <v>1888</v>
      </c>
      <c r="V214" s="1112">
        <f>($C214*0.19)+$C214</f>
        <v>1904</v>
      </c>
      <c r="W214" s="1112">
        <f>($C214*0.2)+$C214</f>
        <v>1920</v>
      </c>
      <c r="X214" s="1112">
        <f>($C214*0.21)+$C214</f>
        <v>1936</v>
      </c>
      <c r="Y214" s="1112">
        <f>($C214*0.22)+$C214</f>
        <v>1952</v>
      </c>
      <c r="Z214" s="1112">
        <f>($C214*0.23)+$C214</f>
        <v>1968</v>
      </c>
      <c r="AA214" s="1112">
        <f>($C214*0.24)+$C214</f>
        <v>1984</v>
      </c>
      <c r="AB214" s="1112">
        <f>($C214*0.25)+$C214</f>
        <v>2000</v>
      </c>
      <c r="AC214" s="1112">
        <f>($C214*0.26)+$C214</f>
        <v>2016</v>
      </c>
      <c r="AD214" s="1112">
        <f>($C214*0.27)+$C214</f>
        <v>2032</v>
      </c>
      <c r="AE214" s="1112">
        <f>($C214*0.28)+$C214</f>
        <v>2048</v>
      </c>
      <c r="AF214" s="1112">
        <f>($C214*0.29)+$C214</f>
        <v>2064</v>
      </c>
      <c r="AG214" s="1112">
        <f>($C214*0.3)+$C214</f>
        <v>2080</v>
      </c>
    </row>
    <row r="215" spans="1:33" ht="45">
      <c r="A215" s="7" t="s">
        <v>132</v>
      </c>
      <c r="B215" s="7" t="s">
        <v>133</v>
      </c>
      <c r="C215" s="8">
        <v>1600</v>
      </c>
      <c r="D215" s="1112">
        <f>($C215*0.01)+$C215</f>
        <v>1616</v>
      </c>
      <c r="E215" s="1112">
        <f>($C215*0.02)+$C215</f>
        <v>1632</v>
      </c>
      <c r="F215" s="1112">
        <f>($C215*0.03)+$C215</f>
        <v>1648</v>
      </c>
      <c r="G215" s="1112">
        <f>($C215*0.04)+$C215</f>
        <v>1664</v>
      </c>
      <c r="H215" s="1112">
        <f>($C215*0.05)+$C215</f>
        <v>1680</v>
      </c>
      <c r="I215" s="1112">
        <f>($C215*0.06)+$C215</f>
        <v>1696</v>
      </c>
      <c r="J215" s="1112">
        <f>($C215*0.07)+$C215</f>
        <v>1712</v>
      </c>
      <c r="K215" s="1112">
        <f>($C215*0.08)+$C215</f>
        <v>1728</v>
      </c>
      <c r="L215" s="1112">
        <f>($C215*0.09)+$C215</f>
        <v>1744</v>
      </c>
      <c r="M215" s="1112">
        <f>($C215*0.1)+$C215</f>
        <v>1760</v>
      </c>
      <c r="N215" s="1112">
        <f>($C215*0.11)+$C215</f>
        <v>1776</v>
      </c>
      <c r="O215" s="1112">
        <f>($C215*0.12)+$C215</f>
        <v>1792</v>
      </c>
      <c r="P215" s="1112">
        <f>($C215*0.13)+$C215</f>
        <v>1808</v>
      </c>
      <c r="Q215" s="1112">
        <f>($C215*0.14)+$C215</f>
        <v>1824</v>
      </c>
      <c r="R215" s="1112">
        <f>($C215*0.15)+$C215</f>
        <v>1840</v>
      </c>
      <c r="S215" s="1112">
        <f>($C215*0.16)+$C215</f>
        <v>1856</v>
      </c>
      <c r="T215" s="1112">
        <f>($C215*0.17)+$C215</f>
        <v>1872</v>
      </c>
      <c r="U215" s="1112">
        <f>($C215*0.18)+$C215</f>
        <v>1888</v>
      </c>
      <c r="V215" s="1112">
        <f>($C215*0.19)+$C215</f>
        <v>1904</v>
      </c>
      <c r="W215" s="1112">
        <f>($C215*0.2)+$C215</f>
        <v>1920</v>
      </c>
      <c r="X215" s="1112">
        <f>($C215*0.21)+$C215</f>
        <v>1936</v>
      </c>
      <c r="Y215" s="1112">
        <f>($C215*0.22)+$C215</f>
        <v>1952</v>
      </c>
      <c r="Z215" s="1112">
        <f>($C215*0.23)+$C215</f>
        <v>1968</v>
      </c>
      <c r="AA215" s="1112">
        <f>($C215*0.24)+$C215</f>
        <v>1984</v>
      </c>
      <c r="AB215" s="1112">
        <f>($C215*0.25)+$C215</f>
        <v>2000</v>
      </c>
      <c r="AC215" s="1112">
        <f>($C215*0.26)+$C215</f>
        <v>2016</v>
      </c>
      <c r="AD215" s="1112">
        <f>($C215*0.27)+$C215</f>
        <v>2032</v>
      </c>
      <c r="AE215" s="1112">
        <f>($C215*0.28)+$C215</f>
        <v>2048</v>
      </c>
      <c r="AF215" s="1112">
        <f>($C215*0.29)+$C215</f>
        <v>2064</v>
      </c>
      <c r="AG215" s="1112">
        <f>($C215*0.3)+$C215</f>
        <v>2080</v>
      </c>
    </row>
    <row r="216" spans="1:33" ht="45">
      <c r="A216" s="7" t="s">
        <v>134</v>
      </c>
      <c r="B216" s="7" t="s">
        <v>135</v>
      </c>
      <c r="C216" s="8">
        <v>1500</v>
      </c>
      <c r="D216" s="1112">
        <f>($C216*0.01)+$C216</f>
        <v>1515</v>
      </c>
      <c r="E216" s="1112">
        <f>($C216*0.02)+$C216</f>
        <v>1530</v>
      </c>
      <c r="F216" s="1112">
        <f>($C216*0.03)+$C216</f>
        <v>1545</v>
      </c>
      <c r="G216" s="1112">
        <f>($C216*0.04)+$C216</f>
        <v>1560</v>
      </c>
      <c r="H216" s="1112">
        <f>($C216*0.05)+$C216</f>
        <v>1575</v>
      </c>
      <c r="I216" s="1112">
        <f>($C216*0.06)+$C216</f>
        <v>1590</v>
      </c>
      <c r="J216" s="1112">
        <f>($C216*0.07)+$C216</f>
        <v>1605</v>
      </c>
      <c r="K216" s="1112">
        <f>($C216*0.08)+$C216</f>
        <v>1620</v>
      </c>
      <c r="L216" s="1112">
        <f>($C216*0.09)+$C216</f>
        <v>1635</v>
      </c>
      <c r="M216" s="1112">
        <f>($C216*0.1)+$C216</f>
        <v>1650</v>
      </c>
      <c r="N216" s="1112">
        <f>($C216*0.11)+$C216</f>
        <v>1665</v>
      </c>
      <c r="O216" s="1112">
        <f>($C216*0.12)+$C216</f>
        <v>1680</v>
      </c>
      <c r="P216" s="1112">
        <f>($C216*0.13)+$C216</f>
        <v>1695</v>
      </c>
      <c r="Q216" s="1112">
        <f>($C216*0.14)+$C216</f>
        <v>1710</v>
      </c>
      <c r="R216" s="1112">
        <f>($C216*0.15)+$C216</f>
        <v>1725</v>
      </c>
      <c r="S216" s="1112">
        <f>($C216*0.16)+$C216</f>
        <v>1740</v>
      </c>
      <c r="T216" s="1112">
        <f>($C216*0.17)+$C216</f>
        <v>1755</v>
      </c>
      <c r="U216" s="1112">
        <f>($C216*0.18)+$C216</f>
        <v>1770</v>
      </c>
      <c r="V216" s="1112">
        <f>($C216*0.19)+$C216</f>
        <v>1785</v>
      </c>
      <c r="W216" s="1112">
        <f>($C216*0.2)+$C216</f>
        <v>1800</v>
      </c>
      <c r="X216" s="1112">
        <f>($C216*0.21)+$C216</f>
        <v>1815</v>
      </c>
      <c r="Y216" s="1112">
        <f>($C216*0.22)+$C216</f>
        <v>1830</v>
      </c>
      <c r="Z216" s="1112">
        <f>($C216*0.23)+$C216</f>
        <v>1845</v>
      </c>
      <c r="AA216" s="1112">
        <f>($C216*0.24)+$C216</f>
        <v>1860</v>
      </c>
      <c r="AB216" s="1112">
        <f>($C216*0.25)+$C216</f>
        <v>1875</v>
      </c>
      <c r="AC216" s="1112">
        <f>($C216*0.26)+$C216</f>
        <v>1890</v>
      </c>
      <c r="AD216" s="1112">
        <f>($C216*0.27)+$C216</f>
        <v>1905</v>
      </c>
      <c r="AE216" s="1112">
        <f>($C216*0.28)+$C216</f>
        <v>1920</v>
      </c>
      <c r="AF216" s="1112">
        <f>($C216*0.29)+$C216</f>
        <v>1935</v>
      </c>
      <c r="AG216" s="1112">
        <f>($C216*0.3)+$C216</f>
        <v>1950</v>
      </c>
    </row>
    <row r="217" spans="1:33" ht="15">
      <c r="A217" s="7" t="s">
        <v>37717</v>
      </c>
      <c r="B217" s="7" t="s">
        <v>37719</v>
      </c>
      <c r="C217" s="8">
        <v>800</v>
      </c>
      <c r="D217" s="1112">
        <f>($C217*0.01)+$C217</f>
        <v>808</v>
      </c>
      <c r="E217" s="1112">
        <f>($C217*0.02)+$C217</f>
        <v>816</v>
      </c>
      <c r="F217" s="1112">
        <f>($C217*0.03)+$C217</f>
        <v>824</v>
      </c>
      <c r="G217" s="1112">
        <f>($C217*0.04)+$C217</f>
        <v>832</v>
      </c>
      <c r="H217" s="1112">
        <f>($C217*0.05)+$C217</f>
        <v>840</v>
      </c>
      <c r="I217" s="1112">
        <f>($C217*0.06)+$C217</f>
        <v>848</v>
      </c>
      <c r="J217" s="1112">
        <f>($C217*0.07)+$C217</f>
        <v>856</v>
      </c>
      <c r="K217" s="1112">
        <f>($C217*0.08)+$C217</f>
        <v>864</v>
      </c>
      <c r="L217" s="1112">
        <f>($C217*0.09)+$C217</f>
        <v>872</v>
      </c>
      <c r="M217" s="1112">
        <f>($C217*0.1)+$C217</f>
        <v>880</v>
      </c>
      <c r="N217" s="1112">
        <f>($C217*0.11)+$C217</f>
        <v>888</v>
      </c>
      <c r="O217" s="1112">
        <f>($C217*0.12)+$C217</f>
        <v>896</v>
      </c>
      <c r="P217" s="1112">
        <f>($C217*0.13)+$C217</f>
        <v>904</v>
      </c>
      <c r="Q217" s="1112">
        <f>($C217*0.14)+$C217</f>
        <v>912</v>
      </c>
      <c r="R217" s="1112">
        <f>($C217*0.15)+$C217</f>
        <v>920</v>
      </c>
      <c r="S217" s="1112">
        <f>($C217*0.16)+$C217</f>
        <v>928</v>
      </c>
      <c r="T217" s="1112">
        <f>($C217*0.17)+$C217</f>
        <v>936</v>
      </c>
      <c r="U217" s="1112">
        <f>($C217*0.18)+$C217</f>
        <v>944</v>
      </c>
      <c r="V217" s="1112">
        <f>($C217*0.19)+$C217</f>
        <v>952</v>
      </c>
      <c r="W217" s="1112">
        <f>($C217*0.2)+$C217</f>
        <v>960</v>
      </c>
      <c r="X217" s="1112">
        <f>($C217*0.21)+$C217</f>
        <v>968</v>
      </c>
      <c r="Y217" s="1112">
        <f>($C217*0.22)+$C217</f>
        <v>976</v>
      </c>
      <c r="Z217" s="1112">
        <f>($C217*0.23)+$C217</f>
        <v>984</v>
      </c>
      <c r="AA217" s="1112">
        <f>($C217*0.24)+$C217</f>
        <v>992</v>
      </c>
      <c r="AB217" s="1112">
        <f>($C217*0.25)+$C217</f>
        <v>1000</v>
      </c>
      <c r="AC217" s="1112">
        <f>($C217*0.26)+$C217</f>
        <v>1008</v>
      </c>
      <c r="AD217" s="1112">
        <f>($C217*0.27)+$C217</f>
        <v>1016</v>
      </c>
      <c r="AE217" s="1112">
        <f>($C217*0.28)+$C217</f>
        <v>1024</v>
      </c>
      <c r="AF217" s="1112">
        <f>($C217*0.29)+$C217</f>
        <v>1032</v>
      </c>
      <c r="AG217" s="1112">
        <f>($C217*0.3)+$C217</f>
        <v>1040</v>
      </c>
    </row>
    <row r="218" spans="1:33" ht="15">
      <c r="A218" s="7" t="s">
        <v>37718</v>
      </c>
      <c r="B218" s="7" t="s">
        <v>37720</v>
      </c>
      <c r="C218" s="8">
        <v>900</v>
      </c>
      <c r="D218" s="1112">
        <f>($C218*0.01)+$C218</f>
        <v>909</v>
      </c>
      <c r="E218" s="1112">
        <f>($C218*0.02)+$C218</f>
        <v>918</v>
      </c>
      <c r="F218" s="1112">
        <f>($C218*0.03)+$C218</f>
        <v>927</v>
      </c>
      <c r="G218" s="1112">
        <f>($C218*0.04)+$C218</f>
        <v>936</v>
      </c>
      <c r="H218" s="1112">
        <f>($C218*0.05)+$C218</f>
        <v>945</v>
      </c>
      <c r="I218" s="1112">
        <f>($C218*0.06)+$C218</f>
        <v>954</v>
      </c>
      <c r="J218" s="1112">
        <f>($C218*0.07)+$C218</f>
        <v>963</v>
      </c>
      <c r="K218" s="1112">
        <f>($C218*0.08)+$C218</f>
        <v>972</v>
      </c>
      <c r="L218" s="1112">
        <f>($C218*0.09)+$C218</f>
        <v>981</v>
      </c>
      <c r="M218" s="1112">
        <f>($C218*0.1)+$C218</f>
        <v>990</v>
      </c>
      <c r="N218" s="1112">
        <f>($C218*0.11)+$C218</f>
        <v>999</v>
      </c>
      <c r="O218" s="1112">
        <f>($C218*0.12)+$C218</f>
        <v>1008</v>
      </c>
      <c r="P218" s="1112">
        <f>($C218*0.13)+$C218</f>
        <v>1017</v>
      </c>
      <c r="Q218" s="1112">
        <f>($C218*0.14)+$C218</f>
        <v>1026</v>
      </c>
      <c r="R218" s="1112">
        <f>($C218*0.15)+$C218</f>
        <v>1035</v>
      </c>
      <c r="S218" s="1112">
        <f>($C218*0.16)+$C218</f>
        <v>1044</v>
      </c>
      <c r="T218" s="1112">
        <f>($C218*0.17)+$C218</f>
        <v>1053</v>
      </c>
      <c r="U218" s="1112">
        <f>($C218*0.18)+$C218</f>
        <v>1062</v>
      </c>
      <c r="V218" s="1112">
        <f>($C218*0.19)+$C218</f>
        <v>1071</v>
      </c>
      <c r="W218" s="1112">
        <f>($C218*0.2)+$C218</f>
        <v>1080</v>
      </c>
      <c r="X218" s="1112">
        <f>($C218*0.21)+$C218</f>
        <v>1089</v>
      </c>
      <c r="Y218" s="1112">
        <f>($C218*0.22)+$C218</f>
        <v>1098</v>
      </c>
      <c r="Z218" s="1112">
        <f>($C218*0.23)+$C218</f>
        <v>1107</v>
      </c>
      <c r="AA218" s="1112">
        <f>($C218*0.24)+$C218</f>
        <v>1116</v>
      </c>
      <c r="AB218" s="1112">
        <f>($C218*0.25)+$C218</f>
        <v>1125</v>
      </c>
      <c r="AC218" s="1112">
        <f>($C218*0.26)+$C218</f>
        <v>1134</v>
      </c>
      <c r="AD218" s="1112">
        <f>($C218*0.27)+$C218</f>
        <v>1143</v>
      </c>
      <c r="AE218" s="1112">
        <f>($C218*0.28)+$C218</f>
        <v>1152</v>
      </c>
      <c r="AF218" s="1112">
        <f>($C218*0.29)+$C218</f>
        <v>1161</v>
      </c>
      <c r="AG218" s="1112">
        <f>($C218*0.3)+$C218</f>
        <v>1170</v>
      </c>
    </row>
    <row r="219" spans="1:33" ht="30">
      <c r="A219" s="7" t="s">
        <v>37708</v>
      </c>
      <c r="B219" s="7" t="s">
        <v>37715</v>
      </c>
      <c r="C219" s="8">
        <v>600</v>
      </c>
      <c r="D219" s="1112">
        <f>($C219*0.01)+$C219</f>
        <v>606</v>
      </c>
      <c r="E219" s="1112">
        <f>($C219*0.02)+$C219</f>
        <v>612</v>
      </c>
      <c r="F219" s="1112">
        <f>($C219*0.03)+$C219</f>
        <v>618</v>
      </c>
      <c r="G219" s="1112">
        <f>($C219*0.04)+$C219</f>
        <v>624</v>
      </c>
      <c r="H219" s="1112">
        <f>($C219*0.05)+$C219</f>
        <v>630</v>
      </c>
      <c r="I219" s="1112">
        <f>($C219*0.06)+$C219</f>
        <v>636</v>
      </c>
      <c r="J219" s="1112">
        <f>($C219*0.07)+$C219</f>
        <v>642</v>
      </c>
      <c r="K219" s="1112">
        <f>($C219*0.08)+$C219</f>
        <v>648</v>
      </c>
      <c r="L219" s="1112">
        <f>($C219*0.09)+$C219</f>
        <v>654</v>
      </c>
      <c r="M219" s="1112">
        <f>($C219*0.1)+$C219</f>
        <v>660</v>
      </c>
      <c r="N219" s="1112">
        <f>($C219*0.11)+$C219</f>
        <v>666</v>
      </c>
      <c r="O219" s="1112">
        <f>($C219*0.12)+$C219</f>
        <v>672</v>
      </c>
      <c r="P219" s="1112">
        <f>($C219*0.13)+$C219</f>
        <v>678</v>
      </c>
      <c r="Q219" s="1112">
        <f>($C219*0.14)+$C219</f>
        <v>684</v>
      </c>
      <c r="R219" s="1112">
        <f>($C219*0.15)+$C219</f>
        <v>690</v>
      </c>
      <c r="S219" s="1112">
        <f>($C219*0.16)+$C219</f>
        <v>696</v>
      </c>
      <c r="T219" s="1112">
        <f>($C219*0.17)+$C219</f>
        <v>702</v>
      </c>
      <c r="U219" s="1112">
        <f>($C219*0.18)+$C219</f>
        <v>708</v>
      </c>
      <c r="V219" s="1112">
        <f>($C219*0.19)+$C219</f>
        <v>714</v>
      </c>
      <c r="W219" s="1112">
        <f>($C219*0.2)+$C219</f>
        <v>720</v>
      </c>
      <c r="X219" s="1112">
        <f>($C219*0.21)+$C219</f>
        <v>726</v>
      </c>
      <c r="Y219" s="1112">
        <f>($C219*0.22)+$C219</f>
        <v>732</v>
      </c>
      <c r="Z219" s="1112">
        <f>($C219*0.23)+$C219</f>
        <v>738</v>
      </c>
      <c r="AA219" s="1112">
        <f>($C219*0.24)+$C219</f>
        <v>744</v>
      </c>
      <c r="AB219" s="1112">
        <f>($C219*0.25)+$C219</f>
        <v>750</v>
      </c>
      <c r="AC219" s="1112">
        <f>($C219*0.26)+$C219</f>
        <v>756</v>
      </c>
      <c r="AD219" s="1112">
        <f>($C219*0.27)+$C219</f>
        <v>762</v>
      </c>
      <c r="AE219" s="1112">
        <f>($C219*0.28)+$C219</f>
        <v>768</v>
      </c>
      <c r="AF219" s="1112">
        <f>($C219*0.29)+$C219</f>
        <v>774</v>
      </c>
      <c r="AG219" s="1112">
        <f>($C219*0.3)+$C219</f>
        <v>780</v>
      </c>
    </row>
    <row r="220" spans="1:33" ht="30">
      <c r="A220" s="7" t="s">
        <v>37709</v>
      </c>
      <c r="B220" s="7" t="s">
        <v>37712</v>
      </c>
      <c r="C220" s="8">
        <v>800</v>
      </c>
      <c r="D220" s="1112">
        <f>($C220*0.01)+$C220</f>
        <v>808</v>
      </c>
      <c r="E220" s="1112">
        <f>($C220*0.02)+$C220</f>
        <v>816</v>
      </c>
      <c r="F220" s="1112">
        <f>($C220*0.03)+$C220</f>
        <v>824</v>
      </c>
      <c r="G220" s="1112">
        <f>($C220*0.04)+$C220</f>
        <v>832</v>
      </c>
      <c r="H220" s="1112">
        <f>($C220*0.05)+$C220</f>
        <v>840</v>
      </c>
      <c r="I220" s="1112">
        <f>($C220*0.06)+$C220</f>
        <v>848</v>
      </c>
      <c r="J220" s="1112">
        <f>($C220*0.07)+$C220</f>
        <v>856</v>
      </c>
      <c r="K220" s="1112">
        <f>($C220*0.08)+$C220</f>
        <v>864</v>
      </c>
      <c r="L220" s="1112">
        <f>($C220*0.09)+$C220</f>
        <v>872</v>
      </c>
      <c r="M220" s="1112">
        <f>($C220*0.1)+$C220</f>
        <v>880</v>
      </c>
      <c r="N220" s="1112">
        <f>($C220*0.11)+$C220</f>
        <v>888</v>
      </c>
      <c r="O220" s="1112">
        <f>($C220*0.12)+$C220</f>
        <v>896</v>
      </c>
      <c r="P220" s="1112">
        <f>($C220*0.13)+$C220</f>
        <v>904</v>
      </c>
      <c r="Q220" s="1112">
        <f>($C220*0.14)+$C220</f>
        <v>912</v>
      </c>
      <c r="R220" s="1112">
        <f>($C220*0.15)+$C220</f>
        <v>920</v>
      </c>
      <c r="S220" s="1112">
        <f>($C220*0.16)+$C220</f>
        <v>928</v>
      </c>
      <c r="T220" s="1112">
        <f>($C220*0.17)+$C220</f>
        <v>936</v>
      </c>
      <c r="U220" s="1112">
        <f>($C220*0.18)+$C220</f>
        <v>944</v>
      </c>
      <c r="V220" s="1112">
        <f>($C220*0.19)+$C220</f>
        <v>952</v>
      </c>
      <c r="W220" s="1112">
        <f>($C220*0.2)+$C220</f>
        <v>960</v>
      </c>
      <c r="X220" s="1112">
        <f>($C220*0.21)+$C220</f>
        <v>968</v>
      </c>
      <c r="Y220" s="1112">
        <f>($C220*0.22)+$C220</f>
        <v>976</v>
      </c>
      <c r="Z220" s="1112">
        <f>($C220*0.23)+$C220</f>
        <v>984</v>
      </c>
      <c r="AA220" s="1112">
        <f>($C220*0.24)+$C220</f>
        <v>992</v>
      </c>
      <c r="AB220" s="1112">
        <f>($C220*0.25)+$C220</f>
        <v>1000</v>
      </c>
      <c r="AC220" s="1112">
        <f>($C220*0.26)+$C220</f>
        <v>1008</v>
      </c>
      <c r="AD220" s="1112">
        <f>($C220*0.27)+$C220</f>
        <v>1016</v>
      </c>
      <c r="AE220" s="1112">
        <f>($C220*0.28)+$C220</f>
        <v>1024</v>
      </c>
      <c r="AF220" s="1112">
        <f>($C220*0.29)+$C220</f>
        <v>1032</v>
      </c>
      <c r="AG220" s="1112">
        <f>($C220*0.3)+$C220</f>
        <v>1040</v>
      </c>
    </row>
    <row r="221" spans="1:33" ht="30">
      <c r="A221" s="7" t="s">
        <v>37710</v>
      </c>
      <c r="B221" s="7" t="s">
        <v>37713</v>
      </c>
      <c r="C221" s="8">
        <v>1300</v>
      </c>
      <c r="D221" s="1112">
        <f>($C221*0.01)+$C221</f>
        <v>1313</v>
      </c>
      <c r="E221" s="1112">
        <f>($C221*0.02)+$C221</f>
        <v>1326</v>
      </c>
      <c r="F221" s="1112">
        <f>($C221*0.03)+$C221</f>
        <v>1339</v>
      </c>
      <c r="G221" s="1112">
        <f>($C221*0.04)+$C221</f>
        <v>1352</v>
      </c>
      <c r="H221" s="1112">
        <f>($C221*0.05)+$C221</f>
        <v>1365</v>
      </c>
      <c r="I221" s="1112">
        <f>($C221*0.06)+$C221</f>
        <v>1378</v>
      </c>
      <c r="J221" s="1112">
        <f>($C221*0.07)+$C221</f>
        <v>1391</v>
      </c>
      <c r="K221" s="1112">
        <f>($C221*0.08)+$C221</f>
        <v>1404</v>
      </c>
      <c r="L221" s="1112">
        <f>($C221*0.09)+$C221</f>
        <v>1417</v>
      </c>
      <c r="M221" s="1112">
        <f>($C221*0.1)+$C221</f>
        <v>1430</v>
      </c>
      <c r="N221" s="1112">
        <f>($C221*0.11)+$C221</f>
        <v>1443</v>
      </c>
      <c r="O221" s="1112">
        <f>($C221*0.12)+$C221</f>
        <v>1456</v>
      </c>
      <c r="P221" s="1112">
        <f>($C221*0.13)+$C221</f>
        <v>1469</v>
      </c>
      <c r="Q221" s="1112">
        <f>($C221*0.14)+$C221</f>
        <v>1482</v>
      </c>
      <c r="R221" s="1112">
        <f>($C221*0.15)+$C221</f>
        <v>1495</v>
      </c>
      <c r="S221" s="1112">
        <f>($C221*0.16)+$C221</f>
        <v>1508</v>
      </c>
      <c r="T221" s="1112">
        <f>($C221*0.17)+$C221</f>
        <v>1521</v>
      </c>
      <c r="U221" s="1112">
        <f>($C221*0.18)+$C221</f>
        <v>1534</v>
      </c>
      <c r="V221" s="1112">
        <f>($C221*0.19)+$C221</f>
        <v>1547</v>
      </c>
      <c r="W221" s="1112">
        <f>($C221*0.2)+$C221</f>
        <v>1560</v>
      </c>
      <c r="X221" s="1112">
        <f>($C221*0.21)+$C221</f>
        <v>1573</v>
      </c>
      <c r="Y221" s="1112">
        <f>($C221*0.22)+$C221</f>
        <v>1586</v>
      </c>
      <c r="Z221" s="1112">
        <f>($C221*0.23)+$C221</f>
        <v>1599</v>
      </c>
      <c r="AA221" s="1112">
        <f>($C221*0.24)+$C221</f>
        <v>1612</v>
      </c>
      <c r="AB221" s="1112">
        <f>($C221*0.25)+$C221</f>
        <v>1625</v>
      </c>
      <c r="AC221" s="1112">
        <f>($C221*0.26)+$C221</f>
        <v>1638</v>
      </c>
      <c r="AD221" s="1112">
        <f>($C221*0.27)+$C221</f>
        <v>1651</v>
      </c>
      <c r="AE221" s="1112">
        <f>($C221*0.28)+$C221</f>
        <v>1664</v>
      </c>
      <c r="AF221" s="1112">
        <f>($C221*0.29)+$C221</f>
        <v>1677</v>
      </c>
      <c r="AG221" s="1112">
        <f>($C221*0.3)+$C221</f>
        <v>1690</v>
      </c>
    </row>
    <row r="222" spans="1:33" ht="30">
      <c r="A222" s="7" t="s">
        <v>37711</v>
      </c>
      <c r="B222" s="7" t="s">
        <v>37714</v>
      </c>
      <c r="C222" s="8">
        <v>1500</v>
      </c>
      <c r="D222" s="1112">
        <f>($C222*0.01)+$C222</f>
        <v>1515</v>
      </c>
      <c r="E222" s="1112">
        <f>($C222*0.02)+$C222</f>
        <v>1530</v>
      </c>
      <c r="F222" s="1112">
        <f>($C222*0.03)+$C222</f>
        <v>1545</v>
      </c>
      <c r="G222" s="1112">
        <f>($C222*0.04)+$C222</f>
        <v>1560</v>
      </c>
      <c r="H222" s="1112">
        <f>($C222*0.05)+$C222</f>
        <v>1575</v>
      </c>
      <c r="I222" s="1112">
        <f>($C222*0.06)+$C222</f>
        <v>1590</v>
      </c>
      <c r="J222" s="1112">
        <f>($C222*0.07)+$C222</f>
        <v>1605</v>
      </c>
      <c r="K222" s="1112">
        <f>($C222*0.08)+$C222</f>
        <v>1620</v>
      </c>
      <c r="L222" s="1112">
        <f>($C222*0.09)+$C222</f>
        <v>1635</v>
      </c>
      <c r="M222" s="1112">
        <f>($C222*0.1)+$C222</f>
        <v>1650</v>
      </c>
      <c r="N222" s="1112">
        <f>($C222*0.11)+$C222</f>
        <v>1665</v>
      </c>
      <c r="O222" s="1112">
        <f>($C222*0.12)+$C222</f>
        <v>1680</v>
      </c>
      <c r="P222" s="1112">
        <f>($C222*0.13)+$C222</f>
        <v>1695</v>
      </c>
      <c r="Q222" s="1112">
        <f>($C222*0.14)+$C222</f>
        <v>1710</v>
      </c>
      <c r="R222" s="1112">
        <f>($C222*0.15)+$C222</f>
        <v>1725</v>
      </c>
      <c r="S222" s="1112">
        <f>($C222*0.16)+$C222</f>
        <v>1740</v>
      </c>
      <c r="T222" s="1112">
        <f>($C222*0.17)+$C222</f>
        <v>1755</v>
      </c>
      <c r="U222" s="1112">
        <f>($C222*0.18)+$C222</f>
        <v>1770</v>
      </c>
      <c r="V222" s="1112">
        <f>($C222*0.19)+$C222</f>
        <v>1785</v>
      </c>
      <c r="W222" s="1112">
        <f>($C222*0.2)+$C222</f>
        <v>1800</v>
      </c>
      <c r="X222" s="1112">
        <f>($C222*0.21)+$C222</f>
        <v>1815</v>
      </c>
      <c r="Y222" s="1112">
        <f>($C222*0.22)+$C222</f>
        <v>1830</v>
      </c>
      <c r="Z222" s="1112">
        <f>($C222*0.23)+$C222</f>
        <v>1845</v>
      </c>
      <c r="AA222" s="1112">
        <f>($C222*0.24)+$C222</f>
        <v>1860</v>
      </c>
      <c r="AB222" s="1112">
        <f>($C222*0.25)+$C222</f>
        <v>1875</v>
      </c>
      <c r="AC222" s="1112">
        <f>($C222*0.26)+$C222</f>
        <v>1890</v>
      </c>
      <c r="AD222" s="1112">
        <f>($C222*0.27)+$C222</f>
        <v>1905</v>
      </c>
      <c r="AE222" s="1112">
        <f>($C222*0.28)+$C222</f>
        <v>1920</v>
      </c>
      <c r="AF222" s="1112">
        <f>($C222*0.29)+$C222</f>
        <v>1935</v>
      </c>
      <c r="AG222" s="1112">
        <f>($C222*0.3)+$C222</f>
        <v>1950</v>
      </c>
    </row>
    <row r="223" spans="1:33" ht="15">
      <c r="A223" s="4"/>
      <c r="B223" s="4"/>
      <c r="C223" s="5"/>
      <c r="D223" s="1112"/>
      <c r="E223" s="1112"/>
      <c r="F223" s="1112"/>
      <c r="G223" s="1112"/>
      <c r="H223" s="1112"/>
      <c r="I223" s="1112"/>
      <c r="J223" s="1112"/>
      <c r="K223" s="1112"/>
      <c r="L223" s="1112"/>
      <c r="M223" s="1112"/>
      <c r="N223" s="1112"/>
      <c r="O223" s="1112"/>
      <c r="P223" s="1112"/>
      <c r="Q223" s="1112"/>
      <c r="R223" s="1112"/>
      <c r="S223" s="1112"/>
      <c r="T223" s="1112"/>
      <c r="U223" s="1112"/>
      <c r="V223" s="1112"/>
      <c r="W223" s="1112"/>
      <c r="X223" s="1112"/>
      <c r="Y223" s="1112"/>
      <c r="Z223" s="1112"/>
      <c r="AA223" s="1112"/>
      <c r="AB223" s="1112"/>
      <c r="AC223" s="1112"/>
      <c r="AD223" s="1112"/>
      <c r="AE223" s="1112"/>
      <c r="AF223" s="1112"/>
      <c r="AG223" s="1112"/>
    </row>
    <row r="224" spans="1:33" ht="20">
      <c r="A224" s="13"/>
      <c r="B224" s="11" t="s">
        <v>55218</v>
      </c>
      <c r="C224" s="14"/>
      <c r="D224" s="1112"/>
      <c r="E224" s="1112"/>
      <c r="F224" s="1112"/>
      <c r="G224" s="1112"/>
      <c r="H224" s="1112"/>
      <c r="I224" s="1112"/>
      <c r="J224" s="1112"/>
      <c r="K224" s="1112"/>
      <c r="L224" s="1112"/>
      <c r="M224" s="1112"/>
      <c r="N224" s="1112"/>
      <c r="O224" s="1112"/>
      <c r="P224" s="1112"/>
      <c r="Q224" s="1112"/>
      <c r="R224" s="1112"/>
      <c r="S224" s="1112"/>
      <c r="T224" s="1112"/>
      <c r="U224" s="1112"/>
      <c r="V224" s="1112"/>
      <c r="W224" s="1112"/>
      <c r="X224" s="1112"/>
      <c r="Y224" s="1112"/>
      <c r="Z224" s="1112"/>
      <c r="AA224" s="1112"/>
      <c r="AB224" s="1112"/>
      <c r="AC224" s="1112"/>
      <c r="AD224" s="1112"/>
      <c r="AE224" s="1112"/>
      <c r="AF224" s="1112"/>
      <c r="AG224" s="1112"/>
    </row>
    <row r="225" spans="1:33" ht="15">
      <c r="A225" s="4" t="s">
        <v>156</v>
      </c>
      <c r="B225" s="4" t="s">
        <v>37728</v>
      </c>
      <c r="C225" s="5">
        <v>200</v>
      </c>
      <c r="D225" s="1112">
        <f>($C225*0.01)+$C225</f>
        <v>202</v>
      </c>
      <c r="E225" s="1112">
        <f>($C225*0.02)+$C225</f>
        <v>204</v>
      </c>
      <c r="F225" s="1112">
        <f>($C225*0.03)+$C225</f>
        <v>206</v>
      </c>
      <c r="G225" s="1112">
        <f>($C225*0.04)+$C225</f>
        <v>208</v>
      </c>
      <c r="H225" s="1112">
        <f>($C225*0.05)+$C225</f>
        <v>210</v>
      </c>
      <c r="I225" s="1112">
        <f>($C225*0.06)+$C225</f>
        <v>212</v>
      </c>
      <c r="J225" s="1112">
        <f>($C225*0.07)+$C225</f>
        <v>214</v>
      </c>
      <c r="K225" s="1112">
        <f>($C225*0.08)+$C225</f>
        <v>216</v>
      </c>
      <c r="L225" s="1112">
        <f>($C225*0.09)+$C225</f>
        <v>218</v>
      </c>
      <c r="M225" s="1112">
        <f>($C225*0.1)+$C225</f>
        <v>220</v>
      </c>
      <c r="N225" s="1112">
        <f>($C225*0.11)+$C225</f>
        <v>222</v>
      </c>
      <c r="O225" s="1112">
        <f>($C225*0.12)+$C225</f>
        <v>224</v>
      </c>
      <c r="P225" s="1112">
        <f>($C225*0.13)+$C225</f>
        <v>226</v>
      </c>
      <c r="Q225" s="1112">
        <f>($C225*0.14)+$C225</f>
        <v>228</v>
      </c>
      <c r="R225" s="1112">
        <f>($C225*0.15)+$C225</f>
        <v>230</v>
      </c>
      <c r="S225" s="1112">
        <f>($C225*0.16)+$C225</f>
        <v>232</v>
      </c>
      <c r="T225" s="1112">
        <f>($C225*0.17)+$C225</f>
        <v>234</v>
      </c>
      <c r="U225" s="1112">
        <f>($C225*0.18)+$C225</f>
        <v>236</v>
      </c>
      <c r="V225" s="1112">
        <f>($C225*0.19)+$C225</f>
        <v>238</v>
      </c>
      <c r="W225" s="1112">
        <f>($C225*0.2)+$C225</f>
        <v>240</v>
      </c>
      <c r="X225" s="1112">
        <f>($C225*0.21)+$C225</f>
        <v>242</v>
      </c>
      <c r="Y225" s="1112">
        <f>($C225*0.22)+$C225</f>
        <v>244</v>
      </c>
      <c r="Z225" s="1112">
        <f>($C225*0.23)+$C225</f>
        <v>246</v>
      </c>
      <c r="AA225" s="1112">
        <f>($C225*0.24)+$C225</f>
        <v>248</v>
      </c>
      <c r="AB225" s="1112">
        <f>($C225*0.25)+$C225</f>
        <v>250</v>
      </c>
      <c r="AC225" s="1112">
        <f>($C225*0.26)+$C225</f>
        <v>252</v>
      </c>
      <c r="AD225" s="1112">
        <f>($C225*0.27)+$C225</f>
        <v>254</v>
      </c>
      <c r="AE225" s="1112">
        <f>($C225*0.28)+$C225</f>
        <v>256</v>
      </c>
      <c r="AF225" s="1112">
        <f>($C225*0.29)+$C225</f>
        <v>258</v>
      </c>
      <c r="AG225" s="1112">
        <f>($C225*0.3)+$C225</f>
        <v>260</v>
      </c>
    </row>
    <row r="226" spans="1:33" ht="15">
      <c r="A226" s="4" t="s">
        <v>21266</v>
      </c>
      <c r="B226" s="4" t="s">
        <v>37727</v>
      </c>
      <c r="C226" s="5">
        <v>200</v>
      </c>
      <c r="D226" s="1112">
        <f>($C226*0.01)+$C226</f>
        <v>202</v>
      </c>
      <c r="E226" s="1112">
        <f>($C226*0.02)+$C226</f>
        <v>204</v>
      </c>
      <c r="F226" s="1112">
        <f>($C226*0.03)+$C226</f>
        <v>206</v>
      </c>
      <c r="G226" s="1112">
        <f>($C226*0.04)+$C226</f>
        <v>208</v>
      </c>
      <c r="H226" s="1112">
        <f>($C226*0.05)+$C226</f>
        <v>210</v>
      </c>
      <c r="I226" s="1112">
        <f>($C226*0.06)+$C226</f>
        <v>212</v>
      </c>
      <c r="J226" s="1112">
        <f>($C226*0.07)+$C226</f>
        <v>214</v>
      </c>
      <c r="K226" s="1112">
        <f>($C226*0.08)+$C226</f>
        <v>216</v>
      </c>
      <c r="L226" s="1112">
        <f>($C226*0.09)+$C226</f>
        <v>218</v>
      </c>
      <c r="M226" s="1112">
        <f>($C226*0.1)+$C226</f>
        <v>220</v>
      </c>
      <c r="N226" s="1112">
        <f>($C226*0.11)+$C226</f>
        <v>222</v>
      </c>
      <c r="O226" s="1112">
        <f>($C226*0.12)+$C226</f>
        <v>224</v>
      </c>
      <c r="P226" s="1112">
        <f>($C226*0.13)+$C226</f>
        <v>226</v>
      </c>
      <c r="Q226" s="1112">
        <f>($C226*0.14)+$C226</f>
        <v>228</v>
      </c>
      <c r="R226" s="1112">
        <f>($C226*0.15)+$C226</f>
        <v>230</v>
      </c>
      <c r="S226" s="1112">
        <f>($C226*0.16)+$C226</f>
        <v>232</v>
      </c>
      <c r="T226" s="1112">
        <f>($C226*0.17)+$C226</f>
        <v>234</v>
      </c>
      <c r="U226" s="1112">
        <f>($C226*0.18)+$C226</f>
        <v>236</v>
      </c>
      <c r="V226" s="1112">
        <f>($C226*0.19)+$C226</f>
        <v>238</v>
      </c>
      <c r="W226" s="1112">
        <f>($C226*0.2)+$C226</f>
        <v>240</v>
      </c>
      <c r="X226" s="1112">
        <f>($C226*0.21)+$C226</f>
        <v>242</v>
      </c>
      <c r="Y226" s="1112">
        <f>($C226*0.22)+$C226</f>
        <v>244</v>
      </c>
      <c r="Z226" s="1112">
        <f>($C226*0.23)+$C226</f>
        <v>246</v>
      </c>
      <c r="AA226" s="1112">
        <f>($C226*0.24)+$C226</f>
        <v>248</v>
      </c>
      <c r="AB226" s="1112">
        <f>($C226*0.25)+$C226</f>
        <v>250</v>
      </c>
      <c r="AC226" s="1112">
        <f>($C226*0.26)+$C226</f>
        <v>252</v>
      </c>
      <c r="AD226" s="1112">
        <f>($C226*0.27)+$C226</f>
        <v>254</v>
      </c>
      <c r="AE226" s="1112">
        <f>($C226*0.28)+$C226</f>
        <v>256</v>
      </c>
      <c r="AF226" s="1112">
        <f>($C226*0.29)+$C226</f>
        <v>258</v>
      </c>
      <c r="AG226" s="1112">
        <f>($C226*0.3)+$C226</f>
        <v>260</v>
      </c>
    </row>
    <row r="227" spans="1:33" ht="15">
      <c r="A227" s="4" t="s">
        <v>21264</v>
      </c>
      <c r="B227" s="4" t="s">
        <v>37726</v>
      </c>
      <c r="C227" s="5">
        <v>200</v>
      </c>
      <c r="D227" s="1112">
        <f>($C227*0.01)+$C227</f>
        <v>202</v>
      </c>
      <c r="E227" s="1112">
        <f>($C227*0.02)+$C227</f>
        <v>204</v>
      </c>
      <c r="F227" s="1112">
        <f>($C227*0.03)+$C227</f>
        <v>206</v>
      </c>
      <c r="G227" s="1112">
        <f>($C227*0.04)+$C227</f>
        <v>208</v>
      </c>
      <c r="H227" s="1112">
        <f>($C227*0.05)+$C227</f>
        <v>210</v>
      </c>
      <c r="I227" s="1112">
        <f>($C227*0.06)+$C227</f>
        <v>212</v>
      </c>
      <c r="J227" s="1112">
        <f>($C227*0.07)+$C227</f>
        <v>214</v>
      </c>
      <c r="K227" s="1112">
        <f>($C227*0.08)+$C227</f>
        <v>216</v>
      </c>
      <c r="L227" s="1112">
        <f>($C227*0.09)+$C227</f>
        <v>218</v>
      </c>
      <c r="M227" s="1112">
        <f>($C227*0.1)+$C227</f>
        <v>220</v>
      </c>
      <c r="N227" s="1112">
        <f>($C227*0.11)+$C227</f>
        <v>222</v>
      </c>
      <c r="O227" s="1112">
        <f>($C227*0.12)+$C227</f>
        <v>224</v>
      </c>
      <c r="P227" s="1112">
        <f>($C227*0.13)+$C227</f>
        <v>226</v>
      </c>
      <c r="Q227" s="1112">
        <f>($C227*0.14)+$C227</f>
        <v>228</v>
      </c>
      <c r="R227" s="1112">
        <f>($C227*0.15)+$C227</f>
        <v>230</v>
      </c>
      <c r="S227" s="1112">
        <f>($C227*0.16)+$C227</f>
        <v>232</v>
      </c>
      <c r="T227" s="1112">
        <f>($C227*0.17)+$C227</f>
        <v>234</v>
      </c>
      <c r="U227" s="1112">
        <f>($C227*0.18)+$C227</f>
        <v>236</v>
      </c>
      <c r="V227" s="1112">
        <f>($C227*0.19)+$C227</f>
        <v>238</v>
      </c>
      <c r="W227" s="1112">
        <f>($C227*0.2)+$C227</f>
        <v>240</v>
      </c>
      <c r="X227" s="1112">
        <f>($C227*0.21)+$C227</f>
        <v>242</v>
      </c>
      <c r="Y227" s="1112">
        <f>($C227*0.22)+$C227</f>
        <v>244</v>
      </c>
      <c r="Z227" s="1112">
        <f>($C227*0.23)+$C227</f>
        <v>246</v>
      </c>
      <c r="AA227" s="1112">
        <f>($C227*0.24)+$C227</f>
        <v>248</v>
      </c>
      <c r="AB227" s="1112">
        <f>($C227*0.25)+$C227</f>
        <v>250</v>
      </c>
      <c r="AC227" s="1112">
        <f>($C227*0.26)+$C227</f>
        <v>252</v>
      </c>
      <c r="AD227" s="1112">
        <f>($C227*0.27)+$C227</f>
        <v>254</v>
      </c>
      <c r="AE227" s="1112">
        <f>($C227*0.28)+$C227</f>
        <v>256</v>
      </c>
      <c r="AF227" s="1112">
        <f>($C227*0.29)+$C227</f>
        <v>258</v>
      </c>
      <c r="AG227" s="1112">
        <f>($C227*0.3)+$C227</f>
        <v>260</v>
      </c>
    </row>
    <row r="228" spans="1:33" ht="15">
      <c r="A228" s="4" t="s">
        <v>22047</v>
      </c>
      <c r="B228" s="4" t="s">
        <v>37725</v>
      </c>
      <c r="C228" s="5">
        <v>200</v>
      </c>
      <c r="D228" s="1112">
        <f>($C228*0.01)+$C228</f>
        <v>202</v>
      </c>
      <c r="E228" s="1112">
        <f>($C228*0.02)+$C228</f>
        <v>204</v>
      </c>
      <c r="F228" s="1112">
        <f>($C228*0.03)+$C228</f>
        <v>206</v>
      </c>
      <c r="G228" s="1112">
        <f>($C228*0.04)+$C228</f>
        <v>208</v>
      </c>
      <c r="H228" s="1112">
        <f>($C228*0.05)+$C228</f>
        <v>210</v>
      </c>
      <c r="I228" s="1112">
        <f>($C228*0.06)+$C228</f>
        <v>212</v>
      </c>
      <c r="J228" s="1112">
        <f>($C228*0.07)+$C228</f>
        <v>214</v>
      </c>
      <c r="K228" s="1112">
        <f>($C228*0.08)+$C228</f>
        <v>216</v>
      </c>
      <c r="L228" s="1112">
        <f>($C228*0.09)+$C228</f>
        <v>218</v>
      </c>
      <c r="M228" s="1112">
        <f>($C228*0.1)+$C228</f>
        <v>220</v>
      </c>
      <c r="N228" s="1112">
        <f>($C228*0.11)+$C228</f>
        <v>222</v>
      </c>
      <c r="O228" s="1112">
        <f>($C228*0.12)+$C228</f>
        <v>224</v>
      </c>
      <c r="P228" s="1112">
        <f>($C228*0.13)+$C228</f>
        <v>226</v>
      </c>
      <c r="Q228" s="1112">
        <f>($C228*0.14)+$C228</f>
        <v>228</v>
      </c>
      <c r="R228" s="1112">
        <f>($C228*0.15)+$C228</f>
        <v>230</v>
      </c>
      <c r="S228" s="1112">
        <f>($C228*0.16)+$C228</f>
        <v>232</v>
      </c>
      <c r="T228" s="1112">
        <f>($C228*0.17)+$C228</f>
        <v>234</v>
      </c>
      <c r="U228" s="1112">
        <f>($C228*0.18)+$C228</f>
        <v>236</v>
      </c>
      <c r="V228" s="1112">
        <f>($C228*0.19)+$C228</f>
        <v>238</v>
      </c>
      <c r="W228" s="1112">
        <f>($C228*0.2)+$C228</f>
        <v>240</v>
      </c>
      <c r="X228" s="1112">
        <f>($C228*0.21)+$C228</f>
        <v>242</v>
      </c>
      <c r="Y228" s="1112">
        <f>($C228*0.22)+$C228</f>
        <v>244</v>
      </c>
      <c r="Z228" s="1112">
        <f>($C228*0.23)+$C228</f>
        <v>246</v>
      </c>
      <c r="AA228" s="1112">
        <f>($C228*0.24)+$C228</f>
        <v>248</v>
      </c>
      <c r="AB228" s="1112">
        <f>($C228*0.25)+$C228</f>
        <v>250</v>
      </c>
      <c r="AC228" s="1112">
        <f>($C228*0.26)+$C228</f>
        <v>252</v>
      </c>
      <c r="AD228" s="1112">
        <f>($C228*0.27)+$C228</f>
        <v>254</v>
      </c>
      <c r="AE228" s="1112">
        <f>($C228*0.28)+$C228</f>
        <v>256</v>
      </c>
      <c r="AF228" s="1112">
        <f>($C228*0.29)+$C228</f>
        <v>258</v>
      </c>
      <c r="AG228" s="1112">
        <f>($C228*0.3)+$C228</f>
        <v>260</v>
      </c>
    </row>
    <row r="229" spans="1:33" ht="15">
      <c r="A229" s="4" t="s">
        <v>22048</v>
      </c>
      <c r="B229" s="4" t="s">
        <v>37724</v>
      </c>
      <c r="C229" s="5">
        <v>200</v>
      </c>
      <c r="D229" s="1112">
        <f>($C229*0.01)+$C229</f>
        <v>202</v>
      </c>
      <c r="E229" s="1112">
        <f>($C229*0.02)+$C229</f>
        <v>204</v>
      </c>
      <c r="F229" s="1112">
        <f>($C229*0.03)+$C229</f>
        <v>206</v>
      </c>
      <c r="G229" s="1112">
        <f>($C229*0.04)+$C229</f>
        <v>208</v>
      </c>
      <c r="H229" s="1112">
        <f>($C229*0.05)+$C229</f>
        <v>210</v>
      </c>
      <c r="I229" s="1112">
        <f>($C229*0.06)+$C229</f>
        <v>212</v>
      </c>
      <c r="J229" s="1112">
        <f>($C229*0.07)+$C229</f>
        <v>214</v>
      </c>
      <c r="K229" s="1112">
        <f>($C229*0.08)+$C229</f>
        <v>216</v>
      </c>
      <c r="L229" s="1112">
        <f>($C229*0.09)+$C229</f>
        <v>218</v>
      </c>
      <c r="M229" s="1112">
        <f>($C229*0.1)+$C229</f>
        <v>220</v>
      </c>
      <c r="N229" s="1112">
        <f>($C229*0.11)+$C229</f>
        <v>222</v>
      </c>
      <c r="O229" s="1112">
        <f>($C229*0.12)+$C229</f>
        <v>224</v>
      </c>
      <c r="P229" s="1112">
        <f>($C229*0.13)+$C229</f>
        <v>226</v>
      </c>
      <c r="Q229" s="1112">
        <f>($C229*0.14)+$C229</f>
        <v>228</v>
      </c>
      <c r="R229" s="1112">
        <f>($C229*0.15)+$C229</f>
        <v>230</v>
      </c>
      <c r="S229" s="1112">
        <f>($C229*0.16)+$C229</f>
        <v>232</v>
      </c>
      <c r="T229" s="1112">
        <f>($C229*0.17)+$C229</f>
        <v>234</v>
      </c>
      <c r="U229" s="1112">
        <f>($C229*0.18)+$C229</f>
        <v>236</v>
      </c>
      <c r="V229" s="1112">
        <f>($C229*0.19)+$C229</f>
        <v>238</v>
      </c>
      <c r="W229" s="1112">
        <f>($C229*0.2)+$C229</f>
        <v>240</v>
      </c>
      <c r="X229" s="1112">
        <f>($C229*0.21)+$C229</f>
        <v>242</v>
      </c>
      <c r="Y229" s="1112">
        <f>($C229*0.22)+$C229</f>
        <v>244</v>
      </c>
      <c r="Z229" s="1112">
        <f>($C229*0.23)+$C229</f>
        <v>246</v>
      </c>
      <c r="AA229" s="1112">
        <f>($C229*0.24)+$C229</f>
        <v>248</v>
      </c>
      <c r="AB229" s="1112">
        <f>($C229*0.25)+$C229</f>
        <v>250</v>
      </c>
      <c r="AC229" s="1112">
        <f>($C229*0.26)+$C229</f>
        <v>252</v>
      </c>
      <c r="AD229" s="1112">
        <f>($C229*0.27)+$C229</f>
        <v>254</v>
      </c>
      <c r="AE229" s="1112">
        <f>($C229*0.28)+$C229</f>
        <v>256</v>
      </c>
      <c r="AF229" s="1112">
        <f>($C229*0.29)+$C229</f>
        <v>258</v>
      </c>
      <c r="AG229" s="1112">
        <f>($C229*0.3)+$C229</f>
        <v>260</v>
      </c>
    </row>
    <row r="230" spans="1:33" ht="30">
      <c r="A230" s="4" t="s">
        <v>2874</v>
      </c>
      <c r="B230" s="4" t="s">
        <v>37729</v>
      </c>
      <c r="C230" s="5">
        <v>200</v>
      </c>
      <c r="D230" s="1112">
        <f>($C230*0.01)+$C230</f>
        <v>202</v>
      </c>
      <c r="E230" s="1112">
        <f>($C230*0.02)+$C230</f>
        <v>204</v>
      </c>
      <c r="F230" s="1112">
        <f>($C230*0.03)+$C230</f>
        <v>206</v>
      </c>
      <c r="G230" s="1112">
        <f>($C230*0.04)+$C230</f>
        <v>208</v>
      </c>
      <c r="H230" s="1112">
        <f>($C230*0.05)+$C230</f>
        <v>210</v>
      </c>
      <c r="I230" s="1112">
        <f>($C230*0.06)+$C230</f>
        <v>212</v>
      </c>
      <c r="J230" s="1112">
        <f>($C230*0.07)+$C230</f>
        <v>214</v>
      </c>
      <c r="K230" s="1112">
        <f>($C230*0.08)+$C230</f>
        <v>216</v>
      </c>
      <c r="L230" s="1112">
        <f>($C230*0.09)+$C230</f>
        <v>218</v>
      </c>
      <c r="M230" s="1112">
        <f>($C230*0.1)+$C230</f>
        <v>220</v>
      </c>
      <c r="N230" s="1112">
        <f>($C230*0.11)+$C230</f>
        <v>222</v>
      </c>
      <c r="O230" s="1112">
        <f>($C230*0.12)+$C230</f>
        <v>224</v>
      </c>
      <c r="P230" s="1112">
        <f>($C230*0.13)+$C230</f>
        <v>226</v>
      </c>
      <c r="Q230" s="1112">
        <f>($C230*0.14)+$C230</f>
        <v>228</v>
      </c>
      <c r="R230" s="1112">
        <f>($C230*0.15)+$C230</f>
        <v>230</v>
      </c>
      <c r="S230" s="1112">
        <f>($C230*0.16)+$C230</f>
        <v>232</v>
      </c>
      <c r="T230" s="1112">
        <f>($C230*0.17)+$C230</f>
        <v>234</v>
      </c>
      <c r="U230" s="1112">
        <f>($C230*0.18)+$C230</f>
        <v>236</v>
      </c>
      <c r="V230" s="1112">
        <f>($C230*0.19)+$C230</f>
        <v>238</v>
      </c>
      <c r="W230" s="1112">
        <f>($C230*0.2)+$C230</f>
        <v>240</v>
      </c>
      <c r="X230" s="1112">
        <f>($C230*0.21)+$C230</f>
        <v>242</v>
      </c>
      <c r="Y230" s="1112">
        <f>($C230*0.22)+$C230</f>
        <v>244</v>
      </c>
      <c r="Z230" s="1112">
        <f>($C230*0.23)+$C230</f>
        <v>246</v>
      </c>
      <c r="AA230" s="1112">
        <f>($C230*0.24)+$C230</f>
        <v>248</v>
      </c>
      <c r="AB230" s="1112">
        <f>($C230*0.25)+$C230</f>
        <v>250</v>
      </c>
      <c r="AC230" s="1112">
        <f>($C230*0.26)+$C230</f>
        <v>252</v>
      </c>
      <c r="AD230" s="1112">
        <f>($C230*0.27)+$C230</f>
        <v>254</v>
      </c>
      <c r="AE230" s="1112">
        <f>($C230*0.28)+$C230</f>
        <v>256</v>
      </c>
      <c r="AF230" s="1112">
        <f>($C230*0.29)+$C230</f>
        <v>258</v>
      </c>
      <c r="AG230" s="1112">
        <f>($C230*0.3)+$C230</f>
        <v>260</v>
      </c>
    </row>
    <row r="231" spans="1:33" ht="30">
      <c r="A231" s="4" t="s">
        <v>22049</v>
      </c>
      <c r="B231" s="4" t="s">
        <v>37730</v>
      </c>
      <c r="C231" s="5">
        <v>200</v>
      </c>
      <c r="D231" s="1112">
        <f>($C231*0.01)+$C231</f>
        <v>202</v>
      </c>
      <c r="E231" s="1112">
        <f>($C231*0.02)+$C231</f>
        <v>204</v>
      </c>
      <c r="F231" s="1112">
        <f>($C231*0.03)+$C231</f>
        <v>206</v>
      </c>
      <c r="G231" s="1112">
        <f>($C231*0.04)+$C231</f>
        <v>208</v>
      </c>
      <c r="H231" s="1112">
        <f>($C231*0.05)+$C231</f>
        <v>210</v>
      </c>
      <c r="I231" s="1112">
        <f>($C231*0.06)+$C231</f>
        <v>212</v>
      </c>
      <c r="J231" s="1112">
        <f>($C231*0.07)+$C231</f>
        <v>214</v>
      </c>
      <c r="K231" s="1112">
        <f>($C231*0.08)+$C231</f>
        <v>216</v>
      </c>
      <c r="L231" s="1112">
        <f>($C231*0.09)+$C231</f>
        <v>218</v>
      </c>
      <c r="M231" s="1112">
        <f>($C231*0.1)+$C231</f>
        <v>220</v>
      </c>
      <c r="N231" s="1112">
        <f>($C231*0.11)+$C231</f>
        <v>222</v>
      </c>
      <c r="O231" s="1112">
        <f>($C231*0.12)+$C231</f>
        <v>224</v>
      </c>
      <c r="P231" s="1112">
        <f>($C231*0.13)+$C231</f>
        <v>226</v>
      </c>
      <c r="Q231" s="1112">
        <f>($C231*0.14)+$C231</f>
        <v>228</v>
      </c>
      <c r="R231" s="1112">
        <f>($C231*0.15)+$C231</f>
        <v>230</v>
      </c>
      <c r="S231" s="1112">
        <f>($C231*0.16)+$C231</f>
        <v>232</v>
      </c>
      <c r="T231" s="1112">
        <f>($C231*0.17)+$C231</f>
        <v>234</v>
      </c>
      <c r="U231" s="1112">
        <f>($C231*0.18)+$C231</f>
        <v>236</v>
      </c>
      <c r="V231" s="1112">
        <f>($C231*0.19)+$C231</f>
        <v>238</v>
      </c>
      <c r="W231" s="1112">
        <f>($C231*0.2)+$C231</f>
        <v>240</v>
      </c>
      <c r="X231" s="1112">
        <f>($C231*0.21)+$C231</f>
        <v>242</v>
      </c>
      <c r="Y231" s="1112">
        <f>($C231*0.22)+$C231</f>
        <v>244</v>
      </c>
      <c r="Z231" s="1112">
        <f>($C231*0.23)+$C231</f>
        <v>246</v>
      </c>
      <c r="AA231" s="1112">
        <f>($C231*0.24)+$C231</f>
        <v>248</v>
      </c>
      <c r="AB231" s="1112">
        <f>($C231*0.25)+$C231</f>
        <v>250</v>
      </c>
      <c r="AC231" s="1112">
        <f>($C231*0.26)+$C231</f>
        <v>252</v>
      </c>
      <c r="AD231" s="1112">
        <f>($C231*0.27)+$C231</f>
        <v>254</v>
      </c>
      <c r="AE231" s="1112">
        <f>($C231*0.28)+$C231</f>
        <v>256</v>
      </c>
      <c r="AF231" s="1112">
        <f>($C231*0.29)+$C231</f>
        <v>258</v>
      </c>
      <c r="AG231" s="1112">
        <f>($C231*0.3)+$C231</f>
        <v>260</v>
      </c>
    </row>
    <row r="232" spans="1:33" ht="30">
      <c r="A232" s="4" t="s">
        <v>21452</v>
      </c>
      <c r="B232" s="4" t="s">
        <v>37731</v>
      </c>
      <c r="C232" s="5">
        <v>150</v>
      </c>
      <c r="D232" s="1112">
        <f>($C232*0.01)+$C232</f>
        <v>151.5</v>
      </c>
      <c r="E232" s="1112">
        <f>($C232*0.02)+$C232</f>
        <v>153</v>
      </c>
      <c r="F232" s="1112">
        <f>($C232*0.03)+$C232</f>
        <v>154.5</v>
      </c>
      <c r="G232" s="1112">
        <f>($C232*0.04)+$C232</f>
        <v>156</v>
      </c>
      <c r="H232" s="1112">
        <f>($C232*0.05)+$C232</f>
        <v>157.5</v>
      </c>
      <c r="I232" s="1112">
        <f>($C232*0.06)+$C232</f>
        <v>159</v>
      </c>
      <c r="J232" s="1112">
        <f>($C232*0.07)+$C232</f>
        <v>160.5</v>
      </c>
      <c r="K232" s="1112">
        <f>($C232*0.08)+$C232</f>
        <v>162</v>
      </c>
      <c r="L232" s="1112">
        <f>($C232*0.09)+$C232</f>
        <v>163.5</v>
      </c>
      <c r="M232" s="1112">
        <f>($C232*0.1)+$C232</f>
        <v>165</v>
      </c>
      <c r="N232" s="1112">
        <f>($C232*0.11)+$C232</f>
        <v>166.5</v>
      </c>
      <c r="O232" s="1112">
        <f>($C232*0.12)+$C232</f>
        <v>168</v>
      </c>
      <c r="P232" s="1112">
        <f>($C232*0.13)+$C232</f>
        <v>169.5</v>
      </c>
      <c r="Q232" s="1112">
        <f>($C232*0.14)+$C232</f>
        <v>171</v>
      </c>
      <c r="R232" s="1112">
        <f>($C232*0.15)+$C232</f>
        <v>172.5</v>
      </c>
      <c r="S232" s="1112">
        <f>($C232*0.16)+$C232</f>
        <v>174</v>
      </c>
      <c r="T232" s="1112">
        <f>($C232*0.17)+$C232</f>
        <v>175.5</v>
      </c>
      <c r="U232" s="1112">
        <f>($C232*0.18)+$C232</f>
        <v>177</v>
      </c>
      <c r="V232" s="1112">
        <f>($C232*0.19)+$C232</f>
        <v>178.5</v>
      </c>
      <c r="W232" s="1112">
        <f>($C232*0.2)+$C232</f>
        <v>180</v>
      </c>
      <c r="X232" s="1112">
        <f>($C232*0.21)+$C232</f>
        <v>181.5</v>
      </c>
      <c r="Y232" s="1112">
        <f>($C232*0.22)+$C232</f>
        <v>183</v>
      </c>
      <c r="Z232" s="1112">
        <f>($C232*0.23)+$C232</f>
        <v>184.5</v>
      </c>
      <c r="AA232" s="1112">
        <f>($C232*0.24)+$C232</f>
        <v>186</v>
      </c>
      <c r="AB232" s="1112">
        <f>($C232*0.25)+$C232</f>
        <v>187.5</v>
      </c>
      <c r="AC232" s="1112">
        <f>($C232*0.26)+$C232</f>
        <v>189</v>
      </c>
      <c r="AD232" s="1112">
        <f>($C232*0.27)+$C232</f>
        <v>190.5</v>
      </c>
      <c r="AE232" s="1112">
        <f>($C232*0.28)+$C232</f>
        <v>192</v>
      </c>
      <c r="AF232" s="1112">
        <f>($C232*0.29)+$C232</f>
        <v>193.5</v>
      </c>
      <c r="AG232" s="1112">
        <f>($C232*0.3)+$C232</f>
        <v>195</v>
      </c>
    </row>
    <row r="233" spans="1:33" ht="30">
      <c r="A233" s="4" t="s">
        <v>157</v>
      </c>
      <c r="B233" s="4" t="s">
        <v>37732</v>
      </c>
      <c r="C233" s="5">
        <v>150</v>
      </c>
      <c r="D233" s="1112">
        <f>($C233*0.01)+$C233</f>
        <v>151.5</v>
      </c>
      <c r="E233" s="1112">
        <f>($C233*0.02)+$C233</f>
        <v>153</v>
      </c>
      <c r="F233" s="1112">
        <f>($C233*0.03)+$C233</f>
        <v>154.5</v>
      </c>
      <c r="G233" s="1112">
        <f>($C233*0.04)+$C233</f>
        <v>156</v>
      </c>
      <c r="H233" s="1112">
        <f>($C233*0.05)+$C233</f>
        <v>157.5</v>
      </c>
      <c r="I233" s="1112">
        <f>($C233*0.06)+$C233</f>
        <v>159</v>
      </c>
      <c r="J233" s="1112">
        <f>($C233*0.07)+$C233</f>
        <v>160.5</v>
      </c>
      <c r="K233" s="1112">
        <f>($C233*0.08)+$C233</f>
        <v>162</v>
      </c>
      <c r="L233" s="1112">
        <f>($C233*0.09)+$C233</f>
        <v>163.5</v>
      </c>
      <c r="M233" s="1112">
        <f>($C233*0.1)+$C233</f>
        <v>165</v>
      </c>
      <c r="N233" s="1112">
        <f>($C233*0.11)+$C233</f>
        <v>166.5</v>
      </c>
      <c r="O233" s="1112">
        <f>($C233*0.12)+$C233</f>
        <v>168</v>
      </c>
      <c r="P233" s="1112">
        <f>($C233*0.13)+$C233</f>
        <v>169.5</v>
      </c>
      <c r="Q233" s="1112">
        <f>($C233*0.14)+$C233</f>
        <v>171</v>
      </c>
      <c r="R233" s="1112">
        <f>($C233*0.15)+$C233</f>
        <v>172.5</v>
      </c>
      <c r="S233" s="1112">
        <f>($C233*0.16)+$C233</f>
        <v>174</v>
      </c>
      <c r="T233" s="1112">
        <f>($C233*0.17)+$C233</f>
        <v>175.5</v>
      </c>
      <c r="U233" s="1112">
        <f>($C233*0.18)+$C233</f>
        <v>177</v>
      </c>
      <c r="V233" s="1112">
        <f>($C233*0.19)+$C233</f>
        <v>178.5</v>
      </c>
      <c r="W233" s="1112">
        <f>($C233*0.2)+$C233</f>
        <v>180</v>
      </c>
      <c r="X233" s="1112">
        <f>($C233*0.21)+$C233</f>
        <v>181.5</v>
      </c>
      <c r="Y233" s="1112">
        <f>($C233*0.22)+$C233</f>
        <v>183</v>
      </c>
      <c r="Z233" s="1112">
        <f>($C233*0.23)+$C233</f>
        <v>184.5</v>
      </c>
      <c r="AA233" s="1112">
        <f>($C233*0.24)+$C233</f>
        <v>186</v>
      </c>
      <c r="AB233" s="1112">
        <f>($C233*0.25)+$C233</f>
        <v>187.5</v>
      </c>
      <c r="AC233" s="1112">
        <f>($C233*0.26)+$C233</f>
        <v>189</v>
      </c>
      <c r="AD233" s="1112">
        <f>($C233*0.27)+$C233</f>
        <v>190.5</v>
      </c>
      <c r="AE233" s="1112">
        <f>($C233*0.28)+$C233</f>
        <v>192</v>
      </c>
      <c r="AF233" s="1112">
        <f>($C233*0.29)+$C233</f>
        <v>193.5</v>
      </c>
      <c r="AG233" s="1112">
        <f>($C233*0.3)+$C233</f>
        <v>195</v>
      </c>
    </row>
    <row r="234" spans="1:33" ht="30">
      <c r="A234" s="4" t="s">
        <v>22050</v>
      </c>
      <c r="B234" s="4" t="s">
        <v>37733</v>
      </c>
      <c r="C234" s="5">
        <v>175</v>
      </c>
      <c r="D234" s="1112">
        <f>($C234*0.01)+$C234</f>
        <v>176.75</v>
      </c>
      <c r="E234" s="1112">
        <f>($C234*0.02)+$C234</f>
        <v>178.5</v>
      </c>
      <c r="F234" s="1112">
        <f>($C234*0.03)+$C234</f>
        <v>180.25</v>
      </c>
      <c r="G234" s="1112">
        <f>($C234*0.04)+$C234</f>
        <v>182</v>
      </c>
      <c r="H234" s="1112">
        <f>($C234*0.05)+$C234</f>
        <v>183.75</v>
      </c>
      <c r="I234" s="1112">
        <f>($C234*0.06)+$C234</f>
        <v>185.5</v>
      </c>
      <c r="J234" s="1112">
        <f>($C234*0.07)+$C234</f>
        <v>187.25</v>
      </c>
      <c r="K234" s="1112">
        <f>($C234*0.08)+$C234</f>
        <v>189</v>
      </c>
      <c r="L234" s="1112">
        <f>($C234*0.09)+$C234</f>
        <v>190.75</v>
      </c>
      <c r="M234" s="1112">
        <f>($C234*0.1)+$C234</f>
        <v>192.5</v>
      </c>
      <c r="N234" s="1112">
        <f>($C234*0.11)+$C234</f>
        <v>194.25</v>
      </c>
      <c r="O234" s="1112">
        <f>($C234*0.12)+$C234</f>
        <v>196</v>
      </c>
      <c r="P234" s="1112">
        <f>($C234*0.13)+$C234</f>
        <v>197.75</v>
      </c>
      <c r="Q234" s="1112">
        <f>($C234*0.14)+$C234</f>
        <v>199.5</v>
      </c>
      <c r="R234" s="1112">
        <f>($C234*0.15)+$C234</f>
        <v>201.25</v>
      </c>
      <c r="S234" s="1112">
        <f>($C234*0.16)+$C234</f>
        <v>203</v>
      </c>
      <c r="T234" s="1112">
        <f>($C234*0.17)+$C234</f>
        <v>204.75</v>
      </c>
      <c r="U234" s="1112">
        <f>($C234*0.18)+$C234</f>
        <v>206.5</v>
      </c>
      <c r="V234" s="1112">
        <f>($C234*0.19)+$C234</f>
        <v>208.25</v>
      </c>
      <c r="W234" s="1112">
        <f>($C234*0.2)+$C234</f>
        <v>210</v>
      </c>
      <c r="X234" s="1112">
        <f>($C234*0.21)+$C234</f>
        <v>211.75</v>
      </c>
      <c r="Y234" s="1112">
        <f>($C234*0.22)+$C234</f>
        <v>213.5</v>
      </c>
      <c r="Z234" s="1112">
        <f>($C234*0.23)+$C234</f>
        <v>215.25</v>
      </c>
      <c r="AA234" s="1112">
        <f>($C234*0.24)+$C234</f>
        <v>217</v>
      </c>
      <c r="AB234" s="1112">
        <f>($C234*0.25)+$C234</f>
        <v>218.75</v>
      </c>
      <c r="AC234" s="1112">
        <f>($C234*0.26)+$C234</f>
        <v>220.5</v>
      </c>
      <c r="AD234" s="1112">
        <f>($C234*0.27)+$C234</f>
        <v>222.25</v>
      </c>
      <c r="AE234" s="1112">
        <f>($C234*0.28)+$C234</f>
        <v>224</v>
      </c>
      <c r="AF234" s="1112">
        <f>($C234*0.29)+$C234</f>
        <v>225.75</v>
      </c>
      <c r="AG234" s="1112">
        <f>($C234*0.3)+$C234</f>
        <v>227.5</v>
      </c>
    </row>
    <row r="235" spans="1:33" ht="30">
      <c r="A235" s="4" t="s">
        <v>21424</v>
      </c>
      <c r="B235" s="4" t="s">
        <v>37734</v>
      </c>
      <c r="C235" s="5">
        <v>100</v>
      </c>
      <c r="D235" s="1112">
        <f>($C235*0.01)+$C235</f>
        <v>101</v>
      </c>
      <c r="E235" s="1112">
        <f>($C235*0.02)+$C235</f>
        <v>102</v>
      </c>
      <c r="F235" s="1112">
        <f>($C235*0.03)+$C235</f>
        <v>103</v>
      </c>
      <c r="G235" s="1112">
        <f>($C235*0.04)+$C235</f>
        <v>104</v>
      </c>
      <c r="H235" s="1112">
        <f>($C235*0.05)+$C235</f>
        <v>105</v>
      </c>
      <c r="I235" s="1112">
        <f>($C235*0.06)+$C235</f>
        <v>106</v>
      </c>
      <c r="J235" s="1112">
        <f>($C235*0.07)+$C235</f>
        <v>107</v>
      </c>
      <c r="K235" s="1112">
        <f>($C235*0.08)+$C235</f>
        <v>108</v>
      </c>
      <c r="L235" s="1112">
        <f>($C235*0.09)+$C235</f>
        <v>109</v>
      </c>
      <c r="M235" s="1112">
        <f>($C235*0.1)+$C235</f>
        <v>110</v>
      </c>
      <c r="N235" s="1112">
        <f>($C235*0.11)+$C235</f>
        <v>111</v>
      </c>
      <c r="O235" s="1112">
        <f>($C235*0.12)+$C235</f>
        <v>112</v>
      </c>
      <c r="P235" s="1112">
        <f>($C235*0.13)+$C235</f>
        <v>113</v>
      </c>
      <c r="Q235" s="1112">
        <f>($C235*0.14)+$C235</f>
        <v>114</v>
      </c>
      <c r="R235" s="1112">
        <f>($C235*0.15)+$C235</f>
        <v>115</v>
      </c>
      <c r="S235" s="1112">
        <f>($C235*0.16)+$C235</f>
        <v>116</v>
      </c>
      <c r="T235" s="1112">
        <f>($C235*0.17)+$C235</f>
        <v>117</v>
      </c>
      <c r="U235" s="1112">
        <f>($C235*0.18)+$C235</f>
        <v>118</v>
      </c>
      <c r="V235" s="1112">
        <f>($C235*0.19)+$C235</f>
        <v>119</v>
      </c>
      <c r="W235" s="1112">
        <f>($C235*0.2)+$C235</f>
        <v>120</v>
      </c>
      <c r="X235" s="1112">
        <f>($C235*0.21)+$C235</f>
        <v>121</v>
      </c>
      <c r="Y235" s="1112">
        <f>($C235*0.22)+$C235</f>
        <v>122</v>
      </c>
      <c r="Z235" s="1112">
        <f>($C235*0.23)+$C235</f>
        <v>123</v>
      </c>
      <c r="AA235" s="1112">
        <f>($C235*0.24)+$C235</f>
        <v>124</v>
      </c>
      <c r="AB235" s="1112">
        <f>($C235*0.25)+$C235</f>
        <v>125</v>
      </c>
      <c r="AC235" s="1112">
        <f>($C235*0.26)+$C235</f>
        <v>126</v>
      </c>
      <c r="AD235" s="1112">
        <f>($C235*0.27)+$C235</f>
        <v>127</v>
      </c>
      <c r="AE235" s="1112">
        <f>($C235*0.28)+$C235</f>
        <v>128</v>
      </c>
      <c r="AF235" s="1112">
        <f>($C235*0.29)+$C235</f>
        <v>129</v>
      </c>
      <c r="AG235" s="1112">
        <f>($C235*0.3)+$C235</f>
        <v>130</v>
      </c>
    </row>
    <row r="236" spans="1:33" ht="30">
      <c r="A236" s="4" t="s">
        <v>226</v>
      </c>
      <c r="B236" s="4" t="s">
        <v>37735</v>
      </c>
      <c r="C236" s="5">
        <v>175</v>
      </c>
      <c r="D236" s="1112">
        <f>($C236*0.01)+$C236</f>
        <v>176.75</v>
      </c>
      <c r="E236" s="1112">
        <f>($C236*0.02)+$C236</f>
        <v>178.5</v>
      </c>
      <c r="F236" s="1112">
        <f>($C236*0.03)+$C236</f>
        <v>180.25</v>
      </c>
      <c r="G236" s="1112">
        <f>($C236*0.04)+$C236</f>
        <v>182</v>
      </c>
      <c r="H236" s="1112">
        <f>($C236*0.05)+$C236</f>
        <v>183.75</v>
      </c>
      <c r="I236" s="1112">
        <f>($C236*0.06)+$C236</f>
        <v>185.5</v>
      </c>
      <c r="J236" s="1112">
        <f>($C236*0.07)+$C236</f>
        <v>187.25</v>
      </c>
      <c r="K236" s="1112">
        <f>($C236*0.08)+$C236</f>
        <v>189</v>
      </c>
      <c r="L236" s="1112">
        <f>($C236*0.09)+$C236</f>
        <v>190.75</v>
      </c>
      <c r="M236" s="1112">
        <f>($C236*0.1)+$C236</f>
        <v>192.5</v>
      </c>
      <c r="N236" s="1112">
        <f>($C236*0.11)+$C236</f>
        <v>194.25</v>
      </c>
      <c r="O236" s="1112">
        <f>($C236*0.12)+$C236</f>
        <v>196</v>
      </c>
      <c r="P236" s="1112">
        <f>($C236*0.13)+$C236</f>
        <v>197.75</v>
      </c>
      <c r="Q236" s="1112">
        <f>($C236*0.14)+$C236</f>
        <v>199.5</v>
      </c>
      <c r="R236" s="1112">
        <f>($C236*0.15)+$C236</f>
        <v>201.25</v>
      </c>
      <c r="S236" s="1112">
        <f>($C236*0.16)+$C236</f>
        <v>203</v>
      </c>
      <c r="T236" s="1112">
        <f>($C236*0.17)+$C236</f>
        <v>204.75</v>
      </c>
      <c r="U236" s="1112">
        <f>($C236*0.18)+$C236</f>
        <v>206.5</v>
      </c>
      <c r="V236" s="1112">
        <f>($C236*0.19)+$C236</f>
        <v>208.25</v>
      </c>
      <c r="W236" s="1112">
        <f>($C236*0.2)+$C236</f>
        <v>210</v>
      </c>
      <c r="X236" s="1112">
        <f>($C236*0.21)+$C236</f>
        <v>211.75</v>
      </c>
      <c r="Y236" s="1112">
        <f>($C236*0.22)+$C236</f>
        <v>213.5</v>
      </c>
      <c r="Z236" s="1112">
        <f>($C236*0.23)+$C236</f>
        <v>215.25</v>
      </c>
      <c r="AA236" s="1112">
        <f>($C236*0.24)+$C236</f>
        <v>217</v>
      </c>
      <c r="AB236" s="1112">
        <f>($C236*0.25)+$C236</f>
        <v>218.75</v>
      </c>
      <c r="AC236" s="1112">
        <f>($C236*0.26)+$C236</f>
        <v>220.5</v>
      </c>
      <c r="AD236" s="1112">
        <f>($C236*0.27)+$C236</f>
        <v>222.25</v>
      </c>
      <c r="AE236" s="1112">
        <f>($C236*0.28)+$C236</f>
        <v>224</v>
      </c>
      <c r="AF236" s="1112">
        <f>($C236*0.29)+$C236</f>
        <v>225.75</v>
      </c>
      <c r="AG236" s="1112">
        <f>($C236*0.3)+$C236</f>
        <v>227.5</v>
      </c>
    </row>
    <row r="237" spans="1:33" ht="15">
      <c r="A237" s="4" t="s">
        <v>35667</v>
      </c>
      <c r="B237" s="4" t="s">
        <v>37736</v>
      </c>
      <c r="C237" s="5">
        <v>175</v>
      </c>
      <c r="D237" s="1112">
        <f>($C237*0.01)+$C237</f>
        <v>176.75</v>
      </c>
      <c r="E237" s="1112">
        <f>($C237*0.02)+$C237</f>
        <v>178.5</v>
      </c>
      <c r="F237" s="1112">
        <f>($C237*0.03)+$C237</f>
        <v>180.25</v>
      </c>
      <c r="G237" s="1112">
        <f>($C237*0.04)+$C237</f>
        <v>182</v>
      </c>
      <c r="H237" s="1112">
        <f>($C237*0.05)+$C237</f>
        <v>183.75</v>
      </c>
      <c r="I237" s="1112">
        <f>($C237*0.06)+$C237</f>
        <v>185.5</v>
      </c>
      <c r="J237" s="1112">
        <f>($C237*0.07)+$C237</f>
        <v>187.25</v>
      </c>
      <c r="K237" s="1112">
        <f>($C237*0.08)+$C237</f>
        <v>189</v>
      </c>
      <c r="L237" s="1112">
        <f>($C237*0.09)+$C237</f>
        <v>190.75</v>
      </c>
      <c r="M237" s="1112">
        <f>($C237*0.1)+$C237</f>
        <v>192.5</v>
      </c>
      <c r="N237" s="1112">
        <f>($C237*0.11)+$C237</f>
        <v>194.25</v>
      </c>
      <c r="O237" s="1112">
        <f>($C237*0.12)+$C237</f>
        <v>196</v>
      </c>
      <c r="P237" s="1112">
        <f>($C237*0.13)+$C237</f>
        <v>197.75</v>
      </c>
      <c r="Q237" s="1112">
        <f>($C237*0.14)+$C237</f>
        <v>199.5</v>
      </c>
      <c r="R237" s="1112">
        <f>($C237*0.15)+$C237</f>
        <v>201.25</v>
      </c>
      <c r="S237" s="1112">
        <f>($C237*0.16)+$C237</f>
        <v>203</v>
      </c>
      <c r="T237" s="1112">
        <f>($C237*0.17)+$C237</f>
        <v>204.75</v>
      </c>
      <c r="U237" s="1112">
        <f>($C237*0.18)+$C237</f>
        <v>206.5</v>
      </c>
      <c r="V237" s="1112">
        <f>($C237*0.19)+$C237</f>
        <v>208.25</v>
      </c>
      <c r="W237" s="1112">
        <f>($C237*0.2)+$C237</f>
        <v>210</v>
      </c>
      <c r="X237" s="1112">
        <f>($C237*0.21)+$C237</f>
        <v>211.75</v>
      </c>
      <c r="Y237" s="1112">
        <f>($C237*0.22)+$C237</f>
        <v>213.5</v>
      </c>
      <c r="Z237" s="1112">
        <f>($C237*0.23)+$C237</f>
        <v>215.25</v>
      </c>
      <c r="AA237" s="1112">
        <f>($C237*0.24)+$C237</f>
        <v>217</v>
      </c>
      <c r="AB237" s="1112">
        <f>($C237*0.25)+$C237</f>
        <v>218.75</v>
      </c>
      <c r="AC237" s="1112">
        <f>($C237*0.26)+$C237</f>
        <v>220.5</v>
      </c>
      <c r="AD237" s="1112">
        <f>($C237*0.27)+$C237</f>
        <v>222.25</v>
      </c>
      <c r="AE237" s="1112">
        <f>($C237*0.28)+$C237</f>
        <v>224</v>
      </c>
      <c r="AF237" s="1112">
        <f>($C237*0.29)+$C237</f>
        <v>225.75</v>
      </c>
      <c r="AG237" s="1112">
        <f>($C237*0.3)+$C237</f>
        <v>227.5</v>
      </c>
    </row>
    <row r="238" spans="1:33" ht="15">
      <c r="A238" s="4" t="s">
        <v>22051</v>
      </c>
      <c r="B238" s="4" t="s">
        <v>37737</v>
      </c>
      <c r="C238" s="5">
        <v>175</v>
      </c>
      <c r="D238" s="1112">
        <f>($C238*0.01)+$C238</f>
        <v>176.75</v>
      </c>
      <c r="E238" s="1112">
        <f>($C238*0.02)+$C238</f>
        <v>178.5</v>
      </c>
      <c r="F238" s="1112">
        <f>($C238*0.03)+$C238</f>
        <v>180.25</v>
      </c>
      <c r="G238" s="1112">
        <f>($C238*0.04)+$C238</f>
        <v>182</v>
      </c>
      <c r="H238" s="1112">
        <f>($C238*0.05)+$C238</f>
        <v>183.75</v>
      </c>
      <c r="I238" s="1112">
        <f>($C238*0.06)+$C238</f>
        <v>185.5</v>
      </c>
      <c r="J238" s="1112">
        <f>($C238*0.07)+$C238</f>
        <v>187.25</v>
      </c>
      <c r="K238" s="1112">
        <f>($C238*0.08)+$C238</f>
        <v>189</v>
      </c>
      <c r="L238" s="1112">
        <f>($C238*0.09)+$C238</f>
        <v>190.75</v>
      </c>
      <c r="M238" s="1112">
        <f>($C238*0.1)+$C238</f>
        <v>192.5</v>
      </c>
      <c r="N238" s="1112">
        <f>($C238*0.11)+$C238</f>
        <v>194.25</v>
      </c>
      <c r="O238" s="1112">
        <f>($C238*0.12)+$C238</f>
        <v>196</v>
      </c>
      <c r="P238" s="1112">
        <f>($C238*0.13)+$C238</f>
        <v>197.75</v>
      </c>
      <c r="Q238" s="1112">
        <f>($C238*0.14)+$C238</f>
        <v>199.5</v>
      </c>
      <c r="R238" s="1112">
        <f>($C238*0.15)+$C238</f>
        <v>201.25</v>
      </c>
      <c r="S238" s="1112">
        <f>($C238*0.16)+$C238</f>
        <v>203</v>
      </c>
      <c r="T238" s="1112">
        <f>($C238*0.17)+$C238</f>
        <v>204.75</v>
      </c>
      <c r="U238" s="1112">
        <f>($C238*0.18)+$C238</f>
        <v>206.5</v>
      </c>
      <c r="V238" s="1112">
        <f>($C238*0.19)+$C238</f>
        <v>208.25</v>
      </c>
      <c r="W238" s="1112">
        <f>($C238*0.2)+$C238</f>
        <v>210</v>
      </c>
      <c r="X238" s="1112">
        <f>($C238*0.21)+$C238</f>
        <v>211.75</v>
      </c>
      <c r="Y238" s="1112">
        <f>($C238*0.22)+$C238</f>
        <v>213.5</v>
      </c>
      <c r="Z238" s="1112">
        <f>($C238*0.23)+$C238</f>
        <v>215.25</v>
      </c>
      <c r="AA238" s="1112">
        <f>($C238*0.24)+$C238</f>
        <v>217</v>
      </c>
      <c r="AB238" s="1112">
        <f>($C238*0.25)+$C238</f>
        <v>218.75</v>
      </c>
      <c r="AC238" s="1112">
        <f>($C238*0.26)+$C238</f>
        <v>220.5</v>
      </c>
      <c r="AD238" s="1112">
        <f>($C238*0.27)+$C238</f>
        <v>222.25</v>
      </c>
      <c r="AE238" s="1112">
        <f>($C238*0.28)+$C238</f>
        <v>224</v>
      </c>
      <c r="AF238" s="1112">
        <f>($C238*0.29)+$C238</f>
        <v>225.75</v>
      </c>
      <c r="AG238" s="1112">
        <f>($C238*0.3)+$C238</f>
        <v>227.5</v>
      </c>
    </row>
    <row r="239" spans="1:33" ht="15">
      <c r="A239" s="4" t="s">
        <v>22057</v>
      </c>
      <c r="B239" s="4" t="s">
        <v>22052</v>
      </c>
      <c r="C239" s="5">
        <v>250</v>
      </c>
      <c r="D239" s="1112">
        <f>($C239*0.01)+$C239</f>
        <v>252.5</v>
      </c>
      <c r="E239" s="1112">
        <f>($C239*0.02)+$C239</f>
        <v>255</v>
      </c>
      <c r="F239" s="1112">
        <f>($C239*0.03)+$C239</f>
        <v>257.5</v>
      </c>
      <c r="G239" s="1112">
        <f>($C239*0.04)+$C239</f>
        <v>260</v>
      </c>
      <c r="H239" s="1112">
        <f>($C239*0.05)+$C239</f>
        <v>262.5</v>
      </c>
      <c r="I239" s="1112">
        <f>($C239*0.06)+$C239</f>
        <v>265</v>
      </c>
      <c r="J239" s="1112">
        <f>($C239*0.07)+$C239</f>
        <v>267.5</v>
      </c>
      <c r="K239" s="1112">
        <f>($C239*0.08)+$C239</f>
        <v>270</v>
      </c>
      <c r="L239" s="1112">
        <f>($C239*0.09)+$C239</f>
        <v>272.5</v>
      </c>
      <c r="M239" s="1112">
        <f>($C239*0.1)+$C239</f>
        <v>275</v>
      </c>
      <c r="N239" s="1112">
        <f>($C239*0.11)+$C239</f>
        <v>277.5</v>
      </c>
      <c r="O239" s="1112">
        <f>($C239*0.12)+$C239</f>
        <v>280</v>
      </c>
      <c r="P239" s="1112">
        <f>($C239*0.13)+$C239</f>
        <v>282.5</v>
      </c>
      <c r="Q239" s="1112">
        <f>($C239*0.14)+$C239</f>
        <v>285</v>
      </c>
      <c r="R239" s="1112">
        <f>($C239*0.15)+$C239</f>
        <v>287.5</v>
      </c>
      <c r="S239" s="1112">
        <f>($C239*0.16)+$C239</f>
        <v>290</v>
      </c>
      <c r="T239" s="1112">
        <f>($C239*0.17)+$C239</f>
        <v>292.5</v>
      </c>
      <c r="U239" s="1112">
        <f>($C239*0.18)+$C239</f>
        <v>295</v>
      </c>
      <c r="V239" s="1112">
        <f>($C239*0.19)+$C239</f>
        <v>297.5</v>
      </c>
      <c r="W239" s="1112">
        <f>($C239*0.2)+$C239</f>
        <v>300</v>
      </c>
      <c r="X239" s="1112">
        <f>($C239*0.21)+$C239</f>
        <v>302.5</v>
      </c>
      <c r="Y239" s="1112">
        <f>($C239*0.22)+$C239</f>
        <v>305</v>
      </c>
      <c r="Z239" s="1112">
        <f>($C239*0.23)+$C239</f>
        <v>307.5</v>
      </c>
      <c r="AA239" s="1112">
        <f>($C239*0.24)+$C239</f>
        <v>310</v>
      </c>
      <c r="AB239" s="1112">
        <f>($C239*0.25)+$C239</f>
        <v>312.5</v>
      </c>
      <c r="AC239" s="1112">
        <f>($C239*0.26)+$C239</f>
        <v>315</v>
      </c>
      <c r="AD239" s="1112">
        <f>($C239*0.27)+$C239</f>
        <v>317.5</v>
      </c>
      <c r="AE239" s="1112">
        <f>($C239*0.28)+$C239</f>
        <v>320</v>
      </c>
      <c r="AF239" s="1112">
        <f>($C239*0.29)+$C239</f>
        <v>322.5</v>
      </c>
      <c r="AG239" s="1112">
        <f>($C239*0.3)+$C239</f>
        <v>325</v>
      </c>
    </row>
    <row r="240" spans="1:33" ht="15">
      <c r="A240" s="4">
        <v>74754</v>
      </c>
      <c r="B240" s="4" t="s">
        <v>22053</v>
      </c>
      <c r="C240" s="5">
        <v>225</v>
      </c>
      <c r="D240" s="1112">
        <f>($C240*0.01)+$C240</f>
        <v>227.25</v>
      </c>
      <c r="E240" s="1112">
        <f>($C240*0.02)+$C240</f>
        <v>229.5</v>
      </c>
      <c r="F240" s="1112">
        <f>($C240*0.03)+$C240</f>
        <v>231.75</v>
      </c>
      <c r="G240" s="1112">
        <f>($C240*0.04)+$C240</f>
        <v>234</v>
      </c>
      <c r="H240" s="1112">
        <f>($C240*0.05)+$C240</f>
        <v>236.25</v>
      </c>
      <c r="I240" s="1112">
        <f>($C240*0.06)+$C240</f>
        <v>238.5</v>
      </c>
      <c r="J240" s="1112">
        <f>($C240*0.07)+$C240</f>
        <v>240.75</v>
      </c>
      <c r="K240" s="1112">
        <f>($C240*0.08)+$C240</f>
        <v>243</v>
      </c>
      <c r="L240" s="1112">
        <f>($C240*0.09)+$C240</f>
        <v>245.25</v>
      </c>
      <c r="M240" s="1112">
        <f>($C240*0.1)+$C240</f>
        <v>247.5</v>
      </c>
      <c r="N240" s="1112">
        <f>($C240*0.11)+$C240</f>
        <v>249.75</v>
      </c>
      <c r="O240" s="1112">
        <f>($C240*0.12)+$C240</f>
        <v>252</v>
      </c>
      <c r="P240" s="1112">
        <f>($C240*0.13)+$C240</f>
        <v>254.25</v>
      </c>
      <c r="Q240" s="1112">
        <f>($C240*0.14)+$C240</f>
        <v>256.5</v>
      </c>
      <c r="R240" s="1112">
        <f>($C240*0.15)+$C240</f>
        <v>258.75</v>
      </c>
      <c r="S240" s="1112">
        <f>($C240*0.16)+$C240</f>
        <v>261</v>
      </c>
      <c r="T240" s="1112">
        <f>($C240*0.17)+$C240</f>
        <v>263.25</v>
      </c>
      <c r="U240" s="1112">
        <f>($C240*0.18)+$C240</f>
        <v>265.5</v>
      </c>
      <c r="V240" s="1112">
        <f>($C240*0.19)+$C240</f>
        <v>267.75</v>
      </c>
      <c r="W240" s="1112">
        <f>($C240*0.2)+$C240</f>
        <v>270</v>
      </c>
      <c r="X240" s="1112">
        <f>($C240*0.21)+$C240</f>
        <v>272.25</v>
      </c>
      <c r="Y240" s="1112">
        <f>($C240*0.22)+$C240</f>
        <v>274.5</v>
      </c>
      <c r="Z240" s="1112">
        <f>($C240*0.23)+$C240</f>
        <v>276.75</v>
      </c>
      <c r="AA240" s="1112">
        <f>($C240*0.24)+$C240</f>
        <v>279</v>
      </c>
      <c r="AB240" s="1112">
        <f>($C240*0.25)+$C240</f>
        <v>281.25</v>
      </c>
      <c r="AC240" s="1112">
        <f>($C240*0.26)+$C240</f>
        <v>283.5</v>
      </c>
      <c r="AD240" s="1112">
        <f>($C240*0.27)+$C240</f>
        <v>285.75</v>
      </c>
      <c r="AE240" s="1112">
        <f>($C240*0.28)+$C240</f>
        <v>288</v>
      </c>
      <c r="AF240" s="1112">
        <f>($C240*0.29)+$C240</f>
        <v>290.25</v>
      </c>
      <c r="AG240" s="1112">
        <f>($C240*0.3)+$C240</f>
        <v>292.5</v>
      </c>
    </row>
    <row r="241" spans="1:33" ht="15">
      <c r="A241" s="4">
        <v>75812</v>
      </c>
      <c r="B241" s="4" t="s">
        <v>22054</v>
      </c>
      <c r="C241" s="5">
        <v>225</v>
      </c>
      <c r="D241" s="1112">
        <f>($C241*0.01)+$C241</f>
        <v>227.25</v>
      </c>
      <c r="E241" s="1112">
        <f>($C241*0.02)+$C241</f>
        <v>229.5</v>
      </c>
      <c r="F241" s="1112">
        <f>($C241*0.03)+$C241</f>
        <v>231.75</v>
      </c>
      <c r="G241" s="1112">
        <f>($C241*0.04)+$C241</f>
        <v>234</v>
      </c>
      <c r="H241" s="1112">
        <f>($C241*0.05)+$C241</f>
        <v>236.25</v>
      </c>
      <c r="I241" s="1112">
        <f>($C241*0.06)+$C241</f>
        <v>238.5</v>
      </c>
      <c r="J241" s="1112">
        <f>($C241*0.07)+$C241</f>
        <v>240.75</v>
      </c>
      <c r="K241" s="1112">
        <f>($C241*0.08)+$C241</f>
        <v>243</v>
      </c>
      <c r="L241" s="1112">
        <f>($C241*0.09)+$C241</f>
        <v>245.25</v>
      </c>
      <c r="M241" s="1112">
        <f>($C241*0.1)+$C241</f>
        <v>247.5</v>
      </c>
      <c r="N241" s="1112">
        <f>($C241*0.11)+$C241</f>
        <v>249.75</v>
      </c>
      <c r="O241" s="1112">
        <f>($C241*0.12)+$C241</f>
        <v>252</v>
      </c>
      <c r="P241" s="1112">
        <f>($C241*0.13)+$C241</f>
        <v>254.25</v>
      </c>
      <c r="Q241" s="1112">
        <f>($C241*0.14)+$C241</f>
        <v>256.5</v>
      </c>
      <c r="R241" s="1112">
        <f>($C241*0.15)+$C241</f>
        <v>258.75</v>
      </c>
      <c r="S241" s="1112">
        <f>($C241*0.16)+$C241</f>
        <v>261</v>
      </c>
      <c r="T241" s="1112">
        <f>($C241*0.17)+$C241</f>
        <v>263.25</v>
      </c>
      <c r="U241" s="1112">
        <f>($C241*0.18)+$C241</f>
        <v>265.5</v>
      </c>
      <c r="V241" s="1112">
        <f>($C241*0.19)+$C241</f>
        <v>267.75</v>
      </c>
      <c r="W241" s="1112">
        <f>($C241*0.2)+$C241</f>
        <v>270</v>
      </c>
      <c r="X241" s="1112">
        <f>($C241*0.21)+$C241</f>
        <v>272.25</v>
      </c>
      <c r="Y241" s="1112">
        <f>($C241*0.22)+$C241</f>
        <v>274.5</v>
      </c>
      <c r="Z241" s="1112">
        <f>($C241*0.23)+$C241</f>
        <v>276.75</v>
      </c>
      <c r="AA241" s="1112">
        <f>($C241*0.24)+$C241</f>
        <v>279</v>
      </c>
      <c r="AB241" s="1112">
        <f>($C241*0.25)+$C241</f>
        <v>281.25</v>
      </c>
      <c r="AC241" s="1112">
        <f>($C241*0.26)+$C241</f>
        <v>283.5</v>
      </c>
      <c r="AD241" s="1112">
        <f>($C241*0.27)+$C241</f>
        <v>285.75</v>
      </c>
      <c r="AE241" s="1112">
        <f>($C241*0.28)+$C241</f>
        <v>288</v>
      </c>
      <c r="AF241" s="1112">
        <f>($C241*0.29)+$C241</f>
        <v>290.25</v>
      </c>
      <c r="AG241" s="1112">
        <f>($C241*0.3)+$C241</f>
        <v>292.5</v>
      </c>
    </row>
    <row r="242" spans="1:33" ht="30">
      <c r="A242" s="4">
        <v>90503</v>
      </c>
      <c r="B242" s="4" t="s">
        <v>22055</v>
      </c>
      <c r="C242" s="5">
        <v>250</v>
      </c>
      <c r="D242" s="1112">
        <f>($C242*0.01)+$C242</f>
        <v>252.5</v>
      </c>
      <c r="E242" s="1112">
        <f>($C242*0.02)+$C242</f>
        <v>255</v>
      </c>
      <c r="F242" s="1112">
        <f>($C242*0.03)+$C242</f>
        <v>257.5</v>
      </c>
      <c r="G242" s="1112">
        <f>($C242*0.04)+$C242</f>
        <v>260</v>
      </c>
      <c r="H242" s="1112">
        <f>($C242*0.05)+$C242</f>
        <v>262.5</v>
      </c>
      <c r="I242" s="1112">
        <f>($C242*0.06)+$C242</f>
        <v>265</v>
      </c>
      <c r="J242" s="1112">
        <f>($C242*0.07)+$C242</f>
        <v>267.5</v>
      </c>
      <c r="K242" s="1112">
        <f>($C242*0.08)+$C242</f>
        <v>270</v>
      </c>
      <c r="L242" s="1112">
        <f>($C242*0.09)+$C242</f>
        <v>272.5</v>
      </c>
      <c r="M242" s="1112">
        <f>($C242*0.1)+$C242</f>
        <v>275</v>
      </c>
      <c r="N242" s="1112">
        <f>($C242*0.11)+$C242</f>
        <v>277.5</v>
      </c>
      <c r="O242" s="1112">
        <f>($C242*0.12)+$C242</f>
        <v>280</v>
      </c>
      <c r="P242" s="1112">
        <f>($C242*0.13)+$C242</f>
        <v>282.5</v>
      </c>
      <c r="Q242" s="1112">
        <f>($C242*0.14)+$C242</f>
        <v>285</v>
      </c>
      <c r="R242" s="1112">
        <f>($C242*0.15)+$C242</f>
        <v>287.5</v>
      </c>
      <c r="S242" s="1112">
        <f>($C242*0.16)+$C242</f>
        <v>290</v>
      </c>
      <c r="T242" s="1112">
        <f>($C242*0.17)+$C242</f>
        <v>292.5</v>
      </c>
      <c r="U242" s="1112">
        <f>($C242*0.18)+$C242</f>
        <v>295</v>
      </c>
      <c r="V242" s="1112">
        <f>($C242*0.19)+$C242</f>
        <v>297.5</v>
      </c>
      <c r="W242" s="1112">
        <f>($C242*0.2)+$C242</f>
        <v>300</v>
      </c>
      <c r="X242" s="1112">
        <f>($C242*0.21)+$C242</f>
        <v>302.5</v>
      </c>
      <c r="Y242" s="1112">
        <f>($C242*0.22)+$C242</f>
        <v>305</v>
      </c>
      <c r="Z242" s="1112">
        <f>($C242*0.23)+$C242</f>
        <v>307.5</v>
      </c>
      <c r="AA242" s="1112">
        <f>($C242*0.24)+$C242</f>
        <v>310</v>
      </c>
      <c r="AB242" s="1112">
        <f>($C242*0.25)+$C242</f>
        <v>312.5</v>
      </c>
      <c r="AC242" s="1112">
        <f>($C242*0.26)+$C242</f>
        <v>315</v>
      </c>
      <c r="AD242" s="1112">
        <f>($C242*0.27)+$C242</f>
        <v>317.5</v>
      </c>
      <c r="AE242" s="1112">
        <f>($C242*0.28)+$C242</f>
        <v>320</v>
      </c>
      <c r="AF242" s="1112">
        <f>($C242*0.29)+$C242</f>
        <v>322.5</v>
      </c>
      <c r="AG242" s="1112">
        <f>($C242*0.3)+$C242</f>
        <v>325</v>
      </c>
    </row>
    <row r="243" spans="1:33" ht="45">
      <c r="A243" s="4" t="s">
        <v>22091</v>
      </c>
      <c r="B243" s="4" t="s">
        <v>22056</v>
      </c>
      <c r="C243" s="5">
        <v>250</v>
      </c>
      <c r="D243" s="1112">
        <f>($C243*0.01)+$C243</f>
        <v>252.5</v>
      </c>
      <c r="E243" s="1112">
        <f>($C243*0.02)+$C243</f>
        <v>255</v>
      </c>
      <c r="F243" s="1112">
        <f>($C243*0.03)+$C243</f>
        <v>257.5</v>
      </c>
      <c r="G243" s="1112">
        <f>($C243*0.04)+$C243</f>
        <v>260</v>
      </c>
      <c r="H243" s="1112">
        <f>($C243*0.05)+$C243</f>
        <v>262.5</v>
      </c>
      <c r="I243" s="1112">
        <f>($C243*0.06)+$C243</f>
        <v>265</v>
      </c>
      <c r="J243" s="1112">
        <f>($C243*0.07)+$C243</f>
        <v>267.5</v>
      </c>
      <c r="K243" s="1112">
        <f>($C243*0.08)+$C243</f>
        <v>270</v>
      </c>
      <c r="L243" s="1112">
        <f>($C243*0.09)+$C243</f>
        <v>272.5</v>
      </c>
      <c r="M243" s="1112">
        <f>($C243*0.1)+$C243</f>
        <v>275</v>
      </c>
      <c r="N243" s="1112">
        <f>($C243*0.11)+$C243</f>
        <v>277.5</v>
      </c>
      <c r="O243" s="1112">
        <f>($C243*0.12)+$C243</f>
        <v>280</v>
      </c>
      <c r="P243" s="1112">
        <f>($C243*0.13)+$C243</f>
        <v>282.5</v>
      </c>
      <c r="Q243" s="1112">
        <f>($C243*0.14)+$C243</f>
        <v>285</v>
      </c>
      <c r="R243" s="1112">
        <f>($C243*0.15)+$C243</f>
        <v>287.5</v>
      </c>
      <c r="S243" s="1112">
        <f>($C243*0.16)+$C243</f>
        <v>290</v>
      </c>
      <c r="T243" s="1112">
        <f>($C243*0.17)+$C243</f>
        <v>292.5</v>
      </c>
      <c r="U243" s="1112">
        <f>($C243*0.18)+$C243</f>
        <v>295</v>
      </c>
      <c r="V243" s="1112">
        <f>($C243*0.19)+$C243</f>
        <v>297.5</v>
      </c>
      <c r="W243" s="1112">
        <f>($C243*0.2)+$C243</f>
        <v>300</v>
      </c>
      <c r="X243" s="1112">
        <f>($C243*0.21)+$C243</f>
        <v>302.5</v>
      </c>
      <c r="Y243" s="1112">
        <f>($C243*0.22)+$C243</f>
        <v>305</v>
      </c>
      <c r="Z243" s="1112">
        <f>($C243*0.23)+$C243</f>
        <v>307.5</v>
      </c>
      <c r="AA243" s="1112">
        <f>($C243*0.24)+$C243</f>
        <v>310</v>
      </c>
      <c r="AB243" s="1112">
        <f>($C243*0.25)+$C243</f>
        <v>312.5</v>
      </c>
      <c r="AC243" s="1112">
        <f>($C243*0.26)+$C243</f>
        <v>315</v>
      </c>
      <c r="AD243" s="1112">
        <f>($C243*0.27)+$C243</f>
        <v>317.5</v>
      </c>
      <c r="AE243" s="1112">
        <f>($C243*0.28)+$C243</f>
        <v>320</v>
      </c>
      <c r="AF243" s="1112">
        <f>($C243*0.29)+$C243</f>
        <v>322.5</v>
      </c>
      <c r="AG243" s="1112">
        <f>($C243*0.3)+$C243</f>
        <v>325</v>
      </c>
    </row>
    <row r="244" spans="1:33" ht="30">
      <c r="A244" s="4" t="s">
        <v>160</v>
      </c>
      <c r="B244" s="4" t="s">
        <v>22058</v>
      </c>
      <c r="C244" s="5">
        <v>2200</v>
      </c>
      <c r="D244" s="1112">
        <f>($C244*0.01)+$C244</f>
        <v>2222</v>
      </c>
      <c r="E244" s="1112">
        <f>($C244*0.02)+$C244</f>
        <v>2244</v>
      </c>
      <c r="F244" s="1112">
        <f>($C244*0.03)+$C244</f>
        <v>2266</v>
      </c>
      <c r="G244" s="1112">
        <f>($C244*0.04)+$C244</f>
        <v>2288</v>
      </c>
      <c r="H244" s="1112">
        <f>($C244*0.05)+$C244</f>
        <v>2310</v>
      </c>
      <c r="I244" s="1112">
        <f>($C244*0.06)+$C244</f>
        <v>2332</v>
      </c>
      <c r="J244" s="1112">
        <f>($C244*0.07)+$C244</f>
        <v>2354</v>
      </c>
      <c r="K244" s="1112">
        <f>($C244*0.08)+$C244</f>
        <v>2376</v>
      </c>
      <c r="L244" s="1112">
        <f>($C244*0.09)+$C244</f>
        <v>2398</v>
      </c>
      <c r="M244" s="1112">
        <f>($C244*0.1)+$C244</f>
        <v>2420</v>
      </c>
      <c r="N244" s="1112">
        <f>($C244*0.11)+$C244</f>
        <v>2442</v>
      </c>
      <c r="O244" s="1112">
        <f>($C244*0.12)+$C244</f>
        <v>2464</v>
      </c>
      <c r="P244" s="1112">
        <f>($C244*0.13)+$C244</f>
        <v>2486</v>
      </c>
      <c r="Q244" s="1112">
        <f>($C244*0.14)+$C244</f>
        <v>2508</v>
      </c>
      <c r="R244" s="1112">
        <f>($C244*0.15)+$C244</f>
        <v>2530</v>
      </c>
      <c r="S244" s="1112">
        <f>($C244*0.16)+$C244</f>
        <v>2552</v>
      </c>
      <c r="T244" s="1112">
        <f>($C244*0.17)+$C244</f>
        <v>2574</v>
      </c>
      <c r="U244" s="1112">
        <f>($C244*0.18)+$C244</f>
        <v>2596</v>
      </c>
      <c r="V244" s="1112">
        <f>($C244*0.19)+$C244</f>
        <v>2618</v>
      </c>
      <c r="W244" s="1112">
        <f>($C244*0.2)+$C244</f>
        <v>2640</v>
      </c>
      <c r="X244" s="1112">
        <f>($C244*0.21)+$C244</f>
        <v>2662</v>
      </c>
      <c r="Y244" s="1112">
        <f>($C244*0.22)+$C244</f>
        <v>2684</v>
      </c>
      <c r="Z244" s="1112">
        <f>($C244*0.23)+$C244</f>
        <v>2706</v>
      </c>
      <c r="AA244" s="1112">
        <f>($C244*0.24)+$C244</f>
        <v>2728</v>
      </c>
      <c r="AB244" s="1112">
        <f>($C244*0.25)+$C244</f>
        <v>2750</v>
      </c>
      <c r="AC244" s="1112">
        <f>($C244*0.26)+$C244</f>
        <v>2772</v>
      </c>
      <c r="AD244" s="1112">
        <f>($C244*0.27)+$C244</f>
        <v>2794</v>
      </c>
      <c r="AE244" s="1112">
        <f>($C244*0.28)+$C244</f>
        <v>2816</v>
      </c>
      <c r="AF244" s="1112">
        <f>($C244*0.29)+$C244</f>
        <v>2838</v>
      </c>
      <c r="AG244" s="1112">
        <f>($C244*0.3)+$C244</f>
        <v>2860</v>
      </c>
    </row>
    <row r="245" spans="1:33" ht="30">
      <c r="A245" s="4" t="s">
        <v>161</v>
      </c>
      <c r="B245" s="4" t="s">
        <v>22059</v>
      </c>
      <c r="C245" s="5">
        <v>2200</v>
      </c>
      <c r="D245" s="1112">
        <f>($C245*0.01)+$C245</f>
        <v>2222</v>
      </c>
      <c r="E245" s="1112">
        <f>($C245*0.02)+$C245</f>
        <v>2244</v>
      </c>
      <c r="F245" s="1112">
        <f>($C245*0.03)+$C245</f>
        <v>2266</v>
      </c>
      <c r="G245" s="1112">
        <f>($C245*0.04)+$C245</f>
        <v>2288</v>
      </c>
      <c r="H245" s="1112">
        <f>($C245*0.05)+$C245</f>
        <v>2310</v>
      </c>
      <c r="I245" s="1112">
        <f>($C245*0.06)+$C245</f>
        <v>2332</v>
      </c>
      <c r="J245" s="1112">
        <f>($C245*0.07)+$C245</f>
        <v>2354</v>
      </c>
      <c r="K245" s="1112">
        <f>($C245*0.08)+$C245</f>
        <v>2376</v>
      </c>
      <c r="L245" s="1112">
        <f>($C245*0.09)+$C245</f>
        <v>2398</v>
      </c>
      <c r="M245" s="1112">
        <f>($C245*0.1)+$C245</f>
        <v>2420</v>
      </c>
      <c r="N245" s="1112">
        <f>($C245*0.11)+$C245</f>
        <v>2442</v>
      </c>
      <c r="O245" s="1112">
        <f>($C245*0.12)+$C245</f>
        <v>2464</v>
      </c>
      <c r="P245" s="1112">
        <f>($C245*0.13)+$C245</f>
        <v>2486</v>
      </c>
      <c r="Q245" s="1112">
        <f>($C245*0.14)+$C245</f>
        <v>2508</v>
      </c>
      <c r="R245" s="1112">
        <f>($C245*0.15)+$C245</f>
        <v>2530</v>
      </c>
      <c r="S245" s="1112">
        <f>($C245*0.16)+$C245</f>
        <v>2552</v>
      </c>
      <c r="T245" s="1112">
        <f>($C245*0.17)+$C245</f>
        <v>2574</v>
      </c>
      <c r="U245" s="1112">
        <f>($C245*0.18)+$C245</f>
        <v>2596</v>
      </c>
      <c r="V245" s="1112">
        <f>($C245*0.19)+$C245</f>
        <v>2618</v>
      </c>
      <c r="W245" s="1112">
        <f>($C245*0.2)+$C245</f>
        <v>2640</v>
      </c>
      <c r="X245" s="1112">
        <f>($C245*0.21)+$C245</f>
        <v>2662</v>
      </c>
      <c r="Y245" s="1112">
        <f>($C245*0.22)+$C245</f>
        <v>2684</v>
      </c>
      <c r="Z245" s="1112">
        <f>($C245*0.23)+$C245</f>
        <v>2706</v>
      </c>
      <c r="AA245" s="1112">
        <f>($C245*0.24)+$C245</f>
        <v>2728</v>
      </c>
      <c r="AB245" s="1112">
        <f>($C245*0.25)+$C245</f>
        <v>2750</v>
      </c>
      <c r="AC245" s="1112">
        <f>($C245*0.26)+$C245</f>
        <v>2772</v>
      </c>
      <c r="AD245" s="1112">
        <f>($C245*0.27)+$C245</f>
        <v>2794</v>
      </c>
      <c r="AE245" s="1112">
        <f>($C245*0.28)+$C245</f>
        <v>2816</v>
      </c>
      <c r="AF245" s="1112">
        <f>($C245*0.29)+$C245</f>
        <v>2838</v>
      </c>
      <c r="AG245" s="1112">
        <f>($C245*0.3)+$C245</f>
        <v>2860</v>
      </c>
    </row>
    <row r="246" spans="1:33" ht="30">
      <c r="A246" s="4" t="s">
        <v>22063</v>
      </c>
      <c r="B246" s="4" t="s">
        <v>22060</v>
      </c>
      <c r="C246" s="5">
        <v>2200</v>
      </c>
      <c r="D246" s="1112">
        <f>($C246*0.01)+$C246</f>
        <v>2222</v>
      </c>
      <c r="E246" s="1112">
        <f>($C246*0.02)+$C246</f>
        <v>2244</v>
      </c>
      <c r="F246" s="1112">
        <f>($C246*0.03)+$C246</f>
        <v>2266</v>
      </c>
      <c r="G246" s="1112">
        <f>($C246*0.04)+$C246</f>
        <v>2288</v>
      </c>
      <c r="H246" s="1112">
        <f>($C246*0.05)+$C246</f>
        <v>2310</v>
      </c>
      <c r="I246" s="1112">
        <f>($C246*0.06)+$C246</f>
        <v>2332</v>
      </c>
      <c r="J246" s="1112">
        <f>($C246*0.07)+$C246</f>
        <v>2354</v>
      </c>
      <c r="K246" s="1112">
        <f>($C246*0.08)+$C246</f>
        <v>2376</v>
      </c>
      <c r="L246" s="1112">
        <f>($C246*0.09)+$C246</f>
        <v>2398</v>
      </c>
      <c r="M246" s="1112">
        <f>($C246*0.1)+$C246</f>
        <v>2420</v>
      </c>
      <c r="N246" s="1112">
        <f>($C246*0.11)+$C246</f>
        <v>2442</v>
      </c>
      <c r="O246" s="1112">
        <f>($C246*0.12)+$C246</f>
        <v>2464</v>
      </c>
      <c r="P246" s="1112">
        <f>($C246*0.13)+$C246</f>
        <v>2486</v>
      </c>
      <c r="Q246" s="1112">
        <f>($C246*0.14)+$C246</f>
        <v>2508</v>
      </c>
      <c r="R246" s="1112">
        <f>($C246*0.15)+$C246</f>
        <v>2530</v>
      </c>
      <c r="S246" s="1112">
        <f>($C246*0.16)+$C246</f>
        <v>2552</v>
      </c>
      <c r="T246" s="1112">
        <f>($C246*0.17)+$C246</f>
        <v>2574</v>
      </c>
      <c r="U246" s="1112">
        <f>($C246*0.18)+$C246</f>
        <v>2596</v>
      </c>
      <c r="V246" s="1112">
        <f>($C246*0.19)+$C246</f>
        <v>2618</v>
      </c>
      <c r="W246" s="1112">
        <f>($C246*0.2)+$C246</f>
        <v>2640</v>
      </c>
      <c r="X246" s="1112">
        <f>($C246*0.21)+$C246</f>
        <v>2662</v>
      </c>
      <c r="Y246" s="1112">
        <f>($C246*0.22)+$C246</f>
        <v>2684</v>
      </c>
      <c r="Z246" s="1112">
        <f>($C246*0.23)+$C246</f>
        <v>2706</v>
      </c>
      <c r="AA246" s="1112">
        <f>($C246*0.24)+$C246</f>
        <v>2728</v>
      </c>
      <c r="AB246" s="1112">
        <f>($C246*0.25)+$C246</f>
        <v>2750</v>
      </c>
      <c r="AC246" s="1112">
        <f>($C246*0.26)+$C246</f>
        <v>2772</v>
      </c>
      <c r="AD246" s="1112">
        <f>($C246*0.27)+$C246</f>
        <v>2794</v>
      </c>
      <c r="AE246" s="1112">
        <f>($C246*0.28)+$C246</f>
        <v>2816</v>
      </c>
      <c r="AF246" s="1112">
        <f>($C246*0.29)+$C246</f>
        <v>2838</v>
      </c>
      <c r="AG246" s="1112">
        <f>($C246*0.3)+$C246</f>
        <v>2860</v>
      </c>
    </row>
    <row r="247" spans="1:33" ht="45">
      <c r="A247" s="4" t="s">
        <v>22064</v>
      </c>
      <c r="B247" s="4" t="s">
        <v>22061</v>
      </c>
      <c r="C247" s="5">
        <v>1200</v>
      </c>
      <c r="D247" s="1112">
        <f>($C247*0.01)+$C247</f>
        <v>1212</v>
      </c>
      <c r="E247" s="1112">
        <f>($C247*0.02)+$C247</f>
        <v>1224</v>
      </c>
      <c r="F247" s="1112">
        <f>($C247*0.03)+$C247</f>
        <v>1236</v>
      </c>
      <c r="G247" s="1112">
        <f>($C247*0.04)+$C247</f>
        <v>1248</v>
      </c>
      <c r="H247" s="1112">
        <f>($C247*0.05)+$C247</f>
        <v>1260</v>
      </c>
      <c r="I247" s="1112">
        <f>($C247*0.06)+$C247</f>
        <v>1272</v>
      </c>
      <c r="J247" s="1112">
        <f>($C247*0.07)+$C247</f>
        <v>1284</v>
      </c>
      <c r="K247" s="1112">
        <f>($C247*0.08)+$C247</f>
        <v>1296</v>
      </c>
      <c r="L247" s="1112">
        <f>($C247*0.09)+$C247</f>
        <v>1308</v>
      </c>
      <c r="M247" s="1112">
        <f>($C247*0.1)+$C247</f>
        <v>1320</v>
      </c>
      <c r="N247" s="1112">
        <f>($C247*0.11)+$C247</f>
        <v>1332</v>
      </c>
      <c r="O247" s="1112">
        <f>($C247*0.12)+$C247</f>
        <v>1344</v>
      </c>
      <c r="P247" s="1112">
        <f>($C247*0.13)+$C247</f>
        <v>1356</v>
      </c>
      <c r="Q247" s="1112">
        <f>($C247*0.14)+$C247</f>
        <v>1368</v>
      </c>
      <c r="R247" s="1112">
        <f>($C247*0.15)+$C247</f>
        <v>1380</v>
      </c>
      <c r="S247" s="1112">
        <f>($C247*0.16)+$C247</f>
        <v>1392</v>
      </c>
      <c r="T247" s="1112">
        <f>($C247*0.17)+$C247</f>
        <v>1404</v>
      </c>
      <c r="U247" s="1112">
        <f>($C247*0.18)+$C247</f>
        <v>1416</v>
      </c>
      <c r="V247" s="1112">
        <f>($C247*0.19)+$C247</f>
        <v>1428</v>
      </c>
      <c r="W247" s="1112">
        <f>($C247*0.2)+$C247</f>
        <v>1440</v>
      </c>
      <c r="X247" s="1112">
        <f>($C247*0.21)+$C247</f>
        <v>1452</v>
      </c>
      <c r="Y247" s="1112">
        <f>($C247*0.22)+$C247</f>
        <v>1464</v>
      </c>
      <c r="Z247" s="1112">
        <f>($C247*0.23)+$C247</f>
        <v>1476</v>
      </c>
      <c r="AA247" s="1112">
        <f>($C247*0.24)+$C247</f>
        <v>1488</v>
      </c>
      <c r="AB247" s="1112">
        <f>($C247*0.25)+$C247</f>
        <v>1500</v>
      </c>
      <c r="AC247" s="1112">
        <f>($C247*0.26)+$C247</f>
        <v>1512</v>
      </c>
      <c r="AD247" s="1112">
        <f>($C247*0.27)+$C247</f>
        <v>1524</v>
      </c>
      <c r="AE247" s="1112">
        <f>($C247*0.28)+$C247</f>
        <v>1536</v>
      </c>
      <c r="AF247" s="1112">
        <f>($C247*0.29)+$C247</f>
        <v>1548</v>
      </c>
      <c r="AG247" s="1112">
        <f>($C247*0.3)+$C247</f>
        <v>1560</v>
      </c>
    </row>
    <row r="248" spans="1:33" ht="15">
      <c r="A248" s="4" t="s">
        <v>8075</v>
      </c>
      <c r="B248" s="4" t="s">
        <v>22062</v>
      </c>
      <c r="C248" s="5">
        <v>500</v>
      </c>
      <c r="D248" s="1112">
        <f>($C248*0.01)+$C248</f>
        <v>505</v>
      </c>
      <c r="E248" s="1112">
        <f>($C248*0.02)+$C248</f>
        <v>510</v>
      </c>
      <c r="F248" s="1112">
        <f>($C248*0.03)+$C248</f>
        <v>515</v>
      </c>
      <c r="G248" s="1112">
        <f>($C248*0.04)+$C248</f>
        <v>520</v>
      </c>
      <c r="H248" s="1112">
        <f>($C248*0.05)+$C248</f>
        <v>525</v>
      </c>
      <c r="I248" s="1112">
        <f>($C248*0.06)+$C248</f>
        <v>530</v>
      </c>
      <c r="J248" s="1112">
        <f>($C248*0.07)+$C248</f>
        <v>535</v>
      </c>
      <c r="K248" s="1112">
        <f>($C248*0.08)+$C248</f>
        <v>540</v>
      </c>
      <c r="L248" s="1112">
        <f>($C248*0.09)+$C248</f>
        <v>545</v>
      </c>
      <c r="M248" s="1112">
        <f>($C248*0.1)+$C248</f>
        <v>550</v>
      </c>
      <c r="N248" s="1112">
        <f>($C248*0.11)+$C248</f>
        <v>555</v>
      </c>
      <c r="O248" s="1112">
        <f>($C248*0.12)+$C248</f>
        <v>560</v>
      </c>
      <c r="P248" s="1112">
        <f>($C248*0.13)+$C248</f>
        <v>565</v>
      </c>
      <c r="Q248" s="1112">
        <f>($C248*0.14)+$C248</f>
        <v>570</v>
      </c>
      <c r="R248" s="1112">
        <f>($C248*0.15)+$C248</f>
        <v>575</v>
      </c>
      <c r="S248" s="1112">
        <f>($C248*0.16)+$C248</f>
        <v>580</v>
      </c>
      <c r="T248" s="1112">
        <f>($C248*0.17)+$C248</f>
        <v>585</v>
      </c>
      <c r="U248" s="1112">
        <f>($C248*0.18)+$C248</f>
        <v>590</v>
      </c>
      <c r="V248" s="1112">
        <f>($C248*0.19)+$C248</f>
        <v>595</v>
      </c>
      <c r="W248" s="1112">
        <f>($C248*0.2)+$C248</f>
        <v>600</v>
      </c>
      <c r="X248" s="1112">
        <f>($C248*0.21)+$C248</f>
        <v>605</v>
      </c>
      <c r="Y248" s="1112">
        <f>($C248*0.22)+$C248</f>
        <v>610</v>
      </c>
      <c r="Z248" s="1112">
        <f>($C248*0.23)+$C248</f>
        <v>615</v>
      </c>
      <c r="AA248" s="1112">
        <f>($C248*0.24)+$C248</f>
        <v>620</v>
      </c>
      <c r="AB248" s="1112">
        <f>($C248*0.25)+$C248</f>
        <v>625</v>
      </c>
      <c r="AC248" s="1112">
        <f>($C248*0.26)+$C248</f>
        <v>630</v>
      </c>
      <c r="AD248" s="1112">
        <f>($C248*0.27)+$C248</f>
        <v>635</v>
      </c>
      <c r="AE248" s="1112">
        <f>($C248*0.28)+$C248</f>
        <v>640</v>
      </c>
      <c r="AF248" s="1112">
        <f>($C248*0.29)+$C248</f>
        <v>645</v>
      </c>
      <c r="AG248" s="1112">
        <f>($C248*0.3)+$C248</f>
        <v>650</v>
      </c>
    </row>
    <row r="249" spans="1:33" ht="15">
      <c r="A249" s="4"/>
      <c r="B249" s="4"/>
      <c r="C249" s="5"/>
      <c r="D249" s="1112"/>
      <c r="E249" s="1112"/>
      <c r="F249" s="1112"/>
      <c r="G249" s="1112"/>
      <c r="H249" s="1112"/>
      <c r="I249" s="1112"/>
      <c r="J249" s="1112"/>
      <c r="K249" s="1112"/>
      <c r="L249" s="1112"/>
      <c r="M249" s="1112"/>
      <c r="N249" s="1112"/>
      <c r="O249" s="1112"/>
      <c r="P249" s="1112"/>
      <c r="Q249" s="1112"/>
      <c r="R249" s="1112"/>
      <c r="S249" s="1112"/>
      <c r="T249" s="1112"/>
      <c r="U249" s="1112"/>
      <c r="V249" s="1112"/>
      <c r="W249" s="1112"/>
      <c r="X249" s="1112"/>
      <c r="Y249" s="1112"/>
      <c r="Z249" s="1112"/>
      <c r="AA249" s="1112"/>
      <c r="AB249" s="1112"/>
      <c r="AC249" s="1112"/>
      <c r="AD249" s="1112"/>
      <c r="AE249" s="1112"/>
      <c r="AF249" s="1112"/>
      <c r="AG249" s="1112"/>
    </row>
    <row r="250" spans="1:33" ht="20">
      <c r="A250" s="15"/>
      <c r="B250" s="11" t="s">
        <v>178</v>
      </c>
      <c r="C250" s="16"/>
      <c r="D250" s="1112"/>
      <c r="E250" s="1112"/>
      <c r="F250" s="1112"/>
      <c r="G250" s="1112"/>
      <c r="H250" s="1112"/>
      <c r="I250" s="1112"/>
      <c r="J250" s="1112"/>
      <c r="K250" s="1112"/>
      <c r="L250" s="1112"/>
      <c r="M250" s="1112"/>
      <c r="N250" s="1112"/>
      <c r="O250" s="1112"/>
      <c r="P250" s="1112"/>
      <c r="Q250" s="1112"/>
      <c r="R250" s="1112"/>
      <c r="S250" s="1112"/>
      <c r="T250" s="1112"/>
      <c r="U250" s="1112"/>
      <c r="V250" s="1112"/>
      <c r="W250" s="1112"/>
      <c r="X250" s="1112"/>
      <c r="Y250" s="1112"/>
      <c r="Z250" s="1112"/>
      <c r="AA250" s="1112"/>
      <c r="AB250" s="1112"/>
      <c r="AC250" s="1112"/>
      <c r="AD250" s="1112"/>
      <c r="AE250" s="1112"/>
      <c r="AF250" s="1112"/>
      <c r="AG250" s="1112"/>
    </row>
    <row r="251" spans="1:33" ht="75">
      <c r="A251" s="4" t="s">
        <v>140</v>
      </c>
      <c r="B251" s="4" t="s">
        <v>141</v>
      </c>
      <c r="C251" s="5">
        <v>900</v>
      </c>
      <c r="D251" s="1112">
        <f>($C251*0.01)+$C251</f>
        <v>909</v>
      </c>
      <c r="E251" s="1112">
        <f>($C251*0.02)+$C251</f>
        <v>918</v>
      </c>
      <c r="F251" s="1112">
        <f>($C251*0.03)+$C251</f>
        <v>927</v>
      </c>
      <c r="G251" s="1112">
        <f>($C251*0.04)+$C251</f>
        <v>936</v>
      </c>
      <c r="H251" s="1112">
        <f>($C251*0.05)+$C251</f>
        <v>945</v>
      </c>
      <c r="I251" s="1112">
        <f>($C251*0.06)+$C251</f>
        <v>954</v>
      </c>
      <c r="J251" s="1112">
        <f>($C251*0.07)+$C251</f>
        <v>963</v>
      </c>
      <c r="K251" s="1112">
        <f>($C251*0.08)+$C251</f>
        <v>972</v>
      </c>
      <c r="L251" s="1112">
        <f>($C251*0.09)+$C251</f>
        <v>981</v>
      </c>
      <c r="M251" s="1112">
        <f>($C251*0.1)+$C251</f>
        <v>990</v>
      </c>
      <c r="N251" s="1112">
        <f>($C251*0.11)+$C251</f>
        <v>999</v>
      </c>
      <c r="O251" s="1112">
        <f>($C251*0.12)+$C251</f>
        <v>1008</v>
      </c>
      <c r="P251" s="1112">
        <f>($C251*0.13)+$C251</f>
        <v>1017</v>
      </c>
      <c r="Q251" s="1112">
        <f>($C251*0.14)+$C251</f>
        <v>1026</v>
      </c>
      <c r="R251" s="1112">
        <f>($C251*0.15)+$C251</f>
        <v>1035</v>
      </c>
      <c r="S251" s="1112">
        <f>($C251*0.16)+$C251</f>
        <v>1044</v>
      </c>
      <c r="T251" s="1112">
        <f>($C251*0.17)+$C251</f>
        <v>1053</v>
      </c>
      <c r="U251" s="1112">
        <f>($C251*0.18)+$C251</f>
        <v>1062</v>
      </c>
      <c r="V251" s="1112">
        <f>($C251*0.19)+$C251</f>
        <v>1071</v>
      </c>
      <c r="W251" s="1112">
        <f>($C251*0.2)+$C251</f>
        <v>1080</v>
      </c>
      <c r="X251" s="1112">
        <f>($C251*0.21)+$C251</f>
        <v>1089</v>
      </c>
      <c r="Y251" s="1112">
        <f>($C251*0.22)+$C251</f>
        <v>1098</v>
      </c>
      <c r="Z251" s="1112">
        <f>($C251*0.23)+$C251</f>
        <v>1107</v>
      </c>
      <c r="AA251" s="1112">
        <f>($C251*0.24)+$C251</f>
        <v>1116</v>
      </c>
      <c r="AB251" s="1112">
        <f>($C251*0.25)+$C251</f>
        <v>1125</v>
      </c>
      <c r="AC251" s="1112">
        <f>($C251*0.26)+$C251</f>
        <v>1134</v>
      </c>
      <c r="AD251" s="1112">
        <f>($C251*0.27)+$C251</f>
        <v>1143</v>
      </c>
      <c r="AE251" s="1112">
        <f>($C251*0.28)+$C251</f>
        <v>1152</v>
      </c>
      <c r="AF251" s="1112">
        <f>($C251*0.29)+$C251</f>
        <v>1161</v>
      </c>
      <c r="AG251" s="1112">
        <f>($C251*0.3)+$C251</f>
        <v>1170</v>
      </c>
    </row>
    <row r="252" spans="1:33" ht="60">
      <c r="A252" s="4" t="s">
        <v>142</v>
      </c>
      <c r="B252" s="4" t="s">
        <v>143</v>
      </c>
      <c r="C252" s="5">
        <v>950</v>
      </c>
      <c r="D252" s="1112">
        <f>($C252*0.01)+$C252</f>
        <v>959.5</v>
      </c>
      <c r="E252" s="1112">
        <f>($C252*0.02)+$C252</f>
        <v>969</v>
      </c>
      <c r="F252" s="1112">
        <f>($C252*0.03)+$C252</f>
        <v>978.5</v>
      </c>
      <c r="G252" s="1112">
        <f>($C252*0.04)+$C252</f>
        <v>988</v>
      </c>
      <c r="H252" s="1112">
        <f>($C252*0.05)+$C252</f>
        <v>997.5</v>
      </c>
      <c r="I252" s="1112">
        <f>($C252*0.06)+$C252</f>
        <v>1007</v>
      </c>
      <c r="J252" s="1112">
        <f>($C252*0.07)+$C252</f>
        <v>1016.5</v>
      </c>
      <c r="K252" s="1112">
        <f>($C252*0.08)+$C252</f>
        <v>1026</v>
      </c>
      <c r="L252" s="1112">
        <f>($C252*0.09)+$C252</f>
        <v>1035.5</v>
      </c>
      <c r="M252" s="1112">
        <f>($C252*0.1)+$C252</f>
        <v>1045</v>
      </c>
      <c r="N252" s="1112">
        <f>($C252*0.11)+$C252</f>
        <v>1054.5</v>
      </c>
      <c r="O252" s="1112">
        <f>($C252*0.12)+$C252</f>
        <v>1064</v>
      </c>
      <c r="P252" s="1112">
        <f>($C252*0.13)+$C252</f>
        <v>1073.5</v>
      </c>
      <c r="Q252" s="1112">
        <f>($C252*0.14)+$C252</f>
        <v>1083</v>
      </c>
      <c r="R252" s="1112">
        <f>($C252*0.15)+$C252</f>
        <v>1092.5</v>
      </c>
      <c r="S252" s="1112">
        <f>($C252*0.16)+$C252</f>
        <v>1102</v>
      </c>
      <c r="T252" s="1112">
        <f>($C252*0.17)+$C252</f>
        <v>1111.5</v>
      </c>
      <c r="U252" s="1112">
        <f>($C252*0.18)+$C252</f>
        <v>1121</v>
      </c>
      <c r="V252" s="1112">
        <f>($C252*0.19)+$C252</f>
        <v>1130.5</v>
      </c>
      <c r="W252" s="1112">
        <f>($C252*0.2)+$C252</f>
        <v>1140</v>
      </c>
      <c r="X252" s="1112">
        <f>($C252*0.21)+$C252</f>
        <v>1149.5</v>
      </c>
      <c r="Y252" s="1112">
        <f>($C252*0.22)+$C252</f>
        <v>1159</v>
      </c>
      <c r="Z252" s="1112">
        <f>($C252*0.23)+$C252</f>
        <v>1168.5</v>
      </c>
      <c r="AA252" s="1112">
        <f>($C252*0.24)+$C252</f>
        <v>1178</v>
      </c>
      <c r="AB252" s="1112">
        <f>($C252*0.25)+$C252</f>
        <v>1187.5</v>
      </c>
      <c r="AC252" s="1112">
        <f>($C252*0.26)+$C252</f>
        <v>1197</v>
      </c>
      <c r="AD252" s="1112">
        <f>($C252*0.27)+$C252</f>
        <v>1206.5</v>
      </c>
      <c r="AE252" s="1112">
        <f>($C252*0.28)+$C252</f>
        <v>1216</v>
      </c>
      <c r="AF252" s="1112">
        <f>($C252*0.29)+$C252</f>
        <v>1225.5</v>
      </c>
      <c r="AG252" s="1112">
        <f>($C252*0.3)+$C252</f>
        <v>1235</v>
      </c>
    </row>
    <row r="253" spans="1:33" ht="60">
      <c r="A253" s="4" t="s">
        <v>144</v>
      </c>
      <c r="B253" s="4" t="s">
        <v>145</v>
      </c>
      <c r="C253" s="5">
        <v>950</v>
      </c>
      <c r="D253" s="1112">
        <f>($C253*0.01)+$C253</f>
        <v>959.5</v>
      </c>
      <c r="E253" s="1112">
        <f>($C253*0.02)+$C253</f>
        <v>969</v>
      </c>
      <c r="F253" s="1112">
        <f>($C253*0.03)+$C253</f>
        <v>978.5</v>
      </c>
      <c r="G253" s="1112">
        <f>($C253*0.04)+$C253</f>
        <v>988</v>
      </c>
      <c r="H253" s="1112">
        <f>($C253*0.05)+$C253</f>
        <v>997.5</v>
      </c>
      <c r="I253" s="1112">
        <f>($C253*0.06)+$C253</f>
        <v>1007</v>
      </c>
      <c r="J253" s="1112">
        <f>($C253*0.07)+$C253</f>
        <v>1016.5</v>
      </c>
      <c r="K253" s="1112">
        <f>($C253*0.08)+$C253</f>
        <v>1026</v>
      </c>
      <c r="L253" s="1112">
        <f>($C253*0.09)+$C253</f>
        <v>1035.5</v>
      </c>
      <c r="M253" s="1112">
        <f>($C253*0.1)+$C253</f>
        <v>1045</v>
      </c>
      <c r="N253" s="1112">
        <f>($C253*0.11)+$C253</f>
        <v>1054.5</v>
      </c>
      <c r="O253" s="1112">
        <f>($C253*0.12)+$C253</f>
        <v>1064</v>
      </c>
      <c r="P253" s="1112">
        <f>($C253*0.13)+$C253</f>
        <v>1073.5</v>
      </c>
      <c r="Q253" s="1112">
        <f>($C253*0.14)+$C253</f>
        <v>1083</v>
      </c>
      <c r="R253" s="1112">
        <f>($C253*0.15)+$C253</f>
        <v>1092.5</v>
      </c>
      <c r="S253" s="1112">
        <f>($C253*0.16)+$C253</f>
        <v>1102</v>
      </c>
      <c r="T253" s="1112">
        <f>($C253*0.17)+$C253</f>
        <v>1111.5</v>
      </c>
      <c r="U253" s="1112">
        <f>($C253*0.18)+$C253</f>
        <v>1121</v>
      </c>
      <c r="V253" s="1112">
        <f>($C253*0.19)+$C253</f>
        <v>1130.5</v>
      </c>
      <c r="W253" s="1112">
        <f>($C253*0.2)+$C253</f>
        <v>1140</v>
      </c>
      <c r="X253" s="1112">
        <f>($C253*0.21)+$C253</f>
        <v>1149.5</v>
      </c>
      <c r="Y253" s="1112">
        <f>($C253*0.22)+$C253</f>
        <v>1159</v>
      </c>
      <c r="Z253" s="1112">
        <f>($C253*0.23)+$C253</f>
        <v>1168.5</v>
      </c>
      <c r="AA253" s="1112">
        <f>($C253*0.24)+$C253</f>
        <v>1178</v>
      </c>
      <c r="AB253" s="1112">
        <f>($C253*0.25)+$C253</f>
        <v>1187.5</v>
      </c>
      <c r="AC253" s="1112">
        <f>($C253*0.26)+$C253</f>
        <v>1197</v>
      </c>
      <c r="AD253" s="1112">
        <f>($C253*0.27)+$C253</f>
        <v>1206.5</v>
      </c>
      <c r="AE253" s="1112">
        <f>($C253*0.28)+$C253</f>
        <v>1216</v>
      </c>
      <c r="AF253" s="1112">
        <f>($C253*0.29)+$C253</f>
        <v>1225.5</v>
      </c>
      <c r="AG253" s="1112">
        <f>($C253*0.3)+$C253</f>
        <v>1235</v>
      </c>
    </row>
    <row r="254" spans="1:33" ht="60">
      <c r="A254" s="4" t="s">
        <v>146</v>
      </c>
      <c r="B254" s="4" t="s">
        <v>147</v>
      </c>
      <c r="C254" s="5">
        <v>950</v>
      </c>
      <c r="D254" s="1112">
        <f>($C254*0.01)+$C254</f>
        <v>959.5</v>
      </c>
      <c r="E254" s="1112">
        <f>($C254*0.02)+$C254</f>
        <v>969</v>
      </c>
      <c r="F254" s="1112">
        <f>($C254*0.03)+$C254</f>
        <v>978.5</v>
      </c>
      <c r="G254" s="1112">
        <f>($C254*0.04)+$C254</f>
        <v>988</v>
      </c>
      <c r="H254" s="1112">
        <f>($C254*0.05)+$C254</f>
        <v>997.5</v>
      </c>
      <c r="I254" s="1112">
        <f>($C254*0.06)+$C254</f>
        <v>1007</v>
      </c>
      <c r="J254" s="1112">
        <f>($C254*0.07)+$C254</f>
        <v>1016.5</v>
      </c>
      <c r="K254" s="1112">
        <f>($C254*0.08)+$C254</f>
        <v>1026</v>
      </c>
      <c r="L254" s="1112">
        <f>($C254*0.09)+$C254</f>
        <v>1035.5</v>
      </c>
      <c r="M254" s="1112">
        <f>($C254*0.1)+$C254</f>
        <v>1045</v>
      </c>
      <c r="N254" s="1112">
        <f>($C254*0.11)+$C254</f>
        <v>1054.5</v>
      </c>
      <c r="O254" s="1112">
        <f>($C254*0.12)+$C254</f>
        <v>1064</v>
      </c>
      <c r="P254" s="1112">
        <f>($C254*0.13)+$C254</f>
        <v>1073.5</v>
      </c>
      <c r="Q254" s="1112">
        <f>($C254*0.14)+$C254</f>
        <v>1083</v>
      </c>
      <c r="R254" s="1112">
        <f>($C254*0.15)+$C254</f>
        <v>1092.5</v>
      </c>
      <c r="S254" s="1112">
        <f>($C254*0.16)+$C254</f>
        <v>1102</v>
      </c>
      <c r="T254" s="1112">
        <f>($C254*0.17)+$C254</f>
        <v>1111.5</v>
      </c>
      <c r="U254" s="1112">
        <f>($C254*0.18)+$C254</f>
        <v>1121</v>
      </c>
      <c r="V254" s="1112">
        <f>($C254*0.19)+$C254</f>
        <v>1130.5</v>
      </c>
      <c r="W254" s="1112">
        <f>($C254*0.2)+$C254</f>
        <v>1140</v>
      </c>
      <c r="X254" s="1112">
        <f>($C254*0.21)+$C254</f>
        <v>1149.5</v>
      </c>
      <c r="Y254" s="1112">
        <f>($C254*0.22)+$C254</f>
        <v>1159</v>
      </c>
      <c r="Z254" s="1112">
        <f>($C254*0.23)+$C254</f>
        <v>1168.5</v>
      </c>
      <c r="AA254" s="1112">
        <f>($C254*0.24)+$C254</f>
        <v>1178</v>
      </c>
      <c r="AB254" s="1112">
        <f>($C254*0.25)+$C254</f>
        <v>1187.5</v>
      </c>
      <c r="AC254" s="1112">
        <f>($C254*0.26)+$C254</f>
        <v>1197</v>
      </c>
      <c r="AD254" s="1112">
        <f>($C254*0.27)+$C254</f>
        <v>1206.5</v>
      </c>
      <c r="AE254" s="1112">
        <f>($C254*0.28)+$C254</f>
        <v>1216</v>
      </c>
      <c r="AF254" s="1112">
        <f>($C254*0.29)+$C254</f>
        <v>1225.5</v>
      </c>
      <c r="AG254" s="1112">
        <f>($C254*0.3)+$C254</f>
        <v>1235</v>
      </c>
    </row>
    <row r="255" spans="1:33" ht="30">
      <c r="A255" s="4" t="s">
        <v>148</v>
      </c>
      <c r="B255" s="4" t="s">
        <v>149</v>
      </c>
      <c r="C255" s="5">
        <v>75</v>
      </c>
      <c r="D255" s="1112">
        <f>($C255*0.01)+$C255</f>
        <v>75.75</v>
      </c>
      <c r="E255" s="1112">
        <f>($C255*0.02)+$C255</f>
        <v>76.5</v>
      </c>
      <c r="F255" s="1112">
        <f>($C255*0.03)+$C255</f>
        <v>77.25</v>
      </c>
      <c r="G255" s="1112">
        <f>($C255*0.04)+$C255</f>
        <v>78</v>
      </c>
      <c r="H255" s="1112">
        <f>($C255*0.05)+$C255</f>
        <v>78.75</v>
      </c>
      <c r="I255" s="1112">
        <f>($C255*0.06)+$C255</f>
        <v>79.5</v>
      </c>
      <c r="J255" s="1112">
        <f>($C255*0.07)+$C255</f>
        <v>80.25</v>
      </c>
      <c r="K255" s="1112">
        <f>($C255*0.08)+$C255</f>
        <v>81</v>
      </c>
      <c r="L255" s="1112">
        <f>($C255*0.09)+$C255</f>
        <v>81.75</v>
      </c>
      <c r="M255" s="1112">
        <f>($C255*0.1)+$C255</f>
        <v>82.5</v>
      </c>
      <c r="N255" s="1112">
        <f>($C255*0.11)+$C255</f>
        <v>83.25</v>
      </c>
      <c r="O255" s="1112">
        <f>($C255*0.12)+$C255</f>
        <v>84</v>
      </c>
      <c r="P255" s="1112">
        <f>($C255*0.13)+$C255</f>
        <v>84.75</v>
      </c>
      <c r="Q255" s="1112">
        <f>($C255*0.14)+$C255</f>
        <v>85.5</v>
      </c>
      <c r="R255" s="1112">
        <f>($C255*0.15)+$C255</f>
        <v>86.25</v>
      </c>
      <c r="S255" s="1112">
        <f>($C255*0.16)+$C255</f>
        <v>87</v>
      </c>
      <c r="T255" s="1112">
        <f>($C255*0.17)+$C255</f>
        <v>87.75</v>
      </c>
      <c r="U255" s="1112">
        <f>($C255*0.18)+$C255</f>
        <v>88.5</v>
      </c>
      <c r="V255" s="1112">
        <f>($C255*0.19)+$C255</f>
        <v>89.25</v>
      </c>
      <c r="W255" s="1112">
        <f>($C255*0.2)+$C255</f>
        <v>90</v>
      </c>
      <c r="X255" s="1112">
        <f>($C255*0.21)+$C255</f>
        <v>90.75</v>
      </c>
      <c r="Y255" s="1112">
        <f>($C255*0.22)+$C255</f>
        <v>91.5</v>
      </c>
      <c r="Z255" s="1112">
        <f>($C255*0.23)+$C255</f>
        <v>92.25</v>
      </c>
      <c r="AA255" s="1112">
        <f>($C255*0.24)+$C255</f>
        <v>93</v>
      </c>
      <c r="AB255" s="1112">
        <f>($C255*0.25)+$C255</f>
        <v>93.75</v>
      </c>
      <c r="AC255" s="1112">
        <f>($C255*0.26)+$C255</f>
        <v>94.5</v>
      </c>
      <c r="AD255" s="1112">
        <f>($C255*0.27)+$C255</f>
        <v>95.25</v>
      </c>
      <c r="AE255" s="1112">
        <f>($C255*0.28)+$C255</f>
        <v>96</v>
      </c>
      <c r="AF255" s="1112">
        <f>($C255*0.29)+$C255</f>
        <v>96.75</v>
      </c>
      <c r="AG255" s="1112">
        <f>($C255*0.3)+$C255</f>
        <v>97.5</v>
      </c>
    </row>
    <row r="256" spans="1:33" ht="15">
      <c r="A256" s="4" t="s">
        <v>150</v>
      </c>
      <c r="B256" s="4" t="s">
        <v>151</v>
      </c>
      <c r="C256" s="5">
        <v>75</v>
      </c>
      <c r="D256" s="1112">
        <f>($C256*0.01)+$C256</f>
        <v>75.75</v>
      </c>
      <c r="E256" s="1112">
        <f>($C256*0.02)+$C256</f>
        <v>76.5</v>
      </c>
      <c r="F256" s="1112">
        <f>($C256*0.03)+$C256</f>
        <v>77.25</v>
      </c>
      <c r="G256" s="1112">
        <f>($C256*0.04)+$C256</f>
        <v>78</v>
      </c>
      <c r="H256" s="1112">
        <f>($C256*0.05)+$C256</f>
        <v>78.75</v>
      </c>
      <c r="I256" s="1112">
        <f>($C256*0.06)+$C256</f>
        <v>79.5</v>
      </c>
      <c r="J256" s="1112">
        <f>($C256*0.07)+$C256</f>
        <v>80.25</v>
      </c>
      <c r="K256" s="1112">
        <f>($C256*0.08)+$C256</f>
        <v>81</v>
      </c>
      <c r="L256" s="1112">
        <f>($C256*0.09)+$C256</f>
        <v>81.75</v>
      </c>
      <c r="M256" s="1112">
        <f>($C256*0.1)+$C256</f>
        <v>82.5</v>
      </c>
      <c r="N256" s="1112">
        <f>($C256*0.11)+$C256</f>
        <v>83.25</v>
      </c>
      <c r="O256" s="1112">
        <f>($C256*0.12)+$C256</f>
        <v>84</v>
      </c>
      <c r="P256" s="1112">
        <f>($C256*0.13)+$C256</f>
        <v>84.75</v>
      </c>
      <c r="Q256" s="1112">
        <f>($C256*0.14)+$C256</f>
        <v>85.5</v>
      </c>
      <c r="R256" s="1112">
        <f>($C256*0.15)+$C256</f>
        <v>86.25</v>
      </c>
      <c r="S256" s="1112">
        <f>($C256*0.16)+$C256</f>
        <v>87</v>
      </c>
      <c r="T256" s="1112">
        <f>($C256*0.17)+$C256</f>
        <v>87.75</v>
      </c>
      <c r="U256" s="1112">
        <f>($C256*0.18)+$C256</f>
        <v>88.5</v>
      </c>
      <c r="V256" s="1112">
        <f>($C256*0.19)+$C256</f>
        <v>89.25</v>
      </c>
      <c r="W256" s="1112">
        <f>($C256*0.2)+$C256</f>
        <v>90</v>
      </c>
      <c r="X256" s="1112">
        <f>($C256*0.21)+$C256</f>
        <v>90.75</v>
      </c>
      <c r="Y256" s="1112">
        <f>($C256*0.22)+$C256</f>
        <v>91.5</v>
      </c>
      <c r="Z256" s="1112">
        <f>($C256*0.23)+$C256</f>
        <v>92.25</v>
      </c>
      <c r="AA256" s="1112">
        <f>($C256*0.24)+$C256</f>
        <v>93</v>
      </c>
      <c r="AB256" s="1112">
        <f>($C256*0.25)+$C256</f>
        <v>93.75</v>
      </c>
      <c r="AC256" s="1112">
        <f>($C256*0.26)+$C256</f>
        <v>94.5</v>
      </c>
      <c r="AD256" s="1112">
        <f>($C256*0.27)+$C256</f>
        <v>95.25</v>
      </c>
      <c r="AE256" s="1112">
        <f>($C256*0.28)+$C256</f>
        <v>96</v>
      </c>
      <c r="AF256" s="1112">
        <f>($C256*0.29)+$C256</f>
        <v>96.75</v>
      </c>
      <c r="AG256" s="1112">
        <f>($C256*0.3)+$C256</f>
        <v>97.5</v>
      </c>
    </row>
    <row r="257" spans="1:33" ht="30">
      <c r="A257" s="4" t="s">
        <v>152</v>
      </c>
      <c r="B257" s="4" t="s">
        <v>153</v>
      </c>
      <c r="C257" s="5">
        <v>50</v>
      </c>
      <c r="D257" s="1112">
        <f>($C257*0.01)+$C257</f>
        <v>50.5</v>
      </c>
      <c r="E257" s="1112">
        <f>($C257*0.02)+$C257</f>
        <v>51</v>
      </c>
      <c r="F257" s="1112">
        <f>($C257*0.03)+$C257</f>
        <v>51.5</v>
      </c>
      <c r="G257" s="1112">
        <f>($C257*0.04)+$C257</f>
        <v>52</v>
      </c>
      <c r="H257" s="1112">
        <f>($C257*0.05)+$C257</f>
        <v>52.5</v>
      </c>
      <c r="I257" s="1112">
        <f>($C257*0.06)+$C257</f>
        <v>53</v>
      </c>
      <c r="J257" s="1112">
        <f>($C257*0.07)+$C257</f>
        <v>53.5</v>
      </c>
      <c r="K257" s="1112">
        <f>($C257*0.08)+$C257</f>
        <v>54</v>
      </c>
      <c r="L257" s="1112">
        <f>($C257*0.09)+$C257</f>
        <v>54.5</v>
      </c>
      <c r="M257" s="1112">
        <f>($C257*0.1)+$C257</f>
        <v>55</v>
      </c>
      <c r="N257" s="1112">
        <f>($C257*0.11)+$C257</f>
        <v>55.5</v>
      </c>
      <c r="O257" s="1112">
        <f>($C257*0.12)+$C257</f>
        <v>56</v>
      </c>
      <c r="P257" s="1112">
        <f>($C257*0.13)+$C257</f>
        <v>56.5</v>
      </c>
      <c r="Q257" s="1112">
        <f>($C257*0.14)+$C257</f>
        <v>57</v>
      </c>
      <c r="R257" s="1112">
        <f>($C257*0.15)+$C257</f>
        <v>57.5</v>
      </c>
      <c r="S257" s="1112">
        <f>($C257*0.16)+$C257</f>
        <v>58</v>
      </c>
      <c r="T257" s="1112">
        <f>($C257*0.17)+$C257</f>
        <v>58.5</v>
      </c>
      <c r="U257" s="1112">
        <f>($C257*0.18)+$C257</f>
        <v>59</v>
      </c>
      <c r="V257" s="1112">
        <f>($C257*0.19)+$C257</f>
        <v>59.5</v>
      </c>
      <c r="W257" s="1112">
        <f>($C257*0.2)+$C257</f>
        <v>60</v>
      </c>
      <c r="X257" s="1112">
        <f>($C257*0.21)+$C257</f>
        <v>60.5</v>
      </c>
      <c r="Y257" s="1112">
        <f>($C257*0.22)+$C257</f>
        <v>61</v>
      </c>
      <c r="Z257" s="1112">
        <f>($C257*0.23)+$C257</f>
        <v>61.5</v>
      </c>
      <c r="AA257" s="1112">
        <f>($C257*0.24)+$C257</f>
        <v>62</v>
      </c>
      <c r="AB257" s="1112">
        <f>($C257*0.25)+$C257</f>
        <v>62.5</v>
      </c>
      <c r="AC257" s="1112">
        <f>($C257*0.26)+$C257</f>
        <v>63</v>
      </c>
      <c r="AD257" s="1112">
        <f>($C257*0.27)+$C257</f>
        <v>63.5</v>
      </c>
      <c r="AE257" s="1112">
        <f>($C257*0.28)+$C257</f>
        <v>64</v>
      </c>
      <c r="AF257" s="1112">
        <f>($C257*0.29)+$C257</f>
        <v>64.5</v>
      </c>
      <c r="AG257" s="1112">
        <f>($C257*0.3)+$C257</f>
        <v>65</v>
      </c>
    </row>
    <row r="258" spans="1:33" ht="15">
      <c r="A258" s="4" t="s">
        <v>2</v>
      </c>
      <c r="B258" s="4" t="s">
        <v>182</v>
      </c>
      <c r="C258" s="5">
        <v>900</v>
      </c>
      <c r="D258" s="1112">
        <f>($C258*0.01)+$C258</f>
        <v>909</v>
      </c>
      <c r="E258" s="1112">
        <f>($C258*0.02)+$C258</f>
        <v>918</v>
      </c>
      <c r="F258" s="1112">
        <f>($C258*0.03)+$C258</f>
        <v>927</v>
      </c>
      <c r="G258" s="1112">
        <f>($C258*0.04)+$C258</f>
        <v>936</v>
      </c>
      <c r="H258" s="1112">
        <f>($C258*0.05)+$C258</f>
        <v>945</v>
      </c>
      <c r="I258" s="1112">
        <f>($C258*0.06)+$C258</f>
        <v>954</v>
      </c>
      <c r="J258" s="1112">
        <f>($C258*0.07)+$C258</f>
        <v>963</v>
      </c>
      <c r="K258" s="1112">
        <f>($C258*0.08)+$C258</f>
        <v>972</v>
      </c>
      <c r="L258" s="1112">
        <f>($C258*0.09)+$C258</f>
        <v>981</v>
      </c>
      <c r="M258" s="1112">
        <f>($C258*0.1)+$C258</f>
        <v>990</v>
      </c>
      <c r="N258" s="1112">
        <f>($C258*0.11)+$C258</f>
        <v>999</v>
      </c>
      <c r="O258" s="1112">
        <f>($C258*0.12)+$C258</f>
        <v>1008</v>
      </c>
      <c r="P258" s="1112">
        <f>($C258*0.13)+$C258</f>
        <v>1017</v>
      </c>
      <c r="Q258" s="1112">
        <f>($C258*0.14)+$C258</f>
        <v>1026</v>
      </c>
      <c r="R258" s="1112">
        <f>($C258*0.15)+$C258</f>
        <v>1035</v>
      </c>
      <c r="S258" s="1112">
        <f>($C258*0.16)+$C258</f>
        <v>1044</v>
      </c>
      <c r="T258" s="1112">
        <f>($C258*0.17)+$C258</f>
        <v>1053</v>
      </c>
      <c r="U258" s="1112">
        <f>($C258*0.18)+$C258</f>
        <v>1062</v>
      </c>
      <c r="V258" s="1112">
        <f>($C258*0.19)+$C258</f>
        <v>1071</v>
      </c>
      <c r="W258" s="1112">
        <f>($C258*0.2)+$C258</f>
        <v>1080</v>
      </c>
      <c r="X258" s="1112">
        <f>($C258*0.21)+$C258</f>
        <v>1089</v>
      </c>
      <c r="Y258" s="1112">
        <f>($C258*0.22)+$C258</f>
        <v>1098</v>
      </c>
      <c r="Z258" s="1112">
        <f>($C258*0.23)+$C258</f>
        <v>1107</v>
      </c>
      <c r="AA258" s="1112">
        <f>($C258*0.24)+$C258</f>
        <v>1116</v>
      </c>
      <c r="AB258" s="1112">
        <f>($C258*0.25)+$C258</f>
        <v>1125</v>
      </c>
      <c r="AC258" s="1112">
        <f>($C258*0.26)+$C258</f>
        <v>1134</v>
      </c>
      <c r="AD258" s="1112">
        <f>($C258*0.27)+$C258</f>
        <v>1143</v>
      </c>
      <c r="AE258" s="1112">
        <f>($C258*0.28)+$C258</f>
        <v>1152</v>
      </c>
      <c r="AF258" s="1112">
        <f>($C258*0.29)+$C258</f>
        <v>1161</v>
      </c>
      <c r="AG258" s="1112">
        <f>($C258*0.3)+$C258</f>
        <v>1170</v>
      </c>
    </row>
    <row r="259" spans="1:33" ht="15">
      <c r="A259" s="4" t="s">
        <v>179</v>
      </c>
      <c r="B259" s="4" t="s">
        <v>184</v>
      </c>
      <c r="C259" s="5">
        <v>900</v>
      </c>
      <c r="D259" s="1112">
        <f>($C259*0.01)+$C259</f>
        <v>909</v>
      </c>
      <c r="E259" s="1112">
        <f>($C259*0.02)+$C259</f>
        <v>918</v>
      </c>
      <c r="F259" s="1112">
        <f>($C259*0.03)+$C259</f>
        <v>927</v>
      </c>
      <c r="G259" s="1112">
        <f>($C259*0.04)+$C259</f>
        <v>936</v>
      </c>
      <c r="H259" s="1112">
        <f>($C259*0.05)+$C259</f>
        <v>945</v>
      </c>
      <c r="I259" s="1112">
        <f>($C259*0.06)+$C259</f>
        <v>954</v>
      </c>
      <c r="J259" s="1112">
        <f>($C259*0.07)+$C259</f>
        <v>963</v>
      </c>
      <c r="K259" s="1112">
        <f>($C259*0.08)+$C259</f>
        <v>972</v>
      </c>
      <c r="L259" s="1112">
        <f>($C259*0.09)+$C259</f>
        <v>981</v>
      </c>
      <c r="M259" s="1112">
        <f>($C259*0.1)+$C259</f>
        <v>990</v>
      </c>
      <c r="N259" s="1112">
        <f>($C259*0.11)+$C259</f>
        <v>999</v>
      </c>
      <c r="O259" s="1112">
        <f>($C259*0.12)+$C259</f>
        <v>1008</v>
      </c>
      <c r="P259" s="1112">
        <f>($C259*0.13)+$C259</f>
        <v>1017</v>
      </c>
      <c r="Q259" s="1112">
        <f>($C259*0.14)+$C259</f>
        <v>1026</v>
      </c>
      <c r="R259" s="1112">
        <f>($C259*0.15)+$C259</f>
        <v>1035</v>
      </c>
      <c r="S259" s="1112">
        <f>($C259*0.16)+$C259</f>
        <v>1044</v>
      </c>
      <c r="T259" s="1112">
        <f>($C259*0.17)+$C259</f>
        <v>1053</v>
      </c>
      <c r="U259" s="1112">
        <f>($C259*0.18)+$C259</f>
        <v>1062</v>
      </c>
      <c r="V259" s="1112">
        <f>($C259*0.19)+$C259</f>
        <v>1071</v>
      </c>
      <c r="W259" s="1112">
        <f>($C259*0.2)+$C259</f>
        <v>1080</v>
      </c>
      <c r="X259" s="1112">
        <f>($C259*0.21)+$C259</f>
        <v>1089</v>
      </c>
      <c r="Y259" s="1112">
        <f>($C259*0.22)+$C259</f>
        <v>1098</v>
      </c>
      <c r="Z259" s="1112">
        <f>($C259*0.23)+$C259</f>
        <v>1107</v>
      </c>
      <c r="AA259" s="1112">
        <f>($C259*0.24)+$C259</f>
        <v>1116</v>
      </c>
      <c r="AB259" s="1112">
        <f>($C259*0.25)+$C259</f>
        <v>1125</v>
      </c>
      <c r="AC259" s="1112">
        <f>($C259*0.26)+$C259</f>
        <v>1134</v>
      </c>
      <c r="AD259" s="1112">
        <f>($C259*0.27)+$C259</f>
        <v>1143</v>
      </c>
      <c r="AE259" s="1112">
        <f>($C259*0.28)+$C259</f>
        <v>1152</v>
      </c>
      <c r="AF259" s="1112">
        <f>($C259*0.29)+$C259</f>
        <v>1161</v>
      </c>
      <c r="AG259" s="1112">
        <f>($C259*0.3)+$C259</f>
        <v>1170</v>
      </c>
    </row>
    <row r="260" spans="1:33" ht="30">
      <c r="A260" s="4" t="s">
        <v>3</v>
      </c>
      <c r="B260" s="4" t="s">
        <v>185</v>
      </c>
      <c r="C260" s="5">
        <v>950</v>
      </c>
      <c r="D260" s="1112">
        <f>($C260*0.01)+$C260</f>
        <v>959.5</v>
      </c>
      <c r="E260" s="1112">
        <f>($C260*0.02)+$C260</f>
        <v>969</v>
      </c>
      <c r="F260" s="1112">
        <f>($C260*0.03)+$C260</f>
        <v>978.5</v>
      </c>
      <c r="G260" s="1112">
        <f>($C260*0.04)+$C260</f>
        <v>988</v>
      </c>
      <c r="H260" s="1112">
        <f>($C260*0.05)+$C260</f>
        <v>997.5</v>
      </c>
      <c r="I260" s="1112">
        <f>($C260*0.06)+$C260</f>
        <v>1007</v>
      </c>
      <c r="J260" s="1112">
        <f>($C260*0.07)+$C260</f>
        <v>1016.5</v>
      </c>
      <c r="K260" s="1112">
        <f>($C260*0.08)+$C260</f>
        <v>1026</v>
      </c>
      <c r="L260" s="1112">
        <f>($C260*0.09)+$C260</f>
        <v>1035.5</v>
      </c>
      <c r="M260" s="1112">
        <f>($C260*0.1)+$C260</f>
        <v>1045</v>
      </c>
      <c r="N260" s="1112">
        <f>($C260*0.11)+$C260</f>
        <v>1054.5</v>
      </c>
      <c r="O260" s="1112">
        <f>($C260*0.12)+$C260</f>
        <v>1064</v>
      </c>
      <c r="P260" s="1112">
        <f>($C260*0.13)+$C260</f>
        <v>1073.5</v>
      </c>
      <c r="Q260" s="1112">
        <f>($C260*0.14)+$C260</f>
        <v>1083</v>
      </c>
      <c r="R260" s="1112">
        <f>($C260*0.15)+$C260</f>
        <v>1092.5</v>
      </c>
      <c r="S260" s="1112">
        <f>($C260*0.16)+$C260</f>
        <v>1102</v>
      </c>
      <c r="T260" s="1112">
        <f>($C260*0.17)+$C260</f>
        <v>1111.5</v>
      </c>
      <c r="U260" s="1112">
        <f>($C260*0.18)+$C260</f>
        <v>1121</v>
      </c>
      <c r="V260" s="1112">
        <f>($C260*0.19)+$C260</f>
        <v>1130.5</v>
      </c>
      <c r="W260" s="1112">
        <f>($C260*0.2)+$C260</f>
        <v>1140</v>
      </c>
      <c r="X260" s="1112">
        <f>($C260*0.21)+$C260</f>
        <v>1149.5</v>
      </c>
      <c r="Y260" s="1112">
        <f>($C260*0.22)+$C260</f>
        <v>1159</v>
      </c>
      <c r="Z260" s="1112">
        <f>($C260*0.23)+$C260</f>
        <v>1168.5</v>
      </c>
      <c r="AA260" s="1112">
        <f>($C260*0.24)+$C260</f>
        <v>1178</v>
      </c>
      <c r="AB260" s="1112">
        <f>($C260*0.25)+$C260</f>
        <v>1187.5</v>
      </c>
      <c r="AC260" s="1112">
        <f>($C260*0.26)+$C260</f>
        <v>1197</v>
      </c>
      <c r="AD260" s="1112">
        <f>($C260*0.27)+$C260</f>
        <v>1206.5</v>
      </c>
      <c r="AE260" s="1112">
        <f>($C260*0.28)+$C260</f>
        <v>1216</v>
      </c>
      <c r="AF260" s="1112">
        <f>($C260*0.29)+$C260</f>
        <v>1225.5</v>
      </c>
      <c r="AG260" s="1112">
        <f>($C260*0.3)+$C260</f>
        <v>1235</v>
      </c>
    </row>
    <row r="261" spans="1:33" ht="30">
      <c r="A261" s="4" t="s">
        <v>261</v>
      </c>
      <c r="B261" s="4" t="s">
        <v>55242</v>
      </c>
      <c r="C261" s="5">
        <v>900</v>
      </c>
      <c r="D261" s="1112">
        <f>($C261*0.01)+$C261</f>
        <v>909</v>
      </c>
      <c r="E261" s="1112">
        <f>($C261*0.02)+$C261</f>
        <v>918</v>
      </c>
      <c r="F261" s="1112">
        <f>($C261*0.03)+$C261</f>
        <v>927</v>
      </c>
      <c r="G261" s="1112">
        <f>($C261*0.04)+$C261</f>
        <v>936</v>
      </c>
      <c r="H261" s="1112">
        <f>($C261*0.05)+$C261</f>
        <v>945</v>
      </c>
      <c r="I261" s="1112">
        <f>($C261*0.06)+$C261</f>
        <v>954</v>
      </c>
      <c r="J261" s="1112">
        <f>($C261*0.07)+$C261</f>
        <v>963</v>
      </c>
      <c r="K261" s="1112">
        <f>($C261*0.08)+$C261</f>
        <v>972</v>
      </c>
      <c r="L261" s="1112">
        <f>($C261*0.09)+$C261</f>
        <v>981</v>
      </c>
      <c r="M261" s="1112">
        <f>($C261*0.1)+$C261</f>
        <v>990</v>
      </c>
      <c r="N261" s="1112">
        <f>($C261*0.11)+$C261</f>
        <v>999</v>
      </c>
      <c r="O261" s="1112">
        <f>($C261*0.12)+$C261</f>
        <v>1008</v>
      </c>
      <c r="P261" s="1112">
        <f>($C261*0.13)+$C261</f>
        <v>1017</v>
      </c>
      <c r="Q261" s="1112">
        <f>($C261*0.14)+$C261</f>
        <v>1026</v>
      </c>
      <c r="R261" s="1112">
        <f>($C261*0.15)+$C261</f>
        <v>1035</v>
      </c>
      <c r="S261" s="1112">
        <f>($C261*0.16)+$C261</f>
        <v>1044</v>
      </c>
      <c r="T261" s="1112">
        <f>($C261*0.17)+$C261</f>
        <v>1053</v>
      </c>
      <c r="U261" s="1112">
        <f>($C261*0.18)+$C261</f>
        <v>1062</v>
      </c>
      <c r="V261" s="1112">
        <f>($C261*0.19)+$C261</f>
        <v>1071</v>
      </c>
      <c r="W261" s="1112">
        <f>($C261*0.2)+$C261</f>
        <v>1080</v>
      </c>
      <c r="X261" s="1112">
        <f>($C261*0.21)+$C261</f>
        <v>1089</v>
      </c>
      <c r="Y261" s="1112">
        <f>($C261*0.22)+$C261</f>
        <v>1098</v>
      </c>
      <c r="Z261" s="1112">
        <f>($C261*0.23)+$C261</f>
        <v>1107</v>
      </c>
      <c r="AA261" s="1112">
        <f>($C261*0.24)+$C261</f>
        <v>1116</v>
      </c>
      <c r="AB261" s="1112">
        <f>($C261*0.25)+$C261</f>
        <v>1125</v>
      </c>
      <c r="AC261" s="1112">
        <f>($C261*0.26)+$C261</f>
        <v>1134</v>
      </c>
      <c r="AD261" s="1112">
        <f>($C261*0.27)+$C261</f>
        <v>1143</v>
      </c>
      <c r="AE261" s="1112">
        <f>($C261*0.28)+$C261</f>
        <v>1152</v>
      </c>
      <c r="AF261" s="1112">
        <f>($C261*0.29)+$C261</f>
        <v>1161</v>
      </c>
      <c r="AG261" s="1112">
        <f>($C261*0.3)+$C261</f>
        <v>1170</v>
      </c>
    </row>
    <row r="262" spans="1:33" ht="30">
      <c r="A262" s="4" t="s">
        <v>180</v>
      </c>
      <c r="B262" s="4" t="s">
        <v>183</v>
      </c>
      <c r="C262" s="5">
        <v>75</v>
      </c>
      <c r="D262" s="1112">
        <f>($C262*0.01)+$C262</f>
        <v>75.75</v>
      </c>
      <c r="E262" s="1112">
        <f>($C262*0.02)+$C262</f>
        <v>76.5</v>
      </c>
      <c r="F262" s="1112">
        <f>($C262*0.03)+$C262</f>
        <v>77.25</v>
      </c>
      <c r="G262" s="1112">
        <f>($C262*0.04)+$C262</f>
        <v>78</v>
      </c>
      <c r="H262" s="1112">
        <f>($C262*0.05)+$C262</f>
        <v>78.75</v>
      </c>
      <c r="I262" s="1112">
        <f>($C262*0.06)+$C262</f>
        <v>79.5</v>
      </c>
      <c r="J262" s="1112">
        <f>($C262*0.07)+$C262</f>
        <v>80.25</v>
      </c>
      <c r="K262" s="1112">
        <f>($C262*0.08)+$C262</f>
        <v>81</v>
      </c>
      <c r="L262" s="1112">
        <f>($C262*0.09)+$C262</f>
        <v>81.75</v>
      </c>
      <c r="M262" s="1112">
        <f>($C262*0.1)+$C262</f>
        <v>82.5</v>
      </c>
      <c r="N262" s="1112">
        <f>($C262*0.11)+$C262</f>
        <v>83.25</v>
      </c>
      <c r="O262" s="1112">
        <f>($C262*0.12)+$C262</f>
        <v>84</v>
      </c>
      <c r="P262" s="1112">
        <f>($C262*0.13)+$C262</f>
        <v>84.75</v>
      </c>
      <c r="Q262" s="1112">
        <f>($C262*0.14)+$C262</f>
        <v>85.5</v>
      </c>
      <c r="R262" s="1112">
        <f>($C262*0.15)+$C262</f>
        <v>86.25</v>
      </c>
      <c r="S262" s="1112">
        <f>($C262*0.16)+$C262</f>
        <v>87</v>
      </c>
      <c r="T262" s="1112">
        <f>($C262*0.17)+$C262</f>
        <v>87.75</v>
      </c>
      <c r="U262" s="1112">
        <f>($C262*0.18)+$C262</f>
        <v>88.5</v>
      </c>
      <c r="V262" s="1112">
        <f>($C262*0.19)+$C262</f>
        <v>89.25</v>
      </c>
      <c r="W262" s="1112">
        <f>($C262*0.2)+$C262</f>
        <v>90</v>
      </c>
      <c r="X262" s="1112">
        <f>($C262*0.21)+$C262</f>
        <v>90.75</v>
      </c>
      <c r="Y262" s="1112">
        <f>($C262*0.22)+$C262</f>
        <v>91.5</v>
      </c>
      <c r="Z262" s="1112">
        <f>($C262*0.23)+$C262</f>
        <v>92.25</v>
      </c>
      <c r="AA262" s="1112">
        <f>($C262*0.24)+$C262</f>
        <v>93</v>
      </c>
      <c r="AB262" s="1112">
        <f>($C262*0.25)+$C262</f>
        <v>93.75</v>
      </c>
      <c r="AC262" s="1112">
        <f>($C262*0.26)+$C262</f>
        <v>94.5</v>
      </c>
      <c r="AD262" s="1112">
        <f>($C262*0.27)+$C262</f>
        <v>95.25</v>
      </c>
      <c r="AE262" s="1112">
        <f>($C262*0.28)+$C262</f>
        <v>96</v>
      </c>
      <c r="AF262" s="1112">
        <f>($C262*0.29)+$C262</f>
        <v>96.75</v>
      </c>
      <c r="AG262" s="1112">
        <f>($C262*0.3)+$C262</f>
        <v>97.5</v>
      </c>
    </row>
    <row r="263" spans="1:33" ht="15">
      <c r="A263" s="4" t="s">
        <v>181</v>
      </c>
      <c r="B263" s="4" t="s">
        <v>186</v>
      </c>
      <c r="C263" s="5">
        <v>75</v>
      </c>
      <c r="D263" s="1112">
        <f>($C263*0.01)+$C263</f>
        <v>75.75</v>
      </c>
      <c r="E263" s="1112">
        <f>($C263*0.02)+$C263</f>
        <v>76.5</v>
      </c>
      <c r="F263" s="1112">
        <f>($C263*0.03)+$C263</f>
        <v>77.25</v>
      </c>
      <c r="G263" s="1112">
        <f>($C263*0.04)+$C263</f>
        <v>78</v>
      </c>
      <c r="H263" s="1112">
        <f>($C263*0.05)+$C263</f>
        <v>78.75</v>
      </c>
      <c r="I263" s="1112">
        <f>($C263*0.06)+$C263</f>
        <v>79.5</v>
      </c>
      <c r="J263" s="1112">
        <f>($C263*0.07)+$C263</f>
        <v>80.25</v>
      </c>
      <c r="K263" s="1112">
        <f>($C263*0.08)+$C263</f>
        <v>81</v>
      </c>
      <c r="L263" s="1112">
        <f>($C263*0.09)+$C263</f>
        <v>81.75</v>
      </c>
      <c r="M263" s="1112">
        <f>($C263*0.1)+$C263</f>
        <v>82.5</v>
      </c>
      <c r="N263" s="1112">
        <f>($C263*0.11)+$C263</f>
        <v>83.25</v>
      </c>
      <c r="O263" s="1112">
        <f>($C263*0.12)+$C263</f>
        <v>84</v>
      </c>
      <c r="P263" s="1112">
        <f>($C263*0.13)+$C263</f>
        <v>84.75</v>
      </c>
      <c r="Q263" s="1112">
        <f>($C263*0.14)+$C263</f>
        <v>85.5</v>
      </c>
      <c r="R263" s="1112">
        <f>($C263*0.15)+$C263</f>
        <v>86.25</v>
      </c>
      <c r="S263" s="1112">
        <f>($C263*0.16)+$C263</f>
        <v>87</v>
      </c>
      <c r="T263" s="1112">
        <f>($C263*0.17)+$C263</f>
        <v>87.75</v>
      </c>
      <c r="U263" s="1112">
        <f>($C263*0.18)+$C263</f>
        <v>88.5</v>
      </c>
      <c r="V263" s="1112">
        <f>($C263*0.19)+$C263</f>
        <v>89.25</v>
      </c>
      <c r="W263" s="1112">
        <f>($C263*0.2)+$C263</f>
        <v>90</v>
      </c>
      <c r="X263" s="1112">
        <f>($C263*0.21)+$C263</f>
        <v>90.75</v>
      </c>
      <c r="Y263" s="1112">
        <f>($C263*0.22)+$C263</f>
        <v>91.5</v>
      </c>
      <c r="Z263" s="1112">
        <f>($C263*0.23)+$C263</f>
        <v>92.25</v>
      </c>
      <c r="AA263" s="1112">
        <f>($C263*0.24)+$C263</f>
        <v>93</v>
      </c>
      <c r="AB263" s="1112">
        <f>($C263*0.25)+$C263</f>
        <v>93.75</v>
      </c>
      <c r="AC263" s="1112">
        <f>($C263*0.26)+$C263</f>
        <v>94.5</v>
      </c>
      <c r="AD263" s="1112">
        <f>($C263*0.27)+$C263</f>
        <v>95.25</v>
      </c>
      <c r="AE263" s="1112">
        <f>($C263*0.28)+$C263</f>
        <v>96</v>
      </c>
      <c r="AF263" s="1112">
        <f>($C263*0.29)+$C263</f>
        <v>96.75</v>
      </c>
      <c r="AG263" s="1112">
        <f>($C263*0.3)+$C263</f>
        <v>97.5</v>
      </c>
    </row>
    <row r="264" spans="1:33" ht="15">
      <c r="A264" s="4" t="s">
        <v>188</v>
      </c>
      <c r="B264" s="4" t="s">
        <v>187</v>
      </c>
      <c r="C264" s="5">
        <v>900</v>
      </c>
      <c r="D264" s="1112">
        <f>($C264*0.01)+$C264</f>
        <v>909</v>
      </c>
      <c r="E264" s="1112">
        <f>($C264*0.02)+$C264</f>
        <v>918</v>
      </c>
      <c r="F264" s="1112">
        <f>($C264*0.03)+$C264</f>
        <v>927</v>
      </c>
      <c r="G264" s="1112">
        <f>($C264*0.04)+$C264</f>
        <v>936</v>
      </c>
      <c r="H264" s="1112">
        <f>($C264*0.05)+$C264</f>
        <v>945</v>
      </c>
      <c r="I264" s="1112">
        <f>($C264*0.06)+$C264</f>
        <v>954</v>
      </c>
      <c r="J264" s="1112">
        <f>($C264*0.07)+$C264</f>
        <v>963</v>
      </c>
      <c r="K264" s="1112">
        <f>($C264*0.08)+$C264</f>
        <v>972</v>
      </c>
      <c r="L264" s="1112">
        <f>($C264*0.09)+$C264</f>
        <v>981</v>
      </c>
      <c r="M264" s="1112">
        <f>($C264*0.1)+$C264</f>
        <v>990</v>
      </c>
      <c r="N264" s="1112">
        <f>($C264*0.11)+$C264</f>
        <v>999</v>
      </c>
      <c r="O264" s="1112">
        <f>($C264*0.12)+$C264</f>
        <v>1008</v>
      </c>
      <c r="P264" s="1112">
        <f>($C264*0.13)+$C264</f>
        <v>1017</v>
      </c>
      <c r="Q264" s="1112">
        <f>($C264*0.14)+$C264</f>
        <v>1026</v>
      </c>
      <c r="R264" s="1112">
        <f>($C264*0.15)+$C264</f>
        <v>1035</v>
      </c>
      <c r="S264" s="1112">
        <f>($C264*0.16)+$C264</f>
        <v>1044</v>
      </c>
      <c r="T264" s="1112">
        <f>($C264*0.17)+$C264</f>
        <v>1053</v>
      </c>
      <c r="U264" s="1112">
        <f>($C264*0.18)+$C264</f>
        <v>1062</v>
      </c>
      <c r="V264" s="1112">
        <f>($C264*0.19)+$C264</f>
        <v>1071</v>
      </c>
      <c r="W264" s="1112">
        <f>($C264*0.2)+$C264</f>
        <v>1080</v>
      </c>
      <c r="X264" s="1112">
        <f>($C264*0.21)+$C264</f>
        <v>1089</v>
      </c>
      <c r="Y264" s="1112">
        <f>($C264*0.22)+$C264</f>
        <v>1098</v>
      </c>
      <c r="Z264" s="1112">
        <f>($C264*0.23)+$C264</f>
        <v>1107</v>
      </c>
      <c r="AA264" s="1112">
        <f>($C264*0.24)+$C264</f>
        <v>1116</v>
      </c>
      <c r="AB264" s="1112">
        <f>($C264*0.25)+$C264</f>
        <v>1125</v>
      </c>
      <c r="AC264" s="1112">
        <f>($C264*0.26)+$C264</f>
        <v>1134</v>
      </c>
      <c r="AD264" s="1112">
        <f>($C264*0.27)+$C264</f>
        <v>1143</v>
      </c>
      <c r="AE264" s="1112">
        <f>($C264*0.28)+$C264</f>
        <v>1152</v>
      </c>
      <c r="AF264" s="1112">
        <f>($C264*0.29)+$C264</f>
        <v>1161</v>
      </c>
      <c r="AG264" s="1112">
        <f>($C264*0.3)+$C264</f>
        <v>1170</v>
      </c>
    </row>
    <row r="265" spans="1:33" ht="15">
      <c r="A265" s="4" t="s">
        <v>189</v>
      </c>
      <c r="B265" s="4" t="s">
        <v>200</v>
      </c>
      <c r="C265" s="5">
        <v>1500</v>
      </c>
      <c r="D265" s="1112">
        <f>($C265*0.01)+$C265</f>
        <v>1515</v>
      </c>
      <c r="E265" s="1112">
        <f>($C265*0.02)+$C265</f>
        <v>1530</v>
      </c>
      <c r="F265" s="1112">
        <f>($C265*0.03)+$C265</f>
        <v>1545</v>
      </c>
      <c r="G265" s="1112">
        <f>($C265*0.04)+$C265</f>
        <v>1560</v>
      </c>
      <c r="H265" s="1112">
        <f>($C265*0.05)+$C265</f>
        <v>1575</v>
      </c>
      <c r="I265" s="1112">
        <f>($C265*0.06)+$C265</f>
        <v>1590</v>
      </c>
      <c r="J265" s="1112">
        <f>($C265*0.07)+$C265</f>
        <v>1605</v>
      </c>
      <c r="K265" s="1112">
        <f>($C265*0.08)+$C265</f>
        <v>1620</v>
      </c>
      <c r="L265" s="1112">
        <f>($C265*0.09)+$C265</f>
        <v>1635</v>
      </c>
      <c r="M265" s="1112">
        <f>($C265*0.1)+$C265</f>
        <v>1650</v>
      </c>
      <c r="N265" s="1112">
        <f>($C265*0.11)+$C265</f>
        <v>1665</v>
      </c>
      <c r="O265" s="1112">
        <f>($C265*0.12)+$C265</f>
        <v>1680</v>
      </c>
      <c r="P265" s="1112">
        <f>($C265*0.13)+$C265</f>
        <v>1695</v>
      </c>
      <c r="Q265" s="1112">
        <f>($C265*0.14)+$C265</f>
        <v>1710</v>
      </c>
      <c r="R265" s="1112">
        <f>($C265*0.15)+$C265</f>
        <v>1725</v>
      </c>
      <c r="S265" s="1112">
        <f>($C265*0.16)+$C265</f>
        <v>1740</v>
      </c>
      <c r="T265" s="1112">
        <f>($C265*0.17)+$C265</f>
        <v>1755</v>
      </c>
      <c r="U265" s="1112">
        <f>($C265*0.18)+$C265</f>
        <v>1770</v>
      </c>
      <c r="V265" s="1112">
        <f>($C265*0.19)+$C265</f>
        <v>1785</v>
      </c>
      <c r="W265" s="1112">
        <f>($C265*0.2)+$C265</f>
        <v>1800</v>
      </c>
      <c r="X265" s="1112">
        <f>($C265*0.21)+$C265</f>
        <v>1815</v>
      </c>
      <c r="Y265" s="1112">
        <f>($C265*0.22)+$C265</f>
        <v>1830</v>
      </c>
      <c r="Z265" s="1112">
        <f>($C265*0.23)+$C265</f>
        <v>1845</v>
      </c>
      <c r="AA265" s="1112">
        <f>($C265*0.24)+$C265</f>
        <v>1860</v>
      </c>
      <c r="AB265" s="1112">
        <f>($C265*0.25)+$C265</f>
        <v>1875</v>
      </c>
      <c r="AC265" s="1112">
        <f>($C265*0.26)+$C265</f>
        <v>1890</v>
      </c>
      <c r="AD265" s="1112">
        <f>($C265*0.27)+$C265</f>
        <v>1905</v>
      </c>
      <c r="AE265" s="1112">
        <f>($C265*0.28)+$C265</f>
        <v>1920</v>
      </c>
      <c r="AF265" s="1112">
        <f>($C265*0.29)+$C265</f>
        <v>1935</v>
      </c>
      <c r="AG265" s="1112">
        <f>($C265*0.3)+$C265</f>
        <v>1950</v>
      </c>
    </row>
    <row r="266" spans="1:33" ht="15">
      <c r="A266" s="4" t="s">
        <v>190</v>
      </c>
      <c r="B266" s="4" t="s">
        <v>201</v>
      </c>
      <c r="C266" s="5">
        <v>1500</v>
      </c>
      <c r="D266" s="1112">
        <f>($C266*0.01)+$C266</f>
        <v>1515</v>
      </c>
      <c r="E266" s="1112">
        <f>($C266*0.02)+$C266</f>
        <v>1530</v>
      </c>
      <c r="F266" s="1112">
        <f>($C266*0.03)+$C266</f>
        <v>1545</v>
      </c>
      <c r="G266" s="1112">
        <f>($C266*0.04)+$C266</f>
        <v>1560</v>
      </c>
      <c r="H266" s="1112">
        <f>($C266*0.05)+$C266</f>
        <v>1575</v>
      </c>
      <c r="I266" s="1112">
        <f>($C266*0.06)+$C266</f>
        <v>1590</v>
      </c>
      <c r="J266" s="1112">
        <f>($C266*0.07)+$C266</f>
        <v>1605</v>
      </c>
      <c r="K266" s="1112">
        <f>($C266*0.08)+$C266</f>
        <v>1620</v>
      </c>
      <c r="L266" s="1112">
        <f>($C266*0.09)+$C266</f>
        <v>1635</v>
      </c>
      <c r="M266" s="1112">
        <f>($C266*0.1)+$C266</f>
        <v>1650</v>
      </c>
      <c r="N266" s="1112">
        <f>($C266*0.11)+$C266</f>
        <v>1665</v>
      </c>
      <c r="O266" s="1112">
        <f>($C266*0.12)+$C266</f>
        <v>1680</v>
      </c>
      <c r="P266" s="1112">
        <f>($C266*0.13)+$C266</f>
        <v>1695</v>
      </c>
      <c r="Q266" s="1112">
        <f>($C266*0.14)+$C266</f>
        <v>1710</v>
      </c>
      <c r="R266" s="1112">
        <f>($C266*0.15)+$C266</f>
        <v>1725</v>
      </c>
      <c r="S266" s="1112">
        <f>($C266*0.16)+$C266</f>
        <v>1740</v>
      </c>
      <c r="T266" s="1112">
        <f>($C266*0.17)+$C266</f>
        <v>1755</v>
      </c>
      <c r="U266" s="1112">
        <f>($C266*0.18)+$C266</f>
        <v>1770</v>
      </c>
      <c r="V266" s="1112">
        <f>($C266*0.19)+$C266</f>
        <v>1785</v>
      </c>
      <c r="W266" s="1112">
        <f>($C266*0.2)+$C266</f>
        <v>1800</v>
      </c>
      <c r="X266" s="1112">
        <f>($C266*0.21)+$C266</f>
        <v>1815</v>
      </c>
      <c r="Y266" s="1112">
        <f>($C266*0.22)+$C266</f>
        <v>1830</v>
      </c>
      <c r="Z266" s="1112">
        <f>($C266*0.23)+$C266</f>
        <v>1845</v>
      </c>
      <c r="AA266" s="1112">
        <f>($C266*0.24)+$C266</f>
        <v>1860</v>
      </c>
      <c r="AB266" s="1112">
        <f>($C266*0.25)+$C266</f>
        <v>1875</v>
      </c>
      <c r="AC266" s="1112">
        <f>($C266*0.26)+$C266</f>
        <v>1890</v>
      </c>
      <c r="AD266" s="1112">
        <f>($C266*0.27)+$C266</f>
        <v>1905</v>
      </c>
      <c r="AE266" s="1112">
        <f>($C266*0.28)+$C266</f>
        <v>1920</v>
      </c>
      <c r="AF266" s="1112">
        <f>($C266*0.29)+$C266</f>
        <v>1935</v>
      </c>
      <c r="AG266" s="1112">
        <f>($C266*0.3)+$C266</f>
        <v>1950</v>
      </c>
    </row>
    <row r="267" spans="1:33" ht="15">
      <c r="A267" s="4" t="s">
        <v>191</v>
      </c>
      <c r="B267" s="4" t="s">
        <v>202</v>
      </c>
      <c r="C267" s="5">
        <v>1500</v>
      </c>
      <c r="D267" s="1112">
        <f>($C267*0.01)+$C267</f>
        <v>1515</v>
      </c>
      <c r="E267" s="1112">
        <f>($C267*0.02)+$C267</f>
        <v>1530</v>
      </c>
      <c r="F267" s="1112">
        <f>($C267*0.03)+$C267</f>
        <v>1545</v>
      </c>
      <c r="G267" s="1112">
        <f>($C267*0.04)+$C267</f>
        <v>1560</v>
      </c>
      <c r="H267" s="1112">
        <f>($C267*0.05)+$C267</f>
        <v>1575</v>
      </c>
      <c r="I267" s="1112">
        <f>($C267*0.06)+$C267</f>
        <v>1590</v>
      </c>
      <c r="J267" s="1112">
        <f>($C267*0.07)+$C267</f>
        <v>1605</v>
      </c>
      <c r="K267" s="1112">
        <f>($C267*0.08)+$C267</f>
        <v>1620</v>
      </c>
      <c r="L267" s="1112">
        <f>($C267*0.09)+$C267</f>
        <v>1635</v>
      </c>
      <c r="M267" s="1112">
        <f>($C267*0.1)+$C267</f>
        <v>1650</v>
      </c>
      <c r="N267" s="1112">
        <f>($C267*0.11)+$C267</f>
        <v>1665</v>
      </c>
      <c r="O267" s="1112">
        <f>($C267*0.12)+$C267</f>
        <v>1680</v>
      </c>
      <c r="P267" s="1112">
        <f>($C267*0.13)+$C267</f>
        <v>1695</v>
      </c>
      <c r="Q267" s="1112">
        <f>($C267*0.14)+$C267</f>
        <v>1710</v>
      </c>
      <c r="R267" s="1112">
        <f>($C267*0.15)+$C267</f>
        <v>1725</v>
      </c>
      <c r="S267" s="1112">
        <f>($C267*0.16)+$C267</f>
        <v>1740</v>
      </c>
      <c r="T267" s="1112">
        <f>($C267*0.17)+$C267</f>
        <v>1755</v>
      </c>
      <c r="U267" s="1112">
        <f>($C267*0.18)+$C267</f>
        <v>1770</v>
      </c>
      <c r="V267" s="1112">
        <f>($C267*0.19)+$C267</f>
        <v>1785</v>
      </c>
      <c r="W267" s="1112">
        <f>($C267*0.2)+$C267</f>
        <v>1800</v>
      </c>
      <c r="X267" s="1112">
        <f>($C267*0.21)+$C267</f>
        <v>1815</v>
      </c>
      <c r="Y267" s="1112">
        <f>($C267*0.22)+$C267</f>
        <v>1830</v>
      </c>
      <c r="Z267" s="1112">
        <f>($C267*0.23)+$C267</f>
        <v>1845</v>
      </c>
      <c r="AA267" s="1112">
        <f>($C267*0.24)+$C267</f>
        <v>1860</v>
      </c>
      <c r="AB267" s="1112">
        <f>($C267*0.25)+$C267</f>
        <v>1875</v>
      </c>
      <c r="AC267" s="1112">
        <f>($C267*0.26)+$C267</f>
        <v>1890</v>
      </c>
      <c r="AD267" s="1112">
        <f>($C267*0.27)+$C267</f>
        <v>1905</v>
      </c>
      <c r="AE267" s="1112">
        <f>($C267*0.28)+$C267</f>
        <v>1920</v>
      </c>
      <c r="AF267" s="1112">
        <f>($C267*0.29)+$C267</f>
        <v>1935</v>
      </c>
      <c r="AG267" s="1112">
        <f>($C267*0.3)+$C267</f>
        <v>1950</v>
      </c>
    </row>
    <row r="268" spans="1:33" ht="15">
      <c r="A268" s="4" t="s">
        <v>192</v>
      </c>
      <c r="B268" s="4" t="s">
        <v>203</v>
      </c>
      <c r="C268" s="5">
        <v>1600</v>
      </c>
      <c r="D268" s="1112">
        <f>($C268*0.01)+$C268</f>
        <v>1616</v>
      </c>
      <c r="E268" s="1112">
        <f>($C268*0.02)+$C268</f>
        <v>1632</v>
      </c>
      <c r="F268" s="1112">
        <f>($C268*0.03)+$C268</f>
        <v>1648</v>
      </c>
      <c r="G268" s="1112">
        <f>($C268*0.04)+$C268</f>
        <v>1664</v>
      </c>
      <c r="H268" s="1112">
        <f>($C268*0.05)+$C268</f>
        <v>1680</v>
      </c>
      <c r="I268" s="1112">
        <f>($C268*0.06)+$C268</f>
        <v>1696</v>
      </c>
      <c r="J268" s="1112">
        <f>($C268*0.07)+$C268</f>
        <v>1712</v>
      </c>
      <c r="K268" s="1112">
        <f>($C268*0.08)+$C268</f>
        <v>1728</v>
      </c>
      <c r="L268" s="1112">
        <f>($C268*0.09)+$C268</f>
        <v>1744</v>
      </c>
      <c r="M268" s="1112">
        <f>($C268*0.1)+$C268</f>
        <v>1760</v>
      </c>
      <c r="N268" s="1112">
        <f>($C268*0.11)+$C268</f>
        <v>1776</v>
      </c>
      <c r="O268" s="1112">
        <f>($C268*0.12)+$C268</f>
        <v>1792</v>
      </c>
      <c r="P268" s="1112">
        <f>($C268*0.13)+$C268</f>
        <v>1808</v>
      </c>
      <c r="Q268" s="1112">
        <f>($C268*0.14)+$C268</f>
        <v>1824</v>
      </c>
      <c r="R268" s="1112">
        <f>($C268*0.15)+$C268</f>
        <v>1840</v>
      </c>
      <c r="S268" s="1112">
        <f>($C268*0.16)+$C268</f>
        <v>1856</v>
      </c>
      <c r="T268" s="1112">
        <f>($C268*0.17)+$C268</f>
        <v>1872</v>
      </c>
      <c r="U268" s="1112">
        <f>($C268*0.18)+$C268</f>
        <v>1888</v>
      </c>
      <c r="V268" s="1112">
        <f>($C268*0.19)+$C268</f>
        <v>1904</v>
      </c>
      <c r="W268" s="1112">
        <f>($C268*0.2)+$C268</f>
        <v>1920</v>
      </c>
      <c r="X268" s="1112">
        <f>($C268*0.21)+$C268</f>
        <v>1936</v>
      </c>
      <c r="Y268" s="1112">
        <f>($C268*0.22)+$C268</f>
        <v>1952</v>
      </c>
      <c r="Z268" s="1112">
        <f>($C268*0.23)+$C268</f>
        <v>1968</v>
      </c>
      <c r="AA268" s="1112">
        <f>($C268*0.24)+$C268</f>
        <v>1984</v>
      </c>
      <c r="AB268" s="1112">
        <f>($C268*0.25)+$C268</f>
        <v>2000</v>
      </c>
      <c r="AC268" s="1112">
        <f>($C268*0.26)+$C268</f>
        <v>2016</v>
      </c>
      <c r="AD268" s="1112">
        <f>($C268*0.27)+$C268</f>
        <v>2032</v>
      </c>
      <c r="AE268" s="1112">
        <f>($C268*0.28)+$C268</f>
        <v>2048</v>
      </c>
      <c r="AF268" s="1112">
        <f>($C268*0.29)+$C268</f>
        <v>2064</v>
      </c>
      <c r="AG268" s="1112">
        <f>($C268*0.3)+$C268</f>
        <v>2080</v>
      </c>
    </row>
    <row r="269" spans="1:33" ht="15">
      <c r="A269" s="4" t="s">
        <v>193</v>
      </c>
      <c r="B269" s="4" t="s">
        <v>204</v>
      </c>
      <c r="C269" s="5">
        <v>1600</v>
      </c>
      <c r="D269" s="1112">
        <f>($C269*0.01)+$C269</f>
        <v>1616</v>
      </c>
      <c r="E269" s="1112">
        <f>($C269*0.02)+$C269</f>
        <v>1632</v>
      </c>
      <c r="F269" s="1112">
        <f>($C269*0.03)+$C269</f>
        <v>1648</v>
      </c>
      <c r="G269" s="1112">
        <f>($C269*0.04)+$C269</f>
        <v>1664</v>
      </c>
      <c r="H269" s="1112">
        <f>($C269*0.05)+$C269</f>
        <v>1680</v>
      </c>
      <c r="I269" s="1112">
        <f>($C269*0.06)+$C269</f>
        <v>1696</v>
      </c>
      <c r="J269" s="1112">
        <f>($C269*0.07)+$C269</f>
        <v>1712</v>
      </c>
      <c r="K269" s="1112">
        <f>($C269*0.08)+$C269</f>
        <v>1728</v>
      </c>
      <c r="L269" s="1112">
        <f>($C269*0.09)+$C269</f>
        <v>1744</v>
      </c>
      <c r="M269" s="1112">
        <f>($C269*0.1)+$C269</f>
        <v>1760</v>
      </c>
      <c r="N269" s="1112">
        <f>($C269*0.11)+$C269</f>
        <v>1776</v>
      </c>
      <c r="O269" s="1112">
        <f>($C269*0.12)+$C269</f>
        <v>1792</v>
      </c>
      <c r="P269" s="1112">
        <f>($C269*0.13)+$C269</f>
        <v>1808</v>
      </c>
      <c r="Q269" s="1112">
        <f>($C269*0.14)+$C269</f>
        <v>1824</v>
      </c>
      <c r="R269" s="1112">
        <f>($C269*0.15)+$C269</f>
        <v>1840</v>
      </c>
      <c r="S269" s="1112">
        <f>($C269*0.16)+$C269</f>
        <v>1856</v>
      </c>
      <c r="T269" s="1112">
        <f>($C269*0.17)+$C269</f>
        <v>1872</v>
      </c>
      <c r="U269" s="1112">
        <f>($C269*0.18)+$C269</f>
        <v>1888</v>
      </c>
      <c r="V269" s="1112">
        <f>($C269*0.19)+$C269</f>
        <v>1904</v>
      </c>
      <c r="W269" s="1112">
        <f>($C269*0.2)+$C269</f>
        <v>1920</v>
      </c>
      <c r="X269" s="1112">
        <f>($C269*0.21)+$C269</f>
        <v>1936</v>
      </c>
      <c r="Y269" s="1112">
        <f>($C269*0.22)+$C269</f>
        <v>1952</v>
      </c>
      <c r="Z269" s="1112">
        <f>($C269*0.23)+$C269</f>
        <v>1968</v>
      </c>
      <c r="AA269" s="1112">
        <f>($C269*0.24)+$C269</f>
        <v>1984</v>
      </c>
      <c r="AB269" s="1112">
        <f>($C269*0.25)+$C269</f>
        <v>2000</v>
      </c>
      <c r="AC269" s="1112">
        <f>($C269*0.26)+$C269</f>
        <v>2016</v>
      </c>
      <c r="AD269" s="1112">
        <f>($C269*0.27)+$C269</f>
        <v>2032</v>
      </c>
      <c r="AE269" s="1112">
        <f>($C269*0.28)+$C269</f>
        <v>2048</v>
      </c>
      <c r="AF269" s="1112">
        <f>($C269*0.29)+$C269</f>
        <v>2064</v>
      </c>
      <c r="AG269" s="1112">
        <f>($C269*0.3)+$C269</f>
        <v>2080</v>
      </c>
    </row>
    <row r="270" spans="1:33" ht="15">
      <c r="A270" s="4" t="s">
        <v>194</v>
      </c>
      <c r="B270" s="4" t="s">
        <v>205</v>
      </c>
      <c r="C270" s="5">
        <v>1700</v>
      </c>
      <c r="D270" s="1112">
        <f>($C270*0.01)+$C270</f>
        <v>1717</v>
      </c>
      <c r="E270" s="1112">
        <f>($C270*0.02)+$C270</f>
        <v>1734</v>
      </c>
      <c r="F270" s="1112">
        <f>($C270*0.03)+$C270</f>
        <v>1751</v>
      </c>
      <c r="G270" s="1112">
        <f>($C270*0.04)+$C270</f>
        <v>1768</v>
      </c>
      <c r="H270" s="1112">
        <f>($C270*0.05)+$C270</f>
        <v>1785</v>
      </c>
      <c r="I270" s="1112">
        <f>($C270*0.06)+$C270</f>
        <v>1802</v>
      </c>
      <c r="J270" s="1112">
        <f>($C270*0.07)+$C270</f>
        <v>1819</v>
      </c>
      <c r="K270" s="1112">
        <f>($C270*0.08)+$C270</f>
        <v>1836</v>
      </c>
      <c r="L270" s="1112">
        <f>($C270*0.09)+$C270</f>
        <v>1853</v>
      </c>
      <c r="M270" s="1112">
        <f>($C270*0.1)+$C270</f>
        <v>1870</v>
      </c>
      <c r="N270" s="1112">
        <f>($C270*0.11)+$C270</f>
        <v>1887</v>
      </c>
      <c r="O270" s="1112">
        <f>($C270*0.12)+$C270</f>
        <v>1904</v>
      </c>
      <c r="P270" s="1112">
        <f>($C270*0.13)+$C270</f>
        <v>1921</v>
      </c>
      <c r="Q270" s="1112">
        <f>($C270*0.14)+$C270</f>
        <v>1938</v>
      </c>
      <c r="R270" s="1112">
        <f>($C270*0.15)+$C270</f>
        <v>1955</v>
      </c>
      <c r="S270" s="1112">
        <f>($C270*0.16)+$C270</f>
        <v>1972</v>
      </c>
      <c r="T270" s="1112">
        <f>($C270*0.17)+$C270</f>
        <v>1989</v>
      </c>
      <c r="U270" s="1112">
        <f>($C270*0.18)+$C270</f>
        <v>2006</v>
      </c>
      <c r="V270" s="1112">
        <f>($C270*0.19)+$C270</f>
        <v>2023</v>
      </c>
      <c r="W270" s="1112">
        <f>($C270*0.2)+$C270</f>
        <v>2040</v>
      </c>
      <c r="X270" s="1112">
        <f>($C270*0.21)+$C270</f>
        <v>2057</v>
      </c>
      <c r="Y270" s="1112">
        <f>($C270*0.22)+$C270</f>
        <v>2074</v>
      </c>
      <c r="Z270" s="1112">
        <f>($C270*0.23)+$C270</f>
        <v>2091</v>
      </c>
      <c r="AA270" s="1112">
        <f>($C270*0.24)+$C270</f>
        <v>2108</v>
      </c>
      <c r="AB270" s="1112">
        <f>($C270*0.25)+$C270</f>
        <v>2125</v>
      </c>
      <c r="AC270" s="1112">
        <f>($C270*0.26)+$C270</f>
        <v>2142</v>
      </c>
      <c r="AD270" s="1112">
        <f>($C270*0.27)+$C270</f>
        <v>2159</v>
      </c>
      <c r="AE270" s="1112">
        <f>($C270*0.28)+$C270</f>
        <v>2176</v>
      </c>
      <c r="AF270" s="1112">
        <f>($C270*0.29)+$C270</f>
        <v>2193</v>
      </c>
      <c r="AG270" s="1112">
        <f>($C270*0.3)+$C270</f>
        <v>2210</v>
      </c>
    </row>
    <row r="271" spans="1:33" ht="15">
      <c r="A271" s="4" t="s">
        <v>195</v>
      </c>
      <c r="B271" s="4" t="s">
        <v>206</v>
      </c>
      <c r="C271" s="5">
        <v>2000</v>
      </c>
      <c r="D271" s="1112">
        <f>($C271*0.01)+$C271</f>
        <v>2020</v>
      </c>
      <c r="E271" s="1112">
        <f>($C271*0.02)+$C271</f>
        <v>2040</v>
      </c>
      <c r="F271" s="1112">
        <f>($C271*0.03)+$C271</f>
        <v>2060</v>
      </c>
      <c r="G271" s="1112">
        <f>($C271*0.04)+$C271</f>
        <v>2080</v>
      </c>
      <c r="H271" s="1112">
        <f>($C271*0.05)+$C271</f>
        <v>2100</v>
      </c>
      <c r="I271" s="1112">
        <f>($C271*0.06)+$C271</f>
        <v>2120</v>
      </c>
      <c r="J271" s="1112">
        <f>($C271*0.07)+$C271</f>
        <v>2140</v>
      </c>
      <c r="K271" s="1112">
        <f>($C271*0.08)+$C271</f>
        <v>2160</v>
      </c>
      <c r="L271" s="1112">
        <f>($C271*0.09)+$C271</f>
        <v>2180</v>
      </c>
      <c r="M271" s="1112">
        <f>($C271*0.1)+$C271</f>
        <v>2200</v>
      </c>
      <c r="N271" s="1112">
        <f>($C271*0.11)+$C271</f>
        <v>2220</v>
      </c>
      <c r="O271" s="1112">
        <f>($C271*0.12)+$C271</f>
        <v>2240</v>
      </c>
      <c r="P271" s="1112">
        <f>($C271*0.13)+$C271</f>
        <v>2260</v>
      </c>
      <c r="Q271" s="1112">
        <f>($C271*0.14)+$C271</f>
        <v>2280</v>
      </c>
      <c r="R271" s="1112">
        <f>($C271*0.15)+$C271</f>
        <v>2300</v>
      </c>
      <c r="S271" s="1112">
        <f>($C271*0.16)+$C271</f>
        <v>2320</v>
      </c>
      <c r="T271" s="1112">
        <f>($C271*0.17)+$C271</f>
        <v>2340</v>
      </c>
      <c r="U271" s="1112">
        <f>($C271*0.18)+$C271</f>
        <v>2360</v>
      </c>
      <c r="V271" s="1112">
        <f>($C271*0.19)+$C271</f>
        <v>2380</v>
      </c>
      <c r="W271" s="1112">
        <f>($C271*0.2)+$C271</f>
        <v>2400</v>
      </c>
      <c r="X271" s="1112">
        <f>($C271*0.21)+$C271</f>
        <v>2420</v>
      </c>
      <c r="Y271" s="1112">
        <f>($C271*0.22)+$C271</f>
        <v>2440</v>
      </c>
      <c r="Z271" s="1112">
        <f>($C271*0.23)+$C271</f>
        <v>2460</v>
      </c>
      <c r="AA271" s="1112">
        <f>($C271*0.24)+$C271</f>
        <v>2480</v>
      </c>
      <c r="AB271" s="1112">
        <f>($C271*0.25)+$C271</f>
        <v>2500</v>
      </c>
      <c r="AC271" s="1112">
        <f>($C271*0.26)+$C271</f>
        <v>2520</v>
      </c>
      <c r="AD271" s="1112">
        <f>($C271*0.27)+$C271</f>
        <v>2540</v>
      </c>
      <c r="AE271" s="1112">
        <f>($C271*0.28)+$C271</f>
        <v>2560</v>
      </c>
      <c r="AF271" s="1112">
        <f>($C271*0.29)+$C271</f>
        <v>2580</v>
      </c>
      <c r="AG271" s="1112">
        <f>($C271*0.3)+$C271</f>
        <v>2600</v>
      </c>
    </row>
    <row r="272" spans="1:33" ht="15">
      <c r="A272" s="4" t="s">
        <v>196</v>
      </c>
      <c r="B272" s="4" t="s">
        <v>207</v>
      </c>
      <c r="C272" s="5">
        <v>2000</v>
      </c>
      <c r="D272" s="1112">
        <f>($C272*0.01)+$C272</f>
        <v>2020</v>
      </c>
      <c r="E272" s="1112">
        <f>($C272*0.02)+$C272</f>
        <v>2040</v>
      </c>
      <c r="F272" s="1112">
        <f>($C272*0.03)+$C272</f>
        <v>2060</v>
      </c>
      <c r="G272" s="1112">
        <f>($C272*0.04)+$C272</f>
        <v>2080</v>
      </c>
      <c r="H272" s="1112">
        <f>($C272*0.05)+$C272</f>
        <v>2100</v>
      </c>
      <c r="I272" s="1112">
        <f>($C272*0.06)+$C272</f>
        <v>2120</v>
      </c>
      <c r="J272" s="1112">
        <f>($C272*0.07)+$C272</f>
        <v>2140</v>
      </c>
      <c r="K272" s="1112">
        <f>($C272*0.08)+$C272</f>
        <v>2160</v>
      </c>
      <c r="L272" s="1112">
        <f>($C272*0.09)+$C272</f>
        <v>2180</v>
      </c>
      <c r="M272" s="1112">
        <f>($C272*0.1)+$C272</f>
        <v>2200</v>
      </c>
      <c r="N272" s="1112">
        <f>($C272*0.11)+$C272</f>
        <v>2220</v>
      </c>
      <c r="O272" s="1112">
        <f>($C272*0.12)+$C272</f>
        <v>2240</v>
      </c>
      <c r="P272" s="1112">
        <f>($C272*0.13)+$C272</f>
        <v>2260</v>
      </c>
      <c r="Q272" s="1112">
        <f>($C272*0.14)+$C272</f>
        <v>2280</v>
      </c>
      <c r="R272" s="1112">
        <f>($C272*0.15)+$C272</f>
        <v>2300</v>
      </c>
      <c r="S272" s="1112">
        <f>($C272*0.16)+$C272</f>
        <v>2320</v>
      </c>
      <c r="T272" s="1112">
        <f>($C272*0.17)+$C272</f>
        <v>2340</v>
      </c>
      <c r="U272" s="1112">
        <f>($C272*0.18)+$C272</f>
        <v>2360</v>
      </c>
      <c r="V272" s="1112">
        <f>($C272*0.19)+$C272</f>
        <v>2380</v>
      </c>
      <c r="W272" s="1112">
        <f>($C272*0.2)+$C272</f>
        <v>2400</v>
      </c>
      <c r="X272" s="1112">
        <f>($C272*0.21)+$C272</f>
        <v>2420</v>
      </c>
      <c r="Y272" s="1112">
        <f>($C272*0.22)+$C272</f>
        <v>2440</v>
      </c>
      <c r="Z272" s="1112">
        <f>($C272*0.23)+$C272</f>
        <v>2460</v>
      </c>
      <c r="AA272" s="1112">
        <f>($C272*0.24)+$C272</f>
        <v>2480</v>
      </c>
      <c r="AB272" s="1112">
        <f>($C272*0.25)+$C272</f>
        <v>2500</v>
      </c>
      <c r="AC272" s="1112">
        <f>($C272*0.26)+$C272</f>
        <v>2520</v>
      </c>
      <c r="AD272" s="1112">
        <f>($C272*0.27)+$C272</f>
        <v>2540</v>
      </c>
      <c r="AE272" s="1112">
        <f>($C272*0.28)+$C272</f>
        <v>2560</v>
      </c>
      <c r="AF272" s="1112">
        <f>($C272*0.29)+$C272</f>
        <v>2580</v>
      </c>
      <c r="AG272" s="1112">
        <f>($C272*0.3)+$C272</f>
        <v>2600</v>
      </c>
    </row>
    <row r="273" spans="1:33" ht="15">
      <c r="A273" s="4" t="s">
        <v>197</v>
      </c>
      <c r="B273" s="4" t="s">
        <v>208</v>
      </c>
      <c r="C273" s="5">
        <v>2000</v>
      </c>
      <c r="D273" s="1112">
        <f>($C273*0.01)+$C273</f>
        <v>2020</v>
      </c>
      <c r="E273" s="1112">
        <f>($C273*0.02)+$C273</f>
        <v>2040</v>
      </c>
      <c r="F273" s="1112">
        <f>($C273*0.03)+$C273</f>
        <v>2060</v>
      </c>
      <c r="G273" s="1112">
        <f>($C273*0.04)+$C273</f>
        <v>2080</v>
      </c>
      <c r="H273" s="1112">
        <f>($C273*0.05)+$C273</f>
        <v>2100</v>
      </c>
      <c r="I273" s="1112">
        <f>($C273*0.06)+$C273</f>
        <v>2120</v>
      </c>
      <c r="J273" s="1112">
        <f>($C273*0.07)+$C273</f>
        <v>2140</v>
      </c>
      <c r="K273" s="1112">
        <f>($C273*0.08)+$C273</f>
        <v>2160</v>
      </c>
      <c r="L273" s="1112">
        <f>($C273*0.09)+$C273</f>
        <v>2180</v>
      </c>
      <c r="M273" s="1112">
        <f>($C273*0.1)+$C273</f>
        <v>2200</v>
      </c>
      <c r="N273" s="1112">
        <f>($C273*0.11)+$C273</f>
        <v>2220</v>
      </c>
      <c r="O273" s="1112">
        <f>($C273*0.12)+$C273</f>
        <v>2240</v>
      </c>
      <c r="P273" s="1112">
        <f>($C273*0.13)+$C273</f>
        <v>2260</v>
      </c>
      <c r="Q273" s="1112">
        <f>($C273*0.14)+$C273</f>
        <v>2280</v>
      </c>
      <c r="R273" s="1112">
        <f>($C273*0.15)+$C273</f>
        <v>2300</v>
      </c>
      <c r="S273" s="1112">
        <f>($C273*0.16)+$C273</f>
        <v>2320</v>
      </c>
      <c r="T273" s="1112">
        <f>($C273*0.17)+$C273</f>
        <v>2340</v>
      </c>
      <c r="U273" s="1112">
        <f>($C273*0.18)+$C273</f>
        <v>2360</v>
      </c>
      <c r="V273" s="1112">
        <f>($C273*0.19)+$C273</f>
        <v>2380</v>
      </c>
      <c r="W273" s="1112">
        <f>($C273*0.2)+$C273</f>
        <v>2400</v>
      </c>
      <c r="X273" s="1112">
        <f>($C273*0.21)+$C273</f>
        <v>2420</v>
      </c>
      <c r="Y273" s="1112">
        <f>($C273*0.22)+$C273</f>
        <v>2440</v>
      </c>
      <c r="Z273" s="1112">
        <f>($C273*0.23)+$C273</f>
        <v>2460</v>
      </c>
      <c r="AA273" s="1112">
        <f>($C273*0.24)+$C273</f>
        <v>2480</v>
      </c>
      <c r="AB273" s="1112">
        <f>($C273*0.25)+$C273</f>
        <v>2500</v>
      </c>
      <c r="AC273" s="1112">
        <f>($C273*0.26)+$C273</f>
        <v>2520</v>
      </c>
      <c r="AD273" s="1112">
        <f>($C273*0.27)+$C273</f>
        <v>2540</v>
      </c>
      <c r="AE273" s="1112">
        <f>($C273*0.28)+$C273</f>
        <v>2560</v>
      </c>
      <c r="AF273" s="1112">
        <f>($C273*0.29)+$C273</f>
        <v>2580</v>
      </c>
      <c r="AG273" s="1112">
        <f>($C273*0.3)+$C273</f>
        <v>2600</v>
      </c>
    </row>
    <row r="274" spans="1:33" ht="15">
      <c r="A274" s="4" t="s">
        <v>198</v>
      </c>
      <c r="B274" s="4" t="s">
        <v>199</v>
      </c>
      <c r="C274" s="5">
        <v>900</v>
      </c>
      <c r="D274" s="1112">
        <f>($C274*0.01)+$C274</f>
        <v>909</v>
      </c>
      <c r="E274" s="1112">
        <f>($C274*0.02)+$C274</f>
        <v>918</v>
      </c>
      <c r="F274" s="1112">
        <f>($C274*0.03)+$C274</f>
        <v>927</v>
      </c>
      <c r="G274" s="1112">
        <f>($C274*0.04)+$C274</f>
        <v>936</v>
      </c>
      <c r="H274" s="1112">
        <f>($C274*0.05)+$C274</f>
        <v>945</v>
      </c>
      <c r="I274" s="1112">
        <f>($C274*0.06)+$C274</f>
        <v>954</v>
      </c>
      <c r="J274" s="1112">
        <f>($C274*0.07)+$C274</f>
        <v>963</v>
      </c>
      <c r="K274" s="1112">
        <f>($C274*0.08)+$C274</f>
        <v>972</v>
      </c>
      <c r="L274" s="1112">
        <f>($C274*0.09)+$C274</f>
        <v>981</v>
      </c>
      <c r="M274" s="1112">
        <f>($C274*0.1)+$C274</f>
        <v>990</v>
      </c>
      <c r="N274" s="1112">
        <f>($C274*0.11)+$C274</f>
        <v>999</v>
      </c>
      <c r="O274" s="1112">
        <f>($C274*0.12)+$C274</f>
        <v>1008</v>
      </c>
      <c r="P274" s="1112">
        <f>($C274*0.13)+$C274</f>
        <v>1017</v>
      </c>
      <c r="Q274" s="1112">
        <f>($C274*0.14)+$C274</f>
        <v>1026</v>
      </c>
      <c r="R274" s="1112">
        <f>($C274*0.15)+$C274</f>
        <v>1035</v>
      </c>
      <c r="S274" s="1112">
        <f>($C274*0.16)+$C274</f>
        <v>1044</v>
      </c>
      <c r="T274" s="1112">
        <f>($C274*0.17)+$C274</f>
        <v>1053</v>
      </c>
      <c r="U274" s="1112">
        <f>($C274*0.18)+$C274</f>
        <v>1062</v>
      </c>
      <c r="V274" s="1112">
        <f>($C274*0.19)+$C274</f>
        <v>1071</v>
      </c>
      <c r="W274" s="1112">
        <f>($C274*0.2)+$C274</f>
        <v>1080</v>
      </c>
      <c r="X274" s="1112">
        <f>($C274*0.21)+$C274</f>
        <v>1089</v>
      </c>
      <c r="Y274" s="1112">
        <f>($C274*0.22)+$C274</f>
        <v>1098</v>
      </c>
      <c r="Z274" s="1112">
        <f>($C274*0.23)+$C274</f>
        <v>1107</v>
      </c>
      <c r="AA274" s="1112">
        <f>($C274*0.24)+$C274</f>
        <v>1116</v>
      </c>
      <c r="AB274" s="1112">
        <f>($C274*0.25)+$C274</f>
        <v>1125</v>
      </c>
      <c r="AC274" s="1112">
        <f>($C274*0.26)+$C274</f>
        <v>1134</v>
      </c>
      <c r="AD274" s="1112">
        <f>($C274*0.27)+$C274</f>
        <v>1143</v>
      </c>
      <c r="AE274" s="1112">
        <f>($C274*0.28)+$C274</f>
        <v>1152</v>
      </c>
      <c r="AF274" s="1112">
        <f>($C274*0.29)+$C274</f>
        <v>1161</v>
      </c>
      <c r="AG274" s="1112">
        <f>($C274*0.3)+$C274</f>
        <v>1170</v>
      </c>
    </row>
    <row r="275" spans="1:33" ht="15">
      <c r="A275" s="4"/>
      <c r="B275" s="4"/>
      <c r="C275" s="5"/>
      <c r="D275" s="1112"/>
      <c r="E275" s="1112"/>
      <c r="F275" s="1112"/>
      <c r="G275" s="1112"/>
      <c r="H275" s="1112"/>
      <c r="I275" s="1112"/>
      <c r="J275" s="1112"/>
      <c r="K275" s="1112"/>
      <c r="L275" s="1112"/>
      <c r="M275" s="1112"/>
      <c r="N275" s="1112"/>
      <c r="O275" s="1112"/>
      <c r="P275" s="1112"/>
      <c r="Q275" s="1112"/>
      <c r="R275" s="1112"/>
      <c r="S275" s="1112"/>
      <c r="T275" s="1112"/>
      <c r="U275" s="1112"/>
      <c r="V275" s="1112"/>
      <c r="W275" s="1112"/>
      <c r="X275" s="1112"/>
      <c r="Y275" s="1112"/>
      <c r="Z275" s="1112"/>
      <c r="AA275" s="1112"/>
      <c r="AB275" s="1112"/>
      <c r="AC275" s="1112"/>
      <c r="AD275" s="1112"/>
      <c r="AE275" s="1112"/>
      <c r="AF275" s="1112"/>
      <c r="AG275" s="1112"/>
    </row>
    <row r="276" spans="1:33" ht="20">
      <c r="A276" s="15"/>
      <c r="B276" s="11" t="s">
        <v>242</v>
      </c>
      <c r="C276" s="16"/>
      <c r="D276" s="1112"/>
      <c r="E276" s="1112"/>
      <c r="F276" s="1112"/>
      <c r="G276" s="1112"/>
      <c r="H276" s="1112"/>
      <c r="I276" s="1112"/>
      <c r="J276" s="1112"/>
      <c r="K276" s="1112"/>
      <c r="L276" s="1112"/>
      <c r="M276" s="1112"/>
      <c r="N276" s="1112"/>
      <c r="O276" s="1112"/>
      <c r="P276" s="1112"/>
      <c r="Q276" s="1112"/>
      <c r="R276" s="1112"/>
      <c r="S276" s="1112"/>
      <c r="T276" s="1112"/>
      <c r="U276" s="1112"/>
      <c r="V276" s="1112"/>
      <c r="W276" s="1112"/>
      <c r="X276" s="1112"/>
      <c r="Y276" s="1112"/>
      <c r="Z276" s="1112"/>
      <c r="AA276" s="1112"/>
      <c r="AB276" s="1112"/>
      <c r="AC276" s="1112"/>
      <c r="AD276" s="1112"/>
      <c r="AE276" s="1112"/>
      <c r="AF276" s="1112"/>
      <c r="AG276" s="1112"/>
    </row>
    <row r="277" spans="1:33" ht="15">
      <c r="A277" s="4" t="s">
        <v>230</v>
      </c>
      <c r="B277" s="4" t="s">
        <v>21973</v>
      </c>
      <c r="C277" s="5">
        <v>4500</v>
      </c>
      <c r="D277" s="1112">
        <f>($C277*0.01)+$C277</f>
        <v>4545</v>
      </c>
      <c r="E277" s="1112">
        <f>($C277*0.02)+$C277</f>
        <v>4590</v>
      </c>
      <c r="F277" s="1112">
        <f>($C277*0.03)+$C277</f>
        <v>4635</v>
      </c>
      <c r="G277" s="1112">
        <f>($C277*0.04)+$C277</f>
        <v>4680</v>
      </c>
      <c r="H277" s="1112">
        <f>($C277*0.05)+$C277</f>
        <v>4725</v>
      </c>
      <c r="I277" s="1112">
        <f>($C277*0.06)+$C277</f>
        <v>4770</v>
      </c>
      <c r="J277" s="1112">
        <f>($C277*0.07)+$C277</f>
        <v>4815</v>
      </c>
      <c r="K277" s="1112">
        <f>($C277*0.08)+$C277</f>
        <v>4860</v>
      </c>
      <c r="L277" s="1112">
        <f>($C277*0.09)+$C277</f>
        <v>4905</v>
      </c>
      <c r="M277" s="1112">
        <f>($C277*0.1)+$C277</f>
        <v>4950</v>
      </c>
      <c r="N277" s="1112">
        <f>($C277*0.11)+$C277</f>
        <v>4995</v>
      </c>
      <c r="O277" s="1112">
        <f>($C277*0.12)+$C277</f>
        <v>5040</v>
      </c>
      <c r="P277" s="1112">
        <f>($C277*0.13)+$C277</f>
        <v>5085</v>
      </c>
      <c r="Q277" s="1112">
        <f>($C277*0.14)+$C277</f>
        <v>5130</v>
      </c>
      <c r="R277" s="1112">
        <f>($C277*0.15)+$C277</f>
        <v>5175</v>
      </c>
      <c r="S277" s="1112">
        <f>($C277*0.16)+$C277</f>
        <v>5220</v>
      </c>
      <c r="T277" s="1112">
        <f>($C277*0.17)+$C277</f>
        <v>5265</v>
      </c>
      <c r="U277" s="1112">
        <f>($C277*0.18)+$C277</f>
        <v>5310</v>
      </c>
      <c r="V277" s="1112">
        <f>($C277*0.19)+$C277</f>
        <v>5355</v>
      </c>
      <c r="W277" s="1112">
        <f>($C277*0.2)+$C277</f>
        <v>5400</v>
      </c>
      <c r="X277" s="1112">
        <f>($C277*0.21)+$C277</f>
        <v>5445</v>
      </c>
      <c r="Y277" s="1112">
        <f>($C277*0.22)+$C277</f>
        <v>5490</v>
      </c>
      <c r="Z277" s="1112">
        <f>($C277*0.23)+$C277</f>
        <v>5535</v>
      </c>
      <c r="AA277" s="1112">
        <f>($C277*0.24)+$C277</f>
        <v>5580</v>
      </c>
      <c r="AB277" s="1112">
        <f>($C277*0.25)+$C277</f>
        <v>5625</v>
      </c>
      <c r="AC277" s="1112">
        <f>($C277*0.26)+$C277</f>
        <v>5670</v>
      </c>
      <c r="AD277" s="1112">
        <f>($C277*0.27)+$C277</f>
        <v>5715</v>
      </c>
      <c r="AE277" s="1112">
        <f>($C277*0.28)+$C277</f>
        <v>5760</v>
      </c>
      <c r="AF277" s="1112">
        <f>($C277*0.29)+$C277</f>
        <v>5805</v>
      </c>
      <c r="AG277" s="1112">
        <f>($C277*0.3)+$C277</f>
        <v>5850</v>
      </c>
    </row>
    <row r="278" spans="1:33" ht="30">
      <c r="A278" s="4" t="s">
        <v>231</v>
      </c>
      <c r="B278" s="4" t="s">
        <v>21974</v>
      </c>
      <c r="C278" s="5">
        <v>6000</v>
      </c>
      <c r="D278" s="1112">
        <f>($C278*0.01)+$C278</f>
        <v>6060</v>
      </c>
      <c r="E278" s="1112">
        <f>($C278*0.02)+$C278</f>
        <v>6120</v>
      </c>
      <c r="F278" s="1112">
        <f>($C278*0.03)+$C278</f>
        <v>6180</v>
      </c>
      <c r="G278" s="1112">
        <f>($C278*0.04)+$C278</f>
        <v>6240</v>
      </c>
      <c r="H278" s="1112">
        <f>($C278*0.05)+$C278</f>
        <v>6300</v>
      </c>
      <c r="I278" s="1112">
        <f>($C278*0.06)+$C278</f>
        <v>6360</v>
      </c>
      <c r="J278" s="1112">
        <f>($C278*0.07)+$C278</f>
        <v>6420</v>
      </c>
      <c r="K278" s="1112">
        <f>($C278*0.08)+$C278</f>
        <v>6480</v>
      </c>
      <c r="L278" s="1112">
        <f>($C278*0.09)+$C278</f>
        <v>6540</v>
      </c>
      <c r="M278" s="1112">
        <f>($C278*0.1)+$C278</f>
        <v>6600</v>
      </c>
      <c r="N278" s="1112">
        <f>($C278*0.11)+$C278</f>
        <v>6660</v>
      </c>
      <c r="O278" s="1112">
        <f>($C278*0.12)+$C278</f>
        <v>6720</v>
      </c>
      <c r="P278" s="1112">
        <f>($C278*0.13)+$C278</f>
        <v>6780</v>
      </c>
      <c r="Q278" s="1112">
        <f>($C278*0.14)+$C278</f>
        <v>6840</v>
      </c>
      <c r="R278" s="1112">
        <f>($C278*0.15)+$C278</f>
        <v>6900</v>
      </c>
      <c r="S278" s="1112">
        <f>($C278*0.16)+$C278</f>
        <v>6960</v>
      </c>
      <c r="T278" s="1112">
        <f>($C278*0.17)+$C278</f>
        <v>7020</v>
      </c>
      <c r="U278" s="1112">
        <f>($C278*0.18)+$C278</f>
        <v>7080</v>
      </c>
      <c r="V278" s="1112">
        <f>($C278*0.19)+$C278</f>
        <v>7140</v>
      </c>
      <c r="W278" s="1112">
        <f>($C278*0.2)+$C278</f>
        <v>7200</v>
      </c>
      <c r="X278" s="1112">
        <f>($C278*0.21)+$C278</f>
        <v>7260</v>
      </c>
      <c r="Y278" s="1112">
        <f>($C278*0.22)+$C278</f>
        <v>7320</v>
      </c>
      <c r="Z278" s="1112">
        <f>($C278*0.23)+$C278</f>
        <v>7380</v>
      </c>
      <c r="AA278" s="1112">
        <f>($C278*0.24)+$C278</f>
        <v>7440</v>
      </c>
      <c r="AB278" s="1112">
        <f>($C278*0.25)+$C278</f>
        <v>7500</v>
      </c>
      <c r="AC278" s="1112">
        <f>($C278*0.26)+$C278</f>
        <v>7560</v>
      </c>
      <c r="AD278" s="1112">
        <f>($C278*0.27)+$C278</f>
        <v>7620</v>
      </c>
      <c r="AE278" s="1112">
        <f>($C278*0.28)+$C278</f>
        <v>7680</v>
      </c>
      <c r="AF278" s="1112">
        <f>($C278*0.29)+$C278</f>
        <v>7740</v>
      </c>
      <c r="AG278" s="1112">
        <f>($C278*0.3)+$C278</f>
        <v>7800</v>
      </c>
    </row>
    <row r="279" spans="1:33" ht="30">
      <c r="A279" s="4" t="s">
        <v>232</v>
      </c>
      <c r="B279" s="4" t="s">
        <v>21975</v>
      </c>
      <c r="C279" s="5">
        <v>6000</v>
      </c>
      <c r="D279" s="1112">
        <f>($C279*0.01)+$C279</f>
        <v>6060</v>
      </c>
      <c r="E279" s="1112">
        <f>($C279*0.02)+$C279</f>
        <v>6120</v>
      </c>
      <c r="F279" s="1112">
        <f>($C279*0.03)+$C279</f>
        <v>6180</v>
      </c>
      <c r="G279" s="1112">
        <f>($C279*0.04)+$C279</f>
        <v>6240</v>
      </c>
      <c r="H279" s="1112">
        <f>($C279*0.05)+$C279</f>
        <v>6300</v>
      </c>
      <c r="I279" s="1112">
        <f>($C279*0.06)+$C279</f>
        <v>6360</v>
      </c>
      <c r="J279" s="1112">
        <f>($C279*0.07)+$C279</f>
        <v>6420</v>
      </c>
      <c r="K279" s="1112">
        <f>($C279*0.08)+$C279</f>
        <v>6480</v>
      </c>
      <c r="L279" s="1112">
        <f>($C279*0.09)+$C279</f>
        <v>6540</v>
      </c>
      <c r="M279" s="1112">
        <f>($C279*0.1)+$C279</f>
        <v>6600</v>
      </c>
      <c r="N279" s="1112">
        <f>($C279*0.11)+$C279</f>
        <v>6660</v>
      </c>
      <c r="O279" s="1112">
        <f>($C279*0.12)+$C279</f>
        <v>6720</v>
      </c>
      <c r="P279" s="1112">
        <f>($C279*0.13)+$C279</f>
        <v>6780</v>
      </c>
      <c r="Q279" s="1112">
        <f>($C279*0.14)+$C279</f>
        <v>6840</v>
      </c>
      <c r="R279" s="1112">
        <f>($C279*0.15)+$C279</f>
        <v>6900</v>
      </c>
      <c r="S279" s="1112">
        <f>($C279*0.16)+$C279</f>
        <v>6960</v>
      </c>
      <c r="T279" s="1112">
        <f>($C279*0.17)+$C279</f>
        <v>7020</v>
      </c>
      <c r="U279" s="1112">
        <f>($C279*0.18)+$C279</f>
        <v>7080</v>
      </c>
      <c r="V279" s="1112">
        <f>($C279*0.19)+$C279</f>
        <v>7140</v>
      </c>
      <c r="W279" s="1112">
        <f>($C279*0.2)+$C279</f>
        <v>7200</v>
      </c>
      <c r="X279" s="1112">
        <f>($C279*0.21)+$C279</f>
        <v>7260</v>
      </c>
      <c r="Y279" s="1112">
        <f>($C279*0.22)+$C279</f>
        <v>7320</v>
      </c>
      <c r="Z279" s="1112">
        <f>($C279*0.23)+$C279</f>
        <v>7380</v>
      </c>
      <c r="AA279" s="1112">
        <f>($C279*0.24)+$C279</f>
        <v>7440</v>
      </c>
      <c r="AB279" s="1112">
        <f>($C279*0.25)+$C279</f>
        <v>7500</v>
      </c>
      <c r="AC279" s="1112">
        <f>($C279*0.26)+$C279</f>
        <v>7560</v>
      </c>
      <c r="AD279" s="1112">
        <f>($C279*0.27)+$C279</f>
        <v>7620</v>
      </c>
      <c r="AE279" s="1112">
        <f>($C279*0.28)+$C279</f>
        <v>7680</v>
      </c>
      <c r="AF279" s="1112">
        <f>($C279*0.29)+$C279</f>
        <v>7740</v>
      </c>
      <c r="AG279" s="1112">
        <f>($C279*0.3)+$C279</f>
        <v>7800</v>
      </c>
    </row>
    <row r="280" spans="1:33" ht="30">
      <c r="A280" s="4" t="s">
        <v>233</v>
      </c>
      <c r="B280" s="4" t="s">
        <v>21976</v>
      </c>
      <c r="C280" s="5">
        <v>5500</v>
      </c>
      <c r="D280" s="1112">
        <f>($C280*0.01)+$C280</f>
        <v>5555</v>
      </c>
      <c r="E280" s="1112">
        <f>($C280*0.02)+$C280</f>
        <v>5610</v>
      </c>
      <c r="F280" s="1112">
        <f>($C280*0.03)+$C280</f>
        <v>5665</v>
      </c>
      <c r="G280" s="1112">
        <f>($C280*0.04)+$C280</f>
        <v>5720</v>
      </c>
      <c r="H280" s="1112">
        <f>($C280*0.05)+$C280</f>
        <v>5775</v>
      </c>
      <c r="I280" s="1112">
        <f>($C280*0.06)+$C280</f>
        <v>5830</v>
      </c>
      <c r="J280" s="1112">
        <f>($C280*0.07)+$C280</f>
        <v>5885</v>
      </c>
      <c r="K280" s="1112">
        <f>($C280*0.08)+$C280</f>
        <v>5940</v>
      </c>
      <c r="L280" s="1112">
        <f>($C280*0.09)+$C280</f>
        <v>5995</v>
      </c>
      <c r="M280" s="1112">
        <f>($C280*0.1)+$C280</f>
        <v>6050</v>
      </c>
      <c r="N280" s="1112">
        <f>($C280*0.11)+$C280</f>
        <v>6105</v>
      </c>
      <c r="O280" s="1112">
        <f>($C280*0.12)+$C280</f>
        <v>6160</v>
      </c>
      <c r="P280" s="1112">
        <f>($C280*0.13)+$C280</f>
        <v>6215</v>
      </c>
      <c r="Q280" s="1112">
        <f>($C280*0.14)+$C280</f>
        <v>6270</v>
      </c>
      <c r="R280" s="1112">
        <f>($C280*0.15)+$C280</f>
        <v>6325</v>
      </c>
      <c r="S280" s="1112">
        <f>($C280*0.16)+$C280</f>
        <v>6380</v>
      </c>
      <c r="T280" s="1112">
        <f>($C280*0.17)+$C280</f>
        <v>6435</v>
      </c>
      <c r="U280" s="1112">
        <f>($C280*0.18)+$C280</f>
        <v>6490</v>
      </c>
      <c r="V280" s="1112">
        <f>($C280*0.19)+$C280</f>
        <v>6545</v>
      </c>
      <c r="W280" s="1112">
        <f>($C280*0.2)+$C280</f>
        <v>6600</v>
      </c>
      <c r="X280" s="1112">
        <f>($C280*0.21)+$C280</f>
        <v>6655</v>
      </c>
      <c r="Y280" s="1112">
        <f>($C280*0.22)+$C280</f>
        <v>6710</v>
      </c>
      <c r="Z280" s="1112">
        <f>($C280*0.23)+$C280</f>
        <v>6765</v>
      </c>
      <c r="AA280" s="1112">
        <f>($C280*0.24)+$C280</f>
        <v>6820</v>
      </c>
      <c r="AB280" s="1112">
        <f>($C280*0.25)+$C280</f>
        <v>6875</v>
      </c>
      <c r="AC280" s="1112">
        <f>($C280*0.26)+$C280</f>
        <v>6930</v>
      </c>
      <c r="AD280" s="1112">
        <f>($C280*0.27)+$C280</f>
        <v>6985</v>
      </c>
      <c r="AE280" s="1112">
        <f>($C280*0.28)+$C280</f>
        <v>7040</v>
      </c>
      <c r="AF280" s="1112">
        <f>($C280*0.29)+$C280</f>
        <v>7095</v>
      </c>
      <c r="AG280" s="1112">
        <f>($C280*0.3)+$C280</f>
        <v>7150</v>
      </c>
    </row>
    <row r="281" spans="1:33" ht="30">
      <c r="A281" s="4" t="s">
        <v>234</v>
      </c>
      <c r="B281" s="4" t="s">
        <v>21977</v>
      </c>
      <c r="C281" s="5">
        <v>800</v>
      </c>
      <c r="D281" s="1112">
        <f>($C281*0.01)+$C281</f>
        <v>808</v>
      </c>
      <c r="E281" s="1112">
        <f>($C281*0.02)+$C281</f>
        <v>816</v>
      </c>
      <c r="F281" s="1112">
        <f>($C281*0.03)+$C281</f>
        <v>824</v>
      </c>
      <c r="G281" s="1112">
        <f>($C281*0.04)+$C281</f>
        <v>832</v>
      </c>
      <c r="H281" s="1112">
        <f>($C281*0.05)+$C281</f>
        <v>840</v>
      </c>
      <c r="I281" s="1112">
        <f>($C281*0.06)+$C281</f>
        <v>848</v>
      </c>
      <c r="J281" s="1112">
        <f>($C281*0.07)+$C281</f>
        <v>856</v>
      </c>
      <c r="K281" s="1112">
        <f>($C281*0.08)+$C281</f>
        <v>864</v>
      </c>
      <c r="L281" s="1112">
        <f>($C281*0.09)+$C281</f>
        <v>872</v>
      </c>
      <c r="M281" s="1112">
        <f>($C281*0.1)+$C281</f>
        <v>880</v>
      </c>
      <c r="N281" s="1112">
        <f>($C281*0.11)+$C281</f>
        <v>888</v>
      </c>
      <c r="O281" s="1112">
        <f>($C281*0.12)+$C281</f>
        <v>896</v>
      </c>
      <c r="P281" s="1112">
        <f>($C281*0.13)+$C281</f>
        <v>904</v>
      </c>
      <c r="Q281" s="1112">
        <f>($C281*0.14)+$C281</f>
        <v>912</v>
      </c>
      <c r="R281" s="1112">
        <f>($C281*0.15)+$C281</f>
        <v>920</v>
      </c>
      <c r="S281" s="1112">
        <f>($C281*0.16)+$C281</f>
        <v>928</v>
      </c>
      <c r="T281" s="1112">
        <f>($C281*0.17)+$C281</f>
        <v>936</v>
      </c>
      <c r="U281" s="1112">
        <f>($C281*0.18)+$C281</f>
        <v>944</v>
      </c>
      <c r="V281" s="1112">
        <f>($C281*0.19)+$C281</f>
        <v>952</v>
      </c>
      <c r="W281" s="1112">
        <f>($C281*0.2)+$C281</f>
        <v>960</v>
      </c>
      <c r="X281" s="1112">
        <f>($C281*0.21)+$C281</f>
        <v>968</v>
      </c>
      <c r="Y281" s="1112">
        <f>($C281*0.22)+$C281</f>
        <v>976</v>
      </c>
      <c r="Z281" s="1112">
        <f>($C281*0.23)+$C281</f>
        <v>984</v>
      </c>
      <c r="AA281" s="1112">
        <f>($C281*0.24)+$C281</f>
        <v>992</v>
      </c>
      <c r="AB281" s="1112">
        <f>($C281*0.25)+$C281</f>
        <v>1000</v>
      </c>
      <c r="AC281" s="1112">
        <f>($C281*0.26)+$C281</f>
        <v>1008</v>
      </c>
      <c r="AD281" s="1112">
        <f>($C281*0.27)+$C281</f>
        <v>1016</v>
      </c>
      <c r="AE281" s="1112">
        <f>($C281*0.28)+$C281</f>
        <v>1024</v>
      </c>
      <c r="AF281" s="1112">
        <f>($C281*0.29)+$C281</f>
        <v>1032</v>
      </c>
      <c r="AG281" s="1112">
        <f>($C281*0.3)+$C281</f>
        <v>1040</v>
      </c>
    </row>
    <row r="282" spans="1:33" ht="30">
      <c r="A282" s="4" t="s">
        <v>235</v>
      </c>
      <c r="B282" s="4" t="s">
        <v>21978</v>
      </c>
      <c r="C282" s="5">
        <v>3500</v>
      </c>
      <c r="D282" s="1112">
        <f>($C282*0.01)+$C282</f>
        <v>3535</v>
      </c>
      <c r="E282" s="1112">
        <f>($C282*0.02)+$C282</f>
        <v>3570</v>
      </c>
      <c r="F282" s="1112">
        <f>($C282*0.03)+$C282</f>
        <v>3605</v>
      </c>
      <c r="G282" s="1112">
        <f>($C282*0.04)+$C282</f>
        <v>3640</v>
      </c>
      <c r="H282" s="1112">
        <f>($C282*0.05)+$C282</f>
        <v>3675</v>
      </c>
      <c r="I282" s="1112">
        <f>($C282*0.06)+$C282</f>
        <v>3710</v>
      </c>
      <c r="J282" s="1112">
        <f>($C282*0.07)+$C282</f>
        <v>3745</v>
      </c>
      <c r="K282" s="1112">
        <f>($C282*0.08)+$C282</f>
        <v>3780</v>
      </c>
      <c r="L282" s="1112">
        <f>($C282*0.09)+$C282</f>
        <v>3815</v>
      </c>
      <c r="M282" s="1112">
        <f>($C282*0.1)+$C282</f>
        <v>3850</v>
      </c>
      <c r="N282" s="1112">
        <f>($C282*0.11)+$C282</f>
        <v>3885</v>
      </c>
      <c r="O282" s="1112">
        <f>($C282*0.12)+$C282</f>
        <v>3920</v>
      </c>
      <c r="P282" s="1112">
        <f>($C282*0.13)+$C282</f>
        <v>3955</v>
      </c>
      <c r="Q282" s="1112">
        <f>($C282*0.14)+$C282</f>
        <v>3990</v>
      </c>
      <c r="R282" s="1112">
        <f>($C282*0.15)+$C282</f>
        <v>4025</v>
      </c>
      <c r="S282" s="1112">
        <f>($C282*0.16)+$C282</f>
        <v>4060</v>
      </c>
      <c r="T282" s="1112">
        <f>($C282*0.17)+$C282</f>
        <v>4095</v>
      </c>
      <c r="U282" s="1112">
        <f>($C282*0.18)+$C282</f>
        <v>4130</v>
      </c>
      <c r="V282" s="1112">
        <f>($C282*0.19)+$C282</f>
        <v>4165</v>
      </c>
      <c r="W282" s="1112">
        <f>($C282*0.2)+$C282</f>
        <v>4200</v>
      </c>
      <c r="X282" s="1112">
        <f>($C282*0.21)+$C282</f>
        <v>4235</v>
      </c>
      <c r="Y282" s="1112">
        <f>($C282*0.22)+$C282</f>
        <v>4270</v>
      </c>
      <c r="Z282" s="1112">
        <f>($C282*0.23)+$C282</f>
        <v>4305</v>
      </c>
      <c r="AA282" s="1112">
        <f>($C282*0.24)+$C282</f>
        <v>4340</v>
      </c>
      <c r="AB282" s="1112">
        <f>($C282*0.25)+$C282</f>
        <v>4375</v>
      </c>
      <c r="AC282" s="1112">
        <f>($C282*0.26)+$C282</f>
        <v>4410</v>
      </c>
      <c r="AD282" s="1112">
        <f>($C282*0.27)+$C282</f>
        <v>4445</v>
      </c>
      <c r="AE282" s="1112">
        <f>($C282*0.28)+$C282</f>
        <v>4480</v>
      </c>
      <c r="AF282" s="1112">
        <f>($C282*0.29)+$C282</f>
        <v>4515</v>
      </c>
      <c r="AG282" s="1112">
        <f>($C282*0.3)+$C282</f>
        <v>4550</v>
      </c>
    </row>
    <row r="283" spans="1:33" ht="30">
      <c r="A283" s="4" t="s">
        <v>236</v>
      </c>
      <c r="B283" s="4" t="s">
        <v>21979</v>
      </c>
      <c r="C283" s="5">
        <v>800</v>
      </c>
      <c r="D283" s="1112">
        <f>($C283*0.01)+$C283</f>
        <v>808</v>
      </c>
      <c r="E283" s="1112">
        <f>($C283*0.02)+$C283</f>
        <v>816</v>
      </c>
      <c r="F283" s="1112">
        <f>($C283*0.03)+$C283</f>
        <v>824</v>
      </c>
      <c r="G283" s="1112">
        <f>($C283*0.04)+$C283</f>
        <v>832</v>
      </c>
      <c r="H283" s="1112">
        <f>($C283*0.05)+$C283</f>
        <v>840</v>
      </c>
      <c r="I283" s="1112">
        <f>($C283*0.06)+$C283</f>
        <v>848</v>
      </c>
      <c r="J283" s="1112">
        <f>($C283*0.07)+$C283</f>
        <v>856</v>
      </c>
      <c r="K283" s="1112">
        <f>($C283*0.08)+$C283</f>
        <v>864</v>
      </c>
      <c r="L283" s="1112">
        <f>($C283*0.09)+$C283</f>
        <v>872</v>
      </c>
      <c r="M283" s="1112">
        <f>($C283*0.1)+$C283</f>
        <v>880</v>
      </c>
      <c r="N283" s="1112">
        <f>($C283*0.11)+$C283</f>
        <v>888</v>
      </c>
      <c r="O283" s="1112">
        <f>($C283*0.12)+$C283</f>
        <v>896</v>
      </c>
      <c r="P283" s="1112">
        <f>($C283*0.13)+$C283</f>
        <v>904</v>
      </c>
      <c r="Q283" s="1112">
        <f>($C283*0.14)+$C283</f>
        <v>912</v>
      </c>
      <c r="R283" s="1112">
        <f>($C283*0.15)+$C283</f>
        <v>920</v>
      </c>
      <c r="S283" s="1112">
        <f>($C283*0.16)+$C283</f>
        <v>928</v>
      </c>
      <c r="T283" s="1112">
        <f>($C283*0.17)+$C283</f>
        <v>936</v>
      </c>
      <c r="U283" s="1112">
        <f>($C283*0.18)+$C283</f>
        <v>944</v>
      </c>
      <c r="V283" s="1112">
        <f>($C283*0.19)+$C283</f>
        <v>952</v>
      </c>
      <c r="W283" s="1112">
        <f>($C283*0.2)+$C283</f>
        <v>960</v>
      </c>
      <c r="X283" s="1112">
        <f>($C283*0.21)+$C283</f>
        <v>968</v>
      </c>
      <c r="Y283" s="1112">
        <f>($C283*0.22)+$C283</f>
        <v>976</v>
      </c>
      <c r="Z283" s="1112">
        <f>($C283*0.23)+$C283</f>
        <v>984</v>
      </c>
      <c r="AA283" s="1112">
        <f>($C283*0.24)+$C283</f>
        <v>992</v>
      </c>
      <c r="AB283" s="1112">
        <f>($C283*0.25)+$C283</f>
        <v>1000</v>
      </c>
      <c r="AC283" s="1112">
        <f>($C283*0.26)+$C283</f>
        <v>1008</v>
      </c>
      <c r="AD283" s="1112">
        <f>($C283*0.27)+$C283</f>
        <v>1016</v>
      </c>
      <c r="AE283" s="1112">
        <f>($C283*0.28)+$C283</f>
        <v>1024</v>
      </c>
      <c r="AF283" s="1112">
        <f>($C283*0.29)+$C283</f>
        <v>1032</v>
      </c>
      <c r="AG283" s="1112">
        <f>($C283*0.3)+$C283</f>
        <v>1040</v>
      </c>
    </row>
    <row r="284" spans="1:33" ht="30">
      <c r="A284" s="4" t="s">
        <v>237</v>
      </c>
      <c r="B284" s="4" t="s">
        <v>21980</v>
      </c>
      <c r="C284" s="5">
        <v>600</v>
      </c>
      <c r="D284" s="1112">
        <f>($C284*0.01)+$C284</f>
        <v>606</v>
      </c>
      <c r="E284" s="1112">
        <f>($C284*0.02)+$C284</f>
        <v>612</v>
      </c>
      <c r="F284" s="1112">
        <f>($C284*0.03)+$C284</f>
        <v>618</v>
      </c>
      <c r="G284" s="1112">
        <f>($C284*0.04)+$C284</f>
        <v>624</v>
      </c>
      <c r="H284" s="1112">
        <f>($C284*0.05)+$C284</f>
        <v>630</v>
      </c>
      <c r="I284" s="1112">
        <f>($C284*0.06)+$C284</f>
        <v>636</v>
      </c>
      <c r="J284" s="1112">
        <f>($C284*0.07)+$C284</f>
        <v>642</v>
      </c>
      <c r="K284" s="1112">
        <f>($C284*0.08)+$C284</f>
        <v>648</v>
      </c>
      <c r="L284" s="1112">
        <f>($C284*0.09)+$C284</f>
        <v>654</v>
      </c>
      <c r="M284" s="1112">
        <f>($C284*0.1)+$C284</f>
        <v>660</v>
      </c>
      <c r="N284" s="1112">
        <f>($C284*0.11)+$C284</f>
        <v>666</v>
      </c>
      <c r="O284" s="1112">
        <f>($C284*0.12)+$C284</f>
        <v>672</v>
      </c>
      <c r="P284" s="1112">
        <f>($C284*0.13)+$C284</f>
        <v>678</v>
      </c>
      <c r="Q284" s="1112">
        <f>($C284*0.14)+$C284</f>
        <v>684</v>
      </c>
      <c r="R284" s="1112">
        <f>($C284*0.15)+$C284</f>
        <v>690</v>
      </c>
      <c r="S284" s="1112">
        <f>($C284*0.16)+$C284</f>
        <v>696</v>
      </c>
      <c r="T284" s="1112">
        <f>($C284*0.17)+$C284</f>
        <v>702</v>
      </c>
      <c r="U284" s="1112">
        <f>($C284*0.18)+$C284</f>
        <v>708</v>
      </c>
      <c r="V284" s="1112">
        <f>($C284*0.19)+$C284</f>
        <v>714</v>
      </c>
      <c r="W284" s="1112">
        <f>($C284*0.2)+$C284</f>
        <v>720</v>
      </c>
      <c r="X284" s="1112">
        <f>($C284*0.21)+$C284</f>
        <v>726</v>
      </c>
      <c r="Y284" s="1112">
        <f>($C284*0.22)+$C284</f>
        <v>732</v>
      </c>
      <c r="Z284" s="1112">
        <f>($C284*0.23)+$C284</f>
        <v>738</v>
      </c>
      <c r="AA284" s="1112">
        <f>($C284*0.24)+$C284</f>
        <v>744</v>
      </c>
      <c r="AB284" s="1112">
        <f>($C284*0.25)+$C284</f>
        <v>750</v>
      </c>
      <c r="AC284" s="1112">
        <f>($C284*0.26)+$C284</f>
        <v>756</v>
      </c>
      <c r="AD284" s="1112">
        <f>($C284*0.27)+$C284</f>
        <v>762</v>
      </c>
      <c r="AE284" s="1112">
        <f>($C284*0.28)+$C284</f>
        <v>768</v>
      </c>
      <c r="AF284" s="1112">
        <f>($C284*0.29)+$C284</f>
        <v>774</v>
      </c>
      <c r="AG284" s="1112">
        <f>($C284*0.3)+$C284</f>
        <v>780</v>
      </c>
    </row>
    <row r="285" spans="1:33" ht="30">
      <c r="A285" s="4" t="s">
        <v>238</v>
      </c>
      <c r="B285" s="4" t="s">
        <v>21981</v>
      </c>
      <c r="C285" s="5">
        <v>5000</v>
      </c>
      <c r="D285" s="1112">
        <f>($C285*0.01)+$C285</f>
        <v>5050</v>
      </c>
      <c r="E285" s="1112">
        <f>($C285*0.02)+$C285</f>
        <v>5100</v>
      </c>
      <c r="F285" s="1112">
        <f>($C285*0.03)+$C285</f>
        <v>5150</v>
      </c>
      <c r="G285" s="1112">
        <f>($C285*0.04)+$C285</f>
        <v>5200</v>
      </c>
      <c r="H285" s="1112">
        <f>($C285*0.05)+$C285</f>
        <v>5250</v>
      </c>
      <c r="I285" s="1112">
        <f>($C285*0.06)+$C285</f>
        <v>5300</v>
      </c>
      <c r="J285" s="1112">
        <f>($C285*0.07)+$C285</f>
        <v>5350</v>
      </c>
      <c r="K285" s="1112">
        <f>($C285*0.08)+$C285</f>
        <v>5400</v>
      </c>
      <c r="L285" s="1112">
        <f>($C285*0.09)+$C285</f>
        <v>5450</v>
      </c>
      <c r="M285" s="1112">
        <f>($C285*0.1)+$C285</f>
        <v>5500</v>
      </c>
      <c r="N285" s="1112">
        <f>($C285*0.11)+$C285</f>
        <v>5550</v>
      </c>
      <c r="O285" s="1112">
        <f>($C285*0.12)+$C285</f>
        <v>5600</v>
      </c>
      <c r="P285" s="1112">
        <f>($C285*0.13)+$C285</f>
        <v>5650</v>
      </c>
      <c r="Q285" s="1112">
        <f>($C285*0.14)+$C285</f>
        <v>5700</v>
      </c>
      <c r="R285" s="1112">
        <f>($C285*0.15)+$C285</f>
        <v>5750</v>
      </c>
      <c r="S285" s="1112">
        <f>($C285*0.16)+$C285</f>
        <v>5800</v>
      </c>
      <c r="T285" s="1112">
        <f>($C285*0.17)+$C285</f>
        <v>5850</v>
      </c>
      <c r="U285" s="1112">
        <f>($C285*0.18)+$C285</f>
        <v>5900</v>
      </c>
      <c r="V285" s="1112">
        <f>($C285*0.19)+$C285</f>
        <v>5950</v>
      </c>
      <c r="W285" s="1112">
        <f>($C285*0.2)+$C285</f>
        <v>6000</v>
      </c>
      <c r="X285" s="1112">
        <f>($C285*0.21)+$C285</f>
        <v>6050</v>
      </c>
      <c r="Y285" s="1112">
        <f>($C285*0.22)+$C285</f>
        <v>6100</v>
      </c>
      <c r="Z285" s="1112">
        <f>($C285*0.23)+$C285</f>
        <v>6150</v>
      </c>
      <c r="AA285" s="1112">
        <f>($C285*0.24)+$C285</f>
        <v>6200</v>
      </c>
      <c r="AB285" s="1112">
        <f>($C285*0.25)+$C285</f>
        <v>6250</v>
      </c>
      <c r="AC285" s="1112">
        <f>($C285*0.26)+$C285</f>
        <v>6300</v>
      </c>
      <c r="AD285" s="1112">
        <f>($C285*0.27)+$C285</f>
        <v>6350</v>
      </c>
      <c r="AE285" s="1112">
        <f>($C285*0.28)+$C285</f>
        <v>6400</v>
      </c>
      <c r="AF285" s="1112">
        <f>($C285*0.29)+$C285</f>
        <v>6450</v>
      </c>
      <c r="AG285" s="1112">
        <f>($C285*0.3)+$C285</f>
        <v>6500</v>
      </c>
    </row>
    <row r="286" spans="1:33" ht="30">
      <c r="A286" s="4" t="s">
        <v>239</v>
      </c>
      <c r="B286" s="4" t="s">
        <v>21982</v>
      </c>
      <c r="C286" s="5">
        <v>6000</v>
      </c>
      <c r="D286" s="1112">
        <f>($C286*0.01)+$C286</f>
        <v>6060</v>
      </c>
      <c r="E286" s="1112">
        <f>($C286*0.02)+$C286</f>
        <v>6120</v>
      </c>
      <c r="F286" s="1112">
        <f>($C286*0.03)+$C286</f>
        <v>6180</v>
      </c>
      <c r="G286" s="1112">
        <f>($C286*0.04)+$C286</f>
        <v>6240</v>
      </c>
      <c r="H286" s="1112">
        <f>($C286*0.05)+$C286</f>
        <v>6300</v>
      </c>
      <c r="I286" s="1112">
        <f>($C286*0.06)+$C286</f>
        <v>6360</v>
      </c>
      <c r="J286" s="1112">
        <f>($C286*0.07)+$C286</f>
        <v>6420</v>
      </c>
      <c r="K286" s="1112">
        <f>($C286*0.08)+$C286</f>
        <v>6480</v>
      </c>
      <c r="L286" s="1112">
        <f>($C286*0.09)+$C286</f>
        <v>6540</v>
      </c>
      <c r="M286" s="1112">
        <f>($C286*0.1)+$C286</f>
        <v>6600</v>
      </c>
      <c r="N286" s="1112">
        <f>($C286*0.11)+$C286</f>
        <v>6660</v>
      </c>
      <c r="O286" s="1112">
        <f>($C286*0.12)+$C286</f>
        <v>6720</v>
      </c>
      <c r="P286" s="1112">
        <f>($C286*0.13)+$C286</f>
        <v>6780</v>
      </c>
      <c r="Q286" s="1112">
        <f>($C286*0.14)+$C286</f>
        <v>6840</v>
      </c>
      <c r="R286" s="1112">
        <f>($C286*0.15)+$C286</f>
        <v>6900</v>
      </c>
      <c r="S286" s="1112">
        <f>($C286*0.16)+$C286</f>
        <v>6960</v>
      </c>
      <c r="T286" s="1112">
        <f>($C286*0.17)+$C286</f>
        <v>7020</v>
      </c>
      <c r="U286" s="1112">
        <f>($C286*0.18)+$C286</f>
        <v>7080</v>
      </c>
      <c r="V286" s="1112">
        <f>($C286*0.19)+$C286</f>
        <v>7140</v>
      </c>
      <c r="W286" s="1112">
        <f>($C286*0.2)+$C286</f>
        <v>7200</v>
      </c>
      <c r="X286" s="1112">
        <f>($C286*0.21)+$C286</f>
        <v>7260</v>
      </c>
      <c r="Y286" s="1112">
        <f>($C286*0.22)+$C286</f>
        <v>7320</v>
      </c>
      <c r="Z286" s="1112">
        <f>($C286*0.23)+$C286</f>
        <v>7380</v>
      </c>
      <c r="AA286" s="1112">
        <f>($C286*0.24)+$C286</f>
        <v>7440</v>
      </c>
      <c r="AB286" s="1112">
        <f>($C286*0.25)+$C286</f>
        <v>7500</v>
      </c>
      <c r="AC286" s="1112">
        <f>($C286*0.26)+$C286</f>
        <v>7560</v>
      </c>
      <c r="AD286" s="1112">
        <f>($C286*0.27)+$C286</f>
        <v>7620</v>
      </c>
      <c r="AE286" s="1112">
        <f>($C286*0.28)+$C286</f>
        <v>7680</v>
      </c>
      <c r="AF286" s="1112">
        <f>($C286*0.29)+$C286</f>
        <v>7740</v>
      </c>
      <c r="AG286" s="1112">
        <f>($C286*0.3)+$C286</f>
        <v>7800</v>
      </c>
    </row>
    <row r="287" spans="1:33" ht="15">
      <c r="A287" s="4" t="s">
        <v>240</v>
      </c>
      <c r="B287" s="4" t="s">
        <v>21983</v>
      </c>
      <c r="C287" s="5">
        <v>7000</v>
      </c>
      <c r="D287" s="1112">
        <f>($C287*0.01)+$C287</f>
        <v>7070</v>
      </c>
      <c r="E287" s="1112">
        <f>($C287*0.02)+$C287</f>
        <v>7140</v>
      </c>
      <c r="F287" s="1112">
        <f>($C287*0.03)+$C287</f>
        <v>7210</v>
      </c>
      <c r="G287" s="1112">
        <f>($C287*0.04)+$C287</f>
        <v>7280</v>
      </c>
      <c r="H287" s="1112">
        <f>($C287*0.05)+$C287</f>
        <v>7350</v>
      </c>
      <c r="I287" s="1112">
        <f>($C287*0.06)+$C287</f>
        <v>7420</v>
      </c>
      <c r="J287" s="1112">
        <f>($C287*0.07)+$C287</f>
        <v>7490</v>
      </c>
      <c r="K287" s="1112">
        <f>($C287*0.08)+$C287</f>
        <v>7560</v>
      </c>
      <c r="L287" s="1112">
        <f>($C287*0.09)+$C287</f>
        <v>7630</v>
      </c>
      <c r="M287" s="1112">
        <f>($C287*0.1)+$C287</f>
        <v>7700</v>
      </c>
      <c r="N287" s="1112">
        <f>($C287*0.11)+$C287</f>
        <v>7770</v>
      </c>
      <c r="O287" s="1112">
        <f>($C287*0.12)+$C287</f>
        <v>7840</v>
      </c>
      <c r="P287" s="1112">
        <f>($C287*0.13)+$C287</f>
        <v>7910</v>
      </c>
      <c r="Q287" s="1112">
        <f>($C287*0.14)+$C287</f>
        <v>7980</v>
      </c>
      <c r="R287" s="1112">
        <f>($C287*0.15)+$C287</f>
        <v>8050</v>
      </c>
      <c r="S287" s="1112">
        <f>($C287*0.16)+$C287</f>
        <v>8120</v>
      </c>
      <c r="T287" s="1112">
        <f>($C287*0.17)+$C287</f>
        <v>8190</v>
      </c>
      <c r="U287" s="1112">
        <f>($C287*0.18)+$C287</f>
        <v>8260</v>
      </c>
      <c r="V287" s="1112">
        <f>($C287*0.19)+$C287</f>
        <v>8330</v>
      </c>
      <c r="W287" s="1112">
        <f>($C287*0.2)+$C287</f>
        <v>8400</v>
      </c>
      <c r="X287" s="1112">
        <f>($C287*0.21)+$C287</f>
        <v>8470</v>
      </c>
      <c r="Y287" s="1112">
        <f>($C287*0.22)+$C287</f>
        <v>8540</v>
      </c>
      <c r="Z287" s="1112">
        <f>($C287*0.23)+$C287</f>
        <v>8610</v>
      </c>
      <c r="AA287" s="1112">
        <f>($C287*0.24)+$C287</f>
        <v>8680</v>
      </c>
      <c r="AB287" s="1112">
        <f>($C287*0.25)+$C287</f>
        <v>8750</v>
      </c>
      <c r="AC287" s="1112">
        <f>($C287*0.26)+$C287</f>
        <v>8820</v>
      </c>
      <c r="AD287" s="1112">
        <f>($C287*0.27)+$C287</f>
        <v>8890</v>
      </c>
      <c r="AE287" s="1112">
        <f>($C287*0.28)+$C287</f>
        <v>8960</v>
      </c>
      <c r="AF287" s="1112">
        <f>($C287*0.29)+$C287</f>
        <v>9030</v>
      </c>
      <c r="AG287" s="1112">
        <f>($C287*0.3)+$C287</f>
        <v>9100</v>
      </c>
    </row>
    <row r="288" spans="1:33" ht="30">
      <c r="A288" s="4" t="s">
        <v>241</v>
      </c>
      <c r="B288" s="4" t="s">
        <v>21984</v>
      </c>
      <c r="C288" s="5">
        <v>2750</v>
      </c>
      <c r="D288" s="1112">
        <f>($C288*0.01)+$C288</f>
        <v>2777.5</v>
      </c>
      <c r="E288" s="1112">
        <f>($C288*0.02)+$C288</f>
        <v>2805</v>
      </c>
      <c r="F288" s="1112">
        <f>($C288*0.03)+$C288</f>
        <v>2832.5</v>
      </c>
      <c r="G288" s="1112">
        <f>($C288*0.04)+$C288</f>
        <v>2860</v>
      </c>
      <c r="H288" s="1112">
        <f>($C288*0.05)+$C288</f>
        <v>2887.5</v>
      </c>
      <c r="I288" s="1112">
        <f>($C288*0.06)+$C288</f>
        <v>2915</v>
      </c>
      <c r="J288" s="1112">
        <f>($C288*0.07)+$C288</f>
        <v>2942.5</v>
      </c>
      <c r="K288" s="1112">
        <f>($C288*0.08)+$C288</f>
        <v>2970</v>
      </c>
      <c r="L288" s="1112">
        <f>($C288*0.09)+$C288</f>
        <v>2997.5</v>
      </c>
      <c r="M288" s="1112">
        <f>($C288*0.1)+$C288</f>
        <v>3025</v>
      </c>
      <c r="N288" s="1112">
        <f>($C288*0.11)+$C288</f>
        <v>3052.5</v>
      </c>
      <c r="O288" s="1112">
        <f>($C288*0.12)+$C288</f>
        <v>3080</v>
      </c>
      <c r="P288" s="1112">
        <f>($C288*0.13)+$C288</f>
        <v>3107.5</v>
      </c>
      <c r="Q288" s="1112">
        <f>($C288*0.14)+$C288</f>
        <v>3135</v>
      </c>
      <c r="R288" s="1112">
        <f>($C288*0.15)+$C288</f>
        <v>3162.5</v>
      </c>
      <c r="S288" s="1112">
        <f>($C288*0.16)+$C288</f>
        <v>3190</v>
      </c>
      <c r="T288" s="1112">
        <f>($C288*0.17)+$C288</f>
        <v>3217.5</v>
      </c>
      <c r="U288" s="1112">
        <f>($C288*0.18)+$C288</f>
        <v>3245</v>
      </c>
      <c r="V288" s="1112">
        <f>($C288*0.19)+$C288</f>
        <v>3272.5</v>
      </c>
      <c r="W288" s="1112">
        <f>($C288*0.2)+$C288</f>
        <v>3300</v>
      </c>
      <c r="X288" s="1112">
        <f>($C288*0.21)+$C288</f>
        <v>3327.5</v>
      </c>
      <c r="Y288" s="1112">
        <f>($C288*0.22)+$C288</f>
        <v>3355</v>
      </c>
      <c r="Z288" s="1112">
        <f>($C288*0.23)+$C288</f>
        <v>3382.5</v>
      </c>
      <c r="AA288" s="1112">
        <f>($C288*0.24)+$C288</f>
        <v>3410</v>
      </c>
      <c r="AB288" s="1112">
        <f>($C288*0.25)+$C288</f>
        <v>3437.5</v>
      </c>
      <c r="AC288" s="1112">
        <f>($C288*0.26)+$C288</f>
        <v>3465</v>
      </c>
      <c r="AD288" s="1112">
        <f>($C288*0.27)+$C288</f>
        <v>3492.5</v>
      </c>
      <c r="AE288" s="1112">
        <f>($C288*0.28)+$C288</f>
        <v>3520</v>
      </c>
      <c r="AF288" s="1112">
        <f>($C288*0.29)+$C288</f>
        <v>3547.5</v>
      </c>
      <c r="AG288" s="1112">
        <f>($C288*0.3)+$C288</f>
        <v>3575</v>
      </c>
    </row>
    <row r="289" spans="1:33" ht="45">
      <c r="A289" s="4" t="s">
        <v>244</v>
      </c>
      <c r="B289" s="4" t="s">
        <v>247</v>
      </c>
      <c r="C289" s="5">
        <v>2750</v>
      </c>
      <c r="D289" s="1112">
        <f>($C289*0.01)+$C289</f>
        <v>2777.5</v>
      </c>
      <c r="E289" s="1112">
        <f>($C289*0.02)+$C289</f>
        <v>2805</v>
      </c>
      <c r="F289" s="1112">
        <f>($C289*0.03)+$C289</f>
        <v>2832.5</v>
      </c>
      <c r="G289" s="1112">
        <f>($C289*0.04)+$C289</f>
        <v>2860</v>
      </c>
      <c r="H289" s="1112">
        <f>($C289*0.05)+$C289</f>
        <v>2887.5</v>
      </c>
      <c r="I289" s="1112">
        <f>($C289*0.06)+$C289</f>
        <v>2915</v>
      </c>
      <c r="J289" s="1112">
        <f>($C289*0.07)+$C289</f>
        <v>2942.5</v>
      </c>
      <c r="K289" s="1112">
        <f>($C289*0.08)+$C289</f>
        <v>2970</v>
      </c>
      <c r="L289" s="1112">
        <f>($C289*0.09)+$C289</f>
        <v>2997.5</v>
      </c>
      <c r="M289" s="1112">
        <f>($C289*0.1)+$C289</f>
        <v>3025</v>
      </c>
      <c r="N289" s="1112">
        <f>($C289*0.11)+$C289</f>
        <v>3052.5</v>
      </c>
      <c r="O289" s="1112">
        <f>($C289*0.12)+$C289</f>
        <v>3080</v>
      </c>
      <c r="P289" s="1112">
        <f>($C289*0.13)+$C289</f>
        <v>3107.5</v>
      </c>
      <c r="Q289" s="1112">
        <f>($C289*0.14)+$C289</f>
        <v>3135</v>
      </c>
      <c r="R289" s="1112">
        <f>($C289*0.15)+$C289</f>
        <v>3162.5</v>
      </c>
      <c r="S289" s="1112">
        <f>($C289*0.16)+$C289</f>
        <v>3190</v>
      </c>
      <c r="T289" s="1112">
        <f>($C289*0.17)+$C289</f>
        <v>3217.5</v>
      </c>
      <c r="U289" s="1112">
        <f>($C289*0.18)+$C289</f>
        <v>3245</v>
      </c>
      <c r="V289" s="1112">
        <f>($C289*0.19)+$C289</f>
        <v>3272.5</v>
      </c>
      <c r="W289" s="1112">
        <f>($C289*0.2)+$C289</f>
        <v>3300</v>
      </c>
      <c r="X289" s="1112">
        <f>($C289*0.21)+$C289</f>
        <v>3327.5</v>
      </c>
      <c r="Y289" s="1112">
        <f>($C289*0.22)+$C289</f>
        <v>3355</v>
      </c>
      <c r="Z289" s="1112">
        <f>($C289*0.23)+$C289</f>
        <v>3382.5</v>
      </c>
      <c r="AA289" s="1112">
        <f>($C289*0.24)+$C289</f>
        <v>3410</v>
      </c>
      <c r="AB289" s="1112">
        <f>($C289*0.25)+$C289</f>
        <v>3437.5</v>
      </c>
      <c r="AC289" s="1112">
        <f>($C289*0.26)+$C289</f>
        <v>3465</v>
      </c>
      <c r="AD289" s="1112">
        <f>($C289*0.27)+$C289</f>
        <v>3492.5</v>
      </c>
      <c r="AE289" s="1112">
        <f>($C289*0.28)+$C289</f>
        <v>3520</v>
      </c>
      <c r="AF289" s="1112">
        <f>($C289*0.29)+$C289</f>
        <v>3547.5</v>
      </c>
      <c r="AG289" s="1112">
        <f>($C289*0.3)+$C289</f>
        <v>3575</v>
      </c>
    </row>
    <row r="290" spans="1:33" ht="45">
      <c r="A290" s="4" t="s">
        <v>245</v>
      </c>
      <c r="B290" s="4" t="s">
        <v>248</v>
      </c>
      <c r="C290" s="5">
        <v>1500</v>
      </c>
      <c r="D290" s="1112">
        <f>($C290*0.01)+$C290</f>
        <v>1515</v>
      </c>
      <c r="E290" s="1112">
        <f>($C290*0.02)+$C290</f>
        <v>1530</v>
      </c>
      <c r="F290" s="1112">
        <f>($C290*0.03)+$C290</f>
        <v>1545</v>
      </c>
      <c r="G290" s="1112">
        <f>($C290*0.04)+$C290</f>
        <v>1560</v>
      </c>
      <c r="H290" s="1112">
        <f>($C290*0.05)+$C290</f>
        <v>1575</v>
      </c>
      <c r="I290" s="1112">
        <f>($C290*0.06)+$C290</f>
        <v>1590</v>
      </c>
      <c r="J290" s="1112">
        <f>($C290*0.07)+$C290</f>
        <v>1605</v>
      </c>
      <c r="K290" s="1112">
        <f>($C290*0.08)+$C290</f>
        <v>1620</v>
      </c>
      <c r="L290" s="1112">
        <f>($C290*0.09)+$C290</f>
        <v>1635</v>
      </c>
      <c r="M290" s="1112">
        <f>($C290*0.1)+$C290</f>
        <v>1650</v>
      </c>
      <c r="N290" s="1112">
        <f>($C290*0.11)+$C290</f>
        <v>1665</v>
      </c>
      <c r="O290" s="1112">
        <f>($C290*0.12)+$C290</f>
        <v>1680</v>
      </c>
      <c r="P290" s="1112">
        <f>($C290*0.13)+$C290</f>
        <v>1695</v>
      </c>
      <c r="Q290" s="1112">
        <f>($C290*0.14)+$C290</f>
        <v>1710</v>
      </c>
      <c r="R290" s="1112">
        <f>($C290*0.15)+$C290</f>
        <v>1725</v>
      </c>
      <c r="S290" s="1112">
        <f>($C290*0.16)+$C290</f>
        <v>1740</v>
      </c>
      <c r="T290" s="1112">
        <f>($C290*0.17)+$C290</f>
        <v>1755</v>
      </c>
      <c r="U290" s="1112">
        <f>($C290*0.18)+$C290</f>
        <v>1770</v>
      </c>
      <c r="V290" s="1112">
        <f>($C290*0.19)+$C290</f>
        <v>1785</v>
      </c>
      <c r="W290" s="1112">
        <f>($C290*0.2)+$C290</f>
        <v>1800</v>
      </c>
      <c r="X290" s="1112">
        <f>($C290*0.21)+$C290</f>
        <v>1815</v>
      </c>
      <c r="Y290" s="1112">
        <f>($C290*0.22)+$C290</f>
        <v>1830</v>
      </c>
      <c r="Z290" s="1112">
        <f>($C290*0.23)+$C290</f>
        <v>1845</v>
      </c>
      <c r="AA290" s="1112">
        <f>($C290*0.24)+$C290</f>
        <v>1860</v>
      </c>
      <c r="AB290" s="1112">
        <f>($C290*0.25)+$C290</f>
        <v>1875</v>
      </c>
      <c r="AC290" s="1112">
        <f>($C290*0.26)+$C290</f>
        <v>1890</v>
      </c>
      <c r="AD290" s="1112">
        <f>($C290*0.27)+$C290</f>
        <v>1905</v>
      </c>
      <c r="AE290" s="1112">
        <f>($C290*0.28)+$C290</f>
        <v>1920</v>
      </c>
      <c r="AF290" s="1112">
        <f>($C290*0.29)+$C290</f>
        <v>1935</v>
      </c>
      <c r="AG290" s="1112">
        <f>($C290*0.3)+$C290</f>
        <v>1950</v>
      </c>
    </row>
    <row r="291" spans="1:33" ht="15">
      <c r="A291" s="4" t="s">
        <v>250</v>
      </c>
      <c r="B291" s="4" t="s">
        <v>249</v>
      </c>
      <c r="C291" s="5">
        <v>250</v>
      </c>
      <c r="D291" s="1112">
        <f>($C291*0.01)+$C291</f>
        <v>252.5</v>
      </c>
      <c r="E291" s="1112">
        <f>($C291*0.02)+$C291</f>
        <v>255</v>
      </c>
      <c r="F291" s="1112">
        <f>($C291*0.03)+$C291</f>
        <v>257.5</v>
      </c>
      <c r="G291" s="1112">
        <f>($C291*0.04)+$C291</f>
        <v>260</v>
      </c>
      <c r="H291" s="1112">
        <f>($C291*0.05)+$C291</f>
        <v>262.5</v>
      </c>
      <c r="I291" s="1112">
        <f>($C291*0.06)+$C291</f>
        <v>265</v>
      </c>
      <c r="J291" s="1112">
        <f>($C291*0.07)+$C291</f>
        <v>267.5</v>
      </c>
      <c r="K291" s="1112">
        <f>($C291*0.08)+$C291</f>
        <v>270</v>
      </c>
      <c r="L291" s="1112">
        <f>($C291*0.09)+$C291</f>
        <v>272.5</v>
      </c>
      <c r="M291" s="1112">
        <f>($C291*0.1)+$C291</f>
        <v>275</v>
      </c>
      <c r="N291" s="1112">
        <f>($C291*0.11)+$C291</f>
        <v>277.5</v>
      </c>
      <c r="O291" s="1112">
        <f>($C291*0.12)+$C291</f>
        <v>280</v>
      </c>
      <c r="P291" s="1112">
        <f>($C291*0.13)+$C291</f>
        <v>282.5</v>
      </c>
      <c r="Q291" s="1112">
        <f>($C291*0.14)+$C291</f>
        <v>285</v>
      </c>
      <c r="R291" s="1112">
        <f>($C291*0.15)+$C291</f>
        <v>287.5</v>
      </c>
      <c r="S291" s="1112">
        <f>($C291*0.16)+$C291</f>
        <v>290</v>
      </c>
      <c r="T291" s="1112">
        <f>($C291*0.17)+$C291</f>
        <v>292.5</v>
      </c>
      <c r="U291" s="1112">
        <f>($C291*0.18)+$C291</f>
        <v>295</v>
      </c>
      <c r="V291" s="1112">
        <f>($C291*0.19)+$C291</f>
        <v>297.5</v>
      </c>
      <c r="W291" s="1112">
        <f>($C291*0.2)+$C291</f>
        <v>300</v>
      </c>
      <c r="X291" s="1112">
        <f>($C291*0.21)+$C291</f>
        <v>302.5</v>
      </c>
      <c r="Y291" s="1112">
        <f>($C291*0.22)+$C291</f>
        <v>305</v>
      </c>
      <c r="Z291" s="1112">
        <f>($C291*0.23)+$C291</f>
        <v>307.5</v>
      </c>
      <c r="AA291" s="1112">
        <f>($C291*0.24)+$C291</f>
        <v>310</v>
      </c>
      <c r="AB291" s="1112">
        <f>($C291*0.25)+$C291</f>
        <v>312.5</v>
      </c>
      <c r="AC291" s="1112">
        <f>($C291*0.26)+$C291</f>
        <v>315</v>
      </c>
      <c r="AD291" s="1112">
        <f>($C291*0.27)+$C291</f>
        <v>317.5</v>
      </c>
      <c r="AE291" s="1112">
        <f>($C291*0.28)+$C291</f>
        <v>320</v>
      </c>
      <c r="AF291" s="1112">
        <f>($C291*0.29)+$C291</f>
        <v>322.5</v>
      </c>
      <c r="AG291" s="1112">
        <f>($C291*0.3)+$C291</f>
        <v>325</v>
      </c>
    </row>
    <row r="292" spans="1:33" ht="15">
      <c r="A292" s="4" t="s">
        <v>252</v>
      </c>
      <c r="B292" s="4" t="s">
        <v>251</v>
      </c>
      <c r="C292" s="5">
        <v>400</v>
      </c>
      <c r="D292" s="1112">
        <f>($C292*0.01)+$C292</f>
        <v>404</v>
      </c>
      <c r="E292" s="1112">
        <f>($C292*0.02)+$C292</f>
        <v>408</v>
      </c>
      <c r="F292" s="1112">
        <f>($C292*0.03)+$C292</f>
        <v>412</v>
      </c>
      <c r="G292" s="1112">
        <f>($C292*0.04)+$C292</f>
        <v>416</v>
      </c>
      <c r="H292" s="1112">
        <f>($C292*0.05)+$C292</f>
        <v>420</v>
      </c>
      <c r="I292" s="1112">
        <f>($C292*0.06)+$C292</f>
        <v>424</v>
      </c>
      <c r="J292" s="1112">
        <f>($C292*0.07)+$C292</f>
        <v>428</v>
      </c>
      <c r="K292" s="1112">
        <f>($C292*0.08)+$C292</f>
        <v>432</v>
      </c>
      <c r="L292" s="1112">
        <f>($C292*0.09)+$C292</f>
        <v>436</v>
      </c>
      <c r="M292" s="1112">
        <f>($C292*0.1)+$C292</f>
        <v>440</v>
      </c>
      <c r="N292" s="1112">
        <f>($C292*0.11)+$C292</f>
        <v>444</v>
      </c>
      <c r="O292" s="1112">
        <f>($C292*0.12)+$C292</f>
        <v>448</v>
      </c>
      <c r="P292" s="1112">
        <f>($C292*0.13)+$C292</f>
        <v>452</v>
      </c>
      <c r="Q292" s="1112">
        <f>($C292*0.14)+$C292</f>
        <v>456</v>
      </c>
      <c r="R292" s="1112">
        <f>($C292*0.15)+$C292</f>
        <v>460</v>
      </c>
      <c r="S292" s="1112">
        <f>($C292*0.16)+$C292</f>
        <v>464</v>
      </c>
      <c r="T292" s="1112">
        <f>($C292*0.17)+$C292</f>
        <v>468</v>
      </c>
      <c r="U292" s="1112">
        <f>($C292*0.18)+$C292</f>
        <v>472</v>
      </c>
      <c r="V292" s="1112">
        <f>($C292*0.19)+$C292</f>
        <v>476</v>
      </c>
      <c r="W292" s="1112">
        <f>($C292*0.2)+$C292</f>
        <v>480</v>
      </c>
      <c r="X292" s="1112">
        <f>($C292*0.21)+$C292</f>
        <v>484</v>
      </c>
      <c r="Y292" s="1112">
        <f>($C292*0.22)+$C292</f>
        <v>488</v>
      </c>
      <c r="Z292" s="1112">
        <f>($C292*0.23)+$C292</f>
        <v>492</v>
      </c>
      <c r="AA292" s="1112">
        <f>($C292*0.24)+$C292</f>
        <v>496</v>
      </c>
      <c r="AB292" s="1112">
        <f>($C292*0.25)+$C292</f>
        <v>500</v>
      </c>
      <c r="AC292" s="1112">
        <f>($C292*0.26)+$C292</f>
        <v>504</v>
      </c>
      <c r="AD292" s="1112">
        <f>($C292*0.27)+$C292</f>
        <v>508</v>
      </c>
      <c r="AE292" s="1112">
        <f>($C292*0.28)+$C292</f>
        <v>512</v>
      </c>
      <c r="AF292" s="1112">
        <f>($C292*0.29)+$C292</f>
        <v>516</v>
      </c>
      <c r="AG292" s="1112">
        <f>($C292*0.3)+$C292</f>
        <v>520</v>
      </c>
    </row>
    <row r="293" spans="1:33" ht="15">
      <c r="A293" s="4" t="s">
        <v>254</v>
      </c>
      <c r="B293" s="4" t="s">
        <v>253</v>
      </c>
      <c r="C293" s="5">
        <v>700</v>
      </c>
      <c r="D293" s="1112">
        <f>($C293*0.01)+$C293</f>
        <v>707</v>
      </c>
      <c r="E293" s="1112">
        <f>($C293*0.02)+$C293</f>
        <v>714</v>
      </c>
      <c r="F293" s="1112">
        <f>($C293*0.03)+$C293</f>
        <v>721</v>
      </c>
      <c r="G293" s="1112">
        <f>($C293*0.04)+$C293</f>
        <v>728</v>
      </c>
      <c r="H293" s="1112">
        <f>($C293*0.05)+$C293</f>
        <v>735</v>
      </c>
      <c r="I293" s="1112">
        <f>($C293*0.06)+$C293</f>
        <v>742</v>
      </c>
      <c r="J293" s="1112">
        <f>($C293*0.07)+$C293</f>
        <v>749</v>
      </c>
      <c r="K293" s="1112">
        <f>($C293*0.08)+$C293</f>
        <v>756</v>
      </c>
      <c r="L293" s="1112">
        <f>($C293*0.09)+$C293</f>
        <v>763</v>
      </c>
      <c r="M293" s="1112">
        <f>($C293*0.1)+$C293</f>
        <v>770</v>
      </c>
      <c r="N293" s="1112">
        <f>($C293*0.11)+$C293</f>
        <v>777</v>
      </c>
      <c r="O293" s="1112">
        <f>($C293*0.12)+$C293</f>
        <v>784</v>
      </c>
      <c r="P293" s="1112">
        <f>($C293*0.13)+$C293</f>
        <v>791</v>
      </c>
      <c r="Q293" s="1112">
        <f>($C293*0.14)+$C293</f>
        <v>798</v>
      </c>
      <c r="R293" s="1112">
        <f>($C293*0.15)+$C293</f>
        <v>805</v>
      </c>
      <c r="S293" s="1112">
        <f>($C293*0.16)+$C293</f>
        <v>812</v>
      </c>
      <c r="T293" s="1112">
        <f>($C293*0.17)+$C293</f>
        <v>819</v>
      </c>
      <c r="U293" s="1112">
        <f>($C293*0.18)+$C293</f>
        <v>826</v>
      </c>
      <c r="V293" s="1112">
        <f>($C293*0.19)+$C293</f>
        <v>833</v>
      </c>
      <c r="W293" s="1112">
        <f>($C293*0.2)+$C293</f>
        <v>840</v>
      </c>
      <c r="X293" s="1112">
        <f>($C293*0.21)+$C293</f>
        <v>847</v>
      </c>
      <c r="Y293" s="1112">
        <f>($C293*0.22)+$C293</f>
        <v>854</v>
      </c>
      <c r="Z293" s="1112">
        <f>($C293*0.23)+$C293</f>
        <v>861</v>
      </c>
      <c r="AA293" s="1112">
        <f>($C293*0.24)+$C293</f>
        <v>868</v>
      </c>
      <c r="AB293" s="1112">
        <f>($C293*0.25)+$C293</f>
        <v>875</v>
      </c>
      <c r="AC293" s="1112">
        <f>($C293*0.26)+$C293</f>
        <v>882</v>
      </c>
      <c r="AD293" s="1112">
        <f>($C293*0.27)+$C293</f>
        <v>889</v>
      </c>
      <c r="AE293" s="1112">
        <f>($C293*0.28)+$C293</f>
        <v>896</v>
      </c>
      <c r="AF293" s="1112">
        <f>($C293*0.29)+$C293</f>
        <v>903</v>
      </c>
      <c r="AG293" s="1112">
        <f>($C293*0.3)+$C293</f>
        <v>910</v>
      </c>
    </row>
    <row r="294" spans="1:33" ht="30">
      <c r="A294" s="4" t="s">
        <v>256</v>
      </c>
      <c r="B294" s="4" t="s">
        <v>255</v>
      </c>
      <c r="C294" s="5">
        <v>400</v>
      </c>
      <c r="D294" s="1112">
        <f>($C294*0.01)+$C294</f>
        <v>404</v>
      </c>
      <c r="E294" s="1112">
        <f>($C294*0.02)+$C294</f>
        <v>408</v>
      </c>
      <c r="F294" s="1112">
        <f>($C294*0.03)+$C294</f>
        <v>412</v>
      </c>
      <c r="G294" s="1112">
        <f>($C294*0.04)+$C294</f>
        <v>416</v>
      </c>
      <c r="H294" s="1112">
        <f>($C294*0.05)+$C294</f>
        <v>420</v>
      </c>
      <c r="I294" s="1112">
        <f>($C294*0.06)+$C294</f>
        <v>424</v>
      </c>
      <c r="J294" s="1112">
        <f>($C294*0.07)+$C294</f>
        <v>428</v>
      </c>
      <c r="K294" s="1112">
        <f>($C294*0.08)+$C294</f>
        <v>432</v>
      </c>
      <c r="L294" s="1112">
        <f>($C294*0.09)+$C294</f>
        <v>436</v>
      </c>
      <c r="M294" s="1112">
        <f>($C294*0.1)+$C294</f>
        <v>440</v>
      </c>
      <c r="N294" s="1112">
        <f>($C294*0.11)+$C294</f>
        <v>444</v>
      </c>
      <c r="O294" s="1112">
        <f>($C294*0.12)+$C294</f>
        <v>448</v>
      </c>
      <c r="P294" s="1112">
        <f>($C294*0.13)+$C294</f>
        <v>452</v>
      </c>
      <c r="Q294" s="1112">
        <f>($C294*0.14)+$C294</f>
        <v>456</v>
      </c>
      <c r="R294" s="1112">
        <f>($C294*0.15)+$C294</f>
        <v>460</v>
      </c>
      <c r="S294" s="1112">
        <f>($C294*0.16)+$C294</f>
        <v>464</v>
      </c>
      <c r="T294" s="1112">
        <f>($C294*0.17)+$C294</f>
        <v>468</v>
      </c>
      <c r="U294" s="1112">
        <f>($C294*0.18)+$C294</f>
        <v>472</v>
      </c>
      <c r="V294" s="1112">
        <f>($C294*0.19)+$C294</f>
        <v>476</v>
      </c>
      <c r="W294" s="1112">
        <f>($C294*0.2)+$C294</f>
        <v>480</v>
      </c>
      <c r="X294" s="1112">
        <f>($C294*0.21)+$C294</f>
        <v>484</v>
      </c>
      <c r="Y294" s="1112">
        <f>($C294*0.22)+$C294</f>
        <v>488</v>
      </c>
      <c r="Z294" s="1112">
        <f>($C294*0.23)+$C294</f>
        <v>492</v>
      </c>
      <c r="AA294" s="1112">
        <f>($C294*0.24)+$C294</f>
        <v>496</v>
      </c>
      <c r="AB294" s="1112">
        <f>($C294*0.25)+$C294</f>
        <v>500</v>
      </c>
      <c r="AC294" s="1112">
        <f>($C294*0.26)+$C294</f>
        <v>504</v>
      </c>
      <c r="AD294" s="1112">
        <f>($C294*0.27)+$C294</f>
        <v>508</v>
      </c>
      <c r="AE294" s="1112">
        <f>($C294*0.28)+$C294</f>
        <v>512</v>
      </c>
      <c r="AF294" s="1112">
        <f>($C294*0.29)+$C294</f>
        <v>516</v>
      </c>
      <c r="AG294" s="1112">
        <f>($C294*0.3)+$C294</f>
        <v>520</v>
      </c>
    </row>
    <row r="295" spans="1:33" ht="15">
      <c r="A295" s="4" t="s">
        <v>257</v>
      </c>
      <c r="B295" s="4" t="s">
        <v>258</v>
      </c>
      <c r="C295" s="5">
        <v>400</v>
      </c>
      <c r="D295" s="1112">
        <f>($C295*0.01)+$C295</f>
        <v>404</v>
      </c>
      <c r="E295" s="1112">
        <f>($C295*0.02)+$C295</f>
        <v>408</v>
      </c>
      <c r="F295" s="1112">
        <f>($C295*0.03)+$C295</f>
        <v>412</v>
      </c>
      <c r="G295" s="1112">
        <f>($C295*0.04)+$C295</f>
        <v>416</v>
      </c>
      <c r="H295" s="1112">
        <f>($C295*0.05)+$C295</f>
        <v>420</v>
      </c>
      <c r="I295" s="1112">
        <f>($C295*0.06)+$C295</f>
        <v>424</v>
      </c>
      <c r="J295" s="1112">
        <f>($C295*0.07)+$C295</f>
        <v>428</v>
      </c>
      <c r="K295" s="1112">
        <f>($C295*0.08)+$C295</f>
        <v>432</v>
      </c>
      <c r="L295" s="1112">
        <f>($C295*0.09)+$C295</f>
        <v>436</v>
      </c>
      <c r="M295" s="1112">
        <f>($C295*0.1)+$C295</f>
        <v>440</v>
      </c>
      <c r="N295" s="1112">
        <f>($C295*0.11)+$C295</f>
        <v>444</v>
      </c>
      <c r="O295" s="1112">
        <f>($C295*0.12)+$C295</f>
        <v>448</v>
      </c>
      <c r="P295" s="1112">
        <f>($C295*0.13)+$C295</f>
        <v>452</v>
      </c>
      <c r="Q295" s="1112">
        <f>($C295*0.14)+$C295</f>
        <v>456</v>
      </c>
      <c r="R295" s="1112">
        <f>($C295*0.15)+$C295</f>
        <v>460</v>
      </c>
      <c r="S295" s="1112">
        <f>($C295*0.16)+$C295</f>
        <v>464</v>
      </c>
      <c r="T295" s="1112">
        <f>($C295*0.17)+$C295</f>
        <v>468</v>
      </c>
      <c r="U295" s="1112">
        <f>($C295*0.18)+$C295</f>
        <v>472</v>
      </c>
      <c r="V295" s="1112">
        <f>($C295*0.19)+$C295</f>
        <v>476</v>
      </c>
      <c r="W295" s="1112">
        <f>($C295*0.2)+$C295</f>
        <v>480</v>
      </c>
      <c r="X295" s="1112">
        <f>($C295*0.21)+$C295</f>
        <v>484</v>
      </c>
      <c r="Y295" s="1112">
        <f>($C295*0.22)+$C295</f>
        <v>488</v>
      </c>
      <c r="Z295" s="1112">
        <f>($C295*0.23)+$C295</f>
        <v>492</v>
      </c>
      <c r="AA295" s="1112">
        <f>($C295*0.24)+$C295</f>
        <v>496</v>
      </c>
      <c r="AB295" s="1112">
        <f>($C295*0.25)+$C295</f>
        <v>500</v>
      </c>
      <c r="AC295" s="1112">
        <f>($C295*0.26)+$C295</f>
        <v>504</v>
      </c>
      <c r="AD295" s="1112">
        <f>($C295*0.27)+$C295</f>
        <v>508</v>
      </c>
      <c r="AE295" s="1112">
        <f>($C295*0.28)+$C295</f>
        <v>512</v>
      </c>
      <c r="AF295" s="1112">
        <f>($C295*0.29)+$C295</f>
        <v>516</v>
      </c>
      <c r="AG295" s="1112">
        <f>($C295*0.3)+$C295</f>
        <v>520</v>
      </c>
    </row>
    <row r="296" spans="1:33" ht="15">
      <c r="A296" s="4" t="s">
        <v>260</v>
      </c>
      <c r="B296" s="4" t="s">
        <v>243</v>
      </c>
      <c r="C296" s="5">
        <v>600</v>
      </c>
      <c r="D296" s="1112">
        <f>($C296*0.01)+$C296</f>
        <v>606</v>
      </c>
      <c r="E296" s="1112">
        <f>($C296*0.02)+$C296</f>
        <v>612</v>
      </c>
      <c r="F296" s="1112">
        <f>($C296*0.03)+$C296</f>
        <v>618</v>
      </c>
      <c r="G296" s="1112">
        <f>($C296*0.04)+$C296</f>
        <v>624</v>
      </c>
      <c r="H296" s="1112">
        <f>($C296*0.05)+$C296</f>
        <v>630</v>
      </c>
      <c r="I296" s="1112">
        <f>($C296*0.06)+$C296</f>
        <v>636</v>
      </c>
      <c r="J296" s="1112">
        <f>($C296*0.07)+$C296</f>
        <v>642</v>
      </c>
      <c r="K296" s="1112">
        <f>($C296*0.08)+$C296</f>
        <v>648</v>
      </c>
      <c r="L296" s="1112">
        <f>($C296*0.09)+$C296</f>
        <v>654</v>
      </c>
      <c r="M296" s="1112">
        <f>($C296*0.1)+$C296</f>
        <v>660</v>
      </c>
      <c r="N296" s="1112">
        <f>($C296*0.11)+$C296</f>
        <v>666</v>
      </c>
      <c r="O296" s="1112">
        <f>($C296*0.12)+$C296</f>
        <v>672</v>
      </c>
      <c r="P296" s="1112">
        <f>($C296*0.13)+$C296</f>
        <v>678</v>
      </c>
      <c r="Q296" s="1112">
        <f>($C296*0.14)+$C296</f>
        <v>684</v>
      </c>
      <c r="R296" s="1112">
        <f>($C296*0.15)+$C296</f>
        <v>690</v>
      </c>
      <c r="S296" s="1112">
        <f>($C296*0.16)+$C296</f>
        <v>696</v>
      </c>
      <c r="T296" s="1112">
        <f>($C296*0.17)+$C296</f>
        <v>702</v>
      </c>
      <c r="U296" s="1112">
        <f>($C296*0.18)+$C296</f>
        <v>708</v>
      </c>
      <c r="V296" s="1112">
        <f>($C296*0.19)+$C296</f>
        <v>714</v>
      </c>
      <c r="W296" s="1112">
        <f>($C296*0.2)+$C296</f>
        <v>720</v>
      </c>
      <c r="X296" s="1112">
        <f>($C296*0.21)+$C296</f>
        <v>726</v>
      </c>
      <c r="Y296" s="1112">
        <f>($C296*0.22)+$C296</f>
        <v>732</v>
      </c>
      <c r="Z296" s="1112">
        <f>($C296*0.23)+$C296</f>
        <v>738</v>
      </c>
      <c r="AA296" s="1112">
        <f>($C296*0.24)+$C296</f>
        <v>744</v>
      </c>
      <c r="AB296" s="1112">
        <f>($C296*0.25)+$C296</f>
        <v>750</v>
      </c>
      <c r="AC296" s="1112">
        <f>($C296*0.26)+$C296</f>
        <v>756</v>
      </c>
      <c r="AD296" s="1112">
        <f>($C296*0.27)+$C296</f>
        <v>762</v>
      </c>
      <c r="AE296" s="1112">
        <f>($C296*0.28)+$C296</f>
        <v>768</v>
      </c>
      <c r="AF296" s="1112">
        <f>($C296*0.29)+$C296</f>
        <v>774</v>
      </c>
      <c r="AG296" s="1112">
        <f>($C296*0.3)+$C296</f>
        <v>780</v>
      </c>
    </row>
    <row r="297" spans="1:33" ht="30">
      <c r="A297" s="4" t="s">
        <v>246</v>
      </c>
      <c r="B297" s="4" t="s">
        <v>259</v>
      </c>
      <c r="C297" s="5">
        <v>1800</v>
      </c>
      <c r="D297" s="1112">
        <f>($C297*0.01)+$C297</f>
        <v>1818</v>
      </c>
      <c r="E297" s="1112">
        <f>($C297*0.02)+$C297</f>
        <v>1836</v>
      </c>
      <c r="F297" s="1112">
        <f>($C297*0.03)+$C297</f>
        <v>1854</v>
      </c>
      <c r="G297" s="1112">
        <f>($C297*0.04)+$C297</f>
        <v>1872</v>
      </c>
      <c r="H297" s="1112">
        <f>($C297*0.05)+$C297</f>
        <v>1890</v>
      </c>
      <c r="I297" s="1112">
        <f>($C297*0.06)+$C297</f>
        <v>1908</v>
      </c>
      <c r="J297" s="1112">
        <f>($C297*0.07)+$C297</f>
        <v>1926</v>
      </c>
      <c r="K297" s="1112">
        <f>($C297*0.08)+$C297</f>
        <v>1944</v>
      </c>
      <c r="L297" s="1112">
        <f>($C297*0.09)+$C297</f>
        <v>1962</v>
      </c>
      <c r="M297" s="1112">
        <f>($C297*0.1)+$C297</f>
        <v>1980</v>
      </c>
      <c r="N297" s="1112">
        <f>($C297*0.11)+$C297</f>
        <v>1998</v>
      </c>
      <c r="O297" s="1112">
        <f>($C297*0.12)+$C297</f>
        <v>2016</v>
      </c>
      <c r="P297" s="1112">
        <f>($C297*0.13)+$C297</f>
        <v>2034</v>
      </c>
      <c r="Q297" s="1112">
        <f>($C297*0.14)+$C297</f>
        <v>2052</v>
      </c>
      <c r="R297" s="1112">
        <f>($C297*0.15)+$C297</f>
        <v>2070</v>
      </c>
      <c r="S297" s="1112">
        <f>($C297*0.16)+$C297</f>
        <v>2088</v>
      </c>
      <c r="T297" s="1112">
        <f>($C297*0.17)+$C297</f>
        <v>2106</v>
      </c>
      <c r="U297" s="1112">
        <f>($C297*0.18)+$C297</f>
        <v>2124</v>
      </c>
      <c r="V297" s="1112">
        <f>($C297*0.19)+$C297</f>
        <v>2142</v>
      </c>
      <c r="W297" s="1112">
        <f>($C297*0.2)+$C297</f>
        <v>2160</v>
      </c>
      <c r="X297" s="1112">
        <f>($C297*0.21)+$C297</f>
        <v>2178</v>
      </c>
      <c r="Y297" s="1112">
        <f>($C297*0.22)+$C297</f>
        <v>2196</v>
      </c>
      <c r="Z297" s="1112">
        <f>($C297*0.23)+$C297</f>
        <v>2214</v>
      </c>
      <c r="AA297" s="1112">
        <f>($C297*0.24)+$C297</f>
        <v>2232</v>
      </c>
      <c r="AB297" s="1112">
        <f>($C297*0.25)+$C297</f>
        <v>2250</v>
      </c>
      <c r="AC297" s="1112">
        <f>($C297*0.26)+$C297</f>
        <v>2268</v>
      </c>
      <c r="AD297" s="1112">
        <f>($C297*0.27)+$C297</f>
        <v>2286</v>
      </c>
      <c r="AE297" s="1112">
        <f>($C297*0.28)+$C297</f>
        <v>2304</v>
      </c>
      <c r="AF297" s="1112">
        <f>($C297*0.29)+$C297</f>
        <v>2322</v>
      </c>
      <c r="AG297" s="1112">
        <f>($C297*0.3)+$C297</f>
        <v>2340</v>
      </c>
    </row>
    <row r="298" spans="1:33" ht="30">
      <c r="A298" s="4" t="s">
        <v>22067</v>
      </c>
      <c r="B298" s="4" t="s">
        <v>22066</v>
      </c>
      <c r="C298" s="5">
        <v>5000</v>
      </c>
      <c r="D298" s="1112">
        <f>($C298*0.01)+$C298</f>
        <v>5050</v>
      </c>
      <c r="E298" s="1112">
        <f>($C298*0.02)+$C298</f>
        <v>5100</v>
      </c>
      <c r="F298" s="1112">
        <f>($C298*0.03)+$C298</f>
        <v>5150</v>
      </c>
      <c r="G298" s="1112">
        <f>($C298*0.04)+$C298</f>
        <v>5200</v>
      </c>
      <c r="H298" s="1112">
        <f>($C298*0.05)+$C298</f>
        <v>5250</v>
      </c>
      <c r="I298" s="1112">
        <f>($C298*0.06)+$C298</f>
        <v>5300</v>
      </c>
      <c r="J298" s="1112">
        <f>($C298*0.07)+$C298</f>
        <v>5350</v>
      </c>
      <c r="K298" s="1112">
        <f>($C298*0.08)+$C298</f>
        <v>5400</v>
      </c>
      <c r="L298" s="1112">
        <f>($C298*0.09)+$C298</f>
        <v>5450</v>
      </c>
      <c r="M298" s="1112">
        <f>($C298*0.1)+$C298</f>
        <v>5500</v>
      </c>
      <c r="N298" s="1112">
        <f>($C298*0.11)+$C298</f>
        <v>5550</v>
      </c>
      <c r="O298" s="1112">
        <f>($C298*0.12)+$C298</f>
        <v>5600</v>
      </c>
      <c r="P298" s="1112">
        <f>($C298*0.13)+$C298</f>
        <v>5650</v>
      </c>
      <c r="Q298" s="1112">
        <f>($C298*0.14)+$C298</f>
        <v>5700</v>
      </c>
      <c r="R298" s="1112">
        <f>($C298*0.15)+$C298</f>
        <v>5750</v>
      </c>
      <c r="S298" s="1112">
        <f>($C298*0.16)+$C298</f>
        <v>5800</v>
      </c>
      <c r="T298" s="1112">
        <f>($C298*0.17)+$C298</f>
        <v>5850</v>
      </c>
      <c r="U298" s="1112">
        <f>($C298*0.18)+$C298</f>
        <v>5900</v>
      </c>
      <c r="V298" s="1112">
        <f>($C298*0.19)+$C298</f>
        <v>5950</v>
      </c>
      <c r="W298" s="1112">
        <f>($C298*0.2)+$C298</f>
        <v>6000</v>
      </c>
      <c r="X298" s="1112">
        <f>($C298*0.21)+$C298</f>
        <v>6050</v>
      </c>
      <c r="Y298" s="1112">
        <f>($C298*0.22)+$C298</f>
        <v>6100</v>
      </c>
      <c r="Z298" s="1112">
        <f>($C298*0.23)+$C298</f>
        <v>6150</v>
      </c>
      <c r="AA298" s="1112">
        <f>($C298*0.24)+$C298</f>
        <v>6200</v>
      </c>
      <c r="AB298" s="1112">
        <f>($C298*0.25)+$C298</f>
        <v>6250</v>
      </c>
      <c r="AC298" s="1112">
        <f>($C298*0.26)+$C298</f>
        <v>6300</v>
      </c>
      <c r="AD298" s="1112">
        <f>($C298*0.27)+$C298</f>
        <v>6350</v>
      </c>
      <c r="AE298" s="1112">
        <f>($C298*0.28)+$C298</f>
        <v>6400</v>
      </c>
      <c r="AF298" s="1112">
        <f>($C298*0.29)+$C298</f>
        <v>6450</v>
      </c>
      <c r="AG298" s="1112">
        <f>($C298*0.3)+$C298</f>
        <v>6500</v>
      </c>
    </row>
    <row r="299" spans="1:33" ht="30">
      <c r="A299" s="4" t="s">
        <v>22069</v>
      </c>
      <c r="B299" s="4" t="s">
        <v>22068</v>
      </c>
      <c r="C299" s="5">
        <v>5000</v>
      </c>
      <c r="D299" s="1112">
        <f>($C299*0.01)+$C299</f>
        <v>5050</v>
      </c>
      <c r="E299" s="1112">
        <f>($C299*0.02)+$C299</f>
        <v>5100</v>
      </c>
      <c r="F299" s="1112">
        <f>($C299*0.03)+$C299</f>
        <v>5150</v>
      </c>
      <c r="G299" s="1112">
        <f>($C299*0.04)+$C299</f>
        <v>5200</v>
      </c>
      <c r="H299" s="1112">
        <f>($C299*0.05)+$C299</f>
        <v>5250</v>
      </c>
      <c r="I299" s="1112">
        <f>($C299*0.06)+$C299</f>
        <v>5300</v>
      </c>
      <c r="J299" s="1112">
        <f>($C299*0.07)+$C299</f>
        <v>5350</v>
      </c>
      <c r="K299" s="1112">
        <f>($C299*0.08)+$C299</f>
        <v>5400</v>
      </c>
      <c r="L299" s="1112">
        <f>($C299*0.09)+$C299</f>
        <v>5450</v>
      </c>
      <c r="M299" s="1112">
        <f>($C299*0.1)+$C299</f>
        <v>5500</v>
      </c>
      <c r="N299" s="1112">
        <f>($C299*0.11)+$C299</f>
        <v>5550</v>
      </c>
      <c r="O299" s="1112">
        <f>($C299*0.12)+$C299</f>
        <v>5600</v>
      </c>
      <c r="P299" s="1112">
        <f>($C299*0.13)+$C299</f>
        <v>5650</v>
      </c>
      <c r="Q299" s="1112">
        <f>($C299*0.14)+$C299</f>
        <v>5700</v>
      </c>
      <c r="R299" s="1112">
        <f>($C299*0.15)+$C299</f>
        <v>5750</v>
      </c>
      <c r="S299" s="1112">
        <f>($C299*0.16)+$C299</f>
        <v>5800</v>
      </c>
      <c r="T299" s="1112">
        <f>($C299*0.17)+$C299</f>
        <v>5850</v>
      </c>
      <c r="U299" s="1112">
        <f>($C299*0.18)+$C299</f>
        <v>5900</v>
      </c>
      <c r="V299" s="1112">
        <f>($C299*0.19)+$C299</f>
        <v>5950</v>
      </c>
      <c r="W299" s="1112">
        <f>($C299*0.2)+$C299</f>
        <v>6000</v>
      </c>
      <c r="X299" s="1112">
        <f>($C299*0.21)+$C299</f>
        <v>6050</v>
      </c>
      <c r="Y299" s="1112">
        <f>($C299*0.22)+$C299</f>
        <v>6100</v>
      </c>
      <c r="Z299" s="1112">
        <f>($C299*0.23)+$C299</f>
        <v>6150</v>
      </c>
      <c r="AA299" s="1112">
        <f>($C299*0.24)+$C299</f>
        <v>6200</v>
      </c>
      <c r="AB299" s="1112">
        <f>($C299*0.25)+$C299</f>
        <v>6250</v>
      </c>
      <c r="AC299" s="1112">
        <f>($C299*0.26)+$C299</f>
        <v>6300</v>
      </c>
      <c r="AD299" s="1112">
        <f>($C299*0.27)+$C299</f>
        <v>6350</v>
      </c>
      <c r="AE299" s="1112">
        <f>($C299*0.28)+$C299</f>
        <v>6400</v>
      </c>
      <c r="AF299" s="1112">
        <f>($C299*0.29)+$C299</f>
        <v>6450</v>
      </c>
      <c r="AG299" s="1112">
        <f>($C299*0.3)+$C299</f>
        <v>6500</v>
      </c>
    </row>
    <row r="300" spans="1:33" ht="30">
      <c r="A300" s="4" t="s">
        <v>22071</v>
      </c>
      <c r="B300" s="4" t="s">
        <v>22070</v>
      </c>
      <c r="C300" s="5">
        <v>5000</v>
      </c>
      <c r="D300" s="1112">
        <f>($C300*0.01)+$C300</f>
        <v>5050</v>
      </c>
      <c r="E300" s="1112">
        <f>($C300*0.02)+$C300</f>
        <v>5100</v>
      </c>
      <c r="F300" s="1112">
        <f>($C300*0.03)+$C300</f>
        <v>5150</v>
      </c>
      <c r="G300" s="1112">
        <f>($C300*0.04)+$C300</f>
        <v>5200</v>
      </c>
      <c r="H300" s="1112">
        <f>($C300*0.05)+$C300</f>
        <v>5250</v>
      </c>
      <c r="I300" s="1112">
        <f>($C300*0.06)+$C300</f>
        <v>5300</v>
      </c>
      <c r="J300" s="1112">
        <f>($C300*0.07)+$C300</f>
        <v>5350</v>
      </c>
      <c r="K300" s="1112">
        <f>($C300*0.08)+$C300</f>
        <v>5400</v>
      </c>
      <c r="L300" s="1112">
        <f>($C300*0.09)+$C300</f>
        <v>5450</v>
      </c>
      <c r="M300" s="1112">
        <f>($C300*0.1)+$C300</f>
        <v>5500</v>
      </c>
      <c r="N300" s="1112">
        <f>($C300*0.11)+$C300</f>
        <v>5550</v>
      </c>
      <c r="O300" s="1112">
        <f>($C300*0.12)+$C300</f>
        <v>5600</v>
      </c>
      <c r="P300" s="1112">
        <f>($C300*0.13)+$C300</f>
        <v>5650</v>
      </c>
      <c r="Q300" s="1112">
        <f>($C300*0.14)+$C300</f>
        <v>5700</v>
      </c>
      <c r="R300" s="1112">
        <f>($C300*0.15)+$C300</f>
        <v>5750</v>
      </c>
      <c r="S300" s="1112">
        <f>($C300*0.16)+$C300</f>
        <v>5800</v>
      </c>
      <c r="T300" s="1112">
        <f>($C300*0.17)+$C300</f>
        <v>5850</v>
      </c>
      <c r="U300" s="1112">
        <f>($C300*0.18)+$C300</f>
        <v>5900</v>
      </c>
      <c r="V300" s="1112">
        <f>($C300*0.19)+$C300</f>
        <v>5950</v>
      </c>
      <c r="W300" s="1112">
        <f>($C300*0.2)+$C300</f>
        <v>6000</v>
      </c>
      <c r="X300" s="1112">
        <f>($C300*0.21)+$C300</f>
        <v>6050</v>
      </c>
      <c r="Y300" s="1112">
        <f>($C300*0.22)+$C300</f>
        <v>6100</v>
      </c>
      <c r="Z300" s="1112">
        <f>($C300*0.23)+$C300</f>
        <v>6150</v>
      </c>
      <c r="AA300" s="1112">
        <f>($C300*0.24)+$C300</f>
        <v>6200</v>
      </c>
      <c r="AB300" s="1112">
        <f>($C300*0.25)+$C300</f>
        <v>6250</v>
      </c>
      <c r="AC300" s="1112">
        <f>($C300*0.26)+$C300</f>
        <v>6300</v>
      </c>
      <c r="AD300" s="1112">
        <f>($C300*0.27)+$C300</f>
        <v>6350</v>
      </c>
      <c r="AE300" s="1112">
        <f>($C300*0.28)+$C300</f>
        <v>6400</v>
      </c>
      <c r="AF300" s="1112">
        <f>($C300*0.29)+$C300</f>
        <v>6450</v>
      </c>
      <c r="AG300" s="1112">
        <f>($C300*0.3)+$C300</f>
        <v>6500</v>
      </c>
    </row>
    <row r="301" spans="1:33" ht="15">
      <c r="A301" s="4" t="s">
        <v>22081</v>
      </c>
      <c r="B301" s="4" t="s">
        <v>22072</v>
      </c>
      <c r="C301" s="5">
        <v>500</v>
      </c>
      <c r="D301" s="1112">
        <f>($C301*0.01)+$C301</f>
        <v>505</v>
      </c>
      <c r="E301" s="1112">
        <f>($C301*0.02)+$C301</f>
        <v>510</v>
      </c>
      <c r="F301" s="1112">
        <f>($C301*0.03)+$C301</f>
        <v>515</v>
      </c>
      <c r="G301" s="1112">
        <f>($C301*0.04)+$C301</f>
        <v>520</v>
      </c>
      <c r="H301" s="1112">
        <f>($C301*0.05)+$C301</f>
        <v>525</v>
      </c>
      <c r="I301" s="1112">
        <f>($C301*0.06)+$C301</f>
        <v>530</v>
      </c>
      <c r="J301" s="1112">
        <f>($C301*0.07)+$C301</f>
        <v>535</v>
      </c>
      <c r="K301" s="1112">
        <f>($C301*0.08)+$C301</f>
        <v>540</v>
      </c>
      <c r="L301" s="1112">
        <f>($C301*0.09)+$C301</f>
        <v>545</v>
      </c>
      <c r="M301" s="1112">
        <f>($C301*0.1)+$C301</f>
        <v>550</v>
      </c>
      <c r="N301" s="1112">
        <f>($C301*0.11)+$C301</f>
        <v>555</v>
      </c>
      <c r="O301" s="1112">
        <f>($C301*0.12)+$C301</f>
        <v>560</v>
      </c>
      <c r="P301" s="1112">
        <f>($C301*0.13)+$C301</f>
        <v>565</v>
      </c>
      <c r="Q301" s="1112">
        <f>($C301*0.14)+$C301</f>
        <v>570</v>
      </c>
      <c r="R301" s="1112">
        <f>($C301*0.15)+$C301</f>
        <v>575</v>
      </c>
      <c r="S301" s="1112">
        <f>($C301*0.16)+$C301</f>
        <v>580</v>
      </c>
      <c r="T301" s="1112">
        <f>($C301*0.17)+$C301</f>
        <v>585</v>
      </c>
      <c r="U301" s="1112">
        <f>($C301*0.18)+$C301</f>
        <v>590</v>
      </c>
      <c r="V301" s="1112">
        <f>($C301*0.19)+$C301</f>
        <v>595</v>
      </c>
      <c r="W301" s="1112">
        <f>($C301*0.2)+$C301</f>
        <v>600</v>
      </c>
      <c r="X301" s="1112">
        <f>($C301*0.21)+$C301</f>
        <v>605</v>
      </c>
      <c r="Y301" s="1112">
        <f>($C301*0.22)+$C301</f>
        <v>610</v>
      </c>
      <c r="Z301" s="1112">
        <f>($C301*0.23)+$C301</f>
        <v>615</v>
      </c>
      <c r="AA301" s="1112">
        <f>($C301*0.24)+$C301</f>
        <v>620</v>
      </c>
      <c r="AB301" s="1112">
        <f>($C301*0.25)+$C301</f>
        <v>625</v>
      </c>
      <c r="AC301" s="1112">
        <f>($C301*0.26)+$C301</f>
        <v>630</v>
      </c>
      <c r="AD301" s="1112">
        <f>($C301*0.27)+$C301</f>
        <v>635</v>
      </c>
      <c r="AE301" s="1112">
        <f>($C301*0.28)+$C301</f>
        <v>640</v>
      </c>
      <c r="AF301" s="1112">
        <f>($C301*0.29)+$C301</f>
        <v>645</v>
      </c>
      <c r="AG301" s="1112">
        <f>($C301*0.3)+$C301</f>
        <v>650</v>
      </c>
    </row>
    <row r="302" spans="1:33" ht="15">
      <c r="A302" s="4" t="s">
        <v>22082</v>
      </c>
      <c r="B302" s="4" t="s">
        <v>22073</v>
      </c>
      <c r="C302" s="5">
        <v>150</v>
      </c>
      <c r="D302" s="1112">
        <f>($C302*0.01)+$C302</f>
        <v>151.5</v>
      </c>
      <c r="E302" s="1112">
        <f>($C302*0.02)+$C302</f>
        <v>153</v>
      </c>
      <c r="F302" s="1112">
        <f>($C302*0.03)+$C302</f>
        <v>154.5</v>
      </c>
      <c r="G302" s="1112">
        <f>($C302*0.04)+$C302</f>
        <v>156</v>
      </c>
      <c r="H302" s="1112">
        <f>($C302*0.05)+$C302</f>
        <v>157.5</v>
      </c>
      <c r="I302" s="1112">
        <f>($C302*0.06)+$C302</f>
        <v>159</v>
      </c>
      <c r="J302" s="1112">
        <f>($C302*0.07)+$C302</f>
        <v>160.5</v>
      </c>
      <c r="K302" s="1112">
        <f>($C302*0.08)+$C302</f>
        <v>162</v>
      </c>
      <c r="L302" s="1112">
        <f>($C302*0.09)+$C302</f>
        <v>163.5</v>
      </c>
      <c r="M302" s="1112">
        <f>($C302*0.1)+$C302</f>
        <v>165</v>
      </c>
      <c r="N302" s="1112">
        <f>($C302*0.11)+$C302</f>
        <v>166.5</v>
      </c>
      <c r="O302" s="1112">
        <f>($C302*0.12)+$C302</f>
        <v>168</v>
      </c>
      <c r="P302" s="1112">
        <f>($C302*0.13)+$C302</f>
        <v>169.5</v>
      </c>
      <c r="Q302" s="1112">
        <f>($C302*0.14)+$C302</f>
        <v>171</v>
      </c>
      <c r="R302" s="1112">
        <f>($C302*0.15)+$C302</f>
        <v>172.5</v>
      </c>
      <c r="S302" s="1112">
        <f>($C302*0.16)+$C302</f>
        <v>174</v>
      </c>
      <c r="T302" s="1112">
        <f>($C302*0.17)+$C302</f>
        <v>175.5</v>
      </c>
      <c r="U302" s="1112">
        <f>($C302*0.18)+$C302</f>
        <v>177</v>
      </c>
      <c r="V302" s="1112">
        <f>($C302*0.19)+$C302</f>
        <v>178.5</v>
      </c>
      <c r="W302" s="1112">
        <f>($C302*0.2)+$C302</f>
        <v>180</v>
      </c>
      <c r="X302" s="1112">
        <f>($C302*0.21)+$C302</f>
        <v>181.5</v>
      </c>
      <c r="Y302" s="1112">
        <f>($C302*0.22)+$C302</f>
        <v>183</v>
      </c>
      <c r="Z302" s="1112">
        <f>($C302*0.23)+$C302</f>
        <v>184.5</v>
      </c>
      <c r="AA302" s="1112">
        <f>($C302*0.24)+$C302</f>
        <v>186</v>
      </c>
      <c r="AB302" s="1112">
        <f>($C302*0.25)+$C302</f>
        <v>187.5</v>
      </c>
      <c r="AC302" s="1112">
        <f>($C302*0.26)+$C302</f>
        <v>189</v>
      </c>
      <c r="AD302" s="1112">
        <f>($C302*0.27)+$C302</f>
        <v>190.5</v>
      </c>
      <c r="AE302" s="1112">
        <f>($C302*0.28)+$C302</f>
        <v>192</v>
      </c>
      <c r="AF302" s="1112">
        <f>($C302*0.29)+$C302</f>
        <v>193.5</v>
      </c>
      <c r="AG302" s="1112">
        <f>($C302*0.3)+$C302</f>
        <v>195</v>
      </c>
    </row>
    <row r="303" spans="1:33" ht="15">
      <c r="A303" s="4" t="s">
        <v>22083</v>
      </c>
      <c r="B303" s="4" t="s">
        <v>22074</v>
      </c>
      <c r="C303" s="5">
        <v>700</v>
      </c>
      <c r="D303" s="1112">
        <f>($C303*0.01)+$C303</f>
        <v>707</v>
      </c>
      <c r="E303" s="1112">
        <f>($C303*0.02)+$C303</f>
        <v>714</v>
      </c>
      <c r="F303" s="1112">
        <f>($C303*0.03)+$C303</f>
        <v>721</v>
      </c>
      <c r="G303" s="1112">
        <f>($C303*0.04)+$C303</f>
        <v>728</v>
      </c>
      <c r="H303" s="1112">
        <f>($C303*0.05)+$C303</f>
        <v>735</v>
      </c>
      <c r="I303" s="1112">
        <f>($C303*0.06)+$C303</f>
        <v>742</v>
      </c>
      <c r="J303" s="1112">
        <f>($C303*0.07)+$C303</f>
        <v>749</v>
      </c>
      <c r="K303" s="1112">
        <f>($C303*0.08)+$C303</f>
        <v>756</v>
      </c>
      <c r="L303" s="1112">
        <f>($C303*0.09)+$C303</f>
        <v>763</v>
      </c>
      <c r="M303" s="1112">
        <f>($C303*0.1)+$C303</f>
        <v>770</v>
      </c>
      <c r="N303" s="1112">
        <f>($C303*0.11)+$C303</f>
        <v>777</v>
      </c>
      <c r="O303" s="1112">
        <f>($C303*0.12)+$C303</f>
        <v>784</v>
      </c>
      <c r="P303" s="1112">
        <f>($C303*0.13)+$C303</f>
        <v>791</v>
      </c>
      <c r="Q303" s="1112">
        <f>($C303*0.14)+$C303</f>
        <v>798</v>
      </c>
      <c r="R303" s="1112">
        <f>($C303*0.15)+$C303</f>
        <v>805</v>
      </c>
      <c r="S303" s="1112">
        <f>($C303*0.16)+$C303</f>
        <v>812</v>
      </c>
      <c r="T303" s="1112">
        <f>($C303*0.17)+$C303</f>
        <v>819</v>
      </c>
      <c r="U303" s="1112">
        <f>($C303*0.18)+$C303</f>
        <v>826</v>
      </c>
      <c r="V303" s="1112">
        <f>($C303*0.19)+$C303</f>
        <v>833</v>
      </c>
      <c r="W303" s="1112">
        <f>($C303*0.2)+$C303</f>
        <v>840</v>
      </c>
      <c r="X303" s="1112">
        <f>($C303*0.21)+$C303</f>
        <v>847</v>
      </c>
      <c r="Y303" s="1112">
        <f>($C303*0.22)+$C303</f>
        <v>854</v>
      </c>
      <c r="Z303" s="1112">
        <f>($C303*0.23)+$C303</f>
        <v>861</v>
      </c>
      <c r="AA303" s="1112">
        <f>($C303*0.24)+$C303</f>
        <v>868</v>
      </c>
      <c r="AB303" s="1112">
        <f>($C303*0.25)+$C303</f>
        <v>875</v>
      </c>
      <c r="AC303" s="1112">
        <f>($C303*0.26)+$C303</f>
        <v>882</v>
      </c>
      <c r="AD303" s="1112">
        <f>($C303*0.27)+$C303</f>
        <v>889</v>
      </c>
      <c r="AE303" s="1112">
        <f>($C303*0.28)+$C303</f>
        <v>896</v>
      </c>
      <c r="AF303" s="1112">
        <f>($C303*0.29)+$C303</f>
        <v>903</v>
      </c>
      <c r="AG303" s="1112">
        <f>($C303*0.3)+$C303</f>
        <v>910</v>
      </c>
    </row>
    <row r="304" spans="1:33" ht="15">
      <c r="A304" s="4" t="s">
        <v>22084</v>
      </c>
      <c r="B304" s="4" t="s">
        <v>22075</v>
      </c>
      <c r="C304" s="5">
        <v>4000</v>
      </c>
      <c r="D304" s="1112">
        <f>($C304*0.01)+$C304</f>
        <v>4040</v>
      </c>
      <c r="E304" s="1112">
        <f>($C304*0.02)+$C304</f>
        <v>4080</v>
      </c>
      <c r="F304" s="1112">
        <f>($C304*0.03)+$C304</f>
        <v>4120</v>
      </c>
      <c r="G304" s="1112">
        <f>($C304*0.04)+$C304</f>
        <v>4160</v>
      </c>
      <c r="H304" s="1112">
        <f>($C304*0.05)+$C304</f>
        <v>4200</v>
      </c>
      <c r="I304" s="1112">
        <f>($C304*0.06)+$C304</f>
        <v>4240</v>
      </c>
      <c r="J304" s="1112">
        <f>($C304*0.07)+$C304</f>
        <v>4280</v>
      </c>
      <c r="K304" s="1112">
        <f>($C304*0.08)+$C304</f>
        <v>4320</v>
      </c>
      <c r="L304" s="1112">
        <f>($C304*0.09)+$C304</f>
        <v>4360</v>
      </c>
      <c r="M304" s="1112">
        <f>($C304*0.1)+$C304</f>
        <v>4400</v>
      </c>
      <c r="N304" s="1112">
        <f>($C304*0.11)+$C304</f>
        <v>4440</v>
      </c>
      <c r="O304" s="1112">
        <f>($C304*0.12)+$C304</f>
        <v>4480</v>
      </c>
      <c r="P304" s="1112">
        <f>($C304*0.13)+$C304</f>
        <v>4520</v>
      </c>
      <c r="Q304" s="1112">
        <f>($C304*0.14)+$C304</f>
        <v>4560</v>
      </c>
      <c r="R304" s="1112">
        <f>($C304*0.15)+$C304</f>
        <v>4600</v>
      </c>
      <c r="S304" s="1112">
        <f>($C304*0.16)+$C304</f>
        <v>4640</v>
      </c>
      <c r="T304" s="1112">
        <f>($C304*0.17)+$C304</f>
        <v>4680</v>
      </c>
      <c r="U304" s="1112">
        <f>($C304*0.18)+$C304</f>
        <v>4720</v>
      </c>
      <c r="V304" s="1112">
        <f>($C304*0.19)+$C304</f>
        <v>4760</v>
      </c>
      <c r="W304" s="1112">
        <f>($C304*0.2)+$C304</f>
        <v>4800</v>
      </c>
      <c r="X304" s="1112">
        <f>($C304*0.21)+$C304</f>
        <v>4840</v>
      </c>
      <c r="Y304" s="1112">
        <f>($C304*0.22)+$C304</f>
        <v>4880</v>
      </c>
      <c r="Z304" s="1112">
        <f>($C304*0.23)+$C304</f>
        <v>4920</v>
      </c>
      <c r="AA304" s="1112">
        <f>($C304*0.24)+$C304</f>
        <v>4960</v>
      </c>
      <c r="AB304" s="1112">
        <f>($C304*0.25)+$C304</f>
        <v>5000</v>
      </c>
      <c r="AC304" s="1112">
        <f>($C304*0.26)+$C304</f>
        <v>5040</v>
      </c>
      <c r="AD304" s="1112">
        <f>($C304*0.27)+$C304</f>
        <v>5080</v>
      </c>
      <c r="AE304" s="1112">
        <f>($C304*0.28)+$C304</f>
        <v>5120</v>
      </c>
      <c r="AF304" s="1112">
        <f>($C304*0.29)+$C304</f>
        <v>5160</v>
      </c>
      <c r="AG304" s="1112">
        <f>($C304*0.3)+$C304</f>
        <v>5200</v>
      </c>
    </row>
    <row r="305" spans="1:33" ht="15">
      <c r="A305" s="4" t="s">
        <v>22085</v>
      </c>
      <c r="B305" s="4" t="s">
        <v>22076</v>
      </c>
      <c r="C305" s="5">
        <v>2500</v>
      </c>
      <c r="D305" s="1112">
        <f>($C305*0.01)+$C305</f>
        <v>2525</v>
      </c>
      <c r="E305" s="1112">
        <f>($C305*0.02)+$C305</f>
        <v>2550</v>
      </c>
      <c r="F305" s="1112">
        <f>($C305*0.03)+$C305</f>
        <v>2575</v>
      </c>
      <c r="G305" s="1112">
        <f>($C305*0.04)+$C305</f>
        <v>2600</v>
      </c>
      <c r="H305" s="1112">
        <f>($C305*0.05)+$C305</f>
        <v>2625</v>
      </c>
      <c r="I305" s="1112">
        <f>($C305*0.06)+$C305</f>
        <v>2650</v>
      </c>
      <c r="J305" s="1112">
        <f>($C305*0.07)+$C305</f>
        <v>2675</v>
      </c>
      <c r="K305" s="1112">
        <f>($C305*0.08)+$C305</f>
        <v>2700</v>
      </c>
      <c r="L305" s="1112">
        <f>($C305*0.09)+$C305</f>
        <v>2725</v>
      </c>
      <c r="M305" s="1112">
        <f>($C305*0.1)+$C305</f>
        <v>2750</v>
      </c>
      <c r="N305" s="1112">
        <f>($C305*0.11)+$C305</f>
        <v>2775</v>
      </c>
      <c r="O305" s="1112">
        <f>($C305*0.12)+$C305</f>
        <v>2800</v>
      </c>
      <c r="P305" s="1112">
        <f>($C305*0.13)+$C305</f>
        <v>2825</v>
      </c>
      <c r="Q305" s="1112">
        <f>($C305*0.14)+$C305</f>
        <v>2850</v>
      </c>
      <c r="R305" s="1112">
        <f>($C305*0.15)+$C305</f>
        <v>2875</v>
      </c>
      <c r="S305" s="1112">
        <f>($C305*0.16)+$C305</f>
        <v>2900</v>
      </c>
      <c r="T305" s="1112">
        <f>($C305*0.17)+$C305</f>
        <v>2925</v>
      </c>
      <c r="U305" s="1112">
        <f>($C305*0.18)+$C305</f>
        <v>2950</v>
      </c>
      <c r="V305" s="1112">
        <f>($C305*0.19)+$C305</f>
        <v>2975</v>
      </c>
      <c r="W305" s="1112">
        <f>($C305*0.2)+$C305</f>
        <v>3000</v>
      </c>
      <c r="X305" s="1112">
        <f>($C305*0.21)+$C305</f>
        <v>3025</v>
      </c>
      <c r="Y305" s="1112">
        <f>($C305*0.22)+$C305</f>
        <v>3050</v>
      </c>
      <c r="Z305" s="1112">
        <f>($C305*0.23)+$C305</f>
        <v>3075</v>
      </c>
      <c r="AA305" s="1112">
        <f>($C305*0.24)+$C305</f>
        <v>3100</v>
      </c>
      <c r="AB305" s="1112">
        <f>($C305*0.25)+$C305</f>
        <v>3125</v>
      </c>
      <c r="AC305" s="1112">
        <f>($C305*0.26)+$C305</f>
        <v>3150</v>
      </c>
      <c r="AD305" s="1112">
        <f>($C305*0.27)+$C305</f>
        <v>3175</v>
      </c>
      <c r="AE305" s="1112">
        <f>($C305*0.28)+$C305</f>
        <v>3200</v>
      </c>
      <c r="AF305" s="1112">
        <f>($C305*0.29)+$C305</f>
        <v>3225</v>
      </c>
      <c r="AG305" s="1112">
        <f>($C305*0.3)+$C305</f>
        <v>3250</v>
      </c>
    </row>
    <row r="306" spans="1:33" ht="15">
      <c r="A306" s="4" t="s">
        <v>22087</v>
      </c>
      <c r="B306" s="4" t="s">
        <v>22077</v>
      </c>
      <c r="C306" s="5">
        <v>500</v>
      </c>
      <c r="D306" s="1112">
        <f>($C306*0.01)+$C306</f>
        <v>505</v>
      </c>
      <c r="E306" s="1112">
        <f>($C306*0.02)+$C306</f>
        <v>510</v>
      </c>
      <c r="F306" s="1112">
        <f>($C306*0.03)+$C306</f>
        <v>515</v>
      </c>
      <c r="G306" s="1112">
        <f>($C306*0.04)+$C306</f>
        <v>520</v>
      </c>
      <c r="H306" s="1112">
        <f>($C306*0.05)+$C306</f>
        <v>525</v>
      </c>
      <c r="I306" s="1112">
        <f>($C306*0.06)+$C306</f>
        <v>530</v>
      </c>
      <c r="J306" s="1112">
        <f>($C306*0.07)+$C306</f>
        <v>535</v>
      </c>
      <c r="K306" s="1112">
        <f>($C306*0.08)+$C306</f>
        <v>540</v>
      </c>
      <c r="L306" s="1112">
        <f>($C306*0.09)+$C306</f>
        <v>545</v>
      </c>
      <c r="M306" s="1112">
        <f>($C306*0.1)+$C306</f>
        <v>550</v>
      </c>
      <c r="N306" s="1112">
        <f>($C306*0.11)+$C306</f>
        <v>555</v>
      </c>
      <c r="O306" s="1112">
        <f>($C306*0.12)+$C306</f>
        <v>560</v>
      </c>
      <c r="P306" s="1112">
        <f>($C306*0.13)+$C306</f>
        <v>565</v>
      </c>
      <c r="Q306" s="1112">
        <f>($C306*0.14)+$C306</f>
        <v>570</v>
      </c>
      <c r="R306" s="1112">
        <f>($C306*0.15)+$C306</f>
        <v>575</v>
      </c>
      <c r="S306" s="1112">
        <f>($C306*0.16)+$C306</f>
        <v>580</v>
      </c>
      <c r="T306" s="1112">
        <f>($C306*0.17)+$C306</f>
        <v>585</v>
      </c>
      <c r="U306" s="1112">
        <f>($C306*0.18)+$C306</f>
        <v>590</v>
      </c>
      <c r="V306" s="1112">
        <f>($C306*0.19)+$C306</f>
        <v>595</v>
      </c>
      <c r="W306" s="1112">
        <f>($C306*0.2)+$C306</f>
        <v>600</v>
      </c>
      <c r="X306" s="1112">
        <f>($C306*0.21)+$C306</f>
        <v>605</v>
      </c>
      <c r="Y306" s="1112">
        <f>($C306*0.22)+$C306</f>
        <v>610</v>
      </c>
      <c r="Z306" s="1112">
        <f>($C306*0.23)+$C306</f>
        <v>615</v>
      </c>
      <c r="AA306" s="1112">
        <f>($C306*0.24)+$C306</f>
        <v>620</v>
      </c>
      <c r="AB306" s="1112">
        <f>($C306*0.25)+$C306</f>
        <v>625</v>
      </c>
      <c r="AC306" s="1112">
        <f>($C306*0.26)+$C306</f>
        <v>630</v>
      </c>
      <c r="AD306" s="1112">
        <f>($C306*0.27)+$C306</f>
        <v>635</v>
      </c>
      <c r="AE306" s="1112">
        <f>($C306*0.28)+$C306</f>
        <v>640</v>
      </c>
      <c r="AF306" s="1112">
        <f>($C306*0.29)+$C306</f>
        <v>645</v>
      </c>
      <c r="AG306" s="1112">
        <f>($C306*0.3)+$C306</f>
        <v>650</v>
      </c>
    </row>
    <row r="307" spans="1:33" ht="30">
      <c r="A307" s="4" t="s">
        <v>22088</v>
      </c>
      <c r="B307" s="4" t="s">
        <v>22078</v>
      </c>
      <c r="C307" s="5">
        <v>322</v>
      </c>
      <c r="D307" s="1112">
        <f>($C307*0.01)+$C307</f>
        <v>325.22000000000003</v>
      </c>
      <c r="E307" s="1112">
        <f>($C307*0.02)+$C307</f>
        <v>328.44</v>
      </c>
      <c r="F307" s="1112">
        <f>($C307*0.03)+$C307</f>
        <v>331.66</v>
      </c>
      <c r="G307" s="1112">
        <f>($C307*0.04)+$C307</f>
        <v>334.88</v>
      </c>
      <c r="H307" s="1112">
        <f>($C307*0.05)+$C307</f>
        <v>338.1</v>
      </c>
      <c r="I307" s="1112">
        <f>($C307*0.06)+$C307</f>
        <v>341.32</v>
      </c>
      <c r="J307" s="1112">
        <f>($C307*0.07)+$C307</f>
        <v>344.54</v>
      </c>
      <c r="K307" s="1112">
        <f>($C307*0.08)+$C307</f>
        <v>347.76</v>
      </c>
      <c r="L307" s="1112">
        <f>($C307*0.09)+$C307</f>
        <v>350.98</v>
      </c>
      <c r="M307" s="1112">
        <f>($C307*0.1)+$C307</f>
        <v>354.2</v>
      </c>
      <c r="N307" s="1112">
        <f>($C307*0.11)+$C307</f>
        <v>357.42</v>
      </c>
      <c r="O307" s="1112">
        <f>($C307*0.12)+$C307</f>
        <v>360.64</v>
      </c>
      <c r="P307" s="1112">
        <f>($C307*0.13)+$C307</f>
        <v>363.86</v>
      </c>
      <c r="Q307" s="1112">
        <f>($C307*0.14)+$C307</f>
        <v>367.08</v>
      </c>
      <c r="R307" s="1112">
        <f>($C307*0.15)+$C307</f>
        <v>370.3</v>
      </c>
      <c r="S307" s="1112">
        <f>($C307*0.16)+$C307</f>
        <v>373.52</v>
      </c>
      <c r="T307" s="1112">
        <f>($C307*0.17)+$C307</f>
        <v>376.74</v>
      </c>
      <c r="U307" s="1112">
        <f>($C307*0.18)+$C307</f>
        <v>379.96</v>
      </c>
      <c r="V307" s="1112">
        <f>($C307*0.19)+$C307</f>
        <v>383.18</v>
      </c>
      <c r="W307" s="1112">
        <f>($C307*0.2)+$C307</f>
        <v>386.4</v>
      </c>
      <c r="X307" s="1112">
        <f>($C307*0.21)+$C307</f>
        <v>389.62</v>
      </c>
      <c r="Y307" s="1112">
        <f>($C307*0.22)+$C307</f>
        <v>392.84000000000003</v>
      </c>
      <c r="Z307" s="1112">
        <f>($C307*0.23)+$C307</f>
        <v>396.06</v>
      </c>
      <c r="AA307" s="1112">
        <f>($C307*0.24)+$C307</f>
        <v>399.28</v>
      </c>
      <c r="AB307" s="1112">
        <f>($C307*0.25)+$C307</f>
        <v>402.5</v>
      </c>
      <c r="AC307" s="1112">
        <f>($C307*0.26)+$C307</f>
        <v>405.72</v>
      </c>
      <c r="AD307" s="1112">
        <f>($C307*0.27)+$C307</f>
        <v>408.94</v>
      </c>
      <c r="AE307" s="1112">
        <f>($C307*0.28)+$C307</f>
        <v>412.16</v>
      </c>
      <c r="AF307" s="1112">
        <f>($C307*0.29)+$C307</f>
        <v>415.38</v>
      </c>
      <c r="AG307" s="1112">
        <f>($C307*0.3)+$C307</f>
        <v>418.6</v>
      </c>
    </row>
    <row r="308" spans="1:33" ht="30">
      <c r="A308" s="4" t="s">
        <v>22089</v>
      </c>
      <c r="B308" s="4" t="s">
        <v>22079</v>
      </c>
      <c r="C308" s="5">
        <v>700</v>
      </c>
      <c r="D308" s="1112">
        <f>($C308*0.01)+$C308</f>
        <v>707</v>
      </c>
      <c r="E308" s="1112">
        <f>($C308*0.02)+$C308</f>
        <v>714</v>
      </c>
      <c r="F308" s="1112">
        <f>($C308*0.03)+$C308</f>
        <v>721</v>
      </c>
      <c r="G308" s="1112">
        <f>($C308*0.04)+$C308</f>
        <v>728</v>
      </c>
      <c r="H308" s="1112">
        <f>($C308*0.05)+$C308</f>
        <v>735</v>
      </c>
      <c r="I308" s="1112">
        <f>($C308*0.06)+$C308</f>
        <v>742</v>
      </c>
      <c r="J308" s="1112">
        <f>($C308*0.07)+$C308</f>
        <v>749</v>
      </c>
      <c r="K308" s="1112">
        <f>($C308*0.08)+$C308</f>
        <v>756</v>
      </c>
      <c r="L308" s="1112">
        <f>($C308*0.09)+$C308</f>
        <v>763</v>
      </c>
      <c r="M308" s="1112">
        <f>($C308*0.1)+$C308</f>
        <v>770</v>
      </c>
      <c r="N308" s="1112">
        <f>($C308*0.11)+$C308</f>
        <v>777</v>
      </c>
      <c r="O308" s="1112">
        <f>($C308*0.12)+$C308</f>
        <v>784</v>
      </c>
      <c r="P308" s="1112">
        <f>($C308*0.13)+$C308</f>
        <v>791</v>
      </c>
      <c r="Q308" s="1112">
        <f>($C308*0.14)+$C308</f>
        <v>798</v>
      </c>
      <c r="R308" s="1112">
        <f>($C308*0.15)+$C308</f>
        <v>805</v>
      </c>
      <c r="S308" s="1112">
        <f>($C308*0.16)+$C308</f>
        <v>812</v>
      </c>
      <c r="T308" s="1112">
        <f>($C308*0.17)+$C308</f>
        <v>819</v>
      </c>
      <c r="U308" s="1112">
        <f>($C308*0.18)+$C308</f>
        <v>826</v>
      </c>
      <c r="V308" s="1112">
        <f>($C308*0.19)+$C308</f>
        <v>833</v>
      </c>
      <c r="W308" s="1112">
        <f>($C308*0.2)+$C308</f>
        <v>840</v>
      </c>
      <c r="X308" s="1112">
        <f>($C308*0.21)+$C308</f>
        <v>847</v>
      </c>
      <c r="Y308" s="1112">
        <f>($C308*0.22)+$C308</f>
        <v>854</v>
      </c>
      <c r="Z308" s="1112">
        <f>($C308*0.23)+$C308</f>
        <v>861</v>
      </c>
      <c r="AA308" s="1112">
        <f>($C308*0.24)+$C308</f>
        <v>868</v>
      </c>
      <c r="AB308" s="1112">
        <f>($C308*0.25)+$C308</f>
        <v>875</v>
      </c>
      <c r="AC308" s="1112">
        <f>($C308*0.26)+$C308</f>
        <v>882</v>
      </c>
      <c r="AD308" s="1112">
        <f>($C308*0.27)+$C308</f>
        <v>889</v>
      </c>
      <c r="AE308" s="1112">
        <f>($C308*0.28)+$C308</f>
        <v>896</v>
      </c>
      <c r="AF308" s="1112">
        <f>($C308*0.29)+$C308</f>
        <v>903</v>
      </c>
      <c r="AG308" s="1112">
        <f>($C308*0.3)+$C308</f>
        <v>910</v>
      </c>
    </row>
    <row r="309" spans="1:33" ht="45">
      <c r="A309" s="4" t="s">
        <v>22090</v>
      </c>
      <c r="B309" s="4" t="s">
        <v>22080</v>
      </c>
      <c r="C309" s="5">
        <v>750</v>
      </c>
      <c r="D309" s="1112">
        <f>($C309*0.01)+$C309</f>
        <v>757.5</v>
      </c>
      <c r="E309" s="1112">
        <f>($C309*0.02)+$C309</f>
        <v>765</v>
      </c>
      <c r="F309" s="1112">
        <f>($C309*0.03)+$C309</f>
        <v>772.5</v>
      </c>
      <c r="G309" s="1112">
        <f>($C309*0.04)+$C309</f>
        <v>780</v>
      </c>
      <c r="H309" s="1112">
        <f>($C309*0.05)+$C309</f>
        <v>787.5</v>
      </c>
      <c r="I309" s="1112">
        <f>($C309*0.06)+$C309</f>
        <v>795</v>
      </c>
      <c r="J309" s="1112">
        <f>($C309*0.07)+$C309</f>
        <v>802.5</v>
      </c>
      <c r="K309" s="1112">
        <f>($C309*0.08)+$C309</f>
        <v>810</v>
      </c>
      <c r="L309" s="1112">
        <f>($C309*0.09)+$C309</f>
        <v>817.5</v>
      </c>
      <c r="M309" s="1112">
        <f>($C309*0.1)+$C309</f>
        <v>825</v>
      </c>
      <c r="N309" s="1112">
        <f>($C309*0.11)+$C309</f>
        <v>832.5</v>
      </c>
      <c r="O309" s="1112">
        <f>($C309*0.12)+$C309</f>
        <v>840</v>
      </c>
      <c r="P309" s="1112">
        <f>($C309*0.13)+$C309</f>
        <v>847.5</v>
      </c>
      <c r="Q309" s="1112">
        <f>($C309*0.14)+$C309</f>
        <v>855</v>
      </c>
      <c r="R309" s="1112">
        <f>($C309*0.15)+$C309</f>
        <v>862.5</v>
      </c>
      <c r="S309" s="1112">
        <f>($C309*0.16)+$C309</f>
        <v>870</v>
      </c>
      <c r="T309" s="1112">
        <f>($C309*0.17)+$C309</f>
        <v>877.5</v>
      </c>
      <c r="U309" s="1112">
        <f>($C309*0.18)+$C309</f>
        <v>885</v>
      </c>
      <c r="V309" s="1112">
        <f>($C309*0.19)+$C309</f>
        <v>892.5</v>
      </c>
      <c r="W309" s="1112">
        <f>($C309*0.2)+$C309</f>
        <v>900</v>
      </c>
      <c r="X309" s="1112">
        <f>($C309*0.21)+$C309</f>
        <v>907.5</v>
      </c>
      <c r="Y309" s="1112">
        <f>($C309*0.22)+$C309</f>
        <v>915</v>
      </c>
      <c r="Z309" s="1112">
        <f>($C309*0.23)+$C309</f>
        <v>922.5</v>
      </c>
      <c r="AA309" s="1112">
        <f>($C309*0.24)+$C309</f>
        <v>930</v>
      </c>
      <c r="AB309" s="1112">
        <f>($C309*0.25)+$C309</f>
        <v>937.5</v>
      </c>
      <c r="AC309" s="1112">
        <f>($C309*0.26)+$C309</f>
        <v>945</v>
      </c>
      <c r="AD309" s="1112">
        <f>($C309*0.27)+$C309</f>
        <v>952.5</v>
      </c>
      <c r="AE309" s="1112">
        <f>($C309*0.28)+$C309</f>
        <v>960</v>
      </c>
      <c r="AF309" s="1112">
        <f>($C309*0.29)+$C309</f>
        <v>967.5</v>
      </c>
      <c r="AG309" s="1112">
        <f>($C309*0.3)+$C309</f>
        <v>975</v>
      </c>
    </row>
    <row r="310" spans="1:33" ht="16">
      <c r="A310" s="4"/>
      <c r="B310" s="17"/>
      <c r="C310" s="5"/>
      <c r="D310" s="1112"/>
      <c r="E310" s="1112"/>
      <c r="F310" s="1112"/>
      <c r="G310" s="1112"/>
      <c r="H310" s="1112"/>
      <c r="I310" s="1112"/>
      <c r="J310" s="1112"/>
      <c r="K310" s="1112"/>
      <c r="L310" s="1112"/>
      <c r="M310" s="1112"/>
      <c r="N310" s="1112"/>
      <c r="O310" s="1112"/>
      <c r="P310" s="1112"/>
      <c r="Q310" s="1112"/>
      <c r="R310" s="1112"/>
      <c r="S310" s="1112"/>
      <c r="T310" s="1112"/>
      <c r="U310" s="1112"/>
      <c r="V310" s="1112"/>
      <c r="W310" s="1112"/>
      <c r="X310" s="1112"/>
      <c r="Y310" s="1112"/>
      <c r="Z310" s="1112"/>
      <c r="AA310" s="1112"/>
      <c r="AB310" s="1112"/>
      <c r="AC310" s="1112"/>
      <c r="AD310" s="1112"/>
      <c r="AE310" s="1112"/>
      <c r="AF310" s="1112"/>
      <c r="AG310" s="1112"/>
    </row>
    <row r="311" spans="1:33" ht="20">
      <c r="A311" s="15"/>
      <c r="B311" s="11" t="s">
        <v>262</v>
      </c>
      <c r="C311" s="16"/>
      <c r="D311" s="1112"/>
      <c r="E311" s="1112"/>
      <c r="F311" s="1112"/>
      <c r="G311" s="1112"/>
      <c r="H311" s="1112"/>
      <c r="I311" s="1112"/>
      <c r="J311" s="1112"/>
      <c r="K311" s="1112"/>
      <c r="L311" s="1112"/>
      <c r="M311" s="1112"/>
      <c r="N311" s="1112"/>
      <c r="O311" s="1112"/>
      <c r="P311" s="1112"/>
      <c r="Q311" s="1112"/>
      <c r="R311" s="1112"/>
      <c r="S311" s="1112"/>
      <c r="T311" s="1112"/>
      <c r="U311" s="1112"/>
      <c r="V311" s="1112"/>
      <c r="W311" s="1112"/>
      <c r="X311" s="1112"/>
      <c r="Y311" s="1112"/>
      <c r="Z311" s="1112"/>
      <c r="AA311" s="1112"/>
      <c r="AB311" s="1112"/>
      <c r="AC311" s="1112"/>
      <c r="AD311" s="1112"/>
      <c r="AE311" s="1112"/>
      <c r="AF311" s="1112"/>
      <c r="AG311" s="1112"/>
    </row>
    <row r="312" spans="1:33" ht="15">
      <c r="A312" s="4" t="s">
        <v>54364</v>
      </c>
      <c r="B312" s="4" t="s">
        <v>55222</v>
      </c>
      <c r="C312" s="5">
        <v>1000</v>
      </c>
      <c r="D312" s="1112">
        <f>($C312*0.01)+$C312</f>
        <v>1010</v>
      </c>
      <c r="E312" s="1112">
        <f>($C312*0.02)+$C312</f>
        <v>1020</v>
      </c>
      <c r="F312" s="1112">
        <f>($C312*0.03)+$C312</f>
        <v>1030</v>
      </c>
      <c r="G312" s="1112">
        <f>($C312*0.04)+$C312</f>
        <v>1040</v>
      </c>
      <c r="H312" s="1112">
        <f>($C312*0.05)+$C312</f>
        <v>1050</v>
      </c>
      <c r="I312" s="1112">
        <f>($C312*0.06)+$C312</f>
        <v>1060</v>
      </c>
      <c r="J312" s="1112">
        <f>($C312*0.07)+$C312</f>
        <v>1070</v>
      </c>
      <c r="K312" s="1112">
        <f>($C312*0.08)+$C312</f>
        <v>1080</v>
      </c>
      <c r="L312" s="1112">
        <f>($C312*0.09)+$C312</f>
        <v>1090</v>
      </c>
      <c r="M312" s="1112">
        <f>($C312*0.1)+$C312</f>
        <v>1100</v>
      </c>
      <c r="N312" s="1112">
        <f>($C312*0.11)+$C312</f>
        <v>1110</v>
      </c>
      <c r="O312" s="1112">
        <f>($C312*0.12)+$C312</f>
        <v>1120</v>
      </c>
      <c r="P312" s="1112">
        <f>($C312*0.13)+$C312</f>
        <v>1130</v>
      </c>
      <c r="Q312" s="1112">
        <f>($C312*0.14)+$C312</f>
        <v>1140</v>
      </c>
      <c r="R312" s="1112">
        <f>($C312*0.15)+$C312</f>
        <v>1150</v>
      </c>
      <c r="S312" s="1112">
        <f>($C312*0.16)+$C312</f>
        <v>1160</v>
      </c>
      <c r="T312" s="1112">
        <f>($C312*0.17)+$C312</f>
        <v>1170</v>
      </c>
      <c r="U312" s="1112">
        <f>($C312*0.18)+$C312</f>
        <v>1180</v>
      </c>
      <c r="V312" s="1112">
        <f>($C312*0.19)+$C312</f>
        <v>1190</v>
      </c>
      <c r="W312" s="1112">
        <f>($C312*0.2)+$C312</f>
        <v>1200</v>
      </c>
      <c r="X312" s="1112">
        <f>($C312*0.21)+$C312</f>
        <v>1210</v>
      </c>
      <c r="Y312" s="1112">
        <f>($C312*0.22)+$C312</f>
        <v>1220</v>
      </c>
      <c r="Z312" s="1112">
        <f>($C312*0.23)+$C312</f>
        <v>1230</v>
      </c>
      <c r="AA312" s="1112">
        <f>($C312*0.24)+$C312</f>
        <v>1240</v>
      </c>
      <c r="AB312" s="1112">
        <f>($C312*0.25)+$C312</f>
        <v>1250</v>
      </c>
      <c r="AC312" s="1112">
        <f>($C312*0.26)+$C312</f>
        <v>1260</v>
      </c>
      <c r="AD312" s="1112">
        <f>($C312*0.27)+$C312</f>
        <v>1270</v>
      </c>
      <c r="AE312" s="1112">
        <f>($C312*0.28)+$C312</f>
        <v>1280</v>
      </c>
      <c r="AF312" s="1112">
        <f>($C312*0.29)+$C312</f>
        <v>1290</v>
      </c>
      <c r="AG312" s="1112">
        <f>($C312*0.3)+$C312</f>
        <v>1300</v>
      </c>
    </row>
    <row r="313" spans="1:33" ht="15">
      <c r="A313" s="4" t="s">
        <v>54362</v>
      </c>
      <c r="B313" s="4" t="s">
        <v>55221</v>
      </c>
      <c r="C313" s="5">
        <v>1000</v>
      </c>
      <c r="D313" s="1112">
        <f>($C313*0.01)+$C313</f>
        <v>1010</v>
      </c>
      <c r="E313" s="1112">
        <f>($C313*0.02)+$C313</f>
        <v>1020</v>
      </c>
      <c r="F313" s="1112">
        <f>($C313*0.03)+$C313</f>
        <v>1030</v>
      </c>
      <c r="G313" s="1112">
        <f>($C313*0.04)+$C313</f>
        <v>1040</v>
      </c>
      <c r="H313" s="1112">
        <f>($C313*0.05)+$C313</f>
        <v>1050</v>
      </c>
      <c r="I313" s="1112">
        <f>($C313*0.06)+$C313</f>
        <v>1060</v>
      </c>
      <c r="J313" s="1112">
        <f>($C313*0.07)+$C313</f>
        <v>1070</v>
      </c>
      <c r="K313" s="1112">
        <f>($C313*0.08)+$C313</f>
        <v>1080</v>
      </c>
      <c r="L313" s="1112">
        <f>($C313*0.09)+$C313</f>
        <v>1090</v>
      </c>
      <c r="M313" s="1112">
        <f>($C313*0.1)+$C313</f>
        <v>1100</v>
      </c>
      <c r="N313" s="1112">
        <f>($C313*0.11)+$C313</f>
        <v>1110</v>
      </c>
      <c r="O313" s="1112">
        <f>($C313*0.12)+$C313</f>
        <v>1120</v>
      </c>
      <c r="P313" s="1112">
        <f>($C313*0.13)+$C313</f>
        <v>1130</v>
      </c>
      <c r="Q313" s="1112">
        <f>($C313*0.14)+$C313</f>
        <v>1140</v>
      </c>
      <c r="R313" s="1112">
        <f>($C313*0.15)+$C313</f>
        <v>1150</v>
      </c>
      <c r="S313" s="1112">
        <f>($C313*0.16)+$C313</f>
        <v>1160</v>
      </c>
      <c r="T313" s="1112">
        <f>($C313*0.17)+$C313</f>
        <v>1170</v>
      </c>
      <c r="U313" s="1112">
        <f>($C313*0.18)+$C313</f>
        <v>1180</v>
      </c>
      <c r="V313" s="1112">
        <f>($C313*0.19)+$C313</f>
        <v>1190</v>
      </c>
      <c r="W313" s="1112">
        <f>($C313*0.2)+$C313</f>
        <v>1200</v>
      </c>
      <c r="X313" s="1112">
        <f>($C313*0.21)+$C313</f>
        <v>1210</v>
      </c>
      <c r="Y313" s="1112">
        <f>($C313*0.22)+$C313</f>
        <v>1220</v>
      </c>
      <c r="Z313" s="1112">
        <f>($C313*0.23)+$C313</f>
        <v>1230</v>
      </c>
      <c r="AA313" s="1112">
        <f>($C313*0.24)+$C313</f>
        <v>1240</v>
      </c>
      <c r="AB313" s="1112">
        <f>($C313*0.25)+$C313</f>
        <v>1250</v>
      </c>
      <c r="AC313" s="1112">
        <f>($C313*0.26)+$C313</f>
        <v>1260</v>
      </c>
      <c r="AD313" s="1112">
        <f>($C313*0.27)+$C313</f>
        <v>1270</v>
      </c>
      <c r="AE313" s="1112">
        <f>($C313*0.28)+$C313</f>
        <v>1280</v>
      </c>
      <c r="AF313" s="1112">
        <f>($C313*0.29)+$C313</f>
        <v>1290</v>
      </c>
      <c r="AG313" s="1112">
        <f>($C313*0.3)+$C313</f>
        <v>1300</v>
      </c>
    </row>
    <row r="314" spans="1:33" ht="15">
      <c r="A314" s="4" t="s">
        <v>54360</v>
      </c>
      <c r="B314" s="4" t="s">
        <v>55220</v>
      </c>
      <c r="C314" s="5">
        <v>1000</v>
      </c>
      <c r="D314" s="1112">
        <f>($C314*0.01)+$C314</f>
        <v>1010</v>
      </c>
      <c r="E314" s="1112">
        <f>($C314*0.02)+$C314</f>
        <v>1020</v>
      </c>
      <c r="F314" s="1112">
        <f>($C314*0.03)+$C314</f>
        <v>1030</v>
      </c>
      <c r="G314" s="1112">
        <f>($C314*0.04)+$C314</f>
        <v>1040</v>
      </c>
      <c r="H314" s="1112">
        <f>($C314*0.05)+$C314</f>
        <v>1050</v>
      </c>
      <c r="I314" s="1112">
        <f>($C314*0.06)+$C314</f>
        <v>1060</v>
      </c>
      <c r="J314" s="1112">
        <f>($C314*0.07)+$C314</f>
        <v>1070</v>
      </c>
      <c r="K314" s="1112">
        <f>($C314*0.08)+$C314</f>
        <v>1080</v>
      </c>
      <c r="L314" s="1112">
        <f>($C314*0.09)+$C314</f>
        <v>1090</v>
      </c>
      <c r="M314" s="1112">
        <f>($C314*0.1)+$C314</f>
        <v>1100</v>
      </c>
      <c r="N314" s="1112">
        <f>($C314*0.11)+$C314</f>
        <v>1110</v>
      </c>
      <c r="O314" s="1112">
        <f>($C314*0.12)+$C314</f>
        <v>1120</v>
      </c>
      <c r="P314" s="1112">
        <f>($C314*0.13)+$C314</f>
        <v>1130</v>
      </c>
      <c r="Q314" s="1112">
        <f>($C314*0.14)+$C314</f>
        <v>1140</v>
      </c>
      <c r="R314" s="1112">
        <f>($C314*0.15)+$C314</f>
        <v>1150</v>
      </c>
      <c r="S314" s="1112">
        <f>($C314*0.16)+$C314</f>
        <v>1160</v>
      </c>
      <c r="T314" s="1112">
        <f>($C314*0.17)+$C314</f>
        <v>1170</v>
      </c>
      <c r="U314" s="1112">
        <f>($C314*0.18)+$C314</f>
        <v>1180</v>
      </c>
      <c r="V314" s="1112">
        <f>($C314*0.19)+$C314</f>
        <v>1190</v>
      </c>
      <c r="W314" s="1112">
        <f>($C314*0.2)+$C314</f>
        <v>1200</v>
      </c>
      <c r="X314" s="1112">
        <f>($C314*0.21)+$C314</f>
        <v>1210</v>
      </c>
      <c r="Y314" s="1112">
        <f>($C314*0.22)+$C314</f>
        <v>1220</v>
      </c>
      <c r="Z314" s="1112">
        <f>($C314*0.23)+$C314</f>
        <v>1230</v>
      </c>
      <c r="AA314" s="1112">
        <f>($C314*0.24)+$C314</f>
        <v>1240</v>
      </c>
      <c r="AB314" s="1112">
        <f>($C314*0.25)+$C314</f>
        <v>1250</v>
      </c>
      <c r="AC314" s="1112">
        <f>($C314*0.26)+$C314</f>
        <v>1260</v>
      </c>
      <c r="AD314" s="1112">
        <f>($C314*0.27)+$C314</f>
        <v>1270</v>
      </c>
      <c r="AE314" s="1112">
        <f>($C314*0.28)+$C314</f>
        <v>1280</v>
      </c>
      <c r="AF314" s="1112">
        <f>($C314*0.29)+$C314</f>
        <v>1290</v>
      </c>
      <c r="AG314" s="1112">
        <f>($C314*0.3)+$C314</f>
        <v>1300</v>
      </c>
    </row>
    <row r="315" spans="1:33" ht="15">
      <c r="A315" s="4" t="s">
        <v>54358</v>
      </c>
      <c r="B315" s="4" t="s">
        <v>55223</v>
      </c>
      <c r="C315" s="5">
        <v>1000</v>
      </c>
      <c r="D315" s="1112">
        <f>($C315*0.01)+$C315</f>
        <v>1010</v>
      </c>
      <c r="E315" s="1112">
        <f>($C315*0.02)+$C315</f>
        <v>1020</v>
      </c>
      <c r="F315" s="1112">
        <f>($C315*0.03)+$C315</f>
        <v>1030</v>
      </c>
      <c r="G315" s="1112">
        <f>($C315*0.04)+$C315</f>
        <v>1040</v>
      </c>
      <c r="H315" s="1112">
        <f>($C315*0.05)+$C315</f>
        <v>1050</v>
      </c>
      <c r="I315" s="1112">
        <f>($C315*0.06)+$C315</f>
        <v>1060</v>
      </c>
      <c r="J315" s="1112">
        <f>($C315*0.07)+$C315</f>
        <v>1070</v>
      </c>
      <c r="K315" s="1112">
        <f>($C315*0.08)+$C315</f>
        <v>1080</v>
      </c>
      <c r="L315" s="1112">
        <f>($C315*0.09)+$C315</f>
        <v>1090</v>
      </c>
      <c r="M315" s="1112">
        <f>($C315*0.1)+$C315</f>
        <v>1100</v>
      </c>
      <c r="N315" s="1112">
        <f>($C315*0.11)+$C315</f>
        <v>1110</v>
      </c>
      <c r="O315" s="1112">
        <f>($C315*0.12)+$C315</f>
        <v>1120</v>
      </c>
      <c r="P315" s="1112">
        <f>($C315*0.13)+$C315</f>
        <v>1130</v>
      </c>
      <c r="Q315" s="1112">
        <f>($C315*0.14)+$C315</f>
        <v>1140</v>
      </c>
      <c r="R315" s="1112">
        <f>($C315*0.15)+$C315</f>
        <v>1150</v>
      </c>
      <c r="S315" s="1112">
        <f>($C315*0.16)+$C315</f>
        <v>1160</v>
      </c>
      <c r="T315" s="1112">
        <f>($C315*0.17)+$C315</f>
        <v>1170</v>
      </c>
      <c r="U315" s="1112">
        <f>($C315*0.18)+$C315</f>
        <v>1180</v>
      </c>
      <c r="V315" s="1112">
        <f>($C315*0.19)+$C315</f>
        <v>1190</v>
      </c>
      <c r="W315" s="1112">
        <f>($C315*0.2)+$C315</f>
        <v>1200</v>
      </c>
      <c r="X315" s="1112">
        <f>($C315*0.21)+$C315</f>
        <v>1210</v>
      </c>
      <c r="Y315" s="1112">
        <f>($C315*0.22)+$C315</f>
        <v>1220</v>
      </c>
      <c r="Z315" s="1112">
        <f>($C315*0.23)+$C315</f>
        <v>1230</v>
      </c>
      <c r="AA315" s="1112">
        <f>($C315*0.24)+$C315</f>
        <v>1240</v>
      </c>
      <c r="AB315" s="1112">
        <f>($C315*0.25)+$C315</f>
        <v>1250</v>
      </c>
      <c r="AC315" s="1112">
        <f>($C315*0.26)+$C315</f>
        <v>1260</v>
      </c>
      <c r="AD315" s="1112">
        <f>($C315*0.27)+$C315</f>
        <v>1270</v>
      </c>
      <c r="AE315" s="1112">
        <f>($C315*0.28)+$C315</f>
        <v>1280</v>
      </c>
      <c r="AF315" s="1112">
        <f>($C315*0.29)+$C315</f>
        <v>1290</v>
      </c>
      <c r="AG315" s="1112">
        <f>($C315*0.3)+$C315</f>
        <v>1300</v>
      </c>
    </row>
    <row r="316" spans="1:33" ht="15">
      <c r="A316" s="4" t="s">
        <v>54317</v>
      </c>
      <c r="B316" s="4" t="s">
        <v>55225</v>
      </c>
      <c r="C316" s="5">
        <v>1100</v>
      </c>
      <c r="D316" s="1112">
        <f>($C316*0.01)+$C316</f>
        <v>1111</v>
      </c>
      <c r="E316" s="1112">
        <f>($C316*0.02)+$C316</f>
        <v>1122</v>
      </c>
      <c r="F316" s="1112">
        <f>($C316*0.03)+$C316</f>
        <v>1133</v>
      </c>
      <c r="G316" s="1112">
        <f>($C316*0.04)+$C316</f>
        <v>1144</v>
      </c>
      <c r="H316" s="1112">
        <f>($C316*0.05)+$C316</f>
        <v>1155</v>
      </c>
      <c r="I316" s="1112">
        <f>($C316*0.06)+$C316</f>
        <v>1166</v>
      </c>
      <c r="J316" s="1112">
        <f>($C316*0.07)+$C316</f>
        <v>1177</v>
      </c>
      <c r="K316" s="1112">
        <f>($C316*0.08)+$C316</f>
        <v>1188</v>
      </c>
      <c r="L316" s="1112">
        <f>($C316*0.09)+$C316</f>
        <v>1199</v>
      </c>
      <c r="M316" s="1112">
        <f>($C316*0.1)+$C316</f>
        <v>1210</v>
      </c>
      <c r="N316" s="1112">
        <f>($C316*0.11)+$C316</f>
        <v>1221</v>
      </c>
      <c r="O316" s="1112">
        <f>($C316*0.12)+$C316</f>
        <v>1232</v>
      </c>
      <c r="P316" s="1112">
        <f>($C316*0.13)+$C316</f>
        <v>1243</v>
      </c>
      <c r="Q316" s="1112">
        <f>($C316*0.14)+$C316</f>
        <v>1254</v>
      </c>
      <c r="R316" s="1112">
        <f>($C316*0.15)+$C316</f>
        <v>1265</v>
      </c>
      <c r="S316" s="1112">
        <f>($C316*0.16)+$C316</f>
        <v>1276</v>
      </c>
      <c r="T316" s="1112">
        <f>($C316*0.17)+$C316</f>
        <v>1287</v>
      </c>
      <c r="U316" s="1112">
        <f>($C316*0.18)+$C316</f>
        <v>1298</v>
      </c>
      <c r="V316" s="1112">
        <f>($C316*0.19)+$C316</f>
        <v>1309</v>
      </c>
      <c r="W316" s="1112">
        <f>($C316*0.2)+$C316</f>
        <v>1320</v>
      </c>
      <c r="X316" s="1112">
        <f>($C316*0.21)+$C316</f>
        <v>1331</v>
      </c>
      <c r="Y316" s="1112">
        <f>($C316*0.22)+$C316</f>
        <v>1342</v>
      </c>
      <c r="Z316" s="1112">
        <f>($C316*0.23)+$C316</f>
        <v>1353</v>
      </c>
      <c r="AA316" s="1112">
        <f>($C316*0.24)+$C316</f>
        <v>1364</v>
      </c>
      <c r="AB316" s="1112">
        <f>($C316*0.25)+$C316</f>
        <v>1375</v>
      </c>
      <c r="AC316" s="1112">
        <f>($C316*0.26)+$C316</f>
        <v>1386</v>
      </c>
      <c r="AD316" s="1112">
        <f>($C316*0.27)+$C316</f>
        <v>1397</v>
      </c>
      <c r="AE316" s="1112">
        <f>($C316*0.28)+$C316</f>
        <v>1408</v>
      </c>
      <c r="AF316" s="1112">
        <f>($C316*0.29)+$C316</f>
        <v>1419</v>
      </c>
      <c r="AG316" s="1112">
        <f>($C316*0.3)+$C316</f>
        <v>1430</v>
      </c>
    </row>
    <row r="317" spans="1:33" ht="30">
      <c r="A317" s="4" t="s">
        <v>55219</v>
      </c>
      <c r="B317" s="4" t="s">
        <v>55224</v>
      </c>
      <c r="C317" s="5">
        <v>300</v>
      </c>
      <c r="D317" s="1112">
        <f>($C317*0.01)+$C317</f>
        <v>303</v>
      </c>
      <c r="E317" s="1112">
        <f>($C317*0.02)+$C317</f>
        <v>306</v>
      </c>
      <c r="F317" s="1112">
        <f>($C317*0.03)+$C317</f>
        <v>309</v>
      </c>
      <c r="G317" s="1112">
        <f>($C317*0.04)+$C317</f>
        <v>312</v>
      </c>
      <c r="H317" s="1112">
        <f>($C317*0.05)+$C317</f>
        <v>315</v>
      </c>
      <c r="I317" s="1112">
        <f>($C317*0.06)+$C317</f>
        <v>318</v>
      </c>
      <c r="J317" s="1112">
        <f>($C317*0.07)+$C317</f>
        <v>321</v>
      </c>
      <c r="K317" s="1112">
        <f>($C317*0.08)+$C317</f>
        <v>324</v>
      </c>
      <c r="L317" s="1112">
        <f>($C317*0.09)+$C317</f>
        <v>327</v>
      </c>
      <c r="M317" s="1112">
        <f>($C317*0.1)+$C317</f>
        <v>330</v>
      </c>
      <c r="N317" s="1112">
        <f>($C317*0.11)+$C317</f>
        <v>333</v>
      </c>
      <c r="O317" s="1112">
        <f>($C317*0.12)+$C317</f>
        <v>336</v>
      </c>
      <c r="P317" s="1112">
        <f>($C317*0.13)+$C317</f>
        <v>339</v>
      </c>
      <c r="Q317" s="1112">
        <f>($C317*0.14)+$C317</f>
        <v>342</v>
      </c>
      <c r="R317" s="1112">
        <f>($C317*0.15)+$C317</f>
        <v>345</v>
      </c>
      <c r="S317" s="1112">
        <f>($C317*0.16)+$C317</f>
        <v>348</v>
      </c>
      <c r="T317" s="1112">
        <f>($C317*0.17)+$C317</f>
        <v>351</v>
      </c>
      <c r="U317" s="1112">
        <f>($C317*0.18)+$C317</f>
        <v>354</v>
      </c>
      <c r="V317" s="1112">
        <f>($C317*0.19)+$C317</f>
        <v>357</v>
      </c>
      <c r="W317" s="1112">
        <f>($C317*0.2)+$C317</f>
        <v>360</v>
      </c>
      <c r="X317" s="1112">
        <f>($C317*0.21)+$C317</f>
        <v>363</v>
      </c>
      <c r="Y317" s="1112">
        <f>($C317*0.22)+$C317</f>
        <v>366</v>
      </c>
      <c r="Z317" s="1112">
        <f>($C317*0.23)+$C317</f>
        <v>369</v>
      </c>
      <c r="AA317" s="1112">
        <f>($C317*0.24)+$C317</f>
        <v>372</v>
      </c>
      <c r="AB317" s="1112">
        <f>($C317*0.25)+$C317</f>
        <v>375</v>
      </c>
      <c r="AC317" s="1112">
        <f>($C317*0.26)+$C317</f>
        <v>378</v>
      </c>
      <c r="AD317" s="1112">
        <f>($C317*0.27)+$C317</f>
        <v>381</v>
      </c>
      <c r="AE317" s="1112">
        <f>($C317*0.28)+$C317</f>
        <v>384</v>
      </c>
      <c r="AF317" s="1112">
        <f>($C317*0.29)+$C317</f>
        <v>387</v>
      </c>
      <c r="AG317" s="1112">
        <f>($C317*0.3)+$C317</f>
        <v>390</v>
      </c>
    </row>
    <row r="318" spans="1:33" ht="30">
      <c r="A318" s="4" t="s">
        <v>54344</v>
      </c>
      <c r="B318" s="4" t="s">
        <v>55226</v>
      </c>
      <c r="C318" s="5">
        <v>125</v>
      </c>
      <c r="D318" s="1112">
        <f>($C318*0.01)+$C318</f>
        <v>126.25</v>
      </c>
      <c r="E318" s="1112">
        <f>($C318*0.02)+$C318</f>
        <v>127.5</v>
      </c>
      <c r="F318" s="1112">
        <f>($C318*0.03)+$C318</f>
        <v>128.75</v>
      </c>
      <c r="G318" s="1112">
        <f>($C318*0.04)+$C318</f>
        <v>130</v>
      </c>
      <c r="H318" s="1112">
        <f>($C318*0.05)+$C318</f>
        <v>131.25</v>
      </c>
      <c r="I318" s="1112">
        <f>($C318*0.06)+$C318</f>
        <v>132.5</v>
      </c>
      <c r="J318" s="1112">
        <f>($C318*0.07)+$C318</f>
        <v>133.75</v>
      </c>
      <c r="K318" s="1112">
        <f>($C318*0.08)+$C318</f>
        <v>135</v>
      </c>
      <c r="L318" s="1112">
        <f>($C318*0.09)+$C318</f>
        <v>136.25</v>
      </c>
      <c r="M318" s="1112">
        <f>($C318*0.1)+$C318</f>
        <v>137.5</v>
      </c>
      <c r="N318" s="1112">
        <f>($C318*0.11)+$C318</f>
        <v>138.75</v>
      </c>
      <c r="O318" s="1112">
        <f>($C318*0.12)+$C318</f>
        <v>140</v>
      </c>
      <c r="P318" s="1112">
        <f>($C318*0.13)+$C318</f>
        <v>141.25</v>
      </c>
      <c r="Q318" s="1112">
        <f>($C318*0.14)+$C318</f>
        <v>142.5</v>
      </c>
      <c r="R318" s="1112">
        <f>($C318*0.15)+$C318</f>
        <v>143.75</v>
      </c>
      <c r="S318" s="1112">
        <f>($C318*0.16)+$C318</f>
        <v>145</v>
      </c>
      <c r="T318" s="1112">
        <f>($C318*0.17)+$C318</f>
        <v>146.25</v>
      </c>
      <c r="U318" s="1112">
        <f>($C318*0.18)+$C318</f>
        <v>147.5</v>
      </c>
      <c r="V318" s="1112">
        <f>($C318*0.19)+$C318</f>
        <v>148.75</v>
      </c>
      <c r="W318" s="1112">
        <f>($C318*0.2)+$C318</f>
        <v>150</v>
      </c>
      <c r="X318" s="1112">
        <f>($C318*0.21)+$C318</f>
        <v>151.25</v>
      </c>
      <c r="Y318" s="1112">
        <f>($C318*0.22)+$C318</f>
        <v>152.5</v>
      </c>
      <c r="Z318" s="1112">
        <f>($C318*0.23)+$C318</f>
        <v>153.75</v>
      </c>
      <c r="AA318" s="1112">
        <f>($C318*0.24)+$C318</f>
        <v>155</v>
      </c>
      <c r="AB318" s="1112">
        <f>($C318*0.25)+$C318</f>
        <v>156.25</v>
      </c>
      <c r="AC318" s="1112">
        <f>($C318*0.26)+$C318</f>
        <v>157.5</v>
      </c>
      <c r="AD318" s="1112">
        <f>($C318*0.27)+$C318</f>
        <v>158.75</v>
      </c>
      <c r="AE318" s="1112">
        <f>($C318*0.28)+$C318</f>
        <v>160</v>
      </c>
      <c r="AF318" s="1112">
        <f>($C318*0.29)+$C318</f>
        <v>161.25</v>
      </c>
      <c r="AG318" s="1112">
        <f>($C318*0.3)+$C318</f>
        <v>162.5</v>
      </c>
    </row>
    <row r="319" spans="1:33" ht="15">
      <c r="A319" s="4" t="s">
        <v>54341</v>
      </c>
      <c r="B319" s="4" t="s">
        <v>55227</v>
      </c>
      <c r="C319" s="5">
        <v>175</v>
      </c>
      <c r="D319" s="1112">
        <f>($C319*0.01)+$C319</f>
        <v>176.75</v>
      </c>
      <c r="E319" s="1112">
        <f>($C319*0.02)+$C319</f>
        <v>178.5</v>
      </c>
      <c r="F319" s="1112">
        <f>($C319*0.03)+$C319</f>
        <v>180.25</v>
      </c>
      <c r="G319" s="1112">
        <f>($C319*0.04)+$C319</f>
        <v>182</v>
      </c>
      <c r="H319" s="1112">
        <f>($C319*0.05)+$C319</f>
        <v>183.75</v>
      </c>
      <c r="I319" s="1112">
        <f>($C319*0.06)+$C319</f>
        <v>185.5</v>
      </c>
      <c r="J319" s="1112">
        <f>($C319*0.07)+$C319</f>
        <v>187.25</v>
      </c>
      <c r="K319" s="1112">
        <f>($C319*0.08)+$C319</f>
        <v>189</v>
      </c>
      <c r="L319" s="1112">
        <f>($C319*0.09)+$C319</f>
        <v>190.75</v>
      </c>
      <c r="M319" s="1112">
        <f>($C319*0.1)+$C319</f>
        <v>192.5</v>
      </c>
      <c r="N319" s="1112">
        <f>($C319*0.11)+$C319</f>
        <v>194.25</v>
      </c>
      <c r="O319" s="1112">
        <f>($C319*0.12)+$C319</f>
        <v>196</v>
      </c>
      <c r="P319" s="1112">
        <f>($C319*0.13)+$C319</f>
        <v>197.75</v>
      </c>
      <c r="Q319" s="1112">
        <f>($C319*0.14)+$C319</f>
        <v>199.5</v>
      </c>
      <c r="R319" s="1112">
        <f>($C319*0.15)+$C319</f>
        <v>201.25</v>
      </c>
      <c r="S319" s="1112">
        <f>($C319*0.16)+$C319</f>
        <v>203</v>
      </c>
      <c r="T319" s="1112">
        <f>($C319*0.17)+$C319</f>
        <v>204.75</v>
      </c>
      <c r="U319" s="1112">
        <f>($C319*0.18)+$C319</f>
        <v>206.5</v>
      </c>
      <c r="V319" s="1112">
        <f>($C319*0.19)+$C319</f>
        <v>208.25</v>
      </c>
      <c r="W319" s="1112">
        <f>($C319*0.2)+$C319</f>
        <v>210</v>
      </c>
      <c r="X319" s="1112">
        <f>($C319*0.21)+$C319</f>
        <v>211.75</v>
      </c>
      <c r="Y319" s="1112">
        <f>($C319*0.22)+$C319</f>
        <v>213.5</v>
      </c>
      <c r="Z319" s="1112">
        <f>($C319*0.23)+$C319</f>
        <v>215.25</v>
      </c>
      <c r="AA319" s="1112">
        <f>($C319*0.24)+$C319</f>
        <v>217</v>
      </c>
      <c r="AB319" s="1112">
        <f>($C319*0.25)+$C319</f>
        <v>218.75</v>
      </c>
      <c r="AC319" s="1112">
        <f>($C319*0.26)+$C319</f>
        <v>220.5</v>
      </c>
      <c r="AD319" s="1112">
        <f>($C319*0.27)+$C319</f>
        <v>222.25</v>
      </c>
      <c r="AE319" s="1112">
        <f>($C319*0.28)+$C319</f>
        <v>224</v>
      </c>
      <c r="AF319" s="1112">
        <f>($C319*0.29)+$C319</f>
        <v>225.75</v>
      </c>
      <c r="AG319" s="1112">
        <f>($C319*0.3)+$C319</f>
        <v>227.5</v>
      </c>
    </row>
    <row r="320" spans="1:33" ht="15">
      <c r="A320" s="4" t="s">
        <v>54337</v>
      </c>
      <c r="B320" s="4" t="s">
        <v>55228</v>
      </c>
      <c r="C320" s="5">
        <v>75</v>
      </c>
      <c r="D320" s="1112">
        <f>($C320*0.01)+$C320</f>
        <v>75.75</v>
      </c>
      <c r="E320" s="1112">
        <f>($C320*0.02)+$C320</f>
        <v>76.5</v>
      </c>
      <c r="F320" s="1112">
        <f>($C320*0.03)+$C320</f>
        <v>77.25</v>
      </c>
      <c r="G320" s="1112">
        <f>($C320*0.04)+$C320</f>
        <v>78</v>
      </c>
      <c r="H320" s="1112">
        <f>($C320*0.05)+$C320</f>
        <v>78.75</v>
      </c>
      <c r="I320" s="1112">
        <f>($C320*0.06)+$C320</f>
        <v>79.5</v>
      </c>
      <c r="J320" s="1112">
        <f>($C320*0.07)+$C320</f>
        <v>80.25</v>
      </c>
      <c r="K320" s="1112">
        <f>($C320*0.08)+$C320</f>
        <v>81</v>
      </c>
      <c r="L320" s="1112">
        <f>($C320*0.09)+$C320</f>
        <v>81.75</v>
      </c>
      <c r="M320" s="1112">
        <f>($C320*0.1)+$C320</f>
        <v>82.5</v>
      </c>
      <c r="N320" s="1112">
        <f>($C320*0.11)+$C320</f>
        <v>83.25</v>
      </c>
      <c r="O320" s="1112">
        <f>($C320*0.12)+$C320</f>
        <v>84</v>
      </c>
      <c r="P320" s="1112">
        <f>($C320*0.13)+$C320</f>
        <v>84.75</v>
      </c>
      <c r="Q320" s="1112">
        <f>($C320*0.14)+$C320</f>
        <v>85.5</v>
      </c>
      <c r="R320" s="1112">
        <f>($C320*0.15)+$C320</f>
        <v>86.25</v>
      </c>
      <c r="S320" s="1112">
        <f>($C320*0.16)+$C320</f>
        <v>87</v>
      </c>
      <c r="T320" s="1112">
        <f>($C320*0.17)+$C320</f>
        <v>87.75</v>
      </c>
      <c r="U320" s="1112">
        <f>($C320*0.18)+$C320</f>
        <v>88.5</v>
      </c>
      <c r="V320" s="1112">
        <f>($C320*0.19)+$C320</f>
        <v>89.25</v>
      </c>
      <c r="W320" s="1112">
        <f>($C320*0.2)+$C320</f>
        <v>90</v>
      </c>
      <c r="X320" s="1112">
        <f>($C320*0.21)+$C320</f>
        <v>90.75</v>
      </c>
      <c r="Y320" s="1112">
        <f>($C320*0.22)+$C320</f>
        <v>91.5</v>
      </c>
      <c r="Z320" s="1112">
        <f>($C320*0.23)+$C320</f>
        <v>92.25</v>
      </c>
      <c r="AA320" s="1112">
        <f>($C320*0.24)+$C320</f>
        <v>93</v>
      </c>
      <c r="AB320" s="1112">
        <f>($C320*0.25)+$C320</f>
        <v>93.75</v>
      </c>
      <c r="AC320" s="1112">
        <f>($C320*0.26)+$C320</f>
        <v>94.5</v>
      </c>
      <c r="AD320" s="1112">
        <f>($C320*0.27)+$C320</f>
        <v>95.25</v>
      </c>
      <c r="AE320" s="1112">
        <f>($C320*0.28)+$C320</f>
        <v>96</v>
      </c>
      <c r="AF320" s="1112">
        <f>($C320*0.29)+$C320</f>
        <v>96.75</v>
      </c>
      <c r="AG320" s="1112">
        <f>($C320*0.3)+$C320</f>
        <v>97.5</v>
      </c>
    </row>
    <row r="321" spans="1:33" ht="15">
      <c r="A321" s="4" t="s">
        <v>54335</v>
      </c>
      <c r="B321" s="4" t="s">
        <v>55229</v>
      </c>
      <c r="C321" s="5">
        <v>50</v>
      </c>
      <c r="D321" s="1112">
        <f>($C321*0.01)+$C321</f>
        <v>50.5</v>
      </c>
      <c r="E321" s="1112">
        <f>($C321*0.02)+$C321</f>
        <v>51</v>
      </c>
      <c r="F321" s="1112">
        <f>($C321*0.03)+$C321</f>
        <v>51.5</v>
      </c>
      <c r="G321" s="1112">
        <f>($C321*0.04)+$C321</f>
        <v>52</v>
      </c>
      <c r="H321" s="1112">
        <f>($C321*0.05)+$C321</f>
        <v>52.5</v>
      </c>
      <c r="I321" s="1112">
        <f>($C321*0.06)+$C321</f>
        <v>53</v>
      </c>
      <c r="J321" s="1112">
        <f>($C321*0.07)+$C321</f>
        <v>53.5</v>
      </c>
      <c r="K321" s="1112">
        <f>($C321*0.08)+$C321</f>
        <v>54</v>
      </c>
      <c r="L321" s="1112">
        <f>($C321*0.09)+$C321</f>
        <v>54.5</v>
      </c>
      <c r="M321" s="1112">
        <f>($C321*0.1)+$C321</f>
        <v>55</v>
      </c>
      <c r="N321" s="1112">
        <f>($C321*0.11)+$C321</f>
        <v>55.5</v>
      </c>
      <c r="O321" s="1112">
        <f>($C321*0.12)+$C321</f>
        <v>56</v>
      </c>
      <c r="P321" s="1112">
        <f>($C321*0.13)+$C321</f>
        <v>56.5</v>
      </c>
      <c r="Q321" s="1112">
        <f>($C321*0.14)+$C321</f>
        <v>57</v>
      </c>
      <c r="R321" s="1112">
        <f>($C321*0.15)+$C321</f>
        <v>57.5</v>
      </c>
      <c r="S321" s="1112">
        <f>($C321*0.16)+$C321</f>
        <v>58</v>
      </c>
      <c r="T321" s="1112">
        <f>($C321*0.17)+$C321</f>
        <v>58.5</v>
      </c>
      <c r="U321" s="1112">
        <f>($C321*0.18)+$C321</f>
        <v>59</v>
      </c>
      <c r="V321" s="1112">
        <f>($C321*0.19)+$C321</f>
        <v>59.5</v>
      </c>
      <c r="W321" s="1112">
        <f>($C321*0.2)+$C321</f>
        <v>60</v>
      </c>
      <c r="X321" s="1112">
        <f>($C321*0.21)+$C321</f>
        <v>60.5</v>
      </c>
      <c r="Y321" s="1112">
        <f>($C321*0.22)+$C321</f>
        <v>61</v>
      </c>
      <c r="Z321" s="1112">
        <f>($C321*0.23)+$C321</f>
        <v>61.5</v>
      </c>
      <c r="AA321" s="1112">
        <f>($C321*0.24)+$C321</f>
        <v>62</v>
      </c>
      <c r="AB321" s="1112">
        <f>($C321*0.25)+$C321</f>
        <v>62.5</v>
      </c>
      <c r="AC321" s="1112">
        <f>($C321*0.26)+$C321</f>
        <v>63</v>
      </c>
      <c r="AD321" s="1112">
        <f>($C321*0.27)+$C321</f>
        <v>63.5</v>
      </c>
      <c r="AE321" s="1112">
        <f>($C321*0.28)+$C321</f>
        <v>64</v>
      </c>
      <c r="AF321" s="1112">
        <f>($C321*0.29)+$C321</f>
        <v>64.5</v>
      </c>
      <c r="AG321" s="1112">
        <f>($C321*0.3)+$C321</f>
        <v>65</v>
      </c>
    </row>
    <row r="322" spans="1:33" ht="30">
      <c r="A322" s="4" t="s">
        <v>54333</v>
      </c>
      <c r="B322" s="4" t="s">
        <v>55230</v>
      </c>
      <c r="C322" s="5">
        <v>125</v>
      </c>
      <c r="D322" s="1112">
        <f>($C322*0.01)+$C322</f>
        <v>126.25</v>
      </c>
      <c r="E322" s="1112">
        <f>($C322*0.02)+$C322</f>
        <v>127.5</v>
      </c>
      <c r="F322" s="1112">
        <f>($C322*0.03)+$C322</f>
        <v>128.75</v>
      </c>
      <c r="G322" s="1112">
        <f>($C322*0.04)+$C322</f>
        <v>130</v>
      </c>
      <c r="H322" s="1112">
        <f>($C322*0.05)+$C322</f>
        <v>131.25</v>
      </c>
      <c r="I322" s="1112">
        <f>($C322*0.06)+$C322</f>
        <v>132.5</v>
      </c>
      <c r="J322" s="1112">
        <f>($C322*0.07)+$C322</f>
        <v>133.75</v>
      </c>
      <c r="K322" s="1112">
        <f>($C322*0.08)+$C322</f>
        <v>135</v>
      </c>
      <c r="L322" s="1112">
        <f>($C322*0.09)+$C322</f>
        <v>136.25</v>
      </c>
      <c r="M322" s="1112">
        <f>($C322*0.1)+$C322</f>
        <v>137.5</v>
      </c>
      <c r="N322" s="1112">
        <f>($C322*0.11)+$C322</f>
        <v>138.75</v>
      </c>
      <c r="O322" s="1112">
        <f>($C322*0.12)+$C322</f>
        <v>140</v>
      </c>
      <c r="P322" s="1112">
        <f>($C322*0.13)+$C322</f>
        <v>141.25</v>
      </c>
      <c r="Q322" s="1112">
        <f>($C322*0.14)+$C322</f>
        <v>142.5</v>
      </c>
      <c r="R322" s="1112">
        <f>($C322*0.15)+$C322</f>
        <v>143.75</v>
      </c>
      <c r="S322" s="1112">
        <f>($C322*0.16)+$C322</f>
        <v>145</v>
      </c>
      <c r="T322" s="1112">
        <f>($C322*0.17)+$C322</f>
        <v>146.25</v>
      </c>
      <c r="U322" s="1112">
        <f>($C322*0.18)+$C322</f>
        <v>147.5</v>
      </c>
      <c r="V322" s="1112">
        <f>($C322*0.19)+$C322</f>
        <v>148.75</v>
      </c>
      <c r="W322" s="1112">
        <f>($C322*0.2)+$C322</f>
        <v>150</v>
      </c>
      <c r="X322" s="1112">
        <f>($C322*0.21)+$C322</f>
        <v>151.25</v>
      </c>
      <c r="Y322" s="1112">
        <f>($C322*0.22)+$C322</f>
        <v>152.5</v>
      </c>
      <c r="Z322" s="1112">
        <f>($C322*0.23)+$C322</f>
        <v>153.75</v>
      </c>
      <c r="AA322" s="1112">
        <f>($C322*0.24)+$C322</f>
        <v>155</v>
      </c>
      <c r="AB322" s="1112">
        <f>($C322*0.25)+$C322</f>
        <v>156.25</v>
      </c>
      <c r="AC322" s="1112">
        <f>($C322*0.26)+$C322</f>
        <v>157.5</v>
      </c>
      <c r="AD322" s="1112">
        <f>($C322*0.27)+$C322</f>
        <v>158.75</v>
      </c>
      <c r="AE322" s="1112">
        <f>($C322*0.28)+$C322</f>
        <v>160</v>
      </c>
      <c r="AF322" s="1112">
        <f>($C322*0.29)+$C322</f>
        <v>161.25</v>
      </c>
      <c r="AG322" s="1112">
        <f>($C322*0.3)+$C322</f>
        <v>162.5</v>
      </c>
    </row>
    <row r="323" spans="1:33" ht="30">
      <c r="A323" s="4" t="s">
        <v>54331</v>
      </c>
      <c r="B323" s="4" t="s">
        <v>55231</v>
      </c>
      <c r="C323" s="5">
        <v>125</v>
      </c>
      <c r="D323" s="1112">
        <f>($C323*0.01)+$C323</f>
        <v>126.25</v>
      </c>
      <c r="E323" s="1112">
        <f>($C323*0.02)+$C323</f>
        <v>127.5</v>
      </c>
      <c r="F323" s="1112">
        <f>($C323*0.03)+$C323</f>
        <v>128.75</v>
      </c>
      <c r="G323" s="1112">
        <f>($C323*0.04)+$C323</f>
        <v>130</v>
      </c>
      <c r="H323" s="1112">
        <f>($C323*0.05)+$C323</f>
        <v>131.25</v>
      </c>
      <c r="I323" s="1112">
        <f>($C323*0.06)+$C323</f>
        <v>132.5</v>
      </c>
      <c r="J323" s="1112">
        <f>($C323*0.07)+$C323</f>
        <v>133.75</v>
      </c>
      <c r="K323" s="1112">
        <f>($C323*0.08)+$C323</f>
        <v>135</v>
      </c>
      <c r="L323" s="1112">
        <f>($C323*0.09)+$C323</f>
        <v>136.25</v>
      </c>
      <c r="M323" s="1112">
        <f>($C323*0.1)+$C323</f>
        <v>137.5</v>
      </c>
      <c r="N323" s="1112">
        <f>($C323*0.11)+$C323</f>
        <v>138.75</v>
      </c>
      <c r="O323" s="1112">
        <f>($C323*0.12)+$C323</f>
        <v>140</v>
      </c>
      <c r="P323" s="1112">
        <f>($C323*0.13)+$C323</f>
        <v>141.25</v>
      </c>
      <c r="Q323" s="1112">
        <f>($C323*0.14)+$C323</f>
        <v>142.5</v>
      </c>
      <c r="R323" s="1112">
        <f>($C323*0.15)+$C323</f>
        <v>143.75</v>
      </c>
      <c r="S323" s="1112">
        <f>($C323*0.16)+$C323</f>
        <v>145</v>
      </c>
      <c r="T323" s="1112">
        <f>($C323*0.17)+$C323</f>
        <v>146.25</v>
      </c>
      <c r="U323" s="1112">
        <f>($C323*0.18)+$C323</f>
        <v>147.5</v>
      </c>
      <c r="V323" s="1112">
        <f>($C323*0.19)+$C323</f>
        <v>148.75</v>
      </c>
      <c r="W323" s="1112">
        <f>($C323*0.2)+$C323</f>
        <v>150</v>
      </c>
      <c r="X323" s="1112">
        <f>($C323*0.21)+$C323</f>
        <v>151.25</v>
      </c>
      <c r="Y323" s="1112">
        <f>($C323*0.22)+$C323</f>
        <v>152.5</v>
      </c>
      <c r="Z323" s="1112">
        <f>($C323*0.23)+$C323</f>
        <v>153.75</v>
      </c>
      <c r="AA323" s="1112">
        <f>($C323*0.24)+$C323</f>
        <v>155</v>
      </c>
      <c r="AB323" s="1112">
        <f>($C323*0.25)+$C323</f>
        <v>156.25</v>
      </c>
      <c r="AC323" s="1112">
        <f>($C323*0.26)+$C323</f>
        <v>157.5</v>
      </c>
      <c r="AD323" s="1112">
        <f>($C323*0.27)+$C323</f>
        <v>158.75</v>
      </c>
      <c r="AE323" s="1112">
        <f>($C323*0.28)+$C323</f>
        <v>160</v>
      </c>
      <c r="AF323" s="1112">
        <f>($C323*0.29)+$C323</f>
        <v>161.25</v>
      </c>
      <c r="AG323" s="1112">
        <f>($C323*0.3)+$C323</f>
        <v>162.5</v>
      </c>
    </row>
    <row r="324" spans="1:33" ht="30">
      <c r="A324" s="4" t="s">
        <v>54299</v>
      </c>
      <c r="B324" s="4" t="s">
        <v>55232</v>
      </c>
      <c r="C324" s="5">
        <v>1000</v>
      </c>
      <c r="D324" s="1112">
        <f>($C324*0.01)+$C324</f>
        <v>1010</v>
      </c>
      <c r="E324" s="1112">
        <f>($C324*0.02)+$C324</f>
        <v>1020</v>
      </c>
      <c r="F324" s="1112">
        <f>($C324*0.03)+$C324</f>
        <v>1030</v>
      </c>
      <c r="G324" s="1112">
        <f>($C324*0.04)+$C324</f>
        <v>1040</v>
      </c>
      <c r="H324" s="1112">
        <f>($C324*0.05)+$C324</f>
        <v>1050</v>
      </c>
      <c r="I324" s="1112">
        <f>($C324*0.06)+$C324</f>
        <v>1060</v>
      </c>
      <c r="J324" s="1112">
        <f>($C324*0.07)+$C324</f>
        <v>1070</v>
      </c>
      <c r="K324" s="1112">
        <f>($C324*0.08)+$C324</f>
        <v>1080</v>
      </c>
      <c r="L324" s="1112">
        <f>($C324*0.09)+$C324</f>
        <v>1090</v>
      </c>
      <c r="M324" s="1112">
        <f>($C324*0.1)+$C324</f>
        <v>1100</v>
      </c>
      <c r="N324" s="1112">
        <f>($C324*0.11)+$C324</f>
        <v>1110</v>
      </c>
      <c r="O324" s="1112">
        <f>($C324*0.12)+$C324</f>
        <v>1120</v>
      </c>
      <c r="P324" s="1112">
        <f>($C324*0.13)+$C324</f>
        <v>1130</v>
      </c>
      <c r="Q324" s="1112">
        <f>($C324*0.14)+$C324</f>
        <v>1140</v>
      </c>
      <c r="R324" s="1112">
        <f>($C324*0.15)+$C324</f>
        <v>1150</v>
      </c>
      <c r="S324" s="1112">
        <f>($C324*0.16)+$C324</f>
        <v>1160</v>
      </c>
      <c r="T324" s="1112">
        <f>($C324*0.17)+$C324</f>
        <v>1170</v>
      </c>
      <c r="U324" s="1112">
        <f>($C324*0.18)+$C324</f>
        <v>1180</v>
      </c>
      <c r="V324" s="1112">
        <f>($C324*0.19)+$C324</f>
        <v>1190</v>
      </c>
      <c r="W324" s="1112">
        <f>($C324*0.2)+$C324</f>
        <v>1200</v>
      </c>
      <c r="X324" s="1112">
        <f>($C324*0.21)+$C324</f>
        <v>1210</v>
      </c>
      <c r="Y324" s="1112">
        <f>($C324*0.22)+$C324</f>
        <v>1220</v>
      </c>
      <c r="Z324" s="1112">
        <f>($C324*0.23)+$C324</f>
        <v>1230</v>
      </c>
      <c r="AA324" s="1112">
        <f>($C324*0.24)+$C324</f>
        <v>1240</v>
      </c>
      <c r="AB324" s="1112">
        <f>($C324*0.25)+$C324</f>
        <v>1250</v>
      </c>
      <c r="AC324" s="1112">
        <f>($C324*0.26)+$C324</f>
        <v>1260</v>
      </c>
      <c r="AD324" s="1112">
        <f>($C324*0.27)+$C324</f>
        <v>1270</v>
      </c>
      <c r="AE324" s="1112">
        <f>($C324*0.28)+$C324</f>
        <v>1280</v>
      </c>
      <c r="AF324" s="1112">
        <f>($C324*0.29)+$C324</f>
        <v>1290</v>
      </c>
      <c r="AG324" s="1112">
        <f>($C324*0.3)+$C324</f>
        <v>1300</v>
      </c>
    </row>
    <row r="325" spans="1:33" ht="30">
      <c r="A325" s="4" t="s">
        <v>54272</v>
      </c>
      <c r="B325" s="7" t="s">
        <v>54280</v>
      </c>
      <c r="C325" s="5">
        <v>3200</v>
      </c>
      <c r="D325" s="1112">
        <f>($C325*0.01)+$C325</f>
        <v>3232</v>
      </c>
      <c r="E325" s="1112">
        <f>($C325*0.02)+$C325</f>
        <v>3264</v>
      </c>
      <c r="F325" s="1112">
        <f>($C325*0.03)+$C325</f>
        <v>3296</v>
      </c>
      <c r="G325" s="1112">
        <f>($C325*0.04)+$C325</f>
        <v>3328</v>
      </c>
      <c r="H325" s="1112">
        <f>($C325*0.05)+$C325</f>
        <v>3360</v>
      </c>
      <c r="I325" s="1112">
        <f>($C325*0.06)+$C325</f>
        <v>3392</v>
      </c>
      <c r="J325" s="1112">
        <f>($C325*0.07)+$C325</f>
        <v>3424</v>
      </c>
      <c r="K325" s="1112">
        <f>($C325*0.08)+$C325</f>
        <v>3456</v>
      </c>
      <c r="L325" s="1112">
        <f>($C325*0.09)+$C325</f>
        <v>3488</v>
      </c>
      <c r="M325" s="1112">
        <f>($C325*0.1)+$C325</f>
        <v>3520</v>
      </c>
      <c r="N325" s="1112">
        <f>($C325*0.11)+$C325</f>
        <v>3552</v>
      </c>
      <c r="O325" s="1112">
        <f>($C325*0.12)+$C325</f>
        <v>3584</v>
      </c>
      <c r="P325" s="1112">
        <f>($C325*0.13)+$C325</f>
        <v>3616</v>
      </c>
      <c r="Q325" s="1112">
        <f>($C325*0.14)+$C325</f>
        <v>3648</v>
      </c>
      <c r="R325" s="1112">
        <f>($C325*0.15)+$C325</f>
        <v>3680</v>
      </c>
      <c r="S325" s="1112">
        <f>($C325*0.16)+$C325</f>
        <v>3712</v>
      </c>
      <c r="T325" s="1112">
        <f>($C325*0.17)+$C325</f>
        <v>3744</v>
      </c>
      <c r="U325" s="1112">
        <f>($C325*0.18)+$C325</f>
        <v>3776</v>
      </c>
      <c r="V325" s="1112">
        <f>($C325*0.19)+$C325</f>
        <v>3808</v>
      </c>
      <c r="W325" s="1112">
        <f>($C325*0.2)+$C325</f>
        <v>3840</v>
      </c>
      <c r="X325" s="1112">
        <f>($C325*0.21)+$C325</f>
        <v>3872</v>
      </c>
      <c r="Y325" s="1112">
        <f>($C325*0.22)+$C325</f>
        <v>3904</v>
      </c>
      <c r="Z325" s="1112">
        <f>($C325*0.23)+$C325</f>
        <v>3936</v>
      </c>
      <c r="AA325" s="1112">
        <f>($C325*0.24)+$C325</f>
        <v>3968</v>
      </c>
      <c r="AB325" s="1112">
        <f>($C325*0.25)+$C325</f>
        <v>4000</v>
      </c>
      <c r="AC325" s="1112">
        <f>($C325*0.26)+$C325</f>
        <v>4032</v>
      </c>
      <c r="AD325" s="1112">
        <f>($C325*0.27)+$C325</f>
        <v>4064</v>
      </c>
      <c r="AE325" s="1112">
        <f>($C325*0.28)+$C325</f>
        <v>4096</v>
      </c>
      <c r="AF325" s="1112">
        <f>($C325*0.29)+$C325</f>
        <v>4128</v>
      </c>
      <c r="AG325" s="1112">
        <f>($C325*0.3)+$C325</f>
        <v>4160</v>
      </c>
    </row>
    <row r="326" spans="1:33" ht="15">
      <c r="A326" s="7" t="s">
        <v>54225</v>
      </c>
      <c r="B326" s="7" t="s">
        <v>54223</v>
      </c>
      <c r="C326" s="8">
        <v>3500</v>
      </c>
      <c r="D326" s="1112">
        <f>($C326*0.01)+$C326</f>
        <v>3535</v>
      </c>
      <c r="E326" s="1112">
        <f>($C326*0.02)+$C326</f>
        <v>3570</v>
      </c>
      <c r="F326" s="1112">
        <f>($C326*0.03)+$C326</f>
        <v>3605</v>
      </c>
      <c r="G326" s="1112">
        <f>($C326*0.04)+$C326</f>
        <v>3640</v>
      </c>
      <c r="H326" s="1112">
        <f>($C326*0.05)+$C326</f>
        <v>3675</v>
      </c>
      <c r="I326" s="1112">
        <f>($C326*0.06)+$C326</f>
        <v>3710</v>
      </c>
      <c r="J326" s="1112">
        <f>($C326*0.07)+$C326</f>
        <v>3745</v>
      </c>
      <c r="K326" s="1112">
        <f>($C326*0.08)+$C326</f>
        <v>3780</v>
      </c>
      <c r="L326" s="1112">
        <f>($C326*0.09)+$C326</f>
        <v>3815</v>
      </c>
      <c r="M326" s="1112">
        <f>($C326*0.1)+$C326</f>
        <v>3850</v>
      </c>
      <c r="N326" s="1112">
        <f>($C326*0.11)+$C326</f>
        <v>3885</v>
      </c>
      <c r="O326" s="1112">
        <f>($C326*0.12)+$C326</f>
        <v>3920</v>
      </c>
      <c r="P326" s="1112">
        <f>($C326*0.13)+$C326</f>
        <v>3955</v>
      </c>
      <c r="Q326" s="1112">
        <f>($C326*0.14)+$C326</f>
        <v>3990</v>
      </c>
      <c r="R326" s="1112">
        <f>($C326*0.15)+$C326</f>
        <v>4025</v>
      </c>
      <c r="S326" s="1112">
        <f>($C326*0.16)+$C326</f>
        <v>4060</v>
      </c>
      <c r="T326" s="1112">
        <f>($C326*0.17)+$C326</f>
        <v>4095</v>
      </c>
      <c r="U326" s="1112">
        <f>($C326*0.18)+$C326</f>
        <v>4130</v>
      </c>
      <c r="V326" s="1112">
        <f>($C326*0.19)+$C326</f>
        <v>4165</v>
      </c>
      <c r="W326" s="1112">
        <f>($C326*0.2)+$C326</f>
        <v>4200</v>
      </c>
      <c r="X326" s="1112">
        <f>($C326*0.21)+$C326</f>
        <v>4235</v>
      </c>
      <c r="Y326" s="1112">
        <f>($C326*0.22)+$C326</f>
        <v>4270</v>
      </c>
      <c r="Z326" s="1112">
        <f>($C326*0.23)+$C326</f>
        <v>4305</v>
      </c>
      <c r="AA326" s="1112">
        <f>($C326*0.24)+$C326</f>
        <v>4340</v>
      </c>
      <c r="AB326" s="1112">
        <f>($C326*0.25)+$C326</f>
        <v>4375</v>
      </c>
      <c r="AC326" s="1112">
        <f>($C326*0.26)+$C326</f>
        <v>4410</v>
      </c>
      <c r="AD326" s="1112">
        <f>($C326*0.27)+$C326</f>
        <v>4445</v>
      </c>
      <c r="AE326" s="1112">
        <f>($C326*0.28)+$C326</f>
        <v>4480</v>
      </c>
      <c r="AF326" s="1112">
        <f>($C326*0.29)+$C326</f>
        <v>4515</v>
      </c>
      <c r="AG326" s="1112">
        <f>($C326*0.3)+$C326</f>
        <v>4550</v>
      </c>
    </row>
    <row r="327" spans="1:33" ht="15">
      <c r="A327" s="7" t="s">
        <v>54225</v>
      </c>
      <c r="B327" s="7" t="s">
        <v>54228</v>
      </c>
      <c r="C327" s="8">
        <v>5500</v>
      </c>
      <c r="D327" s="1112">
        <f>($C327*0.01)+$C327</f>
        <v>5555</v>
      </c>
      <c r="E327" s="1112">
        <f>($C327*0.02)+$C327</f>
        <v>5610</v>
      </c>
      <c r="F327" s="1112">
        <f>($C327*0.03)+$C327</f>
        <v>5665</v>
      </c>
      <c r="G327" s="1112">
        <f>($C327*0.04)+$C327</f>
        <v>5720</v>
      </c>
      <c r="H327" s="1112">
        <f>($C327*0.05)+$C327</f>
        <v>5775</v>
      </c>
      <c r="I327" s="1112">
        <f>($C327*0.06)+$C327</f>
        <v>5830</v>
      </c>
      <c r="J327" s="1112">
        <f>($C327*0.07)+$C327</f>
        <v>5885</v>
      </c>
      <c r="K327" s="1112">
        <f>($C327*0.08)+$C327</f>
        <v>5940</v>
      </c>
      <c r="L327" s="1112">
        <f>($C327*0.09)+$C327</f>
        <v>5995</v>
      </c>
      <c r="M327" s="1112">
        <f>($C327*0.1)+$C327</f>
        <v>6050</v>
      </c>
      <c r="N327" s="1112">
        <f>($C327*0.11)+$C327</f>
        <v>6105</v>
      </c>
      <c r="O327" s="1112">
        <f>($C327*0.12)+$C327</f>
        <v>6160</v>
      </c>
      <c r="P327" s="1112">
        <f>($C327*0.13)+$C327</f>
        <v>6215</v>
      </c>
      <c r="Q327" s="1112">
        <f>($C327*0.14)+$C327</f>
        <v>6270</v>
      </c>
      <c r="R327" s="1112">
        <f>($C327*0.15)+$C327</f>
        <v>6325</v>
      </c>
      <c r="S327" s="1112">
        <f>($C327*0.16)+$C327</f>
        <v>6380</v>
      </c>
      <c r="T327" s="1112">
        <f>($C327*0.17)+$C327</f>
        <v>6435</v>
      </c>
      <c r="U327" s="1112">
        <f>($C327*0.18)+$C327</f>
        <v>6490</v>
      </c>
      <c r="V327" s="1112">
        <f>($C327*0.19)+$C327</f>
        <v>6545</v>
      </c>
      <c r="W327" s="1112">
        <f>($C327*0.2)+$C327</f>
        <v>6600</v>
      </c>
      <c r="X327" s="1112">
        <f>($C327*0.21)+$C327</f>
        <v>6655</v>
      </c>
      <c r="Y327" s="1112">
        <f>($C327*0.22)+$C327</f>
        <v>6710</v>
      </c>
      <c r="Z327" s="1112">
        <f>($C327*0.23)+$C327</f>
        <v>6765</v>
      </c>
      <c r="AA327" s="1112">
        <f>($C327*0.24)+$C327</f>
        <v>6820</v>
      </c>
      <c r="AB327" s="1112">
        <f>($C327*0.25)+$C327</f>
        <v>6875</v>
      </c>
      <c r="AC327" s="1112">
        <f>($C327*0.26)+$C327</f>
        <v>6930</v>
      </c>
      <c r="AD327" s="1112">
        <f>($C327*0.27)+$C327</f>
        <v>6985</v>
      </c>
      <c r="AE327" s="1112">
        <f>($C327*0.28)+$C327</f>
        <v>7040</v>
      </c>
      <c r="AF327" s="1112">
        <f>($C327*0.29)+$C327</f>
        <v>7095</v>
      </c>
      <c r="AG327" s="1112">
        <f>($C327*0.3)+$C327</f>
        <v>7150</v>
      </c>
    </row>
    <row r="328" spans="1:33" ht="15">
      <c r="A328" s="7" t="s">
        <v>54222</v>
      </c>
      <c r="B328" s="7"/>
      <c r="C328" s="8">
        <v>3500</v>
      </c>
      <c r="D328" s="1112">
        <f>($C328*0.01)+$C328</f>
        <v>3535</v>
      </c>
      <c r="E328" s="1112">
        <f>($C328*0.02)+$C328</f>
        <v>3570</v>
      </c>
      <c r="F328" s="1112">
        <f>($C328*0.03)+$C328</f>
        <v>3605</v>
      </c>
      <c r="G328" s="1112">
        <f>($C328*0.04)+$C328</f>
        <v>3640</v>
      </c>
      <c r="H328" s="1112">
        <f>($C328*0.05)+$C328</f>
        <v>3675</v>
      </c>
      <c r="I328" s="1112">
        <f>($C328*0.06)+$C328</f>
        <v>3710</v>
      </c>
      <c r="J328" s="1112">
        <f>($C328*0.07)+$C328</f>
        <v>3745</v>
      </c>
      <c r="K328" s="1112">
        <f>($C328*0.08)+$C328</f>
        <v>3780</v>
      </c>
      <c r="L328" s="1112">
        <f>($C328*0.09)+$C328</f>
        <v>3815</v>
      </c>
      <c r="M328" s="1112">
        <f>($C328*0.1)+$C328</f>
        <v>3850</v>
      </c>
      <c r="N328" s="1112">
        <f>($C328*0.11)+$C328</f>
        <v>3885</v>
      </c>
      <c r="O328" s="1112">
        <f>($C328*0.12)+$C328</f>
        <v>3920</v>
      </c>
      <c r="P328" s="1112">
        <f>($C328*0.13)+$C328</f>
        <v>3955</v>
      </c>
      <c r="Q328" s="1112">
        <f>($C328*0.14)+$C328</f>
        <v>3990</v>
      </c>
      <c r="R328" s="1112">
        <f>($C328*0.15)+$C328</f>
        <v>4025</v>
      </c>
      <c r="S328" s="1112">
        <f>($C328*0.16)+$C328</f>
        <v>4060</v>
      </c>
      <c r="T328" s="1112">
        <f>($C328*0.17)+$C328</f>
        <v>4095</v>
      </c>
      <c r="U328" s="1112">
        <f>($C328*0.18)+$C328</f>
        <v>4130</v>
      </c>
      <c r="V328" s="1112">
        <f>($C328*0.19)+$C328</f>
        <v>4165</v>
      </c>
      <c r="W328" s="1112">
        <f>($C328*0.2)+$C328</f>
        <v>4200</v>
      </c>
      <c r="X328" s="1112">
        <f>($C328*0.21)+$C328</f>
        <v>4235</v>
      </c>
      <c r="Y328" s="1112">
        <f>($C328*0.22)+$C328</f>
        <v>4270</v>
      </c>
      <c r="Z328" s="1112">
        <f>($C328*0.23)+$C328</f>
        <v>4305</v>
      </c>
      <c r="AA328" s="1112">
        <f>($C328*0.24)+$C328</f>
        <v>4340</v>
      </c>
      <c r="AB328" s="1112">
        <f>($C328*0.25)+$C328</f>
        <v>4375</v>
      </c>
      <c r="AC328" s="1112">
        <f>($C328*0.26)+$C328</f>
        <v>4410</v>
      </c>
      <c r="AD328" s="1112">
        <f>($C328*0.27)+$C328</f>
        <v>4445</v>
      </c>
      <c r="AE328" s="1112">
        <f>($C328*0.28)+$C328</f>
        <v>4480</v>
      </c>
      <c r="AF328" s="1112">
        <f>($C328*0.29)+$C328</f>
        <v>4515</v>
      </c>
      <c r="AG328" s="1112">
        <f>($C328*0.3)+$C328</f>
        <v>4550</v>
      </c>
    </row>
    <row r="329" spans="1:33" ht="15">
      <c r="A329" s="7" t="s">
        <v>54222</v>
      </c>
      <c r="B329" s="7" t="s">
        <v>54229</v>
      </c>
      <c r="C329" s="8">
        <v>5000</v>
      </c>
      <c r="D329" s="1112">
        <f>($C329*0.01)+$C329</f>
        <v>5050</v>
      </c>
      <c r="E329" s="1112">
        <f>($C329*0.02)+$C329</f>
        <v>5100</v>
      </c>
      <c r="F329" s="1112">
        <f>($C329*0.03)+$C329</f>
        <v>5150</v>
      </c>
      <c r="G329" s="1112">
        <f>($C329*0.04)+$C329</f>
        <v>5200</v>
      </c>
      <c r="H329" s="1112">
        <f>($C329*0.05)+$C329</f>
        <v>5250</v>
      </c>
      <c r="I329" s="1112">
        <f>($C329*0.06)+$C329</f>
        <v>5300</v>
      </c>
      <c r="J329" s="1112">
        <f>($C329*0.07)+$C329</f>
        <v>5350</v>
      </c>
      <c r="K329" s="1112">
        <f>($C329*0.08)+$C329</f>
        <v>5400</v>
      </c>
      <c r="L329" s="1112">
        <f>($C329*0.09)+$C329</f>
        <v>5450</v>
      </c>
      <c r="M329" s="1112">
        <f>($C329*0.1)+$C329</f>
        <v>5500</v>
      </c>
      <c r="N329" s="1112">
        <f>($C329*0.11)+$C329</f>
        <v>5550</v>
      </c>
      <c r="O329" s="1112">
        <f>($C329*0.12)+$C329</f>
        <v>5600</v>
      </c>
      <c r="P329" s="1112">
        <f>($C329*0.13)+$C329</f>
        <v>5650</v>
      </c>
      <c r="Q329" s="1112">
        <f>($C329*0.14)+$C329</f>
        <v>5700</v>
      </c>
      <c r="R329" s="1112">
        <f>($C329*0.15)+$C329</f>
        <v>5750</v>
      </c>
      <c r="S329" s="1112">
        <f>($C329*0.16)+$C329</f>
        <v>5800</v>
      </c>
      <c r="T329" s="1112">
        <f>($C329*0.17)+$C329</f>
        <v>5850</v>
      </c>
      <c r="U329" s="1112">
        <f>($C329*0.18)+$C329</f>
        <v>5900</v>
      </c>
      <c r="V329" s="1112">
        <f>($C329*0.19)+$C329</f>
        <v>5950</v>
      </c>
      <c r="W329" s="1112">
        <f>($C329*0.2)+$C329</f>
        <v>6000</v>
      </c>
      <c r="X329" s="1112">
        <f>($C329*0.21)+$C329</f>
        <v>6050</v>
      </c>
      <c r="Y329" s="1112">
        <f>($C329*0.22)+$C329</f>
        <v>6100</v>
      </c>
      <c r="Z329" s="1112">
        <f>($C329*0.23)+$C329</f>
        <v>6150</v>
      </c>
      <c r="AA329" s="1112">
        <f>($C329*0.24)+$C329</f>
        <v>6200</v>
      </c>
      <c r="AB329" s="1112">
        <f>($C329*0.25)+$C329</f>
        <v>6250</v>
      </c>
      <c r="AC329" s="1112">
        <f>($C329*0.26)+$C329</f>
        <v>6300</v>
      </c>
      <c r="AD329" s="1112">
        <f>($C329*0.27)+$C329</f>
        <v>6350</v>
      </c>
      <c r="AE329" s="1112">
        <f>($C329*0.28)+$C329</f>
        <v>6400</v>
      </c>
      <c r="AF329" s="1112">
        <f>($C329*0.29)+$C329</f>
        <v>6450</v>
      </c>
      <c r="AG329" s="1112">
        <f>($C329*0.3)+$C329</f>
        <v>6500</v>
      </c>
    </row>
    <row r="330" spans="1:33" ht="15">
      <c r="A330" s="7" t="s">
        <v>54224</v>
      </c>
      <c r="B330" s="7" t="s">
        <v>54226</v>
      </c>
      <c r="C330" s="8">
        <v>3500</v>
      </c>
      <c r="D330" s="1112">
        <f>($C330*0.01)+$C330</f>
        <v>3535</v>
      </c>
      <c r="E330" s="1112">
        <f>($C330*0.02)+$C330</f>
        <v>3570</v>
      </c>
      <c r="F330" s="1112">
        <f>($C330*0.03)+$C330</f>
        <v>3605</v>
      </c>
      <c r="G330" s="1112">
        <f>($C330*0.04)+$C330</f>
        <v>3640</v>
      </c>
      <c r="H330" s="1112">
        <f>($C330*0.05)+$C330</f>
        <v>3675</v>
      </c>
      <c r="I330" s="1112">
        <f>($C330*0.06)+$C330</f>
        <v>3710</v>
      </c>
      <c r="J330" s="1112">
        <f>($C330*0.07)+$C330</f>
        <v>3745</v>
      </c>
      <c r="K330" s="1112">
        <f>($C330*0.08)+$C330</f>
        <v>3780</v>
      </c>
      <c r="L330" s="1112">
        <f>($C330*0.09)+$C330</f>
        <v>3815</v>
      </c>
      <c r="M330" s="1112">
        <f>($C330*0.1)+$C330</f>
        <v>3850</v>
      </c>
      <c r="N330" s="1112">
        <f>($C330*0.11)+$C330</f>
        <v>3885</v>
      </c>
      <c r="O330" s="1112">
        <f>($C330*0.12)+$C330</f>
        <v>3920</v>
      </c>
      <c r="P330" s="1112">
        <f>($C330*0.13)+$C330</f>
        <v>3955</v>
      </c>
      <c r="Q330" s="1112">
        <f>($C330*0.14)+$C330</f>
        <v>3990</v>
      </c>
      <c r="R330" s="1112">
        <f>($C330*0.15)+$C330</f>
        <v>4025</v>
      </c>
      <c r="S330" s="1112">
        <f>($C330*0.16)+$C330</f>
        <v>4060</v>
      </c>
      <c r="T330" s="1112">
        <f>($C330*0.17)+$C330</f>
        <v>4095</v>
      </c>
      <c r="U330" s="1112">
        <f>($C330*0.18)+$C330</f>
        <v>4130</v>
      </c>
      <c r="V330" s="1112">
        <f>($C330*0.19)+$C330</f>
        <v>4165</v>
      </c>
      <c r="W330" s="1112">
        <f>($C330*0.2)+$C330</f>
        <v>4200</v>
      </c>
      <c r="X330" s="1112">
        <f>($C330*0.21)+$C330</f>
        <v>4235</v>
      </c>
      <c r="Y330" s="1112">
        <f>($C330*0.22)+$C330</f>
        <v>4270</v>
      </c>
      <c r="Z330" s="1112">
        <f>($C330*0.23)+$C330</f>
        <v>4305</v>
      </c>
      <c r="AA330" s="1112">
        <f>($C330*0.24)+$C330</f>
        <v>4340</v>
      </c>
      <c r="AB330" s="1112">
        <f>($C330*0.25)+$C330</f>
        <v>4375</v>
      </c>
      <c r="AC330" s="1112">
        <f>($C330*0.26)+$C330</f>
        <v>4410</v>
      </c>
      <c r="AD330" s="1112">
        <f>($C330*0.27)+$C330</f>
        <v>4445</v>
      </c>
      <c r="AE330" s="1112">
        <f>($C330*0.28)+$C330</f>
        <v>4480</v>
      </c>
      <c r="AF330" s="1112">
        <f>($C330*0.29)+$C330</f>
        <v>4515</v>
      </c>
      <c r="AG330" s="1112">
        <f>($C330*0.3)+$C330</f>
        <v>4550</v>
      </c>
    </row>
    <row r="331" spans="1:33" ht="15">
      <c r="A331" s="7" t="s">
        <v>13139</v>
      </c>
      <c r="B331" s="7" t="s">
        <v>54221</v>
      </c>
      <c r="C331" s="8">
        <v>600</v>
      </c>
      <c r="D331" s="1112">
        <f>($C331*0.01)+$C331</f>
        <v>606</v>
      </c>
      <c r="E331" s="1112">
        <f>($C331*0.02)+$C331</f>
        <v>612</v>
      </c>
      <c r="F331" s="1112">
        <f>($C331*0.03)+$C331</f>
        <v>618</v>
      </c>
      <c r="G331" s="1112">
        <f>($C331*0.04)+$C331</f>
        <v>624</v>
      </c>
      <c r="H331" s="1112">
        <f>($C331*0.05)+$C331</f>
        <v>630</v>
      </c>
      <c r="I331" s="1112">
        <f>($C331*0.06)+$C331</f>
        <v>636</v>
      </c>
      <c r="J331" s="1112">
        <f>($C331*0.07)+$C331</f>
        <v>642</v>
      </c>
      <c r="K331" s="1112">
        <f>($C331*0.08)+$C331</f>
        <v>648</v>
      </c>
      <c r="L331" s="1112">
        <f>($C331*0.09)+$C331</f>
        <v>654</v>
      </c>
      <c r="M331" s="1112">
        <f>($C331*0.1)+$C331</f>
        <v>660</v>
      </c>
      <c r="N331" s="1112">
        <f>($C331*0.11)+$C331</f>
        <v>666</v>
      </c>
      <c r="O331" s="1112">
        <f>($C331*0.12)+$C331</f>
        <v>672</v>
      </c>
      <c r="P331" s="1112">
        <f>($C331*0.13)+$C331</f>
        <v>678</v>
      </c>
      <c r="Q331" s="1112">
        <f>($C331*0.14)+$C331</f>
        <v>684</v>
      </c>
      <c r="R331" s="1112">
        <f>($C331*0.15)+$C331</f>
        <v>690</v>
      </c>
      <c r="S331" s="1112">
        <f>($C331*0.16)+$C331</f>
        <v>696</v>
      </c>
      <c r="T331" s="1112">
        <f>($C331*0.17)+$C331</f>
        <v>702</v>
      </c>
      <c r="U331" s="1112">
        <f>($C331*0.18)+$C331</f>
        <v>708</v>
      </c>
      <c r="V331" s="1112">
        <f>($C331*0.19)+$C331</f>
        <v>714</v>
      </c>
      <c r="W331" s="1112">
        <f>($C331*0.2)+$C331</f>
        <v>720</v>
      </c>
      <c r="X331" s="1112">
        <f>($C331*0.21)+$C331</f>
        <v>726</v>
      </c>
      <c r="Y331" s="1112">
        <f>($C331*0.22)+$C331</f>
        <v>732</v>
      </c>
      <c r="Z331" s="1112">
        <f>($C331*0.23)+$C331</f>
        <v>738</v>
      </c>
      <c r="AA331" s="1112">
        <f>($C331*0.24)+$C331</f>
        <v>744</v>
      </c>
      <c r="AB331" s="1112">
        <f>($C331*0.25)+$C331</f>
        <v>750</v>
      </c>
      <c r="AC331" s="1112">
        <f>($C331*0.26)+$C331</f>
        <v>756</v>
      </c>
      <c r="AD331" s="1112">
        <f>($C331*0.27)+$C331</f>
        <v>762</v>
      </c>
      <c r="AE331" s="1112">
        <f>($C331*0.28)+$C331</f>
        <v>768</v>
      </c>
      <c r="AF331" s="1112">
        <f>($C331*0.29)+$C331</f>
        <v>774</v>
      </c>
      <c r="AG331" s="1112">
        <f>($C331*0.3)+$C331</f>
        <v>780</v>
      </c>
    </row>
    <row r="332" spans="1:33" ht="15">
      <c r="A332" s="7" t="s">
        <v>54231</v>
      </c>
      <c r="B332" s="7" t="s">
        <v>54227</v>
      </c>
      <c r="C332" s="8">
        <v>5500</v>
      </c>
      <c r="D332" s="1112">
        <f>($C332*0.01)+$C332</f>
        <v>5555</v>
      </c>
      <c r="E332" s="1112">
        <f>($C332*0.02)+$C332</f>
        <v>5610</v>
      </c>
      <c r="F332" s="1112">
        <f>($C332*0.03)+$C332</f>
        <v>5665</v>
      </c>
      <c r="G332" s="1112">
        <f>($C332*0.04)+$C332</f>
        <v>5720</v>
      </c>
      <c r="H332" s="1112">
        <f>($C332*0.05)+$C332</f>
        <v>5775</v>
      </c>
      <c r="I332" s="1112">
        <f>($C332*0.06)+$C332</f>
        <v>5830</v>
      </c>
      <c r="J332" s="1112">
        <f>($C332*0.07)+$C332</f>
        <v>5885</v>
      </c>
      <c r="K332" s="1112">
        <f>($C332*0.08)+$C332</f>
        <v>5940</v>
      </c>
      <c r="L332" s="1112">
        <f>($C332*0.09)+$C332</f>
        <v>5995</v>
      </c>
      <c r="M332" s="1112">
        <f>($C332*0.1)+$C332</f>
        <v>6050</v>
      </c>
      <c r="N332" s="1112">
        <f>($C332*0.11)+$C332</f>
        <v>6105</v>
      </c>
      <c r="O332" s="1112">
        <f>($C332*0.12)+$C332</f>
        <v>6160</v>
      </c>
      <c r="P332" s="1112">
        <f>($C332*0.13)+$C332</f>
        <v>6215</v>
      </c>
      <c r="Q332" s="1112">
        <f>($C332*0.14)+$C332</f>
        <v>6270</v>
      </c>
      <c r="R332" s="1112">
        <f>($C332*0.15)+$C332</f>
        <v>6325</v>
      </c>
      <c r="S332" s="1112">
        <f>($C332*0.16)+$C332</f>
        <v>6380</v>
      </c>
      <c r="T332" s="1112">
        <f>($C332*0.17)+$C332</f>
        <v>6435</v>
      </c>
      <c r="U332" s="1112">
        <f>($C332*0.18)+$C332</f>
        <v>6490</v>
      </c>
      <c r="V332" s="1112">
        <f>($C332*0.19)+$C332</f>
        <v>6545</v>
      </c>
      <c r="W332" s="1112">
        <f>($C332*0.2)+$C332</f>
        <v>6600</v>
      </c>
      <c r="X332" s="1112">
        <f>($C332*0.21)+$C332</f>
        <v>6655</v>
      </c>
      <c r="Y332" s="1112">
        <f>($C332*0.22)+$C332</f>
        <v>6710</v>
      </c>
      <c r="Z332" s="1112">
        <f>($C332*0.23)+$C332</f>
        <v>6765</v>
      </c>
      <c r="AA332" s="1112">
        <f>($C332*0.24)+$C332</f>
        <v>6820</v>
      </c>
      <c r="AB332" s="1112">
        <f>($C332*0.25)+$C332</f>
        <v>6875</v>
      </c>
      <c r="AC332" s="1112">
        <f>($C332*0.26)+$C332</f>
        <v>6930</v>
      </c>
      <c r="AD332" s="1112">
        <f>($C332*0.27)+$C332</f>
        <v>6985</v>
      </c>
      <c r="AE332" s="1112">
        <f>($C332*0.28)+$C332</f>
        <v>7040</v>
      </c>
      <c r="AF332" s="1112">
        <f>($C332*0.29)+$C332</f>
        <v>7095</v>
      </c>
      <c r="AG332" s="1112">
        <f>($C332*0.3)+$C332</f>
        <v>7150</v>
      </c>
    </row>
    <row r="333" spans="1:33" ht="15">
      <c r="A333" s="7" t="s">
        <v>54232</v>
      </c>
      <c r="B333" s="7" t="s">
        <v>54230</v>
      </c>
      <c r="C333" s="8">
        <v>5000</v>
      </c>
      <c r="D333" s="1112">
        <f>($C333*0.01)+$C333</f>
        <v>5050</v>
      </c>
      <c r="E333" s="1112">
        <f>($C333*0.02)+$C333</f>
        <v>5100</v>
      </c>
      <c r="F333" s="1112">
        <f>($C333*0.03)+$C333</f>
        <v>5150</v>
      </c>
      <c r="G333" s="1112">
        <f>($C333*0.04)+$C333</f>
        <v>5200</v>
      </c>
      <c r="H333" s="1112">
        <f>($C333*0.05)+$C333</f>
        <v>5250</v>
      </c>
      <c r="I333" s="1112">
        <f>($C333*0.06)+$C333</f>
        <v>5300</v>
      </c>
      <c r="J333" s="1112">
        <f>($C333*0.07)+$C333</f>
        <v>5350</v>
      </c>
      <c r="K333" s="1112">
        <f>($C333*0.08)+$C333</f>
        <v>5400</v>
      </c>
      <c r="L333" s="1112">
        <f>($C333*0.09)+$C333</f>
        <v>5450</v>
      </c>
      <c r="M333" s="1112">
        <f>($C333*0.1)+$C333</f>
        <v>5500</v>
      </c>
      <c r="N333" s="1112">
        <f>($C333*0.11)+$C333</f>
        <v>5550</v>
      </c>
      <c r="O333" s="1112">
        <f>($C333*0.12)+$C333</f>
        <v>5600</v>
      </c>
      <c r="P333" s="1112">
        <f>($C333*0.13)+$C333</f>
        <v>5650</v>
      </c>
      <c r="Q333" s="1112">
        <f>($C333*0.14)+$C333</f>
        <v>5700</v>
      </c>
      <c r="R333" s="1112">
        <f>($C333*0.15)+$C333</f>
        <v>5750</v>
      </c>
      <c r="S333" s="1112">
        <f>($C333*0.16)+$C333</f>
        <v>5800</v>
      </c>
      <c r="T333" s="1112">
        <f>($C333*0.17)+$C333</f>
        <v>5850</v>
      </c>
      <c r="U333" s="1112">
        <f>($C333*0.18)+$C333</f>
        <v>5900</v>
      </c>
      <c r="V333" s="1112">
        <f>($C333*0.19)+$C333</f>
        <v>5950</v>
      </c>
      <c r="W333" s="1112">
        <f>($C333*0.2)+$C333</f>
        <v>6000</v>
      </c>
      <c r="X333" s="1112">
        <f>($C333*0.21)+$C333</f>
        <v>6050</v>
      </c>
      <c r="Y333" s="1112">
        <f>($C333*0.22)+$C333</f>
        <v>6100</v>
      </c>
      <c r="Z333" s="1112">
        <f>($C333*0.23)+$C333</f>
        <v>6150</v>
      </c>
      <c r="AA333" s="1112">
        <f>($C333*0.24)+$C333</f>
        <v>6200</v>
      </c>
      <c r="AB333" s="1112">
        <f>($C333*0.25)+$C333</f>
        <v>6250</v>
      </c>
      <c r="AC333" s="1112">
        <f>($C333*0.26)+$C333</f>
        <v>6300</v>
      </c>
      <c r="AD333" s="1112">
        <f>($C333*0.27)+$C333</f>
        <v>6350</v>
      </c>
      <c r="AE333" s="1112">
        <f>($C333*0.28)+$C333</f>
        <v>6400</v>
      </c>
      <c r="AF333" s="1112">
        <f>($C333*0.29)+$C333</f>
        <v>6450</v>
      </c>
      <c r="AG333" s="1112">
        <f>($C333*0.3)+$C333</f>
        <v>6500</v>
      </c>
    </row>
    <row r="334" spans="1:33" ht="15">
      <c r="A334" s="7" t="s">
        <v>13578</v>
      </c>
      <c r="B334" s="7" t="s">
        <v>54233</v>
      </c>
      <c r="C334" s="8">
        <v>500</v>
      </c>
      <c r="D334" s="1112">
        <f>($C334*0.01)+$C334</f>
        <v>505</v>
      </c>
      <c r="E334" s="1112">
        <f>($C334*0.02)+$C334</f>
        <v>510</v>
      </c>
      <c r="F334" s="1112">
        <f>($C334*0.03)+$C334</f>
        <v>515</v>
      </c>
      <c r="G334" s="1112">
        <f>($C334*0.04)+$C334</f>
        <v>520</v>
      </c>
      <c r="H334" s="1112">
        <f>($C334*0.05)+$C334</f>
        <v>525</v>
      </c>
      <c r="I334" s="1112">
        <f>($C334*0.06)+$C334</f>
        <v>530</v>
      </c>
      <c r="J334" s="1112">
        <f>($C334*0.07)+$C334</f>
        <v>535</v>
      </c>
      <c r="K334" s="1112">
        <f>($C334*0.08)+$C334</f>
        <v>540</v>
      </c>
      <c r="L334" s="1112">
        <f>($C334*0.09)+$C334</f>
        <v>545</v>
      </c>
      <c r="M334" s="1112">
        <f>($C334*0.1)+$C334</f>
        <v>550</v>
      </c>
      <c r="N334" s="1112">
        <f>($C334*0.11)+$C334</f>
        <v>555</v>
      </c>
      <c r="O334" s="1112">
        <f>($C334*0.12)+$C334</f>
        <v>560</v>
      </c>
      <c r="P334" s="1112">
        <f>($C334*0.13)+$C334</f>
        <v>565</v>
      </c>
      <c r="Q334" s="1112">
        <f>($C334*0.14)+$C334</f>
        <v>570</v>
      </c>
      <c r="R334" s="1112">
        <f>($C334*0.15)+$C334</f>
        <v>575</v>
      </c>
      <c r="S334" s="1112">
        <f>($C334*0.16)+$C334</f>
        <v>580</v>
      </c>
      <c r="T334" s="1112">
        <f>($C334*0.17)+$C334</f>
        <v>585</v>
      </c>
      <c r="U334" s="1112">
        <f>($C334*0.18)+$C334</f>
        <v>590</v>
      </c>
      <c r="V334" s="1112">
        <f>($C334*0.19)+$C334</f>
        <v>595</v>
      </c>
      <c r="W334" s="1112">
        <f>($C334*0.2)+$C334</f>
        <v>600</v>
      </c>
      <c r="X334" s="1112">
        <f>($C334*0.21)+$C334</f>
        <v>605</v>
      </c>
      <c r="Y334" s="1112">
        <f>($C334*0.22)+$C334</f>
        <v>610</v>
      </c>
      <c r="Z334" s="1112">
        <f>($C334*0.23)+$C334</f>
        <v>615</v>
      </c>
      <c r="AA334" s="1112">
        <f>($C334*0.24)+$C334</f>
        <v>620</v>
      </c>
      <c r="AB334" s="1112">
        <f>($C334*0.25)+$C334</f>
        <v>625</v>
      </c>
      <c r="AC334" s="1112">
        <f>($C334*0.26)+$C334</f>
        <v>630</v>
      </c>
      <c r="AD334" s="1112">
        <f>($C334*0.27)+$C334</f>
        <v>635</v>
      </c>
      <c r="AE334" s="1112">
        <f>($C334*0.28)+$C334</f>
        <v>640</v>
      </c>
      <c r="AF334" s="1112">
        <f>($C334*0.29)+$C334</f>
        <v>645</v>
      </c>
      <c r="AG334" s="1112">
        <f>($C334*0.3)+$C334</f>
        <v>650</v>
      </c>
    </row>
    <row r="335" spans="1:33" ht="15">
      <c r="A335" s="7"/>
      <c r="C335" s="8"/>
      <c r="D335" s="1112"/>
      <c r="E335" s="1112"/>
      <c r="F335" s="1112"/>
      <c r="G335" s="1112"/>
      <c r="H335" s="1112"/>
      <c r="I335" s="1112"/>
      <c r="J335" s="1112"/>
      <c r="K335" s="1112"/>
      <c r="L335" s="1112"/>
      <c r="M335" s="1112"/>
      <c r="N335" s="1112"/>
      <c r="O335" s="1112"/>
      <c r="P335" s="1112"/>
      <c r="Q335" s="1112"/>
      <c r="R335" s="1112"/>
      <c r="S335" s="1112"/>
      <c r="T335" s="1112"/>
      <c r="U335" s="1112"/>
      <c r="V335" s="1112"/>
      <c r="W335" s="1112"/>
      <c r="X335" s="1112"/>
      <c r="Y335" s="1112"/>
      <c r="Z335" s="1112"/>
      <c r="AA335" s="1112"/>
      <c r="AB335" s="1112"/>
      <c r="AC335" s="1112"/>
      <c r="AD335" s="1112"/>
      <c r="AE335" s="1112"/>
      <c r="AF335" s="1112"/>
      <c r="AG335" s="1112"/>
    </row>
    <row r="336" spans="1:33" ht="20">
      <c r="A336" s="15"/>
      <c r="B336" s="11" t="s">
        <v>53862</v>
      </c>
      <c r="C336" s="16"/>
      <c r="D336" s="1112"/>
      <c r="E336" s="1112"/>
      <c r="F336" s="1112"/>
      <c r="G336" s="1112"/>
      <c r="H336" s="1112"/>
      <c r="I336" s="1112"/>
      <c r="J336" s="1112"/>
      <c r="K336" s="1112"/>
      <c r="L336" s="1112"/>
      <c r="M336" s="1112"/>
      <c r="N336" s="1112"/>
      <c r="O336" s="1112"/>
      <c r="P336" s="1112"/>
      <c r="Q336" s="1112"/>
      <c r="R336" s="1112"/>
      <c r="S336" s="1112"/>
      <c r="T336" s="1112"/>
      <c r="U336" s="1112"/>
      <c r="V336" s="1112"/>
      <c r="W336" s="1112"/>
      <c r="X336" s="1112"/>
      <c r="Y336" s="1112"/>
      <c r="Z336" s="1112"/>
      <c r="AA336" s="1112"/>
      <c r="AB336" s="1112"/>
      <c r="AC336" s="1112"/>
      <c r="AD336" s="1112"/>
      <c r="AE336" s="1112"/>
      <c r="AF336" s="1112"/>
      <c r="AG336" s="1112"/>
    </row>
    <row r="337" spans="1:33" ht="30">
      <c r="A337" s="4" t="s">
        <v>273</v>
      </c>
      <c r="B337" s="4" t="s">
        <v>272</v>
      </c>
      <c r="C337" s="5">
        <v>1600</v>
      </c>
      <c r="D337" s="1112">
        <f>($C337*0.01)+$C337</f>
        <v>1616</v>
      </c>
      <c r="E337" s="1112">
        <f>($C337*0.02)+$C337</f>
        <v>1632</v>
      </c>
      <c r="F337" s="1112">
        <f>($C337*0.03)+$C337</f>
        <v>1648</v>
      </c>
      <c r="G337" s="1112">
        <f>($C337*0.04)+$C337</f>
        <v>1664</v>
      </c>
      <c r="H337" s="1112">
        <f>($C337*0.05)+$C337</f>
        <v>1680</v>
      </c>
      <c r="I337" s="1112">
        <f>($C337*0.06)+$C337</f>
        <v>1696</v>
      </c>
      <c r="J337" s="1112">
        <f>($C337*0.07)+$C337</f>
        <v>1712</v>
      </c>
      <c r="K337" s="1112">
        <f>($C337*0.08)+$C337</f>
        <v>1728</v>
      </c>
      <c r="L337" s="1112">
        <f>($C337*0.09)+$C337</f>
        <v>1744</v>
      </c>
      <c r="M337" s="1112">
        <f>($C337*0.1)+$C337</f>
        <v>1760</v>
      </c>
      <c r="N337" s="1112">
        <f>($C337*0.11)+$C337</f>
        <v>1776</v>
      </c>
      <c r="O337" s="1112">
        <f>($C337*0.12)+$C337</f>
        <v>1792</v>
      </c>
      <c r="P337" s="1112">
        <f>($C337*0.13)+$C337</f>
        <v>1808</v>
      </c>
      <c r="Q337" s="1112">
        <f>($C337*0.14)+$C337</f>
        <v>1824</v>
      </c>
      <c r="R337" s="1112">
        <f>($C337*0.15)+$C337</f>
        <v>1840</v>
      </c>
      <c r="S337" s="1112">
        <f>($C337*0.16)+$C337</f>
        <v>1856</v>
      </c>
      <c r="T337" s="1112">
        <f>($C337*0.17)+$C337</f>
        <v>1872</v>
      </c>
      <c r="U337" s="1112">
        <f>($C337*0.18)+$C337</f>
        <v>1888</v>
      </c>
      <c r="V337" s="1112">
        <f>($C337*0.19)+$C337</f>
        <v>1904</v>
      </c>
      <c r="W337" s="1112">
        <f>($C337*0.2)+$C337</f>
        <v>1920</v>
      </c>
      <c r="X337" s="1112">
        <f>($C337*0.21)+$C337</f>
        <v>1936</v>
      </c>
      <c r="Y337" s="1112">
        <f>($C337*0.22)+$C337</f>
        <v>1952</v>
      </c>
      <c r="Z337" s="1112">
        <f>($C337*0.23)+$C337</f>
        <v>1968</v>
      </c>
      <c r="AA337" s="1112">
        <f>($C337*0.24)+$C337</f>
        <v>1984</v>
      </c>
      <c r="AB337" s="1112">
        <f>($C337*0.25)+$C337</f>
        <v>2000</v>
      </c>
      <c r="AC337" s="1112">
        <f>($C337*0.26)+$C337</f>
        <v>2016</v>
      </c>
      <c r="AD337" s="1112">
        <f>($C337*0.27)+$C337</f>
        <v>2032</v>
      </c>
      <c r="AE337" s="1112">
        <f>($C337*0.28)+$C337</f>
        <v>2048</v>
      </c>
      <c r="AF337" s="1112">
        <f>($C337*0.29)+$C337</f>
        <v>2064</v>
      </c>
      <c r="AG337" s="1112">
        <f>($C337*0.3)+$C337</f>
        <v>2080</v>
      </c>
    </row>
    <row r="338" spans="1:33" ht="60">
      <c r="A338" s="4" t="s">
        <v>53891</v>
      </c>
      <c r="B338" s="4" t="s">
        <v>269</v>
      </c>
      <c r="C338" s="5">
        <v>2000</v>
      </c>
      <c r="D338" s="1112">
        <f>($C338*0.01)+$C338</f>
        <v>2020</v>
      </c>
      <c r="E338" s="1112">
        <f>($C338*0.02)+$C338</f>
        <v>2040</v>
      </c>
      <c r="F338" s="1112">
        <f>($C338*0.03)+$C338</f>
        <v>2060</v>
      </c>
      <c r="G338" s="1112">
        <f>($C338*0.04)+$C338</f>
        <v>2080</v>
      </c>
      <c r="H338" s="1112">
        <f>($C338*0.05)+$C338</f>
        <v>2100</v>
      </c>
      <c r="I338" s="1112">
        <f>($C338*0.06)+$C338</f>
        <v>2120</v>
      </c>
      <c r="J338" s="1112">
        <f>($C338*0.07)+$C338</f>
        <v>2140</v>
      </c>
      <c r="K338" s="1112">
        <f>($C338*0.08)+$C338</f>
        <v>2160</v>
      </c>
      <c r="L338" s="1112">
        <f>($C338*0.09)+$C338</f>
        <v>2180</v>
      </c>
      <c r="M338" s="1112">
        <f>($C338*0.1)+$C338</f>
        <v>2200</v>
      </c>
      <c r="N338" s="1112">
        <f>($C338*0.11)+$C338</f>
        <v>2220</v>
      </c>
      <c r="O338" s="1112">
        <f>($C338*0.12)+$C338</f>
        <v>2240</v>
      </c>
      <c r="P338" s="1112">
        <f>($C338*0.13)+$C338</f>
        <v>2260</v>
      </c>
      <c r="Q338" s="1112">
        <f>($C338*0.14)+$C338</f>
        <v>2280</v>
      </c>
      <c r="R338" s="1112">
        <f>($C338*0.15)+$C338</f>
        <v>2300</v>
      </c>
      <c r="S338" s="1112">
        <f>($C338*0.16)+$C338</f>
        <v>2320</v>
      </c>
      <c r="T338" s="1112">
        <f>($C338*0.17)+$C338</f>
        <v>2340</v>
      </c>
      <c r="U338" s="1112">
        <f>($C338*0.18)+$C338</f>
        <v>2360</v>
      </c>
      <c r="V338" s="1112">
        <f>($C338*0.19)+$C338</f>
        <v>2380</v>
      </c>
      <c r="W338" s="1112">
        <f>($C338*0.2)+$C338</f>
        <v>2400</v>
      </c>
      <c r="X338" s="1112">
        <f>($C338*0.21)+$C338</f>
        <v>2420</v>
      </c>
      <c r="Y338" s="1112">
        <f>($C338*0.22)+$C338</f>
        <v>2440</v>
      </c>
      <c r="Z338" s="1112">
        <f>($C338*0.23)+$C338</f>
        <v>2460</v>
      </c>
      <c r="AA338" s="1112">
        <f>($C338*0.24)+$C338</f>
        <v>2480</v>
      </c>
      <c r="AB338" s="1112">
        <f>($C338*0.25)+$C338</f>
        <v>2500</v>
      </c>
      <c r="AC338" s="1112">
        <f>($C338*0.26)+$C338</f>
        <v>2520</v>
      </c>
      <c r="AD338" s="1112">
        <f>($C338*0.27)+$C338</f>
        <v>2540</v>
      </c>
      <c r="AE338" s="1112">
        <f>($C338*0.28)+$C338</f>
        <v>2560</v>
      </c>
      <c r="AF338" s="1112">
        <f>($C338*0.29)+$C338</f>
        <v>2580</v>
      </c>
      <c r="AG338" s="1112">
        <f>($C338*0.3)+$C338</f>
        <v>2600</v>
      </c>
    </row>
    <row r="339" spans="1:33" ht="15">
      <c r="A339" s="7" t="s">
        <v>276</v>
      </c>
      <c r="B339" s="7" t="s">
        <v>268</v>
      </c>
      <c r="C339" s="8">
        <v>400</v>
      </c>
      <c r="D339" s="1112">
        <f>($C339*0.01)+$C339</f>
        <v>404</v>
      </c>
      <c r="E339" s="1112">
        <f>($C339*0.02)+$C339</f>
        <v>408</v>
      </c>
      <c r="F339" s="1112">
        <f>($C339*0.03)+$C339</f>
        <v>412</v>
      </c>
      <c r="G339" s="1112">
        <f>($C339*0.04)+$C339</f>
        <v>416</v>
      </c>
      <c r="H339" s="1112">
        <f>($C339*0.05)+$C339</f>
        <v>420</v>
      </c>
      <c r="I339" s="1112">
        <f>($C339*0.06)+$C339</f>
        <v>424</v>
      </c>
      <c r="J339" s="1112">
        <f>($C339*0.07)+$C339</f>
        <v>428</v>
      </c>
      <c r="K339" s="1112">
        <f>($C339*0.08)+$C339</f>
        <v>432</v>
      </c>
      <c r="L339" s="1112">
        <f>($C339*0.09)+$C339</f>
        <v>436</v>
      </c>
      <c r="M339" s="1112">
        <f>($C339*0.1)+$C339</f>
        <v>440</v>
      </c>
      <c r="N339" s="1112">
        <f>($C339*0.11)+$C339</f>
        <v>444</v>
      </c>
      <c r="O339" s="1112">
        <f>($C339*0.12)+$C339</f>
        <v>448</v>
      </c>
      <c r="P339" s="1112">
        <f>($C339*0.13)+$C339</f>
        <v>452</v>
      </c>
      <c r="Q339" s="1112">
        <f>($C339*0.14)+$C339</f>
        <v>456</v>
      </c>
      <c r="R339" s="1112">
        <f>($C339*0.15)+$C339</f>
        <v>460</v>
      </c>
      <c r="S339" s="1112">
        <f>($C339*0.16)+$C339</f>
        <v>464</v>
      </c>
      <c r="T339" s="1112">
        <f>($C339*0.17)+$C339</f>
        <v>468</v>
      </c>
      <c r="U339" s="1112">
        <f>($C339*0.18)+$C339</f>
        <v>472</v>
      </c>
      <c r="V339" s="1112">
        <f>($C339*0.19)+$C339</f>
        <v>476</v>
      </c>
      <c r="W339" s="1112">
        <f>($C339*0.2)+$C339</f>
        <v>480</v>
      </c>
      <c r="X339" s="1112">
        <f>($C339*0.21)+$C339</f>
        <v>484</v>
      </c>
      <c r="Y339" s="1112">
        <f>($C339*0.22)+$C339</f>
        <v>488</v>
      </c>
      <c r="Z339" s="1112">
        <f>($C339*0.23)+$C339</f>
        <v>492</v>
      </c>
      <c r="AA339" s="1112">
        <f>($C339*0.24)+$C339</f>
        <v>496</v>
      </c>
      <c r="AB339" s="1112">
        <f>($C339*0.25)+$C339</f>
        <v>500</v>
      </c>
      <c r="AC339" s="1112">
        <f>($C339*0.26)+$C339</f>
        <v>504</v>
      </c>
      <c r="AD339" s="1112">
        <f>($C339*0.27)+$C339</f>
        <v>508</v>
      </c>
      <c r="AE339" s="1112">
        <f>($C339*0.28)+$C339</f>
        <v>512</v>
      </c>
      <c r="AF339" s="1112">
        <f>($C339*0.29)+$C339</f>
        <v>516</v>
      </c>
      <c r="AG339" s="1112">
        <f>($C339*0.3)+$C339</f>
        <v>520</v>
      </c>
    </row>
    <row r="340" spans="1:33" ht="15">
      <c r="A340" s="4" t="s">
        <v>274</v>
      </c>
      <c r="B340" s="4" t="s">
        <v>275</v>
      </c>
      <c r="C340" s="5">
        <v>500</v>
      </c>
      <c r="D340" s="1112">
        <f>($C340*0.01)+$C340</f>
        <v>505</v>
      </c>
      <c r="E340" s="1112">
        <f>($C340*0.02)+$C340</f>
        <v>510</v>
      </c>
      <c r="F340" s="1112">
        <f>($C340*0.03)+$C340</f>
        <v>515</v>
      </c>
      <c r="G340" s="1112">
        <f>($C340*0.04)+$C340</f>
        <v>520</v>
      </c>
      <c r="H340" s="1112">
        <f>($C340*0.05)+$C340</f>
        <v>525</v>
      </c>
      <c r="I340" s="1112">
        <f>($C340*0.06)+$C340</f>
        <v>530</v>
      </c>
      <c r="J340" s="1112">
        <f>($C340*0.07)+$C340</f>
        <v>535</v>
      </c>
      <c r="K340" s="1112">
        <f>($C340*0.08)+$C340</f>
        <v>540</v>
      </c>
      <c r="L340" s="1112">
        <f>($C340*0.09)+$C340</f>
        <v>545</v>
      </c>
      <c r="M340" s="1112">
        <f>($C340*0.1)+$C340</f>
        <v>550</v>
      </c>
      <c r="N340" s="1112">
        <f>($C340*0.11)+$C340</f>
        <v>555</v>
      </c>
      <c r="O340" s="1112">
        <f>($C340*0.12)+$C340</f>
        <v>560</v>
      </c>
      <c r="P340" s="1112">
        <f>($C340*0.13)+$C340</f>
        <v>565</v>
      </c>
      <c r="Q340" s="1112">
        <f>($C340*0.14)+$C340</f>
        <v>570</v>
      </c>
      <c r="R340" s="1112">
        <f>($C340*0.15)+$C340</f>
        <v>575</v>
      </c>
      <c r="S340" s="1112">
        <f>($C340*0.16)+$C340</f>
        <v>580</v>
      </c>
      <c r="T340" s="1112">
        <f>($C340*0.17)+$C340</f>
        <v>585</v>
      </c>
      <c r="U340" s="1112">
        <f>($C340*0.18)+$C340</f>
        <v>590</v>
      </c>
      <c r="V340" s="1112">
        <f>($C340*0.19)+$C340</f>
        <v>595</v>
      </c>
      <c r="W340" s="1112">
        <f>($C340*0.2)+$C340</f>
        <v>600</v>
      </c>
      <c r="X340" s="1112">
        <f>($C340*0.21)+$C340</f>
        <v>605</v>
      </c>
      <c r="Y340" s="1112">
        <f>($C340*0.22)+$C340</f>
        <v>610</v>
      </c>
      <c r="Z340" s="1112">
        <f>($C340*0.23)+$C340</f>
        <v>615</v>
      </c>
      <c r="AA340" s="1112">
        <f>($C340*0.24)+$C340</f>
        <v>620</v>
      </c>
      <c r="AB340" s="1112">
        <f>($C340*0.25)+$C340</f>
        <v>625</v>
      </c>
      <c r="AC340" s="1112">
        <f>($C340*0.26)+$C340</f>
        <v>630</v>
      </c>
      <c r="AD340" s="1112">
        <f>($C340*0.27)+$C340</f>
        <v>635</v>
      </c>
      <c r="AE340" s="1112">
        <f>($C340*0.28)+$C340</f>
        <v>640</v>
      </c>
      <c r="AF340" s="1112">
        <f>($C340*0.29)+$C340</f>
        <v>645</v>
      </c>
      <c r="AG340" s="1112">
        <f>($C340*0.3)+$C340</f>
        <v>650</v>
      </c>
    </row>
    <row r="341" spans="1:33" ht="30">
      <c r="A341" s="4" t="s">
        <v>277</v>
      </c>
      <c r="B341" s="4" t="s">
        <v>272</v>
      </c>
      <c r="C341" s="5">
        <v>1700</v>
      </c>
      <c r="D341" s="1112">
        <f>($C341*0.01)+$C341</f>
        <v>1717</v>
      </c>
      <c r="E341" s="1112">
        <f>($C341*0.02)+$C341</f>
        <v>1734</v>
      </c>
      <c r="F341" s="1112">
        <f>($C341*0.03)+$C341</f>
        <v>1751</v>
      </c>
      <c r="G341" s="1112">
        <f>($C341*0.04)+$C341</f>
        <v>1768</v>
      </c>
      <c r="H341" s="1112">
        <f>($C341*0.05)+$C341</f>
        <v>1785</v>
      </c>
      <c r="I341" s="1112">
        <f>($C341*0.06)+$C341</f>
        <v>1802</v>
      </c>
      <c r="J341" s="1112">
        <f>($C341*0.07)+$C341</f>
        <v>1819</v>
      </c>
      <c r="K341" s="1112">
        <f>($C341*0.08)+$C341</f>
        <v>1836</v>
      </c>
      <c r="L341" s="1112">
        <f>($C341*0.09)+$C341</f>
        <v>1853</v>
      </c>
      <c r="M341" s="1112">
        <f>($C341*0.1)+$C341</f>
        <v>1870</v>
      </c>
      <c r="N341" s="1112">
        <f>($C341*0.11)+$C341</f>
        <v>1887</v>
      </c>
      <c r="O341" s="1112">
        <f>($C341*0.12)+$C341</f>
        <v>1904</v>
      </c>
      <c r="P341" s="1112">
        <f>($C341*0.13)+$C341</f>
        <v>1921</v>
      </c>
      <c r="Q341" s="1112">
        <f>($C341*0.14)+$C341</f>
        <v>1938</v>
      </c>
      <c r="R341" s="1112">
        <f>($C341*0.15)+$C341</f>
        <v>1955</v>
      </c>
      <c r="S341" s="1112">
        <f>($C341*0.16)+$C341</f>
        <v>1972</v>
      </c>
      <c r="T341" s="1112">
        <f>($C341*0.17)+$C341</f>
        <v>1989</v>
      </c>
      <c r="U341" s="1112">
        <f>($C341*0.18)+$C341</f>
        <v>2006</v>
      </c>
      <c r="V341" s="1112">
        <f>($C341*0.19)+$C341</f>
        <v>2023</v>
      </c>
      <c r="W341" s="1112">
        <f>($C341*0.2)+$C341</f>
        <v>2040</v>
      </c>
      <c r="X341" s="1112">
        <f>($C341*0.21)+$C341</f>
        <v>2057</v>
      </c>
      <c r="Y341" s="1112">
        <f>($C341*0.22)+$C341</f>
        <v>2074</v>
      </c>
      <c r="Z341" s="1112">
        <f>($C341*0.23)+$C341</f>
        <v>2091</v>
      </c>
      <c r="AA341" s="1112">
        <f>($C341*0.24)+$C341</f>
        <v>2108</v>
      </c>
      <c r="AB341" s="1112">
        <f>($C341*0.25)+$C341</f>
        <v>2125</v>
      </c>
      <c r="AC341" s="1112">
        <f>($C341*0.26)+$C341</f>
        <v>2142</v>
      </c>
      <c r="AD341" s="1112">
        <f>($C341*0.27)+$C341</f>
        <v>2159</v>
      </c>
      <c r="AE341" s="1112">
        <f>($C341*0.28)+$C341</f>
        <v>2176</v>
      </c>
      <c r="AF341" s="1112">
        <f>($C341*0.29)+$C341</f>
        <v>2193</v>
      </c>
      <c r="AG341" s="1112">
        <f>($C341*0.3)+$C341</f>
        <v>2210</v>
      </c>
    </row>
    <row r="342" spans="1:33" ht="15">
      <c r="A342" s="4" t="s">
        <v>53892</v>
      </c>
      <c r="B342" s="4" t="s">
        <v>53893</v>
      </c>
      <c r="C342" s="5">
        <v>600</v>
      </c>
      <c r="D342" s="1112">
        <f>($C342*0.01)+$C342</f>
        <v>606</v>
      </c>
      <c r="E342" s="1112">
        <f>($C342*0.02)+$C342</f>
        <v>612</v>
      </c>
      <c r="F342" s="1112">
        <f>($C342*0.03)+$C342</f>
        <v>618</v>
      </c>
      <c r="G342" s="1112">
        <f>($C342*0.04)+$C342</f>
        <v>624</v>
      </c>
      <c r="H342" s="1112">
        <f>($C342*0.05)+$C342</f>
        <v>630</v>
      </c>
      <c r="I342" s="1112">
        <f>($C342*0.06)+$C342</f>
        <v>636</v>
      </c>
      <c r="J342" s="1112">
        <f>($C342*0.07)+$C342</f>
        <v>642</v>
      </c>
      <c r="K342" s="1112">
        <f>($C342*0.08)+$C342</f>
        <v>648</v>
      </c>
      <c r="L342" s="1112">
        <f>($C342*0.09)+$C342</f>
        <v>654</v>
      </c>
      <c r="M342" s="1112">
        <f>($C342*0.1)+$C342</f>
        <v>660</v>
      </c>
      <c r="N342" s="1112">
        <f>($C342*0.11)+$C342</f>
        <v>666</v>
      </c>
      <c r="O342" s="1112">
        <f>($C342*0.12)+$C342</f>
        <v>672</v>
      </c>
      <c r="P342" s="1112">
        <f>($C342*0.13)+$C342</f>
        <v>678</v>
      </c>
      <c r="Q342" s="1112">
        <f>($C342*0.14)+$C342</f>
        <v>684</v>
      </c>
      <c r="R342" s="1112">
        <f>($C342*0.15)+$C342</f>
        <v>690</v>
      </c>
      <c r="S342" s="1112">
        <f>($C342*0.16)+$C342</f>
        <v>696</v>
      </c>
      <c r="T342" s="1112">
        <f>($C342*0.17)+$C342</f>
        <v>702</v>
      </c>
      <c r="U342" s="1112">
        <f>($C342*0.18)+$C342</f>
        <v>708</v>
      </c>
      <c r="V342" s="1112">
        <f>($C342*0.19)+$C342</f>
        <v>714</v>
      </c>
      <c r="W342" s="1112">
        <f>($C342*0.2)+$C342</f>
        <v>720</v>
      </c>
      <c r="X342" s="1112">
        <f>($C342*0.21)+$C342</f>
        <v>726</v>
      </c>
      <c r="Y342" s="1112">
        <f>($C342*0.22)+$C342</f>
        <v>732</v>
      </c>
      <c r="Z342" s="1112">
        <f>($C342*0.23)+$C342</f>
        <v>738</v>
      </c>
      <c r="AA342" s="1112">
        <f>($C342*0.24)+$C342</f>
        <v>744</v>
      </c>
      <c r="AB342" s="1112">
        <f>($C342*0.25)+$C342</f>
        <v>750</v>
      </c>
      <c r="AC342" s="1112">
        <f>($C342*0.26)+$C342</f>
        <v>756</v>
      </c>
      <c r="AD342" s="1112">
        <f>($C342*0.27)+$C342</f>
        <v>762</v>
      </c>
      <c r="AE342" s="1112">
        <f>($C342*0.28)+$C342</f>
        <v>768</v>
      </c>
      <c r="AF342" s="1112">
        <f>($C342*0.29)+$C342</f>
        <v>774</v>
      </c>
      <c r="AG342" s="1112">
        <f>($C342*0.3)+$C342</f>
        <v>780</v>
      </c>
    </row>
    <row r="343" spans="1:33" ht="60">
      <c r="A343" s="4" t="s">
        <v>278</v>
      </c>
      <c r="B343" s="4" t="s">
        <v>269</v>
      </c>
      <c r="C343" s="5">
        <v>3500</v>
      </c>
      <c r="D343" s="1112">
        <f>($C343*0.01)+$C343</f>
        <v>3535</v>
      </c>
      <c r="E343" s="1112">
        <f>($C343*0.02)+$C343</f>
        <v>3570</v>
      </c>
      <c r="F343" s="1112">
        <f>($C343*0.03)+$C343</f>
        <v>3605</v>
      </c>
      <c r="G343" s="1112">
        <f>($C343*0.04)+$C343</f>
        <v>3640</v>
      </c>
      <c r="H343" s="1112">
        <f>($C343*0.05)+$C343</f>
        <v>3675</v>
      </c>
      <c r="I343" s="1112">
        <f>($C343*0.06)+$C343</f>
        <v>3710</v>
      </c>
      <c r="J343" s="1112">
        <f>($C343*0.07)+$C343</f>
        <v>3745</v>
      </c>
      <c r="K343" s="1112">
        <f>($C343*0.08)+$C343</f>
        <v>3780</v>
      </c>
      <c r="L343" s="1112">
        <f>($C343*0.09)+$C343</f>
        <v>3815</v>
      </c>
      <c r="M343" s="1112">
        <f>($C343*0.1)+$C343</f>
        <v>3850</v>
      </c>
      <c r="N343" s="1112">
        <f>($C343*0.11)+$C343</f>
        <v>3885</v>
      </c>
      <c r="O343" s="1112">
        <f>($C343*0.12)+$C343</f>
        <v>3920</v>
      </c>
      <c r="P343" s="1112">
        <f>($C343*0.13)+$C343</f>
        <v>3955</v>
      </c>
      <c r="Q343" s="1112">
        <f>($C343*0.14)+$C343</f>
        <v>3990</v>
      </c>
      <c r="R343" s="1112">
        <f>($C343*0.15)+$C343</f>
        <v>4025</v>
      </c>
      <c r="S343" s="1112">
        <f>($C343*0.16)+$C343</f>
        <v>4060</v>
      </c>
      <c r="T343" s="1112">
        <f>($C343*0.17)+$C343</f>
        <v>4095</v>
      </c>
      <c r="U343" s="1112">
        <f>($C343*0.18)+$C343</f>
        <v>4130</v>
      </c>
      <c r="V343" s="1112">
        <f>($C343*0.19)+$C343</f>
        <v>4165</v>
      </c>
      <c r="W343" s="1112">
        <f>($C343*0.2)+$C343</f>
        <v>4200</v>
      </c>
      <c r="X343" s="1112">
        <f>($C343*0.21)+$C343</f>
        <v>4235</v>
      </c>
      <c r="Y343" s="1112">
        <f>($C343*0.22)+$C343</f>
        <v>4270</v>
      </c>
      <c r="Z343" s="1112">
        <f>($C343*0.23)+$C343</f>
        <v>4305</v>
      </c>
      <c r="AA343" s="1112">
        <f>($C343*0.24)+$C343</f>
        <v>4340</v>
      </c>
      <c r="AB343" s="1112">
        <f>($C343*0.25)+$C343</f>
        <v>4375</v>
      </c>
      <c r="AC343" s="1112">
        <f>($C343*0.26)+$C343</f>
        <v>4410</v>
      </c>
      <c r="AD343" s="1112">
        <f>($C343*0.27)+$C343</f>
        <v>4445</v>
      </c>
      <c r="AE343" s="1112">
        <f>($C343*0.28)+$C343</f>
        <v>4480</v>
      </c>
      <c r="AF343" s="1112">
        <f>($C343*0.29)+$C343</f>
        <v>4515</v>
      </c>
      <c r="AG343" s="1112">
        <f>($C343*0.3)+$C343</f>
        <v>4550</v>
      </c>
    </row>
    <row r="344" spans="1:33" ht="15">
      <c r="A344" s="4" t="s">
        <v>279</v>
      </c>
      <c r="B344" s="4" t="s">
        <v>275</v>
      </c>
      <c r="C344" s="5">
        <v>500</v>
      </c>
      <c r="D344" s="1112">
        <f>($C344*0.01)+$C344</f>
        <v>505</v>
      </c>
      <c r="E344" s="1112">
        <f>($C344*0.02)+$C344</f>
        <v>510</v>
      </c>
      <c r="F344" s="1112">
        <f>($C344*0.03)+$C344</f>
        <v>515</v>
      </c>
      <c r="G344" s="1112">
        <f>($C344*0.04)+$C344</f>
        <v>520</v>
      </c>
      <c r="H344" s="1112">
        <f>($C344*0.05)+$C344</f>
        <v>525</v>
      </c>
      <c r="I344" s="1112">
        <f>($C344*0.06)+$C344</f>
        <v>530</v>
      </c>
      <c r="J344" s="1112">
        <f>($C344*0.07)+$C344</f>
        <v>535</v>
      </c>
      <c r="K344" s="1112">
        <f>($C344*0.08)+$C344</f>
        <v>540</v>
      </c>
      <c r="L344" s="1112">
        <f>($C344*0.09)+$C344</f>
        <v>545</v>
      </c>
      <c r="M344" s="1112">
        <f>($C344*0.1)+$C344</f>
        <v>550</v>
      </c>
      <c r="N344" s="1112">
        <f>($C344*0.11)+$C344</f>
        <v>555</v>
      </c>
      <c r="O344" s="1112">
        <f>($C344*0.12)+$C344</f>
        <v>560</v>
      </c>
      <c r="P344" s="1112">
        <f>($C344*0.13)+$C344</f>
        <v>565</v>
      </c>
      <c r="Q344" s="1112">
        <f>($C344*0.14)+$C344</f>
        <v>570</v>
      </c>
      <c r="R344" s="1112">
        <f>($C344*0.15)+$C344</f>
        <v>575</v>
      </c>
      <c r="S344" s="1112">
        <f>($C344*0.16)+$C344</f>
        <v>580</v>
      </c>
      <c r="T344" s="1112">
        <f>($C344*0.17)+$C344</f>
        <v>585</v>
      </c>
      <c r="U344" s="1112">
        <f>($C344*0.18)+$C344</f>
        <v>590</v>
      </c>
      <c r="V344" s="1112">
        <f>($C344*0.19)+$C344</f>
        <v>595</v>
      </c>
      <c r="W344" s="1112">
        <f>($C344*0.2)+$C344</f>
        <v>600</v>
      </c>
      <c r="X344" s="1112">
        <f>($C344*0.21)+$C344</f>
        <v>605</v>
      </c>
      <c r="Y344" s="1112">
        <f>($C344*0.22)+$C344</f>
        <v>610</v>
      </c>
      <c r="Z344" s="1112">
        <f>($C344*0.23)+$C344</f>
        <v>615</v>
      </c>
      <c r="AA344" s="1112">
        <f>($C344*0.24)+$C344</f>
        <v>620</v>
      </c>
      <c r="AB344" s="1112">
        <f>($C344*0.25)+$C344</f>
        <v>625</v>
      </c>
      <c r="AC344" s="1112">
        <f>($C344*0.26)+$C344</f>
        <v>630</v>
      </c>
      <c r="AD344" s="1112">
        <f>($C344*0.27)+$C344</f>
        <v>635</v>
      </c>
      <c r="AE344" s="1112">
        <f>($C344*0.28)+$C344</f>
        <v>640</v>
      </c>
      <c r="AF344" s="1112">
        <f>($C344*0.29)+$C344</f>
        <v>645</v>
      </c>
      <c r="AG344" s="1112">
        <f>($C344*0.3)+$C344</f>
        <v>650</v>
      </c>
    </row>
    <row r="345" spans="1:33" ht="15">
      <c r="A345" s="4" t="s">
        <v>53863</v>
      </c>
      <c r="B345" s="4" t="s">
        <v>53864</v>
      </c>
      <c r="C345" s="5">
        <v>1500</v>
      </c>
      <c r="D345" s="1112">
        <f>($C345*0.01)+$C345</f>
        <v>1515</v>
      </c>
      <c r="E345" s="1112">
        <f>($C345*0.02)+$C345</f>
        <v>1530</v>
      </c>
      <c r="F345" s="1112">
        <f>($C345*0.03)+$C345</f>
        <v>1545</v>
      </c>
      <c r="G345" s="1112">
        <f>($C345*0.04)+$C345</f>
        <v>1560</v>
      </c>
      <c r="H345" s="1112">
        <f>($C345*0.05)+$C345</f>
        <v>1575</v>
      </c>
      <c r="I345" s="1112">
        <f>($C345*0.06)+$C345</f>
        <v>1590</v>
      </c>
      <c r="J345" s="1112">
        <f>($C345*0.07)+$C345</f>
        <v>1605</v>
      </c>
      <c r="K345" s="1112">
        <f>($C345*0.08)+$C345</f>
        <v>1620</v>
      </c>
      <c r="L345" s="1112">
        <f>($C345*0.09)+$C345</f>
        <v>1635</v>
      </c>
      <c r="M345" s="1112">
        <f>($C345*0.1)+$C345</f>
        <v>1650</v>
      </c>
      <c r="N345" s="1112">
        <f>($C345*0.11)+$C345</f>
        <v>1665</v>
      </c>
      <c r="O345" s="1112">
        <f>($C345*0.12)+$C345</f>
        <v>1680</v>
      </c>
      <c r="P345" s="1112">
        <f>($C345*0.13)+$C345</f>
        <v>1695</v>
      </c>
      <c r="Q345" s="1112">
        <f>($C345*0.14)+$C345</f>
        <v>1710</v>
      </c>
      <c r="R345" s="1112">
        <f>($C345*0.15)+$C345</f>
        <v>1725</v>
      </c>
      <c r="S345" s="1112">
        <f>($C345*0.16)+$C345</f>
        <v>1740</v>
      </c>
      <c r="T345" s="1112">
        <f>($C345*0.17)+$C345</f>
        <v>1755</v>
      </c>
      <c r="U345" s="1112">
        <f>($C345*0.18)+$C345</f>
        <v>1770</v>
      </c>
      <c r="V345" s="1112">
        <f>($C345*0.19)+$C345</f>
        <v>1785</v>
      </c>
      <c r="W345" s="1112">
        <f>($C345*0.2)+$C345</f>
        <v>1800</v>
      </c>
      <c r="X345" s="1112">
        <f>($C345*0.21)+$C345</f>
        <v>1815</v>
      </c>
      <c r="Y345" s="1112">
        <f>($C345*0.22)+$C345</f>
        <v>1830</v>
      </c>
      <c r="Z345" s="1112">
        <f>($C345*0.23)+$C345</f>
        <v>1845</v>
      </c>
      <c r="AA345" s="1112">
        <f>($C345*0.24)+$C345</f>
        <v>1860</v>
      </c>
      <c r="AB345" s="1112">
        <f>($C345*0.25)+$C345</f>
        <v>1875</v>
      </c>
      <c r="AC345" s="1112">
        <f>($C345*0.26)+$C345</f>
        <v>1890</v>
      </c>
      <c r="AD345" s="1112">
        <f>($C345*0.27)+$C345</f>
        <v>1905</v>
      </c>
      <c r="AE345" s="1112">
        <f>($C345*0.28)+$C345</f>
        <v>1920</v>
      </c>
      <c r="AF345" s="1112">
        <f>($C345*0.29)+$C345</f>
        <v>1935</v>
      </c>
      <c r="AG345" s="1112">
        <f>($C345*0.3)+$C345</f>
        <v>1950</v>
      </c>
    </row>
    <row r="346" spans="1:33" ht="30">
      <c r="A346" s="4" t="s">
        <v>37589</v>
      </c>
      <c r="B346" s="4" t="s">
        <v>37596</v>
      </c>
      <c r="C346" s="5">
        <v>4600</v>
      </c>
      <c r="D346" s="1112">
        <f>($C346*0.01)+$C346</f>
        <v>4646</v>
      </c>
      <c r="E346" s="1112">
        <f>($C346*0.02)+$C346</f>
        <v>4692</v>
      </c>
      <c r="F346" s="1112">
        <f>($C346*0.03)+$C346</f>
        <v>4738</v>
      </c>
      <c r="G346" s="1112">
        <f>($C346*0.04)+$C346</f>
        <v>4784</v>
      </c>
      <c r="H346" s="1112">
        <f>($C346*0.05)+$C346</f>
        <v>4830</v>
      </c>
      <c r="I346" s="1112">
        <f>($C346*0.06)+$C346</f>
        <v>4876</v>
      </c>
      <c r="J346" s="1112">
        <f>($C346*0.07)+$C346</f>
        <v>4922</v>
      </c>
      <c r="K346" s="1112">
        <f>($C346*0.08)+$C346</f>
        <v>4968</v>
      </c>
      <c r="L346" s="1112">
        <f>($C346*0.09)+$C346</f>
        <v>5014</v>
      </c>
      <c r="M346" s="1112">
        <f>($C346*0.1)+$C346</f>
        <v>5060</v>
      </c>
      <c r="N346" s="1112">
        <f>($C346*0.11)+$C346</f>
        <v>5106</v>
      </c>
      <c r="O346" s="1112">
        <f>($C346*0.12)+$C346</f>
        <v>5152</v>
      </c>
      <c r="P346" s="1112">
        <f>($C346*0.13)+$C346</f>
        <v>5198</v>
      </c>
      <c r="Q346" s="1112">
        <f>($C346*0.14)+$C346</f>
        <v>5244</v>
      </c>
      <c r="R346" s="1112">
        <f>($C346*0.15)+$C346</f>
        <v>5290</v>
      </c>
      <c r="S346" s="1112">
        <f>($C346*0.16)+$C346</f>
        <v>5336</v>
      </c>
      <c r="T346" s="1112">
        <f>($C346*0.17)+$C346</f>
        <v>5382</v>
      </c>
      <c r="U346" s="1112">
        <f>($C346*0.18)+$C346</f>
        <v>5428</v>
      </c>
      <c r="V346" s="1112">
        <f>($C346*0.19)+$C346</f>
        <v>5474</v>
      </c>
      <c r="W346" s="1112">
        <f>($C346*0.2)+$C346</f>
        <v>5520</v>
      </c>
      <c r="X346" s="1112">
        <f>($C346*0.21)+$C346</f>
        <v>5566</v>
      </c>
      <c r="Y346" s="1112">
        <f>($C346*0.22)+$C346</f>
        <v>5612</v>
      </c>
      <c r="Z346" s="1112">
        <f>($C346*0.23)+$C346</f>
        <v>5658</v>
      </c>
      <c r="AA346" s="1112">
        <f>($C346*0.24)+$C346</f>
        <v>5704</v>
      </c>
      <c r="AB346" s="1112">
        <f>($C346*0.25)+$C346</f>
        <v>5750</v>
      </c>
      <c r="AC346" s="1112">
        <f>($C346*0.26)+$C346</f>
        <v>5796</v>
      </c>
      <c r="AD346" s="1112">
        <f>($C346*0.27)+$C346</f>
        <v>5842</v>
      </c>
      <c r="AE346" s="1112">
        <f>($C346*0.28)+$C346</f>
        <v>5888</v>
      </c>
      <c r="AF346" s="1112">
        <f>($C346*0.29)+$C346</f>
        <v>5934</v>
      </c>
      <c r="AG346" s="1112">
        <f>($C346*0.3)+$C346</f>
        <v>5980</v>
      </c>
    </row>
    <row r="347" spans="1:33" ht="30">
      <c r="A347" s="4" t="s">
        <v>37586</v>
      </c>
      <c r="B347" s="4" t="s">
        <v>37597</v>
      </c>
      <c r="C347" s="5">
        <v>4600</v>
      </c>
      <c r="D347" s="1112">
        <f>($C347*0.01)+$C347</f>
        <v>4646</v>
      </c>
      <c r="E347" s="1112">
        <f>($C347*0.02)+$C347</f>
        <v>4692</v>
      </c>
      <c r="F347" s="1112">
        <f>($C347*0.03)+$C347</f>
        <v>4738</v>
      </c>
      <c r="G347" s="1112">
        <f>($C347*0.04)+$C347</f>
        <v>4784</v>
      </c>
      <c r="H347" s="1112">
        <f>($C347*0.05)+$C347</f>
        <v>4830</v>
      </c>
      <c r="I347" s="1112">
        <f>($C347*0.06)+$C347</f>
        <v>4876</v>
      </c>
      <c r="J347" s="1112">
        <f>($C347*0.07)+$C347</f>
        <v>4922</v>
      </c>
      <c r="K347" s="1112">
        <f>($C347*0.08)+$C347</f>
        <v>4968</v>
      </c>
      <c r="L347" s="1112">
        <f>($C347*0.09)+$C347</f>
        <v>5014</v>
      </c>
      <c r="M347" s="1112">
        <f>($C347*0.1)+$C347</f>
        <v>5060</v>
      </c>
      <c r="N347" s="1112">
        <f>($C347*0.11)+$C347</f>
        <v>5106</v>
      </c>
      <c r="O347" s="1112">
        <f>($C347*0.12)+$C347</f>
        <v>5152</v>
      </c>
      <c r="P347" s="1112">
        <f>($C347*0.13)+$C347</f>
        <v>5198</v>
      </c>
      <c r="Q347" s="1112">
        <f>($C347*0.14)+$C347</f>
        <v>5244</v>
      </c>
      <c r="R347" s="1112">
        <f>($C347*0.15)+$C347</f>
        <v>5290</v>
      </c>
      <c r="S347" s="1112">
        <f>($C347*0.16)+$C347</f>
        <v>5336</v>
      </c>
      <c r="T347" s="1112">
        <f>($C347*0.17)+$C347</f>
        <v>5382</v>
      </c>
      <c r="U347" s="1112">
        <f>($C347*0.18)+$C347</f>
        <v>5428</v>
      </c>
      <c r="V347" s="1112">
        <f>($C347*0.19)+$C347</f>
        <v>5474</v>
      </c>
      <c r="W347" s="1112">
        <f>($C347*0.2)+$C347</f>
        <v>5520</v>
      </c>
      <c r="X347" s="1112">
        <f>($C347*0.21)+$C347</f>
        <v>5566</v>
      </c>
      <c r="Y347" s="1112">
        <f>($C347*0.22)+$C347</f>
        <v>5612</v>
      </c>
      <c r="Z347" s="1112">
        <f>($C347*0.23)+$C347</f>
        <v>5658</v>
      </c>
      <c r="AA347" s="1112">
        <f>($C347*0.24)+$C347</f>
        <v>5704</v>
      </c>
      <c r="AB347" s="1112">
        <f>($C347*0.25)+$C347</f>
        <v>5750</v>
      </c>
      <c r="AC347" s="1112">
        <f>($C347*0.26)+$C347</f>
        <v>5796</v>
      </c>
      <c r="AD347" s="1112">
        <f>($C347*0.27)+$C347</f>
        <v>5842</v>
      </c>
      <c r="AE347" s="1112">
        <f>($C347*0.28)+$C347</f>
        <v>5888</v>
      </c>
      <c r="AF347" s="1112">
        <f>($C347*0.29)+$C347</f>
        <v>5934</v>
      </c>
      <c r="AG347" s="1112">
        <f>($C347*0.3)+$C347</f>
        <v>5980</v>
      </c>
    </row>
    <row r="348" spans="1:33" ht="15">
      <c r="A348" s="4" t="s">
        <v>37249</v>
      </c>
      <c r="B348" s="4" t="s">
        <v>37598</v>
      </c>
      <c r="C348" s="5">
        <v>3000</v>
      </c>
      <c r="D348" s="1112">
        <f>($C348*0.01)+$C348</f>
        <v>3030</v>
      </c>
      <c r="E348" s="1112">
        <f>($C348*0.02)+$C348</f>
        <v>3060</v>
      </c>
      <c r="F348" s="1112">
        <f>($C348*0.03)+$C348</f>
        <v>3090</v>
      </c>
      <c r="G348" s="1112">
        <f>($C348*0.04)+$C348</f>
        <v>3120</v>
      </c>
      <c r="H348" s="1112">
        <f>($C348*0.05)+$C348</f>
        <v>3150</v>
      </c>
      <c r="I348" s="1112">
        <f>($C348*0.06)+$C348</f>
        <v>3180</v>
      </c>
      <c r="J348" s="1112">
        <f>($C348*0.07)+$C348</f>
        <v>3210</v>
      </c>
      <c r="K348" s="1112">
        <f>($C348*0.08)+$C348</f>
        <v>3240</v>
      </c>
      <c r="L348" s="1112">
        <f>($C348*0.09)+$C348</f>
        <v>3270</v>
      </c>
      <c r="M348" s="1112">
        <f>($C348*0.1)+$C348</f>
        <v>3300</v>
      </c>
      <c r="N348" s="1112">
        <f>($C348*0.11)+$C348</f>
        <v>3330</v>
      </c>
      <c r="O348" s="1112">
        <f>($C348*0.12)+$C348</f>
        <v>3360</v>
      </c>
      <c r="P348" s="1112">
        <f>($C348*0.13)+$C348</f>
        <v>3390</v>
      </c>
      <c r="Q348" s="1112">
        <f>($C348*0.14)+$C348</f>
        <v>3420</v>
      </c>
      <c r="R348" s="1112">
        <f>($C348*0.15)+$C348</f>
        <v>3450</v>
      </c>
      <c r="S348" s="1112">
        <f>($C348*0.16)+$C348</f>
        <v>3480</v>
      </c>
      <c r="T348" s="1112">
        <f>($C348*0.17)+$C348</f>
        <v>3510</v>
      </c>
      <c r="U348" s="1112">
        <f>($C348*0.18)+$C348</f>
        <v>3540</v>
      </c>
      <c r="V348" s="1112">
        <f>($C348*0.19)+$C348</f>
        <v>3570</v>
      </c>
      <c r="W348" s="1112">
        <f>($C348*0.2)+$C348</f>
        <v>3600</v>
      </c>
      <c r="X348" s="1112">
        <f>($C348*0.21)+$C348</f>
        <v>3630</v>
      </c>
      <c r="Y348" s="1112">
        <f>($C348*0.22)+$C348</f>
        <v>3660</v>
      </c>
      <c r="Z348" s="1112">
        <f>($C348*0.23)+$C348</f>
        <v>3690</v>
      </c>
      <c r="AA348" s="1112">
        <f>($C348*0.24)+$C348</f>
        <v>3720</v>
      </c>
      <c r="AB348" s="1112">
        <f>($C348*0.25)+$C348</f>
        <v>3750</v>
      </c>
      <c r="AC348" s="1112">
        <f>($C348*0.26)+$C348</f>
        <v>3780</v>
      </c>
      <c r="AD348" s="1112">
        <f>($C348*0.27)+$C348</f>
        <v>3810</v>
      </c>
      <c r="AE348" s="1112">
        <f>($C348*0.28)+$C348</f>
        <v>3840</v>
      </c>
      <c r="AF348" s="1112">
        <f>($C348*0.29)+$C348</f>
        <v>3870</v>
      </c>
      <c r="AG348" s="1112">
        <f>($C348*0.3)+$C348</f>
        <v>3900</v>
      </c>
    </row>
    <row r="349" spans="1:33" ht="30">
      <c r="A349" s="4" t="s">
        <v>37152</v>
      </c>
      <c r="B349" s="4" t="s">
        <v>37596</v>
      </c>
      <c r="C349" s="5">
        <v>5000</v>
      </c>
      <c r="D349" s="1112">
        <f>($C349*0.01)+$C349</f>
        <v>5050</v>
      </c>
      <c r="E349" s="1112">
        <f>($C349*0.02)+$C349</f>
        <v>5100</v>
      </c>
      <c r="F349" s="1112">
        <f>($C349*0.03)+$C349</f>
        <v>5150</v>
      </c>
      <c r="G349" s="1112">
        <f>($C349*0.04)+$C349</f>
        <v>5200</v>
      </c>
      <c r="H349" s="1112">
        <f>($C349*0.05)+$C349</f>
        <v>5250</v>
      </c>
      <c r="I349" s="1112">
        <f>($C349*0.06)+$C349</f>
        <v>5300</v>
      </c>
      <c r="J349" s="1112">
        <f>($C349*0.07)+$C349</f>
        <v>5350</v>
      </c>
      <c r="K349" s="1112">
        <f>($C349*0.08)+$C349</f>
        <v>5400</v>
      </c>
      <c r="L349" s="1112">
        <f>($C349*0.09)+$C349</f>
        <v>5450</v>
      </c>
      <c r="M349" s="1112">
        <f>($C349*0.1)+$C349</f>
        <v>5500</v>
      </c>
      <c r="N349" s="1112">
        <f>($C349*0.11)+$C349</f>
        <v>5550</v>
      </c>
      <c r="O349" s="1112">
        <f>($C349*0.12)+$C349</f>
        <v>5600</v>
      </c>
      <c r="P349" s="1112">
        <f>($C349*0.13)+$C349</f>
        <v>5650</v>
      </c>
      <c r="Q349" s="1112">
        <f>($C349*0.14)+$C349</f>
        <v>5700</v>
      </c>
      <c r="R349" s="1112">
        <f>($C349*0.15)+$C349</f>
        <v>5750</v>
      </c>
      <c r="S349" s="1112">
        <f>($C349*0.16)+$C349</f>
        <v>5800</v>
      </c>
      <c r="T349" s="1112">
        <f>($C349*0.17)+$C349</f>
        <v>5850</v>
      </c>
      <c r="U349" s="1112">
        <f>($C349*0.18)+$C349</f>
        <v>5900</v>
      </c>
      <c r="V349" s="1112">
        <f>($C349*0.19)+$C349</f>
        <v>5950</v>
      </c>
      <c r="W349" s="1112">
        <f>($C349*0.2)+$C349</f>
        <v>6000</v>
      </c>
      <c r="X349" s="1112">
        <f>($C349*0.21)+$C349</f>
        <v>6050</v>
      </c>
      <c r="Y349" s="1112">
        <f>($C349*0.22)+$C349</f>
        <v>6100</v>
      </c>
      <c r="Z349" s="1112">
        <f>($C349*0.23)+$C349</f>
        <v>6150</v>
      </c>
      <c r="AA349" s="1112">
        <f>($C349*0.24)+$C349</f>
        <v>6200</v>
      </c>
      <c r="AB349" s="1112">
        <f>($C349*0.25)+$C349</f>
        <v>6250</v>
      </c>
      <c r="AC349" s="1112">
        <f>($C349*0.26)+$C349</f>
        <v>6300</v>
      </c>
      <c r="AD349" s="1112">
        <f>($C349*0.27)+$C349</f>
        <v>6350</v>
      </c>
      <c r="AE349" s="1112">
        <f>($C349*0.28)+$C349</f>
        <v>6400</v>
      </c>
      <c r="AF349" s="1112">
        <f>($C349*0.29)+$C349</f>
        <v>6450</v>
      </c>
      <c r="AG349" s="1112">
        <f>($C349*0.3)+$C349</f>
        <v>6500</v>
      </c>
    </row>
    <row r="350" spans="1:33" ht="30">
      <c r="A350" s="4" t="s">
        <v>37146</v>
      </c>
      <c r="B350" s="4" t="s">
        <v>37597</v>
      </c>
      <c r="C350" s="5">
        <v>5000</v>
      </c>
      <c r="D350" s="1112">
        <f>($C350*0.01)+$C350</f>
        <v>5050</v>
      </c>
      <c r="E350" s="1112">
        <f>($C350*0.02)+$C350</f>
        <v>5100</v>
      </c>
      <c r="F350" s="1112">
        <f>($C350*0.03)+$C350</f>
        <v>5150</v>
      </c>
      <c r="G350" s="1112">
        <f>($C350*0.04)+$C350</f>
        <v>5200</v>
      </c>
      <c r="H350" s="1112">
        <f>($C350*0.05)+$C350</f>
        <v>5250</v>
      </c>
      <c r="I350" s="1112">
        <f>($C350*0.06)+$C350</f>
        <v>5300</v>
      </c>
      <c r="J350" s="1112">
        <f>($C350*0.07)+$C350</f>
        <v>5350</v>
      </c>
      <c r="K350" s="1112">
        <f>($C350*0.08)+$C350</f>
        <v>5400</v>
      </c>
      <c r="L350" s="1112">
        <f>($C350*0.09)+$C350</f>
        <v>5450</v>
      </c>
      <c r="M350" s="1112">
        <f>($C350*0.1)+$C350</f>
        <v>5500</v>
      </c>
      <c r="N350" s="1112">
        <f>($C350*0.11)+$C350</f>
        <v>5550</v>
      </c>
      <c r="O350" s="1112">
        <f>($C350*0.12)+$C350</f>
        <v>5600</v>
      </c>
      <c r="P350" s="1112">
        <f>($C350*0.13)+$C350</f>
        <v>5650</v>
      </c>
      <c r="Q350" s="1112">
        <f>($C350*0.14)+$C350</f>
        <v>5700</v>
      </c>
      <c r="R350" s="1112">
        <f>($C350*0.15)+$C350</f>
        <v>5750</v>
      </c>
      <c r="S350" s="1112">
        <f>($C350*0.16)+$C350</f>
        <v>5800</v>
      </c>
      <c r="T350" s="1112">
        <f>($C350*0.17)+$C350</f>
        <v>5850</v>
      </c>
      <c r="U350" s="1112">
        <f>($C350*0.18)+$C350</f>
        <v>5900</v>
      </c>
      <c r="V350" s="1112">
        <f>($C350*0.19)+$C350</f>
        <v>5950</v>
      </c>
      <c r="W350" s="1112">
        <f>($C350*0.2)+$C350</f>
        <v>6000</v>
      </c>
      <c r="X350" s="1112">
        <f>($C350*0.21)+$C350</f>
        <v>6050</v>
      </c>
      <c r="Y350" s="1112">
        <f>($C350*0.22)+$C350</f>
        <v>6100</v>
      </c>
      <c r="Z350" s="1112">
        <f>($C350*0.23)+$C350</f>
        <v>6150</v>
      </c>
      <c r="AA350" s="1112">
        <f>($C350*0.24)+$C350</f>
        <v>6200</v>
      </c>
      <c r="AB350" s="1112">
        <f>($C350*0.25)+$C350</f>
        <v>6250</v>
      </c>
      <c r="AC350" s="1112">
        <f>($C350*0.26)+$C350</f>
        <v>6300</v>
      </c>
      <c r="AD350" s="1112">
        <f>($C350*0.27)+$C350</f>
        <v>6350</v>
      </c>
      <c r="AE350" s="1112">
        <f>($C350*0.28)+$C350</f>
        <v>6400</v>
      </c>
      <c r="AF350" s="1112">
        <f>($C350*0.29)+$C350</f>
        <v>6450</v>
      </c>
      <c r="AG350" s="1112">
        <f>($C350*0.3)+$C350</f>
        <v>6500</v>
      </c>
    </row>
    <row r="351" spans="1:33" ht="30">
      <c r="A351" s="4" t="s">
        <v>36690</v>
      </c>
      <c r="B351" s="4" t="s">
        <v>37599</v>
      </c>
      <c r="C351" s="5">
        <v>5000</v>
      </c>
      <c r="D351" s="1112">
        <f>($C351*0.01)+$C351</f>
        <v>5050</v>
      </c>
      <c r="E351" s="1112">
        <f>($C351*0.02)+$C351</f>
        <v>5100</v>
      </c>
      <c r="F351" s="1112">
        <f>($C351*0.03)+$C351</f>
        <v>5150</v>
      </c>
      <c r="G351" s="1112">
        <f>($C351*0.04)+$C351</f>
        <v>5200</v>
      </c>
      <c r="H351" s="1112">
        <f>($C351*0.05)+$C351</f>
        <v>5250</v>
      </c>
      <c r="I351" s="1112">
        <f>($C351*0.06)+$C351</f>
        <v>5300</v>
      </c>
      <c r="J351" s="1112">
        <f>($C351*0.07)+$C351</f>
        <v>5350</v>
      </c>
      <c r="K351" s="1112">
        <f>($C351*0.08)+$C351</f>
        <v>5400</v>
      </c>
      <c r="L351" s="1112">
        <f>($C351*0.09)+$C351</f>
        <v>5450</v>
      </c>
      <c r="M351" s="1112">
        <f>($C351*0.1)+$C351</f>
        <v>5500</v>
      </c>
      <c r="N351" s="1112">
        <f>($C351*0.11)+$C351</f>
        <v>5550</v>
      </c>
      <c r="O351" s="1112">
        <f>($C351*0.12)+$C351</f>
        <v>5600</v>
      </c>
      <c r="P351" s="1112">
        <f>($C351*0.13)+$C351</f>
        <v>5650</v>
      </c>
      <c r="Q351" s="1112">
        <f>($C351*0.14)+$C351</f>
        <v>5700</v>
      </c>
      <c r="R351" s="1112">
        <f>($C351*0.15)+$C351</f>
        <v>5750</v>
      </c>
      <c r="S351" s="1112">
        <f>($C351*0.16)+$C351</f>
        <v>5800</v>
      </c>
      <c r="T351" s="1112">
        <f>($C351*0.17)+$C351</f>
        <v>5850</v>
      </c>
      <c r="U351" s="1112">
        <f>($C351*0.18)+$C351</f>
        <v>5900</v>
      </c>
      <c r="V351" s="1112">
        <f>($C351*0.19)+$C351</f>
        <v>5950</v>
      </c>
      <c r="W351" s="1112">
        <f>($C351*0.2)+$C351</f>
        <v>6000</v>
      </c>
      <c r="X351" s="1112">
        <f>($C351*0.21)+$C351</f>
        <v>6050</v>
      </c>
      <c r="Y351" s="1112">
        <f>($C351*0.22)+$C351</f>
        <v>6100</v>
      </c>
      <c r="Z351" s="1112">
        <f>($C351*0.23)+$C351</f>
        <v>6150</v>
      </c>
      <c r="AA351" s="1112">
        <f>($C351*0.24)+$C351</f>
        <v>6200</v>
      </c>
      <c r="AB351" s="1112">
        <f>($C351*0.25)+$C351</f>
        <v>6250</v>
      </c>
      <c r="AC351" s="1112">
        <f>($C351*0.26)+$C351</f>
        <v>6300</v>
      </c>
      <c r="AD351" s="1112">
        <f>($C351*0.27)+$C351</f>
        <v>6350</v>
      </c>
      <c r="AE351" s="1112">
        <f>($C351*0.28)+$C351</f>
        <v>6400</v>
      </c>
      <c r="AF351" s="1112">
        <f>($C351*0.29)+$C351</f>
        <v>6450</v>
      </c>
      <c r="AG351" s="1112">
        <f>($C351*0.3)+$C351</f>
        <v>6500</v>
      </c>
    </row>
    <row r="352" spans="1:33" ht="15">
      <c r="A352" s="4"/>
      <c r="B352" s="4"/>
      <c r="C352" s="5"/>
      <c r="D352" s="1112"/>
      <c r="E352" s="1112"/>
      <c r="F352" s="1112"/>
      <c r="G352" s="1112"/>
      <c r="H352" s="1112"/>
      <c r="I352" s="1112"/>
      <c r="J352" s="1112"/>
      <c r="K352" s="1112"/>
      <c r="L352" s="1112"/>
      <c r="M352" s="1112"/>
      <c r="N352" s="1112"/>
      <c r="O352" s="1112"/>
      <c r="P352" s="1112"/>
      <c r="Q352" s="1112"/>
      <c r="R352" s="1112"/>
      <c r="S352" s="1112"/>
      <c r="T352" s="1112"/>
      <c r="U352" s="1112"/>
      <c r="V352" s="1112"/>
      <c r="W352" s="1112"/>
      <c r="X352" s="1112"/>
      <c r="Y352" s="1112"/>
      <c r="Z352" s="1112"/>
      <c r="AA352" s="1112"/>
      <c r="AB352" s="1112"/>
      <c r="AC352" s="1112"/>
      <c r="AD352" s="1112"/>
      <c r="AE352" s="1112"/>
      <c r="AF352" s="1112"/>
      <c r="AG352" s="1112"/>
    </row>
    <row r="353" spans="1:33" ht="20">
      <c r="A353" s="15"/>
      <c r="B353" s="11" t="s">
        <v>54236</v>
      </c>
      <c r="C353" s="16"/>
      <c r="D353" s="1112"/>
      <c r="E353" s="1112"/>
      <c r="F353" s="1112"/>
      <c r="G353" s="1112"/>
      <c r="H353" s="1112"/>
      <c r="I353" s="1112"/>
      <c r="J353" s="1112"/>
      <c r="K353" s="1112"/>
      <c r="L353" s="1112"/>
      <c r="M353" s="1112"/>
      <c r="N353" s="1112"/>
      <c r="O353" s="1112"/>
      <c r="P353" s="1112"/>
      <c r="Q353" s="1112"/>
      <c r="R353" s="1112"/>
      <c r="S353" s="1112"/>
      <c r="T353" s="1112"/>
      <c r="U353" s="1112"/>
      <c r="V353" s="1112"/>
      <c r="W353" s="1112"/>
      <c r="X353" s="1112"/>
      <c r="Y353" s="1112"/>
      <c r="Z353" s="1112"/>
      <c r="AA353" s="1112"/>
      <c r="AB353" s="1112"/>
      <c r="AC353" s="1112"/>
      <c r="AD353" s="1112"/>
      <c r="AE353" s="1112"/>
      <c r="AF353" s="1112"/>
      <c r="AG353" s="1112"/>
    </row>
    <row r="354" spans="1:33" ht="30">
      <c r="A354" s="915" t="s">
        <v>37600</v>
      </c>
      <c r="B354" s="916" t="s">
        <v>37601</v>
      </c>
      <c r="C354" s="917">
        <v>900</v>
      </c>
      <c r="D354" s="1112">
        <f>($C354*0.01)+$C354</f>
        <v>909</v>
      </c>
      <c r="E354" s="1112">
        <f>($C354*0.02)+$C354</f>
        <v>918</v>
      </c>
      <c r="F354" s="1112">
        <f>($C354*0.03)+$C354</f>
        <v>927</v>
      </c>
      <c r="G354" s="1112">
        <f>($C354*0.04)+$C354</f>
        <v>936</v>
      </c>
      <c r="H354" s="1112">
        <f>($C354*0.05)+$C354</f>
        <v>945</v>
      </c>
      <c r="I354" s="1112">
        <f>($C354*0.06)+$C354</f>
        <v>954</v>
      </c>
      <c r="J354" s="1112">
        <f>($C354*0.07)+$C354</f>
        <v>963</v>
      </c>
      <c r="K354" s="1112">
        <f>($C354*0.08)+$C354</f>
        <v>972</v>
      </c>
      <c r="L354" s="1112">
        <f>($C354*0.09)+$C354</f>
        <v>981</v>
      </c>
      <c r="M354" s="1112">
        <f>($C354*0.1)+$C354</f>
        <v>990</v>
      </c>
      <c r="N354" s="1112">
        <f>($C354*0.11)+$C354</f>
        <v>999</v>
      </c>
      <c r="O354" s="1112">
        <f>($C354*0.12)+$C354</f>
        <v>1008</v>
      </c>
      <c r="P354" s="1112">
        <f>($C354*0.13)+$C354</f>
        <v>1017</v>
      </c>
      <c r="Q354" s="1112">
        <f>($C354*0.14)+$C354</f>
        <v>1026</v>
      </c>
      <c r="R354" s="1112">
        <f>($C354*0.15)+$C354</f>
        <v>1035</v>
      </c>
      <c r="S354" s="1112">
        <f>($C354*0.16)+$C354</f>
        <v>1044</v>
      </c>
      <c r="T354" s="1112">
        <f>($C354*0.17)+$C354</f>
        <v>1053</v>
      </c>
      <c r="U354" s="1112">
        <f>($C354*0.18)+$C354</f>
        <v>1062</v>
      </c>
      <c r="V354" s="1112">
        <f>($C354*0.19)+$C354</f>
        <v>1071</v>
      </c>
      <c r="W354" s="1112">
        <f>($C354*0.2)+$C354</f>
        <v>1080</v>
      </c>
      <c r="X354" s="1112">
        <f>($C354*0.21)+$C354</f>
        <v>1089</v>
      </c>
      <c r="Y354" s="1112">
        <f>($C354*0.22)+$C354</f>
        <v>1098</v>
      </c>
      <c r="Z354" s="1112">
        <f>($C354*0.23)+$C354</f>
        <v>1107</v>
      </c>
      <c r="AA354" s="1112">
        <f>($C354*0.24)+$C354</f>
        <v>1116</v>
      </c>
      <c r="AB354" s="1112">
        <f>($C354*0.25)+$C354</f>
        <v>1125</v>
      </c>
      <c r="AC354" s="1112">
        <f>($C354*0.26)+$C354</f>
        <v>1134</v>
      </c>
      <c r="AD354" s="1112">
        <f>($C354*0.27)+$C354</f>
        <v>1143</v>
      </c>
      <c r="AE354" s="1112">
        <f>($C354*0.28)+$C354</f>
        <v>1152</v>
      </c>
      <c r="AF354" s="1112">
        <f>($C354*0.29)+$C354</f>
        <v>1161</v>
      </c>
      <c r="AG354" s="1112">
        <f>($C354*0.3)+$C354</f>
        <v>1170</v>
      </c>
    </row>
    <row r="355" spans="1:33" ht="30">
      <c r="A355" s="1118" t="s">
        <v>54234</v>
      </c>
      <c r="B355" s="916" t="s">
        <v>55233</v>
      </c>
      <c r="C355" s="931">
        <v>1800</v>
      </c>
      <c r="D355" s="1112">
        <f>($C355*0.01)+$C355</f>
        <v>1818</v>
      </c>
      <c r="E355" s="1112">
        <f>($C355*0.02)+$C355</f>
        <v>1836</v>
      </c>
      <c r="F355" s="1112">
        <f>($C355*0.03)+$C355</f>
        <v>1854</v>
      </c>
      <c r="G355" s="1112">
        <f>($C355*0.04)+$C355</f>
        <v>1872</v>
      </c>
      <c r="H355" s="1112">
        <f>($C355*0.05)+$C355</f>
        <v>1890</v>
      </c>
      <c r="I355" s="1112">
        <f>($C355*0.06)+$C355</f>
        <v>1908</v>
      </c>
      <c r="J355" s="1112">
        <f>($C355*0.07)+$C355</f>
        <v>1926</v>
      </c>
      <c r="K355" s="1112">
        <f>($C355*0.08)+$C355</f>
        <v>1944</v>
      </c>
      <c r="L355" s="1112">
        <f>($C355*0.09)+$C355</f>
        <v>1962</v>
      </c>
      <c r="M355" s="1112">
        <f>($C355*0.1)+$C355</f>
        <v>1980</v>
      </c>
      <c r="N355" s="1112">
        <f>($C355*0.11)+$C355</f>
        <v>1998</v>
      </c>
      <c r="O355" s="1112">
        <f>($C355*0.12)+$C355</f>
        <v>2016</v>
      </c>
      <c r="P355" s="1112">
        <f>($C355*0.13)+$C355</f>
        <v>2034</v>
      </c>
      <c r="Q355" s="1112">
        <f>($C355*0.14)+$C355</f>
        <v>2052</v>
      </c>
      <c r="R355" s="1112">
        <f>($C355*0.15)+$C355</f>
        <v>2070</v>
      </c>
      <c r="S355" s="1112">
        <f>($C355*0.16)+$C355</f>
        <v>2088</v>
      </c>
      <c r="T355" s="1112">
        <f>($C355*0.17)+$C355</f>
        <v>2106</v>
      </c>
      <c r="U355" s="1112">
        <f>($C355*0.18)+$C355</f>
        <v>2124</v>
      </c>
      <c r="V355" s="1112">
        <f>($C355*0.19)+$C355</f>
        <v>2142</v>
      </c>
      <c r="W355" s="1112">
        <f>($C355*0.2)+$C355</f>
        <v>2160</v>
      </c>
      <c r="X355" s="1112">
        <f>($C355*0.21)+$C355</f>
        <v>2178</v>
      </c>
      <c r="Y355" s="1112">
        <f>($C355*0.22)+$C355</f>
        <v>2196</v>
      </c>
      <c r="Z355" s="1112">
        <f>($C355*0.23)+$C355</f>
        <v>2214</v>
      </c>
      <c r="AA355" s="1112">
        <f>($C355*0.24)+$C355</f>
        <v>2232</v>
      </c>
      <c r="AB355" s="1112">
        <f>($C355*0.25)+$C355</f>
        <v>2250</v>
      </c>
      <c r="AC355" s="1112">
        <f>($C355*0.26)+$C355</f>
        <v>2268</v>
      </c>
      <c r="AD355" s="1112">
        <f>($C355*0.27)+$C355</f>
        <v>2286</v>
      </c>
      <c r="AE355" s="1112">
        <f>($C355*0.28)+$C355</f>
        <v>2304</v>
      </c>
      <c r="AF355" s="1112">
        <f>($C355*0.29)+$C355</f>
        <v>2322</v>
      </c>
      <c r="AG355" s="1112">
        <f>($C355*0.3)+$C355</f>
        <v>2340</v>
      </c>
    </row>
    <row r="356" spans="1:33" ht="45">
      <c r="A356" s="1117" t="s">
        <v>54235</v>
      </c>
      <c r="B356" s="916" t="s">
        <v>55234</v>
      </c>
      <c r="C356" s="931">
        <v>1200</v>
      </c>
      <c r="D356" s="1112">
        <f>($C356*0.01)+$C356</f>
        <v>1212</v>
      </c>
      <c r="E356" s="1112">
        <f>($C356*0.02)+$C356</f>
        <v>1224</v>
      </c>
      <c r="F356" s="1112">
        <f>($C356*0.03)+$C356</f>
        <v>1236</v>
      </c>
      <c r="G356" s="1112">
        <f>($C356*0.04)+$C356</f>
        <v>1248</v>
      </c>
      <c r="H356" s="1112">
        <f>($C356*0.05)+$C356</f>
        <v>1260</v>
      </c>
      <c r="I356" s="1112">
        <f>($C356*0.06)+$C356</f>
        <v>1272</v>
      </c>
      <c r="J356" s="1112">
        <f>($C356*0.07)+$C356</f>
        <v>1284</v>
      </c>
      <c r="K356" s="1112">
        <f>($C356*0.08)+$C356</f>
        <v>1296</v>
      </c>
      <c r="L356" s="1112">
        <f>($C356*0.09)+$C356</f>
        <v>1308</v>
      </c>
      <c r="M356" s="1112">
        <f>($C356*0.1)+$C356</f>
        <v>1320</v>
      </c>
      <c r="N356" s="1112">
        <f>($C356*0.11)+$C356</f>
        <v>1332</v>
      </c>
      <c r="O356" s="1112">
        <f>($C356*0.12)+$C356</f>
        <v>1344</v>
      </c>
      <c r="P356" s="1112">
        <f>($C356*0.13)+$C356</f>
        <v>1356</v>
      </c>
      <c r="Q356" s="1112">
        <f>($C356*0.14)+$C356</f>
        <v>1368</v>
      </c>
      <c r="R356" s="1112">
        <f>($C356*0.15)+$C356</f>
        <v>1380</v>
      </c>
      <c r="S356" s="1112">
        <f>($C356*0.16)+$C356</f>
        <v>1392</v>
      </c>
      <c r="T356" s="1112">
        <f>($C356*0.17)+$C356</f>
        <v>1404</v>
      </c>
      <c r="U356" s="1112">
        <f>($C356*0.18)+$C356</f>
        <v>1416</v>
      </c>
      <c r="V356" s="1112">
        <f>($C356*0.19)+$C356</f>
        <v>1428</v>
      </c>
      <c r="W356" s="1112">
        <f>($C356*0.2)+$C356</f>
        <v>1440</v>
      </c>
      <c r="X356" s="1112">
        <f>($C356*0.21)+$C356</f>
        <v>1452</v>
      </c>
      <c r="Y356" s="1112">
        <f>($C356*0.22)+$C356</f>
        <v>1464</v>
      </c>
      <c r="Z356" s="1112">
        <f>($C356*0.23)+$C356</f>
        <v>1476</v>
      </c>
      <c r="AA356" s="1112">
        <f>($C356*0.24)+$C356</f>
        <v>1488</v>
      </c>
      <c r="AB356" s="1112">
        <f>($C356*0.25)+$C356</f>
        <v>1500</v>
      </c>
      <c r="AC356" s="1112">
        <f>($C356*0.26)+$C356</f>
        <v>1512</v>
      </c>
      <c r="AD356" s="1112">
        <f>($C356*0.27)+$C356</f>
        <v>1524</v>
      </c>
      <c r="AE356" s="1112">
        <f>($C356*0.28)+$C356</f>
        <v>1536</v>
      </c>
      <c r="AF356" s="1112">
        <f>($C356*0.29)+$C356</f>
        <v>1548</v>
      </c>
      <c r="AG356" s="1112">
        <f>($C356*0.3)+$C356</f>
        <v>1560</v>
      </c>
    </row>
    <row r="357" spans="1:33" ht="15">
      <c r="A357" s="1117" t="s">
        <v>15209</v>
      </c>
      <c r="B357" s="916" t="s">
        <v>54254</v>
      </c>
      <c r="C357" s="931">
        <v>900</v>
      </c>
      <c r="D357" s="1112">
        <f>($C357*0.01)+$C357</f>
        <v>909</v>
      </c>
      <c r="E357" s="1112">
        <f>($C357*0.02)+$C357</f>
        <v>918</v>
      </c>
      <c r="F357" s="1112">
        <f>($C357*0.03)+$C357</f>
        <v>927</v>
      </c>
      <c r="G357" s="1112">
        <f>($C357*0.04)+$C357</f>
        <v>936</v>
      </c>
      <c r="H357" s="1112">
        <f>($C357*0.05)+$C357</f>
        <v>945</v>
      </c>
      <c r="I357" s="1112">
        <f>($C357*0.06)+$C357</f>
        <v>954</v>
      </c>
      <c r="J357" s="1112">
        <f>($C357*0.07)+$C357</f>
        <v>963</v>
      </c>
      <c r="K357" s="1112">
        <f>($C357*0.08)+$C357</f>
        <v>972</v>
      </c>
      <c r="L357" s="1112">
        <f>($C357*0.09)+$C357</f>
        <v>981</v>
      </c>
      <c r="M357" s="1112">
        <f>($C357*0.1)+$C357</f>
        <v>990</v>
      </c>
      <c r="N357" s="1112">
        <f>($C357*0.11)+$C357</f>
        <v>999</v>
      </c>
      <c r="O357" s="1112">
        <f>($C357*0.12)+$C357</f>
        <v>1008</v>
      </c>
      <c r="P357" s="1112">
        <f>($C357*0.13)+$C357</f>
        <v>1017</v>
      </c>
      <c r="Q357" s="1112">
        <f>($C357*0.14)+$C357</f>
        <v>1026</v>
      </c>
      <c r="R357" s="1112">
        <f>($C357*0.15)+$C357</f>
        <v>1035</v>
      </c>
      <c r="S357" s="1112">
        <f>($C357*0.16)+$C357</f>
        <v>1044</v>
      </c>
      <c r="T357" s="1112">
        <f>($C357*0.17)+$C357</f>
        <v>1053</v>
      </c>
      <c r="U357" s="1112">
        <f>($C357*0.18)+$C357</f>
        <v>1062</v>
      </c>
      <c r="V357" s="1112">
        <f>($C357*0.19)+$C357</f>
        <v>1071</v>
      </c>
      <c r="W357" s="1112">
        <f>($C357*0.2)+$C357</f>
        <v>1080</v>
      </c>
      <c r="X357" s="1112">
        <f>($C357*0.21)+$C357</f>
        <v>1089</v>
      </c>
      <c r="Y357" s="1112">
        <f>($C357*0.22)+$C357</f>
        <v>1098</v>
      </c>
      <c r="Z357" s="1112">
        <f>($C357*0.23)+$C357</f>
        <v>1107</v>
      </c>
      <c r="AA357" s="1112">
        <f>($C357*0.24)+$C357</f>
        <v>1116</v>
      </c>
      <c r="AB357" s="1112">
        <f>($C357*0.25)+$C357</f>
        <v>1125</v>
      </c>
      <c r="AC357" s="1112">
        <f>($C357*0.26)+$C357</f>
        <v>1134</v>
      </c>
      <c r="AD357" s="1112">
        <f>($C357*0.27)+$C357</f>
        <v>1143</v>
      </c>
      <c r="AE357" s="1112">
        <f>($C357*0.28)+$C357</f>
        <v>1152</v>
      </c>
      <c r="AF357" s="1112">
        <f>($C357*0.29)+$C357</f>
        <v>1161</v>
      </c>
      <c r="AG357" s="1112">
        <f>($C357*0.3)+$C357</f>
        <v>1170</v>
      </c>
    </row>
    <row r="358" spans="1:33" ht="15">
      <c r="A358" s="1117" t="s">
        <v>54255</v>
      </c>
      <c r="B358" s="916" t="s">
        <v>54256</v>
      </c>
      <c r="C358" s="931">
        <v>800</v>
      </c>
      <c r="D358" s="1112">
        <f>($C358*0.01)+$C358</f>
        <v>808</v>
      </c>
      <c r="E358" s="1112">
        <f>($C358*0.02)+$C358</f>
        <v>816</v>
      </c>
      <c r="F358" s="1112">
        <f>($C358*0.03)+$C358</f>
        <v>824</v>
      </c>
      <c r="G358" s="1112">
        <f>($C358*0.04)+$C358</f>
        <v>832</v>
      </c>
      <c r="H358" s="1112">
        <f>($C358*0.05)+$C358</f>
        <v>840</v>
      </c>
      <c r="I358" s="1112">
        <f>($C358*0.06)+$C358</f>
        <v>848</v>
      </c>
      <c r="J358" s="1112">
        <f>($C358*0.07)+$C358</f>
        <v>856</v>
      </c>
      <c r="K358" s="1112">
        <f>($C358*0.08)+$C358</f>
        <v>864</v>
      </c>
      <c r="L358" s="1112">
        <f>($C358*0.09)+$C358</f>
        <v>872</v>
      </c>
      <c r="M358" s="1112">
        <f>($C358*0.1)+$C358</f>
        <v>880</v>
      </c>
      <c r="N358" s="1112">
        <f>($C358*0.11)+$C358</f>
        <v>888</v>
      </c>
      <c r="O358" s="1112">
        <f>($C358*0.12)+$C358</f>
        <v>896</v>
      </c>
      <c r="P358" s="1112">
        <f>($C358*0.13)+$C358</f>
        <v>904</v>
      </c>
      <c r="Q358" s="1112">
        <f>($C358*0.14)+$C358</f>
        <v>912</v>
      </c>
      <c r="R358" s="1112">
        <f>($C358*0.15)+$C358</f>
        <v>920</v>
      </c>
      <c r="S358" s="1112">
        <f>($C358*0.16)+$C358</f>
        <v>928</v>
      </c>
      <c r="T358" s="1112">
        <f>($C358*0.17)+$C358</f>
        <v>936</v>
      </c>
      <c r="U358" s="1112">
        <f>($C358*0.18)+$C358</f>
        <v>944</v>
      </c>
      <c r="V358" s="1112">
        <f>($C358*0.19)+$C358</f>
        <v>952</v>
      </c>
      <c r="W358" s="1112">
        <f>($C358*0.2)+$C358</f>
        <v>960</v>
      </c>
      <c r="X358" s="1112">
        <f>($C358*0.21)+$C358</f>
        <v>968</v>
      </c>
      <c r="Y358" s="1112">
        <f>($C358*0.22)+$C358</f>
        <v>976</v>
      </c>
      <c r="Z358" s="1112">
        <f>($C358*0.23)+$C358</f>
        <v>984</v>
      </c>
      <c r="AA358" s="1112">
        <f>($C358*0.24)+$C358</f>
        <v>992</v>
      </c>
      <c r="AB358" s="1112">
        <f>($C358*0.25)+$C358</f>
        <v>1000</v>
      </c>
      <c r="AC358" s="1112">
        <f>($C358*0.26)+$C358</f>
        <v>1008</v>
      </c>
      <c r="AD358" s="1112">
        <f>($C358*0.27)+$C358</f>
        <v>1016</v>
      </c>
      <c r="AE358" s="1112">
        <f>($C358*0.28)+$C358</f>
        <v>1024</v>
      </c>
      <c r="AF358" s="1112">
        <f>($C358*0.29)+$C358</f>
        <v>1032</v>
      </c>
      <c r="AG358" s="1112">
        <f>($C358*0.3)+$C358</f>
        <v>1040</v>
      </c>
    </row>
    <row r="359" spans="1:33" ht="15">
      <c r="A359" s="1117" t="s">
        <v>15201</v>
      </c>
      <c r="B359" s="916" t="s">
        <v>54257</v>
      </c>
      <c r="C359" s="931">
        <v>900</v>
      </c>
      <c r="D359" s="1112">
        <f>($C359*0.01)+$C359</f>
        <v>909</v>
      </c>
      <c r="E359" s="1112">
        <f>($C359*0.02)+$C359</f>
        <v>918</v>
      </c>
      <c r="F359" s="1112">
        <f>($C359*0.03)+$C359</f>
        <v>927</v>
      </c>
      <c r="G359" s="1112">
        <f>($C359*0.04)+$C359</f>
        <v>936</v>
      </c>
      <c r="H359" s="1112">
        <f>($C359*0.05)+$C359</f>
        <v>945</v>
      </c>
      <c r="I359" s="1112">
        <f>($C359*0.06)+$C359</f>
        <v>954</v>
      </c>
      <c r="J359" s="1112">
        <f>($C359*0.07)+$C359</f>
        <v>963</v>
      </c>
      <c r="K359" s="1112">
        <f>($C359*0.08)+$C359</f>
        <v>972</v>
      </c>
      <c r="L359" s="1112">
        <f>($C359*0.09)+$C359</f>
        <v>981</v>
      </c>
      <c r="M359" s="1112">
        <f>($C359*0.1)+$C359</f>
        <v>990</v>
      </c>
      <c r="N359" s="1112">
        <f>($C359*0.11)+$C359</f>
        <v>999</v>
      </c>
      <c r="O359" s="1112">
        <f>($C359*0.12)+$C359</f>
        <v>1008</v>
      </c>
      <c r="P359" s="1112">
        <f>($C359*0.13)+$C359</f>
        <v>1017</v>
      </c>
      <c r="Q359" s="1112">
        <f>($C359*0.14)+$C359</f>
        <v>1026</v>
      </c>
      <c r="R359" s="1112">
        <f>($C359*0.15)+$C359</f>
        <v>1035</v>
      </c>
      <c r="S359" s="1112">
        <f>($C359*0.16)+$C359</f>
        <v>1044</v>
      </c>
      <c r="T359" s="1112">
        <f>($C359*0.17)+$C359</f>
        <v>1053</v>
      </c>
      <c r="U359" s="1112">
        <f>($C359*0.18)+$C359</f>
        <v>1062</v>
      </c>
      <c r="V359" s="1112">
        <f>($C359*0.19)+$C359</f>
        <v>1071</v>
      </c>
      <c r="W359" s="1112">
        <f>($C359*0.2)+$C359</f>
        <v>1080</v>
      </c>
      <c r="X359" s="1112">
        <f>($C359*0.21)+$C359</f>
        <v>1089</v>
      </c>
      <c r="Y359" s="1112">
        <f>($C359*0.22)+$C359</f>
        <v>1098</v>
      </c>
      <c r="Z359" s="1112">
        <f>($C359*0.23)+$C359</f>
        <v>1107</v>
      </c>
      <c r="AA359" s="1112">
        <f>($C359*0.24)+$C359</f>
        <v>1116</v>
      </c>
      <c r="AB359" s="1112">
        <f>($C359*0.25)+$C359</f>
        <v>1125</v>
      </c>
      <c r="AC359" s="1112">
        <f>($C359*0.26)+$C359</f>
        <v>1134</v>
      </c>
      <c r="AD359" s="1112">
        <f>($C359*0.27)+$C359</f>
        <v>1143</v>
      </c>
      <c r="AE359" s="1112">
        <f>($C359*0.28)+$C359</f>
        <v>1152</v>
      </c>
      <c r="AF359" s="1112">
        <f>($C359*0.29)+$C359</f>
        <v>1161</v>
      </c>
      <c r="AG359" s="1112">
        <f>($C359*0.3)+$C359</f>
        <v>1170</v>
      </c>
    </row>
    <row r="360" spans="1:33" ht="45">
      <c r="A360" s="929" t="s">
        <v>54239</v>
      </c>
      <c r="B360" s="930" t="s">
        <v>54240</v>
      </c>
      <c r="C360" s="931">
        <v>2000</v>
      </c>
      <c r="D360" s="1112">
        <f>($C360*0.01)+$C360</f>
        <v>2020</v>
      </c>
      <c r="E360" s="1112">
        <f>($C360*0.02)+$C360</f>
        <v>2040</v>
      </c>
      <c r="F360" s="1112">
        <f>($C360*0.03)+$C360</f>
        <v>2060</v>
      </c>
      <c r="G360" s="1112">
        <f>($C360*0.04)+$C360</f>
        <v>2080</v>
      </c>
      <c r="H360" s="1112">
        <f>($C360*0.05)+$C360</f>
        <v>2100</v>
      </c>
      <c r="I360" s="1112">
        <f>($C360*0.06)+$C360</f>
        <v>2120</v>
      </c>
      <c r="J360" s="1112">
        <f>($C360*0.07)+$C360</f>
        <v>2140</v>
      </c>
      <c r="K360" s="1112">
        <f>($C360*0.08)+$C360</f>
        <v>2160</v>
      </c>
      <c r="L360" s="1112">
        <f>($C360*0.09)+$C360</f>
        <v>2180</v>
      </c>
      <c r="M360" s="1112">
        <f>($C360*0.1)+$C360</f>
        <v>2200</v>
      </c>
      <c r="N360" s="1112">
        <f>($C360*0.11)+$C360</f>
        <v>2220</v>
      </c>
      <c r="O360" s="1112">
        <f>($C360*0.12)+$C360</f>
        <v>2240</v>
      </c>
      <c r="P360" s="1112">
        <f>($C360*0.13)+$C360</f>
        <v>2260</v>
      </c>
      <c r="Q360" s="1112">
        <f>($C360*0.14)+$C360</f>
        <v>2280</v>
      </c>
      <c r="R360" s="1112">
        <f>($C360*0.15)+$C360</f>
        <v>2300</v>
      </c>
      <c r="S360" s="1112">
        <f>($C360*0.16)+$C360</f>
        <v>2320</v>
      </c>
      <c r="T360" s="1112">
        <f>($C360*0.17)+$C360</f>
        <v>2340</v>
      </c>
      <c r="U360" s="1112">
        <f>($C360*0.18)+$C360</f>
        <v>2360</v>
      </c>
      <c r="V360" s="1112">
        <f>($C360*0.19)+$C360</f>
        <v>2380</v>
      </c>
      <c r="W360" s="1112">
        <f>($C360*0.2)+$C360</f>
        <v>2400</v>
      </c>
      <c r="X360" s="1112">
        <f>($C360*0.21)+$C360</f>
        <v>2420</v>
      </c>
      <c r="Y360" s="1112">
        <f>($C360*0.22)+$C360</f>
        <v>2440</v>
      </c>
      <c r="Z360" s="1112">
        <f>($C360*0.23)+$C360</f>
        <v>2460</v>
      </c>
      <c r="AA360" s="1112">
        <f>($C360*0.24)+$C360</f>
        <v>2480</v>
      </c>
      <c r="AB360" s="1112">
        <f>($C360*0.25)+$C360</f>
        <v>2500</v>
      </c>
      <c r="AC360" s="1112">
        <f>($C360*0.26)+$C360</f>
        <v>2520</v>
      </c>
      <c r="AD360" s="1112">
        <f>($C360*0.27)+$C360</f>
        <v>2540</v>
      </c>
      <c r="AE360" s="1112">
        <f>($C360*0.28)+$C360</f>
        <v>2560</v>
      </c>
      <c r="AF360" s="1112">
        <f>($C360*0.29)+$C360</f>
        <v>2580</v>
      </c>
      <c r="AG360" s="1112">
        <f>($C360*0.3)+$C360</f>
        <v>2600</v>
      </c>
    </row>
    <row r="361" spans="1:33" ht="60">
      <c r="A361" s="929" t="s">
        <v>54244</v>
      </c>
      <c r="B361" s="930" t="s">
        <v>54245</v>
      </c>
      <c r="C361" s="931">
        <v>2250</v>
      </c>
      <c r="D361" s="1112">
        <f>($C361*0.01)+$C361</f>
        <v>2272.5</v>
      </c>
      <c r="E361" s="1112">
        <f>($C361*0.02)+$C361</f>
        <v>2295</v>
      </c>
      <c r="F361" s="1112">
        <f>($C361*0.03)+$C361</f>
        <v>2317.5</v>
      </c>
      <c r="G361" s="1112">
        <f>($C361*0.04)+$C361</f>
        <v>2340</v>
      </c>
      <c r="H361" s="1112">
        <f>($C361*0.05)+$C361</f>
        <v>2362.5</v>
      </c>
      <c r="I361" s="1112">
        <f>($C361*0.06)+$C361</f>
        <v>2385</v>
      </c>
      <c r="J361" s="1112">
        <f>($C361*0.07)+$C361</f>
        <v>2407.5</v>
      </c>
      <c r="K361" s="1112">
        <f>($C361*0.08)+$C361</f>
        <v>2430</v>
      </c>
      <c r="L361" s="1112">
        <f>($C361*0.09)+$C361</f>
        <v>2452.5</v>
      </c>
      <c r="M361" s="1112">
        <f>($C361*0.1)+$C361</f>
        <v>2475</v>
      </c>
      <c r="N361" s="1112">
        <f>($C361*0.11)+$C361</f>
        <v>2497.5</v>
      </c>
      <c r="O361" s="1112">
        <f>($C361*0.12)+$C361</f>
        <v>2520</v>
      </c>
      <c r="P361" s="1112">
        <f>($C361*0.13)+$C361</f>
        <v>2542.5</v>
      </c>
      <c r="Q361" s="1112">
        <f>($C361*0.14)+$C361</f>
        <v>2565</v>
      </c>
      <c r="R361" s="1112">
        <f>($C361*0.15)+$C361</f>
        <v>2587.5</v>
      </c>
      <c r="S361" s="1112">
        <f>($C361*0.16)+$C361</f>
        <v>2610</v>
      </c>
      <c r="T361" s="1112">
        <f>($C361*0.17)+$C361</f>
        <v>2632.5</v>
      </c>
      <c r="U361" s="1112">
        <f>($C361*0.18)+$C361</f>
        <v>2655</v>
      </c>
      <c r="V361" s="1112">
        <f>($C361*0.19)+$C361</f>
        <v>2677.5</v>
      </c>
      <c r="W361" s="1112">
        <f>($C361*0.2)+$C361</f>
        <v>2700</v>
      </c>
      <c r="X361" s="1112">
        <f>($C361*0.21)+$C361</f>
        <v>2722.5</v>
      </c>
      <c r="Y361" s="1112">
        <f>($C361*0.22)+$C361</f>
        <v>2745</v>
      </c>
      <c r="Z361" s="1112">
        <f>($C361*0.23)+$C361</f>
        <v>2767.5</v>
      </c>
      <c r="AA361" s="1112">
        <f>($C361*0.24)+$C361</f>
        <v>2790</v>
      </c>
      <c r="AB361" s="1112">
        <f>($C361*0.25)+$C361</f>
        <v>2812.5</v>
      </c>
      <c r="AC361" s="1112">
        <f>($C361*0.26)+$C361</f>
        <v>2835</v>
      </c>
      <c r="AD361" s="1112">
        <f>($C361*0.27)+$C361</f>
        <v>2857.5</v>
      </c>
      <c r="AE361" s="1112">
        <f>($C361*0.28)+$C361</f>
        <v>2880</v>
      </c>
      <c r="AF361" s="1112">
        <f>($C361*0.29)+$C361</f>
        <v>2902.5</v>
      </c>
      <c r="AG361" s="1112">
        <f>($C361*0.3)+$C361</f>
        <v>2925</v>
      </c>
    </row>
    <row r="362" spans="1:33" ht="45">
      <c r="A362" s="929" t="s">
        <v>54241</v>
      </c>
      <c r="B362" s="930" t="s">
        <v>54248</v>
      </c>
      <c r="C362" s="931">
        <v>3000</v>
      </c>
      <c r="D362" s="1112">
        <f>($C362*0.01)+$C362</f>
        <v>3030</v>
      </c>
      <c r="E362" s="1112">
        <f>($C362*0.02)+$C362</f>
        <v>3060</v>
      </c>
      <c r="F362" s="1112">
        <f>($C362*0.03)+$C362</f>
        <v>3090</v>
      </c>
      <c r="G362" s="1112">
        <f>($C362*0.04)+$C362</f>
        <v>3120</v>
      </c>
      <c r="H362" s="1112">
        <f>($C362*0.05)+$C362</f>
        <v>3150</v>
      </c>
      <c r="I362" s="1112">
        <f>($C362*0.06)+$C362</f>
        <v>3180</v>
      </c>
      <c r="J362" s="1112">
        <f>($C362*0.07)+$C362</f>
        <v>3210</v>
      </c>
      <c r="K362" s="1112">
        <f>($C362*0.08)+$C362</f>
        <v>3240</v>
      </c>
      <c r="L362" s="1112">
        <f>($C362*0.09)+$C362</f>
        <v>3270</v>
      </c>
      <c r="M362" s="1112">
        <f>($C362*0.1)+$C362</f>
        <v>3300</v>
      </c>
      <c r="N362" s="1112">
        <f>($C362*0.11)+$C362</f>
        <v>3330</v>
      </c>
      <c r="O362" s="1112">
        <f>($C362*0.12)+$C362</f>
        <v>3360</v>
      </c>
      <c r="P362" s="1112">
        <f>($C362*0.13)+$C362</f>
        <v>3390</v>
      </c>
      <c r="Q362" s="1112">
        <f>($C362*0.14)+$C362</f>
        <v>3420</v>
      </c>
      <c r="R362" s="1112">
        <f>($C362*0.15)+$C362</f>
        <v>3450</v>
      </c>
      <c r="S362" s="1112">
        <f>($C362*0.16)+$C362</f>
        <v>3480</v>
      </c>
      <c r="T362" s="1112">
        <f>($C362*0.17)+$C362</f>
        <v>3510</v>
      </c>
      <c r="U362" s="1112">
        <f>($C362*0.18)+$C362</f>
        <v>3540</v>
      </c>
      <c r="V362" s="1112">
        <f>($C362*0.19)+$C362</f>
        <v>3570</v>
      </c>
      <c r="W362" s="1112">
        <f>($C362*0.2)+$C362</f>
        <v>3600</v>
      </c>
      <c r="X362" s="1112">
        <f>($C362*0.21)+$C362</f>
        <v>3630</v>
      </c>
      <c r="Y362" s="1112">
        <f>($C362*0.22)+$C362</f>
        <v>3660</v>
      </c>
      <c r="Z362" s="1112">
        <f>($C362*0.23)+$C362</f>
        <v>3690</v>
      </c>
      <c r="AA362" s="1112">
        <f>($C362*0.24)+$C362</f>
        <v>3720</v>
      </c>
      <c r="AB362" s="1112">
        <f>($C362*0.25)+$C362</f>
        <v>3750</v>
      </c>
      <c r="AC362" s="1112">
        <f>($C362*0.26)+$C362</f>
        <v>3780</v>
      </c>
      <c r="AD362" s="1112">
        <f>($C362*0.27)+$C362</f>
        <v>3810</v>
      </c>
      <c r="AE362" s="1112">
        <f>($C362*0.28)+$C362</f>
        <v>3840</v>
      </c>
      <c r="AF362" s="1112">
        <f>($C362*0.29)+$C362</f>
        <v>3870</v>
      </c>
      <c r="AG362" s="1112">
        <f>($C362*0.3)+$C362</f>
        <v>3900</v>
      </c>
    </row>
    <row r="363" spans="1:33" ht="60">
      <c r="A363" s="929" t="s">
        <v>54249</v>
      </c>
      <c r="B363" s="930" t="s">
        <v>54250</v>
      </c>
      <c r="C363" s="931">
        <v>3500</v>
      </c>
      <c r="D363" s="1112">
        <f>($C363*0.01)+$C363</f>
        <v>3535</v>
      </c>
      <c r="E363" s="1112">
        <f>($C363*0.02)+$C363</f>
        <v>3570</v>
      </c>
      <c r="F363" s="1112">
        <f>($C363*0.03)+$C363</f>
        <v>3605</v>
      </c>
      <c r="G363" s="1112">
        <f>($C363*0.04)+$C363</f>
        <v>3640</v>
      </c>
      <c r="H363" s="1112">
        <f>($C363*0.05)+$C363</f>
        <v>3675</v>
      </c>
      <c r="I363" s="1112">
        <f>($C363*0.06)+$C363</f>
        <v>3710</v>
      </c>
      <c r="J363" s="1112">
        <f>($C363*0.07)+$C363</f>
        <v>3745</v>
      </c>
      <c r="K363" s="1112">
        <f>($C363*0.08)+$C363</f>
        <v>3780</v>
      </c>
      <c r="L363" s="1112">
        <f>($C363*0.09)+$C363</f>
        <v>3815</v>
      </c>
      <c r="M363" s="1112">
        <f>($C363*0.1)+$C363</f>
        <v>3850</v>
      </c>
      <c r="N363" s="1112">
        <f>($C363*0.11)+$C363</f>
        <v>3885</v>
      </c>
      <c r="O363" s="1112">
        <f>($C363*0.12)+$C363</f>
        <v>3920</v>
      </c>
      <c r="P363" s="1112">
        <f>($C363*0.13)+$C363</f>
        <v>3955</v>
      </c>
      <c r="Q363" s="1112">
        <f>($C363*0.14)+$C363</f>
        <v>3990</v>
      </c>
      <c r="R363" s="1112">
        <f>($C363*0.15)+$C363</f>
        <v>4025</v>
      </c>
      <c r="S363" s="1112">
        <f>($C363*0.16)+$C363</f>
        <v>4060</v>
      </c>
      <c r="T363" s="1112">
        <f>($C363*0.17)+$C363</f>
        <v>4095</v>
      </c>
      <c r="U363" s="1112">
        <f>($C363*0.18)+$C363</f>
        <v>4130</v>
      </c>
      <c r="V363" s="1112">
        <f>($C363*0.19)+$C363</f>
        <v>4165</v>
      </c>
      <c r="W363" s="1112">
        <f>($C363*0.2)+$C363</f>
        <v>4200</v>
      </c>
      <c r="X363" s="1112">
        <f>($C363*0.21)+$C363</f>
        <v>4235</v>
      </c>
      <c r="Y363" s="1112">
        <f>($C363*0.22)+$C363</f>
        <v>4270</v>
      </c>
      <c r="Z363" s="1112">
        <f>($C363*0.23)+$C363</f>
        <v>4305</v>
      </c>
      <c r="AA363" s="1112">
        <f>($C363*0.24)+$C363</f>
        <v>4340</v>
      </c>
      <c r="AB363" s="1112">
        <f>($C363*0.25)+$C363</f>
        <v>4375</v>
      </c>
      <c r="AC363" s="1112">
        <f>($C363*0.26)+$C363</f>
        <v>4410</v>
      </c>
      <c r="AD363" s="1112">
        <f>($C363*0.27)+$C363</f>
        <v>4445</v>
      </c>
      <c r="AE363" s="1112">
        <f>($C363*0.28)+$C363</f>
        <v>4480</v>
      </c>
      <c r="AF363" s="1112">
        <f>($C363*0.29)+$C363</f>
        <v>4515</v>
      </c>
      <c r="AG363" s="1112">
        <f>($C363*0.3)+$C363</f>
        <v>4550</v>
      </c>
    </row>
    <row r="364" spans="1:33" ht="60">
      <c r="A364" s="929" t="s">
        <v>54237</v>
      </c>
      <c r="B364" s="930" t="s">
        <v>54238</v>
      </c>
      <c r="C364" s="931">
        <v>3500</v>
      </c>
      <c r="D364" s="1112">
        <f>($C364*0.01)+$C364</f>
        <v>3535</v>
      </c>
      <c r="E364" s="1112">
        <f>($C364*0.02)+$C364</f>
        <v>3570</v>
      </c>
      <c r="F364" s="1112">
        <f>($C364*0.03)+$C364</f>
        <v>3605</v>
      </c>
      <c r="G364" s="1112">
        <f>($C364*0.04)+$C364</f>
        <v>3640</v>
      </c>
      <c r="H364" s="1112">
        <f>($C364*0.05)+$C364</f>
        <v>3675</v>
      </c>
      <c r="I364" s="1112">
        <f>($C364*0.06)+$C364</f>
        <v>3710</v>
      </c>
      <c r="J364" s="1112">
        <f>($C364*0.07)+$C364</f>
        <v>3745</v>
      </c>
      <c r="K364" s="1112">
        <f>($C364*0.08)+$C364</f>
        <v>3780</v>
      </c>
      <c r="L364" s="1112">
        <f>($C364*0.09)+$C364</f>
        <v>3815</v>
      </c>
      <c r="M364" s="1112">
        <f>($C364*0.1)+$C364</f>
        <v>3850</v>
      </c>
      <c r="N364" s="1112">
        <f>($C364*0.11)+$C364</f>
        <v>3885</v>
      </c>
      <c r="O364" s="1112">
        <f>($C364*0.12)+$C364</f>
        <v>3920</v>
      </c>
      <c r="P364" s="1112">
        <f>($C364*0.13)+$C364</f>
        <v>3955</v>
      </c>
      <c r="Q364" s="1112">
        <f>($C364*0.14)+$C364</f>
        <v>3990</v>
      </c>
      <c r="R364" s="1112">
        <f>($C364*0.15)+$C364</f>
        <v>4025</v>
      </c>
      <c r="S364" s="1112">
        <f>($C364*0.16)+$C364</f>
        <v>4060</v>
      </c>
      <c r="T364" s="1112">
        <f>($C364*0.17)+$C364</f>
        <v>4095</v>
      </c>
      <c r="U364" s="1112">
        <f>($C364*0.18)+$C364</f>
        <v>4130</v>
      </c>
      <c r="V364" s="1112">
        <f>($C364*0.19)+$C364</f>
        <v>4165</v>
      </c>
      <c r="W364" s="1112">
        <f>($C364*0.2)+$C364</f>
        <v>4200</v>
      </c>
      <c r="X364" s="1112">
        <f>($C364*0.21)+$C364</f>
        <v>4235</v>
      </c>
      <c r="Y364" s="1112">
        <f>($C364*0.22)+$C364</f>
        <v>4270</v>
      </c>
      <c r="Z364" s="1112">
        <f>($C364*0.23)+$C364</f>
        <v>4305</v>
      </c>
      <c r="AA364" s="1112">
        <f>($C364*0.24)+$C364</f>
        <v>4340</v>
      </c>
      <c r="AB364" s="1112">
        <f>($C364*0.25)+$C364</f>
        <v>4375</v>
      </c>
      <c r="AC364" s="1112">
        <f>($C364*0.26)+$C364</f>
        <v>4410</v>
      </c>
      <c r="AD364" s="1112">
        <f>($C364*0.27)+$C364</f>
        <v>4445</v>
      </c>
      <c r="AE364" s="1112">
        <f>($C364*0.28)+$C364</f>
        <v>4480</v>
      </c>
      <c r="AF364" s="1112">
        <f>($C364*0.29)+$C364</f>
        <v>4515</v>
      </c>
      <c r="AG364" s="1112">
        <f>($C364*0.3)+$C364</f>
        <v>4550</v>
      </c>
    </row>
    <row r="365" spans="1:33" ht="15">
      <c r="A365" s="929"/>
      <c r="B365" s="930"/>
      <c r="C365" s="931"/>
      <c r="D365" s="1112"/>
      <c r="E365" s="1112"/>
      <c r="F365" s="1112"/>
      <c r="G365" s="1112"/>
      <c r="H365" s="1112"/>
      <c r="I365" s="1112"/>
      <c r="J365" s="1112"/>
      <c r="K365" s="1112"/>
      <c r="L365" s="1112"/>
      <c r="M365" s="1112"/>
      <c r="N365" s="1112"/>
      <c r="O365" s="1112"/>
      <c r="P365" s="1112"/>
      <c r="Q365" s="1112"/>
      <c r="R365" s="1112"/>
      <c r="S365" s="1112"/>
      <c r="T365" s="1112"/>
      <c r="U365" s="1112"/>
      <c r="V365" s="1112"/>
      <c r="W365" s="1112"/>
      <c r="X365" s="1112"/>
      <c r="Y365" s="1112"/>
      <c r="Z365" s="1112"/>
      <c r="AA365" s="1112"/>
      <c r="AB365" s="1112"/>
      <c r="AC365" s="1112"/>
      <c r="AD365" s="1112"/>
      <c r="AE365" s="1112"/>
      <c r="AF365" s="1112"/>
      <c r="AG365" s="1112"/>
    </row>
    <row r="366" spans="1:33" ht="20">
      <c r="A366" s="15"/>
      <c r="B366" s="11" t="s">
        <v>54258</v>
      </c>
      <c r="C366" s="16"/>
      <c r="D366" s="1112"/>
      <c r="E366" s="1112"/>
      <c r="F366" s="1112"/>
      <c r="G366" s="1112"/>
      <c r="H366" s="1112"/>
      <c r="I366" s="1112"/>
      <c r="J366" s="1112"/>
      <c r="K366" s="1112"/>
      <c r="L366" s="1112"/>
      <c r="M366" s="1112"/>
      <c r="N366" s="1112"/>
      <c r="O366" s="1112"/>
      <c r="P366" s="1112"/>
      <c r="Q366" s="1112"/>
      <c r="R366" s="1112"/>
      <c r="S366" s="1112"/>
      <c r="T366" s="1112"/>
      <c r="U366" s="1112"/>
      <c r="V366" s="1112"/>
      <c r="W366" s="1112"/>
      <c r="X366" s="1112"/>
      <c r="Y366" s="1112"/>
      <c r="Z366" s="1112"/>
      <c r="AA366" s="1112"/>
      <c r="AB366" s="1112"/>
      <c r="AC366" s="1112"/>
      <c r="AD366" s="1112"/>
      <c r="AE366" s="1112"/>
      <c r="AF366" s="1112"/>
      <c r="AG366" s="1112"/>
    </row>
    <row r="367" spans="1:33" ht="15">
      <c r="A367" s="1116" t="s">
        <v>25700</v>
      </c>
      <c r="B367" s="1116" t="s">
        <v>53870</v>
      </c>
      <c r="C367" s="1115">
        <v>750</v>
      </c>
      <c r="D367" s="1112">
        <f>($C367*0.01)+$C367</f>
        <v>757.5</v>
      </c>
      <c r="E367" s="1112">
        <f>($C367*0.02)+$C367</f>
        <v>765</v>
      </c>
      <c r="F367" s="1112">
        <f>($C367*0.03)+$C367</f>
        <v>772.5</v>
      </c>
      <c r="G367" s="1112">
        <f>($C367*0.04)+$C367</f>
        <v>780</v>
      </c>
      <c r="H367" s="1112">
        <f>($C367*0.05)+$C367</f>
        <v>787.5</v>
      </c>
      <c r="I367" s="1112">
        <f>($C367*0.06)+$C367</f>
        <v>795</v>
      </c>
      <c r="J367" s="1112">
        <f>($C367*0.07)+$C367</f>
        <v>802.5</v>
      </c>
      <c r="K367" s="1112">
        <f>($C367*0.08)+$C367</f>
        <v>810</v>
      </c>
      <c r="L367" s="1112">
        <f>($C367*0.09)+$C367</f>
        <v>817.5</v>
      </c>
      <c r="M367" s="1112">
        <f>($C367*0.1)+$C367</f>
        <v>825</v>
      </c>
      <c r="N367" s="1112">
        <f>($C367*0.11)+$C367</f>
        <v>832.5</v>
      </c>
      <c r="O367" s="1112">
        <f>($C367*0.12)+$C367</f>
        <v>840</v>
      </c>
      <c r="P367" s="1112">
        <f>($C367*0.13)+$C367</f>
        <v>847.5</v>
      </c>
      <c r="Q367" s="1112">
        <f>($C367*0.14)+$C367</f>
        <v>855</v>
      </c>
      <c r="R367" s="1112">
        <f>($C367*0.15)+$C367</f>
        <v>862.5</v>
      </c>
      <c r="S367" s="1112">
        <f>($C367*0.16)+$C367</f>
        <v>870</v>
      </c>
      <c r="T367" s="1112">
        <f>($C367*0.17)+$C367</f>
        <v>877.5</v>
      </c>
      <c r="U367" s="1112">
        <f>($C367*0.18)+$C367</f>
        <v>885</v>
      </c>
      <c r="V367" s="1112">
        <f>($C367*0.19)+$C367</f>
        <v>892.5</v>
      </c>
      <c r="W367" s="1112">
        <f>($C367*0.2)+$C367</f>
        <v>900</v>
      </c>
      <c r="X367" s="1112">
        <f>($C367*0.21)+$C367</f>
        <v>907.5</v>
      </c>
      <c r="Y367" s="1112">
        <f>($C367*0.22)+$C367</f>
        <v>915</v>
      </c>
      <c r="Z367" s="1112">
        <f>($C367*0.23)+$C367</f>
        <v>922.5</v>
      </c>
      <c r="AA367" s="1112">
        <f>($C367*0.24)+$C367</f>
        <v>930</v>
      </c>
      <c r="AB367" s="1112">
        <f>($C367*0.25)+$C367</f>
        <v>937.5</v>
      </c>
      <c r="AC367" s="1112">
        <f>($C367*0.26)+$C367</f>
        <v>945</v>
      </c>
      <c r="AD367" s="1112">
        <f>($C367*0.27)+$C367</f>
        <v>952.5</v>
      </c>
      <c r="AE367" s="1112">
        <f>($C367*0.28)+$C367</f>
        <v>960</v>
      </c>
      <c r="AF367" s="1112">
        <f>($C367*0.29)+$C367</f>
        <v>967.5</v>
      </c>
      <c r="AG367" s="1112">
        <f>($C367*0.3)+$C367</f>
        <v>975</v>
      </c>
    </row>
    <row r="368" spans="1:33" ht="15">
      <c r="A368" s="1114" t="s">
        <v>25714</v>
      </c>
      <c r="B368" s="1114" t="s">
        <v>54259</v>
      </c>
      <c r="C368" s="1113">
        <v>750</v>
      </c>
      <c r="D368" s="1112">
        <f>($C368*0.01)+$C368</f>
        <v>757.5</v>
      </c>
      <c r="E368" s="1112">
        <f>($C368*0.02)+$C368</f>
        <v>765</v>
      </c>
      <c r="F368" s="1112">
        <f>($C368*0.03)+$C368</f>
        <v>772.5</v>
      </c>
      <c r="G368" s="1112">
        <f>($C368*0.04)+$C368</f>
        <v>780</v>
      </c>
      <c r="H368" s="1112">
        <f>($C368*0.05)+$C368</f>
        <v>787.5</v>
      </c>
      <c r="I368" s="1112">
        <f>($C368*0.06)+$C368</f>
        <v>795</v>
      </c>
      <c r="J368" s="1112">
        <f>($C368*0.07)+$C368</f>
        <v>802.5</v>
      </c>
      <c r="K368" s="1112">
        <f>($C368*0.08)+$C368</f>
        <v>810</v>
      </c>
      <c r="L368" s="1112">
        <f>($C368*0.09)+$C368</f>
        <v>817.5</v>
      </c>
      <c r="M368" s="1112">
        <f>($C368*0.1)+$C368</f>
        <v>825</v>
      </c>
      <c r="N368" s="1112">
        <f>($C368*0.11)+$C368</f>
        <v>832.5</v>
      </c>
      <c r="O368" s="1112">
        <f>($C368*0.12)+$C368</f>
        <v>840</v>
      </c>
      <c r="P368" s="1112">
        <f>($C368*0.13)+$C368</f>
        <v>847.5</v>
      </c>
      <c r="Q368" s="1112">
        <f>($C368*0.14)+$C368</f>
        <v>855</v>
      </c>
      <c r="R368" s="1112">
        <f>($C368*0.15)+$C368</f>
        <v>862.5</v>
      </c>
      <c r="S368" s="1112">
        <f>($C368*0.16)+$C368</f>
        <v>870</v>
      </c>
      <c r="T368" s="1112">
        <f>($C368*0.17)+$C368</f>
        <v>877.5</v>
      </c>
      <c r="U368" s="1112">
        <f>($C368*0.18)+$C368</f>
        <v>885</v>
      </c>
      <c r="V368" s="1112">
        <f>($C368*0.19)+$C368</f>
        <v>892.5</v>
      </c>
      <c r="W368" s="1112">
        <f>($C368*0.2)+$C368</f>
        <v>900</v>
      </c>
      <c r="X368" s="1112">
        <f>($C368*0.21)+$C368</f>
        <v>907.5</v>
      </c>
      <c r="Y368" s="1112">
        <f>($C368*0.22)+$C368</f>
        <v>915</v>
      </c>
      <c r="Z368" s="1112">
        <f>($C368*0.23)+$C368</f>
        <v>922.5</v>
      </c>
      <c r="AA368" s="1112">
        <f>($C368*0.24)+$C368</f>
        <v>930</v>
      </c>
      <c r="AB368" s="1112">
        <f>($C368*0.25)+$C368</f>
        <v>937.5</v>
      </c>
      <c r="AC368" s="1112">
        <f>($C368*0.26)+$C368</f>
        <v>945</v>
      </c>
      <c r="AD368" s="1112">
        <f>($C368*0.27)+$C368</f>
        <v>952.5</v>
      </c>
      <c r="AE368" s="1112">
        <f>($C368*0.28)+$C368</f>
        <v>960</v>
      </c>
      <c r="AF368" s="1112">
        <f>($C368*0.29)+$C368</f>
        <v>967.5</v>
      </c>
      <c r="AG368" s="1112">
        <f>($C368*0.3)+$C368</f>
        <v>975</v>
      </c>
    </row>
    <row r="369" spans="1:33" ht="15">
      <c r="A369" s="7" t="s">
        <v>25720</v>
      </c>
      <c r="B369" s="7" t="s">
        <v>54260</v>
      </c>
      <c r="C369" s="8">
        <v>800</v>
      </c>
      <c r="D369" s="1112">
        <f>($C369*0.01)+$C369</f>
        <v>808</v>
      </c>
      <c r="E369" s="1112">
        <f>($C369*0.02)+$C369</f>
        <v>816</v>
      </c>
      <c r="F369" s="1112">
        <f>($C369*0.03)+$C369</f>
        <v>824</v>
      </c>
      <c r="G369" s="1112">
        <f>($C369*0.04)+$C369</f>
        <v>832</v>
      </c>
      <c r="H369" s="1112">
        <f>($C369*0.05)+$C369</f>
        <v>840</v>
      </c>
      <c r="I369" s="1112">
        <f>($C369*0.06)+$C369</f>
        <v>848</v>
      </c>
      <c r="J369" s="1112">
        <f>($C369*0.07)+$C369</f>
        <v>856</v>
      </c>
      <c r="K369" s="1112">
        <f>($C369*0.08)+$C369</f>
        <v>864</v>
      </c>
      <c r="L369" s="1112">
        <f>($C369*0.09)+$C369</f>
        <v>872</v>
      </c>
      <c r="M369" s="1112">
        <f>($C369*0.1)+$C369</f>
        <v>880</v>
      </c>
      <c r="N369" s="1112">
        <f>($C369*0.11)+$C369</f>
        <v>888</v>
      </c>
      <c r="O369" s="1112">
        <f>($C369*0.12)+$C369</f>
        <v>896</v>
      </c>
      <c r="P369" s="1112">
        <f>($C369*0.13)+$C369</f>
        <v>904</v>
      </c>
      <c r="Q369" s="1112">
        <f>($C369*0.14)+$C369</f>
        <v>912</v>
      </c>
      <c r="R369" s="1112">
        <f>($C369*0.15)+$C369</f>
        <v>920</v>
      </c>
      <c r="S369" s="1112">
        <f>($C369*0.16)+$C369</f>
        <v>928</v>
      </c>
      <c r="T369" s="1112">
        <f>($C369*0.17)+$C369</f>
        <v>936</v>
      </c>
      <c r="U369" s="1112">
        <f>($C369*0.18)+$C369</f>
        <v>944</v>
      </c>
      <c r="V369" s="1112">
        <f>($C369*0.19)+$C369</f>
        <v>952</v>
      </c>
      <c r="W369" s="1112">
        <f>($C369*0.2)+$C369</f>
        <v>960</v>
      </c>
      <c r="X369" s="1112">
        <f>($C369*0.21)+$C369</f>
        <v>968</v>
      </c>
      <c r="Y369" s="1112">
        <f>($C369*0.22)+$C369</f>
        <v>976</v>
      </c>
      <c r="Z369" s="1112">
        <f>($C369*0.23)+$C369</f>
        <v>984</v>
      </c>
      <c r="AA369" s="1112">
        <f>($C369*0.24)+$C369</f>
        <v>992</v>
      </c>
      <c r="AB369" s="1112">
        <f>($C369*0.25)+$C369</f>
        <v>1000</v>
      </c>
      <c r="AC369" s="1112">
        <f>($C369*0.26)+$C369</f>
        <v>1008</v>
      </c>
      <c r="AD369" s="1112">
        <f>($C369*0.27)+$C369</f>
        <v>1016</v>
      </c>
      <c r="AE369" s="1112">
        <f>($C369*0.28)+$C369</f>
        <v>1024</v>
      </c>
      <c r="AF369" s="1112">
        <f>($C369*0.29)+$C369</f>
        <v>1032</v>
      </c>
      <c r="AG369" s="1112">
        <f>($C369*0.3)+$C369</f>
        <v>1040</v>
      </c>
    </row>
    <row r="370" spans="1:33" ht="15">
      <c r="A370" s="7" t="s">
        <v>25686</v>
      </c>
      <c r="B370" s="7" t="s">
        <v>54261</v>
      </c>
      <c r="C370" s="8">
        <v>650</v>
      </c>
      <c r="D370" s="1112">
        <f>($C370*0.01)+$C370</f>
        <v>656.5</v>
      </c>
      <c r="E370" s="1112">
        <f>($C370*0.02)+$C370</f>
        <v>663</v>
      </c>
      <c r="F370" s="1112">
        <f>($C370*0.03)+$C370</f>
        <v>669.5</v>
      </c>
      <c r="G370" s="1112">
        <f>($C370*0.04)+$C370</f>
        <v>676</v>
      </c>
      <c r="H370" s="1112">
        <f>($C370*0.05)+$C370</f>
        <v>682.5</v>
      </c>
      <c r="I370" s="1112">
        <f>($C370*0.06)+$C370</f>
        <v>689</v>
      </c>
      <c r="J370" s="1112">
        <f>($C370*0.07)+$C370</f>
        <v>695.5</v>
      </c>
      <c r="K370" s="1112">
        <f>($C370*0.08)+$C370</f>
        <v>702</v>
      </c>
      <c r="L370" s="1112">
        <f>($C370*0.09)+$C370</f>
        <v>708.5</v>
      </c>
      <c r="M370" s="1112">
        <f>($C370*0.1)+$C370</f>
        <v>715</v>
      </c>
      <c r="N370" s="1112">
        <f>($C370*0.11)+$C370</f>
        <v>721.5</v>
      </c>
      <c r="O370" s="1112">
        <f>($C370*0.12)+$C370</f>
        <v>728</v>
      </c>
      <c r="P370" s="1112">
        <f>($C370*0.13)+$C370</f>
        <v>734.5</v>
      </c>
      <c r="Q370" s="1112">
        <f>($C370*0.14)+$C370</f>
        <v>741</v>
      </c>
      <c r="R370" s="1112">
        <f>($C370*0.15)+$C370</f>
        <v>747.5</v>
      </c>
      <c r="S370" s="1112">
        <f>($C370*0.16)+$C370</f>
        <v>754</v>
      </c>
      <c r="T370" s="1112">
        <f>($C370*0.17)+$C370</f>
        <v>760.5</v>
      </c>
      <c r="U370" s="1112">
        <f>($C370*0.18)+$C370</f>
        <v>767</v>
      </c>
      <c r="V370" s="1112">
        <f>($C370*0.19)+$C370</f>
        <v>773.5</v>
      </c>
      <c r="W370" s="1112">
        <f>($C370*0.2)+$C370</f>
        <v>780</v>
      </c>
      <c r="X370" s="1112">
        <f>($C370*0.21)+$C370</f>
        <v>786.5</v>
      </c>
      <c r="Y370" s="1112">
        <f>($C370*0.22)+$C370</f>
        <v>793</v>
      </c>
      <c r="Z370" s="1112">
        <f>($C370*0.23)+$C370</f>
        <v>799.5</v>
      </c>
      <c r="AA370" s="1112">
        <f>($C370*0.24)+$C370</f>
        <v>806</v>
      </c>
      <c r="AB370" s="1112">
        <f>($C370*0.25)+$C370</f>
        <v>812.5</v>
      </c>
      <c r="AC370" s="1112">
        <f>($C370*0.26)+$C370</f>
        <v>819</v>
      </c>
      <c r="AD370" s="1112">
        <f>($C370*0.27)+$C370</f>
        <v>825.5</v>
      </c>
      <c r="AE370" s="1112">
        <f>($C370*0.28)+$C370</f>
        <v>832</v>
      </c>
      <c r="AF370" s="1112">
        <f>($C370*0.29)+$C370</f>
        <v>838.5</v>
      </c>
      <c r="AG370" s="1112">
        <f>($C370*0.3)+$C370</f>
        <v>845</v>
      </c>
    </row>
    <row r="371" spans="1:33" ht="15">
      <c r="A371" s="4" t="s">
        <v>25630</v>
      </c>
      <c r="B371" s="4" t="s">
        <v>53871</v>
      </c>
      <c r="C371" s="5">
        <v>950</v>
      </c>
      <c r="D371" s="1112">
        <f>($C371*0.01)+$C371</f>
        <v>959.5</v>
      </c>
      <c r="E371" s="1112">
        <f>($C371*0.02)+$C371</f>
        <v>969</v>
      </c>
      <c r="F371" s="1112">
        <f>($C371*0.03)+$C371</f>
        <v>978.5</v>
      </c>
      <c r="G371" s="1112">
        <f>($C371*0.04)+$C371</f>
        <v>988</v>
      </c>
      <c r="H371" s="1112">
        <f>($C371*0.05)+$C371</f>
        <v>997.5</v>
      </c>
      <c r="I371" s="1112">
        <f>($C371*0.06)+$C371</f>
        <v>1007</v>
      </c>
      <c r="J371" s="1112">
        <f>($C371*0.07)+$C371</f>
        <v>1016.5</v>
      </c>
      <c r="K371" s="1112">
        <f>($C371*0.08)+$C371</f>
        <v>1026</v>
      </c>
      <c r="L371" s="1112">
        <f>($C371*0.09)+$C371</f>
        <v>1035.5</v>
      </c>
      <c r="M371" s="1112">
        <f>($C371*0.1)+$C371</f>
        <v>1045</v>
      </c>
      <c r="N371" s="1112">
        <f>($C371*0.11)+$C371</f>
        <v>1054.5</v>
      </c>
      <c r="O371" s="1112">
        <f>($C371*0.12)+$C371</f>
        <v>1064</v>
      </c>
      <c r="P371" s="1112">
        <f>($C371*0.13)+$C371</f>
        <v>1073.5</v>
      </c>
      <c r="Q371" s="1112">
        <f>($C371*0.14)+$C371</f>
        <v>1083</v>
      </c>
      <c r="R371" s="1112">
        <f>($C371*0.15)+$C371</f>
        <v>1092.5</v>
      </c>
      <c r="S371" s="1112">
        <f>($C371*0.16)+$C371</f>
        <v>1102</v>
      </c>
      <c r="T371" s="1112">
        <f>($C371*0.17)+$C371</f>
        <v>1111.5</v>
      </c>
      <c r="U371" s="1112">
        <f>($C371*0.18)+$C371</f>
        <v>1121</v>
      </c>
      <c r="V371" s="1112">
        <f>($C371*0.19)+$C371</f>
        <v>1130.5</v>
      </c>
      <c r="W371" s="1112">
        <f>($C371*0.2)+$C371</f>
        <v>1140</v>
      </c>
      <c r="X371" s="1112">
        <f>($C371*0.21)+$C371</f>
        <v>1149.5</v>
      </c>
      <c r="Y371" s="1112">
        <f>($C371*0.22)+$C371</f>
        <v>1159</v>
      </c>
      <c r="Z371" s="1112">
        <f>($C371*0.23)+$C371</f>
        <v>1168.5</v>
      </c>
      <c r="AA371" s="1112">
        <f>($C371*0.24)+$C371</f>
        <v>1178</v>
      </c>
      <c r="AB371" s="1112">
        <f>($C371*0.25)+$C371</f>
        <v>1187.5</v>
      </c>
      <c r="AC371" s="1112">
        <f>($C371*0.26)+$C371</f>
        <v>1197</v>
      </c>
      <c r="AD371" s="1112">
        <f>($C371*0.27)+$C371</f>
        <v>1206.5</v>
      </c>
      <c r="AE371" s="1112">
        <f>($C371*0.28)+$C371</f>
        <v>1216</v>
      </c>
      <c r="AF371" s="1112">
        <f>($C371*0.29)+$C371</f>
        <v>1225.5</v>
      </c>
      <c r="AG371" s="1112">
        <f>($C371*0.3)+$C371</f>
        <v>1235</v>
      </c>
    </row>
    <row r="372" spans="1:33" ht="30">
      <c r="A372" s="4" t="s">
        <v>25634</v>
      </c>
      <c r="B372" s="4" t="s">
        <v>53872</v>
      </c>
      <c r="C372" s="5">
        <v>1200</v>
      </c>
      <c r="D372" s="1112">
        <f>($C372*0.01)+$C372</f>
        <v>1212</v>
      </c>
      <c r="E372" s="1112">
        <f>($C372*0.02)+$C372</f>
        <v>1224</v>
      </c>
      <c r="F372" s="1112">
        <f>($C372*0.03)+$C372</f>
        <v>1236</v>
      </c>
      <c r="G372" s="1112">
        <f>($C372*0.04)+$C372</f>
        <v>1248</v>
      </c>
      <c r="H372" s="1112">
        <f>($C372*0.05)+$C372</f>
        <v>1260</v>
      </c>
      <c r="I372" s="1112">
        <f>($C372*0.06)+$C372</f>
        <v>1272</v>
      </c>
      <c r="J372" s="1112">
        <f>($C372*0.07)+$C372</f>
        <v>1284</v>
      </c>
      <c r="K372" s="1112">
        <f>($C372*0.08)+$C372</f>
        <v>1296</v>
      </c>
      <c r="L372" s="1112">
        <f>($C372*0.09)+$C372</f>
        <v>1308</v>
      </c>
      <c r="M372" s="1112">
        <f>($C372*0.1)+$C372</f>
        <v>1320</v>
      </c>
      <c r="N372" s="1112">
        <f>($C372*0.11)+$C372</f>
        <v>1332</v>
      </c>
      <c r="O372" s="1112">
        <f>($C372*0.12)+$C372</f>
        <v>1344</v>
      </c>
      <c r="P372" s="1112">
        <f>($C372*0.13)+$C372</f>
        <v>1356</v>
      </c>
      <c r="Q372" s="1112">
        <f>($C372*0.14)+$C372</f>
        <v>1368</v>
      </c>
      <c r="R372" s="1112">
        <f>($C372*0.15)+$C372</f>
        <v>1380</v>
      </c>
      <c r="S372" s="1112">
        <f>($C372*0.16)+$C372</f>
        <v>1392</v>
      </c>
      <c r="T372" s="1112">
        <f>($C372*0.17)+$C372</f>
        <v>1404</v>
      </c>
      <c r="U372" s="1112">
        <f>($C372*0.18)+$C372</f>
        <v>1416</v>
      </c>
      <c r="V372" s="1112">
        <f>($C372*0.19)+$C372</f>
        <v>1428</v>
      </c>
      <c r="W372" s="1112">
        <f>($C372*0.2)+$C372</f>
        <v>1440</v>
      </c>
      <c r="X372" s="1112">
        <f>($C372*0.21)+$C372</f>
        <v>1452</v>
      </c>
      <c r="Y372" s="1112">
        <f>($C372*0.22)+$C372</f>
        <v>1464</v>
      </c>
      <c r="Z372" s="1112">
        <f>($C372*0.23)+$C372</f>
        <v>1476</v>
      </c>
      <c r="AA372" s="1112">
        <f>($C372*0.24)+$C372</f>
        <v>1488</v>
      </c>
      <c r="AB372" s="1112">
        <f>($C372*0.25)+$C372</f>
        <v>1500</v>
      </c>
      <c r="AC372" s="1112">
        <f>($C372*0.26)+$C372</f>
        <v>1512</v>
      </c>
      <c r="AD372" s="1112">
        <f>($C372*0.27)+$C372</f>
        <v>1524</v>
      </c>
      <c r="AE372" s="1112">
        <f>($C372*0.28)+$C372</f>
        <v>1536</v>
      </c>
      <c r="AF372" s="1112">
        <f>($C372*0.29)+$C372</f>
        <v>1548</v>
      </c>
      <c r="AG372" s="1112">
        <f>($C372*0.3)+$C372</f>
        <v>1560</v>
      </c>
    </row>
    <row r="373" spans="1:33" ht="30">
      <c r="A373" s="4" t="s">
        <v>54265</v>
      </c>
      <c r="B373" s="4" t="s">
        <v>53874</v>
      </c>
      <c r="C373" s="5">
        <v>1500</v>
      </c>
      <c r="D373" s="1112">
        <f>($C373*0.01)+$C373</f>
        <v>1515</v>
      </c>
      <c r="E373" s="1112">
        <f>($C373*0.02)+$C373</f>
        <v>1530</v>
      </c>
      <c r="F373" s="1112">
        <f>($C373*0.03)+$C373</f>
        <v>1545</v>
      </c>
      <c r="G373" s="1112">
        <f>($C373*0.04)+$C373</f>
        <v>1560</v>
      </c>
      <c r="H373" s="1112">
        <f>($C373*0.05)+$C373</f>
        <v>1575</v>
      </c>
      <c r="I373" s="1112">
        <f>($C373*0.06)+$C373</f>
        <v>1590</v>
      </c>
      <c r="J373" s="1112">
        <f>($C373*0.07)+$C373</f>
        <v>1605</v>
      </c>
      <c r="K373" s="1112">
        <f>($C373*0.08)+$C373</f>
        <v>1620</v>
      </c>
      <c r="L373" s="1112">
        <f>($C373*0.09)+$C373</f>
        <v>1635</v>
      </c>
      <c r="M373" s="1112">
        <f>($C373*0.1)+$C373</f>
        <v>1650</v>
      </c>
      <c r="N373" s="1112">
        <f>($C373*0.11)+$C373</f>
        <v>1665</v>
      </c>
      <c r="O373" s="1112">
        <f>($C373*0.12)+$C373</f>
        <v>1680</v>
      </c>
      <c r="P373" s="1112">
        <f>($C373*0.13)+$C373</f>
        <v>1695</v>
      </c>
      <c r="Q373" s="1112">
        <f>($C373*0.14)+$C373</f>
        <v>1710</v>
      </c>
      <c r="R373" s="1112">
        <f>($C373*0.15)+$C373</f>
        <v>1725</v>
      </c>
      <c r="S373" s="1112">
        <f>($C373*0.16)+$C373</f>
        <v>1740</v>
      </c>
      <c r="T373" s="1112">
        <f>($C373*0.17)+$C373</f>
        <v>1755</v>
      </c>
      <c r="U373" s="1112">
        <f>($C373*0.18)+$C373</f>
        <v>1770</v>
      </c>
      <c r="V373" s="1112">
        <f>($C373*0.19)+$C373</f>
        <v>1785</v>
      </c>
      <c r="W373" s="1112">
        <f>($C373*0.2)+$C373</f>
        <v>1800</v>
      </c>
      <c r="X373" s="1112">
        <f>($C373*0.21)+$C373</f>
        <v>1815</v>
      </c>
      <c r="Y373" s="1112">
        <f>($C373*0.22)+$C373</f>
        <v>1830</v>
      </c>
      <c r="Z373" s="1112">
        <f>($C373*0.23)+$C373</f>
        <v>1845</v>
      </c>
      <c r="AA373" s="1112">
        <f>($C373*0.24)+$C373</f>
        <v>1860</v>
      </c>
      <c r="AB373" s="1112">
        <f>($C373*0.25)+$C373</f>
        <v>1875</v>
      </c>
      <c r="AC373" s="1112">
        <f>($C373*0.26)+$C373</f>
        <v>1890</v>
      </c>
      <c r="AD373" s="1112">
        <f>($C373*0.27)+$C373</f>
        <v>1905</v>
      </c>
      <c r="AE373" s="1112">
        <f>($C373*0.28)+$C373</f>
        <v>1920</v>
      </c>
      <c r="AF373" s="1112">
        <f>($C373*0.29)+$C373</f>
        <v>1935</v>
      </c>
      <c r="AG373" s="1112">
        <f>($C373*0.3)+$C373</f>
        <v>1950</v>
      </c>
    </row>
    <row r="374" spans="1:33" ht="15">
      <c r="A374" s="7" t="s">
        <v>25604</v>
      </c>
      <c r="B374" s="7" t="s">
        <v>54266</v>
      </c>
      <c r="C374" s="8">
        <v>1000</v>
      </c>
      <c r="D374" s="1112">
        <f>($C374*0.01)+$C374</f>
        <v>1010</v>
      </c>
      <c r="E374" s="1112">
        <f>($C374*0.02)+$C374</f>
        <v>1020</v>
      </c>
      <c r="F374" s="1112">
        <f>($C374*0.03)+$C374</f>
        <v>1030</v>
      </c>
      <c r="G374" s="1112">
        <f>($C374*0.04)+$C374</f>
        <v>1040</v>
      </c>
      <c r="H374" s="1112">
        <f>($C374*0.05)+$C374</f>
        <v>1050</v>
      </c>
      <c r="I374" s="1112">
        <f>($C374*0.06)+$C374</f>
        <v>1060</v>
      </c>
      <c r="J374" s="1112">
        <f>($C374*0.07)+$C374</f>
        <v>1070</v>
      </c>
      <c r="K374" s="1112">
        <f>($C374*0.08)+$C374</f>
        <v>1080</v>
      </c>
      <c r="L374" s="1112">
        <f>($C374*0.09)+$C374</f>
        <v>1090</v>
      </c>
      <c r="M374" s="1112">
        <f>($C374*0.1)+$C374</f>
        <v>1100</v>
      </c>
      <c r="N374" s="1112">
        <f>($C374*0.11)+$C374</f>
        <v>1110</v>
      </c>
      <c r="O374" s="1112">
        <f>($C374*0.12)+$C374</f>
        <v>1120</v>
      </c>
      <c r="P374" s="1112">
        <f>($C374*0.13)+$C374</f>
        <v>1130</v>
      </c>
      <c r="Q374" s="1112">
        <f>($C374*0.14)+$C374</f>
        <v>1140</v>
      </c>
      <c r="R374" s="1112">
        <f>($C374*0.15)+$C374</f>
        <v>1150</v>
      </c>
      <c r="S374" s="1112">
        <f>($C374*0.16)+$C374</f>
        <v>1160</v>
      </c>
      <c r="T374" s="1112">
        <f>($C374*0.17)+$C374</f>
        <v>1170</v>
      </c>
      <c r="U374" s="1112">
        <f>($C374*0.18)+$C374</f>
        <v>1180</v>
      </c>
      <c r="V374" s="1112">
        <f>($C374*0.19)+$C374</f>
        <v>1190</v>
      </c>
      <c r="W374" s="1112">
        <f>($C374*0.2)+$C374</f>
        <v>1200</v>
      </c>
      <c r="X374" s="1112">
        <f>($C374*0.21)+$C374</f>
        <v>1210</v>
      </c>
      <c r="Y374" s="1112">
        <f>($C374*0.22)+$C374</f>
        <v>1220</v>
      </c>
      <c r="Z374" s="1112">
        <f>($C374*0.23)+$C374</f>
        <v>1230</v>
      </c>
      <c r="AA374" s="1112">
        <f>($C374*0.24)+$C374</f>
        <v>1240</v>
      </c>
      <c r="AB374" s="1112">
        <f>($C374*0.25)+$C374</f>
        <v>1250</v>
      </c>
      <c r="AC374" s="1112">
        <f>($C374*0.26)+$C374</f>
        <v>1260</v>
      </c>
      <c r="AD374" s="1112">
        <f>($C374*0.27)+$C374</f>
        <v>1270</v>
      </c>
      <c r="AE374" s="1112">
        <f>($C374*0.28)+$C374</f>
        <v>1280</v>
      </c>
      <c r="AF374" s="1112">
        <f>($C374*0.29)+$C374</f>
        <v>1290</v>
      </c>
      <c r="AG374" s="1112">
        <f>($C374*0.3)+$C374</f>
        <v>1300</v>
      </c>
    </row>
    <row r="375" spans="1:33" ht="30">
      <c r="A375" s="7" t="s">
        <v>54263</v>
      </c>
      <c r="B375" s="7" t="s">
        <v>54262</v>
      </c>
      <c r="C375" s="8">
        <v>1300</v>
      </c>
      <c r="D375" s="1112">
        <f>($C375*0.01)+$C375</f>
        <v>1313</v>
      </c>
      <c r="E375" s="1112">
        <f>($C375*0.02)+$C375</f>
        <v>1326</v>
      </c>
      <c r="F375" s="1112">
        <f>($C375*0.03)+$C375</f>
        <v>1339</v>
      </c>
      <c r="G375" s="1112">
        <f>($C375*0.04)+$C375</f>
        <v>1352</v>
      </c>
      <c r="H375" s="1112">
        <f>($C375*0.05)+$C375</f>
        <v>1365</v>
      </c>
      <c r="I375" s="1112">
        <f>($C375*0.06)+$C375</f>
        <v>1378</v>
      </c>
      <c r="J375" s="1112">
        <f>($C375*0.07)+$C375</f>
        <v>1391</v>
      </c>
      <c r="K375" s="1112">
        <f>($C375*0.08)+$C375</f>
        <v>1404</v>
      </c>
      <c r="L375" s="1112">
        <f>($C375*0.09)+$C375</f>
        <v>1417</v>
      </c>
      <c r="M375" s="1112">
        <f>($C375*0.1)+$C375</f>
        <v>1430</v>
      </c>
      <c r="N375" s="1112">
        <f>($C375*0.11)+$C375</f>
        <v>1443</v>
      </c>
      <c r="O375" s="1112">
        <f>($C375*0.12)+$C375</f>
        <v>1456</v>
      </c>
      <c r="P375" s="1112">
        <f>($C375*0.13)+$C375</f>
        <v>1469</v>
      </c>
      <c r="Q375" s="1112">
        <f>($C375*0.14)+$C375</f>
        <v>1482</v>
      </c>
      <c r="R375" s="1112">
        <f>($C375*0.15)+$C375</f>
        <v>1495</v>
      </c>
      <c r="S375" s="1112">
        <f>($C375*0.16)+$C375</f>
        <v>1508</v>
      </c>
      <c r="T375" s="1112">
        <f>($C375*0.17)+$C375</f>
        <v>1521</v>
      </c>
      <c r="U375" s="1112">
        <f>($C375*0.18)+$C375</f>
        <v>1534</v>
      </c>
      <c r="V375" s="1112">
        <f>($C375*0.19)+$C375</f>
        <v>1547</v>
      </c>
      <c r="W375" s="1112">
        <f>($C375*0.2)+$C375</f>
        <v>1560</v>
      </c>
      <c r="X375" s="1112">
        <f>($C375*0.21)+$C375</f>
        <v>1573</v>
      </c>
      <c r="Y375" s="1112">
        <f>($C375*0.22)+$C375</f>
        <v>1586</v>
      </c>
      <c r="Z375" s="1112">
        <f>($C375*0.23)+$C375</f>
        <v>1599</v>
      </c>
      <c r="AA375" s="1112">
        <f>($C375*0.24)+$C375</f>
        <v>1612</v>
      </c>
      <c r="AB375" s="1112">
        <f>($C375*0.25)+$C375</f>
        <v>1625</v>
      </c>
      <c r="AC375" s="1112">
        <f>($C375*0.26)+$C375</f>
        <v>1638</v>
      </c>
      <c r="AD375" s="1112">
        <f>($C375*0.27)+$C375</f>
        <v>1651</v>
      </c>
      <c r="AE375" s="1112">
        <f>($C375*0.28)+$C375</f>
        <v>1664</v>
      </c>
      <c r="AF375" s="1112">
        <f>($C375*0.29)+$C375</f>
        <v>1677</v>
      </c>
      <c r="AG375" s="1112">
        <f>($C375*0.3)+$C375</f>
        <v>1690</v>
      </c>
    </row>
    <row r="376" spans="1:33" ht="15">
      <c r="A376" s="7" t="s">
        <v>25598</v>
      </c>
      <c r="B376" s="7" t="s">
        <v>54264</v>
      </c>
      <c r="C376" s="8">
        <v>1100</v>
      </c>
      <c r="D376" s="1112">
        <f>($C376*0.01)+$C376</f>
        <v>1111</v>
      </c>
      <c r="E376" s="1112">
        <f>($C376*0.02)+$C376</f>
        <v>1122</v>
      </c>
      <c r="F376" s="1112">
        <f>($C376*0.03)+$C376</f>
        <v>1133</v>
      </c>
      <c r="G376" s="1112">
        <f>($C376*0.04)+$C376</f>
        <v>1144</v>
      </c>
      <c r="H376" s="1112">
        <f>($C376*0.05)+$C376</f>
        <v>1155</v>
      </c>
      <c r="I376" s="1112">
        <f>($C376*0.06)+$C376</f>
        <v>1166</v>
      </c>
      <c r="J376" s="1112">
        <f>($C376*0.07)+$C376</f>
        <v>1177</v>
      </c>
      <c r="K376" s="1112">
        <f>($C376*0.08)+$C376</f>
        <v>1188</v>
      </c>
      <c r="L376" s="1112">
        <f>($C376*0.09)+$C376</f>
        <v>1199</v>
      </c>
      <c r="M376" s="1112">
        <f>($C376*0.1)+$C376</f>
        <v>1210</v>
      </c>
      <c r="N376" s="1112">
        <f>($C376*0.11)+$C376</f>
        <v>1221</v>
      </c>
      <c r="O376" s="1112">
        <f>($C376*0.12)+$C376</f>
        <v>1232</v>
      </c>
      <c r="P376" s="1112">
        <f>($C376*0.13)+$C376</f>
        <v>1243</v>
      </c>
      <c r="Q376" s="1112">
        <f>($C376*0.14)+$C376</f>
        <v>1254</v>
      </c>
      <c r="R376" s="1112">
        <f>($C376*0.15)+$C376</f>
        <v>1265</v>
      </c>
      <c r="S376" s="1112">
        <f>($C376*0.16)+$C376</f>
        <v>1276</v>
      </c>
      <c r="T376" s="1112">
        <f>($C376*0.17)+$C376</f>
        <v>1287</v>
      </c>
      <c r="U376" s="1112">
        <f>($C376*0.18)+$C376</f>
        <v>1298</v>
      </c>
      <c r="V376" s="1112">
        <f>($C376*0.19)+$C376</f>
        <v>1309</v>
      </c>
      <c r="W376" s="1112">
        <f>($C376*0.2)+$C376</f>
        <v>1320</v>
      </c>
      <c r="X376" s="1112">
        <f>($C376*0.21)+$C376</f>
        <v>1331</v>
      </c>
      <c r="Y376" s="1112">
        <f>($C376*0.22)+$C376</f>
        <v>1342</v>
      </c>
      <c r="Z376" s="1112">
        <f>($C376*0.23)+$C376</f>
        <v>1353</v>
      </c>
      <c r="AA376" s="1112">
        <f>($C376*0.24)+$C376</f>
        <v>1364</v>
      </c>
      <c r="AB376" s="1112">
        <f>($C376*0.25)+$C376</f>
        <v>1375</v>
      </c>
      <c r="AC376" s="1112">
        <f>($C376*0.26)+$C376</f>
        <v>1386</v>
      </c>
      <c r="AD376" s="1112">
        <f>($C376*0.27)+$C376</f>
        <v>1397</v>
      </c>
      <c r="AE376" s="1112">
        <f>($C376*0.28)+$C376</f>
        <v>1408</v>
      </c>
      <c r="AF376" s="1112">
        <f>($C376*0.29)+$C376</f>
        <v>1419</v>
      </c>
      <c r="AG376" s="1112">
        <f>($C376*0.3)+$C376</f>
        <v>1430</v>
      </c>
    </row>
    <row r="377" spans="1:33" ht="15">
      <c r="A377" s="4" t="s">
        <v>25594</v>
      </c>
      <c r="B377" s="4" t="s">
        <v>37602</v>
      </c>
      <c r="C377" s="5">
        <v>850</v>
      </c>
      <c r="D377" s="1112">
        <f>($C377*0.01)+$C377</f>
        <v>858.5</v>
      </c>
      <c r="E377" s="1112">
        <f>($C377*0.02)+$C377</f>
        <v>867</v>
      </c>
      <c r="F377" s="1112">
        <f>($C377*0.03)+$C377</f>
        <v>875.5</v>
      </c>
      <c r="G377" s="1112">
        <f>($C377*0.04)+$C377</f>
        <v>884</v>
      </c>
      <c r="H377" s="1112">
        <f>($C377*0.05)+$C377</f>
        <v>892.5</v>
      </c>
      <c r="I377" s="1112">
        <f>($C377*0.06)+$C377</f>
        <v>901</v>
      </c>
      <c r="J377" s="1112">
        <f>($C377*0.07)+$C377</f>
        <v>909.5</v>
      </c>
      <c r="K377" s="1112">
        <f>($C377*0.08)+$C377</f>
        <v>918</v>
      </c>
      <c r="L377" s="1112">
        <f>($C377*0.09)+$C377</f>
        <v>926.5</v>
      </c>
      <c r="M377" s="1112">
        <f>($C377*0.1)+$C377</f>
        <v>935</v>
      </c>
      <c r="N377" s="1112">
        <f>($C377*0.11)+$C377</f>
        <v>943.5</v>
      </c>
      <c r="O377" s="1112">
        <f>($C377*0.12)+$C377</f>
        <v>952</v>
      </c>
      <c r="P377" s="1112">
        <f>($C377*0.13)+$C377</f>
        <v>960.5</v>
      </c>
      <c r="Q377" s="1112">
        <f>($C377*0.14)+$C377</f>
        <v>969</v>
      </c>
      <c r="R377" s="1112">
        <f>($C377*0.15)+$C377</f>
        <v>977.5</v>
      </c>
      <c r="S377" s="1112">
        <f>($C377*0.16)+$C377</f>
        <v>986</v>
      </c>
      <c r="T377" s="1112">
        <f>($C377*0.17)+$C377</f>
        <v>994.5</v>
      </c>
      <c r="U377" s="1112">
        <f>($C377*0.18)+$C377</f>
        <v>1003</v>
      </c>
      <c r="V377" s="1112">
        <f>($C377*0.19)+$C377</f>
        <v>1011.5</v>
      </c>
      <c r="W377" s="1112">
        <f>($C377*0.2)+$C377</f>
        <v>1020</v>
      </c>
      <c r="X377" s="1112">
        <f>($C377*0.21)+$C377</f>
        <v>1028.5</v>
      </c>
      <c r="Y377" s="1112">
        <f>($C377*0.22)+$C377</f>
        <v>1037</v>
      </c>
      <c r="Z377" s="1112">
        <f>($C377*0.23)+$C377</f>
        <v>1045.5</v>
      </c>
      <c r="AA377" s="1112">
        <f>($C377*0.24)+$C377</f>
        <v>1054</v>
      </c>
      <c r="AB377" s="1112">
        <f>($C377*0.25)+$C377</f>
        <v>1062.5</v>
      </c>
      <c r="AC377" s="1112">
        <f>($C377*0.26)+$C377</f>
        <v>1071</v>
      </c>
      <c r="AD377" s="1112">
        <f>($C377*0.27)+$C377</f>
        <v>1079.5</v>
      </c>
      <c r="AE377" s="1112">
        <f>($C377*0.28)+$C377</f>
        <v>1088</v>
      </c>
      <c r="AF377" s="1112">
        <f>($C377*0.29)+$C377</f>
        <v>1096.5</v>
      </c>
      <c r="AG377" s="1112">
        <f>($C377*0.3)+$C377</f>
        <v>1105</v>
      </c>
    </row>
    <row r="378" spans="1:33" ht="30">
      <c r="A378" s="4" t="s">
        <v>25592</v>
      </c>
      <c r="B378" s="4" t="s">
        <v>37603</v>
      </c>
      <c r="C378" s="5">
        <v>1100</v>
      </c>
      <c r="D378" s="1112">
        <f>($C378*0.01)+$C378</f>
        <v>1111</v>
      </c>
      <c r="E378" s="1112">
        <f>($C378*0.02)+$C378</f>
        <v>1122</v>
      </c>
      <c r="F378" s="1112">
        <f>($C378*0.03)+$C378</f>
        <v>1133</v>
      </c>
      <c r="G378" s="1112">
        <f>($C378*0.04)+$C378</f>
        <v>1144</v>
      </c>
      <c r="H378" s="1112">
        <f>($C378*0.05)+$C378</f>
        <v>1155</v>
      </c>
      <c r="I378" s="1112">
        <f>($C378*0.06)+$C378</f>
        <v>1166</v>
      </c>
      <c r="J378" s="1112">
        <f>($C378*0.07)+$C378</f>
        <v>1177</v>
      </c>
      <c r="K378" s="1112">
        <f>($C378*0.08)+$C378</f>
        <v>1188</v>
      </c>
      <c r="L378" s="1112">
        <f>($C378*0.09)+$C378</f>
        <v>1199</v>
      </c>
      <c r="M378" s="1112">
        <f>($C378*0.1)+$C378</f>
        <v>1210</v>
      </c>
      <c r="N378" s="1112">
        <f>($C378*0.11)+$C378</f>
        <v>1221</v>
      </c>
      <c r="O378" s="1112">
        <f>($C378*0.12)+$C378</f>
        <v>1232</v>
      </c>
      <c r="P378" s="1112">
        <f>($C378*0.13)+$C378</f>
        <v>1243</v>
      </c>
      <c r="Q378" s="1112">
        <f>($C378*0.14)+$C378</f>
        <v>1254</v>
      </c>
      <c r="R378" s="1112">
        <f>($C378*0.15)+$C378</f>
        <v>1265</v>
      </c>
      <c r="S378" s="1112">
        <f>($C378*0.16)+$C378</f>
        <v>1276</v>
      </c>
      <c r="T378" s="1112">
        <f>($C378*0.17)+$C378</f>
        <v>1287</v>
      </c>
      <c r="U378" s="1112">
        <f>($C378*0.18)+$C378</f>
        <v>1298</v>
      </c>
      <c r="V378" s="1112">
        <f>($C378*0.19)+$C378</f>
        <v>1309</v>
      </c>
      <c r="W378" s="1112">
        <f>($C378*0.2)+$C378</f>
        <v>1320</v>
      </c>
      <c r="X378" s="1112">
        <f>($C378*0.21)+$C378</f>
        <v>1331</v>
      </c>
      <c r="Y378" s="1112">
        <f>($C378*0.22)+$C378</f>
        <v>1342</v>
      </c>
      <c r="Z378" s="1112">
        <f>($C378*0.23)+$C378</f>
        <v>1353</v>
      </c>
      <c r="AA378" s="1112">
        <f>($C378*0.24)+$C378</f>
        <v>1364</v>
      </c>
      <c r="AB378" s="1112">
        <f>($C378*0.25)+$C378</f>
        <v>1375</v>
      </c>
      <c r="AC378" s="1112">
        <f>($C378*0.26)+$C378</f>
        <v>1386</v>
      </c>
      <c r="AD378" s="1112">
        <f>($C378*0.27)+$C378</f>
        <v>1397</v>
      </c>
      <c r="AE378" s="1112">
        <f>($C378*0.28)+$C378</f>
        <v>1408</v>
      </c>
      <c r="AF378" s="1112">
        <f>($C378*0.29)+$C378</f>
        <v>1419</v>
      </c>
      <c r="AG378" s="1112">
        <f>($C378*0.3)+$C378</f>
        <v>1430</v>
      </c>
    </row>
    <row r="379" spans="1:33" ht="30">
      <c r="A379" s="4" t="s">
        <v>25586</v>
      </c>
      <c r="B379" s="4" t="s">
        <v>53873</v>
      </c>
      <c r="C379" s="5">
        <v>1300</v>
      </c>
      <c r="D379" s="1112">
        <f>($C379*0.01)+$C379</f>
        <v>1313</v>
      </c>
      <c r="E379" s="1112">
        <f>($C379*0.02)+$C379</f>
        <v>1326</v>
      </c>
      <c r="F379" s="1112">
        <f>($C379*0.03)+$C379</f>
        <v>1339</v>
      </c>
      <c r="G379" s="1112">
        <f>($C379*0.04)+$C379</f>
        <v>1352</v>
      </c>
      <c r="H379" s="1112">
        <f>($C379*0.05)+$C379</f>
        <v>1365</v>
      </c>
      <c r="I379" s="1112">
        <f>($C379*0.06)+$C379</f>
        <v>1378</v>
      </c>
      <c r="J379" s="1112">
        <f>($C379*0.07)+$C379</f>
        <v>1391</v>
      </c>
      <c r="K379" s="1112">
        <f>($C379*0.08)+$C379</f>
        <v>1404</v>
      </c>
      <c r="L379" s="1112">
        <f>($C379*0.09)+$C379</f>
        <v>1417</v>
      </c>
      <c r="M379" s="1112">
        <f>($C379*0.1)+$C379</f>
        <v>1430</v>
      </c>
      <c r="N379" s="1112">
        <f>($C379*0.11)+$C379</f>
        <v>1443</v>
      </c>
      <c r="O379" s="1112">
        <f>($C379*0.12)+$C379</f>
        <v>1456</v>
      </c>
      <c r="P379" s="1112">
        <f>($C379*0.13)+$C379</f>
        <v>1469</v>
      </c>
      <c r="Q379" s="1112">
        <f>($C379*0.14)+$C379</f>
        <v>1482</v>
      </c>
      <c r="R379" s="1112">
        <f>($C379*0.15)+$C379</f>
        <v>1495</v>
      </c>
      <c r="S379" s="1112">
        <f>($C379*0.16)+$C379</f>
        <v>1508</v>
      </c>
      <c r="T379" s="1112">
        <f>($C379*0.17)+$C379</f>
        <v>1521</v>
      </c>
      <c r="U379" s="1112">
        <f>($C379*0.18)+$C379</f>
        <v>1534</v>
      </c>
      <c r="V379" s="1112">
        <f>($C379*0.19)+$C379</f>
        <v>1547</v>
      </c>
      <c r="W379" s="1112">
        <f>($C379*0.2)+$C379</f>
        <v>1560</v>
      </c>
      <c r="X379" s="1112">
        <f>($C379*0.21)+$C379</f>
        <v>1573</v>
      </c>
      <c r="Y379" s="1112">
        <f>($C379*0.22)+$C379</f>
        <v>1586</v>
      </c>
      <c r="Z379" s="1112">
        <f>($C379*0.23)+$C379</f>
        <v>1599</v>
      </c>
      <c r="AA379" s="1112">
        <f>($C379*0.24)+$C379</f>
        <v>1612</v>
      </c>
      <c r="AB379" s="1112">
        <f>($C379*0.25)+$C379</f>
        <v>1625</v>
      </c>
      <c r="AC379" s="1112">
        <f>($C379*0.26)+$C379</f>
        <v>1638</v>
      </c>
      <c r="AD379" s="1112">
        <f>($C379*0.27)+$C379</f>
        <v>1651</v>
      </c>
      <c r="AE379" s="1112">
        <f>($C379*0.28)+$C379</f>
        <v>1664</v>
      </c>
      <c r="AF379" s="1112">
        <f>($C379*0.29)+$C379</f>
        <v>1677</v>
      </c>
      <c r="AG379" s="1112">
        <f>($C379*0.3)+$C379</f>
        <v>1690</v>
      </c>
    </row>
    <row r="380" spans="1:33" ht="15">
      <c r="A380" s="4" t="s">
        <v>25734</v>
      </c>
      <c r="B380" s="4" t="s">
        <v>53850</v>
      </c>
      <c r="C380" s="5">
        <v>95</v>
      </c>
      <c r="D380" s="1112">
        <f>($C380*0.01)+$C380</f>
        <v>95.95</v>
      </c>
      <c r="E380" s="1112">
        <f>($C380*0.02)+$C380</f>
        <v>96.9</v>
      </c>
      <c r="F380" s="1112">
        <f>($C380*0.03)+$C380</f>
        <v>97.85</v>
      </c>
      <c r="G380" s="1112">
        <f>($C380*0.04)+$C380</f>
        <v>98.8</v>
      </c>
      <c r="H380" s="1112">
        <f>($C380*0.05)+$C380</f>
        <v>99.75</v>
      </c>
      <c r="I380" s="1112">
        <f>($C380*0.06)+$C380</f>
        <v>100.7</v>
      </c>
      <c r="J380" s="1112">
        <f>($C380*0.07)+$C380</f>
        <v>101.65</v>
      </c>
      <c r="K380" s="1112">
        <f>($C380*0.08)+$C380</f>
        <v>102.6</v>
      </c>
      <c r="L380" s="1112">
        <f>($C380*0.09)+$C380</f>
        <v>103.55</v>
      </c>
      <c r="M380" s="1112">
        <f>($C380*0.1)+$C380</f>
        <v>104.5</v>
      </c>
      <c r="N380" s="1112">
        <f>($C380*0.11)+$C380</f>
        <v>105.45</v>
      </c>
      <c r="O380" s="1112">
        <f>($C380*0.12)+$C380</f>
        <v>106.4</v>
      </c>
      <c r="P380" s="1112">
        <f>($C380*0.13)+$C380</f>
        <v>107.35</v>
      </c>
      <c r="Q380" s="1112">
        <f>($C380*0.14)+$C380</f>
        <v>108.3</v>
      </c>
      <c r="R380" s="1112">
        <f>($C380*0.15)+$C380</f>
        <v>109.25</v>
      </c>
      <c r="S380" s="1112">
        <f>($C380*0.16)+$C380</f>
        <v>110.2</v>
      </c>
      <c r="T380" s="1112">
        <f>($C380*0.17)+$C380</f>
        <v>111.15</v>
      </c>
      <c r="U380" s="1112">
        <f>($C380*0.18)+$C380</f>
        <v>112.1</v>
      </c>
      <c r="V380" s="1112">
        <f>($C380*0.19)+$C380</f>
        <v>113.05</v>
      </c>
      <c r="W380" s="1112">
        <f>($C380*0.2)+$C380</f>
        <v>114</v>
      </c>
      <c r="X380" s="1112">
        <f>($C380*0.21)+$C380</f>
        <v>114.95</v>
      </c>
      <c r="Y380" s="1112">
        <f>($C380*0.22)+$C380</f>
        <v>115.9</v>
      </c>
      <c r="Z380" s="1112">
        <f>($C380*0.23)+$C380</f>
        <v>116.85</v>
      </c>
      <c r="AA380" s="1112">
        <f>($C380*0.24)+$C380</f>
        <v>117.8</v>
      </c>
      <c r="AB380" s="1112">
        <f>($C380*0.25)+$C380</f>
        <v>118.75</v>
      </c>
      <c r="AC380" s="1112">
        <f>($C380*0.26)+$C380</f>
        <v>119.7</v>
      </c>
      <c r="AD380" s="1112">
        <f>($C380*0.27)+$C380</f>
        <v>120.65</v>
      </c>
      <c r="AE380" s="1112">
        <f>($C380*0.28)+$C380</f>
        <v>121.6</v>
      </c>
      <c r="AF380" s="1112">
        <f>($C380*0.29)+$C380</f>
        <v>122.55</v>
      </c>
      <c r="AG380" s="1112">
        <f>($C380*0.3)+$C380</f>
        <v>123.5</v>
      </c>
    </row>
    <row r="381" spans="1:33" ht="15">
      <c r="A381" s="4" t="s">
        <v>25732</v>
      </c>
      <c r="B381" s="4" t="s">
        <v>53851</v>
      </c>
      <c r="C381" s="5">
        <v>125</v>
      </c>
      <c r="D381" s="1112">
        <f>($C381*0.01)+$C381</f>
        <v>126.25</v>
      </c>
      <c r="E381" s="1112">
        <f>($C381*0.02)+$C381</f>
        <v>127.5</v>
      </c>
      <c r="F381" s="1112">
        <f>($C381*0.03)+$C381</f>
        <v>128.75</v>
      </c>
      <c r="G381" s="1112">
        <f>($C381*0.04)+$C381</f>
        <v>130</v>
      </c>
      <c r="H381" s="1112">
        <f>($C381*0.05)+$C381</f>
        <v>131.25</v>
      </c>
      <c r="I381" s="1112">
        <f>($C381*0.06)+$C381</f>
        <v>132.5</v>
      </c>
      <c r="J381" s="1112">
        <f>($C381*0.07)+$C381</f>
        <v>133.75</v>
      </c>
      <c r="K381" s="1112">
        <f>($C381*0.08)+$C381</f>
        <v>135</v>
      </c>
      <c r="L381" s="1112">
        <f>($C381*0.09)+$C381</f>
        <v>136.25</v>
      </c>
      <c r="M381" s="1112">
        <f>($C381*0.1)+$C381</f>
        <v>137.5</v>
      </c>
      <c r="N381" s="1112">
        <f>($C381*0.11)+$C381</f>
        <v>138.75</v>
      </c>
      <c r="O381" s="1112">
        <f>($C381*0.12)+$C381</f>
        <v>140</v>
      </c>
      <c r="P381" s="1112">
        <f>($C381*0.13)+$C381</f>
        <v>141.25</v>
      </c>
      <c r="Q381" s="1112">
        <f>($C381*0.14)+$C381</f>
        <v>142.5</v>
      </c>
      <c r="R381" s="1112">
        <f>($C381*0.15)+$C381</f>
        <v>143.75</v>
      </c>
      <c r="S381" s="1112">
        <f>($C381*0.16)+$C381</f>
        <v>145</v>
      </c>
      <c r="T381" s="1112">
        <f>($C381*0.17)+$C381</f>
        <v>146.25</v>
      </c>
      <c r="U381" s="1112">
        <f>($C381*0.18)+$C381</f>
        <v>147.5</v>
      </c>
      <c r="V381" s="1112">
        <f>($C381*0.19)+$C381</f>
        <v>148.75</v>
      </c>
      <c r="W381" s="1112">
        <f>($C381*0.2)+$C381</f>
        <v>150</v>
      </c>
      <c r="X381" s="1112">
        <f>($C381*0.21)+$C381</f>
        <v>151.25</v>
      </c>
      <c r="Y381" s="1112">
        <f>($C381*0.22)+$C381</f>
        <v>152.5</v>
      </c>
      <c r="Z381" s="1112">
        <f>($C381*0.23)+$C381</f>
        <v>153.75</v>
      </c>
      <c r="AA381" s="1112">
        <f>($C381*0.24)+$C381</f>
        <v>155</v>
      </c>
      <c r="AB381" s="1112">
        <f>($C381*0.25)+$C381</f>
        <v>156.25</v>
      </c>
      <c r="AC381" s="1112">
        <f>($C381*0.26)+$C381</f>
        <v>157.5</v>
      </c>
      <c r="AD381" s="1112">
        <f>($C381*0.27)+$C381</f>
        <v>158.75</v>
      </c>
      <c r="AE381" s="1112">
        <f>($C381*0.28)+$C381</f>
        <v>160</v>
      </c>
      <c r="AF381" s="1112">
        <f>($C381*0.29)+$C381</f>
        <v>161.25</v>
      </c>
      <c r="AG381" s="1112">
        <f>($C381*0.3)+$C381</f>
        <v>162.5</v>
      </c>
    </row>
    <row r="382" spans="1:33" ht="15">
      <c r="A382" s="4" t="s">
        <v>25730</v>
      </c>
      <c r="B382" s="4" t="s">
        <v>53852</v>
      </c>
      <c r="C382" s="5">
        <v>95</v>
      </c>
      <c r="D382" s="1112">
        <f>($C382*0.01)+$C382</f>
        <v>95.95</v>
      </c>
      <c r="E382" s="1112">
        <f>($C382*0.02)+$C382</f>
        <v>96.9</v>
      </c>
      <c r="F382" s="1112">
        <f>($C382*0.03)+$C382</f>
        <v>97.85</v>
      </c>
      <c r="G382" s="1112">
        <f>($C382*0.04)+$C382</f>
        <v>98.8</v>
      </c>
      <c r="H382" s="1112">
        <f>($C382*0.05)+$C382</f>
        <v>99.75</v>
      </c>
      <c r="I382" s="1112">
        <f>($C382*0.06)+$C382</f>
        <v>100.7</v>
      </c>
      <c r="J382" s="1112">
        <f>($C382*0.07)+$C382</f>
        <v>101.65</v>
      </c>
      <c r="K382" s="1112">
        <f>($C382*0.08)+$C382</f>
        <v>102.6</v>
      </c>
      <c r="L382" s="1112">
        <f>($C382*0.09)+$C382</f>
        <v>103.55</v>
      </c>
      <c r="M382" s="1112">
        <f>($C382*0.1)+$C382</f>
        <v>104.5</v>
      </c>
      <c r="N382" s="1112">
        <f>($C382*0.11)+$C382</f>
        <v>105.45</v>
      </c>
      <c r="O382" s="1112">
        <f>($C382*0.12)+$C382</f>
        <v>106.4</v>
      </c>
      <c r="P382" s="1112">
        <f>($C382*0.13)+$C382</f>
        <v>107.35</v>
      </c>
      <c r="Q382" s="1112">
        <f>($C382*0.14)+$C382</f>
        <v>108.3</v>
      </c>
      <c r="R382" s="1112">
        <f>($C382*0.15)+$C382</f>
        <v>109.25</v>
      </c>
      <c r="S382" s="1112">
        <f>($C382*0.16)+$C382</f>
        <v>110.2</v>
      </c>
      <c r="T382" s="1112">
        <f>($C382*0.17)+$C382</f>
        <v>111.15</v>
      </c>
      <c r="U382" s="1112">
        <f>($C382*0.18)+$C382</f>
        <v>112.1</v>
      </c>
      <c r="V382" s="1112">
        <f>($C382*0.19)+$C382</f>
        <v>113.05</v>
      </c>
      <c r="W382" s="1112">
        <f>($C382*0.2)+$C382</f>
        <v>114</v>
      </c>
      <c r="X382" s="1112">
        <f>($C382*0.21)+$C382</f>
        <v>114.95</v>
      </c>
      <c r="Y382" s="1112">
        <f>($C382*0.22)+$C382</f>
        <v>115.9</v>
      </c>
      <c r="Z382" s="1112">
        <f>($C382*0.23)+$C382</f>
        <v>116.85</v>
      </c>
      <c r="AA382" s="1112">
        <f>($C382*0.24)+$C382</f>
        <v>117.8</v>
      </c>
      <c r="AB382" s="1112">
        <f>($C382*0.25)+$C382</f>
        <v>118.75</v>
      </c>
      <c r="AC382" s="1112">
        <f>($C382*0.26)+$C382</f>
        <v>119.7</v>
      </c>
      <c r="AD382" s="1112">
        <f>($C382*0.27)+$C382</f>
        <v>120.65</v>
      </c>
      <c r="AE382" s="1112">
        <f>($C382*0.28)+$C382</f>
        <v>121.6</v>
      </c>
      <c r="AF382" s="1112">
        <f>($C382*0.29)+$C382</f>
        <v>122.55</v>
      </c>
      <c r="AG382" s="1112">
        <f>($C382*0.3)+$C382</f>
        <v>123.5</v>
      </c>
    </row>
    <row r="383" spans="1:33" ht="30">
      <c r="A383" s="4" t="s">
        <v>53848</v>
      </c>
      <c r="B383" s="4" t="s">
        <v>53853</v>
      </c>
      <c r="C383" s="5">
        <v>75</v>
      </c>
      <c r="D383" s="1112">
        <f>($C383*0.01)+$C383</f>
        <v>75.75</v>
      </c>
      <c r="E383" s="1112">
        <f>($C383*0.02)+$C383</f>
        <v>76.5</v>
      </c>
      <c r="F383" s="1112">
        <f>($C383*0.03)+$C383</f>
        <v>77.25</v>
      </c>
      <c r="G383" s="1112">
        <f>($C383*0.04)+$C383</f>
        <v>78</v>
      </c>
      <c r="H383" s="1112">
        <f>($C383*0.05)+$C383</f>
        <v>78.75</v>
      </c>
      <c r="I383" s="1112">
        <f>($C383*0.06)+$C383</f>
        <v>79.5</v>
      </c>
      <c r="J383" s="1112">
        <f>($C383*0.07)+$C383</f>
        <v>80.25</v>
      </c>
      <c r="K383" s="1112">
        <f>($C383*0.08)+$C383</f>
        <v>81</v>
      </c>
      <c r="L383" s="1112">
        <f>($C383*0.09)+$C383</f>
        <v>81.75</v>
      </c>
      <c r="M383" s="1112">
        <f>($C383*0.1)+$C383</f>
        <v>82.5</v>
      </c>
      <c r="N383" s="1112">
        <f>($C383*0.11)+$C383</f>
        <v>83.25</v>
      </c>
      <c r="O383" s="1112">
        <f>($C383*0.12)+$C383</f>
        <v>84</v>
      </c>
      <c r="P383" s="1112">
        <f>($C383*0.13)+$C383</f>
        <v>84.75</v>
      </c>
      <c r="Q383" s="1112">
        <f>($C383*0.14)+$C383</f>
        <v>85.5</v>
      </c>
      <c r="R383" s="1112">
        <f>($C383*0.15)+$C383</f>
        <v>86.25</v>
      </c>
      <c r="S383" s="1112">
        <f>($C383*0.16)+$C383</f>
        <v>87</v>
      </c>
      <c r="T383" s="1112">
        <f>($C383*0.17)+$C383</f>
        <v>87.75</v>
      </c>
      <c r="U383" s="1112">
        <f>($C383*0.18)+$C383</f>
        <v>88.5</v>
      </c>
      <c r="V383" s="1112">
        <f>($C383*0.19)+$C383</f>
        <v>89.25</v>
      </c>
      <c r="W383" s="1112">
        <f>($C383*0.2)+$C383</f>
        <v>90</v>
      </c>
      <c r="X383" s="1112">
        <f>($C383*0.21)+$C383</f>
        <v>90.75</v>
      </c>
      <c r="Y383" s="1112">
        <f>($C383*0.22)+$C383</f>
        <v>91.5</v>
      </c>
      <c r="Z383" s="1112">
        <f>($C383*0.23)+$C383</f>
        <v>92.25</v>
      </c>
      <c r="AA383" s="1112">
        <f>($C383*0.24)+$C383</f>
        <v>93</v>
      </c>
      <c r="AB383" s="1112">
        <f>($C383*0.25)+$C383</f>
        <v>93.75</v>
      </c>
      <c r="AC383" s="1112">
        <f>($C383*0.26)+$C383</f>
        <v>94.5</v>
      </c>
      <c r="AD383" s="1112">
        <f>($C383*0.27)+$C383</f>
        <v>95.25</v>
      </c>
      <c r="AE383" s="1112">
        <f>($C383*0.28)+$C383</f>
        <v>96</v>
      </c>
      <c r="AF383" s="1112">
        <f>($C383*0.29)+$C383</f>
        <v>96.75</v>
      </c>
      <c r="AG383" s="1112">
        <f>($C383*0.3)+$C383</f>
        <v>97.5</v>
      </c>
    </row>
    <row r="384" spans="1:33" ht="15">
      <c r="A384" s="4" t="s">
        <v>25726</v>
      </c>
      <c r="B384" s="4" t="s">
        <v>53854</v>
      </c>
      <c r="C384" s="5">
        <v>100</v>
      </c>
      <c r="D384" s="1112">
        <f>($C384*0.01)+$C384</f>
        <v>101</v>
      </c>
      <c r="E384" s="1112">
        <f>($C384*0.02)+$C384</f>
        <v>102</v>
      </c>
      <c r="F384" s="1112">
        <f>($C384*0.03)+$C384</f>
        <v>103</v>
      </c>
      <c r="G384" s="1112">
        <f>($C384*0.04)+$C384</f>
        <v>104</v>
      </c>
      <c r="H384" s="1112">
        <f>($C384*0.05)+$C384</f>
        <v>105</v>
      </c>
      <c r="I384" s="1112">
        <f>($C384*0.06)+$C384</f>
        <v>106</v>
      </c>
      <c r="J384" s="1112">
        <f>($C384*0.07)+$C384</f>
        <v>107</v>
      </c>
      <c r="K384" s="1112">
        <f>($C384*0.08)+$C384</f>
        <v>108</v>
      </c>
      <c r="L384" s="1112">
        <f>($C384*0.09)+$C384</f>
        <v>109</v>
      </c>
      <c r="M384" s="1112">
        <f>($C384*0.1)+$C384</f>
        <v>110</v>
      </c>
      <c r="N384" s="1112">
        <f>($C384*0.11)+$C384</f>
        <v>111</v>
      </c>
      <c r="O384" s="1112">
        <f>($C384*0.12)+$C384</f>
        <v>112</v>
      </c>
      <c r="P384" s="1112">
        <f>($C384*0.13)+$C384</f>
        <v>113</v>
      </c>
      <c r="Q384" s="1112">
        <f>($C384*0.14)+$C384</f>
        <v>114</v>
      </c>
      <c r="R384" s="1112">
        <f>($C384*0.15)+$C384</f>
        <v>115</v>
      </c>
      <c r="S384" s="1112">
        <f>($C384*0.16)+$C384</f>
        <v>116</v>
      </c>
      <c r="T384" s="1112">
        <f>($C384*0.17)+$C384</f>
        <v>117</v>
      </c>
      <c r="U384" s="1112">
        <f>($C384*0.18)+$C384</f>
        <v>118</v>
      </c>
      <c r="V384" s="1112">
        <f>($C384*0.19)+$C384</f>
        <v>119</v>
      </c>
      <c r="W384" s="1112">
        <f>($C384*0.2)+$C384</f>
        <v>120</v>
      </c>
      <c r="X384" s="1112">
        <f>($C384*0.21)+$C384</f>
        <v>121</v>
      </c>
      <c r="Y384" s="1112">
        <f>($C384*0.22)+$C384</f>
        <v>122</v>
      </c>
      <c r="Z384" s="1112">
        <f>($C384*0.23)+$C384</f>
        <v>123</v>
      </c>
      <c r="AA384" s="1112">
        <f>($C384*0.24)+$C384</f>
        <v>124</v>
      </c>
      <c r="AB384" s="1112">
        <f>($C384*0.25)+$C384</f>
        <v>125</v>
      </c>
      <c r="AC384" s="1112">
        <f>($C384*0.26)+$C384</f>
        <v>126</v>
      </c>
      <c r="AD384" s="1112">
        <f>($C384*0.27)+$C384</f>
        <v>127</v>
      </c>
      <c r="AE384" s="1112">
        <f>($C384*0.28)+$C384</f>
        <v>128</v>
      </c>
      <c r="AF384" s="1112">
        <f>($C384*0.29)+$C384</f>
        <v>129</v>
      </c>
      <c r="AG384" s="1112">
        <f>($C384*0.3)+$C384</f>
        <v>130</v>
      </c>
    </row>
    <row r="385" spans="1:33" ht="15">
      <c r="A385" s="4" t="s">
        <v>26724</v>
      </c>
      <c r="B385" s="4" t="s">
        <v>53849</v>
      </c>
      <c r="C385" s="5">
        <v>75</v>
      </c>
      <c r="D385" s="1112">
        <f>($C385*0.01)+$C385</f>
        <v>75.75</v>
      </c>
      <c r="E385" s="1112">
        <f>($C385*0.02)+$C385</f>
        <v>76.5</v>
      </c>
      <c r="F385" s="1112">
        <f>($C385*0.03)+$C385</f>
        <v>77.25</v>
      </c>
      <c r="G385" s="1112">
        <f>($C385*0.04)+$C385</f>
        <v>78</v>
      </c>
      <c r="H385" s="1112">
        <f>($C385*0.05)+$C385</f>
        <v>78.75</v>
      </c>
      <c r="I385" s="1112">
        <f>($C385*0.06)+$C385</f>
        <v>79.5</v>
      </c>
      <c r="J385" s="1112">
        <f>($C385*0.07)+$C385</f>
        <v>80.25</v>
      </c>
      <c r="K385" s="1112">
        <f>($C385*0.08)+$C385</f>
        <v>81</v>
      </c>
      <c r="L385" s="1112">
        <f>($C385*0.09)+$C385</f>
        <v>81.75</v>
      </c>
      <c r="M385" s="1112">
        <f>($C385*0.1)+$C385</f>
        <v>82.5</v>
      </c>
      <c r="N385" s="1112">
        <f>($C385*0.11)+$C385</f>
        <v>83.25</v>
      </c>
      <c r="O385" s="1112">
        <f>($C385*0.12)+$C385</f>
        <v>84</v>
      </c>
      <c r="P385" s="1112">
        <f>($C385*0.13)+$C385</f>
        <v>84.75</v>
      </c>
      <c r="Q385" s="1112">
        <f>($C385*0.14)+$C385</f>
        <v>85.5</v>
      </c>
      <c r="R385" s="1112">
        <f>($C385*0.15)+$C385</f>
        <v>86.25</v>
      </c>
      <c r="S385" s="1112">
        <f>($C385*0.16)+$C385</f>
        <v>87</v>
      </c>
      <c r="T385" s="1112">
        <f>($C385*0.17)+$C385</f>
        <v>87.75</v>
      </c>
      <c r="U385" s="1112">
        <f>($C385*0.18)+$C385</f>
        <v>88.5</v>
      </c>
      <c r="V385" s="1112">
        <f>($C385*0.19)+$C385</f>
        <v>89.25</v>
      </c>
      <c r="W385" s="1112">
        <f>($C385*0.2)+$C385</f>
        <v>90</v>
      </c>
      <c r="X385" s="1112">
        <f>($C385*0.21)+$C385</f>
        <v>90.75</v>
      </c>
      <c r="Y385" s="1112">
        <f>($C385*0.22)+$C385</f>
        <v>91.5</v>
      </c>
      <c r="Z385" s="1112">
        <f>($C385*0.23)+$C385</f>
        <v>92.25</v>
      </c>
      <c r="AA385" s="1112">
        <f>($C385*0.24)+$C385</f>
        <v>93</v>
      </c>
      <c r="AB385" s="1112">
        <f>($C385*0.25)+$C385</f>
        <v>93.75</v>
      </c>
      <c r="AC385" s="1112">
        <f>($C385*0.26)+$C385</f>
        <v>94.5</v>
      </c>
      <c r="AD385" s="1112">
        <f>($C385*0.27)+$C385</f>
        <v>95.25</v>
      </c>
      <c r="AE385" s="1112">
        <f>($C385*0.28)+$C385</f>
        <v>96</v>
      </c>
      <c r="AF385" s="1112">
        <f>($C385*0.29)+$C385</f>
        <v>96.75</v>
      </c>
      <c r="AG385" s="1112">
        <f>($C385*0.3)+$C385</f>
        <v>97.5</v>
      </c>
    </row>
    <row r="386" spans="1:33" ht="15">
      <c r="A386" s="4" t="s">
        <v>26722</v>
      </c>
      <c r="B386" s="4" t="s">
        <v>53855</v>
      </c>
      <c r="C386" s="5">
        <v>175</v>
      </c>
      <c r="D386" s="1112">
        <f>($C386*0.01)+$C386</f>
        <v>176.75</v>
      </c>
      <c r="E386" s="1112">
        <f>($C386*0.02)+$C386</f>
        <v>178.5</v>
      </c>
      <c r="F386" s="1112">
        <f>($C386*0.03)+$C386</f>
        <v>180.25</v>
      </c>
      <c r="G386" s="1112">
        <f>($C386*0.04)+$C386</f>
        <v>182</v>
      </c>
      <c r="H386" s="1112">
        <f>($C386*0.05)+$C386</f>
        <v>183.75</v>
      </c>
      <c r="I386" s="1112">
        <f>($C386*0.06)+$C386</f>
        <v>185.5</v>
      </c>
      <c r="J386" s="1112">
        <f>($C386*0.07)+$C386</f>
        <v>187.25</v>
      </c>
      <c r="K386" s="1112">
        <f>($C386*0.08)+$C386</f>
        <v>189</v>
      </c>
      <c r="L386" s="1112">
        <f>($C386*0.09)+$C386</f>
        <v>190.75</v>
      </c>
      <c r="M386" s="1112">
        <f>($C386*0.1)+$C386</f>
        <v>192.5</v>
      </c>
      <c r="N386" s="1112">
        <f>($C386*0.11)+$C386</f>
        <v>194.25</v>
      </c>
      <c r="O386" s="1112">
        <f>($C386*0.12)+$C386</f>
        <v>196</v>
      </c>
      <c r="P386" s="1112">
        <f>($C386*0.13)+$C386</f>
        <v>197.75</v>
      </c>
      <c r="Q386" s="1112">
        <f>($C386*0.14)+$C386</f>
        <v>199.5</v>
      </c>
      <c r="R386" s="1112">
        <f>($C386*0.15)+$C386</f>
        <v>201.25</v>
      </c>
      <c r="S386" s="1112">
        <f>($C386*0.16)+$C386</f>
        <v>203</v>
      </c>
      <c r="T386" s="1112">
        <f>($C386*0.17)+$C386</f>
        <v>204.75</v>
      </c>
      <c r="U386" s="1112">
        <f>($C386*0.18)+$C386</f>
        <v>206.5</v>
      </c>
      <c r="V386" s="1112">
        <f>($C386*0.19)+$C386</f>
        <v>208.25</v>
      </c>
      <c r="W386" s="1112">
        <f>($C386*0.2)+$C386</f>
        <v>210</v>
      </c>
      <c r="X386" s="1112">
        <f>($C386*0.21)+$C386</f>
        <v>211.75</v>
      </c>
      <c r="Y386" s="1112">
        <f>($C386*0.22)+$C386</f>
        <v>213.5</v>
      </c>
      <c r="Z386" s="1112">
        <f>($C386*0.23)+$C386</f>
        <v>215.25</v>
      </c>
      <c r="AA386" s="1112">
        <f>($C386*0.24)+$C386</f>
        <v>217</v>
      </c>
      <c r="AB386" s="1112">
        <f>($C386*0.25)+$C386</f>
        <v>218.75</v>
      </c>
      <c r="AC386" s="1112">
        <f>($C386*0.26)+$C386</f>
        <v>220.5</v>
      </c>
      <c r="AD386" s="1112">
        <f>($C386*0.27)+$C386</f>
        <v>222.25</v>
      </c>
      <c r="AE386" s="1112">
        <f>($C386*0.28)+$C386</f>
        <v>224</v>
      </c>
      <c r="AF386" s="1112">
        <f>($C386*0.29)+$C386</f>
        <v>225.75</v>
      </c>
      <c r="AG386" s="1112">
        <f>($C386*0.3)+$C386</f>
        <v>227.5</v>
      </c>
    </row>
    <row r="387" spans="1:33" ht="15">
      <c r="A387" s="4" t="s">
        <v>26720</v>
      </c>
      <c r="B387" s="4" t="s">
        <v>53861</v>
      </c>
      <c r="C387" s="5">
        <v>150</v>
      </c>
      <c r="D387" s="1112">
        <f>($C387*0.01)+$C387</f>
        <v>151.5</v>
      </c>
      <c r="E387" s="1112">
        <f>($C387*0.02)+$C387</f>
        <v>153</v>
      </c>
      <c r="F387" s="1112">
        <f>($C387*0.03)+$C387</f>
        <v>154.5</v>
      </c>
      <c r="G387" s="1112">
        <f>($C387*0.04)+$C387</f>
        <v>156</v>
      </c>
      <c r="H387" s="1112">
        <f>($C387*0.05)+$C387</f>
        <v>157.5</v>
      </c>
      <c r="I387" s="1112">
        <f>($C387*0.06)+$C387</f>
        <v>159</v>
      </c>
      <c r="J387" s="1112">
        <f>($C387*0.07)+$C387</f>
        <v>160.5</v>
      </c>
      <c r="K387" s="1112">
        <f>($C387*0.08)+$C387</f>
        <v>162</v>
      </c>
      <c r="L387" s="1112">
        <f>($C387*0.09)+$C387</f>
        <v>163.5</v>
      </c>
      <c r="M387" s="1112">
        <f>($C387*0.1)+$C387</f>
        <v>165</v>
      </c>
      <c r="N387" s="1112">
        <f>($C387*0.11)+$C387</f>
        <v>166.5</v>
      </c>
      <c r="O387" s="1112">
        <f>($C387*0.12)+$C387</f>
        <v>168</v>
      </c>
      <c r="P387" s="1112">
        <f>($C387*0.13)+$C387</f>
        <v>169.5</v>
      </c>
      <c r="Q387" s="1112">
        <f>($C387*0.14)+$C387</f>
        <v>171</v>
      </c>
      <c r="R387" s="1112">
        <f>($C387*0.15)+$C387</f>
        <v>172.5</v>
      </c>
      <c r="S387" s="1112">
        <f>($C387*0.16)+$C387</f>
        <v>174</v>
      </c>
      <c r="T387" s="1112">
        <f>($C387*0.17)+$C387</f>
        <v>175.5</v>
      </c>
      <c r="U387" s="1112">
        <f>($C387*0.18)+$C387</f>
        <v>177</v>
      </c>
      <c r="V387" s="1112">
        <f>($C387*0.19)+$C387</f>
        <v>178.5</v>
      </c>
      <c r="W387" s="1112">
        <f>($C387*0.2)+$C387</f>
        <v>180</v>
      </c>
      <c r="X387" s="1112">
        <f>($C387*0.21)+$C387</f>
        <v>181.5</v>
      </c>
      <c r="Y387" s="1112">
        <f>($C387*0.22)+$C387</f>
        <v>183</v>
      </c>
      <c r="Z387" s="1112">
        <f>($C387*0.23)+$C387</f>
        <v>184.5</v>
      </c>
      <c r="AA387" s="1112">
        <f>($C387*0.24)+$C387</f>
        <v>186</v>
      </c>
      <c r="AB387" s="1112">
        <f>($C387*0.25)+$C387</f>
        <v>187.5</v>
      </c>
      <c r="AC387" s="1112">
        <f>($C387*0.26)+$C387</f>
        <v>189</v>
      </c>
      <c r="AD387" s="1112">
        <f>($C387*0.27)+$C387</f>
        <v>190.5</v>
      </c>
      <c r="AE387" s="1112">
        <f>($C387*0.28)+$C387</f>
        <v>192</v>
      </c>
      <c r="AF387" s="1112">
        <f>($C387*0.29)+$C387</f>
        <v>193.5</v>
      </c>
      <c r="AG387" s="1112">
        <f>($C387*0.3)+$C387</f>
        <v>195</v>
      </c>
    </row>
    <row r="388" spans="1:33" ht="15">
      <c r="A388" s="4" t="s">
        <v>26718</v>
      </c>
      <c r="B388" s="4" t="s">
        <v>53856</v>
      </c>
      <c r="C388" s="5">
        <v>200</v>
      </c>
      <c r="D388" s="1112">
        <f>($C388*0.01)+$C388</f>
        <v>202</v>
      </c>
      <c r="E388" s="1112">
        <f>($C388*0.02)+$C388</f>
        <v>204</v>
      </c>
      <c r="F388" s="1112">
        <f>($C388*0.03)+$C388</f>
        <v>206</v>
      </c>
      <c r="G388" s="1112">
        <f>($C388*0.04)+$C388</f>
        <v>208</v>
      </c>
      <c r="H388" s="1112">
        <f>($C388*0.05)+$C388</f>
        <v>210</v>
      </c>
      <c r="I388" s="1112">
        <f>($C388*0.06)+$C388</f>
        <v>212</v>
      </c>
      <c r="J388" s="1112">
        <f>($C388*0.07)+$C388</f>
        <v>214</v>
      </c>
      <c r="K388" s="1112">
        <f>($C388*0.08)+$C388</f>
        <v>216</v>
      </c>
      <c r="L388" s="1112">
        <f>($C388*0.09)+$C388</f>
        <v>218</v>
      </c>
      <c r="M388" s="1112">
        <f>($C388*0.1)+$C388</f>
        <v>220</v>
      </c>
      <c r="N388" s="1112">
        <f>($C388*0.11)+$C388</f>
        <v>222</v>
      </c>
      <c r="O388" s="1112">
        <f>($C388*0.12)+$C388</f>
        <v>224</v>
      </c>
      <c r="P388" s="1112">
        <f>($C388*0.13)+$C388</f>
        <v>226</v>
      </c>
      <c r="Q388" s="1112">
        <f>($C388*0.14)+$C388</f>
        <v>228</v>
      </c>
      <c r="R388" s="1112">
        <f>($C388*0.15)+$C388</f>
        <v>230</v>
      </c>
      <c r="S388" s="1112">
        <f>($C388*0.16)+$C388</f>
        <v>232</v>
      </c>
      <c r="T388" s="1112">
        <f>($C388*0.17)+$C388</f>
        <v>234</v>
      </c>
      <c r="U388" s="1112">
        <f>($C388*0.18)+$C388</f>
        <v>236</v>
      </c>
      <c r="V388" s="1112">
        <f>($C388*0.19)+$C388</f>
        <v>238</v>
      </c>
      <c r="W388" s="1112">
        <f>($C388*0.2)+$C388</f>
        <v>240</v>
      </c>
      <c r="X388" s="1112">
        <f>($C388*0.21)+$C388</f>
        <v>242</v>
      </c>
      <c r="Y388" s="1112">
        <f>($C388*0.22)+$C388</f>
        <v>244</v>
      </c>
      <c r="Z388" s="1112">
        <f>($C388*0.23)+$C388</f>
        <v>246</v>
      </c>
      <c r="AA388" s="1112">
        <f>($C388*0.24)+$C388</f>
        <v>248</v>
      </c>
      <c r="AB388" s="1112">
        <f>($C388*0.25)+$C388</f>
        <v>250</v>
      </c>
      <c r="AC388" s="1112">
        <f>($C388*0.26)+$C388</f>
        <v>252</v>
      </c>
      <c r="AD388" s="1112">
        <f>($C388*0.27)+$C388</f>
        <v>254</v>
      </c>
      <c r="AE388" s="1112">
        <f>($C388*0.28)+$C388</f>
        <v>256</v>
      </c>
      <c r="AF388" s="1112">
        <f>($C388*0.29)+$C388</f>
        <v>258</v>
      </c>
      <c r="AG388" s="1112">
        <f>($C388*0.3)+$C388</f>
        <v>260</v>
      </c>
    </row>
    <row r="389" spans="1:33" ht="15">
      <c r="A389" s="4" t="s">
        <v>26717</v>
      </c>
      <c r="B389" s="4" t="s">
        <v>53857</v>
      </c>
      <c r="C389" s="5">
        <v>275</v>
      </c>
      <c r="D389" s="1112">
        <f>($C389*0.01)+$C389</f>
        <v>277.75</v>
      </c>
      <c r="E389" s="1112">
        <f>($C389*0.02)+$C389</f>
        <v>280.5</v>
      </c>
      <c r="F389" s="1112">
        <f>($C389*0.03)+$C389</f>
        <v>283.25</v>
      </c>
      <c r="G389" s="1112">
        <f>($C389*0.04)+$C389</f>
        <v>286</v>
      </c>
      <c r="H389" s="1112">
        <f>($C389*0.05)+$C389</f>
        <v>288.75</v>
      </c>
      <c r="I389" s="1112">
        <f>($C389*0.06)+$C389</f>
        <v>291.5</v>
      </c>
      <c r="J389" s="1112">
        <f>($C389*0.07)+$C389</f>
        <v>294.25</v>
      </c>
      <c r="K389" s="1112">
        <f>($C389*0.08)+$C389</f>
        <v>297</v>
      </c>
      <c r="L389" s="1112">
        <f>($C389*0.09)+$C389</f>
        <v>299.75</v>
      </c>
      <c r="M389" s="1112">
        <f>($C389*0.1)+$C389</f>
        <v>302.5</v>
      </c>
      <c r="N389" s="1112">
        <f>($C389*0.11)+$C389</f>
        <v>305.25</v>
      </c>
      <c r="O389" s="1112">
        <f>($C389*0.12)+$C389</f>
        <v>308</v>
      </c>
      <c r="P389" s="1112">
        <f>($C389*0.13)+$C389</f>
        <v>310.75</v>
      </c>
      <c r="Q389" s="1112">
        <f>($C389*0.14)+$C389</f>
        <v>313.5</v>
      </c>
      <c r="R389" s="1112">
        <f>($C389*0.15)+$C389</f>
        <v>316.25</v>
      </c>
      <c r="S389" s="1112">
        <f>($C389*0.16)+$C389</f>
        <v>319</v>
      </c>
      <c r="T389" s="1112">
        <f>($C389*0.17)+$C389</f>
        <v>321.75</v>
      </c>
      <c r="U389" s="1112">
        <f>($C389*0.18)+$C389</f>
        <v>324.5</v>
      </c>
      <c r="V389" s="1112">
        <f>($C389*0.19)+$C389</f>
        <v>327.25</v>
      </c>
      <c r="W389" s="1112">
        <f>($C389*0.2)+$C389</f>
        <v>330</v>
      </c>
      <c r="X389" s="1112">
        <f>($C389*0.21)+$C389</f>
        <v>332.75</v>
      </c>
      <c r="Y389" s="1112">
        <f>($C389*0.22)+$C389</f>
        <v>335.5</v>
      </c>
      <c r="Z389" s="1112">
        <f>($C389*0.23)+$C389</f>
        <v>338.25</v>
      </c>
      <c r="AA389" s="1112">
        <f>($C389*0.24)+$C389</f>
        <v>341</v>
      </c>
      <c r="AB389" s="1112">
        <f>($C389*0.25)+$C389</f>
        <v>343.75</v>
      </c>
      <c r="AC389" s="1112">
        <f>($C389*0.26)+$C389</f>
        <v>346.5</v>
      </c>
      <c r="AD389" s="1112">
        <f>($C389*0.27)+$C389</f>
        <v>349.25</v>
      </c>
      <c r="AE389" s="1112">
        <f>($C389*0.28)+$C389</f>
        <v>352</v>
      </c>
      <c r="AF389" s="1112">
        <f>($C389*0.29)+$C389</f>
        <v>354.75</v>
      </c>
      <c r="AG389" s="1112">
        <f>($C389*0.3)+$C389</f>
        <v>357.5</v>
      </c>
    </row>
    <row r="390" spans="1:33" ht="15">
      <c r="A390" s="4" t="s">
        <v>53858</v>
      </c>
      <c r="B390" s="4" t="s">
        <v>53860</v>
      </c>
      <c r="C390" s="5">
        <v>300</v>
      </c>
      <c r="D390" s="1112">
        <f>($C390*0.01)+$C390</f>
        <v>303</v>
      </c>
      <c r="E390" s="1112">
        <f>($C390*0.02)+$C390</f>
        <v>306</v>
      </c>
      <c r="F390" s="1112">
        <f>($C390*0.03)+$C390</f>
        <v>309</v>
      </c>
      <c r="G390" s="1112">
        <f>($C390*0.04)+$C390</f>
        <v>312</v>
      </c>
      <c r="H390" s="1112">
        <f>($C390*0.05)+$C390</f>
        <v>315</v>
      </c>
      <c r="I390" s="1112">
        <f>($C390*0.06)+$C390</f>
        <v>318</v>
      </c>
      <c r="J390" s="1112">
        <f>($C390*0.07)+$C390</f>
        <v>321</v>
      </c>
      <c r="K390" s="1112">
        <f>($C390*0.08)+$C390</f>
        <v>324</v>
      </c>
      <c r="L390" s="1112">
        <f>($C390*0.09)+$C390</f>
        <v>327</v>
      </c>
      <c r="M390" s="1112">
        <f>($C390*0.1)+$C390</f>
        <v>330</v>
      </c>
      <c r="N390" s="1112">
        <f>($C390*0.11)+$C390</f>
        <v>333</v>
      </c>
      <c r="O390" s="1112">
        <f>($C390*0.12)+$C390</f>
        <v>336</v>
      </c>
      <c r="P390" s="1112">
        <f>($C390*0.13)+$C390</f>
        <v>339</v>
      </c>
      <c r="Q390" s="1112">
        <f>($C390*0.14)+$C390</f>
        <v>342</v>
      </c>
      <c r="R390" s="1112">
        <f>($C390*0.15)+$C390</f>
        <v>345</v>
      </c>
      <c r="S390" s="1112">
        <f>($C390*0.16)+$C390</f>
        <v>348</v>
      </c>
      <c r="T390" s="1112">
        <f>($C390*0.17)+$C390</f>
        <v>351</v>
      </c>
      <c r="U390" s="1112">
        <f>($C390*0.18)+$C390</f>
        <v>354</v>
      </c>
      <c r="V390" s="1112">
        <f>($C390*0.19)+$C390</f>
        <v>357</v>
      </c>
      <c r="W390" s="1112">
        <f>($C390*0.2)+$C390</f>
        <v>360</v>
      </c>
      <c r="X390" s="1112">
        <f>($C390*0.21)+$C390</f>
        <v>363</v>
      </c>
      <c r="Y390" s="1112">
        <f>($C390*0.22)+$C390</f>
        <v>366</v>
      </c>
      <c r="Z390" s="1112">
        <f>($C390*0.23)+$C390</f>
        <v>369</v>
      </c>
      <c r="AA390" s="1112">
        <f>($C390*0.24)+$C390</f>
        <v>372</v>
      </c>
      <c r="AB390" s="1112">
        <f>($C390*0.25)+$C390</f>
        <v>375</v>
      </c>
      <c r="AC390" s="1112">
        <f>($C390*0.26)+$C390</f>
        <v>378</v>
      </c>
      <c r="AD390" s="1112">
        <f>($C390*0.27)+$C390</f>
        <v>381</v>
      </c>
      <c r="AE390" s="1112">
        <f>($C390*0.28)+$C390</f>
        <v>384</v>
      </c>
      <c r="AF390" s="1112">
        <f>($C390*0.29)+$C390</f>
        <v>387</v>
      </c>
      <c r="AG390" s="1112">
        <f>($C390*0.3)+$C390</f>
        <v>390</v>
      </c>
    </row>
    <row r="391" spans="1:33" ht="15">
      <c r="A391" s="4" t="s">
        <v>53859</v>
      </c>
      <c r="B391" s="4" t="s">
        <v>53856</v>
      </c>
      <c r="C391" s="5">
        <v>350</v>
      </c>
      <c r="D391" s="1112">
        <f>($C391*0.01)+$C391</f>
        <v>353.5</v>
      </c>
      <c r="E391" s="1112">
        <f>($C391*0.02)+$C391</f>
        <v>357</v>
      </c>
      <c r="F391" s="1112">
        <f>($C391*0.03)+$C391</f>
        <v>360.5</v>
      </c>
      <c r="G391" s="1112">
        <f>($C391*0.04)+$C391</f>
        <v>364</v>
      </c>
      <c r="H391" s="1112">
        <f>($C391*0.05)+$C391</f>
        <v>367.5</v>
      </c>
      <c r="I391" s="1112">
        <f>($C391*0.06)+$C391</f>
        <v>371</v>
      </c>
      <c r="J391" s="1112">
        <f>($C391*0.07)+$C391</f>
        <v>374.5</v>
      </c>
      <c r="K391" s="1112">
        <f>($C391*0.08)+$C391</f>
        <v>378</v>
      </c>
      <c r="L391" s="1112">
        <f>($C391*0.09)+$C391</f>
        <v>381.5</v>
      </c>
      <c r="M391" s="1112">
        <f>($C391*0.1)+$C391</f>
        <v>385</v>
      </c>
      <c r="N391" s="1112">
        <f>($C391*0.11)+$C391</f>
        <v>388.5</v>
      </c>
      <c r="O391" s="1112">
        <f>($C391*0.12)+$C391</f>
        <v>392</v>
      </c>
      <c r="P391" s="1112">
        <f>($C391*0.13)+$C391</f>
        <v>395.5</v>
      </c>
      <c r="Q391" s="1112">
        <f>($C391*0.14)+$C391</f>
        <v>399</v>
      </c>
      <c r="R391" s="1112">
        <f>($C391*0.15)+$C391</f>
        <v>402.5</v>
      </c>
      <c r="S391" s="1112">
        <f>($C391*0.16)+$C391</f>
        <v>406</v>
      </c>
      <c r="T391" s="1112">
        <f>($C391*0.17)+$C391</f>
        <v>409.5</v>
      </c>
      <c r="U391" s="1112">
        <f>($C391*0.18)+$C391</f>
        <v>413</v>
      </c>
      <c r="V391" s="1112">
        <f>($C391*0.19)+$C391</f>
        <v>416.5</v>
      </c>
      <c r="W391" s="1112">
        <f>($C391*0.2)+$C391</f>
        <v>420</v>
      </c>
      <c r="X391" s="1112">
        <f>($C391*0.21)+$C391</f>
        <v>423.5</v>
      </c>
      <c r="Y391" s="1112">
        <f>($C391*0.22)+$C391</f>
        <v>427</v>
      </c>
      <c r="Z391" s="1112">
        <f>($C391*0.23)+$C391</f>
        <v>430.5</v>
      </c>
      <c r="AA391" s="1112">
        <f>($C391*0.24)+$C391</f>
        <v>434</v>
      </c>
      <c r="AB391" s="1112">
        <f>($C391*0.25)+$C391</f>
        <v>437.5</v>
      </c>
      <c r="AC391" s="1112">
        <f>($C391*0.26)+$C391</f>
        <v>441</v>
      </c>
      <c r="AD391" s="1112">
        <f>($C391*0.27)+$C391</f>
        <v>444.5</v>
      </c>
      <c r="AE391" s="1112">
        <f>($C391*0.28)+$C391</f>
        <v>448</v>
      </c>
      <c r="AF391" s="1112">
        <f>($C391*0.29)+$C391</f>
        <v>451.5</v>
      </c>
      <c r="AG391" s="1112">
        <f>($C391*0.3)+$C391</f>
        <v>455</v>
      </c>
    </row>
    <row r="392" spans="1:33" ht="15">
      <c r="A392" s="4" t="s">
        <v>25724</v>
      </c>
      <c r="B392" s="4" t="s">
        <v>25723</v>
      </c>
      <c r="C392" s="5">
        <v>150</v>
      </c>
      <c r="D392" s="1112">
        <f>($C392*0.01)+$C392</f>
        <v>151.5</v>
      </c>
      <c r="E392" s="1112">
        <f>($C392*0.02)+$C392</f>
        <v>153</v>
      </c>
      <c r="F392" s="1112">
        <f>($C392*0.03)+$C392</f>
        <v>154.5</v>
      </c>
      <c r="G392" s="1112">
        <f>($C392*0.04)+$C392</f>
        <v>156</v>
      </c>
      <c r="H392" s="1112">
        <f>($C392*0.05)+$C392</f>
        <v>157.5</v>
      </c>
      <c r="I392" s="1112">
        <f>($C392*0.06)+$C392</f>
        <v>159</v>
      </c>
      <c r="J392" s="1112">
        <f>($C392*0.07)+$C392</f>
        <v>160.5</v>
      </c>
      <c r="K392" s="1112">
        <f>($C392*0.08)+$C392</f>
        <v>162</v>
      </c>
      <c r="L392" s="1112">
        <f>($C392*0.09)+$C392</f>
        <v>163.5</v>
      </c>
      <c r="M392" s="1112">
        <f>($C392*0.1)+$C392</f>
        <v>165</v>
      </c>
      <c r="N392" s="1112">
        <f>($C392*0.11)+$C392</f>
        <v>166.5</v>
      </c>
      <c r="O392" s="1112">
        <f>($C392*0.12)+$C392</f>
        <v>168</v>
      </c>
      <c r="P392" s="1112">
        <f>($C392*0.13)+$C392</f>
        <v>169.5</v>
      </c>
      <c r="Q392" s="1112">
        <f>($C392*0.14)+$C392</f>
        <v>171</v>
      </c>
      <c r="R392" s="1112">
        <f>($C392*0.15)+$C392</f>
        <v>172.5</v>
      </c>
      <c r="S392" s="1112">
        <f>($C392*0.16)+$C392</f>
        <v>174</v>
      </c>
      <c r="T392" s="1112">
        <f>($C392*0.17)+$C392</f>
        <v>175.5</v>
      </c>
      <c r="U392" s="1112">
        <f>($C392*0.18)+$C392</f>
        <v>177</v>
      </c>
      <c r="V392" s="1112">
        <f>($C392*0.19)+$C392</f>
        <v>178.5</v>
      </c>
      <c r="W392" s="1112">
        <f>($C392*0.2)+$C392</f>
        <v>180</v>
      </c>
      <c r="X392" s="1112">
        <f>($C392*0.21)+$C392</f>
        <v>181.5</v>
      </c>
      <c r="Y392" s="1112">
        <f>($C392*0.22)+$C392</f>
        <v>183</v>
      </c>
      <c r="Z392" s="1112">
        <f>($C392*0.23)+$C392</f>
        <v>184.5</v>
      </c>
      <c r="AA392" s="1112">
        <f>($C392*0.24)+$C392</f>
        <v>186</v>
      </c>
      <c r="AB392" s="1112">
        <f>($C392*0.25)+$C392</f>
        <v>187.5</v>
      </c>
      <c r="AC392" s="1112">
        <f>($C392*0.26)+$C392</f>
        <v>189</v>
      </c>
      <c r="AD392" s="1112">
        <f>($C392*0.27)+$C392</f>
        <v>190.5</v>
      </c>
      <c r="AE392" s="1112">
        <f>($C392*0.28)+$C392</f>
        <v>192</v>
      </c>
      <c r="AF392" s="1112">
        <f>($C392*0.29)+$C392</f>
        <v>193.5</v>
      </c>
      <c r="AG392" s="1112">
        <f>($C392*0.3)+$C392</f>
        <v>195</v>
      </c>
    </row>
    <row r="393" spans="1:33" ht="15">
      <c r="A393" s="4" t="s">
        <v>25722</v>
      </c>
      <c r="B393" s="4" t="s">
        <v>25721</v>
      </c>
      <c r="C393" s="5">
        <v>75</v>
      </c>
      <c r="D393" s="1112">
        <f>($C393*0.01)+$C393</f>
        <v>75.75</v>
      </c>
      <c r="E393" s="1112">
        <f>($C393*0.02)+$C393</f>
        <v>76.5</v>
      </c>
      <c r="F393" s="1112">
        <f>($C393*0.03)+$C393</f>
        <v>77.25</v>
      </c>
      <c r="G393" s="1112">
        <f>($C393*0.04)+$C393</f>
        <v>78</v>
      </c>
      <c r="H393" s="1112">
        <f>($C393*0.05)+$C393</f>
        <v>78.75</v>
      </c>
      <c r="I393" s="1112">
        <f>($C393*0.06)+$C393</f>
        <v>79.5</v>
      </c>
      <c r="J393" s="1112">
        <f>($C393*0.07)+$C393</f>
        <v>80.25</v>
      </c>
      <c r="K393" s="1112">
        <f>($C393*0.08)+$C393</f>
        <v>81</v>
      </c>
      <c r="L393" s="1112">
        <f>($C393*0.09)+$C393</f>
        <v>81.75</v>
      </c>
      <c r="M393" s="1112">
        <f>($C393*0.1)+$C393</f>
        <v>82.5</v>
      </c>
      <c r="N393" s="1112">
        <f>($C393*0.11)+$C393</f>
        <v>83.25</v>
      </c>
      <c r="O393" s="1112">
        <f>($C393*0.12)+$C393</f>
        <v>84</v>
      </c>
      <c r="P393" s="1112">
        <f>($C393*0.13)+$C393</f>
        <v>84.75</v>
      </c>
      <c r="Q393" s="1112">
        <f>($C393*0.14)+$C393</f>
        <v>85.5</v>
      </c>
      <c r="R393" s="1112">
        <f>($C393*0.15)+$C393</f>
        <v>86.25</v>
      </c>
      <c r="S393" s="1112">
        <f>($C393*0.16)+$C393</f>
        <v>87</v>
      </c>
      <c r="T393" s="1112">
        <f>($C393*0.17)+$C393</f>
        <v>87.75</v>
      </c>
      <c r="U393" s="1112">
        <f>($C393*0.18)+$C393</f>
        <v>88.5</v>
      </c>
      <c r="V393" s="1112">
        <f>($C393*0.19)+$C393</f>
        <v>89.25</v>
      </c>
      <c r="W393" s="1112">
        <f>($C393*0.2)+$C393</f>
        <v>90</v>
      </c>
      <c r="X393" s="1112">
        <f>($C393*0.21)+$C393</f>
        <v>90.75</v>
      </c>
      <c r="Y393" s="1112">
        <f>($C393*0.22)+$C393</f>
        <v>91.5</v>
      </c>
      <c r="Z393" s="1112">
        <f>($C393*0.23)+$C393</f>
        <v>92.25</v>
      </c>
      <c r="AA393" s="1112">
        <f>($C393*0.24)+$C393</f>
        <v>93</v>
      </c>
      <c r="AB393" s="1112">
        <f>($C393*0.25)+$C393</f>
        <v>93.75</v>
      </c>
      <c r="AC393" s="1112">
        <f>($C393*0.26)+$C393</f>
        <v>94.5</v>
      </c>
      <c r="AD393" s="1112">
        <f>($C393*0.27)+$C393</f>
        <v>95.25</v>
      </c>
      <c r="AE393" s="1112">
        <f>($C393*0.28)+$C393</f>
        <v>96</v>
      </c>
      <c r="AF393" s="1112">
        <f>($C393*0.29)+$C393</f>
        <v>96.75</v>
      </c>
      <c r="AG393" s="1112">
        <f>($C393*0.3)+$C393</f>
        <v>97.5</v>
      </c>
    </row>
    <row r="394" spans="1:33" ht="15">
      <c r="A394" s="7" t="s">
        <v>25895</v>
      </c>
      <c r="B394" s="7" t="s">
        <v>25894</v>
      </c>
      <c r="C394" s="8">
        <v>400</v>
      </c>
      <c r="D394" s="1112">
        <f>($C394*0.01)+$C394</f>
        <v>404</v>
      </c>
      <c r="E394" s="1112">
        <f>($C394*0.02)+$C394</f>
        <v>408</v>
      </c>
      <c r="F394" s="1112">
        <f>($C394*0.03)+$C394</f>
        <v>412</v>
      </c>
      <c r="G394" s="1112">
        <f>($C394*0.04)+$C394</f>
        <v>416</v>
      </c>
      <c r="H394" s="1112">
        <f>($C394*0.05)+$C394</f>
        <v>420</v>
      </c>
      <c r="I394" s="1112">
        <f>($C394*0.06)+$C394</f>
        <v>424</v>
      </c>
      <c r="J394" s="1112">
        <f>($C394*0.07)+$C394</f>
        <v>428</v>
      </c>
      <c r="K394" s="1112">
        <f>($C394*0.08)+$C394</f>
        <v>432</v>
      </c>
      <c r="L394" s="1112">
        <f>($C394*0.09)+$C394</f>
        <v>436</v>
      </c>
      <c r="M394" s="1112">
        <f>($C394*0.1)+$C394</f>
        <v>440</v>
      </c>
      <c r="N394" s="1112">
        <f>($C394*0.11)+$C394</f>
        <v>444</v>
      </c>
      <c r="O394" s="1112">
        <f>($C394*0.12)+$C394</f>
        <v>448</v>
      </c>
      <c r="P394" s="1112">
        <f>($C394*0.13)+$C394</f>
        <v>452</v>
      </c>
      <c r="Q394" s="1112">
        <f>($C394*0.14)+$C394</f>
        <v>456</v>
      </c>
      <c r="R394" s="1112">
        <f>($C394*0.15)+$C394</f>
        <v>460</v>
      </c>
      <c r="S394" s="1112">
        <f>($C394*0.16)+$C394</f>
        <v>464</v>
      </c>
      <c r="T394" s="1112">
        <f>($C394*0.17)+$C394</f>
        <v>468</v>
      </c>
      <c r="U394" s="1112">
        <f>($C394*0.18)+$C394</f>
        <v>472</v>
      </c>
      <c r="V394" s="1112">
        <f>($C394*0.19)+$C394</f>
        <v>476</v>
      </c>
      <c r="W394" s="1112">
        <f>($C394*0.2)+$C394</f>
        <v>480</v>
      </c>
      <c r="X394" s="1112">
        <f>($C394*0.21)+$C394</f>
        <v>484</v>
      </c>
      <c r="Y394" s="1112">
        <f>($C394*0.22)+$C394</f>
        <v>488</v>
      </c>
      <c r="Z394" s="1112">
        <f>($C394*0.23)+$C394</f>
        <v>492</v>
      </c>
      <c r="AA394" s="1112">
        <f>($C394*0.24)+$C394</f>
        <v>496</v>
      </c>
      <c r="AB394" s="1112">
        <f>($C394*0.25)+$C394</f>
        <v>500</v>
      </c>
      <c r="AC394" s="1112">
        <f>($C394*0.26)+$C394</f>
        <v>504</v>
      </c>
      <c r="AD394" s="1112">
        <f>($C394*0.27)+$C394</f>
        <v>508</v>
      </c>
      <c r="AE394" s="1112">
        <f>($C394*0.28)+$C394</f>
        <v>512</v>
      </c>
      <c r="AF394" s="1112">
        <f>($C394*0.29)+$C394</f>
        <v>516</v>
      </c>
      <c r="AG394" s="1112">
        <f>($C394*0.3)+$C394</f>
        <v>520</v>
      </c>
    </row>
    <row r="395" spans="1:33" ht="15">
      <c r="A395" s="7" t="s">
        <v>25893</v>
      </c>
      <c r="B395" s="7" t="s">
        <v>54267</v>
      </c>
      <c r="C395" s="8">
        <v>400</v>
      </c>
      <c r="D395" s="1112">
        <f>($C395*0.01)+$C395</f>
        <v>404</v>
      </c>
      <c r="E395" s="1112">
        <f>($C395*0.02)+$C395</f>
        <v>408</v>
      </c>
      <c r="F395" s="1112">
        <f>($C395*0.03)+$C395</f>
        <v>412</v>
      </c>
      <c r="G395" s="1112">
        <f>($C395*0.04)+$C395</f>
        <v>416</v>
      </c>
      <c r="H395" s="1112">
        <f>($C395*0.05)+$C395</f>
        <v>420</v>
      </c>
      <c r="I395" s="1112">
        <f>($C395*0.06)+$C395</f>
        <v>424</v>
      </c>
      <c r="J395" s="1112">
        <f>($C395*0.07)+$C395</f>
        <v>428</v>
      </c>
      <c r="K395" s="1112">
        <f>($C395*0.08)+$C395</f>
        <v>432</v>
      </c>
      <c r="L395" s="1112">
        <f>($C395*0.09)+$C395</f>
        <v>436</v>
      </c>
      <c r="M395" s="1112">
        <f>($C395*0.1)+$C395</f>
        <v>440</v>
      </c>
      <c r="N395" s="1112">
        <f>($C395*0.11)+$C395</f>
        <v>444</v>
      </c>
      <c r="O395" s="1112">
        <f>($C395*0.12)+$C395</f>
        <v>448</v>
      </c>
      <c r="P395" s="1112">
        <f>($C395*0.13)+$C395</f>
        <v>452</v>
      </c>
      <c r="Q395" s="1112">
        <f>($C395*0.14)+$C395</f>
        <v>456</v>
      </c>
      <c r="R395" s="1112">
        <f>($C395*0.15)+$C395</f>
        <v>460</v>
      </c>
      <c r="S395" s="1112">
        <f>($C395*0.16)+$C395</f>
        <v>464</v>
      </c>
      <c r="T395" s="1112">
        <f>($C395*0.17)+$C395</f>
        <v>468</v>
      </c>
      <c r="U395" s="1112">
        <f>($C395*0.18)+$C395</f>
        <v>472</v>
      </c>
      <c r="V395" s="1112">
        <f>($C395*0.19)+$C395</f>
        <v>476</v>
      </c>
      <c r="W395" s="1112">
        <f>($C395*0.2)+$C395</f>
        <v>480</v>
      </c>
      <c r="X395" s="1112">
        <f>($C395*0.21)+$C395</f>
        <v>484</v>
      </c>
      <c r="Y395" s="1112">
        <f>($C395*0.22)+$C395</f>
        <v>488</v>
      </c>
      <c r="Z395" s="1112">
        <f>($C395*0.23)+$C395</f>
        <v>492</v>
      </c>
      <c r="AA395" s="1112">
        <f>($C395*0.24)+$C395</f>
        <v>496</v>
      </c>
      <c r="AB395" s="1112">
        <f>($C395*0.25)+$C395</f>
        <v>500</v>
      </c>
      <c r="AC395" s="1112">
        <f>($C395*0.26)+$C395</f>
        <v>504</v>
      </c>
      <c r="AD395" s="1112">
        <f>($C395*0.27)+$C395</f>
        <v>508</v>
      </c>
      <c r="AE395" s="1112">
        <f>($C395*0.28)+$C395</f>
        <v>512</v>
      </c>
      <c r="AF395" s="1112">
        <f>($C395*0.29)+$C395</f>
        <v>516</v>
      </c>
      <c r="AG395" s="1112">
        <f>($C395*0.3)+$C395</f>
        <v>520</v>
      </c>
    </row>
    <row r="396" spans="1:33" ht="15">
      <c r="A396" s="4" t="s">
        <v>53865</v>
      </c>
      <c r="B396" s="4" t="s">
        <v>53866</v>
      </c>
      <c r="C396" s="5">
        <v>50</v>
      </c>
      <c r="D396" s="1112">
        <f>($C396*0.01)+$C396</f>
        <v>50.5</v>
      </c>
      <c r="E396" s="1112">
        <f>($C396*0.02)+$C396</f>
        <v>51</v>
      </c>
      <c r="F396" s="1112">
        <f>($C396*0.03)+$C396</f>
        <v>51.5</v>
      </c>
      <c r="G396" s="1112">
        <f>($C396*0.04)+$C396</f>
        <v>52</v>
      </c>
      <c r="H396" s="1112">
        <f>($C396*0.05)+$C396</f>
        <v>52.5</v>
      </c>
      <c r="I396" s="1112">
        <f>($C396*0.06)+$C396</f>
        <v>53</v>
      </c>
      <c r="J396" s="1112">
        <f>($C396*0.07)+$C396</f>
        <v>53.5</v>
      </c>
      <c r="K396" s="1112">
        <f>($C396*0.08)+$C396</f>
        <v>54</v>
      </c>
      <c r="L396" s="1112">
        <f>($C396*0.09)+$C396</f>
        <v>54.5</v>
      </c>
      <c r="M396" s="1112">
        <f>($C396*0.1)+$C396</f>
        <v>55</v>
      </c>
      <c r="N396" s="1112">
        <f>($C396*0.11)+$C396</f>
        <v>55.5</v>
      </c>
      <c r="O396" s="1112">
        <f>($C396*0.12)+$C396</f>
        <v>56</v>
      </c>
      <c r="P396" s="1112">
        <f>($C396*0.13)+$C396</f>
        <v>56.5</v>
      </c>
      <c r="Q396" s="1112">
        <f>($C396*0.14)+$C396</f>
        <v>57</v>
      </c>
      <c r="R396" s="1112">
        <f>($C396*0.15)+$C396</f>
        <v>57.5</v>
      </c>
      <c r="S396" s="1112">
        <f>($C396*0.16)+$C396</f>
        <v>58</v>
      </c>
      <c r="T396" s="1112">
        <f>($C396*0.17)+$C396</f>
        <v>58.5</v>
      </c>
      <c r="U396" s="1112">
        <f>($C396*0.18)+$C396</f>
        <v>59</v>
      </c>
      <c r="V396" s="1112">
        <f>($C396*0.19)+$C396</f>
        <v>59.5</v>
      </c>
      <c r="W396" s="1112">
        <f>($C396*0.2)+$C396</f>
        <v>60</v>
      </c>
      <c r="X396" s="1112">
        <f>($C396*0.21)+$C396</f>
        <v>60.5</v>
      </c>
      <c r="Y396" s="1112">
        <f>($C396*0.22)+$C396</f>
        <v>61</v>
      </c>
      <c r="Z396" s="1112">
        <f>($C396*0.23)+$C396</f>
        <v>61.5</v>
      </c>
      <c r="AA396" s="1112">
        <f>($C396*0.24)+$C396</f>
        <v>62</v>
      </c>
      <c r="AB396" s="1112">
        <f>($C396*0.25)+$C396</f>
        <v>62.5</v>
      </c>
      <c r="AC396" s="1112">
        <f>($C396*0.26)+$C396</f>
        <v>63</v>
      </c>
      <c r="AD396" s="1112">
        <f>($C396*0.27)+$C396</f>
        <v>63.5</v>
      </c>
      <c r="AE396" s="1112">
        <f>($C396*0.28)+$C396</f>
        <v>64</v>
      </c>
      <c r="AF396" s="1112">
        <f>($C396*0.29)+$C396</f>
        <v>64.5</v>
      </c>
      <c r="AG396" s="1112">
        <f>($C396*0.3)+$C396</f>
        <v>65</v>
      </c>
    </row>
    <row r="397" spans="1:33" ht="15">
      <c r="A397" s="4"/>
      <c r="B397" s="4"/>
      <c r="C397" s="5"/>
      <c r="D397" s="1112"/>
      <c r="E397" s="1112"/>
      <c r="F397" s="1112"/>
      <c r="G397" s="1112"/>
      <c r="H397" s="1112"/>
      <c r="I397" s="1112"/>
      <c r="J397" s="1112"/>
      <c r="K397" s="1112"/>
      <c r="L397" s="1112"/>
      <c r="M397" s="1112"/>
      <c r="N397" s="1112"/>
      <c r="O397" s="1112"/>
      <c r="P397" s="1112"/>
      <c r="Q397" s="1112"/>
      <c r="R397" s="1112"/>
      <c r="S397" s="1112"/>
      <c r="T397" s="1112"/>
      <c r="U397" s="1112"/>
      <c r="V397" s="1112"/>
      <c r="W397" s="1112"/>
      <c r="X397" s="1112"/>
      <c r="Y397" s="1112"/>
      <c r="Z397" s="1112"/>
      <c r="AA397" s="1112"/>
      <c r="AB397" s="1112"/>
      <c r="AC397" s="1112"/>
      <c r="AD397" s="1112"/>
      <c r="AE397" s="1112"/>
      <c r="AF397" s="1112"/>
      <c r="AG397" s="1112"/>
    </row>
    <row r="398" spans="1:33" ht="20">
      <c r="A398" s="15"/>
      <c r="B398" s="11" t="s">
        <v>53890</v>
      </c>
      <c r="C398" s="16"/>
      <c r="D398" s="1112"/>
      <c r="E398" s="1112"/>
      <c r="F398" s="1112"/>
      <c r="G398" s="1112"/>
      <c r="H398" s="1112"/>
      <c r="I398" s="1112"/>
      <c r="J398" s="1112"/>
      <c r="K398" s="1112"/>
      <c r="L398" s="1112"/>
      <c r="M398" s="1112"/>
      <c r="N398" s="1112"/>
      <c r="O398" s="1112"/>
      <c r="P398" s="1112"/>
      <c r="Q398" s="1112"/>
      <c r="R398" s="1112"/>
      <c r="S398" s="1112"/>
      <c r="T398" s="1112"/>
      <c r="U398" s="1112"/>
      <c r="V398" s="1112"/>
      <c r="W398" s="1112"/>
      <c r="X398" s="1112"/>
      <c r="Y398" s="1112"/>
      <c r="Z398" s="1112"/>
      <c r="AA398" s="1112"/>
      <c r="AB398" s="1112"/>
      <c r="AC398" s="1112"/>
      <c r="AD398" s="1112"/>
      <c r="AE398" s="1112"/>
      <c r="AF398" s="1112"/>
      <c r="AG398" s="1112"/>
    </row>
    <row r="399" spans="1:33" ht="30">
      <c r="A399" s="4" t="s">
        <v>54251</v>
      </c>
      <c r="B399" s="4" t="s">
        <v>37738</v>
      </c>
      <c r="C399" s="5">
        <v>2800</v>
      </c>
      <c r="D399" s="1112">
        <f>($C399*0.01)+$C399</f>
        <v>2828</v>
      </c>
      <c r="E399" s="1112">
        <f>($C399*0.02)+$C399</f>
        <v>2856</v>
      </c>
      <c r="F399" s="1112">
        <f>($C399*0.03)+$C399</f>
        <v>2884</v>
      </c>
      <c r="G399" s="1112">
        <f>($C399*0.04)+$C399</f>
        <v>2912</v>
      </c>
      <c r="H399" s="1112">
        <f>($C399*0.05)+$C399</f>
        <v>2940</v>
      </c>
      <c r="I399" s="1112">
        <f>($C399*0.06)+$C399</f>
        <v>2968</v>
      </c>
      <c r="J399" s="1112">
        <f>($C399*0.07)+$C399</f>
        <v>2996</v>
      </c>
      <c r="K399" s="1112">
        <f>($C399*0.08)+$C399</f>
        <v>3024</v>
      </c>
      <c r="L399" s="1112">
        <f>($C399*0.09)+$C399</f>
        <v>3052</v>
      </c>
      <c r="M399" s="1112">
        <f>($C399*0.1)+$C399</f>
        <v>3080</v>
      </c>
      <c r="N399" s="1112">
        <f>($C399*0.11)+$C399</f>
        <v>3108</v>
      </c>
      <c r="O399" s="1112">
        <f>($C399*0.12)+$C399</f>
        <v>3136</v>
      </c>
      <c r="P399" s="1112">
        <f>($C399*0.13)+$C399</f>
        <v>3164</v>
      </c>
      <c r="Q399" s="1112">
        <f>($C399*0.14)+$C399</f>
        <v>3192</v>
      </c>
      <c r="R399" s="1112">
        <f>($C399*0.15)+$C399</f>
        <v>3220</v>
      </c>
      <c r="S399" s="1112">
        <f>($C399*0.16)+$C399</f>
        <v>3248</v>
      </c>
      <c r="T399" s="1112">
        <f>($C399*0.17)+$C399</f>
        <v>3276</v>
      </c>
      <c r="U399" s="1112">
        <f>($C399*0.18)+$C399</f>
        <v>3304</v>
      </c>
      <c r="V399" s="1112">
        <f>($C399*0.19)+$C399</f>
        <v>3332</v>
      </c>
      <c r="W399" s="1112">
        <f>($C399*0.2)+$C399</f>
        <v>3360</v>
      </c>
      <c r="X399" s="1112">
        <f>($C399*0.21)+$C399</f>
        <v>3388</v>
      </c>
      <c r="Y399" s="1112">
        <f>($C399*0.22)+$C399</f>
        <v>3416</v>
      </c>
      <c r="Z399" s="1112">
        <f>($C399*0.23)+$C399</f>
        <v>3444</v>
      </c>
      <c r="AA399" s="1112">
        <f>($C399*0.24)+$C399</f>
        <v>3472</v>
      </c>
      <c r="AB399" s="1112">
        <f>($C399*0.25)+$C399</f>
        <v>3500</v>
      </c>
      <c r="AC399" s="1112">
        <f>($C399*0.26)+$C399</f>
        <v>3528</v>
      </c>
      <c r="AD399" s="1112">
        <f>($C399*0.27)+$C399</f>
        <v>3556</v>
      </c>
      <c r="AE399" s="1112">
        <f>($C399*0.28)+$C399</f>
        <v>3584</v>
      </c>
      <c r="AF399" s="1112">
        <f>($C399*0.29)+$C399</f>
        <v>3612</v>
      </c>
      <c r="AG399" s="1112">
        <f>($C399*0.3)+$C399</f>
        <v>3640</v>
      </c>
    </row>
    <row r="400" spans="1:33" ht="30">
      <c r="A400" s="4" t="s">
        <v>54242</v>
      </c>
      <c r="B400" s="4" t="s">
        <v>54243</v>
      </c>
      <c r="C400" s="5">
        <v>1800</v>
      </c>
      <c r="D400" s="1112">
        <f>($C400*0.01)+$C400</f>
        <v>1818</v>
      </c>
      <c r="E400" s="1112">
        <f>($C400*0.02)+$C400</f>
        <v>1836</v>
      </c>
      <c r="F400" s="1112">
        <f>($C400*0.03)+$C400</f>
        <v>1854</v>
      </c>
      <c r="G400" s="1112">
        <f>($C400*0.04)+$C400</f>
        <v>1872</v>
      </c>
      <c r="H400" s="1112">
        <f>($C400*0.05)+$C400</f>
        <v>1890</v>
      </c>
      <c r="I400" s="1112">
        <f>($C400*0.06)+$C400</f>
        <v>1908</v>
      </c>
      <c r="J400" s="1112">
        <f>($C400*0.07)+$C400</f>
        <v>1926</v>
      </c>
      <c r="K400" s="1112">
        <f>($C400*0.08)+$C400</f>
        <v>1944</v>
      </c>
      <c r="L400" s="1112">
        <f>($C400*0.09)+$C400</f>
        <v>1962</v>
      </c>
      <c r="M400" s="1112">
        <f>($C400*0.1)+$C400</f>
        <v>1980</v>
      </c>
      <c r="N400" s="1112">
        <f>($C400*0.11)+$C400</f>
        <v>1998</v>
      </c>
      <c r="O400" s="1112">
        <f>($C400*0.12)+$C400</f>
        <v>2016</v>
      </c>
      <c r="P400" s="1112">
        <f>($C400*0.13)+$C400</f>
        <v>2034</v>
      </c>
      <c r="Q400" s="1112">
        <f>($C400*0.14)+$C400</f>
        <v>2052</v>
      </c>
      <c r="R400" s="1112">
        <f>($C400*0.15)+$C400</f>
        <v>2070</v>
      </c>
      <c r="S400" s="1112">
        <f>($C400*0.16)+$C400</f>
        <v>2088</v>
      </c>
      <c r="T400" s="1112">
        <f>($C400*0.17)+$C400</f>
        <v>2106</v>
      </c>
      <c r="U400" s="1112">
        <f>($C400*0.18)+$C400</f>
        <v>2124</v>
      </c>
      <c r="V400" s="1112">
        <f>($C400*0.19)+$C400</f>
        <v>2142</v>
      </c>
      <c r="W400" s="1112">
        <f>($C400*0.2)+$C400</f>
        <v>2160</v>
      </c>
      <c r="X400" s="1112">
        <f>($C400*0.21)+$C400</f>
        <v>2178</v>
      </c>
      <c r="Y400" s="1112">
        <f>($C400*0.22)+$C400</f>
        <v>2196</v>
      </c>
      <c r="Z400" s="1112">
        <f>($C400*0.23)+$C400</f>
        <v>2214</v>
      </c>
      <c r="AA400" s="1112">
        <f>($C400*0.24)+$C400</f>
        <v>2232</v>
      </c>
      <c r="AB400" s="1112">
        <f>($C400*0.25)+$C400</f>
        <v>2250</v>
      </c>
      <c r="AC400" s="1112">
        <f>($C400*0.26)+$C400</f>
        <v>2268</v>
      </c>
      <c r="AD400" s="1112">
        <f>($C400*0.27)+$C400</f>
        <v>2286</v>
      </c>
      <c r="AE400" s="1112">
        <f>($C400*0.28)+$C400</f>
        <v>2304</v>
      </c>
      <c r="AF400" s="1112">
        <f>($C400*0.29)+$C400</f>
        <v>2322</v>
      </c>
      <c r="AG400" s="1112">
        <f>($C400*0.3)+$C400</f>
        <v>2340</v>
      </c>
    </row>
    <row r="401" spans="1:33" ht="30">
      <c r="A401" s="4" t="s">
        <v>54247</v>
      </c>
      <c r="B401" s="4" t="s">
        <v>54246</v>
      </c>
      <c r="C401" s="5">
        <v>2500</v>
      </c>
      <c r="D401" s="1112">
        <f>($C401*0.01)+$C401</f>
        <v>2525</v>
      </c>
      <c r="E401" s="1112">
        <f>($C401*0.02)+$C401</f>
        <v>2550</v>
      </c>
      <c r="F401" s="1112">
        <f>($C401*0.03)+$C401</f>
        <v>2575</v>
      </c>
      <c r="G401" s="1112">
        <f>($C401*0.04)+$C401</f>
        <v>2600</v>
      </c>
      <c r="H401" s="1112">
        <f>($C401*0.05)+$C401</f>
        <v>2625</v>
      </c>
      <c r="I401" s="1112">
        <f>($C401*0.06)+$C401</f>
        <v>2650</v>
      </c>
      <c r="J401" s="1112">
        <f>($C401*0.07)+$C401</f>
        <v>2675</v>
      </c>
      <c r="K401" s="1112">
        <f>($C401*0.08)+$C401</f>
        <v>2700</v>
      </c>
      <c r="L401" s="1112">
        <f>($C401*0.09)+$C401</f>
        <v>2725</v>
      </c>
      <c r="M401" s="1112">
        <f>($C401*0.1)+$C401</f>
        <v>2750</v>
      </c>
      <c r="N401" s="1112">
        <f>($C401*0.11)+$C401</f>
        <v>2775</v>
      </c>
      <c r="O401" s="1112">
        <f>($C401*0.12)+$C401</f>
        <v>2800</v>
      </c>
      <c r="P401" s="1112">
        <f>($C401*0.13)+$C401</f>
        <v>2825</v>
      </c>
      <c r="Q401" s="1112">
        <f>($C401*0.14)+$C401</f>
        <v>2850</v>
      </c>
      <c r="R401" s="1112">
        <f>($C401*0.15)+$C401</f>
        <v>2875</v>
      </c>
      <c r="S401" s="1112">
        <f>($C401*0.16)+$C401</f>
        <v>2900</v>
      </c>
      <c r="T401" s="1112">
        <f>($C401*0.17)+$C401</f>
        <v>2925</v>
      </c>
      <c r="U401" s="1112">
        <f>($C401*0.18)+$C401</f>
        <v>2950</v>
      </c>
      <c r="V401" s="1112">
        <f>($C401*0.19)+$C401</f>
        <v>2975</v>
      </c>
      <c r="W401" s="1112">
        <f>($C401*0.2)+$C401</f>
        <v>3000</v>
      </c>
      <c r="X401" s="1112">
        <f>($C401*0.21)+$C401</f>
        <v>3025</v>
      </c>
      <c r="Y401" s="1112">
        <f>($C401*0.22)+$C401</f>
        <v>3050</v>
      </c>
      <c r="Z401" s="1112">
        <f>($C401*0.23)+$C401</f>
        <v>3075</v>
      </c>
      <c r="AA401" s="1112">
        <f>($C401*0.24)+$C401</f>
        <v>3100</v>
      </c>
      <c r="AB401" s="1112">
        <f>($C401*0.25)+$C401</f>
        <v>3125</v>
      </c>
      <c r="AC401" s="1112">
        <f>($C401*0.26)+$C401</f>
        <v>3150</v>
      </c>
      <c r="AD401" s="1112">
        <f>($C401*0.27)+$C401</f>
        <v>3175</v>
      </c>
      <c r="AE401" s="1112">
        <f>($C401*0.28)+$C401</f>
        <v>3200</v>
      </c>
      <c r="AF401" s="1112">
        <f>($C401*0.29)+$C401</f>
        <v>3225</v>
      </c>
      <c r="AG401" s="1112">
        <f>($C401*0.3)+$C401</f>
        <v>3250</v>
      </c>
    </row>
    <row r="402" spans="1:33" ht="45">
      <c r="A402" s="4"/>
      <c r="B402" s="4" t="s">
        <v>37741</v>
      </c>
      <c r="C402" s="5">
        <v>2200</v>
      </c>
      <c r="D402" s="1112">
        <f>($C402*0.01)+$C402</f>
        <v>2222</v>
      </c>
      <c r="E402" s="1112">
        <f>($C402*0.02)+$C402</f>
        <v>2244</v>
      </c>
      <c r="F402" s="1112">
        <f>($C402*0.03)+$C402</f>
        <v>2266</v>
      </c>
      <c r="G402" s="1112">
        <f>($C402*0.04)+$C402</f>
        <v>2288</v>
      </c>
      <c r="H402" s="1112">
        <f>($C402*0.05)+$C402</f>
        <v>2310</v>
      </c>
      <c r="I402" s="1112">
        <f>($C402*0.06)+$C402</f>
        <v>2332</v>
      </c>
      <c r="J402" s="1112">
        <f>($C402*0.07)+$C402</f>
        <v>2354</v>
      </c>
      <c r="K402" s="1112">
        <f>($C402*0.08)+$C402</f>
        <v>2376</v>
      </c>
      <c r="L402" s="1112">
        <f>($C402*0.09)+$C402</f>
        <v>2398</v>
      </c>
      <c r="M402" s="1112">
        <f>($C402*0.1)+$C402</f>
        <v>2420</v>
      </c>
      <c r="N402" s="1112">
        <f>($C402*0.11)+$C402</f>
        <v>2442</v>
      </c>
      <c r="O402" s="1112">
        <f>($C402*0.12)+$C402</f>
        <v>2464</v>
      </c>
      <c r="P402" s="1112">
        <f>($C402*0.13)+$C402</f>
        <v>2486</v>
      </c>
      <c r="Q402" s="1112">
        <f>($C402*0.14)+$C402</f>
        <v>2508</v>
      </c>
      <c r="R402" s="1112">
        <f>($C402*0.15)+$C402</f>
        <v>2530</v>
      </c>
      <c r="S402" s="1112">
        <f>($C402*0.16)+$C402</f>
        <v>2552</v>
      </c>
      <c r="T402" s="1112">
        <f>($C402*0.17)+$C402</f>
        <v>2574</v>
      </c>
      <c r="U402" s="1112">
        <f>($C402*0.18)+$C402</f>
        <v>2596</v>
      </c>
      <c r="V402" s="1112">
        <f>($C402*0.19)+$C402</f>
        <v>2618</v>
      </c>
      <c r="W402" s="1112">
        <f>($C402*0.2)+$C402</f>
        <v>2640</v>
      </c>
      <c r="X402" s="1112">
        <f>($C402*0.21)+$C402</f>
        <v>2662</v>
      </c>
      <c r="Y402" s="1112">
        <f>($C402*0.22)+$C402</f>
        <v>2684</v>
      </c>
      <c r="Z402" s="1112">
        <f>($C402*0.23)+$C402</f>
        <v>2706</v>
      </c>
      <c r="AA402" s="1112">
        <f>($C402*0.24)+$C402</f>
        <v>2728</v>
      </c>
      <c r="AB402" s="1112">
        <f>($C402*0.25)+$C402</f>
        <v>2750</v>
      </c>
      <c r="AC402" s="1112">
        <f>($C402*0.26)+$C402</f>
        <v>2772</v>
      </c>
      <c r="AD402" s="1112">
        <f>($C402*0.27)+$C402</f>
        <v>2794</v>
      </c>
      <c r="AE402" s="1112">
        <f>($C402*0.28)+$C402</f>
        <v>2816</v>
      </c>
      <c r="AF402" s="1112">
        <f>($C402*0.29)+$C402</f>
        <v>2838</v>
      </c>
      <c r="AG402" s="1112">
        <f>($C402*0.3)+$C402</f>
        <v>2860</v>
      </c>
    </row>
    <row r="403" spans="1:33" ht="15">
      <c r="A403" s="4"/>
      <c r="B403" s="4" t="s">
        <v>37739</v>
      </c>
      <c r="C403" s="5">
        <v>3000</v>
      </c>
      <c r="D403" s="1112">
        <f>($C403*0.01)+$C403</f>
        <v>3030</v>
      </c>
      <c r="E403" s="1112">
        <f>($C403*0.02)+$C403</f>
        <v>3060</v>
      </c>
      <c r="F403" s="1112">
        <f>($C403*0.03)+$C403</f>
        <v>3090</v>
      </c>
      <c r="G403" s="1112">
        <f>($C403*0.04)+$C403</f>
        <v>3120</v>
      </c>
      <c r="H403" s="1112">
        <f>($C403*0.05)+$C403</f>
        <v>3150</v>
      </c>
      <c r="I403" s="1112">
        <f>($C403*0.06)+$C403</f>
        <v>3180</v>
      </c>
      <c r="J403" s="1112">
        <f>($C403*0.07)+$C403</f>
        <v>3210</v>
      </c>
      <c r="K403" s="1112">
        <f>($C403*0.08)+$C403</f>
        <v>3240</v>
      </c>
      <c r="L403" s="1112">
        <f>($C403*0.09)+$C403</f>
        <v>3270</v>
      </c>
      <c r="M403" s="1112">
        <f>($C403*0.1)+$C403</f>
        <v>3300</v>
      </c>
      <c r="N403" s="1112">
        <f>($C403*0.11)+$C403</f>
        <v>3330</v>
      </c>
      <c r="O403" s="1112">
        <f>($C403*0.12)+$C403</f>
        <v>3360</v>
      </c>
      <c r="P403" s="1112">
        <f>($C403*0.13)+$C403</f>
        <v>3390</v>
      </c>
      <c r="Q403" s="1112">
        <f>($C403*0.14)+$C403</f>
        <v>3420</v>
      </c>
      <c r="R403" s="1112">
        <f>($C403*0.15)+$C403</f>
        <v>3450</v>
      </c>
      <c r="S403" s="1112">
        <f>($C403*0.16)+$C403</f>
        <v>3480</v>
      </c>
      <c r="T403" s="1112">
        <f>($C403*0.17)+$C403</f>
        <v>3510</v>
      </c>
      <c r="U403" s="1112">
        <f>($C403*0.18)+$C403</f>
        <v>3540</v>
      </c>
      <c r="V403" s="1112">
        <f>($C403*0.19)+$C403</f>
        <v>3570</v>
      </c>
      <c r="W403" s="1112">
        <f>($C403*0.2)+$C403</f>
        <v>3600</v>
      </c>
      <c r="X403" s="1112">
        <f>($C403*0.21)+$C403</f>
        <v>3630</v>
      </c>
      <c r="Y403" s="1112">
        <f>($C403*0.22)+$C403</f>
        <v>3660</v>
      </c>
      <c r="Z403" s="1112">
        <f>($C403*0.23)+$C403</f>
        <v>3690</v>
      </c>
      <c r="AA403" s="1112">
        <f>($C403*0.24)+$C403</f>
        <v>3720</v>
      </c>
      <c r="AB403" s="1112">
        <f>($C403*0.25)+$C403</f>
        <v>3750</v>
      </c>
      <c r="AC403" s="1112">
        <f>($C403*0.26)+$C403</f>
        <v>3780</v>
      </c>
      <c r="AD403" s="1112">
        <f>($C403*0.27)+$C403</f>
        <v>3810</v>
      </c>
      <c r="AE403" s="1112">
        <f>($C403*0.28)+$C403</f>
        <v>3840</v>
      </c>
      <c r="AF403" s="1112">
        <f>($C403*0.29)+$C403</f>
        <v>3870</v>
      </c>
      <c r="AG403" s="1112">
        <f>($C403*0.3)+$C403</f>
        <v>3900</v>
      </c>
    </row>
    <row r="404" spans="1:33" ht="15">
      <c r="A404" s="4"/>
      <c r="B404" s="4" t="s">
        <v>37740</v>
      </c>
      <c r="C404" s="5">
        <v>2900</v>
      </c>
      <c r="D404" s="1112">
        <f>($C404*0.01)+$C404</f>
        <v>2929</v>
      </c>
      <c r="E404" s="1112">
        <f>($C404*0.02)+$C404</f>
        <v>2958</v>
      </c>
      <c r="F404" s="1112">
        <f>($C404*0.03)+$C404</f>
        <v>2987</v>
      </c>
      <c r="G404" s="1112">
        <f>($C404*0.04)+$C404</f>
        <v>3016</v>
      </c>
      <c r="H404" s="1112">
        <f>($C404*0.05)+$C404</f>
        <v>3045</v>
      </c>
      <c r="I404" s="1112">
        <f>($C404*0.06)+$C404</f>
        <v>3074</v>
      </c>
      <c r="J404" s="1112">
        <f>($C404*0.07)+$C404</f>
        <v>3103</v>
      </c>
      <c r="K404" s="1112">
        <f>($C404*0.08)+$C404</f>
        <v>3132</v>
      </c>
      <c r="L404" s="1112">
        <f>($C404*0.09)+$C404</f>
        <v>3161</v>
      </c>
      <c r="M404" s="1112">
        <f>($C404*0.1)+$C404</f>
        <v>3190</v>
      </c>
      <c r="N404" s="1112">
        <f>($C404*0.11)+$C404</f>
        <v>3219</v>
      </c>
      <c r="O404" s="1112">
        <f>($C404*0.12)+$C404</f>
        <v>3248</v>
      </c>
      <c r="P404" s="1112">
        <f>($C404*0.13)+$C404</f>
        <v>3277</v>
      </c>
      <c r="Q404" s="1112">
        <f>($C404*0.14)+$C404</f>
        <v>3306</v>
      </c>
      <c r="R404" s="1112">
        <f>($C404*0.15)+$C404</f>
        <v>3335</v>
      </c>
      <c r="S404" s="1112">
        <f>($C404*0.16)+$C404</f>
        <v>3364</v>
      </c>
      <c r="T404" s="1112">
        <f>($C404*0.17)+$C404</f>
        <v>3393</v>
      </c>
      <c r="U404" s="1112">
        <f>($C404*0.18)+$C404</f>
        <v>3422</v>
      </c>
      <c r="V404" s="1112">
        <f>($C404*0.19)+$C404</f>
        <v>3451</v>
      </c>
      <c r="W404" s="1112">
        <f>($C404*0.2)+$C404</f>
        <v>3480</v>
      </c>
      <c r="X404" s="1112">
        <f>($C404*0.21)+$C404</f>
        <v>3509</v>
      </c>
      <c r="Y404" s="1112">
        <f>($C404*0.22)+$C404</f>
        <v>3538</v>
      </c>
      <c r="Z404" s="1112">
        <f>($C404*0.23)+$C404</f>
        <v>3567</v>
      </c>
      <c r="AA404" s="1112">
        <f>($C404*0.24)+$C404</f>
        <v>3596</v>
      </c>
      <c r="AB404" s="1112">
        <f>($C404*0.25)+$C404</f>
        <v>3625</v>
      </c>
      <c r="AC404" s="1112">
        <f>($C404*0.26)+$C404</f>
        <v>3654</v>
      </c>
      <c r="AD404" s="1112">
        <f>($C404*0.27)+$C404</f>
        <v>3683</v>
      </c>
      <c r="AE404" s="1112">
        <f>($C404*0.28)+$C404</f>
        <v>3712</v>
      </c>
      <c r="AF404" s="1112">
        <f>($C404*0.29)+$C404</f>
        <v>3741</v>
      </c>
      <c r="AG404" s="1112">
        <f>($C404*0.3)+$C404</f>
        <v>3770</v>
      </c>
    </row>
    <row r="405" spans="1:33" ht="60">
      <c r="A405" s="4"/>
      <c r="B405" s="4" t="s">
        <v>37742</v>
      </c>
      <c r="C405" s="5">
        <v>3500</v>
      </c>
      <c r="D405" s="1112">
        <f>($C405*0.01)+$C405</f>
        <v>3535</v>
      </c>
      <c r="E405" s="1112">
        <f>($C405*0.02)+$C405</f>
        <v>3570</v>
      </c>
      <c r="F405" s="1112">
        <f>($C405*0.03)+$C405</f>
        <v>3605</v>
      </c>
      <c r="G405" s="1112">
        <f>($C405*0.04)+$C405</f>
        <v>3640</v>
      </c>
      <c r="H405" s="1112">
        <f>($C405*0.05)+$C405</f>
        <v>3675</v>
      </c>
      <c r="I405" s="1112">
        <f>($C405*0.06)+$C405</f>
        <v>3710</v>
      </c>
      <c r="J405" s="1112">
        <f>($C405*0.07)+$C405</f>
        <v>3745</v>
      </c>
      <c r="K405" s="1112">
        <f>($C405*0.08)+$C405</f>
        <v>3780</v>
      </c>
      <c r="L405" s="1112">
        <f>($C405*0.09)+$C405</f>
        <v>3815</v>
      </c>
      <c r="M405" s="1112">
        <f>($C405*0.1)+$C405</f>
        <v>3850</v>
      </c>
      <c r="N405" s="1112">
        <f>($C405*0.11)+$C405</f>
        <v>3885</v>
      </c>
      <c r="O405" s="1112">
        <f>($C405*0.12)+$C405</f>
        <v>3920</v>
      </c>
      <c r="P405" s="1112">
        <f>($C405*0.13)+$C405</f>
        <v>3955</v>
      </c>
      <c r="Q405" s="1112">
        <f>($C405*0.14)+$C405</f>
        <v>3990</v>
      </c>
      <c r="R405" s="1112">
        <f>($C405*0.15)+$C405</f>
        <v>4025</v>
      </c>
      <c r="S405" s="1112">
        <f>($C405*0.16)+$C405</f>
        <v>4060</v>
      </c>
      <c r="T405" s="1112">
        <f>($C405*0.17)+$C405</f>
        <v>4095</v>
      </c>
      <c r="U405" s="1112">
        <f>($C405*0.18)+$C405</f>
        <v>4130</v>
      </c>
      <c r="V405" s="1112">
        <f>($C405*0.19)+$C405</f>
        <v>4165</v>
      </c>
      <c r="W405" s="1112">
        <f>($C405*0.2)+$C405</f>
        <v>4200</v>
      </c>
      <c r="X405" s="1112">
        <f>($C405*0.21)+$C405</f>
        <v>4235</v>
      </c>
      <c r="Y405" s="1112">
        <f>($C405*0.22)+$C405</f>
        <v>4270</v>
      </c>
      <c r="Z405" s="1112">
        <f>($C405*0.23)+$C405</f>
        <v>4305</v>
      </c>
      <c r="AA405" s="1112">
        <f>($C405*0.24)+$C405</f>
        <v>4340</v>
      </c>
      <c r="AB405" s="1112">
        <f>($C405*0.25)+$C405</f>
        <v>4375</v>
      </c>
      <c r="AC405" s="1112">
        <f>($C405*0.26)+$C405</f>
        <v>4410</v>
      </c>
      <c r="AD405" s="1112">
        <f>($C405*0.27)+$C405</f>
        <v>4445</v>
      </c>
      <c r="AE405" s="1112">
        <f>($C405*0.28)+$C405</f>
        <v>4480</v>
      </c>
      <c r="AF405" s="1112">
        <f>($C405*0.29)+$C405</f>
        <v>4515</v>
      </c>
      <c r="AG405" s="1112">
        <f>($C405*0.3)+$C405</f>
        <v>4550</v>
      </c>
    </row>
    <row r="406" spans="1:33" ht="45">
      <c r="A406" s="4" t="s">
        <v>54252</v>
      </c>
      <c r="B406" s="4" t="s">
        <v>54253</v>
      </c>
      <c r="C406" s="5">
        <v>3000</v>
      </c>
      <c r="D406" s="1112">
        <f>($C406*0.01)+$C406</f>
        <v>3030</v>
      </c>
      <c r="E406" s="1112">
        <f>($C406*0.02)+$C406</f>
        <v>3060</v>
      </c>
      <c r="F406" s="1112">
        <f>($C406*0.03)+$C406</f>
        <v>3090</v>
      </c>
      <c r="G406" s="1112">
        <f>($C406*0.04)+$C406</f>
        <v>3120</v>
      </c>
      <c r="H406" s="1112">
        <f>($C406*0.05)+$C406</f>
        <v>3150</v>
      </c>
      <c r="I406" s="1112">
        <f>($C406*0.06)+$C406</f>
        <v>3180</v>
      </c>
      <c r="J406" s="1112">
        <f>($C406*0.07)+$C406</f>
        <v>3210</v>
      </c>
      <c r="K406" s="1112">
        <f>($C406*0.08)+$C406</f>
        <v>3240</v>
      </c>
      <c r="L406" s="1112">
        <f>($C406*0.09)+$C406</f>
        <v>3270</v>
      </c>
      <c r="M406" s="1112">
        <f>($C406*0.1)+$C406</f>
        <v>3300</v>
      </c>
      <c r="N406" s="1112">
        <f>($C406*0.11)+$C406</f>
        <v>3330</v>
      </c>
      <c r="O406" s="1112">
        <f>($C406*0.12)+$C406</f>
        <v>3360</v>
      </c>
      <c r="P406" s="1112">
        <f>($C406*0.13)+$C406</f>
        <v>3390</v>
      </c>
      <c r="Q406" s="1112">
        <f>($C406*0.14)+$C406</f>
        <v>3420</v>
      </c>
      <c r="R406" s="1112">
        <f>($C406*0.15)+$C406</f>
        <v>3450</v>
      </c>
      <c r="S406" s="1112">
        <f>($C406*0.16)+$C406</f>
        <v>3480</v>
      </c>
      <c r="T406" s="1112">
        <f>($C406*0.17)+$C406</f>
        <v>3510</v>
      </c>
      <c r="U406" s="1112">
        <f>($C406*0.18)+$C406</f>
        <v>3540</v>
      </c>
      <c r="V406" s="1112">
        <f>($C406*0.19)+$C406</f>
        <v>3570</v>
      </c>
      <c r="W406" s="1112">
        <f>($C406*0.2)+$C406</f>
        <v>3600</v>
      </c>
      <c r="X406" s="1112">
        <f>($C406*0.21)+$C406</f>
        <v>3630</v>
      </c>
      <c r="Y406" s="1112">
        <f>($C406*0.22)+$C406</f>
        <v>3660</v>
      </c>
      <c r="Z406" s="1112">
        <f>($C406*0.23)+$C406</f>
        <v>3690</v>
      </c>
      <c r="AA406" s="1112">
        <f>($C406*0.24)+$C406</f>
        <v>3720</v>
      </c>
      <c r="AB406" s="1112">
        <f>($C406*0.25)+$C406</f>
        <v>3750</v>
      </c>
      <c r="AC406" s="1112">
        <f>($C406*0.26)+$C406</f>
        <v>3780</v>
      </c>
      <c r="AD406" s="1112">
        <f>($C406*0.27)+$C406</f>
        <v>3810</v>
      </c>
      <c r="AE406" s="1112">
        <f>($C406*0.28)+$C406</f>
        <v>3840</v>
      </c>
      <c r="AF406" s="1112">
        <f>($C406*0.29)+$C406</f>
        <v>3870</v>
      </c>
      <c r="AG406" s="1112">
        <f>($C406*0.3)+$C406</f>
        <v>3900</v>
      </c>
    </row>
    <row r="407" spans="1:33" ht="30">
      <c r="A407" s="7">
        <v>3003</v>
      </c>
      <c r="B407" s="7" t="s">
        <v>54269</v>
      </c>
      <c r="C407" s="8">
        <v>3750</v>
      </c>
      <c r="D407" s="1112">
        <f>($C407*0.01)+$C407</f>
        <v>3787.5</v>
      </c>
      <c r="E407" s="1112">
        <f>($C407*0.02)+$C407</f>
        <v>3825</v>
      </c>
      <c r="F407" s="1112">
        <f>($C407*0.03)+$C407</f>
        <v>3862.5</v>
      </c>
      <c r="G407" s="1112">
        <f>($C407*0.04)+$C407</f>
        <v>3900</v>
      </c>
      <c r="H407" s="1112">
        <f>($C407*0.05)+$C407</f>
        <v>3937.5</v>
      </c>
      <c r="I407" s="1112">
        <f>($C407*0.06)+$C407</f>
        <v>3975</v>
      </c>
      <c r="J407" s="1112">
        <f>($C407*0.07)+$C407</f>
        <v>4012.5</v>
      </c>
      <c r="K407" s="1112">
        <f>($C407*0.08)+$C407</f>
        <v>4050</v>
      </c>
      <c r="L407" s="1112">
        <f>($C407*0.09)+$C407</f>
        <v>4087.5</v>
      </c>
      <c r="M407" s="1112">
        <f>($C407*0.1)+$C407</f>
        <v>4125</v>
      </c>
      <c r="N407" s="1112">
        <f>($C407*0.11)+$C407</f>
        <v>4162.5</v>
      </c>
      <c r="O407" s="1112">
        <f>($C407*0.12)+$C407</f>
        <v>4200</v>
      </c>
      <c r="P407" s="1112">
        <f>($C407*0.13)+$C407</f>
        <v>4237.5</v>
      </c>
      <c r="Q407" s="1112">
        <f>($C407*0.14)+$C407</f>
        <v>4275</v>
      </c>
      <c r="R407" s="1112">
        <f>($C407*0.15)+$C407</f>
        <v>4312.5</v>
      </c>
      <c r="S407" s="1112">
        <f>($C407*0.16)+$C407</f>
        <v>4350</v>
      </c>
      <c r="T407" s="1112">
        <f>($C407*0.17)+$C407</f>
        <v>4387.5</v>
      </c>
      <c r="U407" s="1112">
        <f>($C407*0.18)+$C407</f>
        <v>4425</v>
      </c>
      <c r="V407" s="1112">
        <f>($C407*0.19)+$C407</f>
        <v>4462.5</v>
      </c>
      <c r="W407" s="1112">
        <f>($C407*0.2)+$C407</f>
        <v>4500</v>
      </c>
      <c r="X407" s="1112">
        <f>($C407*0.21)+$C407</f>
        <v>4537.5</v>
      </c>
      <c r="Y407" s="1112">
        <f>($C407*0.22)+$C407</f>
        <v>4575</v>
      </c>
      <c r="Z407" s="1112">
        <f>($C407*0.23)+$C407</f>
        <v>4612.5</v>
      </c>
      <c r="AA407" s="1112">
        <f>($C407*0.24)+$C407</f>
        <v>4650</v>
      </c>
      <c r="AB407" s="1112">
        <f>($C407*0.25)+$C407</f>
        <v>4687.5</v>
      </c>
      <c r="AC407" s="1112">
        <f>($C407*0.26)+$C407</f>
        <v>4725</v>
      </c>
      <c r="AD407" s="1112">
        <f>($C407*0.27)+$C407</f>
        <v>4762.5</v>
      </c>
      <c r="AE407" s="1112">
        <f>($C407*0.28)+$C407</f>
        <v>4800</v>
      </c>
      <c r="AF407" s="1112">
        <f>($C407*0.29)+$C407</f>
        <v>4837.5</v>
      </c>
      <c r="AG407" s="1112">
        <f>($C407*0.3)+$C407</f>
        <v>4875</v>
      </c>
    </row>
    <row r="408" spans="1:33" ht="30">
      <c r="A408" s="7">
        <v>849</v>
      </c>
      <c r="B408" s="7" t="s">
        <v>54270</v>
      </c>
      <c r="C408" s="8">
        <v>3500</v>
      </c>
      <c r="D408" s="1112">
        <f>($C408*0.01)+$C408</f>
        <v>3535</v>
      </c>
      <c r="E408" s="1112">
        <f>($C408*0.02)+$C408</f>
        <v>3570</v>
      </c>
      <c r="F408" s="1112">
        <f>($C408*0.03)+$C408</f>
        <v>3605</v>
      </c>
      <c r="G408" s="1112">
        <f>($C408*0.04)+$C408</f>
        <v>3640</v>
      </c>
      <c r="H408" s="1112">
        <f>($C408*0.05)+$C408</f>
        <v>3675</v>
      </c>
      <c r="I408" s="1112">
        <f>($C408*0.06)+$C408</f>
        <v>3710</v>
      </c>
      <c r="J408" s="1112">
        <f>($C408*0.07)+$C408</f>
        <v>3745</v>
      </c>
      <c r="K408" s="1112">
        <f>($C408*0.08)+$C408</f>
        <v>3780</v>
      </c>
      <c r="L408" s="1112">
        <f>($C408*0.09)+$C408</f>
        <v>3815</v>
      </c>
      <c r="M408" s="1112">
        <f>($C408*0.1)+$C408</f>
        <v>3850</v>
      </c>
      <c r="N408" s="1112">
        <f>($C408*0.11)+$C408</f>
        <v>3885</v>
      </c>
      <c r="O408" s="1112">
        <f>($C408*0.12)+$C408</f>
        <v>3920</v>
      </c>
      <c r="P408" s="1112">
        <f>($C408*0.13)+$C408</f>
        <v>3955</v>
      </c>
      <c r="Q408" s="1112">
        <f>($C408*0.14)+$C408</f>
        <v>3990</v>
      </c>
      <c r="R408" s="1112">
        <f>($C408*0.15)+$C408</f>
        <v>4025</v>
      </c>
      <c r="S408" s="1112">
        <f>($C408*0.16)+$C408</f>
        <v>4060</v>
      </c>
      <c r="T408" s="1112">
        <f>($C408*0.17)+$C408</f>
        <v>4095</v>
      </c>
      <c r="U408" s="1112">
        <f>($C408*0.18)+$C408</f>
        <v>4130</v>
      </c>
      <c r="V408" s="1112">
        <f>($C408*0.19)+$C408</f>
        <v>4165</v>
      </c>
      <c r="W408" s="1112">
        <f>($C408*0.2)+$C408</f>
        <v>4200</v>
      </c>
      <c r="X408" s="1112">
        <f>($C408*0.21)+$C408</f>
        <v>4235</v>
      </c>
      <c r="Y408" s="1112">
        <f>($C408*0.22)+$C408</f>
        <v>4270</v>
      </c>
      <c r="Z408" s="1112">
        <f>($C408*0.23)+$C408</f>
        <v>4305</v>
      </c>
      <c r="AA408" s="1112">
        <f>($C408*0.24)+$C408</f>
        <v>4340</v>
      </c>
      <c r="AB408" s="1112">
        <f>($C408*0.25)+$C408</f>
        <v>4375</v>
      </c>
      <c r="AC408" s="1112">
        <f>($C408*0.26)+$C408</f>
        <v>4410</v>
      </c>
      <c r="AD408" s="1112">
        <f>($C408*0.27)+$C408</f>
        <v>4445</v>
      </c>
      <c r="AE408" s="1112">
        <f>($C408*0.28)+$C408</f>
        <v>4480</v>
      </c>
      <c r="AF408" s="1112">
        <f>($C408*0.29)+$C408</f>
        <v>4515</v>
      </c>
      <c r="AG408" s="1112">
        <f>($C408*0.3)+$C408</f>
        <v>4550</v>
      </c>
    </row>
    <row r="409" spans="1:33" ht="30">
      <c r="A409" s="7">
        <v>833</v>
      </c>
      <c r="B409" s="7" t="s">
        <v>54271</v>
      </c>
      <c r="C409" s="8">
        <v>2400</v>
      </c>
      <c r="D409" s="1112">
        <f>($C409*0.01)+$C409</f>
        <v>2424</v>
      </c>
      <c r="E409" s="1112">
        <f>($C409*0.02)+$C409</f>
        <v>2448</v>
      </c>
      <c r="F409" s="1112">
        <f>($C409*0.03)+$C409</f>
        <v>2472</v>
      </c>
      <c r="G409" s="1112">
        <f>($C409*0.04)+$C409</f>
        <v>2496</v>
      </c>
      <c r="H409" s="1112">
        <f>($C409*0.05)+$C409</f>
        <v>2520</v>
      </c>
      <c r="I409" s="1112">
        <f>($C409*0.06)+$C409</f>
        <v>2544</v>
      </c>
      <c r="J409" s="1112">
        <f>($C409*0.07)+$C409</f>
        <v>2568</v>
      </c>
      <c r="K409" s="1112">
        <f>($C409*0.08)+$C409</f>
        <v>2592</v>
      </c>
      <c r="L409" s="1112">
        <f>($C409*0.09)+$C409</f>
        <v>2616</v>
      </c>
      <c r="M409" s="1112">
        <f>($C409*0.1)+$C409</f>
        <v>2640</v>
      </c>
      <c r="N409" s="1112">
        <f>($C409*0.11)+$C409</f>
        <v>2664</v>
      </c>
      <c r="O409" s="1112">
        <f>($C409*0.12)+$C409</f>
        <v>2688</v>
      </c>
      <c r="P409" s="1112">
        <f>($C409*0.13)+$C409</f>
        <v>2712</v>
      </c>
      <c r="Q409" s="1112">
        <f>($C409*0.14)+$C409</f>
        <v>2736</v>
      </c>
      <c r="R409" s="1112">
        <f>($C409*0.15)+$C409</f>
        <v>2760</v>
      </c>
      <c r="S409" s="1112">
        <f>($C409*0.16)+$C409</f>
        <v>2784</v>
      </c>
      <c r="T409" s="1112">
        <f>($C409*0.17)+$C409</f>
        <v>2808</v>
      </c>
      <c r="U409" s="1112">
        <f>($C409*0.18)+$C409</f>
        <v>2832</v>
      </c>
      <c r="V409" s="1112">
        <f>($C409*0.19)+$C409</f>
        <v>2856</v>
      </c>
      <c r="W409" s="1112">
        <f>($C409*0.2)+$C409</f>
        <v>2880</v>
      </c>
      <c r="X409" s="1112">
        <f>($C409*0.21)+$C409</f>
        <v>2904</v>
      </c>
      <c r="Y409" s="1112">
        <f>($C409*0.22)+$C409</f>
        <v>2928</v>
      </c>
      <c r="Z409" s="1112">
        <f>($C409*0.23)+$C409</f>
        <v>2952</v>
      </c>
      <c r="AA409" s="1112">
        <f>($C409*0.24)+$C409</f>
        <v>2976</v>
      </c>
      <c r="AB409" s="1112">
        <f>($C409*0.25)+$C409</f>
        <v>3000</v>
      </c>
      <c r="AC409" s="1112">
        <f>($C409*0.26)+$C409</f>
        <v>3024</v>
      </c>
      <c r="AD409" s="1112">
        <f>($C409*0.27)+$C409</f>
        <v>3048</v>
      </c>
      <c r="AE409" s="1112">
        <f>($C409*0.28)+$C409</f>
        <v>3072</v>
      </c>
      <c r="AF409" s="1112">
        <f>($C409*0.29)+$C409</f>
        <v>3096</v>
      </c>
      <c r="AG409" s="1112">
        <f>($C409*0.3)+$C409</f>
        <v>3120</v>
      </c>
    </row>
    <row r="410" spans="1:33" ht="15">
      <c r="A410" s="7" t="s">
        <v>55247</v>
      </c>
      <c r="B410" s="7" t="s">
        <v>55250</v>
      </c>
      <c r="C410" s="8">
        <v>4000</v>
      </c>
      <c r="D410" s="1112">
        <f>($C410*0.01)+$C410</f>
        <v>4040</v>
      </c>
      <c r="E410" s="1112">
        <f>($C410*0.02)+$C410</f>
        <v>4080</v>
      </c>
      <c r="F410" s="1112">
        <f>($C410*0.03)+$C410</f>
        <v>4120</v>
      </c>
      <c r="G410" s="1112">
        <f>($C410*0.04)+$C410</f>
        <v>4160</v>
      </c>
      <c r="H410" s="1112">
        <f>($C410*0.05)+$C410</f>
        <v>4200</v>
      </c>
      <c r="I410" s="1112">
        <f>($C410*0.06)+$C410</f>
        <v>4240</v>
      </c>
      <c r="J410" s="1112">
        <f>($C410*0.07)+$C410</f>
        <v>4280</v>
      </c>
      <c r="K410" s="1112">
        <f>($C410*0.08)+$C410</f>
        <v>4320</v>
      </c>
      <c r="L410" s="1112">
        <f>($C410*0.09)+$C410</f>
        <v>4360</v>
      </c>
      <c r="M410" s="1112">
        <f>($C410*0.1)+$C410</f>
        <v>4400</v>
      </c>
      <c r="N410" s="1112">
        <f>($C410*0.11)+$C410</f>
        <v>4440</v>
      </c>
      <c r="O410" s="1112">
        <f>($C410*0.12)+$C410</f>
        <v>4480</v>
      </c>
      <c r="P410" s="1112">
        <f>($C410*0.13)+$C410</f>
        <v>4520</v>
      </c>
      <c r="Q410" s="1112">
        <f>($C410*0.14)+$C410</f>
        <v>4560</v>
      </c>
      <c r="R410" s="1112">
        <f>($C410*0.15)+$C410</f>
        <v>4600</v>
      </c>
      <c r="S410" s="1112">
        <f>($C410*0.16)+$C410</f>
        <v>4640</v>
      </c>
      <c r="T410" s="1112">
        <f>($C410*0.17)+$C410</f>
        <v>4680</v>
      </c>
      <c r="U410" s="1112">
        <f>($C410*0.18)+$C410</f>
        <v>4720</v>
      </c>
      <c r="V410" s="1112">
        <f>($C410*0.19)+$C410</f>
        <v>4760</v>
      </c>
      <c r="W410" s="1112">
        <f>($C410*0.2)+$C410</f>
        <v>4800</v>
      </c>
      <c r="X410" s="1112">
        <f>($C410*0.21)+$C410</f>
        <v>4840</v>
      </c>
      <c r="Y410" s="1112">
        <f>($C410*0.22)+$C410</f>
        <v>4880</v>
      </c>
      <c r="Z410" s="1112">
        <f>($C410*0.23)+$C410</f>
        <v>4920</v>
      </c>
      <c r="AA410" s="1112">
        <f>($C410*0.24)+$C410</f>
        <v>4960</v>
      </c>
      <c r="AB410" s="1112">
        <f>($C410*0.25)+$C410</f>
        <v>5000</v>
      </c>
      <c r="AC410" s="1112">
        <f>($C410*0.26)+$C410</f>
        <v>5040</v>
      </c>
      <c r="AD410" s="1112">
        <f>($C410*0.27)+$C410</f>
        <v>5080</v>
      </c>
      <c r="AE410" s="1112">
        <f>($C410*0.28)+$C410</f>
        <v>5120</v>
      </c>
      <c r="AF410" s="1112">
        <f>($C410*0.29)+$C410</f>
        <v>5160</v>
      </c>
      <c r="AG410" s="1112">
        <f>($C410*0.3)+$C410</f>
        <v>5200</v>
      </c>
    </row>
    <row r="411" spans="1:33" ht="15">
      <c r="A411" s="7" t="s">
        <v>55248</v>
      </c>
      <c r="B411" s="7" t="s">
        <v>55251</v>
      </c>
      <c r="C411" s="8">
        <v>3800</v>
      </c>
      <c r="D411" s="1112">
        <f>($C411*0.01)+$C411</f>
        <v>3838</v>
      </c>
      <c r="E411" s="1112">
        <f>($C411*0.02)+$C411</f>
        <v>3876</v>
      </c>
      <c r="F411" s="1112">
        <f>($C411*0.03)+$C411</f>
        <v>3914</v>
      </c>
      <c r="G411" s="1112">
        <f>($C411*0.04)+$C411</f>
        <v>3952</v>
      </c>
      <c r="H411" s="1112">
        <f>($C411*0.05)+$C411</f>
        <v>3990</v>
      </c>
      <c r="I411" s="1112">
        <f>($C411*0.06)+$C411</f>
        <v>4028</v>
      </c>
      <c r="J411" s="1112">
        <f>($C411*0.07)+$C411</f>
        <v>4066</v>
      </c>
      <c r="K411" s="1112">
        <f>($C411*0.08)+$C411</f>
        <v>4104</v>
      </c>
      <c r="L411" s="1112">
        <f>($C411*0.09)+$C411</f>
        <v>4142</v>
      </c>
      <c r="M411" s="1112">
        <f>($C411*0.1)+$C411</f>
        <v>4180</v>
      </c>
      <c r="N411" s="1112">
        <f>($C411*0.11)+$C411</f>
        <v>4218</v>
      </c>
      <c r="O411" s="1112">
        <f>($C411*0.12)+$C411</f>
        <v>4256</v>
      </c>
      <c r="P411" s="1112">
        <f>($C411*0.13)+$C411</f>
        <v>4294</v>
      </c>
      <c r="Q411" s="1112">
        <f>($C411*0.14)+$C411</f>
        <v>4332</v>
      </c>
      <c r="R411" s="1112">
        <f>($C411*0.15)+$C411</f>
        <v>4370</v>
      </c>
      <c r="S411" s="1112">
        <f>($C411*0.16)+$C411</f>
        <v>4408</v>
      </c>
      <c r="T411" s="1112">
        <f>($C411*0.17)+$C411</f>
        <v>4446</v>
      </c>
      <c r="U411" s="1112">
        <f>($C411*0.18)+$C411</f>
        <v>4484</v>
      </c>
      <c r="V411" s="1112">
        <f>($C411*0.19)+$C411</f>
        <v>4522</v>
      </c>
      <c r="W411" s="1112">
        <f>($C411*0.2)+$C411</f>
        <v>4560</v>
      </c>
      <c r="X411" s="1112">
        <f>($C411*0.21)+$C411</f>
        <v>4598</v>
      </c>
      <c r="Y411" s="1112">
        <f>($C411*0.22)+$C411</f>
        <v>4636</v>
      </c>
      <c r="Z411" s="1112">
        <f>($C411*0.23)+$C411</f>
        <v>4674</v>
      </c>
      <c r="AA411" s="1112">
        <f>($C411*0.24)+$C411</f>
        <v>4712</v>
      </c>
      <c r="AB411" s="1112">
        <f>($C411*0.25)+$C411</f>
        <v>4750</v>
      </c>
      <c r="AC411" s="1112">
        <f>($C411*0.26)+$C411</f>
        <v>4788</v>
      </c>
      <c r="AD411" s="1112">
        <f>($C411*0.27)+$C411</f>
        <v>4826</v>
      </c>
      <c r="AE411" s="1112">
        <f>($C411*0.28)+$C411</f>
        <v>4864</v>
      </c>
      <c r="AF411" s="1112">
        <f>($C411*0.29)+$C411</f>
        <v>4902</v>
      </c>
      <c r="AG411" s="1112">
        <f>($C411*0.3)+$C411</f>
        <v>4940</v>
      </c>
    </row>
    <row r="412" spans="1:33" ht="15">
      <c r="A412" s="7" t="s">
        <v>55249</v>
      </c>
      <c r="B412" s="7" t="s">
        <v>55252</v>
      </c>
      <c r="C412" s="8">
        <v>2850</v>
      </c>
      <c r="D412" s="1112">
        <f>($C412*0.01)+$C412</f>
        <v>2878.5</v>
      </c>
      <c r="E412" s="1112">
        <f>($C412*0.02)+$C412</f>
        <v>2907</v>
      </c>
      <c r="F412" s="1112">
        <f>($C412*0.03)+$C412</f>
        <v>2935.5</v>
      </c>
      <c r="G412" s="1112">
        <f>($C412*0.04)+$C412</f>
        <v>2964</v>
      </c>
      <c r="H412" s="1112">
        <f>($C412*0.05)+$C412</f>
        <v>2992.5</v>
      </c>
      <c r="I412" s="1112">
        <f>($C412*0.06)+$C412</f>
        <v>3021</v>
      </c>
      <c r="J412" s="1112">
        <f>($C412*0.07)+$C412</f>
        <v>3049.5</v>
      </c>
      <c r="K412" s="1112">
        <f>($C412*0.08)+$C412</f>
        <v>3078</v>
      </c>
      <c r="L412" s="1112">
        <f>($C412*0.09)+$C412</f>
        <v>3106.5</v>
      </c>
      <c r="M412" s="1112">
        <f>($C412*0.1)+$C412</f>
        <v>3135</v>
      </c>
      <c r="N412" s="1112">
        <f>($C412*0.11)+$C412</f>
        <v>3163.5</v>
      </c>
      <c r="O412" s="1112">
        <f>($C412*0.12)+$C412</f>
        <v>3192</v>
      </c>
      <c r="P412" s="1112">
        <f>($C412*0.13)+$C412</f>
        <v>3220.5</v>
      </c>
      <c r="Q412" s="1112">
        <f>($C412*0.14)+$C412</f>
        <v>3249</v>
      </c>
      <c r="R412" s="1112">
        <f>($C412*0.15)+$C412</f>
        <v>3277.5</v>
      </c>
      <c r="S412" s="1112">
        <f>($C412*0.16)+$C412</f>
        <v>3306</v>
      </c>
      <c r="T412" s="1112">
        <f>($C412*0.17)+$C412</f>
        <v>3334.5</v>
      </c>
      <c r="U412" s="1112">
        <f>($C412*0.18)+$C412</f>
        <v>3363</v>
      </c>
      <c r="V412" s="1112">
        <f>($C412*0.19)+$C412</f>
        <v>3391.5</v>
      </c>
      <c r="W412" s="1112">
        <f>($C412*0.2)+$C412</f>
        <v>3420</v>
      </c>
      <c r="X412" s="1112">
        <f>($C412*0.21)+$C412</f>
        <v>3448.5</v>
      </c>
      <c r="Y412" s="1112">
        <f>($C412*0.22)+$C412</f>
        <v>3477</v>
      </c>
      <c r="Z412" s="1112">
        <f>($C412*0.23)+$C412</f>
        <v>3505.5</v>
      </c>
      <c r="AA412" s="1112">
        <f>($C412*0.24)+$C412</f>
        <v>3534</v>
      </c>
      <c r="AB412" s="1112">
        <f>($C412*0.25)+$C412</f>
        <v>3562.5</v>
      </c>
      <c r="AC412" s="1112">
        <f>($C412*0.26)+$C412</f>
        <v>3591</v>
      </c>
      <c r="AD412" s="1112">
        <f>($C412*0.27)+$C412</f>
        <v>3619.5</v>
      </c>
      <c r="AE412" s="1112">
        <f>($C412*0.28)+$C412</f>
        <v>3648</v>
      </c>
      <c r="AF412" s="1112">
        <f>($C412*0.29)+$C412</f>
        <v>3676.5</v>
      </c>
      <c r="AG412" s="1112">
        <f>($C412*0.3)+$C412</f>
        <v>3705</v>
      </c>
    </row>
    <row r="413" spans="1:33" ht="15">
      <c r="A413" s="7" t="s">
        <v>55253</v>
      </c>
      <c r="B413" s="7" t="s">
        <v>55255</v>
      </c>
      <c r="C413" s="8">
        <v>2400</v>
      </c>
      <c r="D413" s="1112">
        <f>($C413*0.01)+$C413</f>
        <v>2424</v>
      </c>
      <c r="E413" s="1112">
        <f>($C413*0.02)+$C413</f>
        <v>2448</v>
      </c>
      <c r="F413" s="1112">
        <f>($C413*0.03)+$C413</f>
        <v>2472</v>
      </c>
      <c r="G413" s="1112">
        <f>($C413*0.04)+$C413</f>
        <v>2496</v>
      </c>
      <c r="H413" s="1112">
        <f>($C413*0.05)+$C413</f>
        <v>2520</v>
      </c>
      <c r="I413" s="1112">
        <f>($C413*0.06)+$C413</f>
        <v>2544</v>
      </c>
      <c r="J413" s="1112">
        <f>($C413*0.07)+$C413</f>
        <v>2568</v>
      </c>
      <c r="K413" s="1112">
        <f>($C413*0.08)+$C413</f>
        <v>2592</v>
      </c>
      <c r="L413" s="1112">
        <f>($C413*0.09)+$C413</f>
        <v>2616</v>
      </c>
      <c r="M413" s="1112">
        <f>($C413*0.1)+$C413</f>
        <v>2640</v>
      </c>
      <c r="N413" s="1112">
        <f>($C413*0.11)+$C413</f>
        <v>2664</v>
      </c>
      <c r="O413" s="1112">
        <f>($C413*0.12)+$C413</f>
        <v>2688</v>
      </c>
      <c r="P413" s="1112">
        <f>($C413*0.13)+$C413</f>
        <v>2712</v>
      </c>
      <c r="Q413" s="1112">
        <f>($C413*0.14)+$C413</f>
        <v>2736</v>
      </c>
      <c r="R413" s="1112">
        <f>($C413*0.15)+$C413</f>
        <v>2760</v>
      </c>
      <c r="S413" s="1112">
        <f>($C413*0.16)+$C413</f>
        <v>2784</v>
      </c>
      <c r="T413" s="1112">
        <f>($C413*0.17)+$C413</f>
        <v>2808</v>
      </c>
      <c r="U413" s="1112">
        <f>($C413*0.18)+$C413</f>
        <v>2832</v>
      </c>
      <c r="V413" s="1112">
        <f>($C413*0.19)+$C413</f>
        <v>2856</v>
      </c>
      <c r="W413" s="1112">
        <f>($C413*0.2)+$C413</f>
        <v>2880</v>
      </c>
      <c r="X413" s="1112">
        <f>($C413*0.21)+$C413</f>
        <v>2904</v>
      </c>
      <c r="Y413" s="1112">
        <f>($C413*0.22)+$C413</f>
        <v>2928</v>
      </c>
      <c r="Z413" s="1112">
        <f>($C413*0.23)+$C413</f>
        <v>2952</v>
      </c>
      <c r="AA413" s="1112">
        <f>($C413*0.24)+$C413</f>
        <v>2976</v>
      </c>
      <c r="AB413" s="1112">
        <f>($C413*0.25)+$C413</f>
        <v>3000</v>
      </c>
      <c r="AC413" s="1112">
        <f>($C413*0.26)+$C413</f>
        <v>3024</v>
      </c>
      <c r="AD413" s="1112">
        <f>($C413*0.27)+$C413</f>
        <v>3048</v>
      </c>
      <c r="AE413" s="1112">
        <f>($C413*0.28)+$C413</f>
        <v>3072</v>
      </c>
      <c r="AF413" s="1112">
        <f>($C413*0.29)+$C413</f>
        <v>3096</v>
      </c>
      <c r="AG413" s="1112">
        <f>($C413*0.3)+$C413</f>
        <v>3120</v>
      </c>
    </row>
    <row r="414" spans="1:33" ht="15">
      <c r="A414" s="7" t="s">
        <v>55254</v>
      </c>
      <c r="B414" s="7" t="s">
        <v>55256</v>
      </c>
      <c r="C414" s="8">
        <v>2750</v>
      </c>
      <c r="D414" s="1112">
        <f>($C414*0.01)+$C414</f>
        <v>2777.5</v>
      </c>
      <c r="E414" s="1112">
        <f>($C414*0.02)+$C414</f>
        <v>2805</v>
      </c>
      <c r="F414" s="1112">
        <f>($C414*0.03)+$C414</f>
        <v>2832.5</v>
      </c>
      <c r="G414" s="1112">
        <f>($C414*0.04)+$C414</f>
        <v>2860</v>
      </c>
      <c r="H414" s="1112">
        <f>($C414*0.05)+$C414</f>
        <v>2887.5</v>
      </c>
      <c r="I414" s="1112">
        <f>($C414*0.06)+$C414</f>
        <v>2915</v>
      </c>
      <c r="J414" s="1112">
        <f>($C414*0.07)+$C414</f>
        <v>2942.5</v>
      </c>
      <c r="K414" s="1112">
        <f>($C414*0.08)+$C414</f>
        <v>2970</v>
      </c>
      <c r="L414" s="1112">
        <f>($C414*0.09)+$C414</f>
        <v>2997.5</v>
      </c>
      <c r="M414" s="1112">
        <f>($C414*0.1)+$C414</f>
        <v>3025</v>
      </c>
      <c r="N414" s="1112">
        <f>($C414*0.11)+$C414</f>
        <v>3052.5</v>
      </c>
      <c r="O414" s="1112">
        <f>($C414*0.12)+$C414</f>
        <v>3080</v>
      </c>
      <c r="P414" s="1112">
        <f>($C414*0.13)+$C414</f>
        <v>3107.5</v>
      </c>
      <c r="Q414" s="1112">
        <f>($C414*0.14)+$C414</f>
        <v>3135</v>
      </c>
      <c r="R414" s="1112">
        <f>($C414*0.15)+$C414</f>
        <v>3162.5</v>
      </c>
      <c r="S414" s="1112">
        <f>($C414*0.16)+$C414</f>
        <v>3190</v>
      </c>
      <c r="T414" s="1112">
        <f>($C414*0.17)+$C414</f>
        <v>3217.5</v>
      </c>
      <c r="U414" s="1112">
        <f>($C414*0.18)+$C414</f>
        <v>3245</v>
      </c>
      <c r="V414" s="1112">
        <f>($C414*0.19)+$C414</f>
        <v>3272.5</v>
      </c>
      <c r="W414" s="1112">
        <f>($C414*0.2)+$C414</f>
        <v>3300</v>
      </c>
      <c r="X414" s="1112">
        <f>($C414*0.21)+$C414</f>
        <v>3327.5</v>
      </c>
      <c r="Y414" s="1112">
        <f>($C414*0.22)+$C414</f>
        <v>3355</v>
      </c>
      <c r="Z414" s="1112">
        <f>($C414*0.23)+$C414</f>
        <v>3382.5</v>
      </c>
      <c r="AA414" s="1112">
        <f>($C414*0.24)+$C414</f>
        <v>3410</v>
      </c>
      <c r="AB414" s="1112">
        <f>($C414*0.25)+$C414</f>
        <v>3437.5</v>
      </c>
      <c r="AC414" s="1112">
        <f>($C414*0.26)+$C414</f>
        <v>3465</v>
      </c>
      <c r="AD414" s="1112">
        <f>($C414*0.27)+$C414</f>
        <v>3492.5</v>
      </c>
      <c r="AE414" s="1112">
        <f>($C414*0.28)+$C414</f>
        <v>3520</v>
      </c>
      <c r="AF414" s="1112">
        <f>($C414*0.29)+$C414</f>
        <v>3547.5</v>
      </c>
      <c r="AG414" s="1112">
        <f>($C414*0.3)+$C414</f>
        <v>3575</v>
      </c>
    </row>
    <row r="415" spans="1:33" ht="15">
      <c r="A415" s="7"/>
      <c r="B415" s="7"/>
      <c r="C415" s="8"/>
      <c r="D415" s="1112"/>
      <c r="E415" s="1112"/>
      <c r="F415" s="1112"/>
      <c r="G415" s="1112"/>
      <c r="H415" s="1112"/>
      <c r="I415" s="1112"/>
      <c r="J415" s="1112"/>
      <c r="K415" s="1112"/>
      <c r="L415" s="1112"/>
      <c r="M415" s="1112"/>
      <c r="N415" s="1112"/>
      <c r="O415" s="1112"/>
      <c r="P415" s="1112"/>
      <c r="Q415" s="1112"/>
      <c r="R415" s="1112"/>
      <c r="S415" s="1112"/>
      <c r="T415" s="1112"/>
      <c r="U415" s="1112"/>
      <c r="V415" s="1112"/>
      <c r="W415" s="1112"/>
      <c r="X415" s="1112"/>
      <c r="Y415" s="1112"/>
      <c r="Z415" s="1112"/>
      <c r="AA415" s="1112"/>
      <c r="AB415" s="1112"/>
      <c r="AC415" s="1112"/>
      <c r="AD415" s="1112"/>
      <c r="AE415" s="1112"/>
      <c r="AF415" s="1112"/>
      <c r="AG415" s="1112"/>
    </row>
    <row r="416" spans="1:33" ht="15">
      <c r="D416" s="1112"/>
      <c r="E416" s="1112"/>
      <c r="F416" s="1112"/>
      <c r="G416" s="1112"/>
      <c r="H416" s="1112"/>
      <c r="I416" s="1112"/>
      <c r="J416" s="1112"/>
      <c r="K416" s="1112"/>
      <c r="L416" s="1112"/>
      <c r="M416" s="1112"/>
      <c r="N416" s="1112"/>
      <c r="O416" s="1112"/>
      <c r="P416" s="1112"/>
      <c r="Q416" s="1112"/>
      <c r="R416" s="1112"/>
      <c r="S416" s="1112"/>
      <c r="T416" s="1112"/>
      <c r="U416" s="1112"/>
      <c r="V416" s="1112"/>
      <c r="W416" s="1112"/>
      <c r="X416" s="1112"/>
      <c r="Y416" s="1112"/>
      <c r="Z416" s="1112"/>
      <c r="AA416" s="1112"/>
      <c r="AB416" s="1112"/>
      <c r="AC416" s="1112"/>
      <c r="AD416" s="1112"/>
      <c r="AE416" s="1112"/>
      <c r="AF416" s="1112"/>
      <c r="AG416" s="1112"/>
    </row>
  </sheetData>
  <mergeCells count="1">
    <mergeCell ref="A1:C1"/>
  </mergeCells>
  <conditionalFormatting sqref="B186:B210">
    <cfRule type="duplicateValues" dxfId="207" priority="1"/>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835ED-0991-4149-9506-2D335BFA591A}">
  <sheetPr codeName="Sheet4">
    <tabColor theme="2" tint="-9.9978637043366805E-2"/>
  </sheetPr>
  <dimension ref="A4:F174"/>
  <sheetViews>
    <sheetView showGridLines="0" topLeftCell="A9" zoomScale="115" zoomScaleNormal="115" zoomScaleSheetLayoutView="115" workbookViewId="0">
      <selection activeCell="C8" sqref="C8"/>
    </sheetView>
  </sheetViews>
  <sheetFormatPr defaultColWidth="11.26953125" defaultRowHeight="10.5"/>
  <cols>
    <col min="1" max="1" width="16" style="34" customWidth="1"/>
    <col min="2" max="2" width="69.453125" style="33" customWidth="1"/>
    <col min="3" max="3" width="16" style="32" customWidth="1"/>
    <col min="4" max="4" width="9.453125" style="31" customWidth="1"/>
    <col min="5" max="16384" width="11.26953125" style="30"/>
  </cols>
  <sheetData>
    <row r="4" spans="1:5" ht="18">
      <c r="A4" s="1092" t="s">
        <v>3865</v>
      </c>
      <c r="B4" s="1092"/>
      <c r="C4" s="1092"/>
      <c r="D4" s="1092"/>
      <c r="E4" s="1092"/>
    </row>
    <row r="5" spans="1:5">
      <c r="B5" s="75"/>
    </row>
    <row r="7" spans="1:5" ht="50.25" customHeight="1">
      <c r="B7" s="74" t="s">
        <v>3864</v>
      </c>
    </row>
    <row r="8" spans="1:5" s="52" customFormat="1" ht="15">
      <c r="C8" s="73" t="s">
        <v>293</v>
      </c>
      <c r="D8" s="71"/>
    </row>
    <row r="9" spans="1:5" s="52" customFormat="1" ht="15">
      <c r="A9" s="72" t="s">
        <v>3863</v>
      </c>
      <c r="B9" s="36" t="s">
        <v>3518</v>
      </c>
      <c r="C9" s="70" t="s">
        <v>3862</v>
      </c>
      <c r="D9" s="71"/>
    </row>
    <row r="10" spans="1:5" s="52" customFormat="1" ht="15">
      <c r="B10" s="36"/>
      <c r="C10" s="70" t="s">
        <v>3861</v>
      </c>
      <c r="D10" s="53"/>
    </row>
    <row r="11" spans="1:5" s="52" customFormat="1" ht="13">
      <c r="B11" s="69"/>
      <c r="C11" s="68"/>
      <c r="D11" s="67"/>
    </row>
    <row r="12" spans="1:5" ht="13">
      <c r="A12" s="46"/>
      <c r="B12" s="45"/>
      <c r="C12" s="44"/>
      <c r="D12" s="43"/>
    </row>
    <row r="13" spans="1:5" s="52" customFormat="1" ht="17.5">
      <c r="A13" s="56"/>
      <c r="B13" s="55" t="s">
        <v>3860</v>
      </c>
      <c r="C13" s="54"/>
      <c r="D13" s="53"/>
    </row>
    <row r="14" spans="1:5" ht="13">
      <c r="A14" s="51" t="s">
        <v>3859</v>
      </c>
      <c r="B14" s="50" t="s">
        <v>3858</v>
      </c>
      <c r="C14" s="49">
        <v>237.99</v>
      </c>
      <c r="D14" s="43"/>
    </row>
    <row r="15" spans="1:5" ht="13">
      <c r="A15" s="47" t="s">
        <v>3857</v>
      </c>
      <c r="B15" s="45" t="s">
        <v>3856</v>
      </c>
      <c r="C15" s="44">
        <v>179.99</v>
      </c>
      <c r="D15" s="43"/>
    </row>
    <row r="16" spans="1:5" ht="13">
      <c r="A16" s="47" t="s">
        <v>3855</v>
      </c>
      <c r="B16" s="45" t="s">
        <v>3854</v>
      </c>
      <c r="C16" s="44">
        <v>145.99</v>
      </c>
      <c r="D16" s="43"/>
    </row>
    <row r="17" spans="1:4" ht="13">
      <c r="A17" s="47" t="s">
        <v>3853</v>
      </c>
      <c r="B17" s="45" t="s">
        <v>3852</v>
      </c>
      <c r="C17" s="44">
        <v>169.99</v>
      </c>
      <c r="D17" s="43"/>
    </row>
    <row r="18" spans="1:4" ht="13">
      <c r="A18" s="47" t="s">
        <v>3851</v>
      </c>
      <c r="B18" s="45" t="s">
        <v>3850</v>
      </c>
      <c r="C18" s="44">
        <v>145.99</v>
      </c>
      <c r="D18" s="43"/>
    </row>
    <row r="19" spans="1:4" ht="13">
      <c r="A19" s="47" t="s">
        <v>3849</v>
      </c>
      <c r="B19" s="45" t="s">
        <v>3848</v>
      </c>
      <c r="C19" s="44">
        <v>203.99</v>
      </c>
      <c r="D19" s="43"/>
    </row>
    <row r="20" spans="1:4" ht="13">
      <c r="A20" s="59" t="s">
        <v>3847</v>
      </c>
      <c r="B20" s="58" t="s">
        <v>3846</v>
      </c>
      <c r="C20" s="57">
        <v>203.99</v>
      </c>
      <c r="D20" s="43"/>
    </row>
    <row r="21" spans="1:4" ht="13">
      <c r="A21" s="46"/>
      <c r="B21" s="45"/>
      <c r="C21" s="44"/>
      <c r="D21" s="43"/>
    </row>
    <row r="22" spans="1:4" s="52" customFormat="1" ht="17.5">
      <c r="A22" s="56"/>
      <c r="B22" s="55" t="s">
        <v>3845</v>
      </c>
      <c r="C22" s="54"/>
      <c r="D22" s="53"/>
    </row>
    <row r="23" spans="1:4" ht="13">
      <c r="A23" s="51"/>
      <c r="B23" s="50"/>
      <c r="C23" s="66"/>
      <c r="D23" s="43"/>
    </row>
    <row r="24" spans="1:4" ht="13">
      <c r="A24" s="65" t="s">
        <v>3844</v>
      </c>
      <c r="B24" s="62"/>
      <c r="C24" s="54"/>
      <c r="D24" s="43"/>
    </row>
    <row r="25" spans="1:4" ht="13">
      <c r="A25" s="47" t="s">
        <v>3843</v>
      </c>
      <c r="B25" s="45" t="s">
        <v>3842</v>
      </c>
      <c r="C25" s="44">
        <v>348.99</v>
      </c>
      <c r="D25" s="43"/>
    </row>
    <row r="26" spans="1:4" ht="13">
      <c r="A26" s="47" t="s">
        <v>3841</v>
      </c>
      <c r="B26" s="45" t="s">
        <v>3840</v>
      </c>
      <c r="C26" s="44">
        <v>353.99</v>
      </c>
      <c r="D26" s="43"/>
    </row>
    <row r="27" spans="1:4" ht="13">
      <c r="A27" s="47" t="s">
        <v>3839</v>
      </c>
      <c r="B27" s="45" t="s">
        <v>3838</v>
      </c>
      <c r="C27" s="44">
        <v>331.99</v>
      </c>
      <c r="D27" s="43"/>
    </row>
    <row r="28" spans="1:4" ht="13">
      <c r="A28" s="47"/>
      <c r="B28" s="45"/>
      <c r="C28" s="64"/>
      <c r="D28" s="43"/>
    </row>
    <row r="29" spans="1:4" ht="13">
      <c r="A29" s="63" t="s">
        <v>3837</v>
      </c>
      <c r="B29" s="62"/>
      <c r="C29" s="61"/>
      <c r="D29" s="43"/>
    </row>
    <row r="30" spans="1:4" ht="13">
      <c r="A30" s="47" t="s">
        <v>3836</v>
      </c>
      <c r="B30" s="45" t="s">
        <v>3835</v>
      </c>
      <c r="C30" s="44">
        <v>297.99</v>
      </c>
      <c r="D30" s="43"/>
    </row>
    <row r="31" spans="1:4" ht="13">
      <c r="A31" s="47" t="s">
        <v>3834</v>
      </c>
      <c r="B31" s="45" t="s">
        <v>3833</v>
      </c>
      <c r="C31" s="44">
        <v>321.99</v>
      </c>
      <c r="D31" s="43"/>
    </row>
    <row r="32" spans="1:4" ht="13">
      <c r="A32" s="47" t="s">
        <v>3832</v>
      </c>
      <c r="B32" s="45" t="s">
        <v>3831</v>
      </c>
      <c r="C32" s="44">
        <v>355.99</v>
      </c>
      <c r="D32" s="43"/>
    </row>
    <row r="33" spans="1:4" ht="13">
      <c r="A33" s="47" t="s">
        <v>3830</v>
      </c>
      <c r="B33" s="45" t="s">
        <v>3829</v>
      </c>
      <c r="C33" s="44">
        <v>389.99</v>
      </c>
      <c r="D33" s="43"/>
    </row>
    <row r="34" spans="1:4" ht="13">
      <c r="A34" s="47" t="s">
        <v>3828</v>
      </c>
      <c r="B34" s="45" t="s">
        <v>3827</v>
      </c>
      <c r="C34" s="44">
        <v>402.99</v>
      </c>
      <c r="D34" s="43"/>
    </row>
    <row r="35" spans="1:4" ht="13">
      <c r="A35" s="47" t="s">
        <v>3826</v>
      </c>
      <c r="B35" s="45" t="s">
        <v>3825</v>
      </c>
      <c r="C35" s="44">
        <v>376.99</v>
      </c>
      <c r="D35" s="43"/>
    </row>
    <row r="36" spans="1:4" ht="13">
      <c r="A36" s="47"/>
      <c r="B36" s="45"/>
      <c r="C36" s="64"/>
      <c r="D36" s="43"/>
    </row>
    <row r="37" spans="1:4" ht="13">
      <c r="A37" s="63" t="s">
        <v>3824</v>
      </c>
      <c r="B37" s="62"/>
      <c r="C37" s="61"/>
      <c r="D37" s="43"/>
    </row>
    <row r="38" spans="1:4" ht="13">
      <c r="A38" s="47" t="s">
        <v>3823</v>
      </c>
      <c r="B38" s="45" t="s">
        <v>3822</v>
      </c>
      <c r="C38" s="64">
        <v>272.99</v>
      </c>
      <c r="D38" s="43"/>
    </row>
    <row r="39" spans="1:4" ht="13">
      <c r="A39" s="47" t="s">
        <v>3821</v>
      </c>
      <c r="B39" s="45" t="s">
        <v>3820</v>
      </c>
      <c r="C39" s="64">
        <v>370.99</v>
      </c>
      <c r="D39" s="43"/>
    </row>
    <row r="40" spans="1:4" ht="13">
      <c r="A40" s="47" t="s">
        <v>3819</v>
      </c>
      <c r="B40" s="45" t="s">
        <v>3818</v>
      </c>
      <c r="C40" s="64">
        <v>382.99</v>
      </c>
      <c r="D40" s="43"/>
    </row>
    <row r="41" spans="1:4" ht="13">
      <c r="A41" s="47"/>
      <c r="B41" s="45"/>
      <c r="C41" s="64"/>
      <c r="D41" s="43"/>
    </row>
    <row r="42" spans="1:4" ht="13">
      <c r="A42" s="63" t="s">
        <v>3817</v>
      </c>
      <c r="B42" s="62"/>
      <c r="C42" s="61"/>
      <c r="D42" s="43"/>
    </row>
    <row r="43" spans="1:4" ht="13">
      <c r="A43" s="47" t="s">
        <v>3816</v>
      </c>
      <c r="B43" s="45" t="s">
        <v>3815</v>
      </c>
      <c r="C43" s="44">
        <v>317.99</v>
      </c>
      <c r="D43" s="43"/>
    </row>
    <row r="44" spans="1:4" ht="13">
      <c r="A44" s="47" t="s">
        <v>3814</v>
      </c>
      <c r="B44" s="45" t="s">
        <v>3813</v>
      </c>
      <c r="C44" s="44">
        <v>341.99</v>
      </c>
      <c r="D44" s="43"/>
    </row>
    <row r="45" spans="1:4" ht="13">
      <c r="A45" s="47" t="s">
        <v>3812</v>
      </c>
      <c r="B45" s="45" t="s">
        <v>3811</v>
      </c>
      <c r="C45" s="44">
        <v>375.99</v>
      </c>
      <c r="D45" s="43"/>
    </row>
    <row r="46" spans="1:4" ht="13">
      <c r="A46" s="47" t="s">
        <v>3810</v>
      </c>
      <c r="B46" s="45" t="s">
        <v>3809</v>
      </c>
      <c r="C46" s="44">
        <v>409.99</v>
      </c>
      <c r="D46" s="43"/>
    </row>
    <row r="47" spans="1:4" ht="13">
      <c r="A47" s="47" t="s">
        <v>3808</v>
      </c>
      <c r="B47" s="45" t="s">
        <v>3807</v>
      </c>
      <c r="C47" s="44">
        <v>409.99</v>
      </c>
      <c r="D47" s="43"/>
    </row>
    <row r="48" spans="1:4" ht="13">
      <c r="A48" s="47" t="s">
        <v>3806</v>
      </c>
      <c r="B48" s="45" t="s">
        <v>3805</v>
      </c>
      <c r="C48" s="44">
        <v>389.99</v>
      </c>
      <c r="D48" s="43"/>
    </row>
    <row r="49" spans="1:4" ht="13">
      <c r="A49" s="47" t="s">
        <v>3804</v>
      </c>
      <c r="B49" s="45" t="s">
        <v>3803</v>
      </c>
      <c r="C49" s="44">
        <v>389.99</v>
      </c>
      <c r="D49" s="43"/>
    </row>
    <row r="50" spans="1:4" ht="13">
      <c r="A50" s="59" t="s">
        <v>3802</v>
      </c>
      <c r="B50" s="58" t="s">
        <v>3801</v>
      </c>
      <c r="C50" s="57">
        <v>364.99</v>
      </c>
      <c r="D50" s="43"/>
    </row>
    <row r="51" spans="1:4" ht="13">
      <c r="A51" s="47"/>
      <c r="B51" s="45"/>
      <c r="C51" s="44"/>
      <c r="D51" s="43"/>
    </row>
    <row r="52" spans="1:4" ht="17.5">
      <c r="A52" s="47"/>
      <c r="B52" s="60" t="s">
        <v>3800</v>
      </c>
      <c r="C52" s="44"/>
      <c r="D52" s="43"/>
    </row>
    <row r="53" spans="1:4" ht="13">
      <c r="A53" s="51" t="s">
        <v>3799</v>
      </c>
      <c r="B53" s="50" t="s">
        <v>3798</v>
      </c>
      <c r="C53" s="49">
        <v>605.99</v>
      </c>
    </row>
    <row r="54" spans="1:4" ht="13">
      <c r="A54" s="47" t="s">
        <v>3797</v>
      </c>
      <c r="B54" s="45" t="s">
        <v>3796</v>
      </c>
      <c r="C54" s="44">
        <v>629.99</v>
      </c>
    </row>
    <row r="55" spans="1:4" ht="13">
      <c r="A55" s="47" t="s">
        <v>3795</v>
      </c>
      <c r="B55" s="45" t="s">
        <v>3794</v>
      </c>
      <c r="C55" s="44">
        <v>697.99</v>
      </c>
    </row>
    <row r="56" spans="1:4" ht="13">
      <c r="A56" s="47" t="s">
        <v>3793</v>
      </c>
      <c r="B56" s="45" t="s">
        <v>3792</v>
      </c>
      <c r="C56" s="44">
        <v>619.99</v>
      </c>
    </row>
    <row r="57" spans="1:4" ht="13">
      <c r="A57" s="47" t="s">
        <v>3791</v>
      </c>
      <c r="B57" s="45" t="s">
        <v>3790</v>
      </c>
      <c r="C57" s="44">
        <v>653.99</v>
      </c>
    </row>
    <row r="58" spans="1:4" ht="13">
      <c r="A58" s="47" t="s">
        <v>3789</v>
      </c>
      <c r="B58" s="45" t="s">
        <v>3788</v>
      </c>
      <c r="C58" s="44">
        <v>687.99</v>
      </c>
    </row>
    <row r="59" spans="1:4" ht="13">
      <c r="A59" s="47" t="s">
        <v>3787</v>
      </c>
      <c r="B59" s="45" t="s">
        <v>3786</v>
      </c>
      <c r="C59" s="44">
        <v>711.99</v>
      </c>
    </row>
    <row r="60" spans="1:4" ht="13">
      <c r="A60" s="47" t="s">
        <v>3785</v>
      </c>
      <c r="B60" s="45" t="s">
        <v>3784</v>
      </c>
      <c r="C60" s="44">
        <v>779.99</v>
      </c>
    </row>
    <row r="61" spans="1:4" ht="13">
      <c r="A61" s="47" t="s">
        <v>3783</v>
      </c>
      <c r="B61" s="45" t="s">
        <v>3782</v>
      </c>
      <c r="C61" s="44">
        <v>711.99</v>
      </c>
    </row>
    <row r="62" spans="1:4" ht="13">
      <c r="A62" s="59" t="s">
        <v>3781</v>
      </c>
      <c r="B62" s="58" t="s">
        <v>3780</v>
      </c>
      <c r="C62" s="57">
        <v>677.99</v>
      </c>
    </row>
    <row r="63" spans="1:4" ht="13">
      <c r="A63" s="46"/>
      <c r="B63" s="45"/>
      <c r="C63" s="44"/>
    </row>
    <row r="64" spans="1:4" ht="17.5">
      <c r="B64" s="55" t="s">
        <v>3779</v>
      </c>
    </row>
    <row r="65" spans="1:4" ht="13">
      <c r="A65" s="51" t="s">
        <v>3778</v>
      </c>
      <c r="B65" s="50" t="s">
        <v>3777</v>
      </c>
      <c r="C65" s="49">
        <v>299.99</v>
      </c>
      <c r="D65" s="30"/>
    </row>
    <row r="66" spans="1:4" ht="13">
      <c r="A66" s="47" t="s">
        <v>3776</v>
      </c>
      <c r="B66" s="45" t="s">
        <v>3775</v>
      </c>
      <c r="C66" s="44">
        <v>357.99</v>
      </c>
      <c r="D66" s="30"/>
    </row>
    <row r="67" spans="1:4" ht="13">
      <c r="A67" s="47" t="s">
        <v>3774</v>
      </c>
      <c r="B67" s="45" t="s">
        <v>3773</v>
      </c>
      <c r="C67" s="44">
        <v>323.99</v>
      </c>
    </row>
    <row r="68" spans="1:4" ht="13">
      <c r="A68" s="47" t="s">
        <v>3772</v>
      </c>
      <c r="B68" s="45" t="s">
        <v>3771</v>
      </c>
      <c r="C68" s="44">
        <v>391.99</v>
      </c>
    </row>
    <row r="69" spans="1:4" ht="13">
      <c r="A69" s="47" t="s">
        <v>3770</v>
      </c>
      <c r="B69" s="45" t="s">
        <v>3769</v>
      </c>
      <c r="C69" s="44">
        <v>743.99</v>
      </c>
    </row>
    <row r="70" spans="1:4" ht="13">
      <c r="A70" s="47" t="s">
        <v>3768</v>
      </c>
      <c r="B70" s="45" t="s">
        <v>3767</v>
      </c>
      <c r="C70" s="44">
        <v>651.99</v>
      </c>
    </row>
    <row r="71" spans="1:4" s="52" customFormat="1" ht="13">
      <c r="A71" s="47" t="s">
        <v>3766</v>
      </c>
      <c r="B71" s="45" t="s">
        <v>3765</v>
      </c>
      <c r="C71" s="44">
        <v>400.99</v>
      </c>
      <c r="D71" s="53"/>
    </row>
    <row r="72" spans="1:4" ht="13">
      <c r="A72" s="59" t="s">
        <v>3764</v>
      </c>
      <c r="B72" s="58" t="s">
        <v>3763</v>
      </c>
      <c r="C72" s="57">
        <v>803.99</v>
      </c>
      <c r="D72" s="43"/>
    </row>
    <row r="73" spans="1:4" s="52" customFormat="1" ht="13">
      <c r="A73" s="56"/>
      <c r="C73" s="54"/>
      <c r="D73" s="53"/>
    </row>
    <row r="74" spans="1:4" s="52" customFormat="1" ht="13">
      <c r="A74" s="56"/>
      <c r="C74" s="54"/>
      <c r="D74" s="53"/>
    </row>
    <row r="75" spans="1:4" ht="13">
      <c r="D75" s="43"/>
    </row>
    <row r="76" spans="1:4" ht="13">
      <c r="D76" s="43"/>
    </row>
    <row r="77" spans="1:4" ht="13">
      <c r="D77" s="43"/>
    </row>
    <row r="78" spans="1:4" ht="13">
      <c r="D78" s="43"/>
    </row>
    <row r="79" spans="1:4" ht="13">
      <c r="D79" s="43"/>
    </row>
    <row r="80" spans="1:4" ht="13">
      <c r="D80" s="43"/>
    </row>
    <row r="81" spans="1:6" ht="13">
      <c r="D81" s="43"/>
    </row>
    <row r="82" spans="1:6" ht="13">
      <c r="D82" s="43"/>
    </row>
    <row r="83" spans="1:6" ht="13">
      <c r="D83" s="43"/>
    </row>
    <row r="84" spans="1:6">
      <c r="D84" s="1097"/>
    </row>
    <row r="85" spans="1:6">
      <c r="D85" s="1097"/>
    </row>
    <row r="86" spans="1:6" ht="13">
      <c r="D86" s="43"/>
    </row>
    <row r="87" spans="1:6" ht="13">
      <c r="D87" s="43"/>
    </row>
    <row r="88" spans="1:6" ht="13">
      <c r="D88" s="43"/>
    </row>
    <row r="89" spans="1:6" ht="13">
      <c r="A89" s="46"/>
      <c r="B89" s="45"/>
      <c r="D89" s="40"/>
    </row>
    <row r="90" spans="1:6" ht="13">
      <c r="A90" s="46"/>
      <c r="B90" s="45"/>
      <c r="D90" s="40"/>
      <c r="E90" s="35"/>
      <c r="F90" s="35"/>
    </row>
    <row r="91" spans="1:6" ht="13">
      <c r="A91" s="46"/>
      <c r="B91" s="45"/>
      <c r="D91" s="40"/>
      <c r="E91" s="35"/>
      <c r="F91" s="35"/>
    </row>
    <row r="92" spans="1:6" s="52" customFormat="1" ht="17.5">
      <c r="A92" s="56"/>
      <c r="B92" s="55" t="s">
        <v>3762</v>
      </c>
      <c r="C92" s="54"/>
      <c r="D92" s="53"/>
    </row>
    <row r="93" spans="1:6" ht="13">
      <c r="A93" s="51" t="s">
        <v>3761</v>
      </c>
      <c r="B93" s="50" t="s">
        <v>3760</v>
      </c>
      <c r="C93" s="49">
        <v>39.99</v>
      </c>
      <c r="D93" s="43"/>
    </row>
    <row r="94" spans="1:6" ht="13">
      <c r="A94" s="47" t="s">
        <v>3759</v>
      </c>
      <c r="B94" s="45" t="s">
        <v>3758</v>
      </c>
      <c r="C94" s="44">
        <v>39.99</v>
      </c>
      <c r="D94" s="43"/>
    </row>
    <row r="95" spans="1:6" ht="13">
      <c r="A95" s="47" t="s">
        <v>3757</v>
      </c>
      <c r="B95" s="45" t="s">
        <v>3756</v>
      </c>
      <c r="C95" s="44">
        <v>12.99</v>
      </c>
      <c r="D95" s="43"/>
    </row>
    <row r="96" spans="1:6" ht="13">
      <c r="A96" s="47" t="s">
        <v>3755</v>
      </c>
      <c r="B96" s="45" t="s">
        <v>3754</v>
      </c>
      <c r="C96" s="44">
        <v>2.99</v>
      </c>
      <c r="D96" s="43"/>
    </row>
    <row r="97" spans="1:4" ht="13">
      <c r="A97" s="47" t="s">
        <v>3753</v>
      </c>
      <c r="B97" s="45" t="s">
        <v>3752</v>
      </c>
      <c r="C97" s="44">
        <v>9.99</v>
      </c>
      <c r="D97" s="43"/>
    </row>
    <row r="98" spans="1:4" ht="13">
      <c r="A98" s="47" t="s">
        <v>3751</v>
      </c>
      <c r="B98" s="45" t="s">
        <v>3750</v>
      </c>
      <c r="C98" s="44">
        <v>22.99</v>
      </c>
      <c r="D98" s="43"/>
    </row>
    <row r="99" spans="1:4" ht="13">
      <c r="A99" s="47" t="s">
        <v>3749</v>
      </c>
      <c r="B99" s="45" t="s">
        <v>3748</v>
      </c>
      <c r="C99" s="44">
        <v>22.99</v>
      </c>
      <c r="D99" s="43"/>
    </row>
    <row r="100" spans="1:4" ht="13">
      <c r="A100" s="47" t="s">
        <v>3747</v>
      </c>
      <c r="B100" s="45" t="s">
        <v>3746</v>
      </c>
      <c r="C100" s="44">
        <v>22.99</v>
      </c>
      <c r="D100" s="43"/>
    </row>
    <row r="101" spans="1:4" ht="13">
      <c r="A101" s="47" t="s">
        <v>3745</v>
      </c>
      <c r="B101" s="45" t="s">
        <v>3744</v>
      </c>
      <c r="C101" s="44">
        <v>22.99</v>
      </c>
      <c r="D101" s="43"/>
    </row>
    <row r="102" spans="1:4" ht="13">
      <c r="A102" s="47" t="s">
        <v>3743</v>
      </c>
      <c r="B102" s="45" t="s">
        <v>3742</v>
      </c>
      <c r="C102" s="44">
        <v>34.99</v>
      </c>
      <c r="D102" s="43"/>
    </row>
    <row r="103" spans="1:4" ht="13">
      <c r="A103" s="47" t="s">
        <v>3741</v>
      </c>
      <c r="B103" s="45" t="s">
        <v>3740</v>
      </c>
      <c r="C103" s="44">
        <v>36.99</v>
      </c>
      <c r="D103" s="43"/>
    </row>
    <row r="104" spans="1:4" ht="13">
      <c r="A104" s="47" t="s">
        <v>3739</v>
      </c>
      <c r="B104" s="45" t="s">
        <v>3738</v>
      </c>
      <c r="C104" s="44">
        <v>12.99</v>
      </c>
      <c r="D104" s="43"/>
    </row>
    <row r="105" spans="1:4" ht="13">
      <c r="A105" s="47" t="s">
        <v>3737</v>
      </c>
      <c r="B105" s="45" t="s">
        <v>3736</v>
      </c>
      <c r="C105" s="44">
        <v>12.99</v>
      </c>
      <c r="D105" s="43"/>
    </row>
    <row r="106" spans="1:4" ht="13">
      <c r="A106" s="47" t="s">
        <v>3735</v>
      </c>
      <c r="B106" s="45" t="s">
        <v>3734</v>
      </c>
      <c r="C106" s="44">
        <v>183.99</v>
      </c>
      <c r="D106" s="43"/>
    </row>
    <row r="107" spans="1:4" ht="13">
      <c r="A107" s="47" t="s">
        <v>3733</v>
      </c>
      <c r="B107" s="45" t="s">
        <v>3732</v>
      </c>
      <c r="C107" s="44">
        <v>48.99</v>
      </c>
      <c r="D107" s="43"/>
    </row>
    <row r="108" spans="1:4" ht="13">
      <c r="A108" s="47" t="s">
        <v>3731</v>
      </c>
      <c r="B108" s="45" t="s">
        <v>3730</v>
      </c>
      <c r="C108" s="44">
        <v>39.99</v>
      </c>
      <c r="D108" s="43"/>
    </row>
    <row r="109" spans="1:4" ht="13">
      <c r="A109" s="47" t="s">
        <v>3729</v>
      </c>
      <c r="B109" s="45" t="s">
        <v>3728</v>
      </c>
      <c r="C109" s="44">
        <v>30.99</v>
      </c>
      <c r="D109" s="43"/>
    </row>
    <row r="110" spans="1:4" ht="13">
      <c r="A110" s="47" t="s">
        <v>3727</v>
      </c>
      <c r="B110" s="45" t="s">
        <v>3726</v>
      </c>
      <c r="C110" s="44">
        <v>39.99</v>
      </c>
      <c r="D110" s="43"/>
    </row>
    <row r="111" spans="1:4" ht="13">
      <c r="A111" s="47" t="s">
        <v>3725</v>
      </c>
      <c r="B111" s="45" t="s">
        <v>3724</v>
      </c>
      <c r="C111" s="44">
        <v>19.989999999999998</v>
      </c>
      <c r="D111" s="43"/>
    </row>
    <row r="112" spans="1:4" ht="13">
      <c r="A112" s="47" t="s">
        <v>3723</v>
      </c>
      <c r="B112" s="45" t="s">
        <v>3722</v>
      </c>
      <c r="C112" s="44">
        <v>36.99</v>
      </c>
      <c r="D112" s="43"/>
    </row>
    <row r="113" spans="1:4" ht="13">
      <c r="A113" s="47" t="s">
        <v>3721</v>
      </c>
      <c r="B113" s="45" t="s">
        <v>3720</v>
      </c>
      <c r="C113" s="44">
        <v>41.99</v>
      </c>
      <c r="D113" s="43"/>
    </row>
    <row r="114" spans="1:4" ht="13">
      <c r="A114" s="47" t="s">
        <v>3719</v>
      </c>
      <c r="B114" s="45" t="s">
        <v>3718</v>
      </c>
      <c r="C114" s="44">
        <v>46.99</v>
      </c>
      <c r="D114" s="43"/>
    </row>
    <row r="115" spans="1:4" ht="13">
      <c r="A115" s="47" t="s">
        <v>3717</v>
      </c>
      <c r="B115" s="45" t="s">
        <v>3716</v>
      </c>
      <c r="C115" s="44">
        <v>47.99</v>
      </c>
      <c r="D115" s="43"/>
    </row>
    <row r="116" spans="1:4" ht="13">
      <c r="A116" s="47" t="s">
        <v>3715</v>
      </c>
      <c r="B116" s="45" t="s">
        <v>3714</v>
      </c>
      <c r="C116" s="44">
        <v>36.99</v>
      </c>
      <c r="D116" s="43"/>
    </row>
    <row r="117" spans="1:4" ht="13">
      <c r="A117" s="47" t="s">
        <v>3713</v>
      </c>
      <c r="B117" s="45" t="s">
        <v>3712</v>
      </c>
      <c r="C117" s="44">
        <v>9.99</v>
      </c>
      <c r="D117" s="43"/>
    </row>
    <row r="118" spans="1:4" ht="13">
      <c r="A118" s="47" t="s">
        <v>3711</v>
      </c>
      <c r="B118" s="45" t="s">
        <v>3710</v>
      </c>
      <c r="C118" s="44" t="s">
        <v>3709</v>
      </c>
      <c r="D118" s="43"/>
    </row>
    <row r="119" spans="1:4" ht="13">
      <c r="A119" s="47" t="s">
        <v>3708</v>
      </c>
      <c r="B119" s="45" t="s">
        <v>3707</v>
      </c>
      <c r="C119" s="44">
        <v>25</v>
      </c>
      <c r="D119" s="43"/>
    </row>
    <row r="120" spans="1:4" ht="13">
      <c r="A120" s="47" t="s">
        <v>3706</v>
      </c>
      <c r="B120" s="45" t="s">
        <v>3705</v>
      </c>
      <c r="C120" s="44">
        <v>17.989999999999998</v>
      </c>
      <c r="D120" s="43"/>
    </row>
    <row r="121" spans="1:4" ht="13">
      <c r="A121" s="47" t="s">
        <v>3704</v>
      </c>
      <c r="B121" s="45" t="s">
        <v>3703</v>
      </c>
      <c r="C121" s="44">
        <v>14.99</v>
      </c>
      <c r="D121" s="43"/>
    </row>
    <row r="122" spans="1:4" ht="13">
      <c r="A122" s="47" t="s">
        <v>3702</v>
      </c>
      <c r="B122" s="48" t="s">
        <v>3701</v>
      </c>
      <c r="C122" s="44">
        <v>32.99</v>
      </c>
      <c r="D122" s="43"/>
    </row>
    <row r="123" spans="1:4" ht="13">
      <c r="A123" s="47" t="s">
        <v>3700</v>
      </c>
      <c r="B123" s="45" t="s">
        <v>3699</v>
      </c>
      <c r="C123" s="44">
        <v>11.99</v>
      </c>
      <c r="D123" s="43"/>
    </row>
    <row r="124" spans="1:4" ht="13">
      <c r="A124" s="47" t="s">
        <v>3698</v>
      </c>
      <c r="B124" s="45" t="s">
        <v>3697</v>
      </c>
      <c r="C124" s="44">
        <v>11.99</v>
      </c>
    </row>
    <row r="125" spans="1:4" ht="13">
      <c r="A125" s="46"/>
      <c r="B125" s="45"/>
      <c r="C125" s="44"/>
      <c r="D125" s="43"/>
    </row>
    <row r="126" spans="1:4" ht="12.5">
      <c r="A126" s="40"/>
      <c r="B126" s="40"/>
      <c r="C126" s="42"/>
    </row>
    <row r="127" spans="1:4" ht="15">
      <c r="A127" s="1095" t="s">
        <v>3696</v>
      </c>
      <c r="B127" s="1096"/>
      <c r="C127" s="1096"/>
      <c r="D127" s="30"/>
    </row>
    <row r="128" spans="1:4">
      <c r="A128" s="1093" t="s">
        <v>3695</v>
      </c>
      <c r="B128" s="1094"/>
      <c r="C128" s="1094"/>
      <c r="D128" s="30"/>
    </row>
    <row r="129" spans="1:4">
      <c r="A129" s="1094"/>
      <c r="B129" s="1094"/>
      <c r="C129" s="1094"/>
    </row>
    <row r="130" spans="1:4" ht="15.5">
      <c r="A130" s="1093" t="s">
        <v>3694</v>
      </c>
      <c r="B130" s="1094"/>
      <c r="C130" s="1094"/>
    </row>
    <row r="131" spans="1:4" ht="15.5">
      <c r="A131" s="1093" t="s">
        <v>3693</v>
      </c>
      <c r="B131" s="1094"/>
      <c r="C131" s="1094"/>
    </row>
    <row r="132" spans="1:4" ht="15.5">
      <c r="A132" s="1093" t="s">
        <v>3692</v>
      </c>
      <c r="B132" s="1094"/>
      <c r="C132" s="1094"/>
    </row>
    <row r="133" spans="1:4" ht="15.5">
      <c r="A133" s="1093" t="s">
        <v>3691</v>
      </c>
      <c r="B133" s="1094"/>
      <c r="C133" s="1094"/>
    </row>
    <row r="134" spans="1:4" ht="15.5">
      <c r="A134" s="41"/>
      <c r="B134" s="40"/>
      <c r="C134" s="40"/>
    </row>
    <row r="135" spans="1:4" ht="22.5">
      <c r="A135" s="1098" t="s">
        <v>3690</v>
      </c>
      <c r="B135" s="1099"/>
      <c r="C135" s="1099"/>
    </row>
    <row r="136" spans="1:4" ht="23">
      <c r="A136" s="39"/>
      <c r="B136" s="38"/>
      <c r="C136" s="37"/>
    </row>
    <row r="137" spans="1:4" ht="23">
      <c r="A137" s="1103" t="s">
        <v>3689</v>
      </c>
      <c r="B137" s="1104"/>
      <c r="C137" s="1104"/>
    </row>
    <row r="138" spans="1:4" ht="15.5">
      <c r="A138" s="1095"/>
      <c r="B138" s="1105"/>
      <c r="C138" s="1105"/>
    </row>
    <row r="139" spans="1:4" ht="12.5">
      <c r="A139" s="1106" t="s">
        <v>3688</v>
      </c>
      <c r="B139" s="1107"/>
      <c r="C139" s="1107"/>
    </row>
    <row r="140" spans="1:4">
      <c r="A140" s="1100"/>
      <c r="B140" s="1101"/>
      <c r="C140" s="1102"/>
    </row>
    <row r="141" spans="1:4">
      <c r="A141" s="31"/>
      <c r="B141" s="30"/>
      <c r="C141" s="30"/>
      <c r="D141" s="30"/>
    </row>
    <row r="142" spans="1:4">
      <c r="A142" s="31"/>
      <c r="B142" s="30"/>
      <c r="C142" s="30"/>
      <c r="D142" s="30"/>
    </row>
    <row r="143" spans="1:4">
      <c r="A143" s="31"/>
      <c r="B143" s="30"/>
      <c r="C143" s="30"/>
      <c r="D143" s="30"/>
    </row>
    <row r="144" spans="1:4">
      <c r="A144" s="31"/>
      <c r="B144" s="30"/>
      <c r="C144" s="30"/>
      <c r="D144" s="30"/>
    </row>
    <row r="145" spans="1:4">
      <c r="A145" s="31"/>
      <c r="B145" s="30"/>
      <c r="C145" s="30"/>
      <c r="D145" s="30"/>
    </row>
    <row r="146" spans="1:4">
      <c r="A146" s="31"/>
      <c r="B146" s="30"/>
      <c r="C146" s="30"/>
      <c r="D146" s="30"/>
    </row>
    <row r="147" spans="1:4">
      <c r="A147" s="31"/>
      <c r="B147" s="30"/>
      <c r="C147" s="30"/>
      <c r="D147" s="30"/>
    </row>
    <row r="148" spans="1:4">
      <c r="A148" s="31"/>
      <c r="B148" s="30"/>
      <c r="C148" s="30"/>
      <c r="D148" s="30"/>
    </row>
    <row r="149" spans="1:4">
      <c r="A149" s="31"/>
      <c r="B149" s="30"/>
      <c r="C149" s="30"/>
      <c r="D149" s="30"/>
    </row>
    <row r="150" spans="1:4">
      <c r="A150" s="31"/>
      <c r="B150" s="30"/>
      <c r="C150" s="30"/>
      <c r="D150" s="30"/>
    </row>
    <row r="174" spans="4:4">
      <c r="D174" s="35"/>
    </row>
  </sheetData>
  <mergeCells count="13">
    <mergeCell ref="A140:C140"/>
    <mergeCell ref="A130:C130"/>
    <mergeCell ref="A137:C137"/>
    <mergeCell ref="A138:C138"/>
    <mergeCell ref="A131:C131"/>
    <mergeCell ref="A139:C139"/>
    <mergeCell ref="A4:E4"/>
    <mergeCell ref="A128:C129"/>
    <mergeCell ref="A127:C127"/>
    <mergeCell ref="D84:D85"/>
    <mergeCell ref="A135:C135"/>
    <mergeCell ref="A132:C132"/>
    <mergeCell ref="A133:C133"/>
  </mergeCells>
  <printOptions horizontalCentered="1"/>
  <pageMargins left="0" right="0" top="0.93" bottom="0.61" header="0.51" footer="0"/>
  <pageSetup scale="60" fitToWidth="0" fitToHeight="0" orientation="portrait" r:id="rId1"/>
  <headerFooter alignWithMargins="0">
    <oddHeader>&amp;C&amp;"Times New Roman,Bold"&amp;14&amp;K03+000Santa Cruz Gunlocks, LLC
Distributor Price List &amp;KFF0000Effective 1/01/23</oddHeader>
    <oddFooter>&amp;C&amp;"Times New Roman,Bold"&amp;14&amp;K03+000Santa Cruz Gunlocks, LLC.  &amp;"Times New Roman,Regular"   
450 Tyler Rd. Webster, NH 03303     
Phone: (603)746-7740 or (800)847-5424
Fax: (603)746-7764
E-mail: info@SantaCruzGunlocks.com  Web: www.SantaCruzGunlocks.com</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35E51-7B33-4862-9658-5FB606DD5D86}">
  <sheetPr>
    <tabColor theme="2" tint="-9.9978637043366805E-2"/>
  </sheetPr>
  <dimension ref="A1:BJ479"/>
  <sheetViews>
    <sheetView showGridLines="0" zoomScale="90" zoomScaleNormal="90" zoomScaleSheetLayoutView="90" zoomScalePageLayoutView="40" workbookViewId="0">
      <pane ySplit="3" topLeftCell="A146" activePane="bottomLeft" state="frozen"/>
      <selection pane="bottomLeft" activeCell="A197" sqref="A197"/>
    </sheetView>
  </sheetViews>
  <sheetFormatPr defaultColWidth="11.453125" defaultRowHeight="12.5"/>
  <cols>
    <col min="1" max="1" width="82.81640625" style="1211" customWidth="1"/>
    <col min="2" max="2" width="10.81640625" style="1210" customWidth="1"/>
    <col min="3" max="3" width="10.54296875" style="1209" customWidth="1"/>
    <col min="4" max="16384" width="11.453125" style="1208"/>
  </cols>
  <sheetData>
    <row r="1" spans="1:3">
      <c r="A1" s="1212"/>
    </row>
    <row r="2" spans="1:3" s="1242" customFormat="1" ht="56" customHeight="1">
      <c r="A2" s="1244"/>
      <c r="B2" s="1243" t="s">
        <v>74473</v>
      </c>
      <c r="C2" s="1243" t="s">
        <v>74472</v>
      </c>
    </row>
    <row r="3" spans="1:3" ht="13">
      <c r="A3" s="1241" t="s">
        <v>52214</v>
      </c>
      <c r="B3" s="1240"/>
      <c r="C3" s="1239"/>
    </row>
    <row r="4" spans="1:3" ht="18.75" customHeight="1">
      <c r="A4" s="1238" t="s">
        <v>74471</v>
      </c>
      <c r="B4" s="1237">
        <v>1105214</v>
      </c>
      <c r="C4" s="1236">
        <v>2299</v>
      </c>
    </row>
    <row r="5" spans="1:3" ht="18.75" customHeight="1">
      <c r="A5" s="1238" t="s">
        <v>74470</v>
      </c>
      <c r="B5" s="1237">
        <v>1105224</v>
      </c>
      <c r="C5" s="1236">
        <v>2899</v>
      </c>
    </row>
    <row r="6" spans="1:3" ht="18.75" customHeight="1">
      <c r="A6" s="1238" t="s">
        <v>74469</v>
      </c>
      <c r="B6" s="1237">
        <v>1105218</v>
      </c>
      <c r="C6" s="1236">
        <v>2899</v>
      </c>
    </row>
    <row r="7" spans="1:3" ht="18.75" customHeight="1">
      <c r="A7" s="1238" t="s">
        <v>74468</v>
      </c>
      <c r="B7" s="1237">
        <v>1105223</v>
      </c>
      <c r="C7" s="1236">
        <v>1559</v>
      </c>
    </row>
    <row r="8" spans="1:3" ht="18.75" customHeight="1">
      <c r="A8" s="1238" t="s">
        <v>74467</v>
      </c>
      <c r="B8" s="1237">
        <v>1105213</v>
      </c>
      <c r="C8" s="1236">
        <v>1799</v>
      </c>
    </row>
    <row r="9" spans="1:3" ht="25">
      <c r="A9" s="1235" t="s">
        <v>74466</v>
      </c>
      <c r="B9" s="1234">
        <v>1104785</v>
      </c>
      <c r="C9" s="1233">
        <v>2299</v>
      </c>
    </row>
    <row r="10" spans="1:3" ht="25">
      <c r="A10" s="1235" t="s">
        <v>74465</v>
      </c>
      <c r="B10" s="1234">
        <v>1104786</v>
      </c>
      <c r="C10" s="1233">
        <v>2899</v>
      </c>
    </row>
    <row r="11" spans="1:3" ht="25">
      <c r="A11" s="1235" t="s">
        <v>74464</v>
      </c>
      <c r="B11" s="1234">
        <v>1104722</v>
      </c>
      <c r="C11" s="1233">
        <v>2299</v>
      </c>
    </row>
    <row r="12" spans="1:3" ht="25">
      <c r="A12" s="1235" t="s">
        <v>74463</v>
      </c>
      <c r="B12" s="1234">
        <v>1104723</v>
      </c>
      <c r="C12" s="1233">
        <v>2899</v>
      </c>
    </row>
    <row r="13" spans="1:3" ht="25">
      <c r="A13" s="1235" t="s">
        <v>74462</v>
      </c>
      <c r="B13" s="1234">
        <v>1104793</v>
      </c>
      <c r="C13" s="1233">
        <v>1559</v>
      </c>
    </row>
    <row r="14" spans="1:3" ht="25">
      <c r="A14" s="1235" t="s">
        <v>74461</v>
      </c>
      <c r="B14" s="1234">
        <v>1104789</v>
      </c>
      <c r="C14" s="1233">
        <v>1799</v>
      </c>
    </row>
    <row r="15" spans="1:3" ht="25">
      <c r="A15" s="1235" t="s">
        <v>74460</v>
      </c>
      <c r="B15" s="1234">
        <v>1104881</v>
      </c>
      <c r="C15" s="1233">
        <v>1259</v>
      </c>
    </row>
    <row r="16" spans="1:3" ht="25">
      <c r="A16" s="1235" t="s">
        <v>74459</v>
      </c>
      <c r="B16" s="1234">
        <v>1104879</v>
      </c>
      <c r="C16" s="1233">
        <v>1499</v>
      </c>
    </row>
    <row r="17" spans="1:3" ht="25">
      <c r="A17" s="1235" t="s">
        <v>74458</v>
      </c>
      <c r="B17" s="1234">
        <v>1104791</v>
      </c>
      <c r="C17" s="1233">
        <v>1559</v>
      </c>
    </row>
    <row r="18" spans="1:3" ht="25">
      <c r="A18" s="1235" t="s">
        <v>74457</v>
      </c>
      <c r="B18" s="1234">
        <v>1104787</v>
      </c>
      <c r="C18" s="1233">
        <v>1799</v>
      </c>
    </row>
    <row r="19" spans="1:3" ht="25">
      <c r="A19" s="1235" t="s">
        <v>74456</v>
      </c>
      <c r="B19" s="1234">
        <v>1104880</v>
      </c>
      <c r="C19" s="1233">
        <v>1259</v>
      </c>
    </row>
    <row r="20" spans="1:3" ht="25">
      <c r="A20" s="1235" t="s">
        <v>74455</v>
      </c>
      <c r="B20" s="1234">
        <v>1104878</v>
      </c>
      <c r="C20" s="1233">
        <v>1499</v>
      </c>
    </row>
    <row r="21" spans="1:3">
      <c r="A21" s="1232" t="s">
        <v>74454</v>
      </c>
      <c r="B21" s="1231">
        <v>1105160</v>
      </c>
      <c r="C21" s="1230">
        <v>1099</v>
      </c>
    </row>
    <row r="22" spans="1:3">
      <c r="A22" s="1232" t="s">
        <v>74453</v>
      </c>
      <c r="B22" s="1231">
        <v>1105161</v>
      </c>
      <c r="C22" s="1230">
        <v>1299</v>
      </c>
    </row>
    <row r="23" spans="1:3">
      <c r="A23" s="1232" t="s">
        <v>74452</v>
      </c>
      <c r="B23" s="1231">
        <v>1105099</v>
      </c>
      <c r="C23" s="1230">
        <v>1199</v>
      </c>
    </row>
    <row r="24" spans="1:3">
      <c r="A24" s="1232" t="s">
        <v>74451</v>
      </c>
      <c r="B24" s="1231">
        <v>1105159</v>
      </c>
      <c r="C24" s="1230">
        <v>1399</v>
      </c>
    </row>
    <row r="25" spans="1:3">
      <c r="A25" s="1232" t="s">
        <v>74450</v>
      </c>
      <c r="B25" s="1231">
        <v>1105234</v>
      </c>
      <c r="C25" s="1230">
        <v>1249</v>
      </c>
    </row>
    <row r="26" spans="1:3">
      <c r="A26" s="1232" t="s">
        <v>74449</v>
      </c>
      <c r="B26" s="1231">
        <v>1105235</v>
      </c>
      <c r="C26" s="1230">
        <v>1449</v>
      </c>
    </row>
    <row r="27" spans="1:3">
      <c r="A27" s="1232" t="s">
        <v>74448</v>
      </c>
      <c r="B27" s="1231">
        <v>1105232</v>
      </c>
      <c r="C27" s="1230">
        <v>1349</v>
      </c>
    </row>
    <row r="28" spans="1:3">
      <c r="A28" s="1232" t="s">
        <v>74447</v>
      </c>
      <c r="B28" s="1231">
        <v>1105233</v>
      </c>
      <c r="C28" s="1230">
        <v>1549</v>
      </c>
    </row>
    <row r="29" spans="1:3" ht="27">
      <c r="A29" s="1235" t="s">
        <v>74446</v>
      </c>
      <c r="B29" s="1234">
        <v>1104708</v>
      </c>
      <c r="C29" s="1233">
        <v>2099</v>
      </c>
    </row>
    <row r="30" spans="1:3" ht="27">
      <c r="A30" s="1235" t="s">
        <v>74445</v>
      </c>
      <c r="B30" s="1234">
        <v>1104709</v>
      </c>
      <c r="C30" s="1233">
        <v>2499</v>
      </c>
    </row>
    <row r="31" spans="1:3" ht="27">
      <c r="A31" s="1235" t="s">
        <v>74444</v>
      </c>
      <c r="B31" s="1234">
        <v>1103981</v>
      </c>
      <c r="C31" s="1233">
        <v>1999</v>
      </c>
    </row>
    <row r="32" spans="1:3" ht="25.5">
      <c r="A32" s="1235" t="s">
        <v>74443</v>
      </c>
      <c r="B32" s="1234">
        <v>1103982</v>
      </c>
      <c r="C32" s="1233">
        <v>2299</v>
      </c>
    </row>
    <row r="33" spans="1:3" ht="27">
      <c r="A33" s="1235" t="s">
        <v>74442</v>
      </c>
      <c r="B33" s="1234">
        <v>1103980</v>
      </c>
      <c r="C33" s="1233">
        <v>1999</v>
      </c>
    </row>
    <row r="34" spans="1:3" ht="27">
      <c r="A34" s="1235" t="s">
        <v>74441</v>
      </c>
      <c r="B34" s="1234">
        <v>1103983</v>
      </c>
      <c r="C34" s="1233">
        <v>2299</v>
      </c>
    </row>
    <row r="35" spans="1:3">
      <c r="A35" s="1235" t="s">
        <v>74440</v>
      </c>
      <c r="B35" s="1234">
        <v>1104071</v>
      </c>
      <c r="C35" s="1233">
        <v>999</v>
      </c>
    </row>
    <row r="36" spans="1:3">
      <c r="A36" s="1235" t="s">
        <v>74439</v>
      </c>
      <c r="B36" s="1234">
        <v>1104073</v>
      </c>
      <c r="C36" s="1233">
        <v>1099</v>
      </c>
    </row>
    <row r="37" spans="1:3">
      <c r="A37" s="1235" t="s">
        <v>74438</v>
      </c>
      <c r="B37" s="1234">
        <v>1104072</v>
      </c>
      <c r="C37" s="1233">
        <v>999</v>
      </c>
    </row>
    <row r="38" spans="1:3">
      <c r="A38" s="1235" t="s">
        <v>74437</v>
      </c>
      <c r="B38" s="1234">
        <v>1104074</v>
      </c>
      <c r="C38" s="1233">
        <v>1099</v>
      </c>
    </row>
    <row r="39" spans="1:3">
      <c r="A39" s="1235" t="s">
        <v>74436</v>
      </c>
      <c r="B39" s="1234">
        <v>1104303</v>
      </c>
      <c r="C39" s="1233">
        <v>829</v>
      </c>
    </row>
    <row r="40" spans="1:3">
      <c r="A40" s="1235" t="s">
        <v>74435</v>
      </c>
      <c r="B40" s="1234">
        <v>1105183</v>
      </c>
      <c r="C40" s="1233">
        <v>929</v>
      </c>
    </row>
    <row r="41" spans="1:3">
      <c r="A41" s="1235" t="s">
        <v>74434</v>
      </c>
      <c r="B41" s="1234">
        <v>1104302</v>
      </c>
      <c r="C41" s="1233">
        <v>949</v>
      </c>
    </row>
    <row r="42" spans="1:3">
      <c r="A42" s="1235" t="s">
        <v>74433</v>
      </c>
      <c r="B42" s="1234">
        <v>1105186</v>
      </c>
      <c r="C42" s="1233">
        <v>1049</v>
      </c>
    </row>
    <row r="43" spans="1:3">
      <c r="A43" s="1235" t="s">
        <v>74432</v>
      </c>
      <c r="B43" s="1234">
        <v>1104332</v>
      </c>
      <c r="C43" s="1233">
        <v>829</v>
      </c>
    </row>
    <row r="44" spans="1:3">
      <c r="A44" s="1235" t="s">
        <v>74431</v>
      </c>
      <c r="B44" s="1234">
        <v>1104331</v>
      </c>
      <c r="C44" s="1233">
        <v>949</v>
      </c>
    </row>
    <row r="45" spans="1:3">
      <c r="A45" s="1235" t="s">
        <v>74430</v>
      </c>
      <c r="B45" s="1234">
        <v>1104335</v>
      </c>
      <c r="C45" s="1233">
        <v>619</v>
      </c>
    </row>
    <row r="46" spans="1:3">
      <c r="A46" s="1235" t="s">
        <v>74429</v>
      </c>
      <c r="B46" s="1234">
        <v>1104337</v>
      </c>
      <c r="C46" s="1233">
        <v>619</v>
      </c>
    </row>
    <row r="47" spans="1:3">
      <c r="A47" s="1235" t="s">
        <v>74428</v>
      </c>
      <c r="B47" s="1234">
        <v>1103052</v>
      </c>
      <c r="C47" s="1233">
        <v>709</v>
      </c>
    </row>
    <row r="48" spans="1:3">
      <c r="A48" s="1235" t="s">
        <v>74427</v>
      </c>
      <c r="B48" s="1234">
        <v>1103045</v>
      </c>
      <c r="C48" s="1233">
        <v>709</v>
      </c>
    </row>
    <row r="49" spans="1:3">
      <c r="A49" s="1235" t="s">
        <v>74426</v>
      </c>
      <c r="B49" s="1234">
        <v>1103973</v>
      </c>
      <c r="C49" s="1233">
        <v>709</v>
      </c>
    </row>
    <row r="50" spans="1:3">
      <c r="A50" s="1235" t="s">
        <v>74425</v>
      </c>
      <c r="B50" s="1234">
        <v>1104927</v>
      </c>
      <c r="C50" s="1233">
        <v>759</v>
      </c>
    </row>
    <row r="51" spans="1:3">
      <c r="A51" s="1235" t="s">
        <v>74424</v>
      </c>
      <c r="B51" s="1234">
        <v>1104928</v>
      </c>
      <c r="C51" s="1233">
        <v>879</v>
      </c>
    </row>
    <row r="52" spans="1:3">
      <c r="A52" s="1235" t="s">
        <v>74423</v>
      </c>
      <c r="B52" s="1234">
        <v>1104934</v>
      </c>
      <c r="C52" s="1233">
        <v>949</v>
      </c>
    </row>
    <row r="53" spans="1:3">
      <c r="A53" s="1235" t="s">
        <v>74422</v>
      </c>
      <c r="B53" s="1234">
        <v>1104929</v>
      </c>
      <c r="C53" s="1233">
        <v>759</v>
      </c>
    </row>
    <row r="54" spans="1:3">
      <c r="A54" s="1235" t="s">
        <v>74421</v>
      </c>
      <c r="B54" s="1234">
        <v>1104930</v>
      </c>
      <c r="C54" s="1233">
        <v>879</v>
      </c>
    </row>
    <row r="55" spans="1:3">
      <c r="A55" s="1235" t="s">
        <v>74420</v>
      </c>
      <c r="B55" s="1234">
        <v>1104933</v>
      </c>
      <c r="C55" s="1233">
        <v>949</v>
      </c>
    </row>
    <row r="56" spans="1:3">
      <c r="A56" s="1232" t="s">
        <v>74419</v>
      </c>
      <c r="B56" s="1231">
        <v>1104580</v>
      </c>
      <c r="C56" s="1230">
        <v>389</v>
      </c>
    </row>
    <row r="57" spans="1:3">
      <c r="A57" s="1232" t="s">
        <v>74418</v>
      </c>
      <c r="B57" s="1231">
        <v>1104572</v>
      </c>
      <c r="C57" s="1230">
        <v>459</v>
      </c>
    </row>
    <row r="58" spans="1:3">
      <c r="A58" s="1232" t="s">
        <v>74417</v>
      </c>
      <c r="B58" s="1231">
        <v>1104493</v>
      </c>
      <c r="C58" s="1230">
        <v>479</v>
      </c>
    </row>
    <row r="59" spans="1:3">
      <c r="A59" s="1232" t="s">
        <v>74416</v>
      </c>
      <c r="B59" s="1231">
        <v>1104046</v>
      </c>
      <c r="C59" s="1230">
        <v>389</v>
      </c>
    </row>
    <row r="60" spans="1:3">
      <c r="A60" s="1232" t="s">
        <v>74415</v>
      </c>
      <c r="B60" s="1231">
        <v>1104047</v>
      </c>
      <c r="C60" s="1230">
        <v>459</v>
      </c>
    </row>
    <row r="61" spans="1:3">
      <c r="A61" s="1232" t="s">
        <v>74414</v>
      </c>
      <c r="B61" s="1231">
        <v>1104048</v>
      </c>
      <c r="C61" s="1230">
        <v>389</v>
      </c>
    </row>
    <row r="62" spans="1:3">
      <c r="A62" s="1232" t="s">
        <v>74413</v>
      </c>
      <c r="B62" s="1231">
        <v>1104049</v>
      </c>
      <c r="C62" s="1230">
        <v>459</v>
      </c>
    </row>
    <row r="63" spans="1:3">
      <c r="A63" s="1232" t="s">
        <v>74412</v>
      </c>
      <c r="B63" s="1231">
        <v>1104579</v>
      </c>
      <c r="C63" s="1230">
        <v>289</v>
      </c>
    </row>
    <row r="64" spans="1:3">
      <c r="A64" s="1232" t="s">
        <v>74411</v>
      </c>
      <c r="B64" s="1231">
        <v>1104573</v>
      </c>
      <c r="C64" s="1230">
        <v>349</v>
      </c>
    </row>
    <row r="65" spans="1:3">
      <c r="A65" s="1232" t="s">
        <v>74410</v>
      </c>
      <c r="B65" s="1231">
        <v>1104181</v>
      </c>
      <c r="C65" s="1230">
        <v>289</v>
      </c>
    </row>
    <row r="66" spans="1:3">
      <c r="A66" s="1232" t="s">
        <v>74409</v>
      </c>
      <c r="B66" s="1231">
        <v>1104182</v>
      </c>
      <c r="C66" s="1230">
        <v>349</v>
      </c>
    </row>
    <row r="67" spans="1:3">
      <c r="A67" s="1232" t="s">
        <v>74408</v>
      </c>
      <c r="B67" s="1231">
        <v>1104183</v>
      </c>
      <c r="C67" s="1230">
        <v>289</v>
      </c>
    </row>
    <row r="68" spans="1:3">
      <c r="A68" s="1232" t="s">
        <v>74407</v>
      </c>
      <c r="B68" s="1231">
        <v>1104184</v>
      </c>
      <c r="C68" s="1230">
        <v>349</v>
      </c>
    </row>
    <row r="69" spans="1:3">
      <c r="A69" s="1212"/>
      <c r="B69" s="1209"/>
      <c r="C69" s="1208"/>
    </row>
    <row r="70" spans="1:3" ht="13">
      <c r="A70" s="1223" t="s">
        <v>74406</v>
      </c>
      <c r="B70" s="1222"/>
      <c r="C70" s="1221"/>
    </row>
    <row r="71" spans="1:3">
      <c r="A71" s="1215" t="s">
        <v>74405</v>
      </c>
      <c r="B71" s="1229">
        <v>6001354</v>
      </c>
      <c r="C71" s="1228">
        <v>419</v>
      </c>
    </row>
    <row r="72" spans="1:3">
      <c r="A72" s="1215" t="s">
        <v>74404</v>
      </c>
      <c r="B72" s="1229">
        <v>6001355</v>
      </c>
      <c r="C72" s="1228">
        <v>419</v>
      </c>
    </row>
    <row r="73" spans="1:3">
      <c r="A73" s="1215" t="s">
        <v>74403</v>
      </c>
      <c r="B73" s="1229">
        <v>6001399</v>
      </c>
      <c r="C73" s="1228">
        <v>389</v>
      </c>
    </row>
    <row r="74" spans="1:3">
      <c r="A74" s="1215" t="s">
        <v>74402</v>
      </c>
      <c r="B74" s="1229">
        <v>6001400</v>
      </c>
      <c r="C74" s="1228">
        <v>389</v>
      </c>
    </row>
    <row r="75" spans="1:3">
      <c r="A75" s="1215" t="s">
        <v>74401</v>
      </c>
      <c r="B75" s="1229">
        <v>6001443</v>
      </c>
      <c r="C75" s="1228">
        <v>309</v>
      </c>
    </row>
    <row r="76" spans="1:3">
      <c r="A76" s="1215" t="s">
        <v>74400</v>
      </c>
      <c r="B76" s="1229">
        <v>6001445</v>
      </c>
      <c r="C76" s="1228">
        <v>309</v>
      </c>
    </row>
    <row r="77" spans="1:3">
      <c r="A77" s="1215" t="s">
        <v>74399</v>
      </c>
      <c r="B77" s="1229">
        <v>6001444</v>
      </c>
      <c r="C77" s="1228">
        <v>419</v>
      </c>
    </row>
    <row r="78" spans="1:3">
      <c r="A78" s="1215" t="s">
        <v>74398</v>
      </c>
      <c r="B78" s="1229">
        <v>6001500</v>
      </c>
      <c r="C78" s="1228">
        <v>419</v>
      </c>
    </row>
    <row r="79" spans="1:3">
      <c r="A79" s="1215" t="s">
        <v>74397</v>
      </c>
      <c r="B79" s="1229">
        <v>6001442</v>
      </c>
      <c r="C79" s="1228">
        <v>389</v>
      </c>
    </row>
    <row r="80" spans="1:3">
      <c r="A80" s="1215" t="s">
        <v>74396</v>
      </c>
      <c r="B80" s="1229">
        <v>6001501</v>
      </c>
      <c r="C80" s="1228">
        <v>389</v>
      </c>
    </row>
    <row r="81" spans="1:3">
      <c r="A81" s="1215" t="s">
        <v>74395</v>
      </c>
      <c r="B81" s="1229">
        <v>6001446</v>
      </c>
      <c r="C81" s="1228">
        <v>309</v>
      </c>
    </row>
    <row r="82" spans="1:3">
      <c r="A82" s="1215" t="s">
        <v>74394</v>
      </c>
      <c r="B82" s="1229">
        <v>6001524</v>
      </c>
      <c r="C82" s="1228">
        <v>309</v>
      </c>
    </row>
    <row r="83" spans="1:3">
      <c r="A83" s="1215" t="s">
        <v>74393</v>
      </c>
      <c r="B83" s="1229">
        <v>6001351</v>
      </c>
      <c r="C83" s="1228">
        <v>123</v>
      </c>
    </row>
    <row r="84" spans="1:3">
      <c r="A84" s="1215" t="s">
        <v>74392</v>
      </c>
      <c r="B84" s="1229">
        <v>6001352</v>
      </c>
      <c r="C84" s="1228">
        <v>123</v>
      </c>
    </row>
    <row r="85" spans="1:3">
      <c r="A85" s="1215" t="s">
        <v>74391</v>
      </c>
      <c r="B85" s="1229">
        <v>6001511</v>
      </c>
      <c r="C85" s="1228">
        <v>359</v>
      </c>
    </row>
    <row r="86" spans="1:3">
      <c r="A86" s="1215" t="s">
        <v>74390</v>
      </c>
      <c r="B86" s="1229">
        <v>6001525</v>
      </c>
      <c r="C86" s="1228">
        <v>359</v>
      </c>
    </row>
    <row r="87" spans="1:3">
      <c r="A87" s="1215" t="s">
        <v>74389</v>
      </c>
      <c r="B87" s="1229">
        <v>6001512</v>
      </c>
      <c r="C87" s="1228">
        <v>329</v>
      </c>
    </row>
    <row r="88" spans="1:3">
      <c r="A88" s="1215" t="s">
        <v>74388</v>
      </c>
      <c r="B88" s="1229">
        <v>6001526</v>
      </c>
      <c r="C88" s="1228">
        <v>329</v>
      </c>
    </row>
    <row r="89" spans="1:3">
      <c r="A89" s="1215" t="s">
        <v>74387</v>
      </c>
      <c r="B89" s="1229">
        <v>6001545</v>
      </c>
      <c r="C89" s="1228">
        <v>359</v>
      </c>
    </row>
    <row r="90" spans="1:3">
      <c r="A90" s="1215" t="s">
        <v>74386</v>
      </c>
      <c r="B90" s="1229">
        <v>6001546</v>
      </c>
      <c r="C90" s="1228">
        <v>329</v>
      </c>
    </row>
    <row r="91" spans="1:3">
      <c r="A91" s="1215" t="s">
        <v>74385</v>
      </c>
      <c r="B91" s="1229">
        <v>6001540</v>
      </c>
      <c r="C91" s="1228">
        <v>179</v>
      </c>
    </row>
    <row r="92" spans="1:3">
      <c r="A92" s="1215" t="s">
        <v>74384</v>
      </c>
      <c r="B92" s="1229">
        <v>6001539</v>
      </c>
      <c r="C92" s="1228">
        <v>159</v>
      </c>
    </row>
    <row r="93" spans="1:3">
      <c r="A93" s="1215" t="s">
        <v>74383</v>
      </c>
      <c r="B93" s="1229">
        <v>6001517</v>
      </c>
      <c r="C93" s="1228">
        <v>169</v>
      </c>
    </row>
    <row r="94" spans="1:3">
      <c r="A94" s="1215" t="s">
        <v>74382</v>
      </c>
      <c r="B94" s="1229">
        <v>6001518</v>
      </c>
      <c r="C94" s="1228">
        <v>149</v>
      </c>
    </row>
    <row r="95" spans="1:3">
      <c r="A95" s="1215" t="s">
        <v>74381</v>
      </c>
      <c r="B95" s="1229">
        <v>6001344</v>
      </c>
      <c r="C95" s="1228">
        <v>329</v>
      </c>
    </row>
    <row r="96" spans="1:3">
      <c r="A96" s="1215" t="s">
        <v>74380</v>
      </c>
      <c r="B96" s="1229">
        <v>6001345</v>
      </c>
      <c r="C96" s="1228">
        <v>329</v>
      </c>
    </row>
    <row r="97" spans="1:62">
      <c r="A97" s="1215" t="s">
        <v>74379</v>
      </c>
      <c r="B97" s="1229">
        <v>6001364</v>
      </c>
      <c r="C97" s="1228">
        <v>239</v>
      </c>
    </row>
    <row r="98" spans="1:62">
      <c r="A98" s="1215" t="s">
        <v>74378</v>
      </c>
      <c r="B98" s="1229">
        <v>6001363</v>
      </c>
      <c r="C98" s="1228">
        <v>239</v>
      </c>
    </row>
    <row r="99" spans="1:62">
      <c r="A99" s="1215" t="s">
        <v>74377</v>
      </c>
      <c r="B99" s="1229">
        <v>6001121</v>
      </c>
      <c r="C99" s="1228">
        <v>219</v>
      </c>
    </row>
    <row r="100" spans="1:62">
      <c r="A100" s="1215" t="s">
        <v>74376</v>
      </c>
      <c r="B100" s="1229">
        <v>6001197</v>
      </c>
      <c r="C100" s="1228">
        <v>219</v>
      </c>
    </row>
    <row r="101" spans="1:62">
      <c r="A101" s="1215" t="s">
        <v>74375</v>
      </c>
      <c r="B101" s="1229">
        <v>6001262</v>
      </c>
      <c r="C101" s="1228">
        <v>219</v>
      </c>
    </row>
    <row r="102" spans="1:62">
      <c r="A102" s="1215" t="s">
        <v>74374</v>
      </c>
      <c r="B102" s="1229">
        <v>6001275</v>
      </c>
      <c r="C102" s="1228">
        <v>279</v>
      </c>
    </row>
    <row r="103" spans="1:62">
      <c r="A103" s="1215" t="s">
        <v>74373</v>
      </c>
      <c r="B103" s="1229">
        <v>6001530</v>
      </c>
      <c r="C103" s="1228">
        <v>179</v>
      </c>
    </row>
    <row r="104" spans="1:62">
      <c r="A104" s="1215" t="s">
        <v>74372</v>
      </c>
      <c r="B104" s="1229">
        <v>6001201</v>
      </c>
      <c r="C104" s="1228">
        <v>78</v>
      </c>
    </row>
    <row r="105" spans="1:62">
      <c r="A105" s="1215" t="s">
        <v>74371</v>
      </c>
      <c r="B105" s="1229">
        <v>6001119</v>
      </c>
      <c r="C105" s="1228">
        <v>156</v>
      </c>
    </row>
    <row r="106" spans="1:62">
      <c r="A106" s="1215" t="s">
        <v>74370</v>
      </c>
      <c r="B106" s="1229">
        <v>6001200</v>
      </c>
      <c r="C106" s="1228">
        <v>73</v>
      </c>
    </row>
    <row r="107" spans="1:62">
      <c r="A107" s="1215" t="s">
        <v>74369</v>
      </c>
      <c r="B107" s="1229">
        <v>6001199</v>
      </c>
      <c r="C107" s="1228">
        <v>167</v>
      </c>
    </row>
    <row r="108" spans="1:62">
      <c r="A108" s="1215" t="s">
        <v>74368</v>
      </c>
      <c r="B108" s="1229">
        <v>6001120</v>
      </c>
      <c r="C108" s="1228">
        <v>129</v>
      </c>
    </row>
    <row r="109" spans="1:62">
      <c r="A109" s="1215" t="s">
        <v>74367</v>
      </c>
      <c r="B109" s="1229">
        <v>6001283</v>
      </c>
      <c r="C109" s="1228">
        <v>123</v>
      </c>
    </row>
    <row r="110" spans="1:62">
      <c r="A110" s="1215" t="s">
        <v>74366</v>
      </c>
      <c r="B110" s="1229">
        <v>6001284</v>
      </c>
      <c r="C110" s="1228">
        <v>123</v>
      </c>
    </row>
    <row r="111" spans="1:62">
      <c r="A111" s="1215" t="s">
        <v>74365</v>
      </c>
      <c r="B111" s="1229">
        <v>6001124</v>
      </c>
      <c r="C111" s="1228">
        <v>33</v>
      </c>
    </row>
    <row r="112" spans="1:62" s="1210" customFormat="1">
      <c r="A112" s="1215" t="s">
        <v>74364</v>
      </c>
      <c r="B112" s="1229">
        <v>6001219</v>
      </c>
      <c r="C112" s="1228">
        <v>33</v>
      </c>
      <c r="D112" s="1208"/>
      <c r="E112" s="1208"/>
      <c r="F112" s="1208"/>
      <c r="G112" s="1208"/>
      <c r="H112" s="1208"/>
      <c r="I112" s="1208"/>
      <c r="J112" s="1208"/>
      <c r="K112" s="1208"/>
      <c r="L112" s="1208"/>
      <c r="M112" s="1208"/>
      <c r="N112" s="1208"/>
      <c r="O112" s="1208"/>
      <c r="P112" s="1208"/>
      <c r="Q112" s="1208"/>
      <c r="R112" s="1208"/>
      <c r="S112" s="1208"/>
      <c r="T112" s="1208"/>
      <c r="U112" s="1208"/>
      <c r="V112" s="1208"/>
      <c r="W112" s="1208"/>
      <c r="X112" s="120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08"/>
      <c r="BF112" s="1208"/>
      <c r="BG112" s="1208"/>
      <c r="BH112" s="1208"/>
      <c r="BI112" s="1208"/>
      <c r="BJ112" s="1208"/>
    </row>
    <row r="113" spans="1:62" s="1210" customFormat="1">
      <c r="A113" s="1215" t="s">
        <v>74363</v>
      </c>
      <c r="B113" s="1229">
        <v>6001125</v>
      </c>
      <c r="C113" s="1228">
        <v>50</v>
      </c>
      <c r="D113" s="1208"/>
      <c r="E113" s="1208"/>
      <c r="F113" s="1208"/>
      <c r="G113" s="1208"/>
      <c r="H113" s="1208"/>
      <c r="I113" s="1208"/>
      <c r="J113" s="1208"/>
      <c r="K113" s="1208"/>
      <c r="L113" s="1208"/>
      <c r="M113" s="1208"/>
      <c r="N113" s="1208"/>
      <c r="O113" s="1208"/>
      <c r="P113" s="1208"/>
      <c r="Q113" s="1208"/>
      <c r="R113" s="1208"/>
      <c r="S113" s="1208"/>
      <c r="T113" s="1208"/>
      <c r="U113" s="1208"/>
      <c r="V113" s="1208"/>
      <c r="W113" s="1208"/>
      <c r="X113" s="12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08"/>
      <c r="BF113" s="1208"/>
      <c r="BG113" s="1208"/>
      <c r="BH113" s="1208"/>
      <c r="BI113" s="1208"/>
      <c r="BJ113" s="1208"/>
    </row>
    <row r="114" spans="1:62" s="1210" customFormat="1">
      <c r="A114" s="1215" t="s">
        <v>74362</v>
      </c>
      <c r="B114" s="1229">
        <v>6001211</v>
      </c>
      <c r="C114" s="1228">
        <v>50</v>
      </c>
      <c r="D114" s="1208"/>
      <c r="E114" s="1208"/>
      <c r="F114" s="1208"/>
      <c r="G114" s="1208"/>
      <c r="H114" s="1208"/>
      <c r="I114" s="1208"/>
      <c r="J114" s="1208"/>
      <c r="K114" s="1208"/>
      <c r="L114" s="1208"/>
      <c r="M114" s="1208"/>
      <c r="N114" s="1208"/>
      <c r="O114" s="1208"/>
      <c r="P114" s="1208"/>
      <c r="Q114" s="1208"/>
      <c r="R114" s="1208"/>
      <c r="S114" s="1208"/>
      <c r="T114" s="1208"/>
      <c r="U114" s="1208"/>
      <c r="V114" s="1208"/>
      <c r="W114" s="1208"/>
      <c r="X114" s="12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08"/>
      <c r="BF114" s="1208"/>
      <c r="BG114" s="1208"/>
      <c r="BH114" s="1208"/>
      <c r="BI114" s="1208"/>
      <c r="BJ114" s="1208"/>
    </row>
    <row r="115" spans="1:62" s="1210" customFormat="1">
      <c r="A115" s="1215" t="s">
        <v>74361</v>
      </c>
      <c r="B115" s="1229">
        <v>6001454</v>
      </c>
      <c r="C115" s="1228">
        <v>123</v>
      </c>
      <c r="D115" s="1208"/>
      <c r="E115" s="1208"/>
      <c r="F115" s="1208"/>
      <c r="G115" s="1208"/>
      <c r="H115" s="1208"/>
      <c r="I115" s="1208"/>
      <c r="J115" s="1208"/>
      <c r="K115" s="1208"/>
      <c r="L115" s="1208"/>
      <c r="M115" s="1208"/>
      <c r="N115" s="1208"/>
      <c r="O115" s="1208"/>
      <c r="P115" s="1208"/>
      <c r="Q115" s="1208"/>
      <c r="R115" s="1208"/>
      <c r="S115" s="1208"/>
      <c r="T115" s="1208"/>
      <c r="U115" s="1208"/>
      <c r="V115" s="1208"/>
      <c r="W115" s="1208"/>
      <c r="X115" s="12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08"/>
      <c r="BF115" s="1208"/>
      <c r="BG115" s="1208"/>
      <c r="BH115" s="1208"/>
      <c r="BI115" s="1208"/>
      <c r="BJ115" s="1208"/>
    </row>
    <row r="116" spans="1:62" s="1210" customFormat="1">
      <c r="A116" s="1215" t="s">
        <v>74360</v>
      </c>
      <c r="B116" s="1229">
        <v>6001285</v>
      </c>
      <c r="C116" s="1228">
        <v>55</v>
      </c>
      <c r="D116" s="1208"/>
      <c r="E116" s="1208"/>
      <c r="F116" s="1208"/>
      <c r="G116" s="1208"/>
      <c r="H116" s="1208"/>
      <c r="I116" s="1208"/>
      <c r="J116" s="1208"/>
      <c r="K116" s="1208"/>
      <c r="L116" s="1208"/>
      <c r="M116" s="1208"/>
      <c r="N116" s="1208"/>
      <c r="O116" s="1208"/>
      <c r="P116" s="1208"/>
      <c r="Q116" s="1208"/>
      <c r="R116" s="1208"/>
      <c r="S116" s="1208"/>
      <c r="T116" s="1208"/>
      <c r="U116" s="1208"/>
      <c r="V116" s="1208"/>
      <c r="W116" s="1208"/>
      <c r="X116" s="120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08"/>
      <c r="BF116" s="1208"/>
      <c r="BG116" s="1208"/>
      <c r="BH116" s="1208"/>
      <c r="BI116" s="1208"/>
      <c r="BJ116" s="1208"/>
    </row>
    <row r="117" spans="1:62" s="1210" customFormat="1">
      <c r="A117" s="1215" t="s">
        <v>74359</v>
      </c>
      <c r="B117" s="1229">
        <v>6001455</v>
      </c>
      <c r="C117" s="1228">
        <v>134</v>
      </c>
      <c r="D117" s="1208"/>
      <c r="E117" s="1208"/>
      <c r="F117" s="1208"/>
      <c r="G117" s="1208"/>
      <c r="H117" s="1208"/>
      <c r="I117" s="1208"/>
      <c r="J117" s="1208"/>
      <c r="K117" s="1208"/>
      <c r="L117" s="1208"/>
      <c r="M117" s="1208"/>
      <c r="N117" s="1208"/>
      <c r="O117" s="1208"/>
      <c r="P117" s="1208"/>
      <c r="Q117" s="1208"/>
      <c r="R117" s="1208"/>
      <c r="S117" s="1208"/>
      <c r="T117" s="1208"/>
      <c r="U117" s="1208"/>
      <c r="V117" s="1208"/>
      <c r="W117" s="1208"/>
      <c r="X117" s="120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08"/>
      <c r="BF117" s="1208"/>
      <c r="BG117" s="1208"/>
      <c r="BH117" s="1208"/>
      <c r="BI117" s="1208"/>
      <c r="BJ117" s="1208"/>
    </row>
    <row r="118" spans="1:62" s="1210" customFormat="1">
      <c r="A118" s="1215" t="s">
        <v>74358</v>
      </c>
      <c r="B118" s="1229">
        <v>6001548</v>
      </c>
      <c r="C118" s="1228">
        <v>223.44</v>
      </c>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08"/>
      <c r="BF118" s="1208"/>
      <c r="BG118" s="1208"/>
      <c r="BH118" s="1208"/>
      <c r="BI118" s="1208"/>
      <c r="BJ118" s="1208"/>
    </row>
    <row r="119" spans="1:62" s="1210" customFormat="1">
      <c r="A119" s="1215" t="s">
        <v>74357</v>
      </c>
      <c r="B119" s="1229">
        <v>6001547</v>
      </c>
      <c r="C119" s="1228">
        <v>197.51</v>
      </c>
      <c r="D119" s="1208"/>
      <c r="E119" s="1208"/>
      <c r="F119" s="1208"/>
      <c r="G119" s="1208"/>
      <c r="H119" s="1208"/>
      <c r="I119" s="1208"/>
      <c r="J119" s="1208"/>
      <c r="K119" s="1208"/>
      <c r="L119" s="1208"/>
      <c r="M119" s="1208"/>
      <c r="N119" s="1208"/>
      <c r="O119" s="1208"/>
      <c r="P119" s="1208"/>
      <c r="Q119" s="1208"/>
      <c r="R119" s="1208"/>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08"/>
      <c r="BF119" s="1208"/>
      <c r="BG119" s="1208"/>
      <c r="BH119" s="1208"/>
      <c r="BI119" s="1208"/>
      <c r="BJ119" s="1208"/>
    </row>
    <row r="120" spans="1:62" s="1210" customFormat="1">
      <c r="A120" s="1215" t="s">
        <v>74356</v>
      </c>
      <c r="B120" s="1229">
        <v>6001432</v>
      </c>
      <c r="C120" s="1228">
        <v>175</v>
      </c>
      <c r="D120" s="1208"/>
      <c r="E120" s="1208"/>
      <c r="F120" s="1208"/>
      <c r="G120" s="1208"/>
      <c r="H120" s="1208"/>
      <c r="I120" s="1208"/>
      <c r="J120" s="1208"/>
      <c r="K120" s="1208"/>
      <c r="L120" s="1208"/>
      <c r="M120" s="1208"/>
      <c r="N120" s="1208"/>
      <c r="O120" s="1208"/>
      <c r="P120" s="1208"/>
      <c r="Q120" s="1208"/>
      <c r="R120" s="1208"/>
      <c r="S120" s="1208"/>
      <c r="T120" s="1208"/>
      <c r="U120" s="1208"/>
      <c r="V120" s="1208"/>
      <c r="W120" s="1208"/>
      <c r="X120" s="1208"/>
      <c r="Y120" s="1208"/>
      <c r="Z120" s="1208"/>
      <c r="AA120" s="1208"/>
      <c r="AB120" s="1208"/>
      <c r="AC120" s="1208"/>
      <c r="AD120" s="1208"/>
      <c r="AE120" s="1208"/>
      <c r="AF120" s="1208"/>
      <c r="AG120" s="1208"/>
      <c r="AH120" s="1208"/>
      <c r="AI120" s="1208"/>
      <c r="AJ120" s="1208"/>
      <c r="AK120" s="1208"/>
      <c r="AL120" s="1208"/>
      <c r="AM120" s="1208"/>
      <c r="AN120" s="1208"/>
      <c r="AO120" s="1208"/>
      <c r="AP120" s="1208"/>
      <c r="AQ120" s="1208"/>
      <c r="AR120" s="1208"/>
      <c r="AS120" s="1208"/>
      <c r="AT120" s="1208"/>
      <c r="AU120" s="1208"/>
      <c r="AV120" s="1208"/>
      <c r="AW120" s="1208"/>
      <c r="AX120" s="1208"/>
      <c r="AY120" s="1208"/>
      <c r="AZ120" s="1208"/>
      <c r="BA120" s="1208"/>
      <c r="BB120" s="1208"/>
      <c r="BC120" s="1208"/>
      <c r="BD120" s="1208"/>
      <c r="BE120" s="1208"/>
      <c r="BF120" s="1208"/>
      <c r="BG120" s="1208"/>
      <c r="BH120" s="1208"/>
      <c r="BI120" s="1208"/>
      <c r="BJ120" s="1208"/>
    </row>
    <row r="121" spans="1:62" s="1210" customFormat="1">
      <c r="A121" s="1215" t="s">
        <v>74355</v>
      </c>
      <c r="B121" s="1229">
        <v>6001152</v>
      </c>
      <c r="C121" s="1228">
        <v>12</v>
      </c>
      <c r="D121" s="1208"/>
      <c r="E121" s="1208"/>
      <c r="F121" s="1208"/>
      <c r="G121" s="1208"/>
      <c r="H121" s="1208"/>
      <c r="I121" s="1208"/>
      <c r="J121" s="1208"/>
      <c r="K121" s="1208"/>
      <c r="L121" s="1208"/>
      <c r="M121" s="1208"/>
      <c r="N121" s="1208"/>
      <c r="O121" s="1208"/>
      <c r="P121" s="1208"/>
      <c r="Q121" s="1208"/>
      <c r="R121" s="1208"/>
      <c r="S121" s="1208"/>
      <c r="T121" s="1208"/>
      <c r="U121" s="1208"/>
      <c r="V121" s="1208"/>
      <c r="W121" s="1208"/>
      <c r="X121" s="1208"/>
      <c r="Y121" s="1208"/>
      <c r="Z121" s="1208"/>
      <c r="AA121" s="1208"/>
      <c r="AB121" s="1208"/>
      <c r="AC121" s="1208"/>
      <c r="AD121" s="1208"/>
      <c r="AE121" s="1208"/>
      <c r="AF121" s="1208"/>
      <c r="AG121" s="1208"/>
      <c r="AH121" s="1208"/>
      <c r="AI121" s="1208"/>
      <c r="AJ121" s="1208"/>
      <c r="AK121" s="1208"/>
      <c r="AL121" s="1208"/>
      <c r="AM121" s="1208"/>
      <c r="AN121" s="1208"/>
      <c r="AO121" s="1208"/>
      <c r="AP121" s="1208"/>
      <c r="AQ121" s="1208"/>
      <c r="AR121" s="1208"/>
      <c r="AS121" s="1208"/>
      <c r="AT121" s="1208"/>
      <c r="AU121" s="1208"/>
      <c r="AV121" s="1208"/>
      <c r="AW121" s="1208"/>
      <c r="AX121" s="1208"/>
      <c r="AY121" s="1208"/>
      <c r="AZ121" s="1208"/>
      <c r="BA121" s="1208"/>
      <c r="BB121" s="1208"/>
      <c r="BC121" s="1208"/>
      <c r="BD121" s="1208"/>
      <c r="BE121" s="1208"/>
      <c r="BF121" s="1208"/>
      <c r="BG121" s="1208"/>
      <c r="BH121" s="1208"/>
      <c r="BI121" s="1208"/>
      <c r="BJ121" s="1208"/>
    </row>
    <row r="122" spans="1:62" s="1210" customFormat="1">
      <c r="A122" s="1215" t="s">
        <v>74354</v>
      </c>
      <c r="B122" s="1214">
        <v>6001401</v>
      </c>
      <c r="C122" s="1228">
        <v>17</v>
      </c>
      <c r="D122" s="1208"/>
      <c r="E122" s="1208"/>
      <c r="F122" s="1208"/>
      <c r="G122" s="1208"/>
      <c r="H122" s="1208"/>
      <c r="I122" s="1208"/>
      <c r="J122" s="1208"/>
      <c r="K122" s="1208"/>
      <c r="L122" s="1208"/>
      <c r="M122" s="1208"/>
      <c r="N122" s="1208"/>
      <c r="O122" s="1208"/>
      <c r="P122" s="1208"/>
      <c r="Q122" s="1208"/>
      <c r="R122" s="1208"/>
      <c r="S122" s="1208"/>
      <c r="T122" s="1208"/>
      <c r="U122" s="1208"/>
      <c r="V122" s="1208"/>
      <c r="W122" s="1208"/>
      <c r="X122" s="1208"/>
      <c r="Y122" s="1208"/>
      <c r="Z122" s="1208"/>
      <c r="AA122" s="1208"/>
      <c r="AB122" s="1208"/>
      <c r="AC122" s="1208"/>
      <c r="AD122" s="1208"/>
      <c r="AE122" s="1208"/>
      <c r="AF122" s="1208"/>
      <c r="AG122" s="1208"/>
      <c r="AH122" s="1208"/>
      <c r="AI122" s="1208"/>
      <c r="AJ122" s="1208"/>
      <c r="AK122" s="1208"/>
      <c r="AL122" s="1208"/>
      <c r="AM122" s="1208"/>
      <c r="AN122" s="1208"/>
      <c r="AO122" s="1208"/>
      <c r="AP122" s="1208"/>
      <c r="AQ122" s="1208"/>
      <c r="AR122" s="1208"/>
      <c r="AS122" s="1208"/>
      <c r="AT122" s="1208"/>
      <c r="AU122" s="1208"/>
      <c r="AV122" s="1208"/>
      <c r="AW122" s="1208"/>
      <c r="AX122" s="1208"/>
      <c r="AY122" s="1208"/>
      <c r="AZ122" s="1208"/>
      <c r="BA122" s="1208"/>
      <c r="BB122" s="1208"/>
      <c r="BC122" s="1208"/>
      <c r="BD122" s="1208"/>
      <c r="BE122" s="1208"/>
      <c r="BF122" s="1208"/>
      <c r="BG122" s="1208"/>
      <c r="BH122" s="1208"/>
      <c r="BI122" s="1208"/>
      <c r="BJ122" s="1208"/>
    </row>
    <row r="123" spans="1:62" s="1210" customFormat="1">
      <c r="A123" s="1215" t="s">
        <v>74353</v>
      </c>
      <c r="B123" s="1229">
        <v>6001343</v>
      </c>
      <c r="C123" s="1228">
        <v>16</v>
      </c>
      <c r="D123" s="1208"/>
      <c r="E123" s="1208"/>
      <c r="F123" s="1208"/>
      <c r="G123" s="1208"/>
      <c r="H123" s="1208"/>
      <c r="I123" s="1208"/>
      <c r="J123" s="1208"/>
      <c r="K123" s="1208"/>
      <c r="L123" s="1208"/>
      <c r="M123" s="1208"/>
      <c r="N123" s="1208"/>
      <c r="O123" s="1208"/>
      <c r="P123" s="1208"/>
      <c r="Q123" s="1208"/>
      <c r="R123" s="1208"/>
      <c r="S123" s="1208"/>
      <c r="T123" s="1208"/>
      <c r="U123" s="1208"/>
      <c r="V123" s="1208"/>
      <c r="W123" s="1208"/>
      <c r="X123" s="1208"/>
      <c r="Y123" s="1208"/>
      <c r="Z123" s="1208"/>
      <c r="AA123" s="1208"/>
      <c r="AB123" s="1208"/>
      <c r="AC123" s="1208"/>
      <c r="AD123" s="1208"/>
      <c r="AE123" s="1208"/>
      <c r="AF123" s="1208"/>
      <c r="AG123" s="1208"/>
      <c r="AH123" s="1208"/>
      <c r="AI123" s="1208"/>
      <c r="AJ123" s="1208"/>
      <c r="AK123" s="1208"/>
      <c r="AL123" s="1208"/>
      <c r="AM123" s="1208"/>
      <c r="AN123" s="1208"/>
      <c r="AO123" s="1208"/>
      <c r="AP123" s="1208"/>
      <c r="AQ123" s="1208"/>
      <c r="AR123" s="1208"/>
      <c r="AS123" s="1208"/>
      <c r="AT123" s="1208"/>
      <c r="AU123" s="1208"/>
      <c r="AV123" s="1208"/>
      <c r="AW123" s="1208"/>
      <c r="AX123" s="1208"/>
      <c r="AY123" s="1208"/>
      <c r="AZ123" s="1208"/>
      <c r="BA123" s="1208"/>
      <c r="BB123" s="1208"/>
      <c r="BC123" s="1208"/>
      <c r="BD123" s="1208"/>
      <c r="BE123" s="1208"/>
      <c r="BF123" s="1208"/>
      <c r="BG123" s="1208"/>
      <c r="BH123" s="1208"/>
      <c r="BI123" s="1208"/>
      <c r="BJ123" s="1208"/>
    </row>
    <row r="124" spans="1:62" s="1210" customFormat="1">
      <c r="A124" s="1215" t="s">
        <v>74352</v>
      </c>
      <c r="B124" s="1229">
        <v>6001110</v>
      </c>
      <c r="C124" s="1228">
        <v>10</v>
      </c>
      <c r="D124" s="1208"/>
      <c r="E124" s="1208"/>
      <c r="F124" s="1208"/>
      <c r="G124" s="1208"/>
      <c r="H124" s="1208"/>
      <c r="I124" s="1208"/>
      <c r="J124" s="1208"/>
      <c r="K124" s="1208"/>
      <c r="L124" s="1208"/>
      <c r="M124" s="1208"/>
      <c r="N124" s="1208"/>
      <c r="O124" s="1208"/>
      <c r="P124" s="1208"/>
      <c r="Q124" s="1208"/>
      <c r="R124" s="1208"/>
      <c r="S124" s="1208"/>
      <c r="T124" s="1208"/>
      <c r="U124" s="1208"/>
      <c r="V124" s="1208"/>
      <c r="W124" s="1208"/>
      <c r="X124" s="1208"/>
      <c r="Y124" s="1208"/>
      <c r="Z124" s="1208"/>
      <c r="AA124" s="1208"/>
      <c r="AB124" s="1208"/>
      <c r="AC124" s="1208"/>
      <c r="AD124" s="1208"/>
      <c r="AE124" s="1208"/>
      <c r="AF124" s="1208"/>
      <c r="AG124" s="1208"/>
      <c r="AH124" s="1208"/>
      <c r="AI124" s="1208"/>
      <c r="AJ124" s="1208"/>
      <c r="AK124" s="1208"/>
      <c r="AL124" s="1208"/>
      <c r="AM124" s="1208"/>
      <c r="AN124" s="1208"/>
      <c r="AO124" s="1208"/>
      <c r="AP124" s="1208"/>
      <c r="AQ124" s="1208"/>
      <c r="AR124" s="1208"/>
      <c r="AS124" s="1208"/>
      <c r="AT124" s="1208"/>
      <c r="AU124" s="1208"/>
      <c r="AV124" s="1208"/>
      <c r="AW124" s="1208"/>
      <c r="AX124" s="1208"/>
      <c r="AY124" s="1208"/>
      <c r="AZ124" s="1208"/>
      <c r="BA124" s="1208"/>
      <c r="BB124" s="1208"/>
      <c r="BC124" s="1208"/>
      <c r="BD124" s="1208"/>
      <c r="BE124" s="1208"/>
      <c r="BF124" s="1208"/>
      <c r="BG124" s="1208"/>
      <c r="BH124" s="1208"/>
      <c r="BI124" s="1208"/>
      <c r="BJ124" s="1208"/>
    </row>
    <row r="125" spans="1:62" s="1210" customFormat="1">
      <c r="A125" s="1215" t="s">
        <v>74351</v>
      </c>
      <c r="B125" s="1229">
        <v>6001111</v>
      </c>
      <c r="C125" s="1228">
        <v>10</v>
      </c>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1208"/>
      <c r="Y125" s="1208"/>
      <c r="Z125" s="1208"/>
      <c r="AA125" s="1208"/>
      <c r="AB125" s="1208"/>
      <c r="AC125" s="1208"/>
      <c r="AD125" s="1208"/>
      <c r="AE125" s="1208"/>
      <c r="AF125" s="1208"/>
      <c r="AG125" s="1208"/>
      <c r="AH125" s="1208"/>
      <c r="AI125" s="1208"/>
      <c r="AJ125" s="1208"/>
      <c r="AK125" s="1208"/>
      <c r="AL125" s="1208"/>
      <c r="AM125" s="1208"/>
      <c r="AN125" s="1208"/>
      <c r="AO125" s="1208"/>
      <c r="AP125" s="1208"/>
      <c r="AQ125" s="1208"/>
      <c r="AR125" s="1208"/>
      <c r="AS125" s="1208"/>
      <c r="AT125" s="1208"/>
      <c r="AU125" s="1208"/>
      <c r="AV125" s="1208"/>
      <c r="AW125" s="1208"/>
      <c r="AX125" s="1208"/>
      <c r="AY125" s="1208"/>
      <c r="AZ125" s="1208"/>
      <c r="BA125" s="1208"/>
      <c r="BB125" s="1208"/>
      <c r="BC125" s="1208"/>
      <c r="BD125" s="1208"/>
      <c r="BE125" s="1208"/>
      <c r="BF125" s="1208"/>
      <c r="BG125" s="1208"/>
      <c r="BH125" s="1208"/>
      <c r="BI125" s="1208"/>
      <c r="BJ125" s="1208"/>
    </row>
    <row r="126" spans="1:62" s="1210" customFormat="1">
      <c r="A126" s="1215" t="s">
        <v>74350</v>
      </c>
      <c r="B126" s="1229">
        <v>6001430</v>
      </c>
      <c r="C126" s="1228">
        <v>14</v>
      </c>
      <c r="D126" s="1208"/>
      <c r="E126" s="1208"/>
      <c r="F126" s="1208"/>
      <c r="G126" s="1208"/>
      <c r="H126" s="1208"/>
      <c r="I126" s="1208"/>
      <c r="J126" s="1208"/>
      <c r="K126" s="1208"/>
      <c r="L126" s="1208"/>
      <c r="M126" s="1208"/>
      <c r="N126" s="1208"/>
      <c r="O126" s="1208"/>
      <c r="P126" s="1208"/>
      <c r="Q126" s="1208"/>
      <c r="R126" s="1208"/>
      <c r="S126" s="1208"/>
      <c r="T126" s="1208"/>
      <c r="U126" s="1208"/>
      <c r="V126" s="1208"/>
      <c r="W126" s="1208"/>
      <c r="X126" s="1208"/>
      <c r="Y126" s="1208"/>
      <c r="Z126" s="1208"/>
      <c r="AA126" s="1208"/>
      <c r="AB126" s="1208"/>
      <c r="AC126" s="1208"/>
      <c r="AD126" s="1208"/>
      <c r="AE126" s="1208"/>
      <c r="AF126" s="1208"/>
      <c r="AG126" s="1208"/>
      <c r="AH126" s="1208"/>
      <c r="AI126" s="1208"/>
      <c r="AJ126" s="1208"/>
      <c r="AK126" s="1208"/>
      <c r="AL126" s="1208"/>
      <c r="AM126" s="1208"/>
      <c r="AN126" s="1208"/>
      <c r="AO126" s="1208"/>
      <c r="AP126" s="1208"/>
      <c r="AQ126" s="1208"/>
      <c r="AR126" s="1208"/>
      <c r="AS126" s="1208"/>
      <c r="AT126" s="1208"/>
      <c r="AU126" s="1208"/>
      <c r="AV126" s="1208"/>
      <c r="AW126" s="1208"/>
      <c r="AX126" s="1208"/>
      <c r="AY126" s="1208"/>
      <c r="AZ126" s="1208"/>
      <c r="BA126" s="1208"/>
      <c r="BB126" s="1208"/>
      <c r="BC126" s="1208"/>
      <c r="BD126" s="1208"/>
      <c r="BE126" s="1208"/>
      <c r="BF126" s="1208"/>
      <c r="BG126" s="1208"/>
      <c r="BH126" s="1208"/>
      <c r="BI126" s="1208"/>
      <c r="BJ126" s="1208"/>
    </row>
    <row r="127" spans="1:62" s="1210" customFormat="1">
      <c r="A127" s="1215" t="s">
        <v>74349</v>
      </c>
      <c r="B127" s="1229">
        <v>6001112</v>
      </c>
      <c r="C127" s="1228">
        <v>40</v>
      </c>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1208"/>
      <c r="Y127" s="1208"/>
      <c r="Z127" s="1208"/>
      <c r="AA127" s="1208"/>
      <c r="AB127" s="1208"/>
      <c r="AC127" s="1208"/>
      <c r="AD127" s="1208"/>
      <c r="AE127" s="1208"/>
      <c r="AF127" s="1208"/>
      <c r="AG127" s="1208"/>
      <c r="AH127" s="1208"/>
      <c r="AI127" s="1208"/>
      <c r="AJ127" s="1208"/>
      <c r="AK127" s="1208"/>
      <c r="AL127" s="1208"/>
      <c r="AM127" s="1208"/>
      <c r="AN127" s="1208"/>
      <c r="AO127" s="1208"/>
      <c r="AP127" s="1208"/>
      <c r="AQ127" s="1208"/>
      <c r="AR127" s="1208"/>
      <c r="AS127" s="1208"/>
      <c r="AT127" s="1208"/>
      <c r="AU127" s="1208"/>
      <c r="AV127" s="1208"/>
      <c r="AW127" s="1208"/>
      <c r="AX127" s="1208"/>
      <c r="AY127" s="1208"/>
      <c r="AZ127" s="1208"/>
      <c r="BA127" s="1208"/>
      <c r="BB127" s="1208"/>
      <c r="BC127" s="1208"/>
      <c r="BD127" s="1208"/>
      <c r="BE127" s="1208"/>
      <c r="BF127" s="1208"/>
      <c r="BG127" s="1208"/>
      <c r="BH127" s="1208"/>
      <c r="BI127" s="1208"/>
      <c r="BJ127" s="1208"/>
    </row>
    <row r="128" spans="1:62" s="1210" customFormat="1">
      <c r="A128" s="1215" t="s">
        <v>74348</v>
      </c>
      <c r="B128" s="1229">
        <v>6001113</v>
      </c>
      <c r="C128" s="1228">
        <v>55</v>
      </c>
      <c r="D128" s="1208"/>
      <c r="E128" s="1208"/>
      <c r="F128" s="1208"/>
      <c r="G128" s="1208"/>
      <c r="H128" s="1208"/>
      <c r="I128" s="1208"/>
      <c r="J128" s="1208"/>
      <c r="K128" s="1208"/>
      <c r="L128" s="1208"/>
      <c r="M128" s="1208"/>
      <c r="N128" s="1208"/>
      <c r="O128" s="1208"/>
      <c r="P128" s="1208"/>
      <c r="Q128" s="1208"/>
      <c r="R128" s="1208"/>
      <c r="S128" s="1208"/>
      <c r="T128" s="1208"/>
      <c r="U128" s="1208"/>
      <c r="V128" s="1208"/>
      <c r="W128" s="1208"/>
      <c r="X128" s="1208"/>
      <c r="Y128" s="1208"/>
      <c r="Z128" s="1208"/>
      <c r="AA128" s="1208"/>
      <c r="AB128" s="1208"/>
      <c r="AC128" s="1208"/>
      <c r="AD128" s="1208"/>
      <c r="AE128" s="1208"/>
      <c r="AF128" s="1208"/>
      <c r="AG128" s="1208"/>
      <c r="AH128" s="1208"/>
      <c r="AI128" s="1208"/>
      <c r="AJ128" s="1208"/>
      <c r="AK128" s="1208"/>
      <c r="AL128" s="1208"/>
      <c r="AM128" s="1208"/>
      <c r="AN128" s="1208"/>
      <c r="AO128" s="1208"/>
      <c r="AP128" s="1208"/>
      <c r="AQ128" s="1208"/>
      <c r="AR128" s="1208"/>
      <c r="AS128" s="1208"/>
      <c r="AT128" s="1208"/>
      <c r="AU128" s="1208"/>
      <c r="AV128" s="1208"/>
      <c r="AW128" s="1208"/>
      <c r="AX128" s="1208"/>
      <c r="AY128" s="1208"/>
      <c r="AZ128" s="1208"/>
      <c r="BA128" s="1208"/>
      <c r="BB128" s="1208"/>
      <c r="BC128" s="1208"/>
      <c r="BD128" s="1208"/>
      <c r="BE128" s="1208"/>
      <c r="BF128" s="1208"/>
      <c r="BG128" s="1208"/>
      <c r="BH128" s="1208"/>
      <c r="BI128" s="1208"/>
      <c r="BJ128" s="1208"/>
    </row>
    <row r="129" spans="1:62" s="1210" customFormat="1">
      <c r="A129" s="1215" t="s">
        <v>74347</v>
      </c>
      <c r="B129" s="1229">
        <v>6001505</v>
      </c>
      <c r="C129" s="1228">
        <v>64</v>
      </c>
      <c r="D129" s="1208"/>
      <c r="E129" s="1208"/>
      <c r="F129" s="1208"/>
      <c r="G129" s="1208"/>
      <c r="H129" s="1208"/>
      <c r="I129" s="1208"/>
      <c r="J129" s="1208"/>
      <c r="K129" s="1208"/>
      <c r="L129" s="1208"/>
      <c r="M129" s="1208"/>
      <c r="N129" s="1208"/>
      <c r="O129" s="1208"/>
      <c r="P129" s="1208"/>
      <c r="Q129" s="1208"/>
      <c r="R129" s="1208"/>
      <c r="S129" s="1208"/>
      <c r="T129" s="1208"/>
      <c r="U129" s="1208"/>
      <c r="V129" s="1208"/>
      <c r="W129" s="1208"/>
      <c r="X129" s="1208"/>
      <c r="Y129" s="1208"/>
      <c r="Z129" s="1208"/>
      <c r="AA129" s="1208"/>
      <c r="AB129" s="1208"/>
      <c r="AC129" s="1208"/>
      <c r="AD129" s="1208"/>
      <c r="AE129" s="1208"/>
      <c r="AF129" s="1208"/>
      <c r="AG129" s="1208"/>
      <c r="AH129" s="1208"/>
      <c r="AI129" s="1208"/>
      <c r="AJ129" s="1208"/>
      <c r="AK129" s="1208"/>
      <c r="AL129" s="1208"/>
      <c r="AM129" s="1208"/>
      <c r="AN129" s="1208"/>
      <c r="AO129" s="1208"/>
      <c r="AP129" s="1208"/>
      <c r="AQ129" s="1208"/>
      <c r="AR129" s="1208"/>
      <c r="AS129" s="1208"/>
      <c r="AT129" s="1208"/>
      <c r="AU129" s="1208"/>
      <c r="AV129" s="1208"/>
      <c r="AW129" s="1208"/>
      <c r="AX129" s="1208"/>
      <c r="AY129" s="1208"/>
      <c r="AZ129" s="1208"/>
      <c r="BA129" s="1208"/>
      <c r="BB129" s="1208"/>
      <c r="BC129" s="1208"/>
      <c r="BD129" s="1208"/>
      <c r="BE129" s="1208"/>
      <c r="BF129" s="1208"/>
      <c r="BG129" s="1208"/>
      <c r="BH129" s="1208"/>
      <c r="BI129" s="1208"/>
      <c r="BJ129" s="1208"/>
    </row>
    <row r="130" spans="1:62" s="1210" customFormat="1">
      <c r="A130" s="1215" t="s">
        <v>74346</v>
      </c>
      <c r="B130" s="1229">
        <v>6001506</v>
      </c>
      <c r="C130" s="1228">
        <v>42</v>
      </c>
      <c r="D130" s="1208"/>
      <c r="E130" s="1208"/>
      <c r="F130" s="1208"/>
      <c r="G130" s="1208"/>
      <c r="H130" s="1208"/>
      <c r="I130" s="1208"/>
      <c r="J130" s="1208"/>
      <c r="K130" s="1208"/>
      <c r="L130" s="1208"/>
      <c r="M130" s="1208"/>
      <c r="N130" s="1208"/>
      <c r="O130" s="1208"/>
      <c r="P130" s="1208"/>
      <c r="Q130" s="1208"/>
      <c r="R130" s="1208"/>
      <c r="S130" s="1208"/>
      <c r="T130" s="1208"/>
      <c r="U130" s="1208"/>
      <c r="V130" s="1208"/>
      <c r="W130" s="1208"/>
      <c r="X130" s="1208"/>
      <c r="Y130" s="1208"/>
      <c r="Z130" s="1208"/>
      <c r="AA130" s="1208"/>
      <c r="AB130" s="1208"/>
      <c r="AC130" s="1208"/>
      <c r="AD130" s="1208"/>
      <c r="AE130" s="1208"/>
      <c r="AF130" s="1208"/>
      <c r="AG130" s="1208"/>
      <c r="AH130" s="1208"/>
      <c r="AI130" s="1208"/>
      <c r="AJ130" s="1208"/>
      <c r="AK130" s="1208"/>
      <c r="AL130" s="1208"/>
      <c r="AM130" s="1208"/>
      <c r="AN130" s="1208"/>
      <c r="AO130" s="1208"/>
      <c r="AP130" s="1208"/>
      <c r="AQ130" s="1208"/>
      <c r="AR130" s="1208"/>
      <c r="AS130" s="1208"/>
      <c r="AT130" s="1208"/>
      <c r="AU130" s="1208"/>
      <c r="AV130" s="1208"/>
      <c r="AW130" s="1208"/>
      <c r="AX130" s="1208"/>
      <c r="AY130" s="1208"/>
      <c r="AZ130" s="1208"/>
      <c r="BA130" s="1208"/>
      <c r="BB130" s="1208"/>
      <c r="BC130" s="1208"/>
      <c r="BD130" s="1208"/>
      <c r="BE130" s="1208"/>
      <c r="BF130" s="1208"/>
      <c r="BG130" s="1208"/>
      <c r="BH130" s="1208"/>
      <c r="BI130" s="1208"/>
      <c r="BJ130" s="1208"/>
    </row>
    <row r="131" spans="1:62" s="1210" customFormat="1">
      <c r="A131" s="1227"/>
      <c r="C131" s="1209"/>
      <c r="D131" s="1208"/>
      <c r="E131" s="1208"/>
      <c r="F131" s="1208"/>
      <c r="G131" s="1208"/>
      <c r="H131" s="1208"/>
      <c r="I131" s="1208"/>
      <c r="J131" s="1208"/>
      <c r="K131" s="1208"/>
      <c r="L131" s="1208"/>
      <c r="M131" s="1208"/>
      <c r="N131" s="1208"/>
      <c r="O131" s="1208"/>
      <c r="P131" s="1208"/>
      <c r="Q131" s="1208"/>
      <c r="R131" s="1208"/>
      <c r="S131" s="1208"/>
      <c r="T131" s="1208"/>
      <c r="U131" s="1208"/>
      <c r="V131" s="1208"/>
      <c r="W131" s="1208"/>
      <c r="X131" s="1208"/>
      <c r="Y131" s="1208"/>
      <c r="Z131" s="1208"/>
      <c r="AA131" s="1208"/>
      <c r="AB131" s="1208"/>
      <c r="AC131" s="1208"/>
      <c r="AD131" s="1208"/>
      <c r="AE131" s="1208"/>
      <c r="AF131" s="1208"/>
      <c r="AG131" s="1208"/>
      <c r="AH131" s="1208"/>
      <c r="AI131" s="1208"/>
      <c r="AJ131" s="1208"/>
      <c r="AK131" s="1208"/>
      <c r="AL131" s="1208"/>
      <c r="AM131" s="1208"/>
      <c r="AN131" s="1208"/>
      <c r="AO131" s="1208"/>
      <c r="AP131" s="1208"/>
      <c r="AQ131" s="1208"/>
      <c r="AR131" s="1208"/>
      <c r="AS131" s="1208"/>
      <c r="AT131" s="1208"/>
      <c r="AU131" s="1208"/>
      <c r="AV131" s="1208"/>
      <c r="AW131" s="1208"/>
      <c r="AX131" s="1208"/>
      <c r="AY131" s="1208"/>
      <c r="AZ131" s="1208"/>
      <c r="BA131" s="1208"/>
      <c r="BB131" s="1208"/>
      <c r="BC131" s="1208"/>
      <c r="BD131" s="1208"/>
      <c r="BE131" s="1208"/>
      <c r="BF131" s="1208"/>
      <c r="BG131" s="1208"/>
      <c r="BH131" s="1208"/>
      <c r="BI131" s="1208"/>
      <c r="BJ131" s="1208"/>
    </row>
    <row r="132" spans="1:62" s="1210" customFormat="1">
      <c r="A132" s="1226"/>
      <c r="B132" s="1225"/>
      <c r="C132" s="1224"/>
      <c r="D132" s="1208"/>
      <c r="E132" s="1208"/>
      <c r="F132" s="1208"/>
      <c r="G132" s="1208"/>
      <c r="H132" s="1208"/>
      <c r="I132" s="1208"/>
      <c r="J132" s="1208"/>
      <c r="K132" s="1208"/>
      <c r="L132" s="1208"/>
      <c r="M132" s="1208"/>
      <c r="N132" s="1208"/>
      <c r="O132" s="1208"/>
      <c r="P132" s="1208"/>
      <c r="Q132" s="1208"/>
      <c r="R132" s="1208"/>
      <c r="S132" s="1208"/>
      <c r="T132" s="1208"/>
      <c r="U132" s="1208"/>
      <c r="V132" s="1208"/>
      <c r="W132" s="1208"/>
      <c r="X132" s="1208"/>
      <c r="Y132" s="1208"/>
      <c r="Z132" s="1208"/>
      <c r="AA132" s="1208"/>
      <c r="AB132" s="1208"/>
      <c r="AC132" s="1208"/>
      <c r="AD132" s="1208"/>
      <c r="AE132" s="1208"/>
      <c r="AF132" s="1208"/>
      <c r="AG132" s="1208"/>
      <c r="AH132" s="1208"/>
      <c r="AI132" s="1208"/>
      <c r="AJ132" s="1208"/>
      <c r="AK132" s="1208"/>
      <c r="AL132" s="1208"/>
      <c r="AM132" s="1208"/>
      <c r="AN132" s="1208"/>
      <c r="AO132" s="1208"/>
      <c r="AP132" s="1208"/>
      <c r="AQ132" s="1208"/>
      <c r="AR132" s="1208"/>
      <c r="AS132" s="1208"/>
      <c r="AT132" s="1208"/>
      <c r="AU132" s="1208"/>
      <c r="AV132" s="1208"/>
      <c r="AW132" s="1208"/>
      <c r="AX132" s="1208"/>
      <c r="AY132" s="1208"/>
      <c r="AZ132" s="1208"/>
      <c r="BA132" s="1208"/>
      <c r="BB132" s="1208"/>
      <c r="BC132" s="1208"/>
      <c r="BD132" s="1208"/>
      <c r="BE132" s="1208"/>
      <c r="BF132" s="1208"/>
      <c r="BG132" s="1208"/>
      <c r="BH132" s="1208"/>
      <c r="BI132" s="1208"/>
      <c r="BJ132" s="1208"/>
    </row>
    <row r="133" spans="1:62" s="1210" customFormat="1" ht="13">
      <c r="A133" s="1223" t="s">
        <v>74345</v>
      </c>
      <c r="B133" s="1222"/>
      <c r="C133" s="1221"/>
      <c r="D133" s="1208"/>
      <c r="E133" s="1208"/>
      <c r="F133" s="1208"/>
      <c r="G133" s="1208"/>
      <c r="H133" s="1208"/>
      <c r="I133" s="1208"/>
      <c r="J133" s="1208"/>
      <c r="K133" s="1208"/>
      <c r="L133" s="1208"/>
      <c r="M133" s="1208"/>
      <c r="N133" s="1208"/>
      <c r="O133" s="1208"/>
      <c r="P133" s="1208"/>
      <c r="Q133" s="1208"/>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08"/>
      <c r="BF133" s="1208"/>
      <c r="BG133" s="1208"/>
      <c r="BH133" s="1208"/>
      <c r="BI133" s="1208"/>
      <c r="BJ133" s="1208"/>
    </row>
    <row r="134" spans="1:62" s="1210" customFormat="1">
      <c r="A134" s="1220" t="s">
        <v>74344</v>
      </c>
      <c r="B134" s="1219">
        <v>1105221</v>
      </c>
      <c r="C134" s="1218">
        <v>859</v>
      </c>
      <c r="D134" s="1208"/>
      <c r="E134" s="1208"/>
      <c r="F134" s="1208"/>
      <c r="G134" s="1208"/>
      <c r="H134" s="1208"/>
      <c r="I134" s="1208"/>
      <c r="J134" s="1208"/>
      <c r="K134" s="1208"/>
      <c r="L134" s="1208"/>
      <c r="M134" s="1208"/>
      <c r="N134" s="1208"/>
      <c r="O134" s="1208"/>
      <c r="P134" s="1208"/>
      <c r="Q134" s="1208"/>
      <c r="R134" s="1208"/>
      <c r="S134" s="1208"/>
      <c r="T134" s="1208"/>
      <c r="U134" s="1208"/>
      <c r="V134" s="1208"/>
      <c r="W134" s="1208"/>
      <c r="X134" s="1208"/>
      <c r="Y134" s="1208"/>
      <c r="Z134" s="1208"/>
      <c r="AA134" s="1208"/>
      <c r="AB134" s="1208"/>
      <c r="AC134" s="1208"/>
      <c r="AD134" s="1208"/>
      <c r="AE134" s="1208"/>
      <c r="AF134" s="1208"/>
      <c r="AG134" s="1208"/>
      <c r="AH134" s="1208"/>
      <c r="AI134" s="1208"/>
      <c r="AJ134" s="1208"/>
      <c r="AK134" s="1208"/>
      <c r="AL134" s="1208"/>
      <c r="AM134" s="1208"/>
      <c r="AN134" s="1208"/>
      <c r="AO134" s="1208"/>
      <c r="AP134" s="1208"/>
      <c r="AQ134" s="1208"/>
      <c r="AR134" s="1208"/>
      <c r="AS134" s="1208"/>
      <c r="AT134" s="1208"/>
      <c r="AU134" s="1208"/>
      <c r="AV134" s="1208"/>
      <c r="AW134" s="1208"/>
      <c r="AX134" s="1208"/>
      <c r="AY134" s="1208"/>
      <c r="AZ134" s="1208"/>
      <c r="BA134" s="1208"/>
      <c r="BB134" s="1208"/>
      <c r="BC134" s="1208"/>
      <c r="BD134" s="1208"/>
      <c r="BE134" s="1208"/>
      <c r="BF134" s="1208"/>
      <c r="BG134" s="1208"/>
      <c r="BH134" s="1208"/>
      <c r="BI134" s="1208"/>
      <c r="BJ134" s="1208"/>
    </row>
    <row r="135" spans="1:62" s="1210" customFormat="1">
      <c r="A135" s="1215" t="s">
        <v>74343</v>
      </c>
      <c r="B135" s="1214">
        <v>1104757</v>
      </c>
      <c r="C135" s="1213">
        <v>859</v>
      </c>
      <c r="D135" s="1208"/>
      <c r="E135" s="1208"/>
      <c r="F135" s="1208"/>
      <c r="G135" s="1208"/>
      <c r="H135" s="1208"/>
      <c r="I135" s="1208"/>
      <c r="J135" s="1208"/>
      <c r="K135" s="1208"/>
      <c r="L135" s="1208"/>
      <c r="M135" s="1208"/>
      <c r="N135" s="1208"/>
      <c r="O135" s="1208"/>
      <c r="P135" s="1208"/>
      <c r="Q135" s="1208"/>
      <c r="R135" s="1208"/>
      <c r="S135" s="1208"/>
      <c r="T135" s="1208"/>
      <c r="U135" s="1208"/>
      <c r="V135" s="1208"/>
      <c r="W135" s="1208"/>
      <c r="X135" s="1208"/>
      <c r="Y135" s="1208"/>
      <c r="Z135" s="1208"/>
      <c r="AA135" s="1208"/>
      <c r="AB135" s="1208"/>
      <c r="AC135" s="1208"/>
      <c r="AD135" s="1208"/>
      <c r="AE135" s="1208"/>
      <c r="AF135" s="1208"/>
      <c r="AG135" s="1208"/>
      <c r="AH135" s="1208"/>
      <c r="AI135" s="1208"/>
      <c r="AJ135" s="1208"/>
      <c r="AK135" s="1208"/>
      <c r="AL135" s="1208"/>
      <c r="AM135" s="1208"/>
      <c r="AN135" s="1208"/>
      <c r="AO135" s="1208"/>
      <c r="AP135" s="1208"/>
      <c r="AQ135" s="1208"/>
      <c r="AR135" s="1208"/>
      <c r="AS135" s="1208"/>
      <c r="AT135" s="1208"/>
      <c r="AU135" s="1208"/>
      <c r="AV135" s="1208"/>
      <c r="AW135" s="1208"/>
      <c r="AX135" s="1208"/>
      <c r="AY135" s="1208"/>
      <c r="AZ135" s="1208"/>
      <c r="BA135" s="1208"/>
      <c r="BB135" s="1208"/>
      <c r="BC135" s="1208"/>
      <c r="BD135" s="1208"/>
      <c r="BE135" s="1208"/>
      <c r="BF135" s="1208"/>
      <c r="BG135" s="1208"/>
      <c r="BH135" s="1208"/>
      <c r="BI135" s="1208"/>
      <c r="BJ135" s="1208"/>
    </row>
    <row r="136" spans="1:62" s="1210" customFormat="1">
      <c r="A136" s="1215" t="s">
        <v>74342</v>
      </c>
      <c r="B136" s="1214">
        <v>6001350</v>
      </c>
      <c r="C136" s="1213">
        <v>90</v>
      </c>
      <c r="D136" s="1208"/>
      <c r="E136" s="1208"/>
      <c r="F136" s="1208"/>
      <c r="G136" s="1208"/>
      <c r="H136" s="1208"/>
      <c r="I136" s="1208"/>
      <c r="J136" s="1208"/>
      <c r="K136" s="1208"/>
      <c r="L136" s="1208"/>
      <c r="M136" s="1208"/>
      <c r="N136" s="1208"/>
      <c r="O136" s="1208"/>
      <c r="P136" s="1208"/>
      <c r="Q136" s="1208"/>
      <c r="R136" s="1208"/>
      <c r="S136" s="1208"/>
      <c r="T136" s="1208"/>
      <c r="U136" s="1208"/>
      <c r="V136" s="1208"/>
      <c r="W136" s="1208"/>
      <c r="X136" s="1208"/>
      <c r="Y136" s="1208"/>
      <c r="Z136" s="1208"/>
      <c r="AA136" s="1208"/>
      <c r="AB136" s="1208"/>
      <c r="AC136" s="1208"/>
      <c r="AD136" s="1208"/>
      <c r="AE136" s="1208"/>
      <c r="AF136" s="1208"/>
      <c r="AG136" s="1208"/>
      <c r="AH136" s="1208"/>
      <c r="AI136" s="1208"/>
      <c r="AJ136" s="1208"/>
      <c r="AK136" s="1208"/>
      <c r="AL136" s="1208"/>
      <c r="AM136" s="1208"/>
      <c r="AN136" s="1208"/>
      <c r="AO136" s="1208"/>
      <c r="AP136" s="1208"/>
      <c r="AQ136" s="1208"/>
      <c r="AR136" s="1208"/>
      <c r="AS136" s="1208"/>
      <c r="AT136" s="1208"/>
      <c r="AU136" s="1208"/>
      <c r="AV136" s="1208"/>
      <c r="AW136" s="1208"/>
      <c r="AX136" s="1208"/>
      <c r="AY136" s="1208"/>
      <c r="AZ136" s="1208"/>
      <c r="BA136" s="1208"/>
      <c r="BB136" s="1208"/>
      <c r="BC136" s="1208"/>
      <c r="BD136" s="1208"/>
      <c r="BE136" s="1208"/>
      <c r="BF136" s="1208"/>
      <c r="BG136" s="1208"/>
      <c r="BH136" s="1208"/>
      <c r="BI136" s="1208"/>
      <c r="BJ136" s="1208"/>
    </row>
    <row r="137" spans="1:62" s="1210" customFormat="1">
      <c r="A137" s="1215" t="s">
        <v>74341</v>
      </c>
      <c r="B137" s="1214">
        <v>6001024</v>
      </c>
      <c r="C137" s="1213">
        <v>90</v>
      </c>
      <c r="D137" s="1208"/>
      <c r="E137" s="1208"/>
      <c r="F137" s="1208"/>
      <c r="G137" s="1208"/>
      <c r="H137" s="1208"/>
      <c r="I137" s="1208"/>
      <c r="J137" s="1208"/>
      <c r="K137" s="1208"/>
      <c r="L137" s="1208"/>
      <c r="M137" s="1208"/>
      <c r="N137" s="1208"/>
      <c r="O137" s="1208"/>
      <c r="P137" s="1208"/>
      <c r="Q137" s="1208"/>
      <c r="R137" s="1208"/>
      <c r="S137" s="1208"/>
      <c r="T137" s="1208"/>
      <c r="U137" s="1208"/>
      <c r="V137" s="1208"/>
      <c r="W137" s="1208"/>
      <c r="X137" s="1208"/>
      <c r="Y137" s="1208"/>
      <c r="Z137" s="1208"/>
      <c r="AA137" s="1208"/>
      <c r="AB137" s="1208"/>
      <c r="AC137" s="1208"/>
      <c r="AD137" s="1208"/>
      <c r="AE137" s="1208"/>
      <c r="AF137" s="1208"/>
      <c r="AG137" s="1208"/>
      <c r="AH137" s="1208"/>
      <c r="AI137" s="1208"/>
      <c r="AJ137" s="1208"/>
      <c r="AK137" s="1208"/>
      <c r="AL137" s="1208"/>
      <c r="AM137" s="1208"/>
      <c r="AN137" s="1208"/>
      <c r="AO137" s="1208"/>
      <c r="AP137" s="1208"/>
      <c r="AQ137" s="1208"/>
      <c r="AR137" s="1208"/>
      <c r="AS137" s="1208"/>
      <c r="AT137" s="1208"/>
      <c r="AU137" s="1208"/>
      <c r="AV137" s="1208"/>
      <c r="AW137" s="1208"/>
      <c r="AX137" s="1208"/>
      <c r="AY137" s="1208"/>
      <c r="AZ137" s="1208"/>
      <c r="BA137" s="1208"/>
      <c r="BB137" s="1208"/>
      <c r="BC137" s="1208"/>
      <c r="BD137" s="1208"/>
      <c r="BE137" s="1208"/>
      <c r="BF137" s="1208"/>
      <c r="BG137" s="1208"/>
      <c r="BH137" s="1208"/>
      <c r="BI137" s="1208"/>
      <c r="BJ137" s="1208"/>
    </row>
    <row r="138" spans="1:62" s="1210" customFormat="1">
      <c r="A138" s="1215" t="s">
        <v>74340</v>
      </c>
      <c r="B138" s="1214">
        <v>6001214</v>
      </c>
      <c r="C138" s="1213">
        <v>30</v>
      </c>
      <c r="D138" s="1208"/>
      <c r="E138" s="1208"/>
      <c r="F138" s="1208"/>
      <c r="G138" s="1208"/>
      <c r="H138" s="1208"/>
      <c r="I138" s="1208"/>
      <c r="J138" s="1208"/>
      <c r="K138" s="1208"/>
      <c r="L138" s="1208"/>
      <c r="M138" s="1208"/>
      <c r="N138" s="1208"/>
      <c r="O138" s="1208"/>
      <c r="P138" s="1208"/>
      <c r="Q138" s="1208"/>
      <c r="R138" s="1208"/>
      <c r="S138" s="1208"/>
      <c r="T138" s="1208"/>
      <c r="U138" s="1208"/>
      <c r="V138" s="1208"/>
      <c r="W138" s="1208"/>
      <c r="X138" s="1208"/>
      <c r="Y138" s="1208"/>
      <c r="Z138" s="1208"/>
      <c r="AA138" s="1208"/>
      <c r="AB138" s="1208"/>
      <c r="AC138" s="1208"/>
      <c r="AD138" s="1208"/>
      <c r="AE138" s="1208"/>
      <c r="AF138" s="1208"/>
      <c r="AG138" s="1208"/>
      <c r="AH138" s="1208"/>
      <c r="AI138" s="1208"/>
      <c r="AJ138" s="1208"/>
      <c r="AK138" s="1208"/>
      <c r="AL138" s="1208"/>
      <c r="AM138" s="1208"/>
      <c r="AN138" s="1208"/>
      <c r="AO138" s="1208"/>
      <c r="AP138" s="1208"/>
      <c r="AQ138" s="1208"/>
      <c r="AR138" s="1208"/>
      <c r="AS138" s="1208"/>
      <c r="AT138" s="1208"/>
      <c r="AU138" s="1208"/>
      <c r="AV138" s="1208"/>
      <c r="AW138" s="1208"/>
      <c r="AX138" s="1208"/>
      <c r="AY138" s="1208"/>
      <c r="AZ138" s="1208"/>
      <c r="BA138" s="1208"/>
      <c r="BB138" s="1208"/>
      <c r="BC138" s="1208"/>
      <c r="BD138" s="1208"/>
      <c r="BE138" s="1208"/>
      <c r="BF138" s="1208"/>
      <c r="BG138" s="1208"/>
      <c r="BH138" s="1208"/>
      <c r="BI138" s="1208"/>
      <c r="BJ138" s="1208"/>
    </row>
    <row r="139" spans="1:62" s="1210" customFormat="1">
      <c r="A139" s="1215" t="s">
        <v>74339</v>
      </c>
      <c r="B139" s="1214">
        <v>6001221</v>
      </c>
      <c r="C139" s="1213">
        <v>24</v>
      </c>
      <c r="D139" s="1208"/>
      <c r="E139" s="1208"/>
      <c r="F139" s="1208"/>
      <c r="G139" s="1208"/>
      <c r="H139" s="1208"/>
      <c r="I139" s="1208"/>
      <c r="J139" s="1208"/>
      <c r="K139" s="1208"/>
      <c r="L139" s="1208"/>
      <c r="M139" s="1208"/>
      <c r="N139" s="1208"/>
      <c r="O139" s="1208"/>
      <c r="P139" s="1208"/>
      <c r="Q139" s="1208"/>
      <c r="R139" s="1208"/>
      <c r="S139" s="1208"/>
      <c r="T139" s="1208"/>
      <c r="U139" s="1208"/>
      <c r="V139" s="1208"/>
      <c r="W139" s="1208"/>
      <c r="X139" s="1208"/>
      <c r="Y139" s="1208"/>
      <c r="Z139" s="1208"/>
      <c r="AA139" s="1208"/>
      <c r="AB139" s="1208"/>
      <c r="AC139" s="1208"/>
      <c r="AD139" s="1208"/>
      <c r="AE139" s="1208"/>
      <c r="AF139" s="1208"/>
      <c r="AG139" s="1208"/>
      <c r="AH139" s="1208"/>
      <c r="AI139" s="1208"/>
      <c r="AJ139" s="1208"/>
      <c r="AK139" s="1208"/>
      <c r="AL139" s="1208"/>
      <c r="AM139" s="1208"/>
      <c r="AN139" s="1208"/>
      <c r="AO139" s="1208"/>
      <c r="AP139" s="1208"/>
      <c r="AQ139" s="1208"/>
      <c r="AR139" s="1208"/>
      <c r="AS139" s="1208"/>
      <c r="AT139" s="1208"/>
      <c r="AU139" s="1208"/>
      <c r="AV139" s="1208"/>
      <c r="AW139" s="1208"/>
      <c r="AX139" s="1208"/>
      <c r="AY139" s="1208"/>
      <c r="AZ139" s="1208"/>
      <c r="BA139" s="1208"/>
      <c r="BB139" s="1208"/>
      <c r="BC139" s="1208"/>
      <c r="BD139" s="1208"/>
      <c r="BE139" s="1208"/>
      <c r="BF139" s="1208"/>
      <c r="BG139" s="1208"/>
      <c r="BH139" s="1208"/>
      <c r="BI139" s="1208"/>
      <c r="BJ139" s="1208"/>
    </row>
    <row r="140" spans="1:62" s="1210" customFormat="1">
      <c r="A140" s="1217" t="s">
        <v>74338</v>
      </c>
      <c r="B140" s="1214">
        <v>6001529</v>
      </c>
      <c r="C140" s="1213">
        <v>37</v>
      </c>
      <c r="D140" s="1208"/>
      <c r="E140" s="1208"/>
      <c r="F140" s="1208"/>
      <c r="G140" s="1208"/>
      <c r="H140" s="1208"/>
      <c r="I140" s="1208"/>
      <c r="J140" s="1208"/>
      <c r="K140" s="1208"/>
      <c r="L140" s="1208"/>
      <c r="M140" s="1208"/>
      <c r="N140" s="1208"/>
      <c r="O140" s="1208"/>
      <c r="P140" s="1208"/>
      <c r="Q140" s="1208"/>
      <c r="R140" s="1208"/>
      <c r="S140" s="1208"/>
      <c r="T140" s="1208"/>
      <c r="U140" s="1208"/>
      <c r="V140" s="1208"/>
      <c r="W140" s="1208"/>
      <c r="X140" s="1208"/>
      <c r="Y140" s="1208"/>
      <c r="Z140" s="1208"/>
      <c r="AA140" s="1208"/>
      <c r="AB140" s="1208"/>
      <c r="AC140" s="1208"/>
      <c r="AD140" s="1208"/>
      <c r="AE140" s="1208"/>
      <c r="AF140" s="1208"/>
      <c r="AG140" s="1208"/>
      <c r="AH140" s="1208"/>
      <c r="AI140" s="1208"/>
      <c r="AJ140" s="1208"/>
      <c r="AK140" s="1208"/>
      <c r="AL140" s="1208"/>
      <c r="AM140" s="1208"/>
      <c r="AN140" s="1208"/>
      <c r="AO140" s="1208"/>
      <c r="AP140" s="1208"/>
      <c r="AQ140" s="1208"/>
      <c r="AR140" s="1208"/>
      <c r="AS140" s="1208"/>
      <c r="AT140" s="1208"/>
      <c r="AU140" s="1208"/>
      <c r="AV140" s="1208"/>
      <c r="AW140" s="1208"/>
      <c r="AX140" s="1208"/>
      <c r="AY140" s="1208"/>
      <c r="AZ140" s="1208"/>
      <c r="BA140" s="1208"/>
      <c r="BB140" s="1208"/>
      <c r="BC140" s="1208"/>
      <c r="BD140" s="1208"/>
      <c r="BE140" s="1208"/>
      <c r="BF140" s="1208"/>
      <c r="BG140" s="1208"/>
      <c r="BH140" s="1208"/>
      <c r="BI140" s="1208"/>
      <c r="BJ140" s="1208"/>
    </row>
    <row r="141" spans="1:62" s="1210" customFormat="1">
      <c r="A141" s="1215" t="s">
        <v>74337</v>
      </c>
      <c r="B141" s="1214">
        <v>6001433</v>
      </c>
      <c r="C141" s="1213">
        <v>110</v>
      </c>
      <c r="D141" s="1208"/>
      <c r="E141" s="1208"/>
      <c r="F141" s="1208"/>
      <c r="G141" s="1208"/>
      <c r="H141" s="1208"/>
      <c r="I141" s="1208"/>
      <c r="J141" s="1208"/>
      <c r="K141" s="1208"/>
      <c r="L141" s="1208"/>
      <c r="M141" s="1208"/>
      <c r="N141" s="1208"/>
      <c r="O141" s="1208"/>
      <c r="P141" s="1208"/>
      <c r="Q141" s="1208"/>
      <c r="R141" s="1208"/>
      <c r="S141" s="1208"/>
      <c r="T141" s="1208"/>
      <c r="U141" s="1208"/>
      <c r="V141" s="1208"/>
      <c r="W141" s="1208"/>
      <c r="X141" s="1208"/>
      <c r="Y141" s="1208"/>
      <c r="Z141" s="1208"/>
      <c r="AA141" s="1208"/>
      <c r="AB141" s="1208"/>
      <c r="AC141" s="1208"/>
      <c r="AD141" s="1208"/>
      <c r="AE141" s="1208"/>
      <c r="AF141" s="1208"/>
      <c r="AG141" s="1208"/>
      <c r="AH141" s="1208"/>
      <c r="AI141" s="1208"/>
      <c r="AJ141" s="1208"/>
      <c r="AK141" s="1208"/>
      <c r="AL141" s="1208"/>
      <c r="AM141" s="1208"/>
      <c r="AN141" s="1208"/>
      <c r="AO141" s="1208"/>
      <c r="AP141" s="1208"/>
      <c r="AQ141" s="1208"/>
      <c r="AR141" s="1208"/>
      <c r="AS141" s="1208"/>
      <c r="AT141" s="1208"/>
      <c r="AU141" s="1208"/>
      <c r="AV141" s="1208"/>
      <c r="AW141" s="1208"/>
      <c r="AX141" s="1208"/>
      <c r="AY141" s="1208"/>
      <c r="AZ141" s="1208"/>
      <c r="BA141" s="1208"/>
      <c r="BB141" s="1208"/>
      <c r="BC141" s="1208"/>
      <c r="BD141" s="1208"/>
      <c r="BE141" s="1208"/>
      <c r="BF141" s="1208"/>
      <c r="BG141" s="1208"/>
      <c r="BH141" s="1208"/>
      <c r="BI141" s="1208"/>
      <c r="BJ141" s="1208"/>
    </row>
    <row r="142" spans="1:62" s="1210" customFormat="1">
      <c r="A142" s="1215" t="s">
        <v>74336</v>
      </c>
      <c r="B142" s="1214">
        <v>6001252</v>
      </c>
      <c r="C142" s="1213">
        <v>30</v>
      </c>
      <c r="D142" s="1208"/>
      <c r="E142" s="1208"/>
      <c r="F142" s="1208"/>
      <c r="G142" s="1208"/>
      <c r="H142" s="1208"/>
      <c r="I142" s="1208"/>
      <c r="J142" s="1208"/>
      <c r="K142" s="1208"/>
      <c r="L142" s="1208"/>
      <c r="M142" s="1208"/>
      <c r="N142" s="1208"/>
      <c r="O142" s="1208"/>
      <c r="P142" s="1208"/>
      <c r="Q142" s="1208"/>
      <c r="R142" s="1208"/>
      <c r="S142" s="1208"/>
      <c r="T142" s="1208"/>
      <c r="U142" s="1208"/>
      <c r="V142" s="1208"/>
      <c r="W142" s="1208"/>
      <c r="X142" s="1208"/>
      <c r="Y142" s="1208"/>
      <c r="Z142" s="1208"/>
      <c r="AA142" s="1208"/>
      <c r="AB142" s="1208"/>
      <c r="AC142" s="1208"/>
      <c r="AD142" s="1208"/>
      <c r="AE142" s="1208"/>
      <c r="AF142" s="1208"/>
      <c r="AG142" s="1208"/>
      <c r="AH142" s="1208"/>
      <c r="AI142" s="1208"/>
      <c r="AJ142" s="1208"/>
      <c r="AK142" s="1208"/>
      <c r="AL142" s="1208"/>
      <c r="AM142" s="1208"/>
      <c r="AN142" s="1208"/>
      <c r="AO142" s="1208"/>
      <c r="AP142" s="1208"/>
      <c r="AQ142" s="1208"/>
      <c r="AR142" s="1208"/>
      <c r="AS142" s="1208"/>
      <c r="AT142" s="1208"/>
      <c r="AU142" s="1208"/>
      <c r="AV142" s="1208"/>
      <c r="AW142" s="1208"/>
      <c r="AX142" s="1208"/>
      <c r="AY142" s="1208"/>
      <c r="AZ142" s="1208"/>
      <c r="BA142" s="1208"/>
      <c r="BB142" s="1208"/>
      <c r="BC142" s="1208"/>
      <c r="BD142" s="1208"/>
      <c r="BE142" s="1208"/>
      <c r="BF142" s="1208"/>
      <c r="BG142" s="1208"/>
      <c r="BH142" s="1208"/>
      <c r="BI142" s="1208"/>
      <c r="BJ142" s="1208"/>
    </row>
    <row r="143" spans="1:62" s="1210" customFormat="1">
      <c r="A143" s="1215" t="s">
        <v>74335</v>
      </c>
      <c r="B143" s="1214">
        <v>6001138</v>
      </c>
      <c r="C143" s="1213">
        <v>80</v>
      </c>
      <c r="D143" s="1208"/>
      <c r="E143" s="1208"/>
      <c r="F143" s="1208"/>
      <c r="G143" s="1208"/>
      <c r="H143" s="1208"/>
      <c r="I143" s="1208"/>
      <c r="J143" s="1208"/>
      <c r="K143" s="1208"/>
      <c r="L143" s="1208"/>
      <c r="M143" s="1208"/>
      <c r="N143" s="1208"/>
      <c r="O143" s="1208"/>
      <c r="P143" s="1208"/>
      <c r="Q143" s="1208"/>
      <c r="R143" s="1208"/>
      <c r="S143" s="1208"/>
      <c r="T143" s="1208"/>
      <c r="U143" s="1208"/>
      <c r="V143" s="1208"/>
      <c r="W143" s="1208"/>
      <c r="X143" s="1208"/>
      <c r="Y143" s="1208"/>
      <c r="Z143" s="1208"/>
      <c r="AA143" s="1208"/>
      <c r="AB143" s="1208"/>
      <c r="AC143" s="1208"/>
      <c r="AD143" s="1208"/>
      <c r="AE143" s="1208"/>
      <c r="AF143" s="1208"/>
      <c r="AG143" s="1208"/>
      <c r="AH143" s="1208"/>
      <c r="AI143" s="1208"/>
      <c r="AJ143" s="1208"/>
      <c r="AK143" s="1208"/>
      <c r="AL143" s="1208"/>
      <c r="AM143" s="1208"/>
      <c r="AN143" s="1208"/>
      <c r="AO143" s="1208"/>
      <c r="AP143" s="1208"/>
      <c r="AQ143" s="1208"/>
      <c r="AR143" s="1208"/>
      <c r="AS143" s="1208"/>
      <c r="AT143" s="1208"/>
      <c r="AU143" s="1208"/>
      <c r="AV143" s="1208"/>
      <c r="AW143" s="1208"/>
      <c r="AX143" s="1208"/>
      <c r="AY143" s="1208"/>
      <c r="AZ143" s="1208"/>
      <c r="BA143" s="1208"/>
      <c r="BB143" s="1208"/>
      <c r="BC143" s="1208"/>
      <c r="BD143" s="1208"/>
      <c r="BE143" s="1208"/>
      <c r="BF143" s="1208"/>
      <c r="BG143" s="1208"/>
      <c r="BH143" s="1208"/>
      <c r="BI143" s="1208"/>
      <c r="BJ143" s="1208"/>
    </row>
    <row r="144" spans="1:62" s="1210" customFormat="1">
      <c r="A144" s="1215" t="s">
        <v>74334</v>
      </c>
      <c r="B144" s="1214">
        <v>6001456</v>
      </c>
      <c r="C144" s="1213">
        <v>160</v>
      </c>
      <c r="D144" s="1208"/>
      <c r="E144" s="1208"/>
      <c r="F144" s="1208"/>
      <c r="G144" s="1208"/>
      <c r="H144" s="1208"/>
      <c r="I144" s="1208"/>
      <c r="J144" s="1208"/>
      <c r="K144" s="1208"/>
      <c r="L144" s="1208"/>
      <c r="M144" s="1208"/>
      <c r="N144" s="1208"/>
      <c r="O144" s="1208"/>
      <c r="P144" s="1208"/>
      <c r="Q144" s="1208"/>
      <c r="R144" s="1208"/>
      <c r="S144" s="1208"/>
      <c r="T144" s="1208"/>
      <c r="U144" s="1208"/>
      <c r="V144" s="1208"/>
      <c r="W144" s="1208"/>
      <c r="X144" s="1208"/>
      <c r="Y144" s="1208"/>
      <c r="Z144" s="1208"/>
      <c r="AA144" s="1208"/>
      <c r="AB144" s="1208"/>
      <c r="AC144" s="1208"/>
      <c r="AD144" s="1208"/>
      <c r="AE144" s="1208"/>
      <c r="AF144" s="1208"/>
      <c r="AG144" s="1208"/>
      <c r="AH144" s="1208"/>
      <c r="AI144" s="1208"/>
      <c r="AJ144" s="1208"/>
      <c r="AK144" s="1208"/>
      <c r="AL144" s="1208"/>
      <c r="AM144" s="1208"/>
      <c r="AN144" s="1208"/>
      <c r="AO144" s="1208"/>
      <c r="AP144" s="1208"/>
      <c r="AQ144" s="1208"/>
      <c r="AR144" s="1208"/>
      <c r="AS144" s="1208"/>
      <c r="AT144" s="1208"/>
      <c r="AU144" s="1208"/>
      <c r="AV144" s="1208"/>
      <c r="AW144" s="1208"/>
      <c r="AX144" s="1208"/>
      <c r="AY144" s="1208"/>
      <c r="AZ144" s="1208"/>
      <c r="BA144" s="1208"/>
      <c r="BB144" s="1208"/>
      <c r="BC144" s="1208"/>
      <c r="BD144" s="1208"/>
      <c r="BE144" s="1208"/>
      <c r="BF144" s="1208"/>
      <c r="BG144" s="1208"/>
      <c r="BH144" s="1208"/>
      <c r="BI144" s="1208"/>
      <c r="BJ144" s="1208"/>
    </row>
    <row r="145" spans="1:62" s="1210" customFormat="1">
      <c r="A145" s="1215" t="s">
        <v>74333</v>
      </c>
      <c r="B145" s="1214">
        <v>6001004</v>
      </c>
      <c r="C145" s="1213">
        <v>30</v>
      </c>
      <c r="D145" s="1208"/>
      <c r="E145" s="1208"/>
      <c r="F145" s="1208"/>
      <c r="G145" s="1208"/>
      <c r="H145" s="1208"/>
      <c r="I145" s="1208"/>
      <c r="J145" s="1208"/>
      <c r="K145" s="1208"/>
      <c r="L145" s="1208"/>
      <c r="M145" s="1208"/>
      <c r="N145" s="1208"/>
      <c r="O145" s="1208"/>
      <c r="P145" s="1208"/>
      <c r="Q145" s="1208"/>
      <c r="R145" s="1208"/>
      <c r="S145" s="1208"/>
      <c r="T145" s="1208"/>
      <c r="U145" s="1208"/>
      <c r="V145" s="1208"/>
      <c r="W145" s="1208"/>
      <c r="X145" s="1208"/>
      <c r="Y145" s="1208"/>
      <c r="Z145" s="1208"/>
      <c r="AA145" s="1208"/>
      <c r="AB145" s="1208"/>
      <c r="AC145" s="1208"/>
      <c r="AD145" s="1208"/>
      <c r="AE145" s="1208"/>
      <c r="AF145" s="1208"/>
      <c r="AG145" s="1208"/>
      <c r="AH145" s="1208"/>
      <c r="AI145" s="1208"/>
      <c r="AJ145" s="1208"/>
      <c r="AK145" s="1208"/>
      <c r="AL145" s="1208"/>
      <c r="AM145" s="1208"/>
      <c r="AN145" s="1208"/>
      <c r="AO145" s="1208"/>
      <c r="AP145" s="1208"/>
      <c r="AQ145" s="1208"/>
      <c r="AR145" s="1208"/>
      <c r="AS145" s="1208"/>
      <c r="AT145" s="1208"/>
      <c r="AU145" s="1208"/>
      <c r="AV145" s="1208"/>
      <c r="AW145" s="1208"/>
      <c r="AX145" s="1208"/>
      <c r="AY145" s="1208"/>
      <c r="AZ145" s="1208"/>
      <c r="BA145" s="1208"/>
      <c r="BB145" s="1208"/>
      <c r="BC145" s="1208"/>
      <c r="BD145" s="1208"/>
      <c r="BE145" s="1208"/>
      <c r="BF145" s="1208"/>
      <c r="BG145" s="1208"/>
      <c r="BH145" s="1208"/>
      <c r="BI145" s="1208"/>
      <c r="BJ145" s="1208"/>
    </row>
    <row r="146" spans="1:62" s="1210" customFormat="1">
      <c r="A146" s="1215" t="s">
        <v>74332</v>
      </c>
      <c r="B146" s="1214">
        <v>6001238</v>
      </c>
      <c r="C146" s="1213">
        <v>24</v>
      </c>
      <c r="D146" s="1208"/>
      <c r="E146" s="1208"/>
      <c r="F146" s="1208"/>
      <c r="G146" s="1208"/>
      <c r="H146" s="1208"/>
      <c r="I146" s="1208"/>
      <c r="J146" s="1208"/>
      <c r="K146" s="1208"/>
      <c r="L146" s="1208"/>
      <c r="M146" s="1208"/>
      <c r="N146" s="1208"/>
      <c r="O146" s="1208"/>
      <c r="P146" s="1208"/>
      <c r="Q146" s="1208"/>
      <c r="R146" s="1208"/>
      <c r="S146" s="1208"/>
      <c r="T146" s="1208"/>
      <c r="U146" s="1208"/>
      <c r="V146" s="1208"/>
      <c r="W146" s="1208"/>
      <c r="X146" s="1208"/>
      <c r="Y146" s="1208"/>
      <c r="Z146" s="1208"/>
      <c r="AA146" s="1208"/>
      <c r="AB146" s="1208"/>
      <c r="AC146" s="1208"/>
      <c r="AD146" s="1208"/>
      <c r="AE146" s="1208"/>
      <c r="AF146" s="1208"/>
      <c r="AG146" s="1208"/>
      <c r="AH146" s="1208"/>
      <c r="AI146" s="1208"/>
      <c r="AJ146" s="1208"/>
      <c r="AK146" s="1208"/>
      <c r="AL146" s="1208"/>
      <c r="AM146" s="1208"/>
      <c r="AN146" s="1208"/>
      <c r="AO146" s="1208"/>
      <c r="AP146" s="1208"/>
      <c r="AQ146" s="1208"/>
      <c r="AR146" s="1208"/>
      <c r="AS146" s="1208"/>
      <c r="AT146" s="1208"/>
      <c r="AU146" s="1208"/>
      <c r="AV146" s="1208"/>
      <c r="AW146" s="1208"/>
      <c r="AX146" s="1208"/>
      <c r="AY146" s="1208"/>
      <c r="AZ146" s="1208"/>
      <c r="BA146" s="1208"/>
      <c r="BB146" s="1208"/>
      <c r="BC146" s="1208"/>
      <c r="BD146" s="1208"/>
      <c r="BE146" s="1208"/>
      <c r="BF146" s="1208"/>
      <c r="BG146" s="1208"/>
      <c r="BH146" s="1208"/>
      <c r="BI146" s="1208"/>
      <c r="BJ146" s="1208"/>
    </row>
    <row r="147" spans="1:62" s="1210" customFormat="1">
      <c r="A147" s="1215" t="s">
        <v>74331</v>
      </c>
      <c r="B147" s="1214">
        <v>6001479</v>
      </c>
      <c r="C147" s="1213">
        <v>24</v>
      </c>
      <c r="D147" s="1208"/>
      <c r="E147" s="1208"/>
      <c r="F147" s="1208"/>
      <c r="G147" s="1208"/>
      <c r="H147" s="1208"/>
      <c r="I147" s="1208"/>
      <c r="J147" s="1208"/>
      <c r="K147" s="1208"/>
      <c r="L147" s="1208"/>
      <c r="M147" s="1208"/>
      <c r="N147" s="1208"/>
      <c r="O147" s="1208"/>
      <c r="P147" s="1208"/>
      <c r="Q147" s="1208"/>
      <c r="R147" s="1208"/>
      <c r="S147" s="1208"/>
      <c r="T147" s="1208"/>
      <c r="U147" s="1208"/>
      <c r="V147" s="1208"/>
      <c r="W147" s="1208"/>
      <c r="X147" s="1208"/>
      <c r="Y147" s="1208"/>
      <c r="Z147" s="1208"/>
      <c r="AA147" s="1208"/>
      <c r="AB147" s="1208"/>
      <c r="AC147" s="1208"/>
      <c r="AD147" s="1208"/>
      <c r="AE147" s="1208"/>
      <c r="AF147" s="1208"/>
      <c r="AG147" s="1208"/>
      <c r="AH147" s="1208"/>
      <c r="AI147" s="1208"/>
      <c r="AJ147" s="1208"/>
      <c r="AK147" s="1208"/>
      <c r="AL147" s="1208"/>
      <c r="AM147" s="1208"/>
      <c r="AN147" s="1208"/>
      <c r="AO147" s="1208"/>
      <c r="AP147" s="1208"/>
      <c r="AQ147" s="1208"/>
      <c r="AR147" s="1208"/>
      <c r="AS147" s="1208"/>
      <c r="AT147" s="1208"/>
      <c r="AU147" s="1208"/>
      <c r="AV147" s="1208"/>
      <c r="AW147" s="1208"/>
      <c r="AX147" s="1208"/>
      <c r="AY147" s="1208"/>
      <c r="AZ147" s="1208"/>
      <c r="BA147" s="1208"/>
      <c r="BB147" s="1208"/>
      <c r="BC147" s="1208"/>
      <c r="BD147" s="1208"/>
      <c r="BE147" s="1208"/>
      <c r="BF147" s="1208"/>
      <c r="BG147" s="1208"/>
      <c r="BH147" s="1208"/>
      <c r="BI147" s="1208"/>
      <c r="BJ147" s="1208"/>
    </row>
    <row r="148" spans="1:62" s="1210" customFormat="1">
      <c r="A148" s="1215" t="s">
        <v>74330</v>
      </c>
      <c r="B148" s="1214">
        <v>6001095</v>
      </c>
      <c r="C148" s="1213">
        <v>35</v>
      </c>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08"/>
      <c r="BF148" s="1208"/>
      <c r="BG148" s="1208"/>
      <c r="BH148" s="1208"/>
      <c r="BI148" s="1208"/>
      <c r="BJ148" s="1208"/>
    </row>
    <row r="149" spans="1:62" s="1210" customFormat="1">
      <c r="A149" s="1215" t="s">
        <v>74329</v>
      </c>
      <c r="B149" s="1214">
        <v>6001465</v>
      </c>
      <c r="C149" s="1213">
        <v>35</v>
      </c>
      <c r="D149" s="1208"/>
      <c r="E149" s="1208"/>
      <c r="F149" s="1208"/>
      <c r="G149" s="1208"/>
      <c r="H149" s="1208"/>
      <c r="I149" s="1208"/>
      <c r="J149" s="1208"/>
      <c r="K149" s="1208"/>
      <c r="L149" s="1208"/>
      <c r="M149" s="1208"/>
      <c r="N149" s="1208"/>
      <c r="O149" s="1208"/>
      <c r="P149" s="1208"/>
      <c r="Q149" s="1208"/>
      <c r="R149" s="1208"/>
      <c r="S149" s="1208"/>
      <c r="T149" s="1208"/>
      <c r="U149" s="1208"/>
      <c r="V149" s="1208"/>
      <c r="W149" s="1208"/>
      <c r="X149" s="1208"/>
      <c r="Y149" s="1208"/>
      <c r="Z149" s="1208"/>
      <c r="AA149" s="1208"/>
      <c r="AB149" s="1208"/>
      <c r="AC149" s="1208"/>
      <c r="AD149" s="1208"/>
      <c r="AE149" s="1208"/>
      <c r="AF149" s="1208"/>
      <c r="AG149" s="1208"/>
      <c r="AH149" s="1208"/>
      <c r="AI149" s="1208"/>
      <c r="AJ149" s="1208"/>
      <c r="AK149" s="1208"/>
      <c r="AL149" s="1208"/>
      <c r="AM149" s="1208"/>
      <c r="AN149" s="1208"/>
      <c r="AO149" s="1208"/>
      <c r="AP149" s="1208"/>
      <c r="AQ149" s="1208"/>
      <c r="AR149" s="1208"/>
      <c r="AS149" s="1208"/>
      <c r="AT149" s="1208"/>
      <c r="AU149" s="1208"/>
      <c r="AV149" s="1208"/>
      <c r="AW149" s="1208"/>
      <c r="AX149" s="1208"/>
      <c r="AY149" s="1208"/>
      <c r="AZ149" s="1208"/>
      <c r="BA149" s="1208"/>
      <c r="BB149" s="1208"/>
      <c r="BC149" s="1208"/>
      <c r="BD149" s="1208"/>
      <c r="BE149" s="1208"/>
      <c r="BF149" s="1208"/>
      <c r="BG149" s="1208"/>
      <c r="BH149" s="1208"/>
      <c r="BI149" s="1208"/>
      <c r="BJ149" s="1208"/>
    </row>
    <row r="150" spans="1:62" s="1210" customFormat="1">
      <c r="A150" s="1215" t="s">
        <v>74328</v>
      </c>
      <c r="B150" s="1214">
        <v>6001204</v>
      </c>
      <c r="C150" s="1213">
        <v>65</v>
      </c>
      <c r="D150" s="1208"/>
      <c r="E150" s="1208"/>
      <c r="F150" s="1208"/>
      <c r="G150" s="1208"/>
      <c r="H150" s="1208"/>
      <c r="I150" s="1208"/>
      <c r="J150" s="1208"/>
      <c r="K150" s="1208"/>
      <c r="L150" s="1208"/>
      <c r="M150" s="1208"/>
      <c r="N150" s="1208"/>
      <c r="O150" s="1208"/>
      <c r="P150" s="1208"/>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08"/>
      <c r="BF150" s="1208"/>
      <c r="BG150" s="1208"/>
      <c r="BH150" s="1208"/>
      <c r="BI150" s="1208"/>
      <c r="BJ150" s="1208"/>
    </row>
    <row r="151" spans="1:62" s="1210" customFormat="1">
      <c r="A151" s="1215" t="s">
        <v>74327</v>
      </c>
      <c r="B151" s="1214">
        <v>6001192</v>
      </c>
      <c r="C151" s="1213">
        <v>65</v>
      </c>
      <c r="D151" s="1208"/>
      <c r="E151" s="1208"/>
      <c r="F151" s="1208"/>
      <c r="G151" s="1208"/>
      <c r="H151" s="1208"/>
      <c r="I151" s="1208"/>
      <c r="J151" s="1208"/>
      <c r="K151" s="1208"/>
      <c r="L151" s="1208"/>
      <c r="M151" s="1208"/>
      <c r="N151" s="1208"/>
      <c r="O151" s="1208"/>
      <c r="P151" s="1208"/>
      <c r="Q151" s="1208"/>
      <c r="R151" s="1208"/>
      <c r="S151" s="1208"/>
      <c r="T151" s="1208"/>
      <c r="U151" s="1208"/>
      <c r="V151" s="1208"/>
      <c r="W151" s="1208"/>
      <c r="X151" s="1208"/>
      <c r="Y151" s="1208"/>
      <c r="Z151" s="1208"/>
      <c r="AA151" s="1208"/>
      <c r="AB151" s="1208"/>
      <c r="AC151" s="1208"/>
      <c r="AD151" s="1208"/>
      <c r="AE151" s="1208"/>
      <c r="AF151" s="1208"/>
      <c r="AG151" s="1208"/>
      <c r="AH151" s="1208"/>
      <c r="AI151" s="1208"/>
      <c r="AJ151" s="1208"/>
      <c r="AK151" s="1208"/>
      <c r="AL151" s="1208"/>
      <c r="AM151" s="1208"/>
      <c r="AN151" s="1208"/>
      <c r="AO151" s="1208"/>
      <c r="AP151" s="1208"/>
      <c r="AQ151" s="1208"/>
      <c r="AR151" s="1208"/>
      <c r="AS151" s="1208"/>
      <c r="AT151" s="1208"/>
      <c r="AU151" s="1208"/>
      <c r="AV151" s="1208"/>
      <c r="AW151" s="1208"/>
      <c r="AX151" s="1208"/>
      <c r="AY151" s="1208"/>
      <c r="AZ151" s="1208"/>
      <c r="BA151" s="1208"/>
      <c r="BB151" s="1208"/>
      <c r="BC151" s="1208"/>
      <c r="BD151" s="1208"/>
      <c r="BE151" s="1208"/>
      <c r="BF151" s="1208"/>
      <c r="BG151" s="1208"/>
      <c r="BH151" s="1208"/>
      <c r="BI151" s="1208"/>
      <c r="BJ151" s="1208"/>
    </row>
    <row r="152" spans="1:62" s="1210" customFormat="1">
      <c r="A152" s="1215" t="s">
        <v>74326</v>
      </c>
      <c r="B152" s="1214">
        <v>6001410</v>
      </c>
      <c r="C152" s="1213">
        <v>20</v>
      </c>
      <c r="D152" s="1208"/>
      <c r="E152" s="1208"/>
      <c r="F152" s="1208"/>
      <c r="G152" s="1208"/>
      <c r="H152" s="1208"/>
      <c r="I152" s="1208"/>
      <c r="J152" s="1208"/>
      <c r="K152" s="1208"/>
      <c r="L152" s="1208"/>
      <c r="M152" s="1208"/>
      <c r="N152" s="1208"/>
      <c r="O152" s="1208"/>
      <c r="P152" s="1208"/>
      <c r="Q152" s="1208"/>
      <c r="R152" s="1208"/>
      <c r="S152" s="1208"/>
      <c r="T152" s="1208"/>
      <c r="U152" s="1208"/>
      <c r="V152" s="1208"/>
      <c r="W152" s="1208"/>
      <c r="X152" s="1208"/>
      <c r="Y152" s="1208"/>
      <c r="Z152" s="1208"/>
      <c r="AA152" s="1208"/>
      <c r="AB152" s="1208"/>
      <c r="AC152" s="1208"/>
      <c r="AD152" s="1208"/>
      <c r="AE152" s="1208"/>
      <c r="AF152" s="1208"/>
      <c r="AG152" s="1208"/>
      <c r="AH152" s="1208"/>
      <c r="AI152" s="1208"/>
      <c r="AJ152" s="1208"/>
      <c r="AK152" s="1208"/>
      <c r="AL152" s="1208"/>
      <c r="AM152" s="1208"/>
      <c r="AN152" s="1208"/>
      <c r="AO152" s="1208"/>
      <c r="AP152" s="1208"/>
      <c r="AQ152" s="1208"/>
      <c r="AR152" s="1208"/>
      <c r="AS152" s="1208"/>
      <c r="AT152" s="1208"/>
      <c r="AU152" s="1208"/>
      <c r="AV152" s="1208"/>
      <c r="AW152" s="1208"/>
      <c r="AX152" s="1208"/>
      <c r="AY152" s="1208"/>
      <c r="AZ152" s="1208"/>
      <c r="BA152" s="1208"/>
      <c r="BB152" s="1208"/>
      <c r="BC152" s="1208"/>
      <c r="BD152" s="1208"/>
      <c r="BE152" s="1208"/>
      <c r="BF152" s="1208"/>
      <c r="BG152" s="1208"/>
      <c r="BH152" s="1208"/>
      <c r="BI152" s="1208"/>
      <c r="BJ152" s="1208"/>
    </row>
    <row r="153" spans="1:62" s="1210" customFormat="1">
      <c r="A153" s="1215" t="s">
        <v>74325</v>
      </c>
      <c r="B153" s="1214">
        <v>6001409</v>
      </c>
      <c r="C153" s="1213">
        <v>30</v>
      </c>
      <c r="D153" s="1208"/>
      <c r="E153" s="1208"/>
      <c r="F153" s="1208"/>
      <c r="G153" s="1208"/>
      <c r="H153" s="1208"/>
      <c r="I153" s="1208"/>
      <c r="J153" s="1208"/>
      <c r="K153" s="1208"/>
      <c r="L153" s="1208"/>
      <c r="M153" s="1208"/>
      <c r="N153" s="1208"/>
      <c r="O153" s="1208"/>
      <c r="P153" s="1208"/>
      <c r="Q153" s="1208"/>
      <c r="R153" s="1208"/>
      <c r="S153" s="1208"/>
      <c r="T153" s="1208"/>
      <c r="U153" s="1208"/>
      <c r="V153" s="1208"/>
      <c r="W153" s="1208"/>
      <c r="X153" s="1208"/>
      <c r="Y153" s="1208"/>
      <c r="Z153" s="1208"/>
      <c r="AA153" s="1208"/>
      <c r="AB153" s="1208"/>
      <c r="AC153" s="1208"/>
      <c r="AD153" s="1208"/>
      <c r="AE153" s="1208"/>
      <c r="AF153" s="1208"/>
      <c r="AG153" s="1208"/>
      <c r="AH153" s="1208"/>
      <c r="AI153" s="1208"/>
      <c r="AJ153" s="1208"/>
      <c r="AK153" s="1208"/>
      <c r="AL153" s="1208"/>
      <c r="AM153" s="1208"/>
      <c r="AN153" s="1208"/>
      <c r="AO153" s="1208"/>
      <c r="AP153" s="1208"/>
      <c r="AQ153" s="1208"/>
      <c r="AR153" s="1208"/>
      <c r="AS153" s="1208"/>
      <c r="AT153" s="1208"/>
      <c r="AU153" s="1208"/>
      <c r="AV153" s="1208"/>
      <c r="AW153" s="1208"/>
      <c r="AX153" s="1208"/>
      <c r="AY153" s="1208"/>
      <c r="AZ153" s="1208"/>
      <c r="BA153" s="1208"/>
      <c r="BB153" s="1208"/>
      <c r="BC153" s="1208"/>
      <c r="BD153" s="1208"/>
      <c r="BE153" s="1208"/>
      <c r="BF153" s="1208"/>
      <c r="BG153" s="1208"/>
      <c r="BH153" s="1208"/>
      <c r="BI153" s="1208"/>
      <c r="BJ153" s="1208"/>
    </row>
    <row r="154" spans="1:62" s="1210" customFormat="1">
      <c r="A154" s="1215" t="s">
        <v>74324</v>
      </c>
      <c r="B154" s="1214">
        <v>2000579</v>
      </c>
      <c r="C154" s="1213">
        <v>27</v>
      </c>
      <c r="D154" s="1208"/>
      <c r="E154" s="1208"/>
      <c r="F154" s="1208"/>
      <c r="G154" s="1208"/>
      <c r="H154" s="1208"/>
      <c r="I154" s="1208"/>
      <c r="J154" s="1208"/>
      <c r="K154" s="1208"/>
      <c r="L154" s="1208"/>
      <c r="M154" s="1208"/>
      <c r="N154" s="1208"/>
      <c r="O154" s="1208"/>
      <c r="P154" s="1208"/>
      <c r="Q154" s="1208"/>
      <c r="R154" s="1208"/>
      <c r="S154" s="1208"/>
      <c r="T154" s="1208"/>
      <c r="U154" s="1208"/>
      <c r="V154" s="1208"/>
      <c r="W154" s="1208"/>
      <c r="X154" s="1208"/>
      <c r="Y154" s="1208"/>
      <c r="Z154" s="1208"/>
      <c r="AA154" s="1208"/>
      <c r="AB154" s="1208"/>
      <c r="AC154" s="1208"/>
      <c r="AD154" s="1208"/>
      <c r="AE154" s="1208"/>
      <c r="AF154" s="1208"/>
      <c r="AG154" s="1208"/>
      <c r="AH154" s="1208"/>
      <c r="AI154" s="1208"/>
      <c r="AJ154" s="1208"/>
      <c r="AK154" s="1208"/>
      <c r="AL154" s="1208"/>
      <c r="AM154" s="1208"/>
      <c r="AN154" s="1208"/>
      <c r="AO154" s="1208"/>
      <c r="AP154" s="1208"/>
      <c r="AQ154" s="1208"/>
      <c r="AR154" s="1208"/>
      <c r="AS154" s="1208"/>
      <c r="AT154" s="1208"/>
      <c r="AU154" s="1208"/>
      <c r="AV154" s="1208"/>
      <c r="AW154" s="1208"/>
      <c r="AX154" s="1208"/>
      <c r="AY154" s="1208"/>
      <c r="AZ154" s="1208"/>
      <c r="BA154" s="1208"/>
      <c r="BB154" s="1208"/>
      <c r="BC154" s="1208"/>
      <c r="BD154" s="1208"/>
      <c r="BE154" s="1208"/>
      <c r="BF154" s="1208"/>
      <c r="BG154" s="1208"/>
      <c r="BH154" s="1208"/>
      <c r="BI154" s="1208"/>
      <c r="BJ154" s="1208"/>
    </row>
    <row r="155" spans="1:62" s="1210" customFormat="1">
      <c r="A155" s="1216" t="s">
        <v>74323</v>
      </c>
      <c r="B155" s="1214">
        <v>6001503</v>
      </c>
      <c r="C155" s="1213">
        <v>49</v>
      </c>
      <c r="D155" s="1208"/>
      <c r="E155" s="1208"/>
      <c r="F155" s="1208"/>
      <c r="G155" s="1208"/>
      <c r="H155" s="1208"/>
      <c r="I155" s="1208"/>
      <c r="J155" s="1208"/>
      <c r="K155" s="1208"/>
      <c r="L155" s="1208"/>
      <c r="M155" s="1208"/>
      <c r="N155" s="1208"/>
      <c r="O155" s="1208"/>
      <c r="P155" s="1208"/>
      <c r="Q155" s="1208"/>
      <c r="R155" s="1208"/>
      <c r="S155" s="1208"/>
      <c r="T155" s="1208"/>
      <c r="U155" s="120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08"/>
      <c r="BF155" s="1208"/>
      <c r="BG155" s="1208"/>
      <c r="BH155" s="1208"/>
      <c r="BI155" s="1208"/>
      <c r="BJ155" s="1208"/>
    </row>
    <row r="156" spans="1:62" s="1210" customFormat="1">
      <c r="A156" s="1216" t="s">
        <v>74322</v>
      </c>
      <c r="B156" s="1214">
        <v>6001372</v>
      </c>
      <c r="C156" s="1213">
        <v>95</v>
      </c>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08"/>
      <c r="BF156" s="1208"/>
      <c r="BG156" s="1208"/>
      <c r="BH156" s="1208"/>
      <c r="BI156" s="1208"/>
      <c r="BJ156" s="1208"/>
    </row>
    <row r="157" spans="1:62" s="1210" customFormat="1">
      <c r="A157" s="1215" t="s">
        <v>74321</v>
      </c>
      <c r="B157" s="1214">
        <v>6001023</v>
      </c>
      <c r="C157" s="1213">
        <v>130</v>
      </c>
      <c r="D157" s="1208"/>
      <c r="E157" s="1208"/>
      <c r="F157" s="1208"/>
      <c r="G157" s="1208"/>
      <c r="H157" s="1208"/>
      <c r="I157" s="1208"/>
      <c r="J157" s="1208"/>
      <c r="K157" s="1208"/>
      <c r="L157" s="1208"/>
      <c r="M157" s="1208"/>
      <c r="N157" s="1208"/>
      <c r="O157" s="1208"/>
      <c r="P157" s="1208"/>
      <c r="Q157" s="1208"/>
      <c r="R157" s="1208"/>
      <c r="S157" s="1208"/>
      <c r="T157" s="1208"/>
      <c r="U157" s="1208"/>
      <c r="V157" s="1208"/>
      <c r="W157" s="1208"/>
      <c r="X157" s="1208"/>
      <c r="Y157" s="1208"/>
      <c r="Z157" s="1208"/>
      <c r="AA157" s="1208"/>
      <c r="AB157" s="1208"/>
      <c r="AC157" s="1208"/>
      <c r="AD157" s="1208"/>
      <c r="AE157" s="1208"/>
      <c r="AF157" s="1208"/>
      <c r="AG157" s="1208"/>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08"/>
      <c r="BF157" s="1208"/>
      <c r="BG157" s="1208"/>
      <c r="BH157" s="1208"/>
      <c r="BI157" s="1208"/>
      <c r="BJ157" s="1208"/>
    </row>
    <row r="158" spans="1:62" s="1210" customFormat="1">
      <c r="A158" s="1215" t="s">
        <v>74320</v>
      </c>
      <c r="B158" s="1214">
        <v>6001103</v>
      </c>
      <c r="C158" s="1213">
        <v>45</v>
      </c>
      <c r="D158" s="1208"/>
      <c r="E158" s="1208"/>
      <c r="F158" s="1208"/>
      <c r="G158" s="1208"/>
      <c r="H158" s="1208"/>
      <c r="I158" s="1208"/>
      <c r="J158" s="1208"/>
      <c r="K158" s="1208"/>
      <c r="L158" s="1208"/>
      <c r="M158" s="1208"/>
      <c r="N158" s="1208"/>
      <c r="O158" s="1208"/>
      <c r="P158" s="1208"/>
      <c r="Q158" s="1208"/>
      <c r="R158" s="1208"/>
      <c r="S158" s="1208"/>
      <c r="T158" s="1208"/>
      <c r="U158" s="1208"/>
      <c r="V158" s="1208"/>
      <c r="W158" s="1208"/>
      <c r="X158" s="1208"/>
      <c r="Y158" s="1208"/>
      <c r="Z158" s="1208"/>
      <c r="AA158" s="1208"/>
      <c r="AB158" s="1208"/>
      <c r="AC158" s="1208"/>
      <c r="AD158" s="1208"/>
      <c r="AE158" s="1208"/>
      <c r="AF158" s="1208"/>
      <c r="AG158" s="120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08"/>
      <c r="BF158" s="1208"/>
      <c r="BG158" s="1208"/>
      <c r="BH158" s="1208"/>
      <c r="BI158" s="1208"/>
      <c r="BJ158" s="1208"/>
    </row>
    <row r="159" spans="1:62" s="1210" customFormat="1">
      <c r="A159" s="1215" t="s">
        <v>74319</v>
      </c>
      <c r="B159" s="1214">
        <v>6001140</v>
      </c>
      <c r="C159" s="1213">
        <v>95</v>
      </c>
      <c r="D159" s="1208"/>
      <c r="E159" s="1208"/>
      <c r="F159" s="1208"/>
      <c r="G159" s="1208"/>
      <c r="H159" s="1208"/>
      <c r="I159" s="1208"/>
      <c r="J159" s="1208"/>
      <c r="K159" s="1208"/>
      <c r="L159" s="1208"/>
      <c r="M159" s="1208"/>
      <c r="N159" s="1208"/>
      <c r="O159" s="1208"/>
      <c r="P159" s="1208"/>
      <c r="Q159" s="1208"/>
      <c r="R159" s="1208"/>
      <c r="S159" s="1208"/>
      <c r="T159" s="1208"/>
      <c r="U159" s="1208"/>
      <c r="V159" s="1208"/>
      <c r="W159" s="1208"/>
      <c r="X159" s="1208"/>
      <c r="Y159" s="1208"/>
      <c r="Z159" s="1208"/>
      <c r="AA159" s="1208"/>
      <c r="AB159" s="1208"/>
      <c r="AC159" s="1208"/>
      <c r="AD159" s="1208"/>
      <c r="AE159" s="1208"/>
      <c r="AF159" s="1208"/>
      <c r="AG159" s="1208"/>
      <c r="AH159" s="1208"/>
      <c r="AI159" s="1208"/>
      <c r="AJ159" s="1208"/>
      <c r="AK159" s="1208"/>
      <c r="AL159" s="1208"/>
      <c r="AM159" s="1208"/>
      <c r="AN159" s="1208"/>
      <c r="AO159" s="1208"/>
      <c r="AP159" s="1208"/>
      <c r="AQ159" s="1208"/>
      <c r="AR159" s="1208"/>
      <c r="AS159" s="1208"/>
      <c r="AT159" s="1208"/>
      <c r="AU159" s="1208"/>
      <c r="AV159" s="1208"/>
      <c r="AW159" s="1208"/>
      <c r="AX159" s="1208"/>
      <c r="AY159" s="1208"/>
      <c r="AZ159" s="1208"/>
      <c r="BA159" s="1208"/>
      <c r="BB159" s="1208"/>
      <c r="BC159" s="1208"/>
      <c r="BD159" s="1208"/>
      <c r="BE159" s="1208"/>
      <c r="BF159" s="1208"/>
      <c r="BG159" s="1208"/>
      <c r="BH159" s="1208"/>
      <c r="BI159" s="1208"/>
      <c r="BJ159" s="1208"/>
    </row>
    <row r="160" spans="1:62" s="1210" customFormat="1">
      <c r="A160" s="1215" t="s">
        <v>74318</v>
      </c>
      <c r="B160" s="1214">
        <v>6001394</v>
      </c>
      <c r="C160" s="1213">
        <v>42</v>
      </c>
      <c r="D160" s="1208"/>
      <c r="E160" s="1208"/>
      <c r="F160" s="1208"/>
      <c r="G160" s="1208"/>
      <c r="H160" s="1208"/>
      <c r="I160" s="1208"/>
      <c r="J160" s="1208"/>
      <c r="K160" s="1208"/>
      <c r="L160" s="1208"/>
      <c r="M160" s="1208"/>
      <c r="N160" s="1208"/>
      <c r="O160" s="1208"/>
      <c r="P160" s="1208"/>
      <c r="Q160" s="1208"/>
      <c r="R160" s="1208"/>
      <c r="S160" s="1208"/>
      <c r="T160" s="1208"/>
      <c r="U160" s="1208"/>
      <c r="V160" s="1208"/>
      <c r="W160" s="1208"/>
      <c r="X160" s="1208"/>
      <c r="Y160" s="1208"/>
      <c r="Z160" s="1208"/>
      <c r="AA160" s="1208"/>
      <c r="AB160" s="1208"/>
      <c r="AC160" s="1208"/>
      <c r="AD160" s="1208"/>
      <c r="AE160" s="1208"/>
      <c r="AF160" s="1208"/>
      <c r="AG160" s="1208"/>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08"/>
      <c r="BF160" s="1208"/>
      <c r="BG160" s="1208"/>
      <c r="BH160" s="1208"/>
      <c r="BI160" s="1208"/>
      <c r="BJ160" s="1208"/>
    </row>
    <row r="161" spans="1:62" s="1210" customFormat="1">
      <c r="A161" s="1215" t="s">
        <v>74317</v>
      </c>
      <c r="B161" s="1214">
        <v>2000522</v>
      </c>
      <c r="C161" s="1213">
        <v>21</v>
      </c>
      <c r="D161" s="1208"/>
      <c r="E161" s="1208"/>
      <c r="F161" s="1208"/>
      <c r="G161" s="1208"/>
      <c r="H161" s="1208"/>
      <c r="I161" s="1208"/>
      <c r="J161" s="1208"/>
      <c r="K161" s="1208"/>
      <c r="L161" s="1208"/>
      <c r="M161" s="1208"/>
      <c r="N161" s="1208"/>
      <c r="O161" s="1208"/>
      <c r="P161" s="1208"/>
      <c r="Q161" s="1208"/>
      <c r="R161" s="1208"/>
      <c r="S161" s="1208"/>
      <c r="T161" s="1208"/>
      <c r="U161" s="1208"/>
      <c r="V161" s="1208"/>
      <c r="W161" s="1208"/>
      <c r="X161" s="1208"/>
      <c r="Y161" s="1208"/>
      <c r="Z161" s="1208"/>
      <c r="AA161" s="1208"/>
      <c r="AB161" s="1208"/>
      <c r="AC161" s="1208"/>
      <c r="AD161" s="1208"/>
      <c r="AE161" s="1208"/>
      <c r="AF161" s="1208"/>
      <c r="AG161" s="1208"/>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08"/>
      <c r="BF161" s="1208"/>
      <c r="BG161" s="1208"/>
      <c r="BH161" s="1208"/>
      <c r="BI161" s="1208"/>
      <c r="BJ161" s="1208"/>
    </row>
    <row r="162" spans="1:62" s="1210" customFormat="1">
      <c r="A162" s="1215" t="s">
        <v>74316</v>
      </c>
      <c r="B162" s="1214">
        <v>6001502</v>
      </c>
      <c r="C162" s="1213">
        <v>25</v>
      </c>
      <c r="D162" s="1208"/>
      <c r="E162" s="1208"/>
      <c r="F162" s="1208"/>
      <c r="G162" s="1208"/>
      <c r="H162" s="1208"/>
      <c r="I162" s="1208"/>
      <c r="J162" s="1208"/>
      <c r="K162" s="1208"/>
      <c r="L162" s="1208"/>
      <c r="M162" s="1208"/>
      <c r="N162" s="1208"/>
      <c r="O162" s="1208"/>
      <c r="P162" s="1208"/>
      <c r="Q162" s="1208"/>
      <c r="R162" s="1208"/>
      <c r="S162" s="1208"/>
      <c r="T162" s="1208"/>
      <c r="U162" s="1208"/>
      <c r="V162" s="1208"/>
      <c r="W162" s="1208"/>
      <c r="X162" s="1208"/>
      <c r="Y162" s="1208"/>
      <c r="Z162" s="1208"/>
      <c r="AA162" s="1208"/>
      <c r="AB162" s="1208"/>
      <c r="AC162" s="1208"/>
      <c r="AD162" s="1208"/>
      <c r="AE162" s="1208"/>
      <c r="AF162" s="1208"/>
      <c r="AG162" s="1208"/>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08"/>
      <c r="BF162" s="1208"/>
      <c r="BG162" s="1208"/>
      <c r="BH162" s="1208"/>
      <c r="BI162" s="1208"/>
      <c r="BJ162" s="1208"/>
    </row>
    <row r="163" spans="1:62" s="1210" customFormat="1">
      <c r="A163" s="1215" t="s">
        <v>74315</v>
      </c>
      <c r="B163" s="1214">
        <v>6001406</v>
      </c>
      <c r="C163" s="1213">
        <v>30</v>
      </c>
      <c r="D163" s="1208"/>
      <c r="E163" s="1208"/>
      <c r="F163" s="1208"/>
      <c r="G163" s="1208"/>
      <c r="H163" s="1208"/>
      <c r="I163" s="1208"/>
      <c r="J163" s="1208"/>
      <c r="K163" s="1208"/>
      <c r="L163" s="1208"/>
      <c r="M163" s="1208"/>
      <c r="N163" s="1208"/>
      <c r="O163" s="1208"/>
      <c r="P163" s="1208"/>
      <c r="Q163" s="1208"/>
      <c r="R163" s="1208"/>
      <c r="S163" s="1208"/>
      <c r="T163" s="1208"/>
      <c r="U163" s="1208"/>
      <c r="V163" s="1208"/>
      <c r="W163" s="1208"/>
      <c r="X163" s="1208"/>
      <c r="Y163" s="1208"/>
      <c r="Z163" s="1208"/>
      <c r="AA163" s="1208"/>
      <c r="AB163" s="1208"/>
      <c r="AC163" s="1208"/>
      <c r="AD163" s="1208"/>
      <c r="AE163" s="1208"/>
      <c r="AF163" s="1208"/>
      <c r="AG163" s="1208"/>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08"/>
      <c r="BF163" s="1208"/>
      <c r="BG163" s="1208"/>
      <c r="BH163" s="1208"/>
      <c r="BI163" s="1208"/>
      <c r="BJ163" s="1208"/>
    </row>
    <row r="164" spans="1:62" s="1210" customFormat="1">
      <c r="A164" s="1215" t="s">
        <v>74314</v>
      </c>
      <c r="B164" s="1214">
        <v>6001034</v>
      </c>
      <c r="C164" s="1213">
        <v>145</v>
      </c>
      <c r="D164" s="1208"/>
      <c r="E164" s="1208"/>
      <c r="F164" s="1208"/>
      <c r="G164" s="1208"/>
      <c r="H164" s="1208"/>
      <c r="I164" s="1208"/>
      <c r="J164" s="1208"/>
      <c r="K164" s="1208"/>
      <c r="L164" s="1208"/>
      <c r="M164" s="1208"/>
      <c r="N164" s="1208"/>
      <c r="O164" s="1208"/>
      <c r="P164" s="1208"/>
      <c r="Q164" s="1208"/>
      <c r="R164" s="1208"/>
      <c r="S164" s="1208"/>
      <c r="T164" s="1208"/>
      <c r="U164" s="1208"/>
      <c r="V164" s="1208"/>
      <c r="W164" s="1208"/>
      <c r="X164" s="1208"/>
      <c r="Y164" s="1208"/>
      <c r="Z164" s="1208"/>
      <c r="AA164" s="1208"/>
      <c r="AB164" s="1208"/>
      <c r="AC164" s="1208"/>
      <c r="AD164" s="1208"/>
      <c r="AE164" s="1208"/>
      <c r="AF164" s="1208"/>
      <c r="AG164" s="1208"/>
      <c r="AH164" s="1208"/>
      <c r="AI164" s="1208"/>
      <c r="AJ164" s="1208"/>
      <c r="AK164" s="1208"/>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08"/>
      <c r="BF164" s="1208"/>
      <c r="BG164" s="1208"/>
      <c r="BH164" s="1208"/>
      <c r="BI164" s="1208"/>
      <c r="BJ164" s="1208"/>
    </row>
    <row r="165" spans="1:62" s="1210" customFormat="1">
      <c r="A165" s="1215" t="s">
        <v>74313</v>
      </c>
      <c r="B165" s="1214">
        <v>6001035</v>
      </c>
      <c r="C165" s="1213">
        <v>155</v>
      </c>
      <c r="D165" s="1208"/>
      <c r="E165" s="1208"/>
      <c r="F165" s="1208"/>
      <c r="G165" s="1208"/>
      <c r="H165" s="1208"/>
      <c r="I165" s="1208"/>
      <c r="J165" s="1208"/>
      <c r="K165" s="1208"/>
      <c r="L165" s="1208"/>
      <c r="M165" s="1208"/>
      <c r="N165" s="1208"/>
      <c r="O165" s="1208"/>
      <c r="P165" s="1208"/>
      <c r="Q165" s="1208"/>
      <c r="R165" s="1208"/>
      <c r="S165" s="1208"/>
      <c r="T165" s="1208"/>
      <c r="U165" s="1208"/>
      <c r="V165" s="1208"/>
      <c r="W165" s="1208"/>
      <c r="X165" s="1208"/>
      <c r="Y165" s="1208"/>
      <c r="Z165" s="1208"/>
      <c r="AA165" s="1208"/>
      <c r="AB165" s="1208"/>
      <c r="AC165" s="1208"/>
      <c r="AD165" s="1208"/>
      <c r="AE165" s="1208"/>
      <c r="AF165" s="1208"/>
      <c r="AG165" s="120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08"/>
      <c r="BF165" s="1208"/>
      <c r="BG165" s="1208"/>
      <c r="BH165" s="1208"/>
      <c r="BI165" s="1208"/>
      <c r="BJ165" s="1208"/>
    </row>
    <row r="166" spans="1:62" s="1210" customFormat="1">
      <c r="A166" s="1215" t="s">
        <v>74312</v>
      </c>
      <c r="B166" s="1214">
        <v>6000665</v>
      </c>
      <c r="C166" s="1213">
        <v>325</v>
      </c>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08"/>
      <c r="BF166" s="1208"/>
      <c r="BG166" s="1208"/>
      <c r="BH166" s="1208"/>
      <c r="BI166" s="1208"/>
      <c r="BJ166" s="1208"/>
    </row>
    <row r="167" spans="1:62" s="1210" customFormat="1">
      <c r="A167" s="1215" t="s">
        <v>74311</v>
      </c>
      <c r="B167" s="1214">
        <v>6001030</v>
      </c>
      <c r="C167" s="1213">
        <v>395</v>
      </c>
      <c r="D167" s="1208"/>
      <c r="E167" s="1208"/>
      <c r="F167" s="1208"/>
      <c r="G167" s="1208"/>
      <c r="H167" s="1208"/>
      <c r="I167" s="1208"/>
      <c r="J167" s="1208"/>
      <c r="K167" s="1208"/>
      <c r="L167" s="1208"/>
      <c r="M167" s="1208"/>
      <c r="N167" s="1208"/>
      <c r="O167" s="1208"/>
      <c r="P167" s="1208"/>
      <c r="Q167" s="1208"/>
      <c r="R167" s="1208"/>
      <c r="S167" s="1208"/>
      <c r="T167" s="1208"/>
      <c r="U167" s="1208"/>
      <c r="V167" s="1208"/>
      <c r="W167" s="1208"/>
      <c r="X167" s="1208"/>
      <c r="Y167" s="1208"/>
      <c r="Z167" s="1208"/>
      <c r="AA167" s="1208"/>
      <c r="AB167" s="1208"/>
      <c r="AC167" s="1208"/>
      <c r="AD167" s="1208"/>
      <c r="AE167" s="1208"/>
      <c r="AF167" s="1208"/>
      <c r="AG167" s="1208"/>
      <c r="AH167" s="1208"/>
      <c r="AI167" s="1208"/>
      <c r="AJ167" s="1208"/>
      <c r="AK167" s="1208"/>
      <c r="AL167" s="1208"/>
      <c r="AM167" s="1208"/>
      <c r="AN167" s="1208"/>
      <c r="AO167" s="1208"/>
      <c r="AP167" s="1208"/>
      <c r="AQ167" s="1208"/>
      <c r="AR167" s="1208"/>
      <c r="AS167" s="1208"/>
      <c r="AT167" s="1208"/>
      <c r="AU167" s="1208"/>
      <c r="AV167" s="1208"/>
      <c r="AW167" s="1208"/>
      <c r="AX167" s="1208"/>
      <c r="AY167" s="1208"/>
      <c r="AZ167" s="1208"/>
      <c r="BA167" s="1208"/>
      <c r="BB167" s="1208"/>
      <c r="BC167" s="1208"/>
      <c r="BD167" s="1208"/>
      <c r="BE167" s="1208"/>
      <c r="BF167" s="1208"/>
      <c r="BG167" s="1208"/>
      <c r="BH167" s="1208"/>
      <c r="BI167" s="1208"/>
      <c r="BJ167" s="1208"/>
    </row>
    <row r="168" spans="1:62" s="1210" customFormat="1">
      <c r="A168" s="1215" t="s">
        <v>74310</v>
      </c>
      <c r="B168" s="1214">
        <v>6001107</v>
      </c>
      <c r="C168" s="1213">
        <v>395</v>
      </c>
      <c r="D168" s="1208"/>
      <c r="E168" s="1208"/>
      <c r="F168" s="1208"/>
      <c r="G168" s="1208"/>
      <c r="H168" s="1208"/>
      <c r="I168" s="1208"/>
      <c r="J168" s="1208"/>
      <c r="K168" s="1208"/>
      <c r="L168" s="1208"/>
      <c r="M168" s="1208"/>
      <c r="N168" s="1208"/>
      <c r="O168" s="1208"/>
      <c r="P168" s="1208"/>
      <c r="Q168" s="1208"/>
      <c r="R168" s="1208"/>
      <c r="S168" s="1208"/>
      <c r="T168" s="1208"/>
      <c r="U168" s="1208"/>
      <c r="V168" s="1208"/>
      <c r="W168" s="1208"/>
      <c r="X168" s="1208"/>
      <c r="Y168" s="1208"/>
      <c r="Z168" s="1208"/>
      <c r="AA168" s="1208"/>
      <c r="AB168" s="1208"/>
      <c r="AC168" s="1208"/>
      <c r="AD168" s="1208"/>
      <c r="AE168" s="1208"/>
      <c r="AF168" s="1208"/>
      <c r="AG168" s="1208"/>
      <c r="AH168" s="1208"/>
      <c r="AI168" s="1208"/>
      <c r="AJ168" s="1208"/>
      <c r="AK168" s="1208"/>
      <c r="AL168" s="1208"/>
      <c r="AM168" s="1208"/>
      <c r="AN168" s="1208"/>
      <c r="AO168" s="1208"/>
      <c r="AP168" s="1208"/>
      <c r="AQ168" s="1208"/>
      <c r="AR168" s="1208"/>
      <c r="AS168" s="1208"/>
      <c r="AT168" s="1208"/>
      <c r="AU168" s="1208"/>
      <c r="AV168" s="1208"/>
      <c r="AW168" s="1208"/>
      <c r="AX168" s="1208"/>
      <c r="AY168" s="1208"/>
      <c r="AZ168" s="1208"/>
      <c r="BA168" s="1208"/>
      <c r="BB168" s="1208"/>
      <c r="BC168" s="1208"/>
      <c r="BD168" s="1208"/>
      <c r="BE168" s="1208"/>
      <c r="BF168" s="1208"/>
      <c r="BG168" s="1208"/>
      <c r="BH168" s="1208"/>
      <c r="BI168" s="1208"/>
      <c r="BJ168" s="1208"/>
    </row>
    <row r="169" spans="1:62" s="1210" customFormat="1">
      <c r="A169" s="1215" t="s">
        <v>74309</v>
      </c>
      <c r="B169" s="1214">
        <v>6001031</v>
      </c>
      <c r="C169" s="1213">
        <v>350</v>
      </c>
      <c r="D169" s="1208"/>
      <c r="E169" s="1208"/>
      <c r="F169" s="1208"/>
      <c r="G169" s="1208"/>
      <c r="H169" s="1208"/>
      <c r="I169" s="1208"/>
      <c r="J169" s="1208"/>
      <c r="K169" s="1208"/>
      <c r="L169" s="1208"/>
      <c r="M169" s="1208"/>
      <c r="N169" s="1208"/>
      <c r="O169" s="1208"/>
      <c r="P169" s="1208"/>
      <c r="Q169" s="1208"/>
      <c r="R169" s="1208"/>
      <c r="S169" s="1208"/>
      <c r="T169" s="1208"/>
      <c r="U169" s="1208"/>
      <c r="V169" s="1208"/>
      <c r="W169" s="1208"/>
      <c r="X169" s="1208"/>
      <c r="Y169" s="1208"/>
      <c r="Z169" s="1208"/>
      <c r="AA169" s="1208"/>
      <c r="AB169" s="1208"/>
      <c r="AC169" s="1208"/>
      <c r="AD169" s="1208"/>
      <c r="AE169" s="1208"/>
      <c r="AF169" s="1208"/>
      <c r="AG169" s="1208"/>
      <c r="AH169" s="1208"/>
      <c r="AI169" s="1208"/>
      <c r="AJ169" s="1208"/>
      <c r="AK169" s="1208"/>
      <c r="AL169" s="1208"/>
      <c r="AM169" s="1208"/>
      <c r="AN169" s="1208"/>
      <c r="AO169" s="1208"/>
      <c r="AP169" s="1208"/>
      <c r="AQ169" s="1208"/>
      <c r="AR169" s="1208"/>
      <c r="AS169" s="1208"/>
      <c r="AT169" s="1208"/>
      <c r="AU169" s="1208"/>
      <c r="AV169" s="1208"/>
      <c r="AW169" s="1208"/>
      <c r="AX169" s="1208"/>
      <c r="AY169" s="1208"/>
      <c r="AZ169" s="1208"/>
      <c r="BA169" s="1208"/>
      <c r="BB169" s="1208"/>
      <c r="BC169" s="1208"/>
      <c r="BD169" s="1208"/>
      <c r="BE169" s="1208"/>
      <c r="BF169" s="1208"/>
      <c r="BG169" s="1208"/>
      <c r="BH169" s="1208"/>
      <c r="BI169" s="1208"/>
      <c r="BJ169" s="1208"/>
    </row>
    <row r="170" spans="1:62" s="1210" customFormat="1">
      <c r="A170" s="1215" t="s">
        <v>74308</v>
      </c>
      <c r="B170" s="1214">
        <v>6001032</v>
      </c>
      <c r="C170" s="1213">
        <v>350</v>
      </c>
      <c r="D170" s="1208"/>
      <c r="E170" s="1208"/>
      <c r="F170" s="1208"/>
      <c r="G170" s="1208"/>
      <c r="H170" s="1208"/>
      <c r="I170" s="1208"/>
      <c r="J170" s="1208"/>
      <c r="K170" s="1208"/>
      <c r="L170" s="1208"/>
      <c r="M170" s="1208"/>
      <c r="N170" s="1208"/>
      <c r="O170" s="1208"/>
      <c r="P170" s="1208"/>
      <c r="Q170" s="1208"/>
      <c r="R170" s="1208"/>
      <c r="S170" s="1208"/>
      <c r="T170" s="1208"/>
      <c r="U170" s="1208"/>
      <c r="V170" s="1208"/>
      <c r="W170" s="1208"/>
      <c r="X170" s="1208"/>
      <c r="Y170" s="1208"/>
      <c r="Z170" s="1208"/>
      <c r="AA170" s="1208"/>
      <c r="AB170" s="1208"/>
      <c r="AC170" s="1208"/>
      <c r="AD170" s="1208"/>
      <c r="AE170" s="1208"/>
      <c r="AF170" s="1208"/>
      <c r="AG170" s="1208"/>
      <c r="AH170" s="1208"/>
      <c r="AI170" s="1208"/>
      <c r="AJ170" s="1208"/>
      <c r="AK170" s="1208"/>
      <c r="AL170" s="1208"/>
      <c r="AM170" s="1208"/>
      <c r="AN170" s="1208"/>
      <c r="AO170" s="1208"/>
      <c r="AP170" s="1208"/>
      <c r="AQ170" s="1208"/>
      <c r="AR170" s="1208"/>
      <c r="AS170" s="1208"/>
      <c r="AT170" s="1208"/>
      <c r="AU170" s="1208"/>
      <c r="AV170" s="1208"/>
      <c r="AW170" s="1208"/>
      <c r="AX170" s="1208"/>
      <c r="AY170" s="1208"/>
      <c r="AZ170" s="1208"/>
      <c r="BA170" s="1208"/>
      <c r="BB170" s="1208"/>
      <c r="BC170" s="1208"/>
      <c r="BD170" s="1208"/>
      <c r="BE170" s="1208"/>
      <c r="BF170" s="1208"/>
      <c r="BG170" s="1208"/>
      <c r="BH170" s="1208"/>
      <c r="BI170" s="1208"/>
      <c r="BJ170" s="1208"/>
    </row>
    <row r="171" spans="1:62" s="1210" customFormat="1">
      <c r="A171" s="1215" t="s">
        <v>74307</v>
      </c>
      <c r="B171" s="1214">
        <v>6001440</v>
      </c>
      <c r="C171" s="1213">
        <v>20</v>
      </c>
      <c r="D171" s="1208"/>
      <c r="E171" s="1208"/>
      <c r="F171" s="1208"/>
      <c r="G171" s="1208"/>
      <c r="H171" s="1208"/>
      <c r="I171" s="1208"/>
      <c r="J171" s="1208"/>
      <c r="K171" s="1208"/>
      <c r="L171" s="1208"/>
      <c r="M171" s="1208"/>
      <c r="N171" s="1208"/>
      <c r="O171" s="1208"/>
      <c r="P171" s="1208"/>
      <c r="Q171" s="1208"/>
      <c r="R171" s="1208"/>
      <c r="S171" s="1208"/>
      <c r="T171" s="1208"/>
      <c r="U171" s="1208"/>
      <c r="V171" s="1208"/>
      <c r="W171" s="1208"/>
      <c r="X171" s="1208"/>
      <c r="Y171" s="1208"/>
      <c r="Z171" s="1208"/>
      <c r="AA171" s="1208"/>
      <c r="AB171" s="1208"/>
      <c r="AC171" s="1208"/>
      <c r="AD171" s="1208"/>
      <c r="AE171" s="1208"/>
      <c r="AF171" s="1208"/>
      <c r="AG171" s="1208"/>
      <c r="AH171" s="1208"/>
      <c r="AI171" s="1208"/>
      <c r="AJ171" s="1208"/>
      <c r="AK171" s="1208"/>
      <c r="AL171" s="1208"/>
      <c r="AM171" s="1208"/>
      <c r="AN171" s="1208"/>
      <c r="AO171" s="1208"/>
      <c r="AP171" s="1208"/>
      <c r="AQ171" s="1208"/>
      <c r="AR171" s="1208"/>
      <c r="AS171" s="1208"/>
      <c r="AT171" s="1208"/>
      <c r="AU171" s="1208"/>
      <c r="AV171" s="1208"/>
      <c r="AW171" s="1208"/>
      <c r="AX171" s="1208"/>
      <c r="AY171" s="1208"/>
      <c r="AZ171" s="1208"/>
      <c r="BA171" s="1208"/>
      <c r="BB171" s="1208"/>
      <c r="BC171" s="1208"/>
      <c r="BD171" s="1208"/>
      <c r="BE171" s="1208"/>
      <c r="BF171" s="1208"/>
      <c r="BG171" s="1208"/>
      <c r="BH171" s="1208"/>
      <c r="BI171" s="1208"/>
      <c r="BJ171" s="1208"/>
    </row>
    <row r="172" spans="1:62" s="1210" customFormat="1">
      <c r="A172" s="1212"/>
      <c r="B172" s="1209"/>
      <c r="C172" s="1209"/>
      <c r="D172" s="1208"/>
      <c r="E172" s="1208"/>
      <c r="F172" s="1208"/>
      <c r="G172" s="1208"/>
      <c r="H172" s="1208"/>
      <c r="I172" s="1208"/>
      <c r="J172" s="1208"/>
      <c r="K172" s="1208"/>
      <c r="L172" s="1208"/>
      <c r="M172" s="1208"/>
      <c r="N172" s="1208"/>
      <c r="O172" s="1208"/>
      <c r="P172" s="1208"/>
      <c r="Q172" s="1208"/>
      <c r="R172" s="1208"/>
      <c r="S172" s="1208"/>
      <c r="T172" s="1208"/>
      <c r="U172" s="1208"/>
      <c r="V172" s="1208"/>
      <c r="W172" s="1208"/>
      <c r="X172" s="1208"/>
      <c r="Y172" s="1208"/>
      <c r="Z172" s="1208"/>
      <c r="AA172" s="1208"/>
      <c r="AB172" s="1208"/>
      <c r="AC172" s="1208"/>
      <c r="AD172" s="1208"/>
      <c r="AE172" s="1208"/>
      <c r="AF172" s="1208"/>
      <c r="AG172" s="1208"/>
      <c r="AH172" s="1208"/>
      <c r="AI172" s="1208"/>
      <c r="AJ172" s="1208"/>
      <c r="AK172" s="1208"/>
      <c r="AL172" s="1208"/>
      <c r="AM172" s="1208"/>
      <c r="AN172" s="1208"/>
      <c r="AO172" s="1208"/>
      <c r="AP172" s="1208"/>
      <c r="AQ172" s="1208"/>
      <c r="AR172" s="1208"/>
      <c r="AS172" s="1208"/>
      <c r="AT172" s="1208"/>
      <c r="AU172" s="1208"/>
      <c r="AV172" s="1208"/>
      <c r="AW172" s="1208"/>
      <c r="AX172" s="1208"/>
      <c r="AY172" s="1208"/>
      <c r="AZ172" s="1208"/>
      <c r="BA172" s="1208"/>
      <c r="BB172" s="1208"/>
      <c r="BC172" s="1208"/>
      <c r="BD172" s="1208"/>
      <c r="BE172" s="1208"/>
      <c r="BF172" s="1208"/>
      <c r="BG172" s="1208"/>
      <c r="BH172" s="1208"/>
      <c r="BI172" s="1208"/>
      <c r="BJ172" s="1208"/>
    </row>
    <row r="173" spans="1:62" s="1210" customFormat="1">
      <c r="A173" s="1212"/>
      <c r="B173" s="1209"/>
      <c r="C173" s="1209"/>
      <c r="D173" s="1208"/>
      <c r="E173" s="1208"/>
      <c r="F173" s="1208"/>
      <c r="G173" s="1208"/>
      <c r="H173" s="1208"/>
      <c r="I173" s="1208"/>
      <c r="J173" s="1208"/>
      <c r="K173" s="1208"/>
      <c r="L173" s="1208"/>
      <c r="M173" s="1208"/>
      <c r="N173" s="1208"/>
      <c r="O173" s="1208"/>
      <c r="P173" s="1208"/>
      <c r="Q173" s="1208"/>
      <c r="R173" s="1208"/>
      <c r="S173" s="1208"/>
      <c r="T173" s="1208"/>
      <c r="U173" s="1208"/>
      <c r="V173" s="1208"/>
      <c r="W173" s="1208"/>
      <c r="X173" s="1208"/>
      <c r="Y173" s="1208"/>
      <c r="Z173" s="1208"/>
      <c r="AA173" s="1208"/>
      <c r="AB173" s="1208"/>
      <c r="AC173" s="1208"/>
      <c r="AD173" s="1208"/>
      <c r="AE173" s="1208"/>
      <c r="AF173" s="1208"/>
      <c r="AG173" s="1208"/>
      <c r="AH173" s="1208"/>
      <c r="AI173" s="1208"/>
      <c r="AJ173" s="1208"/>
      <c r="AK173" s="1208"/>
      <c r="AL173" s="1208"/>
      <c r="AM173" s="1208"/>
      <c r="AN173" s="1208"/>
      <c r="AO173" s="1208"/>
      <c r="AP173" s="1208"/>
      <c r="AQ173" s="1208"/>
      <c r="AR173" s="1208"/>
      <c r="AS173" s="1208"/>
      <c r="AT173" s="1208"/>
      <c r="AU173" s="1208"/>
      <c r="AV173" s="1208"/>
      <c r="AW173" s="1208"/>
      <c r="AX173" s="1208"/>
      <c r="AY173" s="1208"/>
      <c r="AZ173" s="1208"/>
      <c r="BA173" s="1208"/>
      <c r="BB173" s="1208"/>
      <c r="BC173" s="1208"/>
      <c r="BD173" s="1208"/>
      <c r="BE173" s="1208"/>
      <c r="BF173" s="1208"/>
      <c r="BG173" s="1208"/>
      <c r="BH173" s="1208"/>
      <c r="BI173" s="1208"/>
      <c r="BJ173" s="1208"/>
    </row>
    <row r="174" spans="1:62" s="1210" customFormat="1">
      <c r="A174" s="1212"/>
      <c r="B174" s="1209"/>
      <c r="C174" s="1209"/>
      <c r="D174" s="1208"/>
      <c r="E174" s="1208"/>
      <c r="F174" s="1208"/>
      <c r="G174" s="1208"/>
      <c r="H174" s="1208"/>
      <c r="I174" s="1208"/>
      <c r="J174" s="1208"/>
      <c r="K174" s="1208"/>
      <c r="L174" s="1208"/>
      <c r="M174" s="1208"/>
      <c r="N174" s="1208"/>
      <c r="O174" s="1208"/>
      <c r="P174" s="1208"/>
      <c r="Q174" s="1208"/>
      <c r="R174" s="1208"/>
      <c r="S174" s="1208"/>
      <c r="T174" s="1208"/>
      <c r="U174" s="1208"/>
      <c r="V174" s="1208"/>
      <c r="W174" s="1208"/>
      <c r="X174" s="1208"/>
      <c r="Y174" s="1208"/>
      <c r="Z174" s="1208"/>
      <c r="AA174" s="1208"/>
      <c r="AB174" s="1208"/>
      <c r="AC174" s="1208"/>
      <c r="AD174" s="1208"/>
      <c r="AE174" s="1208"/>
      <c r="AF174" s="1208"/>
      <c r="AG174" s="1208"/>
      <c r="AH174" s="1208"/>
      <c r="AI174" s="1208"/>
      <c r="AJ174" s="1208"/>
      <c r="AK174" s="1208"/>
      <c r="AL174" s="1208"/>
      <c r="AM174" s="1208"/>
      <c r="AN174" s="1208"/>
      <c r="AO174" s="1208"/>
      <c r="AP174" s="1208"/>
      <c r="AQ174" s="1208"/>
      <c r="AR174" s="1208"/>
      <c r="AS174" s="1208"/>
      <c r="AT174" s="1208"/>
      <c r="AU174" s="1208"/>
      <c r="AV174" s="1208"/>
      <c r="AW174" s="1208"/>
      <c r="AX174" s="1208"/>
      <c r="AY174" s="1208"/>
      <c r="AZ174" s="1208"/>
      <c r="BA174" s="1208"/>
      <c r="BB174" s="1208"/>
      <c r="BC174" s="1208"/>
      <c r="BD174" s="1208"/>
      <c r="BE174" s="1208"/>
      <c r="BF174" s="1208"/>
      <c r="BG174" s="1208"/>
      <c r="BH174" s="1208"/>
      <c r="BI174" s="1208"/>
      <c r="BJ174" s="1208"/>
    </row>
    <row r="175" spans="1:62" s="1210" customFormat="1">
      <c r="A175" s="1212"/>
      <c r="B175" s="1209"/>
      <c r="C175" s="1209"/>
      <c r="D175" s="1208"/>
      <c r="E175" s="1208"/>
      <c r="F175" s="1208"/>
      <c r="G175" s="1208"/>
      <c r="H175" s="1208"/>
      <c r="I175" s="1208"/>
      <c r="J175" s="1208"/>
      <c r="K175" s="1208"/>
      <c r="L175" s="1208"/>
      <c r="M175" s="1208"/>
      <c r="N175" s="1208"/>
      <c r="O175" s="1208"/>
      <c r="P175" s="1208"/>
      <c r="Q175" s="1208"/>
      <c r="R175" s="1208"/>
      <c r="S175" s="1208"/>
      <c r="T175" s="1208"/>
      <c r="U175" s="1208"/>
      <c r="V175" s="1208"/>
      <c r="W175" s="1208"/>
      <c r="X175" s="1208"/>
      <c r="Y175" s="1208"/>
      <c r="Z175" s="1208"/>
      <c r="AA175" s="1208"/>
      <c r="AB175" s="1208"/>
      <c r="AC175" s="1208"/>
      <c r="AD175" s="1208"/>
      <c r="AE175" s="1208"/>
      <c r="AF175" s="1208"/>
      <c r="AG175" s="1208"/>
      <c r="AH175" s="1208"/>
      <c r="AI175" s="1208"/>
      <c r="AJ175" s="1208"/>
      <c r="AK175" s="1208"/>
      <c r="AL175" s="1208"/>
      <c r="AM175" s="1208"/>
      <c r="AN175" s="1208"/>
      <c r="AO175" s="1208"/>
      <c r="AP175" s="1208"/>
      <c r="AQ175" s="1208"/>
      <c r="AR175" s="1208"/>
      <c r="AS175" s="1208"/>
      <c r="AT175" s="1208"/>
      <c r="AU175" s="1208"/>
      <c r="AV175" s="1208"/>
      <c r="AW175" s="1208"/>
      <c r="AX175" s="1208"/>
      <c r="AY175" s="1208"/>
      <c r="AZ175" s="1208"/>
      <c r="BA175" s="1208"/>
      <c r="BB175" s="1208"/>
      <c r="BC175" s="1208"/>
      <c r="BD175" s="1208"/>
      <c r="BE175" s="1208"/>
      <c r="BF175" s="1208"/>
      <c r="BG175" s="1208"/>
      <c r="BH175" s="1208"/>
      <c r="BI175" s="1208"/>
      <c r="BJ175" s="1208"/>
    </row>
    <row r="176" spans="1:62" s="1210" customFormat="1">
      <c r="A176" s="1212"/>
      <c r="B176" s="1209"/>
      <c r="C176" s="1209"/>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08"/>
      <c r="BF176" s="1208"/>
      <c r="BG176" s="1208"/>
      <c r="BH176" s="1208"/>
      <c r="BI176" s="1208"/>
      <c r="BJ176" s="1208"/>
    </row>
    <row r="177" spans="1:62" s="1210" customFormat="1">
      <c r="A177" s="1212"/>
      <c r="B177" s="1209"/>
      <c r="C177" s="1209"/>
      <c r="D177" s="1208"/>
      <c r="E177" s="1208"/>
      <c r="F177" s="1208"/>
      <c r="G177" s="1208"/>
      <c r="H177" s="1208"/>
      <c r="I177" s="1208"/>
      <c r="J177" s="1208"/>
      <c r="K177" s="1208"/>
      <c r="L177" s="1208"/>
      <c r="M177" s="1208"/>
      <c r="N177" s="1208"/>
      <c r="O177" s="1208"/>
      <c r="P177" s="1208"/>
      <c r="Q177" s="1208"/>
      <c r="R177" s="1208"/>
      <c r="S177" s="1208"/>
      <c r="T177" s="1208"/>
      <c r="U177" s="1208"/>
      <c r="V177" s="1208"/>
      <c r="W177" s="1208"/>
      <c r="X177" s="1208"/>
      <c r="Y177" s="1208"/>
      <c r="Z177" s="1208"/>
      <c r="AA177" s="1208"/>
      <c r="AB177" s="1208"/>
      <c r="AC177" s="1208"/>
      <c r="AD177" s="1208"/>
      <c r="AE177" s="1208"/>
      <c r="AF177" s="1208"/>
      <c r="AG177" s="1208"/>
      <c r="AH177" s="1208"/>
      <c r="AI177" s="1208"/>
      <c r="AJ177" s="1208"/>
      <c r="AK177" s="1208"/>
      <c r="AL177" s="1208"/>
      <c r="AM177" s="1208"/>
      <c r="AN177" s="1208"/>
      <c r="AO177" s="1208"/>
      <c r="AP177" s="1208"/>
      <c r="AQ177" s="1208"/>
      <c r="AR177" s="1208"/>
      <c r="AS177" s="1208"/>
      <c r="AT177" s="1208"/>
      <c r="AU177" s="1208"/>
      <c r="AV177" s="1208"/>
      <c r="AW177" s="1208"/>
      <c r="AX177" s="1208"/>
      <c r="AY177" s="1208"/>
      <c r="AZ177" s="1208"/>
      <c r="BA177" s="1208"/>
      <c r="BB177" s="1208"/>
      <c r="BC177" s="1208"/>
      <c r="BD177" s="1208"/>
      <c r="BE177" s="1208"/>
      <c r="BF177" s="1208"/>
      <c r="BG177" s="1208"/>
      <c r="BH177" s="1208"/>
      <c r="BI177" s="1208"/>
      <c r="BJ177" s="1208"/>
    </row>
    <row r="178" spans="1:62" s="1210" customFormat="1">
      <c r="A178" s="1212"/>
      <c r="B178" s="1209"/>
      <c r="C178" s="1209"/>
      <c r="D178" s="1208"/>
      <c r="E178" s="1208"/>
      <c r="F178" s="1208"/>
      <c r="G178" s="1208"/>
      <c r="H178" s="1208"/>
      <c r="I178" s="1208"/>
      <c r="J178" s="1208"/>
      <c r="K178" s="1208"/>
      <c r="L178" s="1208"/>
      <c r="M178" s="1208"/>
      <c r="N178" s="1208"/>
      <c r="O178" s="1208"/>
      <c r="P178" s="1208"/>
      <c r="Q178" s="1208"/>
      <c r="R178" s="1208"/>
      <c r="S178" s="1208"/>
      <c r="T178" s="1208"/>
      <c r="U178" s="1208"/>
      <c r="V178" s="1208"/>
      <c r="W178" s="1208"/>
      <c r="X178" s="1208"/>
      <c r="Y178" s="1208"/>
      <c r="Z178" s="1208"/>
      <c r="AA178" s="1208"/>
      <c r="AB178" s="1208"/>
      <c r="AC178" s="1208"/>
      <c r="AD178" s="1208"/>
      <c r="AE178" s="1208"/>
      <c r="AF178" s="1208"/>
      <c r="AG178" s="1208"/>
      <c r="AH178" s="1208"/>
      <c r="AI178" s="1208"/>
      <c r="AJ178" s="1208"/>
      <c r="AK178" s="1208"/>
      <c r="AL178" s="1208"/>
      <c r="AM178" s="1208"/>
      <c r="AN178" s="1208"/>
      <c r="AO178" s="1208"/>
      <c r="AP178" s="1208"/>
      <c r="AQ178" s="1208"/>
      <c r="AR178" s="1208"/>
      <c r="AS178" s="1208"/>
      <c r="AT178" s="1208"/>
      <c r="AU178" s="1208"/>
      <c r="AV178" s="1208"/>
      <c r="AW178" s="1208"/>
      <c r="AX178" s="1208"/>
      <c r="AY178" s="1208"/>
      <c r="AZ178" s="1208"/>
      <c r="BA178" s="1208"/>
      <c r="BB178" s="1208"/>
      <c r="BC178" s="1208"/>
      <c r="BD178" s="1208"/>
      <c r="BE178" s="1208"/>
      <c r="BF178" s="1208"/>
      <c r="BG178" s="1208"/>
      <c r="BH178" s="1208"/>
      <c r="BI178" s="1208"/>
      <c r="BJ178" s="1208"/>
    </row>
    <row r="179" spans="1:62" s="1210" customFormat="1">
      <c r="A179" s="1212"/>
      <c r="B179" s="1209"/>
      <c r="C179" s="1209"/>
      <c r="D179" s="1208"/>
      <c r="E179" s="1208"/>
      <c r="F179" s="1208"/>
      <c r="G179" s="1208"/>
      <c r="H179" s="1208"/>
      <c r="I179" s="1208"/>
      <c r="J179" s="1208"/>
      <c r="K179" s="1208"/>
      <c r="L179" s="1208"/>
      <c r="M179" s="1208"/>
      <c r="N179" s="1208"/>
      <c r="O179" s="1208"/>
      <c r="P179" s="1208"/>
      <c r="Q179" s="1208"/>
      <c r="R179" s="1208"/>
      <c r="S179" s="1208"/>
      <c r="T179" s="1208"/>
      <c r="U179" s="1208"/>
      <c r="V179" s="1208"/>
      <c r="W179" s="1208"/>
      <c r="X179" s="1208"/>
      <c r="Y179" s="1208"/>
      <c r="Z179" s="1208"/>
      <c r="AA179" s="1208"/>
      <c r="AB179" s="1208"/>
      <c r="AC179" s="1208"/>
      <c r="AD179" s="1208"/>
      <c r="AE179" s="1208"/>
      <c r="AF179" s="1208"/>
      <c r="AG179" s="1208"/>
      <c r="AH179" s="1208"/>
      <c r="AI179" s="1208"/>
      <c r="AJ179" s="1208"/>
      <c r="AK179" s="1208"/>
      <c r="AL179" s="1208"/>
      <c r="AM179" s="1208"/>
      <c r="AN179" s="1208"/>
      <c r="AO179" s="1208"/>
      <c r="AP179" s="1208"/>
      <c r="AQ179" s="1208"/>
      <c r="AR179" s="1208"/>
      <c r="AS179" s="1208"/>
      <c r="AT179" s="1208"/>
      <c r="AU179" s="1208"/>
      <c r="AV179" s="1208"/>
      <c r="AW179" s="1208"/>
      <c r="AX179" s="1208"/>
      <c r="AY179" s="1208"/>
      <c r="AZ179" s="1208"/>
      <c r="BA179" s="1208"/>
      <c r="BB179" s="1208"/>
      <c r="BC179" s="1208"/>
      <c r="BD179" s="1208"/>
      <c r="BE179" s="1208"/>
      <c r="BF179" s="1208"/>
      <c r="BG179" s="1208"/>
      <c r="BH179" s="1208"/>
      <c r="BI179" s="1208"/>
      <c r="BJ179" s="1208"/>
    </row>
    <row r="180" spans="1:62" s="1210" customFormat="1">
      <c r="A180" s="1212"/>
      <c r="B180" s="1209"/>
      <c r="C180" s="1209"/>
      <c r="D180" s="1208"/>
      <c r="E180" s="1208"/>
      <c r="F180" s="1208"/>
      <c r="G180" s="1208"/>
      <c r="H180" s="1208"/>
      <c r="I180" s="1208"/>
      <c r="J180" s="1208"/>
      <c r="K180" s="1208"/>
      <c r="L180" s="1208"/>
      <c r="M180" s="1208"/>
      <c r="N180" s="1208"/>
      <c r="O180" s="1208"/>
      <c r="P180" s="1208"/>
      <c r="Q180" s="1208"/>
      <c r="R180" s="1208"/>
      <c r="S180" s="1208"/>
      <c r="T180" s="1208"/>
      <c r="U180" s="1208"/>
      <c r="V180" s="1208"/>
      <c r="W180" s="1208"/>
      <c r="X180" s="1208"/>
      <c r="Y180" s="1208"/>
      <c r="Z180" s="1208"/>
      <c r="AA180" s="1208"/>
      <c r="AB180" s="1208"/>
      <c r="AC180" s="1208"/>
      <c r="AD180" s="1208"/>
      <c r="AE180" s="1208"/>
      <c r="AF180" s="1208"/>
      <c r="AG180" s="1208"/>
      <c r="AH180" s="1208"/>
      <c r="AI180" s="1208"/>
      <c r="AJ180" s="1208"/>
      <c r="AK180" s="1208"/>
      <c r="AL180" s="1208"/>
      <c r="AM180" s="1208"/>
      <c r="AN180" s="1208"/>
      <c r="AO180" s="1208"/>
      <c r="AP180" s="1208"/>
      <c r="AQ180" s="1208"/>
      <c r="AR180" s="1208"/>
      <c r="AS180" s="1208"/>
      <c r="AT180" s="1208"/>
      <c r="AU180" s="1208"/>
      <c r="AV180" s="1208"/>
      <c r="AW180" s="1208"/>
      <c r="AX180" s="1208"/>
      <c r="AY180" s="1208"/>
      <c r="AZ180" s="1208"/>
      <c r="BA180" s="1208"/>
      <c r="BB180" s="1208"/>
      <c r="BC180" s="1208"/>
      <c r="BD180" s="1208"/>
      <c r="BE180" s="1208"/>
      <c r="BF180" s="1208"/>
      <c r="BG180" s="1208"/>
      <c r="BH180" s="1208"/>
      <c r="BI180" s="1208"/>
      <c r="BJ180" s="1208"/>
    </row>
    <row r="181" spans="1:62" s="1210" customFormat="1">
      <c r="A181" s="1212"/>
      <c r="B181" s="1209"/>
      <c r="C181" s="1209"/>
      <c r="D181" s="1208"/>
      <c r="E181" s="1208"/>
      <c r="F181" s="1208"/>
      <c r="G181" s="1208"/>
      <c r="H181" s="1208"/>
      <c r="I181" s="1208"/>
      <c r="J181" s="1208"/>
      <c r="K181" s="1208"/>
      <c r="L181" s="1208"/>
      <c r="M181" s="1208"/>
      <c r="N181" s="1208"/>
      <c r="O181" s="1208"/>
      <c r="P181" s="1208"/>
      <c r="Q181" s="1208"/>
      <c r="R181" s="1208"/>
      <c r="S181" s="1208"/>
      <c r="T181" s="1208"/>
      <c r="U181" s="1208"/>
      <c r="V181" s="1208"/>
      <c r="W181" s="1208"/>
      <c r="X181" s="1208"/>
      <c r="Y181" s="1208"/>
      <c r="Z181" s="1208"/>
      <c r="AA181" s="1208"/>
      <c r="AB181" s="1208"/>
      <c r="AC181" s="1208"/>
      <c r="AD181" s="1208"/>
      <c r="AE181" s="1208"/>
      <c r="AF181" s="1208"/>
      <c r="AG181" s="1208"/>
      <c r="AH181" s="1208"/>
      <c r="AI181" s="1208"/>
      <c r="AJ181" s="1208"/>
      <c r="AK181" s="1208"/>
      <c r="AL181" s="1208"/>
      <c r="AM181" s="1208"/>
      <c r="AN181" s="1208"/>
      <c r="AO181" s="1208"/>
      <c r="AP181" s="1208"/>
      <c r="AQ181" s="1208"/>
      <c r="AR181" s="1208"/>
      <c r="AS181" s="1208"/>
      <c r="AT181" s="1208"/>
      <c r="AU181" s="1208"/>
      <c r="AV181" s="1208"/>
      <c r="AW181" s="1208"/>
      <c r="AX181" s="1208"/>
      <c r="AY181" s="1208"/>
      <c r="AZ181" s="1208"/>
      <c r="BA181" s="1208"/>
      <c r="BB181" s="1208"/>
      <c r="BC181" s="1208"/>
      <c r="BD181" s="1208"/>
      <c r="BE181" s="1208"/>
      <c r="BF181" s="1208"/>
      <c r="BG181" s="1208"/>
      <c r="BH181" s="1208"/>
      <c r="BI181" s="1208"/>
      <c r="BJ181" s="1208"/>
    </row>
    <row r="182" spans="1:62" s="1210" customFormat="1">
      <c r="A182" s="1212"/>
      <c r="B182" s="1209"/>
      <c r="C182" s="1209"/>
      <c r="D182" s="1208"/>
      <c r="E182" s="1208"/>
      <c r="F182" s="1208"/>
      <c r="G182" s="1208"/>
      <c r="H182" s="1208"/>
      <c r="I182" s="1208"/>
      <c r="J182" s="1208"/>
      <c r="K182" s="1208"/>
      <c r="L182" s="1208"/>
      <c r="M182" s="1208"/>
      <c r="N182" s="1208"/>
      <c r="O182" s="1208"/>
      <c r="P182" s="1208"/>
      <c r="Q182" s="1208"/>
      <c r="R182" s="1208"/>
      <c r="S182" s="1208"/>
      <c r="T182" s="1208"/>
      <c r="U182" s="1208"/>
      <c r="V182" s="1208"/>
      <c r="W182" s="1208"/>
      <c r="X182" s="1208"/>
      <c r="Y182" s="1208"/>
      <c r="Z182" s="1208"/>
      <c r="AA182" s="1208"/>
      <c r="AB182" s="1208"/>
      <c r="AC182" s="1208"/>
      <c r="AD182" s="1208"/>
      <c r="AE182" s="1208"/>
      <c r="AF182" s="1208"/>
      <c r="AG182" s="1208"/>
      <c r="AH182" s="1208"/>
      <c r="AI182" s="1208"/>
      <c r="AJ182" s="1208"/>
      <c r="AK182" s="1208"/>
      <c r="AL182" s="1208"/>
      <c r="AM182" s="1208"/>
      <c r="AN182" s="1208"/>
      <c r="AO182" s="1208"/>
      <c r="AP182" s="1208"/>
      <c r="AQ182" s="1208"/>
      <c r="AR182" s="1208"/>
      <c r="AS182" s="1208"/>
      <c r="AT182" s="1208"/>
      <c r="AU182" s="1208"/>
      <c r="AV182" s="1208"/>
      <c r="AW182" s="1208"/>
      <c r="AX182" s="1208"/>
      <c r="AY182" s="1208"/>
      <c r="AZ182" s="1208"/>
      <c r="BA182" s="1208"/>
      <c r="BB182" s="1208"/>
      <c r="BC182" s="1208"/>
      <c r="BD182" s="1208"/>
      <c r="BE182" s="1208"/>
      <c r="BF182" s="1208"/>
      <c r="BG182" s="1208"/>
      <c r="BH182" s="1208"/>
      <c r="BI182" s="1208"/>
      <c r="BJ182" s="1208"/>
    </row>
    <row r="183" spans="1:62" s="1210" customFormat="1">
      <c r="A183" s="1212"/>
      <c r="B183" s="1209"/>
      <c r="C183" s="1209"/>
      <c r="D183" s="1208"/>
      <c r="E183" s="1208"/>
      <c r="F183" s="1208"/>
      <c r="G183" s="1208"/>
      <c r="H183" s="1208"/>
      <c r="I183" s="1208"/>
      <c r="J183" s="1208"/>
      <c r="K183" s="1208"/>
      <c r="L183" s="1208"/>
      <c r="M183" s="1208"/>
      <c r="N183" s="1208"/>
      <c r="O183" s="1208"/>
      <c r="P183" s="1208"/>
      <c r="Q183" s="1208"/>
      <c r="R183" s="1208"/>
      <c r="S183" s="1208"/>
      <c r="T183" s="1208"/>
      <c r="U183" s="1208"/>
      <c r="V183" s="1208"/>
      <c r="W183" s="1208"/>
      <c r="X183" s="1208"/>
      <c r="Y183" s="1208"/>
      <c r="Z183" s="1208"/>
      <c r="AA183" s="1208"/>
      <c r="AB183" s="1208"/>
      <c r="AC183" s="1208"/>
      <c r="AD183" s="1208"/>
      <c r="AE183" s="1208"/>
      <c r="AF183" s="1208"/>
      <c r="AG183" s="1208"/>
      <c r="AH183" s="1208"/>
      <c r="AI183" s="1208"/>
      <c r="AJ183" s="1208"/>
      <c r="AK183" s="1208"/>
      <c r="AL183" s="1208"/>
      <c r="AM183" s="1208"/>
      <c r="AN183" s="1208"/>
      <c r="AO183" s="1208"/>
      <c r="AP183" s="1208"/>
      <c r="AQ183" s="1208"/>
      <c r="AR183" s="1208"/>
      <c r="AS183" s="1208"/>
      <c r="AT183" s="1208"/>
      <c r="AU183" s="1208"/>
      <c r="AV183" s="1208"/>
      <c r="AW183" s="1208"/>
      <c r="AX183" s="1208"/>
      <c r="AY183" s="1208"/>
      <c r="AZ183" s="1208"/>
      <c r="BA183" s="1208"/>
      <c r="BB183" s="1208"/>
      <c r="BC183" s="1208"/>
      <c r="BD183" s="1208"/>
      <c r="BE183" s="1208"/>
      <c r="BF183" s="1208"/>
      <c r="BG183" s="1208"/>
      <c r="BH183" s="1208"/>
      <c r="BI183" s="1208"/>
      <c r="BJ183" s="1208"/>
    </row>
    <row r="184" spans="1:62" s="1210" customFormat="1">
      <c r="A184" s="1212"/>
      <c r="B184" s="1209"/>
      <c r="C184" s="1209"/>
      <c r="D184" s="1208"/>
      <c r="E184" s="1208"/>
      <c r="F184" s="1208"/>
      <c r="G184" s="1208"/>
      <c r="H184" s="1208"/>
      <c r="I184" s="1208"/>
      <c r="J184" s="1208"/>
      <c r="K184" s="1208"/>
      <c r="L184" s="1208"/>
      <c r="M184" s="1208"/>
      <c r="N184" s="1208"/>
      <c r="O184" s="1208"/>
      <c r="P184" s="1208"/>
      <c r="Q184" s="1208"/>
      <c r="R184" s="1208"/>
      <c r="S184" s="1208"/>
      <c r="T184" s="1208"/>
      <c r="U184" s="1208"/>
      <c r="V184" s="1208"/>
      <c r="W184" s="1208"/>
      <c r="X184" s="1208"/>
      <c r="Y184" s="1208"/>
      <c r="Z184" s="1208"/>
      <c r="AA184" s="1208"/>
      <c r="AB184" s="1208"/>
      <c r="AC184" s="1208"/>
      <c r="AD184" s="1208"/>
      <c r="AE184" s="1208"/>
      <c r="AF184" s="1208"/>
      <c r="AG184" s="1208"/>
      <c r="AH184" s="1208"/>
      <c r="AI184" s="1208"/>
      <c r="AJ184" s="1208"/>
      <c r="AK184" s="1208"/>
      <c r="AL184" s="1208"/>
      <c r="AM184" s="1208"/>
      <c r="AN184" s="1208"/>
      <c r="AO184" s="1208"/>
      <c r="AP184" s="1208"/>
      <c r="AQ184" s="1208"/>
      <c r="AR184" s="1208"/>
      <c r="AS184" s="1208"/>
      <c r="AT184" s="1208"/>
      <c r="AU184" s="1208"/>
      <c r="AV184" s="1208"/>
      <c r="AW184" s="1208"/>
      <c r="AX184" s="1208"/>
      <c r="AY184" s="1208"/>
      <c r="AZ184" s="1208"/>
      <c r="BA184" s="1208"/>
      <c r="BB184" s="1208"/>
      <c r="BC184" s="1208"/>
      <c r="BD184" s="1208"/>
      <c r="BE184" s="1208"/>
      <c r="BF184" s="1208"/>
      <c r="BG184" s="1208"/>
      <c r="BH184" s="1208"/>
      <c r="BI184" s="1208"/>
      <c r="BJ184" s="1208"/>
    </row>
    <row r="185" spans="1:62" s="1210" customFormat="1">
      <c r="A185" s="1212"/>
      <c r="B185" s="1209"/>
      <c r="C185" s="1209"/>
      <c r="D185" s="1208"/>
      <c r="E185" s="1208"/>
      <c r="F185" s="1208"/>
      <c r="G185" s="1208"/>
      <c r="H185" s="1208"/>
      <c r="I185" s="1208"/>
      <c r="J185" s="1208"/>
      <c r="K185" s="1208"/>
      <c r="L185" s="1208"/>
      <c r="M185" s="1208"/>
      <c r="N185" s="1208"/>
      <c r="O185" s="1208"/>
      <c r="P185" s="1208"/>
      <c r="Q185" s="1208"/>
      <c r="R185" s="1208"/>
      <c r="S185" s="1208"/>
      <c r="T185" s="1208"/>
      <c r="U185" s="1208"/>
      <c r="V185" s="1208"/>
      <c r="W185" s="1208"/>
      <c r="X185" s="1208"/>
      <c r="Y185" s="1208"/>
      <c r="Z185" s="1208"/>
      <c r="AA185" s="1208"/>
      <c r="AB185" s="1208"/>
      <c r="AC185" s="1208"/>
      <c r="AD185" s="1208"/>
      <c r="AE185" s="1208"/>
      <c r="AF185" s="1208"/>
      <c r="AG185" s="1208"/>
      <c r="AH185" s="1208"/>
      <c r="AI185" s="1208"/>
      <c r="AJ185" s="1208"/>
      <c r="AK185" s="1208"/>
      <c r="AL185" s="1208"/>
      <c r="AM185" s="1208"/>
      <c r="AN185" s="1208"/>
      <c r="AO185" s="1208"/>
      <c r="AP185" s="1208"/>
      <c r="AQ185" s="1208"/>
      <c r="AR185" s="1208"/>
      <c r="AS185" s="1208"/>
      <c r="AT185" s="1208"/>
      <c r="AU185" s="1208"/>
      <c r="AV185" s="1208"/>
      <c r="AW185" s="1208"/>
      <c r="AX185" s="1208"/>
      <c r="AY185" s="1208"/>
      <c r="AZ185" s="1208"/>
      <c r="BA185" s="1208"/>
      <c r="BB185" s="1208"/>
      <c r="BC185" s="1208"/>
      <c r="BD185" s="1208"/>
      <c r="BE185" s="1208"/>
      <c r="BF185" s="1208"/>
      <c r="BG185" s="1208"/>
      <c r="BH185" s="1208"/>
      <c r="BI185" s="1208"/>
      <c r="BJ185" s="1208"/>
    </row>
    <row r="186" spans="1:62" s="1210" customFormat="1">
      <c r="A186" s="1212"/>
      <c r="B186" s="1209"/>
      <c r="C186" s="1209"/>
      <c r="D186" s="1208"/>
      <c r="E186" s="1208"/>
      <c r="F186" s="1208"/>
      <c r="G186" s="1208"/>
      <c r="H186" s="1208"/>
      <c r="I186" s="1208"/>
      <c r="J186" s="1208"/>
      <c r="K186" s="1208"/>
      <c r="L186" s="1208"/>
      <c r="M186" s="1208"/>
      <c r="N186" s="1208"/>
      <c r="O186" s="1208"/>
      <c r="P186" s="1208"/>
      <c r="Q186" s="1208"/>
      <c r="R186" s="1208"/>
      <c r="S186" s="1208"/>
      <c r="T186" s="1208"/>
      <c r="U186" s="1208"/>
      <c r="V186" s="1208"/>
      <c r="W186" s="1208"/>
      <c r="X186" s="1208"/>
      <c r="Y186" s="1208"/>
      <c r="Z186" s="1208"/>
      <c r="AA186" s="1208"/>
      <c r="AB186" s="1208"/>
      <c r="AC186" s="1208"/>
      <c r="AD186" s="1208"/>
      <c r="AE186" s="1208"/>
      <c r="AF186" s="1208"/>
      <c r="AG186" s="1208"/>
      <c r="AH186" s="1208"/>
      <c r="AI186" s="1208"/>
      <c r="AJ186" s="1208"/>
      <c r="AK186" s="1208"/>
      <c r="AL186" s="1208"/>
      <c r="AM186" s="1208"/>
      <c r="AN186" s="1208"/>
      <c r="AO186" s="1208"/>
      <c r="AP186" s="1208"/>
      <c r="AQ186" s="1208"/>
      <c r="AR186" s="1208"/>
      <c r="AS186" s="1208"/>
      <c r="AT186" s="1208"/>
      <c r="AU186" s="1208"/>
      <c r="AV186" s="1208"/>
      <c r="AW186" s="1208"/>
      <c r="AX186" s="1208"/>
      <c r="AY186" s="1208"/>
      <c r="AZ186" s="1208"/>
      <c r="BA186" s="1208"/>
      <c r="BB186" s="1208"/>
      <c r="BC186" s="1208"/>
      <c r="BD186" s="1208"/>
      <c r="BE186" s="1208"/>
      <c r="BF186" s="1208"/>
      <c r="BG186" s="1208"/>
      <c r="BH186" s="1208"/>
      <c r="BI186" s="1208"/>
      <c r="BJ186" s="1208"/>
    </row>
    <row r="187" spans="1:62" s="1210" customFormat="1">
      <c r="A187" s="1212"/>
      <c r="B187" s="1209"/>
      <c r="C187" s="1209"/>
      <c r="D187" s="1208"/>
      <c r="E187" s="1208"/>
      <c r="F187" s="1208"/>
      <c r="G187" s="1208"/>
      <c r="H187" s="1208"/>
      <c r="I187" s="1208"/>
      <c r="J187" s="1208"/>
      <c r="K187" s="1208"/>
      <c r="L187" s="1208"/>
      <c r="M187" s="1208"/>
      <c r="N187" s="1208"/>
      <c r="O187" s="1208"/>
      <c r="P187" s="1208"/>
      <c r="Q187" s="1208"/>
      <c r="R187" s="1208"/>
      <c r="S187" s="1208"/>
      <c r="T187" s="1208"/>
      <c r="U187" s="1208"/>
      <c r="V187" s="1208"/>
      <c r="W187" s="1208"/>
      <c r="X187" s="1208"/>
      <c r="Y187" s="1208"/>
      <c r="Z187" s="1208"/>
      <c r="AA187" s="1208"/>
      <c r="AB187" s="1208"/>
      <c r="AC187" s="1208"/>
      <c r="AD187" s="1208"/>
      <c r="AE187" s="1208"/>
      <c r="AF187" s="1208"/>
      <c r="AG187" s="1208"/>
      <c r="AH187" s="1208"/>
      <c r="AI187" s="1208"/>
      <c r="AJ187" s="1208"/>
      <c r="AK187" s="1208"/>
      <c r="AL187" s="1208"/>
      <c r="AM187" s="1208"/>
      <c r="AN187" s="1208"/>
      <c r="AO187" s="1208"/>
      <c r="AP187" s="1208"/>
      <c r="AQ187" s="1208"/>
      <c r="AR187" s="1208"/>
      <c r="AS187" s="1208"/>
      <c r="AT187" s="1208"/>
      <c r="AU187" s="1208"/>
      <c r="AV187" s="1208"/>
      <c r="AW187" s="1208"/>
      <c r="AX187" s="1208"/>
      <c r="AY187" s="1208"/>
      <c r="AZ187" s="1208"/>
      <c r="BA187" s="1208"/>
      <c r="BB187" s="1208"/>
      <c r="BC187" s="1208"/>
      <c r="BD187" s="1208"/>
      <c r="BE187" s="1208"/>
      <c r="BF187" s="1208"/>
      <c r="BG187" s="1208"/>
      <c r="BH187" s="1208"/>
      <c r="BI187" s="1208"/>
      <c r="BJ187" s="1208"/>
    </row>
    <row r="188" spans="1:62" s="1210" customFormat="1">
      <c r="A188" s="1212"/>
      <c r="B188" s="1209"/>
      <c r="C188" s="1209"/>
      <c r="D188" s="1208"/>
      <c r="E188" s="1208"/>
      <c r="F188" s="1208"/>
      <c r="G188" s="1208"/>
      <c r="H188" s="1208"/>
      <c r="I188" s="1208"/>
      <c r="J188" s="1208"/>
      <c r="K188" s="1208"/>
      <c r="L188" s="1208"/>
      <c r="M188" s="1208"/>
      <c r="N188" s="1208"/>
      <c r="O188" s="1208"/>
      <c r="P188" s="1208"/>
      <c r="Q188" s="1208"/>
      <c r="R188" s="1208"/>
      <c r="S188" s="1208"/>
      <c r="T188" s="1208"/>
      <c r="U188" s="1208"/>
      <c r="V188" s="1208"/>
      <c r="W188" s="1208"/>
      <c r="X188" s="1208"/>
      <c r="Y188" s="1208"/>
      <c r="Z188" s="1208"/>
      <c r="AA188" s="1208"/>
      <c r="AB188" s="1208"/>
      <c r="AC188" s="1208"/>
      <c r="AD188" s="1208"/>
      <c r="AE188" s="1208"/>
      <c r="AF188" s="1208"/>
      <c r="AG188" s="1208"/>
      <c r="AH188" s="1208"/>
      <c r="AI188" s="1208"/>
      <c r="AJ188" s="1208"/>
      <c r="AK188" s="1208"/>
      <c r="AL188" s="1208"/>
      <c r="AM188" s="1208"/>
      <c r="AN188" s="1208"/>
      <c r="AO188" s="1208"/>
      <c r="AP188" s="1208"/>
      <c r="AQ188" s="1208"/>
      <c r="AR188" s="1208"/>
      <c r="AS188" s="1208"/>
      <c r="AT188" s="1208"/>
      <c r="AU188" s="1208"/>
      <c r="AV188" s="1208"/>
      <c r="AW188" s="1208"/>
      <c r="AX188" s="1208"/>
      <c r="AY188" s="1208"/>
      <c r="AZ188" s="1208"/>
      <c r="BA188" s="1208"/>
      <c r="BB188" s="1208"/>
      <c r="BC188" s="1208"/>
      <c r="BD188" s="1208"/>
      <c r="BE188" s="1208"/>
      <c r="BF188" s="1208"/>
      <c r="BG188" s="1208"/>
      <c r="BH188" s="1208"/>
      <c r="BI188" s="1208"/>
      <c r="BJ188" s="1208"/>
    </row>
    <row r="189" spans="1:62" s="1210" customFormat="1">
      <c r="A189" s="1212"/>
      <c r="B189" s="1209"/>
      <c r="C189" s="1209"/>
      <c r="D189" s="1208"/>
      <c r="E189" s="1208"/>
      <c r="F189" s="1208"/>
      <c r="G189" s="1208"/>
      <c r="H189" s="1208"/>
      <c r="I189" s="1208"/>
      <c r="J189" s="1208"/>
      <c r="K189" s="1208"/>
      <c r="L189" s="1208"/>
      <c r="M189" s="1208"/>
      <c r="N189" s="1208"/>
      <c r="O189" s="1208"/>
      <c r="P189" s="1208"/>
      <c r="Q189" s="1208"/>
      <c r="R189" s="1208"/>
      <c r="S189" s="1208"/>
      <c r="T189" s="1208"/>
      <c r="U189" s="1208"/>
      <c r="V189" s="1208"/>
      <c r="W189" s="1208"/>
      <c r="X189" s="1208"/>
      <c r="Y189" s="1208"/>
      <c r="Z189" s="1208"/>
      <c r="AA189" s="1208"/>
      <c r="AB189" s="1208"/>
      <c r="AC189" s="1208"/>
      <c r="AD189" s="1208"/>
      <c r="AE189" s="1208"/>
      <c r="AF189" s="1208"/>
      <c r="AG189" s="1208"/>
      <c r="AH189" s="1208"/>
      <c r="AI189" s="1208"/>
      <c r="AJ189" s="1208"/>
      <c r="AK189" s="1208"/>
      <c r="AL189" s="1208"/>
      <c r="AM189" s="1208"/>
      <c r="AN189" s="1208"/>
      <c r="AO189" s="1208"/>
      <c r="AP189" s="1208"/>
      <c r="AQ189" s="1208"/>
      <c r="AR189" s="1208"/>
      <c r="AS189" s="1208"/>
      <c r="AT189" s="1208"/>
      <c r="AU189" s="1208"/>
      <c r="AV189" s="1208"/>
      <c r="AW189" s="1208"/>
      <c r="AX189" s="1208"/>
      <c r="AY189" s="1208"/>
      <c r="AZ189" s="1208"/>
      <c r="BA189" s="1208"/>
      <c r="BB189" s="1208"/>
      <c r="BC189" s="1208"/>
      <c r="BD189" s="1208"/>
      <c r="BE189" s="1208"/>
      <c r="BF189" s="1208"/>
      <c r="BG189" s="1208"/>
      <c r="BH189" s="1208"/>
      <c r="BI189" s="1208"/>
      <c r="BJ189" s="1208"/>
    </row>
    <row r="190" spans="1:62" s="1210" customFormat="1">
      <c r="A190" s="1212"/>
      <c r="B190" s="1209"/>
      <c r="C190" s="1209"/>
      <c r="D190" s="1208"/>
      <c r="E190" s="1208"/>
      <c r="F190" s="1208"/>
      <c r="G190" s="1208"/>
      <c r="H190" s="1208"/>
      <c r="I190" s="1208"/>
      <c r="J190" s="1208"/>
      <c r="K190" s="1208"/>
      <c r="L190" s="1208"/>
      <c r="M190" s="1208"/>
      <c r="N190" s="1208"/>
      <c r="O190" s="1208"/>
      <c r="P190" s="1208"/>
      <c r="Q190" s="1208"/>
      <c r="R190" s="1208"/>
      <c r="S190" s="1208"/>
      <c r="T190" s="1208"/>
      <c r="U190" s="1208"/>
      <c r="V190" s="1208"/>
      <c r="W190" s="1208"/>
      <c r="X190" s="1208"/>
      <c r="Y190" s="1208"/>
      <c r="Z190" s="1208"/>
      <c r="AA190" s="1208"/>
      <c r="AB190" s="1208"/>
      <c r="AC190" s="1208"/>
      <c r="AD190" s="1208"/>
      <c r="AE190" s="1208"/>
      <c r="AF190" s="1208"/>
      <c r="AG190" s="1208"/>
      <c r="AH190" s="1208"/>
      <c r="AI190" s="1208"/>
      <c r="AJ190" s="1208"/>
      <c r="AK190" s="1208"/>
      <c r="AL190" s="1208"/>
      <c r="AM190" s="1208"/>
      <c r="AN190" s="1208"/>
      <c r="AO190" s="1208"/>
      <c r="AP190" s="1208"/>
      <c r="AQ190" s="1208"/>
      <c r="AR190" s="1208"/>
      <c r="AS190" s="1208"/>
      <c r="AT190" s="1208"/>
      <c r="AU190" s="1208"/>
      <c r="AV190" s="1208"/>
      <c r="AW190" s="1208"/>
      <c r="AX190" s="1208"/>
      <c r="AY190" s="1208"/>
      <c r="AZ190" s="1208"/>
      <c r="BA190" s="1208"/>
      <c r="BB190" s="1208"/>
      <c r="BC190" s="1208"/>
      <c r="BD190" s="1208"/>
      <c r="BE190" s="1208"/>
      <c r="BF190" s="1208"/>
      <c r="BG190" s="1208"/>
      <c r="BH190" s="1208"/>
      <c r="BI190" s="1208"/>
      <c r="BJ190" s="1208"/>
    </row>
    <row r="191" spans="1:62" s="1210" customFormat="1">
      <c r="A191" s="1212"/>
      <c r="B191" s="1209"/>
      <c r="C191" s="1209"/>
      <c r="D191" s="1208"/>
      <c r="E191" s="1208"/>
      <c r="F191" s="1208"/>
      <c r="G191" s="1208"/>
      <c r="H191" s="1208"/>
      <c r="I191" s="1208"/>
      <c r="J191" s="1208"/>
      <c r="K191" s="1208"/>
      <c r="L191" s="1208"/>
      <c r="M191" s="1208"/>
      <c r="N191" s="1208"/>
      <c r="O191" s="1208"/>
      <c r="P191" s="1208"/>
      <c r="Q191" s="1208"/>
      <c r="R191" s="1208"/>
      <c r="S191" s="1208"/>
      <c r="T191" s="1208"/>
      <c r="U191" s="1208"/>
      <c r="V191" s="1208"/>
      <c r="W191" s="1208"/>
      <c r="X191" s="1208"/>
      <c r="Y191" s="1208"/>
      <c r="Z191" s="1208"/>
      <c r="AA191" s="1208"/>
      <c r="AB191" s="1208"/>
      <c r="AC191" s="1208"/>
      <c r="AD191" s="1208"/>
      <c r="AE191" s="1208"/>
      <c r="AF191" s="1208"/>
      <c r="AG191" s="1208"/>
      <c r="AH191" s="1208"/>
      <c r="AI191" s="1208"/>
      <c r="AJ191" s="1208"/>
      <c r="AK191" s="1208"/>
      <c r="AL191" s="1208"/>
      <c r="AM191" s="1208"/>
      <c r="AN191" s="1208"/>
      <c r="AO191" s="1208"/>
      <c r="AP191" s="1208"/>
      <c r="AQ191" s="1208"/>
      <c r="AR191" s="1208"/>
      <c r="AS191" s="1208"/>
      <c r="AT191" s="1208"/>
      <c r="AU191" s="1208"/>
      <c r="AV191" s="1208"/>
      <c r="AW191" s="1208"/>
      <c r="AX191" s="1208"/>
      <c r="AY191" s="1208"/>
      <c r="AZ191" s="1208"/>
      <c r="BA191" s="1208"/>
      <c r="BB191" s="1208"/>
      <c r="BC191" s="1208"/>
      <c r="BD191" s="1208"/>
      <c r="BE191" s="1208"/>
      <c r="BF191" s="1208"/>
      <c r="BG191" s="1208"/>
      <c r="BH191" s="1208"/>
      <c r="BI191" s="1208"/>
      <c r="BJ191" s="1208"/>
    </row>
    <row r="192" spans="1:62" s="1210" customFormat="1">
      <c r="A192" s="1212"/>
      <c r="B192" s="1209"/>
      <c r="C192" s="1209"/>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208"/>
      <c r="AI192" s="1208"/>
      <c r="AJ192" s="1208"/>
      <c r="AK192" s="1208"/>
      <c r="AL192" s="1208"/>
      <c r="AM192" s="1208"/>
      <c r="AN192" s="1208"/>
      <c r="AO192" s="1208"/>
      <c r="AP192" s="1208"/>
      <c r="AQ192" s="1208"/>
      <c r="AR192" s="1208"/>
      <c r="AS192" s="1208"/>
      <c r="AT192" s="1208"/>
      <c r="AU192" s="1208"/>
      <c r="AV192" s="1208"/>
      <c r="AW192" s="1208"/>
      <c r="AX192" s="1208"/>
      <c r="AY192" s="1208"/>
      <c r="AZ192" s="1208"/>
      <c r="BA192" s="1208"/>
      <c r="BB192" s="1208"/>
      <c r="BC192" s="1208"/>
      <c r="BD192" s="1208"/>
      <c r="BE192" s="1208"/>
      <c r="BF192" s="1208"/>
      <c r="BG192" s="1208"/>
      <c r="BH192" s="1208"/>
      <c r="BI192" s="1208"/>
      <c r="BJ192" s="1208"/>
    </row>
    <row r="193" spans="1:62" s="1210" customFormat="1">
      <c r="A193" s="1212"/>
      <c r="B193" s="1209"/>
      <c r="C193" s="1209"/>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08"/>
      <c r="BF193" s="1208"/>
      <c r="BG193" s="1208"/>
      <c r="BH193" s="1208"/>
      <c r="BI193" s="1208"/>
      <c r="BJ193" s="1208"/>
    </row>
    <row r="194" spans="1:62" s="1210" customFormat="1">
      <c r="A194" s="1212"/>
      <c r="B194" s="1209"/>
      <c r="C194" s="1209"/>
      <c r="D194" s="1208"/>
      <c r="E194" s="1208"/>
      <c r="F194" s="1208"/>
      <c r="G194" s="1208"/>
      <c r="H194" s="1208"/>
      <c r="I194" s="1208"/>
      <c r="J194" s="1208"/>
      <c r="K194" s="1208"/>
      <c r="L194" s="1208"/>
      <c r="M194" s="1208"/>
      <c r="N194" s="1208"/>
      <c r="O194" s="1208"/>
      <c r="P194" s="1208"/>
      <c r="Q194" s="1208"/>
      <c r="R194" s="1208"/>
      <c r="S194" s="1208"/>
      <c r="T194" s="1208"/>
      <c r="U194" s="1208"/>
      <c r="V194" s="1208"/>
      <c r="W194" s="1208"/>
      <c r="X194" s="1208"/>
      <c r="Y194" s="1208"/>
      <c r="Z194" s="1208"/>
      <c r="AA194" s="1208"/>
      <c r="AB194" s="1208"/>
      <c r="AC194" s="1208"/>
      <c r="AD194" s="1208"/>
      <c r="AE194" s="120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08"/>
      <c r="BF194" s="1208"/>
      <c r="BG194" s="1208"/>
      <c r="BH194" s="1208"/>
      <c r="BI194" s="1208"/>
      <c r="BJ194" s="1208"/>
    </row>
    <row r="195" spans="1:62" s="1210" customFormat="1">
      <c r="A195" s="1212"/>
      <c r="B195" s="1209"/>
      <c r="C195" s="1209"/>
      <c r="D195" s="1208"/>
      <c r="E195" s="1208"/>
      <c r="F195" s="1208"/>
      <c r="G195" s="1208"/>
      <c r="H195" s="1208"/>
      <c r="I195" s="1208"/>
      <c r="J195" s="1208"/>
      <c r="K195" s="1208"/>
      <c r="L195" s="1208"/>
      <c r="M195" s="1208"/>
      <c r="N195" s="1208"/>
      <c r="O195" s="1208"/>
      <c r="P195" s="1208"/>
      <c r="Q195" s="1208"/>
      <c r="R195" s="1208"/>
      <c r="S195" s="1208"/>
      <c r="T195" s="1208"/>
      <c r="U195" s="1208"/>
      <c r="V195" s="1208"/>
      <c r="W195" s="1208"/>
      <c r="X195" s="1208"/>
      <c r="Y195" s="1208"/>
      <c r="Z195" s="1208"/>
      <c r="AA195" s="1208"/>
      <c r="AB195" s="1208"/>
      <c r="AC195" s="1208"/>
      <c r="AD195" s="1208"/>
      <c r="AE195" s="1208"/>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08"/>
      <c r="BF195" s="1208"/>
      <c r="BG195" s="1208"/>
      <c r="BH195" s="1208"/>
      <c r="BI195" s="1208"/>
      <c r="BJ195" s="1208"/>
    </row>
    <row r="196" spans="1:62" s="1210" customFormat="1">
      <c r="A196" s="1212"/>
      <c r="B196" s="1209"/>
      <c r="C196" s="1209"/>
      <c r="D196" s="1208"/>
      <c r="E196" s="1208"/>
      <c r="F196" s="1208"/>
      <c r="G196" s="1208"/>
      <c r="H196" s="1208"/>
      <c r="I196" s="1208"/>
      <c r="J196" s="1208"/>
      <c r="K196" s="1208"/>
      <c r="L196" s="1208"/>
      <c r="M196" s="1208"/>
      <c r="N196" s="1208"/>
      <c r="O196" s="1208"/>
      <c r="P196" s="1208"/>
      <c r="Q196" s="1208"/>
      <c r="R196" s="1208"/>
      <c r="S196" s="1208"/>
      <c r="T196" s="1208"/>
      <c r="U196" s="1208"/>
      <c r="V196" s="1208"/>
      <c r="W196" s="1208"/>
      <c r="X196" s="1208"/>
      <c r="Y196" s="1208"/>
      <c r="Z196" s="1208"/>
      <c r="AA196" s="1208"/>
      <c r="AB196" s="1208"/>
      <c r="AC196" s="1208"/>
      <c r="AD196" s="1208"/>
      <c r="AE196" s="120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08"/>
      <c r="BF196" s="1208"/>
      <c r="BG196" s="1208"/>
      <c r="BH196" s="1208"/>
      <c r="BI196" s="1208"/>
      <c r="BJ196" s="1208"/>
    </row>
    <row r="197" spans="1:62" s="1210" customFormat="1">
      <c r="A197" s="1212"/>
      <c r="B197" s="1209"/>
      <c r="C197" s="1209"/>
      <c r="D197" s="1208"/>
      <c r="E197" s="1208"/>
      <c r="F197" s="1208"/>
      <c r="G197" s="1208"/>
      <c r="H197" s="1208"/>
      <c r="I197" s="1208"/>
      <c r="J197" s="1208"/>
      <c r="K197" s="1208"/>
      <c r="L197" s="1208"/>
      <c r="M197" s="1208"/>
      <c r="N197" s="1208"/>
      <c r="O197" s="1208"/>
      <c r="P197" s="1208"/>
      <c r="Q197" s="1208"/>
      <c r="R197" s="1208"/>
      <c r="S197" s="1208"/>
      <c r="T197" s="1208"/>
      <c r="U197" s="1208"/>
      <c r="V197" s="1208"/>
      <c r="W197" s="1208"/>
      <c r="X197" s="1208"/>
      <c r="Y197" s="1208"/>
      <c r="Z197" s="1208"/>
      <c r="AA197" s="1208"/>
      <c r="AB197" s="1208"/>
      <c r="AC197" s="1208"/>
      <c r="AD197" s="1208"/>
      <c r="AE197" s="120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08"/>
      <c r="BF197" s="1208"/>
      <c r="BG197" s="1208"/>
      <c r="BH197" s="1208"/>
      <c r="BI197" s="1208"/>
      <c r="BJ197" s="1208"/>
    </row>
    <row r="198" spans="1:62" s="1210" customFormat="1">
      <c r="A198" s="1212"/>
      <c r="B198" s="1209"/>
      <c r="C198" s="1209"/>
      <c r="D198" s="1208"/>
      <c r="E198" s="1208"/>
      <c r="F198" s="1208"/>
      <c r="G198" s="1208"/>
      <c r="H198" s="1208"/>
      <c r="I198" s="1208"/>
      <c r="J198" s="1208"/>
      <c r="K198" s="1208"/>
      <c r="L198" s="1208"/>
      <c r="M198" s="1208"/>
      <c r="N198" s="1208"/>
      <c r="O198" s="1208"/>
      <c r="P198" s="1208"/>
      <c r="Q198" s="1208"/>
      <c r="R198" s="1208"/>
      <c r="S198" s="1208"/>
      <c r="T198" s="1208"/>
      <c r="U198" s="1208"/>
      <c r="V198" s="1208"/>
      <c r="W198" s="1208"/>
      <c r="X198" s="1208"/>
      <c r="Y198" s="1208"/>
      <c r="Z198" s="1208"/>
      <c r="AA198" s="1208"/>
      <c r="AB198" s="1208"/>
      <c r="AC198" s="1208"/>
      <c r="AD198" s="1208"/>
      <c r="AE198" s="120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08"/>
      <c r="BF198" s="1208"/>
      <c r="BG198" s="1208"/>
      <c r="BH198" s="1208"/>
      <c r="BI198" s="1208"/>
      <c r="BJ198" s="1208"/>
    </row>
    <row r="199" spans="1:62" s="1210" customFormat="1">
      <c r="A199" s="1212"/>
      <c r="B199" s="1209"/>
      <c r="C199" s="1209"/>
      <c r="D199" s="1208"/>
      <c r="E199" s="1208"/>
      <c r="F199" s="1208"/>
      <c r="G199" s="1208"/>
      <c r="H199" s="1208"/>
      <c r="I199" s="1208"/>
      <c r="J199" s="1208"/>
      <c r="K199" s="1208"/>
      <c r="L199" s="1208"/>
      <c r="M199" s="1208"/>
      <c r="N199" s="1208"/>
      <c r="O199" s="1208"/>
      <c r="P199" s="1208"/>
      <c r="Q199" s="1208"/>
      <c r="R199" s="1208"/>
      <c r="S199" s="1208"/>
      <c r="T199" s="1208"/>
      <c r="U199" s="1208"/>
      <c r="V199" s="1208"/>
      <c r="W199" s="1208"/>
      <c r="X199" s="1208"/>
      <c r="Y199" s="1208"/>
      <c r="Z199" s="1208"/>
      <c r="AA199" s="1208"/>
      <c r="AB199" s="1208"/>
      <c r="AC199" s="1208"/>
      <c r="AD199" s="1208"/>
      <c r="AE199" s="120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08"/>
      <c r="BF199" s="1208"/>
      <c r="BG199" s="1208"/>
      <c r="BH199" s="1208"/>
      <c r="BI199" s="1208"/>
      <c r="BJ199" s="1208"/>
    </row>
    <row r="200" spans="1:62" s="1210" customFormat="1">
      <c r="A200" s="1212"/>
      <c r="B200" s="1209"/>
      <c r="C200" s="1209"/>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08"/>
      <c r="BF200" s="1208"/>
      <c r="BG200" s="1208"/>
      <c r="BH200" s="1208"/>
      <c r="BI200" s="1208"/>
      <c r="BJ200" s="1208"/>
    </row>
    <row r="201" spans="1:62" s="1210" customFormat="1">
      <c r="A201" s="1212"/>
      <c r="B201" s="1209"/>
      <c r="C201" s="1209"/>
      <c r="D201" s="1208"/>
      <c r="E201" s="1208"/>
      <c r="F201" s="1208"/>
      <c r="G201" s="1208"/>
      <c r="H201" s="1208"/>
      <c r="I201" s="1208"/>
      <c r="J201" s="1208"/>
      <c r="K201" s="1208"/>
      <c r="L201" s="1208"/>
      <c r="M201" s="1208"/>
      <c r="N201" s="1208"/>
      <c r="O201" s="1208"/>
      <c r="P201" s="1208"/>
      <c r="Q201" s="1208"/>
      <c r="R201" s="1208"/>
      <c r="S201" s="1208"/>
      <c r="T201" s="1208"/>
      <c r="U201" s="1208"/>
      <c r="V201" s="1208"/>
      <c r="W201" s="1208"/>
      <c r="X201" s="1208"/>
      <c r="Y201" s="1208"/>
      <c r="Z201" s="1208"/>
      <c r="AA201" s="1208"/>
      <c r="AB201" s="1208"/>
      <c r="AC201" s="1208"/>
      <c r="AD201" s="1208"/>
      <c r="AE201" s="1208"/>
      <c r="AF201" s="1208"/>
      <c r="AG201" s="1208"/>
      <c r="AH201" s="1208"/>
      <c r="AI201" s="1208"/>
      <c r="AJ201" s="1208"/>
      <c r="AK201" s="120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08"/>
      <c r="BF201" s="1208"/>
      <c r="BG201" s="1208"/>
      <c r="BH201" s="1208"/>
      <c r="BI201" s="1208"/>
      <c r="BJ201" s="1208"/>
    </row>
    <row r="202" spans="1:62" s="1210" customFormat="1">
      <c r="A202" s="1212"/>
      <c r="B202" s="1209"/>
      <c r="C202" s="1209"/>
      <c r="D202" s="1208"/>
      <c r="E202" s="1208"/>
      <c r="F202" s="1208"/>
      <c r="G202" s="1208"/>
      <c r="H202" s="1208"/>
      <c r="I202" s="1208"/>
      <c r="J202" s="1208"/>
      <c r="K202" s="1208"/>
      <c r="L202" s="1208"/>
      <c r="M202" s="1208"/>
      <c r="N202" s="1208"/>
      <c r="O202" s="1208"/>
      <c r="P202" s="1208"/>
      <c r="Q202" s="1208"/>
      <c r="R202" s="1208"/>
      <c r="S202" s="1208"/>
      <c r="T202" s="1208"/>
      <c r="U202" s="1208"/>
      <c r="V202" s="1208"/>
      <c r="W202" s="1208"/>
      <c r="X202" s="1208"/>
      <c r="Y202" s="1208"/>
      <c r="Z202" s="1208"/>
      <c r="AA202" s="1208"/>
      <c r="AB202" s="1208"/>
      <c r="AC202" s="1208"/>
      <c r="AD202" s="1208"/>
      <c r="AE202" s="1208"/>
      <c r="AF202" s="1208"/>
      <c r="AG202" s="1208"/>
      <c r="AH202" s="1208"/>
      <c r="AI202" s="1208"/>
      <c r="AJ202" s="1208"/>
      <c r="AK202" s="120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08"/>
      <c r="BF202" s="1208"/>
      <c r="BG202" s="1208"/>
      <c r="BH202" s="1208"/>
      <c r="BI202" s="1208"/>
      <c r="BJ202" s="1208"/>
    </row>
    <row r="203" spans="1:62" s="1210" customFormat="1">
      <c r="A203" s="1212"/>
      <c r="B203" s="1209"/>
      <c r="C203" s="1209"/>
      <c r="D203" s="1208"/>
      <c r="E203" s="1208"/>
      <c r="F203" s="1208"/>
      <c r="G203" s="1208"/>
      <c r="H203" s="1208"/>
      <c r="I203" s="1208"/>
      <c r="J203" s="1208"/>
      <c r="K203" s="1208"/>
      <c r="L203" s="1208"/>
      <c r="M203" s="1208"/>
      <c r="N203" s="1208"/>
      <c r="O203" s="1208"/>
      <c r="P203" s="1208"/>
      <c r="Q203" s="1208"/>
      <c r="R203" s="1208"/>
      <c r="S203" s="1208"/>
      <c r="T203" s="1208"/>
      <c r="U203" s="1208"/>
      <c r="V203" s="1208"/>
      <c r="W203" s="1208"/>
      <c r="X203" s="1208"/>
      <c r="Y203" s="1208"/>
      <c r="Z203" s="1208"/>
      <c r="AA203" s="1208"/>
      <c r="AB203" s="1208"/>
      <c r="AC203" s="1208"/>
      <c r="AD203" s="1208"/>
      <c r="AE203" s="1208"/>
      <c r="AF203" s="1208"/>
      <c r="AG203" s="1208"/>
      <c r="AH203" s="1208"/>
      <c r="AI203" s="1208"/>
      <c r="AJ203" s="1208"/>
      <c r="AK203" s="120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08"/>
      <c r="BF203" s="1208"/>
      <c r="BG203" s="1208"/>
      <c r="BH203" s="1208"/>
      <c r="BI203" s="1208"/>
      <c r="BJ203" s="1208"/>
    </row>
    <row r="204" spans="1:62" s="1210" customFormat="1">
      <c r="A204" s="1212"/>
      <c r="B204" s="1209"/>
      <c r="C204" s="1209"/>
      <c r="D204" s="1208"/>
      <c r="E204" s="1208"/>
      <c r="F204" s="1208"/>
      <c r="G204" s="1208"/>
      <c r="H204" s="1208"/>
      <c r="I204" s="1208"/>
      <c r="J204" s="1208"/>
      <c r="K204" s="1208"/>
      <c r="L204" s="1208"/>
      <c r="M204" s="1208"/>
      <c r="N204" s="1208"/>
      <c r="O204" s="1208"/>
      <c r="P204" s="1208"/>
      <c r="Q204" s="1208"/>
      <c r="R204" s="1208"/>
      <c r="S204" s="1208"/>
      <c r="T204" s="1208"/>
      <c r="U204" s="1208"/>
      <c r="V204" s="1208"/>
      <c r="W204" s="1208"/>
      <c r="X204" s="1208"/>
      <c r="Y204" s="1208"/>
      <c r="Z204" s="1208"/>
      <c r="AA204" s="1208"/>
      <c r="AB204" s="1208"/>
      <c r="AC204" s="1208"/>
      <c r="AD204" s="1208"/>
      <c r="AE204" s="1208"/>
      <c r="AF204" s="1208"/>
      <c r="AG204" s="1208"/>
      <c r="AH204" s="1208"/>
      <c r="AI204" s="1208"/>
      <c r="AJ204" s="1208"/>
      <c r="AK204" s="120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08"/>
      <c r="BF204" s="1208"/>
      <c r="BG204" s="1208"/>
      <c r="BH204" s="1208"/>
      <c r="BI204" s="1208"/>
      <c r="BJ204" s="1208"/>
    </row>
    <row r="205" spans="1:62" s="1210" customFormat="1">
      <c r="A205" s="1212"/>
      <c r="B205" s="1209"/>
      <c r="C205" s="1209"/>
      <c r="D205" s="1208"/>
      <c r="E205" s="1208"/>
      <c r="F205" s="1208"/>
      <c r="G205" s="1208"/>
      <c r="H205" s="1208"/>
      <c r="I205" s="1208"/>
      <c r="J205" s="1208"/>
      <c r="K205" s="1208"/>
      <c r="L205" s="1208"/>
      <c r="M205" s="1208"/>
      <c r="N205" s="1208"/>
      <c r="O205" s="1208"/>
      <c r="P205" s="1208"/>
      <c r="Q205" s="1208"/>
      <c r="R205" s="1208"/>
      <c r="S205" s="1208"/>
      <c r="T205" s="1208"/>
      <c r="U205" s="1208"/>
      <c r="V205" s="1208"/>
      <c r="W205" s="1208"/>
      <c r="X205" s="1208"/>
      <c r="Y205" s="1208"/>
      <c r="Z205" s="1208"/>
      <c r="AA205" s="1208"/>
      <c r="AB205" s="1208"/>
      <c r="AC205" s="1208"/>
      <c r="AD205" s="1208"/>
      <c r="AE205" s="1208"/>
      <c r="AF205" s="1208"/>
      <c r="AG205" s="1208"/>
      <c r="AH205" s="1208"/>
      <c r="AI205" s="1208"/>
      <c r="AJ205" s="1208"/>
      <c r="AK205" s="120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08"/>
      <c r="BF205" s="1208"/>
      <c r="BG205" s="1208"/>
      <c r="BH205" s="1208"/>
      <c r="BI205" s="1208"/>
      <c r="BJ205" s="1208"/>
    </row>
    <row r="206" spans="1:62" s="1210" customFormat="1">
      <c r="A206" s="1212"/>
      <c r="B206" s="1209"/>
      <c r="C206" s="1209"/>
      <c r="D206" s="1208"/>
      <c r="E206" s="1208"/>
      <c r="F206" s="1208"/>
      <c r="G206" s="1208"/>
      <c r="H206" s="1208"/>
      <c r="I206" s="1208"/>
      <c r="J206" s="1208"/>
      <c r="K206" s="1208"/>
      <c r="L206" s="1208"/>
      <c r="M206" s="1208"/>
      <c r="N206" s="1208"/>
      <c r="O206" s="1208"/>
      <c r="P206" s="1208"/>
      <c r="Q206" s="1208"/>
      <c r="R206" s="1208"/>
      <c r="S206" s="1208"/>
      <c r="T206" s="1208"/>
      <c r="U206" s="1208"/>
      <c r="V206" s="1208"/>
      <c r="W206" s="1208"/>
      <c r="X206" s="1208"/>
      <c r="Y206" s="1208"/>
      <c r="Z206" s="1208"/>
      <c r="AA206" s="1208"/>
      <c r="AB206" s="1208"/>
      <c r="AC206" s="1208"/>
      <c r="AD206" s="1208"/>
      <c r="AE206" s="1208"/>
      <c r="AF206" s="1208"/>
      <c r="AG206" s="1208"/>
      <c r="AH206" s="1208"/>
      <c r="AI206" s="1208"/>
      <c r="AJ206" s="1208"/>
      <c r="AK206" s="120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08"/>
      <c r="BF206" s="1208"/>
      <c r="BG206" s="1208"/>
      <c r="BH206" s="1208"/>
      <c r="BI206" s="1208"/>
      <c r="BJ206" s="1208"/>
    </row>
    <row r="207" spans="1:62" s="1210" customFormat="1">
      <c r="A207" s="1212"/>
      <c r="B207" s="1209"/>
      <c r="C207" s="1209"/>
      <c r="D207" s="1208"/>
      <c r="E207" s="1208"/>
      <c r="F207" s="1208"/>
      <c r="G207" s="1208"/>
      <c r="H207" s="1208"/>
      <c r="I207" s="1208"/>
      <c r="J207" s="1208"/>
      <c r="K207" s="1208"/>
      <c r="L207" s="1208"/>
      <c r="M207" s="1208"/>
      <c r="N207" s="1208"/>
      <c r="O207" s="1208"/>
      <c r="P207" s="1208"/>
      <c r="Q207" s="1208"/>
      <c r="R207" s="1208"/>
      <c r="S207" s="1208"/>
      <c r="T207" s="1208"/>
      <c r="U207" s="1208"/>
      <c r="V207" s="1208"/>
      <c r="W207" s="1208"/>
      <c r="X207" s="1208"/>
      <c r="Y207" s="1208"/>
      <c r="Z207" s="1208"/>
      <c r="AA207" s="1208"/>
      <c r="AB207" s="1208"/>
      <c r="AC207" s="1208"/>
      <c r="AD207" s="1208"/>
      <c r="AE207" s="1208"/>
      <c r="AF207" s="1208"/>
      <c r="AG207" s="1208"/>
      <c r="AH207" s="1208"/>
      <c r="AI207" s="1208"/>
      <c r="AJ207" s="1208"/>
      <c r="AK207" s="120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08"/>
      <c r="BF207" s="1208"/>
      <c r="BG207" s="1208"/>
      <c r="BH207" s="1208"/>
      <c r="BI207" s="1208"/>
      <c r="BJ207" s="1208"/>
    </row>
    <row r="208" spans="1:62" s="1210" customFormat="1">
      <c r="A208" s="1212"/>
      <c r="B208" s="1209"/>
      <c r="C208" s="1209"/>
      <c r="D208" s="1208"/>
      <c r="E208" s="1208"/>
      <c r="F208" s="1208"/>
      <c r="G208" s="1208"/>
      <c r="H208" s="1208"/>
      <c r="I208" s="1208"/>
      <c r="J208" s="1208"/>
      <c r="K208" s="1208"/>
      <c r="L208" s="1208"/>
      <c r="M208" s="1208"/>
      <c r="N208" s="1208"/>
      <c r="O208" s="1208"/>
      <c r="P208" s="1208"/>
      <c r="Q208" s="1208"/>
      <c r="R208" s="1208"/>
      <c r="S208" s="1208"/>
      <c r="T208" s="1208"/>
      <c r="U208" s="1208"/>
      <c r="V208" s="1208"/>
      <c r="W208" s="1208"/>
      <c r="X208" s="1208"/>
      <c r="Y208" s="1208"/>
      <c r="Z208" s="1208"/>
      <c r="AA208" s="1208"/>
      <c r="AB208" s="1208"/>
      <c r="AC208" s="1208"/>
      <c r="AD208" s="1208"/>
      <c r="AE208" s="1208"/>
      <c r="AF208" s="1208"/>
      <c r="AG208" s="1208"/>
      <c r="AH208" s="1208"/>
      <c r="AI208" s="1208"/>
      <c r="AJ208" s="1208"/>
      <c r="AK208" s="120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08"/>
      <c r="BF208" s="1208"/>
      <c r="BG208" s="1208"/>
      <c r="BH208" s="1208"/>
      <c r="BI208" s="1208"/>
      <c r="BJ208" s="1208"/>
    </row>
    <row r="209" spans="1:62" s="1210" customFormat="1">
      <c r="A209" s="1212"/>
      <c r="B209" s="1209"/>
      <c r="C209" s="1209"/>
      <c r="D209" s="1208"/>
      <c r="E209" s="1208"/>
      <c r="F209" s="1208"/>
      <c r="G209" s="1208"/>
      <c r="H209" s="1208"/>
      <c r="I209" s="1208"/>
      <c r="J209" s="1208"/>
      <c r="K209" s="1208"/>
      <c r="L209" s="1208"/>
      <c r="M209" s="1208"/>
      <c r="N209" s="1208"/>
      <c r="O209" s="1208"/>
      <c r="P209" s="1208"/>
      <c r="Q209" s="1208"/>
      <c r="R209" s="1208"/>
      <c r="S209" s="1208"/>
      <c r="T209" s="1208"/>
      <c r="U209" s="1208"/>
      <c r="V209" s="1208"/>
      <c r="W209" s="1208"/>
      <c r="X209" s="1208"/>
      <c r="Y209" s="1208"/>
      <c r="Z209" s="1208"/>
      <c r="AA209" s="1208"/>
      <c r="AB209" s="1208"/>
      <c r="AC209" s="1208"/>
      <c r="AD209" s="1208"/>
      <c r="AE209" s="1208"/>
      <c r="AF209" s="1208"/>
      <c r="AG209" s="1208"/>
      <c r="AH209" s="1208"/>
      <c r="AI209" s="1208"/>
      <c r="AJ209" s="1208"/>
      <c r="AK209" s="120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08"/>
      <c r="BF209" s="1208"/>
      <c r="BG209" s="1208"/>
      <c r="BH209" s="1208"/>
      <c r="BI209" s="1208"/>
      <c r="BJ209" s="1208"/>
    </row>
    <row r="210" spans="1:62" s="1210" customFormat="1">
      <c r="A210" s="1212"/>
      <c r="B210" s="1209"/>
      <c r="C210" s="1209"/>
      <c r="D210" s="1208"/>
      <c r="E210" s="1208"/>
      <c r="F210" s="1208"/>
      <c r="G210" s="1208"/>
      <c r="H210" s="1208"/>
      <c r="I210" s="1208"/>
      <c r="J210" s="1208"/>
      <c r="K210" s="1208"/>
      <c r="L210" s="1208"/>
      <c r="M210" s="1208"/>
      <c r="N210" s="1208"/>
      <c r="O210" s="1208"/>
      <c r="P210" s="1208"/>
      <c r="Q210" s="1208"/>
      <c r="R210" s="1208"/>
      <c r="S210" s="1208"/>
      <c r="T210" s="1208"/>
      <c r="U210" s="1208"/>
      <c r="V210" s="1208"/>
      <c r="W210" s="1208"/>
      <c r="X210" s="1208"/>
      <c r="Y210" s="1208"/>
      <c r="Z210" s="1208"/>
      <c r="AA210" s="1208"/>
      <c r="AB210" s="1208"/>
      <c r="AC210" s="1208"/>
      <c r="AD210" s="1208"/>
      <c r="AE210" s="1208"/>
      <c r="AF210" s="1208"/>
      <c r="AG210" s="1208"/>
      <c r="AH210" s="1208"/>
      <c r="AI210" s="1208"/>
      <c r="AJ210" s="1208"/>
      <c r="AK210" s="120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08"/>
      <c r="BF210" s="1208"/>
      <c r="BG210" s="1208"/>
      <c r="BH210" s="1208"/>
      <c r="BI210" s="1208"/>
      <c r="BJ210" s="1208"/>
    </row>
    <row r="211" spans="1:62" s="1210" customFormat="1">
      <c r="A211" s="1212"/>
      <c r="B211" s="1209"/>
      <c r="C211" s="1209"/>
      <c r="D211" s="1208"/>
      <c r="E211" s="1208"/>
      <c r="F211" s="1208"/>
      <c r="G211" s="1208"/>
      <c r="H211" s="1208"/>
      <c r="I211" s="1208"/>
      <c r="J211" s="1208"/>
      <c r="K211" s="1208"/>
      <c r="L211" s="1208"/>
      <c r="M211" s="1208"/>
      <c r="N211" s="1208"/>
      <c r="O211" s="1208"/>
      <c r="P211" s="1208"/>
      <c r="Q211" s="1208"/>
      <c r="R211" s="1208"/>
      <c r="S211" s="1208"/>
      <c r="T211" s="1208"/>
      <c r="U211" s="1208"/>
      <c r="V211" s="1208"/>
      <c r="W211" s="1208"/>
      <c r="X211" s="1208"/>
      <c r="Y211" s="1208"/>
      <c r="Z211" s="1208"/>
      <c r="AA211" s="1208"/>
      <c r="AB211" s="1208"/>
      <c r="AC211" s="1208"/>
      <c r="AD211" s="1208"/>
      <c r="AE211" s="1208"/>
      <c r="AF211" s="1208"/>
      <c r="AG211" s="1208"/>
      <c r="AH211" s="1208"/>
      <c r="AI211" s="1208"/>
      <c r="AJ211" s="1208"/>
      <c r="AK211" s="120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08"/>
      <c r="BF211" s="1208"/>
      <c r="BG211" s="1208"/>
      <c r="BH211" s="1208"/>
      <c r="BI211" s="1208"/>
      <c r="BJ211" s="1208"/>
    </row>
    <row r="212" spans="1:62" s="1210" customFormat="1">
      <c r="A212" s="1212"/>
      <c r="B212" s="1209"/>
      <c r="C212" s="1209"/>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08"/>
      <c r="BF212" s="1208"/>
      <c r="BG212" s="1208"/>
      <c r="BH212" s="1208"/>
      <c r="BI212" s="1208"/>
      <c r="BJ212" s="1208"/>
    </row>
    <row r="213" spans="1:62" s="1210" customFormat="1">
      <c r="A213" s="1212"/>
      <c r="B213" s="1209"/>
      <c r="C213" s="1209"/>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08"/>
      <c r="BF213" s="1208"/>
      <c r="BG213" s="1208"/>
      <c r="BH213" s="1208"/>
      <c r="BI213" s="1208"/>
      <c r="BJ213" s="1208"/>
    </row>
    <row r="214" spans="1:62" s="1210" customFormat="1">
      <c r="A214" s="1212"/>
      <c r="B214" s="1209"/>
      <c r="C214" s="1209"/>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08"/>
      <c r="BF214" s="1208"/>
      <c r="BG214" s="1208"/>
      <c r="BH214" s="1208"/>
      <c r="BI214" s="1208"/>
      <c r="BJ214" s="1208"/>
    </row>
    <row r="215" spans="1:62" s="1210" customFormat="1">
      <c r="A215" s="1212"/>
      <c r="B215" s="1209"/>
      <c r="C215" s="1209"/>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08"/>
      <c r="BF215" s="1208"/>
      <c r="BG215" s="1208"/>
      <c r="BH215" s="1208"/>
      <c r="BI215" s="1208"/>
      <c r="BJ215" s="1208"/>
    </row>
    <row r="216" spans="1:62" s="1210" customFormat="1">
      <c r="A216" s="1212"/>
      <c r="B216" s="1209"/>
      <c r="C216" s="1209"/>
      <c r="D216" s="1208"/>
      <c r="E216" s="1208"/>
      <c r="F216" s="1208"/>
      <c r="G216" s="1208"/>
      <c r="H216" s="1208"/>
      <c r="I216" s="1208"/>
      <c r="J216" s="1208"/>
      <c r="K216" s="1208"/>
      <c r="L216" s="1208"/>
      <c r="M216" s="1208"/>
      <c r="N216" s="1208"/>
      <c r="O216" s="1208"/>
      <c r="P216" s="1208"/>
      <c r="Q216" s="1208"/>
      <c r="R216" s="1208"/>
      <c r="S216" s="1208"/>
      <c r="T216" s="1208"/>
      <c r="U216" s="1208"/>
      <c r="V216" s="1208"/>
      <c r="W216" s="1208"/>
      <c r="X216" s="1208"/>
      <c r="Y216" s="1208"/>
      <c r="Z216" s="1208"/>
      <c r="AA216" s="1208"/>
      <c r="AB216" s="1208"/>
      <c r="AC216" s="1208"/>
      <c r="AD216" s="1208"/>
      <c r="AE216" s="1208"/>
      <c r="AF216" s="1208"/>
      <c r="AG216" s="1208"/>
      <c r="AH216" s="1208"/>
      <c r="AI216" s="1208"/>
      <c r="AJ216" s="1208"/>
      <c r="AK216" s="1208"/>
      <c r="AL216" s="1208"/>
      <c r="AM216" s="1208"/>
      <c r="AN216" s="1208"/>
      <c r="AO216" s="1208"/>
      <c r="AP216" s="1208"/>
      <c r="AQ216" s="1208"/>
      <c r="AR216" s="1208"/>
      <c r="AS216" s="1208"/>
      <c r="AT216" s="1208"/>
      <c r="AU216" s="1208"/>
      <c r="AV216" s="1208"/>
      <c r="AW216" s="1208"/>
      <c r="AX216" s="1208"/>
      <c r="AY216" s="1208"/>
      <c r="AZ216" s="1208"/>
      <c r="BA216" s="1208"/>
      <c r="BB216" s="1208"/>
      <c r="BC216" s="1208"/>
      <c r="BD216" s="1208"/>
      <c r="BE216" s="1208"/>
      <c r="BF216" s="1208"/>
      <c r="BG216" s="1208"/>
      <c r="BH216" s="1208"/>
      <c r="BI216" s="1208"/>
      <c r="BJ216" s="1208"/>
    </row>
    <row r="217" spans="1:62" s="1210" customFormat="1">
      <c r="A217" s="1212"/>
      <c r="B217" s="1209"/>
      <c r="C217" s="1209"/>
      <c r="D217" s="1208"/>
      <c r="E217" s="1208"/>
      <c r="F217" s="1208"/>
      <c r="G217" s="1208"/>
      <c r="H217" s="1208"/>
      <c r="I217" s="1208"/>
      <c r="J217" s="1208"/>
      <c r="K217" s="1208"/>
      <c r="L217" s="1208"/>
      <c r="M217" s="1208"/>
      <c r="N217" s="1208"/>
      <c r="O217" s="1208"/>
      <c r="P217" s="1208"/>
      <c r="Q217" s="1208"/>
      <c r="R217" s="1208"/>
      <c r="S217" s="1208"/>
      <c r="T217" s="1208"/>
      <c r="U217" s="1208"/>
      <c r="V217" s="1208"/>
      <c r="W217" s="1208"/>
      <c r="X217" s="1208"/>
      <c r="Y217" s="1208"/>
      <c r="Z217" s="1208"/>
      <c r="AA217" s="1208"/>
      <c r="AB217" s="1208"/>
      <c r="AC217" s="1208"/>
      <c r="AD217" s="1208"/>
      <c r="AE217" s="1208"/>
      <c r="AF217" s="1208"/>
      <c r="AG217" s="1208"/>
      <c r="AH217" s="1208"/>
      <c r="AI217" s="1208"/>
      <c r="AJ217" s="1208"/>
      <c r="AK217" s="1208"/>
      <c r="AL217" s="1208"/>
      <c r="AM217" s="1208"/>
      <c r="AN217" s="1208"/>
      <c r="AO217" s="1208"/>
      <c r="AP217" s="1208"/>
      <c r="AQ217" s="1208"/>
      <c r="AR217" s="1208"/>
      <c r="AS217" s="1208"/>
      <c r="AT217" s="1208"/>
      <c r="AU217" s="1208"/>
      <c r="AV217" s="1208"/>
      <c r="AW217" s="1208"/>
      <c r="AX217" s="1208"/>
      <c r="AY217" s="1208"/>
      <c r="AZ217" s="1208"/>
      <c r="BA217" s="1208"/>
      <c r="BB217" s="1208"/>
      <c r="BC217" s="1208"/>
      <c r="BD217" s="1208"/>
      <c r="BE217" s="1208"/>
      <c r="BF217" s="1208"/>
      <c r="BG217" s="1208"/>
      <c r="BH217" s="1208"/>
      <c r="BI217" s="1208"/>
      <c r="BJ217" s="1208"/>
    </row>
    <row r="218" spans="1:62" s="1210" customFormat="1">
      <c r="A218" s="1212"/>
      <c r="B218" s="1209"/>
      <c r="C218" s="1209"/>
      <c r="D218" s="1208"/>
      <c r="E218" s="1208"/>
      <c r="F218" s="1208"/>
      <c r="G218" s="1208"/>
      <c r="H218" s="1208"/>
      <c r="I218" s="1208"/>
      <c r="J218" s="1208"/>
      <c r="K218" s="1208"/>
      <c r="L218" s="1208"/>
      <c r="M218" s="1208"/>
      <c r="N218" s="1208"/>
      <c r="O218" s="1208"/>
      <c r="P218" s="1208"/>
      <c r="Q218" s="1208"/>
      <c r="R218" s="1208"/>
      <c r="S218" s="1208"/>
      <c r="T218" s="1208"/>
      <c r="U218" s="1208"/>
      <c r="V218" s="1208"/>
      <c r="W218" s="1208"/>
      <c r="X218" s="1208"/>
      <c r="Y218" s="1208"/>
      <c r="Z218" s="1208"/>
      <c r="AA218" s="1208"/>
      <c r="AB218" s="1208"/>
      <c r="AC218" s="1208"/>
      <c r="AD218" s="1208"/>
      <c r="AE218" s="1208"/>
      <c r="AF218" s="1208"/>
      <c r="AG218" s="1208"/>
      <c r="AH218" s="1208"/>
      <c r="AI218" s="1208"/>
      <c r="AJ218" s="1208"/>
      <c r="AK218" s="1208"/>
      <c r="AL218" s="1208"/>
      <c r="AM218" s="1208"/>
      <c r="AN218" s="1208"/>
      <c r="AO218" s="1208"/>
      <c r="AP218" s="1208"/>
      <c r="AQ218" s="1208"/>
      <c r="AR218" s="1208"/>
      <c r="AS218" s="1208"/>
      <c r="AT218" s="1208"/>
      <c r="AU218" s="1208"/>
      <c r="AV218" s="1208"/>
      <c r="AW218" s="1208"/>
      <c r="AX218" s="1208"/>
      <c r="AY218" s="1208"/>
      <c r="AZ218" s="1208"/>
      <c r="BA218" s="1208"/>
      <c r="BB218" s="1208"/>
      <c r="BC218" s="1208"/>
      <c r="BD218" s="1208"/>
      <c r="BE218" s="1208"/>
      <c r="BF218" s="1208"/>
      <c r="BG218" s="1208"/>
      <c r="BH218" s="1208"/>
      <c r="BI218" s="1208"/>
      <c r="BJ218" s="1208"/>
    </row>
    <row r="219" spans="1:62" s="1210" customFormat="1">
      <c r="A219" s="1212"/>
      <c r="B219" s="1209"/>
      <c r="C219" s="1209"/>
      <c r="D219" s="1208"/>
      <c r="E219" s="1208"/>
      <c r="F219" s="1208"/>
      <c r="G219" s="1208"/>
      <c r="H219" s="1208"/>
      <c r="I219" s="1208"/>
      <c r="J219" s="1208"/>
      <c r="K219" s="1208"/>
      <c r="L219" s="1208"/>
      <c r="M219" s="1208"/>
      <c r="N219" s="1208"/>
      <c r="O219" s="1208"/>
      <c r="P219" s="1208"/>
      <c r="Q219" s="1208"/>
      <c r="R219" s="1208"/>
      <c r="S219" s="1208"/>
      <c r="T219" s="1208"/>
      <c r="U219" s="1208"/>
      <c r="V219" s="1208"/>
      <c r="W219" s="1208"/>
      <c r="X219" s="1208"/>
      <c r="Y219" s="1208"/>
      <c r="Z219" s="1208"/>
      <c r="AA219" s="1208"/>
      <c r="AB219" s="1208"/>
      <c r="AC219" s="1208"/>
      <c r="AD219" s="1208"/>
      <c r="AE219" s="1208"/>
      <c r="AF219" s="1208"/>
      <c r="AG219" s="1208"/>
      <c r="AH219" s="1208"/>
      <c r="AI219" s="1208"/>
      <c r="AJ219" s="1208"/>
      <c r="AK219" s="1208"/>
      <c r="AL219" s="1208"/>
      <c r="AM219" s="1208"/>
      <c r="AN219" s="1208"/>
      <c r="AO219" s="1208"/>
      <c r="AP219" s="1208"/>
      <c r="AQ219" s="1208"/>
      <c r="AR219" s="1208"/>
      <c r="AS219" s="1208"/>
      <c r="AT219" s="1208"/>
      <c r="AU219" s="1208"/>
      <c r="AV219" s="1208"/>
      <c r="AW219" s="1208"/>
      <c r="AX219" s="1208"/>
      <c r="AY219" s="1208"/>
      <c r="AZ219" s="1208"/>
      <c r="BA219" s="1208"/>
      <c r="BB219" s="1208"/>
      <c r="BC219" s="1208"/>
      <c r="BD219" s="1208"/>
      <c r="BE219" s="1208"/>
      <c r="BF219" s="1208"/>
      <c r="BG219" s="1208"/>
      <c r="BH219" s="1208"/>
      <c r="BI219" s="1208"/>
      <c r="BJ219" s="1208"/>
    </row>
    <row r="220" spans="1:62" s="1210" customFormat="1">
      <c r="A220" s="1212"/>
      <c r="B220" s="1209"/>
      <c r="C220" s="1209"/>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08"/>
      <c r="BE220" s="1208"/>
      <c r="BF220" s="1208"/>
      <c r="BG220" s="1208"/>
      <c r="BH220" s="1208"/>
      <c r="BI220" s="1208"/>
      <c r="BJ220" s="1208"/>
    </row>
    <row r="221" spans="1:62" s="1210" customFormat="1">
      <c r="A221" s="1212"/>
      <c r="B221" s="1209"/>
      <c r="C221" s="1209"/>
      <c r="D221" s="1208"/>
      <c r="E221" s="1208"/>
      <c r="F221" s="1208"/>
      <c r="G221" s="1208"/>
      <c r="H221" s="1208"/>
      <c r="I221" s="1208"/>
      <c r="J221" s="1208"/>
      <c r="K221" s="1208"/>
      <c r="L221" s="1208"/>
      <c r="M221" s="1208"/>
      <c r="N221" s="1208"/>
      <c r="O221" s="1208"/>
      <c r="P221" s="1208"/>
      <c r="Q221" s="1208"/>
      <c r="R221" s="1208"/>
      <c r="S221" s="1208"/>
      <c r="T221" s="1208"/>
      <c r="U221" s="1208"/>
      <c r="V221" s="1208"/>
      <c r="W221" s="1208"/>
      <c r="X221" s="1208"/>
      <c r="Y221" s="1208"/>
      <c r="Z221" s="1208"/>
      <c r="AA221" s="1208"/>
      <c r="AB221" s="1208"/>
      <c r="AC221" s="1208"/>
      <c r="AD221" s="1208"/>
      <c r="AE221" s="1208"/>
      <c r="AF221" s="1208"/>
      <c r="AG221" s="1208"/>
      <c r="AH221" s="1208"/>
      <c r="AI221" s="1208"/>
      <c r="AJ221" s="1208"/>
      <c r="AK221" s="1208"/>
      <c r="AL221" s="1208"/>
      <c r="AM221" s="1208"/>
      <c r="AN221" s="1208"/>
      <c r="AO221" s="1208"/>
      <c r="AP221" s="1208"/>
      <c r="AQ221" s="1208"/>
      <c r="AR221" s="1208"/>
      <c r="AS221" s="1208"/>
      <c r="AT221" s="1208"/>
      <c r="AU221" s="1208"/>
      <c r="AV221" s="1208"/>
      <c r="AW221" s="1208"/>
      <c r="AX221" s="1208"/>
      <c r="AY221" s="1208"/>
      <c r="AZ221" s="1208"/>
      <c r="BA221" s="1208"/>
      <c r="BB221" s="1208"/>
      <c r="BC221" s="1208"/>
      <c r="BD221" s="1208"/>
      <c r="BE221" s="1208"/>
      <c r="BF221" s="1208"/>
      <c r="BG221" s="1208"/>
      <c r="BH221" s="1208"/>
      <c r="BI221" s="1208"/>
      <c r="BJ221" s="1208"/>
    </row>
    <row r="222" spans="1:62" s="1210" customFormat="1">
      <c r="A222" s="1212"/>
      <c r="B222" s="1209"/>
      <c r="C222" s="1209"/>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08"/>
      <c r="BE222" s="1208"/>
      <c r="BF222" s="1208"/>
      <c r="BG222" s="1208"/>
      <c r="BH222" s="1208"/>
      <c r="BI222" s="1208"/>
      <c r="BJ222" s="1208"/>
    </row>
    <row r="223" spans="1:62" s="1210" customFormat="1">
      <c r="A223" s="1212"/>
      <c r="B223" s="1209"/>
      <c r="C223" s="1209"/>
      <c r="D223" s="1208"/>
      <c r="E223" s="1208"/>
      <c r="F223" s="1208"/>
      <c r="G223" s="1208"/>
      <c r="H223" s="1208"/>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08"/>
      <c r="BE223" s="1208"/>
      <c r="BF223" s="1208"/>
      <c r="BG223" s="1208"/>
      <c r="BH223" s="1208"/>
      <c r="BI223" s="1208"/>
      <c r="BJ223" s="1208"/>
    </row>
    <row r="224" spans="1:62" s="1210" customFormat="1">
      <c r="A224" s="1212"/>
      <c r="B224" s="1209"/>
      <c r="C224" s="1209"/>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08"/>
      <c r="BE224" s="1208"/>
      <c r="BF224" s="1208"/>
      <c r="BG224" s="1208"/>
      <c r="BH224" s="1208"/>
      <c r="BI224" s="1208"/>
      <c r="BJ224" s="1208"/>
    </row>
    <row r="225" spans="1:62" s="1210" customFormat="1">
      <c r="A225" s="1212"/>
      <c r="B225" s="1209"/>
      <c r="C225" s="1209"/>
      <c r="D225" s="1208"/>
      <c r="E225" s="1208"/>
      <c r="F225" s="1208"/>
      <c r="G225" s="1208"/>
      <c r="H225" s="1208"/>
      <c r="I225" s="1208"/>
      <c r="J225" s="1208"/>
      <c r="K225" s="1208"/>
      <c r="L225" s="1208"/>
      <c r="M225" s="1208"/>
      <c r="N225" s="1208"/>
      <c r="O225" s="1208"/>
      <c r="P225" s="1208"/>
      <c r="Q225" s="1208"/>
      <c r="R225" s="1208"/>
      <c r="S225" s="1208"/>
      <c r="T225" s="1208"/>
      <c r="U225" s="1208"/>
      <c r="V225" s="1208"/>
      <c r="W225" s="1208"/>
      <c r="X225" s="1208"/>
      <c r="Y225" s="1208"/>
      <c r="Z225" s="1208"/>
      <c r="AA225" s="1208"/>
      <c r="AB225" s="1208"/>
      <c r="AC225" s="1208"/>
      <c r="AD225" s="1208"/>
      <c r="AE225" s="1208"/>
      <c r="AF225" s="1208"/>
      <c r="AG225" s="1208"/>
      <c r="AH225" s="1208"/>
      <c r="AI225" s="1208"/>
      <c r="AJ225" s="1208"/>
      <c r="AK225" s="1208"/>
      <c r="AL225" s="1208"/>
      <c r="AM225" s="1208"/>
      <c r="AN225" s="1208"/>
      <c r="AO225" s="1208"/>
      <c r="AP225" s="1208"/>
      <c r="AQ225" s="1208"/>
      <c r="AR225" s="1208"/>
      <c r="AS225" s="1208"/>
      <c r="AT225" s="1208"/>
      <c r="AU225" s="1208"/>
      <c r="AV225" s="1208"/>
      <c r="AW225" s="1208"/>
      <c r="AX225" s="1208"/>
      <c r="AY225" s="1208"/>
      <c r="AZ225" s="1208"/>
      <c r="BA225" s="1208"/>
      <c r="BB225" s="1208"/>
      <c r="BC225" s="1208"/>
      <c r="BD225" s="1208"/>
      <c r="BE225" s="1208"/>
      <c r="BF225" s="1208"/>
      <c r="BG225" s="1208"/>
      <c r="BH225" s="1208"/>
      <c r="BI225" s="1208"/>
      <c r="BJ225" s="1208"/>
    </row>
    <row r="226" spans="1:62" s="1210" customFormat="1">
      <c r="A226" s="1212"/>
      <c r="B226" s="1209"/>
      <c r="C226" s="1209"/>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08"/>
      <c r="BE226" s="1208"/>
      <c r="BF226" s="1208"/>
      <c r="BG226" s="1208"/>
      <c r="BH226" s="1208"/>
      <c r="BI226" s="1208"/>
      <c r="BJ226" s="1208"/>
    </row>
    <row r="227" spans="1:62" s="1210" customFormat="1">
      <c r="A227" s="1212"/>
      <c r="B227" s="1209"/>
      <c r="C227" s="1209"/>
      <c r="D227" s="1208"/>
      <c r="E227" s="1208"/>
      <c r="F227" s="1208"/>
      <c r="G227" s="1208"/>
      <c r="H227" s="1208"/>
      <c r="I227" s="1208"/>
      <c r="J227" s="1208"/>
      <c r="K227" s="1208"/>
      <c r="L227" s="1208"/>
      <c r="M227" s="1208"/>
      <c r="N227" s="1208"/>
      <c r="O227" s="1208"/>
      <c r="P227" s="1208"/>
      <c r="Q227" s="1208"/>
      <c r="R227" s="1208"/>
      <c r="S227" s="1208"/>
      <c r="T227" s="1208"/>
      <c r="U227" s="1208"/>
      <c r="V227" s="1208"/>
      <c r="W227" s="1208"/>
      <c r="X227" s="1208"/>
      <c r="Y227" s="1208"/>
      <c r="Z227" s="1208"/>
      <c r="AA227" s="1208"/>
      <c r="AB227" s="1208"/>
      <c r="AC227" s="1208"/>
      <c r="AD227" s="1208"/>
      <c r="AE227" s="1208"/>
      <c r="AF227" s="1208"/>
      <c r="AG227" s="1208"/>
      <c r="AH227" s="1208"/>
      <c r="AI227" s="1208"/>
      <c r="AJ227" s="1208"/>
      <c r="AK227" s="1208"/>
      <c r="AL227" s="1208"/>
      <c r="AM227" s="1208"/>
      <c r="AN227" s="1208"/>
      <c r="AO227" s="1208"/>
      <c r="AP227" s="1208"/>
      <c r="AQ227" s="1208"/>
      <c r="AR227" s="1208"/>
      <c r="AS227" s="1208"/>
      <c r="AT227" s="1208"/>
      <c r="AU227" s="1208"/>
      <c r="AV227" s="1208"/>
      <c r="AW227" s="1208"/>
      <c r="AX227" s="1208"/>
      <c r="AY227" s="1208"/>
      <c r="AZ227" s="1208"/>
      <c r="BA227" s="1208"/>
      <c r="BB227" s="1208"/>
      <c r="BC227" s="1208"/>
      <c r="BD227" s="1208"/>
      <c r="BE227" s="1208"/>
      <c r="BF227" s="1208"/>
      <c r="BG227" s="1208"/>
      <c r="BH227" s="1208"/>
      <c r="BI227" s="1208"/>
      <c r="BJ227" s="1208"/>
    </row>
    <row r="228" spans="1:62" s="1210" customFormat="1">
      <c r="A228" s="1212"/>
      <c r="B228" s="1209"/>
      <c r="C228" s="1209"/>
      <c r="D228" s="1208"/>
      <c r="E228" s="1208"/>
      <c r="F228" s="1208"/>
      <c r="G228" s="1208"/>
      <c r="H228" s="1208"/>
      <c r="I228" s="1208"/>
      <c r="J228" s="1208"/>
      <c r="K228" s="1208"/>
      <c r="L228" s="1208"/>
      <c r="M228" s="1208"/>
      <c r="N228" s="1208"/>
      <c r="O228" s="1208"/>
      <c r="P228" s="1208"/>
      <c r="Q228" s="1208"/>
      <c r="R228" s="1208"/>
      <c r="S228" s="1208"/>
      <c r="T228" s="1208"/>
      <c r="U228" s="1208"/>
      <c r="V228" s="1208"/>
      <c r="W228" s="1208"/>
      <c r="X228" s="1208"/>
      <c r="Y228" s="1208"/>
      <c r="Z228" s="1208"/>
      <c r="AA228" s="1208"/>
      <c r="AB228" s="1208"/>
      <c r="AC228" s="1208"/>
      <c r="AD228" s="1208"/>
      <c r="AE228" s="1208"/>
      <c r="AF228" s="1208"/>
      <c r="AG228" s="1208"/>
      <c r="AH228" s="1208"/>
      <c r="AI228" s="1208"/>
      <c r="AJ228" s="1208"/>
      <c r="AK228" s="1208"/>
      <c r="AL228" s="1208"/>
      <c r="AM228" s="1208"/>
      <c r="AN228" s="1208"/>
      <c r="AO228" s="1208"/>
      <c r="AP228" s="1208"/>
      <c r="AQ228" s="1208"/>
      <c r="AR228" s="1208"/>
      <c r="AS228" s="1208"/>
      <c r="AT228" s="1208"/>
      <c r="AU228" s="1208"/>
      <c r="AV228" s="1208"/>
      <c r="AW228" s="1208"/>
      <c r="AX228" s="1208"/>
      <c r="AY228" s="1208"/>
      <c r="AZ228" s="1208"/>
      <c r="BA228" s="1208"/>
      <c r="BB228" s="1208"/>
      <c r="BC228" s="1208"/>
      <c r="BD228" s="1208"/>
      <c r="BE228" s="1208"/>
      <c r="BF228" s="1208"/>
      <c r="BG228" s="1208"/>
      <c r="BH228" s="1208"/>
      <c r="BI228" s="1208"/>
      <c r="BJ228" s="1208"/>
    </row>
    <row r="229" spans="1:62" s="1210" customFormat="1">
      <c r="A229" s="1212"/>
      <c r="B229" s="1209"/>
      <c r="C229" s="1209"/>
      <c r="D229" s="1208"/>
      <c r="E229" s="1208"/>
      <c r="F229" s="1208"/>
      <c r="G229" s="1208"/>
      <c r="H229" s="1208"/>
      <c r="I229" s="1208"/>
      <c r="J229" s="1208"/>
      <c r="K229" s="1208"/>
      <c r="L229" s="1208"/>
      <c r="M229" s="1208"/>
      <c r="N229" s="1208"/>
      <c r="O229" s="1208"/>
      <c r="P229" s="1208"/>
      <c r="Q229" s="1208"/>
      <c r="R229" s="1208"/>
      <c r="S229" s="1208"/>
      <c r="T229" s="1208"/>
      <c r="U229" s="1208"/>
      <c r="V229" s="1208"/>
      <c r="W229" s="1208"/>
      <c r="X229" s="1208"/>
      <c r="Y229" s="1208"/>
      <c r="Z229" s="1208"/>
      <c r="AA229" s="1208"/>
      <c r="AB229" s="1208"/>
      <c r="AC229" s="1208"/>
      <c r="AD229" s="1208"/>
      <c r="AE229" s="1208"/>
      <c r="AF229" s="1208"/>
      <c r="AG229" s="1208"/>
      <c r="AH229" s="1208"/>
      <c r="AI229" s="1208"/>
      <c r="AJ229" s="1208"/>
      <c r="AK229" s="1208"/>
      <c r="AL229" s="1208"/>
      <c r="AM229" s="1208"/>
      <c r="AN229" s="1208"/>
      <c r="AO229" s="1208"/>
      <c r="AP229" s="1208"/>
      <c r="AQ229" s="1208"/>
      <c r="AR229" s="1208"/>
      <c r="AS229" s="1208"/>
      <c r="AT229" s="1208"/>
      <c r="AU229" s="1208"/>
      <c r="AV229" s="1208"/>
      <c r="AW229" s="1208"/>
      <c r="AX229" s="1208"/>
      <c r="AY229" s="1208"/>
      <c r="AZ229" s="1208"/>
      <c r="BA229" s="1208"/>
      <c r="BB229" s="1208"/>
      <c r="BC229" s="1208"/>
      <c r="BD229" s="1208"/>
      <c r="BE229" s="1208"/>
      <c r="BF229" s="1208"/>
      <c r="BG229" s="1208"/>
      <c r="BH229" s="1208"/>
      <c r="BI229" s="1208"/>
      <c r="BJ229" s="1208"/>
    </row>
    <row r="230" spans="1:62" s="1210" customFormat="1">
      <c r="A230" s="1212"/>
      <c r="B230" s="1209"/>
      <c r="C230" s="1209"/>
      <c r="D230" s="1208"/>
      <c r="E230" s="1208"/>
      <c r="F230" s="1208"/>
      <c r="G230" s="1208"/>
      <c r="H230" s="1208"/>
      <c r="I230" s="1208"/>
      <c r="J230" s="1208"/>
      <c r="K230" s="1208"/>
      <c r="L230" s="1208"/>
      <c r="M230" s="1208"/>
      <c r="N230" s="1208"/>
      <c r="O230" s="1208"/>
      <c r="P230" s="1208"/>
      <c r="Q230" s="1208"/>
      <c r="R230" s="1208"/>
      <c r="S230" s="1208"/>
      <c r="T230" s="1208"/>
      <c r="U230" s="1208"/>
      <c r="V230" s="1208"/>
      <c r="W230" s="1208"/>
      <c r="X230" s="1208"/>
      <c r="Y230" s="1208"/>
      <c r="Z230" s="1208"/>
      <c r="AA230" s="1208"/>
      <c r="AB230" s="1208"/>
      <c r="AC230" s="1208"/>
      <c r="AD230" s="1208"/>
      <c r="AE230" s="1208"/>
      <c r="AF230" s="1208"/>
      <c r="AG230" s="1208"/>
      <c r="AH230" s="1208"/>
      <c r="AI230" s="1208"/>
      <c r="AJ230" s="1208"/>
      <c r="AK230" s="1208"/>
      <c r="AL230" s="1208"/>
      <c r="AM230" s="1208"/>
      <c r="AN230" s="1208"/>
      <c r="AO230" s="1208"/>
      <c r="AP230" s="1208"/>
      <c r="AQ230" s="1208"/>
      <c r="AR230" s="1208"/>
      <c r="AS230" s="1208"/>
      <c r="AT230" s="1208"/>
      <c r="AU230" s="1208"/>
      <c r="AV230" s="1208"/>
      <c r="AW230" s="1208"/>
      <c r="AX230" s="1208"/>
      <c r="AY230" s="1208"/>
      <c r="AZ230" s="1208"/>
      <c r="BA230" s="1208"/>
      <c r="BB230" s="1208"/>
      <c r="BC230" s="1208"/>
      <c r="BD230" s="1208"/>
      <c r="BE230" s="1208"/>
      <c r="BF230" s="1208"/>
      <c r="BG230" s="1208"/>
      <c r="BH230" s="1208"/>
      <c r="BI230" s="1208"/>
      <c r="BJ230" s="1208"/>
    </row>
    <row r="231" spans="1:62" s="1210" customFormat="1">
      <c r="A231" s="1212"/>
      <c r="B231" s="1209"/>
      <c r="C231" s="1209"/>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08"/>
      <c r="BE231" s="1208"/>
      <c r="BF231" s="1208"/>
      <c r="BG231" s="1208"/>
      <c r="BH231" s="1208"/>
      <c r="BI231" s="1208"/>
      <c r="BJ231" s="1208"/>
    </row>
    <row r="232" spans="1:62" s="1210" customFormat="1">
      <c r="A232" s="1212"/>
      <c r="B232" s="1209"/>
      <c r="C232" s="1209"/>
      <c r="D232" s="1208"/>
      <c r="E232" s="1208"/>
      <c r="F232" s="1208"/>
      <c r="G232" s="1208"/>
      <c r="H232" s="1208"/>
      <c r="I232" s="1208"/>
      <c r="J232" s="1208"/>
      <c r="K232" s="1208"/>
      <c r="L232" s="1208"/>
      <c r="M232" s="1208"/>
      <c r="N232" s="1208"/>
      <c r="O232" s="1208"/>
      <c r="P232" s="1208"/>
      <c r="Q232" s="1208"/>
      <c r="R232" s="1208"/>
      <c r="S232" s="1208"/>
      <c r="T232" s="1208"/>
      <c r="U232" s="1208"/>
      <c r="V232" s="1208"/>
      <c r="W232" s="1208"/>
      <c r="X232" s="1208"/>
      <c r="Y232" s="1208"/>
      <c r="Z232" s="1208"/>
      <c r="AA232" s="1208"/>
      <c r="AB232" s="1208"/>
      <c r="AC232" s="1208"/>
      <c r="AD232" s="1208"/>
      <c r="AE232" s="1208"/>
      <c r="AF232" s="1208"/>
      <c r="AG232" s="1208"/>
      <c r="AH232" s="1208"/>
      <c r="AI232" s="1208"/>
      <c r="AJ232" s="1208"/>
      <c r="AK232" s="1208"/>
      <c r="AL232" s="1208"/>
      <c r="AM232" s="1208"/>
      <c r="AN232" s="1208"/>
      <c r="AO232" s="1208"/>
      <c r="AP232" s="1208"/>
      <c r="AQ232" s="1208"/>
      <c r="AR232" s="1208"/>
      <c r="AS232" s="1208"/>
      <c r="AT232" s="1208"/>
      <c r="AU232" s="1208"/>
      <c r="AV232" s="1208"/>
      <c r="AW232" s="1208"/>
      <c r="AX232" s="1208"/>
      <c r="AY232" s="1208"/>
      <c r="AZ232" s="1208"/>
      <c r="BA232" s="1208"/>
      <c r="BB232" s="1208"/>
      <c r="BC232" s="1208"/>
      <c r="BD232" s="1208"/>
      <c r="BE232" s="1208"/>
      <c r="BF232" s="1208"/>
      <c r="BG232" s="1208"/>
      <c r="BH232" s="1208"/>
      <c r="BI232" s="1208"/>
      <c r="BJ232" s="1208"/>
    </row>
    <row r="233" spans="1:62" s="1210" customFormat="1">
      <c r="A233" s="1212"/>
      <c r="B233" s="1209"/>
      <c r="C233" s="1209"/>
      <c r="D233" s="1208"/>
      <c r="E233" s="1208"/>
      <c r="F233" s="1208"/>
      <c r="G233" s="1208"/>
      <c r="H233" s="1208"/>
      <c r="I233" s="1208"/>
      <c r="J233" s="1208"/>
      <c r="K233" s="1208"/>
      <c r="L233" s="1208"/>
      <c r="M233" s="1208"/>
      <c r="N233" s="1208"/>
      <c r="O233" s="1208"/>
      <c r="P233" s="1208"/>
      <c r="Q233" s="1208"/>
      <c r="R233" s="1208"/>
      <c r="S233" s="1208"/>
      <c r="T233" s="1208"/>
      <c r="U233" s="1208"/>
      <c r="V233" s="1208"/>
      <c r="W233" s="1208"/>
      <c r="X233" s="1208"/>
      <c r="Y233" s="1208"/>
      <c r="Z233" s="1208"/>
      <c r="AA233" s="1208"/>
      <c r="AB233" s="1208"/>
      <c r="AC233" s="1208"/>
      <c r="AD233" s="1208"/>
      <c r="AE233" s="1208"/>
      <c r="AF233" s="1208"/>
      <c r="AG233" s="1208"/>
      <c r="AH233" s="1208"/>
      <c r="AI233" s="1208"/>
      <c r="AJ233" s="1208"/>
      <c r="AK233" s="1208"/>
      <c r="AL233" s="1208"/>
      <c r="AM233" s="1208"/>
      <c r="AN233" s="1208"/>
      <c r="AO233" s="1208"/>
      <c r="AP233" s="1208"/>
      <c r="AQ233" s="1208"/>
      <c r="AR233" s="1208"/>
      <c r="AS233" s="1208"/>
      <c r="AT233" s="1208"/>
      <c r="AU233" s="1208"/>
      <c r="AV233" s="1208"/>
      <c r="AW233" s="1208"/>
      <c r="AX233" s="1208"/>
      <c r="AY233" s="1208"/>
      <c r="AZ233" s="1208"/>
      <c r="BA233" s="1208"/>
      <c r="BB233" s="1208"/>
      <c r="BC233" s="1208"/>
      <c r="BD233" s="1208"/>
      <c r="BE233" s="1208"/>
      <c r="BF233" s="1208"/>
      <c r="BG233" s="1208"/>
      <c r="BH233" s="1208"/>
      <c r="BI233" s="1208"/>
      <c r="BJ233" s="1208"/>
    </row>
    <row r="234" spans="1:62" s="1210" customFormat="1">
      <c r="A234" s="1212"/>
      <c r="B234" s="1209"/>
      <c r="C234" s="1209"/>
      <c r="D234" s="1208"/>
      <c r="E234" s="1208"/>
      <c r="F234" s="1208"/>
      <c r="G234" s="1208"/>
      <c r="H234" s="1208"/>
      <c r="I234" s="1208"/>
      <c r="J234" s="1208"/>
      <c r="K234" s="1208"/>
      <c r="L234" s="1208"/>
      <c r="M234" s="1208"/>
      <c r="N234" s="1208"/>
      <c r="O234" s="1208"/>
      <c r="P234" s="1208"/>
      <c r="Q234" s="1208"/>
      <c r="R234" s="1208"/>
      <c r="S234" s="1208"/>
      <c r="T234" s="1208"/>
      <c r="U234" s="1208"/>
      <c r="V234" s="1208"/>
      <c r="W234" s="1208"/>
      <c r="X234" s="1208"/>
      <c r="Y234" s="1208"/>
      <c r="Z234" s="1208"/>
      <c r="AA234" s="1208"/>
      <c r="AB234" s="1208"/>
      <c r="AC234" s="1208"/>
      <c r="AD234" s="1208"/>
      <c r="AE234" s="1208"/>
      <c r="AF234" s="1208"/>
      <c r="AG234" s="1208"/>
      <c r="AH234" s="1208"/>
      <c r="AI234" s="1208"/>
      <c r="AJ234" s="1208"/>
      <c r="AK234" s="1208"/>
      <c r="AL234" s="1208"/>
      <c r="AM234" s="1208"/>
      <c r="AN234" s="1208"/>
      <c r="AO234" s="1208"/>
      <c r="AP234" s="1208"/>
      <c r="AQ234" s="1208"/>
      <c r="AR234" s="1208"/>
      <c r="AS234" s="1208"/>
      <c r="AT234" s="1208"/>
      <c r="AU234" s="1208"/>
      <c r="AV234" s="1208"/>
      <c r="AW234" s="1208"/>
      <c r="AX234" s="1208"/>
      <c r="AY234" s="1208"/>
      <c r="AZ234" s="1208"/>
      <c r="BA234" s="1208"/>
      <c r="BB234" s="1208"/>
      <c r="BC234" s="1208"/>
      <c r="BD234" s="1208"/>
      <c r="BE234" s="1208"/>
      <c r="BF234" s="1208"/>
      <c r="BG234" s="1208"/>
      <c r="BH234" s="1208"/>
      <c r="BI234" s="1208"/>
      <c r="BJ234" s="1208"/>
    </row>
    <row r="235" spans="1:62" s="1210" customFormat="1">
      <c r="A235" s="1212"/>
      <c r="B235" s="1209"/>
      <c r="C235" s="1209"/>
      <c r="D235" s="1208"/>
      <c r="E235" s="1208"/>
      <c r="F235" s="1208"/>
      <c r="G235" s="1208"/>
      <c r="H235" s="1208"/>
      <c r="I235" s="1208"/>
      <c r="J235" s="1208"/>
      <c r="K235" s="1208"/>
      <c r="L235" s="1208"/>
      <c r="M235" s="1208"/>
      <c r="N235" s="1208"/>
      <c r="O235" s="1208"/>
      <c r="P235" s="1208"/>
      <c r="Q235" s="1208"/>
      <c r="R235" s="1208"/>
      <c r="S235" s="1208"/>
      <c r="T235" s="1208"/>
      <c r="U235" s="1208"/>
      <c r="V235" s="1208"/>
      <c r="W235" s="1208"/>
      <c r="X235" s="1208"/>
      <c r="Y235" s="1208"/>
      <c r="Z235" s="1208"/>
      <c r="AA235" s="1208"/>
      <c r="AB235" s="1208"/>
      <c r="AC235" s="1208"/>
      <c r="AD235" s="1208"/>
      <c r="AE235" s="1208"/>
      <c r="AF235" s="1208"/>
      <c r="AG235" s="1208"/>
      <c r="AH235" s="1208"/>
      <c r="AI235" s="1208"/>
      <c r="AJ235" s="1208"/>
      <c r="AK235" s="1208"/>
      <c r="AL235" s="1208"/>
      <c r="AM235" s="1208"/>
      <c r="AN235" s="1208"/>
      <c r="AO235" s="1208"/>
      <c r="AP235" s="1208"/>
      <c r="AQ235" s="1208"/>
      <c r="AR235" s="1208"/>
      <c r="AS235" s="1208"/>
      <c r="AT235" s="1208"/>
      <c r="AU235" s="1208"/>
      <c r="AV235" s="1208"/>
      <c r="AW235" s="1208"/>
      <c r="AX235" s="1208"/>
      <c r="AY235" s="1208"/>
      <c r="AZ235" s="1208"/>
      <c r="BA235" s="1208"/>
      <c r="BB235" s="1208"/>
      <c r="BC235" s="1208"/>
      <c r="BD235" s="1208"/>
      <c r="BE235" s="1208"/>
      <c r="BF235" s="1208"/>
      <c r="BG235" s="1208"/>
      <c r="BH235" s="1208"/>
      <c r="BI235" s="1208"/>
      <c r="BJ235" s="1208"/>
    </row>
    <row r="236" spans="1:62" s="1210" customFormat="1">
      <c r="A236" s="1212"/>
      <c r="B236" s="1209"/>
      <c r="C236" s="1209"/>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8"/>
      <c r="BE236" s="1208"/>
      <c r="BF236" s="1208"/>
      <c r="BG236" s="1208"/>
      <c r="BH236" s="1208"/>
      <c r="BI236" s="1208"/>
      <c r="BJ236" s="1208"/>
    </row>
    <row r="237" spans="1:62" s="1210" customFormat="1">
      <c r="A237" s="1212"/>
      <c r="B237" s="1209"/>
      <c r="C237" s="1209"/>
      <c r="D237" s="1208"/>
      <c r="E237" s="1208"/>
      <c r="F237" s="1208"/>
      <c r="G237" s="1208"/>
      <c r="H237" s="1208"/>
      <c r="I237" s="1208"/>
      <c r="J237" s="1208"/>
      <c r="K237" s="1208"/>
      <c r="L237" s="1208"/>
      <c r="M237" s="1208"/>
      <c r="N237" s="1208"/>
      <c r="O237" s="1208"/>
      <c r="P237" s="1208"/>
      <c r="Q237" s="1208"/>
      <c r="R237" s="1208"/>
      <c r="S237" s="1208"/>
      <c r="T237" s="1208"/>
      <c r="U237" s="1208"/>
      <c r="V237" s="1208"/>
      <c r="W237" s="1208"/>
      <c r="X237" s="1208"/>
      <c r="Y237" s="1208"/>
      <c r="Z237" s="1208"/>
      <c r="AA237" s="1208"/>
      <c r="AB237" s="1208"/>
      <c r="AC237" s="1208"/>
      <c r="AD237" s="1208"/>
      <c r="AE237" s="1208"/>
      <c r="AF237" s="1208"/>
      <c r="AG237" s="1208"/>
      <c r="AH237" s="1208"/>
      <c r="AI237" s="1208"/>
      <c r="AJ237" s="120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8"/>
      <c r="BE237" s="1208"/>
      <c r="BF237" s="1208"/>
      <c r="BG237" s="1208"/>
      <c r="BH237" s="1208"/>
      <c r="BI237" s="1208"/>
      <c r="BJ237" s="1208"/>
    </row>
    <row r="238" spans="1:62" s="1210" customFormat="1">
      <c r="A238" s="1212"/>
      <c r="B238" s="1209"/>
      <c r="C238" s="1209"/>
      <c r="D238" s="1208"/>
      <c r="E238" s="1208"/>
      <c r="F238" s="1208"/>
      <c r="G238" s="1208"/>
      <c r="H238" s="1208"/>
      <c r="I238" s="1208"/>
      <c r="J238" s="1208"/>
      <c r="K238" s="1208"/>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8"/>
      <c r="BE238" s="1208"/>
      <c r="BF238" s="1208"/>
      <c r="BG238" s="1208"/>
      <c r="BH238" s="1208"/>
      <c r="BI238" s="1208"/>
      <c r="BJ238" s="1208"/>
    </row>
    <row r="239" spans="1:62" s="1210" customFormat="1">
      <c r="A239" s="1212"/>
      <c r="B239" s="1209"/>
      <c r="C239" s="1209"/>
      <c r="D239" s="1208"/>
      <c r="E239" s="1208"/>
      <c r="F239" s="1208"/>
      <c r="G239" s="1208"/>
      <c r="H239" s="1208"/>
      <c r="I239" s="1208"/>
      <c r="J239" s="1208"/>
      <c r="K239" s="1208"/>
      <c r="L239" s="1208"/>
      <c r="M239" s="1208"/>
      <c r="N239" s="1208"/>
      <c r="O239" s="1208"/>
      <c r="P239" s="1208"/>
      <c r="Q239" s="1208"/>
      <c r="R239" s="1208"/>
      <c r="S239" s="1208"/>
      <c r="T239" s="1208"/>
      <c r="U239" s="1208"/>
      <c r="V239" s="1208"/>
      <c r="W239" s="1208"/>
      <c r="X239" s="1208"/>
      <c r="Y239" s="1208"/>
      <c r="Z239" s="1208"/>
      <c r="AA239" s="1208"/>
      <c r="AB239" s="1208"/>
      <c r="AC239" s="1208"/>
      <c r="AD239" s="1208"/>
      <c r="AE239" s="1208"/>
      <c r="AF239" s="1208"/>
      <c r="AG239" s="1208"/>
      <c r="AH239" s="1208"/>
      <c r="AI239" s="1208"/>
      <c r="AJ239" s="120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8"/>
      <c r="BE239" s="1208"/>
      <c r="BF239" s="1208"/>
      <c r="BG239" s="1208"/>
      <c r="BH239" s="1208"/>
      <c r="BI239" s="1208"/>
      <c r="BJ239" s="1208"/>
    </row>
    <row r="240" spans="1:62" s="1210" customFormat="1">
      <c r="A240" s="1212"/>
      <c r="B240" s="1209"/>
      <c r="C240" s="1209"/>
      <c r="D240" s="1208"/>
      <c r="E240" s="1208"/>
      <c r="F240" s="1208"/>
      <c r="G240" s="1208"/>
      <c r="H240" s="1208"/>
      <c r="I240" s="1208"/>
      <c r="J240" s="1208"/>
      <c r="K240" s="1208"/>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8"/>
      <c r="BE240" s="1208"/>
      <c r="BF240" s="1208"/>
      <c r="BG240" s="1208"/>
      <c r="BH240" s="1208"/>
      <c r="BI240" s="1208"/>
      <c r="BJ240" s="1208"/>
    </row>
    <row r="241" spans="1:62" s="1210" customFormat="1">
      <c r="A241" s="1212"/>
      <c r="B241" s="1209"/>
      <c r="C241" s="1209"/>
      <c r="D241" s="1208"/>
      <c r="E241" s="1208"/>
      <c r="F241" s="1208"/>
      <c r="G241" s="1208"/>
      <c r="H241" s="1208"/>
      <c r="I241" s="1208"/>
      <c r="J241" s="1208"/>
      <c r="K241" s="1208"/>
      <c r="L241" s="1208"/>
      <c r="M241" s="1208"/>
      <c r="N241" s="1208"/>
      <c r="O241" s="1208"/>
      <c r="P241" s="1208"/>
      <c r="Q241" s="1208"/>
      <c r="R241" s="1208"/>
      <c r="S241" s="1208"/>
      <c r="T241" s="1208"/>
      <c r="U241" s="1208"/>
      <c r="V241" s="1208"/>
      <c r="W241" s="1208"/>
      <c r="X241" s="1208"/>
      <c r="Y241" s="1208"/>
      <c r="Z241" s="1208"/>
      <c r="AA241" s="1208"/>
      <c r="AB241" s="1208"/>
      <c r="AC241" s="1208"/>
      <c r="AD241" s="1208"/>
      <c r="AE241" s="1208"/>
      <c r="AF241" s="1208"/>
      <c r="AG241" s="1208"/>
      <c r="AH241" s="1208"/>
      <c r="AI241" s="1208"/>
      <c r="AJ241" s="120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8"/>
      <c r="BE241" s="1208"/>
      <c r="BF241" s="1208"/>
      <c r="BG241" s="1208"/>
      <c r="BH241" s="1208"/>
      <c r="BI241" s="1208"/>
      <c r="BJ241" s="1208"/>
    </row>
    <row r="242" spans="1:62" s="1210" customFormat="1">
      <c r="A242" s="1212"/>
      <c r="B242" s="1209"/>
      <c r="C242" s="1209"/>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8"/>
      <c r="BE242" s="1208"/>
      <c r="BF242" s="1208"/>
      <c r="BG242" s="1208"/>
      <c r="BH242" s="1208"/>
      <c r="BI242" s="1208"/>
      <c r="BJ242" s="1208"/>
    </row>
    <row r="243" spans="1:62" s="1210" customFormat="1">
      <c r="A243" s="1212"/>
      <c r="B243" s="1209"/>
      <c r="C243" s="1209"/>
      <c r="D243" s="1208"/>
      <c r="E243" s="1208"/>
      <c r="F243" s="1208"/>
      <c r="G243" s="1208"/>
      <c r="H243" s="1208"/>
      <c r="I243" s="1208"/>
      <c r="J243" s="1208"/>
      <c r="K243" s="1208"/>
      <c r="L243" s="1208"/>
      <c r="M243" s="1208"/>
      <c r="N243" s="1208"/>
      <c r="O243" s="1208"/>
      <c r="P243" s="1208"/>
      <c r="Q243" s="1208"/>
      <c r="R243" s="1208"/>
      <c r="S243" s="1208"/>
      <c r="T243" s="1208"/>
      <c r="U243" s="1208"/>
      <c r="V243" s="1208"/>
      <c r="W243" s="1208"/>
      <c r="X243" s="1208"/>
      <c r="Y243" s="1208"/>
      <c r="Z243" s="1208"/>
      <c r="AA243" s="1208"/>
      <c r="AB243" s="1208"/>
      <c r="AC243" s="1208"/>
      <c r="AD243" s="1208"/>
      <c r="AE243" s="1208"/>
      <c r="AF243" s="1208"/>
      <c r="AG243" s="1208"/>
      <c r="AH243" s="1208"/>
      <c r="AI243" s="1208"/>
      <c r="AJ243" s="120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8"/>
      <c r="BE243" s="1208"/>
      <c r="BF243" s="1208"/>
      <c r="BG243" s="1208"/>
      <c r="BH243" s="1208"/>
      <c r="BI243" s="1208"/>
      <c r="BJ243" s="1208"/>
    </row>
    <row r="244" spans="1:62" s="1210" customFormat="1">
      <c r="A244" s="1212"/>
      <c r="B244" s="1209"/>
      <c r="C244" s="1209"/>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8"/>
      <c r="BE244" s="1208"/>
      <c r="BF244" s="1208"/>
      <c r="BG244" s="1208"/>
      <c r="BH244" s="1208"/>
      <c r="BI244" s="1208"/>
      <c r="BJ244" s="1208"/>
    </row>
    <row r="245" spans="1:62" s="1210" customFormat="1">
      <c r="A245" s="1212"/>
      <c r="B245" s="1209"/>
      <c r="C245" s="1209"/>
      <c r="D245" s="1208"/>
      <c r="E245" s="1208"/>
      <c r="F245" s="1208"/>
      <c r="G245" s="1208"/>
      <c r="H245" s="1208"/>
      <c r="I245" s="1208"/>
      <c r="J245" s="1208"/>
      <c r="K245" s="1208"/>
      <c r="L245" s="1208"/>
      <c r="M245" s="1208"/>
      <c r="N245" s="1208"/>
      <c r="O245" s="1208"/>
      <c r="P245" s="1208"/>
      <c r="Q245" s="1208"/>
      <c r="R245" s="1208"/>
      <c r="S245" s="1208"/>
      <c r="T245" s="1208"/>
      <c r="U245" s="1208"/>
      <c r="V245" s="1208"/>
      <c r="W245" s="1208"/>
      <c r="X245" s="1208"/>
      <c r="Y245" s="1208"/>
      <c r="Z245" s="1208"/>
      <c r="AA245" s="1208"/>
      <c r="AB245" s="1208"/>
      <c r="AC245" s="1208"/>
      <c r="AD245" s="1208"/>
      <c r="AE245" s="1208"/>
      <c r="AF245" s="1208"/>
      <c r="AG245" s="1208"/>
      <c r="AH245" s="1208"/>
      <c r="AI245" s="1208"/>
      <c r="AJ245" s="1208"/>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8"/>
      <c r="BE245" s="1208"/>
      <c r="BF245" s="1208"/>
      <c r="BG245" s="1208"/>
      <c r="BH245" s="1208"/>
      <c r="BI245" s="1208"/>
      <c r="BJ245" s="1208"/>
    </row>
    <row r="246" spans="1:62" s="1210" customFormat="1">
      <c r="A246" s="1212"/>
      <c r="B246" s="1209"/>
      <c r="C246" s="1209"/>
      <c r="D246" s="1208"/>
      <c r="E246" s="1208"/>
      <c r="F246" s="1208"/>
      <c r="G246" s="1208"/>
      <c r="H246" s="1208"/>
      <c r="I246" s="1208"/>
      <c r="J246" s="1208"/>
      <c r="K246" s="1208"/>
      <c r="L246" s="1208"/>
      <c r="M246" s="1208"/>
      <c r="N246" s="1208"/>
      <c r="O246" s="1208"/>
      <c r="P246" s="1208"/>
      <c r="Q246" s="1208"/>
      <c r="R246" s="1208"/>
      <c r="S246" s="1208"/>
      <c r="T246" s="1208"/>
      <c r="U246" s="1208"/>
      <c r="V246" s="1208"/>
      <c r="W246" s="1208"/>
      <c r="X246" s="1208"/>
      <c r="Y246" s="1208"/>
      <c r="Z246" s="1208"/>
      <c r="AA246" s="1208"/>
      <c r="AB246" s="1208"/>
      <c r="AC246" s="1208"/>
      <c r="AD246" s="1208"/>
      <c r="AE246" s="1208"/>
      <c r="AF246" s="1208"/>
      <c r="AG246" s="1208"/>
      <c r="AH246" s="1208"/>
      <c r="AI246" s="1208"/>
      <c r="AJ246" s="1208"/>
      <c r="AK246" s="1208"/>
      <c r="AL246" s="1208"/>
      <c r="AM246" s="1208"/>
      <c r="AN246" s="1208"/>
      <c r="AO246" s="1208"/>
      <c r="AP246" s="1208"/>
      <c r="AQ246" s="1208"/>
      <c r="AR246" s="1208"/>
      <c r="AS246" s="1208"/>
      <c r="AT246" s="1208"/>
      <c r="AU246" s="1208"/>
      <c r="AV246" s="1208"/>
      <c r="AW246" s="1208"/>
      <c r="AX246" s="1208"/>
      <c r="AY246" s="1208"/>
      <c r="AZ246" s="1208"/>
      <c r="BA246" s="1208"/>
      <c r="BB246" s="1208"/>
      <c r="BC246" s="1208"/>
      <c r="BD246" s="1208"/>
      <c r="BE246" s="1208"/>
      <c r="BF246" s="1208"/>
      <c r="BG246" s="1208"/>
      <c r="BH246" s="1208"/>
      <c r="BI246" s="1208"/>
      <c r="BJ246" s="1208"/>
    </row>
    <row r="247" spans="1:62" s="1210" customFormat="1">
      <c r="A247" s="1212"/>
      <c r="B247" s="1209"/>
      <c r="C247" s="1209"/>
      <c r="D247" s="1208"/>
      <c r="E247" s="1208"/>
      <c r="F247" s="1208"/>
      <c r="G247" s="1208"/>
      <c r="H247" s="1208"/>
      <c r="I247" s="1208"/>
      <c r="J247" s="1208"/>
      <c r="K247" s="1208"/>
      <c r="L247" s="1208"/>
      <c r="M247" s="1208"/>
      <c r="N247" s="1208"/>
      <c r="O247" s="1208"/>
      <c r="P247" s="1208"/>
      <c r="Q247" s="1208"/>
      <c r="R247" s="1208"/>
      <c r="S247" s="1208"/>
      <c r="T247" s="1208"/>
      <c r="U247" s="1208"/>
      <c r="V247" s="1208"/>
      <c r="W247" s="1208"/>
      <c r="X247" s="1208"/>
      <c r="Y247" s="1208"/>
      <c r="Z247" s="1208"/>
      <c r="AA247" s="1208"/>
      <c r="AB247" s="1208"/>
      <c r="AC247" s="1208"/>
      <c r="AD247" s="1208"/>
      <c r="AE247" s="1208"/>
      <c r="AF247" s="1208"/>
      <c r="AG247" s="1208"/>
      <c r="AH247" s="1208"/>
      <c r="AI247" s="1208"/>
      <c r="AJ247" s="1208"/>
      <c r="AK247" s="1208"/>
      <c r="AL247" s="1208"/>
      <c r="AM247" s="1208"/>
      <c r="AN247" s="1208"/>
      <c r="AO247" s="1208"/>
      <c r="AP247" s="1208"/>
      <c r="AQ247" s="1208"/>
      <c r="AR247" s="1208"/>
      <c r="AS247" s="1208"/>
      <c r="AT247" s="1208"/>
      <c r="AU247" s="1208"/>
      <c r="AV247" s="1208"/>
      <c r="AW247" s="1208"/>
      <c r="AX247" s="1208"/>
      <c r="AY247" s="1208"/>
      <c r="AZ247" s="1208"/>
      <c r="BA247" s="1208"/>
      <c r="BB247" s="1208"/>
      <c r="BC247" s="1208"/>
      <c r="BD247" s="1208"/>
      <c r="BE247" s="1208"/>
      <c r="BF247" s="1208"/>
      <c r="BG247" s="1208"/>
      <c r="BH247" s="1208"/>
      <c r="BI247" s="1208"/>
      <c r="BJ247" s="1208"/>
    </row>
    <row r="248" spans="1:62" s="1210" customFormat="1">
      <c r="A248" s="1212"/>
      <c r="B248" s="1209"/>
      <c r="C248" s="1209"/>
      <c r="D248" s="1208"/>
      <c r="E248" s="1208"/>
      <c r="F248" s="1208"/>
      <c r="G248" s="1208"/>
      <c r="H248" s="1208"/>
      <c r="I248" s="1208"/>
      <c r="J248" s="1208"/>
      <c r="K248" s="1208"/>
      <c r="L248" s="1208"/>
      <c r="M248" s="1208"/>
      <c r="N248" s="1208"/>
      <c r="O248" s="1208"/>
      <c r="P248" s="1208"/>
      <c r="Q248" s="1208"/>
      <c r="R248" s="1208"/>
      <c r="S248" s="1208"/>
      <c r="T248" s="1208"/>
      <c r="U248" s="1208"/>
      <c r="V248" s="1208"/>
      <c r="W248" s="1208"/>
      <c r="X248" s="1208"/>
      <c r="Y248" s="1208"/>
      <c r="Z248" s="1208"/>
      <c r="AA248" s="1208"/>
      <c r="AB248" s="1208"/>
      <c r="AC248" s="1208"/>
      <c r="AD248" s="1208"/>
      <c r="AE248" s="1208"/>
      <c r="AF248" s="1208"/>
      <c r="AG248" s="1208"/>
      <c r="AH248" s="1208"/>
      <c r="AI248" s="1208"/>
      <c r="AJ248" s="1208"/>
      <c r="AK248" s="1208"/>
      <c r="AL248" s="1208"/>
      <c r="AM248" s="1208"/>
      <c r="AN248" s="1208"/>
      <c r="AO248" s="1208"/>
      <c r="AP248" s="1208"/>
      <c r="AQ248" s="1208"/>
      <c r="AR248" s="1208"/>
      <c r="AS248" s="1208"/>
      <c r="AT248" s="1208"/>
      <c r="AU248" s="1208"/>
      <c r="AV248" s="1208"/>
      <c r="AW248" s="1208"/>
      <c r="AX248" s="1208"/>
      <c r="AY248" s="1208"/>
      <c r="AZ248" s="1208"/>
      <c r="BA248" s="1208"/>
      <c r="BB248" s="1208"/>
      <c r="BC248" s="1208"/>
      <c r="BD248" s="1208"/>
      <c r="BE248" s="1208"/>
      <c r="BF248" s="1208"/>
      <c r="BG248" s="1208"/>
      <c r="BH248" s="1208"/>
      <c r="BI248" s="1208"/>
      <c r="BJ248" s="1208"/>
    </row>
    <row r="249" spans="1:62" s="1210" customFormat="1">
      <c r="A249" s="1212"/>
      <c r="B249" s="1209"/>
      <c r="C249" s="1209"/>
      <c r="D249" s="1208"/>
      <c r="E249" s="1208"/>
      <c r="F249" s="1208"/>
      <c r="G249" s="1208"/>
      <c r="H249" s="1208"/>
      <c r="I249" s="1208"/>
      <c r="J249" s="1208"/>
      <c r="K249" s="1208"/>
      <c r="L249" s="1208"/>
      <c r="M249" s="1208"/>
      <c r="N249" s="1208"/>
      <c r="O249" s="1208"/>
      <c r="P249" s="1208"/>
      <c r="Q249" s="1208"/>
      <c r="R249" s="1208"/>
      <c r="S249" s="1208"/>
      <c r="T249" s="1208"/>
      <c r="U249" s="1208"/>
      <c r="V249" s="1208"/>
      <c r="W249" s="1208"/>
      <c r="X249" s="1208"/>
      <c r="Y249" s="1208"/>
      <c r="Z249" s="1208"/>
      <c r="AA249" s="1208"/>
      <c r="AB249" s="1208"/>
      <c r="AC249" s="1208"/>
      <c r="AD249" s="1208"/>
      <c r="AE249" s="1208"/>
      <c r="AF249" s="1208"/>
      <c r="AG249" s="1208"/>
      <c r="AH249" s="1208"/>
      <c r="AI249" s="1208"/>
      <c r="AJ249" s="1208"/>
      <c r="AK249" s="1208"/>
      <c r="AL249" s="1208"/>
      <c r="AM249" s="1208"/>
      <c r="AN249" s="1208"/>
      <c r="AO249" s="1208"/>
      <c r="AP249" s="1208"/>
      <c r="AQ249" s="1208"/>
      <c r="AR249" s="1208"/>
      <c r="AS249" s="1208"/>
      <c r="AT249" s="1208"/>
      <c r="AU249" s="1208"/>
      <c r="AV249" s="1208"/>
      <c r="AW249" s="1208"/>
      <c r="AX249" s="1208"/>
      <c r="AY249" s="1208"/>
      <c r="AZ249" s="1208"/>
      <c r="BA249" s="1208"/>
      <c r="BB249" s="1208"/>
      <c r="BC249" s="1208"/>
      <c r="BD249" s="1208"/>
      <c r="BE249" s="1208"/>
      <c r="BF249" s="1208"/>
      <c r="BG249" s="1208"/>
      <c r="BH249" s="1208"/>
      <c r="BI249" s="1208"/>
      <c r="BJ249" s="1208"/>
    </row>
    <row r="250" spans="1:62" s="1210" customFormat="1">
      <c r="A250" s="1212"/>
      <c r="B250" s="1209"/>
      <c r="C250" s="1209"/>
      <c r="D250" s="1208"/>
      <c r="E250" s="1208"/>
      <c r="F250" s="1208"/>
      <c r="G250" s="1208"/>
      <c r="H250" s="1208"/>
      <c r="I250" s="1208"/>
      <c r="J250" s="1208"/>
      <c r="K250" s="1208"/>
      <c r="L250" s="1208"/>
      <c r="M250" s="1208"/>
      <c r="N250" s="1208"/>
      <c r="O250" s="1208"/>
      <c r="P250" s="1208"/>
      <c r="Q250" s="1208"/>
      <c r="R250" s="1208"/>
      <c r="S250" s="1208"/>
      <c r="T250" s="1208"/>
      <c r="U250" s="1208"/>
      <c r="V250" s="1208"/>
      <c r="W250" s="1208"/>
      <c r="X250" s="1208"/>
      <c r="Y250" s="1208"/>
      <c r="Z250" s="1208"/>
      <c r="AA250" s="1208"/>
      <c r="AB250" s="1208"/>
      <c r="AC250" s="1208"/>
      <c r="AD250" s="1208"/>
      <c r="AE250" s="1208"/>
      <c r="AF250" s="1208"/>
      <c r="AG250" s="1208"/>
      <c r="AH250" s="1208"/>
      <c r="AI250" s="1208"/>
      <c r="AJ250" s="1208"/>
      <c r="AK250" s="1208"/>
      <c r="AL250" s="1208"/>
      <c r="AM250" s="1208"/>
      <c r="AN250" s="1208"/>
      <c r="AO250" s="1208"/>
      <c r="AP250" s="1208"/>
      <c r="AQ250" s="1208"/>
      <c r="AR250" s="1208"/>
      <c r="AS250" s="1208"/>
      <c r="AT250" s="1208"/>
      <c r="AU250" s="1208"/>
      <c r="AV250" s="1208"/>
      <c r="AW250" s="1208"/>
      <c r="AX250" s="1208"/>
      <c r="AY250" s="1208"/>
      <c r="AZ250" s="1208"/>
      <c r="BA250" s="1208"/>
      <c r="BB250" s="1208"/>
      <c r="BC250" s="1208"/>
      <c r="BD250" s="1208"/>
      <c r="BE250" s="1208"/>
      <c r="BF250" s="1208"/>
      <c r="BG250" s="1208"/>
      <c r="BH250" s="1208"/>
      <c r="BI250" s="1208"/>
      <c r="BJ250" s="1208"/>
    </row>
    <row r="251" spans="1:62" s="1210" customFormat="1">
      <c r="A251" s="1212"/>
      <c r="B251" s="1209"/>
      <c r="C251" s="1209"/>
      <c r="D251" s="1208"/>
      <c r="E251" s="1208"/>
      <c r="F251" s="1208"/>
      <c r="G251" s="1208"/>
      <c r="H251" s="1208"/>
      <c r="I251" s="1208"/>
      <c r="J251" s="1208"/>
      <c r="K251" s="1208"/>
      <c r="L251" s="1208"/>
      <c r="M251" s="1208"/>
      <c r="N251" s="1208"/>
      <c r="O251" s="1208"/>
      <c r="P251" s="1208"/>
      <c r="Q251" s="1208"/>
      <c r="R251" s="1208"/>
      <c r="S251" s="1208"/>
      <c r="T251" s="1208"/>
      <c r="U251" s="1208"/>
      <c r="V251" s="1208"/>
      <c r="W251" s="1208"/>
      <c r="X251" s="1208"/>
      <c r="Y251" s="1208"/>
      <c r="Z251" s="1208"/>
      <c r="AA251" s="1208"/>
      <c r="AB251" s="1208"/>
      <c r="AC251" s="1208"/>
      <c r="AD251" s="1208"/>
      <c r="AE251" s="1208"/>
      <c r="AF251" s="1208"/>
      <c r="AG251" s="1208"/>
      <c r="AH251" s="1208"/>
      <c r="AI251" s="1208"/>
      <c r="AJ251" s="1208"/>
      <c r="AK251" s="1208"/>
      <c r="AL251" s="1208"/>
      <c r="AM251" s="1208"/>
      <c r="AN251" s="1208"/>
      <c r="AO251" s="1208"/>
      <c r="AP251" s="1208"/>
      <c r="AQ251" s="1208"/>
      <c r="AR251" s="1208"/>
      <c r="AS251" s="1208"/>
      <c r="AT251" s="1208"/>
      <c r="AU251" s="1208"/>
      <c r="AV251" s="1208"/>
      <c r="AW251" s="1208"/>
      <c r="AX251" s="1208"/>
      <c r="AY251" s="1208"/>
      <c r="AZ251" s="1208"/>
      <c r="BA251" s="1208"/>
      <c r="BB251" s="1208"/>
      <c r="BC251" s="1208"/>
      <c r="BD251" s="1208"/>
      <c r="BE251" s="1208"/>
      <c r="BF251" s="1208"/>
      <c r="BG251" s="1208"/>
      <c r="BH251" s="1208"/>
      <c r="BI251" s="1208"/>
      <c r="BJ251" s="1208"/>
    </row>
    <row r="252" spans="1:62" s="1210" customFormat="1">
      <c r="A252" s="1212"/>
      <c r="B252" s="1209"/>
      <c r="C252" s="1209"/>
      <c r="D252" s="1208"/>
      <c r="E252" s="1208"/>
      <c r="F252" s="1208"/>
      <c r="G252" s="1208"/>
      <c r="H252" s="1208"/>
      <c r="I252" s="1208"/>
      <c r="J252" s="1208"/>
      <c r="K252" s="1208"/>
      <c r="L252" s="1208"/>
      <c r="M252" s="1208"/>
      <c r="N252" s="1208"/>
      <c r="O252" s="1208"/>
      <c r="P252" s="1208"/>
      <c r="Q252" s="1208"/>
      <c r="R252" s="1208"/>
      <c r="S252" s="1208"/>
      <c r="T252" s="1208"/>
      <c r="U252" s="1208"/>
      <c r="V252" s="1208"/>
      <c r="W252" s="1208"/>
      <c r="X252" s="1208"/>
      <c r="Y252" s="1208"/>
      <c r="Z252" s="1208"/>
      <c r="AA252" s="1208"/>
      <c r="AB252" s="1208"/>
      <c r="AC252" s="1208"/>
      <c r="AD252" s="1208"/>
      <c r="AE252" s="1208"/>
      <c r="AF252" s="1208"/>
      <c r="AG252" s="1208"/>
      <c r="AH252" s="1208"/>
      <c r="AI252" s="1208"/>
      <c r="AJ252" s="1208"/>
      <c r="AK252" s="1208"/>
      <c r="AL252" s="1208"/>
      <c r="AM252" s="1208"/>
      <c r="AN252" s="1208"/>
      <c r="AO252" s="1208"/>
      <c r="AP252" s="1208"/>
      <c r="AQ252" s="1208"/>
      <c r="AR252" s="1208"/>
      <c r="AS252" s="1208"/>
      <c r="AT252" s="1208"/>
      <c r="AU252" s="1208"/>
      <c r="AV252" s="1208"/>
      <c r="AW252" s="1208"/>
      <c r="AX252" s="1208"/>
      <c r="AY252" s="1208"/>
      <c r="AZ252" s="1208"/>
      <c r="BA252" s="1208"/>
      <c r="BB252" s="1208"/>
      <c r="BC252" s="1208"/>
      <c r="BD252" s="1208"/>
      <c r="BE252" s="1208"/>
      <c r="BF252" s="1208"/>
      <c r="BG252" s="1208"/>
      <c r="BH252" s="1208"/>
      <c r="BI252" s="1208"/>
      <c r="BJ252" s="1208"/>
    </row>
    <row r="253" spans="1:62" s="1210" customFormat="1">
      <c r="A253" s="1212"/>
      <c r="B253" s="1209"/>
      <c r="C253" s="1209"/>
      <c r="D253" s="1208"/>
      <c r="E253" s="1208"/>
      <c r="F253" s="1208"/>
      <c r="G253" s="1208"/>
      <c r="H253" s="1208"/>
      <c r="I253" s="1208"/>
      <c r="J253" s="1208"/>
      <c r="K253" s="1208"/>
      <c r="L253" s="1208"/>
      <c r="M253" s="1208"/>
      <c r="N253" s="1208"/>
      <c r="O253" s="1208"/>
      <c r="P253" s="1208"/>
      <c r="Q253" s="1208"/>
      <c r="R253" s="1208"/>
      <c r="S253" s="1208"/>
      <c r="T253" s="1208"/>
      <c r="U253" s="1208"/>
      <c r="V253" s="1208"/>
      <c r="W253" s="1208"/>
      <c r="X253" s="1208"/>
      <c r="Y253" s="1208"/>
      <c r="Z253" s="1208"/>
      <c r="AA253" s="1208"/>
      <c r="AB253" s="1208"/>
      <c r="AC253" s="1208"/>
      <c r="AD253" s="1208"/>
      <c r="AE253" s="1208"/>
      <c r="AF253" s="1208"/>
      <c r="AG253" s="1208"/>
      <c r="AH253" s="1208"/>
      <c r="AI253" s="1208"/>
      <c r="AJ253" s="1208"/>
      <c r="AK253" s="1208"/>
      <c r="AL253" s="1208"/>
      <c r="AM253" s="1208"/>
      <c r="AN253" s="1208"/>
      <c r="AO253" s="1208"/>
      <c r="AP253" s="1208"/>
      <c r="AQ253" s="1208"/>
      <c r="AR253" s="1208"/>
      <c r="AS253" s="1208"/>
      <c r="AT253" s="1208"/>
      <c r="AU253" s="1208"/>
      <c r="AV253" s="1208"/>
      <c r="AW253" s="1208"/>
      <c r="AX253" s="1208"/>
      <c r="AY253" s="1208"/>
      <c r="AZ253" s="1208"/>
      <c r="BA253" s="1208"/>
      <c r="BB253" s="1208"/>
      <c r="BC253" s="1208"/>
      <c r="BD253" s="1208"/>
      <c r="BE253" s="1208"/>
      <c r="BF253" s="1208"/>
      <c r="BG253" s="1208"/>
      <c r="BH253" s="1208"/>
      <c r="BI253" s="1208"/>
      <c r="BJ253" s="1208"/>
    </row>
    <row r="254" spans="1:62" s="1210" customFormat="1">
      <c r="A254" s="1212"/>
      <c r="B254" s="1209"/>
      <c r="C254" s="1209"/>
      <c r="D254" s="1208"/>
      <c r="E254" s="1208"/>
      <c r="F254" s="1208"/>
      <c r="G254" s="1208"/>
      <c r="H254" s="1208"/>
      <c r="I254" s="1208"/>
      <c r="J254" s="1208"/>
      <c r="K254" s="1208"/>
      <c r="L254" s="1208"/>
      <c r="M254" s="1208"/>
      <c r="N254" s="1208"/>
      <c r="O254" s="1208"/>
      <c r="P254" s="1208"/>
      <c r="Q254" s="1208"/>
      <c r="R254" s="1208"/>
      <c r="S254" s="1208"/>
      <c r="T254" s="1208"/>
      <c r="U254" s="1208"/>
      <c r="V254" s="1208"/>
      <c r="W254" s="1208"/>
      <c r="X254" s="1208"/>
      <c r="Y254" s="1208"/>
      <c r="Z254" s="1208"/>
      <c r="AA254" s="1208"/>
      <c r="AB254" s="1208"/>
      <c r="AC254" s="1208"/>
      <c r="AD254" s="1208"/>
      <c r="AE254" s="1208"/>
      <c r="AF254" s="1208"/>
      <c r="AG254" s="1208"/>
      <c r="AH254" s="1208"/>
      <c r="AI254" s="1208"/>
      <c r="AJ254" s="1208"/>
      <c r="AK254" s="1208"/>
      <c r="AL254" s="1208"/>
      <c r="AM254" s="1208"/>
      <c r="AN254" s="1208"/>
      <c r="AO254" s="1208"/>
      <c r="AP254" s="1208"/>
      <c r="AQ254" s="1208"/>
      <c r="AR254" s="1208"/>
      <c r="AS254" s="1208"/>
      <c r="AT254" s="1208"/>
      <c r="AU254" s="1208"/>
      <c r="AV254" s="1208"/>
      <c r="AW254" s="1208"/>
      <c r="AX254" s="1208"/>
      <c r="AY254" s="1208"/>
      <c r="AZ254" s="1208"/>
      <c r="BA254" s="1208"/>
      <c r="BB254" s="1208"/>
      <c r="BC254" s="1208"/>
      <c r="BD254" s="1208"/>
      <c r="BE254" s="1208"/>
      <c r="BF254" s="1208"/>
      <c r="BG254" s="1208"/>
      <c r="BH254" s="1208"/>
      <c r="BI254" s="1208"/>
      <c r="BJ254" s="1208"/>
    </row>
    <row r="255" spans="1:62" s="1210" customFormat="1">
      <c r="A255" s="1212"/>
      <c r="B255" s="1209"/>
      <c r="C255" s="1209"/>
      <c r="D255" s="1208"/>
      <c r="E255" s="1208"/>
      <c r="F255" s="1208"/>
      <c r="G255" s="1208"/>
      <c r="H255" s="1208"/>
      <c r="I255" s="1208"/>
      <c r="J255" s="1208"/>
      <c r="K255" s="1208"/>
      <c r="L255" s="1208"/>
      <c r="M255" s="1208"/>
      <c r="N255" s="1208"/>
      <c r="O255" s="1208"/>
      <c r="P255" s="1208"/>
      <c r="Q255" s="1208"/>
      <c r="R255" s="1208"/>
      <c r="S255" s="1208"/>
      <c r="T255" s="1208"/>
      <c r="U255" s="1208"/>
      <c r="V255" s="1208"/>
      <c r="W255" s="1208"/>
      <c r="X255" s="1208"/>
      <c r="Y255" s="1208"/>
      <c r="Z255" s="1208"/>
      <c r="AA255" s="1208"/>
      <c r="AB255" s="1208"/>
      <c r="AC255" s="1208"/>
      <c r="AD255" s="1208"/>
      <c r="AE255" s="1208"/>
      <c r="AF255" s="1208"/>
      <c r="AG255" s="1208"/>
      <c r="AH255" s="1208"/>
      <c r="AI255" s="1208"/>
      <c r="AJ255" s="1208"/>
      <c r="AK255" s="1208"/>
      <c r="AL255" s="1208"/>
      <c r="AM255" s="1208"/>
      <c r="AN255" s="1208"/>
      <c r="AO255" s="1208"/>
      <c r="AP255" s="1208"/>
      <c r="AQ255" s="1208"/>
      <c r="AR255" s="1208"/>
      <c r="AS255" s="1208"/>
      <c r="AT255" s="1208"/>
      <c r="AU255" s="1208"/>
      <c r="AV255" s="1208"/>
      <c r="AW255" s="1208"/>
      <c r="AX255" s="1208"/>
      <c r="AY255" s="1208"/>
      <c r="AZ255" s="1208"/>
      <c r="BA255" s="1208"/>
      <c r="BB255" s="1208"/>
      <c r="BC255" s="1208"/>
      <c r="BD255" s="1208"/>
      <c r="BE255" s="1208"/>
      <c r="BF255" s="1208"/>
      <c r="BG255" s="1208"/>
      <c r="BH255" s="1208"/>
      <c r="BI255" s="1208"/>
      <c r="BJ255" s="1208"/>
    </row>
    <row r="256" spans="1:62" s="1210" customFormat="1">
      <c r="A256" s="1212"/>
      <c r="B256" s="1209"/>
      <c r="C256" s="1209"/>
      <c r="D256" s="1208"/>
      <c r="E256" s="1208"/>
      <c r="F256" s="1208"/>
      <c r="G256" s="1208"/>
      <c r="H256" s="1208"/>
      <c r="I256" s="1208"/>
      <c r="J256" s="1208"/>
      <c r="K256" s="1208"/>
      <c r="L256" s="1208"/>
      <c r="M256" s="1208"/>
      <c r="N256" s="1208"/>
      <c r="O256" s="1208"/>
      <c r="P256" s="1208"/>
      <c r="Q256" s="1208"/>
      <c r="R256" s="1208"/>
      <c r="S256" s="1208"/>
      <c r="T256" s="1208"/>
      <c r="U256" s="1208"/>
      <c r="V256" s="1208"/>
      <c r="W256" s="1208"/>
      <c r="X256" s="1208"/>
      <c r="Y256" s="1208"/>
      <c r="Z256" s="1208"/>
      <c r="AA256" s="1208"/>
      <c r="AB256" s="1208"/>
      <c r="AC256" s="1208"/>
      <c r="AD256" s="1208"/>
      <c r="AE256" s="1208"/>
      <c r="AF256" s="1208"/>
      <c r="AG256" s="1208"/>
      <c r="AH256" s="1208"/>
      <c r="AI256" s="1208"/>
      <c r="AJ256" s="1208"/>
      <c r="AK256" s="1208"/>
      <c r="AL256" s="1208"/>
      <c r="AM256" s="1208"/>
      <c r="AN256" s="1208"/>
      <c r="AO256" s="1208"/>
      <c r="AP256" s="1208"/>
      <c r="AQ256" s="1208"/>
      <c r="AR256" s="1208"/>
      <c r="AS256" s="1208"/>
      <c r="AT256" s="1208"/>
      <c r="AU256" s="1208"/>
      <c r="AV256" s="1208"/>
      <c r="AW256" s="1208"/>
      <c r="AX256" s="1208"/>
      <c r="AY256" s="1208"/>
      <c r="AZ256" s="1208"/>
      <c r="BA256" s="1208"/>
      <c r="BB256" s="1208"/>
      <c r="BC256" s="1208"/>
      <c r="BD256" s="1208"/>
      <c r="BE256" s="1208"/>
      <c r="BF256" s="1208"/>
      <c r="BG256" s="1208"/>
      <c r="BH256" s="1208"/>
      <c r="BI256" s="1208"/>
      <c r="BJ256" s="1208"/>
    </row>
    <row r="257" spans="1:62" s="1210" customFormat="1">
      <c r="A257" s="1212"/>
      <c r="B257" s="1209"/>
      <c r="C257" s="1209"/>
      <c r="D257" s="1208"/>
      <c r="E257" s="1208"/>
      <c r="F257" s="1208"/>
      <c r="G257" s="1208"/>
      <c r="H257" s="1208"/>
      <c r="I257" s="1208"/>
      <c r="J257" s="1208"/>
      <c r="K257" s="1208"/>
      <c r="L257" s="1208"/>
      <c r="M257" s="1208"/>
      <c r="N257" s="1208"/>
      <c r="O257" s="1208"/>
      <c r="P257" s="1208"/>
      <c r="Q257" s="1208"/>
      <c r="R257" s="1208"/>
      <c r="S257" s="1208"/>
      <c r="T257" s="1208"/>
      <c r="U257" s="1208"/>
      <c r="V257" s="1208"/>
      <c r="W257" s="1208"/>
      <c r="X257" s="1208"/>
      <c r="Y257" s="1208"/>
      <c r="Z257" s="1208"/>
      <c r="AA257" s="1208"/>
      <c r="AB257" s="1208"/>
      <c r="AC257" s="1208"/>
      <c r="AD257" s="1208"/>
      <c r="AE257" s="1208"/>
      <c r="AF257" s="1208"/>
      <c r="AG257" s="1208"/>
      <c r="AH257" s="1208"/>
      <c r="AI257" s="1208"/>
      <c r="AJ257" s="1208"/>
      <c r="AK257" s="1208"/>
      <c r="AL257" s="1208"/>
      <c r="AM257" s="1208"/>
      <c r="AN257" s="1208"/>
      <c r="AO257" s="1208"/>
      <c r="AP257" s="1208"/>
      <c r="AQ257" s="1208"/>
      <c r="AR257" s="1208"/>
      <c r="AS257" s="1208"/>
      <c r="AT257" s="1208"/>
      <c r="AU257" s="1208"/>
      <c r="AV257" s="1208"/>
      <c r="AW257" s="1208"/>
      <c r="AX257" s="1208"/>
      <c r="AY257" s="1208"/>
      <c r="AZ257" s="1208"/>
      <c r="BA257" s="1208"/>
      <c r="BB257" s="1208"/>
      <c r="BC257" s="1208"/>
      <c r="BD257" s="1208"/>
      <c r="BE257" s="1208"/>
      <c r="BF257" s="1208"/>
      <c r="BG257" s="1208"/>
      <c r="BH257" s="1208"/>
      <c r="BI257" s="1208"/>
      <c r="BJ257" s="1208"/>
    </row>
    <row r="258" spans="1:62" s="1210" customFormat="1">
      <c r="A258" s="1212"/>
      <c r="B258" s="1209"/>
      <c r="C258" s="1209"/>
      <c r="D258" s="1208"/>
      <c r="E258" s="1208"/>
      <c r="F258" s="1208"/>
      <c r="G258" s="1208"/>
      <c r="H258" s="1208"/>
      <c r="I258" s="1208"/>
      <c r="J258" s="1208"/>
      <c r="K258" s="1208"/>
      <c r="L258" s="1208"/>
      <c r="M258" s="1208"/>
      <c r="N258" s="1208"/>
      <c r="O258" s="1208"/>
      <c r="P258" s="1208"/>
      <c r="Q258" s="1208"/>
      <c r="R258" s="1208"/>
      <c r="S258" s="1208"/>
      <c r="T258" s="1208"/>
      <c r="U258" s="1208"/>
      <c r="V258" s="1208"/>
      <c r="W258" s="1208"/>
      <c r="X258" s="1208"/>
      <c r="Y258" s="1208"/>
      <c r="Z258" s="1208"/>
      <c r="AA258" s="1208"/>
      <c r="AB258" s="1208"/>
      <c r="AC258" s="1208"/>
      <c r="AD258" s="1208"/>
      <c r="AE258" s="1208"/>
      <c r="AF258" s="1208"/>
      <c r="AG258" s="1208"/>
      <c r="AH258" s="1208"/>
      <c r="AI258" s="1208"/>
      <c r="AJ258" s="1208"/>
      <c r="AK258" s="1208"/>
      <c r="AL258" s="1208"/>
      <c r="AM258" s="1208"/>
      <c r="AN258" s="1208"/>
      <c r="AO258" s="1208"/>
      <c r="AP258" s="1208"/>
      <c r="AQ258" s="1208"/>
      <c r="AR258" s="1208"/>
      <c r="AS258" s="1208"/>
      <c r="AT258" s="1208"/>
      <c r="AU258" s="1208"/>
      <c r="AV258" s="1208"/>
      <c r="AW258" s="1208"/>
      <c r="AX258" s="1208"/>
      <c r="AY258" s="1208"/>
      <c r="AZ258" s="1208"/>
      <c r="BA258" s="1208"/>
      <c r="BB258" s="1208"/>
      <c r="BC258" s="1208"/>
      <c r="BD258" s="1208"/>
      <c r="BE258" s="1208"/>
      <c r="BF258" s="1208"/>
      <c r="BG258" s="1208"/>
      <c r="BH258" s="1208"/>
      <c r="BI258" s="1208"/>
      <c r="BJ258" s="1208"/>
    </row>
    <row r="259" spans="1:62" s="1210" customFormat="1">
      <c r="A259" s="1212"/>
      <c r="B259" s="1209"/>
      <c r="C259" s="1209"/>
      <c r="D259" s="1208"/>
      <c r="E259" s="1208"/>
      <c r="F259" s="1208"/>
      <c r="G259" s="1208"/>
      <c r="H259" s="1208"/>
      <c r="I259" s="1208"/>
      <c r="J259" s="1208"/>
      <c r="K259" s="1208"/>
      <c r="L259" s="1208"/>
      <c r="M259" s="1208"/>
      <c r="N259" s="1208"/>
      <c r="O259" s="1208"/>
      <c r="P259" s="1208"/>
      <c r="Q259" s="1208"/>
      <c r="R259" s="1208"/>
      <c r="S259" s="1208"/>
      <c r="T259" s="1208"/>
      <c r="U259" s="1208"/>
      <c r="V259" s="1208"/>
      <c r="W259" s="1208"/>
      <c r="X259" s="1208"/>
      <c r="Y259" s="1208"/>
      <c r="Z259" s="1208"/>
      <c r="AA259" s="1208"/>
      <c r="AB259" s="1208"/>
      <c r="AC259" s="1208"/>
      <c r="AD259" s="1208"/>
      <c r="AE259" s="1208"/>
      <c r="AF259" s="1208"/>
      <c r="AG259" s="1208"/>
      <c r="AH259" s="1208"/>
      <c r="AI259" s="1208"/>
      <c r="AJ259" s="1208"/>
      <c r="AK259" s="1208"/>
      <c r="AL259" s="1208"/>
      <c r="AM259" s="1208"/>
      <c r="AN259" s="1208"/>
      <c r="AO259" s="1208"/>
      <c r="AP259" s="1208"/>
      <c r="AQ259" s="1208"/>
      <c r="AR259" s="1208"/>
      <c r="AS259" s="1208"/>
      <c r="AT259" s="1208"/>
      <c r="AU259" s="1208"/>
      <c r="AV259" s="1208"/>
      <c r="AW259" s="1208"/>
      <c r="AX259" s="1208"/>
      <c r="AY259" s="1208"/>
      <c r="AZ259" s="1208"/>
      <c r="BA259" s="1208"/>
      <c r="BB259" s="1208"/>
      <c r="BC259" s="1208"/>
      <c r="BD259" s="1208"/>
      <c r="BE259" s="1208"/>
      <c r="BF259" s="1208"/>
      <c r="BG259" s="1208"/>
      <c r="BH259" s="1208"/>
      <c r="BI259" s="1208"/>
      <c r="BJ259" s="1208"/>
    </row>
    <row r="260" spans="1:62" s="1210" customFormat="1">
      <c r="A260" s="1212"/>
      <c r="B260" s="1209"/>
      <c r="C260" s="1209"/>
      <c r="D260" s="1208"/>
      <c r="E260" s="1208"/>
      <c r="F260" s="1208"/>
      <c r="G260" s="1208"/>
      <c r="H260" s="1208"/>
      <c r="I260" s="1208"/>
      <c r="J260" s="1208"/>
      <c r="K260" s="1208"/>
      <c r="L260" s="1208"/>
      <c r="M260" s="1208"/>
      <c r="N260" s="1208"/>
      <c r="O260" s="1208"/>
      <c r="P260" s="1208"/>
      <c r="Q260" s="1208"/>
      <c r="R260" s="1208"/>
      <c r="S260" s="1208"/>
      <c r="T260" s="1208"/>
      <c r="U260" s="1208"/>
      <c r="V260" s="1208"/>
      <c r="W260" s="1208"/>
      <c r="X260" s="1208"/>
      <c r="Y260" s="1208"/>
      <c r="Z260" s="1208"/>
      <c r="AA260" s="1208"/>
      <c r="AB260" s="1208"/>
      <c r="AC260" s="1208"/>
      <c r="AD260" s="1208"/>
      <c r="AE260" s="1208"/>
      <c r="AF260" s="1208"/>
      <c r="AG260" s="1208"/>
      <c r="AH260" s="1208"/>
      <c r="AI260" s="1208"/>
      <c r="AJ260" s="1208"/>
      <c r="AK260" s="1208"/>
      <c r="AL260" s="1208"/>
      <c r="AM260" s="1208"/>
      <c r="AN260" s="1208"/>
      <c r="AO260" s="1208"/>
      <c r="AP260" s="1208"/>
      <c r="AQ260" s="1208"/>
      <c r="AR260" s="1208"/>
      <c r="AS260" s="1208"/>
      <c r="AT260" s="1208"/>
      <c r="AU260" s="1208"/>
      <c r="AV260" s="1208"/>
      <c r="AW260" s="1208"/>
      <c r="AX260" s="1208"/>
      <c r="AY260" s="1208"/>
      <c r="AZ260" s="1208"/>
      <c r="BA260" s="1208"/>
      <c r="BB260" s="1208"/>
      <c r="BC260" s="1208"/>
      <c r="BD260" s="1208"/>
      <c r="BE260" s="1208"/>
      <c r="BF260" s="1208"/>
      <c r="BG260" s="1208"/>
      <c r="BH260" s="1208"/>
      <c r="BI260" s="1208"/>
      <c r="BJ260" s="1208"/>
    </row>
    <row r="261" spans="1:62" s="1210" customFormat="1">
      <c r="A261" s="1212"/>
      <c r="B261" s="1209"/>
      <c r="C261" s="1209"/>
      <c r="D261" s="1208"/>
      <c r="E261" s="1208"/>
      <c r="F261" s="1208"/>
      <c r="G261" s="1208"/>
      <c r="H261" s="1208"/>
      <c r="I261" s="1208"/>
      <c r="J261" s="1208"/>
      <c r="K261" s="1208"/>
      <c r="L261" s="1208"/>
      <c r="M261" s="1208"/>
      <c r="N261" s="1208"/>
      <c r="O261" s="1208"/>
      <c r="P261" s="1208"/>
      <c r="Q261" s="1208"/>
      <c r="R261" s="1208"/>
      <c r="S261" s="1208"/>
      <c r="T261" s="1208"/>
      <c r="U261" s="1208"/>
      <c r="V261" s="1208"/>
      <c r="W261" s="1208"/>
      <c r="X261" s="1208"/>
      <c r="Y261" s="1208"/>
      <c r="Z261" s="1208"/>
      <c r="AA261" s="1208"/>
      <c r="AB261" s="1208"/>
      <c r="AC261" s="1208"/>
      <c r="AD261" s="1208"/>
      <c r="AE261" s="1208"/>
      <c r="AF261" s="1208"/>
      <c r="AG261" s="1208"/>
      <c r="AH261" s="1208"/>
      <c r="AI261" s="1208"/>
      <c r="AJ261" s="1208"/>
      <c r="AK261" s="1208"/>
      <c r="AL261" s="1208"/>
      <c r="AM261" s="1208"/>
      <c r="AN261" s="1208"/>
      <c r="AO261" s="1208"/>
      <c r="AP261" s="1208"/>
      <c r="AQ261" s="1208"/>
      <c r="AR261" s="1208"/>
      <c r="AS261" s="1208"/>
      <c r="AT261" s="1208"/>
      <c r="AU261" s="1208"/>
      <c r="AV261" s="1208"/>
      <c r="AW261" s="1208"/>
      <c r="AX261" s="1208"/>
      <c r="AY261" s="1208"/>
      <c r="AZ261" s="1208"/>
      <c r="BA261" s="1208"/>
      <c r="BB261" s="1208"/>
      <c r="BC261" s="1208"/>
      <c r="BD261" s="1208"/>
      <c r="BE261" s="1208"/>
      <c r="BF261" s="1208"/>
      <c r="BG261" s="1208"/>
      <c r="BH261" s="1208"/>
      <c r="BI261" s="1208"/>
      <c r="BJ261" s="1208"/>
    </row>
    <row r="262" spans="1:62" s="1210" customFormat="1">
      <c r="A262" s="1212"/>
      <c r="B262" s="1209"/>
      <c r="C262" s="1209"/>
      <c r="D262" s="1208"/>
      <c r="E262" s="1208"/>
      <c r="F262" s="1208"/>
      <c r="G262" s="1208"/>
      <c r="H262" s="1208"/>
      <c r="I262" s="1208"/>
      <c r="J262" s="1208"/>
      <c r="K262" s="1208"/>
      <c r="L262" s="1208"/>
      <c r="M262" s="1208"/>
      <c r="N262" s="1208"/>
      <c r="O262" s="1208"/>
      <c r="P262" s="1208"/>
      <c r="Q262" s="1208"/>
      <c r="R262" s="1208"/>
      <c r="S262" s="1208"/>
      <c r="T262" s="1208"/>
      <c r="U262" s="1208"/>
      <c r="V262" s="1208"/>
      <c r="W262" s="1208"/>
      <c r="X262" s="1208"/>
      <c r="Y262" s="1208"/>
      <c r="Z262" s="1208"/>
      <c r="AA262" s="1208"/>
      <c r="AB262" s="1208"/>
      <c r="AC262" s="1208"/>
      <c r="AD262" s="1208"/>
      <c r="AE262" s="1208"/>
      <c r="AF262" s="1208"/>
      <c r="AG262" s="1208"/>
      <c r="AH262" s="1208"/>
      <c r="AI262" s="1208"/>
      <c r="AJ262" s="1208"/>
      <c r="AK262" s="1208"/>
      <c r="AL262" s="1208"/>
      <c r="AM262" s="1208"/>
      <c r="AN262" s="1208"/>
      <c r="AO262" s="1208"/>
      <c r="AP262" s="1208"/>
      <c r="AQ262" s="1208"/>
      <c r="AR262" s="1208"/>
      <c r="AS262" s="1208"/>
      <c r="AT262" s="1208"/>
      <c r="AU262" s="1208"/>
      <c r="AV262" s="1208"/>
      <c r="AW262" s="1208"/>
      <c r="AX262" s="1208"/>
      <c r="AY262" s="1208"/>
      <c r="AZ262" s="1208"/>
      <c r="BA262" s="1208"/>
      <c r="BB262" s="1208"/>
      <c r="BC262" s="1208"/>
      <c r="BD262" s="1208"/>
      <c r="BE262" s="1208"/>
      <c r="BF262" s="1208"/>
      <c r="BG262" s="1208"/>
      <c r="BH262" s="1208"/>
      <c r="BI262" s="1208"/>
      <c r="BJ262" s="1208"/>
    </row>
    <row r="263" spans="1:62" s="1210" customFormat="1">
      <c r="A263" s="1212"/>
      <c r="B263" s="1209"/>
      <c r="C263" s="1209"/>
      <c r="D263" s="1208"/>
      <c r="E263" s="1208"/>
      <c r="F263" s="1208"/>
      <c r="G263" s="1208"/>
      <c r="H263" s="1208"/>
      <c r="I263" s="1208"/>
      <c r="J263" s="1208"/>
      <c r="K263" s="1208"/>
      <c r="L263" s="1208"/>
      <c r="M263" s="1208"/>
      <c r="N263" s="1208"/>
      <c r="O263" s="1208"/>
      <c r="P263" s="1208"/>
      <c r="Q263" s="1208"/>
      <c r="R263" s="1208"/>
      <c r="S263" s="1208"/>
      <c r="T263" s="1208"/>
      <c r="U263" s="1208"/>
      <c r="V263" s="1208"/>
      <c r="W263" s="1208"/>
      <c r="X263" s="1208"/>
      <c r="Y263" s="1208"/>
      <c r="Z263" s="1208"/>
      <c r="AA263" s="1208"/>
      <c r="AB263" s="1208"/>
      <c r="AC263" s="1208"/>
      <c r="AD263" s="1208"/>
      <c r="AE263" s="1208"/>
      <c r="AF263" s="1208"/>
      <c r="AG263" s="1208"/>
      <c r="AH263" s="1208"/>
      <c r="AI263" s="1208"/>
      <c r="AJ263" s="1208"/>
      <c r="AK263" s="1208"/>
      <c r="AL263" s="1208"/>
      <c r="AM263" s="1208"/>
      <c r="AN263" s="1208"/>
      <c r="AO263" s="1208"/>
      <c r="AP263" s="1208"/>
      <c r="AQ263" s="1208"/>
      <c r="AR263" s="1208"/>
      <c r="AS263" s="1208"/>
      <c r="AT263" s="1208"/>
      <c r="AU263" s="1208"/>
      <c r="AV263" s="1208"/>
      <c r="AW263" s="1208"/>
      <c r="AX263" s="1208"/>
      <c r="AY263" s="1208"/>
      <c r="AZ263" s="1208"/>
      <c r="BA263" s="1208"/>
      <c r="BB263" s="1208"/>
      <c r="BC263" s="1208"/>
      <c r="BD263" s="1208"/>
      <c r="BE263" s="1208"/>
      <c r="BF263" s="1208"/>
      <c r="BG263" s="1208"/>
      <c r="BH263" s="1208"/>
      <c r="BI263" s="1208"/>
      <c r="BJ263" s="1208"/>
    </row>
    <row r="264" spans="1:62" s="1210" customFormat="1">
      <c r="A264" s="1212"/>
      <c r="B264" s="1209"/>
      <c r="C264" s="1209"/>
      <c r="D264" s="1208"/>
      <c r="E264" s="1208"/>
      <c r="F264" s="1208"/>
      <c r="G264" s="1208"/>
      <c r="H264" s="1208"/>
      <c r="I264" s="1208"/>
      <c r="J264" s="1208"/>
      <c r="K264" s="1208"/>
      <c r="L264" s="1208"/>
      <c r="M264" s="1208"/>
      <c r="N264" s="1208"/>
      <c r="O264" s="1208"/>
      <c r="P264" s="1208"/>
      <c r="Q264" s="1208"/>
      <c r="R264" s="1208"/>
      <c r="S264" s="1208"/>
      <c r="T264" s="1208"/>
      <c r="U264" s="1208"/>
      <c r="V264" s="1208"/>
      <c r="W264" s="1208"/>
      <c r="X264" s="1208"/>
      <c r="Y264" s="1208"/>
      <c r="Z264" s="1208"/>
      <c r="AA264" s="1208"/>
      <c r="AB264" s="1208"/>
      <c r="AC264" s="1208"/>
      <c r="AD264" s="1208"/>
      <c r="AE264" s="1208"/>
      <c r="AF264" s="1208"/>
      <c r="AG264" s="1208"/>
      <c r="AH264" s="1208"/>
      <c r="AI264" s="1208"/>
      <c r="AJ264" s="1208"/>
      <c r="AK264" s="1208"/>
      <c r="AL264" s="1208"/>
      <c r="AM264" s="1208"/>
      <c r="AN264" s="1208"/>
      <c r="AO264" s="1208"/>
      <c r="AP264" s="1208"/>
      <c r="AQ264" s="1208"/>
      <c r="AR264" s="1208"/>
      <c r="AS264" s="1208"/>
      <c r="AT264" s="1208"/>
      <c r="AU264" s="1208"/>
      <c r="AV264" s="1208"/>
      <c r="AW264" s="1208"/>
      <c r="AX264" s="1208"/>
      <c r="AY264" s="1208"/>
      <c r="AZ264" s="1208"/>
      <c r="BA264" s="1208"/>
      <c r="BB264" s="1208"/>
      <c r="BC264" s="1208"/>
      <c r="BD264" s="1208"/>
      <c r="BE264" s="1208"/>
      <c r="BF264" s="1208"/>
      <c r="BG264" s="1208"/>
      <c r="BH264" s="1208"/>
      <c r="BI264" s="1208"/>
      <c r="BJ264" s="1208"/>
    </row>
    <row r="265" spans="1:62" s="1210" customFormat="1">
      <c r="A265" s="1212"/>
      <c r="B265" s="1209"/>
      <c r="C265" s="1209"/>
      <c r="D265" s="1208"/>
      <c r="E265" s="1208"/>
      <c r="F265" s="1208"/>
      <c r="G265" s="1208"/>
      <c r="H265" s="1208"/>
      <c r="I265" s="1208"/>
      <c r="J265" s="1208"/>
      <c r="K265" s="1208"/>
      <c r="L265" s="1208"/>
      <c r="M265" s="1208"/>
      <c r="N265" s="1208"/>
      <c r="O265" s="1208"/>
      <c r="P265" s="1208"/>
      <c r="Q265" s="1208"/>
      <c r="R265" s="1208"/>
      <c r="S265" s="1208"/>
      <c r="T265" s="1208"/>
      <c r="U265" s="1208"/>
      <c r="V265" s="1208"/>
      <c r="W265" s="1208"/>
      <c r="X265" s="1208"/>
      <c r="Y265" s="1208"/>
      <c r="Z265" s="1208"/>
      <c r="AA265" s="1208"/>
      <c r="AB265" s="1208"/>
      <c r="AC265" s="1208"/>
      <c r="AD265" s="1208"/>
      <c r="AE265" s="1208"/>
      <c r="AF265" s="1208"/>
      <c r="AG265" s="1208"/>
      <c r="AH265" s="1208"/>
      <c r="AI265" s="1208"/>
      <c r="AJ265" s="1208"/>
      <c r="AK265" s="1208"/>
      <c r="AL265" s="1208"/>
      <c r="AM265" s="1208"/>
      <c r="AN265" s="1208"/>
      <c r="AO265" s="1208"/>
      <c r="AP265" s="1208"/>
      <c r="AQ265" s="1208"/>
      <c r="AR265" s="1208"/>
      <c r="AS265" s="1208"/>
      <c r="AT265" s="1208"/>
      <c r="AU265" s="1208"/>
      <c r="AV265" s="1208"/>
      <c r="AW265" s="1208"/>
      <c r="AX265" s="1208"/>
      <c r="AY265" s="1208"/>
      <c r="AZ265" s="1208"/>
      <c r="BA265" s="1208"/>
      <c r="BB265" s="1208"/>
      <c r="BC265" s="1208"/>
      <c r="BD265" s="1208"/>
      <c r="BE265" s="1208"/>
      <c r="BF265" s="1208"/>
      <c r="BG265" s="1208"/>
      <c r="BH265" s="1208"/>
      <c r="BI265" s="1208"/>
      <c r="BJ265" s="1208"/>
    </row>
    <row r="266" spans="1:62" s="1210" customFormat="1">
      <c r="A266" s="1212"/>
      <c r="B266" s="1209"/>
      <c r="C266" s="1209"/>
      <c r="D266" s="1208"/>
      <c r="E266" s="1208"/>
      <c r="F266" s="1208"/>
      <c r="G266" s="1208"/>
      <c r="H266" s="1208"/>
      <c r="I266" s="1208"/>
      <c r="J266" s="1208"/>
      <c r="K266" s="1208"/>
      <c r="L266" s="1208"/>
      <c r="M266" s="1208"/>
      <c r="N266" s="1208"/>
      <c r="O266" s="1208"/>
      <c r="P266" s="1208"/>
      <c r="Q266" s="1208"/>
      <c r="R266" s="1208"/>
      <c r="S266" s="1208"/>
      <c r="T266" s="1208"/>
      <c r="U266" s="1208"/>
      <c r="V266" s="1208"/>
      <c r="W266" s="1208"/>
      <c r="X266" s="1208"/>
      <c r="Y266" s="1208"/>
      <c r="Z266" s="1208"/>
      <c r="AA266" s="1208"/>
      <c r="AB266" s="1208"/>
      <c r="AC266" s="1208"/>
      <c r="AD266" s="1208"/>
      <c r="AE266" s="1208"/>
      <c r="AF266" s="1208"/>
      <c r="AG266" s="1208"/>
      <c r="AH266" s="1208"/>
      <c r="AI266" s="1208"/>
      <c r="AJ266" s="1208"/>
      <c r="AK266" s="1208"/>
      <c r="AL266" s="1208"/>
      <c r="AM266" s="1208"/>
      <c r="AN266" s="1208"/>
      <c r="AO266" s="1208"/>
      <c r="AP266" s="1208"/>
      <c r="AQ266" s="1208"/>
      <c r="AR266" s="1208"/>
      <c r="AS266" s="1208"/>
      <c r="AT266" s="1208"/>
      <c r="AU266" s="1208"/>
      <c r="AV266" s="1208"/>
      <c r="AW266" s="1208"/>
      <c r="AX266" s="1208"/>
      <c r="AY266" s="1208"/>
      <c r="AZ266" s="1208"/>
      <c r="BA266" s="1208"/>
      <c r="BB266" s="1208"/>
      <c r="BC266" s="1208"/>
      <c r="BD266" s="1208"/>
      <c r="BE266" s="1208"/>
      <c r="BF266" s="1208"/>
      <c r="BG266" s="1208"/>
      <c r="BH266" s="1208"/>
      <c r="BI266" s="1208"/>
      <c r="BJ266" s="1208"/>
    </row>
    <row r="267" spans="1:62" s="1210" customFormat="1">
      <c r="A267" s="1212"/>
      <c r="B267" s="1209"/>
      <c r="C267" s="1209"/>
      <c r="D267" s="1208"/>
      <c r="E267" s="1208"/>
      <c r="F267" s="1208"/>
      <c r="G267" s="1208"/>
      <c r="H267" s="1208"/>
      <c r="I267" s="1208"/>
      <c r="J267" s="1208"/>
      <c r="K267" s="1208"/>
      <c r="L267" s="1208"/>
      <c r="M267" s="1208"/>
      <c r="N267" s="1208"/>
      <c r="O267" s="1208"/>
      <c r="P267" s="1208"/>
      <c r="Q267" s="1208"/>
      <c r="R267" s="1208"/>
      <c r="S267" s="1208"/>
      <c r="T267" s="1208"/>
      <c r="U267" s="1208"/>
      <c r="V267" s="1208"/>
      <c r="W267" s="1208"/>
      <c r="X267" s="1208"/>
      <c r="Y267" s="1208"/>
      <c r="Z267" s="1208"/>
      <c r="AA267" s="1208"/>
      <c r="AB267" s="1208"/>
      <c r="AC267" s="1208"/>
      <c r="AD267" s="1208"/>
      <c r="AE267" s="1208"/>
      <c r="AF267" s="1208"/>
      <c r="AG267" s="1208"/>
      <c r="AH267" s="1208"/>
      <c r="AI267" s="1208"/>
      <c r="AJ267" s="1208"/>
      <c r="AK267" s="1208"/>
      <c r="AL267" s="1208"/>
      <c r="AM267" s="1208"/>
      <c r="AN267" s="1208"/>
      <c r="AO267" s="1208"/>
      <c r="AP267" s="1208"/>
      <c r="AQ267" s="1208"/>
      <c r="AR267" s="1208"/>
      <c r="AS267" s="1208"/>
      <c r="AT267" s="1208"/>
      <c r="AU267" s="1208"/>
      <c r="AV267" s="1208"/>
      <c r="AW267" s="1208"/>
      <c r="AX267" s="1208"/>
      <c r="AY267" s="1208"/>
      <c r="AZ267" s="1208"/>
      <c r="BA267" s="1208"/>
      <c r="BB267" s="1208"/>
      <c r="BC267" s="1208"/>
      <c r="BD267" s="1208"/>
      <c r="BE267" s="1208"/>
      <c r="BF267" s="1208"/>
      <c r="BG267" s="1208"/>
      <c r="BH267" s="1208"/>
      <c r="BI267" s="1208"/>
      <c r="BJ267" s="1208"/>
    </row>
    <row r="268" spans="1:62" s="1210" customFormat="1">
      <c r="A268" s="1212"/>
      <c r="B268" s="1209"/>
      <c r="C268" s="1209"/>
      <c r="D268" s="1208"/>
      <c r="E268" s="1208"/>
      <c r="F268" s="1208"/>
      <c r="G268" s="1208"/>
      <c r="H268" s="1208"/>
      <c r="I268" s="1208"/>
      <c r="J268" s="1208"/>
      <c r="K268" s="1208"/>
      <c r="L268" s="1208"/>
      <c r="M268" s="1208"/>
      <c r="N268" s="1208"/>
      <c r="O268" s="1208"/>
      <c r="P268" s="1208"/>
      <c r="Q268" s="1208"/>
      <c r="R268" s="1208"/>
      <c r="S268" s="1208"/>
      <c r="T268" s="1208"/>
      <c r="U268" s="1208"/>
      <c r="V268" s="1208"/>
      <c r="W268" s="1208"/>
      <c r="X268" s="1208"/>
      <c r="Y268" s="1208"/>
      <c r="Z268" s="1208"/>
      <c r="AA268" s="1208"/>
      <c r="AB268" s="1208"/>
      <c r="AC268" s="1208"/>
      <c r="AD268" s="1208"/>
      <c r="AE268" s="1208"/>
      <c r="AF268" s="1208"/>
      <c r="AG268" s="1208"/>
      <c r="AH268" s="1208"/>
      <c r="AI268" s="1208"/>
      <c r="AJ268" s="1208"/>
      <c r="AK268" s="1208"/>
      <c r="AL268" s="1208"/>
      <c r="AM268" s="1208"/>
      <c r="AN268" s="1208"/>
      <c r="AO268" s="1208"/>
      <c r="AP268" s="1208"/>
      <c r="AQ268" s="1208"/>
      <c r="AR268" s="1208"/>
      <c r="AS268" s="1208"/>
      <c r="AT268" s="1208"/>
      <c r="AU268" s="1208"/>
      <c r="AV268" s="1208"/>
      <c r="AW268" s="1208"/>
      <c r="AX268" s="1208"/>
      <c r="AY268" s="1208"/>
      <c r="AZ268" s="1208"/>
      <c r="BA268" s="1208"/>
      <c r="BB268" s="1208"/>
      <c r="BC268" s="1208"/>
      <c r="BD268" s="1208"/>
      <c r="BE268" s="1208"/>
      <c r="BF268" s="1208"/>
      <c r="BG268" s="1208"/>
      <c r="BH268" s="1208"/>
      <c r="BI268" s="1208"/>
      <c r="BJ268" s="1208"/>
    </row>
    <row r="269" spans="1:62" s="1210" customFormat="1">
      <c r="A269" s="1212"/>
      <c r="B269" s="1209"/>
      <c r="C269" s="1209"/>
      <c r="D269" s="1208"/>
      <c r="E269" s="1208"/>
      <c r="F269" s="1208"/>
      <c r="G269" s="1208"/>
      <c r="H269" s="1208"/>
      <c r="I269" s="1208"/>
      <c r="J269" s="1208"/>
      <c r="K269" s="1208"/>
      <c r="L269" s="1208"/>
      <c r="M269" s="1208"/>
      <c r="N269" s="1208"/>
      <c r="O269" s="1208"/>
      <c r="P269" s="1208"/>
      <c r="Q269" s="1208"/>
      <c r="R269" s="1208"/>
      <c r="S269" s="1208"/>
      <c r="T269" s="1208"/>
      <c r="U269" s="1208"/>
      <c r="V269" s="1208"/>
      <c r="W269" s="1208"/>
      <c r="X269" s="1208"/>
      <c r="Y269" s="1208"/>
      <c r="Z269" s="1208"/>
      <c r="AA269" s="1208"/>
      <c r="AB269" s="1208"/>
      <c r="AC269" s="1208"/>
      <c r="AD269" s="1208"/>
      <c r="AE269" s="1208"/>
      <c r="AF269" s="1208"/>
      <c r="AG269" s="1208"/>
      <c r="AH269" s="1208"/>
      <c r="AI269" s="1208"/>
      <c r="AJ269" s="1208"/>
      <c r="AK269" s="1208"/>
      <c r="AL269" s="1208"/>
      <c r="AM269" s="1208"/>
      <c r="AN269" s="1208"/>
      <c r="AO269" s="1208"/>
      <c r="AP269" s="1208"/>
      <c r="AQ269" s="1208"/>
      <c r="AR269" s="1208"/>
      <c r="AS269" s="1208"/>
      <c r="AT269" s="1208"/>
      <c r="AU269" s="1208"/>
      <c r="AV269" s="1208"/>
      <c r="AW269" s="1208"/>
      <c r="AX269" s="1208"/>
      <c r="AY269" s="1208"/>
      <c r="AZ269" s="1208"/>
      <c r="BA269" s="1208"/>
      <c r="BB269" s="1208"/>
      <c r="BC269" s="1208"/>
      <c r="BD269" s="1208"/>
      <c r="BE269" s="1208"/>
      <c r="BF269" s="1208"/>
      <c r="BG269" s="1208"/>
      <c r="BH269" s="1208"/>
      <c r="BI269" s="1208"/>
      <c r="BJ269" s="1208"/>
    </row>
    <row r="270" spans="1:62" s="1210" customFormat="1">
      <c r="A270" s="1212"/>
      <c r="B270" s="1209"/>
      <c r="C270" s="1209"/>
      <c r="D270" s="1208"/>
      <c r="E270" s="1208"/>
      <c r="F270" s="1208"/>
      <c r="G270" s="1208"/>
      <c r="H270" s="1208"/>
      <c r="I270" s="1208"/>
      <c r="J270" s="1208"/>
      <c r="K270" s="1208"/>
      <c r="L270" s="1208"/>
      <c r="M270" s="1208"/>
      <c r="N270" s="1208"/>
      <c r="O270" s="1208"/>
      <c r="P270" s="1208"/>
      <c r="Q270" s="1208"/>
      <c r="R270" s="1208"/>
      <c r="S270" s="1208"/>
      <c r="T270" s="1208"/>
      <c r="U270" s="1208"/>
      <c r="V270" s="1208"/>
      <c r="W270" s="1208"/>
      <c r="X270" s="1208"/>
      <c r="Y270" s="1208"/>
      <c r="Z270" s="1208"/>
      <c r="AA270" s="1208"/>
      <c r="AB270" s="1208"/>
      <c r="AC270" s="1208"/>
      <c r="AD270" s="1208"/>
      <c r="AE270" s="1208"/>
      <c r="AF270" s="1208"/>
      <c r="AG270" s="1208"/>
      <c r="AH270" s="1208"/>
      <c r="AI270" s="1208"/>
      <c r="AJ270" s="1208"/>
      <c r="AK270" s="1208"/>
      <c r="AL270" s="1208"/>
      <c r="AM270" s="1208"/>
      <c r="AN270" s="1208"/>
      <c r="AO270" s="1208"/>
      <c r="AP270" s="1208"/>
      <c r="AQ270" s="1208"/>
      <c r="AR270" s="1208"/>
      <c r="AS270" s="1208"/>
      <c r="AT270" s="1208"/>
      <c r="AU270" s="1208"/>
      <c r="AV270" s="1208"/>
      <c r="AW270" s="1208"/>
      <c r="AX270" s="1208"/>
      <c r="AY270" s="1208"/>
      <c r="AZ270" s="1208"/>
      <c r="BA270" s="1208"/>
      <c r="BB270" s="1208"/>
      <c r="BC270" s="1208"/>
      <c r="BD270" s="1208"/>
      <c r="BE270" s="1208"/>
      <c r="BF270" s="1208"/>
      <c r="BG270" s="1208"/>
      <c r="BH270" s="1208"/>
      <c r="BI270" s="1208"/>
      <c r="BJ270" s="1208"/>
    </row>
    <row r="271" spans="1:62" s="1210" customFormat="1">
      <c r="A271" s="1212"/>
      <c r="B271" s="1209"/>
      <c r="C271" s="1209"/>
      <c r="D271" s="1208"/>
      <c r="E271" s="1208"/>
      <c r="F271" s="1208"/>
      <c r="G271" s="1208"/>
      <c r="H271" s="1208"/>
      <c r="I271" s="1208"/>
      <c r="J271" s="1208"/>
      <c r="K271" s="1208"/>
      <c r="L271" s="1208"/>
      <c r="M271" s="1208"/>
      <c r="N271" s="1208"/>
      <c r="O271" s="1208"/>
      <c r="P271" s="1208"/>
      <c r="Q271" s="1208"/>
      <c r="R271" s="1208"/>
      <c r="S271" s="1208"/>
      <c r="T271" s="1208"/>
      <c r="U271" s="1208"/>
      <c r="V271" s="1208"/>
      <c r="W271" s="1208"/>
      <c r="X271" s="1208"/>
      <c r="Y271" s="1208"/>
      <c r="Z271" s="1208"/>
      <c r="AA271" s="1208"/>
      <c r="AB271" s="1208"/>
      <c r="AC271" s="1208"/>
      <c r="AD271" s="1208"/>
      <c r="AE271" s="1208"/>
      <c r="AF271" s="1208"/>
      <c r="AG271" s="1208"/>
      <c r="AH271" s="1208"/>
      <c r="AI271" s="1208"/>
      <c r="AJ271" s="1208"/>
      <c r="AK271" s="1208"/>
      <c r="AL271" s="1208"/>
      <c r="AM271" s="1208"/>
      <c r="AN271" s="1208"/>
      <c r="AO271" s="1208"/>
      <c r="AP271" s="1208"/>
      <c r="AQ271" s="1208"/>
      <c r="AR271" s="1208"/>
      <c r="AS271" s="1208"/>
      <c r="AT271" s="1208"/>
      <c r="AU271" s="1208"/>
      <c r="AV271" s="1208"/>
      <c r="AW271" s="1208"/>
      <c r="AX271" s="1208"/>
      <c r="AY271" s="1208"/>
      <c r="AZ271" s="1208"/>
      <c r="BA271" s="1208"/>
      <c r="BB271" s="1208"/>
      <c r="BC271" s="1208"/>
      <c r="BD271" s="1208"/>
      <c r="BE271" s="1208"/>
      <c r="BF271" s="1208"/>
      <c r="BG271" s="1208"/>
      <c r="BH271" s="1208"/>
      <c r="BI271" s="1208"/>
      <c r="BJ271" s="1208"/>
    </row>
    <row r="272" spans="1:62" s="1210" customFormat="1">
      <c r="A272" s="1212"/>
      <c r="B272" s="1209"/>
      <c r="C272" s="1209"/>
      <c r="D272" s="1208"/>
      <c r="E272" s="1208"/>
      <c r="F272" s="1208"/>
      <c r="G272" s="1208"/>
      <c r="H272" s="1208"/>
      <c r="I272" s="1208"/>
      <c r="J272" s="1208"/>
      <c r="K272" s="1208"/>
      <c r="L272" s="1208"/>
      <c r="M272" s="1208"/>
      <c r="N272" s="1208"/>
      <c r="O272" s="1208"/>
      <c r="P272" s="1208"/>
      <c r="Q272" s="1208"/>
      <c r="R272" s="1208"/>
      <c r="S272" s="1208"/>
      <c r="T272" s="1208"/>
      <c r="U272" s="1208"/>
      <c r="V272" s="1208"/>
      <c r="W272" s="1208"/>
      <c r="X272" s="1208"/>
      <c r="Y272" s="1208"/>
      <c r="Z272" s="1208"/>
      <c r="AA272" s="1208"/>
      <c r="AB272" s="1208"/>
      <c r="AC272" s="1208"/>
      <c r="AD272" s="1208"/>
      <c r="AE272" s="1208"/>
      <c r="AF272" s="1208"/>
      <c r="AG272" s="1208"/>
      <c r="AH272" s="1208"/>
      <c r="AI272" s="1208"/>
      <c r="AJ272" s="1208"/>
      <c r="AK272" s="1208"/>
      <c r="AL272" s="1208"/>
      <c r="AM272" s="1208"/>
      <c r="AN272" s="1208"/>
      <c r="AO272" s="1208"/>
      <c r="AP272" s="1208"/>
      <c r="AQ272" s="1208"/>
      <c r="AR272" s="1208"/>
      <c r="AS272" s="1208"/>
      <c r="AT272" s="1208"/>
      <c r="AU272" s="1208"/>
      <c r="AV272" s="1208"/>
      <c r="AW272" s="1208"/>
      <c r="AX272" s="1208"/>
      <c r="AY272" s="1208"/>
      <c r="AZ272" s="1208"/>
      <c r="BA272" s="1208"/>
      <c r="BB272" s="1208"/>
      <c r="BC272" s="1208"/>
      <c r="BD272" s="1208"/>
      <c r="BE272" s="1208"/>
      <c r="BF272" s="1208"/>
      <c r="BG272" s="1208"/>
      <c r="BH272" s="1208"/>
      <c r="BI272" s="1208"/>
      <c r="BJ272" s="1208"/>
    </row>
    <row r="273" spans="1:62" s="1210" customFormat="1">
      <c r="A273" s="1212"/>
      <c r="B273" s="1209"/>
      <c r="C273" s="1209"/>
      <c r="D273" s="1208"/>
      <c r="E273" s="1208"/>
      <c r="F273" s="1208"/>
      <c r="G273" s="1208"/>
      <c r="H273" s="1208"/>
      <c r="I273" s="1208"/>
      <c r="J273" s="1208"/>
      <c r="K273" s="1208"/>
      <c r="L273" s="1208"/>
      <c r="M273" s="1208"/>
      <c r="N273" s="1208"/>
      <c r="O273" s="1208"/>
      <c r="P273" s="1208"/>
      <c r="Q273" s="1208"/>
      <c r="R273" s="1208"/>
      <c r="S273" s="1208"/>
      <c r="T273" s="1208"/>
      <c r="U273" s="1208"/>
      <c r="V273" s="1208"/>
      <c r="W273" s="1208"/>
      <c r="X273" s="1208"/>
      <c r="Y273" s="1208"/>
      <c r="Z273" s="1208"/>
      <c r="AA273" s="1208"/>
      <c r="AB273" s="1208"/>
      <c r="AC273" s="1208"/>
      <c r="AD273" s="1208"/>
      <c r="AE273" s="1208"/>
      <c r="AF273" s="1208"/>
      <c r="AG273" s="1208"/>
      <c r="AH273" s="1208"/>
      <c r="AI273" s="1208"/>
      <c r="AJ273" s="1208"/>
      <c r="AK273" s="1208"/>
      <c r="AL273" s="1208"/>
      <c r="AM273" s="1208"/>
      <c r="AN273" s="1208"/>
      <c r="AO273" s="1208"/>
      <c r="AP273" s="1208"/>
      <c r="AQ273" s="1208"/>
      <c r="AR273" s="1208"/>
      <c r="AS273" s="1208"/>
      <c r="AT273" s="1208"/>
      <c r="AU273" s="1208"/>
      <c r="AV273" s="1208"/>
      <c r="AW273" s="1208"/>
      <c r="AX273" s="1208"/>
      <c r="AY273" s="1208"/>
      <c r="AZ273" s="1208"/>
      <c r="BA273" s="1208"/>
      <c r="BB273" s="1208"/>
      <c r="BC273" s="1208"/>
      <c r="BD273" s="1208"/>
      <c r="BE273" s="1208"/>
      <c r="BF273" s="1208"/>
      <c r="BG273" s="1208"/>
      <c r="BH273" s="1208"/>
      <c r="BI273" s="1208"/>
      <c r="BJ273" s="1208"/>
    </row>
    <row r="274" spans="1:62" s="1210" customFormat="1">
      <c r="A274" s="1212"/>
      <c r="B274" s="1209"/>
      <c r="C274" s="1209"/>
      <c r="D274" s="1208"/>
      <c r="E274" s="1208"/>
      <c r="F274" s="1208"/>
      <c r="G274" s="1208"/>
      <c r="H274" s="1208"/>
      <c r="I274" s="1208"/>
      <c r="J274" s="1208"/>
      <c r="K274" s="1208"/>
      <c r="L274" s="1208"/>
      <c r="M274" s="1208"/>
      <c r="N274" s="1208"/>
      <c r="O274" s="1208"/>
      <c r="P274" s="1208"/>
      <c r="Q274" s="1208"/>
      <c r="R274" s="1208"/>
      <c r="S274" s="1208"/>
      <c r="T274" s="1208"/>
      <c r="U274" s="1208"/>
      <c r="V274" s="1208"/>
      <c r="W274" s="1208"/>
      <c r="X274" s="1208"/>
      <c r="Y274" s="1208"/>
      <c r="Z274" s="1208"/>
      <c r="AA274" s="1208"/>
      <c r="AB274" s="1208"/>
      <c r="AC274" s="1208"/>
      <c r="AD274" s="1208"/>
      <c r="AE274" s="1208"/>
      <c r="AF274" s="1208"/>
      <c r="AG274" s="1208"/>
      <c r="AH274" s="1208"/>
      <c r="AI274" s="1208"/>
      <c r="AJ274" s="1208"/>
      <c r="AK274" s="1208"/>
      <c r="AL274" s="1208"/>
      <c r="AM274" s="1208"/>
      <c r="AN274" s="1208"/>
      <c r="AO274" s="1208"/>
      <c r="AP274" s="1208"/>
      <c r="AQ274" s="1208"/>
      <c r="AR274" s="1208"/>
      <c r="AS274" s="1208"/>
      <c r="AT274" s="1208"/>
      <c r="AU274" s="1208"/>
      <c r="AV274" s="1208"/>
      <c r="AW274" s="1208"/>
      <c r="AX274" s="1208"/>
      <c r="AY274" s="1208"/>
      <c r="AZ274" s="1208"/>
      <c r="BA274" s="1208"/>
      <c r="BB274" s="1208"/>
      <c r="BC274" s="1208"/>
      <c r="BD274" s="1208"/>
      <c r="BE274" s="1208"/>
      <c r="BF274" s="1208"/>
      <c r="BG274" s="1208"/>
      <c r="BH274" s="1208"/>
      <c r="BI274" s="1208"/>
      <c r="BJ274" s="1208"/>
    </row>
    <row r="275" spans="1:62" s="1210" customFormat="1">
      <c r="A275" s="1212"/>
      <c r="B275" s="1209"/>
      <c r="C275" s="1209"/>
      <c r="D275" s="1208"/>
      <c r="E275" s="1208"/>
      <c r="F275" s="1208"/>
      <c r="G275" s="1208"/>
      <c r="H275" s="1208"/>
      <c r="I275" s="1208"/>
      <c r="J275" s="1208"/>
      <c r="K275" s="1208"/>
      <c r="L275" s="1208"/>
      <c r="M275" s="1208"/>
      <c r="N275" s="1208"/>
      <c r="O275" s="1208"/>
      <c r="P275" s="1208"/>
      <c r="Q275" s="1208"/>
      <c r="R275" s="1208"/>
      <c r="S275" s="1208"/>
      <c r="T275" s="1208"/>
      <c r="U275" s="1208"/>
      <c r="V275" s="1208"/>
      <c r="W275" s="1208"/>
      <c r="X275" s="1208"/>
      <c r="Y275" s="1208"/>
      <c r="Z275" s="1208"/>
      <c r="AA275" s="1208"/>
      <c r="AB275" s="1208"/>
      <c r="AC275" s="1208"/>
      <c r="AD275" s="1208"/>
      <c r="AE275" s="1208"/>
      <c r="AF275" s="1208"/>
      <c r="AG275" s="1208"/>
      <c r="AH275" s="1208"/>
      <c r="AI275" s="1208"/>
      <c r="AJ275" s="1208"/>
      <c r="AK275" s="1208"/>
      <c r="AL275" s="1208"/>
      <c r="AM275" s="1208"/>
      <c r="AN275" s="1208"/>
      <c r="AO275" s="1208"/>
      <c r="AP275" s="1208"/>
      <c r="AQ275" s="1208"/>
      <c r="AR275" s="1208"/>
      <c r="AS275" s="1208"/>
      <c r="AT275" s="1208"/>
      <c r="AU275" s="1208"/>
      <c r="AV275" s="1208"/>
      <c r="AW275" s="1208"/>
      <c r="AX275" s="1208"/>
      <c r="AY275" s="1208"/>
      <c r="AZ275" s="1208"/>
      <c r="BA275" s="1208"/>
      <c r="BB275" s="1208"/>
      <c r="BC275" s="1208"/>
      <c r="BD275" s="1208"/>
      <c r="BE275" s="1208"/>
      <c r="BF275" s="1208"/>
      <c r="BG275" s="1208"/>
      <c r="BH275" s="1208"/>
      <c r="BI275" s="1208"/>
      <c r="BJ275" s="1208"/>
    </row>
    <row r="276" spans="1:62" s="1210" customFormat="1">
      <c r="A276" s="1212"/>
      <c r="B276" s="1209"/>
      <c r="C276" s="1209"/>
      <c r="D276" s="1208"/>
      <c r="E276" s="1208"/>
      <c r="F276" s="1208"/>
      <c r="G276" s="1208"/>
      <c r="H276" s="1208"/>
      <c r="I276" s="1208"/>
      <c r="J276" s="1208"/>
      <c r="K276" s="1208"/>
      <c r="L276" s="1208"/>
      <c r="M276" s="1208"/>
      <c r="N276" s="1208"/>
      <c r="O276" s="1208"/>
      <c r="P276" s="1208"/>
      <c r="Q276" s="1208"/>
      <c r="R276" s="1208"/>
      <c r="S276" s="1208"/>
      <c r="T276" s="1208"/>
      <c r="U276" s="1208"/>
      <c r="V276" s="1208"/>
      <c r="W276" s="1208"/>
      <c r="X276" s="1208"/>
      <c r="Y276" s="1208"/>
      <c r="Z276" s="1208"/>
      <c r="AA276" s="1208"/>
      <c r="AB276" s="1208"/>
      <c r="AC276" s="1208"/>
      <c r="AD276" s="1208"/>
      <c r="AE276" s="1208"/>
      <c r="AF276" s="1208"/>
      <c r="AG276" s="1208"/>
      <c r="AH276" s="1208"/>
      <c r="AI276" s="1208"/>
      <c r="AJ276" s="1208"/>
      <c r="AK276" s="1208"/>
      <c r="AL276" s="1208"/>
      <c r="AM276" s="1208"/>
      <c r="AN276" s="1208"/>
      <c r="AO276" s="1208"/>
      <c r="AP276" s="1208"/>
      <c r="AQ276" s="1208"/>
      <c r="AR276" s="1208"/>
      <c r="AS276" s="1208"/>
      <c r="AT276" s="1208"/>
      <c r="AU276" s="1208"/>
      <c r="AV276" s="1208"/>
      <c r="AW276" s="1208"/>
      <c r="AX276" s="1208"/>
      <c r="AY276" s="1208"/>
      <c r="AZ276" s="1208"/>
      <c r="BA276" s="1208"/>
      <c r="BB276" s="1208"/>
      <c r="BC276" s="1208"/>
      <c r="BD276" s="1208"/>
      <c r="BE276" s="1208"/>
      <c r="BF276" s="1208"/>
      <c r="BG276" s="1208"/>
      <c r="BH276" s="1208"/>
      <c r="BI276" s="1208"/>
      <c r="BJ276" s="1208"/>
    </row>
    <row r="277" spans="1:62" s="1210" customFormat="1">
      <c r="A277" s="1212"/>
      <c r="B277" s="1209"/>
      <c r="C277" s="1209"/>
      <c r="D277" s="1208"/>
      <c r="E277" s="1208"/>
      <c r="F277" s="1208"/>
      <c r="G277" s="1208"/>
      <c r="H277" s="1208"/>
      <c r="I277" s="1208"/>
      <c r="J277" s="1208"/>
      <c r="K277" s="1208"/>
      <c r="L277" s="1208"/>
      <c r="M277" s="1208"/>
      <c r="N277" s="1208"/>
      <c r="O277" s="1208"/>
      <c r="P277" s="1208"/>
      <c r="Q277" s="1208"/>
      <c r="R277" s="1208"/>
      <c r="S277" s="1208"/>
      <c r="T277" s="1208"/>
      <c r="U277" s="1208"/>
      <c r="V277" s="1208"/>
      <c r="W277" s="1208"/>
      <c r="X277" s="1208"/>
      <c r="Y277" s="1208"/>
      <c r="Z277" s="1208"/>
      <c r="AA277" s="1208"/>
      <c r="AB277" s="1208"/>
      <c r="AC277" s="1208"/>
      <c r="AD277" s="1208"/>
      <c r="AE277" s="1208"/>
      <c r="AF277" s="1208"/>
      <c r="AG277" s="1208"/>
      <c r="AH277" s="1208"/>
      <c r="AI277" s="1208"/>
      <c r="AJ277" s="1208"/>
      <c r="AK277" s="1208"/>
      <c r="AL277" s="1208"/>
      <c r="AM277" s="1208"/>
      <c r="AN277" s="1208"/>
      <c r="AO277" s="1208"/>
      <c r="AP277" s="1208"/>
      <c r="AQ277" s="1208"/>
      <c r="AR277" s="1208"/>
      <c r="AS277" s="1208"/>
      <c r="AT277" s="1208"/>
      <c r="AU277" s="1208"/>
      <c r="AV277" s="1208"/>
      <c r="AW277" s="1208"/>
      <c r="AX277" s="1208"/>
      <c r="AY277" s="1208"/>
      <c r="AZ277" s="1208"/>
      <c r="BA277" s="1208"/>
      <c r="BB277" s="1208"/>
      <c r="BC277" s="1208"/>
      <c r="BD277" s="1208"/>
      <c r="BE277" s="1208"/>
      <c r="BF277" s="1208"/>
      <c r="BG277" s="1208"/>
      <c r="BH277" s="1208"/>
      <c r="BI277" s="1208"/>
      <c r="BJ277" s="1208"/>
    </row>
    <row r="278" spans="1:62" s="1210" customFormat="1">
      <c r="A278" s="1212"/>
      <c r="B278" s="1209"/>
      <c r="C278" s="1209"/>
      <c r="D278" s="1208"/>
      <c r="E278" s="1208"/>
      <c r="F278" s="1208"/>
      <c r="G278" s="1208"/>
      <c r="H278" s="1208"/>
      <c r="I278" s="1208"/>
      <c r="J278" s="1208"/>
      <c r="K278" s="1208"/>
      <c r="L278" s="1208"/>
      <c r="M278" s="1208"/>
      <c r="N278" s="1208"/>
      <c r="O278" s="1208"/>
      <c r="P278" s="1208"/>
      <c r="Q278" s="1208"/>
      <c r="R278" s="1208"/>
      <c r="S278" s="1208"/>
      <c r="T278" s="1208"/>
      <c r="U278" s="1208"/>
      <c r="V278" s="1208"/>
      <c r="W278" s="1208"/>
      <c r="X278" s="1208"/>
      <c r="Y278" s="1208"/>
      <c r="Z278" s="1208"/>
      <c r="AA278" s="1208"/>
      <c r="AB278" s="1208"/>
      <c r="AC278" s="1208"/>
      <c r="AD278" s="1208"/>
      <c r="AE278" s="1208"/>
      <c r="AF278" s="1208"/>
      <c r="AG278" s="1208"/>
      <c r="AH278" s="1208"/>
      <c r="AI278" s="1208"/>
      <c r="AJ278" s="1208"/>
      <c r="AK278" s="1208"/>
      <c r="AL278" s="1208"/>
      <c r="AM278" s="1208"/>
      <c r="AN278" s="1208"/>
      <c r="AO278" s="1208"/>
      <c r="AP278" s="1208"/>
      <c r="AQ278" s="1208"/>
      <c r="AR278" s="1208"/>
      <c r="AS278" s="1208"/>
      <c r="AT278" s="1208"/>
      <c r="AU278" s="1208"/>
      <c r="AV278" s="1208"/>
      <c r="AW278" s="1208"/>
      <c r="AX278" s="1208"/>
      <c r="AY278" s="1208"/>
      <c r="AZ278" s="1208"/>
      <c r="BA278" s="1208"/>
      <c r="BB278" s="1208"/>
      <c r="BC278" s="1208"/>
      <c r="BD278" s="1208"/>
      <c r="BE278" s="1208"/>
      <c r="BF278" s="1208"/>
      <c r="BG278" s="1208"/>
      <c r="BH278" s="1208"/>
      <c r="BI278" s="1208"/>
      <c r="BJ278" s="1208"/>
    </row>
    <row r="279" spans="1:62" s="1210" customFormat="1">
      <c r="A279" s="1212"/>
      <c r="B279" s="1209"/>
      <c r="C279" s="1209"/>
      <c r="D279" s="1208"/>
      <c r="E279" s="1208"/>
      <c r="F279" s="1208"/>
      <c r="G279" s="1208"/>
      <c r="H279" s="1208"/>
      <c r="I279" s="1208"/>
      <c r="J279" s="1208"/>
      <c r="K279" s="1208"/>
      <c r="L279" s="1208"/>
      <c r="M279" s="1208"/>
      <c r="N279" s="1208"/>
      <c r="O279" s="1208"/>
      <c r="P279" s="1208"/>
      <c r="Q279" s="1208"/>
      <c r="R279" s="1208"/>
      <c r="S279" s="1208"/>
      <c r="T279" s="1208"/>
      <c r="U279" s="1208"/>
      <c r="V279" s="1208"/>
      <c r="W279" s="1208"/>
      <c r="X279" s="1208"/>
      <c r="Y279" s="1208"/>
      <c r="Z279" s="1208"/>
      <c r="AA279" s="1208"/>
      <c r="AB279" s="1208"/>
      <c r="AC279" s="1208"/>
      <c r="AD279" s="1208"/>
      <c r="AE279" s="1208"/>
      <c r="AF279" s="1208"/>
      <c r="AG279" s="1208"/>
      <c r="AH279" s="1208"/>
      <c r="AI279" s="1208"/>
      <c r="AJ279" s="1208"/>
      <c r="AK279" s="1208"/>
      <c r="AL279" s="1208"/>
      <c r="AM279" s="1208"/>
      <c r="AN279" s="1208"/>
      <c r="AO279" s="1208"/>
      <c r="AP279" s="1208"/>
      <c r="AQ279" s="1208"/>
      <c r="AR279" s="1208"/>
      <c r="AS279" s="1208"/>
      <c r="AT279" s="1208"/>
      <c r="AU279" s="1208"/>
      <c r="AV279" s="1208"/>
      <c r="AW279" s="1208"/>
      <c r="AX279" s="1208"/>
      <c r="AY279" s="1208"/>
      <c r="AZ279" s="1208"/>
      <c r="BA279" s="1208"/>
      <c r="BB279" s="1208"/>
      <c r="BC279" s="1208"/>
      <c r="BD279" s="1208"/>
      <c r="BE279" s="1208"/>
      <c r="BF279" s="1208"/>
      <c r="BG279" s="1208"/>
      <c r="BH279" s="1208"/>
      <c r="BI279" s="1208"/>
      <c r="BJ279" s="1208"/>
    </row>
    <row r="280" spans="1:62" s="1210" customFormat="1">
      <c r="A280" s="1212"/>
      <c r="B280" s="1209"/>
      <c r="C280" s="1209"/>
      <c r="D280" s="1208"/>
      <c r="E280" s="1208"/>
      <c r="F280" s="1208"/>
      <c r="G280" s="1208"/>
      <c r="H280" s="1208"/>
      <c r="I280" s="1208"/>
      <c r="J280" s="1208"/>
      <c r="K280" s="1208"/>
      <c r="L280" s="1208"/>
      <c r="M280" s="1208"/>
      <c r="N280" s="1208"/>
      <c r="O280" s="1208"/>
      <c r="P280" s="1208"/>
      <c r="Q280" s="1208"/>
      <c r="R280" s="1208"/>
      <c r="S280" s="1208"/>
      <c r="T280" s="1208"/>
      <c r="U280" s="1208"/>
      <c r="V280" s="1208"/>
      <c r="W280" s="1208"/>
      <c r="X280" s="1208"/>
      <c r="Y280" s="1208"/>
      <c r="Z280" s="1208"/>
      <c r="AA280" s="1208"/>
      <c r="AB280" s="1208"/>
      <c r="AC280" s="1208"/>
      <c r="AD280" s="1208"/>
      <c r="AE280" s="1208"/>
      <c r="AF280" s="1208"/>
      <c r="AG280" s="1208"/>
      <c r="AH280" s="1208"/>
      <c r="AI280" s="1208"/>
      <c r="AJ280" s="1208"/>
      <c r="AK280" s="1208"/>
      <c r="AL280" s="1208"/>
      <c r="AM280" s="1208"/>
      <c r="AN280" s="1208"/>
      <c r="AO280" s="1208"/>
      <c r="AP280" s="1208"/>
      <c r="AQ280" s="1208"/>
      <c r="AR280" s="1208"/>
      <c r="AS280" s="1208"/>
      <c r="AT280" s="1208"/>
      <c r="AU280" s="1208"/>
      <c r="AV280" s="1208"/>
      <c r="AW280" s="1208"/>
      <c r="AX280" s="1208"/>
      <c r="AY280" s="1208"/>
      <c r="AZ280" s="1208"/>
      <c r="BA280" s="1208"/>
      <c r="BB280" s="1208"/>
      <c r="BC280" s="1208"/>
      <c r="BD280" s="1208"/>
      <c r="BE280" s="1208"/>
      <c r="BF280" s="1208"/>
      <c r="BG280" s="1208"/>
      <c r="BH280" s="1208"/>
      <c r="BI280" s="1208"/>
      <c r="BJ280" s="1208"/>
    </row>
    <row r="281" spans="1:62" s="1210" customFormat="1">
      <c r="A281" s="1212"/>
      <c r="B281" s="1209"/>
      <c r="C281" s="1209"/>
      <c r="D281" s="1208"/>
      <c r="E281" s="1208"/>
      <c r="F281" s="1208"/>
      <c r="G281" s="1208"/>
      <c r="H281" s="1208"/>
      <c r="I281" s="1208"/>
      <c r="J281" s="1208"/>
      <c r="K281" s="1208"/>
      <c r="L281" s="1208"/>
      <c r="M281" s="1208"/>
      <c r="N281" s="1208"/>
      <c r="O281" s="1208"/>
      <c r="P281" s="1208"/>
      <c r="Q281" s="1208"/>
      <c r="R281" s="1208"/>
      <c r="S281" s="1208"/>
      <c r="T281" s="1208"/>
      <c r="U281" s="1208"/>
      <c r="V281" s="1208"/>
      <c r="W281" s="1208"/>
      <c r="X281" s="1208"/>
      <c r="Y281" s="1208"/>
      <c r="Z281" s="1208"/>
      <c r="AA281" s="1208"/>
      <c r="AB281" s="1208"/>
      <c r="AC281" s="1208"/>
      <c r="AD281" s="1208"/>
      <c r="AE281" s="1208"/>
      <c r="AF281" s="1208"/>
      <c r="AG281" s="1208"/>
      <c r="AH281" s="1208"/>
      <c r="AI281" s="1208"/>
      <c r="AJ281" s="1208"/>
      <c r="AK281" s="1208"/>
      <c r="AL281" s="1208"/>
      <c r="AM281" s="1208"/>
      <c r="AN281" s="1208"/>
      <c r="AO281" s="1208"/>
      <c r="AP281" s="1208"/>
      <c r="AQ281" s="1208"/>
      <c r="AR281" s="1208"/>
      <c r="AS281" s="1208"/>
      <c r="AT281" s="1208"/>
      <c r="AU281" s="1208"/>
      <c r="AV281" s="1208"/>
      <c r="AW281" s="1208"/>
      <c r="AX281" s="1208"/>
      <c r="AY281" s="1208"/>
      <c r="AZ281" s="1208"/>
      <c r="BA281" s="1208"/>
      <c r="BB281" s="1208"/>
      <c r="BC281" s="1208"/>
      <c r="BD281" s="1208"/>
      <c r="BE281" s="1208"/>
      <c r="BF281" s="1208"/>
      <c r="BG281" s="1208"/>
      <c r="BH281" s="1208"/>
      <c r="BI281" s="1208"/>
      <c r="BJ281" s="1208"/>
    </row>
    <row r="282" spans="1:62" s="1210" customFormat="1">
      <c r="A282" s="1212"/>
      <c r="B282" s="1209"/>
      <c r="C282" s="1209"/>
      <c r="D282" s="1208"/>
      <c r="E282" s="1208"/>
      <c r="F282" s="1208"/>
      <c r="G282" s="1208"/>
      <c r="H282" s="1208"/>
      <c r="I282" s="1208"/>
      <c r="J282" s="1208"/>
      <c r="K282" s="1208"/>
      <c r="L282" s="1208"/>
      <c r="M282" s="1208"/>
      <c r="N282" s="1208"/>
      <c r="O282" s="1208"/>
      <c r="P282" s="1208"/>
      <c r="Q282" s="1208"/>
      <c r="R282" s="1208"/>
      <c r="S282" s="1208"/>
      <c r="T282" s="1208"/>
      <c r="U282" s="1208"/>
      <c r="V282" s="1208"/>
      <c r="W282" s="1208"/>
      <c r="X282" s="1208"/>
      <c r="Y282" s="1208"/>
      <c r="Z282" s="1208"/>
      <c r="AA282" s="1208"/>
      <c r="AB282" s="1208"/>
      <c r="AC282" s="1208"/>
      <c r="AD282" s="1208"/>
      <c r="AE282" s="1208"/>
      <c r="AF282" s="1208"/>
      <c r="AG282" s="1208"/>
      <c r="AH282" s="1208"/>
      <c r="AI282" s="1208"/>
      <c r="AJ282" s="1208"/>
      <c r="AK282" s="1208"/>
      <c r="AL282" s="1208"/>
      <c r="AM282" s="1208"/>
      <c r="AN282" s="1208"/>
      <c r="AO282" s="1208"/>
      <c r="AP282" s="1208"/>
      <c r="AQ282" s="1208"/>
      <c r="AR282" s="1208"/>
      <c r="AS282" s="1208"/>
      <c r="AT282" s="1208"/>
      <c r="AU282" s="1208"/>
      <c r="AV282" s="1208"/>
      <c r="AW282" s="1208"/>
      <c r="AX282" s="1208"/>
      <c r="AY282" s="1208"/>
      <c r="AZ282" s="1208"/>
      <c r="BA282" s="1208"/>
      <c r="BB282" s="1208"/>
      <c r="BC282" s="1208"/>
      <c r="BD282" s="1208"/>
      <c r="BE282" s="1208"/>
      <c r="BF282" s="1208"/>
      <c r="BG282" s="1208"/>
      <c r="BH282" s="1208"/>
      <c r="BI282" s="1208"/>
      <c r="BJ282" s="1208"/>
    </row>
    <row r="283" spans="1:62" s="1210" customFormat="1">
      <c r="A283" s="1212"/>
      <c r="B283" s="1209"/>
      <c r="C283" s="1209"/>
      <c r="D283" s="1208"/>
      <c r="E283" s="1208"/>
      <c r="F283" s="1208"/>
      <c r="G283" s="1208"/>
      <c r="H283" s="1208"/>
      <c r="I283" s="1208"/>
      <c r="J283" s="1208"/>
      <c r="K283" s="1208"/>
      <c r="L283" s="1208"/>
      <c r="M283" s="1208"/>
      <c r="N283" s="1208"/>
      <c r="O283" s="1208"/>
      <c r="P283" s="1208"/>
      <c r="Q283" s="1208"/>
      <c r="R283" s="1208"/>
      <c r="S283" s="1208"/>
      <c r="T283" s="1208"/>
      <c r="U283" s="1208"/>
      <c r="V283" s="1208"/>
      <c r="W283" s="1208"/>
      <c r="X283" s="1208"/>
      <c r="Y283" s="1208"/>
      <c r="Z283" s="1208"/>
      <c r="AA283" s="1208"/>
      <c r="AB283" s="1208"/>
      <c r="AC283" s="1208"/>
      <c r="AD283" s="1208"/>
      <c r="AE283" s="1208"/>
      <c r="AF283" s="1208"/>
      <c r="AG283" s="1208"/>
      <c r="AH283" s="1208"/>
      <c r="AI283" s="1208"/>
      <c r="AJ283" s="1208"/>
      <c r="AK283" s="1208"/>
      <c r="AL283" s="1208"/>
      <c r="AM283" s="1208"/>
      <c r="AN283" s="1208"/>
      <c r="AO283" s="1208"/>
      <c r="AP283" s="1208"/>
      <c r="AQ283" s="1208"/>
      <c r="AR283" s="1208"/>
      <c r="AS283" s="1208"/>
      <c r="AT283" s="1208"/>
      <c r="AU283" s="1208"/>
      <c r="AV283" s="1208"/>
      <c r="AW283" s="1208"/>
      <c r="AX283" s="1208"/>
      <c r="AY283" s="1208"/>
      <c r="AZ283" s="1208"/>
      <c r="BA283" s="1208"/>
      <c r="BB283" s="1208"/>
      <c r="BC283" s="1208"/>
      <c r="BD283" s="1208"/>
      <c r="BE283" s="1208"/>
      <c r="BF283" s="1208"/>
      <c r="BG283" s="1208"/>
      <c r="BH283" s="1208"/>
      <c r="BI283" s="1208"/>
      <c r="BJ283" s="1208"/>
    </row>
    <row r="284" spans="1:62" s="1210" customFormat="1">
      <c r="A284" s="1212"/>
      <c r="B284" s="1209"/>
      <c r="C284" s="1209"/>
      <c r="D284" s="1208"/>
      <c r="E284" s="1208"/>
      <c r="F284" s="1208"/>
      <c r="G284" s="1208"/>
      <c r="H284" s="1208"/>
      <c r="I284" s="1208"/>
      <c r="J284" s="1208"/>
      <c r="K284" s="1208"/>
      <c r="L284" s="1208"/>
      <c r="M284" s="1208"/>
      <c r="N284" s="1208"/>
      <c r="O284" s="1208"/>
      <c r="P284" s="1208"/>
      <c r="Q284" s="1208"/>
      <c r="R284" s="1208"/>
      <c r="S284" s="1208"/>
      <c r="T284" s="1208"/>
      <c r="U284" s="1208"/>
      <c r="V284" s="1208"/>
      <c r="W284" s="1208"/>
      <c r="X284" s="1208"/>
      <c r="Y284" s="1208"/>
      <c r="Z284" s="1208"/>
      <c r="AA284" s="1208"/>
      <c r="AB284" s="1208"/>
      <c r="AC284" s="1208"/>
      <c r="AD284" s="1208"/>
      <c r="AE284" s="1208"/>
      <c r="AF284" s="1208"/>
      <c r="AG284" s="1208"/>
      <c r="AH284" s="1208"/>
      <c r="AI284" s="1208"/>
      <c r="AJ284" s="1208"/>
      <c r="AK284" s="1208"/>
      <c r="AL284" s="1208"/>
      <c r="AM284" s="1208"/>
      <c r="AN284" s="1208"/>
      <c r="AO284" s="1208"/>
      <c r="AP284" s="1208"/>
      <c r="AQ284" s="1208"/>
      <c r="AR284" s="1208"/>
      <c r="AS284" s="1208"/>
      <c r="AT284" s="1208"/>
      <c r="AU284" s="1208"/>
      <c r="AV284" s="1208"/>
      <c r="AW284" s="1208"/>
      <c r="AX284" s="1208"/>
      <c r="AY284" s="1208"/>
      <c r="AZ284" s="1208"/>
      <c r="BA284" s="1208"/>
      <c r="BB284" s="1208"/>
      <c r="BC284" s="1208"/>
      <c r="BD284" s="1208"/>
      <c r="BE284" s="1208"/>
      <c r="BF284" s="1208"/>
      <c r="BG284" s="1208"/>
      <c r="BH284" s="1208"/>
      <c r="BI284" s="1208"/>
      <c r="BJ284" s="1208"/>
    </row>
    <row r="285" spans="1:62" s="1210" customFormat="1">
      <c r="A285" s="1212"/>
      <c r="B285" s="1209"/>
      <c r="C285" s="1209"/>
      <c r="D285" s="1208"/>
      <c r="E285" s="1208"/>
      <c r="F285" s="1208"/>
      <c r="G285" s="1208"/>
      <c r="H285" s="1208"/>
      <c r="I285" s="1208"/>
      <c r="J285" s="1208"/>
      <c r="K285" s="1208"/>
      <c r="L285" s="1208"/>
      <c r="M285" s="1208"/>
      <c r="N285" s="1208"/>
      <c r="O285" s="1208"/>
      <c r="P285" s="1208"/>
      <c r="Q285" s="1208"/>
      <c r="R285" s="1208"/>
      <c r="S285" s="1208"/>
      <c r="T285" s="1208"/>
      <c r="U285" s="1208"/>
      <c r="V285" s="1208"/>
      <c r="W285" s="1208"/>
      <c r="X285" s="1208"/>
      <c r="Y285" s="1208"/>
      <c r="Z285" s="1208"/>
      <c r="AA285" s="1208"/>
      <c r="AB285" s="1208"/>
      <c r="AC285" s="1208"/>
      <c r="AD285" s="1208"/>
      <c r="AE285" s="1208"/>
      <c r="AF285" s="1208"/>
      <c r="AG285" s="1208"/>
      <c r="AH285" s="1208"/>
      <c r="AI285" s="1208"/>
      <c r="AJ285" s="1208"/>
      <c r="AK285" s="1208"/>
      <c r="AL285" s="1208"/>
      <c r="AM285" s="1208"/>
      <c r="AN285" s="1208"/>
      <c r="AO285" s="1208"/>
      <c r="AP285" s="1208"/>
      <c r="AQ285" s="1208"/>
      <c r="AR285" s="1208"/>
      <c r="AS285" s="1208"/>
      <c r="AT285" s="1208"/>
      <c r="AU285" s="1208"/>
      <c r="AV285" s="1208"/>
      <c r="AW285" s="1208"/>
      <c r="AX285" s="1208"/>
      <c r="AY285" s="1208"/>
      <c r="AZ285" s="1208"/>
      <c r="BA285" s="1208"/>
      <c r="BB285" s="1208"/>
      <c r="BC285" s="1208"/>
      <c r="BD285" s="1208"/>
      <c r="BE285" s="1208"/>
      <c r="BF285" s="1208"/>
      <c r="BG285" s="1208"/>
      <c r="BH285" s="1208"/>
      <c r="BI285" s="1208"/>
      <c r="BJ285" s="1208"/>
    </row>
    <row r="286" spans="1:62" s="1210" customFormat="1">
      <c r="A286" s="1212"/>
      <c r="B286" s="1209"/>
      <c r="C286" s="1209"/>
      <c r="D286" s="1208"/>
      <c r="E286" s="1208"/>
      <c r="F286" s="1208"/>
      <c r="G286" s="1208"/>
      <c r="H286" s="1208"/>
      <c r="I286" s="1208"/>
      <c r="J286" s="1208"/>
      <c r="K286" s="1208"/>
      <c r="L286" s="1208"/>
      <c r="M286" s="1208"/>
      <c r="N286" s="1208"/>
      <c r="O286" s="1208"/>
      <c r="P286" s="1208"/>
      <c r="Q286" s="1208"/>
      <c r="R286" s="1208"/>
      <c r="S286" s="1208"/>
      <c r="T286" s="1208"/>
      <c r="U286" s="1208"/>
      <c r="V286" s="1208"/>
      <c r="W286" s="1208"/>
      <c r="X286" s="1208"/>
      <c r="Y286" s="1208"/>
      <c r="Z286" s="1208"/>
      <c r="AA286" s="1208"/>
      <c r="AB286" s="1208"/>
      <c r="AC286" s="1208"/>
      <c r="AD286" s="1208"/>
      <c r="AE286" s="1208"/>
      <c r="AF286" s="1208"/>
      <c r="AG286" s="1208"/>
      <c r="AH286" s="1208"/>
      <c r="AI286" s="1208"/>
      <c r="AJ286" s="1208"/>
      <c r="AK286" s="1208"/>
      <c r="AL286" s="1208"/>
      <c r="AM286" s="1208"/>
      <c r="AN286" s="1208"/>
      <c r="AO286" s="1208"/>
      <c r="AP286" s="1208"/>
      <c r="AQ286" s="1208"/>
      <c r="AR286" s="1208"/>
      <c r="AS286" s="1208"/>
      <c r="AT286" s="1208"/>
      <c r="AU286" s="1208"/>
      <c r="AV286" s="1208"/>
      <c r="AW286" s="1208"/>
      <c r="AX286" s="1208"/>
      <c r="AY286" s="1208"/>
      <c r="AZ286" s="1208"/>
      <c r="BA286" s="1208"/>
      <c r="BB286" s="1208"/>
      <c r="BC286" s="1208"/>
      <c r="BD286" s="1208"/>
      <c r="BE286" s="1208"/>
      <c r="BF286" s="1208"/>
      <c r="BG286" s="1208"/>
      <c r="BH286" s="1208"/>
      <c r="BI286" s="1208"/>
      <c r="BJ286" s="1208"/>
    </row>
    <row r="287" spans="1:62" s="1210" customFormat="1">
      <c r="A287" s="1212"/>
      <c r="B287" s="1209"/>
      <c r="C287" s="1209"/>
      <c r="D287" s="1208"/>
      <c r="E287" s="1208"/>
      <c r="F287" s="1208"/>
      <c r="G287" s="1208"/>
      <c r="H287" s="1208"/>
      <c r="I287" s="1208"/>
      <c r="J287" s="1208"/>
      <c r="K287" s="1208"/>
      <c r="L287" s="1208"/>
      <c r="M287" s="1208"/>
      <c r="N287" s="1208"/>
      <c r="O287" s="1208"/>
      <c r="P287" s="1208"/>
      <c r="Q287" s="1208"/>
      <c r="R287" s="1208"/>
      <c r="S287" s="1208"/>
      <c r="T287" s="1208"/>
      <c r="U287" s="1208"/>
      <c r="V287" s="1208"/>
      <c r="W287" s="1208"/>
      <c r="X287" s="1208"/>
      <c r="Y287" s="1208"/>
      <c r="Z287" s="1208"/>
      <c r="AA287" s="1208"/>
      <c r="AB287" s="1208"/>
      <c r="AC287" s="1208"/>
      <c r="AD287" s="1208"/>
      <c r="AE287" s="1208"/>
      <c r="AF287" s="1208"/>
      <c r="AG287" s="1208"/>
      <c r="AH287" s="1208"/>
      <c r="AI287" s="1208"/>
      <c r="AJ287" s="1208"/>
      <c r="AK287" s="1208"/>
      <c r="AL287" s="1208"/>
      <c r="AM287" s="1208"/>
      <c r="AN287" s="1208"/>
      <c r="AO287" s="1208"/>
      <c r="AP287" s="1208"/>
      <c r="AQ287" s="1208"/>
      <c r="AR287" s="1208"/>
      <c r="AS287" s="1208"/>
      <c r="AT287" s="1208"/>
      <c r="AU287" s="1208"/>
      <c r="AV287" s="1208"/>
      <c r="AW287" s="1208"/>
      <c r="AX287" s="1208"/>
      <c r="AY287" s="1208"/>
      <c r="AZ287" s="1208"/>
      <c r="BA287" s="1208"/>
      <c r="BB287" s="1208"/>
      <c r="BC287" s="1208"/>
      <c r="BD287" s="1208"/>
      <c r="BE287" s="1208"/>
      <c r="BF287" s="1208"/>
      <c r="BG287" s="1208"/>
      <c r="BH287" s="1208"/>
      <c r="BI287" s="1208"/>
      <c r="BJ287" s="1208"/>
    </row>
    <row r="288" spans="1:62" s="1210" customFormat="1">
      <c r="A288" s="1212"/>
      <c r="B288" s="1209"/>
      <c r="C288" s="1209"/>
      <c r="D288" s="1208"/>
      <c r="E288" s="1208"/>
      <c r="F288" s="1208"/>
      <c r="G288" s="1208"/>
      <c r="H288" s="1208"/>
      <c r="I288" s="1208"/>
      <c r="J288" s="1208"/>
      <c r="K288" s="1208"/>
      <c r="L288" s="1208"/>
      <c r="M288" s="1208"/>
      <c r="N288" s="1208"/>
      <c r="O288" s="1208"/>
      <c r="P288" s="1208"/>
      <c r="Q288" s="1208"/>
      <c r="R288" s="1208"/>
      <c r="S288" s="1208"/>
      <c r="T288" s="1208"/>
      <c r="U288" s="1208"/>
      <c r="V288" s="1208"/>
      <c r="W288" s="1208"/>
      <c r="X288" s="1208"/>
      <c r="Y288" s="1208"/>
      <c r="Z288" s="1208"/>
      <c r="AA288" s="1208"/>
      <c r="AB288" s="1208"/>
      <c r="AC288" s="1208"/>
      <c r="AD288" s="1208"/>
      <c r="AE288" s="1208"/>
      <c r="AF288" s="1208"/>
      <c r="AG288" s="1208"/>
      <c r="AH288" s="1208"/>
      <c r="AI288" s="1208"/>
      <c r="AJ288" s="1208"/>
      <c r="AK288" s="1208"/>
      <c r="AL288" s="1208"/>
      <c r="AM288" s="1208"/>
      <c r="AN288" s="1208"/>
      <c r="AO288" s="1208"/>
      <c r="AP288" s="1208"/>
      <c r="AQ288" s="1208"/>
      <c r="AR288" s="1208"/>
      <c r="AS288" s="1208"/>
      <c r="AT288" s="1208"/>
      <c r="AU288" s="1208"/>
      <c r="AV288" s="1208"/>
      <c r="AW288" s="1208"/>
      <c r="AX288" s="1208"/>
      <c r="AY288" s="1208"/>
      <c r="AZ288" s="1208"/>
      <c r="BA288" s="1208"/>
      <c r="BB288" s="1208"/>
      <c r="BC288" s="1208"/>
      <c r="BD288" s="1208"/>
      <c r="BE288" s="1208"/>
      <c r="BF288" s="1208"/>
      <c r="BG288" s="1208"/>
      <c r="BH288" s="1208"/>
      <c r="BI288" s="1208"/>
      <c r="BJ288" s="1208"/>
    </row>
    <row r="289" spans="1:62" s="1210" customFormat="1">
      <c r="A289" s="1212"/>
      <c r="B289" s="1209"/>
      <c r="C289" s="1209"/>
      <c r="D289" s="1208"/>
      <c r="E289" s="1208"/>
      <c r="F289" s="1208"/>
      <c r="G289" s="1208"/>
      <c r="H289" s="1208"/>
      <c r="I289" s="1208"/>
      <c r="J289" s="1208"/>
      <c r="K289" s="1208"/>
      <c r="L289" s="1208"/>
      <c r="M289" s="1208"/>
      <c r="N289" s="1208"/>
      <c r="O289" s="1208"/>
      <c r="P289" s="1208"/>
      <c r="Q289" s="1208"/>
      <c r="R289" s="1208"/>
      <c r="S289" s="1208"/>
      <c r="T289" s="1208"/>
      <c r="U289" s="1208"/>
      <c r="V289" s="1208"/>
      <c r="W289" s="1208"/>
      <c r="X289" s="1208"/>
      <c r="Y289" s="1208"/>
      <c r="Z289" s="1208"/>
      <c r="AA289" s="1208"/>
      <c r="AB289" s="1208"/>
      <c r="AC289" s="1208"/>
      <c r="AD289" s="1208"/>
      <c r="AE289" s="1208"/>
      <c r="AF289" s="1208"/>
      <c r="AG289" s="1208"/>
      <c r="AH289" s="1208"/>
      <c r="AI289" s="1208"/>
      <c r="AJ289" s="1208"/>
      <c r="AK289" s="1208"/>
      <c r="AL289" s="1208"/>
      <c r="AM289" s="1208"/>
      <c r="AN289" s="1208"/>
      <c r="AO289" s="1208"/>
      <c r="AP289" s="1208"/>
      <c r="AQ289" s="1208"/>
      <c r="AR289" s="1208"/>
      <c r="AS289" s="1208"/>
      <c r="AT289" s="1208"/>
      <c r="AU289" s="1208"/>
      <c r="AV289" s="1208"/>
      <c r="AW289" s="1208"/>
      <c r="AX289" s="1208"/>
      <c r="AY289" s="1208"/>
      <c r="AZ289" s="1208"/>
      <c r="BA289" s="1208"/>
      <c r="BB289" s="1208"/>
      <c r="BC289" s="1208"/>
      <c r="BD289" s="1208"/>
      <c r="BE289" s="1208"/>
      <c r="BF289" s="1208"/>
      <c r="BG289" s="1208"/>
      <c r="BH289" s="1208"/>
      <c r="BI289" s="1208"/>
      <c r="BJ289" s="1208"/>
    </row>
    <row r="290" spans="1:62" s="1210" customFormat="1">
      <c r="A290" s="1212"/>
      <c r="B290" s="1209"/>
      <c r="C290" s="1209"/>
      <c r="D290" s="1208"/>
      <c r="E290" s="1208"/>
      <c r="F290" s="1208"/>
      <c r="G290" s="1208"/>
      <c r="H290" s="1208"/>
      <c r="I290" s="1208"/>
      <c r="J290" s="1208"/>
      <c r="K290" s="1208"/>
      <c r="L290" s="1208"/>
      <c r="M290" s="1208"/>
      <c r="N290" s="1208"/>
      <c r="O290" s="1208"/>
      <c r="P290" s="1208"/>
      <c r="Q290" s="1208"/>
      <c r="R290" s="1208"/>
      <c r="S290" s="1208"/>
      <c r="T290" s="1208"/>
      <c r="U290" s="1208"/>
      <c r="V290" s="1208"/>
      <c r="W290" s="1208"/>
      <c r="X290" s="1208"/>
      <c r="Y290" s="1208"/>
      <c r="Z290" s="1208"/>
      <c r="AA290" s="1208"/>
      <c r="AB290" s="1208"/>
      <c r="AC290" s="1208"/>
      <c r="AD290" s="1208"/>
      <c r="AE290" s="1208"/>
      <c r="AF290" s="1208"/>
      <c r="AG290" s="1208"/>
      <c r="AH290" s="1208"/>
      <c r="AI290" s="1208"/>
      <c r="AJ290" s="1208"/>
      <c r="AK290" s="1208"/>
      <c r="AL290" s="1208"/>
      <c r="AM290" s="1208"/>
      <c r="AN290" s="1208"/>
      <c r="AO290" s="1208"/>
      <c r="AP290" s="1208"/>
      <c r="AQ290" s="1208"/>
      <c r="AR290" s="1208"/>
      <c r="AS290" s="1208"/>
      <c r="AT290" s="1208"/>
      <c r="AU290" s="1208"/>
      <c r="AV290" s="1208"/>
      <c r="AW290" s="1208"/>
      <c r="AX290" s="1208"/>
      <c r="AY290" s="1208"/>
      <c r="AZ290" s="1208"/>
      <c r="BA290" s="1208"/>
      <c r="BB290" s="1208"/>
      <c r="BC290" s="1208"/>
      <c r="BD290" s="1208"/>
      <c r="BE290" s="1208"/>
      <c r="BF290" s="1208"/>
      <c r="BG290" s="1208"/>
      <c r="BH290" s="1208"/>
      <c r="BI290" s="1208"/>
      <c r="BJ290" s="1208"/>
    </row>
    <row r="291" spans="1:62" s="1210" customFormat="1">
      <c r="A291" s="1212"/>
      <c r="B291" s="1209"/>
      <c r="C291" s="1209"/>
      <c r="D291" s="1208"/>
      <c r="E291" s="1208"/>
      <c r="F291" s="1208"/>
      <c r="G291" s="1208"/>
      <c r="H291" s="1208"/>
      <c r="I291" s="1208"/>
      <c r="J291" s="1208"/>
      <c r="K291" s="1208"/>
      <c r="L291" s="1208"/>
      <c r="M291" s="1208"/>
      <c r="N291" s="1208"/>
      <c r="O291" s="1208"/>
      <c r="P291" s="1208"/>
      <c r="Q291" s="1208"/>
      <c r="R291" s="1208"/>
      <c r="S291" s="1208"/>
      <c r="T291" s="1208"/>
      <c r="U291" s="1208"/>
      <c r="V291" s="1208"/>
      <c r="W291" s="1208"/>
      <c r="X291" s="1208"/>
      <c r="Y291" s="1208"/>
      <c r="Z291" s="1208"/>
      <c r="AA291" s="1208"/>
      <c r="AB291" s="1208"/>
      <c r="AC291" s="1208"/>
      <c r="AD291" s="1208"/>
      <c r="AE291" s="1208"/>
      <c r="AF291" s="1208"/>
      <c r="AG291" s="1208"/>
      <c r="AH291" s="1208"/>
      <c r="AI291" s="1208"/>
      <c r="AJ291" s="1208"/>
      <c r="AK291" s="1208"/>
      <c r="AL291" s="1208"/>
      <c r="AM291" s="1208"/>
      <c r="AN291" s="1208"/>
      <c r="AO291" s="1208"/>
      <c r="AP291" s="1208"/>
      <c r="AQ291" s="1208"/>
      <c r="AR291" s="1208"/>
      <c r="AS291" s="1208"/>
      <c r="AT291" s="1208"/>
      <c r="AU291" s="1208"/>
      <c r="AV291" s="1208"/>
      <c r="AW291" s="1208"/>
      <c r="AX291" s="1208"/>
      <c r="AY291" s="1208"/>
      <c r="AZ291" s="1208"/>
      <c r="BA291" s="1208"/>
      <c r="BB291" s="1208"/>
      <c r="BC291" s="1208"/>
      <c r="BD291" s="1208"/>
      <c r="BE291" s="1208"/>
      <c r="BF291" s="1208"/>
      <c r="BG291" s="1208"/>
      <c r="BH291" s="1208"/>
      <c r="BI291" s="1208"/>
      <c r="BJ291" s="1208"/>
    </row>
    <row r="292" spans="1:62" s="1210" customFormat="1">
      <c r="A292" s="1212"/>
      <c r="B292" s="1209"/>
      <c r="C292" s="1209"/>
      <c r="D292" s="1208"/>
      <c r="E292" s="1208"/>
      <c r="F292" s="1208"/>
      <c r="G292" s="1208"/>
      <c r="H292" s="1208"/>
      <c r="I292" s="1208"/>
      <c r="J292" s="1208"/>
      <c r="K292" s="1208"/>
      <c r="L292" s="1208"/>
      <c r="M292" s="1208"/>
      <c r="N292" s="1208"/>
      <c r="O292" s="1208"/>
      <c r="P292" s="1208"/>
      <c r="Q292" s="1208"/>
      <c r="R292" s="1208"/>
      <c r="S292" s="1208"/>
      <c r="T292" s="1208"/>
      <c r="U292" s="1208"/>
      <c r="V292" s="1208"/>
      <c r="W292" s="1208"/>
      <c r="X292" s="1208"/>
      <c r="Y292" s="1208"/>
      <c r="Z292" s="1208"/>
      <c r="AA292" s="1208"/>
      <c r="AB292" s="1208"/>
      <c r="AC292" s="1208"/>
      <c r="AD292" s="1208"/>
      <c r="AE292" s="1208"/>
      <c r="AF292" s="1208"/>
      <c r="AG292" s="1208"/>
      <c r="AH292" s="1208"/>
      <c r="AI292" s="1208"/>
      <c r="AJ292" s="1208"/>
      <c r="AK292" s="1208"/>
      <c r="AL292" s="1208"/>
      <c r="AM292" s="1208"/>
      <c r="AN292" s="1208"/>
      <c r="AO292" s="1208"/>
      <c r="AP292" s="1208"/>
      <c r="AQ292" s="1208"/>
      <c r="AR292" s="1208"/>
      <c r="AS292" s="1208"/>
      <c r="AT292" s="1208"/>
      <c r="AU292" s="1208"/>
      <c r="AV292" s="1208"/>
      <c r="AW292" s="1208"/>
      <c r="AX292" s="1208"/>
      <c r="AY292" s="1208"/>
      <c r="AZ292" s="1208"/>
      <c r="BA292" s="1208"/>
      <c r="BB292" s="1208"/>
      <c r="BC292" s="1208"/>
      <c r="BD292" s="1208"/>
      <c r="BE292" s="1208"/>
      <c r="BF292" s="1208"/>
      <c r="BG292" s="1208"/>
      <c r="BH292" s="1208"/>
      <c r="BI292" s="1208"/>
      <c r="BJ292" s="1208"/>
    </row>
    <row r="293" spans="1:62" s="1210" customFormat="1">
      <c r="A293" s="1212"/>
      <c r="B293" s="1209"/>
      <c r="C293" s="1209"/>
      <c r="D293" s="1208"/>
      <c r="E293" s="1208"/>
      <c r="F293" s="1208"/>
      <c r="G293" s="1208"/>
      <c r="H293" s="1208"/>
      <c r="I293" s="1208"/>
      <c r="J293" s="1208"/>
      <c r="K293" s="1208"/>
      <c r="L293" s="1208"/>
      <c r="M293" s="1208"/>
      <c r="N293" s="1208"/>
      <c r="O293" s="1208"/>
      <c r="P293" s="1208"/>
      <c r="Q293" s="1208"/>
      <c r="R293" s="1208"/>
      <c r="S293" s="1208"/>
      <c r="T293" s="1208"/>
      <c r="U293" s="1208"/>
      <c r="V293" s="1208"/>
      <c r="W293" s="1208"/>
      <c r="X293" s="1208"/>
      <c r="Y293" s="1208"/>
      <c r="Z293" s="1208"/>
      <c r="AA293" s="1208"/>
      <c r="AB293" s="1208"/>
      <c r="AC293" s="1208"/>
      <c r="AD293" s="1208"/>
      <c r="AE293" s="1208"/>
      <c r="AF293" s="1208"/>
      <c r="AG293" s="1208"/>
      <c r="AH293" s="1208"/>
      <c r="AI293" s="1208"/>
      <c r="AJ293" s="1208"/>
      <c r="AK293" s="1208"/>
      <c r="AL293" s="1208"/>
      <c r="AM293" s="1208"/>
      <c r="AN293" s="1208"/>
      <c r="AO293" s="1208"/>
      <c r="AP293" s="1208"/>
      <c r="AQ293" s="1208"/>
      <c r="AR293" s="1208"/>
      <c r="AS293" s="1208"/>
      <c r="AT293" s="1208"/>
      <c r="AU293" s="1208"/>
      <c r="AV293" s="1208"/>
      <c r="AW293" s="1208"/>
      <c r="AX293" s="1208"/>
      <c r="AY293" s="1208"/>
      <c r="AZ293" s="1208"/>
      <c r="BA293" s="1208"/>
      <c r="BB293" s="1208"/>
      <c r="BC293" s="1208"/>
      <c r="BD293" s="1208"/>
      <c r="BE293" s="1208"/>
      <c r="BF293" s="1208"/>
      <c r="BG293" s="1208"/>
      <c r="BH293" s="1208"/>
      <c r="BI293" s="1208"/>
      <c r="BJ293" s="1208"/>
    </row>
    <row r="294" spans="1:62" s="1210" customFormat="1">
      <c r="A294" s="1212"/>
      <c r="B294" s="1209"/>
      <c r="C294" s="1209"/>
      <c r="D294" s="1208"/>
      <c r="E294" s="1208"/>
      <c r="F294" s="1208"/>
      <c r="G294" s="1208"/>
      <c r="H294" s="1208"/>
      <c r="I294" s="1208"/>
      <c r="J294" s="1208"/>
      <c r="K294" s="1208"/>
      <c r="L294" s="1208"/>
      <c r="M294" s="1208"/>
      <c r="N294" s="1208"/>
      <c r="O294" s="1208"/>
      <c r="P294" s="1208"/>
      <c r="Q294" s="1208"/>
      <c r="R294" s="1208"/>
      <c r="S294" s="1208"/>
      <c r="T294" s="1208"/>
      <c r="U294" s="1208"/>
      <c r="V294" s="1208"/>
      <c r="W294" s="1208"/>
      <c r="X294" s="1208"/>
      <c r="Y294" s="1208"/>
      <c r="Z294" s="1208"/>
      <c r="AA294" s="1208"/>
      <c r="AB294" s="1208"/>
      <c r="AC294" s="1208"/>
      <c r="AD294" s="1208"/>
      <c r="AE294" s="1208"/>
      <c r="AF294" s="1208"/>
      <c r="AG294" s="1208"/>
      <c r="AH294" s="1208"/>
      <c r="AI294" s="1208"/>
      <c r="AJ294" s="1208"/>
      <c r="AK294" s="1208"/>
      <c r="AL294" s="1208"/>
      <c r="AM294" s="1208"/>
      <c r="AN294" s="1208"/>
      <c r="AO294" s="1208"/>
      <c r="AP294" s="1208"/>
      <c r="AQ294" s="1208"/>
      <c r="AR294" s="1208"/>
      <c r="AS294" s="1208"/>
      <c r="AT294" s="1208"/>
      <c r="AU294" s="1208"/>
      <c r="AV294" s="1208"/>
      <c r="AW294" s="1208"/>
      <c r="AX294" s="1208"/>
      <c r="AY294" s="1208"/>
      <c r="AZ294" s="1208"/>
      <c r="BA294" s="1208"/>
      <c r="BB294" s="1208"/>
      <c r="BC294" s="1208"/>
      <c r="BD294" s="1208"/>
      <c r="BE294" s="1208"/>
      <c r="BF294" s="1208"/>
      <c r="BG294" s="1208"/>
      <c r="BH294" s="1208"/>
      <c r="BI294" s="1208"/>
      <c r="BJ294" s="1208"/>
    </row>
    <row r="295" spans="1:62" s="1210" customFormat="1">
      <c r="A295" s="1212"/>
      <c r="B295" s="1209"/>
      <c r="C295" s="1209"/>
      <c r="D295" s="1208"/>
      <c r="E295" s="1208"/>
      <c r="F295" s="1208"/>
      <c r="G295" s="1208"/>
      <c r="H295" s="1208"/>
      <c r="I295" s="1208"/>
      <c r="J295" s="1208"/>
      <c r="K295" s="1208"/>
      <c r="L295" s="1208"/>
      <c r="M295" s="1208"/>
      <c r="N295" s="1208"/>
      <c r="O295" s="1208"/>
      <c r="P295" s="1208"/>
      <c r="Q295" s="1208"/>
      <c r="R295" s="1208"/>
      <c r="S295" s="1208"/>
      <c r="T295" s="1208"/>
      <c r="U295" s="1208"/>
      <c r="V295" s="1208"/>
      <c r="W295" s="1208"/>
      <c r="X295" s="1208"/>
      <c r="Y295" s="1208"/>
      <c r="Z295" s="1208"/>
      <c r="AA295" s="1208"/>
      <c r="AB295" s="1208"/>
      <c r="AC295" s="1208"/>
      <c r="AD295" s="1208"/>
      <c r="AE295" s="1208"/>
      <c r="AF295" s="1208"/>
      <c r="AG295" s="1208"/>
      <c r="AH295" s="1208"/>
      <c r="AI295" s="1208"/>
      <c r="AJ295" s="1208"/>
      <c r="AK295" s="1208"/>
      <c r="AL295" s="1208"/>
      <c r="AM295" s="1208"/>
      <c r="AN295" s="1208"/>
      <c r="AO295" s="1208"/>
      <c r="AP295" s="1208"/>
      <c r="AQ295" s="1208"/>
      <c r="AR295" s="1208"/>
      <c r="AS295" s="1208"/>
      <c r="AT295" s="1208"/>
      <c r="AU295" s="1208"/>
      <c r="AV295" s="1208"/>
      <c r="AW295" s="1208"/>
      <c r="AX295" s="1208"/>
      <c r="AY295" s="1208"/>
      <c r="AZ295" s="1208"/>
      <c r="BA295" s="1208"/>
      <c r="BB295" s="1208"/>
      <c r="BC295" s="1208"/>
      <c r="BD295" s="1208"/>
      <c r="BE295" s="1208"/>
      <c r="BF295" s="1208"/>
      <c r="BG295" s="1208"/>
      <c r="BH295" s="1208"/>
      <c r="BI295" s="1208"/>
      <c r="BJ295" s="1208"/>
    </row>
    <row r="296" spans="1:62" s="1210" customFormat="1">
      <c r="A296" s="1212"/>
      <c r="B296" s="1209"/>
      <c r="C296" s="1209"/>
      <c r="D296" s="1208"/>
      <c r="E296" s="1208"/>
      <c r="F296" s="1208"/>
      <c r="G296" s="1208"/>
      <c r="H296" s="1208"/>
      <c r="I296" s="1208"/>
      <c r="J296" s="1208"/>
      <c r="K296" s="1208"/>
      <c r="L296" s="1208"/>
      <c r="M296" s="1208"/>
      <c r="N296" s="1208"/>
      <c r="O296" s="1208"/>
      <c r="P296" s="1208"/>
      <c r="Q296" s="1208"/>
      <c r="R296" s="1208"/>
      <c r="S296" s="1208"/>
      <c r="T296" s="1208"/>
      <c r="U296" s="1208"/>
      <c r="V296" s="1208"/>
      <c r="W296" s="1208"/>
      <c r="X296" s="1208"/>
      <c r="Y296" s="1208"/>
      <c r="Z296" s="1208"/>
      <c r="AA296" s="1208"/>
      <c r="AB296" s="1208"/>
      <c r="AC296" s="1208"/>
      <c r="AD296" s="1208"/>
      <c r="AE296" s="1208"/>
      <c r="AF296" s="1208"/>
      <c r="AG296" s="1208"/>
      <c r="AH296" s="1208"/>
      <c r="AI296" s="1208"/>
      <c r="AJ296" s="1208"/>
      <c r="AK296" s="1208"/>
      <c r="AL296" s="1208"/>
      <c r="AM296" s="1208"/>
      <c r="AN296" s="1208"/>
      <c r="AO296" s="1208"/>
      <c r="AP296" s="1208"/>
      <c r="AQ296" s="1208"/>
      <c r="AR296" s="1208"/>
      <c r="AS296" s="1208"/>
      <c r="AT296" s="1208"/>
      <c r="AU296" s="1208"/>
      <c r="AV296" s="1208"/>
      <c r="AW296" s="1208"/>
      <c r="AX296" s="1208"/>
      <c r="AY296" s="1208"/>
      <c r="AZ296" s="1208"/>
      <c r="BA296" s="1208"/>
      <c r="BB296" s="1208"/>
      <c r="BC296" s="1208"/>
      <c r="BD296" s="1208"/>
      <c r="BE296" s="1208"/>
      <c r="BF296" s="1208"/>
      <c r="BG296" s="1208"/>
      <c r="BH296" s="1208"/>
      <c r="BI296" s="1208"/>
      <c r="BJ296" s="1208"/>
    </row>
    <row r="297" spans="1:62" s="1210" customFormat="1">
      <c r="A297" s="1212"/>
      <c r="B297" s="1209"/>
      <c r="C297" s="1209"/>
      <c r="D297" s="1208"/>
      <c r="E297" s="1208"/>
      <c r="F297" s="1208"/>
      <c r="G297" s="1208"/>
      <c r="H297" s="1208"/>
      <c r="I297" s="1208"/>
      <c r="J297" s="1208"/>
      <c r="K297" s="1208"/>
      <c r="L297" s="1208"/>
      <c r="M297" s="1208"/>
      <c r="N297" s="1208"/>
      <c r="O297" s="1208"/>
      <c r="P297" s="1208"/>
      <c r="Q297" s="1208"/>
      <c r="R297" s="1208"/>
      <c r="S297" s="1208"/>
      <c r="T297" s="1208"/>
      <c r="U297" s="1208"/>
      <c r="V297" s="1208"/>
      <c r="W297" s="1208"/>
      <c r="X297" s="1208"/>
      <c r="Y297" s="1208"/>
      <c r="Z297" s="1208"/>
      <c r="AA297" s="1208"/>
      <c r="AB297" s="1208"/>
      <c r="AC297" s="1208"/>
      <c r="AD297" s="1208"/>
      <c r="AE297" s="1208"/>
      <c r="AF297" s="1208"/>
      <c r="AG297" s="1208"/>
      <c r="AH297" s="1208"/>
      <c r="AI297" s="1208"/>
      <c r="AJ297" s="1208"/>
      <c r="AK297" s="1208"/>
      <c r="AL297" s="1208"/>
      <c r="AM297" s="1208"/>
      <c r="AN297" s="1208"/>
      <c r="AO297" s="1208"/>
      <c r="AP297" s="1208"/>
      <c r="AQ297" s="1208"/>
      <c r="AR297" s="1208"/>
      <c r="AS297" s="1208"/>
      <c r="AT297" s="1208"/>
      <c r="AU297" s="1208"/>
      <c r="AV297" s="1208"/>
      <c r="AW297" s="1208"/>
      <c r="AX297" s="1208"/>
      <c r="AY297" s="1208"/>
      <c r="AZ297" s="1208"/>
      <c r="BA297" s="1208"/>
      <c r="BB297" s="1208"/>
      <c r="BC297" s="1208"/>
      <c r="BD297" s="1208"/>
      <c r="BE297" s="1208"/>
      <c r="BF297" s="1208"/>
      <c r="BG297" s="1208"/>
      <c r="BH297" s="1208"/>
      <c r="BI297" s="1208"/>
      <c r="BJ297" s="1208"/>
    </row>
    <row r="298" spans="1:62" s="1210" customFormat="1">
      <c r="A298" s="1212"/>
      <c r="B298" s="1209"/>
      <c r="C298" s="1209"/>
      <c r="D298" s="1208"/>
      <c r="E298" s="1208"/>
      <c r="F298" s="1208"/>
      <c r="G298" s="1208"/>
      <c r="H298" s="1208"/>
      <c r="I298" s="1208"/>
      <c r="J298" s="1208"/>
      <c r="K298" s="1208"/>
      <c r="L298" s="1208"/>
      <c r="M298" s="1208"/>
      <c r="N298" s="1208"/>
      <c r="O298" s="1208"/>
      <c r="P298" s="1208"/>
      <c r="Q298" s="1208"/>
      <c r="R298" s="1208"/>
      <c r="S298" s="1208"/>
      <c r="T298" s="1208"/>
      <c r="U298" s="1208"/>
      <c r="V298" s="1208"/>
      <c r="W298" s="1208"/>
      <c r="X298" s="1208"/>
      <c r="Y298" s="1208"/>
      <c r="Z298" s="1208"/>
      <c r="AA298" s="1208"/>
      <c r="AB298" s="1208"/>
      <c r="AC298" s="1208"/>
      <c r="AD298" s="1208"/>
      <c r="AE298" s="1208"/>
      <c r="AF298" s="1208"/>
      <c r="AG298" s="1208"/>
      <c r="AH298" s="1208"/>
      <c r="AI298" s="1208"/>
      <c r="AJ298" s="1208"/>
      <c r="AK298" s="1208"/>
      <c r="AL298" s="1208"/>
      <c r="AM298" s="1208"/>
      <c r="AN298" s="1208"/>
      <c r="AO298" s="1208"/>
      <c r="AP298" s="1208"/>
      <c r="AQ298" s="1208"/>
      <c r="AR298" s="1208"/>
      <c r="AS298" s="1208"/>
      <c r="AT298" s="1208"/>
      <c r="AU298" s="1208"/>
      <c r="AV298" s="1208"/>
      <c r="AW298" s="1208"/>
      <c r="AX298" s="1208"/>
      <c r="AY298" s="1208"/>
      <c r="AZ298" s="1208"/>
      <c r="BA298" s="1208"/>
      <c r="BB298" s="1208"/>
      <c r="BC298" s="1208"/>
      <c r="BD298" s="1208"/>
      <c r="BE298" s="1208"/>
      <c r="BF298" s="1208"/>
      <c r="BG298" s="1208"/>
      <c r="BH298" s="1208"/>
      <c r="BI298" s="1208"/>
      <c r="BJ298" s="1208"/>
    </row>
    <row r="299" spans="1:62" s="1210" customFormat="1">
      <c r="A299" s="1212"/>
      <c r="B299" s="1209"/>
      <c r="C299" s="1209"/>
      <c r="D299" s="1208"/>
      <c r="E299" s="1208"/>
      <c r="F299" s="1208"/>
      <c r="G299" s="1208"/>
      <c r="H299" s="1208"/>
      <c r="I299" s="1208"/>
      <c r="J299" s="1208"/>
      <c r="K299" s="1208"/>
      <c r="L299" s="1208"/>
      <c r="M299" s="1208"/>
      <c r="N299" s="1208"/>
      <c r="O299" s="1208"/>
      <c r="P299" s="1208"/>
      <c r="Q299" s="1208"/>
      <c r="R299" s="1208"/>
      <c r="S299" s="1208"/>
      <c r="T299" s="1208"/>
      <c r="U299" s="1208"/>
      <c r="V299" s="1208"/>
      <c r="W299" s="1208"/>
      <c r="X299" s="1208"/>
      <c r="Y299" s="1208"/>
      <c r="Z299" s="1208"/>
      <c r="AA299" s="1208"/>
      <c r="AB299" s="1208"/>
      <c r="AC299" s="1208"/>
      <c r="AD299" s="1208"/>
      <c r="AE299" s="1208"/>
      <c r="AF299" s="1208"/>
      <c r="AG299" s="1208"/>
      <c r="AH299" s="1208"/>
      <c r="AI299" s="1208"/>
      <c r="AJ299" s="1208"/>
      <c r="AK299" s="1208"/>
      <c r="AL299" s="1208"/>
      <c r="AM299" s="1208"/>
      <c r="AN299" s="1208"/>
      <c r="AO299" s="1208"/>
      <c r="AP299" s="1208"/>
      <c r="AQ299" s="1208"/>
      <c r="AR299" s="1208"/>
      <c r="AS299" s="1208"/>
      <c r="AT299" s="1208"/>
      <c r="AU299" s="1208"/>
      <c r="AV299" s="1208"/>
      <c r="AW299" s="1208"/>
      <c r="AX299" s="1208"/>
      <c r="AY299" s="1208"/>
      <c r="AZ299" s="1208"/>
      <c r="BA299" s="1208"/>
      <c r="BB299" s="1208"/>
      <c r="BC299" s="1208"/>
      <c r="BD299" s="1208"/>
      <c r="BE299" s="1208"/>
      <c r="BF299" s="1208"/>
      <c r="BG299" s="1208"/>
      <c r="BH299" s="1208"/>
      <c r="BI299" s="1208"/>
      <c r="BJ299" s="1208"/>
    </row>
    <row r="300" spans="1:62" s="1210" customFormat="1">
      <c r="A300" s="1212"/>
      <c r="B300" s="1209"/>
      <c r="C300" s="1209"/>
      <c r="D300" s="1208"/>
      <c r="E300" s="1208"/>
      <c r="F300" s="1208"/>
      <c r="G300" s="1208"/>
      <c r="H300" s="1208"/>
      <c r="I300" s="1208"/>
      <c r="J300" s="1208"/>
      <c r="K300" s="1208"/>
      <c r="L300" s="1208"/>
      <c r="M300" s="1208"/>
      <c r="N300" s="1208"/>
      <c r="O300" s="1208"/>
      <c r="P300" s="1208"/>
      <c r="Q300" s="1208"/>
      <c r="R300" s="1208"/>
      <c r="S300" s="1208"/>
      <c r="T300" s="1208"/>
      <c r="U300" s="1208"/>
      <c r="V300" s="1208"/>
      <c r="W300" s="1208"/>
      <c r="X300" s="1208"/>
      <c r="Y300" s="1208"/>
      <c r="Z300" s="1208"/>
      <c r="AA300" s="1208"/>
      <c r="AB300" s="1208"/>
      <c r="AC300" s="1208"/>
      <c r="AD300" s="1208"/>
      <c r="AE300" s="1208"/>
      <c r="AF300" s="1208"/>
      <c r="AG300" s="1208"/>
      <c r="AH300" s="1208"/>
      <c r="AI300" s="1208"/>
      <c r="AJ300" s="1208"/>
      <c r="AK300" s="1208"/>
      <c r="AL300" s="1208"/>
      <c r="AM300" s="1208"/>
      <c r="AN300" s="1208"/>
      <c r="AO300" s="1208"/>
      <c r="AP300" s="1208"/>
      <c r="AQ300" s="1208"/>
      <c r="AR300" s="1208"/>
      <c r="AS300" s="1208"/>
      <c r="AT300" s="1208"/>
      <c r="AU300" s="1208"/>
      <c r="AV300" s="1208"/>
      <c r="AW300" s="1208"/>
      <c r="AX300" s="1208"/>
      <c r="AY300" s="1208"/>
      <c r="AZ300" s="1208"/>
      <c r="BA300" s="1208"/>
      <c r="BB300" s="1208"/>
      <c r="BC300" s="1208"/>
      <c r="BD300" s="1208"/>
      <c r="BE300" s="1208"/>
      <c r="BF300" s="1208"/>
      <c r="BG300" s="1208"/>
      <c r="BH300" s="1208"/>
      <c r="BI300" s="1208"/>
      <c r="BJ300" s="1208"/>
    </row>
    <row r="301" spans="1:62" s="1210" customFormat="1">
      <c r="A301" s="1212"/>
      <c r="B301" s="1209"/>
      <c r="C301" s="1209"/>
      <c r="D301" s="1208"/>
      <c r="E301" s="1208"/>
      <c r="F301" s="1208"/>
      <c r="G301" s="1208"/>
      <c r="H301" s="1208"/>
      <c r="I301" s="1208"/>
      <c r="J301" s="1208"/>
      <c r="K301" s="1208"/>
      <c r="L301" s="1208"/>
      <c r="M301" s="1208"/>
      <c r="N301" s="1208"/>
      <c r="O301" s="1208"/>
      <c r="P301" s="1208"/>
      <c r="Q301" s="1208"/>
      <c r="R301" s="1208"/>
      <c r="S301" s="1208"/>
      <c r="T301" s="1208"/>
      <c r="U301" s="1208"/>
      <c r="V301" s="1208"/>
      <c r="W301" s="1208"/>
      <c r="X301" s="1208"/>
      <c r="Y301" s="1208"/>
      <c r="Z301" s="1208"/>
      <c r="AA301" s="1208"/>
      <c r="AB301" s="1208"/>
      <c r="AC301" s="1208"/>
      <c r="AD301" s="1208"/>
      <c r="AE301" s="1208"/>
      <c r="AF301" s="1208"/>
      <c r="AG301" s="1208"/>
      <c r="AH301" s="1208"/>
      <c r="AI301" s="1208"/>
      <c r="AJ301" s="1208"/>
      <c r="AK301" s="1208"/>
      <c r="AL301" s="1208"/>
      <c r="AM301" s="1208"/>
      <c r="AN301" s="1208"/>
      <c r="AO301" s="1208"/>
      <c r="AP301" s="1208"/>
      <c r="AQ301" s="1208"/>
      <c r="AR301" s="1208"/>
      <c r="AS301" s="1208"/>
      <c r="AT301" s="1208"/>
      <c r="AU301" s="1208"/>
      <c r="AV301" s="1208"/>
      <c r="AW301" s="1208"/>
      <c r="AX301" s="1208"/>
      <c r="AY301" s="1208"/>
      <c r="AZ301" s="1208"/>
      <c r="BA301" s="1208"/>
      <c r="BB301" s="1208"/>
      <c r="BC301" s="1208"/>
      <c r="BD301" s="1208"/>
      <c r="BE301" s="1208"/>
      <c r="BF301" s="1208"/>
      <c r="BG301" s="1208"/>
      <c r="BH301" s="1208"/>
      <c r="BI301" s="1208"/>
      <c r="BJ301" s="1208"/>
    </row>
    <row r="302" spans="1:62" s="1210" customFormat="1">
      <c r="A302" s="1212"/>
      <c r="B302" s="1209"/>
      <c r="C302" s="1209"/>
      <c r="D302" s="1208"/>
      <c r="E302" s="1208"/>
      <c r="F302" s="1208"/>
      <c r="G302" s="1208"/>
      <c r="H302" s="1208"/>
      <c r="I302" s="1208"/>
      <c r="J302" s="1208"/>
      <c r="K302" s="1208"/>
      <c r="L302" s="1208"/>
      <c r="M302" s="1208"/>
      <c r="N302" s="1208"/>
      <c r="O302" s="1208"/>
      <c r="P302" s="1208"/>
      <c r="Q302" s="1208"/>
      <c r="R302" s="1208"/>
      <c r="S302" s="1208"/>
      <c r="T302" s="1208"/>
      <c r="U302" s="1208"/>
      <c r="V302" s="1208"/>
      <c r="W302" s="1208"/>
      <c r="X302" s="1208"/>
      <c r="Y302" s="1208"/>
      <c r="Z302" s="1208"/>
      <c r="AA302" s="1208"/>
      <c r="AB302" s="1208"/>
      <c r="AC302" s="1208"/>
      <c r="AD302" s="1208"/>
      <c r="AE302" s="1208"/>
      <c r="AF302" s="1208"/>
      <c r="AG302" s="1208"/>
      <c r="AH302" s="1208"/>
      <c r="AI302" s="1208"/>
      <c r="AJ302" s="1208"/>
      <c r="AK302" s="1208"/>
      <c r="AL302" s="1208"/>
      <c r="AM302" s="1208"/>
      <c r="AN302" s="1208"/>
      <c r="AO302" s="1208"/>
      <c r="AP302" s="1208"/>
      <c r="AQ302" s="1208"/>
      <c r="AR302" s="1208"/>
      <c r="AS302" s="1208"/>
      <c r="AT302" s="1208"/>
      <c r="AU302" s="1208"/>
      <c r="AV302" s="1208"/>
      <c r="AW302" s="1208"/>
      <c r="AX302" s="1208"/>
      <c r="AY302" s="1208"/>
      <c r="AZ302" s="1208"/>
      <c r="BA302" s="1208"/>
      <c r="BB302" s="1208"/>
      <c r="BC302" s="1208"/>
      <c r="BD302" s="1208"/>
      <c r="BE302" s="1208"/>
      <c r="BF302" s="1208"/>
      <c r="BG302" s="1208"/>
      <c r="BH302" s="1208"/>
      <c r="BI302" s="1208"/>
      <c r="BJ302" s="1208"/>
    </row>
    <row r="303" spans="1:62" s="1210" customFormat="1">
      <c r="A303" s="1212"/>
      <c r="B303" s="1209"/>
      <c r="C303" s="1209"/>
      <c r="D303" s="1208"/>
      <c r="E303" s="1208"/>
      <c r="F303" s="1208"/>
      <c r="G303" s="1208"/>
      <c r="H303" s="1208"/>
      <c r="I303" s="1208"/>
      <c r="J303" s="1208"/>
      <c r="K303" s="1208"/>
      <c r="L303" s="1208"/>
      <c r="M303" s="1208"/>
      <c r="N303" s="1208"/>
      <c r="O303" s="1208"/>
      <c r="P303" s="1208"/>
      <c r="Q303" s="1208"/>
      <c r="R303" s="1208"/>
      <c r="S303" s="1208"/>
      <c r="T303" s="1208"/>
      <c r="U303" s="1208"/>
      <c r="V303" s="1208"/>
      <c r="W303" s="1208"/>
      <c r="X303" s="1208"/>
      <c r="Y303" s="1208"/>
      <c r="Z303" s="1208"/>
      <c r="AA303" s="1208"/>
      <c r="AB303" s="1208"/>
      <c r="AC303" s="1208"/>
      <c r="AD303" s="1208"/>
      <c r="AE303" s="1208"/>
      <c r="AF303" s="1208"/>
      <c r="AG303" s="1208"/>
      <c r="AH303" s="1208"/>
      <c r="AI303" s="1208"/>
      <c r="AJ303" s="1208"/>
      <c r="AK303" s="1208"/>
      <c r="AL303" s="1208"/>
      <c r="AM303" s="1208"/>
      <c r="AN303" s="1208"/>
      <c r="AO303" s="1208"/>
      <c r="AP303" s="1208"/>
      <c r="AQ303" s="1208"/>
      <c r="AR303" s="1208"/>
      <c r="AS303" s="1208"/>
      <c r="AT303" s="1208"/>
      <c r="AU303" s="1208"/>
      <c r="AV303" s="1208"/>
      <c r="AW303" s="1208"/>
      <c r="AX303" s="1208"/>
      <c r="AY303" s="1208"/>
      <c r="AZ303" s="1208"/>
      <c r="BA303" s="1208"/>
      <c r="BB303" s="1208"/>
      <c r="BC303" s="1208"/>
      <c r="BD303" s="1208"/>
      <c r="BE303" s="1208"/>
      <c r="BF303" s="1208"/>
      <c r="BG303" s="1208"/>
      <c r="BH303" s="1208"/>
      <c r="BI303" s="1208"/>
      <c r="BJ303" s="1208"/>
    </row>
    <row r="304" spans="1:62" s="1210" customFormat="1">
      <c r="A304" s="1212"/>
      <c r="B304" s="1209"/>
      <c r="C304" s="1209"/>
      <c r="D304" s="1208"/>
      <c r="E304" s="1208"/>
      <c r="F304" s="1208"/>
      <c r="G304" s="1208"/>
      <c r="H304" s="1208"/>
      <c r="I304" s="1208"/>
      <c r="J304" s="1208"/>
      <c r="K304" s="1208"/>
      <c r="L304" s="1208"/>
      <c r="M304" s="1208"/>
      <c r="N304" s="1208"/>
      <c r="O304" s="1208"/>
      <c r="P304" s="1208"/>
      <c r="Q304" s="1208"/>
      <c r="R304" s="1208"/>
      <c r="S304" s="1208"/>
      <c r="T304" s="1208"/>
      <c r="U304" s="1208"/>
      <c r="V304" s="1208"/>
      <c r="W304" s="1208"/>
      <c r="X304" s="1208"/>
      <c r="Y304" s="1208"/>
      <c r="Z304" s="1208"/>
      <c r="AA304" s="1208"/>
      <c r="AB304" s="1208"/>
      <c r="AC304" s="1208"/>
      <c r="AD304" s="1208"/>
      <c r="AE304" s="1208"/>
      <c r="AF304" s="1208"/>
      <c r="AG304" s="1208"/>
      <c r="AH304" s="1208"/>
      <c r="AI304" s="1208"/>
      <c r="AJ304" s="1208"/>
      <c r="AK304" s="1208"/>
      <c r="AL304" s="1208"/>
      <c r="AM304" s="1208"/>
      <c r="AN304" s="1208"/>
      <c r="AO304" s="1208"/>
      <c r="AP304" s="1208"/>
      <c r="AQ304" s="1208"/>
      <c r="AR304" s="1208"/>
      <c r="AS304" s="1208"/>
      <c r="AT304" s="1208"/>
      <c r="AU304" s="1208"/>
      <c r="AV304" s="1208"/>
      <c r="AW304" s="1208"/>
      <c r="AX304" s="1208"/>
      <c r="AY304" s="1208"/>
      <c r="AZ304" s="1208"/>
      <c r="BA304" s="1208"/>
      <c r="BB304" s="1208"/>
      <c r="BC304" s="1208"/>
      <c r="BD304" s="1208"/>
      <c r="BE304" s="1208"/>
      <c r="BF304" s="1208"/>
      <c r="BG304" s="1208"/>
      <c r="BH304" s="1208"/>
      <c r="BI304" s="1208"/>
      <c r="BJ304" s="1208"/>
    </row>
    <row r="305" spans="1:62" s="1210" customFormat="1">
      <c r="A305" s="1212"/>
      <c r="B305" s="1209"/>
      <c r="C305" s="1209"/>
      <c r="D305" s="1208"/>
      <c r="E305" s="1208"/>
      <c r="F305" s="1208"/>
      <c r="G305" s="1208"/>
      <c r="H305" s="1208"/>
      <c r="I305" s="1208"/>
      <c r="J305" s="1208"/>
      <c r="K305" s="1208"/>
      <c r="L305" s="1208"/>
      <c r="M305" s="1208"/>
      <c r="N305" s="1208"/>
      <c r="O305" s="1208"/>
      <c r="P305" s="1208"/>
      <c r="Q305" s="1208"/>
      <c r="R305" s="1208"/>
      <c r="S305" s="1208"/>
      <c r="T305" s="1208"/>
      <c r="U305" s="1208"/>
      <c r="V305" s="1208"/>
      <c r="W305" s="1208"/>
      <c r="X305" s="1208"/>
      <c r="Y305" s="1208"/>
      <c r="Z305" s="1208"/>
      <c r="AA305" s="1208"/>
      <c r="AB305" s="1208"/>
      <c r="AC305" s="1208"/>
      <c r="AD305" s="1208"/>
      <c r="AE305" s="1208"/>
      <c r="AF305" s="1208"/>
      <c r="AG305" s="1208"/>
      <c r="AH305" s="1208"/>
      <c r="AI305" s="1208"/>
      <c r="AJ305" s="1208"/>
      <c r="AK305" s="1208"/>
      <c r="AL305" s="1208"/>
      <c r="AM305" s="1208"/>
      <c r="AN305" s="1208"/>
      <c r="AO305" s="1208"/>
      <c r="AP305" s="1208"/>
      <c r="AQ305" s="1208"/>
      <c r="AR305" s="1208"/>
      <c r="AS305" s="1208"/>
      <c r="AT305" s="1208"/>
      <c r="AU305" s="1208"/>
      <c r="AV305" s="1208"/>
      <c r="AW305" s="1208"/>
      <c r="AX305" s="1208"/>
      <c r="AY305" s="1208"/>
      <c r="AZ305" s="1208"/>
      <c r="BA305" s="1208"/>
      <c r="BB305" s="1208"/>
      <c r="BC305" s="1208"/>
      <c r="BD305" s="1208"/>
      <c r="BE305" s="1208"/>
      <c r="BF305" s="1208"/>
      <c r="BG305" s="1208"/>
      <c r="BH305" s="1208"/>
      <c r="BI305" s="1208"/>
      <c r="BJ305" s="1208"/>
    </row>
    <row r="306" spans="1:62" s="1210" customFormat="1">
      <c r="A306" s="1212"/>
      <c r="B306" s="1209"/>
      <c r="C306" s="1209"/>
      <c r="D306" s="1208"/>
      <c r="E306" s="1208"/>
      <c r="F306" s="1208"/>
      <c r="G306" s="1208"/>
      <c r="H306" s="1208"/>
      <c r="I306" s="1208"/>
      <c r="J306" s="1208"/>
      <c r="K306" s="1208"/>
      <c r="L306" s="1208"/>
      <c r="M306" s="1208"/>
      <c r="N306" s="1208"/>
      <c r="O306" s="1208"/>
      <c r="P306" s="1208"/>
      <c r="Q306" s="1208"/>
      <c r="R306" s="1208"/>
      <c r="S306" s="1208"/>
      <c r="T306" s="1208"/>
      <c r="U306" s="1208"/>
      <c r="V306" s="1208"/>
      <c r="W306" s="1208"/>
      <c r="X306" s="1208"/>
      <c r="Y306" s="1208"/>
      <c r="Z306" s="1208"/>
      <c r="AA306" s="1208"/>
      <c r="AB306" s="1208"/>
      <c r="AC306" s="1208"/>
      <c r="AD306" s="1208"/>
      <c r="AE306" s="1208"/>
      <c r="AF306" s="1208"/>
      <c r="AG306" s="1208"/>
      <c r="AH306" s="1208"/>
      <c r="AI306" s="1208"/>
      <c r="AJ306" s="1208"/>
      <c r="AK306" s="1208"/>
      <c r="AL306" s="1208"/>
      <c r="AM306" s="1208"/>
      <c r="AN306" s="1208"/>
      <c r="AO306" s="1208"/>
      <c r="AP306" s="1208"/>
      <c r="AQ306" s="1208"/>
      <c r="AR306" s="1208"/>
      <c r="AS306" s="1208"/>
      <c r="AT306" s="1208"/>
      <c r="AU306" s="1208"/>
      <c r="AV306" s="1208"/>
      <c r="AW306" s="1208"/>
      <c r="AX306" s="1208"/>
      <c r="AY306" s="1208"/>
      <c r="AZ306" s="1208"/>
      <c r="BA306" s="1208"/>
      <c r="BB306" s="1208"/>
      <c r="BC306" s="1208"/>
      <c r="BD306" s="1208"/>
      <c r="BE306" s="1208"/>
      <c r="BF306" s="1208"/>
      <c r="BG306" s="1208"/>
      <c r="BH306" s="1208"/>
      <c r="BI306" s="1208"/>
      <c r="BJ306" s="1208"/>
    </row>
    <row r="307" spans="1:62" s="1210" customFormat="1">
      <c r="A307" s="1212"/>
      <c r="B307" s="1209"/>
      <c r="C307" s="1209"/>
      <c r="D307" s="1208"/>
      <c r="E307" s="1208"/>
      <c r="F307" s="1208"/>
      <c r="G307" s="1208"/>
      <c r="H307" s="1208"/>
      <c r="I307" s="1208"/>
      <c r="J307" s="1208"/>
      <c r="K307" s="1208"/>
      <c r="L307" s="1208"/>
      <c r="M307" s="1208"/>
      <c r="N307" s="1208"/>
      <c r="O307" s="1208"/>
      <c r="P307" s="1208"/>
      <c r="Q307" s="1208"/>
      <c r="R307" s="1208"/>
      <c r="S307" s="1208"/>
      <c r="T307" s="1208"/>
      <c r="U307" s="1208"/>
      <c r="V307" s="1208"/>
      <c r="W307" s="1208"/>
      <c r="X307" s="1208"/>
      <c r="Y307" s="1208"/>
      <c r="Z307" s="1208"/>
      <c r="AA307" s="1208"/>
      <c r="AB307" s="1208"/>
      <c r="AC307" s="1208"/>
      <c r="AD307" s="1208"/>
      <c r="AE307" s="1208"/>
      <c r="AF307" s="1208"/>
      <c r="AG307" s="1208"/>
      <c r="AH307" s="1208"/>
      <c r="AI307" s="1208"/>
      <c r="AJ307" s="1208"/>
      <c r="AK307" s="1208"/>
      <c r="AL307" s="1208"/>
      <c r="AM307" s="1208"/>
      <c r="AN307" s="1208"/>
      <c r="AO307" s="1208"/>
      <c r="AP307" s="1208"/>
      <c r="AQ307" s="1208"/>
      <c r="AR307" s="1208"/>
      <c r="AS307" s="1208"/>
      <c r="AT307" s="1208"/>
      <c r="AU307" s="1208"/>
      <c r="AV307" s="1208"/>
      <c r="AW307" s="1208"/>
      <c r="AX307" s="1208"/>
      <c r="AY307" s="1208"/>
      <c r="AZ307" s="1208"/>
      <c r="BA307" s="1208"/>
      <c r="BB307" s="1208"/>
      <c r="BC307" s="1208"/>
      <c r="BD307" s="1208"/>
      <c r="BE307" s="1208"/>
      <c r="BF307" s="1208"/>
      <c r="BG307" s="1208"/>
      <c r="BH307" s="1208"/>
      <c r="BI307" s="1208"/>
      <c r="BJ307" s="1208"/>
    </row>
    <row r="308" spans="1:62" s="1210" customFormat="1">
      <c r="A308" s="1212"/>
      <c r="B308" s="1209"/>
      <c r="C308" s="1209"/>
      <c r="D308" s="1208"/>
      <c r="E308" s="1208"/>
      <c r="F308" s="1208"/>
      <c r="G308" s="1208"/>
      <c r="H308" s="1208"/>
      <c r="I308" s="1208"/>
      <c r="J308" s="1208"/>
      <c r="K308" s="1208"/>
      <c r="L308" s="1208"/>
      <c r="M308" s="1208"/>
      <c r="N308" s="1208"/>
      <c r="O308" s="1208"/>
      <c r="P308" s="1208"/>
      <c r="Q308" s="1208"/>
      <c r="R308" s="1208"/>
      <c r="S308" s="1208"/>
      <c r="T308" s="1208"/>
      <c r="U308" s="1208"/>
      <c r="V308" s="1208"/>
      <c r="W308" s="1208"/>
      <c r="X308" s="1208"/>
      <c r="Y308" s="1208"/>
      <c r="Z308" s="1208"/>
      <c r="AA308" s="1208"/>
      <c r="AB308" s="1208"/>
      <c r="AC308" s="1208"/>
      <c r="AD308" s="1208"/>
      <c r="AE308" s="1208"/>
      <c r="AF308" s="1208"/>
      <c r="AG308" s="1208"/>
      <c r="AH308" s="1208"/>
      <c r="AI308" s="1208"/>
      <c r="AJ308" s="1208"/>
      <c r="AK308" s="1208"/>
      <c r="AL308" s="1208"/>
      <c r="AM308" s="1208"/>
      <c r="AN308" s="1208"/>
      <c r="AO308" s="1208"/>
      <c r="AP308" s="1208"/>
      <c r="AQ308" s="1208"/>
      <c r="AR308" s="1208"/>
      <c r="AS308" s="1208"/>
      <c r="AT308" s="1208"/>
      <c r="AU308" s="1208"/>
      <c r="AV308" s="1208"/>
      <c r="AW308" s="1208"/>
      <c r="AX308" s="1208"/>
      <c r="AY308" s="1208"/>
      <c r="AZ308" s="1208"/>
      <c r="BA308" s="1208"/>
      <c r="BB308" s="1208"/>
      <c r="BC308" s="1208"/>
      <c r="BD308" s="1208"/>
      <c r="BE308" s="1208"/>
      <c r="BF308" s="1208"/>
      <c r="BG308" s="1208"/>
      <c r="BH308" s="1208"/>
      <c r="BI308" s="1208"/>
      <c r="BJ308" s="1208"/>
    </row>
    <row r="309" spans="1:62" s="1210" customFormat="1">
      <c r="A309" s="1212"/>
      <c r="B309" s="1209"/>
      <c r="C309" s="1209"/>
      <c r="D309" s="1208"/>
      <c r="E309" s="1208"/>
      <c r="F309" s="1208"/>
      <c r="G309" s="1208"/>
      <c r="H309" s="1208"/>
      <c r="I309" s="1208"/>
      <c r="J309" s="1208"/>
      <c r="K309" s="1208"/>
      <c r="L309" s="1208"/>
      <c r="M309" s="1208"/>
      <c r="N309" s="1208"/>
      <c r="O309" s="1208"/>
      <c r="P309" s="1208"/>
      <c r="Q309" s="1208"/>
      <c r="R309" s="1208"/>
      <c r="S309" s="1208"/>
      <c r="T309" s="1208"/>
      <c r="U309" s="1208"/>
      <c r="V309" s="1208"/>
      <c r="W309" s="1208"/>
      <c r="X309" s="1208"/>
      <c r="Y309" s="1208"/>
      <c r="Z309" s="1208"/>
      <c r="AA309" s="1208"/>
      <c r="AB309" s="1208"/>
      <c r="AC309" s="1208"/>
      <c r="AD309" s="1208"/>
      <c r="AE309" s="1208"/>
      <c r="AF309" s="1208"/>
      <c r="AG309" s="1208"/>
      <c r="AH309" s="1208"/>
      <c r="AI309" s="1208"/>
      <c r="AJ309" s="1208"/>
      <c r="AK309" s="1208"/>
      <c r="AL309" s="1208"/>
      <c r="AM309" s="1208"/>
      <c r="AN309" s="1208"/>
      <c r="AO309" s="1208"/>
      <c r="AP309" s="1208"/>
      <c r="AQ309" s="1208"/>
      <c r="AR309" s="1208"/>
      <c r="AS309" s="1208"/>
      <c r="AT309" s="1208"/>
      <c r="AU309" s="1208"/>
      <c r="AV309" s="1208"/>
      <c r="AW309" s="1208"/>
      <c r="AX309" s="1208"/>
      <c r="AY309" s="1208"/>
      <c r="AZ309" s="1208"/>
      <c r="BA309" s="1208"/>
      <c r="BB309" s="1208"/>
      <c r="BC309" s="1208"/>
      <c r="BD309" s="1208"/>
      <c r="BE309" s="1208"/>
      <c r="BF309" s="1208"/>
      <c r="BG309" s="1208"/>
      <c r="BH309" s="1208"/>
      <c r="BI309" s="1208"/>
      <c r="BJ309" s="1208"/>
    </row>
    <row r="310" spans="1:62" s="1210" customFormat="1">
      <c r="A310" s="1212"/>
      <c r="B310" s="1209"/>
      <c r="C310" s="1209"/>
      <c r="D310" s="1208"/>
      <c r="E310" s="1208"/>
      <c r="F310" s="1208"/>
      <c r="G310" s="1208"/>
      <c r="H310" s="1208"/>
      <c r="I310" s="1208"/>
      <c r="J310" s="1208"/>
      <c r="K310" s="1208"/>
      <c r="L310" s="1208"/>
      <c r="M310" s="1208"/>
      <c r="N310" s="1208"/>
      <c r="O310" s="1208"/>
      <c r="P310" s="1208"/>
      <c r="Q310" s="1208"/>
      <c r="R310" s="1208"/>
      <c r="S310" s="1208"/>
      <c r="T310" s="1208"/>
      <c r="U310" s="1208"/>
      <c r="V310" s="1208"/>
      <c r="W310" s="1208"/>
      <c r="X310" s="1208"/>
      <c r="Y310" s="1208"/>
      <c r="Z310" s="1208"/>
      <c r="AA310" s="1208"/>
      <c r="AB310" s="1208"/>
      <c r="AC310" s="1208"/>
      <c r="AD310" s="1208"/>
      <c r="AE310" s="1208"/>
      <c r="AF310" s="1208"/>
      <c r="AG310" s="1208"/>
      <c r="AH310" s="1208"/>
      <c r="AI310" s="1208"/>
      <c r="AJ310" s="1208"/>
      <c r="AK310" s="1208"/>
      <c r="AL310" s="1208"/>
      <c r="AM310" s="1208"/>
      <c r="AN310" s="1208"/>
      <c r="AO310" s="1208"/>
      <c r="AP310" s="1208"/>
      <c r="AQ310" s="1208"/>
      <c r="AR310" s="1208"/>
      <c r="AS310" s="1208"/>
      <c r="AT310" s="1208"/>
      <c r="AU310" s="1208"/>
      <c r="AV310" s="1208"/>
      <c r="AW310" s="1208"/>
      <c r="AX310" s="1208"/>
      <c r="AY310" s="1208"/>
      <c r="AZ310" s="1208"/>
      <c r="BA310" s="1208"/>
      <c r="BB310" s="1208"/>
      <c r="BC310" s="1208"/>
      <c r="BD310" s="1208"/>
      <c r="BE310" s="1208"/>
      <c r="BF310" s="1208"/>
      <c r="BG310" s="1208"/>
      <c r="BH310" s="1208"/>
      <c r="BI310" s="1208"/>
      <c r="BJ310" s="1208"/>
    </row>
    <row r="311" spans="1:62" s="1210" customFormat="1">
      <c r="A311" s="1212"/>
      <c r="B311" s="1209"/>
      <c r="C311" s="1209"/>
      <c r="D311" s="1208"/>
      <c r="E311" s="1208"/>
      <c r="F311" s="1208"/>
      <c r="G311" s="1208"/>
      <c r="H311" s="1208"/>
      <c r="I311" s="1208"/>
      <c r="J311" s="1208"/>
      <c r="K311" s="1208"/>
      <c r="L311" s="1208"/>
      <c r="M311" s="1208"/>
      <c r="N311" s="1208"/>
      <c r="O311" s="1208"/>
      <c r="P311" s="1208"/>
      <c r="Q311" s="1208"/>
      <c r="R311" s="1208"/>
      <c r="S311" s="1208"/>
      <c r="T311" s="1208"/>
      <c r="U311" s="1208"/>
      <c r="V311" s="1208"/>
      <c r="W311" s="1208"/>
      <c r="X311" s="1208"/>
      <c r="Y311" s="1208"/>
      <c r="Z311" s="1208"/>
      <c r="AA311" s="1208"/>
      <c r="AB311" s="1208"/>
      <c r="AC311" s="1208"/>
      <c r="AD311" s="1208"/>
      <c r="AE311" s="1208"/>
      <c r="AF311" s="1208"/>
      <c r="AG311" s="1208"/>
      <c r="AH311" s="1208"/>
      <c r="AI311" s="1208"/>
      <c r="AJ311" s="1208"/>
      <c r="AK311" s="1208"/>
      <c r="AL311" s="1208"/>
      <c r="AM311" s="1208"/>
      <c r="AN311" s="1208"/>
      <c r="AO311" s="1208"/>
      <c r="AP311" s="1208"/>
      <c r="AQ311" s="1208"/>
      <c r="AR311" s="1208"/>
      <c r="AS311" s="1208"/>
      <c r="AT311" s="1208"/>
      <c r="AU311" s="1208"/>
      <c r="AV311" s="1208"/>
      <c r="AW311" s="1208"/>
      <c r="AX311" s="1208"/>
      <c r="AY311" s="1208"/>
      <c r="AZ311" s="1208"/>
      <c r="BA311" s="1208"/>
      <c r="BB311" s="1208"/>
      <c r="BC311" s="1208"/>
      <c r="BD311" s="1208"/>
      <c r="BE311" s="1208"/>
      <c r="BF311" s="1208"/>
      <c r="BG311" s="1208"/>
      <c r="BH311" s="1208"/>
      <c r="BI311" s="1208"/>
      <c r="BJ311" s="1208"/>
    </row>
    <row r="312" spans="1:62" s="1210" customFormat="1">
      <c r="A312" s="1212"/>
      <c r="B312" s="1209"/>
      <c r="C312" s="1209"/>
      <c r="D312" s="1208"/>
      <c r="E312" s="1208"/>
      <c r="F312" s="1208"/>
      <c r="G312" s="1208"/>
      <c r="H312" s="1208"/>
      <c r="I312" s="1208"/>
      <c r="J312" s="1208"/>
      <c r="K312" s="1208"/>
      <c r="L312" s="1208"/>
      <c r="M312" s="1208"/>
      <c r="N312" s="1208"/>
      <c r="O312" s="1208"/>
      <c r="P312" s="1208"/>
      <c r="Q312" s="1208"/>
      <c r="R312" s="1208"/>
      <c r="S312" s="1208"/>
      <c r="T312" s="1208"/>
      <c r="U312" s="1208"/>
      <c r="V312" s="1208"/>
      <c r="W312" s="1208"/>
      <c r="X312" s="1208"/>
      <c r="Y312" s="1208"/>
      <c r="Z312" s="1208"/>
      <c r="AA312" s="1208"/>
      <c r="AB312" s="1208"/>
      <c r="AC312" s="1208"/>
      <c r="AD312" s="1208"/>
      <c r="AE312" s="1208"/>
      <c r="AF312" s="1208"/>
      <c r="AG312" s="1208"/>
      <c r="AH312" s="1208"/>
      <c r="AI312" s="1208"/>
      <c r="AJ312" s="1208"/>
      <c r="AK312" s="1208"/>
      <c r="AL312" s="1208"/>
      <c r="AM312" s="1208"/>
      <c r="AN312" s="1208"/>
      <c r="AO312" s="1208"/>
      <c r="AP312" s="1208"/>
      <c r="AQ312" s="1208"/>
      <c r="AR312" s="1208"/>
      <c r="AS312" s="1208"/>
      <c r="AT312" s="1208"/>
      <c r="AU312" s="1208"/>
      <c r="AV312" s="1208"/>
      <c r="AW312" s="1208"/>
      <c r="AX312" s="1208"/>
      <c r="AY312" s="1208"/>
      <c r="AZ312" s="1208"/>
      <c r="BA312" s="1208"/>
      <c r="BB312" s="1208"/>
      <c r="BC312" s="1208"/>
      <c r="BD312" s="1208"/>
      <c r="BE312" s="1208"/>
      <c r="BF312" s="1208"/>
      <c r="BG312" s="1208"/>
      <c r="BH312" s="1208"/>
      <c r="BI312" s="1208"/>
      <c r="BJ312" s="1208"/>
    </row>
    <row r="313" spans="1:62" s="1210" customFormat="1">
      <c r="A313" s="1212"/>
      <c r="B313" s="1209"/>
      <c r="C313" s="1209"/>
      <c r="D313" s="1208"/>
      <c r="E313" s="1208"/>
      <c r="F313" s="1208"/>
      <c r="G313" s="1208"/>
      <c r="H313" s="1208"/>
      <c r="I313" s="1208"/>
      <c r="J313" s="1208"/>
      <c r="K313" s="1208"/>
      <c r="L313" s="1208"/>
      <c r="M313" s="1208"/>
      <c r="N313" s="1208"/>
      <c r="O313" s="1208"/>
      <c r="P313" s="1208"/>
      <c r="Q313" s="1208"/>
      <c r="R313" s="1208"/>
      <c r="S313" s="1208"/>
      <c r="T313" s="1208"/>
      <c r="U313" s="1208"/>
      <c r="V313" s="1208"/>
      <c r="W313" s="1208"/>
      <c r="X313" s="1208"/>
      <c r="Y313" s="1208"/>
      <c r="Z313" s="1208"/>
      <c r="AA313" s="1208"/>
      <c r="AB313" s="1208"/>
      <c r="AC313" s="1208"/>
      <c r="AD313" s="1208"/>
      <c r="AE313" s="1208"/>
      <c r="AF313" s="1208"/>
      <c r="AG313" s="1208"/>
      <c r="AH313" s="1208"/>
      <c r="AI313" s="1208"/>
      <c r="AJ313" s="1208"/>
      <c r="AK313" s="1208"/>
      <c r="AL313" s="1208"/>
      <c r="AM313" s="1208"/>
      <c r="AN313" s="1208"/>
      <c r="AO313" s="1208"/>
      <c r="AP313" s="1208"/>
      <c r="AQ313" s="1208"/>
      <c r="AR313" s="1208"/>
      <c r="AS313" s="1208"/>
      <c r="AT313" s="1208"/>
      <c r="AU313" s="1208"/>
      <c r="AV313" s="1208"/>
      <c r="AW313" s="1208"/>
      <c r="AX313" s="1208"/>
      <c r="AY313" s="1208"/>
      <c r="AZ313" s="1208"/>
      <c r="BA313" s="1208"/>
      <c r="BB313" s="1208"/>
      <c r="BC313" s="1208"/>
      <c r="BD313" s="1208"/>
      <c r="BE313" s="1208"/>
      <c r="BF313" s="1208"/>
      <c r="BG313" s="1208"/>
      <c r="BH313" s="1208"/>
      <c r="BI313" s="1208"/>
      <c r="BJ313" s="1208"/>
    </row>
    <row r="314" spans="1:62" s="1210" customFormat="1">
      <c r="A314" s="1212"/>
      <c r="B314" s="1209"/>
      <c r="C314" s="1209"/>
      <c r="D314" s="1208"/>
      <c r="E314" s="1208"/>
      <c r="F314" s="1208"/>
      <c r="G314" s="1208"/>
      <c r="H314" s="1208"/>
      <c r="I314" s="1208"/>
      <c r="J314" s="1208"/>
      <c r="K314" s="1208"/>
      <c r="L314" s="1208"/>
      <c r="M314" s="1208"/>
      <c r="N314" s="1208"/>
      <c r="O314" s="1208"/>
      <c r="P314" s="1208"/>
      <c r="Q314" s="1208"/>
      <c r="R314" s="1208"/>
      <c r="S314" s="1208"/>
      <c r="T314" s="1208"/>
      <c r="U314" s="1208"/>
      <c r="V314" s="1208"/>
      <c r="W314" s="1208"/>
      <c r="X314" s="1208"/>
      <c r="Y314" s="1208"/>
      <c r="Z314" s="1208"/>
      <c r="AA314" s="1208"/>
      <c r="AB314" s="1208"/>
      <c r="AC314" s="1208"/>
      <c r="AD314" s="1208"/>
      <c r="AE314" s="1208"/>
      <c r="AF314" s="1208"/>
      <c r="AG314" s="1208"/>
      <c r="AH314" s="1208"/>
      <c r="AI314" s="1208"/>
      <c r="AJ314" s="1208"/>
      <c r="AK314" s="1208"/>
      <c r="AL314" s="1208"/>
      <c r="AM314" s="1208"/>
      <c r="AN314" s="1208"/>
      <c r="AO314" s="1208"/>
      <c r="AP314" s="1208"/>
      <c r="AQ314" s="1208"/>
      <c r="AR314" s="1208"/>
      <c r="AS314" s="1208"/>
      <c r="AT314" s="1208"/>
      <c r="AU314" s="1208"/>
      <c r="AV314" s="1208"/>
      <c r="AW314" s="1208"/>
      <c r="AX314" s="1208"/>
      <c r="AY314" s="1208"/>
      <c r="AZ314" s="1208"/>
      <c r="BA314" s="1208"/>
      <c r="BB314" s="1208"/>
      <c r="BC314" s="1208"/>
      <c r="BD314" s="1208"/>
      <c r="BE314" s="1208"/>
      <c r="BF314" s="1208"/>
      <c r="BG314" s="1208"/>
      <c r="BH314" s="1208"/>
      <c r="BI314" s="1208"/>
      <c r="BJ314" s="1208"/>
    </row>
    <row r="315" spans="1:62" s="1210" customFormat="1">
      <c r="A315" s="1212"/>
      <c r="B315" s="1209"/>
      <c r="C315" s="1209"/>
      <c r="D315" s="1208"/>
      <c r="E315" s="1208"/>
      <c r="F315" s="1208"/>
      <c r="G315" s="1208"/>
      <c r="H315" s="1208"/>
      <c r="I315" s="1208"/>
      <c r="J315" s="1208"/>
      <c r="K315" s="1208"/>
      <c r="L315" s="1208"/>
      <c r="M315" s="1208"/>
      <c r="N315" s="1208"/>
      <c r="O315" s="1208"/>
      <c r="P315" s="1208"/>
      <c r="Q315" s="1208"/>
      <c r="R315" s="1208"/>
      <c r="S315" s="1208"/>
      <c r="T315" s="1208"/>
      <c r="U315" s="1208"/>
      <c r="V315" s="1208"/>
      <c r="W315" s="1208"/>
      <c r="X315" s="1208"/>
      <c r="Y315" s="1208"/>
      <c r="Z315" s="1208"/>
      <c r="AA315" s="1208"/>
      <c r="AB315" s="1208"/>
      <c r="AC315" s="1208"/>
      <c r="AD315" s="1208"/>
      <c r="AE315" s="1208"/>
      <c r="AF315" s="1208"/>
      <c r="AG315" s="1208"/>
      <c r="AH315" s="1208"/>
      <c r="AI315" s="1208"/>
      <c r="AJ315" s="1208"/>
      <c r="AK315" s="1208"/>
      <c r="AL315" s="1208"/>
      <c r="AM315" s="1208"/>
      <c r="AN315" s="1208"/>
      <c r="AO315" s="1208"/>
      <c r="AP315" s="1208"/>
      <c r="AQ315" s="1208"/>
      <c r="AR315" s="1208"/>
      <c r="AS315" s="1208"/>
      <c r="AT315" s="1208"/>
      <c r="AU315" s="1208"/>
      <c r="AV315" s="1208"/>
      <c r="AW315" s="1208"/>
      <c r="AX315" s="1208"/>
      <c r="AY315" s="1208"/>
      <c r="AZ315" s="1208"/>
      <c r="BA315" s="1208"/>
      <c r="BB315" s="1208"/>
      <c r="BC315" s="1208"/>
      <c r="BD315" s="1208"/>
      <c r="BE315" s="1208"/>
      <c r="BF315" s="1208"/>
      <c r="BG315" s="1208"/>
      <c r="BH315" s="1208"/>
      <c r="BI315" s="1208"/>
      <c r="BJ315" s="1208"/>
    </row>
    <row r="316" spans="1:62" s="1210" customFormat="1">
      <c r="A316" s="1212"/>
      <c r="B316" s="1209"/>
      <c r="C316" s="1209"/>
      <c r="D316" s="1208"/>
      <c r="E316" s="1208"/>
      <c r="F316" s="1208"/>
      <c r="G316" s="1208"/>
      <c r="H316" s="1208"/>
      <c r="I316" s="1208"/>
      <c r="J316" s="1208"/>
      <c r="K316" s="1208"/>
      <c r="L316" s="1208"/>
      <c r="M316" s="1208"/>
      <c r="N316" s="1208"/>
      <c r="O316" s="1208"/>
      <c r="P316" s="1208"/>
      <c r="Q316" s="1208"/>
      <c r="R316" s="1208"/>
      <c r="S316" s="1208"/>
      <c r="T316" s="1208"/>
      <c r="U316" s="1208"/>
      <c r="V316" s="1208"/>
      <c r="W316" s="1208"/>
      <c r="X316" s="1208"/>
      <c r="Y316" s="1208"/>
      <c r="Z316" s="1208"/>
      <c r="AA316" s="1208"/>
      <c r="AB316" s="1208"/>
      <c r="AC316" s="1208"/>
      <c r="AD316" s="1208"/>
      <c r="AE316" s="1208"/>
      <c r="AF316" s="1208"/>
      <c r="AG316" s="1208"/>
      <c r="AH316" s="1208"/>
      <c r="AI316" s="1208"/>
      <c r="AJ316" s="1208"/>
      <c r="AK316" s="1208"/>
      <c r="AL316" s="1208"/>
      <c r="AM316" s="1208"/>
      <c r="AN316" s="1208"/>
      <c r="AO316" s="1208"/>
      <c r="AP316" s="1208"/>
      <c r="AQ316" s="1208"/>
      <c r="AR316" s="1208"/>
      <c r="AS316" s="1208"/>
      <c r="AT316" s="1208"/>
      <c r="AU316" s="1208"/>
      <c r="AV316" s="1208"/>
      <c r="AW316" s="1208"/>
      <c r="AX316" s="1208"/>
      <c r="AY316" s="1208"/>
      <c r="AZ316" s="1208"/>
      <c r="BA316" s="1208"/>
      <c r="BB316" s="1208"/>
      <c r="BC316" s="1208"/>
      <c r="BD316" s="1208"/>
      <c r="BE316" s="1208"/>
      <c r="BF316" s="1208"/>
      <c r="BG316" s="1208"/>
      <c r="BH316" s="1208"/>
      <c r="BI316" s="1208"/>
      <c r="BJ316" s="1208"/>
    </row>
    <row r="317" spans="1:62" s="1210" customFormat="1">
      <c r="A317" s="1212"/>
      <c r="B317" s="1209"/>
      <c r="C317" s="1209"/>
      <c r="D317" s="1208"/>
      <c r="E317" s="1208"/>
      <c r="F317" s="1208"/>
      <c r="G317" s="1208"/>
      <c r="H317" s="1208"/>
      <c r="I317" s="1208"/>
      <c r="J317" s="1208"/>
      <c r="K317" s="1208"/>
      <c r="L317" s="1208"/>
      <c r="M317" s="1208"/>
      <c r="N317" s="1208"/>
      <c r="O317" s="1208"/>
      <c r="P317" s="1208"/>
      <c r="Q317" s="1208"/>
      <c r="R317" s="1208"/>
      <c r="S317" s="1208"/>
      <c r="T317" s="1208"/>
      <c r="U317" s="1208"/>
      <c r="V317" s="1208"/>
      <c r="W317" s="1208"/>
      <c r="X317" s="1208"/>
      <c r="Y317" s="1208"/>
      <c r="Z317" s="1208"/>
      <c r="AA317" s="1208"/>
      <c r="AB317" s="1208"/>
      <c r="AC317" s="1208"/>
      <c r="AD317" s="1208"/>
      <c r="AE317" s="1208"/>
      <c r="AF317" s="1208"/>
      <c r="AG317" s="1208"/>
      <c r="AH317" s="1208"/>
      <c r="AI317" s="1208"/>
      <c r="AJ317" s="1208"/>
      <c r="AK317" s="1208"/>
      <c r="AL317" s="1208"/>
      <c r="AM317" s="1208"/>
      <c r="AN317" s="1208"/>
      <c r="AO317" s="1208"/>
      <c r="AP317" s="1208"/>
      <c r="AQ317" s="1208"/>
      <c r="AR317" s="1208"/>
      <c r="AS317" s="1208"/>
      <c r="AT317" s="1208"/>
      <c r="AU317" s="1208"/>
      <c r="AV317" s="1208"/>
      <c r="AW317" s="1208"/>
      <c r="AX317" s="1208"/>
      <c r="AY317" s="1208"/>
      <c r="AZ317" s="1208"/>
      <c r="BA317" s="1208"/>
      <c r="BB317" s="1208"/>
      <c r="BC317" s="1208"/>
      <c r="BD317" s="1208"/>
      <c r="BE317" s="1208"/>
      <c r="BF317" s="1208"/>
      <c r="BG317" s="1208"/>
      <c r="BH317" s="1208"/>
      <c r="BI317" s="1208"/>
      <c r="BJ317" s="1208"/>
    </row>
    <row r="318" spans="1:62" s="1210" customFormat="1">
      <c r="A318" s="1212"/>
      <c r="B318" s="1209"/>
      <c r="C318" s="1209"/>
      <c r="D318" s="1208"/>
      <c r="E318" s="1208"/>
      <c r="F318" s="1208"/>
      <c r="G318" s="1208"/>
      <c r="H318" s="1208"/>
      <c r="I318" s="1208"/>
      <c r="J318" s="1208"/>
      <c r="K318" s="1208"/>
      <c r="L318" s="1208"/>
      <c r="M318" s="1208"/>
      <c r="N318" s="1208"/>
      <c r="O318" s="1208"/>
      <c r="P318" s="1208"/>
      <c r="Q318" s="1208"/>
      <c r="R318" s="1208"/>
      <c r="S318" s="1208"/>
      <c r="T318" s="1208"/>
      <c r="U318" s="1208"/>
      <c r="V318" s="1208"/>
      <c r="W318" s="1208"/>
      <c r="X318" s="1208"/>
      <c r="Y318" s="1208"/>
      <c r="Z318" s="1208"/>
      <c r="AA318" s="1208"/>
      <c r="AB318" s="1208"/>
      <c r="AC318" s="1208"/>
      <c r="AD318" s="1208"/>
      <c r="AE318" s="1208"/>
      <c r="AF318" s="1208"/>
      <c r="AG318" s="1208"/>
      <c r="AH318" s="1208"/>
      <c r="AI318" s="1208"/>
      <c r="AJ318" s="1208"/>
      <c r="AK318" s="1208"/>
      <c r="AL318" s="1208"/>
      <c r="AM318" s="1208"/>
      <c r="AN318" s="1208"/>
      <c r="AO318" s="1208"/>
      <c r="AP318" s="1208"/>
      <c r="AQ318" s="1208"/>
      <c r="AR318" s="1208"/>
      <c r="AS318" s="1208"/>
      <c r="AT318" s="1208"/>
      <c r="AU318" s="1208"/>
      <c r="AV318" s="1208"/>
      <c r="AW318" s="1208"/>
      <c r="AX318" s="1208"/>
      <c r="AY318" s="1208"/>
      <c r="AZ318" s="1208"/>
      <c r="BA318" s="1208"/>
      <c r="BB318" s="1208"/>
      <c r="BC318" s="1208"/>
      <c r="BD318" s="1208"/>
      <c r="BE318" s="1208"/>
      <c r="BF318" s="1208"/>
      <c r="BG318" s="1208"/>
      <c r="BH318" s="1208"/>
      <c r="BI318" s="1208"/>
      <c r="BJ318" s="1208"/>
    </row>
    <row r="319" spans="1:62" s="1210" customFormat="1">
      <c r="A319" s="1212"/>
      <c r="B319" s="1209"/>
      <c r="C319" s="1209"/>
      <c r="D319" s="1208"/>
      <c r="E319" s="1208"/>
      <c r="F319" s="1208"/>
      <c r="G319" s="1208"/>
      <c r="H319" s="1208"/>
      <c r="I319" s="1208"/>
      <c r="J319" s="1208"/>
      <c r="K319" s="1208"/>
      <c r="L319" s="1208"/>
      <c r="M319" s="1208"/>
      <c r="N319" s="1208"/>
      <c r="O319" s="1208"/>
      <c r="P319" s="1208"/>
      <c r="Q319" s="1208"/>
      <c r="R319" s="1208"/>
      <c r="S319" s="1208"/>
      <c r="T319" s="1208"/>
      <c r="U319" s="1208"/>
      <c r="V319" s="1208"/>
      <c r="W319" s="1208"/>
      <c r="X319" s="1208"/>
      <c r="Y319" s="1208"/>
      <c r="Z319" s="1208"/>
      <c r="AA319" s="1208"/>
      <c r="AB319" s="1208"/>
      <c r="AC319" s="1208"/>
      <c r="AD319" s="1208"/>
      <c r="AE319" s="1208"/>
      <c r="AF319" s="1208"/>
      <c r="AG319" s="1208"/>
      <c r="AH319" s="1208"/>
      <c r="AI319" s="1208"/>
      <c r="AJ319" s="1208"/>
      <c r="AK319" s="1208"/>
      <c r="AL319" s="1208"/>
      <c r="AM319" s="1208"/>
      <c r="AN319" s="1208"/>
      <c r="AO319" s="1208"/>
      <c r="AP319" s="1208"/>
      <c r="AQ319" s="1208"/>
      <c r="AR319" s="1208"/>
      <c r="AS319" s="1208"/>
      <c r="AT319" s="1208"/>
      <c r="AU319" s="1208"/>
      <c r="AV319" s="1208"/>
      <c r="AW319" s="1208"/>
      <c r="AX319" s="1208"/>
      <c r="AY319" s="1208"/>
      <c r="AZ319" s="1208"/>
      <c r="BA319" s="1208"/>
      <c r="BB319" s="1208"/>
      <c r="BC319" s="1208"/>
      <c r="BD319" s="1208"/>
      <c r="BE319" s="1208"/>
      <c r="BF319" s="1208"/>
      <c r="BG319" s="1208"/>
      <c r="BH319" s="1208"/>
      <c r="BI319" s="1208"/>
      <c r="BJ319" s="1208"/>
    </row>
    <row r="320" spans="1:62" s="1210" customFormat="1">
      <c r="A320" s="1212"/>
      <c r="B320" s="1209"/>
      <c r="C320" s="1209"/>
      <c r="D320" s="1208"/>
      <c r="E320" s="1208"/>
      <c r="F320" s="1208"/>
      <c r="G320" s="1208"/>
      <c r="H320" s="1208"/>
      <c r="I320" s="1208"/>
      <c r="J320" s="1208"/>
      <c r="K320" s="1208"/>
      <c r="L320" s="1208"/>
      <c r="M320" s="1208"/>
      <c r="N320" s="1208"/>
      <c r="O320" s="1208"/>
      <c r="P320" s="1208"/>
      <c r="Q320" s="1208"/>
      <c r="R320" s="1208"/>
      <c r="S320" s="1208"/>
      <c r="T320" s="1208"/>
      <c r="U320" s="1208"/>
      <c r="V320" s="1208"/>
      <c r="W320" s="1208"/>
      <c r="X320" s="1208"/>
      <c r="Y320" s="1208"/>
      <c r="Z320" s="1208"/>
      <c r="AA320" s="1208"/>
      <c r="AB320" s="1208"/>
      <c r="AC320" s="1208"/>
      <c r="AD320" s="1208"/>
      <c r="AE320" s="1208"/>
      <c r="AF320" s="1208"/>
      <c r="AG320" s="1208"/>
      <c r="AH320" s="1208"/>
      <c r="AI320" s="1208"/>
      <c r="AJ320" s="1208"/>
      <c r="AK320" s="1208"/>
      <c r="AL320" s="1208"/>
      <c r="AM320" s="1208"/>
      <c r="AN320" s="1208"/>
      <c r="AO320" s="1208"/>
      <c r="AP320" s="1208"/>
      <c r="AQ320" s="1208"/>
      <c r="AR320" s="1208"/>
      <c r="AS320" s="1208"/>
      <c r="AT320" s="1208"/>
      <c r="AU320" s="1208"/>
      <c r="AV320" s="1208"/>
      <c r="AW320" s="1208"/>
      <c r="AX320" s="1208"/>
      <c r="AY320" s="1208"/>
      <c r="AZ320" s="1208"/>
      <c r="BA320" s="1208"/>
      <c r="BB320" s="1208"/>
      <c r="BC320" s="1208"/>
      <c r="BD320" s="1208"/>
      <c r="BE320" s="1208"/>
      <c r="BF320" s="1208"/>
      <c r="BG320" s="1208"/>
      <c r="BH320" s="1208"/>
      <c r="BI320" s="1208"/>
      <c r="BJ320" s="1208"/>
    </row>
    <row r="321" spans="1:62" s="1210" customFormat="1">
      <c r="A321" s="1212"/>
      <c r="B321" s="1209"/>
      <c r="C321" s="1209"/>
      <c r="D321" s="1208"/>
      <c r="E321" s="1208"/>
      <c r="F321" s="1208"/>
      <c r="G321" s="1208"/>
      <c r="H321" s="1208"/>
      <c r="I321" s="1208"/>
      <c r="J321" s="1208"/>
      <c r="K321" s="1208"/>
      <c r="L321" s="1208"/>
      <c r="M321" s="1208"/>
      <c r="N321" s="1208"/>
      <c r="O321" s="1208"/>
      <c r="P321" s="1208"/>
      <c r="Q321" s="1208"/>
      <c r="R321" s="1208"/>
      <c r="S321" s="1208"/>
      <c r="T321" s="1208"/>
      <c r="U321" s="1208"/>
      <c r="V321" s="1208"/>
      <c r="W321" s="1208"/>
      <c r="X321" s="1208"/>
      <c r="Y321" s="1208"/>
      <c r="Z321" s="1208"/>
      <c r="AA321" s="1208"/>
      <c r="AB321" s="1208"/>
      <c r="AC321" s="1208"/>
      <c r="AD321" s="1208"/>
      <c r="AE321" s="1208"/>
      <c r="AF321" s="1208"/>
      <c r="AG321" s="1208"/>
      <c r="AH321" s="1208"/>
      <c r="AI321" s="1208"/>
      <c r="AJ321" s="1208"/>
      <c r="AK321" s="1208"/>
      <c r="AL321" s="1208"/>
      <c r="AM321" s="1208"/>
      <c r="AN321" s="1208"/>
      <c r="AO321" s="1208"/>
      <c r="AP321" s="1208"/>
      <c r="AQ321" s="1208"/>
      <c r="AR321" s="1208"/>
      <c r="AS321" s="1208"/>
      <c r="AT321" s="1208"/>
      <c r="AU321" s="1208"/>
      <c r="AV321" s="1208"/>
      <c r="AW321" s="1208"/>
      <c r="AX321" s="1208"/>
      <c r="AY321" s="1208"/>
      <c r="AZ321" s="1208"/>
      <c r="BA321" s="1208"/>
      <c r="BB321" s="1208"/>
      <c r="BC321" s="1208"/>
      <c r="BD321" s="1208"/>
      <c r="BE321" s="1208"/>
      <c r="BF321" s="1208"/>
      <c r="BG321" s="1208"/>
      <c r="BH321" s="1208"/>
      <c r="BI321" s="1208"/>
      <c r="BJ321" s="1208"/>
    </row>
    <row r="322" spans="1:62" s="1210" customFormat="1">
      <c r="A322" s="1212"/>
      <c r="B322" s="1209"/>
      <c r="C322" s="1209"/>
      <c r="D322" s="1208"/>
      <c r="E322" s="1208"/>
      <c r="F322" s="1208"/>
      <c r="G322" s="1208"/>
      <c r="H322" s="1208"/>
      <c r="I322" s="1208"/>
      <c r="J322" s="1208"/>
      <c r="K322" s="1208"/>
      <c r="L322" s="1208"/>
      <c r="M322" s="1208"/>
      <c r="N322" s="1208"/>
      <c r="O322" s="1208"/>
      <c r="P322" s="1208"/>
      <c r="Q322" s="1208"/>
      <c r="R322" s="1208"/>
      <c r="S322" s="1208"/>
      <c r="T322" s="1208"/>
      <c r="U322" s="1208"/>
      <c r="V322" s="1208"/>
      <c r="W322" s="1208"/>
      <c r="X322" s="1208"/>
      <c r="Y322" s="1208"/>
      <c r="Z322" s="1208"/>
      <c r="AA322" s="1208"/>
      <c r="AB322" s="1208"/>
      <c r="AC322" s="1208"/>
      <c r="AD322" s="1208"/>
      <c r="AE322" s="1208"/>
      <c r="AF322" s="1208"/>
      <c r="AG322" s="1208"/>
      <c r="AH322" s="1208"/>
      <c r="AI322" s="1208"/>
      <c r="AJ322" s="1208"/>
      <c r="AK322" s="1208"/>
      <c r="AL322" s="1208"/>
      <c r="AM322" s="1208"/>
      <c r="AN322" s="1208"/>
      <c r="AO322" s="1208"/>
      <c r="AP322" s="1208"/>
      <c r="AQ322" s="1208"/>
      <c r="AR322" s="1208"/>
      <c r="AS322" s="1208"/>
      <c r="AT322" s="1208"/>
      <c r="AU322" s="1208"/>
      <c r="AV322" s="1208"/>
      <c r="AW322" s="1208"/>
      <c r="AX322" s="1208"/>
      <c r="AY322" s="1208"/>
      <c r="AZ322" s="1208"/>
      <c r="BA322" s="1208"/>
      <c r="BB322" s="1208"/>
      <c r="BC322" s="1208"/>
      <c r="BD322" s="1208"/>
      <c r="BE322" s="1208"/>
      <c r="BF322" s="1208"/>
      <c r="BG322" s="1208"/>
      <c r="BH322" s="1208"/>
      <c r="BI322" s="1208"/>
      <c r="BJ322" s="1208"/>
    </row>
    <row r="323" spans="1:62" s="1210" customFormat="1">
      <c r="A323" s="1212"/>
      <c r="B323" s="1209"/>
      <c r="C323" s="1209"/>
      <c r="D323" s="1208"/>
      <c r="E323" s="1208"/>
      <c r="F323" s="1208"/>
      <c r="G323" s="1208"/>
      <c r="H323" s="1208"/>
      <c r="I323" s="1208"/>
      <c r="J323" s="1208"/>
      <c r="K323" s="1208"/>
      <c r="L323" s="1208"/>
      <c r="M323" s="1208"/>
      <c r="N323" s="1208"/>
      <c r="O323" s="1208"/>
      <c r="P323" s="1208"/>
      <c r="Q323" s="1208"/>
      <c r="R323" s="1208"/>
      <c r="S323" s="1208"/>
      <c r="T323" s="1208"/>
      <c r="U323" s="1208"/>
      <c r="V323" s="1208"/>
      <c r="W323" s="1208"/>
      <c r="X323" s="1208"/>
      <c r="Y323" s="1208"/>
      <c r="Z323" s="1208"/>
      <c r="AA323" s="1208"/>
      <c r="AB323" s="1208"/>
      <c r="AC323" s="1208"/>
      <c r="AD323" s="1208"/>
      <c r="AE323" s="1208"/>
      <c r="AF323" s="1208"/>
      <c r="AG323" s="1208"/>
      <c r="AH323" s="1208"/>
      <c r="AI323" s="1208"/>
      <c r="AJ323" s="1208"/>
      <c r="AK323" s="1208"/>
      <c r="AL323" s="1208"/>
      <c r="AM323" s="1208"/>
      <c r="AN323" s="1208"/>
      <c r="AO323" s="1208"/>
      <c r="AP323" s="1208"/>
      <c r="AQ323" s="1208"/>
      <c r="AR323" s="1208"/>
      <c r="AS323" s="1208"/>
      <c r="AT323" s="1208"/>
      <c r="AU323" s="1208"/>
      <c r="AV323" s="1208"/>
      <c r="AW323" s="1208"/>
      <c r="AX323" s="1208"/>
      <c r="AY323" s="1208"/>
      <c r="AZ323" s="1208"/>
      <c r="BA323" s="1208"/>
      <c r="BB323" s="1208"/>
      <c r="BC323" s="1208"/>
      <c r="BD323" s="1208"/>
      <c r="BE323" s="1208"/>
      <c r="BF323" s="1208"/>
      <c r="BG323" s="1208"/>
      <c r="BH323" s="1208"/>
      <c r="BI323" s="1208"/>
      <c r="BJ323" s="1208"/>
    </row>
    <row r="324" spans="1:62" s="1210" customFormat="1">
      <c r="A324" s="1212"/>
      <c r="B324" s="1209"/>
      <c r="C324" s="1209"/>
      <c r="D324" s="1208"/>
      <c r="E324" s="1208"/>
      <c r="F324" s="1208"/>
      <c r="G324" s="1208"/>
      <c r="H324" s="1208"/>
      <c r="I324" s="1208"/>
      <c r="J324" s="1208"/>
      <c r="K324" s="1208"/>
      <c r="L324" s="1208"/>
      <c r="M324" s="1208"/>
      <c r="N324" s="1208"/>
      <c r="O324" s="1208"/>
      <c r="P324" s="1208"/>
      <c r="Q324" s="1208"/>
      <c r="R324" s="1208"/>
      <c r="S324" s="1208"/>
      <c r="T324" s="1208"/>
      <c r="U324" s="1208"/>
      <c r="V324" s="1208"/>
      <c r="W324" s="1208"/>
      <c r="X324" s="1208"/>
      <c r="Y324" s="1208"/>
      <c r="Z324" s="1208"/>
      <c r="AA324" s="1208"/>
      <c r="AB324" s="1208"/>
      <c r="AC324" s="1208"/>
      <c r="AD324" s="1208"/>
      <c r="AE324" s="1208"/>
      <c r="AF324" s="1208"/>
      <c r="AG324" s="1208"/>
      <c r="AH324" s="1208"/>
      <c r="AI324" s="1208"/>
      <c r="AJ324" s="1208"/>
      <c r="AK324" s="1208"/>
      <c r="AL324" s="1208"/>
      <c r="AM324" s="1208"/>
      <c r="AN324" s="1208"/>
      <c r="AO324" s="1208"/>
      <c r="AP324" s="1208"/>
      <c r="AQ324" s="1208"/>
      <c r="AR324" s="1208"/>
      <c r="AS324" s="1208"/>
      <c r="AT324" s="1208"/>
      <c r="AU324" s="1208"/>
      <c r="AV324" s="1208"/>
      <c r="AW324" s="1208"/>
      <c r="AX324" s="1208"/>
      <c r="AY324" s="1208"/>
      <c r="AZ324" s="1208"/>
      <c r="BA324" s="1208"/>
      <c r="BB324" s="1208"/>
      <c r="BC324" s="1208"/>
      <c r="BD324" s="1208"/>
      <c r="BE324" s="1208"/>
      <c r="BF324" s="1208"/>
      <c r="BG324" s="1208"/>
      <c r="BH324" s="1208"/>
      <c r="BI324" s="1208"/>
      <c r="BJ324" s="1208"/>
    </row>
    <row r="325" spans="1:62" s="1210" customFormat="1">
      <c r="A325" s="1212"/>
      <c r="B325" s="1209"/>
      <c r="C325" s="1209"/>
      <c r="D325" s="1208"/>
      <c r="E325" s="1208"/>
      <c r="F325" s="1208"/>
      <c r="G325" s="1208"/>
      <c r="H325" s="1208"/>
      <c r="I325" s="1208"/>
      <c r="J325" s="1208"/>
      <c r="K325" s="1208"/>
      <c r="L325" s="1208"/>
      <c r="M325" s="1208"/>
      <c r="N325" s="1208"/>
      <c r="O325" s="1208"/>
      <c r="P325" s="1208"/>
      <c r="Q325" s="1208"/>
      <c r="R325" s="1208"/>
      <c r="S325" s="1208"/>
      <c r="T325" s="1208"/>
      <c r="U325" s="1208"/>
      <c r="V325" s="1208"/>
      <c r="W325" s="1208"/>
      <c r="X325" s="1208"/>
      <c r="Y325" s="1208"/>
      <c r="Z325" s="1208"/>
      <c r="AA325" s="1208"/>
      <c r="AB325" s="1208"/>
      <c r="AC325" s="1208"/>
      <c r="AD325" s="1208"/>
      <c r="AE325" s="1208"/>
      <c r="AF325" s="1208"/>
      <c r="AG325" s="1208"/>
      <c r="AH325" s="1208"/>
      <c r="AI325" s="1208"/>
      <c r="AJ325" s="1208"/>
      <c r="AK325" s="1208"/>
      <c r="AL325" s="1208"/>
      <c r="AM325" s="1208"/>
      <c r="AN325" s="1208"/>
      <c r="AO325" s="1208"/>
      <c r="AP325" s="1208"/>
      <c r="AQ325" s="1208"/>
      <c r="AR325" s="1208"/>
      <c r="AS325" s="1208"/>
      <c r="AT325" s="1208"/>
      <c r="AU325" s="1208"/>
      <c r="AV325" s="1208"/>
      <c r="AW325" s="1208"/>
      <c r="AX325" s="1208"/>
      <c r="AY325" s="1208"/>
      <c r="AZ325" s="1208"/>
      <c r="BA325" s="1208"/>
      <c r="BB325" s="1208"/>
      <c r="BC325" s="1208"/>
      <c r="BD325" s="1208"/>
      <c r="BE325" s="1208"/>
      <c r="BF325" s="1208"/>
      <c r="BG325" s="1208"/>
      <c r="BH325" s="1208"/>
      <c r="BI325" s="1208"/>
      <c r="BJ325" s="1208"/>
    </row>
    <row r="326" spans="1:62" s="1210" customFormat="1">
      <c r="A326" s="1212"/>
      <c r="B326" s="1209"/>
      <c r="C326" s="1209"/>
      <c r="D326" s="1208"/>
      <c r="E326" s="1208"/>
      <c r="F326" s="1208"/>
      <c r="G326" s="1208"/>
      <c r="H326" s="1208"/>
      <c r="I326" s="1208"/>
      <c r="J326" s="1208"/>
      <c r="K326" s="1208"/>
      <c r="L326" s="1208"/>
      <c r="M326" s="1208"/>
      <c r="N326" s="1208"/>
      <c r="O326" s="1208"/>
      <c r="P326" s="1208"/>
      <c r="Q326" s="1208"/>
      <c r="R326" s="1208"/>
      <c r="S326" s="1208"/>
      <c r="T326" s="1208"/>
      <c r="U326" s="1208"/>
      <c r="V326" s="1208"/>
      <c r="W326" s="1208"/>
      <c r="X326" s="1208"/>
      <c r="Y326" s="1208"/>
      <c r="Z326" s="1208"/>
      <c r="AA326" s="1208"/>
      <c r="AB326" s="1208"/>
      <c r="AC326" s="1208"/>
      <c r="AD326" s="1208"/>
      <c r="AE326" s="1208"/>
      <c r="AF326" s="1208"/>
      <c r="AG326" s="1208"/>
      <c r="AH326" s="1208"/>
      <c r="AI326" s="1208"/>
      <c r="AJ326" s="1208"/>
      <c r="AK326" s="1208"/>
      <c r="AL326" s="1208"/>
      <c r="AM326" s="1208"/>
      <c r="AN326" s="1208"/>
      <c r="AO326" s="1208"/>
      <c r="AP326" s="1208"/>
      <c r="AQ326" s="1208"/>
      <c r="AR326" s="1208"/>
      <c r="AS326" s="1208"/>
      <c r="AT326" s="1208"/>
      <c r="AU326" s="1208"/>
      <c r="AV326" s="1208"/>
      <c r="AW326" s="1208"/>
      <c r="AX326" s="1208"/>
      <c r="AY326" s="1208"/>
      <c r="AZ326" s="1208"/>
      <c r="BA326" s="1208"/>
      <c r="BB326" s="1208"/>
      <c r="BC326" s="1208"/>
      <c r="BD326" s="1208"/>
      <c r="BE326" s="1208"/>
      <c r="BF326" s="1208"/>
      <c r="BG326" s="1208"/>
      <c r="BH326" s="1208"/>
      <c r="BI326" s="1208"/>
      <c r="BJ326" s="1208"/>
    </row>
    <row r="327" spans="1:62" s="1210" customFormat="1">
      <c r="A327" s="1212"/>
      <c r="B327" s="1209"/>
      <c r="C327" s="1209"/>
      <c r="D327" s="1208"/>
      <c r="E327" s="1208"/>
      <c r="F327" s="1208"/>
      <c r="G327" s="1208"/>
      <c r="H327" s="1208"/>
      <c r="I327" s="1208"/>
      <c r="J327" s="1208"/>
      <c r="K327" s="1208"/>
      <c r="L327" s="1208"/>
      <c r="M327" s="1208"/>
      <c r="N327" s="1208"/>
      <c r="O327" s="1208"/>
      <c r="P327" s="1208"/>
      <c r="Q327" s="1208"/>
      <c r="R327" s="1208"/>
      <c r="S327" s="1208"/>
      <c r="T327" s="1208"/>
      <c r="U327" s="1208"/>
      <c r="V327" s="1208"/>
      <c r="W327" s="1208"/>
      <c r="X327" s="1208"/>
      <c r="Y327" s="1208"/>
      <c r="Z327" s="1208"/>
      <c r="AA327" s="1208"/>
      <c r="AB327" s="1208"/>
      <c r="AC327" s="1208"/>
      <c r="AD327" s="1208"/>
      <c r="AE327" s="1208"/>
      <c r="AF327" s="1208"/>
      <c r="AG327" s="1208"/>
      <c r="AH327" s="1208"/>
      <c r="AI327" s="1208"/>
      <c r="AJ327" s="1208"/>
      <c r="AK327" s="1208"/>
      <c r="AL327" s="1208"/>
      <c r="AM327" s="1208"/>
      <c r="AN327" s="1208"/>
      <c r="AO327" s="1208"/>
      <c r="AP327" s="1208"/>
      <c r="AQ327" s="1208"/>
      <c r="AR327" s="1208"/>
      <c r="AS327" s="1208"/>
      <c r="AT327" s="1208"/>
      <c r="AU327" s="1208"/>
      <c r="AV327" s="1208"/>
      <c r="AW327" s="1208"/>
      <c r="AX327" s="1208"/>
      <c r="AY327" s="1208"/>
      <c r="AZ327" s="1208"/>
      <c r="BA327" s="1208"/>
      <c r="BB327" s="1208"/>
      <c r="BC327" s="1208"/>
      <c r="BD327" s="1208"/>
      <c r="BE327" s="1208"/>
      <c r="BF327" s="1208"/>
      <c r="BG327" s="1208"/>
      <c r="BH327" s="1208"/>
      <c r="BI327" s="1208"/>
      <c r="BJ327" s="1208"/>
    </row>
    <row r="328" spans="1:62" s="1210" customFormat="1">
      <c r="A328" s="1212"/>
      <c r="B328" s="1209"/>
      <c r="C328" s="1209"/>
      <c r="D328" s="1208"/>
      <c r="E328" s="1208"/>
      <c r="F328" s="1208"/>
      <c r="G328" s="1208"/>
      <c r="H328" s="1208"/>
      <c r="I328" s="1208"/>
      <c r="J328" s="1208"/>
      <c r="K328" s="1208"/>
      <c r="L328" s="1208"/>
      <c r="M328" s="1208"/>
      <c r="N328" s="1208"/>
      <c r="O328" s="1208"/>
      <c r="P328" s="1208"/>
      <c r="Q328" s="1208"/>
      <c r="R328" s="1208"/>
      <c r="S328" s="1208"/>
      <c r="T328" s="1208"/>
      <c r="U328" s="1208"/>
      <c r="V328" s="1208"/>
      <c r="W328" s="1208"/>
      <c r="X328" s="1208"/>
      <c r="Y328" s="1208"/>
      <c r="Z328" s="1208"/>
      <c r="AA328" s="1208"/>
      <c r="AB328" s="1208"/>
      <c r="AC328" s="1208"/>
      <c r="AD328" s="1208"/>
      <c r="AE328" s="1208"/>
      <c r="AF328" s="1208"/>
      <c r="AG328" s="1208"/>
      <c r="AH328" s="1208"/>
      <c r="AI328" s="1208"/>
      <c r="AJ328" s="1208"/>
      <c r="AK328" s="1208"/>
      <c r="AL328" s="1208"/>
      <c r="AM328" s="1208"/>
      <c r="AN328" s="1208"/>
      <c r="AO328" s="1208"/>
      <c r="AP328" s="1208"/>
      <c r="AQ328" s="1208"/>
      <c r="AR328" s="1208"/>
      <c r="AS328" s="1208"/>
      <c r="AT328" s="1208"/>
      <c r="AU328" s="1208"/>
      <c r="AV328" s="1208"/>
      <c r="AW328" s="1208"/>
      <c r="AX328" s="1208"/>
      <c r="AY328" s="1208"/>
      <c r="AZ328" s="1208"/>
      <c r="BA328" s="1208"/>
      <c r="BB328" s="1208"/>
      <c r="BC328" s="1208"/>
      <c r="BD328" s="1208"/>
      <c r="BE328" s="1208"/>
      <c r="BF328" s="1208"/>
      <c r="BG328" s="1208"/>
      <c r="BH328" s="1208"/>
      <c r="BI328" s="1208"/>
      <c r="BJ328" s="1208"/>
    </row>
    <row r="329" spans="1:62" s="1210" customFormat="1">
      <c r="A329" s="1212"/>
      <c r="B329" s="1209"/>
      <c r="C329" s="1209"/>
      <c r="D329" s="1208"/>
      <c r="E329" s="1208"/>
      <c r="F329" s="1208"/>
      <c r="G329" s="1208"/>
      <c r="H329" s="1208"/>
      <c r="I329" s="1208"/>
      <c r="J329" s="1208"/>
      <c r="K329" s="1208"/>
      <c r="L329" s="1208"/>
      <c r="M329" s="1208"/>
      <c r="N329" s="1208"/>
      <c r="O329" s="1208"/>
      <c r="P329" s="1208"/>
      <c r="Q329" s="1208"/>
      <c r="R329" s="1208"/>
      <c r="S329" s="1208"/>
      <c r="T329" s="1208"/>
      <c r="U329" s="1208"/>
      <c r="V329" s="1208"/>
      <c r="W329" s="1208"/>
      <c r="X329" s="1208"/>
      <c r="Y329" s="1208"/>
      <c r="Z329" s="1208"/>
      <c r="AA329" s="1208"/>
      <c r="AB329" s="1208"/>
      <c r="AC329" s="1208"/>
      <c r="AD329" s="1208"/>
      <c r="AE329" s="1208"/>
      <c r="AF329" s="1208"/>
      <c r="AG329" s="1208"/>
      <c r="AH329" s="1208"/>
      <c r="AI329" s="1208"/>
      <c r="AJ329" s="1208"/>
      <c r="AK329" s="1208"/>
      <c r="AL329" s="1208"/>
      <c r="AM329" s="1208"/>
      <c r="AN329" s="1208"/>
      <c r="AO329" s="1208"/>
      <c r="AP329" s="1208"/>
      <c r="AQ329" s="1208"/>
      <c r="AR329" s="1208"/>
      <c r="AS329" s="1208"/>
      <c r="AT329" s="1208"/>
      <c r="AU329" s="1208"/>
      <c r="AV329" s="1208"/>
      <c r="AW329" s="1208"/>
      <c r="AX329" s="1208"/>
      <c r="AY329" s="1208"/>
      <c r="AZ329" s="1208"/>
      <c r="BA329" s="1208"/>
      <c r="BB329" s="1208"/>
      <c r="BC329" s="1208"/>
      <c r="BD329" s="1208"/>
      <c r="BE329" s="1208"/>
      <c r="BF329" s="1208"/>
      <c r="BG329" s="1208"/>
      <c r="BH329" s="1208"/>
      <c r="BI329" s="1208"/>
      <c r="BJ329" s="1208"/>
    </row>
    <row r="330" spans="1:62" s="1210" customFormat="1">
      <c r="A330" s="1212"/>
      <c r="B330" s="1209"/>
      <c r="C330" s="1209"/>
      <c r="D330" s="1208"/>
      <c r="E330" s="1208"/>
      <c r="F330" s="1208"/>
      <c r="G330" s="1208"/>
      <c r="H330" s="1208"/>
      <c r="I330" s="1208"/>
      <c r="J330" s="1208"/>
      <c r="K330" s="1208"/>
      <c r="L330" s="1208"/>
      <c r="M330" s="1208"/>
      <c r="N330" s="1208"/>
      <c r="O330" s="1208"/>
      <c r="P330" s="1208"/>
      <c r="Q330" s="1208"/>
      <c r="R330" s="1208"/>
      <c r="S330" s="1208"/>
      <c r="T330" s="1208"/>
      <c r="U330" s="1208"/>
      <c r="V330" s="1208"/>
      <c r="W330" s="1208"/>
      <c r="X330" s="1208"/>
      <c r="Y330" s="1208"/>
      <c r="Z330" s="1208"/>
      <c r="AA330" s="1208"/>
      <c r="AB330" s="1208"/>
      <c r="AC330" s="1208"/>
      <c r="AD330" s="1208"/>
      <c r="AE330" s="1208"/>
      <c r="AF330" s="1208"/>
      <c r="AG330" s="1208"/>
      <c r="AH330" s="1208"/>
      <c r="AI330" s="1208"/>
      <c r="AJ330" s="1208"/>
      <c r="AK330" s="1208"/>
      <c r="AL330" s="1208"/>
      <c r="AM330" s="1208"/>
      <c r="AN330" s="1208"/>
      <c r="AO330" s="1208"/>
      <c r="AP330" s="1208"/>
      <c r="AQ330" s="1208"/>
      <c r="AR330" s="1208"/>
      <c r="AS330" s="1208"/>
      <c r="AT330" s="1208"/>
      <c r="AU330" s="1208"/>
      <c r="AV330" s="1208"/>
      <c r="AW330" s="1208"/>
      <c r="AX330" s="1208"/>
      <c r="AY330" s="1208"/>
      <c r="AZ330" s="1208"/>
      <c r="BA330" s="1208"/>
      <c r="BB330" s="1208"/>
      <c r="BC330" s="1208"/>
      <c r="BD330" s="1208"/>
      <c r="BE330" s="1208"/>
      <c r="BF330" s="1208"/>
      <c r="BG330" s="1208"/>
      <c r="BH330" s="1208"/>
      <c r="BI330" s="1208"/>
      <c r="BJ330" s="1208"/>
    </row>
    <row r="331" spans="1:62" s="1210" customFormat="1">
      <c r="A331" s="1212"/>
      <c r="B331" s="1209"/>
      <c r="C331" s="1209"/>
      <c r="D331" s="1208"/>
      <c r="E331" s="1208"/>
      <c r="F331" s="1208"/>
      <c r="G331" s="1208"/>
      <c r="H331" s="1208"/>
      <c r="I331" s="1208"/>
      <c r="J331" s="1208"/>
      <c r="K331" s="1208"/>
      <c r="L331" s="1208"/>
      <c r="M331" s="1208"/>
      <c r="N331" s="1208"/>
      <c r="O331" s="1208"/>
      <c r="P331" s="1208"/>
      <c r="Q331" s="1208"/>
      <c r="R331" s="1208"/>
      <c r="S331" s="1208"/>
      <c r="T331" s="1208"/>
      <c r="U331" s="1208"/>
      <c r="V331" s="1208"/>
      <c r="W331" s="1208"/>
      <c r="X331" s="1208"/>
      <c r="Y331" s="1208"/>
      <c r="Z331" s="1208"/>
      <c r="AA331" s="1208"/>
      <c r="AB331" s="1208"/>
      <c r="AC331" s="1208"/>
      <c r="AD331" s="1208"/>
      <c r="AE331" s="1208"/>
      <c r="AF331" s="1208"/>
      <c r="AG331" s="1208"/>
      <c r="AH331" s="1208"/>
      <c r="AI331" s="1208"/>
      <c r="AJ331" s="1208"/>
      <c r="AK331" s="1208"/>
      <c r="AL331" s="1208"/>
      <c r="AM331" s="1208"/>
      <c r="AN331" s="1208"/>
      <c r="AO331" s="1208"/>
      <c r="AP331" s="1208"/>
      <c r="AQ331" s="1208"/>
      <c r="AR331" s="1208"/>
      <c r="AS331" s="1208"/>
      <c r="AT331" s="1208"/>
      <c r="AU331" s="1208"/>
      <c r="AV331" s="1208"/>
      <c r="AW331" s="1208"/>
      <c r="AX331" s="1208"/>
      <c r="AY331" s="1208"/>
      <c r="AZ331" s="1208"/>
      <c r="BA331" s="1208"/>
      <c r="BB331" s="1208"/>
      <c r="BC331" s="1208"/>
      <c r="BD331" s="1208"/>
      <c r="BE331" s="1208"/>
      <c r="BF331" s="1208"/>
      <c r="BG331" s="1208"/>
      <c r="BH331" s="1208"/>
      <c r="BI331" s="1208"/>
      <c r="BJ331" s="1208"/>
    </row>
    <row r="332" spans="1:62" s="1210" customFormat="1">
      <c r="A332" s="1212"/>
      <c r="B332" s="1209"/>
      <c r="C332" s="1209"/>
      <c r="D332" s="1208"/>
      <c r="E332" s="1208"/>
      <c r="F332" s="1208"/>
      <c r="G332" s="1208"/>
      <c r="H332" s="1208"/>
      <c r="I332" s="1208"/>
      <c r="J332" s="1208"/>
      <c r="K332" s="1208"/>
      <c r="L332" s="1208"/>
      <c r="M332" s="1208"/>
      <c r="N332" s="1208"/>
      <c r="O332" s="1208"/>
      <c r="P332" s="1208"/>
      <c r="Q332" s="1208"/>
      <c r="R332" s="1208"/>
      <c r="S332" s="1208"/>
      <c r="T332" s="1208"/>
      <c r="U332" s="1208"/>
      <c r="V332" s="1208"/>
      <c r="W332" s="1208"/>
      <c r="X332" s="1208"/>
      <c r="Y332" s="1208"/>
      <c r="Z332" s="1208"/>
      <c r="AA332" s="1208"/>
      <c r="AB332" s="1208"/>
      <c r="AC332" s="1208"/>
      <c r="AD332" s="1208"/>
      <c r="AE332" s="1208"/>
      <c r="AF332" s="1208"/>
      <c r="AG332" s="1208"/>
      <c r="AH332" s="1208"/>
      <c r="AI332" s="1208"/>
      <c r="AJ332" s="1208"/>
      <c r="AK332" s="1208"/>
      <c r="AL332" s="1208"/>
      <c r="AM332" s="1208"/>
      <c r="AN332" s="1208"/>
      <c r="AO332" s="1208"/>
      <c r="AP332" s="1208"/>
      <c r="AQ332" s="1208"/>
      <c r="AR332" s="1208"/>
      <c r="AS332" s="1208"/>
      <c r="AT332" s="1208"/>
      <c r="AU332" s="1208"/>
      <c r="AV332" s="1208"/>
      <c r="AW332" s="1208"/>
      <c r="AX332" s="1208"/>
      <c r="AY332" s="1208"/>
      <c r="AZ332" s="1208"/>
      <c r="BA332" s="1208"/>
      <c r="BB332" s="1208"/>
      <c r="BC332" s="1208"/>
      <c r="BD332" s="1208"/>
      <c r="BE332" s="1208"/>
      <c r="BF332" s="1208"/>
      <c r="BG332" s="1208"/>
      <c r="BH332" s="1208"/>
      <c r="BI332" s="1208"/>
      <c r="BJ332" s="1208"/>
    </row>
    <row r="333" spans="1:62" s="1210" customFormat="1">
      <c r="A333" s="1212"/>
      <c r="B333" s="1209"/>
      <c r="C333" s="1209"/>
      <c r="D333" s="1208"/>
      <c r="E333" s="1208"/>
      <c r="F333" s="1208"/>
      <c r="G333" s="1208"/>
      <c r="H333" s="1208"/>
      <c r="I333" s="1208"/>
      <c r="J333" s="1208"/>
      <c r="K333" s="1208"/>
      <c r="L333" s="1208"/>
      <c r="M333" s="1208"/>
      <c r="N333" s="1208"/>
      <c r="O333" s="1208"/>
      <c r="P333" s="1208"/>
      <c r="Q333" s="1208"/>
      <c r="R333" s="1208"/>
      <c r="S333" s="1208"/>
      <c r="T333" s="1208"/>
      <c r="U333" s="1208"/>
      <c r="V333" s="1208"/>
      <c r="W333" s="1208"/>
      <c r="X333" s="1208"/>
      <c r="Y333" s="1208"/>
      <c r="Z333" s="1208"/>
      <c r="AA333" s="1208"/>
      <c r="AB333" s="1208"/>
      <c r="AC333" s="1208"/>
      <c r="AD333" s="1208"/>
      <c r="AE333" s="1208"/>
      <c r="AF333" s="1208"/>
      <c r="AG333" s="1208"/>
      <c r="AH333" s="1208"/>
      <c r="AI333" s="1208"/>
      <c r="AJ333" s="1208"/>
      <c r="AK333" s="1208"/>
      <c r="AL333" s="1208"/>
      <c r="AM333" s="1208"/>
      <c r="AN333" s="1208"/>
      <c r="AO333" s="1208"/>
      <c r="AP333" s="1208"/>
      <c r="AQ333" s="1208"/>
      <c r="AR333" s="1208"/>
      <c r="AS333" s="1208"/>
      <c r="AT333" s="1208"/>
      <c r="AU333" s="1208"/>
      <c r="AV333" s="1208"/>
      <c r="AW333" s="1208"/>
      <c r="AX333" s="1208"/>
      <c r="AY333" s="1208"/>
      <c r="AZ333" s="1208"/>
      <c r="BA333" s="1208"/>
      <c r="BB333" s="1208"/>
      <c r="BC333" s="1208"/>
      <c r="BD333" s="1208"/>
      <c r="BE333" s="1208"/>
      <c r="BF333" s="1208"/>
      <c r="BG333" s="1208"/>
      <c r="BH333" s="1208"/>
      <c r="BI333" s="1208"/>
      <c r="BJ333" s="1208"/>
    </row>
    <row r="334" spans="1:62" s="1210" customFormat="1">
      <c r="A334" s="1212"/>
      <c r="B334" s="1209"/>
      <c r="C334" s="1209"/>
      <c r="D334" s="1208"/>
      <c r="E334" s="1208"/>
      <c r="F334" s="1208"/>
      <c r="G334" s="1208"/>
      <c r="H334" s="1208"/>
      <c r="I334" s="1208"/>
      <c r="J334" s="1208"/>
      <c r="K334" s="1208"/>
      <c r="L334" s="1208"/>
      <c r="M334" s="1208"/>
      <c r="N334" s="1208"/>
      <c r="O334" s="1208"/>
      <c r="P334" s="1208"/>
      <c r="Q334" s="1208"/>
      <c r="R334" s="1208"/>
      <c r="S334" s="1208"/>
      <c r="T334" s="1208"/>
      <c r="U334" s="1208"/>
      <c r="V334" s="1208"/>
      <c r="W334" s="1208"/>
      <c r="X334" s="1208"/>
      <c r="Y334" s="1208"/>
      <c r="Z334" s="1208"/>
      <c r="AA334" s="1208"/>
      <c r="AB334" s="1208"/>
      <c r="AC334" s="1208"/>
      <c r="AD334" s="1208"/>
      <c r="AE334" s="1208"/>
      <c r="AF334" s="1208"/>
      <c r="AG334" s="1208"/>
      <c r="AH334" s="1208"/>
      <c r="AI334" s="1208"/>
      <c r="AJ334" s="1208"/>
      <c r="AK334" s="1208"/>
      <c r="AL334" s="1208"/>
      <c r="AM334" s="1208"/>
      <c r="AN334" s="1208"/>
      <c r="AO334" s="1208"/>
      <c r="AP334" s="1208"/>
      <c r="AQ334" s="1208"/>
      <c r="AR334" s="1208"/>
      <c r="AS334" s="1208"/>
      <c r="AT334" s="1208"/>
      <c r="AU334" s="1208"/>
      <c r="AV334" s="1208"/>
      <c r="AW334" s="1208"/>
      <c r="AX334" s="1208"/>
      <c r="AY334" s="1208"/>
      <c r="AZ334" s="1208"/>
      <c r="BA334" s="1208"/>
      <c r="BB334" s="1208"/>
      <c r="BC334" s="1208"/>
      <c r="BD334" s="1208"/>
      <c r="BE334" s="1208"/>
      <c r="BF334" s="1208"/>
      <c r="BG334" s="1208"/>
      <c r="BH334" s="1208"/>
      <c r="BI334" s="1208"/>
      <c r="BJ334" s="1208"/>
    </row>
    <row r="335" spans="1:62" s="1210" customFormat="1">
      <c r="A335" s="1212"/>
      <c r="B335" s="1209"/>
      <c r="C335" s="1209"/>
      <c r="D335" s="1208"/>
      <c r="E335" s="1208"/>
      <c r="F335" s="1208"/>
      <c r="G335" s="1208"/>
      <c r="H335" s="1208"/>
      <c r="I335" s="1208"/>
      <c r="J335" s="1208"/>
      <c r="K335" s="1208"/>
      <c r="L335" s="1208"/>
      <c r="M335" s="1208"/>
      <c r="N335" s="1208"/>
      <c r="O335" s="1208"/>
      <c r="P335" s="1208"/>
      <c r="Q335" s="1208"/>
      <c r="R335" s="1208"/>
      <c r="S335" s="1208"/>
      <c r="T335" s="1208"/>
      <c r="U335" s="1208"/>
      <c r="V335" s="1208"/>
      <c r="W335" s="1208"/>
      <c r="X335" s="1208"/>
      <c r="Y335" s="1208"/>
      <c r="Z335" s="1208"/>
      <c r="AA335" s="1208"/>
      <c r="AB335" s="1208"/>
      <c r="AC335" s="1208"/>
      <c r="AD335" s="1208"/>
      <c r="AE335" s="1208"/>
      <c r="AF335" s="1208"/>
      <c r="AG335" s="1208"/>
      <c r="AH335" s="1208"/>
      <c r="AI335" s="1208"/>
      <c r="AJ335" s="1208"/>
      <c r="AK335" s="1208"/>
      <c r="AL335" s="1208"/>
      <c r="AM335" s="1208"/>
      <c r="AN335" s="1208"/>
      <c r="AO335" s="1208"/>
      <c r="AP335" s="1208"/>
      <c r="AQ335" s="1208"/>
      <c r="AR335" s="1208"/>
      <c r="AS335" s="1208"/>
      <c r="AT335" s="1208"/>
      <c r="AU335" s="1208"/>
      <c r="AV335" s="1208"/>
      <c r="AW335" s="1208"/>
      <c r="AX335" s="1208"/>
      <c r="AY335" s="1208"/>
      <c r="AZ335" s="1208"/>
      <c r="BA335" s="1208"/>
      <c r="BB335" s="1208"/>
      <c r="BC335" s="1208"/>
      <c r="BD335" s="1208"/>
      <c r="BE335" s="1208"/>
      <c r="BF335" s="1208"/>
      <c r="BG335" s="1208"/>
      <c r="BH335" s="1208"/>
      <c r="BI335" s="1208"/>
      <c r="BJ335" s="1208"/>
    </row>
    <row r="336" spans="1:62" s="1210" customFormat="1">
      <c r="A336" s="1212"/>
      <c r="B336" s="1209"/>
      <c r="C336" s="1209"/>
      <c r="D336" s="1208"/>
      <c r="E336" s="1208"/>
      <c r="F336" s="1208"/>
      <c r="G336" s="1208"/>
      <c r="H336" s="1208"/>
      <c r="I336" s="1208"/>
      <c r="J336" s="1208"/>
      <c r="K336" s="1208"/>
      <c r="L336" s="1208"/>
      <c r="M336" s="1208"/>
      <c r="N336" s="1208"/>
      <c r="O336" s="1208"/>
      <c r="P336" s="1208"/>
      <c r="Q336" s="1208"/>
      <c r="R336" s="1208"/>
      <c r="S336" s="1208"/>
      <c r="T336" s="1208"/>
      <c r="U336" s="1208"/>
      <c r="V336" s="1208"/>
      <c r="W336" s="1208"/>
      <c r="X336" s="1208"/>
      <c r="Y336" s="1208"/>
      <c r="Z336" s="1208"/>
      <c r="AA336" s="1208"/>
      <c r="AB336" s="1208"/>
      <c r="AC336" s="1208"/>
      <c r="AD336" s="1208"/>
      <c r="AE336" s="1208"/>
      <c r="AF336" s="1208"/>
      <c r="AG336" s="1208"/>
      <c r="AH336" s="1208"/>
      <c r="AI336" s="1208"/>
      <c r="AJ336" s="1208"/>
      <c r="AK336" s="1208"/>
      <c r="AL336" s="1208"/>
      <c r="AM336" s="1208"/>
      <c r="AN336" s="1208"/>
      <c r="AO336" s="1208"/>
      <c r="AP336" s="1208"/>
      <c r="AQ336" s="1208"/>
      <c r="AR336" s="1208"/>
      <c r="AS336" s="1208"/>
      <c r="AT336" s="1208"/>
      <c r="AU336" s="1208"/>
      <c r="AV336" s="1208"/>
      <c r="AW336" s="1208"/>
      <c r="AX336" s="1208"/>
      <c r="AY336" s="1208"/>
      <c r="AZ336" s="1208"/>
      <c r="BA336" s="1208"/>
      <c r="BB336" s="1208"/>
      <c r="BC336" s="1208"/>
      <c r="BD336" s="1208"/>
      <c r="BE336" s="1208"/>
      <c r="BF336" s="1208"/>
      <c r="BG336" s="1208"/>
      <c r="BH336" s="1208"/>
      <c r="BI336" s="1208"/>
      <c r="BJ336" s="1208"/>
    </row>
    <row r="337" spans="1:62" s="1210" customFormat="1">
      <c r="A337" s="1212"/>
      <c r="B337" s="1209"/>
      <c r="C337" s="1209"/>
      <c r="D337" s="1208"/>
      <c r="E337" s="1208"/>
      <c r="F337" s="1208"/>
      <c r="G337" s="1208"/>
      <c r="H337" s="1208"/>
      <c r="I337" s="1208"/>
      <c r="J337" s="1208"/>
      <c r="K337" s="1208"/>
      <c r="L337" s="1208"/>
      <c r="M337" s="1208"/>
      <c r="N337" s="1208"/>
      <c r="O337" s="1208"/>
      <c r="P337" s="1208"/>
      <c r="Q337" s="1208"/>
      <c r="R337" s="1208"/>
      <c r="S337" s="1208"/>
      <c r="T337" s="1208"/>
      <c r="U337" s="1208"/>
      <c r="V337" s="1208"/>
      <c r="W337" s="1208"/>
      <c r="X337" s="1208"/>
      <c r="Y337" s="1208"/>
      <c r="Z337" s="1208"/>
      <c r="AA337" s="1208"/>
      <c r="AB337" s="1208"/>
      <c r="AC337" s="1208"/>
      <c r="AD337" s="1208"/>
      <c r="AE337" s="1208"/>
      <c r="AF337" s="1208"/>
      <c r="AG337" s="1208"/>
      <c r="AH337" s="1208"/>
      <c r="AI337" s="1208"/>
      <c r="AJ337" s="1208"/>
      <c r="AK337" s="1208"/>
      <c r="AL337" s="1208"/>
      <c r="AM337" s="1208"/>
      <c r="AN337" s="1208"/>
      <c r="AO337" s="1208"/>
      <c r="AP337" s="1208"/>
      <c r="AQ337" s="1208"/>
      <c r="AR337" s="1208"/>
      <c r="AS337" s="1208"/>
      <c r="AT337" s="1208"/>
      <c r="AU337" s="1208"/>
      <c r="AV337" s="1208"/>
      <c r="AW337" s="1208"/>
      <c r="AX337" s="1208"/>
      <c r="AY337" s="1208"/>
      <c r="AZ337" s="1208"/>
      <c r="BA337" s="1208"/>
      <c r="BB337" s="1208"/>
      <c r="BC337" s="1208"/>
      <c r="BD337" s="1208"/>
      <c r="BE337" s="1208"/>
      <c r="BF337" s="1208"/>
      <c r="BG337" s="1208"/>
      <c r="BH337" s="1208"/>
      <c r="BI337" s="1208"/>
      <c r="BJ337" s="1208"/>
    </row>
    <row r="338" spans="1:62" s="1210" customFormat="1">
      <c r="A338" s="1212"/>
      <c r="B338" s="1209"/>
      <c r="C338" s="1209"/>
      <c r="D338" s="1208"/>
      <c r="E338" s="1208"/>
      <c r="F338" s="1208"/>
      <c r="G338" s="1208"/>
      <c r="H338" s="1208"/>
      <c r="I338" s="1208"/>
      <c r="J338" s="1208"/>
      <c r="K338" s="1208"/>
      <c r="L338" s="1208"/>
      <c r="M338" s="1208"/>
      <c r="N338" s="1208"/>
      <c r="O338" s="1208"/>
      <c r="P338" s="1208"/>
      <c r="Q338" s="1208"/>
      <c r="R338" s="1208"/>
      <c r="S338" s="1208"/>
      <c r="T338" s="1208"/>
      <c r="U338" s="1208"/>
      <c r="V338" s="1208"/>
      <c r="W338" s="1208"/>
      <c r="X338" s="1208"/>
      <c r="Y338" s="1208"/>
      <c r="Z338" s="1208"/>
      <c r="AA338" s="1208"/>
      <c r="AB338" s="1208"/>
      <c r="AC338" s="1208"/>
      <c r="AD338" s="1208"/>
      <c r="AE338" s="1208"/>
      <c r="AF338" s="1208"/>
      <c r="AG338" s="1208"/>
      <c r="AH338" s="1208"/>
      <c r="AI338" s="1208"/>
      <c r="AJ338" s="1208"/>
      <c r="AK338" s="1208"/>
      <c r="AL338" s="1208"/>
      <c r="AM338" s="1208"/>
      <c r="AN338" s="1208"/>
      <c r="AO338" s="1208"/>
      <c r="AP338" s="1208"/>
      <c r="AQ338" s="1208"/>
      <c r="AR338" s="1208"/>
      <c r="AS338" s="1208"/>
      <c r="AT338" s="1208"/>
      <c r="AU338" s="1208"/>
      <c r="AV338" s="1208"/>
      <c r="AW338" s="1208"/>
      <c r="AX338" s="1208"/>
      <c r="AY338" s="1208"/>
      <c r="AZ338" s="1208"/>
      <c r="BA338" s="1208"/>
      <c r="BB338" s="1208"/>
      <c r="BC338" s="1208"/>
      <c r="BD338" s="1208"/>
      <c r="BE338" s="1208"/>
      <c r="BF338" s="1208"/>
      <c r="BG338" s="1208"/>
      <c r="BH338" s="1208"/>
      <c r="BI338" s="1208"/>
      <c r="BJ338" s="1208"/>
    </row>
    <row r="339" spans="1:62" s="1210" customFormat="1">
      <c r="A339" s="1212"/>
      <c r="B339" s="1209"/>
      <c r="C339" s="1209"/>
      <c r="D339" s="1208"/>
      <c r="E339" s="1208"/>
      <c r="F339" s="1208"/>
      <c r="G339" s="1208"/>
      <c r="H339" s="1208"/>
      <c r="I339" s="1208"/>
      <c r="J339" s="1208"/>
      <c r="K339" s="1208"/>
      <c r="L339" s="1208"/>
      <c r="M339" s="1208"/>
      <c r="N339" s="1208"/>
      <c r="O339" s="1208"/>
      <c r="P339" s="1208"/>
      <c r="Q339" s="1208"/>
      <c r="R339" s="1208"/>
      <c r="S339" s="1208"/>
      <c r="T339" s="1208"/>
      <c r="U339" s="1208"/>
      <c r="V339" s="1208"/>
      <c r="W339" s="1208"/>
      <c r="X339" s="1208"/>
      <c r="Y339" s="1208"/>
      <c r="Z339" s="1208"/>
      <c r="AA339" s="1208"/>
      <c r="AB339" s="1208"/>
      <c r="AC339" s="1208"/>
      <c r="AD339" s="1208"/>
      <c r="AE339" s="1208"/>
      <c r="AF339" s="1208"/>
      <c r="AG339" s="1208"/>
      <c r="AH339" s="1208"/>
      <c r="AI339" s="1208"/>
      <c r="AJ339" s="1208"/>
      <c r="AK339" s="1208"/>
      <c r="AL339" s="1208"/>
      <c r="AM339" s="1208"/>
      <c r="AN339" s="1208"/>
      <c r="AO339" s="1208"/>
      <c r="AP339" s="1208"/>
      <c r="AQ339" s="1208"/>
      <c r="AR339" s="1208"/>
      <c r="AS339" s="1208"/>
      <c r="AT339" s="1208"/>
      <c r="AU339" s="1208"/>
      <c r="AV339" s="1208"/>
      <c r="AW339" s="1208"/>
      <c r="AX339" s="1208"/>
      <c r="AY339" s="1208"/>
      <c r="AZ339" s="1208"/>
      <c r="BA339" s="1208"/>
      <c r="BB339" s="1208"/>
      <c r="BC339" s="1208"/>
      <c r="BD339" s="1208"/>
      <c r="BE339" s="1208"/>
      <c r="BF339" s="1208"/>
      <c r="BG339" s="1208"/>
      <c r="BH339" s="1208"/>
      <c r="BI339" s="1208"/>
      <c r="BJ339" s="1208"/>
    </row>
    <row r="340" spans="1:62" s="1210" customFormat="1">
      <c r="A340" s="1212"/>
      <c r="B340" s="1209"/>
      <c r="C340" s="1209"/>
      <c r="D340" s="1208"/>
      <c r="E340" s="1208"/>
      <c r="F340" s="1208"/>
      <c r="G340" s="1208"/>
      <c r="H340" s="1208"/>
      <c r="I340" s="1208"/>
      <c r="J340" s="1208"/>
      <c r="K340" s="1208"/>
      <c r="L340" s="1208"/>
      <c r="M340" s="1208"/>
      <c r="N340" s="1208"/>
      <c r="O340" s="1208"/>
      <c r="P340" s="1208"/>
      <c r="Q340" s="1208"/>
      <c r="R340" s="1208"/>
      <c r="S340" s="1208"/>
      <c r="T340" s="1208"/>
      <c r="U340" s="1208"/>
      <c r="V340" s="1208"/>
      <c r="W340" s="1208"/>
      <c r="X340" s="1208"/>
      <c r="Y340" s="1208"/>
      <c r="Z340" s="1208"/>
      <c r="AA340" s="1208"/>
      <c r="AB340" s="1208"/>
      <c r="AC340" s="1208"/>
      <c r="AD340" s="1208"/>
      <c r="AE340" s="1208"/>
      <c r="AF340" s="1208"/>
      <c r="AG340" s="1208"/>
      <c r="AH340" s="1208"/>
      <c r="AI340" s="1208"/>
      <c r="AJ340" s="1208"/>
      <c r="AK340" s="1208"/>
      <c r="AL340" s="1208"/>
      <c r="AM340" s="1208"/>
      <c r="AN340" s="1208"/>
      <c r="AO340" s="1208"/>
      <c r="AP340" s="1208"/>
      <c r="AQ340" s="1208"/>
      <c r="AR340" s="1208"/>
      <c r="AS340" s="1208"/>
      <c r="AT340" s="1208"/>
      <c r="AU340" s="1208"/>
      <c r="AV340" s="1208"/>
      <c r="AW340" s="1208"/>
      <c r="AX340" s="1208"/>
      <c r="AY340" s="1208"/>
      <c r="AZ340" s="1208"/>
      <c r="BA340" s="1208"/>
      <c r="BB340" s="1208"/>
      <c r="BC340" s="1208"/>
      <c r="BD340" s="1208"/>
      <c r="BE340" s="1208"/>
      <c r="BF340" s="1208"/>
      <c r="BG340" s="1208"/>
      <c r="BH340" s="1208"/>
      <c r="BI340" s="1208"/>
      <c r="BJ340" s="1208"/>
    </row>
    <row r="341" spans="1:62" s="1210" customFormat="1">
      <c r="A341" s="1212"/>
      <c r="B341" s="1209"/>
      <c r="C341" s="1209"/>
      <c r="D341" s="1208"/>
      <c r="E341" s="1208"/>
      <c r="F341" s="1208"/>
      <c r="G341" s="1208"/>
      <c r="H341" s="1208"/>
      <c r="I341" s="1208"/>
      <c r="J341" s="1208"/>
      <c r="K341" s="1208"/>
      <c r="L341" s="1208"/>
      <c r="M341" s="1208"/>
      <c r="N341" s="1208"/>
      <c r="O341" s="1208"/>
      <c r="P341" s="1208"/>
      <c r="Q341" s="1208"/>
      <c r="R341" s="1208"/>
      <c r="S341" s="1208"/>
      <c r="T341" s="1208"/>
      <c r="U341" s="1208"/>
      <c r="V341" s="1208"/>
      <c r="W341" s="1208"/>
      <c r="X341" s="1208"/>
      <c r="Y341" s="1208"/>
      <c r="Z341" s="1208"/>
      <c r="AA341" s="1208"/>
      <c r="AB341" s="1208"/>
      <c r="AC341" s="1208"/>
      <c r="AD341" s="1208"/>
      <c r="AE341" s="1208"/>
      <c r="AF341" s="1208"/>
      <c r="AG341" s="1208"/>
      <c r="AH341" s="1208"/>
      <c r="AI341" s="1208"/>
      <c r="AJ341" s="1208"/>
      <c r="AK341" s="1208"/>
      <c r="AL341" s="1208"/>
      <c r="AM341" s="1208"/>
      <c r="AN341" s="1208"/>
      <c r="AO341" s="1208"/>
      <c r="AP341" s="1208"/>
      <c r="AQ341" s="1208"/>
      <c r="AR341" s="1208"/>
      <c r="AS341" s="1208"/>
      <c r="AT341" s="1208"/>
      <c r="AU341" s="1208"/>
      <c r="AV341" s="1208"/>
      <c r="AW341" s="1208"/>
      <c r="AX341" s="1208"/>
      <c r="AY341" s="1208"/>
      <c r="AZ341" s="1208"/>
      <c r="BA341" s="1208"/>
      <c r="BB341" s="1208"/>
      <c r="BC341" s="1208"/>
      <c r="BD341" s="1208"/>
      <c r="BE341" s="1208"/>
      <c r="BF341" s="1208"/>
      <c r="BG341" s="1208"/>
      <c r="BH341" s="1208"/>
      <c r="BI341" s="1208"/>
      <c r="BJ341" s="1208"/>
    </row>
    <row r="342" spans="1:62" s="1210" customFormat="1">
      <c r="A342" s="1212"/>
      <c r="B342" s="1209"/>
      <c r="C342" s="1209"/>
      <c r="D342" s="1208"/>
      <c r="E342" s="1208"/>
      <c r="F342" s="1208"/>
      <c r="G342" s="1208"/>
      <c r="H342" s="1208"/>
      <c r="I342" s="1208"/>
      <c r="J342" s="1208"/>
      <c r="K342" s="1208"/>
      <c r="L342" s="1208"/>
      <c r="M342" s="1208"/>
      <c r="N342" s="1208"/>
      <c r="O342" s="1208"/>
      <c r="P342" s="1208"/>
      <c r="Q342" s="1208"/>
      <c r="R342" s="1208"/>
      <c r="S342" s="1208"/>
      <c r="T342" s="1208"/>
      <c r="U342" s="1208"/>
      <c r="V342" s="1208"/>
      <c r="W342" s="1208"/>
      <c r="X342" s="1208"/>
      <c r="Y342" s="1208"/>
      <c r="Z342" s="1208"/>
      <c r="AA342" s="1208"/>
      <c r="AB342" s="1208"/>
      <c r="AC342" s="1208"/>
      <c r="AD342" s="1208"/>
      <c r="AE342" s="1208"/>
      <c r="AF342" s="1208"/>
      <c r="AG342" s="1208"/>
      <c r="AH342" s="1208"/>
      <c r="AI342" s="1208"/>
      <c r="AJ342" s="1208"/>
      <c r="AK342" s="1208"/>
      <c r="AL342" s="1208"/>
      <c r="AM342" s="1208"/>
      <c r="AN342" s="1208"/>
      <c r="AO342" s="1208"/>
      <c r="AP342" s="1208"/>
      <c r="AQ342" s="1208"/>
      <c r="AR342" s="1208"/>
      <c r="AS342" s="1208"/>
      <c r="AT342" s="1208"/>
      <c r="AU342" s="1208"/>
      <c r="AV342" s="1208"/>
      <c r="AW342" s="1208"/>
      <c r="AX342" s="1208"/>
      <c r="AY342" s="1208"/>
      <c r="AZ342" s="1208"/>
      <c r="BA342" s="1208"/>
      <c r="BB342" s="1208"/>
      <c r="BC342" s="1208"/>
      <c r="BD342" s="1208"/>
      <c r="BE342" s="1208"/>
      <c r="BF342" s="1208"/>
      <c r="BG342" s="1208"/>
      <c r="BH342" s="1208"/>
      <c r="BI342" s="1208"/>
      <c r="BJ342" s="1208"/>
    </row>
    <row r="343" spans="1:62" s="1210" customFormat="1">
      <c r="A343" s="1212"/>
      <c r="B343" s="1209"/>
      <c r="C343" s="1209"/>
      <c r="D343" s="1208"/>
      <c r="E343" s="1208"/>
      <c r="F343" s="1208"/>
      <c r="G343" s="1208"/>
      <c r="H343" s="1208"/>
      <c r="I343" s="1208"/>
      <c r="J343" s="1208"/>
      <c r="K343" s="1208"/>
      <c r="L343" s="1208"/>
      <c r="M343" s="1208"/>
      <c r="N343" s="1208"/>
      <c r="O343" s="1208"/>
      <c r="P343" s="1208"/>
      <c r="Q343" s="1208"/>
      <c r="R343" s="1208"/>
      <c r="S343" s="1208"/>
      <c r="T343" s="1208"/>
      <c r="U343" s="1208"/>
      <c r="V343" s="1208"/>
      <c r="W343" s="1208"/>
      <c r="X343" s="1208"/>
      <c r="Y343" s="1208"/>
      <c r="Z343" s="1208"/>
      <c r="AA343" s="1208"/>
      <c r="AB343" s="1208"/>
      <c r="AC343" s="1208"/>
      <c r="AD343" s="1208"/>
      <c r="AE343" s="1208"/>
      <c r="AF343" s="1208"/>
      <c r="AG343" s="1208"/>
      <c r="AH343" s="1208"/>
      <c r="AI343" s="1208"/>
      <c r="AJ343" s="1208"/>
      <c r="AK343" s="1208"/>
      <c r="AL343" s="1208"/>
      <c r="AM343" s="1208"/>
      <c r="AN343" s="1208"/>
      <c r="AO343" s="1208"/>
      <c r="AP343" s="1208"/>
      <c r="AQ343" s="1208"/>
      <c r="AR343" s="1208"/>
      <c r="AS343" s="1208"/>
      <c r="AT343" s="1208"/>
      <c r="AU343" s="1208"/>
      <c r="AV343" s="1208"/>
      <c r="AW343" s="1208"/>
      <c r="AX343" s="1208"/>
      <c r="AY343" s="1208"/>
      <c r="AZ343" s="1208"/>
      <c r="BA343" s="1208"/>
      <c r="BB343" s="1208"/>
      <c r="BC343" s="1208"/>
      <c r="BD343" s="1208"/>
      <c r="BE343" s="1208"/>
      <c r="BF343" s="1208"/>
      <c r="BG343" s="1208"/>
      <c r="BH343" s="1208"/>
      <c r="BI343" s="1208"/>
      <c r="BJ343" s="1208"/>
    </row>
    <row r="344" spans="1:62" s="1210" customFormat="1">
      <c r="A344" s="1212"/>
      <c r="B344" s="1209"/>
      <c r="C344" s="1209"/>
      <c r="D344" s="1208"/>
      <c r="E344" s="1208"/>
      <c r="F344" s="1208"/>
      <c r="G344" s="1208"/>
      <c r="H344" s="1208"/>
      <c r="I344" s="1208"/>
      <c r="J344" s="1208"/>
      <c r="K344" s="1208"/>
      <c r="L344" s="1208"/>
      <c r="M344" s="1208"/>
      <c r="N344" s="1208"/>
      <c r="O344" s="1208"/>
      <c r="P344" s="1208"/>
      <c r="Q344" s="1208"/>
      <c r="R344" s="1208"/>
      <c r="S344" s="1208"/>
      <c r="T344" s="1208"/>
      <c r="U344" s="1208"/>
      <c r="V344" s="1208"/>
      <c r="W344" s="1208"/>
      <c r="X344" s="1208"/>
      <c r="Y344" s="1208"/>
      <c r="Z344" s="1208"/>
      <c r="AA344" s="1208"/>
      <c r="AB344" s="1208"/>
      <c r="AC344" s="1208"/>
      <c r="AD344" s="1208"/>
      <c r="AE344" s="1208"/>
      <c r="AF344" s="1208"/>
      <c r="AG344" s="1208"/>
      <c r="AH344" s="1208"/>
      <c r="AI344" s="1208"/>
      <c r="AJ344" s="1208"/>
      <c r="AK344" s="1208"/>
      <c r="AL344" s="1208"/>
      <c r="AM344" s="1208"/>
      <c r="AN344" s="1208"/>
      <c r="AO344" s="1208"/>
      <c r="AP344" s="1208"/>
      <c r="AQ344" s="1208"/>
      <c r="AR344" s="1208"/>
      <c r="AS344" s="1208"/>
      <c r="AT344" s="1208"/>
      <c r="AU344" s="1208"/>
      <c r="AV344" s="1208"/>
      <c r="AW344" s="1208"/>
      <c r="AX344" s="1208"/>
      <c r="AY344" s="1208"/>
      <c r="AZ344" s="1208"/>
      <c r="BA344" s="1208"/>
      <c r="BB344" s="1208"/>
      <c r="BC344" s="1208"/>
      <c r="BD344" s="1208"/>
      <c r="BE344" s="1208"/>
      <c r="BF344" s="1208"/>
      <c r="BG344" s="1208"/>
      <c r="BH344" s="1208"/>
      <c r="BI344" s="1208"/>
      <c r="BJ344" s="1208"/>
    </row>
    <row r="345" spans="1:62" s="1210" customFormat="1">
      <c r="A345" s="1212"/>
      <c r="B345" s="1209"/>
      <c r="C345" s="1209"/>
      <c r="D345" s="1208"/>
      <c r="E345" s="1208"/>
      <c r="F345" s="1208"/>
      <c r="G345" s="1208"/>
      <c r="H345" s="1208"/>
      <c r="I345" s="1208"/>
      <c r="J345" s="1208"/>
      <c r="K345" s="1208"/>
      <c r="L345" s="1208"/>
      <c r="M345" s="1208"/>
      <c r="N345" s="1208"/>
      <c r="O345" s="1208"/>
      <c r="P345" s="1208"/>
      <c r="Q345" s="1208"/>
      <c r="R345" s="1208"/>
      <c r="S345" s="1208"/>
      <c r="T345" s="1208"/>
      <c r="U345" s="1208"/>
      <c r="V345" s="1208"/>
      <c r="W345" s="1208"/>
      <c r="X345" s="1208"/>
      <c r="Y345" s="1208"/>
      <c r="Z345" s="1208"/>
      <c r="AA345" s="1208"/>
      <c r="AB345" s="1208"/>
      <c r="AC345" s="1208"/>
      <c r="AD345" s="1208"/>
      <c r="AE345" s="1208"/>
      <c r="AF345" s="1208"/>
      <c r="AG345" s="1208"/>
      <c r="AH345" s="1208"/>
      <c r="AI345" s="1208"/>
      <c r="AJ345" s="1208"/>
      <c r="AK345" s="1208"/>
      <c r="AL345" s="1208"/>
      <c r="AM345" s="1208"/>
      <c r="AN345" s="1208"/>
      <c r="AO345" s="1208"/>
      <c r="AP345" s="1208"/>
      <c r="AQ345" s="1208"/>
      <c r="AR345" s="1208"/>
      <c r="AS345" s="1208"/>
      <c r="AT345" s="1208"/>
      <c r="AU345" s="1208"/>
      <c r="AV345" s="1208"/>
      <c r="AW345" s="1208"/>
      <c r="AX345" s="1208"/>
      <c r="AY345" s="1208"/>
      <c r="AZ345" s="1208"/>
      <c r="BA345" s="1208"/>
      <c r="BB345" s="1208"/>
      <c r="BC345" s="1208"/>
      <c r="BD345" s="1208"/>
      <c r="BE345" s="1208"/>
      <c r="BF345" s="1208"/>
      <c r="BG345" s="1208"/>
      <c r="BH345" s="1208"/>
      <c r="BI345" s="1208"/>
      <c r="BJ345" s="1208"/>
    </row>
    <row r="346" spans="1:62" s="1210" customFormat="1">
      <c r="A346" s="1212"/>
      <c r="B346" s="1209"/>
      <c r="C346" s="1209"/>
      <c r="D346" s="1208"/>
      <c r="E346" s="1208"/>
      <c r="F346" s="1208"/>
      <c r="G346" s="1208"/>
      <c r="H346" s="1208"/>
      <c r="I346" s="1208"/>
      <c r="J346" s="1208"/>
      <c r="K346" s="1208"/>
      <c r="L346" s="1208"/>
      <c r="M346" s="1208"/>
      <c r="N346" s="1208"/>
      <c r="O346" s="1208"/>
      <c r="P346" s="1208"/>
      <c r="Q346" s="1208"/>
      <c r="R346" s="1208"/>
      <c r="S346" s="1208"/>
      <c r="T346" s="1208"/>
      <c r="U346" s="1208"/>
      <c r="V346" s="1208"/>
      <c r="W346" s="1208"/>
      <c r="X346" s="1208"/>
      <c r="Y346" s="1208"/>
      <c r="Z346" s="1208"/>
      <c r="AA346" s="1208"/>
      <c r="AB346" s="1208"/>
      <c r="AC346" s="1208"/>
      <c r="AD346" s="1208"/>
      <c r="AE346" s="1208"/>
      <c r="AF346" s="1208"/>
      <c r="AG346" s="1208"/>
      <c r="AH346" s="1208"/>
      <c r="AI346" s="1208"/>
      <c r="AJ346" s="1208"/>
      <c r="AK346" s="1208"/>
      <c r="AL346" s="1208"/>
      <c r="AM346" s="1208"/>
      <c r="AN346" s="1208"/>
      <c r="AO346" s="1208"/>
      <c r="AP346" s="1208"/>
      <c r="AQ346" s="1208"/>
      <c r="AR346" s="1208"/>
      <c r="AS346" s="1208"/>
      <c r="AT346" s="1208"/>
      <c r="AU346" s="1208"/>
      <c r="AV346" s="1208"/>
      <c r="AW346" s="1208"/>
      <c r="AX346" s="1208"/>
      <c r="AY346" s="1208"/>
      <c r="AZ346" s="1208"/>
      <c r="BA346" s="1208"/>
      <c r="BB346" s="1208"/>
      <c r="BC346" s="1208"/>
      <c r="BD346" s="1208"/>
      <c r="BE346" s="1208"/>
      <c r="BF346" s="1208"/>
      <c r="BG346" s="1208"/>
      <c r="BH346" s="1208"/>
      <c r="BI346" s="1208"/>
      <c r="BJ346" s="1208"/>
    </row>
    <row r="347" spans="1:62" s="1210" customFormat="1">
      <c r="A347" s="1212"/>
      <c r="B347" s="1209"/>
      <c r="C347" s="1209"/>
      <c r="D347" s="1208"/>
      <c r="E347" s="1208"/>
      <c r="F347" s="1208"/>
      <c r="G347" s="1208"/>
      <c r="H347" s="1208"/>
      <c r="I347" s="1208"/>
      <c r="J347" s="1208"/>
      <c r="K347" s="1208"/>
      <c r="L347" s="1208"/>
      <c r="M347" s="1208"/>
      <c r="N347" s="1208"/>
      <c r="O347" s="1208"/>
      <c r="P347" s="1208"/>
      <c r="Q347" s="1208"/>
      <c r="R347" s="1208"/>
      <c r="S347" s="1208"/>
      <c r="T347" s="1208"/>
      <c r="U347" s="1208"/>
      <c r="V347" s="1208"/>
      <c r="W347" s="1208"/>
      <c r="X347" s="1208"/>
      <c r="Y347" s="1208"/>
      <c r="Z347" s="1208"/>
      <c r="AA347" s="1208"/>
      <c r="AB347" s="1208"/>
      <c r="AC347" s="1208"/>
      <c r="AD347" s="1208"/>
      <c r="AE347" s="1208"/>
      <c r="AF347" s="1208"/>
      <c r="AG347" s="1208"/>
      <c r="AH347" s="1208"/>
      <c r="AI347" s="1208"/>
      <c r="AJ347" s="1208"/>
      <c r="AK347" s="1208"/>
      <c r="AL347" s="1208"/>
      <c r="AM347" s="1208"/>
      <c r="AN347" s="1208"/>
      <c r="AO347" s="1208"/>
      <c r="AP347" s="1208"/>
      <c r="AQ347" s="1208"/>
      <c r="AR347" s="1208"/>
      <c r="AS347" s="1208"/>
      <c r="AT347" s="1208"/>
      <c r="AU347" s="1208"/>
      <c r="AV347" s="1208"/>
      <c r="AW347" s="1208"/>
      <c r="AX347" s="1208"/>
      <c r="AY347" s="1208"/>
      <c r="AZ347" s="1208"/>
      <c r="BA347" s="1208"/>
      <c r="BB347" s="1208"/>
      <c r="BC347" s="1208"/>
      <c r="BD347" s="1208"/>
      <c r="BE347" s="1208"/>
      <c r="BF347" s="1208"/>
      <c r="BG347" s="1208"/>
      <c r="BH347" s="1208"/>
      <c r="BI347" s="1208"/>
      <c r="BJ347" s="1208"/>
    </row>
    <row r="348" spans="1:62" s="1210" customFormat="1">
      <c r="A348" s="1212"/>
      <c r="B348" s="1209"/>
      <c r="C348" s="1209"/>
      <c r="D348" s="1208"/>
      <c r="E348" s="1208"/>
      <c r="F348" s="1208"/>
      <c r="G348" s="1208"/>
      <c r="H348" s="1208"/>
      <c r="I348" s="1208"/>
      <c r="J348" s="1208"/>
      <c r="K348" s="1208"/>
      <c r="L348" s="1208"/>
      <c r="M348" s="1208"/>
      <c r="N348" s="1208"/>
      <c r="O348" s="1208"/>
      <c r="P348" s="1208"/>
      <c r="Q348" s="1208"/>
      <c r="R348" s="1208"/>
      <c r="S348" s="1208"/>
      <c r="T348" s="1208"/>
      <c r="U348" s="1208"/>
      <c r="V348" s="1208"/>
      <c r="W348" s="1208"/>
      <c r="X348" s="1208"/>
      <c r="Y348" s="1208"/>
      <c r="Z348" s="1208"/>
      <c r="AA348" s="1208"/>
      <c r="AB348" s="1208"/>
      <c r="AC348" s="1208"/>
      <c r="AD348" s="1208"/>
      <c r="AE348" s="1208"/>
      <c r="AF348" s="1208"/>
      <c r="AG348" s="1208"/>
      <c r="AH348" s="1208"/>
      <c r="AI348" s="1208"/>
      <c r="AJ348" s="1208"/>
      <c r="AK348" s="1208"/>
      <c r="AL348" s="1208"/>
      <c r="AM348" s="1208"/>
      <c r="AN348" s="1208"/>
      <c r="AO348" s="1208"/>
      <c r="AP348" s="1208"/>
      <c r="AQ348" s="1208"/>
      <c r="AR348" s="1208"/>
      <c r="AS348" s="1208"/>
      <c r="AT348" s="1208"/>
      <c r="AU348" s="1208"/>
      <c r="AV348" s="1208"/>
      <c r="AW348" s="1208"/>
      <c r="AX348" s="1208"/>
      <c r="AY348" s="1208"/>
      <c r="AZ348" s="1208"/>
      <c r="BA348" s="1208"/>
      <c r="BB348" s="1208"/>
      <c r="BC348" s="1208"/>
      <c r="BD348" s="1208"/>
      <c r="BE348" s="1208"/>
      <c r="BF348" s="1208"/>
      <c r="BG348" s="1208"/>
      <c r="BH348" s="1208"/>
      <c r="BI348" s="1208"/>
      <c r="BJ348" s="1208"/>
    </row>
    <row r="349" spans="1:62" s="1210" customFormat="1">
      <c r="A349" s="1212"/>
      <c r="B349" s="1209"/>
      <c r="C349" s="1209"/>
      <c r="D349" s="1208"/>
      <c r="E349" s="1208"/>
      <c r="F349" s="1208"/>
      <c r="G349" s="1208"/>
      <c r="H349" s="1208"/>
      <c r="I349" s="1208"/>
      <c r="J349" s="1208"/>
      <c r="K349" s="1208"/>
      <c r="L349" s="1208"/>
      <c r="M349" s="1208"/>
      <c r="N349" s="1208"/>
      <c r="O349" s="1208"/>
      <c r="P349" s="1208"/>
      <c r="Q349" s="1208"/>
      <c r="R349" s="1208"/>
      <c r="S349" s="1208"/>
      <c r="T349" s="1208"/>
      <c r="U349" s="1208"/>
      <c r="V349" s="1208"/>
      <c r="W349" s="1208"/>
      <c r="X349" s="1208"/>
      <c r="Y349" s="1208"/>
      <c r="Z349" s="1208"/>
      <c r="AA349" s="1208"/>
      <c r="AB349" s="1208"/>
      <c r="AC349" s="1208"/>
      <c r="AD349" s="1208"/>
      <c r="AE349" s="1208"/>
      <c r="AF349" s="1208"/>
      <c r="AG349" s="1208"/>
      <c r="AH349" s="1208"/>
      <c r="AI349" s="1208"/>
      <c r="AJ349" s="1208"/>
      <c r="AK349" s="1208"/>
      <c r="AL349" s="1208"/>
      <c r="AM349" s="1208"/>
      <c r="AN349" s="1208"/>
      <c r="AO349" s="1208"/>
      <c r="AP349" s="1208"/>
      <c r="AQ349" s="1208"/>
      <c r="AR349" s="1208"/>
      <c r="AS349" s="1208"/>
      <c r="AT349" s="1208"/>
      <c r="AU349" s="1208"/>
      <c r="AV349" s="1208"/>
      <c r="AW349" s="1208"/>
      <c r="AX349" s="1208"/>
      <c r="AY349" s="1208"/>
      <c r="AZ349" s="1208"/>
      <c r="BA349" s="1208"/>
      <c r="BB349" s="1208"/>
      <c r="BC349" s="1208"/>
      <c r="BD349" s="1208"/>
      <c r="BE349" s="1208"/>
      <c r="BF349" s="1208"/>
      <c r="BG349" s="1208"/>
      <c r="BH349" s="1208"/>
      <c r="BI349" s="1208"/>
      <c r="BJ349" s="1208"/>
    </row>
    <row r="350" spans="1:62" s="1210" customFormat="1">
      <c r="A350" s="1212"/>
      <c r="B350" s="1209"/>
      <c r="C350" s="1209"/>
      <c r="D350" s="1208"/>
      <c r="E350" s="1208"/>
      <c r="F350" s="1208"/>
      <c r="G350" s="1208"/>
      <c r="H350" s="1208"/>
      <c r="I350" s="1208"/>
      <c r="J350" s="1208"/>
      <c r="K350" s="1208"/>
      <c r="L350" s="1208"/>
      <c r="M350" s="1208"/>
      <c r="N350" s="1208"/>
      <c r="O350" s="1208"/>
      <c r="P350" s="1208"/>
      <c r="Q350" s="1208"/>
      <c r="R350" s="1208"/>
      <c r="S350" s="1208"/>
      <c r="T350" s="1208"/>
      <c r="U350" s="1208"/>
      <c r="V350" s="1208"/>
      <c r="W350" s="1208"/>
      <c r="X350" s="1208"/>
      <c r="Y350" s="1208"/>
      <c r="Z350" s="1208"/>
      <c r="AA350" s="1208"/>
      <c r="AB350" s="1208"/>
      <c r="AC350" s="1208"/>
      <c r="AD350" s="1208"/>
      <c r="AE350" s="1208"/>
      <c r="AF350" s="1208"/>
      <c r="AG350" s="1208"/>
      <c r="AH350" s="1208"/>
      <c r="AI350" s="1208"/>
      <c r="AJ350" s="1208"/>
      <c r="AK350" s="1208"/>
      <c r="AL350" s="1208"/>
      <c r="AM350" s="1208"/>
      <c r="AN350" s="1208"/>
      <c r="AO350" s="1208"/>
      <c r="AP350" s="1208"/>
      <c r="AQ350" s="1208"/>
      <c r="AR350" s="1208"/>
      <c r="AS350" s="1208"/>
      <c r="AT350" s="1208"/>
      <c r="AU350" s="1208"/>
      <c r="AV350" s="1208"/>
      <c r="AW350" s="1208"/>
      <c r="AX350" s="1208"/>
      <c r="AY350" s="1208"/>
      <c r="AZ350" s="1208"/>
      <c r="BA350" s="1208"/>
      <c r="BB350" s="1208"/>
      <c r="BC350" s="1208"/>
      <c r="BD350" s="1208"/>
      <c r="BE350" s="1208"/>
      <c r="BF350" s="1208"/>
      <c r="BG350" s="1208"/>
      <c r="BH350" s="1208"/>
      <c r="BI350" s="1208"/>
      <c r="BJ350" s="1208"/>
    </row>
    <row r="351" spans="1:62" s="1210" customFormat="1">
      <c r="A351" s="1212"/>
      <c r="B351" s="1209"/>
      <c r="C351" s="1209"/>
      <c r="D351" s="1208"/>
      <c r="E351" s="1208"/>
      <c r="F351" s="1208"/>
      <c r="G351" s="1208"/>
      <c r="H351" s="1208"/>
      <c r="I351" s="1208"/>
      <c r="J351" s="1208"/>
      <c r="K351" s="1208"/>
      <c r="L351" s="1208"/>
      <c r="M351" s="1208"/>
      <c r="N351" s="1208"/>
      <c r="O351" s="1208"/>
      <c r="P351" s="1208"/>
      <c r="Q351" s="1208"/>
      <c r="R351" s="1208"/>
      <c r="S351" s="1208"/>
      <c r="T351" s="1208"/>
      <c r="U351" s="1208"/>
      <c r="V351" s="1208"/>
      <c r="W351" s="1208"/>
      <c r="X351" s="1208"/>
      <c r="Y351" s="1208"/>
      <c r="Z351" s="1208"/>
      <c r="AA351" s="1208"/>
      <c r="AB351" s="1208"/>
      <c r="AC351" s="1208"/>
      <c r="AD351" s="1208"/>
      <c r="AE351" s="1208"/>
      <c r="AF351" s="1208"/>
      <c r="AG351" s="1208"/>
      <c r="AH351" s="1208"/>
      <c r="AI351" s="1208"/>
      <c r="AJ351" s="1208"/>
      <c r="AK351" s="1208"/>
      <c r="AL351" s="1208"/>
      <c r="AM351" s="1208"/>
      <c r="AN351" s="1208"/>
      <c r="AO351" s="1208"/>
      <c r="AP351" s="1208"/>
      <c r="AQ351" s="1208"/>
      <c r="AR351" s="1208"/>
      <c r="AS351" s="1208"/>
      <c r="AT351" s="1208"/>
      <c r="AU351" s="1208"/>
      <c r="AV351" s="1208"/>
      <c r="AW351" s="1208"/>
      <c r="AX351" s="1208"/>
      <c r="AY351" s="1208"/>
      <c r="AZ351" s="1208"/>
      <c r="BA351" s="1208"/>
      <c r="BB351" s="1208"/>
      <c r="BC351" s="1208"/>
      <c r="BD351" s="1208"/>
      <c r="BE351" s="1208"/>
      <c r="BF351" s="1208"/>
      <c r="BG351" s="1208"/>
      <c r="BH351" s="1208"/>
      <c r="BI351" s="1208"/>
      <c r="BJ351" s="1208"/>
    </row>
    <row r="352" spans="1:62" s="1210" customFormat="1">
      <c r="A352" s="1212"/>
      <c r="B352" s="1209"/>
      <c r="C352" s="1209"/>
      <c r="D352" s="1208"/>
      <c r="E352" s="1208"/>
      <c r="F352" s="1208"/>
      <c r="G352" s="1208"/>
      <c r="H352" s="1208"/>
      <c r="I352" s="1208"/>
      <c r="J352" s="1208"/>
      <c r="K352" s="1208"/>
      <c r="L352" s="1208"/>
      <c r="M352" s="1208"/>
      <c r="N352" s="1208"/>
      <c r="O352" s="1208"/>
      <c r="P352" s="1208"/>
      <c r="Q352" s="1208"/>
      <c r="R352" s="1208"/>
      <c r="S352" s="1208"/>
      <c r="T352" s="1208"/>
      <c r="U352" s="1208"/>
      <c r="V352" s="1208"/>
      <c r="W352" s="1208"/>
      <c r="X352" s="1208"/>
      <c r="Y352" s="1208"/>
      <c r="Z352" s="1208"/>
      <c r="AA352" s="1208"/>
      <c r="AB352" s="1208"/>
      <c r="AC352" s="1208"/>
      <c r="AD352" s="1208"/>
      <c r="AE352" s="1208"/>
      <c r="AF352" s="1208"/>
      <c r="AG352" s="1208"/>
      <c r="AH352" s="1208"/>
      <c r="AI352" s="1208"/>
      <c r="AJ352" s="1208"/>
      <c r="AK352" s="1208"/>
      <c r="AL352" s="1208"/>
      <c r="AM352" s="1208"/>
      <c r="AN352" s="1208"/>
      <c r="AO352" s="1208"/>
      <c r="AP352" s="1208"/>
      <c r="AQ352" s="1208"/>
      <c r="AR352" s="1208"/>
      <c r="AS352" s="1208"/>
      <c r="AT352" s="1208"/>
      <c r="AU352" s="1208"/>
      <c r="AV352" s="1208"/>
      <c r="AW352" s="1208"/>
      <c r="AX352" s="1208"/>
      <c r="AY352" s="1208"/>
      <c r="AZ352" s="1208"/>
      <c r="BA352" s="1208"/>
      <c r="BB352" s="1208"/>
      <c r="BC352" s="1208"/>
      <c r="BD352" s="1208"/>
      <c r="BE352" s="1208"/>
      <c r="BF352" s="1208"/>
      <c r="BG352" s="1208"/>
      <c r="BH352" s="1208"/>
      <c r="BI352" s="1208"/>
      <c r="BJ352" s="1208"/>
    </row>
    <row r="353" spans="1:62" s="1210" customFormat="1">
      <c r="A353" s="1212"/>
      <c r="B353" s="1209"/>
      <c r="C353" s="1209"/>
      <c r="D353" s="1208"/>
      <c r="E353" s="1208"/>
      <c r="F353" s="1208"/>
      <c r="G353" s="1208"/>
      <c r="H353" s="1208"/>
      <c r="I353" s="1208"/>
      <c r="J353" s="1208"/>
      <c r="K353" s="1208"/>
      <c r="L353" s="1208"/>
      <c r="M353" s="1208"/>
      <c r="N353" s="1208"/>
      <c r="O353" s="1208"/>
      <c r="P353" s="1208"/>
      <c r="Q353" s="1208"/>
      <c r="R353" s="1208"/>
      <c r="S353" s="1208"/>
      <c r="T353" s="1208"/>
      <c r="U353" s="1208"/>
      <c r="V353" s="1208"/>
      <c r="W353" s="1208"/>
      <c r="X353" s="1208"/>
      <c r="Y353" s="1208"/>
      <c r="Z353" s="1208"/>
      <c r="AA353" s="1208"/>
      <c r="AB353" s="1208"/>
      <c r="AC353" s="1208"/>
      <c r="AD353" s="1208"/>
      <c r="AE353" s="1208"/>
      <c r="AF353" s="1208"/>
      <c r="AG353" s="1208"/>
      <c r="AH353" s="1208"/>
      <c r="AI353" s="1208"/>
      <c r="AJ353" s="1208"/>
      <c r="AK353" s="1208"/>
      <c r="AL353" s="1208"/>
      <c r="AM353" s="1208"/>
      <c r="AN353" s="1208"/>
      <c r="AO353" s="1208"/>
      <c r="AP353" s="1208"/>
      <c r="AQ353" s="1208"/>
      <c r="AR353" s="1208"/>
      <c r="AS353" s="1208"/>
      <c r="AT353" s="1208"/>
      <c r="AU353" s="1208"/>
      <c r="AV353" s="1208"/>
      <c r="AW353" s="1208"/>
      <c r="AX353" s="1208"/>
      <c r="AY353" s="1208"/>
      <c r="AZ353" s="1208"/>
      <c r="BA353" s="1208"/>
      <c r="BB353" s="1208"/>
      <c r="BC353" s="1208"/>
      <c r="BD353" s="1208"/>
      <c r="BE353" s="1208"/>
      <c r="BF353" s="1208"/>
      <c r="BG353" s="1208"/>
      <c r="BH353" s="1208"/>
      <c r="BI353" s="1208"/>
      <c r="BJ353" s="1208"/>
    </row>
    <row r="354" spans="1:62" s="1210" customFormat="1">
      <c r="A354" s="1212"/>
      <c r="B354" s="1209"/>
      <c r="C354" s="1209"/>
      <c r="D354" s="1208"/>
      <c r="E354" s="1208"/>
      <c r="F354" s="1208"/>
      <c r="G354" s="1208"/>
      <c r="H354" s="1208"/>
      <c r="I354" s="1208"/>
      <c r="J354" s="1208"/>
      <c r="K354" s="1208"/>
      <c r="L354" s="1208"/>
      <c r="M354" s="1208"/>
      <c r="N354" s="1208"/>
      <c r="O354" s="1208"/>
      <c r="P354" s="1208"/>
      <c r="Q354" s="1208"/>
      <c r="R354" s="1208"/>
      <c r="S354" s="1208"/>
      <c r="T354" s="1208"/>
      <c r="U354" s="1208"/>
      <c r="V354" s="1208"/>
      <c r="W354" s="1208"/>
      <c r="X354" s="1208"/>
      <c r="Y354" s="1208"/>
      <c r="Z354" s="1208"/>
      <c r="AA354" s="1208"/>
      <c r="AB354" s="1208"/>
      <c r="AC354" s="1208"/>
      <c r="AD354" s="1208"/>
      <c r="AE354" s="1208"/>
      <c r="AF354" s="1208"/>
      <c r="AG354" s="1208"/>
      <c r="AH354" s="1208"/>
      <c r="AI354" s="1208"/>
      <c r="AJ354" s="1208"/>
      <c r="AK354" s="1208"/>
      <c r="AL354" s="1208"/>
      <c r="AM354" s="1208"/>
      <c r="AN354" s="1208"/>
      <c r="AO354" s="1208"/>
      <c r="AP354" s="1208"/>
      <c r="AQ354" s="1208"/>
      <c r="AR354" s="1208"/>
      <c r="AS354" s="1208"/>
      <c r="AT354" s="1208"/>
      <c r="AU354" s="1208"/>
      <c r="AV354" s="1208"/>
      <c r="AW354" s="1208"/>
      <c r="AX354" s="1208"/>
      <c r="AY354" s="1208"/>
      <c r="AZ354" s="1208"/>
      <c r="BA354" s="1208"/>
      <c r="BB354" s="1208"/>
      <c r="BC354" s="1208"/>
      <c r="BD354" s="1208"/>
      <c r="BE354" s="1208"/>
      <c r="BF354" s="1208"/>
      <c r="BG354" s="1208"/>
      <c r="BH354" s="1208"/>
      <c r="BI354" s="1208"/>
      <c r="BJ354" s="1208"/>
    </row>
    <row r="355" spans="1:62" s="1210" customFormat="1">
      <c r="A355" s="1212"/>
      <c r="B355" s="1209"/>
      <c r="C355" s="1209"/>
      <c r="D355" s="1208"/>
      <c r="E355" s="1208"/>
      <c r="F355" s="1208"/>
      <c r="G355" s="1208"/>
      <c r="H355" s="1208"/>
      <c r="I355" s="1208"/>
      <c r="J355" s="1208"/>
      <c r="K355" s="1208"/>
      <c r="L355" s="1208"/>
      <c r="M355" s="1208"/>
      <c r="N355" s="1208"/>
      <c r="O355" s="1208"/>
      <c r="P355" s="1208"/>
      <c r="Q355" s="1208"/>
      <c r="R355" s="1208"/>
      <c r="S355" s="1208"/>
      <c r="T355" s="1208"/>
      <c r="U355" s="1208"/>
      <c r="V355" s="1208"/>
      <c r="W355" s="1208"/>
      <c r="X355" s="1208"/>
      <c r="Y355" s="1208"/>
      <c r="Z355" s="1208"/>
      <c r="AA355" s="1208"/>
      <c r="AB355" s="1208"/>
      <c r="AC355" s="1208"/>
      <c r="AD355" s="1208"/>
      <c r="AE355" s="1208"/>
      <c r="AF355" s="1208"/>
      <c r="AG355" s="1208"/>
      <c r="AH355" s="1208"/>
      <c r="AI355" s="1208"/>
      <c r="AJ355" s="1208"/>
      <c r="AK355" s="1208"/>
      <c r="AL355" s="1208"/>
      <c r="AM355" s="1208"/>
      <c r="AN355" s="1208"/>
      <c r="AO355" s="1208"/>
      <c r="AP355" s="1208"/>
      <c r="AQ355" s="1208"/>
      <c r="AR355" s="1208"/>
      <c r="AS355" s="1208"/>
      <c r="AT355" s="1208"/>
      <c r="AU355" s="1208"/>
      <c r="AV355" s="1208"/>
      <c r="AW355" s="1208"/>
      <c r="AX355" s="1208"/>
      <c r="AY355" s="1208"/>
      <c r="AZ355" s="1208"/>
      <c r="BA355" s="1208"/>
      <c r="BB355" s="1208"/>
      <c r="BC355" s="1208"/>
      <c r="BD355" s="1208"/>
      <c r="BE355" s="1208"/>
      <c r="BF355" s="1208"/>
      <c r="BG355" s="1208"/>
      <c r="BH355" s="1208"/>
      <c r="BI355" s="1208"/>
      <c r="BJ355" s="1208"/>
    </row>
    <row r="356" spans="1:62" s="1210" customFormat="1">
      <c r="A356" s="1212"/>
      <c r="B356" s="1209"/>
      <c r="C356" s="1209"/>
      <c r="D356" s="1208"/>
      <c r="E356" s="1208"/>
      <c r="F356" s="1208"/>
      <c r="G356" s="1208"/>
      <c r="H356" s="1208"/>
      <c r="I356" s="1208"/>
      <c r="J356" s="1208"/>
      <c r="K356" s="1208"/>
      <c r="L356" s="1208"/>
      <c r="M356" s="1208"/>
      <c r="N356" s="1208"/>
      <c r="O356" s="1208"/>
      <c r="P356" s="1208"/>
      <c r="Q356" s="1208"/>
      <c r="R356" s="1208"/>
      <c r="S356" s="1208"/>
      <c r="T356" s="1208"/>
      <c r="U356" s="1208"/>
      <c r="V356" s="1208"/>
      <c r="W356" s="1208"/>
      <c r="X356" s="1208"/>
      <c r="Y356" s="1208"/>
      <c r="Z356" s="1208"/>
      <c r="AA356" s="1208"/>
      <c r="AB356" s="1208"/>
      <c r="AC356" s="1208"/>
      <c r="AD356" s="1208"/>
      <c r="AE356" s="1208"/>
      <c r="AF356" s="1208"/>
      <c r="AG356" s="1208"/>
      <c r="AH356" s="1208"/>
      <c r="AI356" s="1208"/>
      <c r="AJ356" s="1208"/>
      <c r="AK356" s="1208"/>
      <c r="AL356" s="1208"/>
      <c r="AM356" s="1208"/>
      <c r="AN356" s="1208"/>
      <c r="AO356" s="1208"/>
      <c r="AP356" s="1208"/>
      <c r="AQ356" s="1208"/>
      <c r="AR356" s="1208"/>
      <c r="AS356" s="1208"/>
      <c r="AT356" s="1208"/>
      <c r="AU356" s="1208"/>
      <c r="AV356" s="1208"/>
      <c r="AW356" s="1208"/>
      <c r="AX356" s="1208"/>
      <c r="AY356" s="1208"/>
      <c r="AZ356" s="1208"/>
      <c r="BA356" s="1208"/>
      <c r="BB356" s="1208"/>
      <c r="BC356" s="1208"/>
      <c r="BD356" s="1208"/>
      <c r="BE356" s="1208"/>
      <c r="BF356" s="1208"/>
      <c r="BG356" s="1208"/>
      <c r="BH356" s="1208"/>
      <c r="BI356" s="1208"/>
      <c r="BJ356" s="1208"/>
    </row>
    <row r="357" spans="1:62" s="1210" customFormat="1">
      <c r="A357" s="1212"/>
      <c r="B357" s="1209"/>
      <c r="C357" s="1209"/>
      <c r="D357" s="1208"/>
      <c r="E357" s="1208"/>
      <c r="F357" s="1208"/>
      <c r="G357" s="1208"/>
      <c r="H357" s="1208"/>
      <c r="I357" s="1208"/>
      <c r="J357" s="1208"/>
      <c r="K357" s="1208"/>
      <c r="L357" s="1208"/>
      <c r="M357" s="1208"/>
      <c r="N357" s="1208"/>
      <c r="O357" s="1208"/>
      <c r="P357" s="1208"/>
      <c r="Q357" s="1208"/>
      <c r="R357" s="1208"/>
      <c r="S357" s="1208"/>
      <c r="T357" s="1208"/>
      <c r="U357" s="1208"/>
      <c r="V357" s="1208"/>
      <c r="W357" s="1208"/>
      <c r="X357" s="1208"/>
      <c r="Y357" s="1208"/>
      <c r="Z357" s="1208"/>
      <c r="AA357" s="1208"/>
      <c r="AB357" s="1208"/>
      <c r="AC357" s="1208"/>
      <c r="AD357" s="1208"/>
      <c r="AE357" s="1208"/>
      <c r="AF357" s="1208"/>
      <c r="AG357" s="1208"/>
      <c r="AH357" s="1208"/>
      <c r="AI357" s="1208"/>
      <c r="AJ357" s="1208"/>
      <c r="AK357" s="1208"/>
      <c r="AL357" s="1208"/>
      <c r="AM357" s="1208"/>
      <c r="AN357" s="1208"/>
      <c r="AO357" s="1208"/>
      <c r="AP357" s="1208"/>
      <c r="AQ357" s="1208"/>
      <c r="AR357" s="1208"/>
      <c r="AS357" s="1208"/>
      <c r="AT357" s="1208"/>
      <c r="AU357" s="1208"/>
      <c r="AV357" s="1208"/>
      <c r="AW357" s="1208"/>
      <c r="AX357" s="1208"/>
      <c r="AY357" s="1208"/>
      <c r="AZ357" s="1208"/>
      <c r="BA357" s="1208"/>
      <c r="BB357" s="1208"/>
      <c r="BC357" s="1208"/>
      <c r="BD357" s="1208"/>
      <c r="BE357" s="1208"/>
      <c r="BF357" s="1208"/>
      <c r="BG357" s="1208"/>
      <c r="BH357" s="1208"/>
      <c r="BI357" s="1208"/>
      <c r="BJ357" s="1208"/>
    </row>
    <row r="358" spans="1:62" s="1210" customFormat="1">
      <c r="A358" s="1212"/>
      <c r="B358" s="1209"/>
      <c r="C358" s="1209"/>
      <c r="D358" s="1208"/>
      <c r="E358" s="1208"/>
      <c r="F358" s="1208"/>
      <c r="G358" s="1208"/>
      <c r="H358" s="1208"/>
      <c r="I358" s="1208"/>
      <c r="J358" s="1208"/>
      <c r="K358" s="1208"/>
      <c r="L358" s="1208"/>
      <c r="M358" s="1208"/>
      <c r="N358" s="1208"/>
      <c r="O358" s="1208"/>
      <c r="P358" s="1208"/>
      <c r="Q358" s="1208"/>
      <c r="R358" s="1208"/>
      <c r="S358" s="1208"/>
      <c r="T358" s="1208"/>
      <c r="U358" s="1208"/>
      <c r="V358" s="1208"/>
      <c r="W358" s="1208"/>
      <c r="X358" s="1208"/>
      <c r="Y358" s="1208"/>
      <c r="Z358" s="1208"/>
      <c r="AA358" s="1208"/>
      <c r="AB358" s="1208"/>
      <c r="AC358" s="1208"/>
      <c r="AD358" s="1208"/>
      <c r="AE358" s="1208"/>
      <c r="AF358" s="1208"/>
      <c r="AG358" s="1208"/>
      <c r="AH358" s="1208"/>
      <c r="AI358" s="1208"/>
      <c r="AJ358" s="1208"/>
      <c r="AK358" s="1208"/>
      <c r="AL358" s="1208"/>
      <c r="AM358" s="1208"/>
      <c r="AN358" s="1208"/>
      <c r="AO358" s="1208"/>
      <c r="AP358" s="1208"/>
      <c r="AQ358" s="1208"/>
      <c r="AR358" s="1208"/>
      <c r="AS358" s="1208"/>
      <c r="AT358" s="1208"/>
      <c r="AU358" s="1208"/>
      <c r="AV358" s="1208"/>
      <c r="AW358" s="1208"/>
      <c r="AX358" s="1208"/>
      <c r="AY358" s="1208"/>
      <c r="AZ358" s="1208"/>
      <c r="BA358" s="1208"/>
      <c r="BB358" s="1208"/>
      <c r="BC358" s="1208"/>
      <c r="BD358" s="1208"/>
      <c r="BE358" s="1208"/>
      <c r="BF358" s="1208"/>
      <c r="BG358" s="1208"/>
      <c r="BH358" s="1208"/>
      <c r="BI358" s="1208"/>
      <c r="BJ358" s="1208"/>
    </row>
    <row r="359" spans="1:62" s="1210" customFormat="1">
      <c r="A359" s="1212"/>
      <c r="B359" s="1209"/>
      <c r="C359" s="1209"/>
      <c r="D359" s="1208"/>
      <c r="E359" s="1208"/>
      <c r="F359" s="1208"/>
      <c r="G359" s="1208"/>
      <c r="H359" s="1208"/>
      <c r="I359" s="1208"/>
      <c r="J359" s="1208"/>
      <c r="K359" s="1208"/>
      <c r="L359" s="1208"/>
      <c r="M359" s="1208"/>
      <c r="N359" s="1208"/>
      <c r="O359" s="1208"/>
      <c r="P359" s="1208"/>
      <c r="Q359" s="1208"/>
      <c r="R359" s="1208"/>
      <c r="S359" s="1208"/>
      <c r="T359" s="1208"/>
      <c r="U359" s="1208"/>
      <c r="V359" s="1208"/>
      <c r="W359" s="1208"/>
      <c r="X359" s="1208"/>
      <c r="Y359" s="1208"/>
      <c r="Z359" s="1208"/>
      <c r="AA359" s="1208"/>
      <c r="AB359" s="1208"/>
      <c r="AC359" s="1208"/>
      <c r="AD359" s="1208"/>
      <c r="AE359" s="1208"/>
      <c r="AF359" s="1208"/>
      <c r="AG359" s="1208"/>
      <c r="AH359" s="1208"/>
      <c r="AI359" s="1208"/>
      <c r="AJ359" s="1208"/>
      <c r="AK359" s="1208"/>
      <c r="AL359" s="1208"/>
      <c r="AM359" s="1208"/>
      <c r="AN359" s="1208"/>
      <c r="AO359" s="1208"/>
      <c r="AP359" s="1208"/>
      <c r="AQ359" s="1208"/>
      <c r="AR359" s="1208"/>
      <c r="AS359" s="1208"/>
      <c r="AT359" s="1208"/>
      <c r="AU359" s="1208"/>
      <c r="AV359" s="1208"/>
      <c r="AW359" s="1208"/>
      <c r="AX359" s="1208"/>
      <c r="AY359" s="1208"/>
      <c r="AZ359" s="1208"/>
      <c r="BA359" s="1208"/>
      <c r="BB359" s="1208"/>
      <c r="BC359" s="1208"/>
      <c r="BD359" s="1208"/>
      <c r="BE359" s="1208"/>
      <c r="BF359" s="1208"/>
      <c r="BG359" s="1208"/>
      <c r="BH359" s="1208"/>
      <c r="BI359" s="1208"/>
      <c r="BJ359" s="1208"/>
    </row>
    <row r="360" spans="1:62" s="1210" customFormat="1">
      <c r="A360" s="1212"/>
      <c r="B360" s="1209"/>
      <c r="C360" s="1209"/>
      <c r="D360" s="1208"/>
      <c r="E360" s="1208"/>
      <c r="F360" s="1208"/>
      <c r="G360" s="1208"/>
      <c r="H360" s="1208"/>
      <c r="I360" s="1208"/>
      <c r="J360" s="1208"/>
      <c r="K360" s="1208"/>
      <c r="L360" s="1208"/>
      <c r="M360" s="1208"/>
      <c r="N360" s="1208"/>
      <c r="O360" s="1208"/>
      <c r="P360" s="1208"/>
      <c r="Q360" s="1208"/>
      <c r="R360" s="1208"/>
      <c r="S360" s="1208"/>
      <c r="T360" s="1208"/>
      <c r="U360" s="1208"/>
      <c r="V360" s="1208"/>
      <c r="W360" s="1208"/>
      <c r="X360" s="1208"/>
      <c r="Y360" s="1208"/>
      <c r="Z360" s="1208"/>
      <c r="AA360" s="1208"/>
      <c r="AB360" s="1208"/>
      <c r="AC360" s="1208"/>
      <c r="AD360" s="1208"/>
      <c r="AE360" s="1208"/>
      <c r="AF360" s="1208"/>
      <c r="AG360" s="1208"/>
      <c r="AH360" s="1208"/>
      <c r="AI360" s="1208"/>
      <c r="AJ360" s="1208"/>
      <c r="AK360" s="1208"/>
      <c r="AL360" s="1208"/>
      <c r="AM360" s="1208"/>
      <c r="AN360" s="1208"/>
      <c r="AO360" s="1208"/>
      <c r="AP360" s="1208"/>
      <c r="AQ360" s="1208"/>
      <c r="AR360" s="1208"/>
      <c r="AS360" s="1208"/>
      <c r="AT360" s="1208"/>
      <c r="AU360" s="1208"/>
      <c r="AV360" s="1208"/>
      <c r="AW360" s="1208"/>
      <c r="AX360" s="1208"/>
      <c r="AY360" s="1208"/>
      <c r="AZ360" s="1208"/>
      <c r="BA360" s="1208"/>
      <c r="BB360" s="1208"/>
      <c r="BC360" s="1208"/>
      <c r="BD360" s="1208"/>
      <c r="BE360" s="1208"/>
      <c r="BF360" s="1208"/>
      <c r="BG360" s="1208"/>
      <c r="BH360" s="1208"/>
      <c r="BI360" s="1208"/>
      <c r="BJ360" s="1208"/>
    </row>
    <row r="361" spans="1:62" s="1210" customFormat="1">
      <c r="A361" s="1212"/>
      <c r="B361" s="1209"/>
      <c r="C361" s="1209"/>
      <c r="D361" s="1208"/>
      <c r="E361" s="1208"/>
      <c r="F361" s="1208"/>
      <c r="G361" s="1208"/>
      <c r="H361" s="1208"/>
      <c r="I361" s="1208"/>
      <c r="J361" s="1208"/>
      <c r="K361" s="1208"/>
      <c r="L361" s="1208"/>
      <c r="M361" s="1208"/>
      <c r="N361" s="1208"/>
      <c r="O361" s="1208"/>
      <c r="P361" s="1208"/>
      <c r="Q361" s="1208"/>
      <c r="R361" s="1208"/>
      <c r="S361" s="1208"/>
      <c r="T361" s="1208"/>
      <c r="U361" s="1208"/>
      <c r="V361" s="1208"/>
      <c r="W361" s="1208"/>
      <c r="X361" s="1208"/>
      <c r="Y361" s="1208"/>
      <c r="Z361" s="1208"/>
      <c r="AA361" s="1208"/>
      <c r="AB361" s="1208"/>
      <c r="AC361" s="1208"/>
      <c r="AD361" s="1208"/>
      <c r="AE361" s="1208"/>
      <c r="AF361" s="1208"/>
      <c r="AG361" s="1208"/>
      <c r="AH361" s="1208"/>
      <c r="AI361" s="1208"/>
      <c r="AJ361" s="1208"/>
      <c r="AK361" s="1208"/>
      <c r="AL361" s="1208"/>
      <c r="AM361" s="1208"/>
      <c r="AN361" s="1208"/>
      <c r="AO361" s="1208"/>
      <c r="AP361" s="1208"/>
      <c r="AQ361" s="1208"/>
      <c r="AR361" s="1208"/>
      <c r="AS361" s="1208"/>
      <c r="AT361" s="1208"/>
      <c r="AU361" s="1208"/>
      <c r="AV361" s="1208"/>
      <c r="AW361" s="1208"/>
      <c r="AX361" s="1208"/>
      <c r="AY361" s="1208"/>
      <c r="AZ361" s="1208"/>
      <c r="BA361" s="1208"/>
      <c r="BB361" s="1208"/>
      <c r="BC361" s="1208"/>
      <c r="BD361" s="1208"/>
      <c r="BE361" s="1208"/>
      <c r="BF361" s="1208"/>
      <c r="BG361" s="1208"/>
      <c r="BH361" s="1208"/>
      <c r="BI361" s="1208"/>
      <c r="BJ361" s="1208"/>
    </row>
    <row r="362" spans="1:62" s="1210" customFormat="1">
      <c r="A362" s="1212"/>
      <c r="B362" s="1209"/>
      <c r="C362" s="1209"/>
      <c r="D362" s="1208"/>
      <c r="E362" s="1208"/>
      <c r="F362" s="1208"/>
      <c r="G362" s="1208"/>
      <c r="H362" s="1208"/>
      <c r="I362" s="1208"/>
      <c r="J362" s="1208"/>
      <c r="K362" s="1208"/>
      <c r="L362" s="1208"/>
      <c r="M362" s="1208"/>
      <c r="N362" s="1208"/>
      <c r="O362" s="1208"/>
      <c r="P362" s="1208"/>
      <c r="Q362" s="1208"/>
      <c r="R362" s="1208"/>
      <c r="S362" s="1208"/>
      <c r="T362" s="1208"/>
      <c r="U362" s="1208"/>
      <c r="V362" s="1208"/>
      <c r="W362" s="1208"/>
      <c r="X362" s="1208"/>
      <c r="Y362" s="1208"/>
      <c r="Z362" s="1208"/>
      <c r="AA362" s="1208"/>
      <c r="AB362" s="1208"/>
      <c r="AC362" s="1208"/>
      <c r="AD362" s="1208"/>
      <c r="AE362" s="1208"/>
      <c r="AF362" s="1208"/>
      <c r="AG362" s="1208"/>
      <c r="AH362" s="1208"/>
      <c r="AI362" s="1208"/>
      <c r="AJ362" s="1208"/>
      <c r="AK362" s="1208"/>
      <c r="AL362" s="1208"/>
      <c r="AM362" s="1208"/>
      <c r="AN362" s="1208"/>
      <c r="AO362" s="1208"/>
      <c r="AP362" s="1208"/>
      <c r="AQ362" s="1208"/>
      <c r="AR362" s="1208"/>
      <c r="AS362" s="1208"/>
      <c r="AT362" s="1208"/>
      <c r="AU362" s="1208"/>
      <c r="AV362" s="1208"/>
      <c r="AW362" s="1208"/>
      <c r="AX362" s="1208"/>
      <c r="AY362" s="1208"/>
      <c r="AZ362" s="1208"/>
      <c r="BA362" s="1208"/>
      <c r="BB362" s="1208"/>
      <c r="BC362" s="1208"/>
      <c r="BD362" s="1208"/>
      <c r="BE362" s="1208"/>
      <c r="BF362" s="1208"/>
      <c r="BG362" s="1208"/>
      <c r="BH362" s="1208"/>
      <c r="BI362" s="1208"/>
      <c r="BJ362" s="1208"/>
    </row>
    <row r="363" spans="1:62" s="1210" customFormat="1">
      <c r="A363" s="1212"/>
      <c r="B363" s="1209"/>
      <c r="C363" s="1209"/>
      <c r="D363" s="1208"/>
      <c r="E363" s="1208"/>
      <c r="F363" s="1208"/>
      <c r="G363" s="1208"/>
      <c r="H363" s="1208"/>
      <c r="I363" s="1208"/>
      <c r="J363" s="1208"/>
      <c r="K363" s="1208"/>
      <c r="L363" s="1208"/>
      <c r="M363" s="1208"/>
      <c r="N363" s="1208"/>
      <c r="O363" s="1208"/>
      <c r="P363" s="1208"/>
      <c r="Q363" s="1208"/>
      <c r="R363" s="1208"/>
      <c r="S363" s="1208"/>
      <c r="T363" s="1208"/>
      <c r="U363" s="1208"/>
      <c r="V363" s="1208"/>
      <c r="W363" s="1208"/>
      <c r="X363" s="1208"/>
      <c r="Y363" s="1208"/>
      <c r="Z363" s="1208"/>
      <c r="AA363" s="1208"/>
      <c r="AB363" s="1208"/>
      <c r="AC363" s="1208"/>
      <c r="AD363" s="1208"/>
      <c r="AE363" s="1208"/>
      <c r="AF363" s="1208"/>
      <c r="AG363" s="1208"/>
      <c r="AH363" s="1208"/>
      <c r="AI363" s="1208"/>
      <c r="AJ363" s="1208"/>
      <c r="AK363" s="1208"/>
      <c r="AL363" s="1208"/>
      <c r="AM363" s="1208"/>
      <c r="AN363" s="1208"/>
      <c r="AO363" s="1208"/>
      <c r="AP363" s="1208"/>
      <c r="AQ363" s="1208"/>
      <c r="AR363" s="1208"/>
      <c r="AS363" s="1208"/>
      <c r="AT363" s="1208"/>
      <c r="AU363" s="1208"/>
      <c r="AV363" s="1208"/>
      <c r="AW363" s="1208"/>
      <c r="AX363" s="1208"/>
      <c r="AY363" s="1208"/>
      <c r="AZ363" s="1208"/>
      <c r="BA363" s="1208"/>
      <c r="BB363" s="1208"/>
      <c r="BC363" s="1208"/>
      <c r="BD363" s="1208"/>
      <c r="BE363" s="1208"/>
      <c r="BF363" s="1208"/>
      <c r="BG363" s="1208"/>
      <c r="BH363" s="1208"/>
      <c r="BI363" s="1208"/>
      <c r="BJ363" s="1208"/>
    </row>
    <row r="364" spans="1:62" s="1210" customFormat="1">
      <c r="A364" s="1212"/>
      <c r="B364" s="1209"/>
      <c r="C364" s="1209"/>
      <c r="D364" s="1208"/>
      <c r="E364" s="1208"/>
      <c r="F364" s="1208"/>
      <c r="G364" s="1208"/>
      <c r="H364" s="1208"/>
      <c r="I364" s="1208"/>
      <c r="J364" s="1208"/>
      <c r="K364" s="1208"/>
      <c r="L364" s="1208"/>
      <c r="M364" s="1208"/>
      <c r="N364" s="1208"/>
      <c r="O364" s="1208"/>
      <c r="P364" s="1208"/>
      <c r="Q364" s="1208"/>
      <c r="R364" s="1208"/>
      <c r="S364" s="1208"/>
      <c r="T364" s="1208"/>
      <c r="U364" s="1208"/>
      <c r="V364" s="1208"/>
      <c r="W364" s="1208"/>
      <c r="X364" s="1208"/>
      <c r="Y364" s="1208"/>
      <c r="Z364" s="1208"/>
      <c r="AA364" s="1208"/>
      <c r="AB364" s="1208"/>
      <c r="AC364" s="1208"/>
      <c r="AD364" s="1208"/>
      <c r="AE364" s="1208"/>
      <c r="AF364" s="1208"/>
      <c r="AG364" s="1208"/>
      <c r="AH364" s="1208"/>
      <c r="AI364" s="1208"/>
      <c r="AJ364" s="1208"/>
      <c r="AK364" s="1208"/>
      <c r="AL364" s="1208"/>
      <c r="AM364" s="1208"/>
      <c r="AN364" s="1208"/>
      <c r="AO364" s="1208"/>
      <c r="AP364" s="1208"/>
      <c r="AQ364" s="1208"/>
      <c r="AR364" s="1208"/>
      <c r="AS364" s="1208"/>
      <c r="AT364" s="1208"/>
      <c r="AU364" s="1208"/>
      <c r="AV364" s="1208"/>
      <c r="AW364" s="1208"/>
      <c r="AX364" s="1208"/>
      <c r="AY364" s="1208"/>
      <c r="AZ364" s="1208"/>
      <c r="BA364" s="1208"/>
      <c r="BB364" s="1208"/>
      <c r="BC364" s="1208"/>
      <c r="BD364" s="1208"/>
      <c r="BE364" s="1208"/>
      <c r="BF364" s="1208"/>
      <c r="BG364" s="1208"/>
      <c r="BH364" s="1208"/>
      <c r="BI364" s="1208"/>
      <c r="BJ364" s="1208"/>
    </row>
    <row r="365" spans="1:62" s="1210" customFormat="1">
      <c r="A365" s="1212"/>
      <c r="B365" s="1209"/>
      <c r="C365" s="1209"/>
      <c r="D365" s="1208"/>
      <c r="E365" s="1208"/>
      <c r="F365" s="1208"/>
      <c r="G365" s="1208"/>
      <c r="H365" s="1208"/>
      <c r="I365" s="1208"/>
      <c r="J365" s="1208"/>
      <c r="K365" s="1208"/>
      <c r="L365" s="1208"/>
      <c r="M365" s="1208"/>
      <c r="N365" s="1208"/>
      <c r="O365" s="1208"/>
      <c r="P365" s="1208"/>
      <c r="Q365" s="1208"/>
      <c r="R365" s="1208"/>
      <c r="S365" s="1208"/>
      <c r="T365" s="1208"/>
      <c r="U365" s="1208"/>
      <c r="V365" s="1208"/>
      <c r="W365" s="1208"/>
      <c r="X365" s="1208"/>
      <c r="Y365" s="1208"/>
      <c r="Z365" s="1208"/>
      <c r="AA365" s="1208"/>
      <c r="AB365" s="1208"/>
      <c r="AC365" s="1208"/>
      <c r="AD365" s="1208"/>
      <c r="AE365" s="1208"/>
      <c r="AF365" s="1208"/>
      <c r="AG365" s="1208"/>
      <c r="AH365" s="1208"/>
      <c r="AI365" s="1208"/>
      <c r="AJ365" s="1208"/>
      <c r="AK365" s="1208"/>
      <c r="AL365" s="1208"/>
      <c r="AM365" s="1208"/>
      <c r="AN365" s="1208"/>
      <c r="AO365" s="1208"/>
      <c r="AP365" s="1208"/>
      <c r="AQ365" s="1208"/>
      <c r="AR365" s="1208"/>
      <c r="AS365" s="1208"/>
      <c r="AT365" s="1208"/>
      <c r="AU365" s="1208"/>
      <c r="AV365" s="1208"/>
      <c r="AW365" s="1208"/>
      <c r="AX365" s="1208"/>
      <c r="AY365" s="1208"/>
      <c r="AZ365" s="1208"/>
      <c r="BA365" s="1208"/>
      <c r="BB365" s="1208"/>
      <c r="BC365" s="1208"/>
      <c r="BD365" s="1208"/>
      <c r="BE365" s="1208"/>
      <c r="BF365" s="1208"/>
      <c r="BG365" s="1208"/>
      <c r="BH365" s="1208"/>
      <c r="BI365" s="1208"/>
      <c r="BJ365" s="1208"/>
    </row>
    <row r="366" spans="1:62" s="1210" customFormat="1">
      <c r="A366" s="1212"/>
      <c r="B366" s="1209"/>
      <c r="C366" s="1209"/>
      <c r="D366" s="1208"/>
      <c r="E366" s="1208"/>
      <c r="F366" s="1208"/>
      <c r="G366" s="1208"/>
      <c r="H366" s="1208"/>
      <c r="I366" s="1208"/>
      <c r="J366" s="1208"/>
      <c r="K366" s="1208"/>
      <c r="L366" s="1208"/>
      <c r="M366" s="1208"/>
      <c r="N366" s="1208"/>
      <c r="O366" s="1208"/>
      <c r="P366" s="1208"/>
      <c r="Q366" s="1208"/>
      <c r="R366" s="1208"/>
      <c r="S366" s="1208"/>
      <c r="T366" s="1208"/>
      <c r="U366" s="1208"/>
      <c r="V366" s="1208"/>
      <c r="W366" s="1208"/>
      <c r="X366" s="1208"/>
      <c r="Y366" s="1208"/>
      <c r="Z366" s="1208"/>
      <c r="AA366" s="1208"/>
      <c r="AB366" s="1208"/>
      <c r="AC366" s="1208"/>
      <c r="AD366" s="1208"/>
      <c r="AE366" s="1208"/>
      <c r="AF366" s="1208"/>
      <c r="AG366" s="1208"/>
      <c r="AH366" s="1208"/>
      <c r="AI366" s="1208"/>
      <c r="AJ366" s="1208"/>
      <c r="AK366" s="1208"/>
      <c r="AL366" s="1208"/>
      <c r="AM366" s="1208"/>
      <c r="AN366" s="1208"/>
      <c r="AO366" s="1208"/>
      <c r="AP366" s="1208"/>
      <c r="AQ366" s="1208"/>
      <c r="AR366" s="1208"/>
      <c r="AS366" s="1208"/>
      <c r="AT366" s="1208"/>
      <c r="AU366" s="1208"/>
      <c r="AV366" s="1208"/>
      <c r="AW366" s="1208"/>
      <c r="AX366" s="1208"/>
      <c r="AY366" s="1208"/>
      <c r="AZ366" s="1208"/>
      <c r="BA366" s="1208"/>
      <c r="BB366" s="1208"/>
      <c r="BC366" s="1208"/>
      <c r="BD366" s="1208"/>
      <c r="BE366" s="1208"/>
      <c r="BF366" s="1208"/>
      <c r="BG366" s="1208"/>
      <c r="BH366" s="1208"/>
      <c r="BI366" s="1208"/>
      <c r="BJ366" s="1208"/>
    </row>
    <row r="367" spans="1:62" s="1210" customFormat="1">
      <c r="A367" s="1212"/>
      <c r="B367" s="1209"/>
      <c r="C367" s="1209"/>
      <c r="D367" s="1208"/>
      <c r="E367" s="1208"/>
      <c r="F367" s="1208"/>
      <c r="G367" s="1208"/>
      <c r="H367" s="1208"/>
      <c r="I367" s="1208"/>
      <c r="J367" s="1208"/>
      <c r="K367" s="1208"/>
      <c r="L367" s="1208"/>
      <c r="M367" s="1208"/>
      <c r="N367" s="1208"/>
      <c r="O367" s="1208"/>
      <c r="P367" s="1208"/>
      <c r="Q367" s="1208"/>
      <c r="R367" s="1208"/>
      <c r="S367" s="1208"/>
      <c r="T367" s="1208"/>
      <c r="U367" s="1208"/>
      <c r="V367" s="1208"/>
      <c r="W367" s="1208"/>
      <c r="X367" s="1208"/>
      <c r="Y367" s="1208"/>
      <c r="Z367" s="1208"/>
      <c r="AA367" s="1208"/>
      <c r="AB367" s="1208"/>
      <c r="AC367" s="1208"/>
      <c r="AD367" s="1208"/>
      <c r="AE367" s="1208"/>
      <c r="AF367" s="1208"/>
      <c r="AG367" s="1208"/>
      <c r="AH367" s="1208"/>
      <c r="AI367" s="1208"/>
      <c r="AJ367" s="1208"/>
      <c r="AK367" s="1208"/>
      <c r="AL367" s="1208"/>
      <c r="AM367" s="1208"/>
      <c r="AN367" s="1208"/>
      <c r="AO367" s="1208"/>
      <c r="AP367" s="1208"/>
      <c r="AQ367" s="1208"/>
      <c r="AR367" s="1208"/>
      <c r="AS367" s="1208"/>
      <c r="AT367" s="1208"/>
      <c r="AU367" s="1208"/>
      <c r="AV367" s="1208"/>
      <c r="AW367" s="1208"/>
      <c r="AX367" s="1208"/>
      <c r="AY367" s="1208"/>
      <c r="AZ367" s="1208"/>
      <c r="BA367" s="1208"/>
      <c r="BB367" s="1208"/>
      <c r="BC367" s="1208"/>
      <c r="BD367" s="1208"/>
      <c r="BE367" s="1208"/>
      <c r="BF367" s="1208"/>
      <c r="BG367" s="1208"/>
      <c r="BH367" s="1208"/>
      <c r="BI367" s="1208"/>
      <c r="BJ367" s="1208"/>
    </row>
    <row r="368" spans="1:62" s="1209" customFormat="1">
      <c r="A368" s="1212"/>
      <c r="D368" s="1208"/>
      <c r="E368" s="1208"/>
      <c r="F368" s="1208"/>
      <c r="G368" s="1208"/>
      <c r="H368" s="1208"/>
      <c r="I368" s="1208"/>
      <c r="J368" s="1208"/>
      <c r="K368" s="1208"/>
      <c r="L368" s="1208"/>
      <c r="M368" s="1208"/>
      <c r="N368" s="1208"/>
      <c r="O368" s="1208"/>
      <c r="P368" s="1208"/>
      <c r="Q368" s="1208"/>
      <c r="R368" s="1208"/>
      <c r="S368" s="1208"/>
      <c r="T368" s="1208"/>
      <c r="U368" s="1208"/>
      <c r="V368" s="1208"/>
      <c r="W368" s="1208"/>
      <c r="X368" s="1208"/>
      <c r="Y368" s="1208"/>
      <c r="Z368" s="1208"/>
      <c r="AA368" s="1208"/>
      <c r="AB368" s="1208"/>
      <c r="AC368" s="1208"/>
      <c r="AD368" s="1208"/>
      <c r="AE368" s="1208"/>
      <c r="AF368" s="1208"/>
      <c r="AG368" s="1208"/>
      <c r="AH368" s="1208"/>
      <c r="AI368" s="1208"/>
      <c r="AJ368" s="1208"/>
      <c r="AK368" s="1208"/>
      <c r="AL368" s="1208"/>
      <c r="AM368" s="1208"/>
      <c r="AN368" s="1208"/>
      <c r="AO368" s="1208"/>
      <c r="AP368" s="1208"/>
      <c r="AQ368" s="1208"/>
      <c r="AR368" s="1208"/>
      <c r="AS368" s="1208"/>
      <c r="AT368" s="1208"/>
      <c r="AU368" s="1208"/>
      <c r="AV368" s="1208"/>
      <c r="AW368" s="1208"/>
      <c r="AX368" s="1208"/>
      <c r="AY368" s="1208"/>
      <c r="AZ368" s="1208"/>
      <c r="BA368" s="1208"/>
      <c r="BB368" s="1208"/>
      <c r="BC368" s="1208"/>
      <c r="BD368" s="1208"/>
      <c r="BE368" s="1208"/>
      <c r="BF368" s="1208"/>
      <c r="BG368" s="1208"/>
      <c r="BH368" s="1208"/>
      <c r="BI368" s="1208"/>
      <c r="BJ368" s="1208"/>
    </row>
    <row r="369" spans="1:62" s="1209" customFormat="1">
      <c r="A369" s="1212"/>
      <c r="D369" s="1208"/>
      <c r="E369" s="1208"/>
      <c r="F369" s="1208"/>
      <c r="G369" s="1208"/>
      <c r="H369" s="1208"/>
      <c r="I369" s="1208"/>
      <c r="J369" s="1208"/>
      <c r="K369" s="1208"/>
      <c r="L369" s="1208"/>
      <c r="M369" s="1208"/>
      <c r="N369" s="1208"/>
      <c r="O369" s="1208"/>
      <c r="P369" s="1208"/>
      <c r="Q369" s="1208"/>
      <c r="R369" s="1208"/>
      <c r="S369" s="1208"/>
      <c r="T369" s="1208"/>
      <c r="U369" s="1208"/>
      <c r="V369" s="1208"/>
      <c r="W369" s="1208"/>
      <c r="X369" s="1208"/>
      <c r="Y369" s="1208"/>
      <c r="Z369" s="1208"/>
      <c r="AA369" s="1208"/>
      <c r="AB369" s="1208"/>
      <c r="AC369" s="1208"/>
      <c r="AD369" s="1208"/>
      <c r="AE369" s="1208"/>
      <c r="AF369" s="1208"/>
      <c r="AG369" s="1208"/>
      <c r="AH369" s="1208"/>
      <c r="AI369" s="1208"/>
      <c r="AJ369" s="1208"/>
      <c r="AK369" s="1208"/>
      <c r="AL369" s="1208"/>
      <c r="AM369" s="1208"/>
      <c r="AN369" s="1208"/>
      <c r="AO369" s="1208"/>
      <c r="AP369" s="1208"/>
      <c r="AQ369" s="1208"/>
      <c r="AR369" s="1208"/>
      <c r="AS369" s="1208"/>
      <c r="AT369" s="1208"/>
      <c r="AU369" s="1208"/>
      <c r="AV369" s="1208"/>
      <c r="AW369" s="1208"/>
      <c r="AX369" s="1208"/>
      <c r="AY369" s="1208"/>
      <c r="AZ369" s="1208"/>
      <c r="BA369" s="1208"/>
      <c r="BB369" s="1208"/>
      <c r="BC369" s="1208"/>
      <c r="BD369" s="1208"/>
      <c r="BE369" s="1208"/>
      <c r="BF369" s="1208"/>
      <c r="BG369" s="1208"/>
      <c r="BH369" s="1208"/>
      <c r="BI369" s="1208"/>
      <c r="BJ369" s="1208"/>
    </row>
    <row r="370" spans="1:62" s="1209" customFormat="1">
      <c r="A370" s="1212"/>
      <c r="D370" s="1208"/>
      <c r="E370" s="1208"/>
      <c r="F370" s="1208"/>
      <c r="G370" s="1208"/>
      <c r="H370" s="1208"/>
      <c r="I370" s="1208"/>
      <c r="J370" s="1208"/>
      <c r="K370" s="1208"/>
      <c r="L370" s="1208"/>
      <c r="M370" s="1208"/>
      <c r="N370" s="1208"/>
      <c r="O370" s="1208"/>
      <c r="P370" s="1208"/>
      <c r="Q370" s="1208"/>
      <c r="R370" s="1208"/>
      <c r="S370" s="1208"/>
      <c r="T370" s="1208"/>
      <c r="U370" s="1208"/>
      <c r="V370" s="1208"/>
      <c r="W370" s="1208"/>
      <c r="X370" s="1208"/>
      <c r="Y370" s="1208"/>
      <c r="Z370" s="1208"/>
      <c r="AA370" s="1208"/>
      <c r="AB370" s="1208"/>
      <c r="AC370" s="1208"/>
      <c r="AD370" s="1208"/>
      <c r="AE370" s="1208"/>
      <c r="AF370" s="1208"/>
      <c r="AG370" s="1208"/>
      <c r="AH370" s="1208"/>
      <c r="AI370" s="1208"/>
      <c r="AJ370" s="1208"/>
      <c r="AK370" s="1208"/>
      <c r="AL370" s="1208"/>
      <c r="AM370" s="1208"/>
      <c r="AN370" s="1208"/>
      <c r="AO370" s="1208"/>
      <c r="AP370" s="1208"/>
      <c r="AQ370" s="1208"/>
      <c r="AR370" s="1208"/>
      <c r="AS370" s="1208"/>
      <c r="AT370" s="1208"/>
      <c r="AU370" s="1208"/>
      <c r="AV370" s="1208"/>
      <c r="AW370" s="1208"/>
      <c r="AX370" s="1208"/>
      <c r="AY370" s="1208"/>
      <c r="AZ370" s="1208"/>
      <c r="BA370" s="1208"/>
      <c r="BB370" s="1208"/>
      <c r="BC370" s="1208"/>
      <c r="BD370" s="1208"/>
      <c r="BE370" s="1208"/>
      <c r="BF370" s="1208"/>
      <c r="BG370" s="1208"/>
      <c r="BH370" s="1208"/>
      <c r="BI370" s="1208"/>
      <c r="BJ370" s="1208"/>
    </row>
    <row r="371" spans="1:62" s="1209" customFormat="1">
      <c r="A371" s="1212"/>
      <c r="D371" s="1208"/>
      <c r="E371" s="1208"/>
      <c r="F371" s="1208"/>
      <c r="G371" s="1208"/>
      <c r="H371" s="1208"/>
      <c r="I371" s="1208"/>
      <c r="J371" s="1208"/>
      <c r="K371" s="1208"/>
      <c r="L371" s="1208"/>
      <c r="M371" s="1208"/>
      <c r="N371" s="1208"/>
      <c r="O371" s="1208"/>
      <c r="P371" s="1208"/>
      <c r="Q371" s="1208"/>
      <c r="R371" s="1208"/>
      <c r="S371" s="1208"/>
      <c r="T371" s="1208"/>
      <c r="U371" s="1208"/>
      <c r="V371" s="1208"/>
      <c r="W371" s="1208"/>
      <c r="X371" s="1208"/>
      <c r="Y371" s="1208"/>
      <c r="Z371" s="1208"/>
      <c r="AA371" s="1208"/>
      <c r="AB371" s="1208"/>
      <c r="AC371" s="1208"/>
      <c r="AD371" s="1208"/>
      <c r="AE371" s="1208"/>
      <c r="AF371" s="1208"/>
      <c r="AG371" s="1208"/>
      <c r="AH371" s="1208"/>
      <c r="AI371" s="1208"/>
      <c r="AJ371" s="1208"/>
      <c r="AK371" s="1208"/>
      <c r="AL371" s="1208"/>
      <c r="AM371" s="1208"/>
      <c r="AN371" s="1208"/>
      <c r="AO371" s="1208"/>
      <c r="AP371" s="1208"/>
      <c r="AQ371" s="1208"/>
      <c r="AR371" s="1208"/>
      <c r="AS371" s="1208"/>
      <c r="AT371" s="1208"/>
      <c r="AU371" s="1208"/>
      <c r="AV371" s="1208"/>
      <c r="AW371" s="1208"/>
      <c r="AX371" s="1208"/>
      <c r="AY371" s="1208"/>
      <c r="AZ371" s="1208"/>
      <c r="BA371" s="1208"/>
      <c r="BB371" s="1208"/>
      <c r="BC371" s="1208"/>
      <c r="BD371" s="1208"/>
      <c r="BE371" s="1208"/>
      <c r="BF371" s="1208"/>
      <c r="BG371" s="1208"/>
      <c r="BH371" s="1208"/>
      <c r="BI371" s="1208"/>
      <c r="BJ371" s="1208"/>
    </row>
    <row r="372" spans="1:62" s="1209" customFormat="1">
      <c r="A372" s="1212"/>
      <c r="D372" s="1208"/>
      <c r="E372" s="1208"/>
      <c r="F372" s="1208"/>
      <c r="G372" s="1208"/>
      <c r="H372" s="1208"/>
      <c r="I372" s="1208"/>
      <c r="J372" s="1208"/>
      <c r="K372" s="1208"/>
      <c r="L372" s="1208"/>
      <c r="M372" s="1208"/>
      <c r="N372" s="1208"/>
      <c r="O372" s="1208"/>
      <c r="P372" s="1208"/>
      <c r="Q372" s="1208"/>
      <c r="R372" s="1208"/>
      <c r="S372" s="1208"/>
      <c r="T372" s="1208"/>
      <c r="U372" s="1208"/>
      <c r="V372" s="1208"/>
      <c r="W372" s="1208"/>
      <c r="X372" s="1208"/>
      <c r="Y372" s="1208"/>
      <c r="Z372" s="1208"/>
      <c r="AA372" s="1208"/>
      <c r="AB372" s="1208"/>
      <c r="AC372" s="1208"/>
      <c r="AD372" s="1208"/>
      <c r="AE372" s="1208"/>
      <c r="AF372" s="1208"/>
      <c r="AG372" s="1208"/>
      <c r="AH372" s="1208"/>
      <c r="AI372" s="1208"/>
      <c r="AJ372" s="1208"/>
      <c r="AK372" s="1208"/>
      <c r="AL372" s="1208"/>
      <c r="AM372" s="1208"/>
      <c r="AN372" s="1208"/>
      <c r="AO372" s="1208"/>
      <c r="AP372" s="1208"/>
      <c r="AQ372" s="1208"/>
      <c r="AR372" s="1208"/>
      <c r="AS372" s="1208"/>
      <c r="AT372" s="1208"/>
      <c r="AU372" s="1208"/>
      <c r="AV372" s="1208"/>
      <c r="AW372" s="1208"/>
      <c r="AX372" s="1208"/>
      <c r="AY372" s="1208"/>
      <c r="AZ372" s="1208"/>
      <c r="BA372" s="1208"/>
      <c r="BB372" s="1208"/>
      <c r="BC372" s="1208"/>
      <c r="BD372" s="1208"/>
      <c r="BE372" s="1208"/>
      <c r="BF372" s="1208"/>
      <c r="BG372" s="1208"/>
      <c r="BH372" s="1208"/>
      <c r="BI372" s="1208"/>
      <c r="BJ372" s="1208"/>
    </row>
    <row r="373" spans="1:62" s="1209" customFormat="1">
      <c r="A373" s="1212"/>
      <c r="D373" s="1208"/>
      <c r="E373" s="1208"/>
      <c r="F373" s="1208"/>
      <c r="G373" s="1208"/>
      <c r="H373" s="1208"/>
      <c r="I373" s="1208"/>
      <c r="J373" s="1208"/>
      <c r="K373" s="1208"/>
      <c r="L373" s="1208"/>
      <c r="M373" s="1208"/>
      <c r="N373" s="1208"/>
      <c r="O373" s="1208"/>
      <c r="P373" s="1208"/>
      <c r="Q373" s="1208"/>
      <c r="R373" s="1208"/>
      <c r="S373" s="1208"/>
      <c r="T373" s="1208"/>
      <c r="U373" s="1208"/>
      <c r="V373" s="1208"/>
      <c r="W373" s="1208"/>
      <c r="X373" s="1208"/>
      <c r="Y373" s="1208"/>
      <c r="Z373" s="1208"/>
      <c r="AA373" s="1208"/>
      <c r="AB373" s="1208"/>
      <c r="AC373" s="1208"/>
      <c r="AD373" s="1208"/>
      <c r="AE373" s="1208"/>
      <c r="AF373" s="1208"/>
      <c r="AG373" s="1208"/>
      <c r="AH373" s="1208"/>
      <c r="AI373" s="1208"/>
      <c r="AJ373" s="1208"/>
      <c r="AK373" s="1208"/>
      <c r="AL373" s="1208"/>
      <c r="AM373" s="1208"/>
      <c r="AN373" s="1208"/>
      <c r="AO373" s="1208"/>
      <c r="AP373" s="1208"/>
      <c r="AQ373" s="1208"/>
      <c r="AR373" s="1208"/>
      <c r="AS373" s="1208"/>
      <c r="AT373" s="1208"/>
      <c r="AU373" s="1208"/>
      <c r="AV373" s="1208"/>
      <c r="AW373" s="1208"/>
      <c r="AX373" s="1208"/>
      <c r="AY373" s="1208"/>
      <c r="AZ373" s="1208"/>
      <c r="BA373" s="1208"/>
      <c r="BB373" s="1208"/>
      <c r="BC373" s="1208"/>
      <c r="BD373" s="1208"/>
      <c r="BE373" s="1208"/>
      <c r="BF373" s="1208"/>
      <c r="BG373" s="1208"/>
      <c r="BH373" s="1208"/>
      <c r="BI373" s="1208"/>
      <c r="BJ373" s="1208"/>
    </row>
    <row r="374" spans="1:62" s="1209" customFormat="1">
      <c r="A374" s="1212"/>
      <c r="D374" s="1208"/>
      <c r="E374" s="1208"/>
      <c r="F374" s="1208"/>
      <c r="G374" s="1208"/>
      <c r="H374" s="1208"/>
      <c r="I374" s="1208"/>
      <c r="J374" s="1208"/>
      <c r="K374" s="1208"/>
      <c r="L374" s="1208"/>
      <c r="M374" s="1208"/>
      <c r="N374" s="1208"/>
      <c r="O374" s="1208"/>
      <c r="P374" s="1208"/>
      <c r="Q374" s="1208"/>
      <c r="R374" s="1208"/>
      <c r="S374" s="1208"/>
      <c r="T374" s="1208"/>
      <c r="U374" s="1208"/>
      <c r="V374" s="1208"/>
      <c r="W374" s="1208"/>
      <c r="X374" s="1208"/>
      <c r="Y374" s="1208"/>
      <c r="Z374" s="1208"/>
      <c r="AA374" s="1208"/>
      <c r="AB374" s="1208"/>
      <c r="AC374" s="1208"/>
      <c r="AD374" s="1208"/>
      <c r="AE374" s="1208"/>
      <c r="AF374" s="1208"/>
      <c r="AG374" s="1208"/>
      <c r="AH374" s="1208"/>
      <c r="AI374" s="1208"/>
      <c r="AJ374" s="1208"/>
      <c r="AK374" s="1208"/>
      <c r="AL374" s="1208"/>
      <c r="AM374" s="1208"/>
      <c r="AN374" s="1208"/>
      <c r="AO374" s="1208"/>
      <c r="AP374" s="1208"/>
      <c r="AQ374" s="1208"/>
      <c r="AR374" s="1208"/>
      <c r="AS374" s="1208"/>
      <c r="AT374" s="1208"/>
      <c r="AU374" s="1208"/>
      <c r="AV374" s="1208"/>
      <c r="AW374" s="1208"/>
      <c r="AX374" s="1208"/>
      <c r="AY374" s="1208"/>
      <c r="AZ374" s="1208"/>
      <c r="BA374" s="1208"/>
      <c r="BB374" s="1208"/>
      <c r="BC374" s="1208"/>
      <c r="BD374" s="1208"/>
      <c r="BE374" s="1208"/>
      <c r="BF374" s="1208"/>
      <c r="BG374" s="1208"/>
      <c r="BH374" s="1208"/>
      <c r="BI374" s="1208"/>
      <c r="BJ374" s="1208"/>
    </row>
    <row r="375" spans="1:62" s="1209" customFormat="1">
      <c r="A375" s="1212"/>
      <c r="D375" s="1208"/>
      <c r="E375" s="1208"/>
      <c r="F375" s="1208"/>
      <c r="G375" s="1208"/>
      <c r="H375" s="1208"/>
      <c r="I375" s="1208"/>
      <c r="J375" s="1208"/>
      <c r="K375" s="1208"/>
      <c r="L375" s="1208"/>
      <c r="M375" s="1208"/>
      <c r="N375" s="1208"/>
      <c r="O375" s="1208"/>
      <c r="P375" s="1208"/>
      <c r="Q375" s="1208"/>
      <c r="R375" s="1208"/>
      <c r="S375" s="1208"/>
      <c r="T375" s="1208"/>
      <c r="U375" s="1208"/>
      <c r="V375" s="1208"/>
      <c r="W375" s="1208"/>
      <c r="X375" s="1208"/>
      <c r="Y375" s="1208"/>
      <c r="Z375" s="1208"/>
      <c r="AA375" s="1208"/>
      <c r="AB375" s="1208"/>
      <c r="AC375" s="1208"/>
      <c r="AD375" s="1208"/>
      <c r="AE375" s="1208"/>
      <c r="AF375" s="1208"/>
      <c r="AG375" s="1208"/>
      <c r="AH375" s="1208"/>
      <c r="AI375" s="1208"/>
      <c r="AJ375" s="1208"/>
      <c r="AK375" s="1208"/>
      <c r="AL375" s="1208"/>
      <c r="AM375" s="1208"/>
      <c r="AN375" s="1208"/>
      <c r="AO375" s="1208"/>
      <c r="AP375" s="1208"/>
      <c r="AQ375" s="1208"/>
      <c r="AR375" s="1208"/>
      <c r="AS375" s="1208"/>
      <c r="AT375" s="1208"/>
      <c r="AU375" s="1208"/>
      <c r="AV375" s="1208"/>
      <c r="AW375" s="1208"/>
      <c r="AX375" s="1208"/>
      <c r="AY375" s="1208"/>
      <c r="AZ375" s="1208"/>
      <c r="BA375" s="1208"/>
      <c r="BB375" s="1208"/>
      <c r="BC375" s="1208"/>
      <c r="BD375" s="1208"/>
      <c r="BE375" s="1208"/>
      <c r="BF375" s="1208"/>
      <c r="BG375" s="1208"/>
      <c r="BH375" s="1208"/>
      <c r="BI375" s="1208"/>
      <c r="BJ375" s="1208"/>
    </row>
    <row r="376" spans="1:62" s="1209" customFormat="1">
      <c r="A376" s="1212"/>
      <c r="D376" s="1208"/>
      <c r="E376" s="1208"/>
      <c r="F376" s="1208"/>
      <c r="G376" s="1208"/>
      <c r="H376" s="1208"/>
      <c r="I376" s="1208"/>
      <c r="J376" s="1208"/>
      <c r="K376" s="1208"/>
      <c r="L376" s="1208"/>
      <c r="M376" s="1208"/>
      <c r="N376" s="1208"/>
      <c r="O376" s="1208"/>
      <c r="P376" s="1208"/>
      <c r="Q376" s="1208"/>
      <c r="R376" s="1208"/>
      <c r="S376" s="1208"/>
      <c r="T376" s="1208"/>
      <c r="U376" s="1208"/>
      <c r="V376" s="1208"/>
      <c r="W376" s="1208"/>
      <c r="X376" s="1208"/>
      <c r="Y376" s="1208"/>
      <c r="Z376" s="1208"/>
      <c r="AA376" s="1208"/>
      <c r="AB376" s="1208"/>
      <c r="AC376" s="1208"/>
      <c r="AD376" s="1208"/>
      <c r="AE376" s="1208"/>
      <c r="AF376" s="1208"/>
      <c r="AG376" s="1208"/>
      <c r="AH376" s="1208"/>
      <c r="AI376" s="1208"/>
      <c r="AJ376" s="1208"/>
      <c r="AK376" s="1208"/>
      <c r="AL376" s="1208"/>
      <c r="AM376" s="1208"/>
      <c r="AN376" s="1208"/>
      <c r="AO376" s="1208"/>
      <c r="AP376" s="1208"/>
      <c r="AQ376" s="1208"/>
      <c r="AR376" s="1208"/>
      <c r="AS376" s="1208"/>
      <c r="AT376" s="1208"/>
      <c r="AU376" s="1208"/>
      <c r="AV376" s="1208"/>
      <c r="AW376" s="1208"/>
      <c r="AX376" s="1208"/>
      <c r="AY376" s="1208"/>
      <c r="AZ376" s="1208"/>
      <c r="BA376" s="1208"/>
      <c r="BB376" s="1208"/>
      <c r="BC376" s="1208"/>
      <c r="BD376" s="1208"/>
      <c r="BE376" s="1208"/>
      <c r="BF376" s="1208"/>
      <c r="BG376" s="1208"/>
      <c r="BH376" s="1208"/>
      <c r="BI376" s="1208"/>
      <c r="BJ376" s="1208"/>
    </row>
    <row r="377" spans="1:62" s="1209" customFormat="1">
      <c r="A377" s="1212"/>
      <c r="D377" s="1208"/>
      <c r="E377" s="1208"/>
      <c r="F377" s="1208"/>
      <c r="G377" s="1208"/>
      <c r="H377" s="1208"/>
      <c r="I377" s="1208"/>
      <c r="J377" s="1208"/>
      <c r="K377" s="1208"/>
      <c r="L377" s="1208"/>
      <c r="M377" s="1208"/>
      <c r="N377" s="1208"/>
      <c r="O377" s="1208"/>
      <c r="P377" s="1208"/>
      <c r="Q377" s="1208"/>
      <c r="R377" s="1208"/>
      <c r="S377" s="1208"/>
      <c r="T377" s="1208"/>
      <c r="U377" s="1208"/>
      <c r="V377" s="1208"/>
      <c r="W377" s="1208"/>
      <c r="X377" s="1208"/>
      <c r="Y377" s="1208"/>
      <c r="Z377" s="1208"/>
      <c r="AA377" s="1208"/>
      <c r="AB377" s="1208"/>
      <c r="AC377" s="1208"/>
      <c r="AD377" s="1208"/>
      <c r="AE377" s="1208"/>
      <c r="AF377" s="1208"/>
      <c r="AG377" s="1208"/>
      <c r="AH377" s="1208"/>
      <c r="AI377" s="1208"/>
      <c r="AJ377" s="1208"/>
      <c r="AK377" s="1208"/>
      <c r="AL377" s="1208"/>
      <c r="AM377" s="1208"/>
      <c r="AN377" s="1208"/>
      <c r="AO377" s="1208"/>
      <c r="AP377" s="1208"/>
      <c r="AQ377" s="1208"/>
      <c r="AR377" s="1208"/>
      <c r="AS377" s="1208"/>
      <c r="AT377" s="1208"/>
      <c r="AU377" s="1208"/>
      <c r="AV377" s="1208"/>
      <c r="AW377" s="1208"/>
      <c r="AX377" s="1208"/>
      <c r="AY377" s="1208"/>
      <c r="AZ377" s="1208"/>
      <c r="BA377" s="1208"/>
      <c r="BB377" s="1208"/>
      <c r="BC377" s="1208"/>
      <c r="BD377" s="1208"/>
      <c r="BE377" s="1208"/>
      <c r="BF377" s="1208"/>
      <c r="BG377" s="1208"/>
      <c r="BH377" s="1208"/>
      <c r="BI377" s="1208"/>
      <c r="BJ377" s="1208"/>
    </row>
    <row r="378" spans="1:62" s="1209" customFormat="1">
      <c r="A378" s="1212"/>
      <c r="D378" s="1208"/>
      <c r="E378" s="1208"/>
      <c r="F378" s="1208"/>
      <c r="G378" s="1208"/>
      <c r="H378" s="1208"/>
      <c r="I378" s="1208"/>
      <c r="J378" s="1208"/>
      <c r="K378" s="1208"/>
      <c r="L378" s="1208"/>
      <c r="M378" s="1208"/>
      <c r="N378" s="1208"/>
      <c r="O378" s="1208"/>
      <c r="P378" s="1208"/>
      <c r="Q378" s="1208"/>
      <c r="R378" s="1208"/>
      <c r="S378" s="1208"/>
      <c r="T378" s="1208"/>
      <c r="U378" s="1208"/>
      <c r="V378" s="1208"/>
      <c r="W378" s="1208"/>
      <c r="X378" s="1208"/>
      <c r="Y378" s="1208"/>
      <c r="Z378" s="1208"/>
      <c r="AA378" s="1208"/>
      <c r="AB378" s="1208"/>
      <c r="AC378" s="1208"/>
      <c r="AD378" s="1208"/>
      <c r="AE378" s="1208"/>
      <c r="AF378" s="1208"/>
      <c r="AG378" s="1208"/>
      <c r="AH378" s="1208"/>
      <c r="AI378" s="1208"/>
      <c r="AJ378" s="1208"/>
      <c r="AK378" s="1208"/>
      <c r="AL378" s="1208"/>
      <c r="AM378" s="1208"/>
      <c r="AN378" s="1208"/>
      <c r="AO378" s="1208"/>
      <c r="AP378" s="1208"/>
      <c r="AQ378" s="1208"/>
      <c r="AR378" s="1208"/>
      <c r="AS378" s="1208"/>
      <c r="AT378" s="1208"/>
      <c r="AU378" s="1208"/>
      <c r="AV378" s="1208"/>
      <c r="AW378" s="1208"/>
      <c r="AX378" s="1208"/>
      <c r="AY378" s="1208"/>
      <c r="AZ378" s="1208"/>
      <c r="BA378" s="1208"/>
      <c r="BB378" s="1208"/>
      <c r="BC378" s="1208"/>
      <c r="BD378" s="1208"/>
      <c r="BE378" s="1208"/>
      <c r="BF378" s="1208"/>
      <c r="BG378" s="1208"/>
      <c r="BH378" s="1208"/>
      <c r="BI378" s="1208"/>
      <c r="BJ378" s="1208"/>
    </row>
    <row r="379" spans="1:62" s="1209" customFormat="1">
      <c r="A379" s="1212"/>
      <c r="D379" s="1208"/>
      <c r="E379" s="1208"/>
      <c r="F379" s="1208"/>
      <c r="G379" s="1208"/>
      <c r="H379" s="1208"/>
      <c r="I379" s="1208"/>
      <c r="J379" s="1208"/>
      <c r="K379" s="1208"/>
      <c r="L379" s="1208"/>
      <c r="M379" s="1208"/>
      <c r="N379" s="1208"/>
      <c r="O379" s="1208"/>
      <c r="P379" s="1208"/>
      <c r="Q379" s="1208"/>
      <c r="R379" s="1208"/>
      <c r="S379" s="1208"/>
      <c r="T379" s="1208"/>
      <c r="U379" s="1208"/>
      <c r="V379" s="1208"/>
      <c r="W379" s="1208"/>
      <c r="X379" s="1208"/>
      <c r="Y379" s="1208"/>
      <c r="Z379" s="1208"/>
      <c r="AA379" s="1208"/>
      <c r="AB379" s="1208"/>
      <c r="AC379" s="1208"/>
      <c r="AD379" s="1208"/>
      <c r="AE379" s="1208"/>
      <c r="AF379" s="1208"/>
      <c r="AG379" s="1208"/>
      <c r="AH379" s="1208"/>
      <c r="AI379" s="1208"/>
      <c r="AJ379" s="1208"/>
      <c r="AK379" s="1208"/>
      <c r="AL379" s="1208"/>
      <c r="AM379" s="1208"/>
      <c r="AN379" s="1208"/>
      <c r="AO379" s="1208"/>
      <c r="AP379" s="1208"/>
      <c r="AQ379" s="1208"/>
      <c r="AR379" s="1208"/>
      <c r="AS379" s="1208"/>
      <c r="AT379" s="1208"/>
      <c r="AU379" s="1208"/>
      <c r="AV379" s="1208"/>
      <c r="AW379" s="1208"/>
      <c r="AX379" s="1208"/>
      <c r="AY379" s="1208"/>
      <c r="AZ379" s="1208"/>
      <c r="BA379" s="1208"/>
      <c r="BB379" s="1208"/>
      <c r="BC379" s="1208"/>
      <c r="BD379" s="1208"/>
      <c r="BE379" s="1208"/>
      <c r="BF379" s="1208"/>
      <c r="BG379" s="1208"/>
      <c r="BH379" s="1208"/>
      <c r="BI379" s="1208"/>
      <c r="BJ379" s="1208"/>
    </row>
    <row r="380" spans="1:62" s="1209" customFormat="1">
      <c r="A380" s="1212"/>
      <c r="D380" s="1208"/>
      <c r="E380" s="1208"/>
      <c r="F380" s="1208"/>
      <c r="G380" s="1208"/>
      <c r="H380" s="1208"/>
      <c r="I380" s="1208"/>
      <c r="J380" s="1208"/>
      <c r="K380" s="1208"/>
      <c r="L380" s="1208"/>
      <c r="M380" s="1208"/>
      <c r="N380" s="1208"/>
      <c r="O380" s="1208"/>
      <c r="P380" s="1208"/>
      <c r="Q380" s="1208"/>
      <c r="R380" s="1208"/>
      <c r="S380" s="1208"/>
      <c r="T380" s="1208"/>
      <c r="U380" s="1208"/>
      <c r="V380" s="1208"/>
      <c r="W380" s="1208"/>
      <c r="X380" s="1208"/>
      <c r="Y380" s="1208"/>
      <c r="Z380" s="1208"/>
      <c r="AA380" s="1208"/>
      <c r="AB380" s="1208"/>
      <c r="AC380" s="1208"/>
      <c r="AD380" s="1208"/>
      <c r="AE380" s="1208"/>
      <c r="AF380" s="1208"/>
      <c r="AG380" s="1208"/>
      <c r="AH380" s="1208"/>
      <c r="AI380" s="1208"/>
      <c r="AJ380" s="1208"/>
      <c r="AK380" s="1208"/>
      <c r="AL380" s="1208"/>
      <c r="AM380" s="1208"/>
      <c r="AN380" s="1208"/>
      <c r="AO380" s="1208"/>
      <c r="AP380" s="1208"/>
      <c r="AQ380" s="1208"/>
      <c r="AR380" s="1208"/>
      <c r="AS380" s="1208"/>
      <c r="AT380" s="1208"/>
      <c r="AU380" s="1208"/>
      <c r="AV380" s="1208"/>
      <c r="AW380" s="1208"/>
      <c r="AX380" s="1208"/>
      <c r="AY380" s="1208"/>
      <c r="AZ380" s="1208"/>
      <c r="BA380" s="1208"/>
      <c r="BB380" s="1208"/>
      <c r="BC380" s="1208"/>
      <c r="BD380" s="1208"/>
      <c r="BE380" s="1208"/>
      <c r="BF380" s="1208"/>
      <c r="BG380" s="1208"/>
      <c r="BH380" s="1208"/>
      <c r="BI380" s="1208"/>
      <c r="BJ380" s="1208"/>
    </row>
    <row r="381" spans="1:62" s="1209" customFormat="1">
      <c r="A381" s="1212"/>
      <c r="D381" s="1208"/>
      <c r="E381" s="1208"/>
      <c r="F381" s="1208"/>
      <c r="G381" s="1208"/>
      <c r="H381" s="1208"/>
      <c r="I381" s="1208"/>
      <c r="J381" s="1208"/>
      <c r="K381" s="1208"/>
      <c r="L381" s="1208"/>
      <c r="M381" s="1208"/>
      <c r="N381" s="1208"/>
      <c r="O381" s="1208"/>
      <c r="P381" s="1208"/>
      <c r="Q381" s="1208"/>
      <c r="R381" s="1208"/>
      <c r="S381" s="1208"/>
      <c r="T381" s="1208"/>
      <c r="U381" s="1208"/>
      <c r="V381" s="1208"/>
      <c r="W381" s="1208"/>
      <c r="X381" s="1208"/>
      <c r="Y381" s="1208"/>
      <c r="Z381" s="1208"/>
      <c r="AA381" s="1208"/>
      <c r="AB381" s="1208"/>
      <c r="AC381" s="1208"/>
      <c r="AD381" s="1208"/>
      <c r="AE381" s="1208"/>
      <c r="AF381" s="1208"/>
      <c r="AG381" s="1208"/>
      <c r="AH381" s="1208"/>
      <c r="AI381" s="1208"/>
      <c r="AJ381" s="1208"/>
      <c r="AK381" s="1208"/>
      <c r="AL381" s="1208"/>
      <c r="AM381" s="1208"/>
      <c r="AN381" s="1208"/>
      <c r="AO381" s="1208"/>
      <c r="AP381" s="1208"/>
      <c r="AQ381" s="1208"/>
      <c r="AR381" s="1208"/>
      <c r="AS381" s="1208"/>
      <c r="AT381" s="1208"/>
      <c r="AU381" s="1208"/>
      <c r="AV381" s="1208"/>
      <c r="AW381" s="1208"/>
      <c r="AX381" s="1208"/>
      <c r="AY381" s="1208"/>
      <c r="AZ381" s="1208"/>
      <c r="BA381" s="1208"/>
      <c r="BB381" s="1208"/>
      <c r="BC381" s="1208"/>
      <c r="BD381" s="1208"/>
      <c r="BE381" s="1208"/>
      <c r="BF381" s="1208"/>
      <c r="BG381" s="1208"/>
      <c r="BH381" s="1208"/>
      <c r="BI381" s="1208"/>
      <c r="BJ381" s="1208"/>
    </row>
    <row r="382" spans="1:62" s="1209" customFormat="1">
      <c r="A382" s="1212"/>
      <c r="D382" s="1208"/>
      <c r="E382" s="1208"/>
      <c r="F382" s="1208"/>
      <c r="G382" s="1208"/>
      <c r="H382" s="1208"/>
      <c r="I382" s="1208"/>
      <c r="J382" s="1208"/>
      <c r="K382" s="1208"/>
      <c r="L382" s="1208"/>
      <c r="M382" s="1208"/>
      <c r="N382" s="1208"/>
      <c r="O382" s="1208"/>
      <c r="P382" s="1208"/>
      <c r="Q382" s="1208"/>
      <c r="R382" s="1208"/>
      <c r="S382" s="1208"/>
      <c r="T382" s="1208"/>
      <c r="U382" s="1208"/>
      <c r="V382" s="1208"/>
      <c r="W382" s="1208"/>
      <c r="X382" s="1208"/>
      <c r="Y382" s="1208"/>
      <c r="Z382" s="1208"/>
      <c r="AA382" s="1208"/>
      <c r="AB382" s="1208"/>
      <c r="AC382" s="1208"/>
      <c r="AD382" s="1208"/>
      <c r="AE382" s="1208"/>
      <c r="AF382" s="1208"/>
      <c r="AG382" s="1208"/>
      <c r="AH382" s="1208"/>
      <c r="AI382" s="1208"/>
      <c r="AJ382" s="1208"/>
      <c r="AK382" s="1208"/>
      <c r="AL382" s="1208"/>
      <c r="AM382" s="1208"/>
      <c r="AN382" s="1208"/>
      <c r="AO382" s="1208"/>
      <c r="AP382" s="1208"/>
      <c r="AQ382" s="1208"/>
      <c r="AR382" s="1208"/>
      <c r="AS382" s="1208"/>
      <c r="AT382" s="1208"/>
      <c r="AU382" s="1208"/>
      <c r="AV382" s="1208"/>
      <c r="AW382" s="1208"/>
      <c r="AX382" s="1208"/>
      <c r="AY382" s="1208"/>
      <c r="AZ382" s="1208"/>
      <c r="BA382" s="1208"/>
      <c r="BB382" s="1208"/>
      <c r="BC382" s="1208"/>
      <c r="BD382" s="1208"/>
      <c r="BE382" s="1208"/>
      <c r="BF382" s="1208"/>
      <c r="BG382" s="1208"/>
      <c r="BH382" s="1208"/>
      <c r="BI382" s="1208"/>
      <c r="BJ382" s="1208"/>
    </row>
    <row r="383" spans="1:62" s="1209" customFormat="1">
      <c r="A383" s="1212"/>
      <c r="D383" s="1208"/>
      <c r="E383" s="1208"/>
      <c r="F383" s="1208"/>
      <c r="G383" s="1208"/>
      <c r="H383" s="1208"/>
      <c r="I383" s="1208"/>
      <c r="J383" s="1208"/>
      <c r="K383" s="1208"/>
      <c r="L383" s="1208"/>
      <c r="M383" s="1208"/>
      <c r="N383" s="1208"/>
      <c r="O383" s="1208"/>
      <c r="P383" s="1208"/>
      <c r="Q383" s="1208"/>
      <c r="R383" s="1208"/>
      <c r="S383" s="1208"/>
      <c r="T383" s="1208"/>
      <c r="U383" s="1208"/>
      <c r="V383" s="1208"/>
      <c r="W383" s="1208"/>
      <c r="X383" s="1208"/>
      <c r="Y383" s="1208"/>
      <c r="Z383" s="1208"/>
      <c r="AA383" s="1208"/>
      <c r="AB383" s="1208"/>
      <c r="AC383" s="1208"/>
      <c r="AD383" s="1208"/>
      <c r="AE383" s="1208"/>
      <c r="AF383" s="1208"/>
      <c r="AG383" s="1208"/>
      <c r="AH383" s="1208"/>
      <c r="AI383" s="1208"/>
      <c r="AJ383" s="1208"/>
      <c r="AK383" s="1208"/>
      <c r="AL383" s="1208"/>
      <c r="AM383" s="1208"/>
      <c r="AN383" s="1208"/>
      <c r="AO383" s="1208"/>
      <c r="AP383" s="1208"/>
      <c r="AQ383" s="1208"/>
      <c r="AR383" s="1208"/>
      <c r="AS383" s="1208"/>
      <c r="AT383" s="1208"/>
      <c r="AU383" s="1208"/>
      <c r="AV383" s="1208"/>
      <c r="AW383" s="1208"/>
      <c r="AX383" s="1208"/>
      <c r="AY383" s="1208"/>
      <c r="AZ383" s="1208"/>
      <c r="BA383" s="1208"/>
      <c r="BB383" s="1208"/>
      <c r="BC383" s="1208"/>
      <c r="BD383" s="1208"/>
      <c r="BE383" s="1208"/>
      <c r="BF383" s="1208"/>
      <c r="BG383" s="1208"/>
      <c r="BH383" s="1208"/>
      <c r="BI383" s="1208"/>
      <c r="BJ383" s="1208"/>
    </row>
    <row r="384" spans="1:62" s="1209" customFormat="1">
      <c r="A384" s="1212"/>
      <c r="D384" s="1208"/>
      <c r="E384" s="1208"/>
      <c r="F384" s="1208"/>
      <c r="G384" s="1208"/>
      <c r="H384" s="1208"/>
      <c r="I384" s="1208"/>
      <c r="J384" s="1208"/>
      <c r="K384" s="1208"/>
      <c r="L384" s="1208"/>
      <c r="M384" s="1208"/>
      <c r="N384" s="1208"/>
      <c r="O384" s="1208"/>
      <c r="P384" s="1208"/>
      <c r="Q384" s="1208"/>
      <c r="R384" s="1208"/>
      <c r="S384" s="1208"/>
      <c r="T384" s="1208"/>
      <c r="U384" s="1208"/>
      <c r="V384" s="1208"/>
      <c r="W384" s="1208"/>
      <c r="X384" s="1208"/>
      <c r="Y384" s="1208"/>
      <c r="Z384" s="1208"/>
      <c r="AA384" s="1208"/>
      <c r="AB384" s="1208"/>
      <c r="AC384" s="1208"/>
      <c r="AD384" s="1208"/>
      <c r="AE384" s="1208"/>
      <c r="AF384" s="1208"/>
      <c r="AG384" s="1208"/>
      <c r="AH384" s="1208"/>
      <c r="AI384" s="1208"/>
      <c r="AJ384" s="1208"/>
      <c r="AK384" s="1208"/>
      <c r="AL384" s="1208"/>
      <c r="AM384" s="1208"/>
      <c r="AN384" s="1208"/>
      <c r="AO384" s="1208"/>
      <c r="AP384" s="1208"/>
      <c r="AQ384" s="1208"/>
      <c r="AR384" s="1208"/>
      <c r="AS384" s="1208"/>
      <c r="AT384" s="1208"/>
      <c r="AU384" s="1208"/>
      <c r="AV384" s="1208"/>
      <c r="AW384" s="1208"/>
      <c r="AX384" s="1208"/>
      <c r="AY384" s="1208"/>
      <c r="AZ384" s="1208"/>
      <c r="BA384" s="1208"/>
      <c r="BB384" s="1208"/>
      <c r="BC384" s="1208"/>
      <c r="BD384" s="1208"/>
      <c r="BE384" s="1208"/>
      <c r="BF384" s="1208"/>
      <c r="BG384" s="1208"/>
      <c r="BH384" s="1208"/>
      <c r="BI384" s="1208"/>
      <c r="BJ384" s="1208"/>
    </row>
    <row r="385" spans="1:62" s="1209" customFormat="1">
      <c r="A385" s="1212"/>
      <c r="D385" s="1208"/>
      <c r="E385" s="1208"/>
      <c r="F385" s="1208"/>
      <c r="G385" s="1208"/>
      <c r="H385" s="1208"/>
      <c r="I385" s="1208"/>
      <c r="J385" s="1208"/>
      <c r="K385" s="1208"/>
      <c r="L385" s="1208"/>
      <c r="M385" s="1208"/>
      <c r="N385" s="1208"/>
      <c r="O385" s="1208"/>
      <c r="P385" s="1208"/>
      <c r="Q385" s="1208"/>
      <c r="R385" s="1208"/>
      <c r="S385" s="1208"/>
      <c r="T385" s="1208"/>
      <c r="U385" s="1208"/>
      <c r="V385" s="1208"/>
      <c r="W385" s="1208"/>
      <c r="X385" s="1208"/>
      <c r="Y385" s="1208"/>
      <c r="Z385" s="1208"/>
      <c r="AA385" s="1208"/>
      <c r="AB385" s="1208"/>
      <c r="AC385" s="1208"/>
      <c r="AD385" s="1208"/>
      <c r="AE385" s="1208"/>
      <c r="AF385" s="1208"/>
      <c r="AG385" s="1208"/>
      <c r="AH385" s="1208"/>
      <c r="AI385" s="1208"/>
      <c r="AJ385" s="1208"/>
      <c r="AK385" s="1208"/>
      <c r="AL385" s="1208"/>
      <c r="AM385" s="1208"/>
      <c r="AN385" s="1208"/>
      <c r="AO385" s="1208"/>
      <c r="AP385" s="1208"/>
      <c r="AQ385" s="1208"/>
      <c r="AR385" s="1208"/>
      <c r="AS385" s="1208"/>
      <c r="AT385" s="1208"/>
      <c r="AU385" s="1208"/>
      <c r="AV385" s="1208"/>
      <c r="AW385" s="1208"/>
      <c r="AX385" s="1208"/>
      <c r="AY385" s="1208"/>
      <c r="AZ385" s="1208"/>
      <c r="BA385" s="1208"/>
      <c r="BB385" s="1208"/>
      <c r="BC385" s="1208"/>
      <c r="BD385" s="1208"/>
      <c r="BE385" s="1208"/>
      <c r="BF385" s="1208"/>
      <c r="BG385" s="1208"/>
      <c r="BH385" s="1208"/>
      <c r="BI385" s="1208"/>
      <c r="BJ385" s="1208"/>
    </row>
    <row r="386" spans="1:62" s="1209" customFormat="1">
      <c r="A386" s="1212"/>
      <c r="D386" s="1208"/>
      <c r="E386" s="1208"/>
      <c r="F386" s="1208"/>
      <c r="G386" s="1208"/>
      <c r="H386" s="1208"/>
      <c r="I386" s="1208"/>
      <c r="J386" s="1208"/>
      <c r="K386" s="1208"/>
      <c r="L386" s="1208"/>
      <c r="M386" s="1208"/>
      <c r="N386" s="1208"/>
      <c r="O386" s="1208"/>
      <c r="P386" s="1208"/>
      <c r="Q386" s="1208"/>
      <c r="R386" s="1208"/>
      <c r="S386" s="1208"/>
      <c r="T386" s="1208"/>
      <c r="U386" s="1208"/>
      <c r="V386" s="1208"/>
      <c r="W386" s="1208"/>
      <c r="X386" s="1208"/>
      <c r="Y386" s="1208"/>
      <c r="Z386" s="1208"/>
      <c r="AA386" s="1208"/>
      <c r="AB386" s="1208"/>
      <c r="AC386" s="1208"/>
      <c r="AD386" s="1208"/>
      <c r="AE386" s="1208"/>
      <c r="AF386" s="1208"/>
      <c r="AG386" s="1208"/>
      <c r="AH386" s="1208"/>
      <c r="AI386" s="1208"/>
      <c r="AJ386" s="1208"/>
      <c r="AK386" s="1208"/>
      <c r="AL386" s="1208"/>
      <c r="AM386" s="1208"/>
      <c r="AN386" s="1208"/>
      <c r="AO386" s="1208"/>
      <c r="AP386" s="1208"/>
      <c r="AQ386" s="1208"/>
      <c r="AR386" s="1208"/>
      <c r="AS386" s="1208"/>
      <c r="AT386" s="1208"/>
      <c r="AU386" s="1208"/>
      <c r="AV386" s="1208"/>
      <c r="AW386" s="1208"/>
      <c r="AX386" s="1208"/>
      <c r="AY386" s="1208"/>
      <c r="AZ386" s="1208"/>
      <c r="BA386" s="1208"/>
      <c r="BB386" s="1208"/>
      <c r="BC386" s="1208"/>
      <c r="BD386" s="1208"/>
      <c r="BE386" s="1208"/>
      <c r="BF386" s="1208"/>
      <c r="BG386" s="1208"/>
      <c r="BH386" s="1208"/>
      <c r="BI386" s="1208"/>
      <c r="BJ386" s="1208"/>
    </row>
    <row r="387" spans="1:62" s="1209" customFormat="1">
      <c r="A387" s="1212"/>
      <c r="D387" s="1208"/>
      <c r="E387" s="1208"/>
      <c r="F387" s="1208"/>
      <c r="G387" s="1208"/>
      <c r="H387" s="1208"/>
      <c r="I387" s="1208"/>
      <c r="J387" s="1208"/>
      <c r="K387" s="1208"/>
      <c r="L387" s="1208"/>
      <c r="M387" s="1208"/>
      <c r="N387" s="1208"/>
      <c r="O387" s="1208"/>
      <c r="P387" s="1208"/>
      <c r="Q387" s="1208"/>
      <c r="R387" s="1208"/>
      <c r="S387" s="1208"/>
      <c r="T387" s="1208"/>
      <c r="U387" s="1208"/>
      <c r="V387" s="1208"/>
      <c r="W387" s="1208"/>
      <c r="X387" s="1208"/>
      <c r="Y387" s="1208"/>
      <c r="Z387" s="1208"/>
      <c r="AA387" s="1208"/>
      <c r="AB387" s="1208"/>
      <c r="AC387" s="1208"/>
      <c r="AD387" s="1208"/>
      <c r="AE387" s="1208"/>
      <c r="AF387" s="1208"/>
      <c r="AG387" s="1208"/>
      <c r="AH387" s="1208"/>
      <c r="AI387" s="1208"/>
      <c r="AJ387" s="1208"/>
      <c r="AK387" s="1208"/>
      <c r="AL387" s="1208"/>
      <c r="AM387" s="1208"/>
      <c r="AN387" s="1208"/>
      <c r="AO387" s="1208"/>
      <c r="AP387" s="1208"/>
      <c r="AQ387" s="1208"/>
      <c r="AR387" s="1208"/>
      <c r="AS387" s="1208"/>
      <c r="AT387" s="1208"/>
      <c r="AU387" s="1208"/>
      <c r="AV387" s="1208"/>
      <c r="AW387" s="1208"/>
      <c r="AX387" s="1208"/>
      <c r="AY387" s="1208"/>
      <c r="AZ387" s="1208"/>
      <c r="BA387" s="1208"/>
      <c r="BB387" s="1208"/>
      <c r="BC387" s="1208"/>
      <c r="BD387" s="1208"/>
      <c r="BE387" s="1208"/>
      <c r="BF387" s="1208"/>
      <c r="BG387" s="1208"/>
      <c r="BH387" s="1208"/>
      <c r="BI387" s="1208"/>
      <c r="BJ387" s="1208"/>
    </row>
    <row r="388" spans="1:62" s="1209" customFormat="1">
      <c r="A388" s="1212"/>
      <c r="D388" s="1208"/>
      <c r="E388" s="1208"/>
      <c r="F388" s="1208"/>
      <c r="G388" s="1208"/>
      <c r="H388" s="1208"/>
      <c r="I388" s="1208"/>
      <c r="J388" s="1208"/>
      <c r="K388" s="1208"/>
      <c r="L388" s="1208"/>
      <c r="M388" s="1208"/>
      <c r="N388" s="1208"/>
      <c r="O388" s="1208"/>
      <c r="P388" s="1208"/>
      <c r="Q388" s="1208"/>
      <c r="R388" s="1208"/>
      <c r="S388" s="1208"/>
      <c r="T388" s="1208"/>
      <c r="U388" s="1208"/>
      <c r="V388" s="1208"/>
      <c r="W388" s="1208"/>
      <c r="X388" s="1208"/>
      <c r="Y388" s="1208"/>
      <c r="Z388" s="1208"/>
      <c r="AA388" s="1208"/>
      <c r="AB388" s="1208"/>
      <c r="AC388" s="1208"/>
      <c r="AD388" s="1208"/>
      <c r="AE388" s="1208"/>
      <c r="AF388" s="1208"/>
      <c r="AG388" s="1208"/>
      <c r="AH388" s="1208"/>
      <c r="AI388" s="1208"/>
      <c r="AJ388" s="1208"/>
      <c r="AK388" s="1208"/>
      <c r="AL388" s="1208"/>
      <c r="AM388" s="1208"/>
      <c r="AN388" s="1208"/>
      <c r="AO388" s="1208"/>
      <c r="AP388" s="1208"/>
      <c r="AQ388" s="1208"/>
      <c r="AR388" s="1208"/>
      <c r="AS388" s="1208"/>
      <c r="AT388" s="1208"/>
      <c r="AU388" s="1208"/>
      <c r="AV388" s="1208"/>
      <c r="AW388" s="1208"/>
      <c r="AX388" s="1208"/>
      <c r="AY388" s="1208"/>
      <c r="AZ388" s="1208"/>
      <c r="BA388" s="1208"/>
      <c r="BB388" s="1208"/>
      <c r="BC388" s="1208"/>
      <c r="BD388" s="1208"/>
      <c r="BE388" s="1208"/>
      <c r="BF388" s="1208"/>
      <c r="BG388" s="1208"/>
      <c r="BH388" s="1208"/>
      <c r="BI388" s="1208"/>
      <c r="BJ388" s="1208"/>
    </row>
    <row r="389" spans="1:62" s="1209" customFormat="1">
      <c r="A389" s="1212"/>
      <c r="D389" s="1208"/>
      <c r="E389" s="1208"/>
      <c r="F389" s="1208"/>
      <c r="G389" s="1208"/>
      <c r="H389" s="1208"/>
      <c r="I389" s="1208"/>
      <c r="J389" s="1208"/>
      <c r="K389" s="1208"/>
      <c r="L389" s="1208"/>
      <c r="M389" s="1208"/>
      <c r="N389" s="1208"/>
      <c r="O389" s="1208"/>
      <c r="P389" s="1208"/>
      <c r="Q389" s="1208"/>
      <c r="R389" s="1208"/>
      <c r="S389" s="1208"/>
      <c r="T389" s="1208"/>
      <c r="U389" s="1208"/>
      <c r="V389" s="1208"/>
      <c r="W389" s="1208"/>
      <c r="X389" s="1208"/>
      <c r="Y389" s="1208"/>
      <c r="Z389" s="1208"/>
      <c r="AA389" s="1208"/>
      <c r="AB389" s="1208"/>
      <c r="AC389" s="1208"/>
      <c r="AD389" s="1208"/>
      <c r="AE389" s="1208"/>
      <c r="AF389" s="1208"/>
      <c r="AG389" s="1208"/>
      <c r="AH389" s="1208"/>
      <c r="AI389" s="1208"/>
      <c r="AJ389" s="1208"/>
      <c r="AK389" s="1208"/>
      <c r="AL389" s="1208"/>
      <c r="AM389" s="1208"/>
      <c r="AN389" s="1208"/>
      <c r="AO389" s="1208"/>
      <c r="AP389" s="1208"/>
      <c r="AQ389" s="1208"/>
      <c r="AR389" s="1208"/>
      <c r="AS389" s="1208"/>
      <c r="AT389" s="1208"/>
      <c r="AU389" s="1208"/>
      <c r="AV389" s="1208"/>
      <c r="AW389" s="1208"/>
      <c r="AX389" s="1208"/>
      <c r="AY389" s="1208"/>
      <c r="AZ389" s="1208"/>
      <c r="BA389" s="1208"/>
      <c r="BB389" s="1208"/>
      <c r="BC389" s="1208"/>
      <c r="BD389" s="1208"/>
      <c r="BE389" s="1208"/>
      <c r="BF389" s="1208"/>
      <c r="BG389" s="1208"/>
      <c r="BH389" s="1208"/>
      <c r="BI389" s="1208"/>
      <c r="BJ389" s="1208"/>
    </row>
    <row r="390" spans="1:62" s="1209" customFormat="1">
      <c r="A390" s="1212"/>
      <c r="D390" s="1208"/>
      <c r="E390" s="1208"/>
      <c r="F390" s="1208"/>
      <c r="G390" s="1208"/>
      <c r="H390" s="1208"/>
      <c r="I390" s="1208"/>
      <c r="J390" s="1208"/>
      <c r="K390" s="1208"/>
      <c r="L390" s="1208"/>
      <c r="M390" s="1208"/>
      <c r="N390" s="1208"/>
      <c r="O390" s="1208"/>
      <c r="P390" s="1208"/>
      <c r="Q390" s="1208"/>
      <c r="R390" s="1208"/>
      <c r="S390" s="1208"/>
      <c r="T390" s="1208"/>
      <c r="U390" s="1208"/>
      <c r="V390" s="1208"/>
      <c r="W390" s="1208"/>
      <c r="X390" s="1208"/>
      <c r="Y390" s="1208"/>
      <c r="Z390" s="1208"/>
      <c r="AA390" s="1208"/>
      <c r="AB390" s="1208"/>
      <c r="AC390" s="1208"/>
      <c r="AD390" s="1208"/>
      <c r="AE390" s="1208"/>
      <c r="AF390" s="1208"/>
      <c r="AG390" s="1208"/>
      <c r="AH390" s="1208"/>
      <c r="AI390" s="1208"/>
      <c r="AJ390" s="1208"/>
      <c r="AK390" s="1208"/>
      <c r="AL390" s="1208"/>
      <c r="AM390" s="1208"/>
      <c r="AN390" s="1208"/>
      <c r="AO390" s="1208"/>
      <c r="AP390" s="1208"/>
      <c r="AQ390" s="1208"/>
      <c r="AR390" s="1208"/>
      <c r="AS390" s="1208"/>
      <c r="AT390" s="1208"/>
      <c r="AU390" s="1208"/>
      <c r="AV390" s="1208"/>
      <c r="AW390" s="1208"/>
      <c r="AX390" s="1208"/>
      <c r="AY390" s="1208"/>
      <c r="AZ390" s="1208"/>
      <c r="BA390" s="1208"/>
      <c r="BB390" s="1208"/>
      <c r="BC390" s="1208"/>
      <c r="BD390" s="1208"/>
      <c r="BE390" s="1208"/>
      <c r="BF390" s="1208"/>
      <c r="BG390" s="1208"/>
      <c r="BH390" s="1208"/>
      <c r="BI390" s="1208"/>
      <c r="BJ390" s="1208"/>
    </row>
    <row r="391" spans="1:62" s="1209" customFormat="1">
      <c r="A391" s="1212"/>
      <c r="D391" s="1208"/>
      <c r="E391" s="1208"/>
      <c r="F391" s="1208"/>
      <c r="G391" s="1208"/>
      <c r="H391" s="1208"/>
      <c r="I391" s="1208"/>
      <c r="J391" s="1208"/>
      <c r="K391" s="1208"/>
      <c r="L391" s="1208"/>
      <c r="M391" s="1208"/>
      <c r="N391" s="1208"/>
      <c r="O391" s="1208"/>
      <c r="P391" s="1208"/>
      <c r="Q391" s="1208"/>
      <c r="R391" s="1208"/>
      <c r="S391" s="1208"/>
      <c r="T391" s="1208"/>
      <c r="U391" s="1208"/>
      <c r="V391" s="1208"/>
      <c r="W391" s="1208"/>
      <c r="X391" s="1208"/>
      <c r="Y391" s="1208"/>
      <c r="Z391" s="1208"/>
      <c r="AA391" s="1208"/>
      <c r="AB391" s="1208"/>
      <c r="AC391" s="1208"/>
      <c r="AD391" s="1208"/>
      <c r="AE391" s="1208"/>
      <c r="AF391" s="1208"/>
      <c r="AG391" s="1208"/>
      <c r="AH391" s="1208"/>
      <c r="AI391" s="1208"/>
      <c r="AJ391" s="1208"/>
      <c r="AK391" s="1208"/>
      <c r="AL391" s="1208"/>
      <c r="AM391" s="1208"/>
      <c r="AN391" s="1208"/>
      <c r="AO391" s="1208"/>
      <c r="AP391" s="1208"/>
      <c r="AQ391" s="1208"/>
      <c r="AR391" s="1208"/>
      <c r="AS391" s="1208"/>
      <c r="AT391" s="1208"/>
      <c r="AU391" s="1208"/>
      <c r="AV391" s="1208"/>
      <c r="AW391" s="1208"/>
      <c r="AX391" s="1208"/>
      <c r="AY391" s="1208"/>
      <c r="AZ391" s="1208"/>
      <c r="BA391" s="1208"/>
      <c r="BB391" s="1208"/>
      <c r="BC391" s="1208"/>
      <c r="BD391" s="1208"/>
      <c r="BE391" s="1208"/>
      <c r="BF391" s="1208"/>
      <c r="BG391" s="1208"/>
      <c r="BH391" s="1208"/>
      <c r="BI391" s="1208"/>
      <c r="BJ391" s="1208"/>
    </row>
    <row r="392" spans="1:62" s="1209" customFormat="1">
      <c r="A392" s="1212"/>
      <c r="D392" s="1208"/>
      <c r="E392" s="1208"/>
      <c r="F392" s="1208"/>
      <c r="G392" s="1208"/>
      <c r="H392" s="1208"/>
      <c r="I392" s="1208"/>
      <c r="J392" s="1208"/>
      <c r="K392" s="1208"/>
      <c r="L392" s="1208"/>
      <c r="M392" s="1208"/>
      <c r="N392" s="1208"/>
      <c r="O392" s="1208"/>
      <c r="P392" s="1208"/>
      <c r="Q392" s="1208"/>
      <c r="R392" s="1208"/>
      <c r="S392" s="1208"/>
      <c r="T392" s="1208"/>
      <c r="U392" s="1208"/>
      <c r="V392" s="1208"/>
      <c r="W392" s="1208"/>
      <c r="X392" s="1208"/>
      <c r="Y392" s="1208"/>
      <c r="Z392" s="1208"/>
      <c r="AA392" s="1208"/>
      <c r="AB392" s="1208"/>
      <c r="AC392" s="1208"/>
      <c r="AD392" s="1208"/>
      <c r="AE392" s="1208"/>
      <c r="AF392" s="1208"/>
      <c r="AG392" s="1208"/>
      <c r="AH392" s="1208"/>
      <c r="AI392" s="1208"/>
      <c r="AJ392" s="1208"/>
      <c r="AK392" s="1208"/>
      <c r="AL392" s="1208"/>
      <c r="AM392" s="1208"/>
      <c r="AN392" s="1208"/>
      <c r="AO392" s="1208"/>
      <c r="AP392" s="1208"/>
      <c r="AQ392" s="1208"/>
      <c r="AR392" s="1208"/>
      <c r="AS392" s="1208"/>
      <c r="AT392" s="1208"/>
      <c r="AU392" s="1208"/>
      <c r="AV392" s="1208"/>
      <c r="AW392" s="1208"/>
      <c r="AX392" s="1208"/>
      <c r="AY392" s="1208"/>
      <c r="AZ392" s="1208"/>
      <c r="BA392" s="1208"/>
      <c r="BB392" s="1208"/>
      <c r="BC392" s="1208"/>
      <c r="BD392" s="1208"/>
      <c r="BE392" s="1208"/>
      <c r="BF392" s="1208"/>
      <c r="BG392" s="1208"/>
      <c r="BH392" s="1208"/>
      <c r="BI392" s="1208"/>
      <c r="BJ392" s="1208"/>
    </row>
    <row r="393" spans="1:62" s="1209" customFormat="1">
      <c r="A393" s="1212"/>
      <c r="D393" s="1208"/>
      <c r="E393" s="1208"/>
      <c r="F393" s="1208"/>
      <c r="G393" s="1208"/>
      <c r="H393" s="1208"/>
      <c r="I393" s="1208"/>
      <c r="J393" s="1208"/>
      <c r="K393" s="1208"/>
      <c r="L393" s="1208"/>
      <c r="M393" s="1208"/>
      <c r="N393" s="1208"/>
      <c r="O393" s="1208"/>
      <c r="P393" s="1208"/>
      <c r="Q393" s="1208"/>
      <c r="R393" s="1208"/>
      <c r="S393" s="1208"/>
      <c r="T393" s="1208"/>
      <c r="U393" s="1208"/>
      <c r="V393" s="1208"/>
      <c r="W393" s="1208"/>
      <c r="X393" s="1208"/>
      <c r="Y393" s="1208"/>
      <c r="Z393" s="1208"/>
      <c r="AA393" s="1208"/>
      <c r="AB393" s="1208"/>
      <c r="AC393" s="1208"/>
      <c r="AD393" s="1208"/>
      <c r="AE393" s="1208"/>
      <c r="AF393" s="1208"/>
      <c r="AG393" s="1208"/>
      <c r="AH393" s="1208"/>
      <c r="AI393" s="1208"/>
      <c r="AJ393" s="1208"/>
      <c r="AK393" s="1208"/>
      <c r="AL393" s="1208"/>
      <c r="AM393" s="1208"/>
      <c r="AN393" s="1208"/>
      <c r="AO393" s="1208"/>
      <c r="AP393" s="1208"/>
      <c r="AQ393" s="1208"/>
      <c r="AR393" s="1208"/>
      <c r="AS393" s="1208"/>
      <c r="AT393" s="1208"/>
      <c r="AU393" s="1208"/>
      <c r="AV393" s="1208"/>
      <c r="AW393" s="1208"/>
      <c r="AX393" s="1208"/>
      <c r="AY393" s="1208"/>
      <c r="AZ393" s="1208"/>
      <c r="BA393" s="1208"/>
      <c r="BB393" s="1208"/>
      <c r="BC393" s="1208"/>
      <c r="BD393" s="1208"/>
      <c r="BE393" s="1208"/>
      <c r="BF393" s="1208"/>
      <c r="BG393" s="1208"/>
      <c r="BH393" s="1208"/>
      <c r="BI393" s="1208"/>
      <c r="BJ393" s="1208"/>
    </row>
    <row r="394" spans="1:62" s="1209" customFormat="1">
      <c r="A394" s="1212"/>
      <c r="D394" s="1208"/>
      <c r="E394" s="1208"/>
      <c r="F394" s="1208"/>
      <c r="G394" s="1208"/>
      <c r="H394" s="1208"/>
      <c r="I394" s="1208"/>
      <c r="J394" s="1208"/>
      <c r="K394" s="1208"/>
      <c r="L394" s="1208"/>
      <c r="M394" s="1208"/>
      <c r="N394" s="1208"/>
      <c r="O394" s="1208"/>
      <c r="P394" s="1208"/>
      <c r="Q394" s="1208"/>
      <c r="R394" s="1208"/>
      <c r="S394" s="1208"/>
      <c r="T394" s="1208"/>
      <c r="U394" s="1208"/>
      <c r="V394" s="1208"/>
      <c r="W394" s="1208"/>
      <c r="X394" s="1208"/>
      <c r="Y394" s="1208"/>
      <c r="Z394" s="1208"/>
      <c r="AA394" s="1208"/>
      <c r="AB394" s="1208"/>
      <c r="AC394" s="1208"/>
      <c r="AD394" s="1208"/>
      <c r="AE394" s="1208"/>
      <c r="AF394" s="1208"/>
      <c r="AG394" s="1208"/>
      <c r="AH394" s="1208"/>
      <c r="AI394" s="1208"/>
      <c r="AJ394" s="1208"/>
      <c r="AK394" s="1208"/>
      <c r="AL394" s="1208"/>
      <c r="AM394" s="1208"/>
      <c r="AN394" s="1208"/>
      <c r="AO394" s="1208"/>
      <c r="AP394" s="1208"/>
      <c r="AQ394" s="1208"/>
      <c r="AR394" s="1208"/>
      <c r="AS394" s="1208"/>
      <c r="AT394" s="1208"/>
      <c r="AU394" s="1208"/>
      <c r="AV394" s="1208"/>
      <c r="AW394" s="1208"/>
      <c r="AX394" s="1208"/>
      <c r="AY394" s="1208"/>
      <c r="AZ394" s="1208"/>
      <c r="BA394" s="1208"/>
      <c r="BB394" s="1208"/>
      <c r="BC394" s="1208"/>
      <c r="BD394" s="1208"/>
      <c r="BE394" s="1208"/>
      <c r="BF394" s="1208"/>
      <c r="BG394" s="1208"/>
      <c r="BH394" s="1208"/>
      <c r="BI394" s="1208"/>
      <c r="BJ394" s="1208"/>
    </row>
    <row r="395" spans="1:62" s="1209" customFormat="1">
      <c r="A395" s="1212"/>
      <c r="D395" s="1208"/>
      <c r="E395" s="1208"/>
      <c r="F395" s="1208"/>
      <c r="G395" s="1208"/>
      <c r="H395" s="1208"/>
      <c r="I395" s="1208"/>
      <c r="J395" s="1208"/>
      <c r="K395" s="1208"/>
      <c r="L395" s="1208"/>
      <c r="M395" s="1208"/>
      <c r="N395" s="1208"/>
      <c r="O395" s="1208"/>
      <c r="P395" s="1208"/>
      <c r="Q395" s="1208"/>
      <c r="R395" s="1208"/>
      <c r="S395" s="1208"/>
      <c r="T395" s="1208"/>
      <c r="U395" s="1208"/>
      <c r="V395" s="1208"/>
      <c r="W395" s="1208"/>
      <c r="X395" s="1208"/>
      <c r="Y395" s="1208"/>
      <c r="Z395" s="1208"/>
      <c r="AA395" s="1208"/>
      <c r="AB395" s="1208"/>
      <c r="AC395" s="1208"/>
      <c r="AD395" s="1208"/>
      <c r="AE395" s="1208"/>
      <c r="AF395" s="1208"/>
      <c r="AG395" s="1208"/>
      <c r="AH395" s="1208"/>
      <c r="AI395" s="1208"/>
      <c r="AJ395" s="1208"/>
      <c r="AK395" s="1208"/>
      <c r="AL395" s="1208"/>
      <c r="AM395" s="1208"/>
      <c r="AN395" s="1208"/>
      <c r="AO395" s="1208"/>
      <c r="AP395" s="1208"/>
      <c r="AQ395" s="1208"/>
      <c r="AR395" s="1208"/>
      <c r="AS395" s="1208"/>
      <c r="AT395" s="1208"/>
      <c r="AU395" s="1208"/>
      <c r="AV395" s="1208"/>
      <c r="AW395" s="1208"/>
      <c r="AX395" s="1208"/>
      <c r="AY395" s="1208"/>
      <c r="AZ395" s="1208"/>
      <c r="BA395" s="1208"/>
      <c r="BB395" s="1208"/>
      <c r="BC395" s="1208"/>
      <c r="BD395" s="1208"/>
      <c r="BE395" s="1208"/>
      <c r="BF395" s="1208"/>
      <c r="BG395" s="1208"/>
      <c r="BH395" s="1208"/>
      <c r="BI395" s="1208"/>
      <c r="BJ395" s="1208"/>
    </row>
    <row r="396" spans="1:62" s="1209" customFormat="1">
      <c r="A396" s="1212"/>
      <c r="D396" s="1208"/>
      <c r="E396" s="1208"/>
      <c r="F396" s="1208"/>
      <c r="G396" s="1208"/>
      <c r="H396" s="1208"/>
      <c r="I396" s="1208"/>
      <c r="J396" s="1208"/>
      <c r="K396" s="1208"/>
      <c r="L396" s="1208"/>
      <c r="M396" s="1208"/>
      <c r="N396" s="1208"/>
      <c r="O396" s="1208"/>
      <c r="P396" s="1208"/>
      <c r="Q396" s="1208"/>
      <c r="R396" s="1208"/>
      <c r="S396" s="1208"/>
      <c r="T396" s="1208"/>
      <c r="U396" s="1208"/>
      <c r="V396" s="1208"/>
      <c r="W396" s="1208"/>
      <c r="X396" s="1208"/>
      <c r="Y396" s="1208"/>
      <c r="Z396" s="1208"/>
      <c r="AA396" s="1208"/>
      <c r="AB396" s="1208"/>
      <c r="AC396" s="1208"/>
      <c r="AD396" s="1208"/>
      <c r="AE396" s="1208"/>
      <c r="AF396" s="1208"/>
      <c r="AG396" s="1208"/>
      <c r="AH396" s="1208"/>
      <c r="AI396" s="1208"/>
      <c r="AJ396" s="1208"/>
      <c r="AK396" s="1208"/>
      <c r="AL396" s="1208"/>
      <c r="AM396" s="1208"/>
      <c r="AN396" s="1208"/>
      <c r="AO396" s="1208"/>
      <c r="AP396" s="1208"/>
      <c r="AQ396" s="1208"/>
      <c r="AR396" s="1208"/>
      <c r="AS396" s="1208"/>
      <c r="AT396" s="1208"/>
      <c r="AU396" s="1208"/>
      <c r="AV396" s="1208"/>
      <c r="AW396" s="1208"/>
      <c r="AX396" s="1208"/>
      <c r="AY396" s="1208"/>
      <c r="AZ396" s="1208"/>
      <c r="BA396" s="1208"/>
      <c r="BB396" s="1208"/>
      <c r="BC396" s="1208"/>
      <c r="BD396" s="1208"/>
      <c r="BE396" s="1208"/>
      <c r="BF396" s="1208"/>
      <c r="BG396" s="1208"/>
      <c r="BH396" s="1208"/>
      <c r="BI396" s="1208"/>
      <c r="BJ396" s="1208"/>
    </row>
    <row r="397" spans="1:62" s="1209" customFormat="1">
      <c r="A397" s="1212"/>
      <c r="D397" s="1208"/>
      <c r="E397" s="1208"/>
      <c r="F397" s="1208"/>
      <c r="G397" s="1208"/>
      <c r="H397" s="1208"/>
      <c r="I397" s="1208"/>
      <c r="J397" s="1208"/>
      <c r="K397" s="1208"/>
      <c r="L397" s="1208"/>
      <c r="M397" s="1208"/>
      <c r="N397" s="1208"/>
      <c r="O397" s="1208"/>
      <c r="P397" s="1208"/>
      <c r="Q397" s="1208"/>
      <c r="R397" s="1208"/>
      <c r="S397" s="1208"/>
      <c r="T397" s="1208"/>
      <c r="U397" s="1208"/>
      <c r="V397" s="1208"/>
      <c r="W397" s="1208"/>
      <c r="X397" s="1208"/>
      <c r="Y397" s="1208"/>
      <c r="Z397" s="1208"/>
      <c r="AA397" s="1208"/>
      <c r="AB397" s="1208"/>
      <c r="AC397" s="1208"/>
      <c r="AD397" s="1208"/>
      <c r="AE397" s="1208"/>
      <c r="AF397" s="1208"/>
      <c r="AG397" s="1208"/>
      <c r="AH397" s="1208"/>
      <c r="AI397" s="1208"/>
      <c r="AJ397" s="1208"/>
      <c r="AK397" s="1208"/>
      <c r="AL397" s="1208"/>
      <c r="AM397" s="1208"/>
      <c r="AN397" s="1208"/>
      <c r="AO397" s="1208"/>
      <c r="AP397" s="1208"/>
      <c r="AQ397" s="1208"/>
      <c r="AR397" s="1208"/>
      <c r="AS397" s="1208"/>
      <c r="AT397" s="1208"/>
      <c r="AU397" s="1208"/>
      <c r="AV397" s="1208"/>
      <c r="AW397" s="1208"/>
      <c r="AX397" s="1208"/>
      <c r="AY397" s="1208"/>
      <c r="AZ397" s="1208"/>
      <c r="BA397" s="1208"/>
      <c r="BB397" s="1208"/>
      <c r="BC397" s="1208"/>
      <c r="BD397" s="1208"/>
      <c r="BE397" s="1208"/>
      <c r="BF397" s="1208"/>
      <c r="BG397" s="1208"/>
      <c r="BH397" s="1208"/>
      <c r="BI397" s="1208"/>
      <c r="BJ397" s="1208"/>
    </row>
    <row r="398" spans="1:62" s="1209" customFormat="1">
      <c r="A398" s="1212"/>
      <c r="D398" s="1208"/>
      <c r="E398" s="1208"/>
      <c r="F398" s="1208"/>
      <c r="G398" s="1208"/>
      <c r="H398" s="1208"/>
      <c r="I398" s="1208"/>
      <c r="J398" s="1208"/>
      <c r="K398" s="1208"/>
      <c r="L398" s="1208"/>
      <c r="M398" s="1208"/>
      <c r="N398" s="1208"/>
      <c r="O398" s="1208"/>
      <c r="P398" s="1208"/>
      <c r="Q398" s="1208"/>
      <c r="R398" s="1208"/>
      <c r="S398" s="1208"/>
      <c r="T398" s="1208"/>
      <c r="U398" s="1208"/>
      <c r="V398" s="1208"/>
      <c r="W398" s="1208"/>
      <c r="X398" s="1208"/>
      <c r="Y398" s="1208"/>
      <c r="Z398" s="1208"/>
      <c r="AA398" s="1208"/>
      <c r="AB398" s="1208"/>
      <c r="AC398" s="1208"/>
      <c r="AD398" s="1208"/>
      <c r="AE398" s="1208"/>
      <c r="AF398" s="1208"/>
      <c r="AG398" s="1208"/>
      <c r="AH398" s="1208"/>
      <c r="AI398" s="1208"/>
      <c r="AJ398" s="1208"/>
      <c r="AK398" s="1208"/>
      <c r="AL398" s="1208"/>
      <c r="AM398" s="1208"/>
      <c r="AN398" s="1208"/>
      <c r="AO398" s="1208"/>
      <c r="AP398" s="1208"/>
      <c r="AQ398" s="1208"/>
      <c r="AR398" s="1208"/>
      <c r="AS398" s="1208"/>
      <c r="AT398" s="1208"/>
      <c r="AU398" s="1208"/>
      <c r="AV398" s="1208"/>
      <c r="AW398" s="1208"/>
      <c r="AX398" s="1208"/>
      <c r="AY398" s="1208"/>
      <c r="AZ398" s="1208"/>
      <c r="BA398" s="1208"/>
      <c r="BB398" s="1208"/>
      <c r="BC398" s="1208"/>
      <c r="BD398" s="1208"/>
      <c r="BE398" s="1208"/>
      <c r="BF398" s="1208"/>
      <c r="BG398" s="1208"/>
      <c r="BH398" s="1208"/>
      <c r="BI398" s="1208"/>
      <c r="BJ398" s="1208"/>
    </row>
    <row r="399" spans="1:62" s="1209" customFormat="1">
      <c r="A399" s="1212"/>
      <c r="D399" s="1208"/>
      <c r="E399" s="1208"/>
      <c r="F399" s="1208"/>
      <c r="G399" s="1208"/>
      <c r="H399" s="1208"/>
      <c r="I399" s="1208"/>
      <c r="J399" s="1208"/>
      <c r="K399" s="1208"/>
      <c r="L399" s="1208"/>
      <c r="M399" s="1208"/>
      <c r="N399" s="1208"/>
      <c r="O399" s="1208"/>
      <c r="P399" s="1208"/>
      <c r="Q399" s="1208"/>
      <c r="R399" s="1208"/>
      <c r="S399" s="1208"/>
      <c r="T399" s="1208"/>
      <c r="U399" s="1208"/>
      <c r="V399" s="1208"/>
      <c r="W399" s="1208"/>
      <c r="X399" s="1208"/>
      <c r="Y399" s="1208"/>
      <c r="Z399" s="1208"/>
      <c r="AA399" s="1208"/>
      <c r="AB399" s="1208"/>
      <c r="AC399" s="1208"/>
      <c r="AD399" s="1208"/>
      <c r="AE399" s="1208"/>
      <c r="AF399" s="1208"/>
      <c r="AG399" s="1208"/>
      <c r="AH399" s="1208"/>
      <c r="AI399" s="1208"/>
      <c r="AJ399" s="1208"/>
      <c r="AK399" s="1208"/>
      <c r="AL399" s="1208"/>
      <c r="AM399" s="1208"/>
      <c r="AN399" s="1208"/>
      <c r="AO399" s="1208"/>
      <c r="AP399" s="1208"/>
      <c r="AQ399" s="1208"/>
      <c r="AR399" s="1208"/>
      <c r="AS399" s="1208"/>
      <c r="AT399" s="1208"/>
      <c r="AU399" s="1208"/>
      <c r="AV399" s="1208"/>
      <c r="AW399" s="1208"/>
      <c r="AX399" s="1208"/>
      <c r="AY399" s="1208"/>
      <c r="AZ399" s="1208"/>
      <c r="BA399" s="1208"/>
      <c r="BB399" s="1208"/>
      <c r="BC399" s="1208"/>
      <c r="BD399" s="1208"/>
      <c r="BE399" s="1208"/>
      <c r="BF399" s="1208"/>
      <c r="BG399" s="1208"/>
      <c r="BH399" s="1208"/>
      <c r="BI399" s="1208"/>
      <c r="BJ399" s="1208"/>
    </row>
    <row r="400" spans="1:62" s="1209" customFormat="1">
      <c r="A400" s="1212"/>
      <c r="D400" s="1208"/>
      <c r="E400" s="1208"/>
      <c r="F400" s="1208"/>
      <c r="G400" s="1208"/>
      <c r="H400" s="1208"/>
      <c r="I400" s="1208"/>
      <c r="J400" s="1208"/>
      <c r="K400" s="1208"/>
      <c r="L400" s="1208"/>
      <c r="M400" s="1208"/>
      <c r="N400" s="1208"/>
      <c r="O400" s="1208"/>
      <c r="P400" s="1208"/>
      <c r="Q400" s="1208"/>
      <c r="R400" s="1208"/>
      <c r="S400" s="1208"/>
      <c r="T400" s="1208"/>
      <c r="U400" s="1208"/>
      <c r="V400" s="1208"/>
      <c r="W400" s="1208"/>
      <c r="X400" s="1208"/>
      <c r="Y400" s="1208"/>
      <c r="Z400" s="1208"/>
      <c r="AA400" s="1208"/>
      <c r="AB400" s="1208"/>
      <c r="AC400" s="1208"/>
      <c r="AD400" s="1208"/>
      <c r="AE400" s="1208"/>
      <c r="AF400" s="1208"/>
      <c r="AG400" s="1208"/>
      <c r="AH400" s="1208"/>
      <c r="AI400" s="1208"/>
      <c r="AJ400" s="1208"/>
      <c r="AK400" s="1208"/>
      <c r="AL400" s="1208"/>
      <c r="AM400" s="1208"/>
      <c r="AN400" s="1208"/>
      <c r="AO400" s="1208"/>
      <c r="AP400" s="1208"/>
      <c r="AQ400" s="1208"/>
      <c r="AR400" s="1208"/>
      <c r="AS400" s="1208"/>
      <c r="AT400" s="1208"/>
      <c r="AU400" s="1208"/>
      <c r="AV400" s="1208"/>
      <c r="AW400" s="1208"/>
      <c r="AX400" s="1208"/>
      <c r="AY400" s="1208"/>
      <c r="AZ400" s="1208"/>
      <c r="BA400" s="1208"/>
      <c r="BB400" s="1208"/>
      <c r="BC400" s="1208"/>
      <c r="BD400" s="1208"/>
      <c r="BE400" s="1208"/>
      <c r="BF400" s="1208"/>
      <c r="BG400" s="1208"/>
      <c r="BH400" s="1208"/>
      <c r="BI400" s="1208"/>
      <c r="BJ400" s="1208"/>
    </row>
    <row r="401" spans="1:62" s="1209" customFormat="1">
      <c r="A401" s="1212"/>
      <c r="D401" s="1208"/>
      <c r="E401" s="1208"/>
      <c r="F401" s="1208"/>
      <c r="G401" s="1208"/>
      <c r="H401" s="1208"/>
      <c r="I401" s="1208"/>
      <c r="J401" s="1208"/>
      <c r="K401" s="1208"/>
      <c r="L401" s="1208"/>
      <c r="M401" s="1208"/>
      <c r="N401" s="1208"/>
      <c r="O401" s="1208"/>
      <c r="P401" s="1208"/>
      <c r="Q401" s="1208"/>
      <c r="R401" s="1208"/>
      <c r="S401" s="1208"/>
      <c r="T401" s="1208"/>
      <c r="U401" s="1208"/>
      <c r="V401" s="1208"/>
      <c r="W401" s="1208"/>
      <c r="X401" s="1208"/>
      <c r="Y401" s="1208"/>
      <c r="Z401" s="1208"/>
      <c r="AA401" s="1208"/>
      <c r="AB401" s="1208"/>
      <c r="AC401" s="1208"/>
      <c r="AD401" s="1208"/>
      <c r="AE401" s="1208"/>
      <c r="AF401" s="1208"/>
      <c r="AG401" s="1208"/>
      <c r="AH401" s="1208"/>
      <c r="AI401" s="1208"/>
      <c r="AJ401" s="1208"/>
      <c r="AK401" s="1208"/>
      <c r="AL401" s="1208"/>
      <c r="AM401" s="1208"/>
      <c r="AN401" s="1208"/>
      <c r="AO401" s="1208"/>
      <c r="AP401" s="1208"/>
      <c r="AQ401" s="1208"/>
      <c r="AR401" s="1208"/>
      <c r="AS401" s="1208"/>
      <c r="AT401" s="1208"/>
      <c r="AU401" s="1208"/>
      <c r="AV401" s="1208"/>
      <c r="AW401" s="1208"/>
      <c r="AX401" s="1208"/>
      <c r="AY401" s="1208"/>
      <c r="AZ401" s="1208"/>
      <c r="BA401" s="1208"/>
      <c r="BB401" s="1208"/>
      <c r="BC401" s="1208"/>
      <c r="BD401" s="1208"/>
      <c r="BE401" s="1208"/>
      <c r="BF401" s="1208"/>
      <c r="BG401" s="1208"/>
      <c r="BH401" s="1208"/>
      <c r="BI401" s="1208"/>
      <c r="BJ401" s="1208"/>
    </row>
    <row r="402" spans="1:62" s="1209" customFormat="1">
      <c r="A402" s="1212"/>
      <c r="D402" s="1208"/>
      <c r="E402" s="1208"/>
      <c r="F402" s="1208"/>
      <c r="G402" s="1208"/>
      <c r="H402" s="1208"/>
      <c r="I402" s="1208"/>
      <c r="J402" s="1208"/>
      <c r="K402" s="1208"/>
      <c r="L402" s="1208"/>
      <c r="M402" s="1208"/>
      <c r="N402" s="1208"/>
      <c r="O402" s="1208"/>
      <c r="P402" s="1208"/>
      <c r="Q402" s="1208"/>
      <c r="R402" s="1208"/>
      <c r="S402" s="1208"/>
      <c r="T402" s="1208"/>
      <c r="U402" s="1208"/>
      <c r="V402" s="1208"/>
      <c r="W402" s="1208"/>
      <c r="X402" s="1208"/>
      <c r="Y402" s="1208"/>
      <c r="Z402" s="1208"/>
      <c r="AA402" s="1208"/>
      <c r="AB402" s="1208"/>
      <c r="AC402" s="1208"/>
      <c r="AD402" s="1208"/>
      <c r="AE402" s="1208"/>
      <c r="AF402" s="1208"/>
      <c r="AG402" s="1208"/>
      <c r="AH402" s="1208"/>
      <c r="AI402" s="1208"/>
      <c r="AJ402" s="1208"/>
      <c r="AK402" s="1208"/>
      <c r="AL402" s="1208"/>
      <c r="AM402" s="1208"/>
      <c r="AN402" s="1208"/>
      <c r="AO402" s="1208"/>
      <c r="AP402" s="1208"/>
      <c r="AQ402" s="1208"/>
      <c r="AR402" s="1208"/>
      <c r="AS402" s="1208"/>
      <c r="AT402" s="1208"/>
      <c r="AU402" s="1208"/>
      <c r="AV402" s="1208"/>
      <c r="AW402" s="1208"/>
      <c r="AX402" s="1208"/>
      <c r="AY402" s="1208"/>
      <c r="AZ402" s="1208"/>
      <c r="BA402" s="1208"/>
      <c r="BB402" s="1208"/>
      <c r="BC402" s="1208"/>
      <c r="BD402" s="1208"/>
      <c r="BE402" s="1208"/>
      <c r="BF402" s="1208"/>
      <c r="BG402" s="1208"/>
      <c r="BH402" s="1208"/>
      <c r="BI402" s="1208"/>
      <c r="BJ402" s="1208"/>
    </row>
    <row r="403" spans="1:62" s="1209" customFormat="1">
      <c r="A403" s="1212"/>
      <c r="D403" s="1208"/>
      <c r="E403" s="1208"/>
      <c r="F403" s="1208"/>
      <c r="G403" s="1208"/>
      <c r="H403" s="1208"/>
      <c r="I403" s="1208"/>
      <c r="J403" s="1208"/>
      <c r="K403" s="1208"/>
      <c r="L403" s="1208"/>
      <c r="M403" s="1208"/>
      <c r="N403" s="1208"/>
      <c r="O403" s="1208"/>
      <c r="P403" s="1208"/>
      <c r="Q403" s="1208"/>
      <c r="R403" s="1208"/>
      <c r="S403" s="1208"/>
      <c r="T403" s="1208"/>
      <c r="U403" s="1208"/>
      <c r="V403" s="1208"/>
      <c r="W403" s="1208"/>
      <c r="X403" s="1208"/>
      <c r="Y403" s="1208"/>
      <c r="Z403" s="1208"/>
      <c r="AA403" s="1208"/>
      <c r="AB403" s="1208"/>
      <c r="AC403" s="1208"/>
      <c r="AD403" s="1208"/>
      <c r="AE403" s="1208"/>
      <c r="AF403" s="1208"/>
      <c r="AG403" s="1208"/>
      <c r="AH403" s="1208"/>
      <c r="AI403" s="1208"/>
      <c r="AJ403" s="1208"/>
      <c r="AK403" s="1208"/>
      <c r="AL403" s="1208"/>
      <c r="AM403" s="1208"/>
      <c r="AN403" s="1208"/>
      <c r="AO403" s="1208"/>
      <c r="AP403" s="1208"/>
      <c r="AQ403" s="1208"/>
      <c r="AR403" s="1208"/>
      <c r="AS403" s="1208"/>
      <c r="AT403" s="1208"/>
      <c r="AU403" s="1208"/>
      <c r="AV403" s="1208"/>
      <c r="AW403" s="1208"/>
      <c r="AX403" s="1208"/>
      <c r="AY403" s="1208"/>
      <c r="AZ403" s="1208"/>
      <c r="BA403" s="1208"/>
      <c r="BB403" s="1208"/>
      <c r="BC403" s="1208"/>
      <c r="BD403" s="1208"/>
      <c r="BE403" s="1208"/>
      <c r="BF403" s="1208"/>
      <c r="BG403" s="1208"/>
      <c r="BH403" s="1208"/>
      <c r="BI403" s="1208"/>
      <c r="BJ403" s="1208"/>
    </row>
    <row r="404" spans="1:62" s="1209" customFormat="1">
      <c r="A404" s="1212"/>
      <c r="D404" s="1208"/>
      <c r="E404" s="1208"/>
      <c r="F404" s="1208"/>
      <c r="G404" s="1208"/>
      <c r="H404" s="1208"/>
      <c r="I404" s="1208"/>
      <c r="J404" s="1208"/>
      <c r="K404" s="1208"/>
      <c r="L404" s="1208"/>
      <c r="M404" s="1208"/>
      <c r="N404" s="1208"/>
      <c r="O404" s="1208"/>
      <c r="P404" s="1208"/>
      <c r="Q404" s="1208"/>
      <c r="R404" s="1208"/>
      <c r="S404" s="1208"/>
      <c r="T404" s="1208"/>
      <c r="U404" s="1208"/>
      <c r="V404" s="1208"/>
      <c r="W404" s="1208"/>
      <c r="X404" s="1208"/>
      <c r="Y404" s="1208"/>
      <c r="Z404" s="1208"/>
      <c r="AA404" s="1208"/>
      <c r="AB404" s="1208"/>
      <c r="AC404" s="1208"/>
      <c r="AD404" s="1208"/>
      <c r="AE404" s="1208"/>
      <c r="AF404" s="1208"/>
      <c r="AG404" s="1208"/>
      <c r="AH404" s="1208"/>
      <c r="AI404" s="1208"/>
      <c r="AJ404" s="1208"/>
      <c r="AK404" s="1208"/>
      <c r="AL404" s="1208"/>
      <c r="AM404" s="1208"/>
      <c r="AN404" s="1208"/>
      <c r="AO404" s="1208"/>
      <c r="AP404" s="1208"/>
      <c r="AQ404" s="1208"/>
      <c r="AR404" s="1208"/>
      <c r="AS404" s="1208"/>
      <c r="AT404" s="1208"/>
      <c r="AU404" s="1208"/>
      <c r="AV404" s="1208"/>
      <c r="AW404" s="1208"/>
      <c r="AX404" s="1208"/>
      <c r="AY404" s="1208"/>
      <c r="AZ404" s="1208"/>
      <c r="BA404" s="1208"/>
      <c r="BB404" s="1208"/>
      <c r="BC404" s="1208"/>
      <c r="BD404" s="1208"/>
      <c r="BE404" s="1208"/>
      <c r="BF404" s="1208"/>
      <c r="BG404" s="1208"/>
      <c r="BH404" s="1208"/>
      <c r="BI404" s="1208"/>
      <c r="BJ404" s="1208"/>
    </row>
    <row r="405" spans="1:62" s="1209" customFormat="1">
      <c r="A405" s="1212"/>
      <c r="D405" s="1208"/>
      <c r="E405" s="1208"/>
      <c r="F405" s="1208"/>
      <c r="G405" s="1208"/>
      <c r="H405" s="1208"/>
      <c r="I405" s="1208"/>
      <c r="J405" s="1208"/>
      <c r="K405" s="1208"/>
      <c r="L405" s="1208"/>
      <c r="M405" s="1208"/>
      <c r="N405" s="1208"/>
      <c r="O405" s="1208"/>
      <c r="P405" s="1208"/>
      <c r="Q405" s="1208"/>
      <c r="R405" s="1208"/>
      <c r="S405" s="1208"/>
      <c r="T405" s="1208"/>
      <c r="U405" s="1208"/>
      <c r="V405" s="1208"/>
      <c r="W405" s="1208"/>
      <c r="X405" s="1208"/>
      <c r="Y405" s="1208"/>
      <c r="Z405" s="1208"/>
      <c r="AA405" s="1208"/>
      <c r="AB405" s="1208"/>
      <c r="AC405" s="1208"/>
      <c r="AD405" s="1208"/>
      <c r="AE405" s="1208"/>
      <c r="AF405" s="1208"/>
      <c r="AG405" s="1208"/>
      <c r="AH405" s="1208"/>
      <c r="AI405" s="1208"/>
      <c r="AJ405" s="1208"/>
      <c r="AK405" s="1208"/>
      <c r="AL405" s="1208"/>
      <c r="AM405" s="1208"/>
      <c r="AN405" s="1208"/>
      <c r="AO405" s="1208"/>
      <c r="AP405" s="1208"/>
      <c r="AQ405" s="1208"/>
      <c r="AR405" s="1208"/>
      <c r="AS405" s="1208"/>
      <c r="AT405" s="1208"/>
      <c r="AU405" s="1208"/>
      <c r="AV405" s="1208"/>
      <c r="AW405" s="1208"/>
      <c r="AX405" s="1208"/>
      <c r="AY405" s="1208"/>
      <c r="AZ405" s="1208"/>
      <c r="BA405" s="1208"/>
      <c r="BB405" s="1208"/>
      <c r="BC405" s="1208"/>
      <c r="BD405" s="1208"/>
      <c r="BE405" s="1208"/>
      <c r="BF405" s="1208"/>
      <c r="BG405" s="1208"/>
      <c r="BH405" s="1208"/>
      <c r="BI405" s="1208"/>
      <c r="BJ405" s="1208"/>
    </row>
    <row r="406" spans="1:62" s="1209" customFormat="1">
      <c r="A406" s="1212"/>
      <c r="D406" s="1208"/>
      <c r="E406" s="1208"/>
      <c r="F406" s="1208"/>
      <c r="G406" s="1208"/>
      <c r="H406" s="1208"/>
      <c r="I406" s="1208"/>
      <c r="J406" s="1208"/>
      <c r="K406" s="1208"/>
      <c r="L406" s="1208"/>
      <c r="M406" s="1208"/>
      <c r="N406" s="1208"/>
      <c r="O406" s="1208"/>
      <c r="P406" s="1208"/>
      <c r="Q406" s="1208"/>
      <c r="R406" s="1208"/>
      <c r="S406" s="1208"/>
      <c r="T406" s="1208"/>
      <c r="U406" s="1208"/>
      <c r="V406" s="1208"/>
      <c r="W406" s="1208"/>
      <c r="X406" s="1208"/>
      <c r="Y406" s="1208"/>
      <c r="Z406" s="1208"/>
      <c r="AA406" s="1208"/>
      <c r="AB406" s="1208"/>
      <c r="AC406" s="1208"/>
      <c r="AD406" s="1208"/>
      <c r="AE406" s="1208"/>
      <c r="AF406" s="1208"/>
      <c r="AG406" s="1208"/>
      <c r="AH406" s="1208"/>
      <c r="AI406" s="1208"/>
      <c r="AJ406" s="1208"/>
      <c r="AK406" s="1208"/>
      <c r="AL406" s="1208"/>
      <c r="AM406" s="1208"/>
      <c r="AN406" s="1208"/>
      <c r="AO406" s="1208"/>
      <c r="AP406" s="1208"/>
      <c r="AQ406" s="1208"/>
      <c r="AR406" s="1208"/>
      <c r="AS406" s="1208"/>
      <c r="AT406" s="1208"/>
      <c r="AU406" s="1208"/>
      <c r="AV406" s="1208"/>
      <c r="AW406" s="1208"/>
      <c r="AX406" s="1208"/>
      <c r="AY406" s="1208"/>
      <c r="AZ406" s="1208"/>
      <c r="BA406" s="1208"/>
      <c r="BB406" s="1208"/>
      <c r="BC406" s="1208"/>
      <c r="BD406" s="1208"/>
      <c r="BE406" s="1208"/>
      <c r="BF406" s="1208"/>
      <c r="BG406" s="1208"/>
      <c r="BH406" s="1208"/>
      <c r="BI406" s="1208"/>
      <c r="BJ406" s="1208"/>
    </row>
    <row r="407" spans="1:62" s="1209" customFormat="1">
      <c r="A407" s="1212"/>
      <c r="D407" s="1208"/>
      <c r="E407" s="1208"/>
      <c r="F407" s="1208"/>
      <c r="G407" s="1208"/>
      <c r="H407" s="1208"/>
      <c r="I407" s="1208"/>
      <c r="J407" s="1208"/>
      <c r="K407" s="1208"/>
      <c r="L407" s="1208"/>
      <c r="M407" s="1208"/>
      <c r="N407" s="1208"/>
      <c r="O407" s="1208"/>
      <c r="P407" s="1208"/>
      <c r="Q407" s="1208"/>
      <c r="R407" s="1208"/>
      <c r="S407" s="1208"/>
      <c r="T407" s="1208"/>
      <c r="U407" s="1208"/>
      <c r="V407" s="1208"/>
      <c r="W407" s="1208"/>
      <c r="X407" s="1208"/>
      <c r="Y407" s="1208"/>
      <c r="Z407" s="1208"/>
      <c r="AA407" s="1208"/>
      <c r="AB407" s="1208"/>
      <c r="AC407" s="1208"/>
      <c r="AD407" s="1208"/>
      <c r="AE407" s="1208"/>
      <c r="AF407" s="1208"/>
      <c r="AG407" s="1208"/>
      <c r="AH407" s="1208"/>
      <c r="AI407" s="1208"/>
      <c r="AJ407" s="1208"/>
      <c r="AK407" s="1208"/>
      <c r="AL407" s="1208"/>
      <c r="AM407" s="1208"/>
      <c r="AN407" s="1208"/>
      <c r="AO407" s="1208"/>
      <c r="AP407" s="1208"/>
      <c r="AQ407" s="1208"/>
      <c r="AR407" s="1208"/>
      <c r="AS407" s="1208"/>
      <c r="AT407" s="1208"/>
      <c r="AU407" s="1208"/>
      <c r="AV407" s="1208"/>
      <c r="AW407" s="1208"/>
      <c r="AX407" s="1208"/>
      <c r="AY407" s="1208"/>
      <c r="AZ407" s="1208"/>
      <c r="BA407" s="1208"/>
      <c r="BB407" s="1208"/>
      <c r="BC407" s="1208"/>
      <c r="BD407" s="1208"/>
      <c r="BE407" s="1208"/>
      <c r="BF407" s="1208"/>
      <c r="BG407" s="1208"/>
      <c r="BH407" s="1208"/>
      <c r="BI407" s="1208"/>
      <c r="BJ407" s="1208"/>
    </row>
    <row r="408" spans="1:62" s="1209" customFormat="1">
      <c r="A408" s="1212"/>
      <c r="D408" s="1208"/>
      <c r="E408" s="1208"/>
      <c r="F408" s="1208"/>
      <c r="G408" s="1208"/>
      <c r="H408" s="1208"/>
      <c r="I408" s="1208"/>
      <c r="J408" s="1208"/>
      <c r="K408" s="1208"/>
      <c r="L408" s="1208"/>
      <c r="M408" s="1208"/>
      <c r="N408" s="1208"/>
      <c r="O408" s="1208"/>
      <c r="P408" s="1208"/>
      <c r="Q408" s="1208"/>
      <c r="R408" s="1208"/>
      <c r="S408" s="1208"/>
      <c r="T408" s="1208"/>
      <c r="U408" s="1208"/>
      <c r="V408" s="1208"/>
      <c r="W408" s="1208"/>
      <c r="X408" s="1208"/>
      <c r="Y408" s="1208"/>
      <c r="Z408" s="1208"/>
      <c r="AA408" s="1208"/>
      <c r="AB408" s="1208"/>
      <c r="AC408" s="1208"/>
      <c r="AD408" s="1208"/>
      <c r="AE408" s="1208"/>
      <c r="AF408" s="1208"/>
      <c r="AG408" s="1208"/>
      <c r="AH408" s="1208"/>
      <c r="AI408" s="1208"/>
      <c r="AJ408" s="1208"/>
      <c r="AK408" s="1208"/>
      <c r="AL408" s="1208"/>
      <c r="AM408" s="1208"/>
      <c r="AN408" s="1208"/>
      <c r="AO408" s="1208"/>
      <c r="AP408" s="1208"/>
      <c r="AQ408" s="1208"/>
      <c r="AR408" s="1208"/>
      <c r="AS408" s="1208"/>
      <c r="AT408" s="1208"/>
      <c r="AU408" s="1208"/>
      <c r="AV408" s="1208"/>
      <c r="AW408" s="1208"/>
      <c r="AX408" s="1208"/>
      <c r="AY408" s="1208"/>
      <c r="AZ408" s="1208"/>
      <c r="BA408" s="1208"/>
      <c r="BB408" s="1208"/>
      <c r="BC408" s="1208"/>
      <c r="BD408" s="1208"/>
      <c r="BE408" s="1208"/>
      <c r="BF408" s="1208"/>
      <c r="BG408" s="1208"/>
      <c r="BH408" s="1208"/>
      <c r="BI408" s="1208"/>
      <c r="BJ408" s="1208"/>
    </row>
    <row r="409" spans="1:62" s="1209" customFormat="1">
      <c r="A409" s="1212"/>
      <c r="D409" s="1208"/>
      <c r="E409" s="1208"/>
      <c r="F409" s="1208"/>
      <c r="G409" s="1208"/>
      <c r="H409" s="1208"/>
      <c r="I409" s="1208"/>
      <c r="J409" s="1208"/>
      <c r="K409" s="1208"/>
      <c r="L409" s="1208"/>
      <c r="M409" s="1208"/>
      <c r="N409" s="1208"/>
      <c r="O409" s="1208"/>
      <c r="P409" s="1208"/>
      <c r="Q409" s="1208"/>
      <c r="R409" s="1208"/>
      <c r="S409" s="1208"/>
      <c r="T409" s="1208"/>
      <c r="U409" s="1208"/>
      <c r="V409" s="1208"/>
      <c r="W409" s="1208"/>
      <c r="X409" s="1208"/>
      <c r="Y409" s="1208"/>
      <c r="Z409" s="1208"/>
      <c r="AA409" s="1208"/>
      <c r="AB409" s="1208"/>
      <c r="AC409" s="1208"/>
      <c r="AD409" s="1208"/>
      <c r="AE409" s="1208"/>
      <c r="AF409" s="1208"/>
      <c r="AG409" s="1208"/>
      <c r="AH409" s="1208"/>
      <c r="AI409" s="1208"/>
      <c r="AJ409" s="1208"/>
      <c r="AK409" s="1208"/>
      <c r="AL409" s="1208"/>
      <c r="AM409" s="1208"/>
      <c r="AN409" s="1208"/>
      <c r="AO409" s="1208"/>
      <c r="AP409" s="1208"/>
      <c r="AQ409" s="1208"/>
      <c r="AR409" s="1208"/>
      <c r="AS409" s="1208"/>
      <c r="AT409" s="1208"/>
      <c r="AU409" s="1208"/>
      <c r="AV409" s="1208"/>
      <c r="AW409" s="1208"/>
      <c r="AX409" s="1208"/>
      <c r="AY409" s="1208"/>
      <c r="AZ409" s="1208"/>
      <c r="BA409" s="1208"/>
      <c r="BB409" s="1208"/>
      <c r="BC409" s="1208"/>
      <c r="BD409" s="1208"/>
      <c r="BE409" s="1208"/>
      <c r="BF409" s="1208"/>
      <c r="BG409" s="1208"/>
      <c r="BH409" s="1208"/>
      <c r="BI409" s="1208"/>
      <c r="BJ409" s="1208"/>
    </row>
    <row r="410" spans="1:62" s="1209" customFormat="1">
      <c r="A410" s="1212"/>
      <c r="D410" s="1208"/>
      <c r="E410" s="1208"/>
      <c r="F410" s="1208"/>
      <c r="G410" s="1208"/>
      <c r="H410" s="1208"/>
      <c r="I410" s="1208"/>
      <c r="J410" s="1208"/>
      <c r="K410" s="1208"/>
      <c r="L410" s="1208"/>
      <c r="M410" s="1208"/>
      <c r="N410" s="1208"/>
      <c r="O410" s="1208"/>
      <c r="P410" s="1208"/>
      <c r="Q410" s="1208"/>
      <c r="R410" s="1208"/>
      <c r="S410" s="1208"/>
      <c r="T410" s="1208"/>
      <c r="U410" s="1208"/>
      <c r="V410" s="1208"/>
      <c r="W410" s="1208"/>
      <c r="X410" s="1208"/>
      <c r="Y410" s="1208"/>
      <c r="Z410" s="1208"/>
      <c r="AA410" s="1208"/>
      <c r="AB410" s="1208"/>
      <c r="AC410" s="1208"/>
      <c r="AD410" s="1208"/>
      <c r="AE410" s="1208"/>
      <c r="AF410" s="1208"/>
      <c r="AG410" s="1208"/>
      <c r="AH410" s="1208"/>
      <c r="AI410" s="1208"/>
      <c r="AJ410" s="1208"/>
      <c r="AK410" s="1208"/>
      <c r="AL410" s="1208"/>
      <c r="AM410" s="1208"/>
      <c r="AN410" s="1208"/>
      <c r="AO410" s="1208"/>
      <c r="AP410" s="1208"/>
      <c r="AQ410" s="1208"/>
      <c r="AR410" s="1208"/>
      <c r="AS410" s="1208"/>
      <c r="AT410" s="1208"/>
      <c r="AU410" s="1208"/>
      <c r="AV410" s="1208"/>
      <c r="AW410" s="1208"/>
      <c r="AX410" s="1208"/>
      <c r="AY410" s="1208"/>
      <c r="AZ410" s="1208"/>
      <c r="BA410" s="1208"/>
      <c r="BB410" s="1208"/>
      <c r="BC410" s="1208"/>
      <c r="BD410" s="1208"/>
      <c r="BE410" s="1208"/>
      <c r="BF410" s="1208"/>
      <c r="BG410" s="1208"/>
      <c r="BH410" s="1208"/>
      <c r="BI410" s="1208"/>
      <c r="BJ410" s="1208"/>
    </row>
    <row r="411" spans="1:62" s="1209" customFormat="1">
      <c r="A411" s="1212"/>
      <c r="D411" s="1208"/>
      <c r="E411" s="1208"/>
      <c r="F411" s="1208"/>
      <c r="G411" s="1208"/>
      <c r="H411" s="1208"/>
      <c r="I411" s="1208"/>
      <c r="J411" s="1208"/>
      <c r="K411" s="1208"/>
      <c r="L411" s="1208"/>
      <c r="M411" s="1208"/>
      <c r="N411" s="1208"/>
      <c r="O411" s="1208"/>
      <c r="P411" s="1208"/>
      <c r="Q411" s="1208"/>
      <c r="R411" s="1208"/>
      <c r="S411" s="1208"/>
      <c r="T411" s="1208"/>
      <c r="U411" s="1208"/>
      <c r="V411" s="1208"/>
      <c r="W411" s="1208"/>
      <c r="X411" s="1208"/>
      <c r="Y411" s="1208"/>
      <c r="Z411" s="1208"/>
      <c r="AA411" s="1208"/>
      <c r="AB411" s="1208"/>
      <c r="AC411" s="1208"/>
      <c r="AD411" s="1208"/>
      <c r="AE411" s="1208"/>
      <c r="AF411" s="1208"/>
      <c r="AG411" s="1208"/>
      <c r="AH411" s="1208"/>
      <c r="AI411" s="1208"/>
      <c r="AJ411" s="1208"/>
      <c r="AK411" s="1208"/>
      <c r="AL411" s="1208"/>
      <c r="AM411" s="1208"/>
      <c r="AN411" s="1208"/>
      <c r="AO411" s="1208"/>
      <c r="AP411" s="1208"/>
      <c r="AQ411" s="1208"/>
      <c r="AR411" s="1208"/>
      <c r="AS411" s="1208"/>
      <c r="AT411" s="1208"/>
      <c r="AU411" s="1208"/>
      <c r="AV411" s="1208"/>
      <c r="AW411" s="1208"/>
      <c r="AX411" s="1208"/>
      <c r="AY411" s="1208"/>
      <c r="AZ411" s="1208"/>
      <c r="BA411" s="1208"/>
      <c r="BB411" s="1208"/>
      <c r="BC411" s="1208"/>
      <c r="BD411" s="1208"/>
      <c r="BE411" s="1208"/>
      <c r="BF411" s="1208"/>
      <c r="BG411" s="1208"/>
      <c r="BH411" s="1208"/>
      <c r="BI411" s="1208"/>
      <c r="BJ411" s="1208"/>
    </row>
    <row r="412" spans="1:62" s="1209" customFormat="1">
      <c r="A412" s="1212"/>
      <c r="D412" s="1208"/>
      <c r="E412" s="1208"/>
      <c r="F412" s="1208"/>
      <c r="G412" s="1208"/>
      <c r="H412" s="1208"/>
      <c r="I412" s="1208"/>
      <c r="J412" s="1208"/>
      <c r="K412" s="1208"/>
      <c r="L412" s="1208"/>
      <c r="M412" s="1208"/>
      <c r="N412" s="1208"/>
      <c r="O412" s="1208"/>
      <c r="P412" s="1208"/>
      <c r="Q412" s="1208"/>
      <c r="R412" s="1208"/>
      <c r="S412" s="1208"/>
      <c r="T412" s="1208"/>
      <c r="U412" s="1208"/>
      <c r="V412" s="1208"/>
      <c r="W412" s="1208"/>
      <c r="X412" s="1208"/>
      <c r="Y412" s="1208"/>
      <c r="Z412" s="1208"/>
      <c r="AA412" s="1208"/>
      <c r="AB412" s="1208"/>
      <c r="AC412" s="1208"/>
      <c r="AD412" s="1208"/>
      <c r="AE412" s="1208"/>
      <c r="AF412" s="1208"/>
      <c r="AG412" s="1208"/>
      <c r="AH412" s="1208"/>
      <c r="AI412" s="1208"/>
      <c r="AJ412" s="1208"/>
      <c r="AK412" s="1208"/>
      <c r="AL412" s="1208"/>
      <c r="AM412" s="1208"/>
      <c r="AN412" s="1208"/>
      <c r="AO412" s="1208"/>
      <c r="AP412" s="1208"/>
      <c r="AQ412" s="1208"/>
      <c r="AR412" s="1208"/>
      <c r="AS412" s="1208"/>
      <c r="AT412" s="1208"/>
      <c r="AU412" s="1208"/>
      <c r="AV412" s="1208"/>
      <c r="AW412" s="1208"/>
      <c r="AX412" s="1208"/>
      <c r="AY412" s="1208"/>
      <c r="AZ412" s="1208"/>
      <c r="BA412" s="1208"/>
      <c r="BB412" s="1208"/>
      <c r="BC412" s="1208"/>
      <c r="BD412" s="1208"/>
      <c r="BE412" s="1208"/>
      <c r="BF412" s="1208"/>
      <c r="BG412" s="1208"/>
      <c r="BH412" s="1208"/>
      <c r="BI412" s="1208"/>
      <c r="BJ412" s="1208"/>
    </row>
    <row r="413" spans="1:62" s="1209" customFormat="1">
      <c r="A413" s="1212"/>
      <c r="D413" s="1208"/>
      <c r="E413" s="1208"/>
      <c r="F413" s="1208"/>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208"/>
      <c r="AF413" s="1208"/>
      <c r="AG413" s="1208"/>
      <c r="AH413" s="1208"/>
      <c r="AI413" s="1208"/>
      <c r="AJ413" s="1208"/>
      <c r="AK413" s="1208"/>
      <c r="AL413" s="1208"/>
      <c r="AM413" s="1208"/>
      <c r="AN413" s="1208"/>
      <c r="AO413" s="1208"/>
      <c r="AP413" s="1208"/>
      <c r="AQ413" s="1208"/>
      <c r="AR413" s="1208"/>
      <c r="AS413" s="1208"/>
      <c r="AT413" s="1208"/>
      <c r="AU413" s="1208"/>
      <c r="AV413" s="1208"/>
      <c r="AW413" s="1208"/>
      <c r="AX413" s="1208"/>
      <c r="AY413" s="1208"/>
      <c r="AZ413" s="1208"/>
      <c r="BA413" s="1208"/>
      <c r="BB413" s="1208"/>
      <c r="BC413" s="1208"/>
      <c r="BD413" s="1208"/>
      <c r="BE413" s="1208"/>
      <c r="BF413" s="1208"/>
      <c r="BG413" s="1208"/>
      <c r="BH413" s="1208"/>
      <c r="BI413" s="1208"/>
      <c r="BJ413" s="1208"/>
    </row>
    <row r="414" spans="1:62" s="1209" customFormat="1">
      <c r="A414" s="1212"/>
      <c r="D414" s="1208"/>
      <c r="E414" s="1208"/>
      <c r="F414" s="1208"/>
      <c r="G414" s="1208"/>
      <c r="H414" s="1208"/>
      <c r="I414" s="1208"/>
      <c r="J414" s="1208"/>
      <c r="K414" s="1208"/>
      <c r="L414" s="1208"/>
      <c r="M414" s="1208"/>
      <c r="N414" s="1208"/>
      <c r="O414" s="1208"/>
      <c r="P414" s="1208"/>
      <c r="Q414" s="1208"/>
      <c r="R414" s="1208"/>
      <c r="S414" s="1208"/>
      <c r="T414" s="1208"/>
      <c r="U414" s="1208"/>
      <c r="V414" s="1208"/>
      <c r="W414" s="1208"/>
      <c r="X414" s="1208"/>
      <c r="Y414" s="1208"/>
      <c r="Z414" s="1208"/>
      <c r="AA414" s="1208"/>
      <c r="AB414" s="1208"/>
      <c r="AC414" s="1208"/>
      <c r="AD414" s="1208"/>
      <c r="AE414" s="1208"/>
      <c r="AF414" s="1208"/>
      <c r="AG414" s="1208"/>
      <c r="AH414" s="1208"/>
      <c r="AI414" s="1208"/>
      <c r="AJ414" s="1208"/>
      <c r="AK414" s="1208"/>
      <c r="AL414" s="1208"/>
      <c r="AM414" s="1208"/>
      <c r="AN414" s="1208"/>
      <c r="AO414" s="1208"/>
      <c r="AP414" s="1208"/>
      <c r="AQ414" s="1208"/>
      <c r="AR414" s="1208"/>
      <c r="AS414" s="1208"/>
      <c r="AT414" s="1208"/>
      <c r="AU414" s="1208"/>
      <c r="AV414" s="1208"/>
      <c r="AW414" s="1208"/>
      <c r="AX414" s="1208"/>
      <c r="AY414" s="1208"/>
      <c r="AZ414" s="1208"/>
      <c r="BA414" s="1208"/>
      <c r="BB414" s="1208"/>
      <c r="BC414" s="1208"/>
      <c r="BD414" s="1208"/>
      <c r="BE414" s="1208"/>
      <c r="BF414" s="1208"/>
      <c r="BG414" s="1208"/>
      <c r="BH414" s="1208"/>
      <c r="BI414" s="1208"/>
      <c r="BJ414" s="1208"/>
    </row>
    <row r="415" spans="1:62" s="1209" customFormat="1">
      <c r="A415" s="1212"/>
      <c r="D415" s="1208"/>
      <c r="E415" s="1208"/>
      <c r="F415" s="1208"/>
      <c r="G415" s="1208"/>
      <c r="H415" s="1208"/>
      <c r="I415" s="1208"/>
      <c r="J415" s="1208"/>
      <c r="K415" s="1208"/>
      <c r="L415" s="1208"/>
      <c r="M415" s="1208"/>
      <c r="N415" s="1208"/>
      <c r="O415" s="1208"/>
      <c r="P415" s="1208"/>
      <c r="Q415" s="1208"/>
      <c r="R415" s="1208"/>
      <c r="S415" s="1208"/>
      <c r="T415" s="1208"/>
      <c r="U415" s="1208"/>
      <c r="V415" s="1208"/>
      <c r="W415" s="1208"/>
      <c r="X415" s="1208"/>
      <c r="Y415" s="1208"/>
      <c r="Z415" s="1208"/>
      <c r="AA415" s="1208"/>
      <c r="AB415" s="1208"/>
      <c r="AC415" s="1208"/>
      <c r="AD415" s="1208"/>
      <c r="AE415" s="1208"/>
      <c r="AF415" s="1208"/>
      <c r="AG415" s="1208"/>
      <c r="AH415" s="1208"/>
      <c r="AI415" s="1208"/>
      <c r="AJ415" s="1208"/>
      <c r="AK415" s="1208"/>
      <c r="AL415" s="1208"/>
      <c r="AM415" s="1208"/>
      <c r="AN415" s="1208"/>
      <c r="AO415" s="1208"/>
      <c r="AP415" s="1208"/>
      <c r="AQ415" s="1208"/>
      <c r="AR415" s="1208"/>
      <c r="AS415" s="1208"/>
      <c r="AT415" s="1208"/>
      <c r="AU415" s="1208"/>
      <c r="AV415" s="1208"/>
      <c r="AW415" s="1208"/>
      <c r="AX415" s="1208"/>
      <c r="AY415" s="1208"/>
      <c r="AZ415" s="1208"/>
      <c r="BA415" s="1208"/>
      <c r="BB415" s="1208"/>
      <c r="BC415" s="1208"/>
      <c r="BD415" s="1208"/>
      <c r="BE415" s="1208"/>
      <c r="BF415" s="1208"/>
      <c r="BG415" s="1208"/>
      <c r="BH415" s="1208"/>
      <c r="BI415" s="1208"/>
      <c r="BJ415" s="1208"/>
    </row>
    <row r="416" spans="1:62" s="1209" customFormat="1">
      <c r="A416" s="1212"/>
      <c r="D416" s="1208"/>
      <c r="E416" s="1208"/>
      <c r="F416" s="1208"/>
      <c r="G416" s="1208"/>
      <c r="H416" s="1208"/>
      <c r="I416" s="1208"/>
      <c r="J416" s="1208"/>
      <c r="K416" s="1208"/>
      <c r="L416" s="1208"/>
      <c r="M416" s="1208"/>
      <c r="N416" s="1208"/>
      <c r="O416" s="1208"/>
      <c r="P416" s="1208"/>
      <c r="Q416" s="1208"/>
      <c r="R416" s="1208"/>
      <c r="S416" s="1208"/>
      <c r="T416" s="1208"/>
      <c r="U416" s="1208"/>
      <c r="V416" s="1208"/>
      <c r="W416" s="1208"/>
      <c r="X416" s="1208"/>
      <c r="Y416" s="1208"/>
      <c r="Z416" s="1208"/>
      <c r="AA416" s="1208"/>
      <c r="AB416" s="1208"/>
      <c r="AC416" s="1208"/>
      <c r="AD416" s="1208"/>
      <c r="AE416" s="1208"/>
      <c r="AF416" s="1208"/>
      <c r="AG416" s="1208"/>
      <c r="AH416" s="1208"/>
      <c r="AI416" s="1208"/>
      <c r="AJ416" s="1208"/>
      <c r="AK416" s="1208"/>
      <c r="AL416" s="1208"/>
      <c r="AM416" s="1208"/>
      <c r="AN416" s="1208"/>
      <c r="AO416" s="1208"/>
      <c r="AP416" s="1208"/>
      <c r="AQ416" s="1208"/>
      <c r="AR416" s="1208"/>
      <c r="AS416" s="1208"/>
      <c r="AT416" s="1208"/>
      <c r="AU416" s="1208"/>
      <c r="AV416" s="1208"/>
      <c r="AW416" s="1208"/>
      <c r="AX416" s="1208"/>
      <c r="AY416" s="1208"/>
      <c r="AZ416" s="1208"/>
      <c r="BA416" s="1208"/>
      <c r="BB416" s="1208"/>
      <c r="BC416" s="1208"/>
      <c r="BD416" s="1208"/>
      <c r="BE416" s="1208"/>
      <c r="BF416" s="1208"/>
      <c r="BG416" s="1208"/>
      <c r="BH416" s="1208"/>
      <c r="BI416" s="1208"/>
      <c r="BJ416" s="1208"/>
    </row>
    <row r="417" spans="1:62" s="1209" customFormat="1">
      <c r="A417" s="1212"/>
      <c r="D417" s="1208"/>
      <c r="E417" s="1208"/>
      <c r="F417" s="1208"/>
      <c r="G417" s="1208"/>
      <c r="H417" s="1208"/>
      <c r="I417" s="1208"/>
      <c r="J417" s="1208"/>
      <c r="K417" s="1208"/>
      <c r="L417" s="1208"/>
      <c r="M417" s="1208"/>
      <c r="N417" s="1208"/>
      <c r="O417" s="1208"/>
      <c r="P417" s="1208"/>
      <c r="Q417" s="1208"/>
      <c r="R417" s="1208"/>
      <c r="S417" s="1208"/>
      <c r="T417" s="1208"/>
      <c r="U417" s="1208"/>
      <c r="V417" s="1208"/>
      <c r="W417" s="1208"/>
      <c r="X417" s="1208"/>
      <c r="Y417" s="1208"/>
      <c r="Z417" s="1208"/>
      <c r="AA417" s="1208"/>
      <c r="AB417" s="1208"/>
      <c r="AC417" s="1208"/>
      <c r="AD417" s="1208"/>
      <c r="AE417" s="1208"/>
      <c r="AF417" s="1208"/>
      <c r="AG417" s="1208"/>
      <c r="AH417" s="1208"/>
      <c r="AI417" s="1208"/>
      <c r="AJ417" s="1208"/>
      <c r="AK417" s="1208"/>
      <c r="AL417" s="1208"/>
      <c r="AM417" s="1208"/>
      <c r="AN417" s="1208"/>
      <c r="AO417" s="1208"/>
      <c r="AP417" s="1208"/>
      <c r="AQ417" s="1208"/>
      <c r="AR417" s="1208"/>
      <c r="AS417" s="1208"/>
      <c r="AT417" s="1208"/>
      <c r="AU417" s="1208"/>
      <c r="AV417" s="1208"/>
      <c r="AW417" s="1208"/>
      <c r="AX417" s="1208"/>
      <c r="AY417" s="1208"/>
      <c r="AZ417" s="1208"/>
      <c r="BA417" s="1208"/>
      <c r="BB417" s="1208"/>
      <c r="BC417" s="1208"/>
      <c r="BD417" s="1208"/>
      <c r="BE417" s="1208"/>
      <c r="BF417" s="1208"/>
      <c r="BG417" s="1208"/>
      <c r="BH417" s="1208"/>
      <c r="BI417" s="1208"/>
      <c r="BJ417" s="1208"/>
    </row>
    <row r="418" spans="1:62" s="1209" customFormat="1">
      <c r="A418" s="1212"/>
      <c r="D418" s="1208"/>
      <c r="E418" s="1208"/>
      <c r="F418" s="1208"/>
      <c r="G418" s="1208"/>
      <c r="H418" s="1208"/>
      <c r="I418" s="1208"/>
      <c r="J418" s="1208"/>
      <c r="K418" s="1208"/>
      <c r="L418" s="1208"/>
      <c r="M418" s="1208"/>
      <c r="N418" s="1208"/>
      <c r="O418" s="1208"/>
      <c r="P418" s="1208"/>
      <c r="Q418" s="1208"/>
      <c r="R418" s="1208"/>
      <c r="S418" s="1208"/>
      <c r="T418" s="1208"/>
      <c r="U418" s="1208"/>
      <c r="V418" s="1208"/>
      <c r="W418" s="1208"/>
      <c r="X418" s="1208"/>
      <c r="Y418" s="1208"/>
      <c r="Z418" s="1208"/>
      <c r="AA418" s="1208"/>
      <c r="AB418" s="1208"/>
      <c r="AC418" s="1208"/>
      <c r="AD418" s="1208"/>
      <c r="AE418" s="1208"/>
      <c r="AF418" s="1208"/>
      <c r="AG418" s="1208"/>
      <c r="AH418" s="1208"/>
      <c r="AI418" s="1208"/>
      <c r="AJ418" s="1208"/>
      <c r="AK418" s="1208"/>
      <c r="AL418" s="1208"/>
      <c r="AM418" s="1208"/>
      <c r="AN418" s="1208"/>
      <c r="AO418" s="1208"/>
      <c r="AP418" s="1208"/>
      <c r="AQ418" s="1208"/>
      <c r="AR418" s="1208"/>
      <c r="AS418" s="1208"/>
      <c r="AT418" s="1208"/>
      <c r="AU418" s="1208"/>
      <c r="AV418" s="1208"/>
      <c r="AW418" s="1208"/>
      <c r="AX418" s="1208"/>
      <c r="AY418" s="1208"/>
      <c r="AZ418" s="1208"/>
      <c r="BA418" s="1208"/>
      <c r="BB418" s="1208"/>
      <c r="BC418" s="1208"/>
      <c r="BD418" s="1208"/>
      <c r="BE418" s="1208"/>
      <c r="BF418" s="1208"/>
      <c r="BG418" s="1208"/>
      <c r="BH418" s="1208"/>
      <c r="BI418" s="1208"/>
      <c r="BJ418" s="1208"/>
    </row>
    <row r="419" spans="1:62" s="1209" customFormat="1">
      <c r="A419" s="1212"/>
      <c r="D419" s="1208"/>
      <c r="E419" s="1208"/>
      <c r="F419" s="1208"/>
      <c r="G419" s="1208"/>
      <c r="H419" s="1208"/>
      <c r="I419" s="1208"/>
      <c r="J419" s="1208"/>
      <c r="K419" s="1208"/>
      <c r="L419" s="1208"/>
      <c r="M419" s="1208"/>
      <c r="N419" s="1208"/>
      <c r="O419" s="1208"/>
      <c r="P419" s="1208"/>
      <c r="Q419" s="1208"/>
      <c r="R419" s="1208"/>
      <c r="S419" s="1208"/>
      <c r="T419" s="1208"/>
      <c r="U419" s="1208"/>
      <c r="V419" s="1208"/>
      <c r="W419" s="1208"/>
      <c r="X419" s="1208"/>
      <c r="Y419" s="1208"/>
      <c r="Z419" s="1208"/>
      <c r="AA419" s="1208"/>
      <c r="AB419" s="1208"/>
      <c r="AC419" s="1208"/>
      <c r="AD419" s="1208"/>
      <c r="AE419" s="1208"/>
      <c r="AF419" s="1208"/>
      <c r="AG419" s="1208"/>
      <c r="AH419" s="1208"/>
      <c r="AI419" s="1208"/>
      <c r="AJ419" s="1208"/>
      <c r="AK419" s="1208"/>
      <c r="AL419" s="1208"/>
      <c r="AM419" s="1208"/>
      <c r="AN419" s="1208"/>
      <c r="AO419" s="1208"/>
      <c r="AP419" s="1208"/>
      <c r="AQ419" s="1208"/>
      <c r="AR419" s="1208"/>
      <c r="AS419" s="1208"/>
      <c r="AT419" s="1208"/>
      <c r="AU419" s="1208"/>
      <c r="AV419" s="1208"/>
      <c r="AW419" s="1208"/>
      <c r="AX419" s="1208"/>
      <c r="AY419" s="1208"/>
      <c r="AZ419" s="1208"/>
      <c r="BA419" s="1208"/>
      <c r="BB419" s="1208"/>
      <c r="BC419" s="1208"/>
      <c r="BD419" s="1208"/>
      <c r="BE419" s="1208"/>
      <c r="BF419" s="1208"/>
      <c r="BG419" s="1208"/>
      <c r="BH419" s="1208"/>
      <c r="BI419" s="1208"/>
      <c r="BJ419" s="1208"/>
    </row>
    <row r="420" spans="1:62" s="1209" customFormat="1">
      <c r="A420" s="1212"/>
      <c r="D420" s="1208"/>
      <c r="E420" s="1208"/>
      <c r="F420" s="1208"/>
      <c r="G420" s="1208"/>
      <c r="H420" s="1208"/>
      <c r="I420" s="1208"/>
      <c r="J420" s="1208"/>
      <c r="K420" s="1208"/>
      <c r="L420" s="1208"/>
      <c r="M420" s="1208"/>
      <c r="N420" s="1208"/>
      <c r="O420" s="1208"/>
      <c r="P420" s="1208"/>
      <c r="Q420" s="1208"/>
      <c r="R420" s="1208"/>
      <c r="S420" s="1208"/>
      <c r="T420" s="1208"/>
      <c r="U420" s="1208"/>
      <c r="V420" s="1208"/>
      <c r="W420" s="1208"/>
      <c r="X420" s="1208"/>
      <c r="Y420" s="1208"/>
      <c r="Z420" s="1208"/>
      <c r="AA420" s="1208"/>
      <c r="AB420" s="1208"/>
      <c r="AC420" s="1208"/>
      <c r="AD420" s="1208"/>
      <c r="AE420" s="1208"/>
      <c r="AF420" s="1208"/>
      <c r="AG420" s="1208"/>
      <c r="AH420" s="1208"/>
      <c r="AI420" s="1208"/>
      <c r="AJ420" s="1208"/>
      <c r="AK420" s="1208"/>
      <c r="AL420" s="1208"/>
      <c r="AM420" s="1208"/>
      <c r="AN420" s="1208"/>
      <c r="AO420" s="1208"/>
      <c r="AP420" s="1208"/>
      <c r="AQ420" s="1208"/>
      <c r="AR420" s="1208"/>
      <c r="AS420" s="1208"/>
      <c r="AT420" s="1208"/>
      <c r="AU420" s="1208"/>
      <c r="AV420" s="1208"/>
      <c r="AW420" s="1208"/>
      <c r="AX420" s="1208"/>
      <c r="AY420" s="1208"/>
      <c r="AZ420" s="1208"/>
      <c r="BA420" s="1208"/>
      <c r="BB420" s="1208"/>
      <c r="BC420" s="1208"/>
      <c r="BD420" s="1208"/>
      <c r="BE420" s="1208"/>
      <c r="BF420" s="1208"/>
      <c r="BG420" s="1208"/>
      <c r="BH420" s="1208"/>
      <c r="BI420" s="1208"/>
      <c r="BJ420" s="1208"/>
    </row>
    <row r="421" spans="1:62" s="1209" customFormat="1">
      <c r="A421" s="1212"/>
      <c r="D421" s="1208"/>
      <c r="E421" s="1208"/>
      <c r="F421" s="1208"/>
      <c r="G421" s="1208"/>
      <c r="H421" s="1208"/>
      <c r="I421" s="1208"/>
      <c r="J421" s="1208"/>
      <c r="K421" s="1208"/>
      <c r="L421" s="1208"/>
      <c r="M421" s="1208"/>
      <c r="N421" s="1208"/>
      <c r="O421" s="1208"/>
      <c r="P421" s="1208"/>
      <c r="Q421" s="1208"/>
      <c r="R421" s="1208"/>
      <c r="S421" s="1208"/>
      <c r="T421" s="1208"/>
      <c r="U421" s="1208"/>
      <c r="V421" s="1208"/>
      <c r="W421" s="1208"/>
      <c r="X421" s="1208"/>
      <c r="Y421" s="1208"/>
      <c r="Z421" s="1208"/>
      <c r="AA421" s="1208"/>
      <c r="AB421" s="1208"/>
      <c r="AC421" s="1208"/>
      <c r="AD421" s="1208"/>
      <c r="AE421" s="1208"/>
      <c r="AF421" s="1208"/>
      <c r="AG421" s="1208"/>
      <c r="AH421" s="1208"/>
      <c r="AI421" s="1208"/>
      <c r="AJ421" s="1208"/>
      <c r="AK421" s="1208"/>
      <c r="AL421" s="1208"/>
      <c r="AM421" s="1208"/>
      <c r="AN421" s="1208"/>
      <c r="AO421" s="1208"/>
      <c r="AP421" s="1208"/>
      <c r="AQ421" s="1208"/>
      <c r="AR421" s="1208"/>
      <c r="AS421" s="1208"/>
      <c r="AT421" s="1208"/>
      <c r="AU421" s="1208"/>
      <c r="AV421" s="1208"/>
      <c r="AW421" s="1208"/>
      <c r="AX421" s="1208"/>
      <c r="AY421" s="1208"/>
      <c r="AZ421" s="1208"/>
      <c r="BA421" s="1208"/>
      <c r="BB421" s="1208"/>
      <c r="BC421" s="1208"/>
      <c r="BD421" s="1208"/>
      <c r="BE421" s="1208"/>
      <c r="BF421" s="1208"/>
      <c r="BG421" s="1208"/>
      <c r="BH421" s="1208"/>
      <c r="BI421" s="1208"/>
      <c r="BJ421" s="1208"/>
    </row>
    <row r="422" spans="1:62" s="1209" customFormat="1">
      <c r="A422" s="1212"/>
      <c r="D422" s="1208"/>
      <c r="E422" s="1208"/>
      <c r="F422" s="1208"/>
      <c r="G422" s="1208"/>
      <c r="H422" s="1208"/>
      <c r="I422" s="1208"/>
      <c r="J422" s="1208"/>
      <c r="K422" s="1208"/>
      <c r="L422" s="1208"/>
      <c r="M422" s="1208"/>
      <c r="N422" s="1208"/>
      <c r="O422" s="1208"/>
      <c r="P422" s="1208"/>
      <c r="Q422" s="1208"/>
      <c r="R422" s="1208"/>
      <c r="S422" s="1208"/>
      <c r="T422" s="1208"/>
      <c r="U422" s="1208"/>
      <c r="V422" s="1208"/>
      <c r="W422" s="1208"/>
      <c r="X422" s="1208"/>
      <c r="Y422" s="1208"/>
      <c r="Z422" s="1208"/>
      <c r="AA422" s="1208"/>
      <c r="AB422" s="1208"/>
      <c r="AC422" s="1208"/>
      <c r="AD422" s="1208"/>
      <c r="AE422" s="1208"/>
      <c r="AF422" s="1208"/>
      <c r="AG422" s="1208"/>
      <c r="AH422" s="1208"/>
      <c r="AI422" s="1208"/>
      <c r="AJ422" s="1208"/>
      <c r="AK422" s="1208"/>
      <c r="AL422" s="1208"/>
      <c r="AM422" s="1208"/>
      <c r="AN422" s="1208"/>
      <c r="AO422" s="1208"/>
      <c r="AP422" s="1208"/>
      <c r="AQ422" s="1208"/>
      <c r="AR422" s="1208"/>
      <c r="AS422" s="1208"/>
      <c r="AT422" s="1208"/>
      <c r="AU422" s="1208"/>
      <c r="AV422" s="1208"/>
      <c r="AW422" s="1208"/>
      <c r="AX422" s="1208"/>
      <c r="AY422" s="1208"/>
      <c r="AZ422" s="1208"/>
      <c r="BA422" s="1208"/>
      <c r="BB422" s="1208"/>
      <c r="BC422" s="1208"/>
      <c r="BD422" s="1208"/>
      <c r="BE422" s="1208"/>
      <c r="BF422" s="1208"/>
      <c r="BG422" s="1208"/>
      <c r="BH422" s="1208"/>
      <c r="BI422" s="1208"/>
      <c r="BJ422" s="1208"/>
    </row>
    <row r="423" spans="1:62" s="1209" customFormat="1">
      <c r="A423" s="1212"/>
      <c r="D423" s="1208"/>
      <c r="E423" s="1208"/>
      <c r="F423" s="1208"/>
      <c r="G423" s="1208"/>
      <c r="H423" s="1208"/>
      <c r="I423" s="1208"/>
      <c r="J423" s="1208"/>
      <c r="K423" s="1208"/>
      <c r="L423" s="1208"/>
      <c r="M423" s="1208"/>
      <c r="N423" s="1208"/>
      <c r="O423" s="1208"/>
      <c r="P423" s="1208"/>
      <c r="Q423" s="1208"/>
      <c r="R423" s="1208"/>
      <c r="S423" s="1208"/>
      <c r="T423" s="1208"/>
      <c r="U423" s="1208"/>
      <c r="V423" s="1208"/>
      <c r="W423" s="1208"/>
      <c r="X423" s="1208"/>
      <c r="Y423" s="1208"/>
      <c r="Z423" s="1208"/>
      <c r="AA423" s="1208"/>
      <c r="AB423" s="1208"/>
      <c r="AC423" s="1208"/>
      <c r="AD423" s="1208"/>
      <c r="AE423" s="1208"/>
      <c r="AF423" s="1208"/>
      <c r="AG423" s="1208"/>
      <c r="AH423" s="1208"/>
      <c r="AI423" s="1208"/>
      <c r="AJ423" s="1208"/>
      <c r="AK423" s="1208"/>
      <c r="AL423" s="1208"/>
      <c r="AM423" s="1208"/>
      <c r="AN423" s="1208"/>
      <c r="AO423" s="1208"/>
      <c r="AP423" s="1208"/>
      <c r="AQ423" s="1208"/>
      <c r="AR423" s="1208"/>
      <c r="AS423" s="1208"/>
      <c r="AT423" s="1208"/>
      <c r="AU423" s="1208"/>
      <c r="AV423" s="1208"/>
      <c r="AW423" s="1208"/>
      <c r="AX423" s="1208"/>
      <c r="AY423" s="1208"/>
      <c r="AZ423" s="1208"/>
      <c r="BA423" s="1208"/>
      <c r="BB423" s="1208"/>
      <c r="BC423" s="1208"/>
      <c r="BD423" s="1208"/>
      <c r="BE423" s="1208"/>
      <c r="BF423" s="1208"/>
      <c r="BG423" s="1208"/>
      <c r="BH423" s="1208"/>
      <c r="BI423" s="1208"/>
      <c r="BJ423" s="1208"/>
    </row>
    <row r="424" spans="1:62" s="1209" customFormat="1">
      <c r="A424" s="1212"/>
      <c r="D424" s="1208"/>
      <c r="E424" s="1208"/>
      <c r="F424" s="1208"/>
      <c r="G424" s="1208"/>
      <c r="H424" s="1208"/>
      <c r="I424" s="1208"/>
      <c r="J424" s="1208"/>
      <c r="K424" s="1208"/>
      <c r="L424" s="1208"/>
      <c r="M424" s="1208"/>
      <c r="N424" s="1208"/>
      <c r="O424" s="1208"/>
      <c r="P424" s="1208"/>
      <c r="Q424" s="1208"/>
      <c r="R424" s="1208"/>
      <c r="S424" s="1208"/>
      <c r="T424" s="1208"/>
      <c r="U424" s="1208"/>
      <c r="V424" s="1208"/>
      <c r="W424" s="1208"/>
      <c r="X424" s="1208"/>
      <c r="Y424" s="1208"/>
      <c r="Z424" s="1208"/>
      <c r="AA424" s="1208"/>
      <c r="AB424" s="1208"/>
      <c r="AC424" s="1208"/>
      <c r="AD424" s="1208"/>
      <c r="AE424" s="1208"/>
      <c r="AF424" s="1208"/>
      <c r="AG424" s="1208"/>
      <c r="AH424" s="1208"/>
      <c r="AI424" s="1208"/>
      <c r="AJ424" s="1208"/>
      <c r="AK424" s="1208"/>
      <c r="AL424" s="1208"/>
      <c r="AM424" s="1208"/>
      <c r="AN424" s="1208"/>
      <c r="AO424" s="1208"/>
      <c r="AP424" s="1208"/>
      <c r="AQ424" s="1208"/>
      <c r="AR424" s="1208"/>
      <c r="AS424" s="1208"/>
      <c r="AT424" s="1208"/>
      <c r="AU424" s="1208"/>
      <c r="AV424" s="1208"/>
      <c r="AW424" s="1208"/>
      <c r="AX424" s="1208"/>
      <c r="AY424" s="1208"/>
      <c r="AZ424" s="1208"/>
      <c r="BA424" s="1208"/>
      <c r="BB424" s="1208"/>
      <c r="BC424" s="1208"/>
      <c r="BD424" s="1208"/>
      <c r="BE424" s="1208"/>
      <c r="BF424" s="1208"/>
      <c r="BG424" s="1208"/>
      <c r="BH424" s="1208"/>
      <c r="BI424" s="1208"/>
      <c r="BJ424" s="1208"/>
    </row>
    <row r="425" spans="1:62" s="1209" customFormat="1">
      <c r="A425" s="1212"/>
      <c r="D425" s="1208"/>
      <c r="E425" s="1208"/>
      <c r="F425" s="1208"/>
      <c r="G425" s="1208"/>
      <c r="H425" s="1208"/>
      <c r="I425" s="1208"/>
      <c r="J425" s="1208"/>
      <c r="K425" s="1208"/>
      <c r="L425" s="1208"/>
      <c r="M425" s="1208"/>
      <c r="N425" s="1208"/>
      <c r="O425" s="1208"/>
      <c r="P425" s="1208"/>
      <c r="Q425" s="1208"/>
      <c r="R425" s="1208"/>
      <c r="S425" s="1208"/>
      <c r="T425" s="1208"/>
      <c r="U425" s="1208"/>
      <c r="V425" s="1208"/>
      <c r="W425" s="1208"/>
      <c r="X425" s="1208"/>
      <c r="Y425" s="1208"/>
      <c r="Z425" s="1208"/>
      <c r="AA425" s="1208"/>
      <c r="AB425" s="1208"/>
      <c r="AC425" s="1208"/>
      <c r="AD425" s="1208"/>
      <c r="AE425" s="1208"/>
      <c r="AF425" s="1208"/>
      <c r="AG425" s="1208"/>
      <c r="AH425" s="1208"/>
      <c r="AI425" s="1208"/>
      <c r="AJ425" s="1208"/>
      <c r="AK425" s="1208"/>
      <c r="AL425" s="1208"/>
      <c r="AM425" s="1208"/>
      <c r="AN425" s="1208"/>
      <c r="AO425" s="1208"/>
      <c r="AP425" s="1208"/>
      <c r="AQ425" s="1208"/>
      <c r="AR425" s="1208"/>
      <c r="AS425" s="1208"/>
      <c r="AT425" s="1208"/>
      <c r="AU425" s="1208"/>
      <c r="AV425" s="1208"/>
      <c r="AW425" s="1208"/>
      <c r="AX425" s="1208"/>
      <c r="AY425" s="1208"/>
      <c r="AZ425" s="1208"/>
      <c r="BA425" s="1208"/>
      <c r="BB425" s="1208"/>
      <c r="BC425" s="1208"/>
      <c r="BD425" s="1208"/>
      <c r="BE425" s="1208"/>
      <c r="BF425" s="1208"/>
      <c r="BG425" s="1208"/>
      <c r="BH425" s="1208"/>
      <c r="BI425" s="1208"/>
      <c r="BJ425" s="1208"/>
    </row>
    <row r="426" spans="1:62" s="1209" customFormat="1">
      <c r="A426" s="1212"/>
      <c r="D426" s="1208"/>
      <c r="E426" s="1208"/>
      <c r="F426" s="1208"/>
      <c r="G426" s="1208"/>
      <c r="H426" s="1208"/>
      <c r="I426" s="1208"/>
      <c r="J426" s="1208"/>
      <c r="K426" s="1208"/>
      <c r="L426" s="1208"/>
      <c r="M426" s="1208"/>
      <c r="N426" s="1208"/>
      <c r="O426" s="1208"/>
      <c r="P426" s="1208"/>
      <c r="Q426" s="1208"/>
      <c r="R426" s="1208"/>
      <c r="S426" s="1208"/>
      <c r="T426" s="1208"/>
      <c r="U426" s="1208"/>
      <c r="V426" s="1208"/>
      <c r="W426" s="1208"/>
      <c r="X426" s="1208"/>
      <c r="Y426" s="1208"/>
      <c r="Z426" s="1208"/>
      <c r="AA426" s="1208"/>
      <c r="AB426" s="1208"/>
      <c r="AC426" s="1208"/>
      <c r="AD426" s="1208"/>
      <c r="AE426" s="1208"/>
      <c r="AF426" s="1208"/>
      <c r="AG426" s="1208"/>
      <c r="AH426" s="1208"/>
      <c r="AI426" s="1208"/>
      <c r="AJ426" s="1208"/>
      <c r="AK426" s="1208"/>
      <c r="AL426" s="1208"/>
      <c r="AM426" s="1208"/>
      <c r="AN426" s="1208"/>
      <c r="AO426" s="1208"/>
      <c r="AP426" s="1208"/>
      <c r="AQ426" s="1208"/>
      <c r="AR426" s="1208"/>
      <c r="AS426" s="1208"/>
      <c r="AT426" s="1208"/>
      <c r="AU426" s="1208"/>
      <c r="AV426" s="1208"/>
      <c r="AW426" s="1208"/>
      <c r="AX426" s="1208"/>
      <c r="AY426" s="1208"/>
      <c r="AZ426" s="1208"/>
      <c r="BA426" s="1208"/>
      <c r="BB426" s="1208"/>
      <c r="BC426" s="1208"/>
      <c r="BD426" s="1208"/>
      <c r="BE426" s="1208"/>
      <c r="BF426" s="1208"/>
      <c r="BG426" s="1208"/>
      <c r="BH426" s="1208"/>
      <c r="BI426" s="1208"/>
      <c r="BJ426" s="1208"/>
    </row>
    <row r="427" spans="1:62" s="1209" customFormat="1">
      <c r="A427" s="1212"/>
      <c r="D427" s="1208"/>
      <c r="E427" s="1208"/>
      <c r="F427" s="1208"/>
      <c r="G427" s="1208"/>
      <c r="H427" s="1208"/>
      <c r="I427" s="1208"/>
      <c r="J427" s="1208"/>
      <c r="K427" s="1208"/>
      <c r="L427" s="1208"/>
      <c r="M427" s="1208"/>
      <c r="N427" s="1208"/>
      <c r="O427" s="1208"/>
      <c r="P427" s="1208"/>
      <c r="Q427" s="1208"/>
      <c r="R427" s="1208"/>
      <c r="S427" s="1208"/>
      <c r="T427" s="1208"/>
      <c r="U427" s="1208"/>
      <c r="V427" s="1208"/>
      <c r="W427" s="1208"/>
      <c r="X427" s="1208"/>
      <c r="Y427" s="1208"/>
      <c r="Z427" s="1208"/>
      <c r="AA427" s="1208"/>
      <c r="AB427" s="1208"/>
      <c r="AC427" s="1208"/>
      <c r="AD427" s="1208"/>
      <c r="AE427" s="1208"/>
      <c r="AF427" s="1208"/>
      <c r="AG427" s="1208"/>
      <c r="AH427" s="1208"/>
      <c r="AI427" s="1208"/>
      <c r="AJ427" s="1208"/>
      <c r="AK427" s="1208"/>
      <c r="AL427" s="1208"/>
      <c r="AM427" s="1208"/>
      <c r="AN427" s="1208"/>
      <c r="AO427" s="1208"/>
      <c r="AP427" s="1208"/>
      <c r="AQ427" s="1208"/>
      <c r="AR427" s="1208"/>
      <c r="AS427" s="1208"/>
      <c r="AT427" s="1208"/>
      <c r="AU427" s="1208"/>
      <c r="AV427" s="1208"/>
      <c r="AW427" s="1208"/>
      <c r="AX427" s="1208"/>
      <c r="AY427" s="1208"/>
      <c r="AZ427" s="1208"/>
      <c r="BA427" s="1208"/>
      <c r="BB427" s="1208"/>
      <c r="BC427" s="1208"/>
      <c r="BD427" s="1208"/>
      <c r="BE427" s="1208"/>
      <c r="BF427" s="1208"/>
      <c r="BG427" s="1208"/>
      <c r="BH427" s="1208"/>
      <c r="BI427" s="1208"/>
      <c r="BJ427" s="1208"/>
    </row>
    <row r="428" spans="1:62" s="1209" customFormat="1">
      <c r="A428" s="1212"/>
      <c r="D428" s="1208"/>
      <c r="E428" s="1208"/>
      <c r="F428" s="1208"/>
      <c r="G428" s="1208"/>
      <c r="H428" s="1208"/>
      <c r="I428" s="1208"/>
      <c r="J428" s="1208"/>
      <c r="K428" s="1208"/>
      <c r="L428" s="1208"/>
      <c r="M428" s="1208"/>
      <c r="N428" s="1208"/>
      <c r="O428" s="1208"/>
      <c r="P428" s="1208"/>
      <c r="Q428" s="1208"/>
      <c r="R428" s="1208"/>
      <c r="S428" s="1208"/>
      <c r="T428" s="1208"/>
      <c r="U428" s="1208"/>
      <c r="V428" s="1208"/>
      <c r="W428" s="1208"/>
      <c r="X428" s="1208"/>
      <c r="Y428" s="1208"/>
      <c r="Z428" s="1208"/>
      <c r="AA428" s="1208"/>
      <c r="AB428" s="1208"/>
      <c r="AC428" s="1208"/>
      <c r="AD428" s="1208"/>
      <c r="AE428" s="1208"/>
      <c r="AF428" s="1208"/>
      <c r="AG428" s="1208"/>
      <c r="AH428" s="1208"/>
      <c r="AI428" s="1208"/>
      <c r="AJ428" s="1208"/>
      <c r="AK428" s="1208"/>
      <c r="AL428" s="1208"/>
      <c r="AM428" s="1208"/>
      <c r="AN428" s="1208"/>
      <c r="AO428" s="1208"/>
      <c r="AP428" s="1208"/>
      <c r="AQ428" s="1208"/>
      <c r="AR428" s="1208"/>
      <c r="AS428" s="1208"/>
      <c r="AT428" s="1208"/>
      <c r="AU428" s="1208"/>
      <c r="AV428" s="1208"/>
      <c r="AW428" s="1208"/>
      <c r="AX428" s="1208"/>
      <c r="AY428" s="1208"/>
      <c r="AZ428" s="1208"/>
      <c r="BA428" s="1208"/>
      <c r="BB428" s="1208"/>
      <c r="BC428" s="1208"/>
      <c r="BD428" s="1208"/>
      <c r="BE428" s="1208"/>
      <c r="BF428" s="1208"/>
      <c r="BG428" s="1208"/>
      <c r="BH428" s="1208"/>
      <c r="BI428" s="1208"/>
      <c r="BJ428" s="1208"/>
    </row>
    <row r="429" spans="1:62" s="1209" customFormat="1">
      <c r="A429" s="1212"/>
      <c r="D429" s="1208"/>
      <c r="E429" s="1208"/>
      <c r="F429" s="1208"/>
      <c r="G429" s="1208"/>
      <c r="H429" s="1208"/>
      <c r="I429" s="1208"/>
      <c r="J429" s="1208"/>
      <c r="K429" s="1208"/>
      <c r="L429" s="1208"/>
      <c r="M429" s="1208"/>
      <c r="N429" s="1208"/>
      <c r="O429" s="1208"/>
      <c r="P429" s="1208"/>
      <c r="Q429" s="1208"/>
      <c r="R429" s="1208"/>
      <c r="S429" s="1208"/>
      <c r="T429" s="1208"/>
      <c r="U429" s="1208"/>
      <c r="V429" s="1208"/>
      <c r="W429" s="1208"/>
      <c r="X429" s="1208"/>
      <c r="Y429" s="1208"/>
      <c r="Z429" s="1208"/>
      <c r="AA429" s="1208"/>
      <c r="AB429" s="1208"/>
      <c r="AC429" s="1208"/>
      <c r="AD429" s="1208"/>
      <c r="AE429" s="1208"/>
      <c r="AF429" s="1208"/>
      <c r="AG429" s="1208"/>
      <c r="AH429" s="1208"/>
      <c r="AI429" s="1208"/>
      <c r="AJ429" s="1208"/>
      <c r="AK429" s="1208"/>
      <c r="AL429" s="1208"/>
      <c r="AM429" s="1208"/>
      <c r="AN429" s="1208"/>
      <c r="AO429" s="1208"/>
      <c r="AP429" s="1208"/>
      <c r="AQ429" s="1208"/>
      <c r="AR429" s="1208"/>
      <c r="AS429" s="1208"/>
      <c r="AT429" s="1208"/>
      <c r="AU429" s="1208"/>
      <c r="AV429" s="1208"/>
      <c r="AW429" s="1208"/>
      <c r="AX429" s="1208"/>
      <c r="AY429" s="1208"/>
      <c r="AZ429" s="1208"/>
      <c r="BA429" s="1208"/>
      <c r="BB429" s="1208"/>
      <c r="BC429" s="1208"/>
      <c r="BD429" s="1208"/>
      <c r="BE429" s="1208"/>
      <c r="BF429" s="1208"/>
      <c r="BG429" s="1208"/>
      <c r="BH429" s="1208"/>
      <c r="BI429" s="1208"/>
      <c r="BJ429" s="1208"/>
    </row>
    <row r="430" spans="1:62" s="1209" customFormat="1">
      <c r="A430" s="1212"/>
      <c r="D430" s="1208"/>
      <c r="E430" s="1208"/>
      <c r="F430" s="1208"/>
      <c r="G430" s="1208"/>
      <c r="H430" s="1208"/>
      <c r="I430" s="1208"/>
      <c r="J430" s="1208"/>
      <c r="K430" s="1208"/>
      <c r="L430" s="1208"/>
      <c r="M430" s="1208"/>
      <c r="N430" s="1208"/>
      <c r="O430" s="1208"/>
      <c r="P430" s="1208"/>
      <c r="Q430" s="1208"/>
      <c r="R430" s="1208"/>
      <c r="S430" s="1208"/>
      <c r="T430" s="1208"/>
      <c r="U430" s="1208"/>
      <c r="V430" s="1208"/>
      <c r="W430" s="1208"/>
      <c r="X430" s="1208"/>
      <c r="Y430" s="1208"/>
      <c r="Z430" s="1208"/>
      <c r="AA430" s="1208"/>
      <c r="AB430" s="1208"/>
      <c r="AC430" s="1208"/>
      <c r="AD430" s="1208"/>
      <c r="AE430" s="1208"/>
      <c r="AF430" s="1208"/>
      <c r="AG430" s="1208"/>
      <c r="AH430" s="1208"/>
      <c r="AI430" s="1208"/>
      <c r="AJ430" s="1208"/>
      <c r="AK430" s="1208"/>
      <c r="AL430" s="1208"/>
      <c r="AM430" s="1208"/>
      <c r="AN430" s="1208"/>
      <c r="AO430" s="1208"/>
      <c r="AP430" s="1208"/>
      <c r="AQ430" s="1208"/>
      <c r="AR430" s="1208"/>
      <c r="AS430" s="1208"/>
      <c r="AT430" s="1208"/>
      <c r="AU430" s="1208"/>
      <c r="AV430" s="1208"/>
      <c r="AW430" s="1208"/>
      <c r="AX430" s="1208"/>
      <c r="AY430" s="1208"/>
      <c r="AZ430" s="1208"/>
      <c r="BA430" s="1208"/>
      <c r="BB430" s="1208"/>
      <c r="BC430" s="1208"/>
      <c r="BD430" s="1208"/>
      <c r="BE430" s="1208"/>
      <c r="BF430" s="1208"/>
      <c r="BG430" s="1208"/>
      <c r="BH430" s="1208"/>
      <c r="BI430" s="1208"/>
      <c r="BJ430" s="1208"/>
    </row>
    <row r="431" spans="1:62" s="1209" customFormat="1">
      <c r="A431" s="1212"/>
      <c r="D431" s="1208"/>
      <c r="E431" s="1208"/>
      <c r="F431" s="1208"/>
      <c r="G431" s="1208"/>
      <c r="H431" s="1208"/>
      <c r="I431" s="1208"/>
      <c r="J431" s="1208"/>
      <c r="K431" s="1208"/>
      <c r="L431" s="1208"/>
      <c r="M431" s="1208"/>
      <c r="N431" s="1208"/>
      <c r="O431" s="1208"/>
      <c r="P431" s="1208"/>
      <c r="Q431" s="1208"/>
      <c r="R431" s="1208"/>
      <c r="S431" s="1208"/>
      <c r="T431" s="1208"/>
      <c r="U431" s="1208"/>
      <c r="V431" s="1208"/>
      <c r="W431" s="1208"/>
      <c r="X431" s="1208"/>
      <c r="Y431" s="1208"/>
      <c r="Z431" s="1208"/>
      <c r="AA431" s="1208"/>
      <c r="AB431" s="1208"/>
      <c r="AC431" s="1208"/>
      <c r="AD431" s="1208"/>
      <c r="AE431" s="1208"/>
      <c r="AF431" s="1208"/>
      <c r="AG431" s="1208"/>
      <c r="AH431" s="1208"/>
      <c r="AI431" s="1208"/>
      <c r="AJ431" s="1208"/>
      <c r="AK431" s="1208"/>
      <c r="AL431" s="1208"/>
      <c r="AM431" s="1208"/>
      <c r="AN431" s="1208"/>
      <c r="AO431" s="1208"/>
      <c r="AP431" s="1208"/>
      <c r="AQ431" s="1208"/>
      <c r="AR431" s="1208"/>
      <c r="AS431" s="1208"/>
      <c r="AT431" s="1208"/>
      <c r="AU431" s="1208"/>
      <c r="AV431" s="1208"/>
      <c r="AW431" s="1208"/>
      <c r="AX431" s="1208"/>
      <c r="AY431" s="1208"/>
      <c r="AZ431" s="1208"/>
      <c r="BA431" s="1208"/>
      <c r="BB431" s="1208"/>
      <c r="BC431" s="1208"/>
      <c r="BD431" s="1208"/>
      <c r="BE431" s="1208"/>
      <c r="BF431" s="1208"/>
      <c r="BG431" s="1208"/>
      <c r="BH431" s="1208"/>
      <c r="BI431" s="1208"/>
      <c r="BJ431" s="1208"/>
    </row>
    <row r="432" spans="1:62" s="1209" customFormat="1">
      <c r="A432" s="1212"/>
      <c r="D432" s="1208"/>
      <c r="E432" s="1208"/>
      <c r="F432" s="1208"/>
      <c r="G432" s="1208"/>
      <c r="H432" s="1208"/>
      <c r="I432" s="1208"/>
      <c r="J432" s="1208"/>
      <c r="K432" s="1208"/>
      <c r="L432" s="1208"/>
      <c r="M432" s="1208"/>
      <c r="N432" s="1208"/>
      <c r="O432" s="1208"/>
      <c r="P432" s="1208"/>
      <c r="Q432" s="1208"/>
      <c r="R432" s="1208"/>
      <c r="S432" s="1208"/>
      <c r="T432" s="1208"/>
      <c r="U432" s="1208"/>
      <c r="V432" s="1208"/>
      <c r="W432" s="1208"/>
      <c r="X432" s="1208"/>
      <c r="Y432" s="1208"/>
      <c r="Z432" s="1208"/>
      <c r="AA432" s="1208"/>
      <c r="AB432" s="1208"/>
      <c r="AC432" s="1208"/>
      <c r="AD432" s="1208"/>
      <c r="AE432" s="1208"/>
      <c r="AF432" s="1208"/>
      <c r="AG432" s="1208"/>
      <c r="AH432" s="1208"/>
      <c r="AI432" s="1208"/>
      <c r="AJ432" s="1208"/>
      <c r="AK432" s="1208"/>
      <c r="AL432" s="1208"/>
      <c r="AM432" s="1208"/>
      <c r="AN432" s="1208"/>
      <c r="AO432" s="1208"/>
      <c r="AP432" s="1208"/>
      <c r="AQ432" s="1208"/>
      <c r="AR432" s="1208"/>
      <c r="AS432" s="1208"/>
      <c r="AT432" s="1208"/>
      <c r="AU432" s="1208"/>
      <c r="AV432" s="1208"/>
      <c r="AW432" s="1208"/>
      <c r="AX432" s="1208"/>
      <c r="AY432" s="1208"/>
      <c r="AZ432" s="1208"/>
      <c r="BA432" s="1208"/>
      <c r="BB432" s="1208"/>
      <c r="BC432" s="1208"/>
      <c r="BD432" s="1208"/>
      <c r="BE432" s="1208"/>
      <c r="BF432" s="1208"/>
      <c r="BG432" s="1208"/>
      <c r="BH432" s="1208"/>
      <c r="BI432" s="1208"/>
      <c r="BJ432" s="1208"/>
    </row>
    <row r="433" spans="1:62" s="1209" customFormat="1">
      <c r="A433" s="1212"/>
      <c r="D433" s="1208"/>
      <c r="E433" s="1208"/>
      <c r="F433" s="1208"/>
      <c r="G433" s="1208"/>
      <c r="H433" s="1208"/>
      <c r="I433" s="1208"/>
      <c r="J433" s="1208"/>
      <c r="K433" s="1208"/>
      <c r="L433" s="1208"/>
      <c r="M433" s="1208"/>
      <c r="N433" s="1208"/>
      <c r="O433" s="1208"/>
      <c r="P433" s="1208"/>
      <c r="Q433" s="1208"/>
      <c r="R433" s="1208"/>
      <c r="S433" s="1208"/>
      <c r="T433" s="1208"/>
      <c r="U433" s="1208"/>
      <c r="V433" s="1208"/>
      <c r="W433" s="1208"/>
      <c r="X433" s="1208"/>
      <c r="Y433" s="1208"/>
      <c r="Z433" s="1208"/>
      <c r="AA433" s="1208"/>
      <c r="AB433" s="1208"/>
      <c r="AC433" s="1208"/>
      <c r="AD433" s="1208"/>
      <c r="AE433" s="1208"/>
      <c r="AF433" s="1208"/>
      <c r="AG433" s="1208"/>
      <c r="AH433" s="1208"/>
      <c r="AI433" s="1208"/>
      <c r="AJ433" s="1208"/>
      <c r="AK433" s="1208"/>
      <c r="AL433" s="1208"/>
      <c r="AM433" s="1208"/>
      <c r="AN433" s="1208"/>
      <c r="AO433" s="1208"/>
      <c r="AP433" s="1208"/>
      <c r="AQ433" s="1208"/>
      <c r="AR433" s="1208"/>
      <c r="AS433" s="1208"/>
      <c r="AT433" s="1208"/>
      <c r="AU433" s="1208"/>
      <c r="AV433" s="1208"/>
      <c r="AW433" s="1208"/>
      <c r="AX433" s="1208"/>
      <c r="AY433" s="1208"/>
      <c r="AZ433" s="1208"/>
      <c r="BA433" s="1208"/>
      <c r="BB433" s="1208"/>
      <c r="BC433" s="1208"/>
      <c r="BD433" s="1208"/>
      <c r="BE433" s="1208"/>
      <c r="BF433" s="1208"/>
      <c r="BG433" s="1208"/>
      <c r="BH433" s="1208"/>
      <c r="BI433" s="1208"/>
      <c r="BJ433" s="1208"/>
    </row>
    <row r="434" spans="1:62" s="1209" customFormat="1">
      <c r="A434" s="1212"/>
      <c r="D434" s="1208"/>
      <c r="E434" s="1208"/>
      <c r="F434" s="1208"/>
      <c r="G434" s="1208"/>
      <c r="H434" s="1208"/>
      <c r="I434" s="1208"/>
      <c r="J434" s="1208"/>
      <c r="K434" s="1208"/>
      <c r="L434" s="1208"/>
      <c r="M434" s="1208"/>
      <c r="N434" s="1208"/>
      <c r="O434" s="1208"/>
      <c r="P434" s="1208"/>
      <c r="Q434" s="1208"/>
      <c r="R434" s="1208"/>
      <c r="S434" s="1208"/>
      <c r="T434" s="1208"/>
      <c r="U434" s="1208"/>
      <c r="V434" s="1208"/>
      <c r="W434" s="1208"/>
      <c r="X434" s="1208"/>
      <c r="Y434" s="1208"/>
      <c r="Z434" s="1208"/>
      <c r="AA434" s="1208"/>
      <c r="AB434" s="1208"/>
      <c r="AC434" s="1208"/>
      <c r="AD434" s="1208"/>
      <c r="AE434" s="1208"/>
      <c r="AF434" s="1208"/>
      <c r="AG434" s="1208"/>
      <c r="AH434" s="1208"/>
      <c r="AI434" s="1208"/>
      <c r="AJ434" s="1208"/>
      <c r="AK434" s="1208"/>
      <c r="AL434" s="1208"/>
      <c r="AM434" s="1208"/>
      <c r="AN434" s="1208"/>
      <c r="AO434" s="1208"/>
      <c r="AP434" s="1208"/>
      <c r="AQ434" s="1208"/>
      <c r="AR434" s="1208"/>
      <c r="AS434" s="1208"/>
      <c r="AT434" s="1208"/>
      <c r="AU434" s="1208"/>
      <c r="AV434" s="1208"/>
      <c r="AW434" s="1208"/>
      <c r="AX434" s="1208"/>
      <c r="AY434" s="1208"/>
      <c r="AZ434" s="1208"/>
      <c r="BA434" s="1208"/>
      <c r="BB434" s="1208"/>
      <c r="BC434" s="1208"/>
      <c r="BD434" s="1208"/>
      <c r="BE434" s="1208"/>
      <c r="BF434" s="1208"/>
      <c r="BG434" s="1208"/>
      <c r="BH434" s="1208"/>
      <c r="BI434" s="1208"/>
      <c r="BJ434" s="1208"/>
    </row>
    <row r="435" spans="1:62" s="1209" customFormat="1">
      <c r="A435" s="1212"/>
      <c r="D435" s="1208"/>
      <c r="E435" s="1208"/>
      <c r="F435" s="1208"/>
      <c r="G435" s="1208"/>
      <c r="H435" s="1208"/>
      <c r="I435" s="1208"/>
      <c r="J435" s="1208"/>
      <c r="K435" s="1208"/>
      <c r="L435" s="1208"/>
      <c r="M435" s="1208"/>
      <c r="N435" s="1208"/>
      <c r="O435" s="1208"/>
      <c r="P435" s="1208"/>
      <c r="Q435" s="1208"/>
      <c r="R435" s="1208"/>
      <c r="S435" s="1208"/>
      <c r="T435" s="1208"/>
      <c r="U435" s="1208"/>
      <c r="V435" s="1208"/>
      <c r="W435" s="1208"/>
      <c r="X435" s="1208"/>
      <c r="Y435" s="1208"/>
      <c r="Z435" s="1208"/>
      <c r="AA435" s="1208"/>
      <c r="AB435" s="1208"/>
      <c r="AC435" s="1208"/>
      <c r="AD435" s="1208"/>
      <c r="AE435" s="1208"/>
      <c r="AF435" s="1208"/>
      <c r="AG435" s="1208"/>
      <c r="AH435" s="1208"/>
      <c r="AI435" s="1208"/>
      <c r="AJ435" s="1208"/>
      <c r="AK435" s="1208"/>
      <c r="AL435" s="1208"/>
      <c r="AM435" s="1208"/>
      <c r="AN435" s="1208"/>
      <c r="AO435" s="1208"/>
      <c r="AP435" s="1208"/>
      <c r="AQ435" s="1208"/>
      <c r="AR435" s="1208"/>
      <c r="AS435" s="1208"/>
      <c r="AT435" s="1208"/>
      <c r="AU435" s="1208"/>
      <c r="AV435" s="1208"/>
      <c r="AW435" s="1208"/>
      <c r="AX435" s="1208"/>
      <c r="AY435" s="1208"/>
      <c r="AZ435" s="1208"/>
      <c r="BA435" s="1208"/>
      <c r="BB435" s="1208"/>
      <c r="BC435" s="1208"/>
      <c r="BD435" s="1208"/>
      <c r="BE435" s="1208"/>
      <c r="BF435" s="1208"/>
      <c r="BG435" s="1208"/>
      <c r="BH435" s="1208"/>
      <c r="BI435" s="1208"/>
      <c r="BJ435" s="1208"/>
    </row>
    <row r="436" spans="1:62" s="1209" customFormat="1">
      <c r="A436" s="1212"/>
      <c r="D436" s="1208"/>
      <c r="E436" s="1208"/>
      <c r="F436" s="1208"/>
      <c r="G436" s="1208"/>
      <c r="H436" s="1208"/>
      <c r="I436" s="1208"/>
      <c r="J436" s="1208"/>
      <c r="K436" s="1208"/>
      <c r="L436" s="1208"/>
      <c r="M436" s="1208"/>
      <c r="N436" s="1208"/>
      <c r="O436" s="1208"/>
      <c r="P436" s="1208"/>
      <c r="Q436" s="1208"/>
      <c r="R436" s="1208"/>
      <c r="S436" s="1208"/>
      <c r="T436" s="1208"/>
      <c r="U436" s="1208"/>
      <c r="V436" s="1208"/>
      <c r="W436" s="1208"/>
      <c r="X436" s="1208"/>
      <c r="Y436" s="1208"/>
      <c r="Z436" s="1208"/>
      <c r="AA436" s="1208"/>
      <c r="AB436" s="1208"/>
      <c r="AC436" s="1208"/>
      <c r="AD436" s="1208"/>
      <c r="AE436" s="1208"/>
      <c r="AF436" s="1208"/>
      <c r="AG436" s="1208"/>
      <c r="AH436" s="1208"/>
      <c r="AI436" s="1208"/>
      <c r="AJ436" s="1208"/>
      <c r="AK436" s="1208"/>
      <c r="AL436" s="1208"/>
      <c r="AM436" s="1208"/>
      <c r="AN436" s="1208"/>
      <c r="AO436" s="1208"/>
      <c r="AP436" s="1208"/>
      <c r="AQ436" s="1208"/>
      <c r="AR436" s="1208"/>
      <c r="AS436" s="1208"/>
      <c r="AT436" s="1208"/>
      <c r="AU436" s="1208"/>
      <c r="AV436" s="1208"/>
      <c r="AW436" s="1208"/>
      <c r="AX436" s="1208"/>
      <c r="AY436" s="1208"/>
      <c r="AZ436" s="1208"/>
      <c r="BA436" s="1208"/>
      <c r="BB436" s="1208"/>
      <c r="BC436" s="1208"/>
      <c r="BD436" s="1208"/>
      <c r="BE436" s="1208"/>
      <c r="BF436" s="1208"/>
      <c r="BG436" s="1208"/>
      <c r="BH436" s="1208"/>
      <c r="BI436" s="1208"/>
      <c r="BJ436" s="1208"/>
    </row>
    <row r="437" spans="1:62" s="1209" customFormat="1">
      <c r="A437" s="1212"/>
      <c r="D437" s="1208"/>
      <c r="E437" s="1208"/>
      <c r="F437" s="1208"/>
      <c r="G437" s="1208"/>
      <c r="H437" s="1208"/>
      <c r="I437" s="1208"/>
      <c r="J437" s="1208"/>
      <c r="K437" s="1208"/>
      <c r="L437" s="1208"/>
      <c r="M437" s="1208"/>
      <c r="N437" s="1208"/>
      <c r="O437" s="1208"/>
      <c r="P437" s="1208"/>
      <c r="Q437" s="1208"/>
      <c r="R437" s="1208"/>
      <c r="S437" s="1208"/>
      <c r="T437" s="1208"/>
      <c r="U437" s="1208"/>
      <c r="V437" s="1208"/>
      <c r="W437" s="1208"/>
      <c r="X437" s="1208"/>
      <c r="Y437" s="1208"/>
      <c r="Z437" s="1208"/>
      <c r="AA437" s="1208"/>
      <c r="AB437" s="1208"/>
      <c r="AC437" s="1208"/>
      <c r="AD437" s="1208"/>
      <c r="AE437" s="1208"/>
      <c r="AF437" s="1208"/>
      <c r="AG437" s="1208"/>
      <c r="AH437" s="1208"/>
      <c r="AI437" s="1208"/>
      <c r="AJ437" s="1208"/>
      <c r="AK437" s="1208"/>
      <c r="AL437" s="1208"/>
      <c r="AM437" s="1208"/>
      <c r="AN437" s="1208"/>
      <c r="AO437" s="1208"/>
      <c r="AP437" s="1208"/>
      <c r="AQ437" s="1208"/>
      <c r="AR437" s="1208"/>
      <c r="AS437" s="1208"/>
      <c r="AT437" s="1208"/>
      <c r="AU437" s="1208"/>
      <c r="AV437" s="1208"/>
      <c r="AW437" s="1208"/>
      <c r="AX437" s="1208"/>
      <c r="AY437" s="1208"/>
      <c r="AZ437" s="1208"/>
      <c r="BA437" s="1208"/>
      <c r="BB437" s="1208"/>
      <c r="BC437" s="1208"/>
      <c r="BD437" s="1208"/>
      <c r="BE437" s="1208"/>
      <c r="BF437" s="1208"/>
      <c r="BG437" s="1208"/>
      <c r="BH437" s="1208"/>
      <c r="BI437" s="1208"/>
      <c r="BJ437" s="1208"/>
    </row>
    <row r="438" spans="1:62" s="1209" customFormat="1">
      <c r="A438" s="1212"/>
      <c r="D438" s="1208"/>
      <c r="E438" s="1208"/>
      <c r="F438" s="1208"/>
      <c r="G438" s="1208"/>
      <c r="H438" s="1208"/>
      <c r="I438" s="1208"/>
      <c r="J438" s="1208"/>
      <c r="K438" s="1208"/>
      <c r="L438" s="1208"/>
      <c r="M438" s="1208"/>
      <c r="N438" s="1208"/>
      <c r="O438" s="1208"/>
      <c r="P438" s="1208"/>
      <c r="Q438" s="1208"/>
      <c r="R438" s="1208"/>
      <c r="S438" s="1208"/>
      <c r="T438" s="1208"/>
      <c r="U438" s="1208"/>
      <c r="V438" s="1208"/>
      <c r="W438" s="1208"/>
      <c r="X438" s="1208"/>
      <c r="Y438" s="1208"/>
      <c r="Z438" s="1208"/>
      <c r="AA438" s="1208"/>
      <c r="AB438" s="1208"/>
      <c r="AC438" s="1208"/>
      <c r="AD438" s="1208"/>
      <c r="AE438" s="1208"/>
      <c r="AF438" s="1208"/>
      <c r="AG438" s="1208"/>
      <c r="AH438" s="1208"/>
      <c r="AI438" s="1208"/>
      <c r="AJ438" s="1208"/>
      <c r="AK438" s="1208"/>
      <c r="AL438" s="1208"/>
      <c r="AM438" s="1208"/>
      <c r="AN438" s="1208"/>
      <c r="AO438" s="1208"/>
      <c r="AP438" s="1208"/>
      <c r="AQ438" s="1208"/>
      <c r="AR438" s="1208"/>
      <c r="AS438" s="1208"/>
      <c r="AT438" s="1208"/>
      <c r="AU438" s="1208"/>
      <c r="AV438" s="1208"/>
      <c r="AW438" s="1208"/>
      <c r="AX438" s="1208"/>
      <c r="AY438" s="1208"/>
      <c r="AZ438" s="1208"/>
      <c r="BA438" s="1208"/>
      <c r="BB438" s="1208"/>
      <c r="BC438" s="1208"/>
      <c r="BD438" s="1208"/>
      <c r="BE438" s="1208"/>
      <c r="BF438" s="1208"/>
      <c r="BG438" s="1208"/>
      <c r="BH438" s="1208"/>
      <c r="BI438" s="1208"/>
      <c r="BJ438" s="1208"/>
    </row>
    <row r="439" spans="1:62" s="1209" customFormat="1">
      <c r="A439" s="1212"/>
      <c r="D439" s="1208"/>
      <c r="E439" s="1208"/>
      <c r="F439" s="1208"/>
      <c r="G439" s="1208"/>
      <c r="H439" s="1208"/>
      <c r="I439" s="1208"/>
      <c r="J439" s="1208"/>
      <c r="K439" s="1208"/>
      <c r="L439" s="1208"/>
      <c r="M439" s="1208"/>
      <c r="N439" s="1208"/>
      <c r="O439" s="1208"/>
      <c r="P439" s="1208"/>
      <c r="Q439" s="1208"/>
      <c r="R439" s="1208"/>
      <c r="S439" s="1208"/>
      <c r="T439" s="1208"/>
      <c r="U439" s="1208"/>
      <c r="V439" s="1208"/>
      <c r="W439" s="1208"/>
      <c r="X439" s="1208"/>
      <c r="Y439" s="1208"/>
      <c r="Z439" s="1208"/>
      <c r="AA439" s="1208"/>
      <c r="AB439" s="1208"/>
      <c r="AC439" s="1208"/>
      <c r="AD439" s="1208"/>
      <c r="AE439" s="1208"/>
      <c r="AF439" s="1208"/>
      <c r="AG439" s="1208"/>
      <c r="AH439" s="1208"/>
      <c r="AI439" s="1208"/>
      <c r="AJ439" s="1208"/>
      <c r="AK439" s="1208"/>
      <c r="AL439" s="1208"/>
      <c r="AM439" s="1208"/>
      <c r="AN439" s="1208"/>
      <c r="AO439" s="1208"/>
      <c r="AP439" s="1208"/>
      <c r="AQ439" s="1208"/>
      <c r="AR439" s="1208"/>
      <c r="AS439" s="1208"/>
      <c r="AT439" s="1208"/>
      <c r="AU439" s="1208"/>
      <c r="AV439" s="1208"/>
      <c r="AW439" s="1208"/>
      <c r="AX439" s="1208"/>
      <c r="AY439" s="1208"/>
      <c r="AZ439" s="1208"/>
      <c r="BA439" s="1208"/>
      <c r="BB439" s="1208"/>
      <c r="BC439" s="1208"/>
      <c r="BD439" s="1208"/>
      <c r="BE439" s="1208"/>
      <c r="BF439" s="1208"/>
      <c r="BG439" s="1208"/>
      <c r="BH439" s="1208"/>
      <c r="BI439" s="1208"/>
      <c r="BJ439" s="1208"/>
    </row>
    <row r="440" spans="1:62" s="1209" customFormat="1">
      <c r="A440" s="1212"/>
      <c r="D440" s="1208"/>
      <c r="E440" s="1208"/>
      <c r="F440" s="1208"/>
      <c r="G440" s="1208"/>
      <c r="H440" s="1208"/>
      <c r="I440" s="1208"/>
      <c r="J440" s="1208"/>
      <c r="K440" s="1208"/>
      <c r="L440" s="1208"/>
      <c r="M440" s="1208"/>
      <c r="N440" s="1208"/>
      <c r="O440" s="1208"/>
      <c r="P440" s="1208"/>
      <c r="Q440" s="1208"/>
      <c r="R440" s="1208"/>
      <c r="S440" s="1208"/>
      <c r="T440" s="1208"/>
      <c r="U440" s="1208"/>
      <c r="V440" s="1208"/>
      <c r="W440" s="1208"/>
      <c r="X440" s="1208"/>
      <c r="Y440" s="1208"/>
      <c r="Z440" s="1208"/>
      <c r="AA440" s="1208"/>
      <c r="AB440" s="1208"/>
      <c r="AC440" s="1208"/>
      <c r="AD440" s="1208"/>
      <c r="AE440" s="1208"/>
      <c r="AF440" s="1208"/>
      <c r="AG440" s="1208"/>
      <c r="AH440" s="1208"/>
      <c r="AI440" s="1208"/>
      <c r="AJ440" s="1208"/>
      <c r="AK440" s="1208"/>
      <c r="AL440" s="1208"/>
      <c r="AM440" s="1208"/>
      <c r="AN440" s="1208"/>
      <c r="AO440" s="1208"/>
      <c r="AP440" s="1208"/>
      <c r="AQ440" s="1208"/>
      <c r="AR440" s="1208"/>
      <c r="AS440" s="1208"/>
      <c r="AT440" s="1208"/>
      <c r="AU440" s="1208"/>
      <c r="AV440" s="1208"/>
      <c r="AW440" s="1208"/>
      <c r="AX440" s="1208"/>
      <c r="AY440" s="1208"/>
      <c r="AZ440" s="1208"/>
      <c r="BA440" s="1208"/>
      <c r="BB440" s="1208"/>
      <c r="BC440" s="1208"/>
      <c r="BD440" s="1208"/>
      <c r="BE440" s="1208"/>
      <c r="BF440" s="1208"/>
      <c r="BG440" s="1208"/>
      <c r="BH440" s="1208"/>
      <c r="BI440" s="1208"/>
      <c r="BJ440" s="1208"/>
    </row>
    <row r="441" spans="1:62" s="1209" customFormat="1">
      <c r="A441" s="1212"/>
      <c r="D441" s="1208"/>
      <c r="E441" s="1208"/>
      <c r="F441" s="1208"/>
      <c r="G441" s="1208"/>
      <c r="H441" s="1208"/>
      <c r="I441" s="1208"/>
      <c r="J441" s="1208"/>
      <c r="K441" s="1208"/>
      <c r="L441" s="1208"/>
      <c r="M441" s="1208"/>
      <c r="N441" s="1208"/>
      <c r="O441" s="1208"/>
      <c r="P441" s="1208"/>
      <c r="Q441" s="1208"/>
      <c r="R441" s="1208"/>
      <c r="S441" s="1208"/>
      <c r="T441" s="1208"/>
      <c r="U441" s="1208"/>
      <c r="V441" s="1208"/>
      <c r="W441" s="1208"/>
      <c r="X441" s="1208"/>
      <c r="Y441" s="1208"/>
      <c r="Z441" s="1208"/>
      <c r="AA441" s="1208"/>
      <c r="AB441" s="1208"/>
      <c r="AC441" s="1208"/>
      <c r="AD441" s="1208"/>
      <c r="AE441" s="1208"/>
      <c r="AF441" s="1208"/>
      <c r="AG441" s="1208"/>
      <c r="AH441" s="1208"/>
      <c r="AI441" s="1208"/>
      <c r="AJ441" s="1208"/>
      <c r="AK441" s="1208"/>
      <c r="AL441" s="1208"/>
      <c r="AM441" s="1208"/>
      <c r="AN441" s="1208"/>
      <c r="AO441" s="1208"/>
      <c r="AP441" s="1208"/>
      <c r="AQ441" s="1208"/>
      <c r="AR441" s="1208"/>
      <c r="AS441" s="1208"/>
      <c r="AT441" s="1208"/>
      <c r="AU441" s="1208"/>
      <c r="AV441" s="1208"/>
      <c r="AW441" s="1208"/>
      <c r="AX441" s="1208"/>
      <c r="AY441" s="1208"/>
      <c r="AZ441" s="1208"/>
      <c r="BA441" s="1208"/>
      <c r="BB441" s="1208"/>
      <c r="BC441" s="1208"/>
      <c r="BD441" s="1208"/>
      <c r="BE441" s="1208"/>
      <c r="BF441" s="1208"/>
      <c r="BG441" s="1208"/>
      <c r="BH441" s="1208"/>
      <c r="BI441" s="1208"/>
      <c r="BJ441" s="1208"/>
    </row>
    <row r="442" spans="1:62" s="1209" customFormat="1">
      <c r="A442" s="1212"/>
      <c r="D442" s="1208"/>
      <c r="E442" s="1208"/>
      <c r="F442" s="1208"/>
      <c r="G442" s="1208"/>
      <c r="H442" s="1208"/>
      <c r="I442" s="1208"/>
      <c r="J442" s="1208"/>
      <c r="K442" s="1208"/>
      <c r="L442" s="1208"/>
      <c r="M442" s="1208"/>
      <c r="N442" s="1208"/>
      <c r="O442" s="1208"/>
      <c r="P442" s="1208"/>
      <c r="Q442" s="1208"/>
      <c r="R442" s="1208"/>
      <c r="S442" s="1208"/>
      <c r="T442" s="1208"/>
      <c r="U442" s="1208"/>
      <c r="V442" s="1208"/>
      <c r="W442" s="1208"/>
      <c r="X442" s="1208"/>
      <c r="Y442" s="1208"/>
      <c r="Z442" s="1208"/>
      <c r="AA442" s="1208"/>
      <c r="AB442" s="1208"/>
      <c r="AC442" s="1208"/>
      <c r="AD442" s="1208"/>
      <c r="AE442" s="1208"/>
      <c r="AF442" s="1208"/>
      <c r="AG442" s="1208"/>
      <c r="AH442" s="1208"/>
      <c r="AI442" s="1208"/>
      <c r="AJ442" s="1208"/>
      <c r="AK442" s="1208"/>
      <c r="AL442" s="1208"/>
      <c r="AM442" s="1208"/>
      <c r="AN442" s="1208"/>
      <c r="AO442" s="1208"/>
      <c r="AP442" s="1208"/>
      <c r="AQ442" s="1208"/>
      <c r="AR442" s="1208"/>
      <c r="AS442" s="1208"/>
      <c r="AT442" s="1208"/>
      <c r="AU442" s="1208"/>
      <c r="AV442" s="1208"/>
      <c r="AW442" s="1208"/>
      <c r="AX442" s="1208"/>
      <c r="AY442" s="1208"/>
      <c r="AZ442" s="1208"/>
      <c r="BA442" s="1208"/>
      <c r="BB442" s="1208"/>
      <c r="BC442" s="1208"/>
      <c r="BD442" s="1208"/>
      <c r="BE442" s="1208"/>
      <c r="BF442" s="1208"/>
      <c r="BG442" s="1208"/>
      <c r="BH442" s="1208"/>
      <c r="BI442" s="1208"/>
      <c r="BJ442" s="1208"/>
    </row>
    <row r="443" spans="1:62" s="1209" customFormat="1">
      <c r="A443" s="1212"/>
      <c r="D443" s="1208"/>
      <c r="E443" s="1208"/>
      <c r="F443" s="1208"/>
      <c r="G443" s="1208"/>
      <c r="H443" s="1208"/>
      <c r="I443" s="1208"/>
      <c r="J443" s="1208"/>
      <c r="K443" s="1208"/>
      <c r="L443" s="1208"/>
      <c r="M443" s="1208"/>
      <c r="N443" s="1208"/>
      <c r="O443" s="1208"/>
      <c r="P443" s="1208"/>
      <c r="Q443" s="1208"/>
      <c r="R443" s="1208"/>
      <c r="S443" s="1208"/>
      <c r="T443" s="1208"/>
      <c r="U443" s="1208"/>
      <c r="V443" s="1208"/>
      <c r="W443" s="1208"/>
      <c r="X443" s="1208"/>
      <c r="Y443" s="1208"/>
      <c r="Z443" s="1208"/>
      <c r="AA443" s="1208"/>
      <c r="AB443" s="1208"/>
      <c r="AC443" s="1208"/>
      <c r="AD443" s="1208"/>
      <c r="AE443" s="1208"/>
      <c r="AF443" s="1208"/>
      <c r="AG443" s="1208"/>
      <c r="AH443" s="1208"/>
      <c r="AI443" s="1208"/>
      <c r="AJ443" s="1208"/>
      <c r="AK443" s="1208"/>
      <c r="AL443" s="1208"/>
      <c r="AM443" s="1208"/>
      <c r="AN443" s="1208"/>
      <c r="AO443" s="1208"/>
      <c r="AP443" s="1208"/>
      <c r="AQ443" s="1208"/>
      <c r="AR443" s="1208"/>
      <c r="AS443" s="1208"/>
      <c r="AT443" s="1208"/>
      <c r="AU443" s="1208"/>
      <c r="AV443" s="1208"/>
      <c r="AW443" s="1208"/>
      <c r="AX443" s="1208"/>
      <c r="AY443" s="1208"/>
      <c r="AZ443" s="1208"/>
      <c r="BA443" s="1208"/>
      <c r="BB443" s="1208"/>
      <c r="BC443" s="1208"/>
      <c r="BD443" s="1208"/>
      <c r="BE443" s="1208"/>
      <c r="BF443" s="1208"/>
      <c r="BG443" s="1208"/>
      <c r="BH443" s="1208"/>
      <c r="BI443" s="1208"/>
      <c r="BJ443" s="1208"/>
    </row>
    <row r="444" spans="1:62" s="1209" customFormat="1">
      <c r="A444" s="1212"/>
      <c r="D444" s="1208"/>
      <c r="E444" s="1208"/>
      <c r="F444" s="1208"/>
      <c r="G444" s="1208"/>
      <c r="H444" s="1208"/>
      <c r="I444" s="1208"/>
      <c r="J444" s="1208"/>
      <c r="K444" s="1208"/>
      <c r="L444" s="1208"/>
      <c r="M444" s="1208"/>
      <c r="N444" s="1208"/>
      <c r="O444" s="1208"/>
      <c r="P444" s="1208"/>
      <c r="Q444" s="1208"/>
      <c r="R444" s="1208"/>
      <c r="S444" s="1208"/>
      <c r="T444" s="1208"/>
      <c r="U444" s="1208"/>
      <c r="V444" s="1208"/>
      <c r="W444" s="1208"/>
      <c r="X444" s="1208"/>
      <c r="Y444" s="1208"/>
      <c r="Z444" s="1208"/>
      <c r="AA444" s="1208"/>
      <c r="AB444" s="1208"/>
      <c r="AC444" s="1208"/>
      <c r="AD444" s="1208"/>
      <c r="AE444" s="1208"/>
      <c r="AF444" s="1208"/>
      <c r="AG444" s="1208"/>
      <c r="AH444" s="1208"/>
      <c r="AI444" s="1208"/>
      <c r="AJ444" s="1208"/>
      <c r="AK444" s="1208"/>
      <c r="AL444" s="1208"/>
      <c r="AM444" s="1208"/>
      <c r="AN444" s="1208"/>
      <c r="AO444" s="1208"/>
      <c r="AP444" s="1208"/>
      <c r="AQ444" s="1208"/>
      <c r="AR444" s="1208"/>
      <c r="AS444" s="1208"/>
      <c r="AT444" s="1208"/>
      <c r="AU444" s="1208"/>
      <c r="AV444" s="1208"/>
      <c r="AW444" s="1208"/>
      <c r="AX444" s="1208"/>
      <c r="AY444" s="1208"/>
      <c r="AZ444" s="1208"/>
      <c r="BA444" s="1208"/>
      <c r="BB444" s="1208"/>
      <c r="BC444" s="1208"/>
      <c r="BD444" s="1208"/>
      <c r="BE444" s="1208"/>
      <c r="BF444" s="1208"/>
      <c r="BG444" s="1208"/>
      <c r="BH444" s="1208"/>
      <c r="BI444" s="1208"/>
      <c r="BJ444" s="1208"/>
    </row>
    <row r="445" spans="1:62" s="1209" customFormat="1">
      <c r="A445" s="1212"/>
      <c r="D445" s="1208"/>
      <c r="E445" s="1208"/>
      <c r="F445" s="1208"/>
      <c r="G445" s="1208"/>
      <c r="H445" s="1208"/>
      <c r="I445" s="1208"/>
      <c r="J445" s="1208"/>
      <c r="K445" s="1208"/>
      <c r="L445" s="1208"/>
      <c r="M445" s="1208"/>
      <c r="N445" s="1208"/>
      <c r="O445" s="1208"/>
      <c r="P445" s="1208"/>
      <c r="Q445" s="1208"/>
      <c r="R445" s="1208"/>
      <c r="S445" s="1208"/>
      <c r="T445" s="1208"/>
      <c r="U445" s="1208"/>
      <c r="V445" s="1208"/>
      <c r="W445" s="1208"/>
      <c r="X445" s="1208"/>
      <c r="Y445" s="1208"/>
      <c r="Z445" s="1208"/>
      <c r="AA445" s="1208"/>
      <c r="AB445" s="1208"/>
      <c r="AC445" s="1208"/>
      <c r="AD445" s="1208"/>
      <c r="AE445" s="1208"/>
      <c r="AF445" s="1208"/>
      <c r="AG445" s="1208"/>
      <c r="AH445" s="1208"/>
      <c r="AI445" s="1208"/>
      <c r="AJ445" s="1208"/>
      <c r="AK445" s="1208"/>
      <c r="AL445" s="1208"/>
      <c r="AM445" s="1208"/>
      <c r="AN445" s="1208"/>
      <c r="AO445" s="1208"/>
      <c r="AP445" s="1208"/>
      <c r="AQ445" s="1208"/>
      <c r="AR445" s="1208"/>
      <c r="AS445" s="1208"/>
      <c r="AT445" s="1208"/>
      <c r="AU445" s="1208"/>
      <c r="AV445" s="1208"/>
      <c r="AW445" s="1208"/>
      <c r="AX445" s="1208"/>
      <c r="AY445" s="1208"/>
      <c r="AZ445" s="1208"/>
      <c r="BA445" s="1208"/>
      <c r="BB445" s="1208"/>
      <c r="BC445" s="1208"/>
      <c r="BD445" s="1208"/>
      <c r="BE445" s="1208"/>
      <c r="BF445" s="1208"/>
      <c r="BG445" s="1208"/>
      <c r="BH445" s="1208"/>
      <c r="BI445" s="1208"/>
      <c r="BJ445" s="1208"/>
    </row>
    <row r="446" spans="1:62" s="1209" customFormat="1">
      <c r="A446" s="1212"/>
      <c r="D446" s="1208"/>
      <c r="E446" s="1208"/>
      <c r="F446" s="1208"/>
      <c r="G446" s="1208"/>
      <c r="H446" s="1208"/>
      <c r="I446" s="1208"/>
      <c r="J446" s="1208"/>
      <c r="K446" s="1208"/>
      <c r="L446" s="1208"/>
      <c r="M446" s="1208"/>
      <c r="N446" s="1208"/>
      <c r="O446" s="1208"/>
      <c r="P446" s="1208"/>
      <c r="Q446" s="1208"/>
      <c r="R446" s="1208"/>
      <c r="S446" s="1208"/>
      <c r="T446" s="1208"/>
      <c r="U446" s="1208"/>
      <c r="V446" s="1208"/>
      <c r="W446" s="1208"/>
      <c r="X446" s="1208"/>
      <c r="Y446" s="1208"/>
      <c r="Z446" s="1208"/>
      <c r="AA446" s="1208"/>
      <c r="AB446" s="1208"/>
      <c r="AC446" s="1208"/>
      <c r="AD446" s="1208"/>
      <c r="AE446" s="1208"/>
      <c r="AF446" s="1208"/>
      <c r="AG446" s="1208"/>
      <c r="AH446" s="1208"/>
      <c r="AI446" s="1208"/>
      <c r="AJ446" s="1208"/>
      <c r="AK446" s="1208"/>
      <c r="AL446" s="1208"/>
      <c r="AM446" s="1208"/>
      <c r="AN446" s="1208"/>
      <c r="AO446" s="1208"/>
      <c r="AP446" s="1208"/>
      <c r="AQ446" s="1208"/>
      <c r="AR446" s="1208"/>
      <c r="AS446" s="1208"/>
      <c r="AT446" s="1208"/>
      <c r="AU446" s="1208"/>
      <c r="AV446" s="1208"/>
      <c r="AW446" s="1208"/>
      <c r="AX446" s="1208"/>
      <c r="AY446" s="1208"/>
      <c r="AZ446" s="1208"/>
      <c r="BA446" s="1208"/>
      <c r="BB446" s="1208"/>
      <c r="BC446" s="1208"/>
      <c r="BD446" s="1208"/>
      <c r="BE446" s="1208"/>
      <c r="BF446" s="1208"/>
      <c r="BG446" s="1208"/>
      <c r="BH446" s="1208"/>
      <c r="BI446" s="1208"/>
      <c r="BJ446" s="1208"/>
    </row>
    <row r="447" spans="1:62" s="1209" customFormat="1">
      <c r="A447" s="1212"/>
      <c r="D447" s="1208"/>
      <c r="E447" s="1208"/>
      <c r="F447" s="1208"/>
      <c r="G447" s="1208"/>
      <c r="H447" s="1208"/>
      <c r="I447" s="1208"/>
      <c r="J447" s="1208"/>
      <c r="K447" s="1208"/>
      <c r="L447" s="1208"/>
      <c r="M447" s="1208"/>
      <c r="N447" s="1208"/>
      <c r="O447" s="1208"/>
      <c r="P447" s="1208"/>
      <c r="Q447" s="1208"/>
      <c r="R447" s="1208"/>
      <c r="S447" s="1208"/>
      <c r="T447" s="1208"/>
      <c r="U447" s="1208"/>
      <c r="V447" s="1208"/>
      <c r="W447" s="1208"/>
      <c r="X447" s="1208"/>
      <c r="Y447" s="1208"/>
      <c r="Z447" s="1208"/>
      <c r="AA447" s="1208"/>
      <c r="AB447" s="1208"/>
      <c r="AC447" s="1208"/>
      <c r="AD447" s="1208"/>
      <c r="AE447" s="1208"/>
      <c r="AF447" s="1208"/>
      <c r="AG447" s="1208"/>
      <c r="AH447" s="1208"/>
      <c r="AI447" s="1208"/>
      <c r="AJ447" s="1208"/>
      <c r="AK447" s="1208"/>
      <c r="AL447" s="1208"/>
      <c r="AM447" s="1208"/>
      <c r="AN447" s="1208"/>
      <c r="AO447" s="1208"/>
      <c r="AP447" s="1208"/>
      <c r="AQ447" s="1208"/>
      <c r="AR447" s="1208"/>
      <c r="AS447" s="1208"/>
      <c r="AT447" s="1208"/>
      <c r="AU447" s="1208"/>
      <c r="AV447" s="1208"/>
      <c r="AW447" s="1208"/>
      <c r="AX447" s="1208"/>
      <c r="AY447" s="1208"/>
      <c r="AZ447" s="1208"/>
      <c r="BA447" s="1208"/>
      <c r="BB447" s="1208"/>
      <c r="BC447" s="1208"/>
      <c r="BD447" s="1208"/>
      <c r="BE447" s="1208"/>
      <c r="BF447" s="1208"/>
      <c r="BG447" s="1208"/>
      <c r="BH447" s="1208"/>
      <c r="BI447" s="1208"/>
      <c r="BJ447" s="1208"/>
    </row>
    <row r="448" spans="1:62" s="1209" customFormat="1">
      <c r="A448" s="1212"/>
      <c r="D448" s="1208"/>
      <c r="E448" s="1208"/>
      <c r="F448" s="1208"/>
      <c r="G448" s="1208"/>
      <c r="H448" s="1208"/>
      <c r="I448" s="1208"/>
      <c r="J448" s="1208"/>
      <c r="K448" s="1208"/>
      <c r="L448" s="1208"/>
      <c r="M448" s="1208"/>
      <c r="N448" s="1208"/>
      <c r="O448" s="1208"/>
      <c r="P448" s="1208"/>
      <c r="Q448" s="1208"/>
      <c r="R448" s="1208"/>
      <c r="S448" s="1208"/>
      <c r="T448" s="1208"/>
      <c r="U448" s="1208"/>
      <c r="V448" s="1208"/>
      <c r="W448" s="1208"/>
      <c r="X448" s="1208"/>
      <c r="Y448" s="1208"/>
      <c r="Z448" s="1208"/>
      <c r="AA448" s="1208"/>
      <c r="AB448" s="1208"/>
      <c r="AC448" s="1208"/>
      <c r="AD448" s="1208"/>
      <c r="AE448" s="1208"/>
      <c r="AF448" s="1208"/>
      <c r="AG448" s="1208"/>
      <c r="AH448" s="1208"/>
      <c r="AI448" s="1208"/>
      <c r="AJ448" s="1208"/>
      <c r="AK448" s="1208"/>
      <c r="AL448" s="1208"/>
      <c r="AM448" s="1208"/>
      <c r="AN448" s="1208"/>
      <c r="AO448" s="1208"/>
      <c r="AP448" s="1208"/>
      <c r="AQ448" s="1208"/>
      <c r="AR448" s="1208"/>
      <c r="AS448" s="1208"/>
      <c r="AT448" s="1208"/>
      <c r="AU448" s="1208"/>
      <c r="AV448" s="1208"/>
      <c r="AW448" s="1208"/>
      <c r="AX448" s="1208"/>
      <c r="AY448" s="1208"/>
      <c r="AZ448" s="1208"/>
      <c r="BA448" s="1208"/>
      <c r="BB448" s="1208"/>
      <c r="BC448" s="1208"/>
      <c r="BD448" s="1208"/>
      <c r="BE448" s="1208"/>
      <c r="BF448" s="1208"/>
      <c r="BG448" s="1208"/>
      <c r="BH448" s="1208"/>
      <c r="BI448" s="1208"/>
      <c r="BJ448" s="1208"/>
    </row>
    <row r="449" spans="1:62" s="1209" customFormat="1">
      <c r="A449" s="1212"/>
      <c r="D449" s="1208"/>
      <c r="E449" s="1208"/>
      <c r="F449" s="1208"/>
      <c r="G449" s="1208"/>
      <c r="H449" s="1208"/>
      <c r="I449" s="1208"/>
      <c r="J449" s="1208"/>
      <c r="K449" s="1208"/>
      <c r="L449" s="1208"/>
      <c r="M449" s="1208"/>
      <c r="N449" s="1208"/>
      <c r="O449" s="1208"/>
      <c r="P449" s="1208"/>
      <c r="Q449" s="1208"/>
      <c r="R449" s="1208"/>
      <c r="S449" s="1208"/>
      <c r="T449" s="1208"/>
      <c r="U449" s="1208"/>
      <c r="V449" s="1208"/>
      <c r="W449" s="1208"/>
      <c r="X449" s="1208"/>
      <c r="Y449" s="1208"/>
      <c r="Z449" s="1208"/>
      <c r="AA449" s="1208"/>
      <c r="AB449" s="1208"/>
      <c r="AC449" s="1208"/>
      <c r="AD449" s="1208"/>
      <c r="AE449" s="1208"/>
      <c r="AF449" s="1208"/>
      <c r="AG449" s="1208"/>
      <c r="AH449" s="1208"/>
      <c r="AI449" s="1208"/>
      <c r="AJ449" s="1208"/>
      <c r="AK449" s="1208"/>
      <c r="AL449" s="1208"/>
      <c r="AM449" s="1208"/>
      <c r="AN449" s="1208"/>
      <c r="AO449" s="1208"/>
      <c r="AP449" s="1208"/>
      <c r="AQ449" s="1208"/>
      <c r="AR449" s="1208"/>
      <c r="AS449" s="1208"/>
      <c r="AT449" s="1208"/>
      <c r="AU449" s="1208"/>
      <c r="AV449" s="1208"/>
      <c r="AW449" s="1208"/>
      <c r="AX449" s="1208"/>
      <c r="AY449" s="1208"/>
      <c r="AZ449" s="1208"/>
      <c r="BA449" s="1208"/>
      <c r="BB449" s="1208"/>
      <c r="BC449" s="1208"/>
      <c r="BD449" s="1208"/>
      <c r="BE449" s="1208"/>
      <c r="BF449" s="1208"/>
      <c r="BG449" s="1208"/>
      <c r="BH449" s="1208"/>
      <c r="BI449" s="1208"/>
      <c r="BJ449" s="1208"/>
    </row>
    <row r="450" spans="1:62" s="1209" customFormat="1">
      <c r="A450" s="1212"/>
      <c r="D450" s="1208"/>
      <c r="E450" s="1208"/>
      <c r="F450" s="1208"/>
      <c r="G450" s="1208"/>
      <c r="H450" s="1208"/>
      <c r="I450" s="1208"/>
      <c r="J450" s="1208"/>
      <c r="K450" s="1208"/>
      <c r="L450" s="1208"/>
      <c r="M450" s="1208"/>
      <c r="N450" s="1208"/>
      <c r="O450" s="1208"/>
      <c r="P450" s="1208"/>
      <c r="Q450" s="1208"/>
      <c r="R450" s="1208"/>
      <c r="S450" s="1208"/>
      <c r="T450" s="1208"/>
      <c r="U450" s="1208"/>
      <c r="V450" s="1208"/>
      <c r="W450" s="1208"/>
      <c r="X450" s="1208"/>
      <c r="Y450" s="1208"/>
      <c r="Z450" s="1208"/>
      <c r="AA450" s="1208"/>
      <c r="AB450" s="1208"/>
      <c r="AC450" s="1208"/>
      <c r="AD450" s="1208"/>
      <c r="AE450" s="1208"/>
      <c r="AF450" s="1208"/>
      <c r="AG450" s="1208"/>
      <c r="AH450" s="1208"/>
      <c r="AI450" s="1208"/>
      <c r="AJ450" s="1208"/>
      <c r="AK450" s="1208"/>
      <c r="AL450" s="1208"/>
      <c r="AM450" s="1208"/>
      <c r="AN450" s="1208"/>
      <c r="AO450" s="1208"/>
      <c r="AP450" s="1208"/>
      <c r="AQ450" s="1208"/>
      <c r="AR450" s="1208"/>
      <c r="AS450" s="1208"/>
      <c r="AT450" s="1208"/>
      <c r="AU450" s="1208"/>
      <c r="AV450" s="1208"/>
      <c r="AW450" s="1208"/>
      <c r="AX450" s="1208"/>
      <c r="AY450" s="1208"/>
      <c r="AZ450" s="1208"/>
      <c r="BA450" s="1208"/>
      <c r="BB450" s="1208"/>
      <c r="BC450" s="1208"/>
      <c r="BD450" s="1208"/>
      <c r="BE450" s="1208"/>
      <c r="BF450" s="1208"/>
      <c r="BG450" s="1208"/>
      <c r="BH450" s="1208"/>
      <c r="BI450" s="1208"/>
      <c r="BJ450" s="1208"/>
    </row>
    <row r="451" spans="1:62" s="1209" customFormat="1">
      <c r="A451" s="1212"/>
      <c r="D451" s="1208"/>
      <c r="E451" s="1208"/>
      <c r="F451" s="1208"/>
      <c r="G451" s="1208"/>
      <c r="H451" s="1208"/>
      <c r="I451" s="1208"/>
      <c r="J451" s="1208"/>
      <c r="K451" s="1208"/>
      <c r="L451" s="1208"/>
      <c r="M451" s="1208"/>
      <c r="N451" s="1208"/>
      <c r="O451" s="1208"/>
      <c r="P451" s="1208"/>
      <c r="Q451" s="1208"/>
      <c r="R451" s="1208"/>
      <c r="S451" s="1208"/>
      <c r="T451" s="1208"/>
      <c r="U451" s="1208"/>
      <c r="V451" s="1208"/>
      <c r="W451" s="1208"/>
      <c r="X451" s="1208"/>
      <c r="Y451" s="1208"/>
      <c r="Z451" s="1208"/>
      <c r="AA451" s="1208"/>
      <c r="AB451" s="1208"/>
      <c r="AC451" s="1208"/>
      <c r="AD451" s="1208"/>
      <c r="AE451" s="1208"/>
      <c r="AF451" s="1208"/>
      <c r="AG451" s="1208"/>
      <c r="AH451" s="1208"/>
      <c r="AI451" s="1208"/>
      <c r="AJ451" s="1208"/>
      <c r="AK451" s="1208"/>
      <c r="AL451" s="1208"/>
      <c r="AM451" s="1208"/>
      <c r="AN451" s="1208"/>
      <c r="AO451" s="1208"/>
      <c r="AP451" s="1208"/>
      <c r="AQ451" s="1208"/>
      <c r="AR451" s="1208"/>
      <c r="AS451" s="1208"/>
      <c r="AT451" s="1208"/>
      <c r="AU451" s="1208"/>
      <c r="AV451" s="1208"/>
      <c r="AW451" s="1208"/>
      <c r="AX451" s="1208"/>
      <c r="AY451" s="1208"/>
      <c r="AZ451" s="1208"/>
      <c r="BA451" s="1208"/>
      <c r="BB451" s="1208"/>
      <c r="BC451" s="1208"/>
      <c r="BD451" s="1208"/>
      <c r="BE451" s="1208"/>
      <c r="BF451" s="1208"/>
      <c r="BG451" s="1208"/>
      <c r="BH451" s="1208"/>
      <c r="BI451" s="1208"/>
      <c r="BJ451" s="1208"/>
    </row>
    <row r="452" spans="1:62" s="1209" customFormat="1">
      <c r="A452" s="1212"/>
      <c r="D452" s="1208"/>
      <c r="E452" s="1208"/>
      <c r="F452" s="1208"/>
      <c r="G452" s="1208"/>
      <c r="H452" s="1208"/>
      <c r="I452" s="1208"/>
      <c r="J452" s="1208"/>
      <c r="K452" s="1208"/>
      <c r="L452" s="1208"/>
      <c r="M452" s="1208"/>
      <c r="N452" s="1208"/>
      <c r="O452" s="1208"/>
      <c r="P452" s="1208"/>
      <c r="Q452" s="1208"/>
      <c r="R452" s="1208"/>
      <c r="S452" s="1208"/>
      <c r="T452" s="1208"/>
      <c r="U452" s="1208"/>
      <c r="V452" s="1208"/>
      <c r="W452" s="1208"/>
      <c r="X452" s="1208"/>
      <c r="Y452" s="1208"/>
      <c r="Z452" s="1208"/>
      <c r="AA452" s="1208"/>
      <c r="AB452" s="1208"/>
      <c r="AC452" s="1208"/>
      <c r="AD452" s="1208"/>
      <c r="AE452" s="1208"/>
      <c r="AF452" s="1208"/>
      <c r="AG452" s="1208"/>
      <c r="AH452" s="1208"/>
      <c r="AI452" s="1208"/>
      <c r="AJ452" s="1208"/>
      <c r="AK452" s="1208"/>
      <c r="AL452" s="1208"/>
      <c r="AM452" s="1208"/>
      <c r="AN452" s="1208"/>
      <c r="AO452" s="1208"/>
      <c r="AP452" s="1208"/>
      <c r="AQ452" s="1208"/>
      <c r="AR452" s="1208"/>
      <c r="AS452" s="1208"/>
      <c r="AT452" s="1208"/>
      <c r="AU452" s="1208"/>
      <c r="AV452" s="1208"/>
      <c r="AW452" s="1208"/>
      <c r="AX452" s="1208"/>
      <c r="AY452" s="1208"/>
      <c r="AZ452" s="1208"/>
      <c r="BA452" s="1208"/>
      <c r="BB452" s="1208"/>
      <c r="BC452" s="1208"/>
      <c r="BD452" s="1208"/>
      <c r="BE452" s="1208"/>
      <c r="BF452" s="1208"/>
      <c r="BG452" s="1208"/>
      <c r="BH452" s="1208"/>
      <c r="BI452" s="1208"/>
      <c r="BJ452" s="1208"/>
    </row>
    <row r="453" spans="1:62" s="1209" customFormat="1">
      <c r="A453" s="1212"/>
      <c r="D453" s="1208"/>
      <c r="E453" s="1208"/>
      <c r="F453" s="1208"/>
      <c r="G453" s="1208"/>
      <c r="H453" s="1208"/>
      <c r="I453" s="1208"/>
      <c r="J453" s="1208"/>
      <c r="K453" s="1208"/>
      <c r="L453" s="1208"/>
      <c r="M453" s="1208"/>
      <c r="N453" s="1208"/>
      <c r="O453" s="1208"/>
      <c r="P453" s="1208"/>
      <c r="Q453" s="1208"/>
      <c r="R453" s="1208"/>
      <c r="S453" s="1208"/>
      <c r="T453" s="1208"/>
      <c r="U453" s="1208"/>
      <c r="V453" s="1208"/>
      <c r="W453" s="1208"/>
      <c r="X453" s="1208"/>
      <c r="Y453" s="1208"/>
      <c r="Z453" s="1208"/>
      <c r="AA453" s="1208"/>
      <c r="AB453" s="1208"/>
      <c r="AC453" s="1208"/>
      <c r="AD453" s="1208"/>
      <c r="AE453" s="1208"/>
      <c r="AF453" s="1208"/>
      <c r="AG453" s="1208"/>
      <c r="AH453" s="1208"/>
      <c r="AI453" s="1208"/>
      <c r="AJ453" s="1208"/>
      <c r="AK453" s="1208"/>
      <c r="AL453" s="1208"/>
      <c r="AM453" s="1208"/>
      <c r="AN453" s="1208"/>
      <c r="AO453" s="1208"/>
      <c r="AP453" s="1208"/>
      <c r="AQ453" s="1208"/>
      <c r="AR453" s="1208"/>
      <c r="AS453" s="1208"/>
      <c r="AT453" s="1208"/>
      <c r="AU453" s="1208"/>
      <c r="AV453" s="1208"/>
      <c r="AW453" s="1208"/>
      <c r="AX453" s="1208"/>
      <c r="AY453" s="1208"/>
      <c r="AZ453" s="1208"/>
      <c r="BA453" s="1208"/>
      <c r="BB453" s="1208"/>
      <c r="BC453" s="1208"/>
      <c r="BD453" s="1208"/>
      <c r="BE453" s="1208"/>
      <c r="BF453" s="1208"/>
      <c r="BG453" s="1208"/>
      <c r="BH453" s="1208"/>
      <c r="BI453" s="1208"/>
      <c r="BJ453" s="1208"/>
    </row>
    <row r="454" spans="1:62" s="1209" customFormat="1">
      <c r="A454" s="1212"/>
      <c r="D454" s="1208"/>
      <c r="E454" s="1208"/>
      <c r="F454" s="1208"/>
      <c r="G454" s="1208"/>
      <c r="H454" s="1208"/>
      <c r="I454" s="1208"/>
      <c r="J454" s="1208"/>
      <c r="K454" s="1208"/>
      <c r="L454" s="1208"/>
      <c r="M454" s="1208"/>
      <c r="N454" s="1208"/>
      <c r="O454" s="1208"/>
      <c r="P454" s="1208"/>
      <c r="Q454" s="1208"/>
      <c r="R454" s="1208"/>
      <c r="S454" s="1208"/>
      <c r="T454" s="1208"/>
      <c r="U454" s="1208"/>
      <c r="V454" s="1208"/>
      <c r="W454" s="1208"/>
      <c r="X454" s="1208"/>
      <c r="Y454" s="1208"/>
      <c r="Z454" s="1208"/>
      <c r="AA454" s="1208"/>
      <c r="AB454" s="1208"/>
      <c r="AC454" s="1208"/>
      <c r="AD454" s="1208"/>
      <c r="AE454" s="1208"/>
      <c r="AF454" s="1208"/>
      <c r="AG454" s="1208"/>
      <c r="AH454" s="1208"/>
      <c r="AI454" s="1208"/>
      <c r="AJ454" s="1208"/>
      <c r="AK454" s="1208"/>
      <c r="AL454" s="1208"/>
      <c r="AM454" s="1208"/>
      <c r="AN454" s="1208"/>
      <c r="AO454" s="1208"/>
      <c r="AP454" s="1208"/>
      <c r="AQ454" s="1208"/>
      <c r="AR454" s="1208"/>
      <c r="AS454" s="1208"/>
      <c r="AT454" s="1208"/>
      <c r="AU454" s="1208"/>
      <c r="AV454" s="1208"/>
      <c r="AW454" s="1208"/>
      <c r="AX454" s="1208"/>
      <c r="AY454" s="1208"/>
      <c r="AZ454" s="1208"/>
      <c r="BA454" s="1208"/>
      <c r="BB454" s="1208"/>
      <c r="BC454" s="1208"/>
      <c r="BD454" s="1208"/>
      <c r="BE454" s="1208"/>
      <c r="BF454" s="1208"/>
      <c r="BG454" s="1208"/>
      <c r="BH454" s="1208"/>
      <c r="BI454" s="1208"/>
      <c r="BJ454" s="1208"/>
    </row>
    <row r="455" spans="1:62" s="1209" customFormat="1">
      <c r="A455" s="1212"/>
      <c r="D455" s="1208"/>
      <c r="E455" s="1208"/>
      <c r="F455" s="1208"/>
      <c r="G455" s="1208"/>
      <c r="H455" s="1208"/>
      <c r="I455" s="1208"/>
      <c r="J455" s="1208"/>
      <c r="K455" s="1208"/>
      <c r="L455" s="1208"/>
      <c r="M455" s="1208"/>
      <c r="N455" s="1208"/>
      <c r="O455" s="1208"/>
      <c r="P455" s="1208"/>
      <c r="Q455" s="1208"/>
      <c r="R455" s="1208"/>
      <c r="S455" s="1208"/>
      <c r="T455" s="1208"/>
      <c r="U455" s="1208"/>
      <c r="V455" s="1208"/>
      <c r="W455" s="1208"/>
      <c r="X455" s="1208"/>
      <c r="Y455" s="1208"/>
      <c r="Z455" s="1208"/>
      <c r="AA455" s="1208"/>
      <c r="AB455" s="1208"/>
      <c r="AC455" s="1208"/>
      <c r="AD455" s="1208"/>
      <c r="AE455" s="1208"/>
      <c r="AF455" s="1208"/>
      <c r="AG455" s="1208"/>
      <c r="AH455" s="1208"/>
      <c r="AI455" s="1208"/>
      <c r="AJ455" s="1208"/>
      <c r="AK455" s="1208"/>
      <c r="AL455" s="1208"/>
      <c r="AM455" s="1208"/>
      <c r="AN455" s="1208"/>
      <c r="AO455" s="1208"/>
      <c r="AP455" s="1208"/>
      <c r="AQ455" s="1208"/>
      <c r="AR455" s="1208"/>
      <c r="AS455" s="1208"/>
      <c r="AT455" s="1208"/>
      <c r="AU455" s="1208"/>
      <c r="AV455" s="1208"/>
      <c r="AW455" s="1208"/>
      <c r="AX455" s="1208"/>
      <c r="AY455" s="1208"/>
      <c r="AZ455" s="1208"/>
      <c r="BA455" s="1208"/>
      <c r="BB455" s="1208"/>
      <c r="BC455" s="1208"/>
      <c r="BD455" s="1208"/>
      <c r="BE455" s="1208"/>
      <c r="BF455" s="1208"/>
      <c r="BG455" s="1208"/>
      <c r="BH455" s="1208"/>
      <c r="BI455" s="1208"/>
      <c r="BJ455" s="1208"/>
    </row>
    <row r="456" spans="1:62" s="1209" customFormat="1">
      <c r="A456" s="1212"/>
      <c r="D456" s="1208"/>
      <c r="E456" s="1208"/>
      <c r="F456" s="1208"/>
      <c r="G456" s="1208"/>
      <c r="H456" s="1208"/>
      <c r="I456" s="1208"/>
      <c r="J456" s="1208"/>
      <c r="K456" s="1208"/>
      <c r="L456" s="1208"/>
      <c r="M456" s="1208"/>
      <c r="N456" s="1208"/>
      <c r="O456" s="1208"/>
      <c r="P456" s="1208"/>
      <c r="Q456" s="1208"/>
      <c r="R456" s="1208"/>
      <c r="S456" s="1208"/>
      <c r="T456" s="1208"/>
      <c r="U456" s="1208"/>
      <c r="V456" s="1208"/>
      <c r="W456" s="1208"/>
      <c r="X456" s="1208"/>
      <c r="Y456" s="1208"/>
      <c r="Z456" s="1208"/>
      <c r="AA456" s="1208"/>
      <c r="AB456" s="1208"/>
      <c r="AC456" s="1208"/>
      <c r="AD456" s="1208"/>
      <c r="AE456" s="1208"/>
      <c r="AF456" s="1208"/>
      <c r="AG456" s="1208"/>
      <c r="AH456" s="1208"/>
      <c r="AI456" s="1208"/>
      <c r="AJ456" s="1208"/>
      <c r="AK456" s="1208"/>
      <c r="AL456" s="1208"/>
      <c r="AM456" s="1208"/>
      <c r="AN456" s="1208"/>
      <c r="AO456" s="1208"/>
      <c r="AP456" s="1208"/>
      <c r="AQ456" s="1208"/>
      <c r="AR456" s="1208"/>
      <c r="AS456" s="1208"/>
      <c r="AT456" s="1208"/>
      <c r="AU456" s="1208"/>
      <c r="AV456" s="1208"/>
      <c r="AW456" s="1208"/>
      <c r="AX456" s="1208"/>
      <c r="AY456" s="1208"/>
      <c r="AZ456" s="1208"/>
      <c r="BA456" s="1208"/>
      <c r="BB456" s="1208"/>
      <c r="BC456" s="1208"/>
      <c r="BD456" s="1208"/>
      <c r="BE456" s="1208"/>
      <c r="BF456" s="1208"/>
      <c r="BG456" s="1208"/>
      <c r="BH456" s="1208"/>
      <c r="BI456" s="1208"/>
      <c r="BJ456" s="1208"/>
    </row>
    <row r="457" spans="1:62" s="1209" customFormat="1">
      <c r="A457" s="1212"/>
      <c r="D457" s="1208"/>
      <c r="E457" s="1208"/>
      <c r="F457" s="1208"/>
      <c r="G457" s="1208"/>
      <c r="H457" s="1208"/>
      <c r="I457" s="1208"/>
      <c r="J457" s="1208"/>
      <c r="K457" s="1208"/>
      <c r="L457" s="1208"/>
      <c r="M457" s="1208"/>
      <c r="N457" s="1208"/>
      <c r="O457" s="1208"/>
      <c r="P457" s="1208"/>
      <c r="Q457" s="1208"/>
      <c r="R457" s="1208"/>
      <c r="S457" s="1208"/>
      <c r="T457" s="1208"/>
      <c r="U457" s="1208"/>
      <c r="V457" s="1208"/>
      <c r="W457" s="1208"/>
      <c r="X457" s="1208"/>
      <c r="Y457" s="1208"/>
      <c r="Z457" s="1208"/>
      <c r="AA457" s="1208"/>
      <c r="AB457" s="1208"/>
      <c r="AC457" s="1208"/>
      <c r="AD457" s="1208"/>
      <c r="AE457" s="1208"/>
      <c r="AF457" s="1208"/>
      <c r="AG457" s="1208"/>
      <c r="AH457" s="1208"/>
      <c r="AI457" s="1208"/>
      <c r="AJ457" s="1208"/>
      <c r="AK457" s="1208"/>
      <c r="AL457" s="1208"/>
      <c r="AM457" s="1208"/>
      <c r="AN457" s="1208"/>
      <c r="AO457" s="1208"/>
      <c r="AP457" s="1208"/>
      <c r="AQ457" s="1208"/>
      <c r="AR457" s="1208"/>
      <c r="AS457" s="1208"/>
      <c r="AT457" s="1208"/>
      <c r="AU457" s="1208"/>
      <c r="AV457" s="1208"/>
      <c r="AW457" s="1208"/>
      <c r="AX457" s="1208"/>
      <c r="AY457" s="1208"/>
      <c r="AZ457" s="1208"/>
      <c r="BA457" s="1208"/>
      <c r="BB457" s="1208"/>
      <c r="BC457" s="1208"/>
      <c r="BD457" s="1208"/>
      <c r="BE457" s="1208"/>
      <c r="BF457" s="1208"/>
      <c r="BG457" s="1208"/>
      <c r="BH457" s="1208"/>
      <c r="BI457" s="1208"/>
      <c r="BJ457" s="1208"/>
    </row>
    <row r="458" spans="1:62" s="1209" customFormat="1">
      <c r="A458" s="1212"/>
      <c r="D458" s="1208"/>
      <c r="E458" s="1208"/>
      <c r="F458" s="1208"/>
      <c r="G458" s="1208"/>
      <c r="H458" s="1208"/>
      <c r="I458" s="1208"/>
      <c r="J458" s="1208"/>
      <c r="K458" s="1208"/>
      <c r="L458" s="1208"/>
      <c r="M458" s="1208"/>
      <c r="N458" s="1208"/>
      <c r="O458" s="1208"/>
      <c r="P458" s="1208"/>
      <c r="Q458" s="1208"/>
      <c r="R458" s="1208"/>
      <c r="S458" s="1208"/>
      <c r="T458" s="1208"/>
      <c r="U458" s="1208"/>
      <c r="V458" s="1208"/>
      <c r="W458" s="1208"/>
      <c r="X458" s="1208"/>
      <c r="Y458" s="1208"/>
      <c r="Z458" s="1208"/>
      <c r="AA458" s="1208"/>
      <c r="AB458" s="1208"/>
      <c r="AC458" s="1208"/>
      <c r="AD458" s="1208"/>
      <c r="AE458" s="1208"/>
      <c r="AF458" s="1208"/>
      <c r="AG458" s="1208"/>
      <c r="AH458" s="1208"/>
      <c r="AI458" s="1208"/>
      <c r="AJ458" s="1208"/>
      <c r="AK458" s="1208"/>
      <c r="AL458" s="1208"/>
      <c r="AM458" s="1208"/>
      <c r="AN458" s="1208"/>
      <c r="AO458" s="1208"/>
      <c r="AP458" s="1208"/>
      <c r="AQ458" s="1208"/>
      <c r="AR458" s="1208"/>
      <c r="AS458" s="1208"/>
      <c r="AT458" s="1208"/>
      <c r="AU458" s="1208"/>
      <c r="AV458" s="1208"/>
      <c r="AW458" s="1208"/>
      <c r="AX458" s="1208"/>
      <c r="AY458" s="1208"/>
      <c r="AZ458" s="1208"/>
      <c r="BA458" s="1208"/>
      <c r="BB458" s="1208"/>
      <c r="BC458" s="1208"/>
      <c r="BD458" s="1208"/>
      <c r="BE458" s="1208"/>
      <c r="BF458" s="1208"/>
      <c r="BG458" s="1208"/>
      <c r="BH458" s="1208"/>
      <c r="BI458" s="1208"/>
      <c r="BJ458" s="1208"/>
    </row>
    <row r="459" spans="1:62" s="1209" customFormat="1">
      <c r="A459" s="1212"/>
      <c r="D459" s="1208"/>
      <c r="E459" s="1208"/>
      <c r="F459" s="1208"/>
      <c r="G459" s="1208"/>
      <c r="H459" s="1208"/>
      <c r="I459" s="1208"/>
      <c r="J459" s="1208"/>
      <c r="K459" s="1208"/>
      <c r="L459" s="1208"/>
      <c r="M459" s="1208"/>
      <c r="N459" s="1208"/>
      <c r="O459" s="1208"/>
      <c r="P459" s="1208"/>
      <c r="Q459" s="1208"/>
      <c r="R459" s="1208"/>
      <c r="S459" s="1208"/>
      <c r="T459" s="1208"/>
      <c r="U459" s="1208"/>
      <c r="V459" s="1208"/>
      <c r="W459" s="1208"/>
      <c r="X459" s="1208"/>
      <c r="Y459" s="1208"/>
      <c r="Z459" s="1208"/>
      <c r="AA459" s="1208"/>
      <c r="AB459" s="1208"/>
      <c r="AC459" s="1208"/>
      <c r="AD459" s="1208"/>
      <c r="AE459" s="1208"/>
      <c r="AF459" s="1208"/>
      <c r="AG459" s="1208"/>
      <c r="AH459" s="1208"/>
      <c r="AI459" s="1208"/>
      <c r="AJ459" s="1208"/>
      <c r="AK459" s="1208"/>
      <c r="AL459" s="1208"/>
      <c r="AM459" s="1208"/>
      <c r="AN459" s="1208"/>
      <c r="AO459" s="1208"/>
      <c r="AP459" s="1208"/>
      <c r="AQ459" s="1208"/>
      <c r="AR459" s="1208"/>
      <c r="AS459" s="1208"/>
      <c r="AT459" s="1208"/>
      <c r="AU459" s="1208"/>
      <c r="AV459" s="1208"/>
      <c r="AW459" s="1208"/>
      <c r="AX459" s="1208"/>
      <c r="AY459" s="1208"/>
      <c r="AZ459" s="1208"/>
      <c r="BA459" s="1208"/>
      <c r="BB459" s="1208"/>
      <c r="BC459" s="1208"/>
      <c r="BD459" s="1208"/>
      <c r="BE459" s="1208"/>
      <c r="BF459" s="1208"/>
      <c r="BG459" s="1208"/>
      <c r="BH459" s="1208"/>
      <c r="BI459" s="1208"/>
      <c r="BJ459" s="1208"/>
    </row>
    <row r="460" spans="1:62" s="1209" customFormat="1">
      <c r="A460" s="1212"/>
      <c r="D460" s="1208"/>
      <c r="E460" s="1208"/>
      <c r="F460" s="1208"/>
      <c r="G460" s="1208"/>
      <c r="H460" s="1208"/>
      <c r="I460" s="1208"/>
      <c r="J460" s="1208"/>
      <c r="K460" s="1208"/>
      <c r="L460" s="1208"/>
      <c r="M460" s="1208"/>
      <c r="N460" s="1208"/>
      <c r="O460" s="1208"/>
      <c r="P460" s="1208"/>
      <c r="Q460" s="1208"/>
      <c r="R460" s="1208"/>
      <c r="S460" s="1208"/>
      <c r="T460" s="1208"/>
      <c r="U460" s="1208"/>
      <c r="V460" s="1208"/>
      <c r="W460" s="1208"/>
      <c r="X460" s="1208"/>
      <c r="Y460" s="1208"/>
      <c r="Z460" s="1208"/>
      <c r="AA460" s="1208"/>
      <c r="AB460" s="1208"/>
      <c r="AC460" s="1208"/>
      <c r="AD460" s="1208"/>
      <c r="AE460" s="1208"/>
      <c r="AF460" s="1208"/>
      <c r="AG460" s="1208"/>
      <c r="AH460" s="1208"/>
      <c r="AI460" s="1208"/>
      <c r="AJ460" s="1208"/>
      <c r="AK460" s="1208"/>
      <c r="AL460" s="1208"/>
      <c r="AM460" s="1208"/>
      <c r="AN460" s="1208"/>
      <c r="AO460" s="1208"/>
      <c r="AP460" s="1208"/>
      <c r="AQ460" s="1208"/>
      <c r="AR460" s="1208"/>
      <c r="AS460" s="1208"/>
      <c r="AT460" s="1208"/>
      <c r="AU460" s="1208"/>
      <c r="AV460" s="1208"/>
      <c r="AW460" s="1208"/>
      <c r="AX460" s="1208"/>
      <c r="AY460" s="1208"/>
      <c r="AZ460" s="1208"/>
      <c r="BA460" s="1208"/>
      <c r="BB460" s="1208"/>
      <c r="BC460" s="1208"/>
      <c r="BD460" s="1208"/>
      <c r="BE460" s="1208"/>
      <c r="BF460" s="1208"/>
      <c r="BG460" s="1208"/>
      <c r="BH460" s="1208"/>
      <c r="BI460" s="1208"/>
      <c r="BJ460" s="1208"/>
    </row>
    <row r="461" spans="1:62" s="1209" customFormat="1">
      <c r="A461" s="1212"/>
      <c r="D461" s="1208"/>
      <c r="E461" s="1208"/>
      <c r="F461" s="1208"/>
      <c r="G461" s="1208"/>
      <c r="H461" s="1208"/>
      <c r="I461" s="1208"/>
      <c r="J461" s="1208"/>
      <c r="K461" s="1208"/>
      <c r="L461" s="1208"/>
      <c r="M461" s="1208"/>
      <c r="N461" s="1208"/>
      <c r="O461" s="1208"/>
      <c r="P461" s="1208"/>
      <c r="Q461" s="1208"/>
      <c r="R461" s="1208"/>
      <c r="S461" s="1208"/>
      <c r="T461" s="1208"/>
      <c r="U461" s="1208"/>
      <c r="V461" s="1208"/>
      <c r="W461" s="1208"/>
      <c r="X461" s="1208"/>
      <c r="Y461" s="1208"/>
      <c r="Z461" s="1208"/>
      <c r="AA461" s="1208"/>
      <c r="AB461" s="1208"/>
      <c r="AC461" s="1208"/>
      <c r="AD461" s="1208"/>
      <c r="AE461" s="1208"/>
      <c r="AF461" s="1208"/>
      <c r="AG461" s="1208"/>
      <c r="AH461" s="1208"/>
      <c r="AI461" s="1208"/>
      <c r="AJ461" s="1208"/>
      <c r="AK461" s="1208"/>
      <c r="AL461" s="1208"/>
      <c r="AM461" s="1208"/>
      <c r="AN461" s="1208"/>
      <c r="AO461" s="1208"/>
      <c r="AP461" s="1208"/>
      <c r="AQ461" s="1208"/>
      <c r="AR461" s="1208"/>
      <c r="AS461" s="1208"/>
      <c r="AT461" s="1208"/>
      <c r="AU461" s="1208"/>
      <c r="AV461" s="1208"/>
      <c r="AW461" s="1208"/>
      <c r="AX461" s="1208"/>
      <c r="AY461" s="1208"/>
      <c r="AZ461" s="1208"/>
      <c r="BA461" s="1208"/>
      <c r="BB461" s="1208"/>
      <c r="BC461" s="1208"/>
      <c r="BD461" s="1208"/>
      <c r="BE461" s="1208"/>
      <c r="BF461" s="1208"/>
      <c r="BG461" s="1208"/>
      <c r="BH461" s="1208"/>
      <c r="BI461" s="1208"/>
      <c r="BJ461" s="1208"/>
    </row>
    <row r="462" spans="1:62" s="1209" customFormat="1">
      <c r="A462" s="1212"/>
      <c r="D462" s="1208"/>
      <c r="E462" s="1208"/>
      <c r="F462" s="1208"/>
      <c r="G462" s="1208"/>
      <c r="H462" s="1208"/>
      <c r="I462" s="1208"/>
      <c r="J462" s="1208"/>
      <c r="K462" s="1208"/>
      <c r="L462" s="1208"/>
      <c r="M462" s="1208"/>
      <c r="N462" s="1208"/>
      <c r="O462" s="1208"/>
      <c r="P462" s="1208"/>
      <c r="Q462" s="1208"/>
      <c r="R462" s="1208"/>
      <c r="S462" s="1208"/>
      <c r="T462" s="1208"/>
      <c r="U462" s="1208"/>
      <c r="V462" s="1208"/>
      <c r="W462" s="1208"/>
      <c r="X462" s="1208"/>
      <c r="Y462" s="1208"/>
      <c r="Z462" s="1208"/>
      <c r="AA462" s="1208"/>
      <c r="AB462" s="1208"/>
      <c r="AC462" s="1208"/>
      <c r="AD462" s="1208"/>
      <c r="AE462" s="1208"/>
      <c r="AF462" s="1208"/>
      <c r="AG462" s="1208"/>
      <c r="AH462" s="1208"/>
      <c r="AI462" s="1208"/>
      <c r="AJ462" s="1208"/>
      <c r="AK462" s="1208"/>
      <c r="AL462" s="1208"/>
      <c r="AM462" s="1208"/>
      <c r="AN462" s="1208"/>
      <c r="AO462" s="1208"/>
      <c r="AP462" s="1208"/>
      <c r="AQ462" s="1208"/>
      <c r="AR462" s="1208"/>
      <c r="AS462" s="1208"/>
      <c r="AT462" s="1208"/>
      <c r="AU462" s="1208"/>
      <c r="AV462" s="1208"/>
      <c r="AW462" s="1208"/>
      <c r="AX462" s="1208"/>
      <c r="AY462" s="1208"/>
      <c r="AZ462" s="1208"/>
      <c r="BA462" s="1208"/>
      <c r="BB462" s="1208"/>
      <c r="BC462" s="1208"/>
      <c r="BD462" s="1208"/>
      <c r="BE462" s="1208"/>
      <c r="BF462" s="1208"/>
      <c r="BG462" s="1208"/>
      <c r="BH462" s="1208"/>
      <c r="BI462" s="1208"/>
      <c r="BJ462" s="1208"/>
    </row>
    <row r="463" spans="1:62" s="1209" customFormat="1">
      <c r="A463" s="1212"/>
      <c r="D463" s="1208"/>
      <c r="E463" s="1208"/>
      <c r="F463" s="1208"/>
      <c r="G463" s="1208"/>
      <c r="H463" s="1208"/>
      <c r="I463" s="1208"/>
      <c r="J463" s="1208"/>
      <c r="K463" s="1208"/>
      <c r="L463" s="1208"/>
      <c r="M463" s="1208"/>
      <c r="N463" s="1208"/>
      <c r="O463" s="1208"/>
      <c r="P463" s="1208"/>
      <c r="Q463" s="1208"/>
      <c r="R463" s="1208"/>
      <c r="S463" s="1208"/>
      <c r="T463" s="1208"/>
      <c r="U463" s="1208"/>
      <c r="V463" s="1208"/>
      <c r="W463" s="1208"/>
      <c r="X463" s="1208"/>
      <c r="Y463" s="1208"/>
      <c r="Z463" s="1208"/>
      <c r="AA463" s="1208"/>
      <c r="AB463" s="1208"/>
      <c r="AC463" s="1208"/>
      <c r="AD463" s="1208"/>
      <c r="AE463" s="1208"/>
      <c r="AF463" s="1208"/>
      <c r="AG463" s="1208"/>
      <c r="AH463" s="1208"/>
      <c r="AI463" s="1208"/>
      <c r="AJ463" s="1208"/>
      <c r="AK463" s="1208"/>
      <c r="AL463" s="1208"/>
      <c r="AM463" s="1208"/>
      <c r="AN463" s="1208"/>
      <c r="AO463" s="1208"/>
      <c r="AP463" s="1208"/>
      <c r="AQ463" s="1208"/>
      <c r="AR463" s="1208"/>
      <c r="AS463" s="1208"/>
      <c r="AT463" s="1208"/>
      <c r="AU463" s="1208"/>
      <c r="AV463" s="1208"/>
      <c r="AW463" s="1208"/>
      <c r="AX463" s="1208"/>
      <c r="AY463" s="1208"/>
      <c r="AZ463" s="1208"/>
      <c r="BA463" s="1208"/>
      <c r="BB463" s="1208"/>
      <c r="BC463" s="1208"/>
      <c r="BD463" s="1208"/>
      <c r="BE463" s="1208"/>
      <c r="BF463" s="1208"/>
      <c r="BG463" s="1208"/>
      <c r="BH463" s="1208"/>
      <c r="BI463" s="1208"/>
      <c r="BJ463" s="1208"/>
    </row>
    <row r="464" spans="1:62" s="1209" customFormat="1">
      <c r="A464" s="1212"/>
      <c r="D464" s="1208"/>
      <c r="E464" s="1208"/>
      <c r="F464" s="1208"/>
      <c r="G464" s="1208"/>
      <c r="H464" s="1208"/>
      <c r="I464" s="1208"/>
      <c r="J464" s="1208"/>
      <c r="K464" s="1208"/>
      <c r="L464" s="1208"/>
      <c r="M464" s="1208"/>
      <c r="N464" s="1208"/>
      <c r="O464" s="1208"/>
      <c r="P464" s="1208"/>
      <c r="Q464" s="1208"/>
      <c r="R464" s="1208"/>
      <c r="S464" s="1208"/>
      <c r="T464" s="1208"/>
      <c r="U464" s="1208"/>
      <c r="V464" s="1208"/>
      <c r="W464" s="1208"/>
      <c r="X464" s="1208"/>
      <c r="Y464" s="1208"/>
      <c r="Z464" s="1208"/>
      <c r="AA464" s="1208"/>
      <c r="AB464" s="1208"/>
      <c r="AC464" s="1208"/>
      <c r="AD464" s="1208"/>
      <c r="AE464" s="1208"/>
      <c r="AF464" s="1208"/>
      <c r="AG464" s="1208"/>
      <c r="AH464" s="1208"/>
      <c r="AI464" s="1208"/>
      <c r="AJ464" s="1208"/>
      <c r="AK464" s="1208"/>
      <c r="AL464" s="1208"/>
      <c r="AM464" s="1208"/>
      <c r="AN464" s="1208"/>
      <c r="AO464" s="1208"/>
      <c r="AP464" s="1208"/>
      <c r="AQ464" s="1208"/>
      <c r="AR464" s="1208"/>
      <c r="AS464" s="1208"/>
      <c r="AT464" s="1208"/>
      <c r="AU464" s="1208"/>
      <c r="AV464" s="1208"/>
      <c r="AW464" s="1208"/>
      <c r="AX464" s="1208"/>
      <c r="AY464" s="1208"/>
      <c r="AZ464" s="1208"/>
      <c r="BA464" s="1208"/>
      <c r="BB464" s="1208"/>
      <c r="BC464" s="1208"/>
      <c r="BD464" s="1208"/>
      <c r="BE464" s="1208"/>
      <c r="BF464" s="1208"/>
      <c r="BG464" s="1208"/>
      <c r="BH464" s="1208"/>
      <c r="BI464" s="1208"/>
      <c r="BJ464" s="1208"/>
    </row>
    <row r="465" spans="1:62" s="1209" customFormat="1">
      <c r="A465" s="1212"/>
      <c r="D465" s="1208"/>
      <c r="E465" s="1208"/>
      <c r="F465" s="1208"/>
      <c r="G465" s="1208"/>
      <c r="H465" s="1208"/>
      <c r="I465" s="1208"/>
      <c r="J465" s="1208"/>
      <c r="K465" s="1208"/>
      <c r="L465" s="1208"/>
      <c r="M465" s="1208"/>
      <c r="N465" s="1208"/>
      <c r="O465" s="1208"/>
      <c r="P465" s="1208"/>
      <c r="Q465" s="1208"/>
      <c r="R465" s="1208"/>
      <c r="S465" s="1208"/>
      <c r="T465" s="1208"/>
      <c r="U465" s="1208"/>
      <c r="V465" s="1208"/>
      <c r="W465" s="1208"/>
      <c r="X465" s="1208"/>
      <c r="Y465" s="1208"/>
      <c r="Z465" s="1208"/>
      <c r="AA465" s="1208"/>
      <c r="AB465" s="1208"/>
      <c r="AC465" s="1208"/>
      <c r="AD465" s="1208"/>
      <c r="AE465" s="1208"/>
      <c r="AF465" s="1208"/>
      <c r="AG465" s="1208"/>
      <c r="AH465" s="1208"/>
      <c r="AI465" s="1208"/>
      <c r="AJ465" s="1208"/>
      <c r="AK465" s="1208"/>
      <c r="AL465" s="1208"/>
      <c r="AM465" s="1208"/>
      <c r="AN465" s="1208"/>
      <c r="AO465" s="1208"/>
      <c r="AP465" s="1208"/>
      <c r="AQ465" s="1208"/>
      <c r="AR465" s="1208"/>
      <c r="AS465" s="1208"/>
      <c r="AT465" s="1208"/>
      <c r="AU465" s="1208"/>
      <c r="AV465" s="1208"/>
      <c r="AW465" s="1208"/>
      <c r="AX465" s="1208"/>
      <c r="AY465" s="1208"/>
      <c r="AZ465" s="1208"/>
      <c r="BA465" s="1208"/>
      <c r="BB465" s="1208"/>
      <c r="BC465" s="1208"/>
      <c r="BD465" s="1208"/>
      <c r="BE465" s="1208"/>
      <c r="BF465" s="1208"/>
      <c r="BG465" s="1208"/>
      <c r="BH465" s="1208"/>
      <c r="BI465" s="1208"/>
      <c r="BJ465" s="1208"/>
    </row>
    <row r="466" spans="1:62" s="1209" customFormat="1">
      <c r="A466" s="1212"/>
      <c r="D466" s="1208"/>
      <c r="E466" s="1208"/>
      <c r="F466" s="1208"/>
      <c r="G466" s="1208"/>
      <c r="H466" s="1208"/>
      <c r="I466" s="1208"/>
      <c r="J466" s="1208"/>
      <c r="K466" s="1208"/>
      <c r="L466" s="1208"/>
      <c r="M466" s="1208"/>
      <c r="N466" s="1208"/>
      <c r="O466" s="1208"/>
      <c r="P466" s="1208"/>
      <c r="Q466" s="1208"/>
      <c r="R466" s="1208"/>
      <c r="S466" s="1208"/>
      <c r="T466" s="1208"/>
      <c r="U466" s="1208"/>
      <c r="V466" s="1208"/>
      <c r="W466" s="1208"/>
      <c r="X466" s="1208"/>
      <c r="Y466" s="1208"/>
      <c r="Z466" s="1208"/>
      <c r="AA466" s="1208"/>
      <c r="AB466" s="1208"/>
      <c r="AC466" s="1208"/>
      <c r="AD466" s="1208"/>
      <c r="AE466" s="1208"/>
      <c r="AF466" s="1208"/>
      <c r="AG466" s="1208"/>
      <c r="AH466" s="1208"/>
      <c r="AI466" s="1208"/>
      <c r="AJ466" s="1208"/>
      <c r="AK466" s="1208"/>
      <c r="AL466" s="1208"/>
      <c r="AM466" s="1208"/>
      <c r="AN466" s="1208"/>
      <c r="AO466" s="1208"/>
      <c r="AP466" s="1208"/>
      <c r="AQ466" s="1208"/>
      <c r="AR466" s="1208"/>
      <c r="AS466" s="1208"/>
      <c r="AT466" s="1208"/>
      <c r="AU466" s="1208"/>
      <c r="AV466" s="1208"/>
      <c r="AW466" s="1208"/>
      <c r="AX466" s="1208"/>
      <c r="AY466" s="1208"/>
      <c r="AZ466" s="1208"/>
      <c r="BA466" s="1208"/>
      <c r="BB466" s="1208"/>
      <c r="BC466" s="1208"/>
      <c r="BD466" s="1208"/>
      <c r="BE466" s="1208"/>
      <c r="BF466" s="1208"/>
      <c r="BG466" s="1208"/>
      <c r="BH466" s="1208"/>
      <c r="BI466" s="1208"/>
      <c r="BJ466" s="1208"/>
    </row>
    <row r="467" spans="1:62" s="1209" customFormat="1">
      <c r="A467" s="1212"/>
      <c r="D467" s="1208"/>
      <c r="E467" s="1208"/>
      <c r="F467" s="1208"/>
      <c r="G467" s="1208"/>
      <c r="H467" s="1208"/>
      <c r="I467" s="1208"/>
      <c r="J467" s="1208"/>
      <c r="K467" s="1208"/>
      <c r="L467" s="1208"/>
      <c r="M467" s="1208"/>
      <c r="N467" s="1208"/>
      <c r="O467" s="1208"/>
      <c r="P467" s="1208"/>
      <c r="Q467" s="1208"/>
      <c r="R467" s="1208"/>
      <c r="S467" s="1208"/>
      <c r="T467" s="1208"/>
      <c r="U467" s="1208"/>
      <c r="V467" s="1208"/>
      <c r="W467" s="1208"/>
      <c r="X467" s="1208"/>
      <c r="Y467" s="1208"/>
      <c r="Z467" s="1208"/>
      <c r="AA467" s="1208"/>
      <c r="AB467" s="1208"/>
      <c r="AC467" s="1208"/>
      <c r="AD467" s="1208"/>
      <c r="AE467" s="1208"/>
      <c r="AF467" s="1208"/>
      <c r="AG467" s="1208"/>
      <c r="AH467" s="1208"/>
      <c r="AI467" s="1208"/>
      <c r="AJ467" s="1208"/>
      <c r="AK467" s="1208"/>
      <c r="AL467" s="1208"/>
      <c r="AM467" s="1208"/>
      <c r="AN467" s="1208"/>
      <c r="AO467" s="1208"/>
      <c r="AP467" s="1208"/>
      <c r="AQ467" s="1208"/>
      <c r="AR467" s="1208"/>
      <c r="AS467" s="1208"/>
      <c r="AT467" s="1208"/>
      <c r="AU467" s="1208"/>
      <c r="AV467" s="1208"/>
      <c r="AW467" s="1208"/>
      <c r="AX467" s="1208"/>
      <c r="AY467" s="1208"/>
      <c r="AZ467" s="1208"/>
      <c r="BA467" s="1208"/>
      <c r="BB467" s="1208"/>
      <c r="BC467" s="1208"/>
      <c r="BD467" s="1208"/>
      <c r="BE467" s="1208"/>
      <c r="BF467" s="1208"/>
      <c r="BG467" s="1208"/>
      <c r="BH467" s="1208"/>
      <c r="BI467" s="1208"/>
      <c r="BJ467" s="1208"/>
    </row>
    <row r="468" spans="1:62" s="1209" customFormat="1">
      <c r="A468" s="1212"/>
      <c r="D468" s="1208"/>
      <c r="E468" s="1208"/>
      <c r="F468" s="1208"/>
      <c r="G468" s="1208"/>
      <c r="H468" s="1208"/>
      <c r="I468" s="1208"/>
      <c r="J468" s="1208"/>
      <c r="K468" s="1208"/>
      <c r="L468" s="1208"/>
      <c r="M468" s="1208"/>
      <c r="N468" s="1208"/>
      <c r="O468" s="1208"/>
      <c r="P468" s="1208"/>
      <c r="Q468" s="1208"/>
      <c r="R468" s="1208"/>
      <c r="S468" s="1208"/>
      <c r="T468" s="1208"/>
      <c r="U468" s="1208"/>
      <c r="V468" s="1208"/>
      <c r="W468" s="1208"/>
      <c r="X468" s="1208"/>
      <c r="Y468" s="1208"/>
      <c r="Z468" s="1208"/>
      <c r="AA468" s="1208"/>
      <c r="AB468" s="1208"/>
      <c r="AC468" s="1208"/>
      <c r="AD468" s="1208"/>
      <c r="AE468" s="1208"/>
      <c r="AF468" s="1208"/>
      <c r="AG468" s="1208"/>
      <c r="AH468" s="1208"/>
      <c r="AI468" s="1208"/>
      <c r="AJ468" s="1208"/>
      <c r="AK468" s="1208"/>
      <c r="AL468" s="1208"/>
      <c r="AM468" s="1208"/>
      <c r="AN468" s="1208"/>
      <c r="AO468" s="1208"/>
      <c r="AP468" s="1208"/>
      <c r="AQ468" s="1208"/>
      <c r="AR468" s="1208"/>
      <c r="AS468" s="1208"/>
      <c r="AT468" s="1208"/>
      <c r="AU468" s="1208"/>
      <c r="AV468" s="1208"/>
      <c r="AW468" s="1208"/>
      <c r="AX468" s="1208"/>
      <c r="AY468" s="1208"/>
      <c r="AZ468" s="1208"/>
      <c r="BA468" s="1208"/>
      <c r="BB468" s="1208"/>
      <c r="BC468" s="1208"/>
      <c r="BD468" s="1208"/>
      <c r="BE468" s="1208"/>
      <c r="BF468" s="1208"/>
      <c r="BG468" s="1208"/>
      <c r="BH468" s="1208"/>
      <c r="BI468" s="1208"/>
      <c r="BJ468" s="1208"/>
    </row>
    <row r="469" spans="1:62" s="1209" customFormat="1">
      <c r="A469" s="1212"/>
      <c r="D469" s="1208"/>
      <c r="E469" s="1208"/>
      <c r="F469" s="1208"/>
      <c r="G469" s="1208"/>
      <c r="H469" s="1208"/>
      <c r="I469" s="1208"/>
      <c r="J469" s="1208"/>
      <c r="K469" s="1208"/>
      <c r="L469" s="1208"/>
      <c r="M469" s="1208"/>
      <c r="N469" s="1208"/>
      <c r="O469" s="1208"/>
      <c r="P469" s="1208"/>
      <c r="Q469" s="1208"/>
      <c r="R469" s="1208"/>
      <c r="S469" s="1208"/>
      <c r="T469" s="1208"/>
      <c r="U469" s="1208"/>
      <c r="V469" s="1208"/>
      <c r="W469" s="1208"/>
      <c r="X469" s="1208"/>
      <c r="Y469" s="1208"/>
      <c r="Z469" s="1208"/>
      <c r="AA469" s="1208"/>
      <c r="AB469" s="1208"/>
      <c r="AC469" s="1208"/>
      <c r="AD469" s="1208"/>
      <c r="AE469" s="1208"/>
      <c r="AF469" s="1208"/>
      <c r="AG469" s="1208"/>
      <c r="AH469" s="1208"/>
      <c r="AI469" s="1208"/>
      <c r="AJ469" s="1208"/>
      <c r="AK469" s="1208"/>
      <c r="AL469" s="1208"/>
      <c r="AM469" s="1208"/>
      <c r="AN469" s="1208"/>
      <c r="AO469" s="1208"/>
      <c r="AP469" s="1208"/>
      <c r="AQ469" s="1208"/>
      <c r="AR469" s="1208"/>
      <c r="AS469" s="1208"/>
      <c r="AT469" s="1208"/>
      <c r="AU469" s="1208"/>
      <c r="AV469" s="1208"/>
      <c r="AW469" s="1208"/>
      <c r="AX469" s="1208"/>
      <c r="AY469" s="1208"/>
      <c r="AZ469" s="1208"/>
      <c r="BA469" s="1208"/>
      <c r="BB469" s="1208"/>
      <c r="BC469" s="1208"/>
      <c r="BD469" s="1208"/>
      <c r="BE469" s="1208"/>
      <c r="BF469" s="1208"/>
      <c r="BG469" s="1208"/>
      <c r="BH469" s="1208"/>
      <c r="BI469" s="1208"/>
      <c r="BJ469" s="1208"/>
    </row>
    <row r="470" spans="1:62" s="1209" customFormat="1">
      <c r="A470" s="1212"/>
      <c r="D470" s="1208"/>
      <c r="E470" s="1208"/>
      <c r="F470" s="1208"/>
      <c r="G470" s="1208"/>
      <c r="H470" s="1208"/>
      <c r="I470" s="1208"/>
      <c r="J470" s="1208"/>
      <c r="K470" s="1208"/>
      <c r="L470" s="1208"/>
      <c r="M470" s="1208"/>
      <c r="N470" s="1208"/>
      <c r="O470" s="1208"/>
      <c r="P470" s="1208"/>
      <c r="Q470" s="1208"/>
      <c r="R470" s="1208"/>
      <c r="S470" s="1208"/>
      <c r="T470" s="1208"/>
      <c r="U470" s="1208"/>
      <c r="V470" s="1208"/>
      <c r="W470" s="1208"/>
      <c r="X470" s="1208"/>
      <c r="Y470" s="1208"/>
      <c r="Z470" s="1208"/>
      <c r="AA470" s="1208"/>
      <c r="AB470" s="1208"/>
      <c r="AC470" s="1208"/>
      <c r="AD470" s="1208"/>
      <c r="AE470" s="1208"/>
      <c r="AF470" s="1208"/>
      <c r="AG470" s="1208"/>
      <c r="AH470" s="1208"/>
      <c r="AI470" s="1208"/>
      <c r="AJ470" s="1208"/>
      <c r="AK470" s="1208"/>
      <c r="AL470" s="1208"/>
      <c r="AM470" s="1208"/>
      <c r="AN470" s="1208"/>
      <c r="AO470" s="1208"/>
      <c r="AP470" s="1208"/>
      <c r="AQ470" s="1208"/>
      <c r="AR470" s="1208"/>
      <c r="AS470" s="1208"/>
      <c r="AT470" s="1208"/>
      <c r="AU470" s="1208"/>
      <c r="AV470" s="1208"/>
      <c r="AW470" s="1208"/>
      <c r="AX470" s="1208"/>
      <c r="AY470" s="1208"/>
      <c r="AZ470" s="1208"/>
      <c r="BA470" s="1208"/>
      <c r="BB470" s="1208"/>
      <c r="BC470" s="1208"/>
      <c r="BD470" s="1208"/>
      <c r="BE470" s="1208"/>
      <c r="BF470" s="1208"/>
      <c r="BG470" s="1208"/>
      <c r="BH470" s="1208"/>
      <c r="BI470" s="1208"/>
      <c r="BJ470" s="1208"/>
    </row>
    <row r="471" spans="1:62" s="1209" customFormat="1">
      <c r="A471" s="1212"/>
      <c r="D471" s="1208"/>
      <c r="E471" s="1208"/>
      <c r="F471" s="1208"/>
      <c r="G471" s="1208"/>
      <c r="H471" s="1208"/>
      <c r="I471" s="1208"/>
      <c r="J471" s="1208"/>
      <c r="K471" s="1208"/>
      <c r="L471" s="1208"/>
      <c r="M471" s="1208"/>
      <c r="N471" s="1208"/>
      <c r="O471" s="1208"/>
      <c r="P471" s="1208"/>
      <c r="Q471" s="1208"/>
      <c r="R471" s="1208"/>
      <c r="S471" s="1208"/>
      <c r="T471" s="1208"/>
      <c r="U471" s="1208"/>
      <c r="V471" s="1208"/>
      <c r="W471" s="1208"/>
      <c r="X471" s="1208"/>
      <c r="Y471" s="1208"/>
      <c r="Z471" s="1208"/>
      <c r="AA471" s="1208"/>
      <c r="AB471" s="1208"/>
      <c r="AC471" s="1208"/>
      <c r="AD471" s="1208"/>
      <c r="AE471" s="1208"/>
      <c r="AF471" s="1208"/>
      <c r="AG471" s="1208"/>
      <c r="AH471" s="1208"/>
      <c r="AI471" s="1208"/>
      <c r="AJ471" s="1208"/>
      <c r="AK471" s="1208"/>
      <c r="AL471" s="1208"/>
      <c r="AM471" s="1208"/>
      <c r="AN471" s="1208"/>
      <c r="AO471" s="1208"/>
      <c r="AP471" s="1208"/>
      <c r="AQ471" s="1208"/>
      <c r="AR471" s="1208"/>
      <c r="AS471" s="1208"/>
      <c r="AT471" s="1208"/>
      <c r="AU471" s="1208"/>
      <c r="AV471" s="1208"/>
      <c r="AW471" s="1208"/>
      <c r="AX471" s="1208"/>
      <c r="AY471" s="1208"/>
      <c r="AZ471" s="1208"/>
      <c r="BA471" s="1208"/>
      <c r="BB471" s="1208"/>
      <c r="BC471" s="1208"/>
      <c r="BD471" s="1208"/>
      <c r="BE471" s="1208"/>
      <c r="BF471" s="1208"/>
      <c r="BG471" s="1208"/>
      <c r="BH471" s="1208"/>
      <c r="BI471" s="1208"/>
      <c r="BJ471" s="1208"/>
    </row>
    <row r="472" spans="1:62" s="1209" customFormat="1">
      <c r="A472" s="1212"/>
      <c r="D472" s="1208"/>
      <c r="E472" s="1208"/>
      <c r="F472" s="1208"/>
      <c r="G472" s="1208"/>
      <c r="H472" s="1208"/>
      <c r="I472" s="1208"/>
      <c r="J472" s="1208"/>
      <c r="K472" s="1208"/>
      <c r="L472" s="1208"/>
      <c r="M472" s="1208"/>
      <c r="N472" s="1208"/>
      <c r="O472" s="1208"/>
      <c r="P472" s="1208"/>
      <c r="Q472" s="1208"/>
      <c r="R472" s="1208"/>
      <c r="S472" s="1208"/>
      <c r="T472" s="1208"/>
      <c r="U472" s="1208"/>
      <c r="V472" s="1208"/>
      <c r="W472" s="1208"/>
      <c r="X472" s="1208"/>
      <c r="Y472" s="1208"/>
      <c r="Z472" s="1208"/>
      <c r="AA472" s="1208"/>
      <c r="AB472" s="1208"/>
      <c r="AC472" s="1208"/>
      <c r="AD472" s="1208"/>
      <c r="AE472" s="1208"/>
      <c r="AF472" s="1208"/>
      <c r="AG472" s="1208"/>
      <c r="AH472" s="1208"/>
      <c r="AI472" s="1208"/>
      <c r="AJ472" s="1208"/>
      <c r="AK472" s="1208"/>
      <c r="AL472" s="1208"/>
      <c r="AM472" s="1208"/>
      <c r="AN472" s="1208"/>
      <c r="AO472" s="1208"/>
      <c r="AP472" s="1208"/>
      <c r="AQ472" s="1208"/>
      <c r="AR472" s="1208"/>
      <c r="AS472" s="1208"/>
      <c r="AT472" s="1208"/>
      <c r="AU472" s="1208"/>
      <c r="AV472" s="1208"/>
      <c r="AW472" s="1208"/>
      <c r="AX472" s="1208"/>
      <c r="AY472" s="1208"/>
      <c r="AZ472" s="1208"/>
      <c r="BA472" s="1208"/>
      <c r="BB472" s="1208"/>
      <c r="BC472" s="1208"/>
      <c r="BD472" s="1208"/>
      <c r="BE472" s="1208"/>
      <c r="BF472" s="1208"/>
      <c r="BG472" s="1208"/>
      <c r="BH472" s="1208"/>
      <c r="BI472" s="1208"/>
      <c r="BJ472" s="1208"/>
    </row>
    <row r="473" spans="1:62" s="1209" customFormat="1">
      <c r="A473" s="1212"/>
      <c r="D473" s="1208"/>
      <c r="E473" s="1208"/>
      <c r="F473" s="1208"/>
      <c r="G473" s="1208"/>
      <c r="H473" s="1208"/>
      <c r="I473" s="1208"/>
      <c r="J473" s="1208"/>
      <c r="K473" s="1208"/>
      <c r="L473" s="1208"/>
      <c r="M473" s="1208"/>
      <c r="N473" s="1208"/>
      <c r="O473" s="1208"/>
      <c r="P473" s="1208"/>
      <c r="Q473" s="1208"/>
      <c r="R473" s="1208"/>
      <c r="S473" s="1208"/>
      <c r="T473" s="1208"/>
      <c r="U473" s="1208"/>
      <c r="V473" s="1208"/>
      <c r="W473" s="1208"/>
      <c r="X473" s="1208"/>
      <c r="Y473" s="1208"/>
      <c r="Z473" s="1208"/>
      <c r="AA473" s="1208"/>
      <c r="AB473" s="1208"/>
      <c r="AC473" s="1208"/>
      <c r="AD473" s="1208"/>
      <c r="AE473" s="1208"/>
      <c r="AF473" s="1208"/>
      <c r="AG473" s="1208"/>
      <c r="AH473" s="1208"/>
      <c r="AI473" s="1208"/>
      <c r="AJ473" s="1208"/>
      <c r="AK473" s="1208"/>
      <c r="AL473" s="1208"/>
      <c r="AM473" s="1208"/>
      <c r="AN473" s="1208"/>
      <c r="AO473" s="1208"/>
      <c r="AP473" s="1208"/>
      <c r="AQ473" s="1208"/>
      <c r="AR473" s="1208"/>
      <c r="AS473" s="1208"/>
      <c r="AT473" s="1208"/>
      <c r="AU473" s="1208"/>
      <c r="AV473" s="1208"/>
      <c r="AW473" s="1208"/>
      <c r="AX473" s="1208"/>
      <c r="AY473" s="1208"/>
      <c r="AZ473" s="1208"/>
      <c r="BA473" s="1208"/>
      <c r="BB473" s="1208"/>
      <c r="BC473" s="1208"/>
      <c r="BD473" s="1208"/>
      <c r="BE473" s="1208"/>
      <c r="BF473" s="1208"/>
      <c r="BG473" s="1208"/>
      <c r="BH473" s="1208"/>
      <c r="BI473" s="1208"/>
      <c r="BJ473" s="1208"/>
    </row>
    <row r="474" spans="1:62" s="1209" customFormat="1">
      <c r="A474" s="1212"/>
      <c r="D474" s="1208"/>
      <c r="E474" s="1208"/>
      <c r="F474" s="1208"/>
      <c r="G474" s="1208"/>
      <c r="H474" s="1208"/>
      <c r="I474" s="1208"/>
      <c r="J474" s="1208"/>
      <c r="K474" s="1208"/>
      <c r="L474" s="1208"/>
      <c r="M474" s="1208"/>
      <c r="N474" s="1208"/>
      <c r="O474" s="1208"/>
      <c r="P474" s="1208"/>
      <c r="Q474" s="1208"/>
      <c r="R474" s="1208"/>
      <c r="S474" s="1208"/>
      <c r="T474" s="1208"/>
      <c r="U474" s="1208"/>
      <c r="V474" s="1208"/>
      <c r="W474" s="1208"/>
      <c r="X474" s="1208"/>
      <c r="Y474" s="1208"/>
      <c r="Z474" s="1208"/>
      <c r="AA474" s="1208"/>
      <c r="AB474" s="1208"/>
      <c r="AC474" s="1208"/>
      <c r="AD474" s="1208"/>
      <c r="AE474" s="1208"/>
      <c r="AF474" s="1208"/>
      <c r="AG474" s="1208"/>
      <c r="AH474" s="1208"/>
      <c r="AI474" s="1208"/>
      <c r="AJ474" s="1208"/>
      <c r="AK474" s="1208"/>
      <c r="AL474" s="1208"/>
      <c r="AM474" s="1208"/>
      <c r="AN474" s="1208"/>
      <c r="AO474" s="1208"/>
      <c r="AP474" s="1208"/>
      <c r="AQ474" s="1208"/>
      <c r="AR474" s="1208"/>
      <c r="AS474" s="1208"/>
      <c r="AT474" s="1208"/>
      <c r="AU474" s="1208"/>
      <c r="AV474" s="1208"/>
      <c r="AW474" s="1208"/>
      <c r="AX474" s="1208"/>
      <c r="AY474" s="1208"/>
      <c r="AZ474" s="1208"/>
      <c r="BA474" s="1208"/>
      <c r="BB474" s="1208"/>
      <c r="BC474" s="1208"/>
      <c r="BD474" s="1208"/>
      <c r="BE474" s="1208"/>
      <c r="BF474" s="1208"/>
      <c r="BG474" s="1208"/>
      <c r="BH474" s="1208"/>
      <c r="BI474" s="1208"/>
      <c r="BJ474" s="1208"/>
    </row>
    <row r="475" spans="1:62" s="1209" customFormat="1">
      <c r="A475" s="1212"/>
      <c r="D475" s="1208"/>
      <c r="E475" s="1208"/>
      <c r="F475" s="1208"/>
      <c r="G475" s="1208"/>
      <c r="H475" s="1208"/>
      <c r="I475" s="1208"/>
      <c r="J475" s="1208"/>
      <c r="K475" s="1208"/>
      <c r="L475" s="1208"/>
      <c r="M475" s="1208"/>
      <c r="N475" s="1208"/>
      <c r="O475" s="1208"/>
      <c r="P475" s="1208"/>
      <c r="Q475" s="1208"/>
      <c r="R475" s="1208"/>
      <c r="S475" s="1208"/>
      <c r="T475" s="1208"/>
      <c r="U475" s="1208"/>
      <c r="V475" s="1208"/>
      <c r="W475" s="1208"/>
      <c r="X475" s="1208"/>
      <c r="Y475" s="1208"/>
      <c r="Z475" s="1208"/>
      <c r="AA475" s="1208"/>
      <c r="AB475" s="1208"/>
      <c r="AC475" s="1208"/>
      <c r="AD475" s="1208"/>
      <c r="AE475" s="1208"/>
      <c r="AF475" s="1208"/>
      <c r="AG475" s="1208"/>
      <c r="AH475" s="1208"/>
      <c r="AI475" s="1208"/>
      <c r="AJ475" s="1208"/>
      <c r="AK475" s="1208"/>
      <c r="AL475" s="1208"/>
      <c r="AM475" s="1208"/>
      <c r="AN475" s="1208"/>
      <c r="AO475" s="1208"/>
      <c r="AP475" s="1208"/>
      <c r="AQ475" s="1208"/>
      <c r="AR475" s="1208"/>
      <c r="AS475" s="1208"/>
      <c r="AT475" s="1208"/>
      <c r="AU475" s="1208"/>
      <c r="AV475" s="1208"/>
      <c r="AW475" s="1208"/>
      <c r="AX475" s="1208"/>
      <c r="AY475" s="1208"/>
      <c r="AZ475" s="1208"/>
      <c r="BA475" s="1208"/>
      <c r="BB475" s="1208"/>
      <c r="BC475" s="1208"/>
      <c r="BD475" s="1208"/>
      <c r="BE475" s="1208"/>
      <c r="BF475" s="1208"/>
      <c r="BG475" s="1208"/>
      <c r="BH475" s="1208"/>
      <c r="BI475" s="1208"/>
      <c r="BJ475" s="1208"/>
    </row>
    <row r="476" spans="1:62" s="1209" customFormat="1">
      <c r="A476" s="1212"/>
      <c r="D476" s="1208"/>
      <c r="E476" s="1208"/>
      <c r="F476" s="1208"/>
      <c r="G476" s="1208"/>
      <c r="H476" s="1208"/>
      <c r="I476" s="1208"/>
      <c r="J476" s="1208"/>
      <c r="K476" s="1208"/>
      <c r="L476" s="1208"/>
      <c r="M476" s="1208"/>
      <c r="N476" s="1208"/>
      <c r="O476" s="1208"/>
      <c r="P476" s="1208"/>
      <c r="Q476" s="1208"/>
      <c r="R476" s="1208"/>
      <c r="S476" s="1208"/>
      <c r="T476" s="1208"/>
      <c r="U476" s="1208"/>
      <c r="V476" s="1208"/>
      <c r="W476" s="1208"/>
      <c r="X476" s="1208"/>
      <c r="Y476" s="1208"/>
      <c r="Z476" s="1208"/>
      <c r="AA476" s="1208"/>
      <c r="AB476" s="1208"/>
      <c r="AC476" s="1208"/>
      <c r="AD476" s="1208"/>
      <c r="AE476" s="1208"/>
      <c r="AF476" s="1208"/>
      <c r="AG476" s="1208"/>
      <c r="AH476" s="1208"/>
      <c r="AI476" s="1208"/>
      <c r="AJ476" s="1208"/>
      <c r="AK476" s="1208"/>
      <c r="AL476" s="1208"/>
      <c r="AM476" s="1208"/>
      <c r="AN476" s="1208"/>
      <c r="AO476" s="1208"/>
      <c r="AP476" s="1208"/>
      <c r="AQ476" s="1208"/>
      <c r="AR476" s="1208"/>
      <c r="AS476" s="1208"/>
      <c r="AT476" s="1208"/>
      <c r="AU476" s="1208"/>
      <c r="AV476" s="1208"/>
      <c r="AW476" s="1208"/>
      <c r="AX476" s="1208"/>
      <c r="AY476" s="1208"/>
      <c r="AZ476" s="1208"/>
      <c r="BA476" s="1208"/>
      <c r="BB476" s="1208"/>
      <c r="BC476" s="1208"/>
      <c r="BD476" s="1208"/>
      <c r="BE476" s="1208"/>
      <c r="BF476" s="1208"/>
      <c r="BG476" s="1208"/>
      <c r="BH476" s="1208"/>
      <c r="BI476" s="1208"/>
      <c r="BJ476" s="1208"/>
    </row>
    <row r="477" spans="1:62" s="1209" customFormat="1">
      <c r="A477" s="1212"/>
      <c r="D477" s="1208"/>
      <c r="E477" s="1208"/>
      <c r="F477" s="1208"/>
      <c r="G477" s="1208"/>
      <c r="H477" s="1208"/>
      <c r="I477" s="1208"/>
      <c r="J477" s="1208"/>
      <c r="K477" s="1208"/>
      <c r="L477" s="1208"/>
      <c r="M477" s="1208"/>
      <c r="N477" s="1208"/>
      <c r="O477" s="1208"/>
      <c r="P477" s="1208"/>
      <c r="Q477" s="1208"/>
      <c r="R477" s="1208"/>
      <c r="S477" s="1208"/>
      <c r="T477" s="1208"/>
      <c r="U477" s="1208"/>
      <c r="V477" s="1208"/>
      <c r="W477" s="1208"/>
      <c r="X477" s="1208"/>
      <c r="Y477" s="1208"/>
      <c r="Z477" s="1208"/>
      <c r="AA477" s="1208"/>
      <c r="AB477" s="1208"/>
      <c r="AC477" s="1208"/>
      <c r="AD477" s="1208"/>
      <c r="AE477" s="1208"/>
      <c r="AF477" s="1208"/>
      <c r="AG477" s="1208"/>
      <c r="AH477" s="1208"/>
      <c r="AI477" s="1208"/>
      <c r="AJ477" s="1208"/>
      <c r="AK477" s="1208"/>
      <c r="AL477" s="1208"/>
      <c r="AM477" s="1208"/>
      <c r="AN477" s="1208"/>
      <c r="AO477" s="1208"/>
      <c r="AP477" s="1208"/>
      <c r="AQ477" s="1208"/>
      <c r="AR477" s="1208"/>
      <c r="AS477" s="1208"/>
      <c r="AT477" s="1208"/>
      <c r="AU477" s="1208"/>
      <c r="AV477" s="1208"/>
      <c r="AW477" s="1208"/>
      <c r="AX477" s="1208"/>
      <c r="AY477" s="1208"/>
      <c r="AZ477" s="1208"/>
      <c r="BA477" s="1208"/>
      <c r="BB477" s="1208"/>
      <c r="BC477" s="1208"/>
      <c r="BD477" s="1208"/>
      <c r="BE477" s="1208"/>
      <c r="BF477" s="1208"/>
      <c r="BG477" s="1208"/>
      <c r="BH477" s="1208"/>
      <c r="BI477" s="1208"/>
      <c r="BJ477" s="1208"/>
    </row>
    <row r="478" spans="1:62" s="1209" customFormat="1">
      <c r="A478" s="1212"/>
      <c r="D478" s="1208"/>
      <c r="E478" s="1208"/>
      <c r="F478" s="1208"/>
      <c r="G478" s="1208"/>
      <c r="H478" s="1208"/>
      <c r="I478" s="1208"/>
      <c r="J478" s="1208"/>
      <c r="K478" s="1208"/>
      <c r="L478" s="1208"/>
      <c r="M478" s="1208"/>
      <c r="N478" s="1208"/>
      <c r="O478" s="1208"/>
      <c r="P478" s="1208"/>
      <c r="Q478" s="1208"/>
      <c r="R478" s="1208"/>
      <c r="S478" s="1208"/>
      <c r="T478" s="1208"/>
      <c r="U478" s="1208"/>
      <c r="V478" s="1208"/>
      <c r="W478" s="1208"/>
      <c r="X478" s="1208"/>
      <c r="Y478" s="1208"/>
      <c r="Z478" s="1208"/>
      <c r="AA478" s="1208"/>
      <c r="AB478" s="1208"/>
      <c r="AC478" s="1208"/>
      <c r="AD478" s="1208"/>
      <c r="AE478" s="1208"/>
      <c r="AF478" s="1208"/>
      <c r="AG478" s="1208"/>
      <c r="AH478" s="1208"/>
      <c r="AI478" s="1208"/>
      <c r="AJ478" s="1208"/>
      <c r="AK478" s="1208"/>
      <c r="AL478" s="1208"/>
      <c r="AM478" s="1208"/>
      <c r="AN478" s="1208"/>
      <c r="AO478" s="1208"/>
      <c r="AP478" s="1208"/>
      <c r="AQ478" s="1208"/>
      <c r="AR478" s="1208"/>
      <c r="AS478" s="1208"/>
      <c r="AT478" s="1208"/>
      <c r="AU478" s="1208"/>
      <c r="AV478" s="1208"/>
      <c r="AW478" s="1208"/>
      <c r="AX478" s="1208"/>
      <c r="AY478" s="1208"/>
      <c r="AZ478" s="1208"/>
      <c r="BA478" s="1208"/>
      <c r="BB478" s="1208"/>
      <c r="BC478" s="1208"/>
      <c r="BD478" s="1208"/>
      <c r="BE478" s="1208"/>
      <c r="BF478" s="1208"/>
      <c r="BG478" s="1208"/>
      <c r="BH478" s="1208"/>
      <c r="BI478" s="1208"/>
      <c r="BJ478" s="1208"/>
    </row>
    <row r="479" spans="1:62" s="1209" customFormat="1">
      <c r="A479" s="1211"/>
      <c r="B479" s="1210"/>
      <c r="D479" s="1208"/>
      <c r="E479" s="1208"/>
      <c r="F479" s="1208"/>
      <c r="G479" s="1208"/>
      <c r="H479" s="1208"/>
      <c r="I479" s="1208"/>
      <c r="J479" s="1208"/>
      <c r="K479" s="1208"/>
      <c r="L479" s="1208"/>
      <c r="M479" s="1208"/>
      <c r="N479" s="1208"/>
      <c r="O479" s="1208"/>
      <c r="P479" s="1208"/>
      <c r="Q479" s="1208"/>
      <c r="R479" s="1208"/>
      <c r="S479" s="1208"/>
      <c r="T479" s="1208"/>
      <c r="U479" s="1208"/>
      <c r="V479" s="1208"/>
      <c r="W479" s="1208"/>
      <c r="X479" s="1208"/>
      <c r="Y479" s="1208"/>
      <c r="Z479" s="1208"/>
      <c r="AA479" s="1208"/>
      <c r="AB479" s="1208"/>
      <c r="AC479" s="1208"/>
      <c r="AD479" s="1208"/>
      <c r="AE479" s="1208"/>
      <c r="AF479" s="1208"/>
      <c r="AG479" s="1208"/>
      <c r="AH479" s="1208"/>
      <c r="AI479" s="1208"/>
      <c r="AJ479" s="1208"/>
      <c r="AK479" s="1208"/>
      <c r="AL479" s="1208"/>
      <c r="AM479" s="1208"/>
      <c r="AN479" s="1208"/>
      <c r="AO479" s="1208"/>
      <c r="AP479" s="1208"/>
      <c r="AQ479" s="1208"/>
      <c r="AR479" s="1208"/>
      <c r="AS479" s="1208"/>
      <c r="AT479" s="1208"/>
      <c r="AU479" s="1208"/>
      <c r="AV479" s="1208"/>
      <c r="AW479" s="1208"/>
      <c r="AX479" s="1208"/>
      <c r="AY479" s="1208"/>
      <c r="AZ479" s="1208"/>
      <c r="BA479" s="1208"/>
      <c r="BB479" s="1208"/>
      <c r="BC479" s="1208"/>
      <c r="BD479" s="1208"/>
      <c r="BE479" s="1208"/>
      <c r="BF479" s="1208"/>
      <c r="BG479" s="1208"/>
      <c r="BH479" s="1208"/>
      <c r="BI479" s="1208"/>
      <c r="BJ479" s="1208"/>
    </row>
  </sheetData>
  <sheetProtection formatCells="0" formatColumns="0" formatRows="0" insertColumns="0" insertRows="0" insertHyperlinks="0" deleteColumns="0" deleteRows="0" sort="0" autoFilter="0" pivotTables="0"/>
  <dataConsolidate/>
  <dataValidations count="1">
    <dataValidation type="list" allowBlank="1" showInputMessage="1" showErrorMessage="1" sqref="B77:B80" xr:uid="{75EF2F4C-1776-4844-A45A-755BC30FD4FC}">
      <formula1>#REF!</formula1>
    </dataValidation>
  </dataValidations>
  <printOptions horizontalCentered="1"/>
  <pageMargins left="0.25" right="0.25" top="0.75" bottom="0.75" header="0.3" footer="0.3"/>
  <pageSetup paperSize="9" scale="34" fitToHeight="2" orientation="portrait" r:id="rId1"/>
  <headerFooter>
    <oddHeader>&amp;L&amp;"-,Regular"&amp;K00-033Sierra Wireless Enterprise Solutions
APPENDIX 1 to Distributor Agreement&amp;C&amp;"-,Regular"&amp;12&amp;KC00000Sierra Wireless Enterprise Solutions&amp;9&amp;KC00000
AIRLINK PRODUCTS, PRICES, DELIVERY TERMS and APPLICABLE CURRENCY&amp;R&amp;"-,Regular"&amp;K00-042&amp;D</oddHeader>
    <oddFooter>&amp;L&amp;"-,Normal"&amp;K00-026Confidential&amp;C&amp;"-,Normal"&amp;K00-025This document is the sole and exclusive property of SIERRA WIRELESS. Not to be distributed or divulged without prior written agreement&amp;R&amp;"-,Gras"&amp;K00-022Page   &amp;P / &amp;N</oddFooter>
  </headerFooter>
  <customProperties>
    <customPr name="Ibp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7B5E2-B319-4FF4-8C57-4F5B97508912}">
  <sheetPr codeName="Sheet2">
    <tabColor theme="2" tint="-9.9978637043366805E-2"/>
  </sheetPr>
  <dimension ref="A1:F1614"/>
  <sheetViews>
    <sheetView workbookViewId="0">
      <pane ySplit="3" topLeftCell="A110" activePane="bottomLeft" state="frozen"/>
      <selection activeCell="C8" sqref="C8"/>
      <selection pane="bottomLeft" activeCell="C8" sqref="C8"/>
    </sheetView>
  </sheetViews>
  <sheetFormatPr defaultRowHeight="14.5"/>
  <cols>
    <col min="1" max="1" width="10" style="18" customWidth="1"/>
    <col min="2" max="2" width="25" style="18" customWidth="1"/>
    <col min="3" max="3" width="100" style="18" customWidth="1"/>
    <col min="4" max="4" width="15" style="18" customWidth="1"/>
    <col min="5" max="5" width="50" style="18" customWidth="1"/>
    <col min="6" max="16384" width="8.7265625" style="18"/>
  </cols>
  <sheetData>
    <row r="1" spans="1:6">
      <c r="A1" s="1087" t="s">
        <v>3525</v>
      </c>
      <c r="B1" s="1087"/>
      <c r="C1" s="1087"/>
      <c r="D1" s="1087"/>
      <c r="E1" s="1087"/>
    </row>
    <row r="3" spans="1:6">
      <c r="A3" s="28"/>
      <c r="B3" s="28" t="s">
        <v>3519</v>
      </c>
      <c r="C3" s="28" t="s">
        <v>3518</v>
      </c>
      <c r="D3" s="28" t="s">
        <v>3517</v>
      </c>
      <c r="E3" s="28" t="s">
        <v>3516</v>
      </c>
    </row>
    <row r="4" spans="1:6">
      <c r="A4" s="27"/>
      <c r="B4" s="27"/>
      <c r="C4" s="27" t="s">
        <v>3515</v>
      </c>
      <c r="D4" s="27"/>
      <c r="E4" s="27"/>
    </row>
    <row r="5" spans="1:6">
      <c r="A5" s="26"/>
      <c r="B5" s="26"/>
      <c r="C5" s="26" t="s">
        <v>3514</v>
      </c>
      <c r="D5" s="26"/>
      <c r="E5" s="26"/>
    </row>
    <row r="6" spans="1:6" ht="14" customHeight="1">
      <c r="A6" s="19" t="s">
        <v>293</v>
      </c>
      <c r="B6" s="25" t="s">
        <v>3513</v>
      </c>
      <c r="C6" s="24" t="s">
        <v>3512</v>
      </c>
      <c r="D6" s="23" t="s">
        <v>1285</v>
      </c>
      <c r="E6" s="20" t="s">
        <v>295</v>
      </c>
      <c r="F6" s="22"/>
    </row>
    <row r="7" spans="1:6" ht="14" customHeight="1">
      <c r="A7" s="19" t="s">
        <v>293</v>
      </c>
      <c r="B7" s="25" t="s">
        <v>3511</v>
      </c>
      <c r="C7" s="24" t="s">
        <v>3510</v>
      </c>
      <c r="D7" s="23" t="s">
        <v>1285</v>
      </c>
      <c r="E7" s="20" t="s">
        <v>295</v>
      </c>
      <c r="F7" s="22"/>
    </row>
    <row r="8" spans="1:6">
      <c r="A8" s="26"/>
      <c r="B8" s="26"/>
      <c r="C8" s="26" t="s">
        <v>3509</v>
      </c>
      <c r="D8" s="26"/>
      <c r="E8" s="26"/>
    </row>
    <row r="9" spans="1:6" ht="14" customHeight="1">
      <c r="A9" s="19" t="s">
        <v>293</v>
      </c>
      <c r="B9" s="25" t="s">
        <v>3508</v>
      </c>
      <c r="C9" s="24" t="s">
        <v>3507</v>
      </c>
      <c r="D9" s="23" t="s">
        <v>1700</v>
      </c>
      <c r="E9" s="20" t="s">
        <v>295</v>
      </c>
      <c r="F9" s="22"/>
    </row>
    <row r="10" spans="1:6" ht="14" customHeight="1">
      <c r="A10" s="19" t="s">
        <v>293</v>
      </c>
      <c r="B10" s="25" t="s">
        <v>3506</v>
      </c>
      <c r="C10" s="24" t="s">
        <v>3505</v>
      </c>
      <c r="D10" s="23" t="s">
        <v>1700</v>
      </c>
      <c r="E10" s="20" t="s">
        <v>295</v>
      </c>
      <c r="F10" s="22"/>
    </row>
    <row r="11" spans="1:6">
      <c r="A11" s="26"/>
      <c r="B11" s="26"/>
      <c r="C11" s="26" t="s">
        <v>3504</v>
      </c>
      <c r="D11" s="26"/>
      <c r="E11" s="26"/>
    </row>
    <row r="12" spans="1:6" ht="14" customHeight="1">
      <c r="A12" s="19" t="s">
        <v>293</v>
      </c>
      <c r="B12" s="25" t="s">
        <v>3503</v>
      </c>
      <c r="C12" s="24" t="s">
        <v>3502</v>
      </c>
      <c r="D12" s="23" t="s">
        <v>1285</v>
      </c>
      <c r="E12" s="20" t="s">
        <v>295</v>
      </c>
      <c r="F12" s="22"/>
    </row>
    <row r="13" spans="1:6" ht="14" customHeight="1">
      <c r="A13" s="19" t="s">
        <v>293</v>
      </c>
      <c r="B13" s="25" t="s">
        <v>3501</v>
      </c>
      <c r="C13" s="24" t="s">
        <v>3500</v>
      </c>
      <c r="D13" s="23" t="s">
        <v>1285</v>
      </c>
      <c r="E13" s="20" t="s">
        <v>295</v>
      </c>
      <c r="F13" s="22"/>
    </row>
    <row r="14" spans="1:6" ht="14" customHeight="1">
      <c r="A14" s="19" t="s">
        <v>293</v>
      </c>
      <c r="B14" s="25" t="s">
        <v>3499</v>
      </c>
      <c r="C14" s="24" t="s">
        <v>3498</v>
      </c>
      <c r="D14" s="23" t="s">
        <v>1700</v>
      </c>
      <c r="E14" s="20" t="s">
        <v>295</v>
      </c>
      <c r="F14" s="22"/>
    </row>
    <row r="15" spans="1:6">
      <c r="A15" s="26"/>
      <c r="B15" s="26"/>
      <c r="C15" s="26" t="s">
        <v>3497</v>
      </c>
      <c r="D15" s="26"/>
      <c r="E15" s="26"/>
    </row>
    <row r="16" spans="1:6" ht="14" customHeight="1">
      <c r="A16" s="19" t="s">
        <v>293</v>
      </c>
      <c r="B16" s="25" t="s">
        <v>3496</v>
      </c>
      <c r="C16" s="24" t="s">
        <v>3495</v>
      </c>
      <c r="D16" s="23" t="s">
        <v>1700</v>
      </c>
      <c r="E16" s="20" t="s">
        <v>295</v>
      </c>
      <c r="F16" s="22"/>
    </row>
    <row r="17" spans="1:6">
      <c r="A17" s="26"/>
      <c r="B17" s="26"/>
      <c r="C17" s="26" t="s">
        <v>3494</v>
      </c>
      <c r="D17" s="26"/>
      <c r="E17" s="26"/>
    </row>
    <row r="18" spans="1:6" ht="14" customHeight="1">
      <c r="A18" s="19" t="s">
        <v>293</v>
      </c>
      <c r="B18" s="25" t="s">
        <v>3493</v>
      </c>
      <c r="C18" s="24" t="s">
        <v>3492</v>
      </c>
      <c r="D18" s="23" t="s">
        <v>3425</v>
      </c>
      <c r="E18" s="20" t="s">
        <v>295</v>
      </c>
      <c r="F18" s="22"/>
    </row>
    <row r="19" spans="1:6" ht="14" customHeight="1">
      <c r="A19" s="19" t="s">
        <v>293</v>
      </c>
      <c r="B19" s="25" t="s">
        <v>3491</v>
      </c>
      <c r="C19" s="24" t="s">
        <v>3490</v>
      </c>
      <c r="D19" s="23" t="s">
        <v>3425</v>
      </c>
      <c r="E19" s="20" t="s">
        <v>295</v>
      </c>
      <c r="F19" s="22"/>
    </row>
    <row r="20" spans="1:6" ht="14" customHeight="1">
      <c r="A20" s="19" t="s">
        <v>293</v>
      </c>
      <c r="B20" s="25" t="s">
        <v>3489</v>
      </c>
      <c r="C20" s="24" t="s">
        <v>3488</v>
      </c>
      <c r="D20" s="23" t="s">
        <v>3425</v>
      </c>
      <c r="E20" s="20" t="s">
        <v>295</v>
      </c>
      <c r="F20" s="22"/>
    </row>
    <row r="21" spans="1:6" ht="14" customHeight="1">
      <c r="A21" s="19" t="s">
        <v>293</v>
      </c>
      <c r="B21" s="25" t="s">
        <v>3487</v>
      </c>
      <c r="C21" s="24" t="s">
        <v>3486</v>
      </c>
      <c r="D21" s="23" t="s">
        <v>3425</v>
      </c>
      <c r="E21" s="20" t="s">
        <v>295</v>
      </c>
      <c r="F21" s="22"/>
    </row>
    <row r="22" spans="1:6" ht="14" customHeight="1">
      <c r="A22" s="19" t="s">
        <v>293</v>
      </c>
      <c r="B22" s="25" t="s">
        <v>3485</v>
      </c>
      <c r="C22" s="24" t="s">
        <v>3438</v>
      </c>
      <c r="D22" s="23" t="s">
        <v>3425</v>
      </c>
      <c r="E22" s="20" t="s">
        <v>295</v>
      </c>
      <c r="F22" s="22"/>
    </row>
    <row r="23" spans="1:6" ht="14" customHeight="1">
      <c r="A23" s="19" t="s">
        <v>293</v>
      </c>
      <c r="B23" s="25" t="s">
        <v>3484</v>
      </c>
      <c r="C23" s="24" t="s">
        <v>3483</v>
      </c>
      <c r="D23" s="23" t="s">
        <v>3425</v>
      </c>
      <c r="E23" s="20" t="s">
        <v>295</v>
      </c>
      <c r="F23" s="22"/>
    </row>
    <row r="24" spans="1:6" ht="14" customHeight="1">
      <c r="A24" s="19" t="s">
        <v>293</v>
      </c>
      <c r="B24" s="25" t="s">
        <v>3482</v>
      </c>
      <c r="C24" s="24" t="s">
        <v>3481</v>
      </c>
      <c r="D24" s="23" t="s">
        <v>3425</v>
      </c>
      <c r="E24" s="20" t="s">
        <v>295</v>
      </c>
      <c r="F24" s="22"/>
    </row>
    <row r="25" spans="1:6" ht="14" customHeight="1">
      <c r="A25" s="19" t="s">
        <v>293</v>
      </c>
      <c r="B25" s="25" t="s">
        <v>3480</v>
      </c>
      <c r="C25" s="24" t="s">
        <v>3479</v>
      </c>
      <c r="D25" s="23" t="s">
        <v>3425</v>
      </c>
      <c r="E25" s="20" t="s">
        <v>295</v>
      </c>
      <c r="F25" s="22"/>
    </row>
    <row r="26" spans="1:6" ht="14" customHeight="1">
      <c r="A26" s="19" t="s">
        <v>293</v>
      </c>
      <c r="B26" s="25" t="s">
        <v>3478</v>
      </c>
      <c r="C26" s="24" t="s">
        <v>3477</v>
      </c>
      <c r="D26" s="23" t="s">
        <v>3425</v>
      </c>
      <c r="E26" s="20" t="s">
        <v>295</v>
      </c>
      <c r="F26" s="22"/>
    </row>
    <row r="27" spans="1:6" ht="14" customHeight="1">
      <c r="A27" s="19" t="s">
        <v>293</v>
      </c>
      <c r="B27" s="25" t="s">
        <v>3476</v>
      </c>
      <c r="C27" s="24" t="s">
        <v>3475</v>
      </c>
      <c r="D27" s="23" t="s">
        <v>3425</v>
      </c>
      <c r="E27" s="20" t="s">
        <v>295</v>
      </c>
      <c r="F27" s="22"/>
    </row>
    <row r="28" spans="1:6" ht="14" customHeight="1">
      <c r="A28" s="19" t="s">
        <v>293</v>
      </c>
      <c r="B28" s="25" t="s">
        <v>3474</v>
      </c>
      <c r="C28" s="24" t="s">
        <v>3473</v>
      </c>
      <c r="D28" s="23" t="s">
        <v>3425</v>
      </c>
      <c r="E28" s="20" t="s">
        <v>295</v>
      </c>
      <c r="F28" s="22"/>
    </row>
    <row r="29" spans="1:6" ht="14" customHeight="1">
      <c r="A29" s="19" t="s">
        <v>293</v>
      </c>
      <c r="B29" s="25" t="s">
        <v>211</v>
      </c>
      <c r="C29" s="24" t="s">
        <v>3472</v>
      </c>
      <c r="D29" s="23" t="s">
        <v>3425</v>
      </c>
      <c r="E29" s="20" t="s">
        <v>295</v>
      </c>
      <c r="F29" s="22"/>
    </row>
    <row r="30" spans="1:6">
      <c r="A30" s="26"/>
      <c r="B30" s="26"/>
      <c r="C30" s="26" t="s">
        <v>3471</v>
      </c>
      <c r="D30" s="26"/>
      <c r="E30" s="26"/>
    </row>
    <row r="31" spans="1:6" ht="14" customHeight="1">
      <c r="A31" s="19" t="s">
        <v>293</v>
      </c>
      <c r="B31" s="25" t="s">
        <v>3470</v>
      </c>
      <c r="C31" s="24" t="s">
        <v>3469</v>
      </c>
      <c r="D31" s="23" t="s">
        <v>3405</v>
      </c>
      <c r="E31" s="20" t="s">
        <v>295</v>
      </c>
      <c r="F31" s="22"/>
    </row>
    <row r="32" spans="1:6" ht="14" customHeight="1">
      <c r="A32" s="19" t="s">
        <v>293</v>
      </c>
      <c r="B32" s="25" t="s">
        <v>3468</v>
      </c>
      <c r="C32" s="24" t="s">
        <v>3467</v>
      </c>
      <c r="D32" s="23" t="s">
        <v>3405</v>
      </c>
      <c r="E32" s="20" t="s">
        <v>295</v>
      </c>
      <c r="F32" s="22"/>
    </row>
    <row r="33" spans="1:6" ht="14" customHeight="1">
      <c r="A33" s="19" t="s">
        <v>293</v>
      </c>
      <c r="B33" s="25" t="s">
        <v>3466</v>
      </c>
      <c r="C33" s="24" t="s">
        <v>3465</v>
      </c>
      <c r="D33" s="23" t="s">
        <v>3405</v>
      </c>
      <c r="E33" s="20" t="s">
        <v>295</v>
      </c>
      <c r="F33" s="22"/>
    </row>
    <row r="34" spans="1:6" ht="14" customHeight="1">
      <c r="A34" s="19" t="s">
        <v>293</v>
      </c>
      <c r="B34" s="25" t="s">
        <v>3464</v>
      </c>
      <c r="C34" s="24" t="s">
        <v>3463</v>
      </c>
      <c r="D34" s="23" t="s">
        <v>3405</v>
      </c>
      <c r="E34" s="20" t="s">
        <v>295</v>
      </c>
      <c r="F34" s="22"/>
    </row>
    <row r="35" spans="1:6" ht="14" customHeight="1">
      <c r="A35" s="19" t="s">
        <v>293</v>
      </c>
      <c r="B35" s="25" t="s">
        <v>3462</v>
      </c>
      <c r="C35" s="24" t="s">
        <v>3461</v>
      </c>
      <c r="D35" s="23" t="s">
        <v>3405</v>
      </c>
      <c r="E35" s="20" t="s">
        <v>295</v>
      </c>
      <c r="F35" s="22"/>
    </row>
    <row r="36" spans="1:6" ht="14" customHeight="1">
      <c r="A36" s="19" t="s">
        <v>293</v>
      </c>
      <c r="B36" s="25" t="s">
        <v>3460</v>
      </c>
      <c r="C36" s="24" t="s">
        <v>3459</v>
      </c>
      <c r="D36" s="23" t="s">
        <v>3405</v>
      </c>
      <c r="E36" s="20" t="s">
        <v>295</v>
      </c>
      <c r="F36" s="22"/>
    </row>
    <row r="37" spans="1:6" ht="14" customHeight="1">
      <c r="A37" s="19" t="s">
        <v>293</v>
      </c>
      <c r="B37" s="25" t="s">
        <v>3458</v>
      </c>
      <c r="C37" s="24" t="s">
        <v>3457</v>
      </c>
      <c r="D37" s="23" t="s">
        <v>3405</v>
      </c>
      <c r="E37" s="20" t="s">
        <v>295</v>
      </c>
      <c r="F37" s="22"/>
    </row>
    <row r="38" spans="1:6" ht="14" customHeight="1">
      <c r="A38" s="19" t="s">
        <v>293</v>
      </c>
      <c r="B38" s="25" t="s">
        <v>3456</v>
      </c>
      <c r="C38" s="24" t="s">
        <v>3455</v>
      </c>
      <c r="D38" s="23" t="s">
        <v>3405</v>
      </c>
      <c r="E38" s="20" t="s">
        <v>295</v>
      </c>
      <c r="F38" s="22"/>
    </row>
    <row r="39" spans="1:6" ht="14" customHeight="1">
      <c r="A39" s="19" t="s">
        <v>293</v>
      </c>
      <c r="B39" s="25" t="s">
        <v>3454</v>
      </c>
      <c r="C39" s="24" t="s">
        <v>3453</v>
      </c>
      <c r="D39" s="23" t="s">
        <v>3405</v>
      </c>
      <c r="E39" s="20" t="s">
        <v>295</v>
      </c>
      <c r="F39" s="22"/>
    </row>
    <row r="40" spans="1:6" ht="14" customHeight="1">
      <c r="A40" s="19" t="s">
        <v>293</v>
      </c>
      <c r="B40" s="25" t="s">
        <v>3452</v>
      </c>
      <c r="C40" s="24" t="s">
        <v>3451</v>
      </c>
      <c r="D40" s="23" t="s">
        <v>3405</v>
      </c>
      <c r="E40" s="20" t="s">
        <v>295</v>
      </c>
      <c r="F40" s="22"/>
    </row>
    <row r="41" spans="1:6" ht="14" customHeight="1">
      <c r="A41" s="19" t="s">
        <v>293</v>
      </c>
      <c r="B41" s="25" t="s">
        <v>3450</v>
      </c>
      <c r="C41" s="24" t="s">
        <v>3449</v>
      </c>
      <c r="D41" s="23" t="s">
        <v>3405</v>
      </c>
      <c r="E41" s="20" t="s">
        <v>295</v>
      </c>
      <c r="F41" s="22"/>
    </row>
    <row r="42" spans="1:6">
      <c r="A42" s="26"/>
      <c r="B42" s="26"/>
      <c r="C42" s="26" t="s">
        <v>3448</v>
      </c>
      <c r="D42" s="26"/>
      <c r="E42" s="26"/>
    </row>
    <row r="43" spans="1:6" ht="14" customHeight="1">
      <c r="A43" s="19" t="s">
        <v>293</v>
      </c>
      <c r="B43" s="25" t="s">
        <v>3447</v>
      </c>
      <c r="C43" s="24" t="s">
        <v>3446</v>
      </c>
      <c r="D43" s="23" t="s">
        <v>3425</v>
      </c>
      <c r="E43" s="20" t="s">
        <v>295</v>
      </c>
      <c r="F43" s="22"/>
    </row>
    <row r="44" spans="1:6" ht="14" customHeight="1">
      <c r="A44" s="19" t="s">
        <v>293</v>
      </c>
      <c r="B44" s="25" t="s">
        <v>3445</v>
      </c>
      <c r="C44" s="24" t="s">
        <v>3444</v>
      </c>
      <c r="D44" s="23" t="s">
        <v>3425</v>
      </c>
      <c r="E44" s="20" t="s">
        <v>295</v>
      </c>
      <c r="F44" s="22"/>
    </row>
    <row r="45" spans="1:6" ht="14" customHeight="1">
      <c r="A45" s="19" t="s">
        <v>293</v>
      </c>
      <c r="B45" s="25" t="s">
        <v>3443</v>
      </c>
      <c r="C45" s="24" t="s">
        <v>3442</v>
      </c>
      <c r="D45" s="23" t="s">
        <v>3425</v>
      </c>
      <c r="E45" s="20" t="s">
        <v>295</v>
      </c>
      <c r="F45" s="22"/>
    </row>
    <row r="46" spans="1:6" ht="14" customHeight="1">
      <c r="A46" s="19" t="s">
        <v>293</v>
      </c>
      <c r="B46" s="25" t="s">
        <v>3441</v>
      </c>
      <c r="C46" s="24" t="s">
        <v>3440</v>
      </c>
      <c r="D46" s="23" t="s">
        <v>3425</v>
      </c>
      <c r="E46" s="20" t="s">
        <v>295</v>
      </c>
      <c r="F46" s="22"/>
    </row>
    <row r="47" spans="1:6" ht="14" customHeight="1">
      <c r="A47" s="19" t="s">
        <v>293</v>
      </c>
      <c r="B47" s="25" t="s">
        <v>3439</v>
      </c>
      <c r="C47" s="24" t="s">
        <v>3438</v>
      </c>
      <c r="D47" s="23" t="s">
        <v>3425</v>
      </c>
      <c r="E47" s="20" t="s">
        <v>295</v>
      </c>
      <c r="F47" s="22"/>
    </row>
    <row r="48" spans="1:6" ht="14" customHeight="1">
      <c r="A48" s="19" t="s">
        <v>293</v>
      </c>
      <c r="B48" s="25" t="s">
        <v>3437</v>
      </c>
      <c r="C48" s="24" t="s">
        <v>3436</v>
      </c>
      <c r="D48" s="23" t="s">
        <v>3425</v>
      </c>
      <c r="E48" s="20" t="s">
        <v>295</v>
      </c>
      <c r="F48" s="22"/>
    </row>
    <row r="49" spans="1:6" ht="14" customHeight="1">
      <c r="A49" s="19" t="s">
        <v>293</v>
      </c>
      <c r="B49" s="25" t="s">
        <v>3435</v>
      </c>
      <c r="C49" s="24" t="s">
        <v>3434</v>
      </c>
      <c r="D49" s="23" t="s">
        <v>3425</v>
      </c>
      <c r="E49" s="20" t="s">
        <v>295</v>
      </c>
      <c r="F49" s="22"/>
    </row>
    <row r="50" spans="1:6" ht="14" customHeight="1">
      <c r="A50" s="19" t="s">
        <v>293</v>
      </c>
      <c r="B50" s="25" t="s">
        <v>3433</v>
      </c>
      <c r="C50" s="24" t="s">
        <v>3432</v>
      </c>
      <c r="D50" s="23" t="s">
        <v>3425</v>
      </c>
      <c r="E50" s="20" t="s">
        <v>295</v>
      </c>
      <c r="F50" s="22"/>
    </row>
    <row r="51" spans="1:6" ht="14" customHeight="1">
      <c r="A51" s="19" t="s">
        <v>293</v>
      </c>
      <c r="B51" s="25" t="s">
        <v>3431</v>
      </c>
      <c r="C51" s="24" t="s">
        <v>3430</v>
      </c>
      <c r="D51" s="23" t="s">
        <v>3425</v>
      </c>
      <c r="E51" s="20" t="s">
        <v>295</v>
      </c>
      <c r="F51" s="22"/>
    </row>
    <row r="52" spans="1:6" ht="14" customHeight="1">
      <c r="A52" s="19" t="s">
        <v>293</v>
      </c>
      <c r="B52" s="25" t="s">
        <v>3429</v>
      </c>
      <c r="C52" s="24" t="s">
        <v>3428</v>
      </c>
      <c r="D52" s="23" t="s">
        <v>3425</v>
      </c>
      <c r="E52" s="20" t="s">
        <v>295</v>
      </c>
      <c r="F52" s="22"/>
    </row>
    <row r="53" spans="1:6" ht="14" customHeight="1">
      <c r="A53" s="19" t="s">
        <v>293</v>
      </c>
      <c r="B53" s="25" t="s">
        <v>3427</v>
      </c>
      <c r="C53" s="24" t="s">
        <v>3426</v>
      </c>
      <c r="D53" s="23" t="s">
        <v>3425</v>
      </c>
      <c r="E53" s="20" t="s">
        <v>295</v>
      </c>
      <c r="F53" s="22"/>
    </row>
    <row r="54" spans="1:6">
      <c r="A54" s="26"/>
      <c r="B54" s="26"/>
      <c r="C54" s="26" t="s">
        <v>3424</v>
      </c>
      <c r="D54" s="26"/>
      <c r="E54" s="26"/>
    </row>
    <row r="55" spans="1:6" ht="14" customHeight="1">
      <c r="A55" s="19" t="s">
        <v>293</v>
      </c>
      <c r="B55" s="25" t="s">
        <v>3423</v>
      </c>
      <c r="C55" s="24" t="s">
        <v>3422</v>
      </c>
      <c r="D55" s="23" t="s">
        <v>3405</v>
      </c>
      <c r="E55" s="20" t="s">
        <v>295</v>
      </c>
      <c r="F55" s="22"/>
    </row>
    <row r="56" spans="1:6" ht="14" customHeight="1">
      <c r="A56" s="19" t="s">
        <v>293</v>
      </c>
      <c r="B56" s="25" t="s">
        <v>3421</v>
      </c>
      <c r="C56" s="24" t="s">
        <v>3420</v>
      </c>
      <c r="D56" s="23" t="s">
        <v>3405</v>
      </c>
      <c r="E56" s="20" t="s">
        <v>295</v>
      </c>
      <c r="F56" s="22"/>
    </row>
    <row r="57" spans="1:6" ht="14" customHeight="1">
      <c r="A57" s="19" t="s">
        <v>293</v>
      </c>
      <c r="B57" s="25" t="s">
        <v>3419</v>
      </c>
      <c r="C57" s="24" t="s">
        <v>3418</v>
      </c>
      <c r="D57" s="23" t="s">
        <v>3405</v>
      </c>
      <c r="E57" s="20" t="s">
        <v>295</v>
      </c>
      <c r="F57" s="22"/>
    </row>
    <row r="58" spans="1:6" ht="14" customHeight="1">
      <c r="A58" s="19" t="s">
        <v>293</v>
      </c>
      <c r="B58" s="25" t="s">
        <v>3417</v>
      </c>
      <c r="C58" s="24" t="s">
        <v>3416</v>
      </c>
      <c r="D58" s="23" t="s">
        <v>3405</v>
      </c>
      <c r="E58" s="20" t="s">
        <v>295</v>
      </c>
      <c r="F58" s="22"/>
    </row>
    <row r="59" spans="1:6" ht="14" customHeight="1">
      <c r="A59" s="19" t="s">
        <v>293</v>
      </c>
      <c r="B59" s="25" t="s">
        <v>3415</v>
      </c>
      <c r="C59" s="24" t="s">
        <v>3414</v>
      </c>
      <c r="D59" s="23" t="s">
        <v>3405</v>
      </c>
      <c r="E59" s="20" t="s">
        <v>295</v>
      </c>
      <c r="F59" s="22"/>
    </row>
    <row r="60" spans="1:6" ht="14" customHeight="1">
      <c r="A60" s="19" t="s">
        <v>293</v>
      </c>
      <c r="B60" s="25" t="s">
        <v>3413</v>
      </c>
      <c r="C60" s="24" t="s">
        <v>3412</v>
      </c>
      <c r="D60" s="23" t="s">
        <v>3405</v>
      </c>
      <c r="E60" s="20" t="s">
        <v>295</v>
      </c>
      <c r="F60" s="22"/>
    </row>
    <row r="61" spans="1:6" ht="14" customHeight="1">
      <c r="A61" s="19" t="s">
        <v>293</v>
      </c>
      <c r="B61" s="25" t="s">
        <v>3411</v>
      </c>
      <c r="C61" s="24" t="s">
        <v>3410</v>
      </c>
      <c r="D61" s="23" t="s">
        <v>3405</v>
      </c>
      <c r="E61" s="20" t="s">
        <v>295</v>
      </c>
      <c r="F61" s="22"/>
    </row>
    <row r="62" spans="1:6" ht="14" customHeight="1">
      <c r="A62" s="19" t="s">
        <v>293</v>
      </c>
      <c r="B62" s="25" t="s">
        <v>3409</v>
      </c>
      <c r="C62" s="24" t="s">
        <v>3408</v>
      </c>
      <c r="D62" s="23" t="s">
        <v>3405</v>
      </c>
      <c r="E62" s="20" t="s">
        <v>295</v>
      </c>
      <c r="F62" s="22"/>
    </row>
    <row r="63" spans="1:6" ht="14" customHeight="1">
      <c r="A63" s="19" t="s">
        <v>293</v>
      </c>
      <c r="B63" s="25" t="s">
        <v>3407</v>
      </c>
      <c r="C63" s="24" t="s">
        <v>3406</v>
      </c>
      <c r="D63" s="23" t="s">
        <v>3405</v>
      </c>
      <c r="E63" s="20" t="s">
        <v>295</v>
      </c>
      <c r="F63" s="22"/>
    </row>
    <row r="64" spans="1:6">
      <c r="A64" s="26"/>
      <c r="B64" s="26"/>
      <c r="C64" s="26" t="s">
        <v>3404</v>
      </c>
      <c r="D64" s="26"/>
      <c r="E64" s="26"/>
    </row>
    <row r="65" spans="1:6" ht="28" customHeight="1">
      <c r="A65" s="19" t="s">
        <v>293</v>
      </c>
      <c r="B65" s="25" t="s">
        <v>3403</v>
      </c>
      <c r="C65" s="24" t="s">
        <v>3402</v>
      </c>
      <c r="D65" s="23" t="s">
        <v>3371</v>
      </c>
      <c r="E65" s="20" t="s">
        <v>300</v>
      </c>
      <c r="F65" s="22"/>
    </row>
    <row r="66" spans="1:6" ht="28" customHeight="1">
      <c r="A66" s="19" t="s">
        <v>293</v>
      </c>
      <c r="B66" s="25" t="s">
        <v>3401</v>
      </c>
      <c r="C66" s="24" t="s">
        <v>3400</v>
      </c>
      <c r="D66" s="23" t="s">
        <v>3359</v>
      </c>
      <c r="E66" s="20" t="s">
        <v>300</v>
      </c>
      <c r="F66" s="22"/>
    </row>
    <row r="67" spans="1:6" ht="28" customHeight="1">
      <c r="A67" s="19" t="s">
        <v>293</v>
      </c>
      <c r="B67" s="25" t="s">
        <v>3399</v>
      </c>
      <c r="C67" s="24" t="s">
        <v>3398</v>
      </c>
      <c r="D67" s="23" t="s">
        <v>3359</v>
      </c>
      <c r="E67" s="20" t="s">
        <v>300</v>
      </c>
      <c r="F67" s="22"/>
    </row>
    <row r="68" spans="1:6">
      <c r="A68" s="26"/>
      <c r="B68" s="26"/>
      <c r="C68" s="26" t="s">
        <v>3397</v>
      </c>
      <c r="D68" s="26"/>
      <c r="E68" s="26"/>
    </row>
    <row r="69" spans="1:6" ht="28" customHeight="1">
      <c r="A69" s="19" t="s">
        <v>293</v>
      </c>
      <c r="B69" s="25" t="s">
        <v>3396</v>
      </c>
      <c r="C69" s="24" t="s">
        <v>3385</v>
      </c>
      <c r="D69" s="23" t="s">
        <v>3371</v>
      </c>
      <c r="E69" s="20" t="s">
        <v>300</v>
      </c>
      <c r="F69" s="22"/>
    </row>
    <row r="70" spans="1:6" ht="28" customHeight="1">
      <c r="A70" s="19" t="s">
        <v>293</v>
      </c>
      <c r="B70" s="25" t="s">
        <v>3395</v>
      </c>
      <c r="C70" s="24" t="s">
        <v>3383</v>
      </c>
      <c r="D70" s="23" t="s">
        <v>3371</v>
      </c>
      <c r="E70" s="20" t="s">
        <v>300</v>
      </c>
      <c r="F70" s="22"/>
    </row>
    <row r="71" spans="1:6" ht="28" customHeight="1">
      <c r="A71" s="19" t="s">
        <v>293</v>
      </c>
      <c r="B71" s="25" t="s">
        <v>3394</v>
      </c>
      <c r="C71" s="24" t="s">
        <v>3393</v>
      </c>
      <c r="D71" s="23" t="s">
        <v>3365</v>
      </c>
      <c r="E71" s="20" t="s">
        <v>300</v>
      </c>
      <c r="F71" s="22"/>
    </row>
    <row r="72" spans="1:6" ht="28" customHeight="1">
      <c r="A72" s="19" t="s">
        <v>293</v>
      </c>
      <c r="B72" s="25" t="s">
        <v>3392</v>
      </c>
      <c r="C72" s="24" t="s">
        <v>3391</v>
      </c>
      <c r="D72" s="23" t="s">
        <v>3365</v>
      </c>
      <c r="E72" s="20" t="s">
        <v>300</v>
      </c>
      <c r="F72" s="22"/>
    </row>
    <row r="73" spans="1:6" ht="28" customHeight="1">
      <c r="A73" s="19" t="s">
        <v>293</v>
      </c>
      <c r="B73" s="25" t="s">
        <v>3390</v>
      </c>
      <c r="C73" s="24" t="s">
        <v>3389</v>
      </c>
      <c r="D73" s="23" t="s">
        <v>3362</v>
      </c>
      <c r="E73" s="20" t="s">
        <v>300</v>
      </c>
      <c r="F73" s="22"/>
    </row>
    <row r="74" spans="1:6" ht="28" customHeight="1">
      <c r="A74" s="19" t="s">
        <v>293</v>
      </c>
      <c r="B74" s="25" t="s">
        <v>3388</v>
      </c>
      <c r="C74" s="24" t="s">
        <v>3387</v>
      </c>
      <c r="D74" s="23" t="s">
        <v>3359</v>
      </c>
      <c r="E74" s="20" t="s">
        <v>300</v>
      </c>
      <c r="F74" s="22"/>
    </row>
    <row r="75" spans="1:6" ht="28" customHeight="1">
      <c r="A75" s="19" t="s">
        <v>293</v>
      </c>
      <c r="B75" s="25" t="s">
        <v>3386</v>
      </c>
      <c r="C75" s="24" t="s">
        <v>3385</v>
      </c>
      <c r="D75" s="23" t="s">
        <v>3365</v>
      </c>
      <c r="E75" s="20" t="s">
        <v>300</v>
      </c>
      <c r="F75" s="22"/>
    </row>
    <row r="76" spans="1:6" ht="28" customHeight="1">
      <c r="A76" s="19" t="s">
        <v>293</v>
      </c>
      <c r="B76" s="25" t="s">
        <v>3384</v>
      </c>
      <c r="C76" s="24" t="s">
        <v>3383</v>
      </c>
      <c r="D76" s="23" t="s">
        <v>3365</v>
      </c>
      <c r="E76" s="20" t="s">
        <v>300</v>
      </c>
      <c r="F76" s="22"/>
    </row>
    <row r="77" spans="1:6" ht="28" customHeight="1">
      <c r="A77" s="19" t="s">
        <v>293</v>
      </c>
      <c r="B77" s="25" t="s">
        <v>3382</v>
      </c>
      <c r="C77" s="24" t="s">
        <v>3381</v>
      </c>
      <c r="D77" s="23" t="s">
        <v>3365</v>
      </c>
      <c r="E77" s="20" t="s">
        <v>300</v>
      </c>
      <c r="F77" s="22"/>
    </row>
    <row r="78" spans="1:6" ht="28" customHeight="1">
      <c r="A78" s="19" t="s">
        <v>293</v>
      </c>
      <c r="B78" s="25" t="s">
        <v>3380</v>
      </c>
      <c r="C78" s="24" t="s">
        <v>3379</v>
      </c>
      <c r="D78" s="23" t="s">
        <v>3365</v>
      </c>
      <c r="E78" s="20" t="s">
        <v>300</v>
      </c>
      <c r="F78" s="22"/>
    </row>
    <row r="79" spans="1:6" ht="28" customHeight="1">
      <c r="A79" s="19" t="s">
        <v>293</v>
      </c>
      <c r="B79" s="25" t="s">
        <v>3378</v>
      </c>
      <c r="C79" s="24" t="s">
        <v>3377</v>
      </c>
      <c r="D79" s="23" t="s">
        <v>3365</v>
      </c>
      <c r="E79" s="20" t="s">
        <v>300</v>
      </c>
      <c r="F79" s="22"/>
    </row>
    <row r="80" spans="1:6" ht="28" customHeight="1">
      <c r="A80" s="19" t="s">
        <v>293</v>
      </c>
      <c r="B80" s="25" t="s">
        <v>3376</v>
      </c>
      <c r="C80" s="24" t="s">
        <v>3375</v>
      </c>
      <c r="D80" s="23" t="s">
        <v>3365</v>
      </c>
      <c r="E80" s="20" t="s">
        <v>300</v>
      </c>
      <c r="F80" s="22"/>
    </row>
    <row r="81" spans="1:6">
      <c r="A81" s="26"/>
      <c r="B81" s="26"/>
      <c r="C81" s="26" t="s">
        <v>3374</v>
      </c>
      <c r="D81" s="26"/>
      <c r="E81" s="26"/>
    </row>
    <row r="82" spans="1:6" ht="28" customHeight="1">
      <c r="A82" s="19" t="s">
        <v>293</v>
      </c>
      <c r="B82" s="25" t="s">
        <v>3373</v>
      </c>
      <c r="C82" s="24" t="s">
        <v>3372</v>
      </c>
      <c r="D82" s="23" t="s">
        <v>3371</v>
      </c>
      <c r="E82" s="20" t="s">
        <v>300</v>
      </c>
      <c r="F82" s="22"/>
    </row>
    <row r="83" spans="1:6">
      <c r="A83" s="26"/>
      <c r="B83" s="26"/>
      <c r="C83" s="26" t="s">
        <v>3370</v>
      </c>
      <c r="D83" s="26"/>
      <c r="E83" s="26"/>
    </row>
    <row r="84" spans="1:6" ht="28" customHeight="1">
      <c r="A84" s="19" t="s">
        <v>293</v>
      </c>
      <c r="B84" s="25" t="s">
        <v>3369</v>
      </c>
      <c r="C84" s="24" t="s">
        <v>3368</v>
      </c>
      <c r="D84" s="23" t="s">
        <v>3365</v>
      </c>
      <c r="E84" s="20" t="s">
        <v>300</v>
      </c>
      <c r="F84" s="22"/>
    </row>
    <row r="85" spans="1:6" ht="28" customHeight="1">
      <c r="A85" s="19" t="s">
        <v>293</v>
      </c>
      <c r="B85" s="25" t="s">
        <v>3367</v>
      </c>
      <c r="C85" s="24" t="s">
        <v>3366</v>
      </c>
      <c r="D85" s="23" t="s">
        <v>3365</v>
      </c>
      <c r="E85" s="20" t="s">
        <v>300</v>
      </c>
      <c r="F85" s="22"/>
    </row>
    <row r="86" spans="1:6" ht="28" customHeight="1">
      <c r="A86" s="19" t="s">
        <v>293</v>
      </c>
      <c r="B86" s="25" t="s">
        <v>3364</v>
      </c>
      <c r="C86" s="24" t="s">
        <v>3363</v>
      </c>
      <c r="D86" s="23" t="s">
        <v>3362</v>
      </c>
      <c r="E86" s="20" t="s">
        <v>300</v>
      </c>
      <c r="F86" s="22"/>
    </row>
    <row r="87" spans="1:6" ht="28" customHeight="1">
      <c r="A87" s="19" t="s">
        <v>293</v>
      </c>
      <c r="B87" s="25" t="s">
        <v>3361</v>
      </c>
      <c r="C87" s="24" t="s">
        <v>3360</v>
      </c>
      <c r="D87" s="23" t="s">
        <v>3359</v>
      </c>
      <c r="E87" s="20" t="s">
        <v>300</v>
      </c>
      <c r="F87" s="22"/>
    </row>
    <row r="88" spans="1:6">
      <c r="A88" s="26"/>
      <c r="B88" s="26"/>
      <c r="C88" s="26" t="s">
        <v>3358</v>
      </c>
      <c r="D88" s="26"/>
      <c r="E88" s="26"/>
    </row>
    <row r="89" spans="1:6" ht="14" customHeight="1">
      <c r="A89" s="19" t="s">
        <v>293</v>
      </c>
      <c r="B89" s="25" t="s">
        <v>3357</v>
      </c>
      <c r="C89" s="24" t="s">
        <v>3356</v>
      </c>
      <c r="D89" s="23" t="s">
        <v>3355</v>
      </c>
      <c r="E89" s="20" t="s">
        <v>295</v>
      </c>
      <c r="F89" s="22"/>
    </row>
    <row r="90" spans="1:6">
      <c r="A90" s="27"/>
      <c r="B90" s="27"/>
      <c r="C90" s="27" t="s">
        <v>3354</v>
      </c>
      <c r="D90" s="27"/>
      <c r="E90" s="27"/>
    </row>
    <row r="91" spans="1:6">
      <c r="A91" s="26"/>
      <c r="B91" s="26"/>
      <c r="C91" s="26" t="s">
        <v>3353</v>
      </c>
      <c r="D91" s="26"/>
      <c r="E91" s="26"/>
    </row>
    <row r="92" spans="1:6" ht="14" customHeight="1">
      <c r="A92" s="19" t="s">
        <v>293</v>
      </c>
      <c r="B92" s="25" t="s">
        <v>3352</v>
      </c>
      <c r="C92" s="24" t="s">
        <v>3351</v>
      </c>
      <c r="D92" s="23" t="s">
        <v>3350</v>
      </c>
      <c r="E92" s="20" t="s">
        <v>300</v>
      </c>
      <c r="F92" s="22"/>
    </row>
    <row r="93" spans="1:6">
      <c r="A93" s="27"/>
      <c r="B93" s="27"/>
      <c r="C93" s="27" t="s">
        <v>3349</v>
      </c>
      <c r="D93" s="27"/>
      <c r="E93" s="27"/>
    </row>
    <row r="94" spans="1:6">
      <c r="A94" s="26"/>
      <c r="B94" s="26"/>
      <c r="C94" s="26" t="s">
        <v>3348</v>
      </c>
      <c r="D94" s="26"/>
      <c r="E94" s="26"/>
    </row>
    <row r="95" spans="1:6" ht="28" customHeight="1">
      <c r="A95" s="19" t="s">
        <v>1258</v>
      </c>
      <c r="B95" s="25" t="s">
        <v>3347</v>
      </c>
      <c r="C95" s="24" t="s">
        <v>3346</v>
      </c>
      <c r="D95" s="23" t="s">
        <v>3345</v>
      </c>
      <c r="E95" s="20" t="s">
        <v>3329</v>
      </c>
      <c r="F95" s="22"/>
    </row>
    <row r="96" spans="1:6" ht="28" customHeight="1">
      <c r="A96" s="19" t="s">
        <v>1258</v>
      </c>
      <c r="B96" s="25" t="s">
        <v>3344</v>
      </c>
      <c r="C96" s="24" t="s">
        <v>3343</v>
      </c>
      <c r="D96" s="23" t="s">
        <v>3342</v>
      </c>
      <c r="E96" s="20" t="s">
        <v>3329</v>
      </c>
      <c r="F96" s="22"/>
    </row>
    <row r="97" spans="1:6" ht="28" customHeight="1">
      <c r="A97" s="19" t="s">
        <v>1258</v>
      </c>
      <c r="B97" s="25" t="s">
        <v>3341</v>
      </c>
      <c r="C97" s="24" t="s">
        <v>3340</v>
      </c>
      <c r="D97" s="23" t="s">
        <v>3339</v>
      </c>
      <c r="E97" s="20" t="s">
        <v>3329</v>
      </c>
      <c r="F97" s="22"/>
    </row>
    <row r="98" spans="1:6" ht="28" customHeight="1">
      <c r="A98" s="19" t="s">
        <v>1258</v>
      </c>
      <c r="B98" s="25" t="s">
        <v>3338</v>
      </c>
      <c r="C98" s="24" t="s">
        <v>3337</v>
      </c>
      <c r="D98" s="23" t="s">
        <v>3336</v>
      </c>
      <c r="E98" s="20" t="s">
        <v>3329</v>
      </c>
      <c r="F98" s="22"/>
    </row>
    <row r="99" spans="1:6" ht="28" customHeight="1">
      <c r="A99" s="19" t="s">
        <v>1258</v>
      </c>
      <c r="B99" s="25" t="s">
        <v>3335</v>
      </c>
      <c r="C99" s="24" t="s">
        <v>3334</v>
      </c>
      <c r="D99" s="23" t="s">
        <v>3333</v>
      </c>
      <c r="E99" s="20" t="s">
        <v>3329</v>
      </c>
      <c r="F99" s="22"/>
    </row>
    <row r="100" spans="1:6" ht="42" customHeight="1">
      <c r="A100" s="19" t="s">
        <v>1258</v>
      </c>
      <c r="B100" s="25" t="s">
        <v>3332</v>
      </c>
      <c r="C100" s="24" t="s">
        <v>3331</v>
      </c>
      <c r="D100" s="23" t="s">
        <v>3330</v>
      </c>
      <c r="E100" s="20" t="s">
        <v>3329</v>
      </c>
      <c r="F100" s="22"/>
    </row>
    <row r="101" spans="1:6">
      <c r="A101" s="26"/>
      <c r="B101" s="26"/>
      <c r="C101" s="26" t="s">
        <v>3328</v>
      </c>
      <c r="D101" s="26"/>
      <c r="E101" s="26"/>
    </row>
    <row r="102" spans="1:6" ht="28" customHeight="1">
      <c r="A102" s="19" t="s">
        <v>293</v>
      </c>
      <c r="B102" s="25" t="s">
        <v>3327</v>
      </c>
      <c r="C102" s="24" t="s">
        <v>3326</v>
      </c>
      <c r="D102" s="23" t="s">
        <v>3325</v>
      </c>
      <c r="E102" s="20" t="s">
        <v>2805</v>
      </c>
      <c r="F102" s="22"/>
    </row>
    <row r="103" spans="1:6" ht="28" customHeight="1">
      <c r="A103" s="19" t="s">
        <v>293</v>
      </c>
      <c r="B103" s="25" t="s">
        <v>3324</v>
      </c>
      <c r="C103" s="24" t="s">
        <v>3323</v>
      </c>
      <c r="D103" s="23" t="s">
        <v>3322</v>
      </c>
      <c r="E103" s="20" t="s">
        <v>2805</v>
      </c>
      <c r="F103" s="22"/>
    </row>
    <row r="104" spans="1:6">
      <c r="A104" s="26"/>
      <c r="B104" s="26"/>
      <c r="C104" s="26" t="s">
        <v>3321</v>
      </c>
      <c r="D104" s="26"/>
      <c r="E104" s="26"/>
    </row>
    <row r="105" spans="1:6" ht="28" customHeight="1">
      <c r="A105" s="19" t="s">
        <v>293</v>
      </c>
      <c r="B105" s="25" t="s">
        <v>3320</v>
      </c>
      <c r="C105" s="24" t="s">
        <v>3319</v>
      </c>
      <c r="D105" s="23" t="s">
        <v>3318</v>
      </c>
      <c r="E105" s="20" t="s">
        <v>295</v>
      </c>
      <c r="F105" s="22"/>
    </row>
    <row r="106" spans="1:6" ht="28" customHeight="1">
      <c r="A106" s="19" t="s">
        <v>293</v>
      </c>
      <c r="B106" s="25" t="s">
        <v>3317</v>
      </c>
      <c r="C106" s="24" t="s">
        <v>3316</v>
      </c>
      <c r="D106" s="23" t="s">
        <v>3315</v>
      </c>
      <c r="E106" s="20" t="s">
        <v>295</v>
      </c>
      <c r="F106" s="22"/>
    </row>
    <row r="107" spans="1:6" ht="28" customHeight="1">
      <c r="A107" s="19" t="s">
        <v>293</v>
      </c>
      <c r="B107" s="25" t="s">
        <v>3314</v>
      </c>
      <c r="C107" s="24" t="s">
        <v>3313</v>
      </c>
      <c r="D107" s="23" t="s">
        <v>3312</v>
      </c>
      <c r="E107" s="20" t="s">
        <v>295</v>
      </c>
      <c r="F107" s="22"/>
    </row>
    <row r="108" spans="1:6" ht="28" customHeight="1">
      <c r="A108" s="19" t="s">
        <v>293</v>
      </c>
      <c r="B108" s="25" t="s">
        <v>3311</v>
      </c>
      <c r="C108" s="24" t="s">
        <v>3310</v>
      </c>
      <c r="D108" s="23" t="s">
        <v>3309</v>
      </c>
      <c r="E108" s="20" t="s">
        <v>295</v>
      </c>
      <c r="F108" s="22"/>
    </row>
    <row r="109" spans="1:6">
      <c r="A109" s="26"/>
      <c r="B109" s="26"/>
      <c r="C109" s="26" t="s">
        <v>3308</v>
      </c>
      <c r="D109" s="26"/>
      <c r="E109" s="26"/>
    </row>
    <row r="110" spans="1:6" ht="14" customHeight="1">
      <c r="A110" s="19" t="s">
        <v>293</v>
      </c>
      <c r="B110" s="25" t="s">
        <v>3307</v>
      </c>
      <c r="C110" s="24" t="s">
        <v>3306</v>
      </c>
      <c r="D110" s="23" t="s">
        <v>3305</v>
      </c>
      <c r="E110" s="20" t="s">
        <v>295</v>
      </c>
      <c r="F110" s="22"/>
    </row>
    <row r="111" spans="1:6">
      <c r="A111" s="26"/>
      <c r="B111" s="26"/>
      <c r="C111" s="26" t="s">
        <v>3304</v>
      </c>
      <c r="D111" s="26"/>
      <c r="E111" s="26"/>
    </row>
    <row r="112" spans="1:6" ht="28" customHeight="1">
      <c r="A112" s="19" t="s">
        <v>293</v>
      </c>
      <c r="B112" s="25" t="s">
        <v>3303</v>
      </c>
      <c r="C112" s="24" t="s">
        <v>3302</v>
      </c>
      <c r="D112" s="23" t="s">
        <v>3275</v>
      </c>
      <c r="E112" s="20" t="s">
        <v>295</v>
      </c>
      <c r="F112" s="22"/>
    </row>
    <row r="113" spans="1:6" ht="28" customHeight="1">
      <c r="A113" s="19" t="s">
        <v>293</v>
      </c>
      <c r="B113" s="25" t="s">
        <v>3301</v>
      </c>
      <c r="C113" s="24" t="s">
        <v>3300</v>
      </c>
      <c r="D113" s="23" t="s">
        <v>3275</v>
      </c>
      <c r="E113" s="20" t="s">
        <v>295</v>
      </c>
      <c r="F113" s="22"/>
    </row>
    <row r="114" spans="1:6" ht="28" customHeight="1">
      <c r="A114" s="19" t="s">
        <v>293</v>
      </c>
      <c r="B114" s="25" t="s">
        <v>3299</v>
      </c>
      <c r="C114" s="24" t="s">
        <v>3298</v>
      </c>
      <c r="D114" s="23" t="s">
        <v>3275</v>
      </c>
      <c r="E114" s="20" t="s">
        <v>295</v>
      </c>
      <c r="F114" s="22"/>
    </row>
    <row r="115" spans="1:6" ht="28" customHeight="1">
      <c r="A115" s="19" t="s">
        <v>293</v>
      </c>
      <c r="B115" s="25" t="s">
        <v>3297</v>
      </c>
      <c r="C115" s="24" t="s">
        <v>3296</v>
      </c>
      <c r="D115" s="23" t="s">
        <v>3275</v>
      </c>
      <c r="E115" s="20" t="s">
        <v>295</v>
      </c>
      <c r="F115" s="22"/>
    </row>
    <row r="116" spans="1:6" ht="28" customHeight="1">
      <c r="A116" s="19" t="s">
        <v>293</v>
      </c>
      <c r="B116" s="25" t="s">
        <v>3295</v>
      </c>
      <c r="C116" s="24" t="s">
        <v>3294</v>
      </c>
      <c r="D116" s="23" t="s">
        <v>3275</v>
      </c>
      <c r="E116" s="20" t="s">
        <v>295</v>
      </c>
      <c r="F116" s="22"/>
    </row>
    <row r="117" spans="1:6" ht="28" customHeight="1">
      <c r="A117" s="19" t="s">
        <v>293</v>
      </c>
      <c r="B117" s="25" t="s">
        <v>3293</v>
      </c>
      <c r="C117" s="24" t="s">
        <v>3292</v>
      </c>
      <c r="D117" s="23" t="s">
        <v>3275</v>
      </c>
      <c r="E117" s="20" t="s">
        <v>295</v>
      </c>
      <c r="F117" s="22"/>
    </row>
    <row r="118" spans="1:6" ht="28" customHeight="1">
      <c r="A118" s="19" t="s">
        <v>293</v>
      </c>
      <c r="B118" s="25" t="s">
        <v>3291</v>
      </c>
      <c r="C118" s="24" t="s">
        <v>3290</v>
      </c>
      <c r="D118" s="23" t="s">
        <v>3275</v>
      </c>
      <c r="E118" s="20" t="s">
        <v>295</v>
      </c>
      <c r="F118" s="22"/>
    </row>
    <row r="119" spans="1:6" ht="28" customHeight="1">
      <c r="A119" s="19" t="s">
        <v>293</v>
      </c>
      <c r="B119" s="25" t="s">
        <v>3289</v>
      </c>
      <c r="C119" s="24" t="s">
        <v>3288</v>
      </c>
      <c r="D119" s="23" t="s">
        <v>3275</v>
      </c>
      <c r="E119" s="20" t="s">
        <v>295</v>
      </c>
      <c r="F119" s="22"/>
    </row>
    <row r="120" spans="1:6" ht="28" customHeight="1">
      <c r="A120" s="19" t="s">
        <v>293</v>
      </c>
      <c r="B120" s="25" t="s">
        <v>3287</v>
      </c>
      <c r="C120" s="24" t="s">
        <v>3286</v>
      </c>
      <c r="D120" s="23" t="s">
        <v>3275</v>
      </c>
      <c r="E120" s="20" t="s">
        <v>295</v>
      </c>
      <c r="F120" s="22"/>
    </row>
    <row r="121" spans="1:6" ht="28" customHeight="1">
      <c r="A121" s="19" t="s">
        <v>293</v>
      </c>
      <c r="B121" s="25" t="s">
        <v>3285</v>
      </c>
      <c r="C121" s="24" t="s">
        <v>3284</v>
      </c>
      <c r="D121" s="23" t="s">
        <v>3275</v>
      </c>
      <c r="E121" s="20" t="s">
        <v>295</v>
      </c>
      <c r="F121" s="22"/>
    </row>
    <row r="122" spans="1:6" ht="28" customHeight="1">
      <c r="A122" s="19" t="s">
        <v>293</v>
      </c>
      <c r="B122" s="25" t="s">
        <v>3283</v>
      </c>
      <c r="C122" s="24" t="s">
        <v>3282</v>
      </c>
      <c r="D122" s="23" t="s">
        <v>3275</v>
      </c>
      <c r="E122" s="20" t="s">
        <v>295</v>
      </c>
      <c r="F122" s="22"/>
    </row>
    <row r="123" spans="1:6" ht="28" customHeight="1">
      <c r="A123" s="19" t="s">
        <v>293</v>
      </c>
      <c r="B123" s="25" t="s">
        <v>3281</v>
      </c>
      <c r="C123" s="24" t="s">
        <v>3280</v>
      </c>
      <c r="D123" s="23" t="s">
        <v>3275</v>
      </c>
      <c r="E123" s="20" t="s">
        <v>295</v>
      </c>
      <c r="F123" s="22"/>
    </row>
    <row r="124" spans="1:6" ht="14" customHeight="1">
      <c r="A124" s="19" t="s">
        <v>293</v>
      </c>
      <c r="B124" s="25" t="s">
        <v>3279</v>
      </c>
      <c r="C124" s="24" t="s">
        <v>3278</v>
      </c>
      <c r="D124" s="23" t="s">
        <v>3275</v>
      </c>
      <c r="E124" s="20" t="s">
        <v>295</v>
      </c>
      <c r="F124" s="22"/>
    </row>
    <row r="125" spans="1:6" ht="28" customHeight="1">
      <c r="A125" s="19" t="s">
        <v>293</v>
      </c>
      <c r="B125" s="25" t="s">
        <v>3277</v>
      </c>
      <c r="C125" s="24" t="s">
        <v>3276</v>
      </c>
      <c r="D125" s="23" t="s">
        <v>3275</v>
      </c>
      <c r="E125" s="20" t="s">
        <v>295</v>
      </c>
      <c r="F125" s="22"/>
    </row>
    <row r="126" spans="1:6">
      <c r="A126" s="26"/>
      <c r="B126" s="26"/>
      <c r="C126" s="26" t="s">
        <v>3274</v>
      </c>
      <c r="D126" s="26"/>
      <c r="E126" s="26"/>
    </row>
    <row r="127" spans="1:6" ht="14" customHeight="1">
      <c r="A127" s="19" t="s">
        <v>293</v>
      </c>
      <c r="B127" s="25" t="s">
        <v>3273</v>
      </c>
      <c r="C127" s="24" t="s">
        <v>3272</v>
      </c>
      <c r="D127" s="23" t="s">
        <v>3271</v>
      </c>
      <c r="E127" s="20" t="s">
        <v>295</v>
      </c>
      <c r="F127" s="22"/>
    </row>
    <row r="128" spans="1:6">
      <c r="A128" s="26"/>
      <c r="B128" s="26"/>
      <c r="C128" s="26" t="s">
        <v>3270</v>
      </c>
      <c r="D128" s="26"/>
      <c r="E128" s="26"/>
    </row>
    <row r="129" spans="1:6" ht="14" customHeight="1">
      <c r="A129" s="19" t="s">
        <v>293</v>
      </c>
      <c r="B129" s="25" t="s">
        <v>3269</v>
      </c>
      <c r="C129" s="24" t="s">
        <v>3268</v>
      </c>
      <c r="D129" s="23" t="s">
        <v>3245</v>
      </c>
      <c r="E129" s="20" t="s">
        <v>295</v>
      </c>
      <c r="F129" s="22"/>
    </row>
    <row r="130" spans="1:6" ht="14" customHeight="1">
      <c r="A130" s="19" t="s">
        <v>293</v>
      </c>
      <c r="B130" s="25" t="s">
        <v>3267</v>
      </c>
      <c r="C130" s="24" t="s">
        <v>3266</v>
      </c>
      <c r="D130" s="23" t="s">
        <v>3245</v>
      </c>
      <c r="E130" s="20" t="s">
        <v>295</v>
      </c>
      <c r="F130" s="22"/>
    </row>
    <row r="131" spans="1:6" ht="14" customHeight="1">
      <c r="A131" s="19" t="s">
        <v>293</v>
      </c>
      <c r="B131" s="25" t="s">
        <v>3265</v>
      </c>
      <c r="C131" s="24" t="s">
        <v>3264</v>
      </c>
      <c r="D131" s="23" t="s">
        <v>3245</v>
      </c>
      <c r="E131" s="20" t="s">
        <v>295</v>
      </c>
      <c r="F131" s="22"/>
    </row>
    <row r="132" spans="1:6" ht="14" customHeight="1">
      <c r="A132" s="19" t="s">
        <v>293</v>
      </c>
      <c r="B132" s="25" t="s">
        <v>3263</v>
      </c>
      <c r="C132" s="24" t="s">
        <v>3262</v>
      </c>
      <c r="D132" s="23" t="s">
        <v>3245</v>
      </c>
      <c r="E132" s="20" t="s">
        <v>295</v>
      </c>
      <c r="F132" s="22"/>
    </row>
    <row r="133" spans="1:6" ht="14" customHeight="1">
      <c r="A133" s="19" t="s">
        <v>293</v>
      </c>
      <c r="B133" s="25" t="s">
        <v>3261</v>
      </c>
      <c r="C133" s="24" t="s">
        <v>3260</v>
      </c>
      <c r="D133" s="23" t="s">
        <v>3245</v>
      </c>
      <c r="E133" s="20" t="s">
        <v>295</v>
      </c>
      <c r="F133" s="22"/>
    </row>
    <row r="134" spans="1:6" ht="14" customHeight="1">
      <c r="A134" s="19" t="s">
        <v>293</v>
      </c>
      <c r="B134" s="25" t="s">
        <v>3259</v>
      </c>
      <c r="C134" s="24" t="s">
        <v>3258</v>
      </c>
      <c r="D134" s="23" t="s">
        <v>3245</v>
      </c>
      <c r="E134" s="20" t="s">
        <v>295</v>
      </c>
      <c r="F134" s="22"/>
    </row>
    <row r="135" spans="1:6" ht="14" customHeight="1">
      <c r="A135" s="19" t="s">
        <v>293</v>
      </c>
      <c r="B135" s="25" t="s">
        <v>3257</v>
      </c>
      <c r="C135" s="24" t="s">
        <v>3256</v>
      </c>
      <c r="D135" s="23" t="s">
        <v>3245</v>
      </c>
      <c r="E135" s="20" t="s">
        <v>295</v>
      </c>
      <c r="F135" s="22"/>
    </row>
    <row r="136" spans="1:6" ht="14" customHeight="1">
      <c r="A136" s="19" t="s">
        <v>293</v>
      </c>
      <c r="B136" s="25" t="s">
        <v>3255</v>
      </c>
      <c r="C136" s="24" t="s">
        <v>3254</v>
      </c>
      <c r="D136" s="23" t="s">
        <v>3245</v>
      </c>
      <c r="E136" s="20" t="s">
        <v>295</v>
      </c>
      <c r="F136" s="22"/>
    </row>
    <row r="137" spans="1:6" ht="14" customHeight="1">
      <c r="A137" s="19" t="s">
        <v>293</v>
      </c>
      <c r="B137" s="25" t="s">
        <v>3253</v>
      </c>
      <c r="C137" s="24" t="s">
        <v>3252</v>
      </c>
      <c r="D137" s="23" t="s">
        <v>3245</v>
      </c>
      <c r="E137" s="20" t="s">
        <v>295</v>
      </c>
      <c r="F137" s="22"/>
    </row>
    <row r="138" spans="1:6" ht="14" customHeight="1">
      <c r="A138" s="19" t="s">
        <v>293</v>
      </c>
      <c r="B138" s="25" t="s">
        <v>3251</v>
      </c>
      <c r="C138" s="24" t="s">
        <v>3250</v>
      </c>
      <c r="D138" s="23" t="s">
        <v>3245</v>
      </c>
      <c r="E138" s="20" t="s">
        <v>295</v>
      </c>
      <c r="F138" s="22"/>
    </row>
    <row r="139" spans="1:6" ht="14" customHeight="1">
      <c r="A139" s="19" t="s">
        <v>293</v>
      </c>
      <c r="B139" s="25" t="s">
        <v>3249</v>
      </c>
      <c r="C139" s="24" t="s">
        <v>3248</v>
      </c>
      <c r="D139" s="23" t="s">
        <v>3245</v>
      </c>
      <c r="E139" s="20" t="s">
        <v>295</v>
      </c>
      <c r="F139" s="22"/>
    </row>
    <row r="140" spans="1:6" ht="14" customHeight="1">
      <c r="A140" s="19" t="s">
        <v>293</v>
      </c>
      <c r="B140" s="25" t="s">
        <v>3247</v>
      </c>
      <c r="C140" s="24" t="s">
        <v>3246</v>
      </c>
      <c r="D140" s="23" t="s">
        <v>3245</v>
      </c>
      <c r="E140" s="20" t="s">
        <v>295</v>
      </c>
      <c r="F140" s="22"/>
    </row>
    <row r="141" spans="1:6" ht="14" customHeight="1">
      <c r="A141" s="19" t="s">
        <v>293</v>
      </c>
      <c r="B141" s="25" t="s">
        <v>3244</v>
      </c>
      <c r="C141" s="24" t="s">
        <v>3243</v>
      </c>
      <c r="D141" s="23" t="s">
        <v>3220</v>
      </c>
      <c r="E141" s="20" t="s">
        <v>295</v>
      </c>
      <c r="F141" s="22"/>
    </row>
    <row r="142" spans="1:6" ht="14" customHeight="1">
      <c r="A142" s="19" t="s">
        <v>293</v>
      </c>
      <c r="B142" s="25" t="s">
        <v>3242</v>
      </c>
      <c r="C142" s="24" t="s">
        <v>3241</v>
      </c>
      <c r="D142" s="23" t="s">
        <v>3220</v>
      </c>
      <c r="E142" s="20" t="s">
        <v>295</v>
      </c>
      <c r="F142" s="22"/>
    </row>
    <row r="143" spans="1:6" ht="14" customHeight="1">
      <c r="A143" s="19" t="s">
        <v>293</v>
      </c>
      <c r="B143" s="25" t="s">
        <v>3240</v>
      </c>
      <c r="C143" s="24" t="s">
        <v>3239</v>
      </c>
      <c r="D143" s="23" t="s">
        <v>3220</v>
      </c>
      <c r="E143" s="20" t="s">
        <v>295</v>
      </c>
      <c r="F143" s="22"/>
    </row>
    <row r="144" spans="1:6" ht="14" customHeight="1">
      <c r="A144" s="19" t="s">
        <v>293</v>
      </c>
      <c r="B144" s="25" t="s">
        <v>3238</v>
      </c>
      <c r="C144" s="24" t="s">
        <v>3237</v>
      </c>
      <c r="D144" s="23" t="s">
        <v>3220</v>
      </c>
      <c r="E144" s="20" t="s">
        <v>295</v>
      </c>
      <c r="F144" s="22"/>
    </row>
    <row r="145" spans="1:6" ht="14" customHeight="1">
      <c r="A145" s="19" t="s">
        <v>293</v>
      </c>
      <c r="B145" s="25" t="s">
        <v>3236</v>
      </c>
      <c r="C145" s="24" t="s">
        <v>3235</v>
      </c>
      <c r="D145" s="23" t="s">
        <v>3220</v>
      </c>
      <c r="E145" s="20" t="s">
        <v>295</v>
      </c>
      <c r="F145" s="22"/>
    </row>
    <row r="146" spans="1:6" ht="14" customHeight="1">
      <c r="A146" s="19" t="s">
        <v>293</v>
      </c>
      <c r="B146" s="25" t="s">
        <v>3234</v>
      </c>
      <c r="C146" s="24" t="s">
        <v>3233</v>
      </c>
      <c r="D146" s="23" t="s">
        <v>3220</v>
      </c>
      <c r="E146" s="20" t="s">
        <v>295</v>
      </c>
      <c r="F146" s="22"/>
    </row>
    <row r="147" spans="1:6" ht="14" customHeight="1">
      <c r="A147" s="19" t="s">
        <v>293</v>
      </c>
      <c r="B147" s="25" t="s">
        <v>3232</v>
      </c>
      <c r="C147" s="24" t="s">
        <v>3231</v>
      </c>
      <c r="D147" s="23" t="s">
        <v>3220</v>
      </c>
      <c r="E147" s="20" t="s">
        <v>295</v>
      </c>
      <c r="F147" s="22"/>
    </row>
    <row r="148" spans="1:6" ht="14" customHeight="1">
      <c r="A148" s="19" t="s">
        <v>293</v>
      </c>
      <c r="B148" s="25" t="s">
        <v>3230</v>
      </c>
      <c r="C148" s="24" t="s">
        <v>3229</v>
      </c>
      <c r="D148" s="23" t="s">
        <v>3220</v>
      </c>
      <c r="E148" s="20" t="s">
        <v>295</v>
      </c>
      <c r="F148" s="22"/>
    </row>
    <row r="149" spans="1:6" ht="14" customHeight="1">
      <c r="A149" s="19" t="s">
        <v>293</v>
      </c>
      <c r="B149" s="25" t="s">
        <v>3228</v>
      </c>
      <c r="C149" s="24" t="s">
        <v>3227</v>
      </c>
      <c r="D149" s="23" t="s">
        <v>3220</v>
      </c>
      <c r="E149" s="20" t="s">
        <v>295</v>
      </c>
      <c r="F149" s="22"/>
    </row>
    <row r="150" spans="1:6" ht="14" customHeight="1">
      <c r="A150" s="19" t="s">
        <v>293</v>
      </c>
      <c r="B150" s="25" t="s">
        <v>3226</v>
      </c>
      <c r="C150" s="24" t="s">
        <v>3225</v>
      </c>
      <c r="D150" s="23" t="s">
        <v>3220</v>
      </c>
      <c r="E150" s="20" t="s">
        <v>295</v>
      </c>
      <c r="F150" s="22"/>
    </row>
    <row r="151" spans="1:6" ht="14" customHeight="1">
      <c r="A151" s="19" t="s">
        <v>293</v>
      </c>
      <c r="B151" s="25" t="s">
        <v>3224</v>
      </c>
      <c r="C151" s="24" t="s">
        <v>3223</v>
      </c>
      <c r="D151" s="23" t="s">
        <v>3220</v>
      </c>
      <c r="E151" s="20" t="s">
        <v>295</v>
      </c>
      <c r="F151" s="22"/>
    </row>
    <row r="152" spans="1:6" ht="14" customHeight="1">
      <c r="A152" s="19" t="s">
        <v>293</v>
      </c>
      <c r="B152" s="25" t="s">
        <v>3222</v>
      </c>
      <c r="C152" s="24" t="s">
        <v>3221</v>
      </c>
      <c r="D152" s="23" t="s">
        <v>3220</v>
      </c>
      <c r="E152" s="20" t="s">
        <v>295</v>
      </c>
      <c r="F152" s="22"/>
    </row>
    <row r="153" spans="1:6" ht="14" customHeight="1">
      <c r="A153" s="19" t="s">
        <v>293</v>
      </c>
      <c r="B153" s="25" t="s">
        <v>3219</v>
      </c>
      <c r="C153" s="24" t="s">
        <v>3218</v>
      </c>
      <c r="D153" s="23" t="s">
        <v>3183</v>
      </c>
      <c r="E153" s="20" t="s">
        <v>295</v>
      </c>
      <c r="F153" s="22"/>
    </row>
    <row r="154" spans="1:6" ht="14" customHeight="1">
      <c r="A154" s="19" t="s">
        <v>293</v>
      </c>
      <c r="B154" s="25" t="s">
        <v>3217</v>
      </c>
      <c r="C154" s="24" t="s">
        <v>3216</v>
      </c>
      <c r="D154" s="23" t="s">
        <v>3183</v>
      </c>
      <c r="E154" s="20" t="s">
        <v>295</v>
      </c>
      <c r="F154" s="22"/>
    </row>
    <row r="155" spans="1:6" ht="14" customHeight="1">
      <c r="A155" s="19" t="s">
        <v>293</v>
      </c>
      <c r="B155" s="25" t="s">
        <v>3215</v>
      </c>
      <c r="C155" s="24" t="s">
        <v>3214</v>
      </c>
      <c r="D155" s="23" t="s">
        <v>3183</v>
      </c>
      <c r="E155" s="20" t="s">
        <v>295</v>
      </c>
      <c r="F155" s="22"/>
    </row>
    <row r="156" spans="1:6" ht="14" customHeight="1">
      <c r="A156" s="19" t="s">
        <v>293</v>
      </c>
      <c r="B156" s="25" t="s">
        <v>3213</v>
      </c>
      <c r="C156" s="24" t="s">
        <v>3212</v>
      </c>
      <c r="D156" s="23" t="s">
        <v>3183</v>
      </c>
      <c r="E156" s="20" t="s">
        <v>295</v>
      </c>
      <c r="F156" s="22"/>
    </row>
    <row r="157" spans="1:6" ht="14" customHeight="1">
      <c r="A157" s="19" t="s">
        <v>293</v>
      </c>
      <c r="B157" s="25" t="s">
        <v>3211</v>
      </c>
      <c r="C157" s="24" t="s">
        <v>3210</v>
      </c>
      <c r="D157" s="23" t="s">
        <v>3183</v>
      </c>
      <c r="E157" s="20" t="s">
        <v>295</v>
      </c>
      <c r="F157" s="22"/>
    </row>
    <row r="158" spans="1:6" ht="14" customHeight="1">
      <c r="A158" s="19" t="s">
        <v>293</v>
      </c>
      <c r="B158" s="25" t="s">
        <v>3209</v>
      </c>
      <c r="C158" s="24" t="s">
        <v>3208</v>
      </c>
      <c r="D158" s="23" t="s">
        <v>3183</v>
      </c>
      <c r="E158" s="20" t="s">
        <v>295</v>
      </c>
      <c r="F158" s="22"/>
    </row>
    <row r="159" spans="1:6" ht="14" customHeight="1">
      <c r="A159" s="19" t="s">
        <v>293</v>
      </c>
      <c r="B159" s="25" t="s">
        <v>3207</v>
      </c>
      <c r="C159" s="24" t="s">
        <v>3206</v>
      </c>
      <c r="D159" s="23" t="s">
        <v>3183</v>
      </c>
      <c r="E159" s="20" t="s">
        <v>295</v>
      </c>
      <c r="F159" s="22"/>
    </row>
    <row r="160" spans="1:6" ht="14" customHeight="1">
      <c r="A160" s="19" t="s">
        <v>293</v>
      </c>
      <c r="B160" s="25" t="s">
        <v>3205</v>
      </c>
      <c r="C160" s="24" t="s">
        <v>3204</v>
      </c>
      <c r="D160" s="23" t="s">
        <v>3183</v>
      </c>
      <c r="E160" s="20" t="s">
        <v>295</v>
      </c>
      <c r="F160" s="22"/>
    </row>
    <row r="161" spans="1:6" ht="14" customHeight="1">
      <c r="A161" s="19" t="s">
        <v>293</v>
      </c>
      <c r="B161" s="25" t="s">
        <v>3203</v>
      </c>
      <c r="C161" s="24" t="s">
        <v>3202</v>
      </c>
      <c r="D161" s="23" t="s">
        <v>3183</v>
      </c>
      <c r="E161" s="20" t="s">
        <v>295</v>
      </c>
      <c r="F161" s="22"/>
    </row>
    <row r="162" spans="1:6" ht="14" customHeight="1">
      <c r="A162" s="19" t="s">
        <v>293</v>
      </c>
      <c r="B162" s="25" t="s">
        <v>3201</v>
      </c>
      <c r="C162" s="24" t="s">
        <v>3200</v>
      </c>
      <c r="D162" s="23" t="s">
        <v>3183</v>
      </c>
      <c r="E162" s="20" t="s">
        <v>295</v>
      </c>
      <c r="F162" s="22"/>
    </row>
    <row r="163" spans="1:6" ht="14" customHeight="1">
      <c r="A163" s="19" t="s">
        <v>293</v>
      </c>
      <c r="B163" s="25" t="s">
        <v>3199</v>
      </c>
      <c r="C163" s="24" t="s">
        <v>3198</v>
      </c>
      <c r="D163" s="23" t="s">
        <v>3183</v>
      </c>
      <c r="E163" s="20" t="s">
        <v>295</v>
      </c>
      <c r="F163" s="22"/>
    </row>
    <row r="164" spans="1:6" ht="14" customHeight="1">
      <c r="A164" s="19" t="s">
        <v>293</v>
      </c>
      <c r="B164" s="25" t="s">
        <v>3197</v>
      </c>
      <c r="C164" s="24" t="s">
        <v>3196</v>
      </c>
      <c r="D164" s="23" t="s">
        <v>3183</v>
      </c>
      <c r="E164" s="20" t="s">
        <v>295</v>
      </c>
      <c r="F164" s="22"/>
    </row>
    <row r="165" spans="1:6" ht="14" customHeight="1">
      <c r="A165" s="19" t="s">
        <v>293</v>
      </c>
      <c r="B165" s="25" t="s">
        <v>3195</v>
      </c>
      <c r="C165" s="24" t="s">
        <v>3194</v>
      </c>
      <c r="D165" s="23" t="s">
        <v>3183</v>
      </c>
      <c r="E165" s="20" t="s">
        <v>295</v>
      </c>
      <c r="F165" s="22"/>
    </row>
    <row r="166" spans="1:6" ht="14" customHeight="1">
      <c r="A166" s="19" t="s">
        <v>293</v>
      </c>
      <c r="B166" s="25" t="s">
        <v>3193</v>
      </c>
      <c r="C166" s="24" t="s">
        <v>3192</v>
      </c>
      <c r="D166" s="23" t="s">
        <v>3183</v>
      </c>
      <c r="E166" s="20" t="s">
        <v>295</v>
      </c>
      <c r="F166" s="22"/>
    </row>
    <row r="167" spans="1:6" ht="14" customHeight="1">
      <c r="A167" s="19" t="s">
        <v>293</v>
      </c>
      <c r="B167" s="25" t="s">
        <v>3191</v>
      </c>
      <c r="C167" s="24" t="s">
        <v>3190</v>
      </c>
      <c r="D167" s="23" t="s">
        <v>3183</v>
      </c>
      <c r="E167" s="20" t="s">
        <v>295</v>
      </c>
      <c r="F167" s="22"/>
    </row>
    <row r="168" spans="1:6" ht="28" customHeight="1">
      <c r="A168" s="19" t="s">
        <v>293</v>
      </c>
      <c r="B168" s="25" t="s">
        <v>3189</v>
      </c>
      <c r="C168" s="24" t="s">
        <v>3188</v>
      </c>
      <c r="D168" s="23" t="s">
        <v>3183</v>
      </c>
      <c r="E168" s="20" t="s">
        <v>295</v>
      </c>
      <c r="F168" s="22"/>
    </row>
    <row r="169" spans="1:6" ht="28" customHeight="1">
      <c r="A169" s="19" t="s">
        <v>293</v>
      </c>
      <c r="B169" s="25" t="s">
        <v>3187</v>
      </c>
      <c r="C169" s="24" t="s">
        <v>3186</v>
      </c>
      <c r="D169" s="23" t="s">
        <v>3183</v>
      </c>
      <c r="E169" s="20" t="s">
        <v>295</v>
      </c>
      <c r="F169" s="22"/>
    </row>
    <row r="170" spans="1:6" ht="28" customHeight="1">
      <c r="A170" s="19" t="s">
        <v>293</v>
      </c>
      <c r="B170" s="25" t="s">
        <v>3185</v>
      </c>
      <c r="C170" s="24" t="s">
        <v>3184</v>
      </c>
      <c r="D170" s="23" t="s">
        <v>3183</v>
      </c>
      <c r="E170" s="20" t="s">
        <v>295</v>
      </c>
      <c r="F170" s="22"/>
    </row>
    <row r="171" spans="1:6" ht="14" customHeight="1">
      <c r="A171" s="19" t="s">
        <v>293</v>
      </c>
      <c r="B171" s="25" t="s">
        <v>3182</v>
      </c>
      <c r="C171" s="24" t="s">
        <v>3181</v>
      </c>
      <c r="D171" s="23" t="s">
        <v>3144</v>
      </c>
      <c r="E171" s="20" t="s">
        <v>295</v>
      </c>
      <c r="F171" s="22"/>
    </row>
    <row r="172" spans="1:6" ht="14" customHeight="1">
      <c r="A172" s="19" t="s">
        <v>293</v>
      </c>
      <c r="B172" s="25" t="s">
        <v>3180</v>
      </c>
      <c r="C172" s="24" t="s">
        <v>3179</v>
      </c>
      <c r="D172" s="23" t="s">
        <v>3144</v>
      </c>
      <c r="E172" s="20" t="s">
        <v>295</v>
      </c>
      <c r="F172" s="22"/>
    </row>
    <row r="173" spans="1:6" ht="14" customHeight="1">
      <c r="A173" s="19" t="s">
        <v>293</v>
      </c>
      <c r="B173" s="25" t="s">
        <v>3178</v>
      </c>
      <c r="C173" s="24" t="s">
        <v>3177</v>
      </c>
      <c r="D173" s="23" t="s">
        <v>3144</v>
      </c>
      <c r="E173" s="20" t="s">
        <v>295</v>
      </c>
      <c r="F173" s="22"/>
    </row>
    <row r="174" spans="1:6" ht="14" customHeight="1">
      <c r="A174" s="19" t="s">
        <v>293</v>
      </c>
      <c r="B174" s="25" t="s">
        <v>3176</v>
      </c>
      <c r="C174" s="24" t="s">
        <v>3175</v>
      </c>
      <c r="D174" s="23" t="s">
        <v>3144</v>
      </c>
      <c r="E174" s="20" t="s">
        <v>295</v>
      </c>
      <c r="F174" s="22"/>
    </row>
    <row r="175" spans="1:6" ht="14" customHeight="1">
      <c r="A175" s="19" t="s">
        <v>293</v>
      </c>
      <c r="B175" s="25" t="s">
        <v>3174</v>
      </c>
      <c r="C175" s="24" t="s">
        <v>3173</v>
      </c>
      <c r="D175" s="23" t="s">
        <v>3144</v>
      </c>
      <c r="E175" s="20" t="s">
        <v>295</v>
      </c>
      <c r="F175" s="22"/>
    </row>
    <row r="176" spans="1:6" ht="14" customHeight="1">
      <c r="A176" s="19" t="s">
        <v>293</v>
      </c>
      <c r="B176" s="25" t="s">
        <v>3172</v>
      </c>
      <c r="C176" s="24" t="s">
        <v>3171</v>
      </c>
      <c r="D176" s="23" t="s">
        <v>3144</v>
      </c>
      <c r="E176" s="20" t="s">
        <v>295</v>
      </c>
      <c r="F176" s="22"/>
    </row>
    <row r="177" spans="1:6" ht="14" customHeight="1">
      <c r="A177" s="19" t="s">
        <v>293</v>
      </c>
      <c r="B177" s="25" t="s">
        <v>3170</v>
      </c>
      <c r="C177" s="24" t="s">
        <v>3169</v>
      </c>
      <c r="D177" s="23" t="s">
        <v>3144</v>
      </c>
      <c r="E177" s="20" t="s">
        <v>295</v>
      </c>
      <c r="F177" s="22"/>
    </row>
    <row r="178" spans="1:6" ht="14" customHeight="1">
      <c r="A178" s="19" t="s">
        <v>293</v>
      </c>
      <c r="B178" s="25" t="s">
        <v>3168</v>
      </c>
      <c r="C178" s="24" t="s">
        <v>3167</v>
      </c>
      <c r="D178" s="23" t="s">
        <v>3144</v>
      </c>
      <c r="E178" s="20" t="s">
        <v>295</v>
      </c>
      <c r="F178" s="22"/>
    </row>
    <row r="179" spans="1:6" ht="14" customHeight="1">
      <c r="A179" s="19" t="s">
        <v>293</v>
      </c>
      <c r="B179" s="25" t="s">
        <v>3166</v>
      </c>
      <c r="C179" s="24" t="s">
        <v>3165</v>
      </c>
      <c r="D179" s="23" t="s">
        <v>3144</v>
      </c>
      <c r="E179" s="20" t="s">
        <v>295</v>
      </c>
      <c r="F179" s="22"/>
    </row>
    <row r="180" spans="1:6" ht="14" customHeight="1">
      <c r="A180" s="19" t="s">
        <v>293</v>
      </c>
      <c r="B180" s="25" t="s">
        <v>3164</v>
      </c>
      <c r="C180" s="24" t="s">
        <v>3163</v>
      </c>
      <c r="D180" s="23" t="s">
        <v>3144</v>
      </c>
      <c r="E180" s="20" t="s">
        <v>295</v>
      </c>
      <c r="F180" s="22"/>
    </row>
    <row r="181" spans="1:6" ht="14" customHeight="1">
      <c r="A181" s="19" t="s">
        <v>293</v>
      </c>
      <c r="B181" s="25" t="s">
        <v>3162</v>
      </c>
      <c r="C181" s="24" t="s">
        <v>3161</v>
      </c>
      <c r="D181" s="23" t="s">
        <v>3144</v>
      </c>
      <c r="E181" s="20" t="s">
        <v>295</v>
      </c>
      <c r="F181" s="22"/>
    </row>
    <row r="182" spans="1:6" ht="14" customHeight="1">
      <c r="A182" s="19" t="s">
        <v>293</v>
      </c>
      <c r="B182" s="25" t="s">
        <v>3160</v>
      </c>
      <c r="C182" s="24" t="s">
        <v>3159</v>
      </c>
      <c r="D182" s="23" t="s">
        <v>3144</v>
      </c>
      <c r="E182" s="20" t="s">
        <v>295</v>
      </c>
      <c r="F182" s="22"/>
    </row>
    <row r="183" spans="1:6" ht="14" customHeight="1">
      <c r="A183" s="19" t="s">
        <v>293</v>
      </c>
      <c r="B183" s="25" t="s">
        <v>3158</v>
      </c>
      <c r="C183" s="24" t="s">
        <v>3157</v>
      </c>
      <c r="D183" s="23" t="s">
        <v>3144</v>
      </c>
      <c r="E183" s="20" t="s">
        <v>295</v>
      </c>
      <c r="F183" s="22"/>
    </row>
    <row r="184" spans="1:6" ht="14" customHeight="1">
      <c r="A184" s="19" t="s">
        <v>293</v>
      </c>
      <c r="B184" s="25" t="s">
        <v>3156</v>
      </c>
      <c r="C184" s="24" t="s">
        <v>3155</v>
      </c>
      <c r="D184" s="23" t="s">
        <v>3144</v>
      </c>
      <c r="E184" s="20" t="s">
        <v>295</v>
      </c>
      <c r="F184" s="22"/>
    </row>
    <row r="185" spans="1:6" ht="14" customHeight="1">
      <c r="A185" s="19" t="s">
        <v>293</v>
      </c>
      <c r="B185" s="25" t="s">
        <v>3154</v>
      </c>
      <c r="C185" s="24" t="s">
        <v>3153</v>
      </c>
      <c r="D185" s="23" t="s">
        <v>3144</v>
      </c>
      <c r="E185" s="20" t="s">
        <v>295</v>
      </c>
      <c r="F185" s="22"/>
    </row>
    <row r="186" spans="1:6" ht="14" customHeight="1">
      <c r="A186" s="19" t="s">
        <v>293</v>
      </c>
      <c r="B186" s="25" t="s">
        <v>3152</v>
      </c>
      <c r="C186" s="24" t="s">
        <v>3151</v>
      </c>
      <c r="D186" s="23" t="s">
        <v>3144</v>
      </c>
      <c r="E186" s="20" t="s">
        <v>295</v>
      </c>
      <c r="F186" s="22"/>
    </row>
    <row r="187" spans="1:6" ht="14" customHeight="1">
      <c r="A187" s="19" t="s">
        <v>293</v>
      </c>
      <c r="B187" s="25" t="s">
        <v>3150</v>
      </c>
      <c r="C187" s="24" t="s">
        <v>3149</v>
      </c>
      <c r="D187" s="23" t="s">
        <v>3144</v>
      </c>
      <c r="E187" s="20" t="s">
        <v>295</v>
      </c>
      <c r="F187" s="22"/>
    </row>
    <row r="188" spans="1:6" ht="14" customHeight="1">
      <c r="A188" s="19" t="s">
        <v>293</v>
      </c>
      <c r="B188" s="25" t="s">
        <v>3148</v>
      </c>
      <c r="C188" s="24" t="s">
        <v>3147</v>
      </c>
      <c r="D188" s="23" t="s">
        <v>3144</v>
      </c>
      <c r="E188" s="20" t="s">
        <v>295</v>
      </c>
      <c r="F188" s="22"/>
    </row>
    <row r="189" spans="1:6" ht="14" customHeight="1">
      <c r="A189" s="19" t="s">
        <v>293</v>
      </c>
      <c r="B189" s="25" t="s">
        <v>3146</v>
      </c>
      <c r="C189" s="24" t="s">
        <v>3145</v>
      </c>
      <c r="D189" s="23" t="s">
        <v>3144</v>
      </c>
      <c r="E189" s="20" t="s">
        <v>295</v>
      </c>
      <c r="F189" s="22"/>
    </row>
    <row r="190" spans="1:6">
      <c r="A190" s="26"/>
      <c r="B190" s="26"/>
      <c r="C190" s="26" t="s">
        <v>3143</v>
      </c>
      <c r="D190" s="26"/>
      <c r="E190" s="26"/>
    </row>
    <row r="191" spans="1:6" ht="14" customHeight="1">
      <c r="A191" s="19" t="s">
        <v>293</v>
      </c>
      <c r="B191" s="25" t="s">
        <v>3142</v>
      </c>
      <c r="C191" s="24" t="s">
        <v>3141</v>
      </c>
      <c r="D191" s="23" t="s">
        <v>3118</v>
      </c>
      <c r="E191" s="20" t="s">
        <v>295</v>
      </c>
      <c r="F191" s="22"/>
    </row>
    <row r="192" spans="1:6" ht="14" customHeight="1">
      <c r="A192" s="19" t="s">
        <v>293</v>
      </c>
      <c r="B192" s="25" t="s">
        <v>3140</v>
      </c>
      <c r="C192" s="24" t="s">
        <v>3139</v>
      </c>
      <c r="D192" s="23" t="s">
        <v>3118</v>
      </c>
      <c r="E192" s="20" t="s">
        <v>295</v>
      </c>
      <c r="F192" s="22"/>
    </row>
    <row r="193" spans="1:6" ht="14" customHeight="1">
      <c r="A193" s="19" t="s">
        <v>293</v>
      </c>
      <c r="B193" s="25" t="s">
        <v>3138</v>
      </c>
      <c r="C193" s="24" t="s">
        <v>3137</v>
      </c>
      <c r="D193" s="23" t="s">
        <v>3118</v>
      </c>
      <c r="E193" s="20" t="s">
        <v>295</v>
      </c>
      <c r="F193" s="22"/>
    </row>
    <row r="194" spans="1:6" ht="14" customHeight="1">
      <c r="A194" s="19" t="s">
        <v>293</v>
      </c>
      <c r="B194" s="25" t="s">
        <v>3136</v>
      </c>
      <c r="C194" s="24" t="s">
        <v>3135</v>
      </c>
      <c r="D194" s="23" t="s">
        <v>3118</v>
      </c>
      <c r="E194" s="20" t="s">
        <v>295</v>
      </c>
      <c r="F194" s="22"/>
    </row>
    <row r="195" spans="1:6" ht="14" customHeight="1">
      <c r="A195" s="19" t="s">
        <v>293</v>
      </c>
      <c r="B195" s="25" t="s">
        <v>3134</v>
      </c>
      <c r="C195" s="24" t="s">
        <v>3133</v>
      </c>
      <c r="D195" s="23" t="s">
        <v>3118</v>
      </c>
      <c r="E195" s="20" t="s">
        <v>295</v>
      </c>
      <c r="F195" s="22"/>
    </row>
    <row r="196" spans="1:6" ht="14" customHeight="1">
      <c r="A196" s="19" t="s">
        <v>293</v>
      </c>
      <c r="B196" s="25" t="s">
        <v>3132</v>
      </c>
      <c r="C196" s="24" t="s">
        <v>3131</v>
      </c>
      <c r="D196" s="23" t="s">
        <v>3118</v>
      </c>
      <c r="E196" s="20" t="s">
        <v>295</v>
      </c>
      <c r="F196" s="22"/>
    </row>
    <row r="197" spans="1:6" ht="14" customHeight="1">
      <c r="A197" s="19" t="s">
        <v>293</v>
      </c>
      <c r="B197" s="25" t="s">
        <v>3130</v>
      </c>
      <c r="C197" s="24" t="s">
        <v>3129</v>
      </c>
      <c r="D197" s="23" t="s">
        <v>3118</v>
      </c>
      <c r="E197" s="20" t="s">
        <v>295</v>
      </c>
      <c r="F197" s="22"/>
    </row>
    <row r="198" spans="1:6" ht="14" customHeight="1">
      <c r="A198" s="19" t="s">
        <v>293</v>
      </c>
      <c r="B198" s="25" t="s">
        <v>3128</v>
      </c>
      <c r="C198" s="24" t="s">
        <v>3127</v>
      </c>
      <c r="D198" s="23" t="s">
        <v>3118</v>
      </c>
      <c r="E198" s="20" t="s">
        <v>295</v>
      </c>
      <c r="F198" s="22"/>
    </row>
    <row r="199" spans="1:6" ht="14" customHeight="1">
      <c r="A199" s="19" t="s">
        <v>293</v>
      </c>
      <c r="B199" s="25" t="s">
        <v>3126</v>
      </c>
      <c r="C199" s="24" t="s">
        <v>3125</v>
      </c>
      <c r="D199" s="23" t="s">
        <v>3118</v>
      </c>
      <c r="E199" s="20" t="s">
        <v>295</v>
      </c>
      <c r="F199" s="22"/>
    </row>
    <row r="200" spans="1:6" ht="14" customHeight="1">
      <c r="A200" s="19" t="s">
        <v>293</v>
      </c>
      <c r="B200" s="25" t="s">
        <v>3124</v>
      </c>
      <c r="C200" s="24" t="s">
        <v>3123</v>
      </c>
      <c r="D200" s="23" t="s">
        <v>3118</v>
      </c>
      <c r="E200" s="20" t="s">
        <v>295</v>
      </c>
      <c r="F200" s="22"/>
    </row>
    <row r="201" spans="1:6" ht="14" customHeight="1">
      <c r="A201" s="19" t="s">
        <v>293</v>
      </c>
      <c r="B201" s="25" t="s">
        <v>3122</v>
      </c>
      <c r="C201" s="24" t="s">
        <v>3121</v>
      </c>
      <c r="D201" s="23" t="s">
        <v>3118</v>
      </c>
      <c r="E201" s="20" t="s">
        <v>295</v>
      </c>
      <c r="F201" s="22"/>
    </row>
    <row r="202" spans="1:6" ht="14" customHeight="1">
      <c r="A202" s="19" t="s">
        <v>293</v>
      </c>
      <c r="B202" s="25" t="s">
        <v>3120</v>
      </c>
      <c r="C202" s="24" t="s">
        <v>3119</v>
      </c>
      <c r="D202" s="23" t="s">
        <v>3118</v>
      </c>
      <c r="E202" s="20" t="s">
        <v>295</v>
      </c>
      <c r="F202" s="22"/>
    </row>
    <row r="203" spans="1:6" ht="14" customHeight="1">
      <c r="A203" s="19" t="s">
        <v>293</v>
      </c>
      <c r="B203" s="25" t="s">
        <v>3117</v>
      </c>
      <c r="C203" s="24" t="s">
        <v>3116</v>
      </c>
      <c r="D203" s="23" t="s">
        <v>3069</v>
      </c>
      <c r="E203" s="20" t="s">
        <v>295</v>
      </c>
      <c r="F203" s="22"/>
    </row>
    <row r="204" spans="1:6" ht="14" customHeight="1">
      <c r="A204" s="19" t="s">
        <v>293</v>
      </c>
      <c r="B204" s="25" t="s">
        <v>3115</v>
      </c>
      <c r="C204" s="24" t="s">
        <v>3114</v>
      </c>
      <c r="D204" s="23" t="s">
        <v>3069</v>
      </c>
      <c r="E204" s="20" t="s">
        <v>295</v>
      </c>
      <c r="F204" s="22"/>
    </row>
    <row r="205" spans="1:6" ht="14" customHeight="1">
      <c r="A205" s="19" t="s">
        <v>293</v>
      </c>
      <c r="B205" s="25" t="s">
        <v>3113</v>
      </c>
      <c r="C205" s="24" t="s">
        <v>3112</v>
      </c>
      <c r="D205" s="23" t="s">
        <v>3069</v>
      </c>
      <c r="E205" s="20" t="s">
        <v>295</v>
      </c>
      <c r="F205" s="22"/>
    </row>
    <row r="206" spans="1:6" ht="14" customHeight="1">
      <c r="A206" s="19" t="s">
        <v>293</v>
      </c>
      <c r="B206" s="25" t="s">
        <v>3111</v>
      </c>
      <c r="C206" s="24" t="s">
        <v>3110</v>
      </c>
      <c r="D206" s="23" t="s">
        <v>3069</v>
      </c>
      <c r="E206" s="20" t="s">
        <v>295</v>
      </c>
      <c r="F206" s="22"/>
    </row>
    <row r="207" spans="1:6" ht="14" customHeight="1">
      <c r="A207" s="19" t="s">
        <v>293</v>
      </c>
      <c r="B207" s="25" t="s">
        <v>3109</v>
      </c>
      <c r="C207" s="24" t="s">
        <v>3108</v>
      </c>
      <c r="D207" s="23" t="s">
        <v>3069</v>
      </c>
      <c r="E207" s="20" t="s">
        <v>295</v>
      </c>
      <c r="F207" s="22"/>
    </row>
    <row r="208" spans="1:6" ht="14" customHeight="1">
      <c r="A208" s="19" t="s">
        <v>293</v>
      </c>
      <c r="B208" s="25" t="s">
        <v>3107</v>
      </c>
      <c r="C208" s="24" t="s">
        <v>3106</v>
      </c>
      <c r="D208" s="23" t="s">
        <v>3069</v>
      </c>
      <c r="E208" s="20" t="s">
        <v>295</v>
      </c>
      <c r="F208" s="22"/>
    </row>
    <row r="209" spans="1:6" ht="14" customHeight="1">
      <c r="A209" s="19" t="s">
        <v>293</v>
      </c>
      <c r="B209" s="25" t="s">
        <v>3105</v>
      </c>
      <c r="C209" s="24" t="s">
        <v>3104</v>
      </c>
      <c r="D209" s="23" t="s">
        <v>3069</v>
      </c>
      <c r="E209" s="20" t="s">
        <v>295</v>
      </c>
      <c r="F209" s="22"/>
    </row>
    <row r="210" spans="1:6" ht="14" customHeight="1">
      <c r="A210" s="19" t="s">
        <v>293</v>
      </c>
      <c r="B210" s="25" t="s">
        <v>3103</v>
      </c>
      <c r="C210" s="24" t="s">
        <v>3102</v>
      </c>
      <c r="D210" s="23" t="s">
        <v>3069</v>
      </c>
      <c r="E210" s="20" t="s">
        <v>295</v>
      </c>
      <c r="F210" s="22"/>
    </row>
    <row r="211" spans="1:6" ht="14" customHeight="1">
      <c r="A211" s="19" t="s">
        <v>293</v>
      </c>
      <c r="B211" s="25" t="s">
        <v>3101</v>
      </c>
      <c r="C211" s="24" t="s">
        <v>3100</v>
      </c>
      <c r="D211" s="23" t="s">
        <v>3069</v>
      </c>
      <c r="E211" s="20" t="s">
        <v>295</v>
      </c>
      <c r="F211" s="22"/>
    </row>
    <row r="212" spans="1:6" ht="14" customHeight="1">
      <c r="A212" s="19" t="s">
        <v>293</v>
      </c>
      <c r="B212" s="25" t="s">
        <v>3099</v>
      </c>
      <c r="C212" s="24" t="s">
        <v>3098</v>
      </c>
      <c r="D212" s="23" t="s">
        <v>3069</v>
      </c>
      <c r="E212" s="20" t="s">
        <v>295</v>
      </c>
      <c r="F212" s="22"/>
    </row>
    <row r="213" spans="1:6" ht="14" customHeight="1">
      <c r="A213" s="19" t="s">
        <v>293</v>
      </c>
      <c r="B213" s="25" t="s">
        <v>3097</v>
      </c>
      <c r="C213" s="24" t="s">
        <v>3096</v>
      </c>
      <c r="D213" s="23" t="s">
        <v>3069</v>
      </c>
      <c r="E213" s="20" t="s">
        <v>295</v>
      </c>
      <c r="F213" s="22"/>
    </row>
    <row r="214" spans="1:6" ht="14" customHeight="1">
      <c r="A214" s="19" t="s">
        <v>293</v>
      </c>
      <c r="B214" s="25" t="s">
        <v>3095</v>
      </c>
      <c r="C214" s="24" t="s">
        <v>3094</v>
      </c>
      <c r="D214" s="23" t="s">
        <v>3069</v>
      </c>
      <c r="E214" s="20" t="s">
        <v>295</v>
      </c>
      <c r="F214" s="22"/>
    </row>
    <row r="215" spans="1:6" ht="14" customHeight="1">
      <c r="A215" s="19" t="s">
        <v>293</v>
      </c>
      <c r="B215" s="25" t="s">
        <v>3093</v>
      </c>
      <c r="C215" s="24" t="s">
        <v>3092</v>
      </c>
      <c r="D215" s="23" t="s">
        <v>3069</v>
      </c>
      <c r="E215" s="20" t="s">
        <v>295</v>
      </c>
      <c r="F215" s="22"/>
    </row>
    <row r="216" spans="1:6" ht="14" customHeight="1">
      <c r="A216" s="19" t="s">
        <v>293</v>
      </c>
      <c r="B216" s="25" t="s">
        <v>3091</v>
      </c>
      <c r="C216" s="24" t="s">
        <v>3090</v>
      </c>
      <c r="D216" s="23" t="s">
        <v>3069</v>
      </c>
      <c r="E216" s="20" t="s">
        <v>295</v>
      </c>
      <c r="F216" s="22"/>
    </row>
    <row r="217" spans="1:6" ht="14" customHeight="1">
      <c r="A217" s="19" t="s">
        <v>293</v>
      </c>
      <c r="B217" s="25" t="s">
        <v>3089</v>
      </c>
      <c r="C217" s="24" t="s">
        <v>3088</v>
      </c>
      <c r="D217" s="23" t="s">
        <v>3069</v>
      </c>
      <c r="E217" s="20" t="s">
        <v>295</v>
      </c>
      <c r="F217" s="22"/>
    </row>
    <row r="218" spans="1:6" ht="14" customHeight="1">
      <c r="A218" s="19" t="s">
        <v>293</v>
      </c>
      <c r="B218" s="25" t="s">
        <v>3087</v>
      </c>
      <c r="C218" s="24" t="s">
        <v>3086</v>
      </c>
      <c r="D218" s="23" t="s">
        <v>3069</v>
      </c>
      <c r="E218" s="20" t="s">
        <v>295</v>
      </c>
      <c r="F218" s="22"/>
    </row>
    <row r="219" spans="1:6" ht="14" customHeight="1">
      <c r="A219" s="19" t="s">
        <v>293</v>
      </c>
      <c r="B219" s="25" t="s">
        <v>3085</v>
      </c>
      <c r="C219" s="24" t="s">
        <v>3084</v>
      </c>
      <c r="D219" s="23" t="s">
        <v>3069</v>
      </c>
      <c r="E219" s="20" t="s">
        <v>295</v>
      </c>
      <c r="F219" s="22"/>
    </row>
    <row r="220" spans="1:6" ht="14" customHeight="1">
      <c r="A220" s="19" t="s">
        <v>293</v>
      </c>
      <c r="B220" s="25" t="s">
        <v>3083</v>
      </c>
      <c r="C220" s="24" t="s">
        <v>3082</v>
      </c>
      <c r="D220" s="23" t="s">
        <v>3069</v>
      </c>
      <c r="E220" s="20" t="s">
        <v>295</v>
      </c>
      <c r="F220" s="22"/>
    </row>
    <row r="221" spans="1:6" ht="28" customHeight="1">
      <c r="A221" s="19" t="s">
        <v>293</v>
      </c>
      <c r="B221" s="25" t="s">
        <v>3081</v>
      </c>
      <c r="C221" s="24" t="s">
        <v>3080</v>
      </c>
      <c r="D221" s="23" t="s">
        <v>3069</v>
      </c>
      <c r="E221" s="20" t="s">
        <v>295</v>
      </c>
      <c r="F221" s="22"/>
    </row>
    <row r="222" spans="1:6" ht="28" customHeight="1">
      <c r="A222" s="19" t="s">
        <v>293</v>
      </c>
      <c r="B222" s="25" t="s">
        <v>3079</v>
      </c>
      <c r="C222" s="24" t="s">
        <v>3078</v>
      </c>
      <c r="D222" s="23" t="s">
        <v>3069</v>
      </c>
      <c r="E222" s="20" t="s">
        <v>295</v>
      </c>
      <c r="F222" s="22"/>
    </row>
    <row r="223" spans="1:6" ht="28" customHeight="1">
      <c r="A223" s="19" t="s">
        <v>293</v>
      </c>
      <c r="B223" s="25" t="s">
        <v>3077</v>
      </c>
      <c r="C223" s="24" t="s">
        <v>3076</v>
      </c>
      <c r="D223" s="23" t="s">
        <v>3069</v>
      </c>
      <c r="E223" s="20" t="s">
        <v>295</v>
      </c>
      <c r="F223" s="22"/>
    </row>
    <row r="224" spans="1:6" ht="28" customHeight="1">
      <c r="A224" s="19" t="s">
        <v>293</v>
      </c>
      <c r="B224" s="25" t="s">
        <v>3075</v>
      </c>
      <c r="C224" s="24" t="s">
        <v>3074</v>
      </c>
      <c r="D224" s="23" t="s">
        <v>3069</v>
      </c>
      <c r="E224" s="20" t="s">
        <v>295</v>
      </c>
      <c r="F224" s="22"/>
    </row>
    <row r="225" spans="1:6" ht="28" customHeight="1">
      <c r="A225" s="19" t="s">
        <v>293</v>
      </c>
      <c r="B225" s="25" t="s">
        <v>3073</v>
      </c>
      <c r="C225" s="24" t="s">
        <v>3072</v>
      </c>
      <c r="D225" s="23" t="s">
        <v>3069</v>
      </c>
      <c r="E225" s="20" t="s">
        <v>295</v>
      </c>
      <c r="F225" s="22"/>
    </row>
    <row r="226" spans="1:6" ht="28" customHeight="1">
      <c r="A226" s="19" t="s">
        <v>293</v>
      </c>
      <c r="B226" s="25" t="s">
        <v>3071</v>
      </c>
      <c r="C226" s="24" t="s">
        <v>3070</v>
      </c>
      <c r="D226" s="23" t="s">
        <v>3069</v>
      </c>
      <c r="E226" s="20" t="s">
        <v>295</v>
      </c>
      <c r="F226" s="22"/>
    </row>
    <row r="227" spans="1:6" ht="14" customHeight="1">
      <c r="A227" s="19" t="s">
        <v>293</v>
      </c>
      <c r="B227" s="25" t="s">
        <v>3068</v>
      </c>
      <c r="C227" s="24" t="s">
        <v>3067</v>
      </c>
      <c r="D227" s="23" t="s">
        <v>3004</v>
      </c>
      <c r="E227" s="20" t="s">
        <v>295</v>
      </c>
      <c r="F227" s="22"/>
    </row>
    <row r="228" spans="1:6" ht="14" customHeight="1">
      <c r="A228" s="19" t="s">
        <v>293</v>
      </c>
      <c r="B228" s="25" t="s">
        <v>3066</v>
      </c>
      <c r="C228" s="24" t="s">
        <v>3065</v>
      </c>
      <c r="D228" s="23" t="s">
        <v>3004</v>
      </c>
      <c r="E228" s="20" t="s">
        <v>295</v>
      </c>
      <c r="F228" s="22"/>
    </row>
    <row r="229" spans="1:6" ht="14" customHeight="1">
      <c r="A229" s="19" t="s">
        <v>293</v>
      </c>
      <c r="B229" s="25" t="s">
        <v>3064</v>
      </c>
      <c r="C229" s="24" t="s">
        <v>3063</v>
      </c>
      <c r="D229" s="23" t="s">
        <v>3004</v>
      </c>
      <c r="E229" s="20" t="s">
        <v>295</v>
      </c>
      <c r="F229" s="22"/>
    </row>
    <row r="230" spans="1:6" ht="14" customHeight="1">
      <c r="A230" s="19" t="s">
        <v>293</v>
      </c>
      <c r="B230" s="25" t="s">
        <v>3062</v>
      </c>
      <c r="C230" s="24" t="s">
        <v>3061</v>
      </c>
      <c r="D230" s="23" t="s">
        <v>3004</v>
      </c>
      <c r="E230" s="20" t="s">
        <v>295</v>
      </c>
      <c r="F230" s="22"/>
    </row>
    <row r="231" spans="1:6" ht="14" customHeight="1">
      <c r="A231" s="19" t="s">
        <v>293</v>
      </c>
      <c r="B231" s="25" t="s">
        <v>3060</v>
      </c>
      <c r="C231" s="24" t="s">
        <v>3059</v>
      </c>
      <c r="D231" s="23" t="s">
        <v>3004</v>
      </c>
      <c r="E231" s="20" t="s">
        <v>295</v>
      </c>
      <c r="F231" s="22"/>
    </row>
    <row r="232" spans="1:6" ht="14" customHeight="1">
      <c r="A232" s="19" t="s">
        <v>293</v>
      </c>
      <c r="B232" s="25" t="s">
        <v>3058</v>
      </c>
      <c r="C232" s="24" t="s">
        <v>3057</v>
      </c>
      <c r="D232" s="23" t="s">
        <v>3004</v>
      </c>
      <c r="E232" s="20" t="s">
        <v>295</v>
      </c>
      <c r="F232" s="22"/>
    </row>
    <row r="233" spans="1:6" ht="14" customHeight="1">
      <c r="A233" s="19" t="s">
        <v>293</v>
      </c>
      <c r="B233" s="25" t="s">
        <v>3056</v>
      </c>
      <c r="C233" s="24" t="s">
        <v>3055</v>
      </c>
      <c r="D233" s="23" t="s">
        <v>3004</v>
      </c>
      <c r="E233" s="20" t="s">
        <v>295</v>
      </c>
      <c r="F233" s="22"/>
    </row>
    <row r="234" spans="1:6" ht="14" customHeight="1">
      <c r="A234" s="19" t="s">
        <v>293</v>
      </c>
      <c r="B234" s="25" t="s">
        <v>3054</v>
      </c>
      <c r="C234" s="24" t="s">
        <v>3053</v>
      </c>
      <c r="D234" s="23" t="s">
        <v>3004</v>
      </c>
      <c r="E234" s="20" t="s">
        <v>295</v>
      </c>
      <c r="F234" s="22"/>
    </row>
    <row r="235" spans="1:6" ht="14" customHeight="1">
      <c r="A235" s="19" t="s">
        <v>293</v>
      </c>
      <c r="B235" s="25" t="s">
        <v>3052</v>
      </c>
      <c r="C235" s="24" t="s">
        <v>3051</v>
      </c>
      <c r="D235" s="23" t="s">
        <v>3004</v>
      </c>
      <c r="E235" s="20" t="s">
        <v>295</v>
      </c>
      <c r="F235" s="22"/>
    </row>
    <row r="236" spans="1:6" ht="14" customHeight="1">
      <c r="A236" s="19" t="s">
        <v>293</v>
      </c>
      <c r="B236" s="25" t="s">
        <v>3050</v>
      </c>
      <c r="C236" s="24" t="s">
        <v>3049</v>
      </c>
      <c r="D236" s="23" t="s">
        <v>3004</v>
      </c>
      <c r="E236" s="20" t="s">
        <v>295</v>
      </c>
      <c r="F236" s="22"/>
    </row>
    <row r="237" spans="1:6" ht="14" customHeight="1">
      <c r="A237" s="19" t="s">
        <v>293</v>
      </c>
      <c r="B237" s="25" t="s">
        <v>3048</v>
      </c>
      <c r="C237" s="24" t="s">
        <v>3047</v>
      </c>
      <c r="D237" s="23" t="s">
        <v>3004</v>
      </c>
      <c r="E237" s="20" t="s">
        <v>295</v>
      </c>
      <c r="F237" s="22"/>
    </row>
    <row r="238" spans="1:6" ht="14" customHeight="1">
      <c r="A238" s="19" t="s">
        <v>293</v>
      </c>
      <c r="B238" s="25" t="s">
        <v>3046</v>
      </c>
      <c r="C238" s="24" t="s">
        <v>3045</v>
      </c>
      <c r="D238" s="23" t="s">
        <v>3004</v>
      </c>
      <c r="E238" s="20" t="s">
        <v>295</v>
      </c>
      <c r="F238" s="22"/>
    </row>
    <row r="239" spans="1:6" ht="14" customHeight="1">
      <c r="A239" s="19" t="s">
        <v>293</v>
      </c>
      <c r="B239" s="25" t="s">
        <v>3044</v>
      </c>
      <c r="C239" s="24" t="s">
        <v>3043</v>
      </c>
      <c r="D239" s="23" t="s">
        <v>3004</v>
      </c>
      <c r="E239" s="20" t="s">
        <v>295</v>
      </c>
      <c r="F239" s="22"/>
    </row>
    <row r="240" spans="1:6" ht="14" customHeight="1">
      <c r="A240" s="19" t="s">
        <v>293</v>
      </c>
      <c r="B240" s="25" t="s">
        <v>3042</v>
      </c>
      <c r="C240" s="24" t="s">
        <v>3041</v>
      </c>
      <c r="D240" s="23" t="s">
        <v>3004</v>
      </c>
      <c r="E240" s="20" t="s">
        <v>295</v>
      </c>
      <c r="F240" s="22"/>
    </row>
    <row r="241" spans="1:6" ht="14" customHeight="1">
      <c r="A241" s="19" t="s">
        <v>293</v>
      </c>
      <c r="B241" s="25" t="s">
        <v>3040</v>
      </c>
      <c r="C241" s="24" t="s">
        <v>3039</v>
      </c>
      <c r="D241" s="23" t="s">
        <v>3004</v>
      </c>
      <c r="E241" s="20" t="s">
        <v>295</v>
      </c>
      <c r="F241" s="22"/>
    </row>
    <row r="242" spans="1:6" ht="14" customHeight="1">
      <c r="A242" s="19" t="s">
        <v>293</v>
      </c>
      <c r="B242" s="25" t="s">
        <v>3038</v>
      </c>
      <c r="C242" s="24" t="s">
        <v>3037</v>
      </c>
      <c r="D242" s="23" t="s">
        <v>3004</v>
      </c>
      <c r="E242" s="20" t="s">
        <v>295</v>
      </c>
      <c r="F242" s="22"/>
    </row>
    <row r="243" spans="1:6" ht="28" customHeight="1">
      <c r="A243" s="19" t="s">
        <v>293</v>
      </c>
      <c r="B243" s="25" t="s">
        <v>3036</v>
      </c>
      <c r="C243" s="24" t="s">
        <v>3035</v>
      </c>
      <c r="D243" s="23" t="s">
        <v>3004</v>
      </c>
      <c r="E243" s="20" t="s">
        <v>295</v>
      </c>
      <c r="F243" s="22"/>
    </row>
    <row r="244" spans="1:6" ht="14" customHeight="1">
      <c r="A244" s="19" t="s">
        <v>293</v>
      </c>
      <c r="B244" s="25" t="s">
        <v>3034</v>
      </c>
      <c r="C244" s="24" t="s">
        <v>3033</v>
      </c>
      <c r="D244" s="23" t="s">
        <v>3004</v>
      </c>
      <c r="E244" s="20" t="s">
        <v>295</v>
      </c>
      <c r="F244" s="22"/>
    </row>
    <row r="245" spans="1:6" ht="14" customHeight="1">
      <c r="A245" s="19" t="s">
        <v>293</v>
      </c>
      <c r="B245" s="25" t="s">
        <v>3032</v>
      </c>
      <c r="C245" s="24" t="s">
        <v>3031</v>
      </c>
      <c r="D245" s="23" t="s">
        <v>3004</v>
      </c>
      <c r="E245" s="20" t="s">
        <v>295</v>
      </c>
      <c r="F245" s="22"/>
    </row>
    <row r="246" spans="1:6" ht="14" customHeight="1">
      <c r="A246" s="19" t="s">
        <v>293</v>
      </c>
      <c r="B246" s="25" t="s">
        <v>3030</v>
      </c>
      <c r="C246" s="24" t="s">
        <v>3029</v>
      </c>
      <c r="D246" s="23" t="s">
        <v>3004</v>
      </c>
      <c r="E246" s="20" t="s">
        <v>295</v>
      </c>
      <c r="F246" s="22"/>
    </row>
    <row r="247" spans="1:6" ht="14" customHeight="1">
      <c r="A247" s="19" t="s">
        <v>293</v>
      </c>
      <c r="B247" s="25" t="s">
        <v>3028</v>
      </c>
      <c r="C247" s="24" t="s">
        <v>3027</v>
      </c>
      <c r="D247" s="23" t="s">
        <v>3004</v>
      </c>
      <c r="E247" s="20" t="s">
        <v>295</v>
      </c>
      <c r="F247" s="22"/>
    </row>
    <row r="248" spans="1:6" ht="28" customHeight="1">
      <c r="A248" s="19" t="s">
        <v>293</v>
      </c>
      <c r="B248" s="25" t="s">
        <v>3026</v>
      </c>
      <c r="C248" s="24" t="s">
        <v>3025</v>
      </c>
      <c r="D248" s="23" t="s">
        <v>3004</v>
      </c>
      <c r="E248" s="20" t="s">
        <v>295</v>
      </c>
      <c r="F248" s="22"/>
    </row>
    <row r="249" spans="1:6" ht="28" customHeight="1">
      <c r="A249" s="19" t="s">
        <v>293</v>
      </c>
      <c r="B249" s="25" t="s">
        <v>3024</v>
      </c>
      <c r="C249" s="24" t="s">
        <v>3023</v>
      </c>
      <c r="D249" s="23" t="s">
        <v>3004</v>
      </c>
      <c r="E249" s="20" t="s">
        <v>295</v>
      </c>
      <c r="F249" s="22"/>
    </row>
    <row r="250" spans="1:6" ht="28" customHeight="1">
      <c r="A250" s="19" t="s">
        <v>293</v>
      </c>
      <c r="B250" s="25" t="s">
        <v>3022</v>
      </c>
      <c r="C250" s="24" t="s">
        <v>3021</v>
      </c>
      <c r="D250" s="23" t="s">
        <v>3004</v>
      </c>
      <c r="E250" s="20" t="s">
        <v>295</v>
      </c>
      <c r="F250" s="22"/>
    </row>
    <row r="251" spans="1:6" ht="28" customHeight="1">
      <c r="A251" s="19" t="s">
        <v>293</v>
      </c>
      <c r="B251" s="25" t="s">
        <v>3020</v>
      </c>
      <c r="C251" s="24" t="s">
        <v>3019</v>
      </c>
      <c r="D251" s="23" t="s">
        <v>3004</v>
      </c>
      <c r="E251" s="20" t="s">
        <v>295</v>
      </c>
      <c r="F251" s="22"/>
    </row>
    <row r="252" spans="1:6" ht="28" customHeight="1">
      <c r="A252" s="19" t="s">
        <v>293</v>
      </c>
      <c r="B252" s="25" t="s">
        <v>3018</v>
      </c>
      <c r="C252" s="24" t="s">
        <v>3017</v>
      </c>
      <c r="D252" s="23" t="s">
        <v>3004</v>
      </c>
      <c r="E252" s="20" t="s">
        <v>295</v>
      </c>
      <c r="F252" s="22"/>
    </row>
    <row r="253" spans="1:6" ht="28" customHeight="1">
      <c r="A253" s="19" t="s">
        <v>293</v>
      </c>
      <c r="B253" s="25" t="s">
        <v>3016</v>
      </c>
      <c r="C253" s="24" t="s">
        <v>3015</v>
      </c>
      <c r="D253" s="23" t="s">
        <v>3004</v>
      </c>
      <c r="E253" s="20" t="s">
        <v>295</v>
      </c>
      <c r="F253" s="22"/>
    </row>
    <row r="254" spans="1:6" ht="28" customHeight="1">
      <c r="A254" s="19" t="s">
        <v>293</v>
      </c>
      <c r="B254" s="25" t="s">
        <v>3014</v>
      </c>
      <c r="C254" s="24" t="s">
        <v>3013</v>
      </c>
      <c r="D254" s="23" t="s">
        <v>3004</v>
      </c>
      <c r="E254" s="20" t="s">
        <v>295</v>
      </c>
      <c r="F254" s="22"/>
    </row>
    <row r="255" spans="1:6" ht="28" customHeight="1">
      <c r="A255" s="19" t="s">
        <v>293</v>
      </c>
      <c r="B255" s="25" t="s">
        <v>3012</v>
      </c>
      <c r="C255" s="24" t="s">
        <v>3011</v>
      </c>
      <c r="D255" s="23" t="s">
        <v>3004</v>
      </c>
      <c r="E255" s="20" t="s">
        <v>295</v>
      </c>
      <c r="F255" s="22"/>
    </row>
    <row r="256" spans="1:6" ht="28" customHeight="1">
      <c r="A256" s="19" t="s">
        <v>293</v>
      </c>
      <c r="B256" s="25" t="s">
        <v>3010</v>
      </c>
      <c r="C256" s="24" t="s">
        <v>3009</v>
      </c>
      <c r="D256" s="23" t="s">
        <v>3004</v>
      </c>
      <c r="E256" s="20" t="s">
        <v>295</v>
      </c>
      <c r="F256" s="22"/>
    </row>
    <row r="257" spans="1:6" ht="28" customHeight="1">
      <c r="A257" s="19" t="s">
        <v>293</v>
      </c>
      <c r="B257" s="25" t="s">
        <v>3008</v>
      </c>
      <c r="C257" s="24" t="s">
        <v>3007</v>
      </c>
      <c r="D257" s="23" t="s">
        <v>3004</v>
      </c>
      <c r="E257" s="20" t="s">
        <v>295</v>
      </c>
      <c r="F257" s="22"/>
    </row>
    <row r="258" spans="1:6" ht="28" customHeight="1">
      <c r="A258" s="19" t="s">
        <v>293</v>
      </c>
      <c r="B258" s="25" t="s">
        <v>3006</v>
      </c>
      <c r="C258" s="24" t="s">
        <v>3005</v>
      </c>
      <c r="D258" s="23" t="s">
        <v>3004</v>
      </c>
      <c r="E258" s="20" t="s">
        <v>295</v>
      </c>
      <c r="F258" s="22"/>
    </row>
    <row r="259" spans="1:6">
      <c r="A259" s="26"/>
      <c r="B259" s="26"/>
      <c r="C259" s="26" t="s">
        <v>3003</v>
      </c>
      <c r="D259" s="26"/>
      <c r="E259" s="26"/>
    </row>
    <row r="260" spans="1:6" ht="28" customHeight="1">
      <c r="A260" s="19" t="s">
        <v>293</v>
      </c>
      <c r="B260" s="25" t="s">
        <v>3002</v>
      </c>
      <c r="C260" s="24" t="s">
        <v>3001</v>
      </c>
      <c r="D260" s="23" t="s">
        <v>2974</v>
      </c>
      <c r="E260" s="20" t="s">
        <v>295</v>
      </c>
      <c r="F260" s="22"/>
    </row>
    <row r="261" spans="1:6" ht="28" customHeight="1">
      <c r="A261" s="19" t="s">
        <v>293</v>
      </c>
      <c r="B261" s="25" t="s">
        <v>3000</v>
      </c>
      <c r="C261" s="24" t="s">
        <v>2999</v>
      </c>
      <c r="D261" s="23" t="s">
        <v>2974</v>
      </c>
      <c r="E261" s="20" t="s">
        <v>295</v>
      </c>
      <c r="F261" s="22"/>
    </row>
    <row r="262" spans="1:6" ht="28" customHeight="1">
      <c r="A262" s="19" t="s">
        <v>293</v>
      </c>
      <c r="B262" s="25" t="s">
        <v>2998</v>
      </c>
      <c r="C262" s="24" t="s">
        <v>2997</v>
      </c>
      <c r="D262" s="23" t="s">
        <v>2974</v>
      </c>
      <c r="E262" s="20" t="s">
        <v>295</v>
      </c>
      <c r="F262" s="22"/>
    </row>
    <row r="263" spans="1:6" ht="28" customHeight="1">
      <c r="A263" s="19" t="s">
        <v>293</v>
      </c>
      <c r="B263" s="25" t="s">
        <v>2996</v>
      </c>
      <c r="C263" s="24" t="s">
        <v>2995</v>
      </c>
      <c r="D263" s="23" t="s">
        <v>2974</v>
      </c>
      <c r="E263" s="20" t="s">
        <v>295</v>
      </c>
      <c r="F263" s="22"/>
    </row>
    <row r="264" spans="1:6" ht="28" customHeight="1">
      <c r="A264" s="19" t="s">
        <v>293</v>
      </c>
      <c r="B264" s="25" t="s">
        <v>2994</v>
      </c>
      <c r="C264" s="24" t="s">
        <v>2993</v>
      </c>
      <c r="D264" s="23" t="s">
        <v>2974</v>
      </c>
      <c r="E264" s="20" t="s">
        <v>295</v>
      </c>
      <c r="F264" s="22"/>
    </row>
    <row r="265" spans="1:6" ht="28" customHeight="1">
      <c r="A265" s="19" t="s">
        <v>293</v>
      </c>
      <c r="B265" s="25" t="s">
        <v>2992</v>
      </c>
      <c r="C265" s="24" t="s">
        <v>2991</v>
      </c>
      <c r="D265" s="23" t="s">
        <v>2974</v>
      </c>
      <c r="E265" s="20" t="s">
        <v>295</v>
      </c>
      <c r="F265" s="22"/>
    </row>
    <row r="266" spans="1:6" ht="28" customHeight="1">
      <c r="A266" s="19" t="s">
        <v>293</v>
      </c>
      <c r="B266" s="25" t="s">
        <v>2990</v>
      </c>
      <c r="C266" s="24" t="s">
        <v>2989</v>
      </c>
      <c r="D266" s="23" t="s">
        <v>2974</v>
      </c>
      <c r="E266" s="20" t="s">
        <v>295</v>
      </c>
      <c r="F266" s="22"/>
    </row>
    <row r="267" spans="1:6" ht="28" customHeight="1">
      <c r="A267" s="19" t="s">
        <v>293</v>
      </c>
      <c r="B267" s="25" t="s">
        <v>2988</v>
      </c>
      <c r="C267" s="24" t="s">
        <v>2987</v>
      </c>
      <c r="D267" s="23" t="s">
        <v>2974</v>
      </c>
      <c r="E267" s="20" t="s">
        <v>295</v>
      </c>
      <c r="F267" s="22"/>
    </row>
    <row r="268" spans="1:6" ht="28" customHeight="1">
      <c r="A268" s="19" t="s">
        <v>293</v>
      </c>
      <c r="B268" s="25" t="s">
        <v>2986</v>
      </c>
      <c r="C268" s="24" t="s">
        <v>2985</v>
      </c>
      <c r="D268" s="23" t="s">
        <v>2974</v>
      </c>
      <c r="E268" s="20" t="s">
        <v>295</v>
      </c>
      <c r="F268" s="22"/>
    </row>
    <row r="269" spans="1:6" ht="28" customHeight="1">
      <c r="A269" s="19" t="s">
        <v>293</v>
      </c>
      <c r="B269" s="25" t="s">
        <v>2984</v>
      </c>
      <c r="C269" s="24" t="s">
        <v>2983</v>
      </c>
      <c r="D269" s="23" t="s">
        <v>2974</v>
      </c>
      <c r="E269" s="20" t="s">
        <v>295</v>
      </c>
      <c r="F269" s="22"/>
    </row>
    <row r="270" spans="1:6" ht="28" customHeight="1">
      <c r="A270" s="19" t="s">
        <v>293</v>
      </c>
      <c r="B270" s="25" t="s">
        <v>2982</v>
      </c>
      <c r="C270" s="24" t="s">
        <v>2981</v>
      </c>
      <c r="D270" s="23" t="s">
        <v>2974</v>
      </c>
      <c r="E270" s="20" t="s">
        <v>295</v>
      </c>
      <c r="F270" s="22"/>
    </row>
    <row r="271" spans="1:6" ht="28" customHeight="1">
      <c r="A271" s="19" t="s">
        <v>293</v>
      </c>
      <c r="B271" s="25" t="s">
        <v>2980</v>
      </c>
      <c r="C271" s="24" t="s">
        <v>2979</v>
      </c>
      <c r="D271" s="23" t="s">
        <v>2974</v>
      </c>
      <c r="E271" s="20" t="s">
        <v>295</v>
      </c>
      <c r="F271" s="22"/>
    </row>
    <row r="272" spans="1:6" ht="14" customHeight="1">
      <c r="A272" s="19" t="s">
        <v>293</v>
      </c>
      <c r="B272" s="25" t="s">
        <v>2978</v>
      </c>
      <c r="C272" s="24" t="s">
        <v>2977</v>
      </c>
      <c r="D272" s="23" t="s">
        <v>2974</v>
      </c>
      <c r="E272" s="20" t="s">
        <v>295</v>
      </c>
      <c r="F272" s="22"/>
    </row>
    <row r="273" spans="1:6" ht="28" customHeight="1">
      <c r="A273" s="19" t="s">
        <v>293</v>
      </c>
      <c r="B273" s="25" t="s">
        <v>2976</v>
      </c>
      <c r="C273" s="24" t="s">
        <v>2975</v>
      </c>
      <c r="D273" s="23" t="s">
        <v>2974</v>
      </c>
      <c r="E273" s="20" t="s">
        <v>295</v>
      </c>
      <c r="F273" s="22"/>
    </row>
    <row r="274" spans="1:6" ht="14" customHeight="1">
      <c r="A274" s="19" t="s">
        <v>293</v>
      </c>
      <c r="B274" s="25" t="s">
        <v>2973</v>
      </c>
      <c r="C274" s="24" t="s">
        <v>2972</v>
      </c>
      <c r="D274" s="23" t="s">
        <v>2947</v>
      </c>
      <c r="E274" s="20" t="s">
        <v>295</v>
      </c>
      <c r="F274" s="22"/>
    </row>
    <row r="275" spans="1:6" ht="14" customHeight="1">
      <c r="A275" s="19" t="s">
        <v>293</v>
      </c>
      <c r="B275" s="25" t="s">
        <v>2971</v>
      </c>
      <c r="C275" s="24" t="s">
        <v>2970</v>
      </c>
      <c r="D275" s="23" t="s">
        <v>2947</v>
      </c>
      <c r="E275" s="20" t="s">
        <v>295</v>
      </c>
      <c r="F275" s="22"/>
    </row>
    <row r="276" spans="1:6" ht="14" customHeight="1">
      <c r="A276" s="19" t="s">
        <v>293</v>
      </c>
      <c r="B276" s="25" t="s">
        <v>2969</v>
      </c>
      <c r="C276" s="24" t="s">
        <v>2968</v>
      </c>
      <c r="D276" s="23" t="s">
        <v>2947</v>
      </c>
      <c r="E276" s="20" t="s">
        <v>295</v>
      </c>
      <c r="F276" s="22"/>
    </row>
    <row r="277" spans="1:6" ht="14" customHeight="1">
      <c r="A277" s="19" t="s">
        <v>293</v>
      </c>
      <c r="B277" s="25" t="s">
        <v>2967</v>
      </c>
      <c r="C277" s="24" t="s">
        <v>2966</v>
      </c>
      <c r="D277" s="23" t="s">
        <v>2947</v>
      </c>
      <c r="E277" s="20" t="s">
        <v>295</v>
      </c>
      <c r="F277" s="22"/>
    </row>
    <row r="278" spans="1:6" ht="14" customHeight="1">
      <c r="A278" s="19" t="s">
        <v>293</v>
      </c>
      <c r="B278" s="25" t="s">
        <v>2965</v>
      </c>
      <c r="C278" s="24" t="s">
        <v>2964</v>
      </c>
      <c r="D278" s="23" t="s">
        <v>2947</v>
      </c>
      <c r="E278" s="20" t="s">
        <v>295</v>
      </c>
      <c r="F278" s="22"/>
    </row>
    <row r="279" spans="1:6" ht="14" customHeight="1">
      <c r="A279" s="19" t="s">
        <v>293</v>
      </c>
      <c r="B279" s="25" t="s">
        <v>2963</v>
      </c>
      <c r="C279" s="24" t="s">
        <v>2962</v>
      </c>
      <c r="D279" s="23" t="s">
        <v>2947</v>
      </c>
      <c r="E279" s="20" t="s">
        <v>295</v>
      </c>
      <c r="F279" s="22"/>
    </row>
    <row r="280" spans="1:6" ht="14" customHeight="1">
      <c r="A280" s="19" t="s">
        <v>293</v>
      </c>
      <c r="B280" s="25" t="s">
        <v>2961</v>
      </c>
      <c r="C280" s="24" t="s">
        <v>2960</v>
      </c>
      <c r="D280" s="23" t="s">
        <v>2947</v>
      </c>
      <c r="E280" s="20" t="s">
        <v>295</v>
      </c>
      <c r="F280" s="22"/>
    </row>
    <row r="281" spans="1:6" ht="14" customHeight="1">
      <c r="A281" s="19" t="s">
        <v>293</v>
      </c>
      <c r="B281" s="25" t="s">
        <v>2959</v>
      </c>
      <c r="C281" s="24" t="s">
        <v>2958</v>
      </c>
      <c r="D281" s="23" t="s">
        <v>2947</v>
      </c>
      <c r="E281" s="20" t="s">
        <v>295</v>
      </c>
      <c r="F281" s="22"/>
    </row>
    <row r="282" spans="1:6" ht="14" customHeight="1">
      <c r="A282" s="19" t="s">
        <v>293</v>
      </c>
      <c r="B282" s="25" t="s">
        <v>2957</v>
      </c>
      <c r="C282" s="24" t="s">
        <v>2956</v>
      </c>
      <c r="D282" s="23" t="s">
        <v>2947</v>
      </c>
      <c r="E282" s="20" t="s">
        <v>295</v>
      </c>
      <c r="F282" s="22"/>
    </row>
    <row r="283" spans="1:6" ht="14" customHeight="1">
      <c r="A283" s="19" t="s">
        <v>293</v>
      </c>
      <c r="B283" s="25" t="s">
        <v>2955</v>
      </c>
      <c r="C283" s="24" t="s">
        <v>2954</v>
      </c>
      <c r="D283" s="23" t="s">
        <v>2947</v>
      </c>
      <c r="E283" s="20" t="s">
        <v>295</v>
      </c>
      <c r="F283" s="22"/>
    </row>
    <row r="284" spans="1:6" ht="14" customHeight="1">
      <c r="A284" s="19" t="s">
        <v>293</v>
      </c>
      <c r="B284" s="25" t="s">
        <v>2953</v>
      </c>
      <c r="C284" s="24" t="s">
        <v>2952</v>
      </c>
      <c r="D284" s="23" t="s">
        <v>2947</v>
      </c>
      <c r="E284" s="20" t="s">
        <v>295</v>
      </c>
      <c r="F284" s="22"/>
    </row>
    <row r="285" spans="1:6" ht="14" customHeight="1">
      <c r="A285" s="19" t="s">
        <v>293</v>
      </c>
      <c r="B285" s="25" t="s">
        <v>2951</v>
      </c>
      <c r="C285" s="24" t="s">
        <v>2950</v>
      </c>
      <c r="D285" s="23" t="s">
        <v>2947</v>
      </c>
      <c r="E285" s="20" t="s">
        <v>295</v>
      </c>
      <c r="F285" s="22"/>
    </row>
    <row r="286" spans="1:6" ht="14" customHeight="1">
      <c r="A286" s="19" t="s">
        <v>293</v>
      </c>
      <c r="B286" s="25" t="s">
        <v>2949</v>
      </c>
      <c r="C286" s="24" t="s">
        <v>2948</v>
      </c>
      <c r="D286" s="23" t="s">
        <v>2947</v>
      </c>
      <c r="E286" s="20" t="s">
        <v>295</v>
      </c>
      <c r="F286" s="22"/>
    </row>
    <row r="287" spans="1:6" ht="14" customHeight="1">
      <c r="A287" s="19" t="s">
        <v>293</v>
      </c>
      <c r="B287" s="25" t="s">
        <v>2946</v>
      </c>
      <c r="C287" s="24" t="s">
        <v>2945</v>
      </c>
      <c r="D287" s="23" t="s">
        <v>2924</v>
      </c>
      <c r="E287" s="20" t="s">
        <v>295</v>
      </c>
      <c r="F287" s="22"/>
    </row>
    <row r="288" spans="1:6" ht="14" customHeight="1">
      <c r="A288" s="19" t="s">
        <v>293</v>
      </c>
      <c r="B288" s="25" t="s">
        <v>2944</v>
      </c>
      <c r="C288" s="24" t="s">
        <v>2943</v>
      </c>
      <c r="D288" s="23" t="s">
        <v>2924</v>
      </c>
      <c r="E288" s="20" t="s">
        <v>295</v>
      </c>
      <c r="F288" s="22"/>
    </row>
    <row r="289" spans="1:6" ht="14" customHeight="1">
      <c r="A289" s="19" t="s">
        <v>293</v>
      </c>
      <c r="B289" s="25" t="s">
        <v>2942</v>
      </c>
      <c r="C289" s="24" t="s">
        <v>2941</v>
      </c>
      <c r="D289" s="23" t="s">
        <v>2924</v>
      </c>
      <c r="E289" s="20" t="s">
        <v>295</v>
      </c>
      <c r="F289" s="22"/>
    </row>
    <row r="290" spans="1:6" ht="14" customHeight="1">
      <c r="A290" s="19" t="s">
        <v>293</v>
      </c>
      <c r="B290" s="25" t="s">
        <v>2940</v>
      </c>
      <c r="C290" s="24" t="s">
        <v>2939</v>
      </c>
      <c r="D290" s="23" t="s">
        <v>2924</v>
      </c>
      <c r="E290" s="20" t="s">
        <v>295</v>
      </c>
      <c r="F290" s="22"/>
    </row>
    <row r="291" spans="1:6" ht="14" customHeight="1">
      <c r="A291" s="19" t="s">
        <v>293</v>
      </c>
      <c r="B291" s="25" t="s">
        <v>2938</v>
      </c>
      <c r="C291" s="24" t="s">
        <v>2937</v>
      </c>
      <c r="D291" s="23" t="s">
        <v>2924</v>
      </c>
      <c r="E291" s="20" t="s">
        <v>295</v>
      </c>
      <c r="F291" s="22"/>
    </row>
    <row r="292" spans="1:6" ht="14" customHeight="1">
      <c r="A292" s="19" t="s">
        <v>293</v>
      </c>
      <c r="B292" s="25" t="s">
        <v>2936</v>
      </c>
      <c r="C292" s="24" t="s">
        <v>2935</v>
      </c>
      <c r="D292" s="23" t="s">
        <v>2924</v>
      </c>
      <c r="E292" s="20" t="s">
        <v>295</v>
      </c>
      <c r="F292" s="22"/>
    </row>
    <row r="293" spans="1:6" ht="14" customHeight="1">
      <c r="A293" s="19" t="s">
        <v>293</v>
      </c>
      <c r="B293" s="25" t="s">
        <v>2934</v>
      </c>
      <c r="C293" s="24" t="s">
        <v>2933</v>
      </c>
      <c r="D293" s="23" t="s">
        <v>2924</v>
      </c>
      <c r="E293" s="20" t="s">
        <v>295</v>
      </c>
      <c r="F293" s="22"/>
    </row>
    <row r="294" spans="1:6" ht="14" customHeight="1">
      <c r="A294" s="19" t="s">
        <v>293</v>
      </c>
      <c r="B294" s="25" t="s">
        <v>2932</v>
      </c>
      <c r="C294" s="24" t="s">
        <v>2931</v>
      </c>
      <c r="D294" s="23" t="s">
        <v>2924</v>
      </c>
      <c r="E294" s="20" t="s">
        <v>295</v>
      </c>
      <c r="F294" s="22"/>
    </row>
    <row r="295" spans="1:6" ht="14" customHeight="1">
      <c r="A295" s="19" t="s">
        <v>293</v>
      </c>
      <c r="B295" s="25" t="s">
        <v>2930</v>
      </c>
      <c r="C295" s="24" t="s">
        <v>2929</v>
      </c>
      <c r="D295" s="23" t="s">
        <v>2924</v>
      </c>
      <c r="E295" s="20" t="s">
        <v>295</v>
      </c>
      <c r="F295" s="22"/>
    </row>
    <row r="296" spans="1:6" ht="14" customHeight="1">
      <c r="A296" s="19" t="s">
        <v>293</v>
      </c>
      <c r="B296" s="25" t="s">
        <v>2928</v>
      </c>
      <c r="C296" s="24" t="s">
        <v>2927</v>
      </c>
      <c r="D296" s="23" t="s">
        <v>2924</v>
      </c>
      <c r="E296" s="20" t="s">
        <v>295</v>
      </c>
      <c r="F296" s="22"/>
    </row>
    <row r="297" spans="1:6" ht="14" customHeight="1">
      <c r="A297" s="19" t="s">
        <v>293</v>
      </c>
      <c r="B297" s="25" t="s">
        <v>2926</v>
      </c>
      <c r="C297" s="24" t="s">
        <v>2925</v>
      </c>
      <c r="D297" s="23" t="s">
        <v>2924</v>
      </c>
      <c r="E297" s="20" t="s">
        <v>295</v>
      </c>
      <c r="F297" s="22"/>
    </row>
    <row r="298" spans="1:6">
      <c r="A298" s="27"/>
      <c r="B298" s="27"/>
      <c r="C298" s="27" t="s">
        <v>2923</v>
      </c>
      <c r="D298" s="27"/>
      <c r="E298" s="27"/>
    </row>
    <row r="299" spans="1:6">
      <c r="A299" s="26"/>
      <c r="B299" s="26"/>
      <c r="C299" s="26" t="s">
        <v>2922</v>
      </c>
      <c r="D299" s="26"/>
      <c r="E299" s="26"/>
    </row>
    <row r="300" spans="1:6" ht="14" customHeight="1">
      <c r="A300" s="19" t="s">
        <v>293</v>
      </c>
      <c r="B300" s="25" t="s">
        <v>2921</v>
      </c>
      <c r="C300" s="24" t="s">
        <v>2920</v>
      </c>
      <c r="D300" s="23" t="s">
        <v>2894</v>
      </c>
      <c r="E300" s="20" t="s">
        <v>2882</v>
      </c>
      <c r="F300" s="22"/>
    </row>
    <row r="301" spans="1:6">
      <c r="A301" s="26"/>
      <c r="B301" s="26"/>
      <c r="C301" s="26" t="s">
        <v>2919</v>
      </c>
      <c r="D301" s="26"/>
      <c r="E301" s="26"/>
    </row>
    <row r="302" spans="1:6" ht="28" customHeight="1">
      <c r="A302" s="19" t="s">
        <v>293</v>
      </c>
      <c r="B302" s="25" t="s">
        <v>2918</v>
      </c>
      <c r="C302" s="24" t="s">
        <v>2917</v>
      </c>
      <c r="D302" s="23" t="s">
        <v>2916</v>
      </c>
      <c r="E302" s="20" t="s">
        <v>2882</v>
      </c>
      <c r="F302" s="22"/>
    </row>
    <row r="303" spans="1:6" ht="28" customHeight="1">
      <c r="A303" s="19" t="s">
        <v>293</v>
      </c>
      <c r="B303" s="25" t="s">
        <v>2915</v>
      </c>
      <c r="C303" s="24" t="s">
        <v>2914</v>
      </c>
      <c r="D303" s="23" t="s">
        <v>2913</v>
      </c>
      <c r="E303" s="20" t="s">
        <v>2882</v>
      </c>
      <c r="F303" s="22"/>
    </row>
    <row r="304" spans="1:6">
      <c r="A304" s="26"/>
      <c r="B304" s="26"/>
      <c r="C304" s="26" t="s">
        <v>2912</v>
      </c>
      <c r="D304" s="26"/>
      <c r="E304" s="26"/>
    </row>
    <row r="305" spans="1:6" ht="14" customHeight="1">
      <c r="A305" s="19" t="s">
        <v>293</v>
      </c>
      <c r="B305" s="25" t="s">
        <v>2911</v>
      </c>
      <c r="C305" s="24" t="s">
        <v>2910</v>
      </c>
      <c r="D305" s="23" t="s">
        <v>2909</v>
      </c>
      <c r="E305" s="20" t="s">
        <v>2882</v>
      </c>
      <c r="F305" s="22"/>
    </row>
    <row r="306" spans="1:6">
      <c r="A306" s="26"/>
      <c r="B306" s="26"/>
      <c r="C306" s="26" t="s">
        <v>2908</v>
      </c>
      <c r="D306" s="26"/>
      <c r="E306" s="26"/>
    </row>
    <row r="307" spans="1:6" ht="14" customHeight="1">
      <c r="A307" s="19" t="s">
        <v>293</v>
      </c>
      <c r="B307" s="25" t="s">
        <v>2907</v>
      </c>
      <c r="C307" s="24" t="s">
        <v>2906</v>
      </c>
      <c r="D307" s="23" t="s">
        <v>634</v>
      </c>
      <c r="E307" s="20" t="s">
        <v>2882</v>
      </c>
      <c r="F307" s="22"/>
    </row>
    <row r="308" spans="1:6" ht="14" customHeight="1">
      <c r="A308" s="19" t="s">
        <v>293</v>
      </c>
      <c r="B308" s="25" t="s">
        <v>2905</v>
      </c>
      <c r="C308" s="24" t="s">
        <v>2904</v>
      </c>
      <c r="D308" s="23" t="s">
        <v>324</v>
      </c>
      <c r="E308" s="20" t="s">
        <v>2882</v>
      </c>
      <c r="F308" s="22"/>
    </row>
    <row r="309" spans="1:6">
      <c r="A309" s="26"/>
      <c r="B309" s="26"/>
      <c r="C309" s="26" t="s">
        <v>2903</v>
      </c>
      <c r="D309" s="26"/>
      <c r="E309" s="26"/>
    </row>
    <row r="310" spans="1:6" ht="14" customHeight="1">
      <c r="A310" s="19" t="s">
        <v>293</v>
      </c>
      <c r="B310" s="25" t="s">
        <v>2902</v>
      </c>
      <c r="C310" s="24" t="s">
        <v>2901</v>
      </c>
      <c r="D310" s="23" t="s">
        <v>2900</v>
      </c>
      <c r="E310" s="20" t="s">
        <v>295</v>
      </c>
      <c r="F310" s="22"/>
    </row>
    <row r="311" spans="1:6" ht="14" customHeight="1">
      <c r="A311" s="19" t="s">
        <v>293</v>
      </c>
      <c r="B311" s="25" t="s">
        <v>2899</v>
      </c>
      <c r="C311" s="24" t="s">
        <v>2898</v>
      </c>
      <c r="D311" s="23" t="s">
        <v>2897</v>
      </c>
      <c r="E311" s="20" t="s">
        <v>295</v>
      </c>
      <c r="F311" s="22"/>
    </row>
    <row r="312" spans="1:6" ht="14" customHeight="1">
      <c r="A312" s="19" t="s">
        <v>293</v>
      </c>
      <c r="B312" s="25" t="s">
        <v>2896</v>
      </c>
      <c r="C312" s="24" t="s">
        <v>2895</v>
      </c>
      <c r="D312" s="23" t="s">
        <v>2894</v>
      </c>
      <c r="E312" s="20" t="s">
        <v>295</v>
      </c>
      <c r="F312" s="22"/>
    </row>
    <row r="313" spans="1:6">
      <c r="A313" s="26"/>
      <c r="B313" s="26"/>
      <c r="C313" s="26" t="s">
        <v>2893</v>
      </c>
      <c r="D313" s="26"/>
      <c r="E313" s="26"/>
    </row>
    <row r="314" spans="1:6" ht="28" customHeight="1">
      <c r="A314" s="19" t="s">
        <v>293</v>
      </c>
      <c r="B314" s="25" t="s">
        <v>2892</v>
      </c>
      <c r="C314" s="24" t="s">
        <v>2891</v>
      </c>
      <c r="D314" s="23" t="s">
        <v>2890</v>
      </c>
      <c r="E314" s="20" t="s">
        <v>295</v>
      </c>
      <c r="F314" s="22"/>
    </row>
    <row r="315" spans="1:6">
      <c r="A315" s="26"/>
      <c r="B315" s="26"/>
      <c r="C315" s="26" t="s">
        <v>2889</v>
      </c>
      <c r="D315" s="26"/>
      <c r="E315" s="26"/>
    </row>
    <row r="316" spans="1:6" ht="28" customHeight="1">
      <c r="A316" s="19" t="s">
        <v>293</v>
      </c>
      <c r="B316" s="25" t="s">
        <v>2888</v>
      </c>
      <c r="C316" s="24" t="s">
        <v>2887</v>
      </c>
      <c r="D316" s="23" t="s">
        <v>2647</v>
      </c>
      <c r="E316" s="20" t="s">
        <v>295</v>
      </c>
      <c r="F316" s="22"/>
    </row>
    <row r="317" spans="1:6">
      <c r="A317" s="26"/>
      <c r="B317" s="26"/>
      <c r="C317" s="26" t="s">
        <v>2886</v>
      </c>
      <c r="D317" s="26"/>
      <c r="E317" s="26"/>
    </row>
    <row r="318" spans="1:6" ht="14" customHeight="1">
      <c r="A318" s="19" t="s">
        <v>293</v>
      </c>
      <c r="B318" s="25" t="s">
        <v>2885</v>
      </c>
      <c r="C318" s="24" t="s">
        <v>2884</v>
      </c>
      <c r="D318" s="23" t="s">
        <v>2883</v>
      </c>
      <c r="E318" s="20" t="s">
        <v>2882</v>
      </c>
      <c r="F318" s="22"/>
    </row>
    <row r="319" spans="1:6">
      <c r="A319" s="26"/>
      <c r="B319" s="26"/>
      <c r="C319" s="26" t="s">
        <v>2881</v>
      </c>
      <c r="D319" s="26"/>
      <c r="E319" s="26"/>
    </row>
    <row r="320" spans="1:6" ht="14" customHeight="1">
      <c r="A320" s="19" t="s">
        <v>293</v>
      </c>
      <c r="B320" s="25" t="s">
        <v>2880</v>
      </c>
      <c r="C320" s="24" t="s">
        <v>2879</v>
      </c>
      <c r="D320" s="23" t="s">
        <v>2878</v>
      </c>
      <c r="E320" s="20" t="s">
        <v>295</v>
      </c>
      <c r="F320" s="22"/>
    </row>
    <row r="321" spans="1:6">
      <c r="A321" s="26"/>
      <c r="B321" s="26"/>
      <c r="C321" s="26" t="s">
        <v>2877</v>
      </c>
      <c r="D321" s="26"/>
      <c r="E321" s="26"/>
    </row>
    <row r="322" spans="1:6" ht="14" customHeight="1">
      <c r="A322" s="19" t="s">
        <v>293</v>
      </c>
      <c r="B322" s="25" t="s">
        <v>2876</v>
      </c>
      <c r="C322" s="24" t="s">
        <v>2875</v>
      </c>
      <c r="D322" s="23" t="s">
        <v>2869</v>
      </c>
      <c r="E322" s="20" t="s">
        <v>295</v>
      </c>
      <c r="F322" s="22"/>
    </row>
    <row r="323" spans="1:6" ht="14" customHeight="1">
      <c r="A323" s="19" t="s">
        <v>293</v>
      </c>
      <c r="B323" s="25" t="s">
        <v>2874</v>
      </c>
      <c r="C323" s="24" t="s">
        <v>2873</v>
      </c>
      <c r="D323" s="23" t="s">
        <v>2872</v>
      </c>
      <c r="E323" s="20" t="s">
        <v>295</v>
      </c>
      <c r="F323" s="22"/>
    </row>
    <row r="324" spans="1:6" ht="14" customHeight="1">
      <c r="A324" s="19" t="s">
        <v>293</v>
      </c>
      <c r="B324" s="25" t="s">
        <v>2871</v>
      </c>
      <c r="C324" s="24" t="s">
        <v>2870</v>
      </c>
      <c r="D324" s="23" t="s">
        <v>2869</v>
      </c>
      <c r="E324" s="20" t="s">
        <v>295</v>
      </c>
      <c r="F324" s="22"/>
    </row>
    <row r="325" spans="1:6">
      <c r="A325" s="26"/>
      <c r="B325" s="26"/>
      <c r="C325" s="26" t="s">
        <v>2868</v>
      </c>
      <c r="D325" s="26"/>
      <c r="E325" s="26"/>
    </row>
    <row r="326" spans="1:6" ht="14" customHeight="1">
      <c r="A326" s="19" t="s">
        <v>293</v>
      </c>
      <c r="B326" s="25" t="s">
        <v>2867</v>
      </c>
      <c r="C326" s="24" t="s">
        <v>2866</v>
      </c>
      <c r="D326" s="23" t="s">
        <v>2865</v>
      </c>
      <c r="E326" s="20" t="s">
        <v>295</v>
      </c>
      <c r="F326" s="22"/>
    </row>
    <row r="327" spans="1:6" ht="14" customHeight="1">
      <c r="A327" s="19" t="s">
        <v>293</v>
      </c>
      <c r="B327" s="25" t="s">
        <v>2864</v>
      </c>
      <c r="C327" s="24" t="s">
        <v>2863</v>
      </c>
      <c r="D327" s="23" t="s">
        <v>2681</v>
      </c>
      <c r="E327" s="20" t="s">
        <v>295</v>
      </c>
      <c r="F327" s="22"/>
    </row>
    <row r="328" spans="1:6">
      <c r="A328" s="26"/>
      <c r="B328" s="26"/>
      <c r="C328" s="26" t="s">
        <v>2861</v>
      </c>
      <c r="D328" s="26"/>
      <c r="E328" s="26"/>
    </row>
    <row r="329" spans="1:6" ht="14" customHeight="1">
      <c r="A329" s="19" t="s">
        <v>293</v>
      </c>
      <c r="B329" s="25" t="s">
        <v>2862</v>
      </c>
      <c r="C329" s="24" t="s">
        <v>2861</v>
      </c>
      <c r="D329" s="23" t="s">
        <v>2860</v>
      </c>
      <c r="E329" s="20" t="s">
        <v>332</v>
      </c>
      <c r="F329" s="22"/>
    </row>
    <row r="330" spans="1:6">
      <c r="A330" s="27"/>
      <c r="B330" s="27"/>
      <c r="C330" s="27" t="s">
        <v>2859</v>
      </c>
      <c r="D330" s="27"/>
      <c r="E330" s="27"/>
    </row>
    <row r="331" spans="1:6">
      <c r="A331" s="26"/>
      <c r="B331" s="26"/>
      <c r="C331" s="26" t="s">
        <v>2858</v>
      </c>
      <c r="D331" s="26"/>
      <c r="E331" s="26"/>
    </row>
    <row r="332" spans="1:6" ht="14" customHeight="1">
      <c r="A332" s="19" t="s">
        <v>293</v>
      </c>
      <c r="B332" s="25" t="s">
        <v>2857</v>
      </c>
      <c r="C332" s="24" t="s">
        <v>2856</v>
      </c>
      <c r="D332" s="23" t="s">
        <v>2823</v>
      </c>
      <c r="E332" s="20" t="s">
        <v>295</v>
      </c>
      <c r="F332" s="22"/>
    </row>
    <row r="333" spans="1:6" ht="14" customHeight="1">
      <c r="A333" s="19" t="s">
        <v>293</v>
      </c>
      <c r="B333" s="25" t="s">
        <v>227</v>
      </c>
      <c r="C333" s="24" t="s">
        <v>2855</v>
      </c>
      <c r="D333" s="23" t="s">
        <v>2854</v>
      </c>
      <c r="E333" s="20" t="s">
        <v>332</v>
      </c>
      <c r="F333" s="22"/>
    </row>
    <row r="334" spans="1:6" ht="14" customHeight="1">
      <c r="A334" s="19" t="s">
        <v>293</v>
      </c>
      <c r="B334" s="25" t="s">
        <v>2853</v>
      </c>
      <c r="C334" s="24" t="s">
        <v>2852</v>
      </c>
      <c r="D334" s="23" t="s">
        <v>2851</v>
      </c>
      <c r="E334" s="20" t="s">
        <v>332</v>
      </c>
      <c r="F334" s="22"/>
    </row>
    <row r="335" spans="1:6">
      <c r="A335" s="26"/>
      <c r="B335" s="26"/>
      <c r="C335" s="26" t="s">
        <v>2850</v>
      </c>
      <c r="D335" s="26"/>
      <c r="E335" s="26"/>
    </row>
    <row r="336" spans="1:6" ht="14" customHeight="1">
      <c r="A336" s="19" t="s">
        <v>293</v>
      </c>
      <c r="B336" s="25" t="s">
        <v>2849</v>
      </c>
      <c r="C336" s="24" t="s">
        <v>2848</v>
      </c>
      <c r="D336" s="23" t="s">
        <v>2844</v>
      </c>
      <c r="E336" s="20" t="s">
        <v>289</v>
      </c>
      <c r="F336" s="22"/>
    </row>
    <row r="337" spans="1:6">
      <c r="A337" s="26"/>
      <c r="B337" s="26"/>
      <c r="C337" s="26" t="s">
        <v>2847</v>
      </c>
      <c r="D337" s="26"/>
      <c r="E337" s="26"/>
    </row>
    <row r="338" spans="1:6" ht="14" customHeight="1">
      <c r="A338" s="19" t="s">
        <v>293</v>
      </c>
      <c r="B338" s="25" t="s">
        <v>2846</v>
      </c>
      <c r="C338" s="24" t="s">
        <v>2845</v>
      </c>
      <c r="D338" s="23" t="s">
        <v>2844</v>
      </c>
      <c r="E338" s="20" t="s">
        <v>289</v>
      </c>
      <c r="F338" s="22"/>
    </row>
    <row r="339" spans="1:6">
      <c r="A339" s="26"/>
      <c r="B339" s="26"/>
      <c r="C339" s="26" t="s">
        <v>2843</v>
      </c>
      <c r="D339" s="26"/>
      <c r="E339" s="26"/>
    </row>
    <row r="340" spans="1:6" ht="14" customHeight="1">
      <c r="A340" s="19" t="s">
        <v>293</v>
      </c>
      <c r="B340" s="25" t="s">
        <v>2842</v>
      </c>
      <c r="C340" s="24" t="s">
        <v>2841</v>
      </c>
      <c r="D340" s="23" t="s">
        <v>2840</v>
      </c>
      <c r="E340" s="20" t="s">
        <v>295</v>
      </c>
      <c r="F340" s="22"/>
    </row>
    <row r="341" spans="1:6">
      <c r="A341" s="26"/>
      <c r="B341" s="26"/>
      <c r="C341" s="26" t="s">
        <v>2839</v>
      </c>
      <c r="D341" s="26"/>
      <c r="E341" s="26"/>
    </row>
    <row r="342" spans="1:6" ht="14" customHeight="1">
      <c r="A342" s="19" t="s">
        <v>293</v>
      </c>
      <c r="B342" s="25" t="s">
        <v>226</v>
      </c>
      <c r="C342" s="24" t="s">
        <v>2838</v>
      </c>
      <c r="D342" s="23" t="s">
        <v>2837</v>
      </c>
      <c r="E342" s="20" t="s">
        <v>295</v>
      </c>
      <c r="F342" s="22"/>
    </row>
    <row r="343" spans="1:6" ht="14" customHeight="1">
      <c r="A343" s="19" t="s">
        <v>293</v>
      </c>
      <c r="B343" s="25" t="s">
        <v>2836</v>
      </c>
      <c r="C343" s="24" t="s">
        <v>2835</v>
      </c>
      <c r="D343" s="23" t="s">
        <v>2834</v>
      </c>
      <c r="E343" s="20" t="s">
        <v>295</v>
      </c>
      <c r="F343" s="22"/>
    </row>
    <row r="344" spans="1:6">
      <c r="A344" s="26"/>
      <c r="B344" s="26"/>
      <c r="C344" s="26" t="s">
        <v>2833</v>
      </c>
      <c r="D344" s="26"/>
      <c r="E344" s="26"/>
    </row>
    <row r="345" spans="1:6" ht="14" customHeight="1">
      <c r="A345" s="19" t="s">
        <v>293</v>
      </c>
      <c r="B345" s="25" t="s">
        <v>2832</v>
      </c>
      <c r="C345" s="24" t="s">
        <v>2831</v>
      </c>
      <c r="D345" s="23" t="s">
        <v>2830</v>
      </c>
      <c r="E345" s="20" t="s">
        <v>295</v>
      </c>
      <c r="F345" s="22"/>
    </row>
    <row r="346" spans="1:6" ht="14" customHeight="1">
      <c r="A346" s="19" t="s">
        <v>293</v>
      </c>
      <c r="B346" s="25" t="s">
        <v>228</v>
      </c>
      <c r="C346" s="24" t="s">
        <v>229</v>
      </c>
      <c r="D346" s="23" t="s">
        <v>2827</v>
      </c>
      <c r="E346" s="20" t="s">
        <v>295</v>
      </c>
      <c r="F346" s="22"/>
    </row>
    <row r="347" spans="1:6" ht="14" customHeight="1">
      <c r="A347" s="19" t="s">
        <v>293</v>
      </c>
      <c r="B347" s="25" t="s">
        <v>2829</v>
      </c>
      <c r="C347" s="24" t="s">
        <v>2828</v>
      </c>
      <c r="D347" s="23" t="s">
        <v>2827</v>
      </c>
      <c r="E347" s="20" t="s">
        <v>295</v>
      </c>
      <c r="F347" s="22"/>
    </row>
    <row r="348" spans="1:6">
      <c r="A348" s="26"/>
      <c r="B348" s="26"/>
      <c r="C348" s="26" t="s">
        <v>2826</v>
      </c>
      <c r="D348" s="26"/>
      <c r="E348" s="26"/>
    </row>
    <row r="349" spans="1:6" ht="14" customHeight="1">
      <c r="A349" s="19" t="s">
        <v>293</v>
      </c>
      <c r="B349" s="25" t="s">
        <v>2825</v>
      </c>
      <c r="C349" s="24" t="s">
        <v>2824</v>
      </c>
      <c r="D349" s="23" t="s">
        <v>2823</v>
      </c>
      <c r="E349" s="20" t="s">
        <v>295</v>
      </c>
      <c r="F349" s="22"/>
    </row>
    <row r="350" spans="1:6" ht="14" customHeight="1">
      <c r="A350" s="19" t="s">
        <v>293</v>
      </c>
      <c r="B350" s="25" t="s">
        <v>2822</v>
      </c>
      <c r="C350" s="24" t="s">
        <v>2821</v>
      </c>
      <c r="D350" s="23" t="s">
        <v>2820</v>
      </c>
      <c r="E350" s="20" t="s">
        <v>295</v>
      </c>
      <c r="F350" s="22"/>
    </row>
    <row r="351" spans="1:6" ht="14" customHeight="1">
      <c r="A351" s="19" t="s">
        <v>293</v>
      </c>
      <c r="B351" s="25" t="s">
        <v>2819</v>
      </c>
      <c r="C351" s="24" t="s">
        <v>2818</v>
      </c>
      <c r="D351" s="23" t="s">
        <v>2817</v>
      </c>
      <c r="E351" s="20" t="s">
        <v>295</v>
      </c>
      <c r="F351" s="22"/>
    </row>
    <row r="352" spans="1:6" ht="14" customHeight="1">
      <c r="A352" s="19" t="s">
        <v>293</v>
      </c>
      <c r="B352" s="25" t="s">
        <v>2816</v>
      </c>
      <c r="C352" s="24" t="s">
        <v>2815</v>
      </c>
      <c r="D352" s="23" t="s">
        <v>2814</v>
      </c>
      <c r="E352" s="20" t="s">
        <v>295</v>
      </c>
      <c r="F352" s="22"/>
    </row>
    <row r="353" spans="1:6">
      <c r="A353" s="27"/>
      <c r="B353" s="27"/>
      <c r="C353" s="27" t="s">
        <v>2813</v>
      </c>
      <c r="D353" s="27"/>
      <c r="E353" s="27"/>
    </row>
    <row r="354" spans="1:6">
      <c r="A354" s="26"/>
      <c r="B354" s="26"/>
      <c r="C354" s="26" t="s">
        <v>2812</v>
      </c>
      <c r="D354" s="26"/>
      <c r="E354" s="26"/>
    </row>
    <row r="355" spans="1:6" ht="28" customHeight="1">
      <c r="A355" s="19" t="s">
        <v>293</v>
      </c>
      <c r="B355" s="25" t="s">
        <v>2811</v>
      </c>
      <c r="C355" s="24" t="s">
        <v>2810</v>
      </c>
      <c r="D355" s="23" t="s">
        <v>2809</v>
      </c>
      <c r="E355" s="20" t="s">
        <v>2805</v>
      </c>
      <c r="F355" s="22"/>
    </row>
    <row r="356" spans="1:6" ht="28" customHeight="1">
      <c r="A356" s="19" t="s">
        <v>293</v>
      </c>
      <c r="B356" s="25" t="s">
        <v>2808</v>
      </c>
      <c r="C356" s="24" t="s">
        <v>2807</v>
      </c>
      <c r="D356" s="23" t="s">
        <v>2806</v>
      </c>
      <c r="E356" s="20" t="s">
        <v>2805</v>
      </c>
      <c r="F356" s="22"/>
    </row>
    <row r="357" spans="1:6">
      <c r="A357" s="27"/>
      <c r="B357" s="27"/>
      <c r="C357" s="27" t="s">
        <v>2804</v>
      </c>
      <c r="D357" s="27"/>
      <c r="E357" s="27"/>
    </row>
    <row r="358" spans="1:6">
      <c r="A358" s="26"/>
      <c r="B358" s="26"/>
      <c r="C358" s="26" t="s">
        <v>2803</v>
      </c>
      <c r="D358" s="26"/>
      <c r="E358" s="26"/>
    </row>
    <row r="359" spans="1:6" ht="28" customHeight="1">
      <c r="A359" s="19" t="s">
        <v>1258</v>
      </c>
      <c r="B359" s="25" t="s">
        <v>2802</v>
      </c>
      <c r="C359" s="24" t="s">
        <v>2801</v>
      </c>
      <c r="D359" s="23" t="s">
        <v>2784</v>
      </c>
      <c r="E359" s="20" t="s">
        <v>1254</v>
      </c>
      <c r="F359" s="22"/>
    </row>
    <row r="360" spans="1:6">
      <c r="A360" s="26"/>
      <c r="B360" s="26"/>
      <c r="C360" s="26" t="s">
        <v>2800</v>
      </c>
      <c r="D360" s="26"/>
      <c r="E360" s="26"/>
    </row>
    <row r="361" spans="1:6" ht="14" customHeight="1">
      <c r="A361" s="19" t="s">
        <v>1258</v>
      </c>
      <c r="B361" s="25" t="s">
        <v>2799</v>
      </c>
      <c r="C361" s="24" t="s">
        <v>2798</v>
      </c>
      <c r="D361" s="23" t="s">
        <v>2784</v>
      </c>
      <c r="E361" s="20" t="s">
        <v>1254</v>
      </c>
      <c r="F361" s="22"/>
    </row>
    <row r="362" spans="1:6">
      <c r="A362" s="26"/>
      <c r="B362" s="26"/>
      <c r="C362" s="26" t="s">
        <v>2797</v>
      </c>
      <c r="D362" s="26"/>
      <c r="E362" s="26"/>
    </row>
    <row r="363" spans="1:6" ht="14" customHeight="1">
      <c r="A363" s="19" t="s">
        <v>1258</v>
      </c>
      <c r="B363" s="25" t="s">
        <v>2796</v>
      </c>
      <c r="C363" s="24" t="s">
        <v>2795</v>
      </c>
      <c r="D363" s="23" t="s">
        <v>2784</v>
      </c>
      <c r="E363" s="20" t="s">
        <v>1254</v>
      </c>
      <c r="F363" s="22"/>
    </row>
    <row r="364" spans="1:6">
      <c r="A364" s="26"/>
      <c r="B364" s="26"/>
      <c r="C364" s="26" t="s">
        <v>2794</v>
      </c>
      <c r="D364" s="26"/>
      <c r="E364" s="26"/>
    </row>
    <row r="365" spans="1:6" ht="14" customHeight="1">
      <c r="A365" s="19" t="s">
        <v>1258</v>
      </c>
      <c r="B365" s="25" t="s">
        <v>2793</v>
      </c>
      <c r="C365" s="24" t="s">
        <v>2792</v>
      </c>
      <c r="D365" s="23" t="s">
        <v>2784</v>
      </c>
      <c r="E365" s="20" t="s">
        <v>1254</v>
      </c>
      <c r="F365" s="22"/>
    </row>
    <row r="366" spans="1:6">
      <c r="A366" s="26"/>
      <c r="B366" s="26"/>
      <c r="C366" s="26" t="s">
        <v>2791</v>
      </c>
      <c r="D366" s="26"/>
      <c r="E366" s="26"/>
    </row>
    <row r="367" spans="1:6" ht="28" customHeight="1">
      <c r="A367" s="19" t="s">
        <v>1258</v>
      </c>
      <c r="B367" s="25" t="s">
        <v>2790</v>
      </c>
      <c r="C367" s="24" t="s">
        <v>2789</v>
      </c>
      <c r="D367" s="23" t="s">
        <v>2784</v>
      </c>
      <c r="E367" s="20" t="s">
        <v>1254</v>
      </c>
      <c r="F367" s="22"/>
    </row>
    <row r="368" spans="1:6" ht="28" customHeight="1">
      <c r="A368" s="19" t="s">
        <v>1258</v>
      </c>
      <c r="B368" s="25" t="s">
        <v>2788</v>
      </c>
      <c r="C368" s="24" t="s">
        <v>2787</v>
      </c>
      <c r="D368" s="23" t="s">
        <v>2784</v>
      </c>
      <c r="E368" s="20" t="s">
        <v>1254</v>
      </c>
      <c r="F368" s="22"/>
    </row>
    <row r="369" spans="1:6" ht="14" customHeight="1">
      <c r="A369" s="19" t="s">
        <v>1258</v>
      </c>
      <c r="B369" s="25" t="s">
        <v>2786</v>
      </c>
      <c r="C369" s="24" t="s">
        <v>2785</v>
      </c>
      <c r="D369" s="23" t="s">
        <v>2784</v>
      </c>
      <c r="E369" s="20" t="s">
        <v>1254</v>
      </c>
      <c r="F369" s="22"/>
    </row>
    <row r="370" spans="1:6">
      <c r="A370" s="26"/>
      <c r="B370" s="26"/>
      <c r="C370" s="26" t="s">
        <v>2782</v>
      </c>
      <c r="D370" s="26"/>
      <c r="E370" s="26"/>
    </row>
    <row r="371" spans="1:6" ht="14" customHeight="1">
      <c r="A371" s="19" t="s">
        <v>1258</v>
      </c>
      <c r="B371" s="25" t="s">
        <v>2783</v>
      </c>
      <c r="C371" s="24" t="s">
        <v>2782</v>
      </c>
      <c r="D371" s="23" t="s">
        <v>2781</v>
      </c>
      <c r="E371" s="20" t="s">
        <v>1254</v>
      </c>
      <c r="F371" s="22"/>
    </row>
    <row r="372" spans="1:6">
      <c r="A372" s="26"/>
      <c r="B372" s="26"/>
      <c r="C372" s="26" t="s">
        <v>2779</v>
      </c>
      <c r="D372" s="26"/>
      <c r="E372" s="26"/>
    </row>
    <row r="373" spans="1:6" ht="14" customHeight="1">
      <c r="A373" s="19" t="s">
        <v>1258</v>
      </c>
      <c r="B373" s="25" t="s">
        <v>2780</v>
      </c>
      <c r="C373" s="24" t="s">
        <v>2779</v>
      </c>
      <c r="D373" s="23" t="s">
        <v>2778</v>
      </c>
      <c r="E373" s="20" t="s">
        <v>1254</v>
      </c>
      <c r="F373" s="22"/>
    </row>
    <row r="374" spans="1:6">
      <c r="A374" s="26"/>
      <c r="B374" s="26"/>
      <c r="C374" s="26" t="s">
        <v>2776</v>
      </c>
      <c r="D374" s="26"/>
      <c r="E374" s="26"/>
    </row>
    <row r="375" spans="1:6" ht="14" customHeight="1">
      <c r="A375" s="19" t="s">
        <v>1258</v>
      </c>
      <c r="B375" s="25" t="s">
        <v>2777</v>
      </c>
      <c r="C375" s="24" t="s">
        <v>2776</v>
      </c>
      <c r="D375" s="23" t="s">
        <v>2775</v>
      </c>
      <c r="E375" s="20" t="s">
        <v>1254</v>
      </c>
      <c r="F375" s="22"/>
    </row>
    <row r="376" spans="1:6">
      <c r="A376" s="26"/>
      <c r="B376" s="26"/>
      <c r="C376" s="26" t="s">
        <v>2774</v>
      </c>
      <c r="D376" s="26"/>
      <c r="E376" s="26"/>
    </row>
    <row r="377" spans="1:6" ht="28" customHeight="1">
      <c r="A377" s="19" t="s">
        <v>293</v>
      </c>
      <c r="B377" s="25" t="s">
        <v>2773</v>
      </c>
      <c r="C377" s="24" t="s">
        <v>2772</v>
      </c>
      <c r="D377" s="23" t="s">
        <v>2681</v>
      </c>
      <c r="E377" s="20" t="s">
        <v>295</v>
      </c>
      <c r="F377" s="22"/>
    </row>
    <row r="378" spans="1:6" ht="14" customHeight="1">
      <c r="A378" s="19" t="s">
        <v>293</v>
      </c>
      <c r="B378" s="25" t="s">
        <v>2771</v>
      </c>
      <c r="C378" s="24" t="s">
        <v>2770</v>
      </c>
      <c r="D378" s="23" t="s">
        <v>2681</v>
      </c>
      <c r="E378" s="20" t="s">
        <v>295</v>
      </c>
      <c r="F378" s="22"/>
    </row>
    <row r="379" spans="1:6" ht="28" customHeight="1">
      <c r="A379" s="19" t="s">
        <v>293</v>
      </c>
      <c r="B379" s="25" t="s">
        <v>2769</v>
      </c>
      <c r="C379" s="24" t="s">
        <v>2768</v>
      </c>
      <c r="D379" s="23" t="s">
        <v>2681</v>
      </c>
      <c r="E379" s="20" t="s">
        <v>295</v>
      </c>
      <c r="F379" s="22"/>
    </row>
    <row r="380" spans="1:6" ht="28" customHeight="1">
      <c r="A380" s="19" t="s">
        <v>293</v>
      </c>
      <c r="B380" s="25" t="s">
        <v>2767</v>
      </c>
      <c r="C380" s="24" t="s">
        <v>2766</v>
      </c>
      <c r="D380" s="23" t="s">
        <v>2681</v>
      </c>
      <c r="E380" s="20" t="s">
        <v>295</v>
      </c>
      <c r="F380" s="22"/>
    </row>
    <row r="381" spans="1:6" ht="28" customHeight="1">
      <c r="A381" s="19" t="s">
        <v>293</v>
      </c>
      <c r="B381" s="25" t="s">
        <v>2765</v>
      </c>
      <c r="C381" s="24" t="s">
        <v>2764</v>
      </c>
      <c r="D381" s="23" t="s">
        <v>2681</v>
      </c>
      <c r="E381" s="20" t="s">
        <v>295</v>
      </c>
      <c r="F381" s="22"/>
    </row>
    <row r="382" spans="1:6" ht="28" customHeight="1">
      <c r="A382" s="19" t="s">
        <v>293</v>
      </c>
      <c r="B382" s="25" t="s">
        <v>2763</v>
      </c>
      <c r="C382" s="24" t="s">
        <v>2762</v>
      </c>
      <c r="D382" s="23" t="s">
        <v>2681</v>
      </c>
      <c r="E382" s="20" t="s">
        <v>295</v>
      </c>
      <c r="F382" s="22"/>
    </row>
    <row r="383" spans="1:6" ht="28" customHeight="1">
      <c r="A383" s="19" t="s">
        <v>293</v>
      </c>
      <c r="B383" s="25" t="s">
        <v>2761</v>
      </c>
      <c r="C383" s="24" t="s">
        <v>2760</v>
      </c>
      <c r="D383" s="23" t="s">
        <v>2681</v>
      </c>
      <c r="E383" s="20" t="s">
        <v>295</v>
      </c>
      <c r="F383" s="22"/>
    </row>
    <row r="384" spans="1:6" ht="28" customHeight="1">
      <c r="A384" s="19" t="s">
        <v>293</v>
      </c>
      <c r="B384" s="25" t="s">
        <v>2759</v>
      </c>
      <c r="C384" s="24" t="s">
        <v>2758</v>
      </c>
      <c r="D384" s="23" t="s">
        <v>2681</v>
      </c>
      <c r="E384" s="20" t="s">
        <v>295</v>
      </c>
      <c r="F384" s="22"/>
    </row>
    <row r="385" spans="1:6" ht="28" customHeight="1">
      <c r="A385" s="19" t="s">
        <v>293</v>
      </c>
      <c r="B385" s="25" t="s">
        <v>2757</v>
      </c>
      <c r="C385" s="24" t="s">
        <v>2756</v>
      </c>
      <c r="D385" s="23" t="s">
        <v>2661</v>
      </c>
      <c r="E385" s="20" t="s">
        <v>295</v>
      </c>
      <c r="F385" s="22"/>
    </row>
    <row r="386" spans="1:6" ht="14" customHeight="1">
      <c r="A386" s="19" t="s">
        <v>293</v>
      </c>
      <c r="B386" s="25" t="s">
        <v>2755</v>
      </c>
      <c r="C386" s="24" t="s">
        <v>2754</v>
      </c>
      <c r="D386" s="23" t="s">
        <v>2661</v>
      </c>
      <c r="E386" s="20" t="s">
        <v>295</v>
      </c>
      <c r="F386" s="22"/>
    </row>
    <row r="387" spans="1:6" ht="28" customHeight="1">
      <c r="A387" s="19" t="s">
        <v>293</v>
      </c>
      <c r="B387" s="25" t="s">
        <v>2753</v>
      </c>
      <c r="C387" s="24" t="s">
        <v>2752</v>
      </c>
      <c r="D387" s="23" t="s">
        <v>2661</v>
      </c>
      <c r="E387" s="20" t="s">
        <v>295</v>
      </c>
      <c r="F387" s="22"/>
    </row>
    <row r="388" spans="1:6" ht="28" customHeight="1">
      <c r="A388" s="19" t="s">
        <v>293</v>
      </c>
      <c r="B388" s="25" t="s">
        <v>2751</v>
      </c>
      <c r="C388" s="24" t="s">
        <v>2750</v>
      </c>
      <c r="D388" s="23" t="s">
        <v>2661</v>
      </c>
      <c r="E388" s="20" t="s">
        <v>295</v>
      </c>
      <c r="F388" s="22"/>
    </row>
    <row r="389" spans="1:6" ht="28" customHeight="1">
      <c r="A389" s="19" t="s">
        <v>293</v>
      </c>
      <c r="B389" s="25" t="s">
        <v>2749</v>
      </c>
      <c r="C389" s="24" t="s">
        <v>2748</v>
      </c>
      <c r="D389" s="23" t="s">
        <v>2661</v>
      </c>
      <c r="E389" s="20" t="s">
        <v>295</v>
      </c>
      <c r="F389" s="22"/>
    </row>
    <row r="390" spans="1:6" ht="28" customHeight="1">
      <c r="A390" s="19" t="s">
        <v>293</v>
      </c>
      <c r="B390" s="25" t="s">
        <v>2747</v>
      </c>
      <c r="C390" s="24" t="s">
        <v>2746</v>
      </c>
      <c r="D390" s="23" t="s">
        <v>2661</v>
      </c>
      <c r="E390" s="20" t="s">
        <v>295</v>
      </c>
      <c r="F390" s="22"/>
    </row>
    <row r="391" spans="1:6" ht="28" customHeight="1">
      <c r="A391" s="19" t="s">
        <v>293</v>
      </c>
      <c r="B391" s="25" t="s">
        <v>2745</v>
      </c>
      <c r="C391" s="24" t="s">
        <v>2744</v>
      </c>
      <c r="D391" s="23" t="s">
        <v>2661</v>
      </c>
      <c r="E391" s="20" t="s">
        <v>295</v>
      </c>
      <c r="F391" s="22"/>
    </row>
    <row r="392" spans="1:6" ht="28" customHeight="1">
      <c r="A392" s="19" t="s">
        <v>293</v>
      </c>
      <c r="B392" s="25" t="s">
        <v>2743</v>
      </c>
      <c r="C392" s="24" t="s">
        <v>2742</v>
      </c>
      <c r="D392" s="23" t="s">
        <v>2661</v>
      </c>
      <c r="E392" s="20" t="s">
        <v>295</v>
      </c>
      <c r="F392" s="22"/>
    </row>
    <row r="393" spans="1:6" ht="14" customHeight="1">
      <c r="A393" s="19" t="s">
        <v>293</v>
      </c>
      <c r="B393" s="25" t="s">
        <v>2741</v>
      </c>
      <c r="C393" s="24" t="s">
        <v>2740</v>
      </c>
      <c r="D393" s="23" t="s">
        <v>2661</v>
      </c>
      <c r="E393" s="20" t="s">
        <v>295</v>
      </c>
      <c r="F393" s="22"/>
    </row>
    <row r="394" spans="1:6" ht="14" customHeight="1">
      <c r="A394" s="19" t="s">
        <v>293</v>
      </c>
      <c r="B394" s="25" t="s">
        <v>2739</v>
      </c>
      <c r="C394" s="24" t="s">
        <v>2738</v>
      </c>
      <c r="D394" s="23" t="s">
        <v>2661</v>
      </c>
      <c r="E394" s="20" t="s">
        <v>295</v>
      </c>
      <c r="F394" s="22"/>
    </row>
    <row r="395" spans="1:6" ht="14" customHeight="1">
      <c r="A395" s="19" t="s">
        <v>293</v>
      </c>
      <c r="B395" s="25" t="s">
        <v>2737</v>
      </c>
      <c r="C395" s="24" t="s">
        <v>2736</v>
      </c>
      <c r="D395" s="23" t="s">
        <v>2661</v>
      </c>
      <c r="E395" s="20" t="s">
        <v>295</v>
      </c>
      <c r="F395" s="22"/>
    </row>
    <row r="396" spans="1:6" ht="14" customHeight="1">
      <c r="A396" s="19" t="s">
        <v>293</v>
      </c>
      <c r="B396" s="25" t="s">
        <v>2735</v>
      </c>
      <c r="C396" s="24" t="s">
        <v>2734</v>
      </c>
      <c r="D396" s="23" t="s">
        <v>2661</v>
      </c>
      <c r="E396" s="20" t="s">
        <v>295</v>
      </c>
      <c r="F396" s="22"/>
    </row>
    <row r="397" spans="1:6" ht="14" customHeight="1">
      <c r="A397" s="19" t="s">
        <v>293</v>
      </c>
      <c r="B397" s="25" t="s">
        <v>2733</v>
      </c>
      <c r="C397" s="24" t="s">
        <v>2732</v>
      </c>
      <c r="D397" s="23" t="s">
        <v>2661</v>
      </c>
      <c r="E397" s="20" t="s">
        <v>295</v>
      </c>
      <c r="F397" s="22"/>
    </row>
    <row r="398" spans="1:6" ht="14" customHeight="1">
      <c r="A398" s="19" t="s">
        <v>293</v>
      </c>
      <c r="B398" s="25" t="s">
        <v>2731</v>
      </c>
      <c r="C398" s="24" t="s">
        <v>2730</v>
      </c>
      <c r="D398" s="23" t="s">
        <v>2661</v>
      </c>
      <c r="E398" s="20" t="s">
        <v>295</v>
      </c>
      <c r="F398" s="22"/>
    </row>
    <row r="399" spans="1:6" ht="14" customHeight="1">
      <c r="A399" s="19" t="s">
        <v>293</v>
      </c>
      <c r="B399" s="25" t="s">
        <v>2729</v>
      </c>
      <c r="C399" s="24" t="s">
        <v>2728</v>
      </c>
      <c r="D399" s="23" t="s">
        <v>2717</v>
      </c>
      <c r="E399" s="20" t="s">
        <v>295</v>
      </c>
      <c r="F399" s="22"/>
    </row>
    <row r="400" spans="1:6" ht="14" customHeight="1">
      <c r="A400" s="19" t="s">
        <v>293</v>
      </c>
      <c r="B400" s="25" t="s">
        <v>2727</v>
      </c>
      <c r="C400" s="24" t="s">
        <v>2726</v>
      </c>
      <c r="D400" s="23" t="s">
        <v>2717</v>
      </c>
      <c r="E400" s="20" t="s">
        <v>295</v>
      </c>
      <c r="F400" s="22"/>
    </row>
    <row r="401" spans="1:6" ht="14" customHeight="1">
      <c r="A401" s="19" t="s">
        <v>293</v>
      </c>
      <c r="B401" s="25" t="s">
        <v>2725</v>
      </c>
      <c r="C401" s="24" t="s">
        <v>2724</v>
      </c>
      <c r="D401" s="23" t="s">
        <v>2661</v>
      </c>
      <c r="E401" s="20" t="s">
        <v>295</v>
      </c>
      <c r="F401" s="22"/>
    </row>
    <row r="402" spans="1:6" ht="14" customHeight="1">
      <c r="A402" s="19" t="s">
        <v>293</v>
      </c>
      <c r="B402" s="25" t="s">
        <v>2723</v>
      </c>
      <c r="C402" s="24" t="s">
        <v>2722</v>
      </c>
      <c r="D402" s="23" t="s">
        <v>2661</v>
      </c>
      <c r="E402" s="20" t="s">
        <v>295</v>
      </c>
      <c r="F402" s="22"/>
    </row>
    <row r="403" spans="1:6" ht="14" customHeight="1">
      <c r="A403" s="19" t="s">
        <v>293</v>
      </c>
      <c r="B403" s="25" t="s">
        <v>2721</v>
      </c>
      <c r="C403" s="24" t="s">
        <v>2720</v>
      </c>
      <c r="D403" s="23" t="s">
        <v>2661</v>
      </c>
      <c r="E403" s="20" t="s">
        <v>295</v>
      </c>
      <c r="F403" s="22"/>
    </row>
    <row r="404" spans="1:6" ht="14" customHeight="1">
      <c r="A404" s="19" t="s">
        <v>293</v>
      </c>
      <c r="B404" s="25" t="s">
        <v>2719</v>
      </c>
      <c r="C404" s="24" t="s">
        <v>2718</v>
      </c>
      <c r="D404" s="23" t="s">
        <v>2717</v>
      </c>
      <c r="E404" s="20" t="s">
        <v>295</v>
      </c>
      <c r="F404" s="22"/>
    </row>
    <row r="405" spans="1:6" ht="14" customHeight="1">
      <c r="A405" s="19" t="s">
        <v>293</v>
      </c>
      <c r="B405" s="25" t="s">
        <v>2716</v>
      </c>
      <c r="C405" s="24" t="s">
        <v>2715</v>
      </c>
      <c r="D405" s="23" t="s">
        <v>2661</v>
      </c>
      <c r="E405" s="20" t="s">
        <v>295</v>
      </c>
      <c r="F405" s="22"/>
    </row>
    <row r="406" spans="1:6" ht="14" customHeight="1">
      <c r="A406" s="19" t="s">
        <v>293</v>
      </c>
      <c r="B406" s="25" t="s">
        <v>2714</v>
      </c>
      <c r="C406" s="24" t="s">
        <v>2713</v>
      </c>
      <c r="D406" s="23" t="s">
        <v>2661</v>
      </c>
      <c r="E406" s="20" t="s">
        <v>295</v>
      </c>
      <c r="F406" s="22"/>
    </row>
    <row r="407" spans="1:6" ht="14" customHeight="1">
      <c r="A407" s="19" t="s">
        <v>293</v>
      </c>
      <c r="B407" s="25" t="s">
        <v>2712</v>
      </c>
      <c r="C407" s="24" t="s">
        <v>2711</v>
      </c>
      <c r="D407" s="23" t="s">
        <v>2681</v>
      </c>
      <c r="E407" s="20" t="s">
        <v>295</v>
      </c>
      <c r="F407" s="22"/>
    </row>
    <row r="408" spans="1:6" ht="14" customHeight="1">
      <c r="A408" s="19" t="s">
        <v>293</v>
      </c>
      <c r="B408" s="25" t="s">
        <v>2710</v>
      </c>
      <c r="C408" s="24" t="s">
        <v>2709</v>
      </c>
      <c r="D408" s="23" t="s">
        <v>2681</v>
      </c>
      <c r="E408" s="20" t="s">
        <v>295</v>
      </c>
      <c r="F408" s="22"/>
    </row>
    <row r="409" spans="1:6" ht="14" customHeight="1">
      <c r="A409" s="19" t="s">
        <v>293</v>
      </c>
      <c r="B409" s="25" t="s">
        <v>2708</v>
      </c>
      <c r="C409" s="24" t="s">
        <v>2707</v>
      </c>
      <c r="D409" s="23" t="s">
        <v>2681</v>
      </c>
      <c r="E409" s="20" t="s">
        <v>295</v>
      </c>
      <c r="F409" s="22"/>
    </row>
    <row r="410" spans="1:6" ht="14" customHeight="1">
      <c r="A410" s="19" t="s">
        <v>293</v>
      </c>
      <c r="B410" s="25" t="s">
        <v>2706</v>
      </c>
      <c r="C410" s="24" t="s">
        <v>2705</v>
      </c>
      <c r="D410" s="23" t="s">
        <v>2681</v>
      </c>
      <c r="E410" s="20" t="s">
        <v>295</v>
      </c>
      <c r="F410" s="22"/>
    </row>
    <row r="411" spans="1:6" ht="14" customHeight="1">
      <c r="A411" s="19" t="s">
        <v>293</v>
      </c>
      <c r="B411" s="25" t="s">
        <v>2704</v>
      </c>
      <c r="C411" s="24" t="s">
        <v>2703</v>
      </c>
      <c r="D411" s="23" t="s">
        <v>2681</v>
      </c>
      <c r="E411" s="20" t="s">
        <v>295</v>
      </c>
      <c r="F411" s="22"/>
    </row>
    <row r="412" spans="1:6" ht="14" customHeight="1">
      <c r="A412" s="19" t="s">
        <v>293</v>
      </c>
      <c r="B412" s="25" t="s">
        <v>2702</v>
      </c>
      <c r="C412" s="24" t="s">
        <v>2701</v>
      </c>
      <c r="D412" s="23" t="s">
        <v>2681</v>
      </c>
      <c r="E412" s="20" t="s">
        <v>295</v>
      </c>
      <c r="F412" s="22"/>
    </row>
    <row r="413" spans="1:6" ht="14" customHeight="1">
      <c r="A413" s="19" t="s">
        <v>293</v>
      </c>
      <c r="B413" s="25" t="s">
        <v>2700</v>
      </c>
      <c r="C413" s="24" t="s">
        <v>2699</v>
      </c>
      <c r="D413" s="23" t="s">
        <v>2686</v>
      </c>
      <c r="E413" s="20" t="s">
        <v>295</v>
      </c>
      <c r="F413" s="22"/>
    </row>
    <row r="414" spans="1:6" ht="14" customHeight="1">
      <c r="A414" s="19" t="s">
        <v>293</v>
      </c>
      <c r="B414" s="25" t="s">
        <v>2698</v>
      </c>
      <c r="C414" s="24" t="s">
        <v>2697</v>
      </c>
      <c r="D414" s="23" t="s">
        <v>2686</v>
      </c>
      <c r="E414" s="20" t="s">
        <v>295</v>
      </c>
      <c r="F414" s="22"/>
    </row>
    <row r="415" spans="1:6" ht="14" customHeight="1">
      <c r="A415" s="19" t="s">
        <v>293</v>
      </c>
      <c r="B415" s="25" t="s">
        <v>2696</v>
      </c>
      <c r="C415" s="24" t="s">
        <v>2695</v>
      </c>
      <c r="D415" s="23" t="s">
        <v>2681</v>
      </c>
      <c r="E415" s="20" t="s">
        <v>295</v>
      </c>
      <c r="F415" s="22"/>
    </row>
    <row r="416" spans="1:6" ht="14" customHeight="1">
      <c r="A416" s="19" t="s">
        <v>293</v>
      </c>
      <c r="B416" s="25" t="s">
        <v>2694</v>
      </c>
      <c r="C416" s="24" t="s">
        <v>2693</v>
      </c>
      <c r="D416" s="23" t="s">
        <v>2681</v>
      </c>
      <c r="E416" s="20" t="s">
        <v>295</v>
      </c>
      <c r="F416" s="22"/>
    </row>
    <row r="417" spans="1:6" ht="14" customHeight="1">
      <c r="A417" s="19" t="s">
        <v>293</v>
      </c>
      <c r="B417" s="25" t="s">
        <v>2692</v>
      </c>
      <c r="C417" s="24" t="s">
        <v>2691</v>
      </c>
      <c r="D417" s="23" t="s">
        <v>2681</v>
      </c>
      <c r="E417" s="20" t="s">
        <v>295</v>
      </c>
      <c r="F417" s="22"/>
    </row>
    <row r="418" spans="1:6" ht="14" customHeight="1">
      <c r="A418" s="19" t="s">
        <v>293</v>
      </c>
      <c r="B418" s="25" t="s">
        <v>2690</v>
      </c>
      <c r="C418" s="24" t="s">
        <v>2689</v>
      </c>
      <c r="D418" s="23" t="s">
        <v>2686</v>
      </c>
      <c r="E418" s="20" t="s">
        <v>295</v>
      </c>
      <c r="F418" s="22"/>
    </row>
    <row r="419" spans="1:6" ht="14" customHeight="1">
      <c r="A419" s="19" t="s">
        <v>293</v>
      </c>
      <c r="B419" s="25" t="s">
        <v>2688</v>
      </c>
      <c r="C419" s="24" t="s">
        <v>2687</v>
      </c>
      <c r="D419" s="23" t="s">
        <v>2686</v>
      </c>
      <c r="E419" s="20" t="s">
        <v>295</v>
      </c>
      <c r="F419" s="22"/>
    </row>
    <row r="420" spans="1:6" ht="14" customHeight="1">
      <c r="A420" s="19" t="s">
        <v>293</v>
      </c>
      <c r="B420" s="25" t="s">
        <v>2685</v>
      </c>
      <c r="C420" s="24" t="s">
        <v>2684</v>
      </c>
      <c r="D420" s="23" t="s">
        <v>2681</v>
      </c>
      <c r="E420" s="20" t="s">
        <v>295</v>
      </c>
      <c r="F420" s="22"/>
    </row>
    <row r="421" spans="1:6" ht="14" customHeight="1">
      <c r="A421" s="19" t="s">
        <v>293</v>
      </c>
      <c r="B421" s="25" t="s">
        <v>2683</v>
      </c>
      <c r="C421" s="24" t="s">
        <v>2682</v>
      </c>
      <c r="D421" s="23" t="s">
        <v>2681</v>
      </c>
      <c r="E421" s="20" t="s">
        <v>295</v>
      </c>
      <c r="F421" s="22"/>
    </row>
    <row r="422" spans="1:6" ht="14" customHeight="1">
      <c r="A422" s="19" t="s">
        <v>293</v>
      </c>
      <c r="B422" s="25" t="s">
        <v>2680</v>
      </c>
      <c r="C422" s="24" t="s">
        <v>2679</v>
      </c>
      <c r="D422" s="23" t="s">
        <v>2661</v>
      </c>
      <c r="E422" s="20" t="s">
        <v>295</v>
      </c>
      <c r="F422" s="22"/>
    </row>
    <row r="423" spans="1:6" ht="14" customHeight="1">
      <c r="A423" s="19" t="s">
        <v>293</v>
      </c>
      <c r="B423" s="25" t="s">
        <v>2678</v>
      </c>
      <c r="C423" s="24" t="s">
        <v>2677</v>
      </c>
      <c r="D423" s="23" t="s">
        <v>2661</v>
      </c>
      <c r="E423" s="20" t="s">
        <v>295</v>
      </c>
      <c r="F423" s="22"/>
    </row>
    <row r="424" spans="1:6" ht="14" customHeight="1">
      <c r="A424" s="19" t="s">
        <v>293</v>
      </c>
      <c r="B424" s="25" t="s">
        <v>2676</v>
      </c>
      <c r="C424" s="24" t="s">
        <v>2675</v>
      </c>
      <c r="D424" s="23" t="s">
        <v>2661</v>
      </c>
      <c r="E424" s="20" t="s">
        <v>295</v>
      </c>
      <c r="F424" s="22"/>
    </row>
    <row r="425" spans="1:6" ht="14" customHeight="1">
      <c r="A425" s="19" t="s">
        <v>293</v>
      </c>
      <c r="B425" s="25" t="s">
        <v>2674</v>
      </c>
      <c r="C425" s="24" t="s">
        <v>2673</v>
      </c>
      <c r="D425" s="23" t="s">
        <v>2661</v>
      </c>
      <c r="E425" s="20" t="s">
        <v>295</v>
      </c>
      <c r="F425" s="22"/>
    </row>
    <row r="426" spans="1:6" ht="14" customHeight="1">
      <c r="A426" s="19" t="s">
        <v>293</v>
      </c>
      <c r="B426" s="25" t="s">
        <v>2672</v>
      </c>
      <c r="C426" s="24" t="s">
        <v>2671</v>
      </c>
      <c r="D426" s="23" t="s">
        <v>2661</v>
      </c>
      <c r="E426" s="20" t="s">
        <v>295</v>
      </c>
      <c r="F426" s="22"/>
    </row>
    <row r="427" spans="1:6" ht="14" customHeight="1">
      <c r="A427" s="19" t="s">
        <v>293</v>
      </c>
      <c r="B427" s="25" t="s">
        <v>2670</v>
      </c>
      <c r="C427" s="24" t="s">
        <v>2669</v>
      </c>
      <c r="D427" s="23" t="s">
        <v>2661</v>
      </c>
      <c r="E427" s="20" t="s">
        <v>295</v>
      </c>
      <c r="F427" s="22"/>
    </row>
    <row r="428" spans="1:6" ht="14" customHeight="1">
      <c r="A428" s="19" t="s">
        <v>293</v>
      </c>
      <c r="B428" s="25" t="s">
        <v>2668</v>
      </c>
      <c r="C428" s="24" t="s">
        <v>2667</v>
      </c>
      <c r="D428" s="23" t="s">
        <v>2666</v>
      </c>
      <c r="E428" s="20" t="s">
        <v>295</v>
      </c>
      <c r="F428" s="22"/>
    </row>
    <row r="429" spans="1:6" ht="14" customHeight="1">
      <c r="A429" s="19" t="s">
        <v>293</v>
      </c>
      <c r="B429" s="25" t="s">
        <v>2665</v>
      </c>
      <c r="C429" s="24" t="s">
        <v>2664</v>
      </c>
      <c r="D429" s="23" t="s">
        <v>2661</v>
      </c>
      <c r="E429" s="20" t="s">
        <v>295</v>
      </c>
      <c r="F429" s="22"/>
    </row>
    <row r="430" spans="1:6" ht="14" customHeight="1">
      <c r="A430" s="19" t="s">
        <v>293</v>
      </c>
      <c r="B430" s="25" t="s">
        <v>2663</v>
      </c>
      <c r="C430" s="24" t="s">
        <v>2662</v>
      </c>
      <c r="D430" s="23" t="s">
        <v>2661</v>
      </c>
      <c r="E430" s="20" t="s">
        <v>295</v>
      </c>
      <c r="F430" s="22"/>
    </row>
    <row r="431" spans="1:6">
      <c r="A431" s="26"/>
      <c r="B431" s="26"/>
      <c r="C431" s="26" t="s">
        <v>2660</v>
      </c>
      <c r="D431" s="26"/>
      <c r="E431" s="26"/>
    </row>
    <row r="432" spans="1:6" ht="14" customHeight="1">
      <c r="A432" s="19" t="s">
        <v>293</v>
      </c>
      <c r="B432" s="25" t="s">
        <v>2659</v>
      </c>
      <c r="C432" s="24" t="s">
        <v>2658</v>
      </c>
      <c r="D432" s="23" t="s">
        <v>2647</v>
      </c>
      <c r="E432" s="20" t="s">
        <v>295</v>
      </c>
      <c r="F432" s="22"/>
    </row>
    <row r="433" spans="1:6" ht="14" customHeight="1">
      <c r="A433" s="19" t="s">
        <v>293</v>
      </c>
      <c r="B433" s="25" t="s">
        <v>2657</v>
      </c>
      <c r="C433" s="24" t="s">
        <v>2656</v>
      </c>
      <c r="D433" s="23" t="s">
        <v>2650</v>
      </c>
      <c r="E433" s="20" t="s">
        <v>295</v>
      </c>
      <c r="F433" s="22"/>
    </row>
    <row r="434" spans="1:6" ht="14" customHeight="1">
      <c r="A434" s="19" t="s">
        <v>293</v>
      </c>
      <c r="B434" s="25" t="s">
        <v>210</v>
      </c>
      <c r="C434" s="24" t="s">
        <v>2655</v>
      </c>
      <c r="D434" s="23" t="s">
        <v>2650</v>
      </c>
      <c r="E434" s="20" t="s">
        <v>295</v>
      </c>
      <c r="F434" s="22"/>
    </row>
    <row r="435" spans="1:6" ht="14" customHeight="1">
      <c r="A435" s="19" t="s">
        <v>293</v>
      </c>
      <c r="B435" s="25" t="s">
        <v>2654</v>
      </c>
      <c r="C435" s="24" t="s">
        <v>2653</v>
      </c>
      <c r="D435" s="23" t="s">
        <v>2650</v>
      </c>
      <c r="E435" s="20" t="s">
        <v>295</v>
      </c>
      <c r="F435" s="22"/>
    </row>
    <row r="436" spans="1:6" ht="14" customHeight="1">
      <c r="A436" s="19" t="s">
        <v>293</v>
      </c>
      <c r="B436" s="25" t="s">
        <v>2652</v>
      </c>
      <c r="C436" s="24" t="s">
        <v>2651</v>
      </c>
      <c r="D436" s="23" t="s">
        <v>2650</v>
      </c>
      <c r="E436" s="20" t="s">
        <v>295</v>
      </c>
      <c r="F436" s="22"/>
    </row>
    <row r="437" spans="1:6" ht="14" customHeight="1">
      <c r="A437" s="19" t="s">
        <v>293</v>
      </c>
      <c r="B437" s="25" t="s">
        <v>2649</v>
      </c>
      <c r="C437" s="24" t="s">
        <v>2648</v>
      </c>
      <c r="D437" s="23" t="s">
        <v>2647</v>
      </c>
      <c r="E437" s="20" t="s">
        <v>295</v>
      </c>
      <c r="F437" s="22"/>
    </row>
    <row r="438" spans="1:6" ht="28" customHeight="1">
      <c r="A438" s="19" t="s">
        <v>293</v>
      </c>
      <c r="B438" s="25" t="s">
        <v>2646</v>
      </c>
      <c r="C438" s="24" t="s">
        <v>2645</v>
      </c>
      <c r="D438" s="23" t="s">
        <v>2633</v>
      </c>
      <c r="E438" s="20" t="s">
        <v>295</v>
      </c>
      <c r="F438" s="22"/>
    </row>
    <row r="439" spans="1:6" ht="28" customHeight="1">
      <c r="A439" s="19" t="s">
        <v>293</v>
      </c>
      <c r="B439" s="25" t="s">
        <v>2644</v>
      </c>
      <c r="C439" s="24" t="s">
        <v>2643</v>
      </c>
      <c r="D439" s="23" t="s">
        <v>2636</v>
      </c>
      <c r="E439" s="20" t="s">
        <v>295</v>
      </c>
      <c r="F439" s="22"/>
    </row>
    <row r="440" spans="1:6" ht="28" customHeight="1">
      <c r="A440" s="19" t="s">
        <v>293</v>
      </c>
      <c r="B440" s="25" t="s">
        <v>2642</v>
      </c>
      <c r="C440" s="24" t="s">
        <v>2641</v>
      </c>
      <c r="D440" s="23" t="s">
        <v>2636</v>
      </c>
      <c r="E440" s="20" t="s">
        <v>295</v>
      </c>
      <c r="F440" s="22"/>
    </row>
    <row r="441" spans="1:6" ht="28" customHeight="1">
      <c r="A441" s="19" t="s">
        <v>293</v>
      </c>
      <c r="B441" s="25" t="s">
        <v>2640</v>
      </c>
      <c r="C441" s="24" t="s">
        <v>2639</v>
      </c>
      <c r="D441" s="23" t="s">
        <v>2636</v>
      </c>
      <c r="E441" s="20" t="s">
        <v>295</v>
      </c>
      <c r="F441" s="22"/>
    </row>
    <row r="442" spans="1:6" ht="28" customHeight="1">
      <c r="A442" s="19" t="s">
        <v>293</v>
      </c>
      <c r="B442" s="25" t="s">
        <v>2638</v>
      </c>
      <c r="C442" s="24" t="s">
        <v>2637</v>
      </c>
      <c r="D442" s="23" t="s">
        <v>2636</v>
      </c>
      <c r="E442" s="20" t="s">
        <v>295</v>
      </c>
      <c r="F442" s="22"/>
    </row>
    <row r="443" spans="1:6" ht="28" customHeight="1">
      <c r="A443" s="19" t="s">
        <v>293</v>
      </c>
      <c r="B443" s="25" t="s">
        <v>2635</v>
      </c>
      <c r="C443" s="24" t="s">
        <v>2634</v>
      </c>
      <c r="D443" s="23" t="s">
        <v>2633</v>
      </c>
      <c r="E443" s="20" t="s">
        <v>295</v>
      </c>
      <c r="F443" s="22"/>
    </row>
    <row r="444" spans="1:6">
      <c r="A444" s="27"/>
      <c r="B444" s="27"/>
      <c r="C444" s="27" t="s">
        <v>2632</v>
      </c>
      <c r="D444" s="27"/>
      <c r="E444" s="27"/>
    </row>
    <row r="445" spans="1:6">
      <c r="A445" s="26"/>
      <c r="B445" s="26"/>
      <c r="C445" s="26" t="s">
        <v>2631</v>
      </c>
      <c r="D445" s="26"/>
      <c r="E445" s="26"/>
    </row>
    <row r="446" spans="1:6" ht="14" customHeight="1">
      <c r="A446" s="19" t="s">
        <v>293</v>
      </c>
      <c r="B446" s="25" t="s">
        <v>2630</v>
      </c>
      <c r="C446" s="24" t="s">
        <v>2629</v>
      </c>
      <c r="D446" s="23" t="s">
        <v>2595</v>
      </c>
      <c r="E446" s="20" t="s">
        <v>295</v>
      </c>
      <c r="F446" s="22"/>
    </row>
    <row r="447" spans="1:6">
      <c r="A447" s="26"/>
      <c r="B447" s="26"/>
      <c r="C447" s="26" t="s">
        <v>2628</v>
      </c>
      <c r="D447" s="26"/>
      <c r="E447" s="26"/>
    </row>
    <row r="448" spans="1:6" ht="14" customHeight="1">
      <c r="A448" s="19" t="s">
        <v>293</v>
      </c>
      <c r="B448" s="25" t="s">
        <v>2627</v>
      </c>
      <c r="C448" s="24" t="s">
        <v>2626</v>
      </c>
      <c r="D448" s="23" t="s">
        <v>439</v>
      </c>
      <c r="E448" s="20" t="s">
        <v>295</v>
      </c>
      <c r="F448" s="22"/>
    </row>
    <row r="449" spans="1:6">
      <c r="A449" s="26"/>
      <c r="B449" s="26"/>
      <c r="C449" s="26" t="s">
        <v>2625</v>
      </c>
      <c r="D449" s="26"/>
      <c r="E449" s="26"/>
    </row>
    <row r="450" spans="1:6" ht="14" customHeight="1">
      <c r="A450" s="19" t="s">
        <v>293</v>
      </c>
      <c r="B450" s="25" t="s">
        <v>2624</v>
      </c>
      <c r="C450" s="24" t="s">
        <v>2623</v>
      </c>
      <c r="D450" s="23" t="s">
        <v>439</v>
      </c>
      <c r="E450" s="20" t="s">
        <v>295</v>
      </c>
      <c r="F450" s="22"/>
    </row>
    <row r="451" spans="1:6">
      <c r="A451" s="27"/>
      <c r="B451" s="27"/>
      <c r="C451" s="27" t="s">
        <v>2622</v>
      </c>
      <c r="D451" s="27"/>
      <c r="E451" s="27"/>
    </row>
    <row r="452" spans="1:6">
      <c r="A452" s="26"/>
      <c r="B452" s="26"/>
      <c r="C452" s="26" t="s">
        <v>2621</v>
      </c>
      <c r="D452" s="26"/>
      <c r="E452" s="26"/>
    </row>
    <row r="453" spans="1:6" ht="28" customHeight="1">
      <c r="A453" s="19" t="s">
        <v>293</v>
      </c>
      <c r="B453" s="25" t="s">
        <v>2620</v>
      </c>
      <c r="C453" s="24" t="s">
        <v>2619</v>
      </c>
      <c r="D453" s="23" t="s">
        <v>2600</v>
      </c>
      <c r="E453" s="20" t="s">
        <v>300</v>
      </c>
      <c r="F453" s="22"/>
    </row>
    <row r="454" spans="1:6" ht="28" customHeight="1">
      <c r="A454" s="19" t="s">
        <v>293</v>
      </c>
      <c r="B454" s="25" t="s">
        <v>2618</v>
      </c>
      <c r="C454" s="24" t="s">
        <v>2617</v>
      </c>
      <c r="D454" s="23" t="s">
        <v>2595</v>
      </c>
      <c r="E454" s="20" t="s">
        <v>300</v>
      </c>
      <c r="F454" s="22"/>
    </row>
    <row r="455" spans="1:6" ht="28" customHeight="1">
      <c r="A455" s="19" t="s">
        <v>293</v>
      </c>
      <c r="B455" s="25" t="s">
        <v>2616</v>
      </c>
      <c r="C455" s="24" t="s">
        <v>2615</v>
      </c>
      <c r="D455" s="23" t="s">
        <v>2600</v>
      </c>
      <c r="E455" s="20" t="s">
        <v>300</v>
      </c>
      <c r="F455" s="22"/>
    </row>
    <row r="456" spans="1:6" ht="28" customHeight="1">
      <c r="A456" s="19" t="s">
        <v>293</v>
      </c>
      <c r="B456" s="25" t="s">
        <v>2614</v>
      </c>
      <c r="C456" s="24" t="s">
        <v>2613</v>
      </c>
      <c r="D456" s="23" t="s">
        <v>2600</v>
      </c>
      <c r="E456" s="20" t="s">
        <v>300</v>
      </c>
      <c r="F456" s="22"/>
    </row>
    <row r="457" spans="1:6" ht="28" customHeight="1">
      <c r="A457" s="19" t="s">
        <v>293</v>
      </c>
      <c r="B457" s="25" t="s">
        <v>2612</v>
      </c>
      <c r="C457" s="24" t="s">
        <v>2611</v>
      </c>
      <c r="D457" s="23" t="s">
        <v>2595</v>
      </c>
      <c r="E457" s="20" t="s">
        <v>300</v>
      </c>
      <c r="F457" s="22"/>
    </row>
    <row r="458" spans="1:6" ht="28" customHeight="1">
      <c r="A458" s="19" t="s">
        <v>293</v>
      </c>
      <c r="B458" s="25" t="s">
        <v>2610</v>
      </c>
      <c r="C458" s="24" t="s">
        <v>2609</v>
      </c>
      <c r="D458" s="23" t="s">
        <v>2600</v>
      </c>
      <c r="E458" s="20" t="s">
        <v>300</v>
      </c>
      <c r="F458" s="22"/>
    </row>
    <row r="459" spans="1:6" ht="14" customHeight="1">
      <c r="A459" s="19" t="s">
        <v>293</v>
      </c>
      <c r="B459" s="25" t="s">
        <v>2608</v>
      </c>
      <c r="C459" s="24" t="s">
        <v>2607</v>
      </c>
      <c r="D459" s="23" t="s">
        <v>2595</v>
      </c>
      <c r="E459" s="20" t="s">
        <v>300</v>
      </c>
      <c r="F459" s="22"/>
    </row>
    <row r="460" spans="1:6" ht="28" customHeight="1">
      <c r="A460" s="19" t="s">
        <v>293</v>
      </c>
      <c r="B460" s="25" t="s">
        <v>2606</v>
      </c>
      <c r="C460" s="24" t="s">
        <v>2605</v>
      </c>
      <c r="D460" s="23" t="s">
        <v>2600</v>
      </c>
      <c r="E460" s="20" t="s">
        <v>300</v>
      </c>
      <c r="F460" s="22"/>
    </row>
    <row r="461" spans="1:6" ht="28" customHeight="1">
      <c r="A461" s="19" t="s">
        <v>293</v>
      </c>
      <c r="B461" s="25" t="s">
        <v>2604</v>
      </c>
      <c r="C461" s="24" t="s">
        <v>2603</v>
      </c>
      <c r="D461" s="23" t="s">
        <v>2600</v>
      </c>
      <c r="E461" s="20" t="s">
        <v>300</v>
      </c>
      <c r="F461" s="22"/>
    </row>
    <row r="462" spans="1:6" ht="28" customHeight="1">
      <c r="A462" s="19" t="s">
        <v>293</v>
      </c>
      <c r="B462" s="25" t="s">
        <v>2602</v>
      </c>
      <c r="C462" s="24" t="s">
        <v>2601</v>
      </c>
      <c r="D462" s="23" t="s">
        <v>2600</v>
      </c>
      <c r="E462" s="20" t="s">
        <v>300</v>
      </c>
      <c r="F462" s="22"/>
    </row>
    <row r="463" spans="1:6" ht="28" customHeight="1">
      <c r="A463" s="19" t="s">
        <v>293</v>
      </c>
      <c r="B463" s="25" t="s">
        <v>2599</v>
      </c>
      <c r="C463" s="24" t="s">
        <v>2598</v>
      </c>
      <c r="D463" s="23" t="s">
        <v>2595</v>
      </c>
      <c r="E463" s="20" t="s">
        <v>300</v>
      </c>
      <c r="F463" s="22"/>
    </row>
    <row r="464" spans="1:6" ht="28" customHeight="1">
      <c r="A464" s="19" t="s">
        <v>293</v>
      </c>
      <c r="B464" s="25" t="s">
        <v>2597</v>
      </c>
      <c r="C464" s="24" t="s">
        <v>2596</v>
      </c>
      <c r="D464" s="23" t="s">
        <v>2595</v>
      </c>
      <c r="E464" s="20" t="s">
        <v>300</v>
      </c>
      <c r="F464" s="22"/>
    </row>
    <row r="465" spans="1:6">
      <c r="A465" s="26"/>
      <c r="B465" s="26"/>
      <c r="C465" s="26" t="s">
        <v>2594</v>
      </c>
      <c r="D465" s="26"/>
      <c r="E465" s="26"/>
    </row>
    <row r="466" spans="1:6" ht="28" customHeight="1">
      <c r="A466" s="19" t="s">
        <v>293</v>
      </c>
      <c r="B466" s="25" t="s">
        <v>2593</v>
      </c>
      <c r="C466" s="24" t="s">
        <v>2592</v>
      </c>
      <c r="D466" s="23" t="s">
        <v>2587</v>
      </c>
      <c r="E466" s="20" t="s">
        <v>295</v>
      </c>
      <c r="F466" s="22"/>
    </row>
    <row r="467" spans="1:6" ht="28" customHeight="1">
      <c r="A467" s="19" t="s">
        <v>293</v>
      </c>
      <c r="B467" s="25" t="s">
        <v>2591</v>
      </c>
      <c r="C467" s="24" t="s">
        <v>2590</v>
      </c>
      <c r="D467" s="23" t="s">
        <v>2587</v>
      </c>
      <c r="E467" s="20" t="s">
        <v>295</v>
      </c>
      <c r="F467" s="22"/>
    </row>
    <row r="468" spans="1:6" ht="28" customHeight="1">
      <c r="A468" s="19" t="s">
        <v>293</v>
      </c>
      <c r="B468" s="25" t="s">
        <v>2589</v>
      </c>
      <c r="C468" s="24" t="s">
        <v>2588</v>
      </c>
      <c r="D468" s="23" t="s">
        <v>2587</v>
      </c>
      <c r="E468" s="20" t="s">
        <v>295</v>
      </c>
      <c r="F468" s="22"/>
    </row>
    <row r="469" spans="1:6">
      <c r="A469" s="26"/>
      <c r="B469" s="26"/>
      <c r="C469" s="26" t="s">
        <v>2586</v>
      </c>
      <c r="D469" s="26"/>
      <c r="E469" s="26"/>
    </row>
    <row r="470" spans="1:6" ht="14" customHeight="1">
      <c r="A470" s="19" t="s">
        <v>344</v>
      </c>
      <c r="B470" s="25" t="s">
        <v>2585</v>
      </c>
      <c r="C470" s="24" t="s">
        <v>2584</v>
      </c>
      <c r="D470" s="23" t="s">
        <v>2572</v>
      </c>
      <c r="E470" s="20" t="s">
        <v>295</v>
      </c>
      <c r="F470" s="22"/>
    </row>
    <row r="471" spans="1:6" ht="14" customHeight="1">
      <c r="A471" s="19" t="s">
        <v>344</v>
      </c>
      <c r="B471" s="25" t="s">
        <v>2583</v>
      </c>
      <c r="C471" s="24" t="s">
        <v>2582</v>
      </c>
      <c r="D471" s="23" t="s">
        <v>2572</v>
      </c>
      <c r="E471" s="20" t="s">
        <v>295</v>
      </c>
      <c r="F471" s="22"/>
    </row>
    <row r="472" spans="1:6">
      <c r="A472" s="26"/>
      <c r="B472" s="26"/>
      <c r="C472" s="26" t="s">
        <v>2581</v>
      </c>
      <c r="D472" s="26"/>
      <c r="E472" s="26"/>
    </row>
    <row r="473" spans="1:6" ht="14" customHeight="1">
      <c r="A473" s="19" t="s">
        <v>344</v>
      </c>
      <c r="B473" s="25" t="s">
        <v>2580</v>
      </c>
      <c r="C473" s="24" t="s">
        <v>2579</v>
      </c>
      <c r="D473" s="23" t="s">
        <v>2572</v>
      </c>
      <c r="E473" s="20" t="s">
        <v>295</v>
      </c>
      <c r="F473" s="22"/>
    </row>
    <row r="474" spans="1:6" ht="14" customHeight="1">
      <c r="A474" s="19" t="s">
        <v>344</v>
      </c>
      <c r="B474" s="25" t="s">
        <v>2578</v>
      </c>
      <c r="C474" s="24" t="s">
        <v>2577</v>
      </c>
      <c r="D474" s="23" t="s">
        <v>2572</v>
      </c>
      <c r="E474" s="20" t="s">
        <v>295</v>
      </c>
      <c r="F474" s="22"/>
    </row>
    <row r="475" spans="1:6" ht="14" customHeight="1">
      <c r="A475" s="19" t="s">
        <v>293</v>
      </c>
      <c r="B475" s="25" t="s">
        <v>2576</v>
      </c>
      <c r="C475" s="24" t="s">
        <v>2575</v>
      </c>
      <c r="D475" s="23" t="s">
        <v>2572</v>
      </c>
      <c r="E475" s="20" t="s">
        <v>295</v>
      </c>
      <c r="F475" s="22"/>
    </row>
    <row r="476" spans="1:6" ht="14" customHeight="1">
      <c r="A476" s="19" t="s">
        <v>293</v>
      </c>
      <c r="B476" s="25" t="s">
        <v>2574</v>
      </c>
      <c r="C476" s="24" t="s">
        <v>2573</v>
      </c>
      <c r="D476" s="23" t="s">
        <v>2572</v>
      </c>
      <c r="E476" s="20" t="s">
        <v>295</v>
      </c>
      <c r="F476" s="22"/>
    </row>
    <row r="477" spans="1:6">
      <c r="A477" s="26"/>
      <c r="B477" s="26"/>
      <c r="C477" s="26" t="s">
        <v>2571</v>
      </c>
      <c r="D477" s="26"/>
      <c r="E477" s="26"/>
    </row>
    <row r="478" spans="1:6" ht="14" customHeight="1">
      <c r="A478" s="19" t="s">
        <v>293</v>
      </c>
      <c r="B478" s="25" t="s">
        <v>2570</v>
      </c>
      <c r="C478" s="24" t="s">
        <v>2569</v>
      </c>
      <c r="D478" s="23" t="s">
        <v>2568</v>
      </c>
      <c r="E478" s="20" t="s">
        <v>2564</v>
      </c>
      <c r="F478" s="22"/>
    </row>
    <row r="479" spans="1:6" ht="14" customHeight="1">
      <c r="A479" s="19" t="s">
        <v>293</v>
      </c>
      <c r="B479" s="25" t="s">
        <v>2567</v>
      </c>
      <c r="C479" s="24" t="s">
        <v>2566</v>
      </c>
      <c r="D479" s="23" t="s">
        <v>2565</v>
      </c>
      <c r="E479" s="20" t="s">
        <v>2564</v>
      </c>
      <c r="F479" s="22"/>
    </row>
    <row r="480" spans="1:6">
      <c r="A480" s="26"/>
      <c r="B480" s="26"/>
      <c r="C480" s="26" t="s">
        <v>2563</v>
      </c>
      <c r="D480" s="26"/>
      <c r="E480" s="26"/>
    </row>
    <row r="481" spans="1:6" ht="14" customHeight="1">
      <c r="A481" s="19" t="s">
        <v>293</v>
      </c>
      <c r="B481" s="25" t="s">
        <v>2562</v>
      </c>
      <c r="C481" s="24" t="s">
        <v>2561</v>
      </c>
      <c r="D481" s="23" t="s">
        <v>2560</v>
      </c>
      <c r="E481" s="20" t="s">
        <v>300</v>
      </c>
      <c r="F481" s="22"/>
    </row>
    <row r="482" spans="1:6">
      <c r="A482" s="26"/>
      <c r="B482" s="26"/>
      <c r="C482" s="26" t="s">
        <v>2559</v>
      </c>
      <c r="D482" s="26"/>
      <c r="E482" s="26"/>
    </row>
    <row r="483" spans="1:6" ht="14" customHeight="1">
      <c r="A483" s="19" t="s">
        <v>293</v>
      </c>
      <c r="B483" s="25" t="s">
        <v>2558</v>
      </c>
      <c r="C483" s="24" t="s">
        <v>2557</v>
      </c>
      <c r="D483" s="23" t="s">
        <v>870</v>
      </c>
      <c r="E483" s="20" t="s">
        <v>295</v>
      </c>
      <c r="F483" s="22"/>
    </row>
    <row r="484" spans="1:6" ht="14" customHeight="1">
      <c r="A484" s="19" t="s">
        <v>293</v>
      </c>
      <c r="B484" s="25" t="s">
        <v>2556</v>
      </c>
      <c r="C484" s="24" t="s">
        <v>2555</v>
      </c>
      <c r="D484" s="23" t="s">
        <v>870</v>
      </c>
      <c r="E484" s="20" t="s">
        <v>295</v>
      </c>
      <c r="F484" s="22"/>
    </row>
    <row r="485" spans="1:6" ht="14" customHeight="1">
      <c r="A485" s="19" t="s">
        <v>293</v>
      </c>
      <c r="B485" s="25" t="s">
        <v>2554</v>
      </c>
      <c r="C485" s="24" t="s">
        <v>2553</v>
      </c>
      <c r="D485" s="23" t="s">
        <v>1623</v>
      </c>
      <c r="E485" s="20" t="s">
        <v>295</v>
      </c>
      <c r="F485" s="22"/>
    </row>
    <row r="486" spans="1:6" ht="14" customHeight="1">
      <c r="A486" s="19" t="s">
        <v>293</v>
      </c>
      <c r="B486" s="25" t="s">
        <v>2552</v>
      </c>
      <c r="C486" s="24" t="s">
        <v>2551</v>
      </c>
      <c r="D486" s="23" t="s">
        <v>1623</v>
      </c>
      <c r="E486" s="20" t="s">
        <v>295</v>
      </c>
      <c r="F486" s="22"/>
    </row>
    <row r="487" spans="1:6" ht="14" customHeight="1">
      <c r="A487" s="19" t="s">
        <v>293</v>
      </c>
      <c r="B487" s="25" t="s">
        <v>2550</v>
      </c>
      <c r="C487" s="24" t="s">
        <v>2549</v>
      </c>
      <c r="D487" s="23" t="s">
        <v>1623</v>
      </c>
      <c r="E487" s="20" t="s">
        <v>295</v>
      </c>
      <c r="F487" s="22"/>
    </row>
    <row r="488" spans="1:6" ht="14" customHeight="1">
      <c r="A488" s="19" t="s">
        <v>293</v>
      </c>
      <c r="B488" s="25" t="s">
        <v>2548</v>
      </c>
      <c r="C488" s="24" t="s">
        <v>2547</v>
      </c>
      <c r="D488" s="23" t="s">
        <v>1623</v>
      </c>
      <c r="E488" s="20" t="s">
        <v>295</v>
      </c>
      <c r="F488" s="22"/>
    </row>
    <row r="489" spans="1:6" ht="14" customHeight="1">
      <c r="A489" s="19" t="s">
        <v>293</v>
      </c>
      <c r="B489" s="25" t="s">
        <v>2546</v>
      </c>
      <c r="C489" s="24" t="s">
        <v>2545</v>
      </c>
      <c r="D489" s="23" t="s">
        <v>1623</v>
      </c>
      <c r="E489" s="20" t="s">
        <v>295</v>
      </c>
      <c r="F489" s="22"/>
    </row>
    <row r="490" spans="1:6" ht="14" customHeight="1">
      <c r="A490" s="19" t="s">
        <v>293</v>
      </c>
      <c r="B490" s="25" t="s">
        <v>2544</v>
      </c>
      <c r="C490" s="24" t="s">
        <v>2543</v>
      </c>
      <c r="D490" s="23" t="s">
        <v>1623</v>
      </c>
      <c r="E490" s="20" t="s">
        <v>295</v>
      </c>
      <c r="F490" s="22"/>
    </row>
    <row r="491" spans="1:6" ht="14" customHeight="1">
      <c r="A491" s="19" t="s">
        <v>293</v>
      </c>
      <c r="B491" s="25" t="s">
        <v>2542</v>
      </c>
      <c r="C491" s="24" t="s">
        <v>2541</v>
      </c>
      <c r="D491" s="23" t="s">
        <v>870</v>
      </c>
      <c r="E491" s="20" t="s">
        <v>295</v>
      </c>
      <c r="F491" s="22"/>
    </row>
    <row r="492" spans="1:6" ht="14" customHeight="1">
      <c r="A492" s="19" t="s">
        <v>293</v>
      </c>
      <c r="B492" s="25" t="s">
        <v>2540</v>
      </c>
      <c r="C492" s="24" t="s">
        <v>2539</v>
      </c>
      <c r="D492" s="23" t="s">
        <v>1623</v>
      </c>
      <c r="E492" s="20" t="s">
        <v>295</v>
      </c>
      <c r="F492" s="22"/>
    </row>
    <row r="493" spans="1:6" ht="14" customHeight="1">
      <c r="A493" s="19" t="s">
        <v>293</v>
      </c>
      <c r="B493" s="25" t="s">
        <v>2538</v>
      </c>
      <c r="C493" s="24" t="s">
        <v>2537</v>
      </c>
      <c r="D493" s="23" t="s">
        <v>1623</v>
      </c>
      <c r="E493" s="20" t="s">
        <v>295</v>
      </c>
      <c r="F493" s="22"/>
    </row>
    <row r="494" spans="1:6" ht="14" customHeight="1">
      <c r="A494" s="19" t="s">
        <v>293</v>
      </c>
      <c r="B494" s="25" t="s">
        <v>2536</v>
      </c>
      <c r="C494" s="24" t="s">
        <v>2535</v>
      </c>
      <c r="D494" s="23" t="s">
        <v>1623</v>
      </c>
      <c r="E494" s="20" t="s">
        <v>295</v>
      </c>
      <c r="F494" s="22"/>
    </row>
    <row r="495" spans="1:6" ht="14" customHeight="1">
      <c r="A495" s="19" t="s">
        <v>293</v>
      </c>
      <c r="B495" s="25" t="s">
        <v>2534</v>
      </c>
      <c r="C495" s="24" t="s">
        <v>2533</v>
      </c>
      <c r="D495" s="23" t="s">
        <v>1623</v>
      </c>
      <c r="E495" s="20" t="s">
        <v>295</v>
      </c>
      <c r="F495" s="22"/>
    </row>
    <row r="496" spans="1:6" ht="14" customHeight="1">
      <c r="A496" s="19" t="s">
        <v>293</v>
      </c>
      <c r="B496" s="25" t="s">
        <v>2532</v>
      </c>
      <c r="C496" s="24" t="s">
        <v>2531</v>
      </c>
      <c r="D496" s="23" t="s">
        <v>1623</v>
      </c>
      <c r="E496" s="20" t="s">
        <v>295</v>
      </c>
      <c r="F496" s="22"/>
    </row>
    <row r="497" spans="1:6" ht="14" customHeight="1">
      <c r="A497" s="19" t="s">
        <v>293</v>
      </c>
      <c r="B497" s="25" t="s">
        <v>2530</v>
      </c>
      <c r="C497" s="24" t="s">
        <v>2529</v>
      </c>
      <c r="D497" s="23" t="s">
        <v>1623</v>
      </c>
      <c r="E497" s="20" t="s">
        <v>295</v>
      </c>
      <c r="F497" s="22"/>
    </row>
    <row r="498" spans="1:6" ht="14" customHeight="1">
      <c r="A498" s="19" t="s">
        <v>293</v>
      </c>
      <c r="B498" s="25" t="s">
        <v>2528</v>
      </c>
      <c r="C498" s="24" t="s">
        <v>2527</v>
      </c>
      <c r="D498" s="23" t="s">
        <v>1623</v>
      </c>
      <c r="E498" s="20" t="s">
        <v>295</v>
      </c>
      <c r="F498" s="22"/>
    </row>
    <row r="499" spans="1:6" ht="14" customHeight="1">
      <c r="A499" s="19" t="s">
        <v>293</v>
      </c>
      <c r="B499" s="25" t="s">
        <v>2526</v>
      </c>
      <c r="C499" s="24" t="s">
        <v>2525</v>
      </c>
      <c r="D499" s="23" t="s">
        <v>1623</v>
      </c>
      <c r="E499" s="20" t="s">
        <v>295</v>
      </c>
      <c r="F499" s="22"/>
    </row>
    <row r="500" spans="1:6" ht="14" customHeight="1">
      <c r="A500" s="19" t="s">
        <v>293</v>
      </c>
      <c r="B500" s="25" t="s">
        <v>2524</v>
      </c>
      <c r="C500" s="24" t="s">
        <v>2523</v>
      </c>
      <c r="D500" s="23" t="s">
        <v>870</v>
      </c>
      <c r="E500" s="20" t="s">
        <v>295</v>
      </c>
      <c r="F500" s="22"/>
    </row>
    <row r="501" spans="1:6" ht="14" customHeight="1">
      <c r="A501" s="19" t="s">
        <v>293</v>
      </c>
      <c r="B501" s="25" t="s">
        <v>2522</v>
      </c>
      <c r="C501" s="24" t="s">
        <v>2521</v>
      </c>
      <c r="D501" s="23" t="s">
        <v>1623</v>
      </c>
      <c r="E501" s="20" t="s">
        <v>295</v>
      </c>
      <c r="F501" s="22"/>
    </row>
    <row r="502" spans="1:6" ht="14" customHeight="1">
      <c r="A502" s="19" t="s">
        <v>293</v>
      </c>
      <c r="B502" s="25" t="s">
        <v>2520</v>
      </c>
      <c r="C502" s="24" t="s">
        <v>2519</v>
      </c>
      <c r="D502" s="23" t="s">
        <v>1623</v>
      </c>
      <c r="E502" s="20" t="s">
        <v>295</v>
      </c>
      <c r="F502" s="22"/>
    </row>
    <row r="503" spans="1:6" ht="14" customHeight="1">
      <c r="A503" s="19" t="s">
        <v>293</v>
      </c>
      <c r="B503" s="25" t="s">
        <v>2518</v>
      </c>
      <c r="C503" s="24" t="s">
        <v>2517</v>
      </c>
      <c r="D503" s="23" t="s">
        <v>1623</v>
      </c>
      <c r="E503" s="20" t="s">
        <v>295</v>
      </c>
      <c r="F503" s="22"/>
    </row>
    <row r="504" spans="1:6" ht="14" customHeight="1">
      <c r="A504" s="19" t="s">
        <v>293</v>
      </c>
      <c r="B504" s="25" t="s">
        <v>2516</v>
      </c>
      <c r="C504" s="24" t="s">
        <v>2515</v>
      </c>
      <c r="D504" s="23" t="s">
        <v>1623</v>
      </c>
      <c r="E504" s="20" t="s">
        <v>295</v>
      </c>
      <c r="F504" s="22"/>
    </row>
    <row r="505" spans="1:6" ht="14" customHeight="1">
      <c r="A505" s="19" t="s">
        <v>293</v>
      </c>
      <c r="B505" s="25" t="s">
        <v>2514</v>
      </c>
      <c r="C505" s="24" t="s">
        <v>2513</v>
      </c>
      <c r="D505" s="23" t="s">
        <v>1623</v>
      </c>
      <c r="E505" s="20" t="s">
        <v>295</v>
      </c>
      <c r="F505" s="22"/>
    </row>
    <row r="506" spans="1:6" ht="14" customHeight="1">
      <c r="A506" s="19" t="s">
        <v>293</v>
      </c>
      <c r="B506" s="25" t="s">
        <v>2512</v>
      </c>
      <c r="C506" s="24" t="s">
        <v>2511</v>
      </c>
      <c r="D506" s="23" t="s">
        <v>1623</v>
      </c>
      <c r="E506" s="20" t="s">
        <v>295</v>
      </c>
      <c r="F506" s="22"/>
    </row>
    <row r="507" spans="1:6" ht="14" customHeight="1">
      <c r="A507" s="19" t="s">
        <v>293</v>
      </c>
      <c r="B507" s="25" t="s">
        <v>2510</v>
      </c>
      <c r="C507" s="24" t="s">
        <v>2509</v>
      </c>
      <c r="D507" s="23" t="s">
        <v>870</v>
      </c>
      <c r="E507" s="20" t="s">
        <v>295</v>
      </c>
      <c r="F507" s="22"/>
    </row>
    <row r="508" spans="1:6" ht="14" customHeight="1">
      <c r="A508" s="19" t="s">
        <v>293</v>
      </c>
      <c r="B508" s="25" t="s">
        <v>2508</v>
      </c>
      <c r="C508" s="24" t="s">
        <v>2507</v>
      </c>
      <c r="D508" s="23" t="s">
        <v>870</v>
      </c>
      <c r="E508" s="20" t="s">
        <v>295</v>
      </c>
      <c r="F508" s="22"/>
    </row>
    <row r="509" spans="1:6" ht="14" customHeight="1">
      <c r="A509" s="19" t="s">
        <v>293</v>
      </c>
      <c r="B509" s="25" t="s">
        <v>2506</v>
      </c>
      <c r="C509" s="24" t="s">
        <v>2505</v>
      </c>
      <c r="D509" s="23" t="s">
        <v>870</v>
      </c>
      <c r="E509" s="20" t="s">
        <v>295</v>
      </c>
      <c r="F509" s="22"/>
    </row>
    <row r="510" spans="1:6" ht="14" customHeight="1">
      <c r="A510" s="19" t="s">
        <v>293</v>
      </c>
      <c r="B510" s="25" t="s">
        <v>2504</v>
      </c>
      <c r="C510" s="24" t="s">
        <v>2503</v>
      </c>
      <c r="D510" s="23" t="s">
        <v>1623</v>
      </c>
      <c r="E510" s="20" t="s">
        <v>295</v>
      </c>
      <c r="F510" s="22"/>
    </row>
    <row r="511" spans="1:6" ht="14" customHeight="1">
      <c r="A511" s="19" t="s">
        <v>293</v>
      </c>
      <c r="B511" s="25" t="s">
        <v>2502</v>
      </c>
      <c r="C511" s="24" t="s">
        <v>2501</v>
      </c>
      <c r="D511" s="23" t="s">
        <v>1623</v>
      </c>
      <c r="E511" s="20" t="s">
        <v>295</v>
      </c>
      <c r="F511" s="22"/>
    </row>
    <row r="512" spans="1:6" ht="14" customHeight="1">
      <c r="A512" s="19" t="s">
        <v>293</v>
      </c>
      <c r="B512" s="25" t="s">
        <v>2500</v>
      </c>
      <c r="C512" s="24" t="s">
        <v>2499</v>
      </c>
      <c r="D512" s="23" t="s">
        <v>1623</v>
      </c>
      <c r="E512" s="20" t="s">
        <v>295</v>
      </c>
      <c r="F512" s="22"/>
    </row>
    <row r="513" spans="1:6" ht="14" customHeight="1">
      <c r="A513" s="19" t="s">
        <v>293</v>
      </c>
      <c r="B513" s="25" t="s">
        <v>2498</v>
      </c>
      <c r="C513" s="24" t="s">
        <v>2497</v>
      </c>
      <c r="D513" s="23" t="s">
        <v>1623</v>
      </c>
      <c r="E513" s="20" t="s">
        <v>295</v>
      </c>
      <c r="F513" s="22"/>
    </row>
    <row r="514" spans="1:6" ht="14" customHeight="1">
      <c r="A514" s="19" t="s">
        <v>293</v>
      </c>
      <c r="B514" s="25" t="s">
        <v>2496</v>
      </c>
      <c r="C514" s="24" t="s">
        <v>2495</v>
      </c>
      <c r="D514" s="23" t="s">
        <v>1623</v>
      </c>
      <c r="E514" s="20" t="s">
        <v>295</v>
      </c>
      <c r="F514" s="22"/>
    </row>
    <row r="515" spans="1:6" ht="14" customHeight="1">
      <c r="A515" s="19" t="s">
        <v>293</v>
      </c>
      <c r="B515" s="25" t="s">
        <v>2494</v>
      </c>
      <c r="C515" s="24" t="s">
        <v>2493</v>
      </c>
      <c r="D515" s="23" t="s">
        <v>1623</v>
      </c>
      <c r="E515" s="20" t="s">
        <v>295</v>
      </c>
      <c r="F515" s="22"/>
    </row>
    <row r="516" spans="1:6" ht="14" customHeight="1">
      <c r="A516" s="19" t="s">
        <v>293</v>
      </c>
      <c r="B516" s="25" t="s">
        <v>2492</v>
      </c>
      <c r="C516" s="24" t="s">
        <v>2491</v>
      </c>
      <c r="D516" s="23" t="s">
        <v>870</v>
      </c>
      <c r="E516" s="20" t="s">
        <v>295</v>
      </c>
      <c r="F516" s="22"/>
    </row>
    <row r="517" spans="1:6" ht="14" customHeight="1">
      <c r="A517" s="19" t="s">
        <v>293</v>
      </c>
      <c r="B517" s="25" t="s">
        <v>2490</v>
      </c>
      <c r="C517" s="24" t="s">
        <v>2489</v>
      </c>
      <c r="D517" s="23" t="s">
        <v>1623</v>
      </c>
      <c r="E517" s="20" t="s">
        <v>295</v>
      </c>
      <c r="F517" s="22"/>
    </row>
    <row r="518" spans="1:6" ht="14" customHeight="1">
      <c r="A518" s="19" t="s">
        <v>293</v>
      </c>
      <c r="B518" s="25" t="s">
        <v>2488</v>
      </c>
      <c r="C518" s="24" t="s">
        <v>2487</v>
      </c>
      <c r="D518" s="23" t="s">
        <v>1623</v>
      </c>
      <c r="E518" s="20" t="s">
        <v>295</v>
      </c>
      <c r="F518" s="22"/>
    </row>
    <row r="519" spans="1:6" ht="14" customHeight="1">
      <c r="A519" s="19" t="s">
        <v>293</v>
      </c>
      <c r="B519" s="25" t="s">
        <v>2486</v>
      </c>
      <c r="C519" s="24" t="s">
        <v>2485</v>
      </c>
      <c r="D519" s="23" t="s">
        <v>1623</v>
      </c>
      <c r="E519" s="20" t="s">
        <v>295</v>
      </c>
      <c r="F519" s="22"/>
    </row>
    <row r="520" spans="1:6" ht="14" customHeight="1">
      <c r="A520" s="19" t="s">
        <v>293</v>
      </c>
      <c r="B520" s="25" t="s">
        <v>2484</v>
      </c>
      <c r="C520" s="24" t="s">
        <v>2483</v>
      </c>
      <c r="D520" s="23" t="s">
        <v>1623</v>
      </c>
      <c r="E520" s="20" t="s">
        <v>295</v>
      </c>
      <c r="F520" s="22"/>
    </row>
    <row r="521" spans="1:6" ht="14" customHeight="1">
      <c r="A521" s="19" t="s">
        <v>293</v>
      </c>
      <c r="B521" s="25" t="s">
        <v>2482</v>
      </c>
      <c r="C521" s="24" t="s">
        <v>2481</v>
      </c>
      <c r="D521" s="23" t="s">
        <v>1623</v>
      </c>
      <c r="E521" s="20" t="s">
        <v>295</v>
      </c>
      <c r="F521" s="22"/>
    </row>
    <row r="522" spans="1:6" ht="14" customHeight="1">
      <c r="A522" s="19" t="s">
        <v>293</v>
      </c>
      <c r="B522" s="25" t="s">
        <v>2480</v>
      </c>
      <c r="C522" s="24" t="s">
        <v>2479</v>
      </c>
      <c r="D522" s="23" t="s">
        <v>1623</v>
      </c>
      <c r="E522" s="20" t="s">
        <v>295</v>
      </c>
      <c r="F522" s="22"/>
    </row>
    <row r="523" spans="1:6" ht="14" customHeight="1">
      <c r="A523" s="19" t="s">
        <v>293</v>
      </c>
      <c r="B523" s="25" t="s">
        <v>2478</v>
      </c>
      <c r="C523" s="24" t="s">
        <v>2477</v>
      </c>
      <c r="D523" s="23" t="s">
        <v>1623</v>
      </c>
      <c r="E523" s="20" t="s">
        <v>295</v>
      </c>
      <c r="F523" s="22"/>
    </row>
    <row r="524" spans="1:6" ht="14" customHeight="1">
      <c r="A524" s="19" t="s">
        <v>293</v>
      </c>
      <c r="B524" s="25" t="s">
        <v>2476</v>
      </c>
      <c r="C524" s="24" t="s">
        <v>2475</v>
      </c>
      <c r="D524" s="23" t="s">
        <v>1623</v>
      </c>
      <c r="E524" s="20" t="s">
        <v>295</v>
      </c>
      <c r="F524" s="22"/>
    </row>
    <row r="525" spans="1:6" ht="14" customHeight="1">
      <c r="A525" s="19" t="s">
        <v>293</v>
      </c>
      <c r="B525" s="25" t="s">
        <v>2474</v>
      </c>
      <c r="C525" s="24" t="s">
        <v>2473</v>
      </c>
      <c r="D525" s="23" t="s">
        <v>870</v>
      </c>
      <c r="E525" s="20" t="s">
        <v>295</v>
      </c>
      <c r="F525" s="22"/>
    </row>
    <row r="526" spans="1:6" ht="14" customHeight="1">
      <c r="A526" s="19" t="s">
        <v>293</v>
      </c>
      <c r="B526" s="25" t="s">
        <v>2472</v>
      </c>
      <c r="C526" s="24" t="s">
        <v>2471</v>
      </c>
      <c r="D526" s="23" t="s">
        <v>1623</v>
      </c>
      <c r="E526" s="20" t="s">
        <v>295</v>
      </c>
      <c r="F526" s="22"/>
    </row>
    <row r="527" spans="1:6" ht="14" customHeight="1">
      <c r="A527" s="19" t="s">
        <v>293</v>
      </c>
      <c r="B527" s="25" t="s">
        <v>2470</v>
      </c>
      <c r="C527" s="24" t="s">
        <v>2469</v>
      </c>
      <c r="D527" s="23" t="s">
        <v>1623</v>
      </c>
      <c r="E527" s="20" t="s">
        <v>295</v>
      </c>
      <c r="F527" s="22"/>
    </row>
    <row r="528" spans="1:6" ht="14" customHeight="1">
      <c r="A528" s="19" t="s">
        <v>293</v>
      </c>
      <c r="B528" s="25" t="s">
        <v>2468</v>
      </c>
      <c r="C528" s="24" t="s">
        <v>2467</v>
      </c>
      <c r="D528" s="23" t="s">
        <v>1623</v>
      </c>
      <c r="E528" s="20" t="s">
        <v>295</v>
      </c>
      <c r="F528" s="22"/>
    </row>
    <row r="529" spans="1:6" ht="14" customHeight="1">
      <c r="A529" s="19" t="s">
        <v>293</v>
      </c>
      <c r="B529" s="25" t="s">
        <v>2466</v>
      </c>
      <c r="C529" s="24" t="s">
        <v>2465</v>
      </c>
      <c r="D529" s="23" t="s">
        <v>1623</v>
      </c>
      <c r="E529" s="20" t="s">
        <v>295</v>
      </c>
      <c r="F529" s="22"/>
    </row>
    <row r="530" spans="1:6" ht="14" customHeight="1">
      <c r="A530" s="19" t="s">
        <v>293</v>
      </c>
      <c r="B530" s="25" t="s">
        <v>2464</v>
      </c>
      <c r="C530" s="24" t="s">
        <v>2463</v>
      </c>
      <c r="D530" s="23" t="s">
        <v>1623</v>
      </c>
      <c r="E530" s="20" t="s">
        <v>295</v>
      </c>
      <c r="F530" s="22"/>
    </row>
    <row r="531" spans="1:6" ht="14" customHeight="1">
      <c r="A531" s="19" t="s">
        <v>293</v>
      </c>
      <c r="B531" s="25" t="s">
        <v>2462</v>
      </c>
      <c r="C531" s="24" t="s">
        <v>2461</v>
      </c>
      <c r="D531" s="23" t="s">
        <v>1623</v>
      </c>
      <c r="E531" s="20" t="s">
        <v>295</v>
      </c>
      <c r="F531" s="22"/>
    </row>
    <row r="532" spans="1:6" ht="14" customHeight="1">
      <c r="A532" s="19" t="s">
        <v>293</v>
      </c>
      <c r="B532" s="25" t="s">
        <v>2460</v>
      </c>
      <c r="C532" s="24" t="s">
        <v>2459</v>
      </c>
      <c r="D532" s="23" t="s">
        <v>870</v>
      </c>
      <c r="E532" s="20" t="s">
        <v>295</v>
      </c>
      <c r="F532" s="22"/>
    </row>
    <row r="533" spans="1:6" ht="14" customHeight="1">
      <c r="A533" s="19" t="s">
        <v>293</v>
      </c>
      <c r="B533" s="25" t="s">
        <v>2458</v>
      </c>
      <c r="C533" s="24" t="s">
        <v>2457</v>
      </c>
      <c r="D533" s="23" t="s">
        <v>870</v>
      </c>
      <c r="E533" s="20" t="s">
        <v>295</v>
      </c>
      <c r="F533" s="22"/>
    </row>
    <row r="534" spans="1:6" ht="14" customHeight="1">
      <c r="A534" s="19" t="s">
        <v>293</v>
      </c>
      <c r="B534" s="25" t="s">
        <v>2456</v>
      </c>
      <c r="C534" s="24" t="s">
        <v>2455</v>
      </c>
      <c r="D534" s="23" t="s">
        <v>870</v>
      </c>
      <c r="E534" s="20" t="s">
        <v>295</v>
      </c>
      <c r="F534" s="22"/>
    </row>
    <row r="535" spans="1:6" ht="14" customHeight="1">
      <c r="A535" s="19" t="s">
        <v>293</v>
      </c>
      <c r="B535" s="25" t="s">
        <v>2454</v>
      </c>
      <c r="C535" s="24" t="s">
        <v>2453</v>
      </c>
      <c r="D535" s="23" t="s">
        <v>1623</v>
      </c>
      <c r="E535" s="20" t="s">
        <v>295</v>
      </c>
      <c r="F535" s="22"/>
    </row>
    <row r="536" spans="1:6" ht="14" customHeight="1">
      <c r="A536" s="19" t="s">
        <v>293</v>
      </c>
      <c r="B536" s="25" t="s">
        <v>2452</v>
      </c>
      <c r="C536" s="24" t="s">
        <v>2451</v>
      </c>
      <c r="D536" s="23" t="s">
        <v>1623</v>
      </c>
      <c r="E536" s="20" t="s">
        <v>295</v>
      </c>
      <c r="F536" s="22"/>
    </row>
    <row r="537" spans="1:6" ht="14" customHeight="1">
      <c r="A537" s="19" t="s">
        <v>293</v>
      </c>
      <c r="B537" s="25" t="s">
        <v>2450</v>
      </c>
      <c r="C537" s="24" t="s">
        <v>2449</v>
      </c>
      <c r="D537" s="23" t="s">
        <v>1623</v>
      </c>
      <c r="E537" s="20" t="s">
        <v>295</v>
      </c>
      <c r="F537" s="22"/>
    </row>
    <row r="538" spans="1:6" ht="14" customHeight="1">
      <c r="A538" s="19" t="s">
        <v>293</v>
      </c>
      <c r="B538" s="25" t="s">
        <v>2448</v>
      </c>
      <c r="C538" s="24" t="s">
        <v>2447</v>
      </c>
      <c r="D538" s="23" t="s">
        <v>1623</v>
      </c>
      <c r="E538" s="20" t="s">
        <v>295</v>
      </c>
      <c r="F538" s="22"/>
    </row>
    <row r="539" spans="1:6" ht="14" customHeight="1">
      <c r="A539" s="19" t="s">
        <v>293</v>
      </c>
      <c r="B539" s="25" t="s">
        <v>2446</v>
      </c>
      <c r="C539" s="24" t="s">
        <v>2445</v>
      </c>
      <c r="D539" s="23" t="s">
        <v>1623</v>
      </c>
      <c r="E539" s="20" t="s">
        <v>295</v>
      </c>
      <c r="F539" s="22"/>
    </row>
    <row r="540" spans="1:6" ht="14" customHeight="1">
      <c r="A540" s="19" t="s">
        <v>293</v>
      </c>
      <c r="B540" s="25" t="s">
        <v>2444</v>
      </c>
      <c r="C540" s="24" t="s">
        <v>2443</v>
      </c>
      <c r="D540" s="23" t="s">
        <v>1623</v>
      </c>
      <c r="E540" s="20" t="s">
        <v>295</v>
      </c>
      <c r="F540" s="22"/>
    </row>
    <row r="541" spans="1:6" ht="14" customHeight="1">
      <c r="A541" s="19" t="s">
        <v>293</v>
      </c>
      <c r="B541" s="25" t="s">
        <v>2442</v>
      </c>
      <c r="C541" s="24" t="s">
        <v>2441</v>
      </c>
      <c r="D541" s="23" t="s">
        <v>870</v>
      </c>
      <c r="E541" s="20" t="s">
        <v>295</v>
      </c>
      <c r="F541" s="22"/>
    </row>
    <row r="542" spans="1:6" ht="14" customHeight="1">
      <c r="A542" s="19" t="s">
        <v>293</v>
      </c>
      <c r="B542" s="25" t="s">
        <v>2440</v>
      </c>
      <c r="C542" s="24" t="s">
        <v>2439</v>
      </c>
      <c r="D542" s="23" t="s">
        <v>1623</v>
      </c>
      <c r="E542" s="20" t="s">
        <v>295</v>
      </c>
      <c r="F542" s="22"/>
    </row>
    <row r="543" spans="1:6" ht="14" customHeight="1">
      <c r="A543" s="19" t="s">
        <v>293</v>
      </c>
      <c r="B543" s="25" t="s">
        <v>2438</v>
      </c>
      <c r="C543" s="24" t="s">
        <v>2437</v>
      </c>
      <c r="D543" s="23" t="s">
        <v>1623</v>
      </c>
      <c r="E543" s="20" t="s">
        <v>295</v>
      </c>
      <c r="F543" s="22"/>
    </row>
    <row r="544" spans="1:6" ht="14" customHeight="1">
      <c r="A544" s="19" t="s">
        <v>293</v>
      </c>
      <c r="B544" s="25" t="s">
        <v>2436</v>
      </c>
      <c r="C544" s="24" t="s">
        <v>2435</v>
      </c>
      <c r="D544" s="23" t="s">
        <v>1623</v>
      </c>
      <c r="E544" s="20" t="s">
        <v>295</v>
      </c>
      <c r="F544" s="22"/>
    </row>
    <row r="545" spans="1:6" ht="14" customHeight="1">
      <c r="A545" s="19" t="s">
        <v>293</v>
      </c>
      <c r="B545" s="25" t="s">
        <v>2434</v>
      </c>
      <c r="C545" s="24" t="s">
        <v>2433</v>
      </c>
      <c r="D545" s="23" t="s">
        <v>1623</v>
      </c>
      <c r="E545" s="20" t="s">
        <v>295</v>
      </c>
      <c r="F545" s="22"/>
    </row>
    <row r="546" spans="1:6" ht="14" customHeight="1">
      <c r="A546" s="19" t="s">
        <v>293</v>
      </c>
      <c r="B546" s="25" t="s">
        <v>2432</v>
      </c>
      <c r="C546" s="24" t="s">
        <v>2431</v>
      </c>
      <c r="D546" s="23" t="s">
        <v>1623</v>
      </c>
      <c r="E546" s="20" t="s">
        <v>295</v>
      </c>
      <c r="F546" s="22"/>
    </row>
    <row r="547" spans="1:6" ht="14" customHeight="1">
      <c r="A547" s="19" t="s">
        <v>293</v>
      </c>
      <c r="B547" s="25" t="s">
        <v>2430</v>
      </c>
      <c r="C547" s="24" t="s">
        <v>2429</v>
      </c>
      <c r="D547" s="23" t="s">
        <v>1623</v>
      </c>
      <c r="E547" s="20" t="s">
        <v>295</v>
      </c>
      <c r="F547" s="22"/>
    </row>
    <row r="548" spans="1:6" ht="14" customHeight="1">
      <c r="A548" s="19" t="s">
        <v>293</v>
      </c>
      <c r="B548" s="25" t="s">
        <v>2428</v>
      </c>
      <c r="C548" s="24" t="s">
        <v>2427</v>
      </c>
      <c r="D548" s="23" t="s">
        <v>1623</v>
      </c>
      <c r="E548" s="20" t="s">
        <v>295</v>
      </c>
      <c r="F548" s="22"/>
    </row>
    <row r="549" spans="1:6" ht="14" customHeight="1">
      <c r="A549" s="19" t="s">
        <v>293</v>
      </c>
      <c r="B549" s="25" t="s">
        <v>2426</v>
      </c>
      <c r="C549" s="24" t="s">
        <v>2425</v>
      </c>
      <c r="D549" s="23" t="s">
        <v>1623</v>
      </c>
      <c r="E549" s="20" t="s">
        <v>295</v>
      </c>
      <c r="F549" s="22"/>
    </row>
    <row r="550" spans="1:6" ht="14" customHeight="1">
      <c r="A550" s="19" t="s">
        <v>293</v>
      </c>
      <c r="B550" s="25" t="s">
        <v>2424</v>
      </c>
      <c r="C550" s="24" t="s">
        <v>2423</v>
      </c>
      <c r="D550" s="23" t="s">
        <v>870</v>
      </c>
      <c r="E550" s="20" t="s">
        <v>295</v>
      </c>
      <c r="F550" s="22"/>
    </row>
    <row r="551" spans="1:6" ht="14" customHeight="1">
      <c r="A551" s="19" t="s">
        <v>293</v>
      </c>
      <c r="B551" s="25" t="s">
        <v>2422</v>
      </c>
      <c r="C551" s="24" t="s">
        <v>2421</v>
      </c>
      <c r="D551" s="23" t="s">
        <v>1623</v>
      </c>
      <c r="E551" s="20" t="s">
        <v>295</v>
      </c>
      <c r="F551" s="22"/>
    </row>
    <row r="552" spans="1:6" ht="14" customHeight="1">
      <c r="A552" s="19" t="s">
        <v>293</v>
      </c>
      <c r="B552" s="25" t="s">
        <v>2420</v>
      </c>
      <c r="C552" s="24" t="s">
        <v>2419</v>
      </c>
      <c r="D552" s="23" t="s">
        <v>1623</v>
      </c>
      <c r="E552" s="20" t="s">
        <v>295</v>
      </c>
      <c r="F552" s="22"/>
    </row>
    <row r="553" spans="1:6" ht="14" customHeight="1">
      <c r="A553" s="19" t="s">
        <v>293</v>
      </c>
      <c r="B553" s="25" t="s">
        <v>2418</v>
      </c>
      <c r="C553" s="24" t="s">
        <v>2417</v>
      </c>
      <c r="D553" s="23" t="s">
        <v>1623</v>
      </c>
      <c r="E553" s="20" t="s">
        <v>295</v>
      </c>
      <c r="F553" s="22"/>
    </row>
    <row r="554" spans="1:6" ht="14" customHeight="1">
      <c r="A554" s="19" t="s">
        <v>293</v>
      </c>
      <c r="B554" s="25" t="s">
        <v>2416</v>
      </c>
      <c r="C554" s="24" t="s">
        <v>2415</v>
      </c>
      <c r="D554" s="23" t="s">
        <v>1623</v>
      </c>
      <c r="E554" s="20" t="s">
        <v>295</v>
      </c>
      <c r="F554" s="22"/>
    </row>
    <row r="555" spans="1:6" ht="14" customHeight="1">
      <c r="A555" s="19" t="s">
        <v>293</v>
      </c>
      <c r="B555" s="25" t="s">
        <v>2414</v>
      </c>
      <c r="C555" s="24" t="s">
        <v>2413</v>
      </c>
      <c r="D555" s="23" t="s">
        <v>1623</v>
      </c>
      <c r="E555" s="20" t="s">
        <v>295</v>
      </c>
      <c r="F555" s="22"/>
    </row>
    <row r="556" spans="1:6" ht="14" customHeight="1">
      <c r="A556" s="19" t="s">
        <v>293</v>
      </c>
      <c r="B556" s="25" t="s">
        <v>2412</v>
      </c>
      <c r="C556" s="24" t="s">
        <v>2411</v>
      </c>
      <c r="D556" s="23" t="s">
        <v>1623</v>
      </c>
      <c r="E556" s="20" t="s">
        <v>295</v>
      </c>
      <c r="F556" s="22"/>
    </row>
    <row r="557" spans="1:6" ht="14" customHeight="1">
      <c r="A557" s="19" t="s">
        <v>293</v>
      </c>
      <c r="B557" s="25" t="s">
        <v>2410</v>
      </c>
      <c r="C557" s="24" t="s">
        <v>2409</v>
      </c>
      <c r="D557" s="23" t="s">
        <v>870</v>
      </c>
      <c r="E557" s="20" t="s">
        <v>295</v>
      </c>
      <c r="F557" s="22"/>
    </row>
    <row r="558" spans="1:6">
      <c r="A558" s="26"/>
      <c r="B558" s="26"/>
      <c r="C558" s="26" t="s">
        <v>2408</v>
      </c>
      <c r="D558" s="26"/>
      <c r="E558" s="26"/>
    </row>
    <row r="559" spans="1:6" ht="14" customHeight="1">
      <c r="A559" s="19" t="s">
        <v>293</v>
      </c>
      <c r="B559" s="25" t="s">
        <v>2407</v>
      </c>
      <c r="C559" s="24" t="s">
        <v>2406</v>
      </c>
      <c r="D559" s="23" t="s">
        <v>870</v>
      </c>
      <c r="E559" s="20" t="s">
        <v>295</v>
      </c>
      <c r="F559" s="22"/>
    </row>
    <row r="560" spans="1:6" ht="14" customHeight="1">
      <c r="A560" s="19" t="s">
        <v>293</v>
      </c>
      <c r="B560" s="25" t="s">
        <v>2405</v>
      </c>
      <c r="C560" s="24" t="s">
        <v>2404</v>
      </c>
      <c r="D560" s="23" t="s">
        <v>870</v>
      </c>
      <c r="E560" s="20" t="s">
        <v>295</v>
      </c>
      <c r="F560" s="22"/>
    </row>
    <row r="561" spans="1:6" ht="14" customHeight="1">
      <c r="A561" s="19" t="s">
        <v>293</v>
      </c>
      <c r="B561" s="25" t="s">
        <v>2403</v>
      </c>
      <c r="C561" s="24" t="s">
        <v>2402</v>
      </c>
      <c r="D561" s="23" t="s">
        <v>1623</v>
      </c>
      <c r="E561" s="20" t="s">
        <v>295</v>
      </c>
      <c r="F561" s="22"/>
    </row>
    <row r="562" spans="1:6" ht="14" customHeight="1">
      <c r="A562" s="19" t="s">
        <v>293</v>
      </c>
      <c r="B562" s="25" t="s">
        <v>2401</v>
      </c>
      <c r="C562" s="24" t="s">
        <v>2400</v>
      </c>
      <c r="D562" s="23" t="s">
        <v>1623</v>
      </c>
      <c r="E562" s="20" t="s">
        <v>295</v>
      </c>
      <c r="F562" s="22"/>
    </row>
    <row r="563" spans="1:6" ht="14" customHeight="1">
      <c r="A563" s="19" t="s">
        <v>293</v>
      </c>
      <c r="B563" s="25" t="s">
        <v>2399</v>
      </c>
      <c r="C563" s="24" t="s">
        <v>2398</v>
      </c>
      <c r="D563" s="23" t="s">
        <v>1623</v>
      </c>
      <c r="E563" s="20" t="s">
        <v>295</v>
      </c>
      <c r="F563" s="22"/>
    </row>
    <row r="564" spans="1:6" ht="14" customHeight="1">
      <c r="A564" s="19" t="s">
        <v>293</v>
      </c>
      <c r="B564" s="25" t="s">
        <v>2397</v>
      </c>
      <c r="C564" s="24" t="s">
        <v>2396</v>
      </c>
      <c r="D564" s="23" t="s">
        <v>1623</v>
      </c>
      <c r="E564" s="20" t="s">
        <v>295</v>
      </c>
      <c r="F564" s="22"/>
    </row>
    <row r="565" spans="1:6" ht="14" customHeight="1">
      <c r="A565" s="19" t="s">
        <v>293</v>
      </c>
      <c r="B565" s="25" t="s">
        <v>2395</v>
      </c>
      <c r="C565" s="24" t="s">
        <v>2394</v>
      </c>
      <c r="D565" s="23" t="s">
        <v>1623</v>
      </c>
      <c r="E565" s="20" t="s">
        <v>295</v>
      </c>
      <c r="F565" s="22"/>
    </row>
    <row r="566" spans="1:6" ht="14" customHeight="1">
      <c r="A566" s="19" t="s">
        <v>293</v>
      </c>
      <c r="B566" s="25" t="s">
        <v>2393</v>
      </c>
      <c r="C566" s="24" t="s">
        <v>2392</v>
      </c>
      <c r="D566" s="23" t="s">
        <v>1623</v>
      </c>
      <c r="E566" s="20" t="s">
        <v>295</v>
      </c>
      <c r="F566" s="22"/>
    </row>
    <row r="567" spans="1:6" ht="14" customHeight="1">
      <c r="A567" s="19" t="s">
        <v>293</v>
      </c>
      <c r="B567" s="25" t="s">
        <v>2391</v>
      </c>
      <c r="C567" s="24" t="s">
        <v>2390</v>
      </c>
      <c r="D567" s="23" t="s">
        <v>870</v>
      </c>
      <c r="E567" s="20" t="s">
        <v>295</v>
      </c>
      <c r="F567" s="22"/>
    </row>
    <row r="568" spans="1:6" ht="14" customHeight="1">
      <c r="A568" s="19" t="s">
        <v>293</v>
      </c>
      <c r="B568" s="25" t="s">
        <v>2389</v>
      </c>
      <c r="C568" s="24" t="s">
        <v>2388</v>
      </c>
      <c r="D568" s="23" t="s">
        <v>1623</v>
      </c>
      <c r="E568" s="20" t="s">
        <v>295</v>
      </c>
      <c r="F568" s="22"/>
    </row>
    <row r="569" spans="1:6" ht="14" customHeight="1">
      <c r="A569" s="19" t="s">
        <v>293</v>
      </c>
      <c r="B569" s="25" t="s">
        <v>2387</v>
      </c>
      <c r="C569" s="24" t="s">
        <v>2386</v>
      </c>
      <c r="D569" s="23" t="s">
        <v>1623</v>
      </c>
      <c r="E569" s="20" t="s">
        <v>295</v>
      </c>
      <c r="F569" s="22"/>
    </row>
    <row r="570" spans="1:6" ht="14" customHeight="1">
      <c r="A570" s="19" t="s">
        <v>293</v>
      </c>
      <c r="B570" s="25" t="s">
        <v>2385</v>
      </c>
      <c r="C570" s="24" t="s">
        <v>2384</v>
      </c>
      <c r="D570" s="23" t="s">
        <v>1623</v>
      </c>
      <c r="E570" s="20" t="s">
        <v>295</v>
      </c>
      <c r="F570" s="22"/>
    </row>
    <row r="571" spans="1:6" ht="14" customHeight="1">
      <c r="A571" s="19" t="s">
        <v>293</v>
      </c>
      <c r="B571" s="25" t="s">
        <v>2383</v>
      </c>
      <c r="C571" s="24" t="s">
        <v>2382</v>
      </c>
      <c r="D571" s="23" t="s">
        <v>1623</v>
      </c>
      <c r="E571" s="20" t="s">
        <v>295</v>
      </c>
      <c r="F571" s="22"/>
    </row>
    <row r="572" spans="1:6" ht="14" customHeight="1">
      <c r="A572" s="19" t="s">
        <v>293</v>
      </c>
      <c r="B572" s="25" t="s">
        <v>2381</v>
      </c>
      <c r="C572" s="24" t="s">
        <v>2380</v>
      </c>
      <c r="D572" s="23" t="s">
        <v>1623</v>
      </c>
      <c r="E572" s="20" t="s">
        <v>295</v>
      </c>
      <c r="F572" s="22"/>
    </row>
    <row r="573" spans="1:6" ht="14" customHeight="1">
      <c r="A573" s="19" t="s">
        <v>293</v>
      </c>
      <c r="B573" s="25" t="s">
        <v>2379</v>
      </c>
      <c r="C573" s="24" t="s">
        <v>2378</v>
      </c>
      <c r="D573" s="23" t="s">
        <v>1623</v>
      </c>
      <c r="E573" s="20" t="s">
        <v>295</v>
      </c>
      <c r="F573" s="22"/>
    </row>
    <row r="574" spans="1:6" ht="14" customHeight="1">
      <c r="A574" s="19" t="s">
        <v>293</v>
      </c>
      <c r="B574" s="25" t="s">
        <v>2377</v>
      </c>
      <c r="C574" s="24" t="s">
        <v>2376</v>
      </c>
      <c r="D574" s="23" t="s">
        <v>1623</v>
      </c>
      <c r="E574" s="20" t="s">
        <v>295</v>
      </c>
      <c r="F574" s="22"/>
    </row>
    <row r="575" spans="1:6" ht="14" customHeight="1">
      <c r="A575" s="19" t="s">
        <v>293</v>
      </c>
      <c r="B575" s="25" t="s">
        <v>2375</v>
      </c>
      <c r="C575" s="24" t="s">
        <v>2374</v>
      </c>
      <c r="D575" s="23" t="s">
        <v>1623</v>
      </c>
      <c r="E575" s="20" t="s">
        <v>295</v>
      </c>
      <c r="F575" s="22"/>
    </row>
    <row r="576" spans="1:6" ht="14" customHeight="1">
      <c r="A576" s="19" t="s">
        <v>293</v>
      </c>
      <c r="B576" s="25" t="s">
        <v>2373</v>
      </c>
      <c r="C576" s="24" t="s">
        <v>2372</v>
      </c>
      <c r="D576" s="23" t="s">
        <v>870</v>
      </c>
      <c r="E576" s="20" t="s">
        <v>295</v>
      </c>
      <c r="F576" s="22"/>
    </row>
    <row r="577" spans="1:6" ht="14" customHeight="1">
      <c r="A577" s="19" t="s">
        <v>293</v>
      </c>
      <c r="B577" s="25" t="s">
        <v>2371</v>
      </c>
      <c r="C577" s="24" t="s">
        <v>2370</v>
      </c>
      <c r="D577" s="23" t="s">
        <v>1623</v>
      </c>
      <c r="E577" s="20" t="s">
        <v>295</v>
      </c>
      <c r="F577" s="22"/>
    </row>
    <row r="578" spans="1:6" ht="14" customHeight="1">
      <c r="A578" s="19" t="s">
        <v>293</v>
      </c>
      <c r="B578" s="25" t="s">
        <v>2369</v>
      </c>
      <c r="C578" s="24" t="s">
        <v>2368</v>
      </c>
      <c r="D578" s="23" t="s">
        <v>1623</v>
      </c>
      <c r="E578" s="20" t="s">
        <v>295</v>
      </c>
      <c r="F578" s="22"/>
    </row>
    <row r="579" spans="1:6" ht="14" customHeight="1">
      <c r="A579" s="19" t="s">
        <v>293</v>
      </c>
      <c r="B579" s="25" t="s">
        <v>2367</v>
      </c>
      <c r="C579" s="24" t="s">
        <v>2366</v>
      </c>
      <c r="D579" s="23" t="s">
        <v>1623</v>
      </c>
      <c r="E579" s="20" t="s">
        <v>295</v>
      </c>
      <c r="F579" s="22"/>
    </row>
    <row r="580" spans="1:6" ht="14" customHeight="1">
      <c r="A580" s="19" t="s">
        <v>293</v>
      </c>
      <c r="B580" s="25" t="s">
        <v>2365</v>
      </c>
      <c r="C580" s="24" t="s">
        <v>2364</v>
      </c>
      <c r="D580" s="23" t="s">
        <v>1623</v>
      </c>
      <c r="E580" s="20" t="s">
        <v>295</v>
      </c>
      <c r="F580" s="22"/>
    </row>
    <row r="581" spans="1:6" ht="14" customHeight="1">
      <c r="A581" s="19" t="s">
        <v>293</v>
      </c>
      <c r="B581" s="25" t="s">
        <v>2363</v>
      </c>
      <c r="C581" s="24" t="s">
        <v>2362</v>
      </c>
      <c r="D581" s="23" t="s">
        <v>1623</v>
      </c>
      <c r="E581" s="20" t="s">
        <v>295</v>
      </c>
      <c r="F581" s="22"/>
    </row>
    <row r="582" spans="1:6" ht="14" customHeight="1">
      <c r="A582" s="19" t="s">
        <v>293</v>
      </c>
      <c r="B582" s="25" t="s">
        <v>2361</v>
      </c>
      <c r="C582" s="24" t="s">
        <v>2360</v>
      </c>
      <c r="D582" s="23" t="s">
        <v>1623</v>
      </c>
      <c r="E582" s="20" t="s">
        <v>295</v>
      </c>
      <c r="F582" s="22"/>
    </row>
    <row r="583" spans="1:6" ht="14" customHeight="1">
      <c r="A583" s="19" t="s">
        <v>293</v>
      </c>
      <c r="B583" s="25" t="s">
        <v>2359</v>
      </c>
      <c r="C583" s="24" t="s">
        <v>2358</v>
      </c>
      <c r="D583" s="23" t="s">
        <v>870</v>
      </c>
      <c r="E583" s="20" t="s">
        <v>295</v>
      </c>
      <c r="F583" s="22"/>
    </row>
    <row r="584" spans="1:6">
      <c r="A584" s="26"/>
      <c r="B584" s="26"/>
      <c r="C584" s="26" t="s">
        <v>2357</v>
      </c>
      <c r="D584" s="26"/>
      <c r="E584" s="26"/>
    </row>
    <row r="585" spans="1:6" ht="14" customHeight="1">
      <c r="A585" s="19" t="s">
        <v>293</v>
      </c>
      <c r="B585" s="25" t="s">
        <v>2356</v>
      </c>
      <c r="C585" s="24" t="s">
        <v>2355</v>
      </c>
      <c r="D585" s="23" t="s">
        <v>2346</v>
      </c>
      <c r="E585" s="20" t="s">
        <v>295</v>
      </c>
      <c r="F585" s="22"/>
    </row>
    <row r="586" spans="1:6" ht="14" customHeight="1">
      <c r="A586" s="19" t="s">
        <v>293</v>
      </c>
      <c r="B586" s="25" t="s">
        <v>2354</v>
      </c>
      <c r="C586" s="24" t="s">
        <v>2353</v>
      </c>
      <c r="D586" s="23" t="s">
        <v>2346</v>
      </c>
      <c r="E586" s="20" t="s">
        <v>295</v>
      </c>
      <c r="F586" s="22"/>
    </row>
    <row r="587" spans="1:6" ht="14" customHeight="1">
      <c r="A587" s="19" t="s">
        <v>293</v>
      </c>
      <c r="B587" s="25" t="s">
        <v>2352</v>
      </c>
      <c r="C587" s="24" t="s">
        <v>2351</v>
      </c>
      <c r="D587" s="23" t="s">
        <v>2346</v>
      </c>
      <c r="E587" s="20" t="s">
        <v>295</v>
      </c>
      <c r="F587" s="22"/>
    </row>
    <row r="588" spans="1:6" ht="14" customHeight="1">
      <c r="A588" s="19" t="s">
        <v>293</v>
      </c>
      <c r="B588" s="25" t="s">
        <v>2350</v>
      </c>
      <c r="C588" s="24" t="s">
        <v>2349</v>
      </c>
      <c r="D588" s="23" t="s">
        <v>2346</v>
      </c>
      <c r="E588" s="20" t="s">
        <v>295</v>
      </c>
      <c r="F588" s="22"/>
    </row>
    <row r="589" spans="1:6" ht="14" customHeight="1">
      <c r="A589" s="19" t="s">
        <v>293</v>
      </c>
      <c r="B589" s="25" t="s">
        <v>2348</v>
      </c>
      <c r="C589" s="24" t="s">
        <v>2347</v>
      </c>
      <c r="D589" s="23" t="s">
        <v>2346</v>
      </c>
      <c r="E589" s="20" t="s">
        <v>295</v>
      </c>
      <c r="F589" s="22"/>
    </row>
    <row r="590" spans="1:6">
      <c r="A590" s="26"/>
      <c r="B590" s="26"/>
      <c r="C590" s="26" t="s">
        <v>2345</v>
      </c>
      <c r="D590" s="26"/>
      <c r="E590" s="26"/>
    </row>
    <row r="591" spans="1:6" ht="28" customHeight="1">
      <c r="A591" s="19" t="s">
        <v>293</v>
      </c>
      <c r="B591" s="25" t="s">
        <v>2344</v>
      </c>
      <c r="C591" s="24" t="s">
        <v>2343</v>
      </c>
      <c r="D591" s="23" t="s">
        <v>2104</v>
      </c>
      <c r="E591" s="20" t="s">
        <v>295</v>
      </c>
      <c r="F591" s="22"/>
    </row>
    <row r="592" spans="1:6" ht="28" customHeight="1">
      <c r="A592" s="19" t="s">
        <v>293</v>
      </c>
      <c r="B592" s="25" t="s">
        <v>2342</v>
      </c>
      <c r="C592" s="24" t="s">
        <v>2341</v>
      </c>
      <c r="D592" s="23" t="s">
        <v>2104</v>
      </c>
      <c r="E592" s="20" t="s">
        <v>295</v>
      </c>
      <c r="F592" s="22"/>
    </row>
    <row r="593" spans="1:6" ht="28" customHeight="1">
      <c r="A593" s="19" t="s">
        <v>293</v>
      </c>
      <c r="B593" s="25" t="s">
        <v>2340</v>
      </c>
      <c r="C593" s="24" t="s">
        <v>2339</v>
      </c>
      <c r="D593" s="23" t="s">
        <v>2104</v>
      </c>
      <c r="E593" s="20" t="s">
        <v>295</v>
      </c>
      <c r="F593" s="22"/>
    </row>
    <row r="594" spans="1:6" ht="28" customHeight="1">
      <c r="A594" s="19" t="s">
        <v>293</v>
      </c>
      <c r="B594" s="25" t="s">
        <v>2338</v>
      </c>
      <c r="C594" s="24" t="s">
        <v>2337</v>
      </c>
      <c r="D594" s="23" t="s">
        <v>2104</v>
      </c>
      <c r="E594" s="20" t="s">
        <v>295</v>
      </c>
      <c r="F594" s="22"/>
    </row>
    <row r="595" spans="1:6" ht="28" customHeight="1">
      <c r="A595" s="19" t="s">
        <v>293</v>
      </c>
      <c r="B595" s="25" t="s">
        <v>2336</v>
      </c>
      <c r="C595" s="24" t="s">
        <v>2335</v>
      </c>
      <c r="D595" s="23" t="s">
        <v>2091</v>
      </c>
      <c r="E595" s="20" t="s">
        <v>295</v>
      </c>
      <c r="F595" s="22"/>
    </row>
    <row r="596" spans="1:6" ht="28" customHeight="1">
      <c r="A596" s="19" t="s">
        <v>293</v>
      </c>
      <c r="B596" s="25" t="s">
        <v>2334</v>
      </c>
      <c r="C596" s="24" t="s">
        <v>2333</v>
      </c>
      <c r="D596" s="23" t="s">
        <v>2091</v>
      </c>
      <c r="E596" s="20" t="s">
        <v>295</v>
      </c>
      <c r="F596" s="22"/>
    </row>
    <row r="597" spans="1:6" ht="28" customHeight="1">
      <c r="A597" s="19" t="s">
        <v>293</v>
      </c>
      <c r="B597" s="25" t="s">
        <v>2332</v>
      </c>
      <c r="C597" s="24" t="s">
        <v>2331</v>
      </c>
      <c r="D597" s="23" t="s">
        <v>2091</v>
      </c>
      <c r="E597" s="20" t="s">
        <v>295</v>
      </c>
      <c r="F597" s="22"/>
    </row>
    <row r="598" spans="1:6" ht="28" customHeight="1">
      <c r="A598" s="19" t="s">
        <v>293</v>
      </c>
      <c r="B598" s="25" t="s">
        <v>2330</v>
      </c>
      <c r="C598" s="24" t="s">
        <v>2329</v>
      </c>
      <c r="D598" s="23" t="s">
        <v>2091</v>
      </c>
      <c r="E598" s="20" t="s">
        <v>295</v>
      </c>
      <c r="F598" s="22"/>
    </row>
    <row r="599" spans="1:6" ht="28" customHeight="1">
      <c r="A599" s="19" t="s">
        <v>293</v>
      </c>
      <c r="B599" s="25" t="s">
        <v>2328</v>
      </c>
      <c r="C599" s="24" t="s">
        <v>2327</v>
      </c>
      <c r="D599" s="23" t="s">
        <v>2091</v>
      </c>
      <c r="E599" s="20" t="s">
        <v>295</v>
      </c>
      <c r="F599" s="22"/>
    </row>
    <row r="600" spans="1:6" ht="28" customHeight="1">
      <c r="A600" s="19" t="s">
        <v>293</v>
      </c>
      <c r="B600" s="25" t="s">
        <v>2326</v>
      </c>
      <c r="C600" s="24" t="s">
        <v>2325</v>
      </c>
      <c r="D600" s="23" t="s">
        <v>2091</v>
      </c>
      <c r="E600" s="20" t="s">
        <v>295</v>
      </c>
      <c r="F600" s="22"/>
    </row>
    <row r="601" spans="1:6" ht="28" customHeight="1">
      <c r="A601" s="19" t="s">
        <v>293</v>
      </c>
      <c r="B601" s="25" t="s">
        <v>2324</v>
      </c>
      <c r="C601" s="24" t="s">
        <v>2323</v>
      </c>
      <c r="D601" s="23" t="s">
        <v>2222</v>
      </c>
      <c r="E601" s="20" t="s">
        <v>295</v>
      </c>
      <c r="F601" s="22"/>
    </row>
    <row r="602" spans="1:6" ht="28" customHeight="1">
      <c r="A602" s="19" t="s">
        <v>293</v>
      </c>
      <c r="B602" s="25" t="s">
        <v>2322</v>
      </c>
      <c r="C602" s="24" t="s">
        <v>2321</v>
      </c>
      <c r="D602" s="23" t="s">
        <v>2222</v>
      </c>
      <c r="E602" s="20" t="s">
        <v>295</v>
      </c>
      <c r="F602" s="22"/>
    </row>
    <row r="603" spans="1:6" ht="28" customHeight="1">
      <c r="A603" s="19" t="s">
        <v>293</v>
      </c>
      <c r="B603" s="25" t="s">
        <v>2320</v>
      </c>
      <c r="C603" s="24" t="s">
        <v>2319</v>
      </c>
      <c r="D603" s="23" t="s">
        <v>2077</v>
      </c>
      <c r="E603" s="20" t="s">
        <v>295</v>
      </c>
      <c r="F603" s="22"/>
    </row>
    <row r="604" spans="1:6" ht="28" customHeight="1">
      <c r="A604" s="19" t="s">
        <v>293</v>
      </c>
      <c r="B604" s="25" t="s">
        <v>2318</v>
      </c>
      <c r="C604" s="24" t="s">
        <v>2317</v>
      </c>
      <c r="D604" s="23" t="s">
        <v>2077</v>
      </c>
      <c r="E604" s="20" t="s">
        <v>295</v>
      </c>
      <c r="F604" s="22"/>
    </row>
    <row r="605" spans="1:6" ht="28" customHeight="1">
      <c r="A605" s="19" t="s">
        <v>293</v>
      </c>
      <c r="B605" s="25" t="s">
        <v>2316</v>
      </c>
      <c r="C605" s="24" t="s">
        <v>2315</v>
      </c>
      <c r="D605" s="23" t="s">
        <v>2077</v>
      </c>
      <c r="E605" s="20" t="s">
        <v>295</v>
      </c>
      <c r="F605" s="22"/>
    </row>
    <row r="606" spans="1:6" ht="28" customHeight="1">
      <c r="A606" s="19" t="s">
        <v>293</v>
      </c>
      <c r="B606" s="25" t="s">
        <v>2314</v>
      </c>
      <c r="C606" s="24" t="s">
        <v>2313</v>
      </c>
      <c r="D606" s="23" t="s">
        <v>2077</v>
      </c>
      <c r="E606" s="20" t="s">
        <v>295</v>
      </c>
      <c r="F606" s="22"/>
    </row>
    <row r="607" spans="1:6" ht="28" customHeight="1">
      <c r="A607" s="19" t="s">
        <v>293</v>
      </c>
      <c r="B607" s="25" t="s">
        <v>2312</v>
      </c>
      <c r="C607" s="24" t="s">
        <v>2311</v>
      </c>
      <c r="D607" s="23" t="s">
        <v>2084</v>
      </c>
      <c r="E607" s="20" t="s">
        <v>295</v>
      </c>
      <c r="F607" s="22"/>
    </row>
    <row r="608" spans="1:6" ht="28" customHeight="1">
      <c r="A608" s="19" t="s">
        <v>293</v>
      </c>
      <c r="B608" s="25" t="s">
        <v>2310</v>
      </c>
      <c r="C608" s="24" t="s">
        <v>2309</v>
      </c>
      <c r="D608" s="23" t="s">
        <v>2077</v>
      </c>
      <c r="E608" s="20" t="s">
        <v>295</v>
      </c>
      <c r="F608" s="22"/>
    </row>
    <row r="609" spans="1:6" ht="28" customHeight="1">
      <c r="A609" s="19" t="s">
        <v>293</v>
      </c>
      <c r="B609" s="25" t="s">
        <v>2308</v>
      </c>
      <c r="C609" s="24" t="s">
        <v>2307</v>
      </c>
      <c r="D609" s="23" t="s">
        <v>2077</v>
      </c>
      <c r="E609" s="20" t="s">
        <v>295</v>
      </c>
      <c r="F609" s="22"/>
    </row>
    <row r="610" spans="1:6" ht="28" customHeight="1">
      <c r="A610" s="19" t="s">
        <v>293</v>
      </c>
      <c r="B610" s="25" t="s">
        <v>2306</v>
      </c>
      <c r="C610" s="24" t="s">
        <v>2305</v>
      </c>
      <c r="D610" s="23" t="s">
        <v>2077</v>
      </c>
      <c r="E610" s="20" t="s">
        <v>295</v>
      </c>
      <c r="F610" s="22"/>
    </row>
    <row r="611" spans="1:6" ht="28" customHeight="1">
      <c r="A611" s="19" t="s">
        <v>293</v>
      </c>
      <c r="B611" s="25" t="s">
        <v>2304</v>
      </c>
      <c r="C611" s="24" t="s">
        <v>2303</v>
      </c>
      <c r="D611" s="23" t="s">
        <v>2072</v>
      </c>
      <c r="E611" s="20" t="s">
        <v>295</v>
      </c>
      <c r="F611" s="22"/>
    </row>
    <row r="612" spans="1:6" ht="28" customHeight="1">
      <c r="A612" s="19" t="s">
        <v>293</v>
      </c>
      <c r="B612" s="25" t="s">
        <v>2302</v>
      </c>
      <c r="C612" s="24" t="s">
        <v>2301</v>
      </c>
      <c r="D612" s="23" t="s">
        <v>2072</v>
      </c>
      <c r="E612" s="20" t="s">
        <v>295</v>
      </c>
      <c r="F612" s="22"/>
    </row>
    <row r="613" spans="1:6">
      <c r="A613" s="26"/>
      <c r="B613" s="26"/>
      <c r="C613" s="26" t="s">
        <v>2300</v>
      </c>
      <c r="D613" s="26"/>
      <c r="E613" s="26"/>
    </row>
    <row r="614" spans="1:6" ht="28" customHeight="1">
      <c r="A614" s="19" t="s">
        <v>293</v>
      </c>
      <c r="B614" s="25" t="s">
        <v>2299</v>
      </c>
      <c r="C614" s="24" t="s">
        <v>2298</v>
      </c>
      <c r="D614" s="23" t="s">
        <v>2077</v>
      </c>
      <c r="E614" s="20" t="s">
        <v>295</v>
      </c>
      <c r="F614" s="22"/>
    </row>
    <row r="615" spans="1:6" ht="28" customHeight="1">
      <c r="A615" s="19" t="s">
        <v>293</v>
      </c>
      <c r="B615" s="25" t="s">
        <v>2297</v>
      </c>
      <c r="C615" s="24" t="s">
        <v>2296</v>
      </c>
      <c r="D615" s="23" t="s">
        <v>2077</v>
      </c>
      <c r="E615" s="20" t="s">
        <v>295</v>
      </c>
      <c r="F615" s="22"/>
    </row>
    <row r="616" spans="1:6" ht="28" customHeight="1">
      <c r="A616" s="19" t="s">
        <v>293</v>
      </c>
      <c r="B616" s="25" t="s">
        <v>2295</v>
      </c>
      <c r="C616" s="24" t="s">
        <v>2294</v>
      </c>
      <c r="D616" s="23" t="s">
        <v>2077</v>
      </c>
      <c r="E616" s="20" t="s">
        <v>295</v>
      </c>
      <c r="F616" s="22"/>
    </row>
    <row r="617" spans="1:6" ht="28" customHeight="1">
      <c r="A617" s="19" t="s">
        <v>293</v>
      </c>
      <c r="B617" s="25" t="s">
        <v>2293</v>
      </c>
      <c r="C617" s="24" t="s">
        <v>2292</v>
      </c>
      <c r="D617" s="23" t="s">
        <v>2077</v>
      </c>
      <c r="E617" s="20" t="s">
        <v>295</v>
      </c>
      <c r="F617" s="22"/>
    </row>
    <row r="618" spans="1:6" ht="28" customHeight="1">
      <c r="A618" s="19" t="s">
        <v>293</v>
      </c>
      <c r="B618" s="25" t="s">
        <v>2291</v>
      </c>
      <c r="C618" s="24" t="s">
        <v>2290</v>
      </c>
      <c r="D618" s="23" t="s">
        <v>2077</v>
      </c>
      <c r="E618" s="20" t="s">
        <v>295</v>
      </c>
      <c r="F618" s="22"/>
    </row>
    <row r="619" spans="1:6" ht="28" customHeight="1">
      <c r="A619" s="19" t="s">
        <v>293</v>
      </c>
      <c r="B619" s="25" t="s">
        <v>2289</v>
      </c>
      <c r="C619" s="24" t="s">
        <v>2288</v>
      </c>
      <c r="D619" s="23" t="s">
        <v>2077</v>
      </c>
      <c r="E619" s="20" t="s">
        <v>295</v>
      </c>
      <c r="F619" s="22"/>
    </row>
    <row r="620" spans="1:6" ht="28" customHeight="1">
      <c r="A620" s="19" t="s">
        <v>293</v>
      </c>
      <c r="B620" s="25" t="s">
        <v>2287</v>
      </c>
      <c r="C620" s="24" t="s">
        <v>2286</v>
      </c>
      <c r="D620" s="23" t="s">
        <v>2077</v>
      </c>
      <c r="E620" s="20" t="s">
        <v>295</v>
      </c>
      <c r="F620" s="22"/>
    </row>
    <row r="621" spans="1:6" ht="28" customHeight="1">
      <c r="A621" s="19" t="s">
        <v>293</v>
      </c>
      <c r="B621" s="25" t="s">
        <v>2285</v>
      </c>
      <c r="C621" s="24" t="s">
        <v>2284</v>
      </c>
      <c r="D621" s="23" t="s">
        <v>2104</v>
      </c>
      <c r="E621" s="20" t="s">
        <v>295</v>
      </c>
      <c r="F621" s="22"/>
    </row>
    <row r="622" spans="1:6" ht="28" customHeight="1">
      <c r="A622" s="19" t="s">
        <v>293</v>
      </c>
      <c r="B622" s="25" t="s">
        <v>2283</v>
      </c>
      <c r="C622" s="24" t="s">
        <v>2282</v>
      </c>
      <c r="D622" s="23" t="s">
        <v>2104</v>
      </c>
      <c r="E622" s="20" t="s">
        <v>295</v>
      </c>
      <c r="F622" s="22"/>
    </row>
    <row r="623" spans="1:6" ht="28" customHeight="1">
      <c r="A623" s="19" t="s">
        <v>293</v>
      </c>
      <c r="B623" s="25" t="s">
        <v>2281</v>
      </c>
      <c r="C623" s="24" t="s">
        <v>2280</v>
      </c>
      <c r="D623" s="23" t="s">
        <v>2104</v>
      </c>
      <c r="E623" s="20" t="s">
        <v>295</v>
      </c>
      <c r="F623" s="22"/>
    </row>
    <row r="624" spans="1:6" ht="28" customHeight="1">
      <c r="A624" s="19" t="s">
        <v>293</v>
      </c>
      <c r="B624" s="25" t="s">
        <v>2279</v>
      </c>
      <c r="C624" s="24" t="s">
        <v>2278</v>
      </c>
      <c r="D624" s="23" t="s">
        <v>2104</v>
      </c>
      <c r="E624" s="20" t="s">
        <v>295</v>
      </c>
      <c r="F624" s="22"/>
    </row>
    <row r="625" spans="1:6" ht="28" customHeight="1">
      <c r="A625" s="19" t="s">
        <v>293</v>
      </c>
      <c r="B625" s="25" t="s">
        <v>2277</v>
      </c>
      <c r="C625" s="24" t="s">
        <v>2276</v>
      </c>
      <c r="D625" s="23" t="s">
        <v>2091</v>
      </c>
      <c r="E625" s="20" t="s">
        <v>295</v>
      </c>
      <c r="F625" s="22"/>
    </row>
    <row r="626" spans="1:6" ht="28" customHeight="1">
      <c r="A626" s="19" t="s">
        <v>293</v>
      </c>
      <c r="B626" s="25" t="s">
        <v>2275</v>
      </c>
      <c r="C626" s="24" t="s">
        <v>2274</v>
      </c>
      <c r="D626" s="23" t="s">
        <v>2091</v>
      </c>
      <c r="E626" s="20" t="s">
        <v>295</v>
      </c>
      <c r="F626" s="22"/>
    </row>
    <row r="627" spans="1:6" ht="28" customHeight="1">
      <c r="A627" s="19" t="s">
        <v>293</v>
      </c>
      <c r="B627" s="25" t="s">
        <v>2273</v>
      </c>
      <c r="C627" s="24" t="s">
        <v>2272</v>
      </c>
      <c r="D627" s="23" t="s">
        <v>2091</v>
      </c>
      <c r="E627" s="20" t="s">
        <v>295</v>
      </c>
      <c r="F627" s="22"/>
    </row>
    <row r="628" spans="1:6" ht="28" customHeight="1">
      <c r="A628" s="19" t="s">
        <v>293</v>
      </c>
      <c r="B628" s="25" t="s">
        <v>2271</v>
      </c>
      <c r="C628" s="24" t="s">
        <v>2270</v>
      </c>
      <c r="D628" s="23" t="s">
        <v>2091</v>
      </c>
      <c r="E628" s="20" t="s">
        <v>295</v>
      </c>
      <c r="F628" s="22"/>
    </row>
    <row r="629" spans="1:6" ht="28" customHeight="1">
      <c r="A629" s="19" t="s">
        <v>293</v>
      </c>
      <c r="B629" s="25" t="s">
        <v>2269</v>
      </c>
      <c r="C629" s="24" t="s">
        <v>2268</v>
      </c>
      <c r="D629" s="23" t="s">
        <v>2091</v>
      </c>
      <c r="E629" s="20" t="s">
        <v>295</v>
      </c>
      <c r="F629" s="22"/>
    </row>
    <row r="630" spans="1:6" ht="28" customHeight="1">
      <c r="A630" s="19" t="s">
        <v>293</v>
      </c>
      <c r="B630" s="25" t="s">
        <v>2267</v>
      </c>
      <c r="C630" s="24" t="s">
        <v>2266</v>
      </c>
      <c r="D630" s="23" t="s">
        <v>2091</v>
      </c>
      <c r="E630" s="20" t="s">
        <v>295</v>
      </c>
      <c r="F630" s="22"/>
    </row>
    <row r="631" spans="1:6" ht="28" customHeight="1">
      <c r="A631" s="19" t="s">
        <v>293</v>
      </c>
      <c r="B631" s="25" t="s">
        <v>2265</v>
      </c>
      <c r="C631" s="24" t="s">
        <v>2264</v>
      </c>
      <c r="D631" s="23" t="s">
        <v>2222</v>
      </c>
      <c r="E631" s="20" t="s">
        <v>295</v>
      </c>
      <c r="F631" s="22"/>
    </row>
    <row r="632" spans="1:6" ht="28" customHeight="1">
      <c r="A632" s="19" t="s">
        <v>293</v>
      </c>
      <c r="B632" s="25" t="s">
        <v>2263</v>
      </c>
      <c r="C632" s="24" t="s">
        <v>2262</v>
      </c>
      <c r="D632" s="23" t="s">
        <v>2222</v>
      </c>
      <c r="E632" s="20" t="s">
        <v>295</v>
      </c>
      <c r="F632" s="22"/>
    </row>
    <row r="633" spans="1:6" ht="28" customHeight="1">
      <c r="A633" s="19" t="s">
        <v>293</v>
      </c>
      <c r="B633" s="25" t="s">
        <v>2261</v>
      </c>
      <c r="C633" s="24" t="s">
        <v>2260</v>
      </c>
      <c r="D633" s="23" t="s">
        <v>2072</v>
      </c>
      <c r="E633" s="20" t="s">
        <v>295</v>
      </c>
      <c r="F633" s="22"/>
    </row>
    <row r="634" spans="1:6" ht="28" customHeight="1">
      <c r="A634" s="19" t="s">
        <v>293</v>
      </c>
      <c r="B634" s="25" t="s">
        <v>2259</v>
      </c>
      <c r="C634" s="24" t="s">
        <v>2258</v>
      </c>
      <c r="D634" s="23" t="s">
        <v>2072</v>
      </c>
      <c r="E634" s="20" t="s">
        <v>295</v>
      </c>
      <c r="F634" s="22"/>
    </row>
    <row r="635" spans="1:6">
      <c r="A635" s="26"/>
      <c r="B635" s="26"/>
      <c r="C635" s="26" t="s">
        <v>2257</v>
      </c>
      <c r="D635" s="26"/>
      <c r="E635" s="26"/>
    </row>
    <row r="636" spans="1:6" ht="28" customHeight="1">
      <c r="A636" s="19" t="s">
        <v>293</v>
      </c>
      <c r="B636" s="25" t="s">
        <v>2256</v>
      </c>
      <c r="C636" s="24" t="s">
        <v>2255</v>
      </c>
      <c r="D636" s="23" t="s">
        <v>2072</v>
      </c>
      <c r="E636" s="20" t="s">
        <v>295</v>
      </c>
      <c r="F636" s="22"/>
    </row>
    <row r="637" spans="1:6" ht="28" customHeight="1">
      <c r="A637" s="19" t="s">
        <v>293</v>
      </c>
      <c r="B637" s="25" t="s">
        <v>2254</v>
      </c>
      <c r="C637" s="24" t="s">
        <v>2253</v>
      </c>
      <c r="D637" s="23" t="s">
        <v>2077</v>
      </c>
      <c r="E637" s="20" t="s">
        <v>295</v>
      </c>
      <c r="F637" s="22"/>
    </row>
    <row r="638" spans="1:6" ht="28" customHeight="1">
      <c r="A638" s="19" t="s">
        <v>293</v>
      </c>
      <c r="B638" s="25" t="s">
        <v>2252</v>
      </c>
      <c r="C638" s="24" t="s">
        <v>2251</v>
      </c>
      <c r="D638" s="23" t="s">
        <v>2077</v>
      </c>
      <c r="E638" s="20" t="s">
        <v>295</v>
      </c>
      <c r="F638" s="22"/>
    </row>
    <row r="639" spans="1:6" ht="28" customHeight="1">
      <c r="A639" s="19" t="s">
        <v>293</v>
      </c>
      <c r="B639" s="25" t="s">
        <v>2250</v>
      </c>
      <c r="C639" s="24" t="s">
        <v>2249</v>
      </c>
      <c r="D639" s="23" t="s">
        <v>2077</v>
      </c>
      <c r="E639" s="20" t="s">
        <v>295</v>
      </c>
      <c r="F639" s="22"/>
    </row>
    <row r="640" spans="1:6" ht="28" customHeight="1">
      <c r="A640" s="19" t="s">
        <v>293</v>
      </c>
      <c r="B640" s="25" t="s">
        <v>2248</v>
      </c>
      <c r="C640" s="24" t="s">
        <v>2247</v>
      </c>
      <c r="D640" s="23" t="s">
        <v>2077</v>
      </c>
      <c r="E640" s="20" t="s">
        <v>295</v>
      </c>
      <c r="F640" s="22"/>
    </row>
    <row r="641" spans="1:6" ht="28" customHeight="1">
      <c r="A641" s="19" t="s">
        <v>293</v>
      </c>
      <c r="B641" s="25" t="s">
        <v>2246</v>
      </c>
      <c r="C641" s="24" t="s">
        <v>2245</v>
      </c>
      <c r="D641" s="23" t="s">
        <v>2104</v>
      </c>
      <c r="E641" s="20" t="s">
        <v>295</v>
      </c>
      <c r="F641" s="22"/>
    </row>
    <row r="642" spans="1:6" ht="28" customHeight="1">
      <c r="A642" s="19" t="s">
        <v>293</v>
      </c>
      <c r="B642" s="25" t="s">
        <v>2244</v>
      </c>
      <c r="C642" s="24" t="s">
        <v>2243</v>
      </c>
      <c r="D642" s="23" t="s">
        <v>2104</v>
      </c>
      <c r="E642" s="20" t="s">
        <v>295</v>
      </c>
      <c r="F642" s="22"/>
    </row>
    <row r="643" spans="1:6" ht="28" customHeight="1">
      <c r="A643" s="19" t="s">
        <v>293</v>
      </c>
      <c r="B643" s="25" t="s">
        <v>2242</v>
      </c>
      <c r="C643" s="24" t="s">
        <v>2241</v>
      </c>
      <c r="D643" s="23" t="s">
        <v>2104</v>
      </c>
      <c r="E643" s="20" t="s">
        <v>295</v>
      </c>
      <c r="F643" s="22"/>
    </row>
    <row r="644" spans="1:6" ht="28" customHeight="1">
      <c r="A644" s="19" t="s">
        <v>293</v>
      </c>
      <c r="B644" s="25" t="s">
        <v>2240</v>
      </c>
      <c r="C644" s="24" t="s">
        <v>2239</v>
      </c>
      <c r="D644" s="23" t="s">
        <v>2104</v>
      </c>
      <c r="E644" s="20" t="s">
        <v>295</v>
      </c>
      <c r="F644" s="22"/>
    </row>
    <row r="645" spans="1:6" ht="28" customHeight="1">
      <c r="A645" s="19" t="s">
        <v>293</v>
      </c>
      <c r="B645" s="25" t="s">
        <v>2238</v>
      </c>
      <c r="C645" s="24" t="s">
        <v>2237</v>
      </c>
      <c r="D645" s="23" t="s">
        <v>2091</v>
      </c>
      <c r="E645" s="20" t="s">
        <v>295</v>
      </c>
      <c r="F645" s="22"/>
    </row>
    <row r="646" spans="1:6" ht="28" customHeight="1">
      <c r="A646" s="19" t="s">
        <v>293</v>
      </c>
      <c r="B646" s="25" t="s">
        <v>2236</v>
      </c>
      <c r="C646" s="24" t="s">
        <v>2235</v>
      </c>
      <c r="D646" s="23" t="s">
        <v>2091</v>
      </c>
      <c r="E646" s="20" t="s">
        <v>295</v>
      </c>
      <c r="F646" s="22"/>
    </row>
    <row r="647" spans="1:6" ht="28" customHeight="1">
      <c r="A647" s="19" t="s">
        <v>293</v>
      </c>
      <c r="B647" s="25" t="s">
        <v>2234</v>
      </c>
      <c r="C647" s="24" t="s">
        <v>2233</v>
      </c>
      <c r="D647" s="23" t="s">
        <v>2091</v>
      </c>
      <c r="E647" s="20" t="s">
        <v>295</v>
      </c>
      <c r="F647" s="22"/>
    </row>
    <row r="648" spans="1:6" ht="28" customHeight="1">
      <c r="A648" s="19" t="s">
        <v>293</v>
      </c>
      <c r="B648" s="25" t="s">
        <v>2232</v>
      </c>
      <c r="C648" s="24" t="s">
        <v>2231</v>
      </c>
      <c r="D648" s="23" t="s">
        <v>2091</v>
      </c>
      <c r="E648" s="20" t="s">
        <v>295</v>
      </c>
      <c r="F648" s="22"/>
    </row>
    <row r="649" spans="1:6" ht="28" customHeight="1">
      <c r="A649" s="19" t="s">
        <v>293</v>
      </c>
      <c r="B649" s="25" t="s">
        <v>2230</v>
      </c>
      <c r="C649" s="24" t="s">
        <v>2229</v>
      </c>
      <c r="D649" s="23" t="s">
        <v>2091</v>
      </c>
      <c r="E649" s="20" t="s">
        <v>295</v>
      </c>
      <c r="F649" s="22"/>
    </row>
    <row r="650" spans="1:6" ht="28" customHeight="1">
      <c r="A650" s="19" t="s">
        <v>293</v>
      </c>
      <c r="B650" s="25" t="s">
        <v>2228</v>
      </c>
      <c r="C650" s="24" t="s">
        <v>2227</v>
      </c>
      <c r="D650" s="23" t="s">
        <v>2091</v>
      </c>
      <c r="E650" s="20" t="s">
        <v>295</v>
      </c>
      <c r="F650" s="22"/>
    </row>
    <row r="651" spans="1:6" ht="28" customHeight="1">
      <c r="A651" s="19" t="s">
        <v>293</v>
      </c>
      <c r="B651" s="25" t="s">
        <v>2226</v>
      </c>
      <c r="C651" s="24" t="s">
        <v>2225</v>
      </c>
      <c r="D651" s="23" t="s">
        <v>2222</v>
      </c>
      <c r="E651" s="20" t="s">
        <v>295</v>
      </c>
      <c r="F651" s="22"/>
    </row>
    <row r="652" spans="1:6" ht="28" customHeight="1">
      <c r="A652" s="19" t="s">
        <v>293</v>
      </c>
      <c r="B652" s="25" t="s">
        <v>2224</v>
      </c>
      <c r="C652" s="24" t="s">
        <v>2223</v>
      </c>
      <c r="D652" s="23" t="s">
        <v>2222</v>
      </c>
      <c r="E652" s="20" t="s">
        <v>295</v>
      </c>
      <c r="F652" s="22"/>
    </row>
    <row r="653" spans="1:6" ht="28" customHeight="1">
      <c r="A653" s="19" t="s">
        <v>293</v>
      </c>
      <c r="B653" s="25" t="s">
        <v>2221</v>
      </c>
      <c r="C653" s="24" t="s">
        <v>2220</v>
      </c>
      <c r="D653" s="23" t="s">
        <v>2084</v>
      </c>
      <c r="E653" s="20" t="s">
        <v>295</v>
      </c>
      <c r="F653" s="22"/>
    </row>
    <row r="654" spans="1:6" ht="28" customHeight="1">
      <c r="A654" s="19" t="s">
        <v>293</v>
      </c>
      <c r="B654" s="25" t="s">
        <v>2219</v>
      </c>
      <c r="C654" s="24" t="s">
        <v>2218</v>
      </c>
      <c r="D654" s="23" t="s">
        <v>2077</v>
      </c>
      <c r="E654" s="20" t="s">
        <v>295</v>
      </c>
      <c r="F654" s="22"/>
    </row>
    <row r="655" spans="1:6" ht="28" customHeight="1">
      <c r="A655" s="19" t="s">
        <v>293</v>
      </c>
      <c r="B655" s="25" t="s">
        <v>2217</v>
      </c>
      <c r="C655" s="24" t="s">
        <v>2216</v>
      </c>
      <c r="D655" s="23" t="s">
        <v>2077</v>
      </c>
      <c r="E655" s="20" t="s">
        <v>295</v>
      </c>
      <c r="F655" s="22"/>
    </row>
    <row r="656" spans="1:6" ht="28" customHeight="1">
      <c r="A656" s="19" t="s">
        <v>293</v>
      </c>
      <c r="B656" s="25" t="s">
        <v>2215</v>
      </c>
      <c r="C656" s="24" t="s">
        <v>2214</v>
      </c>
      <c r="D656" s="23" t="s">
        <v>2077</v>
      </c>
      <c r="E656" s="20" t="s">
        <v>295</v>
      </c>
      <c r="F656" s="22"/>
    </row>
    <row r="657" spans="1:6" ht="28" customHeight="1">
      <c r="A657" s="19" t="s">
        <v>293</v>
      </c>
      <c r="B657" s="25" t="s">
        <v>2213</v>
      </c>
      <c r="C657" s="24" t="s">
        <v>2212</v>
      </c>
      <c r="D657" s="23" t="s">
        <v>2072</v>
      </c>
      <c r="E657" s="20" t="s">
        <v>295</v>
      </c>
      <c r="F657" s="22"/>
    </row>
    <row r="658" spans="1:6">
      <c r="A658" s="26"/>
      <c r="B658" s="26"/>
      <c r="C658" s="26" t="s">
        <v>2211</v>
      </c>
      <c r="D658" s="26"/>
      <c r="E658" s="26"/>
    </row>
    <row r="659" spans="1:6" ht="28" customHeight="1">
      <c r="A659" s="19" t="s">
        <v>293</v>
      </c>
      <c r="B659" s="25" t="s">
        <v>2210</v>
      </c>
      <c r="C659" s="24" t="s">
        <v>2209</v>
      </c>
      <c r="D659" s="23" t="s">
        <v>2077</v>
      </c>
      <c r="E659" s="20" t="s">
        <v>295</v>
      </c>
      <c r="F659" s="22"/>
    </row>
    <row r="660" spans="1:6" ht="28" customHeight="1">
      <c r="A660" s="19" t="s">
        <v>293</v>
      </c>
      <c r="B660" s="25" t="s">
        <v>2208</v>
      </c>
      <c r="C660" s="24" t="s">
        <v>2207</v>
      </c>
      <c r="D660" s="23" t="s">
        <v>2077</v>
      </c>
      <c r="E660" s="20" t="s">
        <v>295</v>
      </c>
      <c r="F660" s="22"/>
    </row>
    <row r="661" spans="1:6" ht="28" customHeight="1">
      <c r="A661" s="19" t="s">
        <v>293</v>
      </c>
      <c r="B661" s="25" t="s">
        <v>2206</v>
      </c>
      <c r="C661" s="24" t="s">
        <v>2205</v>
      </c>
      <c r="D661" s="23" t="s">
        <v>2077</v>
      </c>
      <c r="E661" s="20" t="s">
        <v>295</v>
      </c>
      <c r="F661" s="22"/>
    </row>
    <row r="662" spans="1:6" ht="28" customHeight="1">
      <c r="A662" s="19" t="s">
        <v>293</v>
      </c>
      <c r="B662" s="25" t="s">
        <v>2204</v>
      </c>
      <c r="C662" s="24" t="s">
        <v>2203</v>
      </c>
      <c r="D662" s="23" t="s">
        <v>2077</v>
      </c>
      <c r="E662" s="20" t="s">
        <v>295</v>
      </c>
      <c r="F662" s="22"/>
    </row>
    <row r="663" spans="1:6" ht="28" customHeight="1">
      <c r="A663" s="19" t="s">
        <v>293</v>
      </c>
      <c r="B663" s="25" t="s">
        <v>2202</v>
      </c>
      <c r="C663" s="24" t="s">
        <v>2201</v>
      </c>
      <c r="D663" s="23" t="s">
        <v>2104</v>
      </c>
      <c r="E663" s="20" t="s">
        <v>295</v>
      </c>
      <c r="F663" s="22"/>
    </row>
    <row r="664" spans="1:6" ht="28" customHeight="1">
      <c r="A664" s="19" t="s">
        <v>293</v>
      </c>
      <c r="B664" s="25" t="s">
        <v>2200</v>
      </c>
      <c r="C664" s="24" t="s">
        <v>2199</v>
      </c>
      <c r="D664" s="23" t="s">
        <v>2104</v>
      </c>
      <c r="E664" s="20" t="s">
        <v>295</v>
      </c>
      <c r="F664" s="22"/>
    </row>
    <row r="665" spans="1:6" ht="28" customHeight="1">
      <c r="A665" s="19" t="s">
        <v>293</v>
      </c>
      <c r="B665" s="25" t="s">
        <v>2198</v>
      </c>
      <c r="C665" s="24" t="s">
        <v>2197</v>
      </c>
      <c r="D665" s="23" t="s">
        <v>2104</v>
      </c>
      <c r="E665" s="20" t="s">
        <v>295</v>
      </c>
      <c r="F665" s="22"/>
    </row>
    <row r="666" spans="1:6" ht="28" customHeight="1">
      <c r="A666" s="19" t="s">
        <v>293</v>
      </c>
      <c r="B666" s="25" t="s">
        <v>2196</v>
      </c>
      <c r="C666" s="24" t="s">
        <v>2195</v>
      </c>
      <c r="D666" s="23" t="s">
        <v>2104</v>
      </c>
      <c r="E666" s="20" t="s">
        <v>295</v>
      </c>
      <c r="F666" s="22"/>
    </row>
    <row r="667" spans="1:6" ht="28" customHeight="1">
      <c r="A667" s="19" t="s">
        <v>293</v>
      </c>
      <c r="B667" s="25" t="s">
        <v>2194</v>
      </c>
      <c r="C667" s="24" t="s">
        <v>2193</v>
      </c>
      <c r="D667" s="23" t="s">
        <v>2091</v>
      </c>
      <c r="E667" s="20" t="s">
        <v>295</v>
      </c>
      <c r="F667" s="22"/>
    </row>
    <row r="668" spans="1:6" ht="28" customHeight="1">
      <c r="A668" s="19" t="s">
        <v>293</v>
      </c>
      <c r="B668" s="25" t="s">
        <v>2192</v>
      </c>
      <c r="C668" s="24" t="s">
        <v>2191</v>
      </c>
      <c r="D668" s="23" t="s">
        <v>2091</v>
      </c>
      <c r="E668" s="20" t="s">
        <v>295</v>
      </c>
      <c r="F668" s="22"/>
    </row>
    <row r="669" spans="1:6" ht="28" customHeight="1">
      <c r="A669" s="19" t="s">
        <v>293</v>
      </c>
      <c r="B669" s="25" t="s">
        <v>2190</v>
      </c>
      <c r="C669" s="24" t="s">
        <v>2189</v>
      </c>
      <c r="D669" s="23" t="s">
        <v>2091</v>
      </c>
      <c r="E669" s="20" t="s">
        <v>295</v>
      </c>
      <c r="F669" s="22"/>
    </row>
    <row r="670" spans="1:6" ht="28" customHeight="1">
      <c r="A670" s="19" t="s">
        <v>293</v>
      </c>
      <c r="B670" s="25" t="s">
        <v>2188</v>
      </c>
      <c r="C670" s="24" t="s">
        <v>2187</v>
      </c>
      <c r="D670" s="23" t="s">
        <v>2091</v>
      </c>
      <c r="E670" s="20" t="s">
        <v>295</v>
      </c>
      <c r="F670" s="22"/>
    </row>
    <row r="671" spans="1:6" ht="28" customHeight="1">
      <c r="A671" s="19" t="s">
        <v>293</v>
      </c>
      <c r="B671" s="25" t="s">
        <v>2186</v>
      </c>
      <c r="C671" s="24" t="s">
        <v>2185</v>
      </c>
      <c r="D671" s="23" t="s">
        <v>2091</v>
      </c>
      <c r="E671" s="20" t="s">
        <v>295</v>
      </c>
      <c r="F671" s="22"/>
    </row>
    <row r="672" spans="1:6" ht="28" customHeight="1">
      <c r="A672" s="19" t="s">
        <v>293</v>
      </c>
      <c r="B672" s="25" t="s">
        <v>2184</v>
      </c>
      <c r="C672" s="24" t="s">
        <v>2183</v>
      </c>
      <c r="D672" s="23" t="s">
        <v>2091</v>
      </c>
      <c r="E672" s="20" t="s">
        <v>295</v>
      </c>
      <c r="F672" s="22"/>
    </row>
    <row r="673" spans="1:6" ht="28" customHeight="1">
      <c r="A673" s="19" t="s">
        <v>293</v>
      </c>
      <c r="B673" s="25" t="s">
        <v>2182</v>
      </c>
      <c r="C673" s="24" t="s">
        <v>2181</v>
      </c>
      <c r="D673" s="23" t="s">
        <v>1143</v>
      </c>
      <c r="E673" s="20" t="s">
        <v>295</v>
      </c>
      <c r="F673" s="22"/>
    </row>
    <row r="674" spans="1:6" ht="28" customHeight="1">
      <c r="A674" s="19" t="s">
        <v>293</v>
      </c>
      <c r="B674" s="25" t="s">
        <v>2180</v>
      </c>
      <c r="C674" s="24" t="s">
        <v>2179</v>
      </c>
      <c r="D674" s="23" t="s">
        <v>1143</v>
      </c>
      <c r="E674" s="20" t="s">
        <v>295</v>
      </c>
      <c r="F674" s="22"/>
    </row>
    <row r="675" spans="1:6" ht="28" customHeight="1">
      <c r="A675" s="19" t="s">
        <v>293</v>
      </c>
      <c r="B675" s="25" t="s">
        <v>2178</v>
      </c>
      <c r="C675" s="24" t="s">
        <v>2177</v>
      </c>
      <c r="D675" s="23" t="s">
        <v>2084</v>
      </c>
      <c r="E675" s="20" t="s">
        <v>295</v>
      </c>
      <c r="F675" s="22"/>
    </row>
    <row r="676" spans="1:6" ht="28" customHeight="1">
      <c r="A676" s="19" t="s">
        <v>293</v>
      </c>
      <c r="B676" s="25" t="s">
        <v>2176</v>
      </c>
      <c r="C676" s="24" t="s">
        <v>2175</v>
      </c>
      <c r="D676" s="23" t="s">
        <v>2077</v>
      </c>
      <c r="E676" s="20" t="s">
        <v>295</v>
      </c>
      <c r="F676" s="22"/>
    </row>
    <row r="677" spans="1:6" ht="28" customHeight="1">
      <c r="A677" s="19" t="s">
        <v>293</v>
      </c>
      <c r="B677" s="25" t="s">
        <v>2174</v>
      </c>
      <c r="C677" s="24" t="s">
        <v>2173</v>
      </c>
      <c r="D677" s="23" t="s">
        <v>2077</v>
      </c>
      <c r="E677" s="20" t="s">
        <v>295</v>
      </c>
      <c r="F677" s="22"/>
    </row>
    <row r="678" spans="1:6" ht="28" customHeight="1">
      <c r="A678" s="19" t="s">
        <v>293</v>
      </c>
      <c r="B678" s="25" t="s">
        <v>2172</v>
      </c>
      <c r="C678" s="24" t="s">
        <v>2171</v>
      </c>
      <c r="D678" s="23" t="s">
        <v>2077</v>
      </c>
      <c r="E678" s="20" t="s">
        <v>295</v>
      </c>
      <c r="F678" s="22"/>
    </row>
    <row r="679" spans="1:6" ht="28" customHeight="1">
      <c r="A679" s="19" t="s">
        <v>293</v>
      </c>
      <c r="B679" s="25" t="s">
        <v>2170</v>
      </c>
      <c r="C679" s="24" t="s">
        <v>2169</v>
      </c>
      <c r="D679" s="23" t="s">
        <v>2072</v>
      </c>
      <c r="E679" s="20" t="s">
        <v>295</v>
      </c>
      <c r="F679" s="22"/>
    </row>
    <row r="680" spans="1:6" ht="28" customHeight="1">
      <c r="A680" s="19" t="s">
        <v>293</v>
      </c>
      <c r="B680" s="25" t="s">
        <v>2168</v>
      </c>
      <c r="C680" s="24" t="s">
        <v>2167</v>
      </c>
      <c r="D680" s="23" t="s">
        <v>2072</v>
      </c>
      <c r="E680" s="20" t="s">
        <v>295</v>
      </c>
      <c r="F680" s="22"/>
    </row>
    <row r="681" spans="1:6">
      <c r="A681" s="26"/>
      <c r="B681" s="26"/>
      <c r="C681" s="26" t="s">
        <v>2166</v>
      </c>
      <c r="D681" s="26"/>
      <c r="E681" s="26"/>
    </row>
    <row r="682" spans="1:6" ht="28" customHeight="1">
      <c r="A682" s="19" t="s">
        <v>293</v>
      </c>
      <c r="B682" s="25" t="s">
        <v>2165</v>
      </c>
      <c r="C682" s="24" t="s">
        <v>2164</v>
      </c>
      <c r="D682" s="23" t="s">
        <v>2077</v>
      </c>
      <c r="E682" s="20" t="s">
        <v>295</v>
      </c>
      <c r="F682" s="22"/>
    </row>
    <row r="683" spans="1:6" ht="28" customHeight="1">
      <c r="A683" s="19" t="s">
        <v>293</v>
      </c>
      <c r="B683" s="25" t="s">
        <v>2163</v>
      </c>
      <c r="C683" s="24" t="s">
        <v>2162</v>
      </c>
      <c r="D683" s="23" t="s">
        <v>2077</v>
      </c>
      <c r="E683" s="20" t="s">
        <v>295</v>
      </c>
      <c r="F683" s="22"/>
    </row>
    <row r="684" spans="1:6" ht="28" customHeight="1">
      <c r="A684" s="19" t="s">
        <v>293</v>
      </c>
      <c r="B684" s="25" t="s">
        <v>2161</v>
      </c>
      <c r="C684" s="24" t="s">
        <v>2160</v>
      </c>
      <c r="D684" s="23" t="s">
        <v>2077</v>
      </c>
      <c r="E684" s="20" t="s">
        <v>295</v>
      </c>
      <c r="F684" s="22"/>
    </row>
    <row r="685" spans="1:6" ht="28" customHeight="1">
      <c r="A685" s="19" t="s">
        <v>293</v>
      </c>
      <c r="B685" s="25" t="s">
        <v>2159</v>
      </c>
      <c r="C685" s="24" t="s">
        <v>2158</v>
      </c>
      <c r="D685" s="23" t="s">
        <v>2077</v>
      </c>
      <c r="E685" s="20" t="s">
        <v>295</v>
      </c>
      <c r="F685" s="22"/>
    </row>
    <row r="686" spans="1:6" ht="28" customHeight="1">
      <c r="A686" s="19" t="s">
        <v>293</v>
      </c>
      <c r="B686" s="25" t="s">
        <v>2157</v>
      </c>
      <c r="C686" s="24" t="s">
        <v>2156</v>
      </c>
      <c r="D686" s="23" t="s">
        <v>2104</v>
      </c>
      <c r="E686" s="20" t="s">
        <v>295</v>
      </c>
      <c r="F686" s="22"/>
    </row>
    <row r="687" spans="1:6" ht="28" customHeight="1">
      <c r="A687" s="19" t="s">
        <v>293</v>
      </c>
      <c r="B687" s="25" t="s">
        <v>2155</v>
      </c>
      <c r="C687" s="24" t="s">
        <v>2154</v>
      </c>
      <c r="D687" s="23" t="s">
        <v>2104</v>
      </c>
      <c r="E687" s="20" t="s">
        <v>295</v>
      </c>
      <c r="F687" s="22"/>
    </row>
    <row r="688" spans="1:6" ht="28" customHeight="1">
      <c r="A688" s="19" t="s">
        <v>293</v>
      </c>
      <c r="B688" s="25" t="s">
        <v>2153</v>
      </c>
      <c r="C688" s="24" t="s">
        <v>2152</v>
      </c>
      <c r="D688" s="23" t="s">
        <v>2104</v>
      </c>
      <c r="E688" s="20" t="s">
        <v>295</v>
      </c>
      <c r="F688" s="22"/>
    </row>
    <row r="689" spans="1:6" ht="28" customHeight="1">
      <c r="A689" s="19" t="s">
        <v>293</v>
      </c>
      <c r="B689" s="25" t="s">
        <v>2151</v>
      </c>
      <c r="C689" s="24" t="s">
        <v>2150</v>
      </c>
      <c r="D689" s="23" t="s">
        <v>2104</v>
      </c>
      <c r="E689" s="20" t="s">
        <v>295</v>
      </c>
      <c r="F689" s="22"/>
    </row>
    <row r="690" spans="1:6" ht="28" customHeight="1">
      <c r="A690" s="19" t="s">
        <v>293</v>
      </c>
      <c r="B690" s="25" t="s">
        <v>2149</v>
      </c>
      <c r="C690" s="24" t="s">
        <v>2148</v>
      </c>
      <c r="D690" s="23" t="s">
        <v>2091</v>
      </c>
      <c r="E690" s="20" t="s">
        <v>295</v>
      </c>
      <c r="F690" s="22"/>
    </row>
    <row r="691" spans="1:6" ht="28" customHeight="1">
      <c r="A691" s="19" t="s">
        <v>293</v>
      </c>
      <c r="B691" s="25" t="s">
        <v>2147</v>
      </c>
      <c r="C691" s="24" t="s">
        <v>2146</v>
      </c>
      <c r="D691" s="23" t="s">
        <v>2091</v>
      </c>
      <c r="E691" s="20" t="s">
        <v>295</v>
      </c>
      <c r="F691" s="22"/>
    </row>
    <row r="692" spans="1:6" ht="28" customHeight="1">
      <c r="A692" s="19" t="s">
        <v>293</v>
      </c>
      <c r="B692" s="25" t="s">
        <v>2145</v>
      </c>
      <c r="C692" s="24" t="s">
        <v>2144</v>
      </c>
      <c r="D692" s="23" t="s">
        <v>2091</v>
      </c>
      <c r="E692" s="20" t="s">
        <v>295</v>
      </c>
      <c r="F692" s="22"/>
    </row>
    <row r="693" spans="1:6" ht="28" customHeight="1">
      <c r="A693" s="19" t="s">
        <v>293</v>
      </c>
      <c r="B693" s="25" t="s">
        <v>2143</v>
      </c>
      <c r="C693" s="24" t="s">
        <v>2142</v>
      </c>
      <c r="D693" s="23" t="s">
        <v>2091</v>
      </c>
      <c r="E693" s="20" t="s">
        <v>295</v>
      </c>
      <c r="F693" s="22"/>
    </row>
    <row r="694" spans="1:6" ht="28" customHeight="1">
      <c r="A694" s="19" t="s">
        <v>293</v>
      </c>
      <c r="B694" s="25" t="s">
        <v>2141</v>
      </c>
      <c r="C694" s="24" t="s">
        <v>2140</v>
      </c>
      <c r="D694" s="23" t="s">
        <v>2091</v>
      </c>
      <c r="E694" s="20" t="s">
        <v>295</v>
      </c>
      <c r="F694" s="22"/>
    </row>
    <row r="695" spans="1:6" ht="28" customHeight="1">
      <c r="A695" s="19" t="s">
        <v>293</v>
      </c>
      <c r="B695" s="25" t="s">
        <v>2139</v>
      </c>
      <c r="C695" s="24" t="s">
        <v>2138</v>
      </c>
      <c r="D695" s="23" t="s">
        <v>2091</v>
      </c>
      <c r="E695" s="20" t="s">
        <v>295</v>
      </c>
      <c r="F695" s="22"/>
    </row>
    <row r="696" spans="1:6" ht="28" customHeight="1">
      <c r="A696" s="19" t="s">
        <v>293</v>
      </c>
      <c r="B696" s="25" t="s">
        <v>2137</v>
      </c>
      <c r="C696" s="24" t="s">
        <v>2136</v>
      </c>
      <c r="D696" s="23" t="s">
        <v>1143</v>
      </c>
      <c r="E696" s="20" t="s">
        <v>295</v>
      </c>
      <c r="F696" s="22"/>
    </row>
    <row r="697" spans="1:6" ht="28" customHeight="1">
      <c r="A697" s="19" t="s">
        <v>293</v>
      </c>
      <c r="B697" s="25" t="s">
        <v>2135</v>
      </c>
      <c r="C697" s="24" t="s">
        <v>2134</v>
      </c>
      <c r="D697" s="23" t="s">
        <v>1143</v>
      </c>
      <c r="E697" s="20" t="s">
        <v>295</v>
      </c>
      <c r="F697" s="22"/>
    </row>
    <row r="698" spans="1:6" ht="28" customHeight="1">
      <c r="A698" s="19" t="s">
        <v>293</v>
      </c>
      <c r="B698" s="25" t="s">
        <v>2133</v>
      </c>
      <c r="C698" s="24" t="s">
        <v>2132</v>
      </c>
      <c r="D698" s="23" t="s">
        <v>2084</v>
      </c>
      <c r="E698" s="20" t="s">
        <v>295</v>
      </c>
      <c r="F698" s="22"/>
    </row>
    <row r="699" spans="1:6" ht="28" customHeight="1">
      <c r="A699" s="19" t="s">
        <v>293</v>
      </c>
      <c r="B699" s="25" t="s">
        <v>2131</v>
      </c>
      <c r="C699" s="24" t="s">
        <v>2130</v>
      </c>
      <c r="D699" s="23" t="s">
        <v>2077</v>
      </c>
      <c r="E699" s="20" t="s">
        <v>295</v>
      </c>
      <c r="F699" s="22"/>
    </row>
    <row r="700" spans="1:6" ht="28" customHeight="1">
      <c r="A700" s="19" t="s">
        <v>293</v>
      </c>
      <c r="B700" s="25" t="s">
        <v>2129</v>
      </c>
      <c r="C700" s="24" t="s">
        <v>2128</v>
      </c>
      <c r="D700" s="23" t="s">
        <v>2077</v>
      </c>
      <c r="E700" s="20" t="s">
        <v>295</v>
      </c>
      <c r="F700" s="22"/>
    </row>
    <row r="701" spans="1:6" ht="28" customHeight="1">
      <c r="A701" s="19" t="s">
        <v>293</v>
      </c>
      <c r="B701" s="25" t="s">
        <v>2127</v>
      </c>
      <c r="C701" s="24" t="s">
        <v>2126</v>
      </c>
      <c r="D701" s="23" t="s">
        <v>2077</v>
      </c>
      <c r="E701" s="20" t="s">
        <v>295</v>
      </c>
      <c r="F701" s="22"/>
    </row>
    <row r="702" spans="1:6" ht="28" customHeight="1">
      <c r="A702" s="19" t="s">
        <v>293</v>
      </c>
      <c r="B702" s="25" t="s">
        <v>2125</v>
      </c>
      <c r="C702" s="24" t="s">
        <v>2124</v>
      </c>
      <c r="D702" s="23" t="s">
        <v>2072</v>
      </c>
      <c r="E702" s="20" t="s">
        <v>295</v>
      </c>
      <c r="F702" s="22"/>
    </row>
    <row r="703" spans="1:6" ht="28" customHeight="1">
      <c r="A703" s="19" t="s">
        <v>293</v>
      </c>
      <c r="B703" s="25" t="s">
        <v>2123</v>
      </c>
      <c r="C703" s="24" t="s">
        <v>2122</v>
      </c>
      <c r="D703" s="23" t="s">
        <v>2072</v>
      </c>
      <c r="E703" s="20" t="s">
        <v>295</v>
      </c>
      <c r="F703" s="22"/>
    </row>
    <row r="704" spans="1:6">
      <c r="A704" s="26"/>
      <c r="B704" s="26"/>
      <c r="C704" s="26" t="s">
        <v>2121</v>
      </c>
      <c r="D704" s="26"/>
      <c r="E704" s="26"/>
    </row>
    <row r="705" spans="1:6" ht="28" customHeight="1">
      <c r="A705" s="19" t="s">
        <v>293</v>
      </c>
      <c r="B705" s="25" t="s">
        <v>2120</v>
      </c>
      <c r="C705" s="24" t="s">
        <v>2119</v>
      </c>
      <c r="D705" s="23" t="s">
        <v>2077</v>
      </c>
      <c r="E705" s="20" t="s">
        <v>295</v>
      </c>
      <c r="F705" s="22"/>
    </row>
    <row r="706" spans="1:6" ht="28" customHeight="1">
      <c r="A706" s="19" t="s">
        <v>293</v>
      </c>
      <c r="B706" s="25" t="s">
        <v>2118</v>
      </c>
      <c r="C706" s="24" t="s">
        <v>2117</v>
      </c>
      <c r="D706" s="23" t="s">
        <v>2077</v>
      </c>
      <c r="E706" s="20" t="s">
        <v>295</v>
      </c>
      <c r="F706" s="22"/>
    </row>
    <row r="707" spans="1:6" ht="28" customHeight="1">
      <c r="A707" s="19" t="s">
        <v>293</v>
      </c>
      <c r="B707" s="25" t="s">
        <v>2116</v>
      </c>
      <c r="C707" s="24" t="s">
        <v>2115</v>
      </c>
      <c r="D707" s="23" t="s">
        <v>2077</v>
      </c>
      <c r="E707" s="20" t="s">
        <v>295</v>
      </c>
      <c r="F707" s="22"/>
    </row>
    <row r="708" spans="1:6" ht="28" customHeight="1">
      <c r="A708" s="19" t="s">
        <v>293</v>
      </c>
      <c r="B708" s="25" t="s">
        <v>2114</v>
      </c>
      <c r="C708" s="24" t="s">
        <v>2113</v>
      </c>
      <c r="D708" s="23" t="s">
        <v>2077</v>
      </c>
      <c r="E708" s="20" t="s">
        <v>295</v>
      </c>
      <c r="F708" s="22"/>
    </row>
    <row r="709" spans="1:6" ht="28" customHeight="1">
      <c r="A709" s="19" t="s">
        <v>293</v>
      </c>
      <c r="B709" s="25" t="s">
        <v>2112</v>
      </c>
      <c r="C709" s="24" t="s">
        <v>2111</v>
      </c>
      <c r="D709" s="23" t="s">
        <v>2104</v>
      </c>
      <c r="E709" s="20" t="s">
        <v>295</v>
      </c>
      <c r="F709" s="22"/>
    </row>
    <row r="710" spans="1:6" ht="28" customHeight="1">
      <c r="A710" s="19" t="s">
        <v>293</v>
      </c>
      <c r="B710" s="25" t="s">
        <v>2110</v>
      </c>
      <c r="C710" s="24" t="s">
        <v>2109</v>
      </c>
      <c r="D710" s="23" t="s">
        <v>2104</v>
      </c>
      <c r="E710" s="20" t="s">
        <v>295</v>
      </c>
      <c r="F710" s="22"/>
    </row>
    <row r="711" spans="1:6" ht="28" customHeight="1">
      <c r="A711" s="19" t="s">
        <v>293</v>
      </c>
      <c r="B711" s="25" t="s">
        <v>2108</v>
      </c>
      <c r="C711" s="24" t="s">
        <v>2107</v>
      </c>
      <c r="D711" s="23" t="s">
        <v>2104</v>
      </c>
      <c r="E711" s="20" t="s">
        <v>295</v>
      </c>
      <c r="F711" s="22"/>
    </row>
    <row r="712" spans="1:6" ht="28" customHeight="1">
      <c r="A712" s="19" t="s">
        <v>293</v>
      </c>
      <c r="B712" s="25" t="s">
        <v>2106</v>
      </c>
      <c r="C712" s="24" t="s">
        <v>2105</v>
      </c>
      <c r="D712" s="23" t="s">
        <v>2104</v>
      </c>
      <c r="E712" s="20" t="s">
        <v>295</v>
      </c>
      <c r="F712" s="22"/>
    </row>
    <row r="713" spans="1:6" ht="28" customHeight="1">
      <c r="A713" s="19" t="s">
        <v>293</v>
      </c>
      <c r="B713" s="25" t="s">
        <v>2103</v>
      </c>
      <c r="C713" s="24" t="s">
        <v>2102</v>
      </c>
      <c r="D713" s="23" t="s">
        <v>2091</v>
      </c>
      <c r="E713" s="20" t="s">
        <v>295</v>
      </c>
      <c r="F713" s="22"/>
    </row>
    <row r="714" spans="1:6" ht="28" customHeight="1">
      <c r="A714" s="19" t="s">
        <v>293</v>
      </c>
      <c r="B714" s="25" t="s">
        <v>2101</v>
      </c>
      <c r="C714" s="24" t="s">
        <v>2100</v>
      </c>
      <c r="D714" s="23" t="s">
        <v>2091</v>
      </c>
      <c r="E714" s="20" t="s">
        <v>295</v>
      </c>
      <c r="F714" s="22"/>
    </row>
    <row r="715" spans="1:6" ht="28" customHeight="1">
      <c r="A715" s="19" t="s">
        <v>293</v>
      </c>
      <c r="B715" s="25" t="s">
        <v>2099</v>
      </c>
      <c r="C715" s="24" t="s">
        <v>2098</v>
      </c>
      <c r="D715" s="23" t="s">
        <v>2091</v>
      </c>
      <c r="E715" s="20" t="s">
        <v>295</v>
      </c>
      <c r="F715" s="22"/>
    </row>
    <row r="716" spans="1:6" ht="28" customHeight="1">
      <c r="A716" s="19" t="s">
        <v>293</v>
      </c>
      <c r="B716" s="25" t="s">
        <v>2097</v>
      </c>
      <c r="C716" s="24" t="s">
        <v>2096</v>
      </c>
      <c r="D716" s="23" t="s">
        <v>2091</v>
      </c>
      <c r="E716" s="20" t="s">
        <v>295</v>
      </c>
      <c r="F716" s="22"/>
    </row>
    <row r="717" spans="1:6" ht="28" customHeight="1">
      <c r="A717" s="19" t="s">
        <v>293</v>
      </c>
      <c r="B717" s="25" t="s">
        <v>2095</v>
      </c>
      <c r="C717" s="24" t="s">
        <v>2094</v>
      </c>
      <c r="D717" s="23" t="s">
        <v>2091</v>
      </c>
      <c r="E717" s="20" t="s">
        <v>295</v>
      </c>
      <c r="F717" s="22"/>
    </row>
    <row r="718" spans="1:6" ht="28" customHeight="1">
      <c r="A718" s="19" t="s">
        <v>293</v>
      </c>
      <c r="B718" s="25" t="s">
        <v>2093</v>
      </c>
      <c r="C718" s="24" t="s">
        <v>2092</v>
      </c>
      <c r="D718" s="23" t="s">
        <v>2091</v>
      </c>
      <c r="E718" s="20" t="s">
        <v>295</v>
      </c>
      <c r="F718" s="22"/>
    </row>
    <row r="719" spans="1:6" ht="28" customHeight="1">
      <c r="A719" s="19" t="s">
        <v>293</v>
      </c>
      <c r="B719" s="25" t="s">
        <v>2090</v>
      </c>
      <c r="C719" s="24" t="s">
        <v>2089</v>
      </c>
      <c r="D719" s="23" t="s">
        <v>1143</v>
      </c>
      <c r="E719" s="20" t="s">
        <v>295</v>
      </c>
      <c r="F719" s="22"/>
    </row>
    <row r="720" spans="1:6" ht="28" customHeight="1">
      <c r="A720" s="19" t="s">
        <v>293</v>
      </c>
      <c r="B720" s="25" t="s">
        <v>2088</v>
      </c>
      <c r="C720" s="24" t="s">
        <v>2087</v>
      </c>
      <c r="D720" s="23" t="s">
        <v>1143</v>
      </c>
      <c r="E720" s="20" t="s">
        <v>295</v>
      </c>
      <c r="F720" s="22"/>
    </row>
    <row r="721" spans="1:6" ht="28" customHeight="1">
      <c r="A721" s="19" t="s">
        <v>293</v>
      </c>
      <c r="B721" s="25" t="s">
        <v>2086</v>
      </c>
      <c r="C721" s="24" t="s">
        <v>2085</v>
      </c>
      <c r="D721" s="23" t="s">
        <v>2084</v>
      </c>
      <c r="E721" s="20" t="s">
        <v>295</v>
      </c>
      <c r="F721" s="22"/>
    </row>
    <row r="722" spans="1:6" ht="28" customHeight="1">
      <c r="A722" s="19" t="s">
        <v>293</v>
      </c>
      <c r="B722" s="25" t="s">
        <v>2083</v>
      </c>
      <c r="C722" s="24" t="s">
        <v>2082</v>
      </c>
      <c r="D722" s="23" t="s">
        <v>2077</v>
      </c>
      <c r="E722" s="20" t="s">
        <v>295</v>
      </c>
      <c r="F722" s="22"/>
    </row>
    <row r="723" spans="1:6" ht="28" customHeight="1">
      <c r="A723" s="19" t="s">
        <v>293</v>
      </c>
      <c r="B723" s="25" t="s">
        <v>2081</v>
      </c>
      <c r="C723" s="24" t="s">
        <v>2080</v>
      </c>
      <c r="D723" s="23" t="s">
        <v>2077</v>
      </c>
      <c r="E723" s="20" t="s">
        <v>295</v>
      </c>
      <c r="F723" s="22"/>
    </row>
    <row r="724" spans="1:6" ht="28" customHeight="1">
      <c r="A724" s="19" t="s">
        <v>293</v>
      </c>
      <c r="B724" s="25" t="s">
        <v>2079</v>
      </c>
      <c r="C724" s="24" t="s">
        <v>2078</v>
      </c>
      <c r="D724" s="23" t="s">
        <v>2077</v>
      </c>
      <c r="E724" s="20" t="s">
        <v>295</v>
      </c>
      <c r="F724" s="22"/>
    </row>
    <row r="725" spans="1:6" ht="28" customHeight="1">
      <c r="A725" s="19" t="s">
        <v>293</v>
      </c>
      <c r="B725" s="25" t="s">
        <v>2076</v>
      </c>
      <c r="C725" s="24" t="s">
        <v>2075</v>
      </c>
      <c r="D725" s="23" t="s">
        <v>2072</v>
      </c>
      <c r="E725" s="20" t="s">
        <v>295</v>
      </c>
      <c r="F725" s="22"/>
    </row>
    <row r="726" spans="1:6" ht="28" customHeight="1">
      <c r="A726" s="19" t="s">
        <v>293</v>
      </c>
      <c r="B726" s="25" t="s">
        <v>2074</v>
      </c>
      <c r="C726" s="24" t="s">
        <v>2073</v>
      </c>
      <c r="D726" s="23" t="s">
        <v>2072</v>
      </c>
      <c r="E726" s="20" t="s">
        <v>295</v>
      </c>
      <c r="F726" s="22"/>
    </row>
    <row r="727" spans="1:6">
      <c r="A727" s="26"/>
      <c r="B727" s="26"/>
      <c r="C727" s="26" t="s">
        <v>2071</v>
      </c>
      <c r="D727" s="26"/>
      <c r="E727" s="26"/>
    </row>
    <row r="728" spans="1:6" ht="14" customHeight="1">
      <c r="A728" s="19" t="s">
        <v>293</v>
      </c>
      <c r="B728" s="25" t="s">
        <v>2070</v>
      </c>
      <c r="C728" s="24" t="s">
        <v>2069</v>
      </c>
      <c r="D728" s="23" t="s">
        <v>2062</v>
      </c>
      <c r="E728" s="20" t="s">
        <v>295</v>
      </c>
      <c r="F728" s="22"/>
    </row>
    <row r="729" spans="1:6">
      <c r="A729" s="26"/>
      <c r="B729" s="26"/>
      <c r="C729" s="26" t="s">
        <v>2068</v>
      </c>
      <c r="D729" s="26"/>
      <c r="E729" s="26"/>
    </row>
    <row r="730" spans="1:6" ht="14" customHeight="1">
      <c r="A730" s="19" t="s">
        <v>293</v>
      </c>
      <c r="B730" s="25" t="s">
        <v>2067</v>
      </c>
      <c r="C730" s="24" t="s">
        <v>2066</v>
      </c>
      <c r="D730" s="23" t="s">
        <v>2062</v>
      </c>
      <c r="E730" s="20" t="s">
        <v>295</v>
      </c>
      <c r="F730" s="22"/>
    </row>
    <row r="731" spans="1:6">
      <c r="A731" s="26"/>
      <c r="B731" s="26"/>
      <c r="C731" s="26" t="s">
        <v>2065</v>
      </c>
      <c r="D731" s="26"/>
      <c r="E731" s="26"/>
    </row>
    <row r="732" spans="1:6" ht="14" customHeight="1">
      <c r="A732" s="19" t="s">
        <v>293</v>
      </c>
      <c r="B732" s="25" t="s">
        <v>2064</v>
      </c>
      <c r="C732" s="24" t="s">
        <v>2063</v>
      </c>
      <c r="D732" s="23" t="s">
        <v>2062</v>
      </c>
      <c r="E732" s="20" t="s">
        <v>295</v>
      </c>
      <c r="F732" s="22"/>
    </row>
    <row r="733" spans="1:6">
      <c r="A733" s="26"/>
      <c r="B733" s="26"/>
      <c r="C733" s="26" t="s">
        <v>2061</v>
      </c>
      <c r="D733" s="26"/>
      <c r="E733" s="26"/>
    </row>
    <row r="734" spans="1:6" ht="28" customHeight="1">
      <c r="A734" s="19" t="s">
        <v>293</v>
      </c>
      <c r="B734" s="25" t="s">
        <v>2060</v>
      </c>
      <c r="C734" s="24" t="s">
        <v>2059</v>
      </c>
      <c r="D734" s="23" t="s">
        <v>2006</v>
      </c>
      <c r="E734" s="20" t="s">
        <v>295</v>
      </c>
      <c r="F734" s="22"/>
    </row>
    <row r="735" spans="1:6" ht="28" customHeight="1">
      <c r="A735" s="19" t="s">
        <v>293</v>
      </c>
      <c r="B735" s="25" t="s">
        <v>2058</v>
      </c>
      <c r="C735" s="24" t="s">
        <v>2057</v>
      </c>
      <c r="D735" s="23" t="s">
        <v>2006</v>
      </c>
      <c r="E735" s="20" t="s">
        <v>295</v>
      </c>
      <c r="F735" s="22"/>
    </row>
    <row r="736" spans="1:6" ht="28" customHeight="1">
      <c r="A736" s="19" t="s">
        <v>293</v>
      </c>
      <c r="B736" s="25" t="s">
        <v>2056</v>
      </c>
      <c r="C736" s="24" t="s">
        <v>2055</v>
      </c>
      <c r="D736" s="23" t="s">
        <v>2006</v>
      </c>
      <c r="E736" s="20" t="s">
        <v>295</v>
      </c>
      <c r="F736" s="22"/>
    </row>
    <row r="737" spans="1:6" ht="28" customHeight="1">
      <c r="A737" s="19" t="s">
        <v>293</v>
      </c>
      <c r="B737" s="25" t="s">
        <v>2054</v>
      </c>
      <c r="C737" s="24" t="s">
        <v>2053</v>
      </c>
      <c r="D737" s="23" t="s">
        <v>2006</v>
      </c>
      <c r="E737" s="20" t="s">
        <v>295</v>
      </c>
      <c r="F737" s="22"/>
    </row>
    <row r="738" spans="1:6" ht="28" customHeight="1">
      <c r="A738" s="19" t="s">
        <v>293</v>
      </c>
      <c r="B738" s="25" t="s">
        <v>2052</v>
      </c>
      <c r="C738" s="24" t="s">
        <v>2051</v>
      </c>
      <c r="D738" s="23" t="s">
        <v>1973</v>
      </c>
      <c r="E738" s="20" t="s">
        <v>295</v>
      </c>
      <c r="F738" s="22"/>
    </row>
    <row r="739" spans="1:6" ht="28" customHeight="1">
      <c r="A739" s="19" t="s">
        <v>293</v>
      </c>
      <c r="B739" s="25" t="s">
        <v>225</v>
      </c>
      <c r="C739" s="24" t="s">
        <v>2050</v>
      </c>
      <c r="D739" s="23" t="s">
        <v>1973</v>
      </c>
      <c r="E739" s="20" t="s">
        <v>295</v>
      </c>
      <c r="F739" s="22"/>
    </row>
    <row r="740" spans="1:6" ht="28" customHeight="1">
      <c r="A740" s="19" t="s">
        <v>293</v>
      </c>
      <c r="B740" s="25" t="s">
        <v>2049</v>
      </c>
      <c r="C740" s="24" t="s">
        <v>2048</v>
      </c>
      <c r="D740" s="23" t="s">
        <v>1973</v>
      </c>
      <c r="E740" s="20" t="s">
        <v>295</v>
      </c>
      <c r="F740" s="22"/>
    </row>
    <row r="741" spans="1:6" ht="28" customHeight="1">
      <c r="A741" s="19" t="s">
        <v>293</v>
      </c>
      <c r="B741" s="25" t="s">
        <v>2047</v>
      </c>
      <c r="C741" s="24" t="s">
        <v>2046</v>
      </c>
      <c r="D741" s="23" t="s">
        <v>1973</v>
      </c>
      <c r="E741" s="20" t="s">
        <v>295</v>
      </c>
      <c r="F741" s="22"/>
    </row>
    <row r="742" spans="1:6" ht="28" customHeight="1">
      <c r="A742" s="19" t="s">
        <v>293</v>
      </c>
      <c r="B742" s="25" t="s">
        <v>2045</v>
      </c>
      <c r="C742" s="24" t="s">
        <v>2044</v>
      </c>
      <c r="D742" s="23" t="s">
        <v>1973</v>
      </c>
      <c r="E742" s="20" t="s">
        <v>295</v>
      </c>
      <c r="F742" s="22"/>
    </row>
    <row r="743" spans="1:6" ht="28" customHeight="1">
      <c r="A743" s="19" t="s">
        <v>293</v>
      </c>
      <c r="B743" s="25" t="s">
        <v>2043</v>
      </c>
      <c r="C743" s="24" t="s">
        <v>2042</v>
      </c>
      <c r="D743" s="23" t="s">
        <v>1973</v>
      </c>
      <c r="E743" s="20" t="s">
        <v>295</v>
      </c>
      <c r="F743" s="22"/>
    </row>
    <row r="744" spans="1:6" ht="28" customHeight="1">
      <c r="A744" s="19" t="s">
        <v>293</v>
      </c>
      <c r="B744" s="25" t="s">
        <v>2041</v>
      </c>
      <c r="C744" s="24" t="s">
        <v>2040</v>
      </c>
      <c r="D744" s="23" t="s">
        <v>1973</v>
      </c>
      <c r="E744" s="20" t="s">
        <v>295</v>
      </c>
      <c r="F744" s="22"/>
    </row>
    <row r="745" spans="1:6" ht="28" customHeight="1">
      <c r="A745" s="19" t="s">
        <v>293</v>
      </c>
      <c r="B745" s="25" t="s">
        <v>2039</v>
      </c>
      <c r="C745" s="24" t="s">
        <v>2038</v>
      </c>
      <c r="D745" s="23" t="s">
        <v>1973</v>
      </c>
      <c r="E745" s="20" t="s">
        <v>295</v>
      </c>
      <c r="F745" s="22"/>
    </row>
    <row r="746" spans="1:6" ht="28" customHeight="1">
      <c r="A746" s="19" t="s">
        <v>293</v>
      </c>
      <c r="B746" s="25" t="s">
        <v>2037</v>
      </c>
      <c r="C746" s="24" t="s">
        <v>2036</v>
      </c>
      <c r="D746" s="23" t="s">
        <v>1973</v>
      </c>
      <c r="E746" s="20" t="s">
        <v>295</v>
      </c>
      <c r="F746" s="22"/>
    </row>
    <row r="747" spans="1:6" ht="28" customHeight="1">
      <c r="A747" s="19" t="s">
        <v>293</v>
      </c>
      <c r="B747" s="25" t="s">
        <v>2035</v>
      </c>
      <c r="C747" s="24" t="s">
        <v>2034</v>
      </c>
      <c r="D747" s="23" t="s">
        <v>1973</v>
      </c>
      <c r="E747" s="20" t="s">
        <v>295</v>
      </c>
      <c r="F747" s="22"/>
    </row>
    <row r="748" spans="1:6" ht="28" customHeight="1">
      <c r="A748" s="19" t="s">
        <v>293</v>
      </c>
      <c r="B748" s="25" t="s">
        <v>2033</v>
      </c>
      <c r="C748" s="24" t="s">
        <v>2032</v>
      </c>
      <c r="D748" s="23" t="s">
        <v>1973</v>
      </c>
      <c r="E748" s="20" t="s">
        <v>295</v>
      </c>
      <c r="F748" s="22"/>
    </row>
    <row r="749" spans="1:6" ht="28" customHeight="1">
      <c r="A749" s="19" t="s">
        <v>293</v>
      </c>
      <c r="B749" s="25" t="s">
        <v>2031</v>
      </c>
      <c r="C749" s="24" t="s">
        <v>2030</v>
      </c>
      <c r="D749" s="23" t="s">
        <v>1973</v>
      </c>
      <c r="E749" s="20" t="s">
        <v>295</v>
      </c>
      <c r="F749" s="22"/>
    </row>
    <row r="750" spans="1:6" ht="28" customHeight="1">
      <c r="A750" s="19" t="s">
        <v>293</v>
      </c>
      <c r="B750" s="25" t="s">
        <v>2029</v>
      </c>
      <c r="C750" s="24" t="s">
        <v>2028</v>
      </c>
      <c r="D750" s="23" t="s">
        <v>1973</v>
      </c>
      <c r="E750" s="20" t="s">
        <v>295</v>
      </c>
      <c r="F750" s="22"/>
    </row>
    <row r="751" spans="1:6" ht="28" customHeight="1">
      <c r="A751" s="19" t="s">
        <v>293</v>
      </c>
      <c r="B751" s="25" t="s">
        <v>2027</v>
      </c>
      <c r="C751" s="24" t="s">
        <v>2026</v>
      </c>
      <c r="D751" s="23" t="s">
        <v>1973</v>
      </c>
      <c r="E751" s="20" t="s">
        <v>295</v>
      </c>
      <c r="F751" s="22"/>
    </row>
    <row r="752" spans="1:6" ht="28" customHeight="1">
      <c r="A752" s="19" t="s">
        <v>293</v>
      </c>
      <c r="B752" s="25" t="s">
        <v>2025</v>
      </c>
      <c r="C752" s="24" t="s">
        <v>2024</v>
      </c>
      <c r="D752" s="23" t="s">
        <v>1973</v>
      </c>
      <c r="E752" s="20" t="s">
        <v>295</v>
      </c>
      <c r="F752" s="22"/>
    </row>
    <row r="753" spans="1:6" ht="28" customHeight="1">
      <c r="A753" s="19" t="s">
        <v>293</v>
      </c>
      <c r="B753" s="25" t="s">
        <v>2023</v>
      </c>
      <c r="C753" s="24" t="s">
        <v>2022</v>
      </c>
      <c r="D753" s="23" t="s">
        <v>1973</v>
      </c>
      <c r="E753" s="20" t="s">
        <v>295</v>
      </c>
      <c r="F753" s="22"/>
    </row>
    <row r="754" spans="1:6" ht="14" customHeight="1">
      <c r="A754" s="19" t="s">
        <v>293</v>
      </c>
      <c r="B754" s="25" t="s">
        <v>2021</v>
      </c>
      <c r="C754" s="24" t="s">
        <v>2020</v>
      </c>
      <c r="D754" s="23" t="s">
        <v>1970</v>
      </c>
      <c r="E754" s="20" t="s">
        <v>295</v>
      </c>
      <c r="F754" s="22"/>
    </row>
    <row r="755" spans="1:6" ht="14" customHeight="1">
      <c r="A755" s="19" t="s">
        <v>293</v>
      </c>
      <c r="B755" s="25" t="s">
        <v>2019</v>
      </c>
      <c r="C755" s="24" t="s">
        <v>2018</v>
      </c>
      <c r="D755" s="23" t="s">
        <v>1965</v>
      </c>
      <c r="E755" s="20" t="s">
        <v>295</v>
      </c>
      <c r="F755" s="22"/>
    </row>
    <row r="756" spans="1:6" ht="14" customHeight="1">
      <c r="A756" s="19" t="s">
        <v>293</v>
      </c>
      <c r="B756" s="25" t="s">
        <v>2017</v>
      </c>
      <c r="C756" s="24" t="s">
        <v>2016</v>
      </c>
      <c r="D756" s="23" t="s">
        <v>1965</v>
      </c>
      <c r="E756" s="20" t="s">
        <v>295</v>
      </c>
      <c r="F756" s="22"/>
    </row>
    <row r="757" spans="1:6">
      <c r="A757" s="26"/>
      <c r="B757" s="26"/>
      <c r="C757" s="26" t="s">
        <v>2015</v>
      </c>
      <c r="D757" s="26"/>
      <c r="E757" s="26"/>
    </row>
    <row r="758" spans="1:6" ht="28" customHeight="1">
      <c r="A758" s="19" t="s">
        <v>293</v>
      </c>
      <c r="B758" s="25" t="s">
        <v>2014</v>
      </c>
      <c r="C758" s="24" t="s">
        <v>2013</v>
      </c>
      <c r="D758" s="23" t="s">
        <v>2006</v>
      </c>
      <c r="E758" s="20" t="s">
        <v>295</v>
      </c>
      <c r="F758" s="22"/>
    </row>
    <row r="759" spans="1:6" ht="28" customHeight="1">
      <c r="A759" s="19" t="s">
        <v>293</v>
      </c>
      <c r="B759" s="25" t="s">
        <v>2012</v>
      </c>
      <c r="C759" s="24" t="s">
        <v>2011</v>
      </c>
      <c r="D759" s="23" t="s">
        <v>2006</v>
      </c>
      <c r="E759" s="20" t="s">
        <v>295</v>
      </c>
      <c r="F759" s="22"/>
    </row>
    <row r="760" spans="1:6" ht="28" customHeight="1">
      <c r="A760" s="19" t="s">
        <v>293</v>
      </c>
      <c r="B760" s="25" t="s">
        <v>2010</v>
      </c>
      <c r="C760" s="24" t="s">
        <v>2009</v>
      </c>
      <c r="D760" s="23" t="s">
        <v>2006</v>
      </c>
      <c r="E760" s="20" t="s">
        <v>295</v>
      </c>
      <c r="F760" s="22"/>
    </row>
    <row r="761" spans="1:6" ht="28" customHeight="1">
      <c r="A761" s="19" t="s">
        <v>293</v>
      </c>
      <c r="B761" s="25" t="s">
        <v>2008</v>
      </c>
      <c r="C761" s="24" t="s">
        <v>2007</v>
      </c>
      <c r="D761" s="23" t="s">
        <v>2006</v>
      </c>
      <c r="E761" s="20" t="s">
        <v>295</v>
      </c>
      <c r="F761" s="22"/>
    </row>
    <row r="762" spans="1:6" ht="28" customHeight="1">
      <c r="A762" s="19" t="s">
        <v>293</v>
      </c>
      <c r="B762" s="25" t="s">
        <v>2005</v>
      </c>
      <c r="C762" s="24" t="s">
        <v>2004</v>
      </c>
      <c r="D762" s="23" t="s">
        <v>1973</v>
      </c>
      <c r="E762" s="20" t="s">
        <v>295</v>
      </c>
      <c r="F762" s="22"/>
    </row>
    <row r="763" spans="1:6" ht="28" customHeight="1">
      <c r="A763" s="19" t="s">
        <v>293</v>
      </c>
      <c r="B763" s="25" t="s">
        <v>2003</v>
      </c>
      <c r="C763" s="24" t="s">
        <v>2002</v>
      </c>
      <c r="D763" s="23" t="s">
        <v>1973</v>
      </c>
      <c r="E763" s="20" t="s">
        <v>295</v>
      </c>
      <c r="F763" s="22"/>
    </row>
    <row r="764" spans="1:6" ht="28" customHeight="1">
      <c r="A764" s="19" t="s">
        <v>293</v>
      </c>
      <c r="B764" s="25" t="s">
        <v>2001</v>
      </c>
      <c r="C764" s="24" t="s">
        <v>2000</v>
      </c>
      <c r="D764" s="23" t="s">
        <v>1973</v>
      </c>
      <c r="E764" s="20" t="s">
        <v>295</v>
      </c>
      <c r="F764" s="22"/>
    </row>
    <row r="765" spans="1:6" ht="28" customHeight="1">
      <c r="A765" s="19" t="s">
        <v>293</v>
      </c>
      <c r="B765" s="25" t="s">
        <v>1999</v>
      </c>
      <c r="C765" s="24" t="s">
        <v>1998</v>
      </c>
      <c r="D765" s="23" t="s">
        <v>1973</v>
      </c>
      <c r="E765" s="20" t="s">
        <v>295</v>
      </c>
      <c r="F765" s="22"/>
    </row>
    <row r="766" spans="1:6" ht="28" customHeight="1">
      <c r="A766" s="19" t="s">
        <v>293</v>
      </c>
      <c r="B766" s="25" t="s">
        <v>1997</v>
      </c>
      <c r="C766" s="24" t="s">
        <v>1996</v>
      </c>
      <c r="D766" s="23" t="s">
        <v>1973</v>
      </c>
      <c r="E766" s="20" t="s">
        <v>295</v>
      </c>
      <c r="F766" s="22"/>
    </row>
    <row r="767" spans="1:6" ht="28" customHeight="1">
      <c r="A767" s="19" t="s">
        <v>293</v>
      </c>
      <c r="B767" s="25" t="s">
        <v>1995</v>
      </c>
      <c r="C767" s="24" t="s">
        <v>1994</v>
      </c>
      <c r="D767" s="23" t="s">
        <v>1973</v>
      </c>
      <c r="E767" s="20" t="s">
        <v>295</v>
      </c>
      <c r="F767" s="22"/>
    </row>
    <row r="768" spans="1:6" ht="28" customHeight="1">
      <c r="A768" s="19" t="s">
        <v>293</v>
      </c>
      <c r="B768" s="25" t="s">
        <v>1993</v>
      </c>
      <c r="C768" s="24" t="s">
        <v>1992</v>
      </c>
      <c r="D768" s="23" t="s">
        <v>1973</v>
      </c>
      <c r="E768" s="20" t="s">
        <v>295</v>
      </c>
      <c r="F768" s="22"/>
    </row>
    <row r="769" spans="1:6" ht="28" customHeight="1">
      <c r="A769" s="19" t="s">
        <v>293</v>
      </c>
      <c r="B769" s="25" t="s">
        <v>1991</v>
      </c>
      <c r="C769" s="24" t="s">
        <v>1990</v>
      </c>
      <c r="D769" s="23" t="s">
        <v>1973</v>
      </c>
      <c r="E769" s="20" t="s">
        <v>295</v>
      </c>
      <c r="F769" s="22"/>
    </row>
    <row r="770" spans="1:6" ht="28" customHeight="1">
      <c r="A770" s="19" t="s">
        <v>293</v>
      </c>
      <c r="B770" s="25" t="s">
        <v>1989</v>
      </c>
      <c r="C770" s="24" t="s">
        <v>1988</v>
      </c>
      <c r="D770" s="23" t="s">
        <v>1973</v>
      </c>
      <c r="E770" s="20" t="s">
        <v>295</v>
      </c>
      <c r="F770" s="22"/>
    </row>
    <row r="771" spans="1:6" ht="28" customHeight="1">
      <c r="A771" s="19" t="s">
        <v>293</v>
      </c>
      <c r="B771" s="25" t="s">
        <v>1987</v>
      </c>
      <c r="C771" s="24" t="s">
        <v>1986</v>
      </c>
      <c r="D771" s="23" t="s">
        <v>1973</v>
      </c>
      <c r="E771" s="20" t="s">
        <v>295</v>
      </c>
      <c r="F771" s="22"/>
    </row>
    <row r="772" spans="1:6" ht="28" customHeight="1">
      <c r="A772" s="19" t="s">
        <v>293</v>
      </c>
      <c r="B772" s="25" t="s">
        <v>1985</v>
      </c>
      <c r="C772" s="24" t="s">
        <v>1984</v>
      </c>
      <c r="D772" s="23" t="s">
        <v>1973</v>
      </c>
      <c r="E772" s="20" t="s">
        <v>295</v>
      </c>
      <c r="F772" s="22"/>
    </row>
    <row r="773" spans="1:6" ht="28" customHeight="1">
      <c r="A773" s="19" t="s">
        <v>293</v>
      </c>
      <c r="B773" s="25" t="s">
        <v>1983</v>
      </c>
      <c r="C773" s="24" t="s">
        <v>1982</v>
      </c>
      <c r="D773" s="23" t="s">
        <v>1973</v>
      </c>
      <c r="E773" s="20" t="s">
        <v>295</v>
      </c>
      <c r="F773" s="22"/>
    </row>
    <row r="774" spans="1:6" ht="28" customHeight="1">
      <c r="A774" s="19" t="s">
        <v>293</v>
      </c>
      <c r="B774" s="25" t="s">
        <v>1981</v>
      </c>
      <c r="C774" s="24" t="s">
        <v>1980</v>
      </c>
      <c r="D774" s="23" t="s">
        <v>1973</v>
      </c>
      <c r="E774" s="20" t="s">
        <v>295</v>
      </c>
      <c r="F774" s="22"/>
    </row>
    <row r="775" spans="1:6" ht="28" customHeight="1">
      <c r="A775" s="19" t="s">
        <v>293</v>
      </c>
      <c r="B775" s="25" t="s">
        <v>1979</v>
      </c>
      <c r="C775" s="24" t="s">
        <v>1978</v>
      </c>
      <c r="D775" s="23" t="s">
        <v>1973</v>
      </c>
      <c r="E775" s="20" t="s">
        <v>295</v>
      </c>
      <c r="F775" s="22"/>
    </row>
    <row r="776" spans="1:6" ht="28" customHeight="1">
      <c r="A776" s="19" t="s">
        <v>293</v>
      </c>
      <c r="B776" s="25" t="s">
        <v>1977</v>
      </c>
      <c r="C776" s="24" t="s">
        <v>1976</v>
      </c>
      <c r="D776" s="23" t="s">
        <v>1973</v>
      </c>
      <c r="E776" s="20" t="s">
        <v>295</v>
      </c>
      <c r="F776" s="22"/>
    </row>
    <row r="777" spans="1:6" ht="28" customHeight="1">
      <c r="A777" s="19" t="s">
        <v>293</v>
      </c>
      <c r="B777" s="25" t="s">
        <v>1975</v>
      </c>
      <c r="C777" s="24" t="s">
        <v>1974</v>
      </c>
      <c r="D777" s="23" t="s">
        <v>1973</v>
      </c>
      <c r="E777" s="20" t="s">
        <v>295</v>
      </c>
      <c r="F777" s="22"/>
    </row>
    <row r="778" spans="1:6" ht="14" customHeight="1">
      <c r="A778" s="19" t="s">
        <v>293</v>
      </c>
      <c r="B778" s="25" t="s">
        <v>1972</v>
      </c>
      <c r="C778" s="24" t="s">
        <v>1971</v>
      </c>
      <c r="D778" s="23" t="s">
        <v>1970</v>
      </c>
      <c r="E778" s="20" t="s">
        <v>295</v>
      </c>
      <c r="F778" s="22"/>
    </row>
    <row r="779" spans="1:6" ht="14" customHeight="1">
      <c r="A779" s="19" t="s">
        <v>293</v>
      </c>
      <c r="B779" s="25" t="s">
        <v>1969</v>
      </c>
      <c r="C779" s="24" t="s">
        <v>1968</v>
      </c>
      <c r="D779" s="23" t="s">
        <v>1965</v>
      </c>
      <c r="E779" s="20" t="s">
        <v>295</v>
      </c>
      <c r="F779" s="22"/>
    </row>
    <row r="780" spans="1:6" ht="14" customHeight="1">
      <c r="A780" s="19" t="s">
        <v>293</v>
      </c>
      <c r="B780" s="25" t="s">
        <v>1967</v>
      </c>
      <c r="C780" s="24" t="s">
        <v>1966</v>
      </c>
      <c r="D780" s="23" t="s">
        <v>1965</v>
      </c>
      <c r="E780" s="20" t="s">
        <v>295</v>
      </c>
      <c r="F780" s="22"/>
    </row>
    <row r="781" spans="1:6">
      <c r="A781" s="26"/>
      <c r="B781" s="26"/>
      <c r="C781" s="26" t="s">
        <v>1964</v>
      </c>
      <c r="D781" s="26"/>
      <c r="E781" s="26"/>
    </row>
    <row r="782" spans="1:6" ht="28" customHeight="1">
      <c r="A782" s="19" t="s">
        <v>293</v>
      </c>
      <c r="B782" s="25" t="s">
        <v>1963</v>
      </c>
      <c r="C782" s="24" t="s">
        <v>1962</v>
      </c>
      <c r="D782" s="23" t="s">
        <v>1498</v>
      </c>
      <c r="E782" s="20" t="s">
        <v>295</v>
      </c>
      <c r="F782" s="22"/>
    </row>
    <row r="783" spans="1:6" ht="28" customHeight="1">
      <c r="A783" s="19" t="s">
        <v>293</v>
      </c>
      <c r="B783" s="25" t="s">
        <v>1961</v>
      </c>
      <c r="C783" s="24" t="s">
        <v>1960</v>
      </c>
      <c r="D783" s="23" t="s">
        <v>1498</v>
      </c>
      <c r="E783" s="20" t="s">
        <v>295</v>
      </c>
      <c r="F783" s="22"/>
    </row>
    <row r="784" spans="1:6" ht="28" customHeight="1">
      <c r="A784" s="19" t="s">
        <v>293</v>
      </c>
      <c r="B784" s="25" t="s">
        <v>1959</v>
      </c>
      <c r="C784" s="24" t="s">
        <v>1958</v>
      </c>
      <c r="D784" s="23" t="s">
        <v>1498</v>
      </c>
      <c r="E784" s="20" t="s">
        <v>295</v>
      </c>
      <c r="F784" s="22"/>
    </row>
    <row r="785" spans="1:6" ht="28" customHeight="1">
      <c r="A785" s="19" t="s">
        <v>293</v>
      </c>
      <c r="B785" s="25" t="s">
        <v>1957</v>
      </c>
      <c r="C785" s="24" t="s">
        <v>1956</v>
      </c>
      <c r="D785" s="23" t="s">
        <v>1498</v>
      </c>
      <c r="E785" s="20" t="s">
        <v>295</v>
      </c>
      <c r="F785" s="22"/>
    </row>
    <row r="786" spans="1:6" ht="28" customHeight="1">
      <c r="A786" s="19" t="s">
        <v>293</v>
      </c>
      <c r="B786" s="25" t="s">
        <v>1955</v>
      </c>
      <c r="C786" s="24" t="s">
        <v>1954</v>
      </c>
      <c r="D786" s="23" t="s">
        <v>1481</v>
      </c>
      <c r="E786" s="20" t="s">
        <v>295</v>
      </c>
      <c r="F786" s="22"/>
    </row>
    <row r="787" spans="1:6" ht="28" customHeight="1">
      <c r="A787" s="19" t="s">
        <v>293</v>
      </c>
      <c r="B787" s="25" t="s">
        <v>1953</v>
      </c>
      <c r="C787" s="24" t="s">
        <v>1952</v>
      </c>
      <c r="D787" s="23" t="s">
        <v>1481</v>
      </c>
      <c r="E787" s="20" t="s">
        <v>295</v>
      </c>
      <c r="F787" s="22"/>
    </row>
    <row r="788" spans="1:6" ht="28" customHeight="1">
      <c r="A788" s="19" t="s">
        <v>293</v>
      </c>
      <c r="B788" s="25" t="s">
        <v>1951</v>
      </c>
      <c r="C788" s="24" t="s">
        <v>1950</v>
      </c>
      <c r="D788" s="23" t="s">
        <v>1481</v>
      </c>
      <c r="E788" s="20" t="s">
        <v>295</v>
      </c>
      <c r="F788" s="22"/>
    </row>
    <row r="789" spans="1:6" ht="28" customHeight="1">
      <c r="A789" s="19" t="s">
        <v>293</v>
      </c>
      <c r="B789" s="25" t="s">
        <v>1949</v>
      </c>
      <c r="C789" s="24" t="s">
        <v>1948</v>
      </c>
      <c r="D789" s="23" t="s">
        <v>1481</v>
      </c>
      <c r="E789" s="20" t="s">
        <v>295</v>
      </c>
      <c r="F789" s="22"/>
    </row>
    <row r="790" spans="1:6" ht="28" customHeight="1">
      <c r="A790" s="19" t="s">
        <v>293</v>
      </c>
      <c r="B790" s="25" t="s">
        <v>1947</v>
      </c>
      <c r="C790" s="24" t="s">
        <v>1946</v>
      </c>
      <c r="D790" s="23" t="s">
        <v>1481</v>
      </c>
      <c r="E790" s="20" t="s">
        <v>295</v>
      </c>
      <c r="F790" s="22"/>
    </row>
    <row r="791" spans="1:6" ht="28" customHeight="1">
      <c r="A791" s="19" t="s">
        <v>293</v>
      </c>
      <c r="B791" s="25" t="s">
        <v>1945</v>
      </c>
      <c r="C791" s="24" t="s">
        <v>1944</v>
      </c>
      <c r="D791" s="23" t="s">
        <v>1481</v>
      </c>
      <c r="E791" s="20" t="s">
        <v>295</v>
      </c>
      <c r="F791" s="22"/>
    </row>
    <row r="792" spans="1:6" ht="28" customHeight="1">
      <c r="A792" s="19" t="s">
        <v>293</v>
      </c>
      <c r="B792" s="25" t="s">
        <v>1943</v>
      </c>
      <c r="C792" s="24" t="s">
        <v>1942</v>
      </c>
      <c r="D792" s="23" t="s">
        <v>1481</v>
      </c>
      <c r="E792" s="20" t="s">
        <v>295</v>
      </c>
      <c r="F792" s="22"/>
    </row>
    <row r="793" spans="1:6" ht="28" customHeight="1">
      <c r="A793" s="19" t="s">
        <v>293</v>
      </c>
      <c r="B793" s="25" t="s">
        <v>1941</v>
      </c>
      <c r="C793" s="24" t="s">
        <v>1940</v>
      </c>
      <c r="D793" s="23" t="s">
        <v>1481</v>
      </c>
      <c r="E793" s="20" t="s">
        <v>295</v>
      </c>
      <c r="F793" s="22"/>
    </row>
    <row r="794" spans="1:6" ht="28" customHeight="1">
      <c r="A794" s="19" t="s">
        <v>293</v>
      </c>
      <c r="B794" s="25" t="s">
        <v>1939</v>
      </c>
      <c r="C794" s="24" t="s">
        <v>1938</v>
      </c>
      <c r="D794" s="23" t="s">
        <v>1481</v>
      </c>
      <c r="E794" s="20" t="s">
        <v>295</v>
      </c>
      <c r="F794" s="22"/>
    </row>
    <row r="795" spans="1:6" ht="28" customHeight="1">
      <c r="A795" s="19" t="s">
        <v>293</v>
      </c>
      <c r="B795" s="25" t="s">
        <v>1937</v>
      </c>
      <c r="C795" s="24" t="s">
        <v>1936</v>
      </c>
      <c r="D795" s="23" t="s">
        <v>1481</v>
      </c>
      <c r="E795" s="20" t="s">
        <v>295</v>
      </c>
      <c r="F795" s="22"/>
    </row>
    <row r="796" spans="1:6" ht="28" customHeight="1">
      <c r="A796" s="19" t="s">
        <v>293</v>
      </c>
      <c r="B796" s="25" t="s">
        <v>1935</v>
      </c>
      <c r="C796" s="24" t="s">
        <v>1934</v>
      </c>
      <c r="D796" s="23" t="s">
        <v>859</v>
      </c>
      <c r="E796" s="20" t="s">
        <v>295</v>
      </c>
      <c r="F796" s="22"/>
    </row>
    <row r="797" spans="1:6" ht="28" customHeight="1">
      <c r="A797" s="19" t="s">
        <v>293</v>
      </c>
      <c r="B797" s="25" t="s">
        <v>1933</v>
      </c>
      <c r="C797" s="24" t="s">
        <v>1932</v>
      </c>
      <c r="D797" s="23" t="s">
        <v>859</v>
      </c>
      <c r="E797" s="20" t="s">
        <v>295</v>
      </c>
      <c r="F797" s="22"/>
    </row>
    <row r="798" spans="1:6" ht="28" customHeight="1">
      <c r="A798" s="19" t="s">
        <v>293</v>
      </c>
      <c r="B798" s="25" t="s">
        <v>1931</v>
      </c>
      <c r="C798" s="24" t="s">
        <v>1930</v>
      </c>
      <c r="D798" s="23" t="s">
        <v>859</v>
      </c>
      <c r="E798" s="20" t="s">
        <v>295</v>
      </c>
      <c r="F798" s="22"/>
    </row>
    <row r="799" spans="1:6" ht="28" customHeight="1">
      <c r="A799" s="19" t="s">
        <v>293</v>
      </c>
      <c r="B799" s="25" t="s">
        <v>1929</v>
      </c>
      <c r="C799" s="24" t="s">
        <v>1928</v>
      </c>
      <c r="D799" s="23" t="s">
        <v>859</v>
      </c>
      <c r="E799" s="20" t="s">
        <v>295</v>
      </c>
      <c r="F799" s="22"/>
    </row>
    <row r="800" spans="1:6">
      <c r="A800" s="26"/>
      <c r="B800" s="26"/>
      <c r="C800" s="26" t="s">
        <v>1927</v>
      </c>
      <c r="D800" s="26"/>
      <c r="E800" s="26"/>
    </row>
    <row r="801" spans="1:6" ht="28" customHeight="1">
      <c r="A801" s="19" t="s">
        <v>293</v>
      </c>
      <c r="B801" s="25" t="s">
        <v>1926</v>
      </c>
      <c r="C801" s="24" t="s">
        <v>1925</v>
      </c>
      <c r="D801" s="23" t="s">
        <v>1498</v>
      </c>
      <c r="E801" s="20" t="s">
        <v>295</v>
      </c>
      <c r="F801" s="22"/>
    </row>
    <row r="802" spans="1:6" ht="28" customHeight="1">
      <c r="A802" s="19" t="s">
        <v>293</v>
      </c>
      <c r="B802" s="25" t="s">
        <v>1924</v>
      </c>
      <c r="C802" s="24" t="s">
        <v>1923</v>
      </c>
      <c r="D802" s="23" t="s">
        <v>1498</v>
      </c>
      <c r="E802" s="20" t="s">
        <v>295</v>
      </c>
      <c r="F802" s="22"/>
    </row>
    <row r="803" spans="1:6" ht="28" customHeight="1">
      <c r="A803" s="19" t="s">
        <v>293</v>
      </c>
      <c r="B803" s="25" t="s">
        <v>1922</v>
      </c>
      <c r="C803" s="24" t="s">
        <v>1921</v>
      </c>
      <c r="D803" s="23" t="s">
        <v>1498</v>
      </c>
      <c r="E803" s="20" t="s">
        <v>295</v>
      </c>
      <c r="F803" s="22"/>
    </row>
    <row r="804" spans="1:6" ht="28" customHeight="1">
      <c r="A804" s="19" t="s">
        <v>293</v>
      </c>
      <c r="B804" s="25" t="s">
        <v>1920</v>
      </c>
      <c r="C804" s="24" t="s">
        <v>1919</v>
      </c>
      <c r="D804" s="23" t="s">
        <v>1498</v>
      </c>
      <c r="E804" s="20" t="s">
        <v>295</v>
      </c>
      <c r="F804" s="22"/>
    </row>
    <row r="805" spans="1:6" ht="28" customHeight="1">
      <c r="A805" s="19" t="s">
        <v>293</v>
      </c>
      <c r="B805" s="25" t="s">
        <v>1918</v>
      </c>
      <c r="C805" s="24" t="s">
        <v>1917</v>
      </c>
      <c r="D805" s="23" t="s">
        <v>1481</v>
      </c>
      <c r="E805" s="20" t="s">
        <v>295</v>
      </c>
      <c r="F805" s="22"/>
    </row>
    <row r="806" spans="1:6" ht="28" customHeight="1">
      <c r="A806" s="19" t="s">
        <v>293</v>
      </c>
      <c r="B806" s="25" t="s">
        <v>1916</v>
      </c>
      <c r="C806" s="24" t="s">
        <v>1915</v>
      </c>
      <c r="D806" s="23" t="s">
        <v>1481</v>
      </c>
      <c r="E806" s="20" t="s">
        <v>295</v>
      </c>
      <c r="F806" s="22"/>
    </row>
    <row r="807" spans="1:6" ht="28" customHeight="1">
      <c r="A807" s="19" t="s">
        <v>293</v>
      </c>
      <c r="B807" s="25" t="s">
        <v>1914</v>
      </c>
      <c r="C807" s="24" t="s">
        <v>1913</v>
      </c>
      <c r="D807" s="23" t="s">
        <v>1481</v>
      </c>
      <c r="E807" s="20" t="s">
        <v>295</v>
      </c>
      <c r="F807" s="22"/>
    </row>
    <row r="808" spans="1:6" ht="28" customHeight="1">
      <c r="A808" s="19" t="s">
        <v>293</v>
      </c>
      <c r="B808" s="25" t="s">
        <v>1912</v>
      </c>
      <c r="C808" s="24" t="s">
        <v>1911</v>
      </c>
      <c r="D808" s="23" t="s">
        <v>1481</v>
      </c>
      <c r="E808" s="20" t="s">
        <v>295</v>
      </c>
      <c r="F808" s="22"/>
    </row>
    <row r="809" spans="1:6" ht="28" customHeight="1">
      <c r="A809" s="19" t="s">
        <v>293</v>
      </c>
      <c r="B809" s="25" t="s">
        <v>1910</v>
      </c>
      <c r="C809" s="24" t="s">
        <v>1909</v>
      </c>
      <c r="D809" s="23" t="s">
        <v>1481</v>
      </c>
      <c r="E809" s="20" t="s">
        <v>295</v>
      </c>
      <c r="F809" s="22"/>
    </row>
    <row r="810" spans="1:6" ht="28" customHeight="1">
      <c r="A810" s="19" t="s">
        <v>293</v>
      </c>
      <c r="B810" s="25" t="s">
        <v>1908</v>
      </c>
      <c r="C810" s="24" t="s">
        <v>1907</v>
      </c>
      <c r="D810" s="23" t="s">
        <v>1481</v>
      </c>
      <c r="E810" s="20" t="s">
        <v>295</v>
      </c>
      <c r="F810" s="22"/>
    </row>
    <row r="811" spans="1:6" ht="28" customHeight="1">
      <c r="A811" s="19" t="s">
        <v>293</v>
      </c>
      <c r="B811" s="25" t="s">
        <v>1906</v>
      </c>
      <c r="C811" s="24" t="s">
        <v>1905</v>
      </c>
      <c r="D811" s="23" t="s">
        <v>1481</v>
      </c>
      <c r="E811" s="20" t="s">
        <v>295</v>
      </c>
      <c r="F811" s="22"/>
    </row>
    <row r="812" spans="1:6" ht="28" customHeight="1">
      <c r="A812" s="19" t="s">
        <v>293</v>
      </c>
      <c r="B812" s="25" t="s">
        <v>1904</v>
      </c>
      <c r="C812" s="24" t="s">
        <v>1903</v>
      </c>
      <c r="D812" s="23" t="s">
        <v>1481</v>
      </c>
      <c r="E812" s="20" t="s">
        <v>295</v>
      </c>
      <c r="F812" s="22"/>
    </row>
    <row r="813" spans="1:6" ht="28" customHeight="1">
      <c r="A813" s="19" t="s">
        <v>293</v>
      </c>
      <c r="B813" s="25" t="s">
        <v>1902</v>
      </c>
      <c r="C813" s="24" t="s">
        <v>1901</v>
      </c>
      <c r="D813" s="23" t="s">
        <v>1481</v>
      </c>
      <c r="E813" s="20" t="s">
        <v>295</v>
      </c>
      <c r="F813" s="22"/>
    </row>
    <row r="814" spans="1:6" ht="28" customHeight="1">
      <c r="A814" s="19" t="s">
        <v>293</v>
      </c>
      <c r="B814" s="25" t="s">
        <v>1900</v>
      </c>
      <c r="C814" s="24" t="s">
        <v>1899</v>
      </c>
      <c r="D814" s="23" t="s">
        <v>1481</v>
      </c>
      <c r="E814" s="20" t="s">
        <v>295</v>
      </c>
      <c r="F814" s="22"/>
    </row>
    <row r="815" spans="1:6" ht="28" customHeight="1">
      <c r="A815" s="19" t="s">
        <v>293</v>
      </c>
      <c r="B815" s="25" t="s">
        <v>1898</v>
      </c>
      <c r="C815" s="24" t="s">
        <v>1897</v>
      </c>
      <c r="D815" s="23" t="s">
        <v>859</v>
      </c>
      <c r="E815" s="20" t="s">
        <v>295</v>
      </c>
      <c r="F815" s="22"/>
    </row>
    <row r="816" spans="1:6" ht="28" customHeight="1">
      <c r="A816" s="19" t="s">
        <v>293</v>
      </c>
      <c r="B816" s="25" t="s">
        <v>1896</v>
      </c>
      <c r="C816" s="24" t="s">
        <v>1895</v>
      </c>
      <c r="D816" s="23" t="s">
        <v>859</v>
      </c>
      <c r="E816" s="20" t="s">
        <v>295</v>
      </c>
      <c r="F816" s="22"/>
    </row>
    <row r="817" spans="1:6" ht="28" customHeight="1">
      <c r="A817" s="19" t="s">
        <v>293</v>
      </c>
      <c r="B817" s="25" t="s">
        <v>1894</v>
      </c>
      <c r="C817" s="24" t="s">
        <v>1893</v>
      </c>
      <c r="D817" s="23" t="s">
        <v>859</v>
      </c>
      <c r="E817" s="20" t="s">
        <v>295</v>
      </c>
      <c r="F817" s="22"/>
    </row>
    <row r="818" spans="1:6" ht="28" customHeight="1">
      <c r="A818" s="19" t="s">
        <v>293</v>
      </c>
      <c r="B818" s="25" t="s">
        <v>1892</v>
      </c>
      <c r="C818" s="24" t="s">
        <v>1891</v>
      </c>
      <c r="D818" s="23" t="s">
        <v>859</v>
      </c>
      <c r="E818" s="20" t="s">
        <v>295</v>
      </c>
      <c r="F818" s="22"/>
    </row>
    <row r="819" spans="1:6">
      <c r="A819" s="26"/>
      <c r="B819" s="26"/>
      <c r="C819" s="26" t="s">
        <v>1890</v>
      </c>
      <c r="D819" s="26"/>
      <c r="E819" s="26"/>
    </row>
    <row r="820" spans="1:6" ht="28" customHeight="1">
      <c r="A820" s="19" t="s">
        <v>293</v>
      </c>
      <c r="B820" s="25" t="s">
        <v>1889</v>
      </c>
      <c r="C820" s="24" t="s">
        <v>1888</v>
      </c>
      <c r="D820" s="23" t="s">
        <v>1498</v>
      </c>
      <c r="E820" s="20" t="s">
        <v>295</v>
      </c>
      <c r="F820" s="22"/>
    </row>
    <row r="821" spans="1:6" ht="28" customHeight="1">
      <c r="A821" s="19" t="s">
        <v>293</v>
      </c>
      <c r="B821" s="25" t="s">
        <v>1887</v>
      </c>
      <c r="C821" s="24" t="s">
        <v>1886</v>
      </c>
      <c r="D821" s="23" t="s">
        <v>1498</v>
      </c>
      <c r="E821" s="20" t="s">
        <v>295</v>
      </c>
      <c r="F821" s="22"/>
    </row>
    <row r="822" spans="1:6" ht="28" customHeight="1">
      <c r="A822" s="19" t="s">
        <v>293</v>
      </c>
      <c r="B822" s="25" t="s">
        <v>1885</v>
      </c>
      <c r="C822" s="24" t="s">
        <v>1884</v>
      </c>
      <c r="D822" s="23" t="s">
        <v>1498</v>
      </c>
      <c r="E822" s="20" t="s">
        <v>295</v>
      </c>
      <c r="F822" s="22"/>
    </row>
    <row r="823" spans="1:6" ht="28" customHeight="1">
      <c r="A823" s="19" t="s">
        <v>293</v>
      </c>
      <c r="B823" s="25" t="s">
        <v>1883</v>
      </c>
      <c r="C823" s="24" t="s">
        <v>1882</v>
      </c>
      <c r="D823" s="23" t="s">
        <v>1498</v>
      </c>
      <c r="E823" s="20" t="s">
        <v>295</v>
      </c>
      <c r="F823" s="22"/>
    </row>
    <row r="824" spans="1:6" ht="28" customHeight="1">
      <c r="A824" s="19" t="s">
        <v>293</v>
      </c>
      <c r="B824" s="25" t="s">
        <v>1881</v>
      </c>
      <c r="C824" s="24" t="s">
        <v>1880</v>
      </c>
      <c r="D824" s="23" t="s">
        <v>1481</v>
      </c>
      <c r="E824" s="20" t="s">
        <v>295</v>
      </c>
      <c r="F824" s="22"/>
    </row>
    <row r="825" spans="1:6" ht="28" customHeight="1">
      <c r="A825" s="19" t="s">
        <v>293</v>
      </c>
      <c r="B825" s="25" t="s">
        <v>1879</v>
      </c>
      <c r="C825" s="24" t="s">
        <v>1878</v>
      </c>
      <c r="D825" s="23" t="s">
        <v>1481</v>
      </c>
      <c r="E825" s="20" t="s">
        <v>295</v>
      </c>
      <c r="F825" s="22"/>
    </row>
    <row r="826" spans="1:6" ht="28" customHeight="1">
      <c r="A826" s="19" t="s">
        <v>293</v>
      </c>
      <c r="B826" s="25" t="s">
        <v>1877</v>
      </c>
      <c r="C826" s="24" t="s">
        <v>1876</v>
      </c>
      <c r="D826" s="23" t="s">
        <v>1481</v>
      </c>
      <c r="E826" s="20" t="s">
        <v>295</v>
      </c>
      <c r="F826" s="22"/>
    </row>
    <row r="827" spans="1:6" ht="28" customHeight="1">
      <c r="A827" s="19" t="s">
        <v>293</v>
      </c>
      <c r="B827" s="25" t="s">
        <v>1875</v>
      </c>
      <c r="C827" s="24" t="s">
        <v>1874</v>
      </c>
      <c r="D827" s="23" t="s">
        <v>1481</v>
      </c>
      <c r="E827" s="20" t="s">
        <v>295</v>
      </c>
      <c r="F827" s="22"/>
    </row>
    <row r="828" spans="1:6" ht="28" customHeight="1">
      <c r="A828" s="19" t="s">
        <v>293</v>
      </c>
      <c r="B828" s="25" t="s">
        <v>1873</v>
      </c>
      <c r="C828" s="24" t="s">
        <v>1872</v>
      </c>
      <c r="D828" s="23" t="s">
        <v>1481</v>
      </c>
      <c r="E828" s="20" t="s">
        <v>295</v>
      </c>
      <c r="F828" s="22"/>
    </row>
    <row r="829" spans="1:6" ht="28" customHeight="1">
      <c r="A829" s="19" t="s">
        <v>293</v>
      </c>
      <c r="B829" s="25" t="s">
        <v>1871</v>
      </c>
      <c r="C829" s="24" t="s">
        <v>1870</v>
      </c>
      <c r="D829" s="23" t="s">
        <v>1481</v>
      </c>
      <c r="E829" s="20" t="s">
        <v>295</v>
      </c>
      <c r="F829" s="22"/>
    </row>
    <row r="830" spans="1:6" ht="28" customHeight="1">
      <c r="A830" s="19" t="s">
        <v>293</v>
      </c>
      <c r="B830" s="25" t="s">
        <v>1869</v>
      </c>
      <c r="C830" s="24" t="s">
        <v>1868</v>
      </c>
      <c r="D830" s="23" t="s">
        <v>1481</v>
      </c>
      <c r="E830" s="20" t="s">
        <v>295</v>
      </c>
      <c r="F830" s="22"/>
    </row>
    <row r="831" spans="1:6" ht="28" customHeight="1">
      <c r="A831" s="19" t="s">
        <v>293</v>
      </c>
      <c r="B831" s="25" t="s">
        <v>1867</v>
      </c>
      <c r="C831" s="24" t="s">
        <v>1866</v>
      </c>
      <c r="D831" s="23" t="s">
        <v>1481</v>
      </c>
      <c r="E831" s="20" t="s">
        <v>295</v>
      </c>
      <c r="F831" s="22"/>
    </row>
    <row r="832" spans="1:6" ht="28" customHeight="1">
      <c r="A832" s="19" t="s">
        <v>293</v>
      </c>
      <c r="B832" s="25" t="s">
        <v>1865</v>
      </c>
      <c r="C832" s="24" t="s">
        <v>1864</v>
      </c>
      <c r="D832" s="23" t="s">
        <v>1481</v>
      </c>
      <c r="E832" s="20" t="s">
        <v>295</v>
      </c>
      <c r="F832" s="22"/>
    </row>
    <row r="833" spans="1:6" ht="28" customHeight="1">
      <c r="A833" s="19" t="s">
        <v>293</v>
      </c>
      <c r="B833" s="25" t="s">
        <v>1863</v>
      </c>
      <c r="C833" s="24" t="s">
        <v>1862</v>
      </c>
      <c r="D833" s="23" t="s">
        <v>1481</v>
      </c>
      <c r="E833" s="20" t="s">
        <v>295</v>
      </c>
      <c r="F833" s="22"/>
    </row>
    <row r="834" spans="1:6" ht="28" customHeight="1">
      <c r="A834" s="19" t="s">
        <v>293</v>
      </c>
      <c r="B834" s="25" t="s">
        <v>1861</v>
      </c>
      <c r="C834" s="24" t="s">
        <v>1860</v>
      </c>
      <c r="D834" s="23" t="s">
        <v>859</v>
      </c>
      <c r="E834" s="20" t="s">
        <v>295</v>
      </c>
      <c r="F834" s="22"/>
    </row>
    <row r="835" spans="1:6" ht="28" customHeight="1">
      <c r="A835" s="19" t="s">
        <v>293</v>
      </c>
      <c r="B835" s="25" t="s">
        <v>1859</v>
      </c>
      <c r="C835" s="24" t="s">
        <v>1858</v>
      </c>
      <c r="D835" s="23" t="s">
        <v>859</v>
      </c>
      <c r="E835" s="20" t="s">
        <v>295</v>
      </c>
      <c r="F835" s="22"/>
    </row>
    <row r="836" spans="1:6" ht="28" customHeight="1">
      <c r="A836" s="19" t="s">
        <v>293</v>
      </c>
      <c r="B836" s="25" t="s">
        <v>1857</v>
      </c>
      <c r="C836" s="24" t="s">
        <v>1856</v>
      </c>
      <c r="D836" s="23" t="s">
        <v>859</v>
      </c>
      <c r="E836" s="20" t="s">
        <v>295</v>
      </c>
      <c r="F836" s="22"/>
    </row>
    <row r="837" spans="1:6" ht="28" customHeight="1">
      <c r="A837" s="19" t="s">
        <v>293</v>
      </c>
      <c r="B837" s="25" t="s">
        <v>1855</v>
      </c>
      <c r="C837" s="24" t="s">
        <v>1854</v>
      </c>
      <c r="D837" s="23" t="s">
        <v>859</v>
      </c>
      <c r="E837" s="20" t="s">
        <v>295</v>
      </c>
      <c r="F837" s="22"/>
    </row>
    <row r="838" spans="1:6">
      <c r="A838" s="26"/>
      <c r="B838" s="26"/>
      <c r="C838" s="26" t="s">
        <v>1853</v>
      </c>
      <c r="D838" s="26"/>
      <c r="E838" s="26"/>
    </row>
    <row r="839" spans="1:6" ht="28" customHeight="1">
      <c r="A839" s="19" t="s">
        <v>293</v>
      </c>
      <c r="B839" s="25" t="s">
        <v>1852</v>
      </c>
      <c r="C839" s="24" t="s">
        <v>1851</v>
      </c>
      <c r="D839" s="23" t="s">
        <v>1294</v>
      </c>
      <c r="E839" s="20" t="s">
        <v>295</v>
      </c>
      <c r="F839" s="22"/>
    </row>
    <row r="840" spans="1:6" ht="28" customHeight="1">
      <c r="A840" s="19" t="s">
        <v>293</v>
      </c>
      <c r="B840" s="25" t="s">
        <v>1850</v>
      </c>
      <c r="C840" s="24" t="s">
        <v>1849</v>
      </c>
      <c r="D840" s="23" t="s">
        <v>1294</v>
      </c>
      <c r="E840" s="20" t="s">
        <v>295</v>
      </c>
      <c r="F840" s="22"/>
    </row>
    <row r="841" spans="1:6" ht="28" customHeight="1">
      <c r="A841" s="19" t="s">
        <v>293</v>
      </c>
      <c r="B841" s="25" t="s">
        <v>1848</v>
      </c>
      <c r="C841" s="24" t="s">
        <v>1847</v>
      </c>
      <c r="D841" s="23" t="s">
        <v>1294</v>
      </c>
      <c r="E841" s="20" t="s">
        <v>295</v>
      </c>
      <c r="F841" s="22"/>
    </row>
    <row r="842" spans="1:6" ht="28" customHeight="1">
      <c r="A842" s="19" t="s">
        <v>293</v>
      </c>
      <c r="B842" s="25" t="s">
        <v>1846</v>
      </c>
      <c r="C842" s="24" t="s">
        <v>1845</v>
      </c>
      <c r="D842" s="23" t="s">
        <v>1294</v>
      </c>
      <c r="E842" s="20" t="s">
        <v>295</v>
      </c>
      <c r="F842" s="22"/>
    </row>
    <row r="843" spans="1:6" ht="28" customHeight="1">
      <c r="A843" s="19" t="s">
        <v>293</v>
      </c>
      <c r="B843" s="25" t="s">
        <v>1844</v>
      </c>
      <c r="C843" s="24" t="s">
        <v>1843</v>
      </c>
      <c r="D843" s="23" t="s">
        <v>1285</v>
      </c>
      <c r="E843" s="20" t="s">
        <v>295</v>
      </c>
      <c r="F843" s="22"/>
    </row>
    <row r="844" spans="1:6" ht="28" customHeight="1">
      <c r="A844" s="19" t="s">
        <v>293</v>
      </c>
      <c r="B844" s="25" t="s">
        <v>1842</v>
      </c>
      <c r="C844" s="24" t="s">
        <v>1841</v>
      </c>
      <c r="D844" s="23" t="s">
        <v>1285</v>
      </c>
      <c r="E844" s="20" t="s">
        <v>295</v>
      </c>
      <c r="F844" s="22"/>
    </row>
    <row r="845" spans="1:6" ht="28" customHeight="1">
      <c r="A845" s="19" t="s">
        <v>293</v>
      </c>
      <c r="B845" s="25" t="s">
        <v>1840</v>
      </c>
      <c r="C845" s="24" t="s">
        <v>1839</v>
      </c>
      <c r="D845" s="23" t="s">
        <v>1285</v>
      </c>
      <c r="E845" s="20" t="s">
        <v>295</v>
      </c>
      <c r="F845" s="22"/>
    </row>
    <row r="846" spans="1:6" ht="28" customHeight="1">
      <c r="A846" s="19" t="s">
        <v>293</v>
      </c>
      <c r="B846" s="25" t="s">
        <v>1838</v>
      </c>
      <c r="C846" s="24" t="s">
        <v>1837</v>
      </c>
      <c r="D846" s="23" t="s">
        <v>1285</v>
      </c>
      <c r="E846" s="20" t="s">
        <v>295</v>
      </c>
      <c r="F846" s="22"/>
    </row>
    <row r="847" spans="1:6" ht="28" customHeight="1">
      <c r="A847" s="19" t="s">
        <v>293</v>
      </c>
      <c r="B847" s="25" t="s">
        <v>1836</v>
      </c>
      <c r="C847" s="24" t="s">
        <v>1835</v>
      </c>
      <c r="D847" s="23" t="s">
        <v>1276</v>
      </c>
      <c r="E847" s="20" t="s">
        <v>295</v>
      </c>
      <c r="F847" s="22"/>
    </row>
    <row r="848" spans="1:6" ht="28" customHeight="1">
      <c r="A848" s="19" t="s">
        <v>293</v>
      </c>
      <c r="B848" s="25" t="s">
        <v>1834</v>
      </c>
      <c r="C848" s="24" t="s">
        <v>1833</v>
      </c>
      <c r="D848" s="23" t="s">
        <v>1276</v>
      </c>
      <c r="E848" s="20" t="s">
        <v>295</v>
      </c>
      <c r="F848" s="22"/>
    </row>
    <row r="849" spans="1:6" ht="28" customHeight="1">
      <c r="A849" s="19" t="s">
        <v>293</v>
      </c>
      <c r="B849" s="25" t="s">
        <v>1832</v>
      </c>
      <c r="C849" s="24" t="s">
        <v>1831</v>
      </c>
      <c r="D849" s="23" t="s">
        <v>1276</v>
      </c>
      <c r="E849" s="20" t="s">
        <v>295</v>
      </c>
      <c r="F849" s="22"/>
    </row>
    <row r="850" spans="1:6" ht="28" customHeight="1">
      <c r="A850" s="19" t="s">
        <v>293</v>
      </c>
      <c r="B850" s="25" t="s">
        <v>1830</v>
      </c>
      <c r="C850" s="24" t="s">
        <v>1829</v>
      </c>
      <c r="D850" s="23" t="s">
        <v>1276</v>
      </c>
      <c r="E850" s="20" t="s">
        <v>295</v>
      </c>
      <c r="F850" s="22"/>
    </row>
    <row r="851" spans="1:6" ht="28" customHeight="1">
      <c r="A851" s="19" t="s">
        <v>293</v>
      </c>
      <c r="B851" s="25" t="s">
        <v>1828</v>
      </c>
      <c r="C851" s="24" t="s">
        <v>1827</v>
      </c>
      <c r="D851" s="23" t="s">
        <v>1276</v>
      </c>
      <c r="E851" s="20" t="s">
        <v>295</v>
      </c>
      <c r="F851" s="22"/>
    </row>
    <row r="852" spans="1:6" ht="28" customHeight="1">
      <c r="A852" s="19" t="s">
        <v>293</v>
      </c>
      <c r="B852" s="25" t="s">
        <v>1826</v>
      </c>
      <c r="C852" s="24" t="s">
        <v>1825</v>
      </c>
      <c r="D852" s="23" t="s">
        <v>1276</v>
      </c>
      <c r="E852" s="20" t="s">
        <v>295</v>
      </c>
      <c r="F852" s="22"/>
    </row>
    <row r="853" spans="1:6" ht="28" customHeight="1">
      <c r="A853" s="19" t="s">
        <v>293</v>
      </c>
      <c r="B853" s="25" t="s">
        <v>1824</v>
      </c>
      <c r="C853" s="24" t="s">
        <v>1823</v>
      </c>
      <c r="D853" s="23" t="s">
        <v>1271</v>
      </c>
      <c r="E853" s="20" t="s">
        <v>295</v>
      </c>
      <c r="F853" s="22"/>
    </row>
    <row r="854" spans="1:6" ht="28" customHeight="1">
      <c r="A854" s="19" t="s">
        <v>293</v>
      </c>
      <c r="B854" s="25" t="s">
        <v>1822</v>
      </c>
      <c r="C854" s="24" t="s">
        <v>1821</v>
      </c>
      <c r="D854" s="23" t="s">
        <v>1271</v>
      </c>
      <c r="E854" s="20" t="s">
        <v>295</v>
      </c>
      <c r="F854" s="22"/>
    </row>
    <row r="855" spans="1:6" ht="28" customHeight="1">
      <c r="A855" s="19" t="s">
        <v>293</v>
      </c>
      <c r="B855" s="25" t="s">
        <v>1820</v>
      </c>
      <c r="C855" s="24" t="s">
        <v>1819</v>
      </c>
      <c r="D855" s="23" t="s">
        <v>1271</v>
      </c>
      <c r="E855" s="20" t="s">
        <v>295</v>
      </c>
      <c r="F855" s="22"/>
    </row>
    <row r="856" spans="1:6" ht="28" customHeight="1">
      <c r="A856" s="19" t="s">
        <v>293</v>
      </c>
      <c r="B856" s="25" t="s">
        <v>1818</v>
      </c>
      <c r="C856" s="24" t="s">
        <v>1817</v>
      </c>
      <c r="D856" s="23" t="s">
        <v>1271</v>
      </c>
      <c r="E856" s="20" t="s">
        <v>295</v>
      </c>
      <c r="F856" s="22"/>
    </row>
    <row r="857" spans="1:6">
      <c r="A857" s="26"/>
      <c r="B857" s="26"/>
      <c r="C857" s="26" t="s">
        <v>1816</v>
      </c>
      <c r="D857" s="26"/>
      <c r="E857" s="26"/>
    </row>
    <row r="858" spans="1:6" ht="28" customHeight="1">
      <c r="A858" s="19" t="s">
        <v>293</v>
      </c>
      <c r="B858" s="25" t="s">
        <v>1815</v>
      </c>
      <c r="C858" s="24" t="s">
        <v>1814</v>
      </c>
      <c r="D858" s="23" t="s">
        <v>1294</v>
      </c>
      <c r="E858" s="20" t="s">
        <v>295</v>
      </c>
      <c r="F858" s="22"/>
    </row>
    <row r="859" spans="1:6" ht="28" customHeight="1">
      <c r="A859" s="19" t="s">
        <v>293</v>
      </c>
      <c r="B859" s="25" t="s">
        <v>1813</v>
      </c>
      <c r="C859" s="24" t="s">
        <v>1812</v>
      </c>
      <c r="D859" s="23" t="s">
        <v>1294</v>
      </c>
      <c r="E859" s="20" t="s">
        <v>295</v>
      </c>
      <c r="F859" s="22"/>
    </row>
    <row r="860" spans="1:6" ht="28" customHeight="1">
      <c r="A860" s="19" t="s">
        <v>293</v>
      </c>
      <c r="B860" s="25" t="s">
        <v>1811</v>
      </c>
      <c r="C860" s="24" t="s">
        <v>1810</v>
      </c>
      <c r="D860" s="23" t="s">
        <v>1294</v>
      </c>
      <c r="E860" s="20" t="s">
        <v>295</v>
      </c>
      <c r="F860" s="22"/>
    </row>
    <row r="861" spans="1:6" ht="28" customHeight="1">
      <c r="A861" s="19" t="s">
        <v>293</v>
      </c>
      <c r="B861" s="25" t="s">
        <v>1809</v>
      </c>
      <c r="C861" s="24" t="s">
        <v>1808</v>
      </c>
      <c r="D861" s="23" t="s">
        <v>1294</v>
      </c>
      <c r="E861" s="20" t="s">
        <v>295</v>
      </c>
      <c r="F861" s="22"/>
    </row>
    <row r="862" spans="1:6" ht="28" customHeight="1">
      <c r="A862" s="19" t="s">
        <v>293</v>
      </c>
      <c r="B862" s="25" t="s">
        <v>1807</v>
      </c>
      <c r="C862" s="24" t="s">
        <v>1806</v>
      </c>
      <c r="D862" s="23" t="s">
        <v>1285</v>
      </c>
      <c r="E862" s="20" t="s">
        <v>295</v>
      </c>
      <c r="F862" s="22"/>
    </row>
    <row r="863" spans="1:6" ht="28" customHeight="1">
      <c r="A863" s="19" t="s">
        <v>293</v>
      </c>
      <c r="B863" s="25" t="s">
        <v>1805</v>
      </c>
      <c r="C863" s="24" t="s">
        <v>1804</v>
      </c>
      <c r="D863" s="23" t="s">
        <v>1285</v>
      </c>
      <c r="E863" s="20" t="s">
        <v>295</v>
      </c>
      <c r="F863" s="22"/>
    </row>
    <row r="864" spans="1:6" ht="28" customHeight="1">
      <c r="A864" s="19" t="s">
        <v>293</v>
      </c>
      <c r="B864" s="25" t="s">
        <v>1803</v>
      </c>
      <c r="C864" s="24" t="s">
        <v>1802</v>
      </c>
      <c r="D864" s="23" t="s">
        <v>1285</v>
      </c>
      <c r="E864" s="20" t="s">
        <v>295</v>
      </c>
      <c r="F864" s="22"/>
    </row>
    <row r="865" spans="1:6" ht="28" customHeight="1">
      <c r="A865" s="19" t="s">
        <v>293</v>
      </c>
      <c r="B865" s="25" t="s">
        <v>1801</v>
      </c>
      <c r="C865" s="24" t="s">
        <v>1800</v>
      </c>
      <c r="D865" s="23" t="s">
        <v>1285</v>
      </c>
      <c r="E865" s="20" t="s">
        <v>295</v>
      </c>
      <c r="F865" s="22"/>
    </row>
    <row r="866" spans="1:6" ht="28" customHeight="1">
      <c r="A866" s="19" t="s">
        <v>293</v>
      </c>
      <c r="B866" s="25" t="s">
        <v>1799</v>
      </c>
      <c r="C866" s="24" t="s">
        <v>1798</v>
      </c>
      <c r="D866" s="23" t="s">
        <v>1276</v>
      </c>
      <c r="E866" s="20" t="s">
        <v>295</v>
      </c>
      <c r="F866" s="22"/>
    </row>
    <row r="867" spans="1:6" ht="28" customHeight="1">
      <c r="A867" s="19" t="s">
        <v>293</v>
      </c>
      <c r="B867" s="25" t="s">
        <v>1797</v>
      </c>
      <c r="C867" s="24" t="s">
        <v>1796</v>
      </c>
      <c r="D867" s="23" t="s">
        <v>1276</v>
      </c>
      <c r="E867" s="20" t="s">
        <v>295</v>
      </c>
      <c r="F867" s="22"/>
    </row>
    <row r="868" spans="1:6" ht="28" customHeight="1">
      <c r="A868" s="19" t="s">
        <v>293</v>
      </c>
      <c r="B868" s="25" t="s">
        <v>1795</v>
      </c>
      <c r="C868" s="24" t="s">
        <v>1794</v>
      </c>
      <c r="D868" s="23" t="s">
        <v>1276</v>
      </c>
      <c r="E868" s="20" t="s">
        <v>295</v>
      </c>
      <c r="F868" s="22"/>
    </row>
    <row r="869" spans="1:6" ht="28" customHeight="1">
      <c r="A869" s="19" t="s">
        <v>293</v>
      </c>
      <c r="B869" s="25" t="s">
        <v>1793</v>
      </c>
      <c r="C869" s="24" t="s">
        <v>1792</v>
      </c>
      <c r="D869" s="23" t="s">
        <v>1276</v>
      </c>
      <c r="E869" s="20" t="s">
        <v>295</v>
      </c>
      <c r="F869" s="22"/>
    </row>
    <row r="870" spans="1:6" ht="28" customHeight="1">
      <c r="A870" s="19" t="s">
        <v>293</v>
      </c>
      <c r="B870" s="25" t="s">
        <v>1791</v>
      </c>
      <c r="C870" s="24" t="s">
        <v>1790</v>
      </c>
      <c r="D870" s="23" t="s">
        <v>1276</v>
      </c>
      <c r="E870" s="20" t="s">
        <v>295</v>
      </c>
      <c r="F870" s="22"/>
    </row>
    <row r="871" spans="1:6" ht="28" customHeight="1">
      <c r="A871" s="19" t="s">
        <v>293</v>
      </c>
      <c r="B871" s="25" t="s">
        <v>1789</v>
      </c>
      <c r="C871" s="24" t="s">
        <v>1788</v>
      </c>
      <c r="D871" s="23" t="s">
        <v>1276</v>
      </c>
      <c r="E871" s="20" t="s">
        <v>295</v>
      </c>
      <c r="F871" s="22"/>
    </row>
    <row r="872" spans="1:6" ht="28" customHeight="1">
      <c r="A872" s="19" t="s">
        <v>293</v>
      </c>
      <c r="B872" s="25" t="s">
        <v>1787</v>
      </c>
      <c r="C872" s="24" t="s">
        <v>1786</v>
      </c>
      <c r="D872" s="23" t="s">
        <v>1271</v>
      </c>
      <c r="E872" s="20" t="s">
        <v>295</v>
      </c>
      <c r="F872" s="22"/>
    </row>
    <row r="873" spans="1:6" ht="28" customHeight="1">
      <c r="A873" s="19" t="s">
        <v>293</v>
      </c>
      <c r="B873" s="25" t="s">
        <v>1785</v>
      </c>
      <c r="C873" s="24" t="s">
        <v>1784</v>
      </c>
      <c r="D873" s="23" t="s">
        <v>1271</v>
      </c>
      <c r="E873" s="20" t="s">
        <v>295</v>
      </c>
      <c r="F873" s="22"/>
    </row>
    <row r="874" spans="1:6" ht="28" customHeight="1">
      <c r="A874" s="19" t="s">
        <v>293</v>
      </c>
      <c r="B874" s="25" t="s">
        <v>1783</v>
      </c>
      <c r="C874" s="24" t="s">
        <v>1782</v>
      </c>
      <c r="D874" s="23" t="s">
        <v>1271</v>
      </c>
      <c r="E874" s="20" t="s">
        <v>295</v>
      </c>
      <c r="F874" s="22"/>
    </row>
    <row r="875" spans="1:6" ht="28" customHeight="1">
      <c r="A875" s="19" t="s">
        <v>293</v>
      </c>
      <c r="B875" s="25" t="s">
        <v>1781</v>
      </c>
      <c r="C875" s="24" t="s">
        <v>1780</v>
      </c>
      <c r="D875" s="23" t="s">
        <v>1271</v>
      </c>
      <c r="E875" s="20" t="s">
        <v>295</v>
      </c>
      <c r="F875" s="22"/>
    </row>
    <row r="876" spans="1:6">
      <c r="A876" s="26"/>
      <c r="B876" s="26"/>
      <c r="C876" s="26" t="s">
        <v>1779</v>
      </c>
      <c r="D876" s="26"/>
      <c r="E876" s="26"/>
    </row>
    <row r="877" spans="1:6" ht="28" customHeight="1">
      <c r="A877" s="19" t="s">
        <v>293</v>
      </c>
      <c r="B877" s="25" t="s">
        <v>1778</v>
      </c>
      <c r="C877" s="24" t="s">
        <v>1777</v>
      </c>
      <c r="D877" s="23" t="s">
        <v>1294</v>
      </c>
      <c r="E877" s="20" t="s">
        <v>295</v>
      </c>
      <c r="F877" s="22"/>
    </row>
    <row r="878" spans="1:6" ht="28" customHeight="1">
      <c r="A878" s="19" t="s">
        <v>293</v>
      </c>
      <c r="B878" s="25" t="s">
        <v>1776</v>
      </c>
      <c r="C878" s="24" t="s">
        <v>1775</v>
      </c>
      <c r="D878" s="23" t="s">
        <v>1294</v>
      </c>
      <c r="E878" s="20" t="s">
        <v>295</v>
      </c>
      <c r="F878" s="22"/>
    </row>
    <row r="879" spans="1:6" ht="28" customHeight="1">
      <c r="A879" s="19" t="s">
        <v>293</v>
      </c>
      <c r="B879" s="25" t="s">
        <v>1774</v>
      </c>
      <c r="C879" s="24" t="s">
        <v>1773</v>
      </c>
      <c r="D879" s="23" t="s">
        <v>1294</v>
      </c>
      <c r="E879" s="20" t="s">
        <v>295</v>
      </c>
      <c r="F879" s="22"/>
    </row>
    <row r="880" spans="1:6" ht="28" customHeight="1">
      <c r="A880" s="19" t="s">
        <v>293</v>
      </c>
      <c r="B880" s="25" t="s">
        <v>1772</v>
      </c>
      <c r="C880" s="24" t="s">
        <v>1771</v>
      </c>
      <c r="D880" s="23" t="s">
        <v>1294</v>
      </c>
      <c r="E880" s="20" t="s">
        <v>295</v>
      </c>
      <c r="F880" s="22"/>
    </row>
    <row r="881" spans="1:6" ht="28" customHeight="1">
      <c r="A881" s="19" t="s">
        <v>293</v>
      </c>
      <c r="B881" s="25" t="s">
        <v>1770</v>
      </c>
      <c r="C881" s="24" t="s">
        <v>1769</v>
      </c>
      <c r="D881" s="23" t="s">
        <v>1285</v>
      </c>
      <c r="E881" s="20" t="s">
        <v>295</v>
      </c>
      <c r="F881" s="22"/>
    </row>
    <row r="882" spans="1:6" ht="28" customHeight="1">
      <c r="A882" s="19" t="s">
        <v>293</v>
      </c>
      <c r="B882" s="25" t="s">
        <v>1768</v>
      </c>
      <c r="C882" s="24" t="s">
        <v>1767</v>
      </c>
      <c r="D882" s="23" t="s">
        <v>1285</v>
      </c>
      <c r="E882" s="20" t="s">
        <v>295</v>
      </c>
      <c r="F882" s="22"/>
    </row>
    <row r="883" spans="1:6" ht="28" customHeight="1">
      <c r="A883" s="19" t="s">
        <v>293</v>
      </c>
      <c r="B883" s="25" t="s">
        <v>1766</v>
      </c>
      <c r="C883" s="24" t="s">
        <v>1765</v>
      </c>
      <c r="D883" s="23" t="s">
        <v>1285</v>
      </c>
      <c r="E883" s="20" t="s">
        <v>295</v>
      </c>
      <c r="F883" s="22"/>
    </row>
    <row r="884" spans="1:6" ht="28" customHeight="1">
      <c r="A884" s="19" t="s">
        <v>293</v>
      </c>
      <c r="B884" s="25" t="s">
        <v>1764</v>
      </c>
      <c r="C884" s="24" t="s">
        <v>1763</v>
      </c>
      <c r="D884" s="23" t="s">
        <v>1285</v>
      </c>
      <c r="E884" s="20" t="s">
        <v>295</v>
      </c>
      <c r="F884" s="22"/>
    </row>
    <row r="885" spans="1:6" ht="28" customHeight="1">
      <c r="A885" s="19" t="s">
        <v>293</v>
      </c>
      <c r="B885" s="25" t="s">
        <v>1762</v>
      </c>
      <c r="C885" s="24" t="s">
        <v>1761</v>
      </c>
      <c r="D885" s="23" t="s">
        <v>1276</v>
      </c>
      <c r="E885" s="20" t="s">
        <v>295</v>
      </c>
      <c r="F885" s="22"/>
    </row>
    <row r="886" spans="1:6" ht="28" customHeight="1">
      <c r="A886" s="19" t="s">
        <v>293</v>
      </c>
      <c r="B886" s="25" t="s">
        <v>1760</v>
      </c>
      <c r="C886" s="24" t="s">
        <v>1759</v>
      </c>
      <c r="D886" s="23" t="s">
        <v>1276</v>
      </c>
      <c r="E886" s="20" t="s">
        <v>295</v>
      </c>
      <c r="F886" s="22"/>
    </row>
    <row r="887" spans="1:6" ht="28" customHeight="1">
      <c r="A887" s="19" t="s">
        <v>293</v>
      </c>
      <c r="B887" s="25" t="s">
        <v>1758</v>
      </c>
      <c r="C887" s="24" t="s">
        <v>1757</v>
      </c>
      <c r="D887" s="23" t="s">
        <v>1276</v>
      </c>
      <c r="E887" s="20" t="s">
        <v>295</v>
      </c>
      <c r="F887" s="22"/>
    </row>
    <row r="888" spans="1:6" ht="28" customHeight="1">
      <c r="A888" s="19" t="s">
        <v>293</v>
      </c>
      <c r="B888" s="25" t="s">
        <v>1756</v>
      </c>
      <c r="C888" s="24" t="s">
        <v>1755</v>
      </c>
      <c r="D888" s="23" t="s">
        <v>1276</v>
      </c>
      <c r="E888" s="20" t="s">
        <v>295</v>
      </c>
      <c r="F888" s="22"/>
    </row>
    <row r="889" spans="1:6" ht="28" customHeight="1">
      <c r="A889" s="19" t="s">
        <v>293</v>
      </c>
      <c r="B889" s="25" t="s">
        <v>1754</v>
      </c>
      <c r="C889" s="24" t="s">
        <v>1753</v>
      </c>
      <c r="D889" s="23" t="s">
        <v>1276</v>
      </c>
      <c r="E889" s="20" t="s">
        <v>295</v>
      </c>
      <c r="F889" s="22"/>
    </row>
    <row r="890" spans="1:6" ht="28" customHeight="1">
      <c r="A890" s="19" t="s">
        <v>293</v>
      </c>
      <c r="B890" s="25" t="s">
        <v>1752</v>
      </c>
      <c r="C890" s="24" t="s">
        <v>1751</v>
      </c>
      <c r="D890" s="23" t="s">
        <v>1276</v>
      </c>
      <c r="E890" s="20" t="s">
        <v>295</v>
      </c>
      <c r="F890" s="22"/>
    </row>
    <row r="891" spans="1:6" ht="28" customHeight="1">
      <c r="A891" s="19" t="s">
        <v>293</v>
      </c>
      <c r="B891" s="25" t="s">
        <v>1750</v>
      </c>
      <c r="C891" s="24" t="s">
        <v>1749</v>
      </c>
      <c r="D891" s="23" t="s">
        <v>1271</v>
      </c>
      <c r="E891" s="20" t="s">
        <v>295</v>
      </c>
      <c r="F891" s="22"/>
    </row>
    <row r="892" spans="1:6" ht="28" customHeight="1">
      <c r="A892" s="19" t="s">
        <v>293</v>
      </c>
      <c r="B892" s="25" t="s">
        <v>1748</v>
      </c>
      <c r="C892" s="24" t="s">
        <v>1747</v>
      </c>
      <c r="D892" s="23" t="s">
        <v>1271</v>
      </c>
      <c r="E892" s="20" t="s">
        <v>295</v>
      </c>
      <c r="F892" s="22"/>
    </row>
    <row r="893" spans="1:6" ht="28" customHeight="1">
      <c r="A893" s="19" t="s">
        <v>293</v>
      </c>
      <c r="B893" s="25" t="s">
        <v>1746</v>
      </c>
      <c r="C893" s="24" t="s">
        <v>1745</v>
      </c>
      <c r="D893" s="23" t="s">
        <v>1271</v>
      </c>
      <c r="E893" s="20" t="s">
        <v>295</v>
      </c>
      <c r="F893" s="22"/>
    </row>
    <row r="894" spans="1:6" ht="28" customHeight="1">
      <c r="A894" s="19" t="s">
        <v>293</v>
      </c>
      <c r="B894" s="25" t="s">
        <v>1744</v>
      </c>
      <c r="C894" s="24" t="s">
        <v>1743</v>
      </c>
      <c r="D894" s="23" t="s">
        <v>1271</v>
      </c>
      <c r="E894" s="20" t="s">
        <v>295</v>
      </c>
      <c r="F894" s="22"/>
    </row>
    <row r="895" spans="1:6" ht="28" customHeight="1">
      <c r="A895" s="19" t="s">
        <v>293</v>
      </c>
      <c r="B895" s="25" t="s">
        <v>1742</v>
      </c>
      <c r="C895" s="24" t="s">
        <v>1741</v>
      </c>
      <c r="D895" s="23" t="s">
        <v>1294</v>
      </c>
      <c r="E895" s="20" t="s">
        <v>295</v>
      </c>
      <c r="F895" s="22"/>
    </row>
    <row r="896" spans="1:6" ht="28" customHeight="1">
      <c r="A896" s="19" t="s">
        <v>293</v>
      </c>
      <c r="B896" s="25" t="s">
        <v>1740</v>
      </c>
      <c r="C896" s="24" t="s">
        <v>1739</v>
      </c>
      <c r="D896" s="23" t="s">
        <v>1294</v>
      </c>
      <c r="E896" s="20" t="s">
        <v>295</v>
      </c>
      <c r="F896" s="22"/>
    </row>
    <row r="897" spans="1:6" ht="28" customHeight="1">
      <c r="A897" s="19" t="s">
        <v>293</v>
      </c>
      <c r="B897" s="25" t="s">
        <v>1738</v>
      </c>
      <c r="C897" s="24" t="s">
        <v>1737</v>
      </c>
      <c r="D897" s="23" t="s">
        <v>1294</v>
      </c>
      <c r="E897" s="20" t="s">
        <v>295</v>
      </c>
      <c r="F897" s="22"/>
    </row>
    <row r="898" spans="1:6" ht="28" customHeight="1">
      <c r="A898" s="19" t="s">
        <v>293</v>
      </c>
      <c r="B898" s="25" t="s">
        <v>1736</v>
      </c>
      <c r="C898" s="24" t="s">
        <v>1735</v>
      </c>
      <c r="D898" s="23" t="s">
        <v>1294</v>
      </c>
      <c r="E898" s="20" t="s">
        <v>295</v>
      </c>
      <c r="F898" s="22"/>
    </row>
    <row r="899" spans="1:6" ht="28" customHeight="1">
      <c r="A899" s="19" t="s">
        <v>293</v>
      </c>
      <c r="B899" s="25" t="s">
        <v>1734</v>
      </c>
      <c r="C899" s="24" t="s">
        <v>1733</v>
      </c>
      <c r="D899" s="23" t="s">
        <v>1285</v>
      </c>
      <c r="E899" s="20" t="s">
        <v>295</v>
      </c>
      <c r="F899" s="22"/>
    </row>
    <row r="900" spans="1:6" ht="28" customHeight="1">
      <c r="A900" s="19" t="s">
        <v>293</v>
      </c>
      <c r="B900" s="25" t="s">
        <v>1732</v>
      </c>
      <c r="C900" s="24" t="s">
        <v>1731</v>
      </c>
      <c r="D900" s="23" t="s">
        <v>1285</v>
      </c>
      <c r="E900" s="20" t="s">
        <v>295</v>
      </c>
      <c r="F900" s="22"/>
    </row>
    <row r="901" spans="1:6" ht="28" customHeight="1">
      <c r="A901" s="19" t="s">
        <v>293</v>
      </c>
      <c r="B901" s="25" t="s">
        <v>1730</v>
      </c>
      <c r="C901" s="24" t="s">
        <v>1729</v>
      </c>
      <c r="D901" s="23" t="s">
        <v>1285</v>
      </c>
      <c r="E901" s="20" t="s">
        <v>295</v>
      </c>
      <c r="F901" s="22"/>
    </row>
    <row r="902" spans="1:6" ht="28" customHeight="1">
      <c r="A902" s="19" t="s">
        <v>293</v>
      </c>
      <c r="B902" s="25" t="s">
        <v>1728</v>
      </c>
      <c r="C902" s="24" t="s">
        <v>1727</v>
      </c>
      <c r="D902" s="23" t="s">
        <v>1285</v>
      </c>
      <c r="E902" s="20" t="s">
        <v>295</v>
      </c>
      <c r="F902" s="22"/>
    </row>
    <row r="903" spans="1:6" ht="28" customHeight="1">
      <c r="A903" s="19" t="s">
        <v>293</v>
      </c>
      <c r="B903" s="25" t="s">
        <v>1726</v>
      </c>
      <c r="C903" s="24" t="s">
        <v>1725</v>
      </c>
      <c r="D903" s="23" t="s">
        <v>1276</v>
      </c>
      <c r="E903" s="20" t="s">
        <v>295</v>
      </c>
      <c r="F903" s="22"/>
    </row>
    <row r="904" spans="1:6" ht="28" customHeight="1">
      <c r="A904" s="19" t="s">
        <v>293</v>
      </c>
      <c r="B904" s="25" t="s">
        <v>1724</v>
      </c>
      <c r="C904" s="24" t="s">
        <v>1723</v>
      </c>
      <c r="D904" s="23" t="s">
        <v>1276</v>
      </c>
      <c r="E904" s="20" t="s">
        <v>295</v>
      </c>
      <c r="F904" s="22"/>
    </row>
    <row r="905" spans="1:6" ht="28" customHeight="1">
      <c r="A905" s="19" t="s">
        <v>293</v>
      </c>
      <c r="B905" s="25" t="s">
        <v>1722</v>
      </c>
      <c r="C905" s="24" t="s">
        <v>1721</v>
      </c>
      <c r="D905" s="23" t="s">
        <v>1276</v>
      </c>
      <c r="E905" s="20" t="s">
        <v>295</v>
      </c>
      <c r="F905" s="22"/>
    </row>
    <row r="906" spans="1:6" ht="28" customHeight="1">
      <c r="A906" s="19" t="s">
        <v>293</v>
      </c>
      <c r="B906" s="25" t="s">
        <v>1720</v>
      </c>
      <c r="C906" s="24" t="s">
        <v>1719</v>
      </c>
      <c r="D906" s="23" t="s">
        <v>1276</v>
      </c>
      <c r="E906" s="20" t="s">
        <v>295</v>
      </c>
      <c r="F906" s="22"/>
    </row>
    <row r="907" spans="1:6" ht="28" customHeight="1">
      <c r="A907" s="19" t="s">
        <v>293</v>
      </c>
      <c r="B907" s="25" t="s">
        <v>1718</v>
      </c>
      <c r="C907" s="24" t="s">
        <v>1717</v>
      </c>
      <c r="D907" s="23" t="s">
        <v>1276</v>
      </c>
      <c r="E907" s="20" t="s">
        <v>295</v>
      </c>
      <c r="F907" s="22"/>
    </row>
    <row r="908" spans="1:6" ht="28" customHeight="1">
      <c r="A908" s="19" t="s">
        <v>293</v>
      </c>
      <c r="B908" s="25" t="s">
        <v>1716</v>
      </c>
      <c r="C908" s="24" t="s">
        <v>1715</v>
      </c>
      <c r="D908" s="23" t="s">
        <v>1276</v>
      </c>
      <c r="E908" s="20" t="s">
        <v>295</v>
      </c>
      <c r="F908" s="22"/>
    </row>
    <row r="909" spans="1:6" ht="28" customHeight="1">
      <c r="A909" s="19" t="s">
        <v>293</v>
      </c>
      <c r="B909" s="25" t="s">
        <v>1714</v>
      </c>
      <c r="C909" s="24" t="s">
        <v>1713</v>
      </c>
      <c r="D909" s="23" t="s">
        <v>1271</v>
      </c>
      <c r="E909" s="20" t="s">
        <v>295</v>
      </c>
      <c r="F909" s="22"/>
    </row>
    <row r="910" spans="1:6" ht="28" customHeight="1">
      <c r="A910" s="19" t="s">
        <v>293</v>
      </c>
      <c r="B910" s="25" t="s">
        <v>1712</v>
      </c>
      <c r="C910" s="24" t="s">
        <v>1711</v>
      </c>
      <c r="D910" s="23" t="s">
        <v>1271</v>
      </c>
      <c r="E910" s="20" t="s">
        <v>295</v>
      </c>
      <c r="F910" s="22"/>
    </row>
    <row r="911" spans="1:6" ht="28" customHeight="1">
      <c r="A911" s="19" t="s">
        <v>293</v>
      </c>
      <c r="B911" s="25" t="s">
        <v>1710</v>
      </c>
      <c r="C911" s="24" t="s">
        <v>1709</v>
      </c>
      <c r="D911" s="23" t="s">
        <v>1271</v>
      </c>
      <c r="E911" s="20" t="s">
        <v>295</v>
      </c>
      <c r="F911" s="22"/>
    </row>
    <row r="912" spans="1:6" ht="28" customHeight="1">
      <c r="A912" s="19" t="s">
        <v>293</v>
      </c>
      <c r="B912" s="25" t="s">
        <v>1708</v>
      </c>
      <c r="C912" s="24" t="s">
        <v>1707</v>
      </c>
      <c r="D912" s="23" t="s">
        <v>1271</v>
      </c>
      <c r="E912" s="20" t="s">
        <v>295</v>
      </c>
      <c r="F912" s="22"/>
    </row>
    <row r="913" spans="1:6" ht="28" customHeight="1">
      <c r="A913" s="19" t="s">
        <v>293</v>
      </c>
      <c r="B913" s="25" t="s">
        <v>1706</v>
      </c>
      <c r="C913" s="24" t="s">
        <v>1705</v>
      </c>
      <c r="D913" s="23" t="s">
        <v>1700</v>
      </c>
      <c r="E913" s="20" t="s">
        <v>295</v>
      </c>
      <c r="F913" s="22"/>
    </row>
    <row r="914" spans="1:6" ht="28" customHeight="1">
      <c r="A914" s="19" t="s">
        <v>293</v>
      </c>
      <c r="B914" s="25" t="s">
        <v>1704</v>
      </c>
      <c r="C914" s="24" t="s">
        <v>1703</v>
      </c>
      <c r="D914" s="23" t="s">
        <v>1700</v>
      </c>
      <c r="E914" s="20" t="s">
        <v>295</v>
      </c>
      <c r="F914" s="22"/>
    </row>
    <row r="915" spans="1:6" ht="28" customHeight="1">
      <c r="A915" s="19" t="s">
        <v>293</v>
      </c>
      <c r="B915" s="25" t="s">
        <v>1702</v>
      </c>
      <c r="C915" s="24" t="s">
        <v>1701</v>
      </c>
      <c r="D915" s="23" t="s">
        <v>1700</v>
      </c>
      <c r="E915" s="20" t="s">
        <v>295</v>
      </c>
      <c r="F915" s="22"/>
    </row>
    <row r="916" spans="1:6">
      <c r="A916" s="26"/>
      <c r="B916" s="26"/>
      <c r="C916" s="26" t="s">
        <v>1699</v>
      </c>
      <c r="D916" s="26"/>
      <c r="E916" s="26"/>
    </row>
    <row r="917" spans="1:6" ht="28" customHeight="1">
      <c r="A917" s="19" t="s">
        <v>293</v>
      </c>
      <c r="B917" s="25" t="s">
        <v>1698</v>
      </c>
      <c r="C917" s="24" t="s">
        <v>1697</v>
      </c>
      <c r="D917" s="23" t="s">
        <v>1632</v>
      </c>
      <c r="E917" s="20" t="s">
        <v>295</v>
      </c>
      <c r="F917" s="22"/>
    </row>
    <row r="918" spans="1:6" ht="28" customHeight="1">
      <c r="A918" s="19" t="s">
        <v>293</v>
      </c>
      <c r="B918" s="25" t="s">
        <v>1696</v>
      </c>
      <c r="C918" s="24" t="s">
        <v>1695</v>
      </c>
      <c r="D918" s="23" t="s">
        <v>1632</v>
      </c>
      <c r="E918" s="20" t="s">
        <v>295</v>
      </c>
      <c r="F918" s="22"/>
    </row>
    <row r="919" spans="1:6" ht="28" customHeight="1">
      <c r="A919" s="19" t="s">
        <v>293</v>
      </c>
      <c r="B919" s="25" t="s">
        <v>1694</v>
      </c>
      <c r="C919" s="24" t="s">
        <v>1693</v>
      </c>
      <c r="D919" s="23" t="s">
        <v>1632</v>
      </c>
      <c r="E919" s="20" t="s">
        <v>295</v>
      </c>
      <c r="F919" s="22"/>
    </row>
    <row r="920" spans="1:6" ht="28" customHeight="1">
      <c r="A920" s="19" t="s">
        <v>293</v>
      </c>
      <c r="B920" s="25" t="s">
        <v>1692</v>
      </c>
      <c r="C920" s="24" t="s">
        <v>1691</v>
      </c>
      <c r="D920" s="23" t="s">
        <v>1632</v>
      </c>
      <c r="E920" s="20" t="s">
        <v>295</v>
      </c>
      <c r="F920" s="22"/>
    </row>
    <row r="921" spans="1:6" ht="28" customHeight="1">
      <c r="A921" s="19" t="s">
        <v>293</v>
      </c>
      <c r="B921" s="25" t="s">
        <v>1690</v>
      </c>
      <c r="C921" s="24" t="s">
        <v>1689</v>
      </c>
      <c r="D921" s="23" t="s">
        <v>830</v>
      </c>
      <c r="E921" s="20" t="s">
        <v>295</v>
      </c>
      <c r="F921" s="22"/>
    </row>
    <row r="922" spans="1:6" ht="28" customHeight="1">
      <c r="A922" s="19" t="s">
        <v>293</v>
      </c>
      <c r="B922" s="25" t="s">
        <v>1688</v>
      </c>
      <c r="C922" s="24" t="s">
        <v>1687</v>
      </c>
      <c r="D922" s="23" t="s">
        <v>830</v>
      </c>
      <c r="E922" s="20" t="s">
        <v>295</v>
      </c>
      <c r="F922" s="22"/>
    </row>
    <row r="923" spans="1:6" ht="28" customHeight="1">
      <c r="A923" s="19" t="s">
        <v>293</v>
      </c>
      <c r="B923" s="25" t="s">
        <v>1686</v>
      </c>
      <c r="C923" s="24" t="s">
        <v>1685</v>
      </c>
      <c r="D923" s="23" t="s">
        <v>830</v>
      </c>
      <c r="E923" s="20" t="s">
        <v>295</v>
      </c>
      <c r="F923" s="22"/>
    </row>
    <row r="924" spans="1:6" ht="28" customHeight="1">
      <c r="A924" s="19" t="s">
        <v>293</v>
      </c>
      <c r="B924" s="25" t="s">
        <v>1684</v>
      </c>
      <c r="C924" s="24" t="s">
        <v>1683</v>
      </c>
      <c r="D924" s="23" t="s">
        <v>830</v>
      </c>
      <c r="E924" s="20" t="s">
        <v>295</v>
      </c>
      <c r="F924" s="22"/>
    </row>
    <row r="925" spans="1:6" ht="28" customHeight="1">
      <c r="A925" s="19" t="s">
        <v>293</v>
      </c>
      <c r="B925" s="25" t="s">
        <v>1682</v>
      </c>
      <c r="C925" s="24" t="s">
        <v>1681</v>
      </c>
      <c r="D925" s="23" t="s">
        <v>1614</v>
      </c>
      <c r="E925" s="20" t="s">
        <v>295</v>
      </c>
      <c r="F925" s="22"/>
    </row>
    <row r="926" spans="1:6" ht="28" customHeight="1">
      <c r="A926" s="19" t="s">
        <v>293</v>
      </c>
      <c r="B926" s="25" t="s">
        <v>1680</v>
      </c>
      <c r="C926" s="24" t="s">
        <v>1679</v>
      </c>
      <c r="D926" s="23" t="s">
        <v>1614</v>
      </c>
      <c r="E926" s="20" t="s">
        <v>295</v>
      </c>
      <c r="F926" s="22"/>
    </row>
    <row r="927" spans="1:6" ht="28" customHeight="1">
      <c r="A927" s="19" t="s">
        <v>293</v>
      </c>
      <c r="B927" s="25" t="s">
        <v>1678</v>
      </c>
      <c r="C927" s="24" t="s">
        <v>1677</v>
      </c>
      <c r="D927" s="23" t="s">
        <v>1614</v>
      </c>
      <c r="E927" s="20" t="s">
        <v>295</v>
      </c>
      <c r="F927" s="22"/>
    </row>
    <row r="928" spans="1:6" ht="28" customHeight="1">
      <c r="A928" s="19" t="s">
        <v>293</v>
      </c>
      <c r="B928" s="25" t="s">
        <v>1676</v>
      </c>
      <c r="C928" s="24" t="s">
        <v>1675</v>
      </c>
      <c r="D928" s="23" t="s">
        <v>1614</v>
      </c>
      <c r="E928" s="20" t="s">
        <v>295</v>
      </c>
      <c r="F928" s="22"/>
    </row>
    <row r="929" spans="1:6" ht="28" customHeight="1">
      <c r="A929" s="19" t="s">
        <v>293</v>
      </c>
      <c r="B929" s="25" t="s">
        <v>1674</v>
      </c>
      <c r="C929" s="24" t="s">
        <v>1673</v>
      </c>
      <c r="D929" s="23" t="s">
        <v>1609</v>
      </c>
      <c r="E929" s="20" t="s">
        <v>295</v>
      </c>
      <c r="F929" s="22"/>
    </row>
    <row r="930" spans="1:6" ht="28" customHeight="1">
      <c r="A930" s="19" t="s">
        <v>293</v>
      </c>
      <c r="B930" s="25" t="s">
        <v>1672</v>
      </c>
      <c r="C930" s="24" t="s">
        <v>1671</v>
      </c>
      <c r="D930" s="23" t="s">
        <v>1609</v>
      </c>
      <c r="E930" s="20" t="s">
        <v>295</v>
      </c>
      <c r="F930" s="22"/>
    </row>
    <row r="931" spans="1:6">
      <c r="A931" s="26"/>
      <c r="B931" s="26"/>
      <c r="C931" s="26" t="s">
        <v>1670</v>
      </c>
      <c r="D931" s="26"/>
      <c r="E931" s="26"/>
    </row>
    <row r="932" spans="1:6" ht="28" customHeight="1">
      <c r="A932" s="19" t="s">
        <v>293</v>
      </c>
      <c r="B932" s="25" t="s">
        <v>1669</v>
      </c>
      <c r="C932" s="24" t="s">
        <v>1668</v>
      </c>
      <c r="D932" s="23" t="s">
        <v>1632</v>
      </c>
      <c r="E932" s="20" t="s">
        <v>295</v>
      </c>
      <c r="F932" s="22"/>
    </row>
    <row r="933" spans="1:6" ht="28" customHeight="1">
      <c r="A933" s="19" t="s">
        <v>293</v>
      </c>
      <c r="B933" s="25" t="s">
        <v>1667</v>
      </c>
      <c r="C933" s="24" t="s">
        <v>1666</v>
      </c>
      <c r="D933" s="23" t="s">
        <v>1632</v>
      </c>
      <c r="E933" s="20" t="s">
        <v>295</v>
      </c>
      <c r="F933" s="22"/>
    </row>
    <row r="934" spans="1:6" ht="28" customHeight="1">
      <c r="A934" s="19" t="s">
        <v>293</v>
      </c>
      <c r="B934" s="25" t="s">
        <v>1665</v>
      </c>
      <c r="C934" s="24" t="s">
        <v>1664</v>
      </c>
      <c r="D934" s="23" t="s">
        <v>1632</v>
      </c>
      <c r="E934" s="20" t="s">
        <v>295</v>
      </c>
      <c r="F934" s="22"/>
    </row>
    <row r="935" spans="1:6" ht="28" customHeight="1">
      <c r="A935" s="19" t="s">
        <v>293</v>
      </c>
      <c r="B935" s="25" t="s">
        <v>1663</v>
      </c>
      <c r="C935" s="24" t="s">
        <v>1662</v>
      </c>
      <c r="D935" s="23" t="s">
        <v>1632</v>
      </c>
      <c r="E935" s="20" t="s">
        <v>295</v>
      </c>
      <c r="F935" s="22"/>
    </row>
    <row r="936" spans="1:6" ht="28" customHeight="1">
      <c r="A936" s="19" t="s">
        <v>293</v>
      </c>
      <c r="B936" s="25" t="s">
        <v>1661</v>
      </c>
      <c r="C936" s="24" t="s">
        <v>1660</v>
      </c>
      <c r="D936" s="23" t="s">
        <v>830</v>
      </c>
      <c r="E936" s="20" t="s">
        <v>295</v>
      </c>
      <c r="F936" s="22"/>
    </row>
    <row r="937" spans="1:6" ht="28" customHeight="1">
      <c r="A937" s="19" t="s">
        <v>293</v>
      </c>
      <c r="B937" s="25" t="s">
        <v>1659</v>
      </c>
      <c r="C937" s="24" t="s">
        <v>1658</v>
      </c>
      <c r="D937" s="23" t="s">
        <v>830</v>
      </c>
      <c r="E937" s="20" t="s">
        <v>295</v>
      </c>
      <c r="F937" s="22"/>
    </row>
    <row r="938" spans="1:6" ht="28" customHeight="1">
      <c r="A938" s="19" t="s">
        <v>293</v>
      </c>
      <c r="B938" s="25" t="s">
        <v>1657</v>
      </c>
      <c r="C938" s="24" t="s">
        <v>1656</v>
      </c>
      <c r="D938" s="23" t="s">
        <v>830</v>
      </c>
      <c r="E938" s="20" t="s">
        <v>295</v>
      </c>
      <c r="F938" s="22"/>
    </row>
    <row r="939" spans="1:6" ht="28" customHeight="1">
      <c r="A939" s="19" t="s">
        <v>293</v>
      </c>
      <c r="B939" s="25" t="s">
        <v>1655</v>
      </c>
      <c r="C939" s="24" t="s">
        <v>1654</v>
      </c>
      <c r="D939" s="23" t="s">
        <v>830</v>
      </c>
      <c r="E939" s="20" t="s">
        <v>295</v>
      </c>
      <c r="F939" s="22"/>
    </row>
    <row r="940" spans="1:6" ht="28" customHeight="1">
      <c r="A940" s="19" t="s">
        <v>293</v>
      </c>
      <c r="B940" s="25" t="s">
        <v>1653</v>
      </c>
      <c r="C940" s="24" t="s">
        <v>1652</v>
      </c>
      <c r="D940" s="23" t="s">
        <v>1614</v>
      </c>
      <c r="E940" s="20" t="s">
        <v>295</v>
      </c>
      <c r="F940" s="22"/>
    </row>
    <row r="941" spans="1:6" ht="28" customHeight="1">
      <c r="A941" s="19" t="s">
        <v>293</v>
      </c>
      <c r="B941" s="25" t="s">
        <v>1651</v>
      </c>
      <c r="C941" s="24" t="s">
        <v>1650</v>
      </c>
      <c r="D941" s="23" t="s">
        <v>1614</v>
      </c>
      <c r="E941" s="20" t="s">
        <v>295</v>
      </c>
      <c r="F941" s="22"/>
    </row>
    <row r="942" spans="1:6" ht="28" customHeight="1">
      <c r="A942" s="19" t="s">
        <v>293</v>
      </c>
      <c r="B942" s="25" t="s">
        <v>1649</v>
      </c>
      <c r="C942" s="24" t="s">
        <v>1648</v>
      </c>
      <c r="D942" s="23" t="s">
        <v>1614</v>
      </c>
      <c r="E942" s="20" t="s">
        <v>295</v>
      </c>
      <c r="F942" s="22"/>
    </row>
    <row r="943" spans="1:6" ht="28" customHeight="1">
      <c r="A943" s="19" t="s">
        <v>293</v>
      </c>
      <c r="B943" s="25" t="s">
        <v>1647</v>
      </c>
      <c r="C943" s="24" t="s">
        <v>1646</v>
      </c>
      <c r="D943" s="23" t="s">
        <v>1614</v>
      </c>
      <c r="E943" s="20" t="s">
        <v>295</v>
      </c>
      <c r="F943" s="22"/>
    </row>
    <row r="944" spans="1:6" ht="28" customHeight="1">
      <c r="A944" s="19" t="s">
        <v>293</v>
      </c>
      <c r="B944" s="25" t="s">
        <v>1645</v>
      </c>
      <c r="C944" s="24" t="s">
        <v>1644</v>
      </c>
      <c r="D944" s="23" t="s">
        <v>1609</v>
      </c>
      <c r="E944" s="20" t="s">
        <v>295</v>
      </c>
      <c r="F944" s="22"/>
    </row>
    <row r="945" spans="1:6" ht="28" customHeight="1">
      <c r="A945" s="19" t="s">
        <v>293</v>
      </c>
      <c r="B945" s="25" t="s">
        <v>1643</v>
      </c>
      <c r="C945" s="24" t="s">
        <v>1642</v>
      </c>
      <c r="D945" s="23" t="s">
        <v>1609</v>
      </c>
      <c r="E945" s="20" t="s">
        <v>295</v>
      </c>
      <c r="F945" s="22"/>
    </row>
    <row r="946" spans="1:6">
      <c r="A946" s="26"/>
      <c r="B946" s="26"/>
      <c r="C946" s="26" t="s">
        <v>1641</v>
      </c>
      <c r="D946" s="26"/>
      <c r="E946" s="26"/>
    </row>
    <row r="947" spans="1:6" ht="28" customHeight="1">
      <c r="A947" s="19" t="s">
        <v>293</v>
      </c>
      <c r="B947" s="25" t="s">
        <v>1640</v>
      </c>
      <c r="C947" s="24" t="s">
        <v>1639</v>
      </c>
      <c r="D947" s="23" t="s">
        <v>1632</v>
      </c>
      <c r="E947" s="20" t="s">
        <v>295</v>
      </c>
      <c r="F947" s="22"/>
    </row>
    <row r="948" spans="1:6" ht="28" customHeight="1">
      <c r="A948" s="19" t="s">
        <v>293</v>
      </c>
      <c r="B948" s="25" t="s">
        <v>1638</v>
      </c>
      <c r="C948" s="24" t="s">
        <v>1637</v>
      </c>
      <c r="D948" s="23" t="s">
        <v>1632</v>
      </c>
      <c r="E948" s="20" t="s">
        <v>295</v>
      </c>
      <c r="F948" s="22"/>
    </row>
    <row r="949" spans="1:6" ht="28" customHeight="1">
      <c r="A949" s="19" t="s">
        <v>293</v>
      </c>
      <c r="B949" s="25" t="s">
        <v>1636</v>
      </c>
      <c r="C949" s="24" t="s">
        <v>1635</v>
      </c>
      <c r="D949" s="23" t="s">
        <v>1632</v>
      </c>
      <c r="E949" s="20" t="s">
        <v>295</v>
      </c>
      <c r="F949" s="22"/>
    </row>
    <row r="950" spans="1:6" ht="28" customHeight="1">
      <c r="A950" s="19" t="s">
        <v>293</v>
      </c>
      <c r="B950" s="25" t="s">
        <v>1634</v>
      </c>
      <c r="C950" s="24" t="s">
        <v>1633</v>
      </c>
      <c r="D950" s="23" t="s">
        <v>1632</v>
      </c>
      <c r="E950" s="20" t="s">
        <v>295</v>
      </c>
      <c r="F950" s="22"/>
    </row>
    <row r="951" spans="1:6" ht="28" customHeight="1">
      <c r="A951" s="19" t="s">
        <v>293</v>
      </c>
      <c r="B951" s="25" t="s">
        <v>1631</v>
      </c>
      <c r="C951" s="24" t="s">
        <v>1630</v>
      </c>
      <c r="D951" s="23" t="s">
        <v>1623</v>
      </c>
      <c r="E951" s="20" t="s">
        <v>295</v>
      </c>
      <c r="F951" s="22"/>
    </row>
    <row r="952" spans="1:6" ht="28" customHeight="1">
      <c r="A952" s="19" t="s">
        <v>293</v>
      </c>
      <c r="B952" s="25" t="s">
        <v>1629</v>
      </c>
      <c r="C952" s="24" t="s">
        <v>1628</v>
      </c>
      <c r="D952" s="23" t="s">
        <v>1623</v>
      </c>
      <c r="E952" s="20" t="s">
        <v>295</v>
      </c>
      <c r="F952" s="22"/>
    </row>
    <row r="953" spans="1:6" ht="28" customHeight="1">
      <c r="A953" s="19" t="s">
        <v>293</v>
      </c>
      <c r="B953" s="25" t="s">
        <v>1627</v>
      </c>
      <c r="C953" s="24" t="s">
        <v>1626</v>
      </c>
      <c r="D953" s="23" t="s">
        <v>1623</v>
      </c>
      <c r="E953" s="20" t="s">
        <v>295</v>
      </c>
      <c r="F953" s="22"/>
    </row>
    <row r="954" spans="1:6" ht="28" customHeight="1">
      <c r="A954" s="19" t="s">
        <v>293</v>
      </c>
      <c r="B954" s="25" t="s">
        <v>1625</v>
      </c>
      <c r="C954" s="24" t="s">
        <v>1624</v>
      </c>
      <c r="D954" s="23" t="s">
        <v>1623</v>
      </c>
      <c r="E954" s="20" t="s">
        <v>295</v>
      </c>
      <c r="F954" s="22"/>
    </row>
    <row r="955" spans="1:6" ht="28" customHeight="1">
      <c r="A955" s="19" t="s">
        <v>293</v>
      </c>
      <c r="B955" s="25" t="s">
        <v>1622</v>
      </c>
      <c r="C955" s="24" t="s">
        <v>1621</v>
      </c>
      <c r="D955" s="23" t="s">
        <v>1614</v>
      </c>
      <c r="E955" s="20" t="s">
        <v>295</v>
      </c>
      <c r="F955" s="22"/>
    </row>
    <row r="956" spans="1:6" ht="28" customHeight="1">
      <c r="A956" s="19" t="s">
        <v>293</v>
      </c>
      <c r="B956" s="25" t="s">
        <v>1620</v>
      </c>
      <c r="C956" s="24" t="s">
        <v>1619</v>
      </c>
      <c r="D956" s="23" t="s">
        <v>1614</v>
      </c>
      <c r="E956" s="20" t="s">
        <v>295</v>
      </c>
      <c r="F956" s="22"/>
    </row>
    <row r="957" spans="1:6" ht="28" customHeight="1">
      <c r="A957" s="19" t="s">
        <v>293</v>
      </c>
      <c r="B957" s="25" t="s">
        <v>1618</v>
      </c>
      <c r="C957" s="24" t="s">
        <v>1617</v>
      </c>
      <c r="D957" s="23" t="s">
        <v>1614</v>
      </c>
      <c r="E957" s="20" t="s">
        <v>295</v>
      </c>
      <c r="F957" s="22"/>
    </row>
    <row r="958" spans="1:6" ht="28" customHeight="1">
      <c r="A958" s="19" t="s">
        <v>293</v>
      </c>
      <c r="B958" s="25" t="s">
        <v>1616</v>
      </c>
      <c r="C958" s="24" t="s">
        <v>1615</v>
      </c>
      <c r="D958" s="23" t="s">
        <v>1614</v>
      </c>
      <c r="E958" s="20" t="s">
        <v>295</v>
      </c>
      <c r="F958" s="22"/>
    </row>
    <row r="959" spans="1:6" ht="28" customHeight="1">
      <c r="A959" s="19" t="s">
        <v>293</v>
      </c>
      <c r="B959" s="25" t="s">
        <v>1613</v>
      </c>
      <c r="C959" s="24" t="s">
        <v>1612</v>
      </c>
      <c r="D959" s="23" t="s">
        <v>1609</v>
      </c>
      <c r="E959" s="20" t="s">
        <v>295</v>
      </c>
      <c r="F959" s="22"/>
    </row>
    <row r="960" spans="1:6" ht="28" customHeight="1">
      <c r="A960" s="19" t="s">
        <v>293</v>
      </c>
      <c r="B960" s="25" t="s">
        <v>1611</v>
      </c>
      <c r="C960" s="24" t="s">
        <v>1610</v>
      </c>
      <c r="D960" s="23" t="s">
        <v>1609</v>
      </c>
      <c r="E960" s="20" t="s">
        <v>295</v>
      </c>
      <c r="F960" s="22"/>
    </row>
    <row r="961" spans="1:6">
      <c r="A961" s="26"/>
      <c r="B961" s="26"/>
      <c r="C961" s="26" t="s">
        <v>1608</v>
      </c>
      <c r="D961" s="26"/>
      <c r="E961" s="26"/>
    </row>
    <row r="962" spans="1:6" ht="14" customHeight="1">
      <c r="A962" s="19" t="s">
        <v>293</v>
      </c>
      <c r="B962" s="25" t="s">
        <v>1607</v>
      </c>
      <c r="C962" s="24" t="s">
        <v>1606</v>
      </c>
      <c r="D962" s="23" t="s">
        <v>1605</v>
      </c>
      <c r="E962" s="20" t="s">
        <v>1254</v>
      </c>
      <c r="F962" s="22"/>
    </row>
    <row r="963" spans="1:6" ht="14" customHeight="1">
      <c r="A963" s="19" t="s">
        <v>293</v>
      </c>
      <c r="B963" s="25" t="s">
        <v>1604</v>
      </c>
      <c r="C963" s="24" t="s">
        <v>1603</v>
      </c>
      <c r="D963" s="23" t="s">
        <v>1602</v>
      </c>
      <c r="E963" s="20" t="s">
        <v>1254</v>
      </c>
      <c r="F963" s="22"/>
    </row>
    <row r="964" spans="1:6">
      <c r="A964" s="26"/>
      <c r="B964" s="26"/>
      <c r="C964" s="26" t="s">
        <v>1601</v>
      </c>
      <c r="D964" s="26"/>
      <c r="E964" s="26"/>
    </row>
    <row r="965" spans="1:6" ht="14" customHeight="1">
      <c r="A965" s="19" t="s">
        <v>1258</v>
      </c>
      <c r="B965" s="25" t="s">
        <v>1600</v>
      </c>
      <c r="C965" s="24" t="s">
        <v>1599</v>
      </c>
      <c r="D965" s="23" t="s">
        <v>1596</v>
      </c>
      <c r="E965" s="20" t="s">
        <v>1254</v>
      </c>
      <c r="F965" s="22"/>
    </row>
    <row r="966" spans="1:6" ht="14" customHeight="1">
      <c r="A966" s="19" t="s">
        <v>1258</v>
      </c>
      <c r="B966" s="25" t="s">
        <v>1598</v>
      </c>
      <c r="C966" s="24" t="s">
        <v>1597</v>
      </c>
      <c r="D966" s="23" t="s">
        <v>1596</v>
      </c>
      <c r="E966" s="20" t="s">
        <v>1254</v>
      </c>
      <c r="F966" s="22"/>
    </row>
    <row r="967" spans="1:6">
      <c r="A967" s="26"/>
      <c r="B967" s="26"/>
      <c r="C967" s="26" t="s">
        <v>1595</v>
      </c>
      <c r="D967" s="26"/>
      <c r="E967" s="26"/>
    </row>
    <row r="968" spans="1:6" ht="14" customHeight="1">
      <c r="A968" s="19" t="s">
        <v>1258</v>
      </c>
      <c r="B968" s="25" t="s">
        <v>1594</v>
      </c>
      <c r="C968" s="24" t="s">
        <v>1593</v>
      </c>
      <c r="D968" s="23" t="s">
        <v>1592</v>
      </c>
      <c r="E968" s="20" t="s">
        <v>1254</v>
      </c>
      <c r="F968" s="22"/>
    </row>
    <row r="969" spans="1:6">
      <c r="A969" s="26"/>
      <c r="B969" s="26"/>
      <c r="C969" s="26" t="s">
        <v>1591</v>
      </c>
      <c r="D969" s="26"/>
      <c r="E969" s="26"/>
    </row>
    <row r="970" spans="1:6" ht="28" customHeight="1">
      <c r="A970" s="19" t="s">
        <v>293</v>
      </c>
      <c r="B970" s="25" t="s">
        <v>1590</v>
      </c>
      <c r="C970" s="24" t="s">
        <v>1589</v>
      </c>
      <c r="D970" s="23" t="s">
        <v>1498</v>
      </c>
      <c r="E970" s="20" t="s">
        <v>295</v>
      </c>
      <c r="F970" s="22"/>
    </row>
    <row r="971" spans="1:6" ht="28" customHeight="1">
      <c r="A971" s="19" t="s">
        <v>293</v>
      </c>
      <c r="B971" s="25" t="s">
        <v>1588</v>
      </c>
      <c r="C971" s="24" t="s">
        <v>1587</v>
      </c>
      <c r="D971" s="23" t="s">
        <v>1498</v>
      </c>
      <c r="E971" s="20" t="s">
        <v>295</v>
      </c>
      <c r="F971" s="22"/>
    </row>
    <row r="972" spans="1:6" ht="28" customHeight="1">
      <c r="A972" s="19" t="s">
        <v>293</v>
      </c>
      <c r="B972" s="25" t="s">
        <v>1586</v>
      </c>
      <c r="C972" s="24" t="s">
        <v>1585</v>
      </c>
      <c r="D972" s="23" t="s">
        <v>1498</v>
      </c>
      <c r="E972" s="20" t="s">
        <v>295</v>
      </c>
      <c r="F972" s="22"/>
    </row>
    <row r="973" spans="1:6" ht="28" customHeight="1">
      <c r="A973" s="19" t="s">
        <v>293</v>
      </c>
      <c r="B973" s="25" t="s">
        <v>1584</v>
      </c>
      <c r="C973" s="24" t="s">
        <v>1583</v>
      </c>
      <c r="D973" s="23" t="s">
        <v>1498</v>
      </c>
      <c r="E973" s="20" t="s">
        <v>295</v>
      </c>
      <c r="F973" s="22"/>
    </row>
    <row r="974" spans="1:6" ht="28" customHeight="1">
      <c r="A974" s="19" t="s">
        <v>293</v>
      </c>
      <c r="B974" s="25" t="s">
        <v>1582</v>
      </c>
      <c r="C974" s="24" t="s">
        <v>1581</v>
      </c>
      <c r="D974" s="23" t="s">
        <v>1481</v>
      </c>
      <c r="E974" s="20" t="s">
        <v>295</v>
      </c>
      <c r="F974" s="22"/>
    </row>
    <row r="975" spans="1:6" ht="28" customHeight="1">
      <c r="A975" s="19" t="s">
        <v>293</v>
      </c>
      <c r="B975" s="25" t="s">
        <v>1580</v>
      </c>
      <c r="C975" s="24" t="s">
        <v>1579</v>
      </c>
      <c r="D975" s="23" t="s">
        <v>1481</v>
      </c>
      <c r="E975" s="20" t="s">
        <v>295</v>
      </c>
      <c r="F975" s="22"/>
    </row>
    <row r="976" spans="1:6" ht="28" customHeight="1">
      <c r="A976" s="19" t="s">
        <v>293</v>
      </c>
      <c r="B976" s="25" t="s">
        <v>1578</v>
      </c>
      <c r="C976" s="24" t="s">
        <v>1577</v>
      </c>
      <c r="D976" s="23" t="s">
        <v>1481</v>
      </c>
      <c r="E976" s="20" t="s">
        <v>295</v>
      </c>
      <c r="F976" s="22"/>
    </row>
    <row r="977" spans="1:6" ht="28" customHeight="1">
      <c r="A977" s="19" t="s">
        <v>293</v>
      </c>
      <c r="B977" s="25" t="s">
        <v>1576</v>
      </c>
      <c r="C977" s="24" t="s">
        <v>1575</v>
      </c>
      <c r="D977" s="23" t="s">
        <v>1481</v>
      </c>
      <c r="E977" s="20" t="s">
        <v>295</v>
      </c>
      <c r="F977" s="22"/>
    </row>
    <row r="978" spans="1:6" ht="28" customHeight="1">
      <c r="A978" s="19" t="s">
        <v>293</v>
      </c>
      <c r="B978" s="25" t="s">
        <v>1574</v>
      </c>
      <c r="C978" s="24" t="s">
        <v>1573</v>
      </c>
      <c r="D978" s="23" t="s">
        <v>1481</v>
      </c>
      <c r="E978" s="20" t="s">
        <v>295</v>
      </c>
      <c r="F978" s="22"/>
    </row>
    <row r="979" spans="1:6" ht="28" customHeight="1">
      <c r="A979" s="19" t="s">
        <v>293</v>
      </c>
      <c r="B979" s="25" t="s">
        <v>1572</v>
      </c>
      <c r="C979" s="24" t="s">
        <v>1571</v>
      </c>
      <c r="D979" s="23" t="s">
        <v>1481</v>
      </c>
      <c r="E979" s="20" t="s">
        <v>295</v>
      </c>
      <c r="F979" s="22"/>
    </row>
    <row r="980" spans="1:6" ht="28" customHeight="1">
      <c r="A980" s="19" t="s">
        <v>293</v>
      </c>
      <c r="B980" s="25" t="s">
        <v>1570</v>
      </c>
      <c r="C980" s="24" t="s">
        <v>1569</v>
      </c>
      <c r="D980" s="23" t="s">
        <v>1481</v>
      </c>
      <c r="E980" s="20" t="s">
        <v>295</v>
      </c>
      <c r="F980" s="22"/>
    </row>
    <row r="981" spans="1:6" ht="28" customHeight="1">
      <c r="A981" s="19" t="s">
        <v>293</v>
      </c>
      <c r="B981" s="25" t="s">
        <v>1568</v>
      </c>
      <c r="C981" s="24" t="s">
        <v>1567</v>
      </c>
      <c r="D981" s="23" t="s">
        <v>1481</v>
      </c>
      <c r="E981" s="20" t="s">
        <v>295</v>
      </c>
      <c r="F981" s="22"/>
    </row>
    <row r="982" spans="1:6" ht="28" customHeight="1">
      <c r="A982" s="19" t="s">
        <v>293</v>
      </c>
      <c r="B982" s="25" t="s">
        <v>1566</v>
      </c>
      <c r="C982" s="24" t="s">
        <v>1565</v>
      </c>
      <c r="D982" s="23" t="s">
        <v>859</v>
      </c>
      <c r="E982" s="20" t="s">
        <v>295</v>
      </c>
      <c r="F982" s="22"/>
    </row>
    <row r="983" spans="1:6" ht="28" customHeight="1">
      <c r="A983" s="19" t="s">
        <v>293</v>
      </c>
      <c r="B983" s="25" t="s">
        <v>1564</v>
      </c>
      <c r="C983" s="24" t="s">
        <v>1563</v>
      </c>
      <c r="D983" s="23" t="s">
        <v>859</v>
      </c>
      <c r="E983" s="20" t="s">
        <v>295</v>
      </c>
      <c r="F983" s="22"/>
    </row>
    <row r="984" spans="1:6" ht="28" customHeight="1">
      <c r="A984" s="19" t="s">
        <v>293</v>
      </c>
      <c r="B984" s="25" t="s">
        <v>1562</v>
      </c>
      <c r="C984" s="24" t="s">
        <v>1561</v>
      </c>
      <c r="D984" s="23" t="s">
        <v>1498</v>
      </c>
      <c r="E984" s="20" t="s">
        <v>295</v>
      </c>
      <c r="F984" s="22"/>
    </row>
    <row r="985" spans="1:6" ht="28" customHeight="1">
      <c r="A985" s="19" t="s">
        <v>293</v>
      </c>
      <c r="B985" s="25" t="s">
        <v>1560</v>
      </c>
      <c r="C985" s="24" t="s">
        <v>1559</v>
      </c>
      <c r="D985" s="23" t="s">
        <v>1498</v>
      </c>
      <c r="E985" s="20" t="s">
        <v>295</v>
      </c>
      <c r="F985" s="22"/>
    </row>
    <row r="986" spans="1:6" ht="28" customHeight="1">
      <c r="A986" s="19" t="s">
        <v>293</v>
      </c>
      <c r="B986" s="25" t="s">
        <v>1558</v>
      </c>
      <c r="C986" s="24" t="s">
        <v>1557</v>
      </c>
      <c r="D986" s="23" t="s">
        <v>1498</v>
      </c>
      <c r="E986" s="20" t="s">
        <v>295</v>
      </c>
      <c r="F986" s="22"/>
    </row>
    <row r="987" spans="1:6" ht="28" customHeight="1">
      <c r="A987" s="19" t="s">
        <v>293</v>
      </c>
      <c r="B987" s="25" t="s">
        <v>1556</v>
      </c>
      <c r="C987" s="24" t="s">
        <v>1555</v>
      </c>
      <c r="D987" s="23" t="s">
        <v>1498</v>
      </c>
      <c r="E987" s="20" t="s">
        <v>295</v>
      </c>
      <c r="F987" s="22"/>
    </row>
    <row r="988" spans="1:6" ht="28" customHeight="1">
      <c r="A988" s="19" t="s">
        <v>293</v>
      </c>
      <c r="B988" s="25" t="s">
        <v>1554</v>
      </c>
      <c r="C988" s="24" t="s">
        <v>1553</v>
      </c>
      <c r="D988" s="23" t="s">
        <v>1481</v>
      </c>
      <c r="E988" s="20" t="s">
        <v>295</v>
      </c>
      <c r="F988" s="22"/>
    </row>
    <row r="989" spans="1:6" ht="28" customHeight="1">
      <c r="A989" s="19" t="s">
        <v>293</v>
      </c>
      <c r="B989" s="25" t="s">
        <v>1552</v>
      </c>
      <c r="C989" s="24" t="s">
        <v>1551</v>
      </c>
      <c r="D989" s="23" t="s">
        <v>1481</v>
      </c>
      <c r="E989" s="20" t="s">
        <v>295</v>
      </c>
      <c r="F989" s="22"/>
    </row>
    <row r="990" spans="1:6" ht="28" customHeight="1">
      <c r="A990" s="19" t="s">
        <v>293</v>
      </c>
      <c r="B990" s="25" t="s">
        <v>1550</v>
      </c>
      <c r="C990" s="24" t="s">
        <v>1549</v>
      </c>
      <c r="D990" s="23" t="s">
        <v>1481</v>
      </c>
      <c r="E990" s="20" t="s">
        <v>295</v>
      </c>
      <c r="F990" s="22"/>
    </row>
    <row r="991" spans="1:6" ht="28" customHeight="1">
      <c r="A991" s="19" t="s">
        <v>293</v>
      </c>
      <c r="B991" s="25" t="s">
        <v>1548</v>
      </c>
      <c r="C991" s="24" t="s">
        <v>1547</v>
      </c>
      <c r="D991" s="23" t="s">
        <v>1481</v>
      </c>
      <c r="E991" s="20" t="s">
        <v>295</v>
      </c>
      <c r="F991" s="22"/>
    </row>
    <row r="992" spans="1:6" ht="28" customHeight="1">
      <c r="A992" s="19" t="s">
        <v>293</v>
      </c>
      <c r="B992" s="25" t="s">
        <v>1546</v>
      </c>
      <c r="C992" s="24" t="s">
        <v>1545</v>
      </c>
      <c r="D992" s="23" t="s">
        <v>1481</v>
      </c>
      <c r="E992" s="20" t="s">
        <v>295</v>
      </c>
      <c r="F992" s="22"/>
    </row>
    <row r="993" spans="1:6" ht="28" customHeight="1">
      <c r="A993" s="19" t="s">
        <v>293</v>
      </c>
      <c r="B993" s="25" t="s">
        <v>1544</v>
      </c>
      <c r="C993" s="24" t="s">
        <v>1543</v>
      </c>
      <c r="D993" s="23" t="s">
        <v>1481</v>
      </c>
      <c r="E993" s="20" t="s">
        <v>295</v>
      </c>
      <c r="F993" s="22"/>
    </row>
    <row r="994" spans="1:6" ht="28" customHeight="1">
      <c r="A994" s="19" t="s">
        <v>293</v>
      </c>
      <c r="B994" s="25" t="s">
        <v>1542</v>
      </c>
      <c r="C994" s="24" t="s">
        <v>1541</v>
      </c>
      <c r="D994" s="23" t="s">
        <v>1481</v>
      </c>
      <c r="E994" s="20" t="s">
        <v>295</v>
      </c>
      <c r="F994" s="22"/>
    </row>
    <row r="995" spans="1:6" ht="28" customHeight="1">
      <c r="A995" s="19" t="s">
        <v>293</v>
      </c>
      <c r="B995" s="25" t="s">
        <v>1540</v>
      </c>
      <c r="C995" s="24" t="s">
        <v>1539</v>
      </c>
      <c r="D995" s="23" t="s">
        <v>1481</v>
      </c>
      <c r="E995" s="20" t="s">
        <v>295</v>
      </c>
      <c r="F995" s="22"/>
    </row>
    <row r="996" spans="1:6" ht="28" customHeight="1">
      <c r="A996" s="19" t="s">
        <v>293</v>
      </c>
      <c r="B996" s="25" t="s">
        <v>1538</v>
      </c>
      <c r="C996" s="24" t="s">
        <v>1537</v>
      </c>
      <c r="D996" s="23" t="s">
        <v>859</v>
      </c>
      <c r="E996" s="20" t="s">
        <v>295</v>
      </c>
      <c r="F996" s="22"/>
    </row>
    <row r="997" spans="1:6" ht="28" customHeight="1">
      <c r="A997" s="19" t="s">
        <v>293</v>
      </c>
      <c r="B997" s="25" t="s">
        <v>1536</v>
      </c>
      <c r="C997" s="24" t="s">
        <v>1535</v>
      </c>
      <c r="D997" s="23" t="s">
        <v>859</v>
      </c>
      <c r="E997" s="20" t="s">
        <v>295</v>
      </c>
      <c r="F997" s="22"/>
    </row>
    <row r="998" spans="1:6" ht="28" customHeight="1">
      <c r="A998" s="19" t="s">
        <v>293</v>
      </c>
      <c r="B998" s="25" t="s">
        <v>1534</v>
      </c>
      <c r="C998" s="24" t="s">
        <v>1533</v>
      </c>
      <c r="D998" s="23" t="s">
        <v>1498</v>
      </c>
      <c r="E998" s="20" t="s">
        <v>295</v>
      </c>
      <c r="F998" s="22"/>
    </row>
    <row r="999" spans="1:6" ht="28" customHeight="1">
      <c r="A999" s="19" t="s">
        <v>293</v>
      </c>
      <c r="B999" s="25" t="s">
        <v>1532</v>
      </c>
      <c r="C999" s="24" t="s">
        <v>1531</v>
      </c>
      <c r="D999" s="23" t="s">
        <v>1498</v>
      </c>
      <c r="E999" s="20" t="s">
        <v>295</v>
      </c>
      <c r="F999" s="22"/>
    </row>
    <row r="1000" spans="1:6" ht="28" customHeight="1">
      <c r="A1000" s="19" t="s">
        <v>293</v>
      </c>
      <c r="B1000" s="25" t="s">
        <v>1530</v>
      </c>
      <c r="C1000" s="24" t="s">
        <v>1529</v>
      </c>
      <c r="D1000" s="23" t="s">
        <v>1498</v>
      </c>
      <c r="E1000" s="20" t="s">
        <v>295</v>
      </c>
      <c r="F1000" s="22"/>
    </row>
    <row r="1001" spans="1:6" ht="28" customHeight="1">
      <c r="A1001" s="19" t="s">
        <v>293</v>
      </c>
      <c r="B1001" s="25" t="s">
        <v>1528</v>
      </c>
      <c r="C1001" s="24" t="s">
        <v>1527</v>
      </c>
      <c r="D1001" s="23" t="s">
        <v>1498</v>
      </c>
      <c r="E1001" s="20" t="s">
        <v>295</v>
      </c>
      <c r="F1001" s="22"/>
    </row>
    <row r="1002" spans="1:6" ht="28" customHeight="1">
      <c r="A1002" s="19" t="s">
        <v>293</v>
      </c>
      <c r="B1002" s="25" t="s">
        <v>1526</v>
      </c>
      <c r="C1002" s="24" t="s">
        <v>1525</v>
      </c>
      <c r="D1002" s="23" t="s">
        <v>1481</v>
      </c>
      <c r="E1002" s="20" t="s">
        <v>295</v>
      </c>
      <c r="F1002" s="22"/>
    </row>
    <row r="1003" spans="1:6" ht="28" customHeight="1">
      <c r="A1003" s="19" t="s">
        <v>293</v>
      </c>
      <c r="B1003" s="25" t="s">
        <v>1524</v>
      </c>
      <c r="C1003" s="24" t="s">
        <v>1523</v>
      </c>
      <c r="D1003" s="23" t="s">
        <v>1481</v>
      </c>
      <c r="E1003" s="20" t="s">
        <v>295</v>
      </c>
      <c r="F1003" s="22"/>
    </row>
    <row r="1004" spans="1:6" ht="28" customHeight="1">
      <c r="A1004" s="19" t="s">
        <v>293</v>
      </c>
      <c r="B1004" s="25" t="s">
        <v>1522</v>
      </c>
      <c r="C1004" s="24" t="s">
        <v>1521</v>
      </c>
      <c r="D1004" s="23" t="s">
        <v>1481</v>
      </c>
      <c r="E1004" s="20" t="s">
        <v>295</v>
      </c>
      <c r="F1004" s="22"/>
    </row>
    <row r="1005" spans="1:6" ht="28" customHeight="1">
      <c r="A1005" s="19" t="s">
        <v>293</v>
      </c>
      <c r="B1005" s="25" t="s">
        <v>1520</v>
      </c>
      <c r="C1005" s="24" t="s">
        <v>1519</v>
      </c>
      <c r="D1005" s="23" t="s">
        <v>1481</v>
      </c>
      <c r="E1005" s="20" t="s">
        <v>295</v>
      </c>
      <c r="F1005" s="22"/>
    </row>
    <row r="1006" spans="1:6" ht="28" customHeight="1">
      <c r="A1006" s="19" t="s">
        <v>293</v>
      </c>
      <c r="B1006" s="25" t="s">
        <v>1518</v>
      </c>
      <c r="C1006" s="24" t="s">
        <v>1517</v>
      </c>
      <c r="D1006" s="23" t="s">
        <v>1481</v>
      </c>
      <c r="E1006" s="20" t="s">
        <v>295</v>
      </c>
      <c r="F1006" s="22"/>
    </row>
    <row r="1007" spans="1:6" ht="28" customHeight="1">
      <c r="A1007" s="19" t="s">
        <v>293</v>
      </c>
      <c r="B1007" s="25" t="s">
        <v>1516</v>
      </c>
      <c r="C1007" s="24" t="s">
        <v>1515</v>
      </c>
      <c r="D1007" s="23" t="s">
        <v>1481</v>
      </c>
      <c r="E1007" s="20" t="s">
        <v>295</v>
      </c>
      <c r="F1007" s="22"/>
    </row>
    <row r="1008" spans="1:6" ht="28" customHeight="1">
      <c r="A1008" s="19" t="s">
        <v>293</v>
      </c>
      <c r="B1008" s="25" t="s">
        <v>1514</v>
      </c>
      <c r="C1008" s="24" t="s">
        <v>1513</v>
      </c>
      <c r="D1008" s="23" t="s">
        <v>1481</v>
      </c>
      <c r="E1008" s="20" t="s">
        <v>295</v>
      </c>
      <c r="F1008" s="22"/>
    </row>
    <row r="1009" spans="1:6" ht="28" customHeight="1">
      <c r="A1009" s="19" t="s">
        <v>293</v>
      </c>
      <c r="B1009" s="25" t="s">
        <v>1512</v>
      </c>
      <c r="C1009" s="24" t="s">
        <v>1511</v>
      </c>
      <c r="D1009" s="23" t="s">
        <v>1481</v>
      </c>
      <c r="E1009" s="20" t="s">
        <v>295</v>
      </c>
      <c r="F1009" s="22"/>
    </row>
    <row r="1010" spans="1:6" ht="28" customHeight="1">
      <c r="A1010" s="19" t="s">
        <v>293</v>
      </c>
      <c r="B1010" s="25" t="s">
        <v>1510</v>
      </c>
      <c r="C1010" s="24" t="s">
        <v>1509</v>
      </c>
      <c r="D1010" s="23" t="s">
        <v>859</v>
      </c>
      <c r="E1010" s="20" t="s">
        <v>295</v>
      </c>
      <c r="F1010" s="22"/>
    </row>
    <row r="1011" spans="1:6" ht="28" customHeight="1">
      <c r="A1011" s="19" t="s">
        <v>293</v>
      </c>
      <c r="B1011" s="25" t="s">
        <v>1508</v>
      </c>
      <c r="C1011" s="24" t="s">
        <v>1507</v>
      </c>
      <c r="D1011" s="23" t="s">
        <v>859</v>
      </c>
      <c r="E1011" s="20" t="s">
        <v>295</v>
      </c>
      <c r="F1011" s="22"/>
    </row>
    <row r="1012" spans="1:6" ht="28" customHeight="1">
      <c r="A1012" s="19" t="s">
        <v>293</v>
      </c>
      <c r="B1012" s="25" t="s">
        <v>1506</v>
      </c>
      <c r="C1012" s="24" t="s">
        <v>1505</v>
      </c>
      <c r="D1012" s="23" t="s">
        <v>1498</v>
      </c>
      <c r="E1012" s="20" t="s">
        <v>295</v>
      </c>
      <c r="F1012" s="22"/>
    </row>
    <row r="1013" spans="1:6" ht="28" customHeight="1">
      <c r="A1013" s="19" t="s">
        <v>293</v>
      </c>
      <c r="B1013" s="25" t="s">
        <v>1504</v>
      </c>
      <c r="C1013" s="24" t="s">
        <v>1503</v>
      </c>
      <c r="D1013" s="23" t="s">
        <v>1498</v>
      </c>
      <c r="E1013" s="20" t="s">
        <v>295</v>
      </c>
      <c r="F1013" s="22"/>
    </row>
    <row r="1014" spans="1:6" ht="28" customHeight="1">
      <c r="A1014" s="19" t="s">
        <v>293</v>
      </c>
      <c r="B1014" s="25" t="s">
        <v>1502</v>
      </c>
      <c r="C1014" s="24" t="s">
        <v>1501</v>
      </c>
      <c r="D1014" s="23" t="s">
        <v>1498</v>
      </c>
      <c r="E1014" s="20" t="s">
        <v>295</v>
      </c>
      <c r="F1014" s="22"/>
    </row>
    <row r="1015" spans="1:6" ht="28" customHeight="1">
      <c r="A1015" s="19" t="s">
        <v>293</v>
      </c>
      <c r="B1015" s="25" t="s">
        <v>1500</v>
      </c>
      <c r="C1015" s="24" t="s">
        <v>1499</v>
      </c>
      <c r="D1015" s="23" t="s">
        <v>1498</v>
      </c>
      <c r="E1015" s="20" t="s">
        <v>295</v>
      </c>
      <c r="F1015" s="22"/>
    </row>
    <row r="1016" spans="1:6" ht="28" customHeight="1">
      <c r="A1016" s="19" t="s">
        <v>293</v>
      </c>
      <c r="B1016" s="25" t="s">
        <v>1497</v>
      </c>
      <c r="C1016" s="24" t="s">
        <v>1496</v>
      </c>
      <c r="D1016" s="23" t="s">
        <v>1481</v>
      </c>
      <c r="E1016" s="20" t="s">
        <v>295</v>
      </c>
      <c r="F1016" s="22"/>
    </row>
    <row r="1017" spans="1:6" ht="28" customHeight="1">
      <c r="A1017" s="19" t="s">
        <v>293</v>
      </c>
      <c r="B1017" s="25" t="s">
        <v>1495</v>
      </c>
      <c r="C1017" s="24" t="s">
        <v>1494</v>
      </c>
      <c r="D1017" s="23" t="s">
        <v>1481</v>
      </c>
      <c r="E1017" s="20" t="s">
        <v>295</v>
      </c>
      <c r="F1017" s="22"/>
    </row>
    <row r="1018" spans="1:6" ht="28" customHeight="1">
      <c r="A1018" s="19" t="s">
        <v>293</v>
      </c>
      <c r="B1018" s="25" t="s">
        <v>1493</v>
      </c>
      <c r="C1018" s="24" t="s">
        <v>1492</v>
      </c>
      <c r="D1018" s="23" t="s">
        <v>1481</v>
      </c>
      <c r="E1018" s="20" t="s">
        <v>295</v>
      </c>
      <c r="F1018" s="22"/>
    </row>
    <row r="1019" spans="1:6" ht="28" customHeight="1">
      <c r="A1019" s="19" t="s">
        <v>293</v>
      </c>
      <c r="B1019" s="25" t="s">
        <v>1491</v>
      </c>
      <c r="C1019" s="24" t="s">
        <v>1490</v>
      </c>
      <c r="D1019" s="23" t="s">
        <v>1481</v>
      </c>
      <c r="E1019" s="20" t="s">
        <v>295</v>
      </c>
      <c r="F1019" s="22"/>
    </row>
    <row r="1020" spans="1:6" ht="28" customHeight="1">
      <c r="A1020" s="19" t="s">
        <v>293</v>
      </c>
      <c r="B1020" s="25" t="s">
        <v>1489</v>
      </c>
      <c r="C1020" s="24" t="s">
        <v>1488</v>
      </c>
      <c r="D1020" s="23" t="s">
        <v>1481</v>
      </c>
      <c r="E1020" s="20" t="s">
        <v>295</v>
      </c>
      <c r="F1020" s="22"/>
    </row>
    <row r="1021" spans="1:6" ht="28" customHeight="1">
      <c r="A1021" s="19" t="s">
        <v>293</v>
      </c>
      <c r="B1021" s="25" t="s">
        <v>1487</v>
      </c>
      <c r="C1021" s="24" t="s">
        <v>1486</v>
      </c>
      <c r="D1021" s="23" t="s">
        <v>1481</v>
      </c>
      <c r="E1021" s="20" t="s">
        <v>295</v>
      </c>
      <c r="F1021" s="22"/>
    </row>
    <row r="1022" spans="1:6" ht="28" customHeight="1">
      <c r="A1022" s="19" t="s">
        <v>293</v>
      </c>
      <c r="B1022" s="25" t="s">
        <v>1485</v>
      </c>
      <c r="C1022" s="24" t="s">
        <v>1484</v>
      </c>
      <c r="D1022" s="23" t="s">
        <v>1481</v>
      </c>
      <c r="E1022" s="20" t="s">
        <v>295</v>
      </c>
      <c r="F1022" s="22"/>
    </row>
    <row r="1023" spans="1:6" ht="28" customHeight="1">
      <c r="A1023" s="19" t="s">
        <v>293</v>
      </c>
      <c r="B1023" s="25" t="s">
        <v>1483</v>
      </c>
      <c r="C1023" s="24" t="s">
        <v>1482</v>
      </c>
      <c r="D1023" s="23" t="s">
        <v>1481</v>
      </c>
      <c r="E1023" s="20" t="s">
        <v>295</v>
      </c>
      <c r="F1023" s="22"/>
    </row>
    <row r="1024" spans="1:6" ht="28" customHeight="1">
      <c r="A1024" s="19" t="s">
        <v>293</v>
      </c>
      <c r="B1024" s="25" t="s">
        <v>1480</v>
      </c>
      <c r="C1024" s="24" t="s">
        <v>1479</v>
      </c>
      <c r="D1024" s="23" t="s">
        <v>859</v>
      </c>
      <c r="E1024" s="20" t="s">
        <v>295</v>
      </c>
      <c r="F1024" s="22"/>
    </row>
    <row r="1025" spans="1:6" ht="28" customHeight="1">
      <c r="A1025" s="19" t="s">
        <v>293</v>
      </c>
      <c r="B1025" s="25" t="s">
        <v>1478</v>
      </c>
      <c r="C1025" s="24" t="s">
        <v>1477</v>
      </c>
      <c r="D1025" s="23" t="s">
        <v>859</v>
      </c>
      <c r="E1025" s="20" t="s">
        <v>295</v>
      </c>
      <c r="F1025" s="22"/>
    </row>
    <row r="1026" spans="1:6">
      <c r="A1026" s="26"/>
      <c r="B1026" s="26"/>
      <c r="C1026" s="26" t="s">
        <v>1476</v>
      </c>
      <c r="D1026" s="26"/>
      <c r="E1026" s="26"/>
    </row>
    <row r="1027" spans="1:6" ht="14" customHeight="1">
      <c r="A1027" s="19" t="s">
        <v>293</v>
      </c>
      <c r="B1027" s="25" t="s">
        <v>1475</v>
      </c>
      <c r="C1027" s="24" t="s">
        <v>1474</v>
      </c>
      <c r="D1027" s="23" t="s">
        <v>1411</v>
      </c>
      <c r="E1027" s="20" t="s">
        <v>295</v>
      </c>
      <c r="F1027" s="22"/>
    </row>
    <row r="1028" spans="1:6" ht="14" customHeight="1">
      <c r="A1028" s="19" t="s">
        <v>293</v>
      </c>
      <c r="B1028" s="25" t="s">
        <v>1473</v>
      </c>
      <c r="C1028" s="24" t="s">
        <v>1472</v>
      </c>
      <c r="D1028" s="23" t="s">
        <v>1411</v>
      </c>
      <c r="E1028" s="20" t="s">
        <v>295</v>
      </c>
      <c r="F1028" s="22"/>
    </row>
    <row r="1029" spans="1:6" ht="14" customHeight="1">
      <c r="A1029" s="19" t="s">
        <v>293</v>
      </c>
      <c r="B1029" s="25" t="s">
        <v>1471</v>
      </c>
      <c r="C1029" s="24" t="s">
        <v>1470</v>
      </c>
      <c r="D1029" s="23" t="s">
        <v>1411</v>
      </c>
      <c r="E1029" s="20" t="s">
        <v>295</v>
      </c>
      <c r="F1029" s="22"/>
    </row>
    <row r="1030" spans="1:6" ht="14" customHeight="1">
      <c r="A1030" s="19" t="s">
        <v>293</v>
      </c>
      <c r="B1030" s="25" t="s">
        <v>1469</v>
      </c>
      <c r="C1030" s="24" t="s">
        <v>1468</v>
      </c>
      <c r="D1030" s="23" t="s">
        <v>1411</v>
      </c>
      <c r="E1030" s="20" t="s">
        <v>295</v>
      </c>
      <c r="F1030" s="22"/>
    </row>
    <row r="1031" spans="1:6" ht="14" customHeight="1">
      <c r="A1031" s="19" t="s">
        <v>293</v>
      </c>
      <c r="B1031" s="25" t="s">
        <v>1467</v>
      </c>
      <c r="C1031" s="24" t="s">
        <v>1466</v>
      </c>
      <c r="D1031" s="23" t="s">
        <v>1402</v>
      </c>
      <c r="E1031" s="20" t="s">
        <v>295</v>
      </c>
      <c r="F1031" s="22"/>
    </row>
    <row r="1032" spans="1:6" ht="14" customHeight="1">
      <c r="A1032" s="19" t="s">
        <v>293</v>
      </c>
      <c r="B1032" s="25" t="s">
        <v>1465</v>
      </c>
      <c r="C1032" s="24" t="s">
        <v>1464</v>
      </c>
      <c r="D1032" s="23" t="s">
        <v>1402</v>
      </c>
      <c r="E1032" s="20" t="s">
        <v>295</v>
      </c>
      <c r="F1032" s="22"/>
    </row>
    <row r="1033" spans="1:6" ht="14" customHeight="1">
      <c r="A1033" s="19" t="s">
        <v>293</v>
      </c>
      <c r="B1033" s="25" t="s">
        <v>1463</v>
      </c>
      <c r="C1033" s="24" t="s">
        <v>1462</v>
      </c>
      <c r="D1033" s="23" t="s">
        <v>1402</v>
      </c>
      <c r="E1033" s="20" t="s">
        <v>295</v>
      </c>
      <c r="F1033" s="22"/>
    </row>
    <row r="1034" spans="1:6" ht="14" customHeight="1">
      <c r="A1034" s="19" t="s">
        <v>293</v>
      </c>
      <c r="B1034" s="25" t="s">
        <v>1461</v>
      </c>
      <c r="C1034" s="24" t="s">
        <v>1460</v>
      </c>
      <c r="D1034" s="23" t="s">
        <v>1402</v>
      </c>
      <c r="E1034" s="20" t="s">
        <v>295</v>
      </c>
      <c r="F1034" s="22"/>
    </row>
    <row r="1035" spans="1:6" ht="14" customHeight="1">
      <c r="A1035" s="19" t="s">
        <v>293</v>
      </c>
      <c r="B1035" s="25" t="s">
        <v>1459</v>
      </c>
      <c r="C1035" s="24" t="s">
        <v>1458</v>
      </c>
      <c r="D1035" s="23" t="s">
        <v>1393</v>
      </c>
      <c r="E1035" s="20" t="s">
        <v>295</v>
      </c>
      <c r="F1035" s="22"/>
    </row>
    <row r="1036" spans="1:6" ht="14" customHeight="1">
      <c r="A1036" s="19" t="s">
        <v>293</v>
      </c>
      <c r="B1036" s="25" t="s">
        <v>1457</v>
      </c>
      <c r="C1036" s="24" t="s">
        <v>1456</v>
      </c>
      <c r="D1036" s="23" t="s">
        <v>1393</v>
      </c>
      <c r="E1036" s="20" t="s">
        <v>295</v>
      </c>
      <c r="F1036" s="22"/>
    </row>
    <row r="1037" spans="1:6" ht="14" customHeight="1">
      <c r="A1037" s="19" t="s">
        <v>293</v>
      </c>
      <c r="B1037" s="25" t="s">
        <v>1455</v>
      </c>
      <c r="C1037" s="24" t="s">
        <v>1454</v>
      </c>
      <c r="D1037" s="23" t="s">
        <v>1393</v>
      </c>
      <c r="E1037" s="20" t="s">
        <v>295</v>
      </c>
      <c r="F1037" s="22"/>
    </row>
    <row r="1038" spans="1:6" ht="14" customHeight="1">
      <c r="A1038" s="19" t="s">
        <v>293</v>
      </c>
      <c r="B1038" s="25" t="s">
        <v>1453</v>
      </c>
      <c r="C1038" s="24" t="s">
        <v>1452</v>
      </c>
      <c r="D1038" s="23" t="s">
        <v>1393</v>
      </c>
      <c r="E1038" s="20" t="s">
        <v>295</v>
      </c>
      <c r="F1038" s="22"/>
    </row>
    <row r="1039" spans="1:6" ht="14" customHeight="1">
      <c r="A1039" s="19" t="s">
        <v>293</v>
      </c>
      <c r="B1039" s="25" t="s">
        <v>1451</v>
      </c>
      <c r="C1039" s="24" t="s">
        <v>1450</v>
      </c>
      <c r="D1039" s="23" t="s">
        <v>1388</v>
      </c>
      <c r="E1039" s="20" t="s">
        <v>295</v>
      </c>
      <c r="F1039" s="22"/>
    </row>
    <row r="1040" spans="1:6" ht="14" customHeight="1">
      <c r="A1040" s="19" t="s">
        <v>293</v>
      </c>
      <c r="B1040" s="25" t="s">
        <v>1449</v>
      </c>
      <c r="C1040" s="24" t="s">
        <v>1448</v>
      </c>
      <c r="D1040" s="23" t="s">
        <v>1388</v>
      </c>
      <c r="E1040" s="20" t="s">
        <v>295</v>
      </c>
      <c r="F1040" s="22"/>
    </row>
    <row r="1041" spans="1:6" ht="14" customHeight="1">
      <c r="A1041" s="19" t="s">
        <v>293</v>
      </c>
      <c r="B1041" s="25" t="s">
        <v>1447</v>
      </c>
      <c r="C1041" s="24" t="s">
        <v>1446</v>
      </c>
      <c r="D1041" s="23" t="s">
        <v>1411</v>
      </c>
      <c r="E1041" s="20" t="s">
        <v>295</v>
      </c>
      <c r="F1041" s="22"/>
    </row>
    <row r="1042" spans="1:6" ht="14" customHeight="1">
      <c r="A1042" s="19" t="s">
        <v>293</v>
      </c>
      <c r="B1042" s="25" t="s">
        <v>1445</v>
      </c>
      <c r="C1042" s="24" t="s">
        <v>1444</v>
      </c>
      <c r="D1042" s="23" t="s">
        <v>1411</v>
      </c>
      <c r="E1042" s="20" t="s">
        <v>295</v>
      </c>
      <c r="F1042" s="22"/>
    </row>
    <row r="1043" spans="1:6" ht="14" customHeight="1">
      <c r="A1043" s="19" t="s">
        <v>293</v>
      </c>
      <c r="B1043" s="25" t="s">
        <v>1443</v>
      </c>
      <c r="C1043" s="24" t="s">
        <v>1442</v>
      </c>
      <c r="D1043" s="23" t="s">
        <v>1411</v>
      </c>
      <c r="E1043" s="20" t="s">
        <v>295</v>
      </c>
      <c r="F1043" s="22"/>
    </row>
    <row r="1044" spans="1:6" ht="14" customHeight="1">
      <c r="A1044" s="19" t="s">
        <v>293</v>
      </c>
      <c r="B1044" s="25" t="s">
        <v>1441</v>
      </c>
      <c r="C1044" s="24" t="s">
        <v>1440</v>
      </c>
      <c r="D1044" s="23" t="s">
        <v>1411</v>
      </c>
      <c r="E1044" s="20" t="s">
        <v>295</v>
      </c>
      <c r="F1044" s="22"/>
    </row>
    <row r="1045" spans="1:6" ht="14" customHeight="1">
      <c r="A1045" s="19" t="s">
        <v>293</v>
      </c>
      <c r="B1045" s="25" t="s">
        <v>1439</v>
      </c>
      <c r="C1045" s="24" t="s">
        <v>1438</v>
      </c>
      <c r="D1045" s="23" t="s">
        <v>1402</v>
      </c>
      <c r="E1045" s="20" t="s">
        <v>295</v>
      </c>
      <c r="F1045" s="22"/>
    </row>
    <row r="1046" spans="1:6" ht="14" customHeight="1">
      <c r="A1046" s="19" t="s">
        <v>293</v>
      </c>
      <c r="B1046" s="25" t="s">
        <v>1437</v>
      </c>
      <c r="C1046" s="24" t="s">
        <v>1436</v>
      </c>
      <c r="D1046" s="23" t="s">
        <v>1402</v>
      </c>
      <c r="E1046" s="20" t="s">
        <v>295</v>
      </c>
      <c r="F1046" s="22"/>
    </row>
    <row r="1047" spans="1:6" ht="14" customHeight="1">
      <c r="A1047" s="19" t="s">
        <v>293</v>
      </c>
      <c r="B1047" s="25" t="s">
        <v>1435</v>
      </c>
      <c r="C1047" s="24" t="s">
        <v>1434</v>
      </c>
      <c r="D1047" s="23" t="s">
        <v>1402</v>
      </c>
      <c r="E1047" s="20" t="s">
        <v>295</v>
      </c>
      <c r="F1047" s="22"/>
    </row>
    <row r="1048" spans="1:6" ht="14" customHeight="1">
      <c r="A1048" s="19" t="s">
        <v>293</v>
      </c>
      <c r="B1048" s="25" t="s">
        <v>1433</v>
      </c>
      <c r="C1048" s="24" t="s">
        <v>1432</v>
      </c>
      <c r="D1048" s="23" t="s">
        <v>1402</v>
      </c>
      <c r="E1048" s="20" t="s">
        <v>295</v>
      </c>
      <c r="F1048" s="22"/>
    </row>
    <row r="1049" spans="1:6" ht="14" customHeight="1">
      <c r="A1049" s="19" t="s">
        <v>293</v>
      </c>
      <c r="B1049" s="25" t="s">
        <v>1431</v>
      </c>
      <c r="C1049" s="24" t="s">
        <v>1430</v>
      </c>
      <c r="D1049" s="23" t="s">
        <v>1393</v>
      </c>
      <c r="E1049" s="20" t="s">
        <v>295</v>
      </c>
      <c r="F1049" s="22"/>
    </row>
    <row r="1050" spans="1:6" ht="14" customHeight="1">
      <c r="A1050" s="19" t="s">
        <v>293</v>
      </c>
      <c r="B1050" s="25" t="s">
        <v>1429</v>
      </c>
      <c r="C1050" s="24" t="s">
        <v>1428</v>
      </c>
      <c r="D1050" s="23" t="s">
        <v>1393</v>
      </c>
      <c r="E1050" s="20" t="s">
        <v>295</v>
      </c>
      <c r="F1050" s="22"/>
    </row>
    <row r="1051" spans="1:6" ht="14" customHeight="1">
      <c r="A1051" s="19" t="s">
        <v>293</v>
      </c>
      <c r="B1051" s="25" t="s">
        <v>1427</v>
      </c>
      <c r="C1051" s="24" t="s">
        <v>1426</v>
      </c>
      <c r="D1051" s="23" t="s">
        <v>1393</v>
      </c>
      <c r="E1051" s="20" t="s">
        <v>295</v>
      </c>
      <c r="F1051" s="22"/>
    </row>
    <row r="1052" spans="1:6" ht="14" customHeight="1">
      <c r="A1052" s="19" t="s">
        <v>293</v>
      </c>
      <c r="B1052" s="25" t="s">
        <v>1425</v>
      </c>
      <c r="C1052" s="24" t="s">
        <v>1424</v>
      </c>
      <c r="D1052" s="23" t="s">
        <v>1393</v>
      </c>
      <c r="E1052" s="20" t="s">
        <v>295</v>
      </c>
      <c r="F1052" s="22"/>
    </row>
    <row r="1053" spans="1:6" ht="14" customHeight="1">
      <c r="A1053" s="19" t="s">
        <v>293</v>
      </c>
      <c r="B1053" s="25" t="s">
        <v>1423</v>
      </c>
      <c r="C1053" s="24" t="s">
        <v>1422</v>
      </c>
      <c r="D1053" s="23" t="s">
        <v>1388</v>
      </c>
      <c r="E1053" s="20" t="s">
        <v>295</v>
      </c>
      <c r="F1053" s="22"/>
    </row>
    <row r="1054" spans="1:6" ht="14" customHeight="1">
      <c r="A1054" s="19" t="s">
        <v>293</v>
      </c>
      <c r="B1054" s="25" t="s">
        <v>1421</v>
      </c>
      <c r="C1054" s="24" t="s">
        <v>1420</v>
      </c>
      <c r="D1054" s="23" t="s">
        <v>1388</v>
      </c>
      <c r="E1054" s="20" t="s">
        <v>295</v>
      </c>
      <c r="F1054" s="22"/>
    </row>
    <row r="1055" spans="1:6" ht="14" customHeight="1">
      <c r="A1055" s="19" t="s">
        <v>293</v>
      </c>
      <c r="B1055" s="25" t="s">
        <v>1419</v>
      </c>
      <c r="C1055" s="24" t="s">
        <v>1418</v>
      </c>
      <c r="D1055" s="23" t="s">
        <v>1411</v>
      </c>
      <c r="E1055" s="20" t="s">
        <v>295</v>
      </c>
      <c r="F1055" s="22"/>
    </row>
    <row r="1056" spans="1:6" ht="14" customHeight="1">
      <c r="A1056" s="19" t="s">
        <v>293</v>
      </c>
      <c r="B1056" s="25" t="s">
        <v>1417</v>
      </c>
      <c r="C1056" s="24" t="s">
        <v>1416</v>
      </c>
      <c r="D1056" s="23" t="s">
        <v>1411</v>
      </c>
      <c r="E1056" s="20" t="s">
        <v>295</v>
      </c>
      <c r="F1056" s="22"/>
    </row>
    <row r="1057" spans="1:6" ht="14" customHeight="1">
      <c r="A1057" s="19" t="s">
        <v>293</v>
      </c>
      <c r="B1057" s="25" t="s">
        <v>1415</v>
      </c>
      <c r="C1057" s="24" t="s">
        <v>1414</v>
      </c>
      <c r="D1057" s="23" t="s">
        <v>1411</v>
      </c>
      <c r="E1057" s="20" t="s">
        <v>295</v>
      </c>
      <c r="F1057" s="22"/>
    </row>
    <row r="1058" spans="1:6" ht="14" customHeight="1">
      <c r="A1058" s="19" t="s">
        <v>293</v>
      </c>
      <c r="B1058" s="25" t="s">
        <v>1413</v>
      </c>
      <c r="C1058" s="24" t="s">
        <v>1412</v>
      </c>
      <c r="D1058" s="23" t="s">
        <v>1411</v>
      </c>
      <c r="E1058" s="20" t="s">
        <v>295</v>
      </c>
      <c r="F1058" s="22"/>
    </row>
    <row r="1059" spans="1:6" ht="14" customHeight="1">
      <c r="A1059" s="19" t="s">
        <v>293</v>
      </c>
      <c r="B1059" s="25" t="s">
        <v>1410</v>
      </c>
      <c r="C1059" s="24" t="s">
        <v>1409</v>
      </c>
      <c r="D1059" s="23" t="s">
        <v>1402</v>
      </c>
      <c r="E1059" s="20" t="s">
        <v>295</v>
      </c>
      <c r="F1059" s="22"/>
    </row>
    <row r="1060" spans="1:6" ht="14" customHeight="1">
      <c r="A1060" s="19" t="s">
        <v>293</v>
      </c>
      <c r="B1060" s="25" t="s">
        <v>1408</v>
      </c>
      <c r="C1060" s="24" t="s">
        <v>1407</v>
      </c>
      <c r="D1060" s="23" t="s">
        <v>1402</v>
      </c>
      <c r="E1060" s="20" t="s">
        <v>295</v>
      </c>
      <c r="F1060" s="22"/>
    </row>
    <row r="1061" spans="1:6" ht="14" customHeight="1">
      <c r="A1061" s="19" t="s">
        <v>293</v>
      </c>
      <c r="B1061" s="25" t="s">
        <v>1406</v>
      </c>
      <c r="C1061" s="24" t="s">
        <v>1405</v>
      </c>
      <c r="D1061" s="23" t="s">
        <v>1402</v>
      </c>
      <c r="E1061" s="20" t="s">
        <v>295</v>
      </c>
      <c r="F1061" s="22"/>
    </row>
    <row r="1062" spans="1:6" ht="14" customHeight="1">
      <c r="A1062" s="19" t="s">
        <v>293</v>
      </c>
      <c r="B1062" s="25" t="s">
        <v>1404</v>
      </c>
      <c r="C1062" s="24" t="s">
        <v>1403</v>
      </c>
      <c r="D1062" s="23" t="s">
        <v>1402</v>
      </c>
      <c r="E1062" s="20" t="s">
        <v>295</v>
      </c>
      <c r="F1062" s="22"/>
    </row>
    <row r="1063" spans="1:6" ht="14" customHeight="1">
      <c r="A1063" s="19" t="s">
        <v>293</v>
      </c>
      <c r="B1063" s="25" t="s">
        <v>1401</v>
      </c>
      <c r="C1063" s="24" t="s">
        <v>1400</v>
      </c>
      <c r="D1063" s="23" t="s">
        <v>1393</v>
      </c>
      <c r="E1063" s="20" t="s">
        <v>295</v>
      </c>
      <c r="F1063" s="22"/>
    </row>
    <row r="1064" spans="1:6" ht="14" customHeight="1">
      <c r="A1064" s="19" t="s">
        <v>293</v>
      </c>
      <c r="B1064" s="25" t="s">
        <v>1399</v>
      </c>
      <c r="C1064" s="24" t="s">
        <v>1398</v>
      </c>
      <c r="D1064" s="23" t="s">
        <v>1393</v>
      </c>
      <c r="E1064" s="20" t="s">
        <v>295</v>
      </c>
      <c r="F1064" s="22"/>
    </row>
    <row r="1065" spans="1:6" ht="14" customHeight="1">
      <c r="A1065" s="19" t="s">
        <v>293</v>
      </c>
      <c r="B1065" s="25" t="s">
        <v>1397</v>
      </c>
      <c r="C1065" s="24" t="s">
        <v>1396</v>
      </c>
      <c r="D1065" s="23" t="s">
        <v>1393</v>
      </c>
      <c r="E1065" s="20" t="s">
        <v>295</v>
      </c>
      <c r="F1065" s="22"/>
    </row>
    <row r="1066" spans="1:6" ht="14" customHeight="1">
      <c r="A1066" s="19" t="s">
        <v>293</v>
      </c>
      <c r="B1066" s="25" t="s">
        <v>1395</v>
      </c>
      <c r="C1066" s="24" t="s">
        <v>1394</v>
      </c>
      <c r="D1066" s="23" t="s">
        <v>1393</v>
      </c>
      <c r="E1066" s="20" t="s">
        <v>295</v>
      </c>
      <c r="F1066" s="22"/>
    </row>
    <row r="1067" spans="1:6" ht="14" customHeight="1">
      <c r="A1067" s="19" t="s">
        <v>293</v>
      </c>
      <c r="B1067" s="25" t="s">
        <v>1392</v>
      </c>
      <c r="C1067" s="24" t="s">
        <v>1391</v>
      </c>
      <c r="D1067" s="23" t="s">
        <v>1388</v>
      </c>
      <c r="E1067" s="20" t="s">
        <v>295</v>
      </c>
      <c r="F1067" s="22"/>
    </row>
    <row r="1068" spans="1:6" ht="14" customHeight="1">
      <c r="A1068" s="19" t="s">
        <v>293</v>
      </c>
      <c r="B1068" s="25" t="s">
        <v>1390</v>
      </c>
      <c r="C1068" s="24" t="s">
        <v>1389</v>
      </c>
      <c r="D1068" s="23" t="s">
        <v>1388</v>
      </c>
      <c r="E1068" s="20" t="s">
        <v>295</v>
      </c>
      <c r="F1068" s="22"/>
    </row>
    <row r="1069" spans="1:6" ht="28" customHeight="1">
      <c r="A1069" s="19" t="s">
        <v>293</v>
      </c>
      <c r="B1069" s="25" t="s">
        <v>1387</v>
      </c>
      <c r="C1069" s="24" t="s">
        <v>1386</v>
      </c>
      <c r="D1069" s="23" t="s">
        <v>1294</v>
      </c>
      <c r="E1069" s="20" t="s">
        <v>295</v>
      </c>
      <c r="F1069" s="22"/>
    </row>
    <row r="1070" spans="1:6" ht="28" customHeight="1">
      <c r="A1070" s="19" t="s">
        <v>293</v>
      </c>
      <c r="B1070" s="25" t="s">
        <v>1385</v>
      </c>
      <c r="C1070" s="24" t="s">
        <v>1384</v>
      </c>
      <c r="D1070" s="23" t="s">
        <v>1294</v>
      </c>
      <c r="E1070" s="20" t="s">
        <v>295</v>
      </c>
      <c r="F1070" s="22"/>
    </row>
    <row r="1071" spans="1:6" ht="28" customHeight="1">
      <c r="A1071" s="19" t="s">
        <v>293</v>
      </c>
      <c r="B1071" s="25" t="s">
        <v>1383</v>
      </c>
      <c r="C1071" s="24" t="s">
        <v>1382</v>
      </c>
      <c r="D1071" s="23" t="s">
        <v>1294</v>
      </c>
      <c r="E1071" s="20" t="s">
        <v>295</v>
      </c>
      <c r="F1071" s="22"/>
    </row>
    <row r="1072" spans="1:6" ht="28" customHeight="1">
      <c r="A1072" s="19" t="s">
        <v>293</v>
      </c>
      <c r="B1072" s="25" t="s">
        <v>1381</v>
      </c>
      <c r="C1072" s="24" t="s">
        <v>1380</v>
      </c>
      <c r="D1072" s="23" t="s">
        <v>1294</v>
      </c>
      <c r="E1072" s="20" t="s">
        <v>295</v>
      </c>
      <c r="F1072" s="22"/>
    </row>
    <row r="1073" spans="1:6" ht="28" customHeight="1">
      <c r="A1073" s="19" t="s">
        <v>293</v>
      </c>
      <c r="B1073" s="25" t="s">
        <v>1379</v>
      </c>
      <c r="C1073" s="24" t="s">
        <v>1378</v>
      </c>
      <c r="D1073" s="23" t="s">
        <v>1285</v>
      </c>
      <c r="E1073" s="20" t="s">
        <v>295</v>
      </c>
      <c r="F1073" s="22"/>
    </row>
    <row r="1074" spans="1:6" ht="28" customHeight="1">
      <c r="A1074" s="19" t="s">
        <v>293</v>
      </c>
      <c r="B1074" s="25" t="s">
        <v>1377</v>
      </c>
      <c r="C1074" s="24" t="s">
        <v>1376</v>
      </c>
      <c r="D1074" s="23" t="s">
        <v>1285</v>
      </c>
      <c r="E1074" s="20" t="s">
        <v>295</v>
      </c>
      <c r="F1074" s="22"/>
    </row>
    <row r="1075" spans="1:6" ht="28" customHeight="1">
      <c r="A1075" s="19" t="s">
        <v>293</v>
      </c>
      <c r="B1075" s="25" t="s">
        <v>1375</v>
      </c>
      <c r="C1075" s="24" t="s">
        <v>1374</v>
      </c>
      <c r="D1075" s="23" t="s">
        <v>1285</v>
      </c>
      <c r="E1075" s="20" t="s">
        <v>295</v>
      </c>
      <c r="F1075" s="22"/>
    </row>
    <row r="1076" spans="1:6" ht="28" customHeight="1">
      <c r="A1076" s="19" t="s">
        <v>293</v>
      </c>
      <c r="B1076" s="25" t="s">
        <v>1373</v>
      </c>
      <c r="C1076" s="24" t="s">
        <v>1372</v>
      </c>
      <c r="D1076" s="23" t="s">
        <v>1285</v>
      </c>
      <c r="E1076" s="20" t="s">
        <v>295</v>
      </c>
      <c r="F1076" s="22"/>
    </row>
    <row r="1077" spans="1:6" ht="28" customHeight="1">
      <c r="A1077" s="19" t="s">
        <v>293</v>
      </c>
      <c r="B1077" s="25" t="s">
        <v>1371</v>
      </c>
      <c r="C1077" s="24" t="s">
        <v>1370</v>
      </c>
      <c r="D1077" s="23" t="s">
        <v>1276</v>
      </c>
      <c r="E1077" s="20" t="s">
        <v>295</v>
      </c>
      <c r="F1077" s="22"/>
    </row>
    <row r="1078" spans="1:6" ht="28" customHeight="1">
      <c r="A1078" s="19" t="s">
        <v>293</v>
      </c>
      <c r="B1078" s="25" t="s">
        <v>1369</v>
      </c>
      <c r="C1078" s="24" t="s">
        <v>1368</v>
      </c>
      <c r="D1078" s="23" t="s">
        <v>1276</v>
      </c>
      <c r="E1078" s="20" t="s">
        <v>295</v>
      </c>
      <c r="F1078" s="22"/>
    </row>
    <row r="1079" spans="1:6" ht="28" customHeight="1">
      <c r="A1079" s="19" t="s">
        <v>293</v>
      </c>
      <c r="B1079" s="25" t="s">
        <v>1367</v>
      </c>
      <c r="C1079" s="24" t="s">
        <v>1366</v>
      </c>
      <c r="D1079" s="23" t="s">
        <v>1276</v>
      </c>
      <c r="E1079" s="20" t="s">
        <v>295</v>
      </c>
      <c r="F1079" s="22"/>
    </row>
    <row r="1080" spans="1:6" ht="28" customHeight="1">
      <c r="A1080" s="19" t="s">
        <v>293</v>
      </c>
      <c r="B1080" s="25" t="s">
        <v>1365</v>
      </c>
      <c r="C1080" s="24" t="s">
        <v>1364</v>
      </c>
      <c r="D1080" s="23" t="s">
        <v>1276</v>
      </c>
      <c r="E1080" s="20" t="s">
        <v>295</v>
      </c>
      <c r="F1080" s="22"/>
    </row>
    <row r="1081" spans="1:6" ht="28" customHeight="1">
      <c r="A1081" s="19" t="s">
        <v>293</v>
      </c>
      <c r="B1081" s="25" t="s">
        <v>1363</v>
      </c>
      <c r="C1081" s="24" t="s">
        <v>1362</v>
      </c>
      <c r="D1081" s="23" t="s">
        <v>1271</v>
      </c>
      <c r="E1081" s="20" t="s">
        <v>295</v>
      </c>
      <c r="F1081" s="22"/>
    </row>
    <row r="1082" spans="1:6" ht="28" customHeight="1">
      <c r="A1082" s="19" t="s">
        <v>293</v>
      </c>
      <c r="B1082" s="25" t="s">
        <v>1361</v>
      </c>
      <c r="C1082" s="24" t="s">
        <v>1360</v>
      </c>
      <c r="D1082" s="23" t="s">
        <v>1271</v>
      </c>
      <c r="E1082" s="20" t="s">
        <v>295</v>
      </c>
      <c r="F1082" s="22"/>
    </row>
    <row r="1083" spans="1:6" ht="28" customHeight="1">
      <c r="A1083" s="19" t="s">
        <v>293</v>
      </c>
      <c r="B1083" s="25" t="s">
        <v>1359</v>
      </c>
      <c r="C1083" s="24" t="s">
        <v>1358</v>
      </c>
      <c r="D1083" s="23" t="s">
        <v>1294</v>
      </c>
      <c r="E1083" s="20" t="s">
        <v>295</v>
      </c>
      <c r="F1083" s="22"/>
    </row>
    <row r="1084" spans="1:6" ht="28" customHeight="1">
      <c r="A1084" s="19" t="s">
        <v>293</v>
      </c>
      <c r="B1084" s="25" t="s">
        <v>1357</v>
      </c>
      <c r="C1084" s="24" t="s">
        <v>1356</v>
      </c>
      <c r="D1084" s="23" t="s">
        <v>1294</v>
      </c>
      <c r="E1084" s="20" t="s">
        <v>295</v>
      </c>
      <c r="F1084" s="22"/>
    </row>
    <row r="1085" spans="1:6" ht="28" customHeight="1">
      <c r="A1085" s="19" t="s">
        <v>293</v>
      </c>
      <c r="B1085" s="25" t="s">
        <v>1355</v>
      </c>
      <c r="C1085" s="24" t="s">
        <v>1354</v>
      </c>
      <c r="D1085" s="23" t="s">
        <v>1294</v>
      </c>
      <c r="E1085" s="20" t="s">
        <v>295</v>
      </c>
      <c r="F1085" s="22"/>
    </row>
    <row r="1086" spans="1:6" ht="28" customHeight="1">
      <c r="A1086" s="19" t="s">
        <v>293</v>
      </c>
      <c r="B1086" s="25" t="s">
        <v>1353</v>
      </c>
      <c r="C1086" s="24" t="s">
        <v>1352</v>
      </c>
      <c r="D1086" s="23" t="s">
        <v>1294</v>
      </c>
      <c r="E1086" s="20" t="s">
        <v>295</v>
      </c>
      <c r="F1086" s="22"/>
    </row>
    <row r="1087" spans="1:6" ht="28" customHeight="1">
      <c r="A1087" s="19" t="s">
        <v>293</v>
      </c>
      <c r="B1087" s="25" t="s">
        <v>1351</v>
      </c>
      <c r="C1087" s="24" t="s">
        <v>1350</v>
      </c>
      <c r="D1087" s="23" t="s">
        <v>1285</v>
      </c>
      <c r="E1087" s="20" t="s">
        <v>295</v>
      </c>
      <c r="F1087" s="22"/>
    </row>
    <row r="1088" spans="1:6" ht="28" customHeight="1">
      <c r="A1088" s="19" t="s">
        <v>293</v>
      </c>
      <c r="B1088" s="25" t="s">
        <v>1349</v>
      </c>
      <c r="C1088" s="24" t="s">
        <v>1348</v>
      </c>
      <c r="D1088" s="23" t="s">
        <v>1285</v>
      </c>
      <c r="E1088" s="20" t="s">
        <v>295</v>
      </c>
      <c r="F1088" s="22"/>
    </row>
    <row r="1089" spans="1:6" ht="28" customHeight="1">
      <c r="A1089" s="19" t="s">
        <v>293</v>
      </c>
      <c r="B1089" s="25" t="s">
        <v>1347</v>
      </c>
      <c r="C1089" s="24" t="s">
        <v>1346</v>
      </c>
      <c r="D1089" s="23" t="s">
        <v>1285</v>
      </c>
      <c r="E1089" s="20" t="s">
        <v>295</v>
      </c>
      <c r="F1089" s="22"/>
    </row>
    <row r="1090" spans="1:6" ht="28" customHeight="1">
      <c r="A1090" s="19" t="s">
        <v>293</v>
      </c>
      <c r="B1090" s="25" t="s">
        <v>1345</v>
      </c>
      <c r="C1090" s="24" t="s">
        <v>1344</v>
      </c>
      <c r="D1090" s="23" t="s">
        <v>1285</v>
      </c>
      <c r="E1090" s="20" t="s">
        <v>295</v>
      </c>
      <c r="F1090" s="22"/>
    </row>
    <row r="1091" spans="1:6" ht="28" customHeight="1">
      <c r="A1091" s="19" t="s">
        <v>293</v>
      </c>
      <c r="B1091" s="25" t="s">
        <v>1343</v>
      </c>
      <c r="C1091" s="24" t="s">
        <v>1342</v>
      </c>
      <c r="D1091" s="23" t="s">
        <v>1276</v>
      </c>
      <c r="E1091" s="20" t="s">
        <v>295</v>
      </c>
      <c r="F1091" s="22"/>
    </row>
    <row r="1092" spans="1:6" ht="28" customHeight="1">
      <c r="A1092" s="19" t="s">
        <v>293</v>
      </c>
      <c r="B1092" s="25" t="s">
        <v>1341</v>
      </c>
      <c r="C1092" s="24" t="s">
        <v>1340</v>
      </c>
      <c r="D1092" s="23" t="s">
        <v>1276</v>
      </c>
      <c r="E1092" s="20" t="s">
        <v>295</v>
      </c>
      <c r="F1092" s="22"/>
    </row>
    <row r="1093" spans="1:6" ht="28" customHeight="1">
      <c r="A1093" s="19" t="s">
        <v>293</v>
      </c>
      <c r="B1093" s="25" t="s">
        <v>1339</v>
      </c>
      <c r="C1093" s="24" t="s">
        <v>1338</v>
      </c>
      <c r="D1093" s="23" t="s">
        <v>1276</v>
      </c>
      <c r="E1093" s="20" t="s">
        <v>295</v>
      </c>
      <c r="F1093" s="22"/>
    </row>
    <row r="1094" spans="1:6" ht="28" customHeight="1">
      <c r="A1094" s="19" t="s">
        <v>293</v>
      </c>
      <c r="B1094" s="25" t="s">
        <v>1337</v>
      </c>
      <c r="C1094" s="24" t="s">
        <v>1336</v>
      </c>
      <c r="D1094" s="23" t="s">
        <v>1276</v>
      </c>
      <c r="E1094" s="20" t="s">
        <v>295</v>
      </c>
      <c r="F1094" s="22"/>
    </row>
    <row r="1095" spans="1:6" ht="28" customHeight="1">
      <c r="A1095" s="19" t="s">
        <v>293</v>
      </c>
      <c r="B1095" s="25" t="s">
        <v>1335</v>
      </c>
      <c r="C1095" s="24" t="s">
        <v>1334</v>
      </c>
      <c r="D1095" s="23" t="s">
        <v>1271</v>
      </c>
      <c r="E1095" s="20" t="s">
        <v>295</v>
      </c>
      <c r="F1095" s="22"/>
    </row>
    <row r="1096" spans="1:6" ht="28" customHeight="1">
      <c r="A1096" s="19" t="s">
        <v>293</v>
      </c>
      <c r="B1096" s="25" t="s">
        <v>1333</v>
      </c>
      <c r="C1096" s="24" t="s">
        <v>1332</v>
      </c>
      <c r="D1096" s="23" t="s">
        <v>1271</v>
      </c>
      <c r="E1096" s="20" t="s">
        <v>295</v>
      </c>
      <c r="F1096" s="22"/>
    </row>
    <row r="1097" spans="1:6" ht="28" customHeight="1">
      <c r="A1097" s="19" t="s">
        <v>293</v>
      </c>
      <c r="B1097" s="25" t="s">
        <v>1331</v>
      </c>
      <c r="C1097" s="24" t="s">
        <v>1330</v>
      </c>
      <c r="D1097" s="23" t="s">
        <v>1294</v>
      </c>
      <c r="E1097" s="20" t="s">
        <v>295</v>
      </c>
      <c r="F1097" s="22"/>
    </row>
    <row r="1098" spans="1:6" ht="28" customHeight="1">
      <c r="A1098" s="19" t="s">
        <v>293</v>
      </c>
      <c r="B1098" s="25" t="s">
        <v>1329</v>
      </c>
      <c r="C1098" s="24" t="s">
        <v>1328</v>
      </c>
      <c r="D1098" s="23" t="s">
        <v>1294</v>
      </c>
      <c r="E1098" s="20" t="s">
        <v>295</v>
      </c>
      <c r="F1098" s="22"/>
    </row>
    <row r="1099" spans="1:6" ht="28" customHeight="1">
      <c r="A1099" s="19" t="s">
        <v>293</v>
      </c>
      <c r="B1099" s="25" t="s">
        <v>1327</v>
      </c>
      <c r="C1099" s="24" t="s">
        <v>1326</v>
      </c>
      <c r="D1099" s="23" t="s">
        <v>1294</v>
      </c>
      <c r="E1099" s="20" t="s">
        <v>295</v>
      </c>
      <c r="F1099" s="22"/>
    </row>
    <row r="1100" spans="1:6" ht="28" customHeight="1">
      <c r="A1100" s="19" t="s">
        <v>293</v>
      </c>
      <c r="B1100" s="25" t="s">
        <v>1325</v>
      </c>
      <c r="C1100" s="24" t="s">
        <v>1324</v>
      </c>
      <c r="D1100" s="23" t="s">
        <v>1294</v>
      </c>
      <c r="E1100" s="20" t="s">
        <v>295</v>
      </c>
      <c r="F1100" s="22"/>
    </row>
    <row r="1101" spans="1:6" ht="28" customHeight="1">
      <c r="A1101" s="19" t="s">
        <v>293</v>
      </c>
      <c r="B1101" s="25" t="s">
        <v>1323</v>
      </c>
      <c r="C1101" s="24" t="s">
        <v>1322</v>
      </c>
      <c r="D1101" s="23" t="s">
        <v>1285</v>
      </c>
      <c r="E1101" s="20" t="s">
        <v>295</v>
      </c>
      <c r="F1101" s="22"/>
    </row>
    <row r="1102" spans="1:6" ht="28" customHeight="1">
      <c r="A1102" s="19" t="s">
        <v>293</v>
      </c>
      <c r="B1102" s="25" t="s">
        <v>1321</v>
      </c>
      <c r="C1102" s="24" t="s">
        <v>1320</v>
      </c>
      <c r="D1102" s="23" t="s">
        <v>1285</v>
      </c>
      <c r="E1102" s="20" t="s">
        <v>295</v>
      </c>
      <c r="F1102" s="22"/>
    </row>
    <row r="1103" spans="1:6" ht="28" customHeight="1">
      <c r="A1103" s="19" t="s">
        <v>293</v>
      </c>
      <c r="B1103" s="25" t="s">
        <v>1319</v>
      </c>
      <c r="C1103" s="24" t="s">
        <v>1318</v>
      </c>
      <c r="D1103" s="23" t="s">
        <v>1285</v>
      </c>
      <c r="E1103" s="20" t="s">
        <v>295</v>
      </c>
      <c r="F1103" s="22"/>
    </row>
    <row r="1104" spans="1:6" ht="28" customHeight="1">
      <c r="A1104" s="19" t="s">
        <v>293</v>
      </c>
      <c r="B1104" s="25" t="s">
        <v>1317</v>
      </c>
      <c r="C1104" s="24" t="s">
        <v>1316</v>
      </c>
      <c r="D1104" s="23" t="s">
        <v>1285</v>
      </c>
      <c r="E1104" s="20" t="s">
        <v>295</v>
      </c>
      <c r="F1104" s="22"/>
    </row>
    <row r="1105" spans="1:6" ht="28" customHeight="1">
      <c r="A1105" s="19" t="s">
        <v>293</v>
      </c>
      <c r="B1105" s="25" t="s">
        <v>1315</v>
      </c>
      <c r="C1105" s="24" t="s">
        <v>1314</v>
      </c>
      <c r="D1105" s="23" t="s">
        <v>1276</v>
      </c>
      <c r="E1105" s="20" t="s">
        <v>295</v>
      </c>
      <c r="F1105" s="22"/>
    </row>
    <row r="1106" spans="1:6" ht="28" customHeight="1">
      <c r="A1106" s="19" t="s">
        <v>293</v>
      </c>
      <c r="B1106" s="25" t="s">
        <v>1313</v>
      </c>
      <c r="C1106" s="24" t="s">
        <v>1312</v>
      </c>
      <c r="D1106" s="23" t="s">
        <v>1276</v>
      </c>
      <c r="E1106" s="20" t="s">
        <v>295</v>
      </c>
      <c r="F1106" s="22"/>
    </row>
    <row r="1107" spans="1:6" ht="28" customHeight="1">
      <c r="A1107" s="19" t="s">
        <v>293</v>
      </c>
      <c r="B1107" s="25" t="s">
        <v>1311</v>
      </c>
      <c r="C1107" s="24" t="s">
        <v>1310</v>
      </c>
      <c r="D1107" s="23" t="s">
        <v>1276</v>
      </c>
      <c r="E1107" s="20" t="s">
        <v>295</v>
      </c>
      <c r="F1107" s="22"/>
    </row>
    <row r="1108" spans="1:6" ht="28" customHeight="1">
      <c r="A1108" s="19" t="s">
        <v>293</v>
      </c>
      <c r="B1108" s="25" t="s">
        <v>1309</v>
      </c>
      <c r="C1108" s="24" t="s">
        <v>1308</v>
      </c>
      <c r="D1108" s="23" t="s">
        <v>1276</v>
      </c>
      <c r="E1108" s="20" t="s">
        <v>295</v>
      </c>
      <c r="F1108" s="22"/>
    </row>
    <row r="1109" spans="1:6" ht="28" customHeight="1">
      <c r="A1109" s="19" t="s">
        <v>293</v>
      </c>
      <c r="B1109" s="25" t="s">
        <v>1307</v>
      </c>
      <c r="C1109" s="24" t="s">
        <v>1306</v>
      </c>
      <c r="D1109" s="23" t="s">
        <v>1271</v>
      </c>
      <c r="E1109" s="20" t="s">
        <v>295</v>
      </c>
      <c r="F1109" s="22"/>
    </row>
    <row r="1110" spans="1:6" ht="28" customHeight="1">
      <c r="A1110" s="19" t="s">
        <v>293</v>
      </c>
      <c r="B1110" s="25" t="s">
        <v>1305</v>
      </c>
      <c r="C1110" s="24" t="s">
        <v>1304</v>
      </c>
      <c r="D1110" s="23" t="s">
        <v>1271</v>
      </c>
      <c r="E1110" s="20" t="s">
        <v>295</v>
      </c>
      <c r="F1110" s="22"/>
    </row>
    <row r="1111" spans="1:6">
      <c r="A1111" s="26"/>
      <c r="B1111" s="26"/>
      <c r="C1111" s="26" t="s">
        <v>1303</v>
      </c>
      <c r="D1111" s="26"/>
      <c r="E1111" s="26"/>
    </row>
    <row r="1112" spans="1:6" ht="14" customHeight="1">
      <c r="A1112" s="19" t="s">
        <v>293</v>
      </c>
      <c r="B1112" s="25" t="s">
        <v>1302</v>
      </c>
      <c r="C1112" s="24" t="s">
        <v>1301</v>
      </c>
      <c r="D1112" s="23" t="s">
        <v>1294</v>
      </c>
      <c r="E1112" s="20" t="s">
        <v>295</v>
      </c>
      <c r="F1112" s="22"/>
    </row>
    <row r="1113" spans="1:6" ht="14" customHeight="1">
      <c r="A1113" s="19" t="s">
        <v>293</v>
      </c>
      <c r="B1113" s="25" t="s">
        <v>1300</v>
      </c>
      <c r="C1113" s="24" t="s">
        <v>1299</v>
      </c>
      <c r="D1113" s="23" t="s">
        <v>1294</v>
      </c>
      <c r="E1113" s="20" t="s">
        <v>295</v>
      </c>
      <c r="F1113" s="22"/>
    </row>
    <row r="1114" spans="1:6" ht="14" customHeight="1">
      <c r="A1114" s="19" t="s">
        <v>293</v>
      </c>
      <c r="B1114" s="25" t="s">
        <v>1298</v>
      </c>
      <c r="C1114" s="24" t="s">
        <v>1297</v>
      </c>
      <c r="D1114" s="23" t="s">
        <v>1294</v>
      </c>
      <c r="E1114" s="20" t="s">
        <v>295</v>
      </c>
      <c r="F1114" s="22"/>
    </row>
    <row r="1115" spans="1:6" ht="14" customHeight="1">
      <c r="A1115" s="19" t="s">
        <v>293</v>
      </c>
      <c r="B1115" s="25" t="s">
        <v>1296</v>
      </c>
      <c r="C1115" s="24" t="s">
        <v>1295</v>
      </c>
      <c r="D1115" s="23" t="s">
        <v>1294</v>
      </c>
      <c r="E1115" s="20" t="s">
        <v>295</v>
      </c>
      <c r="F1115" s="22"/>
    </row>
    <row r="1116" spans="1:6" ht="14" customHeight="1">
      <c r="A1116" s="19" t="s">
        <v>293</v>
      </c>
      <c r="B1116" s="25" t="s">
        <v>1293</v>
      </c>
      <c r="C1116" s="24" t="s">
        <v>1292</v>
      </c>
      <c r="D1116" s="23" t="s">
        <v>1285</v>
      </c>
      <c r="E1116" s="20" t="s">
        <v>295</v>
      </c>
      <c r="F1116" s="22"/>
    </row>
    <row r="1117" spans="1:6" ht="14" customHeight="1">
      <c r="A1117" s="19" t="s">
        <v>293</v>
      </c>
      <c r="B1117" s="25" t="s">
        <v>1291</v>
      </c>
      <c r="C1117" s="24" t="s">
        <v>1290</v>
      </c>
      <c r="D1117" s="23" t="s">
        <v>1285</v>
      </c>
      <c r="E1117" s="20" t="s">
        <v>295</v>
      </c>
      <c r="F1117" s="22"/>
    </row>
    <row r="1118" spans="1:6" ht="14" customHeight="1">
      <c r="A1118" s="19" t="s">
        <v>293</v>
      </c>
      <c r="B1118" s="25" t="s">
        <v>1289</v>
      </c>
      <c r="C1118" s="24" t="s">
        <v>1288</v>
      </c>
      <c r="D1118" s="23" t="s">
        <v>1285</v>
      </c>
      <c r="E1118" s="20" t="s">
        <v>295</v>
      </c>
      <c r="F1118" s="22"/>
    </row>
    <row r="1119" spans="1:6" ht="14" customHeight="1">
      <c r="A1119" s="19" t="s">
        <v>293</v>
      </c>
      <c r="B1119" s="25" t="s">
        <v>1287</v>
      </c>
      <c r="C1119" s="24" t="s">
        <v>1286</v>
      </c>
      <c r="D1119" s="23" t="s">
        <v>1285</v>
      </c>
      <c r="E1119" s="20" t="s">
        <v>295</v>
      </c>
      <c r="F1119" s="22"/>
    </row>
    <row r="1120" spans="1:6" ht="14" customHeight="1">
      <c r="A1120" s="19" t="s">
        <v>293</v>
      </c>
      <c r="B1120" s="25" t="s">
        <v>1284</v>
      </c>
      <c r="C1120" s="24" t="s">
        <v>1283</v>
      </c>
      <c r="D1120" s="23" t="s">
        <v>1276</v>
      </c>
      <c r="E1120" s="20" t="s">
        <v>295</v>
      </c>
      <c r="F1120" s="22"/>
    </row>
    <row r="1121" spans="1:6" ht="14" customHeight="1">
      <c r="A1121" s="19" t="s">
        <v>293</v>
      </c>
      <c r="B1121" s="25" t="s">
        <v>1282</v>
      </c>
      <c r="C1121" s="24" t="s">
        <v>1281</v>
      </c>
      <c r="D1121" s="23" t="s">
        <v>1276</v>
      </c>
      <c r="E1121" s="20" t="s">
        <v>295</v>
      </c>
      <c r="F1121" s="22"/>
    </row>
    <row r="1122" spans="1:6" ht="14" customHeight="1">
      <c r="A1122" s="19" t="s">
        <v>293</v>
      </c>
      <c r="B1122" s="25" t="s">
        <v>1280</v>
      </c>
      <c r="C1122" s="24" t="s">
        <v>1279</v>
      </c>
      <c r="D1122" s="23" t="s">
        <v>1276</v>
      </c>
      <c r="E1122" s="20" t="s">
        <v>295</v>
      </c>
      <c r="F1122" s="22"/>
    </row>
    <row r="1123" spans="1:6" ht="14" customHeight="1">
      <c r="A1123" s="19" t="s">
        <v>293</v>
      </c>
      <c r="B1123" s="25" t="s">
        <v>1278</v>
      </c>
      <c r="C1123" s="24" t="s">
        <v>1277</v>
      </c>
      <c r="D1123" s="23" t="s">
        <v>1276</v>
      </c>
      <c r="E1123" s="20" t="s">
        <v>295</v>
      </c>
      <c r="F1123" s="22"/>
    </row>
    <row r="1124" spans="1:6" ht="14" customHeight="1">
      <c r="A1124" s="19" t="s">
        <v>293</v>
      </c>
      <c r="B1124" s="25" t="s">
        <v>1275</v>
      </c>
      <c r="C1124" s="24" t="s">
        <v>1274</v>
      </c>
      <c r="D1124" s="23" t="s">
        <v>1271</v>
      </c>
      <c r="E1124" s="20" t="s">
        <v>295</v>
      </c>
      <c r="F1124" s="22"/>
    </row>
    <row r="1125" spans="1:6" ht="14" customHeight="1">
      <c r="A1125" s="19" t="s">
        <v>293</v>
      </c>
      <c r="B1125" s="25" t="s">
        <v>1273</v>
      </c>
      <c r="C1125" s="24" t="s">
        <v>1272</v>
      </c>
      <c r="D1125" s="23" t="s">
        <v>1271</v>
      </c>
      <c r="E1125" s="20" t="s">
        <v>295</v>
      </c>
      <c r="F1125" s="22"/>
    </row>
    <row r="1126" spans="1:6">
      <c r="A1126" s="26"/>
      <c r="B1126" s="26"/>
      <c r="C1126" s="26" t="s">
        <v>1270</v>
      </c>
      <c r="D1126" s="26"/>
      <c r="E1126" s="26"/>
    </row>
    <row r="1127" spans="1:6" ht="14" customHeight="1">
      <c r="A1127" s="19" t="s">
        <v>293</v>
      </c>
      <c r="B1127" s="25" t="s">
        <v>1269</v>
      </c>
      <c r="C1127" s="24" t="s">
        <v>1268</v>
      </c>
      <c r="D1127" s="23" t="s">
        <v>1267</v>
      </c>
      <c r="E1127" s="20" t="s">
        <v>1254</v>
      </c>
      <c r="F1127" s="22"/>
    </row>
    <row r="1128" spans="1:6">
      <c r="A1128" s="26"/>
      <c r="B1128" s="26"/>
      <c r="C1128" s="26" t="s">
        <v>1266</v>
      </c>
      <c r="D1128" s="26"/>
      <c r="E1128" s="26"/>
    </row>
    <row r="1129" spans="1:6" ht="14" customHeight="1">
      <c r="A1129" s="19" t="s">
        <v>1258</v>
      </c>
      <c r="B1129" s="25" t="s">
        <v>1265</v>
      </c>
      <c r="C1129" s="24" t="s">
        <v>1264</v>
      </c>
      <c r="D1129" s="23" t="s">
        <v>1263</v>
      </c>
      <c r="E1129" s="20" t="s">
        <v>1254</v>
      </c>
      <c r="F1129" s="22"/>
    </row>
    <row r="1130" spans="1:6" ht="14" customHeight="1">
      <c r="A1130" s="19" t="s">
        <v>1258</v>
      </c>
      <c r="B1130" s="25" t="s">
        <v>1262</v>
      </c>
      <c r="C1130" s="24" t="s">
        <v>1261</v>
      </c>
      <c r="D1130" s="23" t="s">
        <v>1260</v>
      </c>
      <c r="E1130" s="20" t="s">
        <v>1254</v>
      </c>
      <c r="F1130" s="22"/>
    </row>
    <row r="1131" spans="1:6">
      <c r="A1131" s="26"/>
      <c r="B1131" s="26"/>
      <c r="C1131" s="26" t="s">
        <v>1259</v>
      </c>
      <c r="D1131" s="26"/>
      <c r="E1131" s="26"/>
    </row>
    <row r="1132" spans="1:6" ht="14" customHeight="1">
      <c r="A1132" s="19" t="s">
        <v>1258</v>
      </c>
      <c r="B1132" s="25" t="s">
        <v>1257</v>
      </c>
      <c r="C1132" s="24" t="s">
        <v>1256</v>
      </c>
      <c r="D1132" s="23" t="s">
        <v>1255</v>
      </c>
      <c r="E1132" s="20" t="s">
        <v>1254</v>
      </c>
      <c r="F1132" s="22"/>
    </row>
    <row r="1133" spans="1:6">
      <c r="A1133" s="26"/>
      <c r="B1133" s="26"/>
      <c r="C1133" s="26" t="s">
        <v>1253</v>
      </c>
      <c r="D1133" s="26"/>
      <c r="E1133" s="26"/>
    </row>
    <row r="1134" spans="1:6" ht="14" customHeight="1">
      <c r="A1134" s="19" t="s">
        <v>293</v>
      </c>
      <c r="B1134" s="25" t="s">
        <v>1252</v>
      </c>
      <c r="C1134" s="24" t="s">
        <v>1251</v>
      </c>
      <c r="D1134" s="23" t="s">
        <v>1232</v>
      </c>
      <c r="E1134" s="20" t="s">
        <v>295</v>
      </c>
      <c r="F1134" s="22"/>
    </row>
    <row r="1135" spans="1:6" ht="14" customHeight="1">
      <c r="A1135" s="19" t="s">
        <v>293</v>
      </c>
      <c r="B1135" s="25" t="s">
        <v>1250</v>
      </c>
      <c r="C1135" s="24" t="s">
        <v>1249</v>
      </c>
      <c r="D1135" s="23" t="s">
        <v>1232</v>
      </c>
      <c r="E1135" s="20" t="s">
        <v>295</v>
      </c>
      <c r="F1135" s="22"/>
    </row>
    <row r="1136" spans="1:6" ht="14" customHeight="1">
      <c r="A1136" s="19" t="s">
        <v>293</v>
      </c>
      <c r="B1136" s="25" t="s">
        <v>1248</v>
      </c>
      <c r="C1136" s="24" t="s">
        <v>1247</v>
      </c>
      <c r="D1136" s="23" t="s">
        <v>1232</v>
      </c>
      <c r="E1136" s="20" t="s">
        <v>295</v>
      </c>
      <c r="F1136" s="22"/>
    </row>
    <row r="1137" spans="1:6" ht="14" customHeight="1">
      <c r="A1137" s="19" t="s">
        <v>293</v>
      </c>
      <c r="B1137" s="25" t="s">
        <v>1246</v>
      </c>
      <c r="C1137" s="24" t="s">
        <v>1245</v>
      </c>
      <c r="D1137" s="23" t="s">
        <v>1232</v>
      </c>
      <c r="E1137" s="20" t="s">
        <v>295</v>
      </c>
      <c r="F1137" s="22"/>
    </row>
    <row r="1138" spans="1:6" ht="14" customHeight="1">
      <c r="A1138" s="19" t="s">
        <v>293</v>
      </c>
      <c r="B1138" s="25" t="s">
        <v>1244</v>
      </c>
      <c r="C1138" s="24" t="s">
        <v>1243</v>
      </c>
      <c r="D1138" s="23" t="s">
        <v>1232</v>
      </c>
      <c r="E1138" s="20" t="s">
        <v>295</v>
      </c>
      <c r="F1138" s="22"/>
    </row>
    <row r="1139" spans="1:6" ht="14" customHeight="1">
      <c r="A1139" s="19" t="s">
        <v>293</v>
      </c>
      <c r="B1139" s="25" t="s">
        <v>1242</v>
      </c>
      <c r="C1139" s="24" t="s">
        <v>1241</v>
      </c>
      <c r="D1139" s="23" t="s">
        <v>1232</v>
      </c>
      <c r="E1139" s="20" t="s">
        <v>295</v>
      </c>
      <c r="F1139" s="22"/>
    </row>
    <row r="1140" spans="1:6" ht="14" customHeight="1">
      <c r="A1140" s="19" t="s">
        <v>293</v>
      </c>
      <c r="B1140" s="25" t="s">
        <v>1240</v>
      </c>
      <c r="C1140" s="24" t="s">
        <v>1239</v>
      </c>
      <c r="D1140" s="23" t="s">
        <v>1232</v>
      </c>
      <c r="E1140" s="20" t="s">
        <v>295</v>
      </c>
      <c r="F1140" s="22"/>
    </row>
    <row r="1141" spans="1:6" ht="14" customHeight="1">
      <c r="A1141" s="19" t="s">
        <v>293</v>
      </c>
      <c r="B1141" s="25" t="s">
        <v>1238</v>
      </c>
      <c r="C1141" s="24" t="s">
        <v>1237</v>
      </c>
      <c r="D1141" s="23" t="s">
        <v>1232</v>
      </c>
      <c r="E1141" s="20" t="s">
        <v>295</v>
      </c>
      <c r="F1141" s="22"/>
    </row>
    <row r="1142" spans="1:6" ht="14" customHeight="1">
      <c r="A1142" s="19" t="s">
        <v>293</v>
      </c>
      <c r="B1142" s="25" t="s">
        <v>1236</v>
      </c>
      <c r="C1142" s="24" t="s">
        <v>1235</v>
      </c>
      <c r="D1142" s="23" t="s">
        <v>1232</v>
      </c>
      <c r="E1142" s="20" t="s">
        <v>295</v>
      </c>
      <c r="F1142" s="22"/>
    </row>
    <row r="1143" spans="1:6" ht="14" customHeight="1">
      <c r="A1143" s="19" t="s">
        <v>293</v>
      </c>
      <c r="B1143" s="25" t="s">
        <v>1234</v>
      </c>
      <c r="C1143" s="24" t="s">
        <v>1233</v>
      </c>
      <c r="D1143" s="23" t="s">
        <v>1232</v>
      </c>
      <c r="E1143" s="20" t="s">
        <v>295</v>
      </c>
      <c r="F1143" s="22"/>
    </row>
    <row r="1144" spans="1:6" ht="14" customHeight="1">
      <c r="A1144" s="19" t="s">
        <v>293</v>
      </c>
      <c r="B1144" s="25" t="s">
        <v>1231</v>
      </c>
      <c r="C1144" s="24" t="s">
        <v>1230</v>
      </c>
      <c r="D1144" s="23" t="s">
        <v>1213</v>
      </c>
      <c r="E1144" s="20" t="s">
        <v>295</v>
      </c>
      <c r="F1144" s="22"/>
    </row>
    <row r="1145" spans="1:6" ht="14" customHeight="1">
      <c r="A1145" s="19" t="s">
        <v>293</v>
      </c>
      <c r="B1145" s="25" t="s">
        <v>1229</v>
      </c>
      <c r="C1145" s="24" t="s">
        <v>1228</v>
      </c>
      <c r="D1145" s="23" t="s">
        <v>1213</v>
      </c>
      <c r="E1145" s="20" t="s">
        <v>295</v>
      </c>
      <c r="F1145" s="22"/>
    </row>
    <row r="1146" spans="1:6" ht="14" customHeight="1">
      <c r="A1146" s="19" t="s">
        <v>293</v>
      </c>
      <c r="B1146" s="25" t="s">
        <v>1227</v>
      </c>
      <c r="C1146" s="24" t="s">
        <v>1226</v>
      </c>
      <c r="D1146" s="23" t="s">
        <v>1213</v>
      </c>
      <c r="E1146" s="20" t="s">
        <v>295</v>
      </c>
      <c r="F1146" s="22"/>
    </row>
    <row r="1147" spans="1:6" ht="14" customHeight="1">
      <c r="A1147" s="19" t="s">
        <v>293</v>
      </c>
      <c r="B1147" s="25" t="s">
        <v>1225</v>
      </c>
      <c r="C1147" s="24" t="s">
        <v>1224</v>
      </c>
      <c r="D1147" s="23" t="s">
        <v>1213</v>
      </c>
      <c r="E1147" s="20" t="s">
        <v>295</v>
      </c>
      <c r="F1147" s="22"/>
    </row>
    <row r="1148" spans="1:6" ht="14" customHeight="1">
      <c r="A1148" s="19" t="s">
        <v>293</v>
      </c>
      <c r="B1148" s="25" t="s">
        <v>1223</v>
      </c>
      <c r="C1148" s="24" t="s">
        <v>1222</v>
      </c>
      <c r="D1148" s="23" t="s">
        <v>1213</v>
      </c>
      <c r="E1148" s="20" t="s">
        <v>295</v>
      </c>
      <c r="F1148" s="22"/>
    </row>
    <row r="1149" spans="1:6" ht="14" customHeight="1">
      <c r="A1149" s="19" t="s">
        <v>293</v>
      </c>
      <c r="B1149" s="25" t="s">
        <v>1221</v>
      </c>
      <c r="C1149" s="24" t="s">
        <v>1220</v>
      </c>
      <c r="D1149" s="23" t="s">
        <v>1213</v>
      </c>
      <c r="E1149" s="20" t="s">
        <v>295</v>
      </c>
      <c r="F1149" s="22"/>
    </row>
    <row r="1150" spans="1:6" ht="14" customHeight="1">
      <c r="A1150" s="19" t="s">
        <v>293</v>
      </c>
      <c r="B1150" s="25" t="s">
        <v>1219</v>
      </c>
      <c r="C1150" s="24" t="s">
        <v>1218</v>
      </c>
      <c r="D1150" s="23" t="s">
        <v>1213</v>
      </c>
      <c r="E1150" s="20" t="s">
        <v>295</v>
      </c>
      <c r="F1150" s="22"/>
    </row>
    <row r="1151" spans="1:6" ht="14" customHeight="1">
      <c r="A1151" s="19" t="s">
        <v>293</v>
      </c>
      <c r="B1151" s="25" t="s">
        <v>1217</v>
      </c>
      <c r="C1151" s="24" t="s">
        <v>1216</v>
      </c>
      <c r="D1151" s="23" t="s">
        <v>1213</v>
      </c>
      <c r="E1151" s="20" t="s">
        <v>295</v>
      </c>
      <c r="F1151" s="22"/>
    </row>
    <row r="1152" spans="1:6" ht="14" customHeight="1">
      <c r="A1152" s="19" t="s">
        <v>293</v>
      </c>
      <c r="B1152" s="25" t="s">
        <v>1215</v>
      </c>
      <c r="C1152" s="24" t="s">
        <v>1214</v>
      </c>
      <c r="D1152" s="23" t="s">
        <v>1213</v>
      </c>
      <c r="E1152" s="20" t="s">
        <v>295</v>
      </c>
      <c r="F1152" s="22"/>
    </row>
    <row r="1153" spans="1:6" ht="14" customHeight="1">
      <c r="A1153" s="19" t="s">
        <v>293</v>
      </c>
      <c r="B1153" s="25" t="s">
        <v>1212</v>
      </c>
      <c r="C1153" s="24" t="s">
        <v>1211</v>
      </c>
      <c r="D1153" s="23" t="s">
        <v>1192</v>
      </c>
      <c r="E1153" s="20" t="s">
        <v>295</v>
      </c>
      <c r="F1153" s="22"/>
    </row>
    <row r="1154" spans="1:6" ht="14" customHeight="1">
      <c r="A1154" s="19" t="s">
        <v>293</v>
      </c>
      <c r="B1154" s="25" t="s">
        <v>1210</v>
      </c>
      <c r="C1154" s="24" t="s">
        <v>1209</v>
      </c>
      <c r="D1154" s="23" t="s">
        <v>1192</v>
      </c>
      <c r="E1154" s="20" t="s">
        <v>295</v>
      </c>
      <c r="F1154" s="22"/>
    </row>
    <row r="1155" spans="1:6" ht="14" customHeight="1">
      <c r="A1155" s="19" t="s">
        <v>293</v>
      </c>
      <c r="B1155" s="25" t="s">
        <v>1208</v>
      </c>
      <c r="C1155" s="24" t="s">
        <v>1207</v>
      </c>
      <c r="D1155" s="23" t="s">
        <v>1192</v>
      </c>
      <c r="E1155" s="20" t="s">
        <v>295</v>
      </c>
      <c r="F1155" s="22"/>
    </row>
    <row r="1156" spans="1:6" ht="14" customHeight="1">
      <c r="A1156" s="19" t="s">
        <v>293</v>
      </c>
      <c r="B1156" s="25" t="s">
        <v>1206</v>
      </c>
      <c r="C1156" s="24" t="s">
        <v>1205</v>
      </c>
      <c r="D1156" s="23" t="s">
        <v>1192</v>
      </c>
      <c r="E1156" s="20" t="s">
        <v>295</v>
      </c>
      <c r="F1156" s="22"/>
    </row>
    <row r="1157" spans="1:6" ht="14" customHeight="1">
      <c r="A1157" s="19" t="s">
        <v>293</v>
      </c>
      <c r="B1157" s="25" t="s">
        <v>1204</v>
      </c>
      <c r="C1157" s="24" t="s">
        <v>1203</v>
      </c>
      <c r="D1157" s="23" t="s">
        <v>1192</v>
      </c>
      <c r="E1157" s="20" t="s">
        <v>295</v>
      </c>
      <c r="F1157" s="22"/>
    </row>
    <row r="1158" spans="1:6" ht="14" customHeight="1">
      <c r="A1158" s="19" t="s">
        <v>293</v>
      </c>
      <c r="B1158" s="25" t="s">
        <v>1202</v>
      </c>
      <c r="C1158" s="24" t="s">
        <v>1201</v>
      </c>
      <c r="D1158" s="23" t="s">
        <v>1192</v>
      </c>
      <c r="E1158" s="20" t="s">
        <v>295</v>
      </c>
      <c r="F1158" s="22"/>
    </row>
    <row r="1159" spans="1:6" ht="14" customHeight="1">
      <c r="A1159" s="19" t="s">
        <v>293</v>
      </c>
      <c r="B1159" s="25" t="s">
        <v>1200</v>
      </c>
      <c r="C1159" s="24" t="s">
        <v>1199</v>
      </c>
      <c r="D1159" s="23" t="s">
        <v>1192</v>
      </c>
      <c r="E1159" s="20" t="s">
        <v>295</v>
      </c>
      <c r="F1159" s="22"/>
    </row>
    <row r="1160" spans="1:6" ht="14" customHeight="1">
      <c r="A1160" s="19" t="s">
        <v>293</v>
      </c>
      <c r="B1160" s="25" t="s">
        <v>1198</v>
      </c>
      <c r="C1160" s="24" t="s">
        <v>1197</v>
      </c>
      <c r="D1160" s="23" t="s">
        <v>1192</v>
      </c>
      <c r="E1160" s="20" t="s">
        <v>295</v>
      </c>
      <c r="F1160" s="22"/>
    </row>
    <row r="1161" spans="1:6" ht="14" customHeight="1">
      <c r="A1161" s="19" t="s">
        <v>293</v>
      </c>
      <c r="B1161" s="25" t="s">
        <v>1196</v>
      </c>
      <c r="C1161" s="24" t="s">
        <v>1195</v>
      </c>
      <c r="D1161" s="23" t="s">
        <v>1192</v>
      </c>
      <c r="E1161" s="20" t="s">
        <v>295</v>
      </c>
      <c r="F1161" s="22"/>
    </row>
    <row r="1162" spans="1:6" ht="14" customHeight="1">
      <c r="A1162" s="19" t="s">
        <v>293</v>
      </c>
      <c r="B1162" s="25" t="s">
        <v>1194</v>
      </c>
      <c r="C1162" s="24" t="s">
        <v>1193</v>
      </c>
      <c r="D1162" s="23" t="s">
        <v>1192</v>
      </c>
      <c r="E1162" s="20" t="s">
        <v>295</v>
      </c>
      <c r="F1162" s="22"/>
    </row>
    <row r="1163" spans="1:6" ht="14" customHeight="1">
      <c r="A1163" s="19" t="s">
        <v>293</v>
      </c>
      <c r="B1163" s="25" t="s">
        <v>1191</v>
      </c>
      <c r="C1163" s="24" t="s">
        <v>1190</v>
      </c>
      <c r="D1163" s="23" t="s">
        <v>1187</v>
      </c>
      <c r="E1163" s="20" t="s">
        <v>295</v>
      </c>
      <c r="F1163" s="22"/>
    </row>
    <row r="1164" spans="1:6" ht="14" customHeight="1">
      <c r="A1164" s="19" t="s">
        <v>293</v>
      </c>
      <c r="B1164" s="25" t="s">
        <v>1189</v>
      </c>
      <c r="C1164" s="24" t="s">
        <v>1188</v>
      </c>
      <c r="D1164" s="23" t="s">
        <v>1187</v>
      </c>
      <c r="E1164" s="20" t="s">
        <v>295</v>
      </c>
      <c r="F1164" s="22"/>
    </row>
    <row r="1165" spans="1:6">
      <c r="A1165" s="26"/>
      <c r="B1165" s="26"/>
      <c r="C1165" s="26" t="s">
        <v>1186</v>
      </c>
      <c r="D1165" s="26"/>
      <c r="E1165" s="26"/>
    </row>
    <row r="1166" spans="1:6" ht="28" customHeight="1">
      <c r="A1166" s="19" t="s">
        <v>293</v>
      </c>
      <c r="B1166" s="25" t="s">
        <v>1185</v>
      </c>
      <c r="C1166" s="24" t="s">
        <v>1184</v>
      </c>
      <c r="D1166" s="23" t="s">
        <v>1165</v>
      </c>
      <c r="E1166" s="20" t="s">
        <v>295</v>
      </c>
      <c r="F1166" s="22"/>
    </row>
    <row r="1167" spans="1:6" ht="28" customHeight="1">
      <c r="A1167" s="19" t="s">
        <v>293</v>
      </c>
      <c r="B1167" s="25" t="s">
        <v>1183</v>
      </c>
      <c r="C1167" s="24" t="s">
        <v>1182</v>
      </c>
      <c r="D1167" s="23" t="s">
        <v>1165</v>
      </c>
      <c r="E1167" s="20" t="s">
        <v>295</v>
      </c>
      <c r="F1167" s="22"/>
    </row>
    <row r="1168" spans="1:6" ht="28" customHeight="1">
      <c r="A1168" s="19" t="s">
        <v>293</v>
      </c>
      <c r="B1168" s="25" t="s">
        <v>1181</v>
      </c>
      <c r="C1168" s="24" t="s">
        <v>1180</v>
      </c>
      <c r="D1168" s="23" t="s">
        <v>1165</v>
      </c>
      <c r="E1168" s="20" t="s">
        <v>295</v>
      </c>
      <c r="F1168" s="22"/>
    </row>
    <row r="1169" spans="1:6" ht="28" customHeight="1">
      <c r="A1169" s="19" t="s">
        <v>293</v>
      </c>
      <c r="B1169" s="25" t="s">
        <v>1179</v>
      </c>
      <c r="C1169" s="24" t="s">
        <v>1178</v>
      </c>
      <c r="D1169" s="23" t="s">
        <v>1165</v>
      </c>
      <c r="E1169" s="20" t="s">
        <v>295</v>
      </c>
      <c r="F1169" s="22"/>
    </row>
    <row r="1170" spans="1:6" ht="28" customHeight="1">
      <c r="A1170" s="19" t="s">
        <v>293</v>
      </c>
      <c r="B1170" s="25" t="s">
        <v>1177</v>
      </c>
      <c r="C1170" s="24" t="s">
        <v>1176</v>
      </c>
      <c r="D1170" s="23" t="s">
        <v>1165</v>
      </c>
      <c r="E1170" s="20" t="s">
        <v>295</v>
      </c>
      <c r="F1170" s="22"/>
    </row>
    <row r="1171" spans="1:6" ht="28" customHeight="1">
      <c r="A1171" s="19" t="s">
        <v>293</v>
      </c>
      <c r="B1171" s="25" t="s">
        <v>1175</v>
      </c>
      <c r="C1171" s="24" t="s">
        <v>1174</v>
      </c>
      <c r="D1171" s="23" t="s">
        <v>1165</v>
      </c>
      <c r="E1171" s="20" t="s">
        <v>295</v>
      </c>
      <c r="F1171" s="22"/>
    </row>
    <row r="1172" spans="1:6" ht="28" customHeight="1">
      <c r="A1172" s="19" t="s">
        <v>293</v>
      </c>
      <c r="B1172" s="25" t="s">
        <v>1173</v>
      </c>
      <c r="C1172" s="24" t="s">
        <v>1172</v>
      </c>
      <c r="D1172" s="23" t="s">
        <v>1165</v>
      </c>
      <c r="E1172" s="20" t="s">
        <v>295</v>
      </c>
      <c r="F1172" s="22"/>
    </row>
    <row r="1173" spans="1:6" ht="28" customHeight="1">
      <c r="A1173" s="19" t="s">
        <v>293</v>
      </c>
      <c r="B1173" s="25" t="s">
        <v>1171</v>
      </c>
      <c r="C1173" s="24" t="s">
        <v>1170</v>
      </c>
      <c r="D1173" s="23" t="s">
        <v>1165</v>
      </c>
      <c r="E1173" s="20" t="s">
        <v>295</v>
      </c>
      <c r="F1173" s="22"/>
    </row>
    <row r="1174" spans="1:6" ht="28" customHeight="1">
      <c r="A1174" s="19" t="s">
        <v>293</v>
      </c>
      <c r="B1174" s="25" t="s">
        <v>1169</v>
      </c>
      <c r="C1174" s="24" t="s">
        <v>1168</v>
      </c>
      <c r="D1174" s="23" t="s">
        <v>1165</v>
      </c>
      <c r="E1174" s="20" t="s">
        <v>295</v>
      </c>
      <c r="F1174" s="22"/>
    </row>
    <row r="1175" spans="1:6" ht="28" customHeight="1">
      <c r="A1175" s="19" t="s">
        <v>293</v>
      </c>
      <c r="B1175" s="25" t="s">
        <v>1167</v>
      </c>
      <c r="C1175" s="24" t="s">
        <v>1166</v>
      </c>
      <c r="D1175" s="23" t="s">
        <v>1165</v>
      </c>
      <c r="E1175" s="20" t="s">
        <v>295</v>
      </c>
      <c r="F1175" s="22"/>
    </row>
    <row r="1176" spans="1:6" ht="28" customHeight="1">
      <c r="A1176" s="19" t="s">
        <v>293</v>
      </c>
      <c r="B1176" s="25" t="s">
        <v>1164</v>
      </c>
      <c r="C1176" s="24" t="s">
        <v>1163</v>
      </c>
      <c r="D1176" s="23" t="s">
        <v>1146</v>
      </c>
      <c r="E1176" s="20" t="s">
        <v>295</v>
      </c>
      <c r="F1176" s="22"/>
    </row>
    <row r="1177" spans="1:6" ht="28" customHeight="1">
      <c r="A1177" s="19" t="s">
        <v>293</v>
      </c>
      <c r="B1177" s="25" t="s">
        <v>1162</v>
      </c>
      <c r="C1177" s="24" t="s">
        <v>1161</v>
      </c>
      <c r="D1177" s="23" t="s">
        <v>1146</v>
      </c>
      <c r="E1177" s="20" t="s">
        <v>295</v>
      </c>
      <c r="F1177" s="22"/>
    </row>
    <row r="1178" spans="1:6" ht="28" customHeight="1">
      <c r="A1178" s="19" t="s">
        <v>293</v>
      </c>
      <c r="B1178" s="25" t="s">
        <v>1160</v>
      </c>
      <c r="C1178" s="24" t="s">
        <v>1159</v>
      </c>
      <c r="D1178" s="23" t="s">
        <v>1146</v>
      </c>
      <c r="E1178" s="20" t="s">
        <v>295</v>
      </c>
      <c r="F1178" s="22"/>
    </row>
    <row r="1179" spans="1:6" ht="28" customHeight="1">
      <c r="A1179" s="19" t="s">
        <v>293</v>
      </c>
      <c r="B1179" s="25" t="s">
        <v>1158</v>
      </c>
      <c r="C1179" s="24" t="s">
        <v>1157</v>
      </c>
      <c r="D1179" s="23" t="s">
        <v>1146</v>
      </c>
      <c r="E1179" s="20" t="s">
        <v>295</v>
      </c>
      <c r="F1179" s="22"/>
    </row>
    <row r="1180" spans="1:6" ht="28" customHeight="1">
      <c r="A1180" s="19" t="s">
        <v>293</v>
      </c>
      <c r="B1180" s="25" t="s">
        <v>1156</v>
      </c>
      <c r="C1180" s="24" t="s">
        <v>1155</v>
      </c>
      <c r="D1180" s="23" t="s">
        <v>1146</v>
      </c>
      <c r="E1180" s="20" t="s">
        <v>295</v>
      </c>
      <c r="F1180" s="22"/>
    </row>
    <row r="1181" spans="1:6" ht="28" customHeight="1">
      <c r="A1181" s="19" t="s">
        <v>293</v>
      </c>
      <c r="B1181" s="25" t="s">
        <v>1154</v>
      </c>
      <c r="C1181" s="24" t="s">
        <v>1153</v>
      </c>
      <c r="D1181" s="23" t="s">
        <v>1146</v>
      </c>
      <c r="E1181" s="20" t="s">
        <v>295</v>
      </c>
      <c r="F1181" s="22"/>
    </row>
    <row r="1182" spans="1:6" ht="28" customHeight="1">
      <c r="A1182" s="19" t="s">
        <v>293</v>
      </c>
      <c r="B1182" s="25" t="s">
        <v>1152</v>
      </c>
      <c r="C1182" s="24" t="s">
        <v>1151</v>
      </c>
      <c r="D1182" s="23" t="s">
        <v>1146</v>
      </c>
      <c r="E1182" s="20" t="s">
        <v>295</v>
      </c>
      <c r="F1182" s="22"/>
    </row>
    <row r="1183" spans="1:6" ht="28" customHeight="1">
      <c r="A1183" s="19" t="s">
        <v>293</v>
      </c>
      <c r="B1183" s="25" t="s">
        <v>1150</v>
      </c>
      <c r="C1183" s="24" t="s">
        <v>1149</v>
      </c>
      <c r="D1183" s="23" t="s">
        <v>1146</v>
      </c>
      <c r="E1183" s="20" t="s">
        <v>295</v>
      </c>
      <c r="F1183" s="22"/>
    </row>
    <row r="1184" spans="1:6" ht="28" customHeight="1">
      <c r="A1184" s="19" t="s">
        <v>293</v>
      </c>
      <c r="B1184" s="25" t="s">
        <v>1148</v>
      </c>
      <c r="C1184" s="24" t="s">
        <v>1147</v>
      </c>
      <c r="D1184" s="23" t="s">
        <v>1146</v>
      </c>
      <c r="E1184" s="20" t="s">
        <v>295</v>
      </c>
      <c r="F1184" s="22"/>
    </row>
    <row r="1185" spans="1:6" ht="28" customHeight="1">
      <c r="A1185" s="19" t="s">
        <v>293</v>
      </c>
      <c r="B1185" s="25" t="s">
        <v>1145</v>
      </c>
      <c r="C1185" s="24" t="s">
        <v>1144</v>
      </c>
      <c r="D1185" s="23" t="s">
        <v>1143</v>
      </c>
      <c r="E1185" s="20" t="s">
        <v>295</v>
      </c>
      <c r="F1185" s="22"/>
    </row>
    <row r="1186" spans="1:6" ht="28" customHeight="1">
      <c r="A1186" s="19" t="s">
        <v>293</v>
      </c>
      <c r="B1186" s="25" t="s">
        <v>1142</v>
      </c>
      <c r="C1186" s="24" t="s">
        <v>1141</v>
      </c>
      <c r="D1186" s="23" t="s">
        <v>1122</v>
      </c>
      <c r="E1186" s="20" t="s">
        <v>295</v>
      </c>
      <c r="F1186" s="22"/>
    </row>
    <row r="1187" spans="1:6" ht="28" customHeight="1">
      <c r="A1187" s="19" t="s">
        <v>293</v>
      </c>
      <c r="B1187" s="25" t="s">
        <v>1140</v>
      </c>
      <c r="C1187" s="24" t="s">
        <v>1139</v>
      </c>
      <c r="D1187" s="23" t="s">
        <v>1122</v>
      </c>
      <c r="E1187" s="20" t="s">
        <v>295</v>
      </c>
      <c r="F1187" s="22"/>
    </row>
    <row r="1188" spans="1:6" ht="28" customHeight="1">
      <c r="A1188" s="19" t="s">
        <v>293</v>
      </c>
      <c r="B1188" s="25" t="s">
        <v>1138</v>
      </c>
      <c r="C1188" s="24" t="s">
        <v>1137</v>
      </c>
      <c r="D1188" s="23" t="s">
        <v>1122</v>
      </c>
      <c r="E1188" s="20" t="s">
        <v>295</v>
      </c>
      <c r="F1188" s="22"/>
    </row>
    <row r="1189" spans="1:6" ht="28" customHeight="1">
      <c r="A1189" s="19" t="s">
        <v>293</v>
      </c>
      <c r="B1189" s="25" t="s">
        <v>1136</v>
      </c>
      <c r="C1189" s="24" t="s">
        <v>1135</v>
      </c>
      <c r="D1189" s="23" t="s">
        <v>1122</v>
      </c>
      <c r="E1189" s="20" t="s">
        <v>295</v>
      </c>
      <c r="F1189" s="22"/>
    </row>
    <row r="1190" spans="1:6" ht="28" customHeight="1">
      <c r="A1190" s="19" t="s">
        <v>293</v>
      </c>
      <c r="B1190" s="25" t="s">
        <v>1134</v>
      </c>
      <c r="C1190" s="24" t="s">
        <v>1133</v>
      </c>
      <c r="D1190" s="23" t="s">
        <v>1122</v>
      </c>
      <c r="E1190" s="20" t="s">
        <v>295</v>
      </c>
      <c r="F1190" s="22"/>
    </row>
    <row r="1191" spans="1:6" ht="28" customHeight="1">
      <c r="A1191" s="19" t="s">
        <v>293</v>
      </c>
      <c r="B1191" s="25" t="s">
        <v>1132</v>
      </c>
      <c r="C1191" s="24" t="s">
        <v>1131</v>
      </c>
      <c r="D1191" s="23" t="s">
        <v>1122</v>
      </c>
      <c r="E1191" s="20" t="s">
        <v>295</v>
      </c>
      <c r="F1191" s="22"/>
    </row>
    <row r="1192" spans="1:6" ht="28" customHeight="1">
      <c r="A1192" s="19" t="s">
        <v>293</v>
      </c>
      <c r="B1192" s="25" t="s">
        <v>1130</v>
      </c>
      <c r="C1192" s="24" t="s">
        <v>1129</v>
      </c>
      <c r="D1192" s="23" t="s">
        <v>1122</v>
      </c>
      <c r="E1192" s="20" t="s">
        <v>295</v>
      </c>
      <c r="F1192" s="22"/>
    </row>
    <row r="1193" spans="1:6" ht="28" customHeight="1">
      <c r="A1193" s="19" t="s">
        <v>293</v>
      </c>
      <c r="B1193" s="25" t="s">
        <v>1128</v>
      </c>
      <c r="C1193" s="24" t="s">
        <v>1127</v>
      </c>
      <c r="D1193" s="23" t="s">
        <v>1122</v>
      </c>
      <c r="E1193" s="20" t="s">
        <v>295</v>
      </c>
      <c r="F1193" s="22"/>
    </row>
    <row r="1194" spans="1:6" ht="28" customHeight="1">
      <c r="A1194" s="19" t="s">
        <v>293</v>
      </c>
      <c r="B1194" s="25" t="s">
        <v>1126</v>
      </c>
      <c r="C1194" s="24" t="s">
        <v>1125</v>
      </c>
      <c r="D1194" s="23" t="s">
        <v>1122</v>
      </c>
      <c r="E1194" s="20" t="s">
        <v>295</v>
      </c>
      <c r="F1194" s="22"/>
    </row>
    <row r="1195" spans="1:6" ht="28" customHeight="1">
      <c r="A1195" s="19" t="s">
        <v>293</v>
      </c>
      <c r="B1195" s="25" t="s">
        <v>1124</v>
      </c>
      <c r="C1195" s="24" t="s">
        <v>1123</v>
      </c>
      <c r="D1195" s="23" t="s">
        <v>1122</v>
      </c>
      <c r="E1195" s="20" t="s">
        <v>295</v>
      </c>
      <c r="F1195" s="22"/>
    </row>
    <row r="1196" spans="1:6" ht="28" customHeight="1">
      <c r="A1196" s="19" t="s">
        <v>293</v>
      </c>
      <c r="B1196" s="25" t="s">
        <v>1121</v>
      </c>
      <c r="C1196" s="24" t="s">
        <v>1120</v>
      </c>
      <c r="D1196" s="23" t="s">
        <v>1117</v>
      </c>
      <c r="E1196" s="20" t="s">
        <v>295</v>
      </c>
      <c r="F1196" s="22"/>
    </row>
    <row r="1197" spans="1:6" ht="28" customHeight="1">
      <c r="A1197" s="19" t="s">
        <v>293</v>
      </c>
      <c r="B1197" s="25" t="s">
        <v>1119</v>
      </c>
      <c r="C1197" s="24" t="s">
        <v>1118</v>
      </c>
      <c r="D1197" s="23" t="s">
        <v>1117</v>
      </c>
      <c r="E1197" s="20" t="s">
        <v>295</v>
      </c>
      <c r="F1197" s="22"/>
    </row>
    <row r="1198" spans="1:6">
      <c r="A1198" s="26"/>
      <c r="B1198" s="26"/>
      <c r="C1198" s="26" t="s">
        <v>1116</v>
      </c>
      <c r="D1198" s="26"/>
      <c r="E1198" s="26"/>
    </row>
    <row r="1199" spans="1:6" ht="28" customHeight="1">
      <c r="A1199" s="19" t="s">
        <v>293</v>
      </c>
      <c r="B1199" s="25" t="s">
        <v>1115</v>
      </c>
      <c r="C1199" s="24" t="s">
        <v>1114</v>
      </c>
      <c r="D1199" s="23" t="s">
        <v>1095</v>
      </c>
      <c r="E1199" s="20" t="s">
        <v>295</v>
      </c>
      <c r="F1199" s="22"/>
    </row>
    <row r="1200" spans="1:6" ht="28" customHeight="1">
      <c r="A1200" s="19" t="s">
        <v>293</v>
      </c>
      <c r="B1200" s="25" t="s">
        <v>1113</v>
      </c>
      <c r="C1200" s="24" t="s">
        <v>1112</v>
      </c>
      <c r="D1200" s="23" t="s">
        <v>1095</v>
      </c>
      <c r="E1200" s="20" t="s">
        <v>295</v>
      </c>
      <c r="F1200" s="22"/>
    </row>
    <row r="1201" spans="1:6" ht="28" customHeight="1">
      <c r="A1201" s="19" t="s">
        <v>293</v>
      </c>
      <c r="B1201" s="25" t="s">
        <v>1111</v>
      </c>
      <c r="C1201" s="24" t="s">
        <v>1110</v>
      </c>
      <c r="D1201" s="23" t="s">
        <v>1095</v>
      </c>
      <c r="E1201" s="20" t="s">
        <v>295</v>
      </c>
      <c r="F1201" s="22"/>
    </row>
    <row r="1202" spans="1:6" ht="28" customHeight="1">
      <c r="A1202" s="19" t="s">
        <v>293</v>
      </c>
      <c r="B1202" s="25" t="s">
        <v>1109</v>
      </c>
      <c r="C1202" s="24" t="s">
        <v>1108</v>
      </c>
      <c r="D1202" s="23" t="s">
        <v>1095</v>
      </c>
      <c r="E1202" s="20" t="s">
        <v>295</v>
      </c>
      <c r="F1202" s="22"/>
    </row>
    <row r="1203" spans="1:6" ht="28" customHeight="1">
      <c r="A1203" s="19" t="s">
        <v>293</v>
      </c>
      <c r="B1203" s="25" t="s">
        <v>1107</v>
      </c>
      <c r="C1203" s="24" t="s">
        <v>1106</v>
      </c>
      <c r="D1203" s="23" t="s">
        <v>1095</v>
      </c>
      <c r="E1203" s="20" t="s">
        <v>295</v>
      </c>
      <c r="F1203" s="22"/>
    </row>
    <row r="1204" spans="1:6" ht="28" customHeight="1">
      <c r="A1204" s="19" t="s">
        <v>293</v>
      </c>
      <c r="B1204" s="25" t="s">
        <v>1105</v>
      </c>
      <c r="C1204" s="24" t="s">
        <v>1104</v>
      </c>
      <c r="D1204" s="23" t="s">
        <v>1095</v>
      </c>
      <c r="E1204" s="20" t="s">
        <v>295</v>
      </c>
      <c r="F1204" s="22"/>
    </row>
    <row r="1205" spans="1:6" ht="28" customHeight="1">
      <c r="A1205" s="19" t="s">
        <v>293</v>
      </c>
      <c r="B1205" s="25" t="s">
        <v>1103</v>
      </c>
      <c r="C1205" s="24" t="s">
        <v>1102</v>
      </c>
      <c r="D1205" s="23" t="s">
        <v>1095</v>
      </c>
      <c r="E1205" s="20" t="s">
        <v>295</v>
      </c>
      <c r="F1205" s="22"/>
    </row>
    <row r="1206" spans="1:6" ht="28" customHeight="1">
      <c r="A1206" s="19" t="s">
        <v>293</v>
      </c>
      <c r="B1206" s="25" t="s">
        <v>1101</v>
      </c>
      <c r="C1206" s="24" t="s">
        <v>1100</v>
      </c>
      <c r="D1206" s="23" t="s">
        <v>1095</v>
      </c>
      <c r="E1206" s="20" t="s">
        <v>295</v>
      </c>
      <c r="F1206" s="22"/>
    </row>
    <row r="1207" spans="1:6" ht="28" customHeight="1">
      <c r="A1207" s="19" t="s">
        <v>293</v>
      </c>
      <c r="B1207" s="25" t="s">
        <v>1099</v>
      </c>
      <c r="C1207" s="24" t="s">
        <v>1098</v>
      </c>
      <c r="D1207" s="23" t="s">
        <v>1095</v>
      </c>
      <c r="E1207" s="20" t="s">
        <v>295</v>
      </c>
      <c r="F1207" s="22"/>
    </row>
    <row r="1208" spans="1:6" ht="28" customHeight="1">
      <c r="A1208" s="19" t="s">
        <v>293</v>
      </c>
      <c r="B1208" s="25" t="s">
        <v>1097</v>
      </c>
      <c r="C1208" s="24" t="s">
        <v>1096</v>
      </c>
      <c r="D1208" s="23" t="s">
        <v>1095</v>
      </c>
      <c r="E1208" s="20" t="s">
        <v>295</v>
      </c>
      <c r="F1208" s="22"/>
    </row>
    <row r="1209" spans="1:6" ht="28" customHeight="1">
      <c r="A1209" s="19" t="s">
        <v>293</v>
      </c>
      <c r="B1209" s="25" t="s">
        <v>1094</v>
      </c>
      <c r="C1209" s="24" t="s">
        <v>1093</v>
      </c>
      <c r="D1209" s="23" t="s">
        <v>1076</v>
      </c>
      <c r="E1209" s="20" t="s">
        <v>295</v>
      </c>
      <c r="F1209" s="22"/>
    </row>
    <row r="1210" spans="1:6" ht="28" customHeight="1">
      <c r="A1210" s="19" t="s">
        <v>293</v>
      </c>
      <c r="B1210" s="25" t="s">
        <v>1092</v>
      </c>
      <c r="C1210" s="24" t="s">
        <v>1091</v>
      </c>
      <c r="D1210" s="23" t="s">
        <v>1076</v>
      </c>
      <c r="E1210" s="20" t="s">
        <v>295</v>
      </c>
      <c r="F1210" s="22"/>
    </row>
    <row r="1211" spans="1:6" ht="28" customHeight="1">
      <c r="A1211" s="19" t="s">
        <v>293</v>
      </c>
      <c r="B1211" s="25" t="s">
        <v>1090</v>
      </c>
      <c r="C1211" s="24" t="s">
        <v>1089</v>
      </c>
      <c r="D1211" s="23" t="s">
        <v>1076</v>
      </c>
      <c r="E1211" s="20" t="s">
        <v>295</v>
      </c>
      <c r="F1211" s="22"/>
    </row>
    <row r="1212" spans="1:6" ht="28" customHeight="1">
      <c r="A1212" s="19" t="s">
        <v>293</v>
      </c>
      <c r="B1212" s="25" t="s">
        <v>1088</v>
      </c>
      <c r="C1212" s="24" t="s">
        <v>1087</v>
      </c>
      <c r="D1212" s="23" t="s">
        <v>1076</v>
      </c>
      <c r="E1212" s="20" t="s">
        <v>295</v>
      </c>
      <c r="F1212" s="22"/>
    </row>
    <row r="1213" spans="1:6" ht="28" customHeight="1">
      <c r="A1213" s="19" t="s">
        <v>293</v>
      </c>
      <c r="B1213" s="25" t="s">
        <v>1086</v>
      </c>
      <c r="C1213" s="24" t="s">
        <v>1085</v>
      </c>
      <c r="D1213" s="23" t="s">
        <v>1076</v>
      </c>
      <c r="E1213" s="20" t="s">
        <v>295</v>
      </c>
      <c r="F1213" s="22"/>
    </row>
    <row r="1214" spans="1:6" ht="28" customHeight="1">
      <c r="A1214" s="19" t="s">
        <v>293</v>
      </c>
      <c r="B1214" s="25" t="s">
        <v>1084</v>
      </c>
      <c r="C1214" s="24" t="s">
        <v>1083</v>
      </c>
      <c r="D1214" s="23" t="s">
        <v>1076</v>
      </c>
      <c r="E1214" s="20" t="s">
        <v>295</v>
      </c>
      <c r="F1214" s="22"/>
    </row>
    <row r="1215" spans="1:6" ht="28" customHeight="1">
      <c r="A1215" s="19" t="s">
        <v>293</v>
      </c>
      <c r="B1215" s="25" t="s">
        <v>1082</v>
      </c>
      <c r="C1215" s="24" t="s">
        <v>1081</v>
      </c>
      <c r="D1215" s="23" t="s">
        <v>1076</v>
      </c>
      <c r="E1215" s="20" t="s">
        <v>295</v>
      </c>
      <c r="F1215" s="22"/>
    </row>
    <row r="1216" spans="1:6" ht="28" customHeight="1">
      <c r="A1216" s="19" t="s">
        <v>293</v>
      </c>
      <c r="B1216" s="25" t="s">
        <v>1080</v>
      </c>
      <c r="C1216" s="24" t="s">
        <v>1079</v>
      </c>
      <c r="D1216" s="23" t="s">
        <v>1076</v>
      </c>
      <c r="E1216" s="20" t="s">
        <v>295</v>
      </c>
      <c r="F1216" s="22"/>
    </row>
    <row r="1217" spans="1:6" ht="28" customHeight="1">
      <c r="A1217" s="19" t="s">
        <v>293</v>
      </c>
      <c r="B1217" s="25" t="s">
        <v>1078</v>
      </c>
      <c r="C1217" s="24" t="s">
        <v>1077</v>
      </c>
      <c r="D1217" s="23" t="s">
        <v>1076</v>
      </c>
      <c r="E1217" s="20" t="s">
        <v>295</v>
      </c>
      <c r="F1217" s="22"/>
    </row>
    <row r="1218" spans="1:6" ht="28" customHeight="1">
      <c r="A1218" s="19" t="s">
        <v>293</v>
      </c>
      <c r="B1218" s="25" t="s">
        <v>1075</v>
      </c>
      <c r="C1218" s="24" t="s">
        <v>1074</v>
      </c>
      <c r="D1218" s="23" t="s">
        <v>1055</v>
      </c>
      <c r="E1218" s="20" t="s">
        <v>295</v>
      </c>
      <c r="F1218" s="22"/>
    </row>
    <row r="1219" spans="1:6" ht="28" customHeight="1">
      <c r="A1219" s="19" t="s">
        <v>293</v>
      </c>
      <c r="B1219" s="25" t="s">
        <v>1073</v>
      </c>
      <c r="C1219" s="24" t="s">
        <v>1072</v>
      </c>
      <c r="D1219" s="23" t="s">
        <v>1055</v>
      </c>
      <c r="E1219" s="20" t="s">
        <v>295</v>
      </c>
      <c r="F1219" s="22"/>
    </row>
    <row r="1220" spans="1:6" ht="28" customHeight="1">
      <c r="A1220" s="19" t="s">
        <v>293</v>
      </c>
      <c r="B1220" s="25" t="s">
        <v>1071</v>
      </c>
      <c r="C1220" s="24" t="s">
        <v>1070</v>
      </c>
      <c r="D1220" s="23" t="s">
        <v>1055</v>
      </c>
      <c r="E1220" s="20" t="s">
        <v>295</v>
      </c>
      <c r="F1220" s="22"/>
    </row>
    <row r="1221" spans="1:6" ht="28" customHeight="1">
      <c r="A1221" s="19" t="s">
        <v>293</v>
      </c>
      <c r="B1221" s="25" t="s">
        <v>1069</v>
      </c>
      <c r="C1221" s="24" t="s">
        <v>1068</v>
      </c>
      <c r="D1221" s="23" t="s">
        <v>1055</v>
      </c>
      <c r="E1221" s="20" t="s">
        <v>295</v>
      </c>
      <c r="F1221" s="22"/>
    </row>
    <row r="1222" spans="1:6" ht="28" customHeight="1">
      <c r="A1222" s="19" t="s">
        <v>293</v>
      </c>
      <c r="B1222" s="25" t="s">
        <v>1067</v>
      </c>
      <c r="C1222" s="24" t="s">
        <v>1066</v>
      </c>
      <c r="D1222" s="23" t="s">
        <v>1055</v>
      </c>
      <c r="E1222" s="20" t="s">
        <v>295</v>
      </c>
      <c r="F1222" s="22"/>
    </row>
    <row r="1223" spans="1:6" ht="28" customHeight="1">
      <c r="A1223" s="19" t="s">
        <v>293</v>
      </c>
      <c r="B1223" s="25" t="s">
        <v>1065</v>
      </c>
      <c r="C1223" s="24" t="s">
        <v>1064</v>
      </c>
      <c r="D1223" s="23" t="s">
        <v>1055</v>
      </c>
      <c r="E1223" s="20" t="s">
        <v>295</v>
      </c>
      <c r="F1223" s="22"/>
    </row>
    <row r="1224" spans="1:6" ht="28" customHeight="1">
      <c r="A1224" s="19" t="s">
        <v>293</v>
      </c>
      <c r="B1224" s="25" t="s">
        <v>1063</v>
      </c>
      <c r="C1224" s="24" t="s">
        <v>1062</v>
      </c>
      <c r="D1224" s="23" t="s">
        <v>1055</v>
      </c>
      <c r="E1224" s="20" t="s">
        <v>295</v>
      </c>
      <c r="F1224" s="22"/>
    </row>
    <row r="1225" spans="1:6" ht="28" customHeight="1">
      <c r="A1225" s="19" t="s">
        <v>293</v>
      </c>
      <c r="B1225" s="25" t="s">
        <v>1061</v>
      </c>
      <c r="C1225" s="24" t="s">
        <v>1060</v>
      </c>
      <c r="D1225" s="23" t="s">
        <v>1055</v>
      </c>
      <c r="E1225" s="20" t="s">
        <v>295</v>
      </c>
      <c r="F1225" s="22"/>
    </row>
    <row r="1226" spans="1:6" ht="28" customHeight="1">
      <c r="A1226" s="19" t="s">
        <v>293</v>
      </c>
      <c r="B1226" s="25" t="s">
        <v>1059</v>
      </c>
      <c r="C1226" s="24" t="s">
        <v>1058</v>
      </c>
      <c r="D1226" s="23" t="s">
        <v>1055</v>
      </c>
      <c r="E1226" s="20" t="s">
        <v>295</v>
      </c>
      <c r="F1226" s="22"/>
    </row>
    <row r="1227" spans="1:6" ht="28" customHeight="1">
      <c r="A1227" s="19" t="s">
        <v>293</v>
      </c>
      <c r="B1227" s="25" t="s">
        <v>1057</v>
      </c>
      <c r="C1227" s="24" t="s">
        <v>1056</v>
      </c>
      <c r="D1227" s="23" t="s">
        <v>1055</v>
      </c>
      <c r="E1227" s="20" t="s">
        <v>295</v>
      </c>
      <c r="F1227" s="22"/>
    </row>
    <row r="1228" spans="1:6" ht="28" customHeight="1">
      <c r="A1228" s="19" t="s">
        <v>293</v>
      </c>
      <c r="B1228" s="25" t="s">
        <v>1054</v>
      </c>
      <c r="C1228" s="24" t="s">
        <v>1053</v>
      </c>
      <c r="D1228" s="23" t="s">
        <v>1050</v>
      </c>
      <c r="E1228" s="20" t="s">
        <v>295</v>
      </c>
      <c r="F1228" s="22"/>
    </row>
    <row r="1229" spans="1:6" ht="28" customHeight="1">
      <c r="A1229" s="19" t="s">
        <v>293</v>
      </c>
      <c r="B1229" s="25" t="s">
        <v>1052</v>
      </c>
      <c r="C1229" s="24" t="s">
        <v>1051</v>
      </c>
      <c r="D1229" s="23" t="s">
        <v>1050</v>
      </c>
      <c r="E1229" s="20" t="s">
        <v>295</v>
      </c>
      <c r="F1229" s="22"/>
    </row>
    <row r="1230" spans="1:6">
      <c r="A1230" s="26"/>
      <c r="B1230" s="26"/>
      <c r="C1230" s="26" t="s">
        <v>1049</v>
      </c>
      <c r="D1230" s="26"/>
      <c r="E1230" s="26"/>
    </row>
    <row r="1231" spans="1:6" ht="14" customHeight="1">
      <c r="A1231" s="19" t="s">
        <v>293</v>
      </c>
      <c r="B1231" s="25" t="s">
        <v>1048</v>
      </c>
      <c r="C1231" s="24" t="s">
        <v>1047</v>
      </c>
      <c r="D1231" s="23" t="s">
        <v>1036</v>
      </c>
      <c r="E1231" s="20" t="s">
        <v>295</v>
      </c>
      <c r="F1231" s="22"/>
    </row>
    <row r="1232" spans="1:6" ht="14" customHeight="1">
      <c r="A1232" s="19" t="s">
        <v>293</v>
      </c>
      <c r="B1232" s="25" t="s">
        <v>1046</v>
      </c>
      <c r="C1232" s="24" t="s">
        <v>1045</v>
      </c>
      <c r="D1232" s="23" t="s">
        <v>1036</v>
      </c>
      <c r="E1232" s="20" t="s">
        <v>295</v>
      </c>
      <c r="F1232" s="22"/>
    </row>
    <row r="1233" spans="1:6" ht="14" customHeight="1">
      <c r="A1233" s="19" t="s">
        <v>293</v>
      </c>
      <c r="B1233" s="25" t="s">
        <v>1044</v>
      </c>
      <c r="C1233" s="24" t="s">
        <v>1043</v>
      </c>
      <c r="D1233" s="23" t="s">
        <v>1036</v>
      </c>
      <c r="E1233" s="20" t="s">
        <v>295</v>
      </c>
      <c r="F1233" s="22"/>
    </row>
    <row r="1234" spans="1:6" ht="14" customHeight="1">
      <c r="A1234" s="19" t="s">
        <v>293</v>
      </c>
      <c r="B1234" s="25" t="s">
        <v>1042</v>
      </c>
      <c r="C1234" s="24" t="s">
        <v>1041</v>
      </c>
      <c r="D1234" s="23" t="s">
        <v>1036</v>
      </c>
      <c r="E1234" s="20" t="s">
        <v>295</v>
      </c>
      <c r="F1234" s="22"/>
    </row>
    <row r="1235" spans="1:6" ht="14" customHeight="1">
      <c r="A1235" s="19" t="s">
        <v>293</v>
      </c>
      <c r="B1235" s="25" t="s">
        <v>1040</v>
      </c>
      <c r="C1235" s="24" t="s">
        <v>1039</v>
      </c>
      <c r="D1235" s="23" t="s">
        <v>1036</v>
      </c>
      <c r="E1235" s="20" t="s">
        <v>295</v>
      </c>
      <c r="F1235" s="22"/>
    </row>
    <row r="1236" spans="1:6" ht="14" customHeight="1">
      <c r="A1236" s="19" t="s">
        <v>293</v>
      </c>
      <c r="B1236" s="25" t="s">
        <v>1038</v>
      </c>
      <c r="C1236" s="24" t="s">
        <v>1037</v>
      </c>
      <c r="D1236" s="23" t="s">
        <v>1036</v>
      </c>
      <c r="E1236" s="20" t="s">
        <v>295</v>
      </c>
      <c r="F1236" s="22"/>
    </row>
    <row r="1237" spans="1:6" ht="14" customHeight="1">
      <c r="A1237" s="19" t="s">
        <v>293</v>
      </c>
      <c r="B1237" s="25" t="s">
        <v>1035</v>
      </c>
      <c r="C1237" s="24" t="s">
        <v>1034</v>
      </c>
      <c r="D1237" s="23" t="s">
        <v>1027</v>
      </c>
      <c r="E1237" s="20" t="s">
        <v>295</v>
      </c>
      <c r="F1237" s="22"/>
    </row>
    <row r="1238" spans="1:6" ht="14" customHeight="1">
      <c r="A1238" s="19" t="s">
        <v>293</v>
      </c>
      <c r="B1238" s="25" t="s">
        <v>1033</v>
      </c>
      <c r="C1238" s="24" t="s">
        <v>1032</v>
      </c>
      <c r="D1238" s="23" t="s">
        <v>1027</v>
      </c>
      <c r="E1238" s="20" t="s">
        <v>295</v>
      </c>
      <c r="F1238" s="22"/>
    </row>
    <row r="1239" spans="1:6" ht="14" customHeight="1">
      <c r="A1239" s="19" t="s">
        <v>293</v>
      </c>
      <c r="B1239" s="25" t="s">
        <v>1031</v>
      </c>
      <c r="C1239" s="24" t="s">
        <v>1030</v>
      </c>
      <c r="D1239" s="23" t="s">
        <v>1027</v>
      </c>
      <c r="E1239" s="20" t="s">
        <v>295</v>
      </c>
      <c r="F1239" s="22"/>
    </row>
    <row r="1240" spans="1:6" ht="14" customHeight="1">
      <c r="A1240" s="19" t="s">
        <v>293</v>
      </c>
      <c r="B1240" s="25" t="s">
        <v>1029</v>
      </c>
      <c r="C1240" s="24" t="s">
        <v>1028</v>
      </c>
      <c r="D1240" s="23" t="s">
        <v>1027</v>
      </c>
      <c r="E1240" s="20" t="s">
        <v>295</v>
      </c>
      <c r="F1240" s="22"/>
    </row>
    <row r="1241" spans="1:6" ht="14" customHeight="1">
      <c r="A1241" s="19" t="s">
        <v>293</v>
      </c>
      <c r="B1241" s="25" t="s">
        <v>1026</v>
      </c>
      <c r="C1241" s="24" t="s">
        <v>1025</v>
      </c>
      <c r="D1241" s="23" t="s">
        <v>1010</v>
      </c>
      <c r="E1241" s="20" t="s">
        <v>295</v>
      </c>
      <c r="F1241" s="22"/>
    </row>
    <row r="1242" spans="1:6" ht="14" customHeight="1">
      <c r="A1242" s="19" t="s">
        <v>293</v>
      </c>
      <c r="B1242" s="25" t="s">
        <v>1024</v>
      </c>
      <c r="C1242" s="24" t="s">
        <v>1023</v>
      </c>
      <c r="D1242" s="23" t="s">
        <v>1010</v>
      </c>
      <c r="E1242" s="20" t="s">
        <v>295</v>
      </c>
      <c r="F1242" s="22"/>
    </row>
    <row r="1243" spans="1:6" ht="14" customHeight="1">
      <c r="A1243" s="19" t="s">
        <v>293</v>
      </c>
      <c r="B1243" s="25" t="s">
        <v>1022</v>
      </c>
      <c r="C1243" s="24" t="s">
        <v>1021</v>
      </c>
      <c r="D1243" s="23" t="s">
        <v>1010</v>
      </c>
      <c r="E1243" s="20" t="s">
        <v>295</v>
      </c>
      <c r="F1243" s="22"/>
    </row>
    <row r="1244" spans="1:6" ht="14" customHeight="1">
      <c r="A1244" s="19" t="s">
        <v>293</v>
      </c>
      <c r="B1244" s="25" t="s">
        <v>1020</v>
      </c>
      <c r="C1244" s="24" t="s">
        <v>1019</v>
      </c>
      <c r="D1244" s="23" t="s">
        <v>1010</v>
      </c>
      <c r="E1244" s="20" t="s">
        <v>295</v>
      </c>
      <c r="F1244" s="22"/>
    </row>
    <row r="1245" spans="1:6" ht="14" customHeight="1">
      <c r="A1245" s="19" t="s">
        <v>293</v>
      </c>
      <c r="B1245" s="25" t="s">
        <v>1018</v>
      </c>
      <c r="C1245" s="24" t="s">
        <v>1017</v>
      </c>
      <c r="D1245" s="23" t="s">
        <v>1010</v>
      </c>
      <c r="E1245" s="20" t="s">
        <v>295</v>
      </c>
      <c r="F1245" s="22"/>
    </row>
    <row r="1246" spans="1:6" ht="14" customHeight="1">
      <c r="A1246" s="19" t="s">
        <v>293</v>
      </c>
      <c r="B1246" s="25" t="s">
        <v>1016</v>
      </c>
      <c r="C1246" s="24" t="s">
        <v>1015</v>
      </c>
      <c r="D1246" s="23" t="s">
        <v>1010</v>
      </c>
      <c r="E1246" s="20" t="s">
        <v>295</v>
      </c>
      <c r="F1246" s="22"/>
    </row>
    <row r="1247" spans="1:6" ht="14" customHeight="1">
      <c r="A1247" s="19" t="s">
        <v>293</v>
      </c>
      <c r="B1247" s="25" t="s">
        <v>1014</v>
      </c>
      <c r="C1247" s="24" t="s">
        <v>1013</v>
      </c>
      <c r="D1247" s="23" t="s">
        <v>1010</v>
      </c>
      <c r="E1247" s="20" t="s">
        <v>295</v>
      </c>
      <c r="F1247" s="22"/>
    </row>
    <row r="1248" spans="1:6" ht="14" customHeight="1">
      <c r="A1248" s="19" t="s">
        <v>293</v>
      </c>
      <c r="B1248" s="25" t="s">
        <v>1012</v>
      </c>
      <c r="C1248" s="24" t="s">
        <v>1011</v>
      </c>
      <c r="D1248" s="23" t="s">
        <v>1010</v>
      </c>
      <c r="E1248" s="20" t="s">
        <v>295</v>
      </c>
      <c r="F1248" s="22"/>
    </row>
    <row r="1249" spans="1:6" ht="14" customHeight="1">
      <c r="A1249" s="19" t="s">
        <v>293</v>
      </c>
      <c r="B1249" s="25" t="s">
        <v>1009</v>
      </c>
      <c r="C1249" s="24" t="s">
        <v>1008</v>
      </c>
      <c r="D1249" s="23" t="s">
        <v>1005</v>
      </c>
      <c r="E1249" s="20" t="s">
        <v>295</v>
      </c>
      <c r="F1249" s="22"/>
    </row>
    <row r="1250" spans="1:6" ht="14" customHeight="1">
      <c r="A1250" s="19" t="s">
        <v>293</v>
      </c>
      <c r="B1250" s="25" t="s">
        <v>1007</v>
      </c>
      <c r="C1250" s="24" t="s">
        <v>1006</v>
      </c>
      <c r="D1250" s="23" t="s">
        <v>1005</v>
      </c>
      <c r="E1250" s="20" t="s">
        <v>295</v>
      </c>
      <c r="F1250" s="22"/>
    </row>
    <row r="1251" spans="1:6">
      <c r="A1251" s="26"/>
      <c r="B1251" s="26"/>
      <c r="C1251" s="26" t="s">
        <v>1004</v>
      </c>
      <c r="D1251" s="26"/>
      <c r="E1251" s="26"/>
    </row>
    <row r="1252" spans="1:6" ht="14" customHeight="1">
      <c r="A1252" s="19" t="s">
        <v>293</v>
      </c>
      <c r="B1252" s="25" t="s">
        <v>1003</v>
      </c>
      <c r="C1252" s="24" t="s">
        <v>1002</v>
      </c>
      <c r="D1252" s="23" t="s">
        <v>930</v>
      </c>
      <c r="E1252" s="20" t="s">
        <v>295</v>
      </c>
      <c r="F1252" s="22"/>
    </row>
    <row r="1253" spans="1:6" ht="14" customHeight="1">
      <c r="A1253" s="19" t="s">
        <v>293</v>
      </c>
      <c r="B1253" s="25" t="s">
        <v>1001</v>
      </c>
      <c r="C1253" s="24" t="s">
        <v>1000</v>
      </c>
      <c r="D1253" s="23" t="s">
        <v>930</v>
      </c>
      <c r="E1253" s="20" t="s">
        <v>295</v>
      </c>
      <c r="F1253" s="22"/>
    </row>
    <row r="1254" spans="1:6" ht="14" customHeight="1">
      <c r="A1254" s="19" t="s">
        <v>293</v>
      </c>
      <c r="B1254" s="25" t="s">
        <v>999</v>
      </c>
      <c r="C1254" s="24" t="s">
        <v>998</v>
      </c>
      <c r="D1254" s="23" t="s">
        <v>930</v>
      </c>
      <c r="E1254" s="20" t="s">
        <v>295</v>
      </c>
      <c r="F1254" s="22"/>
    </row>
    <row r="1255" spans="1:6" ht="14" customHeight="1">
      <c r="A1255" s="19" t="s">
        <v>293</v>
      </c>
      <c r="B1255" s="25" t="s">
        <v>997</v>
      </c>
      <c r="C1255" s="24" t="s">
        <v>996</v>
      </c>
      <c r="D1255" s="23" t="s">
        <v>930</v>
      </c>
      <c r="E1255" s="20" t="s">
        <v>295</v>
      </c>
      <c r="F1255" s="22"/>
    </row>
    <row r="1256" spans="1:6" ht="14" customHeight="1">
      <c r="A1256" s="19" t="s">
        <v>293</v>
      </c>
      <c r="B1256" s="25" t="s">
        <v>995</v>
      </c>
      <c r="C1256" s="24" t="s">
        <v>994</v>
      </c>
      <c r="D1256" s="23" t="s">
        <v>645</v>
      </c>
      <c r="E1256" s="20" t="s">
        <v>295</v>
      </c>
      <c r="F1256" s="22"/>
    </row>
    <row r="1257" spans="1:6" ht="14" customHeight="1">
      <c r="A1257" s="19" t="s">
        <v>293</v>
      </c>
      <c r="B1257" s="25" t="s">
        <v>993</v>
      </c>
      <c r="C1257" s="24" t="s">
        <v>992</v>
      </c>
      <c r="D1257" s="23" t="s">
        <v>645</v>
      </c>
      <c r="E1257" s="20" t="s">
        <v>295</v>
      </c>
      <c r="F1257" s="22"/>
    </row>
    <row r="1258" spans="1:6" ht="14" customHeight="1">
      <c r="A1258" s="19" t="s">
        <v>293</v>
      </c>
      <c r="B1258" s="25" t="s">
        <v>991</v>
      </c>
      <c r="C1258" s="24" t="s">
        <v>990</v>
      </c>
      <c r="D1258" s="23" t="s">
        <v>627</v>
      </c>
      <c r="E1258" s="20" t="s">
        <v>295</v>
      </c>
      <c r="F1258" s="22"/>
    </row>
    <row r="1259" spans="1:6" ht="14" customHeight="1">
      <c r="A1259" s="19" t="s">
        <v>293</v>
      </c>
      <c r="B1259" s="25" t="s">
        <v>989</v>
      </c>
      <c r="C1259" s="24" t="s">
        <v>988</v>
      </c>
      <c r="D1259" s="23" t="s">
        <v>627</v>
      </c>
      <c r="E1259" s="20" t="s">
        <v>295</v>
      </c>
      <c r="F1259" s="22"/>
    </row>
    <row r="1260" spans="1:6" ht="14" customHeight="1">
      <c r="A1260" s="19" t="s">
        <v>293</v>
      </c>
      <c r="B1260" s="25" t="s">
        <v>987</v>
      </c>
      <c r="C1260" s="24" t="s">
        <v>986</v>
      </c>
      <c r="D1260" s="23" t="s">
        <v>627</v>
      </c>
      <c r="E1260" s="20" t="s">
        <v>295</v>
      </c>
      <c r="F1260" s="22"/>
    </row>
    <row r="1261" spans="1:6" ht="14" customHeight="1">
      <c r="A1261" s="19" t="s">
        <v>293</v>
      </c>
      <c r="B1261" s="25" t="s">
        <v>985</v>
      </c>
      <c r="C1261" s="24" t="s">
        <v>984</v>
      </c>
      <c r="D1261" s="23" t="s">
        <v>627</v>
      </c>
      <c r="E1261" s="20" t="s">
        <v>295</v>
      </c>
      <c r="F1261" s="22"/>
    </row>
    <row r="1262" spans="1:6">
      <c r="A1262" s="26"/>
      <c r="B1262" s="26"/>
      <c r="C1262" s="26" t="s">
        <v>983</v>
      </c>
      <c r="D1262" s="26"/>
      <c r="E1262" s="26"/>
    </row>
    <row r="1263" spans="1:6" ht="14" customHeight="1">
      <c r="A1263" s="19" t="s">
        <v>293</v>
      </c>
      <c r="B1263" s="25" t="s">
        <v>982</v>
      </c>
      <c r="C1263" s="24" t="s">
        <v>981</v>
      </c>
      <c r="D1263" s="23" t="s">
        <v>939</v>
      </c>
      <c r="E1263" s="20" t="s">
        <v>295</v>
      </c>
      <c r="F1263" s="22"/>
    </row>
    <row r="1264" spans="1:6" ht="14" customHeight="1">
      <c r="A1264" s="19" t="s">
        <v>293</v>
      </c>
      <c r="B1264" s="25" t="s">
        <v>980</v>
      </c>
      <c r="C1264" s="24" t="s">
        <v>979</v>
      </c>
      <c r="D1264" s="23" t="s">
        <v>939</v>
      </c>
      <c r="E1264" s="20" t="s">
        <v>295</v>
      </c>
      <c r="F1264" s="22"/>
    </row>
    <row r="1265" spans="1:6" ht="14" customHeight="1">
      <c r="A1265" s="19" t="s">
        <v>293</v>
      </c>
      <c r="B1265" s="25" t="s">
        <v>978</v>
      </c>
      <c r="C1265" s="24" t="s">
        <v>977</v>
      </c>
      <c r="D1265" s="23" t="s">
        <v>939</v>
      </c>
      <c r="E1265" s="20" t="s">
        <v>295</v>
      </c>
      <c r="F1265" s="22"/>
    </row>
    <row r="1266" spans="1:6" ht="14" customHeight="1">
      <c r="A1266" s="19" t="s">
        <v>293</v>
      </c>
      <c r="B1266" s="25" t="s">
        <v>976</v>
      </c>
      <c r="C1266" s="24" t="s">
        <v>975</v>
      </c>
      <c r="D1266" s="23" t="s">
        <v>939</v>
      </c>
      <c r="E1266" s="20" t="s">
        <v>295</v>
      </c>
      <c r="F1266" s="22"/>
    </row>
    <row r="1267" spans="1:6" ht="14" customHeight="1">
      <c r="A1267" s="19" t="s">
        <v>293</v>
      </c>
      <c r="B1267" s="25" t="s">
        <v>974</v>
      </c>
      <c r="C1267" s="24" t="s">
        <v>973</v>
      </c>
      <c r="D1267" s="23" t="s">
        <v>939</v>
      </c>
      <c r="E1267" s="20" t="s">
        <v>295</v>
      </c>
      <c r="F1267" s="22"/>
    </row>
    <row r="1268" spans="1:6" ht="14" customHeight="1">
      <c r="A1268" s="19" t="s">
        <v>293</v>
      </c>
      <c r="B1268" s="25" t="s">
        <v>972</v>
      </c>
      <c r="C1268" s="24" t="s">
        <v>971</v>
      </c>
      <c r="D1268" s="23" t="s">
        <v>930</v>
      </c>
      <c r="E1268" s="20" t="s">
        <v>295</v>
      </c>
      <c r="F1268" s="22"/>
    </row>
    <row r="1269" spans="1:6" ht="14" customHeight="1">
      <c r="A1269" s="19" t="s">
        <v>293</v>
      </c>
      <c r="B1269" s="25" t="s">
        <v>970</v>
      </c>
      <c r="C1269" s="24" t="s">
        <v>969</v>
      </c>
      <c r="D1269" s="23" t="s">
        <v>930</v>
      </c>
      <c r="E1269" s="20" t="s">
        <v>295</v>
      </c>
      <c r="F1269" s="22"/>
    </row>
    <row r="1270" spans="1:6" ht="14" customHeight="1">
      <c r="A1270" s="19" t="s">
        <v>293</v>
      </c>
      <c r="B1270" s="25" t="s">
        <v>968</v>
      </c>
      <c r="C1270" s="24" t="s">
        <v>967</v>
      </c>
      <c r="D1270" s="23" t="s">
        <v>930</v>
      </c>
      <c r="E1270" s="20" t="s">
        <v>295</v>
      </c>
      <c r="F1270" s="22"/>
    </row>
    <row r="1271" spans="1:6" ht="14" customHeight="1">
      <c r="A1271" s="19" t="s">
        <v>293</v>
      </c>
      <c r="B1271" s="25" t="s">
        <v>966</v>
      </c>
      <c r="C1271" s="24" t="s">
        <v>965</v>
      </c>
      <c r="D1271" s="23" t="s">
        <v>930</v>
      </c>
      <c r="E1271" s="20" t="s">
        <v>295</v>
      </c>
      <c r="F1271" s="22"/>
    </row>
    <row r="1272" spans="1:6" ht="14" customHeight="1">
      <c r="A1272" s="19" t="s">
        <v>293</v>
      </c>
      <c r="B1272" s="25" t="s">
        <v>964</v>
      </c>
      <c r="C1272" s="24" t="s">
        <v>963</v>
      </c>
      <c r="D1272" s="23" t="s">
        <v>911</v>
      </c>
      <c r="E1272" s="20" t="s">
        <v>295</v>
      </c>
      <c r="F1272" s="22"/>
    </row>
    <row r="1273" spans="1:6" ht="14" customHeight="1">
      <c r="A1273" s="19" t="s">
        <v>293</v>
      </c>
      <c r="B1273" s="25" t="s">
        <v>962</v>
      </c>
      <c r="C1273" s="24" t="s">
        <v>961</v>
      </c>
      <c r="D1273" s="23" t="s">
        <v>911</v>
      </c>
      <c r="E1273" s="20" t="s">
        <v>295</v>
      </c>
      <c r="F1273" s="22"/>
    </row>
    <row r="1274" spans="1:6" ht="14" customHeight="1">
      <c r="A1274" s="19" t="s">
        <v>293</v>
      </c>
      <c r="B1274" s="25" t="s">
        <v>960</v>
      </c>
      <c r="C1274" s="24" t="s">
        <v>959</v>
      </c>
      <c r="D1274" s="23" t="s">
        <v>911</v>
      </c>
      <c r="E1274" s="20" t="s">
        <v>295</v>
      </c>
      <c r="F1274" s="22"/>
    </row>
    <row r="1275" spans="1:6" ht="14" customHeight="1">
      <c r="A1275" s="19" t="s">
        <v>293</v>
      </c>
      <c r="B1275" s="25" t="s">
        <v>958</v>
      </c>
      <c r="C1275" s="24" t="s">
        <v>957</v>
      </c>
      <c r="D1275" s="23" t="s">
        <v>911</v>
      </c>
      <c r="E1275" s="20" t="s">
        <v>295</v>
      </c>
      <c r="F1275" s="22"/>
    </row>
    <row r="1276" spans="1:6" ht="14" customHeight="1">
      <c r="A1276" s="19" t="s">
        <v>293</v>
      </c>
      <c r="B1276" s="25" t="s">
        <v>956</v>
      </c>
      <c r="C1276" s="24" t="s">
        <v>955</v>
      </c>
      <c r="D1276" s="23" t="s">
        <v>911</v>
      </c>
      <c r="E1276" s="20" t="s">
        <v>295</v>
      </c>
      <c r="F1276" s="22"/>
    </row>
    <row r="1277" spans="1:6" ht="14" customHeight="1">
      <c r="A1277" s="19" t="s">
        <v>293</v>
      </c>
      <c r="B1277" s="25" t="s">
        <v>954</v>
      </c>
      <c r="C1277" s="24" t="s">
        <v>953</v>
      </c>
      <c r="D1277" s="23" t="s">
        <v>875</v>
      </c>
      <c r="E1277" s="20" t="s">
        <v>295</v>
      </c>
      <c r="F1277" s="22"/>
    </row>
    <row r="1278" spans="1:6" ht="14" customHeight="1">
      <c r="A1278" s="19" t="s">
        <v>293</v>
      </c>
      <c r="B1278" s="25" t="s">
        <v>952</v>
      </c>
      <c r="C1278" s="24" t="s">
        <v>951</v>
      </c>
      <c r="D1278" s="23" t="s">
        <v>875</v>
      </c>
      <c r="E1278" s="20" t="s">
        <v>295</v>
      </c>
      <c r="F1278" s="22"/>
    </row>
    <row r="1279" spans="1:6">
      <c r="A1279" s="26"/>
      <c r="B1279" s="26"/>
      <c r="C1279" s="26" t="s">
        <v>950</v>
      </c>
      <c r="D1279" s="26"/>
      <c r="E1279" s="26"/>
    </row>
    <row r="1280" spans="1:6" ht="14" customHeight="1">
      <c r="A1280" s="19" t="s">
        <v>293</v>
      </c>
      <c r="B1280" s="25" t="s">
        <v>949</v>
      </c>
      <c r="C1280" s="24" t="s">
        <v>948</v>
      </c>
      <c r="D1280" s="23" t="s">
        <v>939</v>
      </c>
      <c r="E1280" s="20" t="s">
        <v>295</v>
      </c>
      <c r="F1280" s="22"/>
    </row>
    <row r="1281" spans="1:6" ht="14" customHeight="1">
      <c r="A1281" s="19" t="s">
        <v>293</v>
      </c>
      <c r="B1281" s="25" t="s">
        <v>947</v>
      </c>
      <c r="C1281" s="24" t="s">
        <v>946</v>
      </c>
      <c r="D1281" s="23" t="s">
        <v>939</v>
      </c>
      <c r="E1281" s="20" t="s">
        <v>295</v>
      </c>
      <c r="F1281" s="22"/>
    </row>
    <row r="1282" spans="1:6" ht="14" customHeight="1">
      <c r="A1282" s="19" t="s">
        <v>293</v>
      </c>
      <c r="B1282" s="25" t="s">
        <v>945</v>
      </c>
      <c r="C1282" s="24" t="s">
        <v>944</v>
      </c>
      <c r="D1282" s="23" t="s">
        <v>939</v>
      </c>
      <c r="E1282" s="20" t="s">
        <v>295</v>
      </c>
      <c r="F1282" s="22"/>
    </row>
    <row r="1283" spans="1:6" ht="14" customHeight="1">
      <c r="A1283" s="19" t="s">
        <v>293</v>
      </c>
      <c r="B1283" s="25" t="s">
        <v>943</v>
      </c>
      <c r="C1283" s="24" t="s">
        <v>942</v>
      </c>
      <c r="D1283" s="23" t="s">
        <v>939</v>
      </c>
      <c r="E1283" s="20" t="s">
        <v>295</v>
      </c>
      <c r="F1283" s="22"/>
    </row>
    <row r="1284" spans="1:6" ht="14" customHeight="1">
      <c r="A1284" s="19" t="s">
        <v>293</v>
      </c>
      <c r="B1284" s="25" t="s">
        <v>941</v>
      </c>
      <c r="C1284" s="24" t="s">
        <v>940</v>
      </c>
      <c r="D1284" s="23" t="s">
        <v>939</v>
      </c>
      <c r="E1284" s="20" t="s">
        <v>295</v>
      </c>
      <c r="F1284" s="22"/>
    </row>
    <row r="1285" spans="1:6" ht="14" customHeight="1">
      <c r="A1285" s="19" t="s">
        <v>293</v>
      </c>
      <c r="B1285" s="25" t="s">
        <v>938</v>
      </c>
      <c r="C1285" s="24" t="s">
        <v>937</v>
      </c>
      <c r="D1285" s="23" t="s">
        <v>930</v>
      </c>
      <c r="E1285" s="20" t="s">
        <v>295</v>
      </c>
      <c r="F1285" s="22"/>
    </row>
    <row r="1286" spans="1:6" ht="14" customHeight="1">
      <c r="A1286" s="19" t="s">
        <v>293</v>
      </c>
      <c r="B1286" s="25" t="s">
        <v>936</v>
      </c>
      <c r="C1286" s="24" t="s">
        <v>935</v>
      </c>
      <c r="D1286" s="23" t="s">
        <v>930</v>
      </c>
      <c r="E1286" s="20" t="s">
        <v>295</v>
      </c>
      <c r="F1286" s="22"/>
    </row>
    <row r="1287" spans="1:6" ht="14" customHeight="1">
      <c r="A1287" s="19" t="s">
        <v>293</v>
      </c>
      <c r="B1287" s="25" t="s">
        <v>934</v>
      </c>
      <c r="C1287" s="24" t="s">
        <v>933</v>
      </c>
      <c r="D1287" s="23" t="s">
        <v>930</v>
      </c>
      <c r="E1287" s="20" t="s">
        <v>295</v>
      </c>
      <c r="F1287" s="22"/>
    </row>
    <row r="1288" spans="1:6" ht="14" customHeight="1">
      <c r="A1288" s="19" t="s">
        <v>293</v>
      </c>
      <c r="B1288" s="25" t="s">
        <v>932</v>
      </c>
      <c r="C1288" s="24" t="s">
        <v>931</v>
      </c>
      <c r="D1288" s="23" t="s">
        <v>930</v>
      </c>
      <c r="E1288" s="20" t="s">
        <v>295</v>
      </c>
      <c r="F1288" s="22"/>
    </row>
    <row r="1289" spans="1:6" ht="14" customHeight="1">
      <c r="A1289" s="19" t="s">
        <v>293</v>
      </c>
      <c r="B1289" s="25" t="s">
        <v>929</v>
      </c>
      <c r="C1289" s="24" t="s">
        <v>928</v>
      </c>
      <c r="D1289" s="23" t="s">
        <v>911</v>
      </c>
      <c r="E1289" s="20" t="s">
        <v>295</v>
      </c>
      <c r="F1289" s="22"/>
    </row>
    <row r="1290" spans="1:6" ht="14" customHeight="1">
      <c r="A1290" s="19" t="s">
        <v>293</v>
      </c>
      <c r="B1290" s="25" t="s">
        <v>927</v>
      </c>
      <c r="C1290" s="24" t="s">
        <v>926</v>
      </c>
      <c r="D1290" s="23" t="s">
        <v>911</v>
      </c>
      <c r="E1290" s="20" t="s">
        <v>295</v>
      </c>
      <c r="F1290" s="22"/>
    </row>
    <row r="1291" spans="1:6" ht="14" customHeight="1">
      <c r="A1291" s="19" t="s">
        <v>293</v>
      </c>
      <c r="B1291" s="25" t="s">
        <v>925</v>
      </c>
      <c r="C1291" s="24" t="s">
        <v>924</v>
      </c>
      <c r="D1291" s="23" t="s">
        <v>911</v>
      </c>
      <c r="E1291" s="20" t="s">
        <v>295</v>
      </c>
      <c r="F1291" s="22"/>
    </row>
    <row r="1292" spans="1:6" ht="14" customHeight="1">
      <c r="A1292" s="19" t="s">
        <v>293</v>
      </c>
      <c r="B1292" s="25" t="s">
        <v>923</v>
      </c>
      <c r="C1292" s="24" t="s">
        <v>922</v>
      </c>
      <c r="D1292" s="23" t="s">
        <v>911</v>
      </c>
      <c r="E1292" s="20" t="s">
        <v>295</v>
      </c>
      <c r="F1292" s="22"/>
    </row>
    <row r="1293" spans="1:6" ht="14" customHeight="1">
      <c r="A1293" s="19" t="s">
        <v>293</v>
      </c>
      <c r="B1293" s="25" t="s">
        <v>921</v>
      </c>
      <c r="C1293" s="24" t="s">
        <v>920</v>
      </c>
      <c r="D1293" s="23" t="s">
        <v>911</v>
      </c>
      <c r="E1293" s="20" t="s">
        <v>295</v>
      </c>
      <c r="F1293" s="22"/>
    </row>
    <row r="1294" spans="1:6" ht="14" customHeight="1">
      <c r="A1294" s="19" t="s">
        <v>293</v>
      </c>
      <c r="B1294" s="25" t="s">
        <v>919</v>
      </c>
      <c r="C1294" s="24" t="s">
        <v>918</v>
      </c>
      <c r="D1294" s="23" t="s">
        <v>911</v>
      </c>
      <c r="E1294" s="20" t="s">
        <v>295</v>
      </c>
      <c r="F1294" s="22"/>
    </row>
    <row r="1295" spans="1:6" ht="14" customHeight="1">
      <c r="A1295" s="19" t="s">
        <v>293</v>
      </c>
      <c r="B1295" s="25" t="s">
        <v>917</v>
      </c>
      <c r="C1295" s="24" t="s">
        <v>916</v>
      </c>
      <c r="D1295" s="23" t="s">
        <v>911</v>
      </c>
      <c r="E1295" s="20" t="s">
        <v>295</v>
      </c>
      <c r="F1295" s="22"/>
    </row>
    <row r="1296" spans="1:6" ht="14" customHeight="1">
      <c r="A1296" s="19" t="s">
        <v>293</v>
      </c>
      <c r="B1296" s="25" t="s">
        <v>915</v>
      </c>
      <c r="C1296" s="24" t="s">
        <v>914</v>
      </c>
      <c r="D1296" s="23" t="s">
        <v>911</v>
      </c>
      <c r="E1296" s="20" t="s">
        <v>295</v>
      </c>
      <c r="F1296" s="22"/>
    </row>
    <row r="1297" spans="1:6" ht="14" customHeight="1">
      <c r="A1297" s="19" t="s">
        <v>293</v>
      </c>
      <c r="B1297" s="25" t="s">
        <v>913</v>
      </c>
      <c r="C1297" s="24" t="s">
        <v>912</v>
      </c>
      <c r="D1297" s="23" t="s">
        <v>911</v>
      </c>
      <c r="E1297" s="20" t="s">
        <v>295</v>
      </c>
      <c r="F1297" s="22"/>
    </row>
    <row r="1298" spans="1:6" ht="14" customHeight="1">
      <c r="A1298" s="19" t="s">
        <v>293</v>
      </c>
      <c r="B1298" s="25" t="s">
        <v>910</v>
      </c>
      <c r="C1298" s="24" t="s">
        <v>909</v>
      </c>
      <c r="D1298" s="23" t="s">
        <v>875</v>
      </c>
      <c r="E1298" s="20" t="s">
        <v>295</v>
      </c>
      <c r="F1298" s="22"/>
    </row>
    <row r="1299" spans="1:6" ht="14" customHeight="1">
      <c r="A1299" s="19" t="s">
        <v>293</v>
      </c>
      <c r="B1299" s="25" t="s">
        <v>908</v>
      </c>
      <c r="C1299" s="24" t="s">
        <v>907</v>
      </c>
      <c r="D1299" s="23" t="s">
        <v>875</v>
      </c>
      <c r="E1299" s="20" t="s">
        <v>295</v>
      </c>
      <c r="F1299" s="22"/>
    </row>
    <row r="1300" spans="1:6">
      <c r="A1300" s="26"/>
      <c r="B1300" s="26"/>
      <c r="C1300" s="26" t="s">
        <v>906</v>
      </c>
      <c r="D1300" s="26"/>
      <c r="E1300" s="26"/>
    </row>
    <row r="1301" spans="1:6" ht="14" customHeight="1">
      <c r="A1301" s="19" t="s">
        <v>293</v>
      </c>
      <c r="B1301" s="25" t="s">
        <v>905</v>
      </c>
      <c r="C1301" s="24" t="s">
        <v>904</v>
      </c>
      <c r="D1301" s="23" t="s">
        <v>895</v>
      </c>
      <c r="E1301" s="20" t="s">
        <v>295</v>
      </c>
      <c r="F1301" s="22"/>
    </row>
    <row r="1302" spans="1:6" ht="14" customHeight="1">
      <c r="A1302" s="19" t="s">
        <v>293</v>
      </c>
      <c r="B1302" s="25" t="s">
        <v>903</v>
      </c>
      <c r="C1302" s="24" t="s">
        <v>902</v>
      </c>
      <c r="D1302" s="23" t="s">
        <v>895</v>
      </c>
      <c r="E1302" s="20" t="s">
        <v>295</v>
      </c>
      <c r="F1302" s="22"/>
    </row>
    <row r="1303" spans="1:6" ht="28" customHeight="1">
      <c r="A1303" s="19" t="s">
        <v>293</v>
      </c>
      <c r="B1303" s="25" t="s">
        <v>901</v>
      </c>
      <c r="C1303" s="24" t="s">
        <v>900</v>
      </c>
      <c r="D1303" s="23" t="s">
        <v>895</v>
      </c>
      <c r="E1303" s="20" t="s">
        <v>295</v>
      </c>
      <c r="F1303" s="22"/>
    </row>
    <row r="1304" spans="1:6" ht="14" customHeight="1">
      <c r="A1304" s="19" t="s">
        <v>293</v>
      </c>
      <c r="B1304" s="25" t="s">
        <v>899</v>
      </c>
      <c r="C1304" s="24" t="s">
        <v>898</v>
      </c>
      <c r="D1304" s="23" t="s">
        <v>895</v>
      </c>
      <c r="E1304" s="20" t="s">
        <v>295</v>
      </c>
      <c r="F1304" s="22"/>
    </row>
    <row r="1305" spans="1:6" ht="28" customHeight="1">
      <c r="A1305" s="19" t="s">
        <v>293</v>
      </c>
      <c r="B1305" s="25" t="s">
        <v>897</v>
      </c>
      <c r="C1305" s="24" t="s">
        <v>896</v>
      </c>
      <c r="D1305" s="23" t="s">
        <v>895</v>
      </c>
      <c r="E1305" s="20" t="s">
        <v>295</v>
      </c>
      <c r="F1305" s="22"/>
    </row>
    <row r="1306" spans="1:6" ht="28" customHeight="1">
      <c r="A1306" s="19" t="s">
        <v>293</v>
      </c>
      <c r="B1306" s="25" t="s">
        <v>894</v>
      </c>
      <c r="C1306" s="24" t="s">
        <v>893</v>
      </c>
      <c r="D1306" s="23" t="s">
        <v>886</v>
      </c>
      <c r="E1306" s="20" t="s">
        <v>295</v>
      </c>
      <c r="F1306" s="22"/>
    </row>
    <row r="1307" spans="1:6" ht="14" customHeight="1">
      <c r="A1307" s="19" t="s">
        <v>293</v>
      </c>
      <c r="B1307" s="25" t="s">
        <v>892</v>
      </c>
      <c r="C1307" s="24" t="s">
        <v>891</v>
      </c>
      <c r="D1307" s="23" t="s">
        <v>886</v>
      </c>
      <c r="E1307" s="20" t="s">
        <v>295</v>
      </c>
      <c r="F1307" s="22"/>
    </row>
    <row r="1308" spans="1:6" ht="14" customHeight="1">
      <c r="A1308" s="19" t="s">
        <v>293</v>
      </c>
      <c r="B1308" s="25" t="s">
        <v>890</v>
      </c>
      <c r="C1308" s="24" t="s">
        <v>889</v>
      </c>
      <c r="D1308" s="23" t="s">
        <v>886</v>
      </c>
      <c r="E1308" s="20" t="s">
        <v>295</v>
      </c>
      <c r="F1308" s="22"/>
    </row>
    <row r="1309" spans="1:6" ht="28" customHeight="1">
      <c r="A1309" s="19" t="s">
        <v>293</v>
      </c>
      <c r="B1309" s="25" t="s">
        <v>888</v>
      </c>
      <c r="C1309" s="24" t="s">
        <v>887</v>
      </c>
      <c r="D1309" s="23" t="s">
        <v>886</v>
      </c>
      <c r="E1309" s="20" t="s">
        <v>295</v>
      </c>
      <c r="F1309" s="22"/>
    </row>
    <row r="1310" spans="1:6" ht="28" customHeight="1">
      <c r="A1310" s="19" t="s">
        <v>293</v>
      </c>
      <c r="B1310" s="25" t="s">
        <v>885</v>
      </c>
      <c r="C1310" s="24" t="s">
        <v>884</v>
      </c>
      <c r="D1310" s="23" t="s">
        <v>875</v>
      </c>
      <c r="E1310" s="20" t="s">
        <v>295</v>
      </c>
      <c r="F1310" s="22"/>
    </row>
    <row r="1311" spans="1:6" ht="28" customHeight="1">
      <c r="A1311" s="19" t="s">
        <v>293</v>
      </c>
      <c r="B1311" s="25" t="s">
        <v>883</v>
      </c>
      <c r="C1311" s="24" t="s">
        <v>882</v>
      </c>
      <c r="D1311" s="23" t="s">
        <v>875</v>
      </c>
      <c r="E1311" s="20" t="s">
        <v>295</v>
      </c>
      <c r="F1311" s="22"/>
    </row>
    <row r="1312" spans="1:6" ht="28" customHeight="1">
      <c r="A1312" s="19" t="s">
        <v>293</v>
      </c>
      <c r="B1312" s="25" t="s">
        <v>881</v>
      </c>
      <c r="C1312" s="24" t="s">
        <v>880</v>
      </c>
      <c r="D1312" s="23" t="s">
        <v>875</v>
      </c>
      <c r="E1312" s="20" t="s">
        <v>295</v>
      </c>
      <c r="F1312" s="22"/>
    </row>
    <row r="1313" spans="1:6" ht="14" customHeight="1">
      <c r="A1313" s="19" t="s">
        <v>293</v>
      </c>
      <c r="B1313" s="25" t="s">
        <v>879</v>
      </c>
      <c r="C1313" s="24" t="s">
        <v>878</v>
      </c>
      <c r="D1313" s="23" t="s">
        <v>875</v>
      </c>
      <c r="E1313" s="20" t="s">
        <v>295</v>
      </c>
      <c r="F1313" s="22"/>
    </row>
    <row r="1314" spans="1:6" ht="28" customHeight="1">
      <c r="A1314" s="19" t="s">
        <v>293</v>
      </c>
      <c r="B1314" s="25" t="s">
        <v>877</v>
      </c>
      <c r="C1314" s="24" t="s">
        <v>876</v>
      </c>
      <c r="D1314" s="23" t="s">
        <v>875</v>
      </c>
      <c r="E1314" s="20" t="s">
        <v>295</v>
      </c>
      <c r="F1314" s="22"/>
    </row>
    <row r="1315" spans="1:6" ht="28" customHeight="1">
      <c r="A1315" s="19" t="s">
        <v>293</v>
      </c>
      <c r="B1315" s="25" t="s">
        <v>874</v>
      </c>
      <c r="C1315" s="24" t="s">
        <v>873</v>
      </c>
      <c r="D1315" s="23" t="s">
        <v>870</v>
      </c>
      <c r="E1315" s="20" t="s">
        <v>295</v>
      </c>
      <c r="F1315" s="22"/>
    </row>
    <row r="1316" spans="1:6" ht="28" customHeight="1">
      <c r="A1316" s="19" t="s">
        <v>293</v>
      </c>
      <c r="B1316" s="25" t="s">
        <v>872</v>
      </c>
      <c r="C1316" s="24" t="s">
        <v>871</v>
      </c>
      <c r="D1316" s="23" t="s">
        <v>870</v>
      </c>
      <c r="E1316" s="20" t="s">
        <v>295</v>
      </c>
      <c r="F1316" s="22"/>
    </row>
    <row r="1317" spans="1:6" ht="14" customHeight="1">
      <c r="A1317" s="19" t="s">
        <v>293</v>
      </c>
      <c r="B1317" s="25" t="s">
        <v>869</v>
      </c>
      <c r="C1317" s="24" t="s">
        <v>868</v>
      </c>
      <c r="D1317" s="23" t="s">
        <v>859</v>
      </c>
      <c r="E1317" s="20" t="s">
        <v>295</v>
      </c>
      <c r="F1317" s="22"/>
    </row>
    <row r="1318" spans="1:6" ht="14" customHeight="1">
      <c r="A1318" s="19" t="s">
        <v>293</v>
      </c>
      <c r="B1318" s="25" t="s">
        <v>867</v>
      </c>
      <c r="C1318" s="24" t="s">
        <v>866</v>
      </c>
      <c r="D1318" s="23" t="s">
        <v>859</v>
      </c>
      <c r="E1318" s="20" t="s">
        <v>295</v>
      </c>
      <c r="F1318" s="22"/>
    </row>
    <row r="1319" spans="1:6" ht="14" customHeight="1">
      <c r="A1319" s="19" t="s">
        <v>293</v>
      </c>
      <c r="B1319" s="25" t="s">
        <v>865</v>
      </c>
      <c r="C1319" s="24" t="s">
        <v>864</v>
      </c>
      <c r="D1319" s="23" t="s">
        <v>859</v>
      </c>
      <c r="E1319" s="20" t="s">
        <v>295</v>
      </c>
      <c r="F1319" s="22"/>
    </row>
    <row r="1320" spans="1:6" ht="14" customHeight="1">
      <c r="A1320" s="19" t="s">
        <v>293</v>
      </c>
      <c r="B1320" s="25" t="s">
        <v>863</v>
      </c>
      <c r="C1320" s="24" t="s">
        <v>862</v>
      </c>
      <c r="D1320" s="23" t="s">
        <v>859</v>
      </c>
      <c r="E1320" s="20" t="s">
        <v>295</v>
      </c>
      <c r="F1320" s="22"/>
    </row>
    <row r="1321" spans="1:6" ht="14" customHeight="1">
      <c r="A1321" s="19" t="s">
        <v>293</v>
      </c>
      <c r="B1321" s="25" t="s">
        <v>861</v>
      </c>
      <c r="C1321" s="24" t="s">
        <v>860</v>
      </c>
      <c r="D1321" s="23" t="s">
        <v>859</v>
      </c>
      <c r="E1321" s="20" t="s">
        <v>295</v>
      </c>
      <c r="F1321" s="22"/>
    </row>
    <row r="1322" spans="1:6" ht="14" customHeight="1">
      <c r="A1322" s="19" t="s">
        <v>293</v>
      </c>
      <c r="B1322" s="25" t="s">
        <v>858</v>
      </c>
      <c r="C1322" s="24" t="s">
        <v>857</v>
      </c>
      <c r="D1322" s="23" t="s">
        <v>850</v>
      </c>
      <c r="E1322" s="20" t="s">
        <v>295</v>
      </c>
      <c r="F1322" s="22"/>
    </row>
    <row r="1323" spans="1:6" ht="14" customHeight="1">
      <c r="A1323" s="19" t="s">
        <v>293</v>
      </c>
      <c r="B1323" s="25" t="s">
        <v>856</v>
      </c>
      <c r="C1323" s="24" t="s">
        <v>855</v>
      </c>
      <c r="D1323" s="23" t="s">
        <v>850</v>
      </c>
      <c r="E1323" s="20" t="s">
        <v>295</v>
      </c>
      <c r="F1323" s="22"/>
    </row>
    <row r="1324" spans="1:6" ht="14" customHeight="1">
      <c r="A1324" s="19" t="s">
        <v>293</v>
      </c>
      <c r="B1324" s="25" t="s">
        <v>854</v>
      </c>
      <c r="C1324" s="24" t="s">
        <v>853</v>
      </c>
      <c r="D1324" s="23" t="s">
        <v>850</v>
      </c>
      <c r="E1324" s="20" t="s">
        <v>295</v>
      </c>
      <c r="F1324" s="22"/>
    </row>
    <row r="1325" spans="1:6" ht="14" customHeight="1">
      <c r="A1325" s="19" t="s">
        <v>293</v>
      </c>
      <c r="B1325" s="25" t="s">
        <v>852</v>
      </c>
      <c r="C1325" s="24" t="s">
        <v>851</v>
      </c>
      <c r="D1325" s="23" t="s">
        <v>850</v>
      </c>
      <c r="E1325" s="20" t="s">
        <v>295</v>
      </c>
      <c r="F1325" s="22"/>
    </row>
    <row r="1326" spans="1:6" ht="14" customHeight="1">
      <c r="A1326" s="19" t="s">
        <v>293</v>
      </c>
      <c r="B1326" s="25" t="s">
        <v>849</v>
      </c>
      <c r="C1326" s="24" t="s">
        <v>848</v>
      </c>
      <c r="D1326" s="23" t="s">
        <v>835</v>
      </c>
      <c r="E1326" s="20" t="s">
        <v>295</v>
      </c>
      <c r="F1326" s="22"/>
    </row>
    <row r="1327" spans="1:6" ht="14" customHeight="1">
      <c r="A1327" s="19" t="s">
        <v>293</v>
      </c>
      <c r="B1327" s="25" t="s">
        <v>847</v>
      </c>
      <c r="C1327" s="24" t="s">
        <v>846</v>
      </c>
      <c r="D1327" s="23" t="s">
        <v>835</v>
      </c>
      <c r="E1327" s="20" t="s">
        <v>295</v>
      </c>
      <c r="F1327" s="22"/>
    </row>
    <row r="1328" spans="1:6" ht="14" customHeight="1">
      <c r="A1328" s="19" t="s">
        <v>293</v>
      </c>
      <c r="B1328" s="25" t="s">
        <v>845</v>
      </c>
      <c r="C1328" s="24" t="s">
        <v>844</v>
      </c>
      <c r="D1328" s="23" t="s">
        <v>835</v>
      </c>
      <c r="E1328" s="20" t="s">
        <v>295</v>
      </c>
      <c r="F1328" s="22"/>
    </row>
    <row r="1329" spans="1:6" ht="14" customHeight="1">
      <c r="A1329" s="19" t="s">
        <v>293</v>
      </c>
      <c r="B1329" s="25" t="s">
        <v>843</v>
      </c>
      <c r="C1329" s="24" t="s">
        <v>842</v>
      </c>
      <c r="D1329" s="23" t="s">
        <v>835</v>
      </c>
      <c r="E1329" s="20" t="s">
        <v>295</v>
      </c>
      <c r="F1329" s="22"/>
    </row>
    <row r="1330" spans="1:6" ht="14" customHeight="1">
      <c r="A1330" s="19" t="s">
        <v>293</v>
      </c>
      <c r="B1330" s="25" t="s">
        <v>841</v>
      </c>
      <c r="C1330" s="24" t="s">
        <v>840</v>
      </c>
      <c r="D1330" s="23" t="s">
        <v>835</v>
      </c>
      <c r="E1330" s="20" t="s">
        <v>295</v>
      </c>
      <c r="F1330" s="22"/>
    </row>
    <row r="1331" spans="1:6" ht="14" customHeight="1">
      <c r="A1331" s="19" t="s">
        <v>293</v>
      </c>
      <c r="B1331" s="25" t="s">
        <v>839</v>
      </c>
      <c r="C1331" s="24" t="s">
        <v>838</v>
      </c>
      <c r="D1331" s="23" t="s">
        <v>835</v>
      </c>
      <c r="E1331" s="20" t="s">
        <v>295</v>
      </c>
      <c r="F1331" s="22"/>
    </row>
    <row r="1332" spans="1:6" ht="14" customHeight="1">
      <c r="A1332" s="19" t="s">
        <v>293</v>
      </c>
      <c r="B1332" s="25" t="s">
        <v>837</v>
      </c>
      <c r="C1332" s="24" t="s">
        <v>836</v>
      </c>
      <c r="D1332" s="23" t="s">
        <v>835</v>
      </c>
      <c r="E1332" s="20" t="s">
        <v>295</v>
      </c>
      <c r="F1332" s="22"/>
    </row>
    <row r="1333" spans="1:6" ht="14" customHeight="1">
      <c r="A1333" s="19" t="s">
        <v>293</v>
      </c>
      <c r="B1333" s="25" t="s">
        <v>834</v>
      </c>
      <c r="C1333" s="24" t="s">
        <v>833</v>
      </c>
      <c r="D1333" s="23" t="s">
        <v>830</v>
      </c>
      <c r="E1333" s="20" t="s">
        <v>295</v>
      </c>
      <c r="F1333" s="22"/>
    </row>
    <row r="1334" spans="1:6" ht="14" customHeight="1">
      <c r="A1334" s="19" t="s">
        <v>293</v>
      </c>
      <c r="B1334" s="25" t="s">
        <v>832</v>
      </c>
      <c r="C1334" s="24" t="s">
        <v>831</v>
      </c>
      <c r="D1334" s="23" t="s">
        <v>830</v>
      </c>
      <c r="E1334" s="20" t="s">
        <v>295</v>
      </c>
      <c r="F1334" s="22"/>
    </row>
    <row r="1335" spans="1:6">
      <c r="A1335" s="26"/>
      <c r="B1335" s="26"/>
      <c r="C1335" s="26" t="s">
        <v>829</v>
      </c>
      <c r="D1335" s="26"/>
      <c r="E1335" s="26"/>
    </row>
    <row r="1336" spans="1:6" ht="28" customHeight="1">
      <c r="A1336" s="19" t="s">
        <v>293</v>
      </c>
      <c r="B1336" s="25" t="s">
        <v>828</v>
      </c>
      <c r="C1336" s="24" t="s">
        <v>827</v>
      </c>
      <c r="D1336" s="23" t="s">
        <v>645</v>
      </c>
      <c r="E1336" s="20" t="s">
        <v>295</v>
      </c>
      <c r="F1336" s="22"/>
    </row>
    <row r="1337" spans="1:6" ht="28" customHeight="1">
      <c r="A1337" s="19" t="s">
        <v>293</v>
      </c>
      <c r="B1337" s="25" t="s">
        <v>826</v>
      </c>
      <c r="C1337" s="24" t="s">
        <v>825</v>
      </c>
      <c r="D1337" s="23" t="s">
        <v>645</v>
      </c>
      <c r="E1337" s="20" t="s">
        <v>295</v>
      </c>
      <c r="F1337" s="22"/>
    </row>
    <row r="1338" spans="1:6" ht="28" customHeight="1">
      <c r="A1338" s="19" t="s">
        <v>293</v>
      </c>
      <c r="B1338" s="25" t="s">
        <v>824</v>
      </c>
      <c r="C1338" s="24" t="s">
        <v>823</v>
      </c>
      <c r="D1338" s="23" t="s">
        <v>645</v>
      </c>
      <c r="E1338" s="20" t="s">
        <v>295</v>
      </c>
      <c r="F1338" s="22"/>
    </row>
    <row r="1339" spans="1:6" ht="28" customHeight="1">
      <c r="A1339" s="19" t="s">
        <v>293</v>
      </c>
      <c r="B1339" s="25" t="s">
        <v>822</v>
      </c>
      <c r="C1339" s="24" t="s">
        <v>821</v>
      </c>
      <c r="D1339" s="23" t="s">
        <v>645</v>
      </c>
      <c r="E1339" s="20" t="s">
        <v>295</v>
      </c>
      <c r="F1339" s="22"/>
    </row>
    <row r="1340" spans="1:6" ht="28" customHeight="1">
      <c r="A1340" s="19" t="s">
        <v>293</v>
      </c>
      <c r="B1340" s="25" t="s">
        <v>820</v>
      </c>
      <c r="C1340" s="24" t="s">
        <v>819</v>
      </c>
      <c r="D1340" s="23" t="s">
        <v>645</v>
      </c>
      <c r="E1340" s="20" t="s">
        <v>295</v>
      </c>
      <c r="F1340" s="22"/>
    </row>
    <row r="1341" spans="1:6" ht="28" customHeight="1">
      <c r="A1341" s="19" t="s">
        <v>293</v>
      </c>
      <c r="B1341" s="25" t="s">
        <v>818</v>
      </c>
      <c r="C1341" s="24" t="s">
        <v>817</v>
      </c>
      <c r="D1341" s="23" t="s">
        <v>645</v>
      </c>
      <c r="E1341" s="20" t="s">
        <v>295</v>
      </c>
      <c r="F1341" s="22"/>
    </row>
    <row r="1342" spans="1:6" ht="28" customHeight="1">
      <c r="A1342" s="19" t="s">
        <v>293</v>
      </c>
      <c r="B1342" s="25" t="s">
        <v>816</v>
      </c>
      <c r="C1342" s="24" t="s">
        <v>815</v>
      </c>
      <c r="D1342" s="23" t="s">
        <v>645</v>
      </c>
      <c r="E1342" s="20" t="s">
        <v>295</v>
      </c>
      <c r="F1342" s="22"/>
    </row>
    <row r="1343" spans="1:6" ht="28" customHeight="1">
      <c r="A1343" s="19" t="s">
        <v>293</v>
      </c>
      <c r="B1343" s="25" t="s">
        <v>814</v>
      </c>
      <c r="C1343" s="24" t="s">
        <v>813</v>
      </c>
      <c r="D1343" s="23" t="s">
        <v>645</v>
      </c>
      <c r="E1343" s="20" t="s">
        <v>295</v>
      </c>
      <c r="F1343" s="22"/>
    </row>
    <row r="1344" spans="1:6" ht="28" customHeight="1">
      <c r="A1344" s="19" t="s">
        <v>293</v>
      </c>
      <c r="B1344" s="25" t="s">
        <v>812</v>
      </c>
      <c r="C1344" s="24" t="s">
        <v>811</v>
      </c>
      <c r="D1344" s="23" t="s">
        <v>634</v>
      </c>
      <c r="E1344" s="20" t="s">
        <v>295</v>
      </c>
      <c r="F1344" s="22"/>
    </row>
    <row r="1345" spans="1:6" ht="28" customHeight="1">
      <c r="A1345" s="19" t="s">
        <v>293</v>
      </c>
      <c r="B1345" s="25" t="s">
        <v>810</v>
      </c>
      <c r="C1345" s="24" t="s">
        <v>809</v>
      </c>
      <c r="D1345" s="23" t="s">
        <v>634</v>
      </c>
      <c r="E1345" s="20" t="s">
        <v>295</v>
      </c>
      <c r="F1345" s="22"/>
    </row>
    <row r="1346" spans="1:6" ht="28" customHeight="1">
      <c r="A1346" s="19" t="s">
        <v>293</v>
      </c>
      <c r="B1346" s="25" t="s">
        <v>808</v>
      </c>
      <c r="C1346" s="24" t="s">
        <v>807</v>
      </c>
      <c r="D1346" s="23" t="s">
        <v>634</v>
      </c>
      <c r="E1346" s="20" t="s">
        <v>295</v>
      </c>
      <c r="F1346" s="22"/>
    </row>
    <row r="1347" spans="1:6" ht="28" customHeight="1">
      <c r="A1347" s="19" t="s">
        <v>293</v>
      </c>
      <c r="B1347" s="25" t="s">
        <v>806</v>
      </c>
      <c r="C1347" s="24" t="s">
        <v>805</v>
      </c>
      <c r="D1347" s="23" t="s">
        <v>634</v>
      </c>
      <c r="E1347" s="20" t="s">
        <v>295</v>
      </c>
      <c r="F1347" s="22"/>
    </row>
    <row r="1348" spans="1:6" ht="28" customHeight="1">
      <c r="A1348" s="19" t="s">
        <v>293</v>
      </c>
      <c r="B1348" s="25" t="s">
        <v>804</v>
      </c>
      <c r="C1348" s="24" t="s">
        <v>803</v>
      </c>
      <c r="D1348" s="23" t="s">
        <v>634</v>
      </c>
      <c r="E1348" s="20" t="s">
        <v>295</v>
      </c>
      <c r="F1348" s="22"/>
    </row>
    <row r="1349" spans="1:6" ht="28" customHeight="1">
      <c r="A1349" s="19" t="s">
        <v>293</v>
      </c>
      <c r="B1349" s="25" t="s">
        <v>802</v>
      </c>
      <c r="C1349" s="24" t="s">
        <v>801</v>
      </c>
      <c r="D1349" s="23" t="s">
        <v>627</v>
      </c>
      <c r="E1349" s="20" t="s">
        <v>295</v>
      </c>
      <c r="F1349" s="22"/>
    </row>
    <row r="1350" spans="1:6" ht="28" customHeight="1">
      <c r="A1350" s="19" t="s">
        <v>293</v>
      </c>
      <c r="B1350" s="25" t="s">
        <v>800</v>
      </c>
      <c r="C1350" s="24" t="s">
        <v>799</v>
      </c>
      <c r="D1350" s="23" t="s">
        <v>627</v>
      </c>
      <c r="E1350" s="20" t="s">
        <v>295</v>
      </c>
      <c r="F1350" s="22"/>
    </row>
    <row r="1351" spans="1:6" ht="28" customHeight="1">
      <c r="A1351" s="19" t="s">
        <v>293</v>
      </c>
      <c r="B1351" s="25" t="s">
        <v>798</v>
      </c>
      <c r="C1351" s="24" t="s">
        <v>797</v>
      </c>
      <c r="D1351" s="23" t="s">
        <v>627</v>
      </c>
      <c r="E1351" s="20" t="s">
        <v>295</v>
      </c>
      <c r="F1351" s="22"/>
    </row>
    <row r="1352" spans="1:6" ht="28" customHeight="1">
      <c r="A1352" s="19" t="s">
        <v>293</v>
      </c>
      <c r="B1352" s="25" t="s">
        <v>796</v>
      </c>
      <c r="C1352" s="24" t="s">
        <v>795</v>
      </c>
      <c r="D1352" s="23" t="s">
        <v>606</v>
      </c>
      <c r="E1352" s="20" t="s">
        <v>295</v>
      </c>
      <c r="F1352" s="22"/>
    </row>
    <row r="1353" spans="1:6" ht="28" customHeight="1">
      <c r="A1353" s="19" t="s">
        <v>293</v>
      </c>
      <c r="B1353" s="25" t="s">
        <v>794</v>
      </c>
      <c r="C1353" s="24" t="s">
        <v>793</v>
      </c>
      <c r="D1353" s="23" t="s">
        <v>606</v>
      </c>
      <c r="E1353" s="20" t="s">
        <v>295</v>
      </c>
      <c r="F1353" s="22"/>
    </row>
    <row r="1354" spans="1:6" ht="28" customHeight="1">
      <c r="A1354" s="19" t="s">
        <v>293</v>
      </c>
      <c r="B1354" s="25" t="s">
        <v>792</v>
      </c>
      <c r="C1354" s="24" t="s">
        <v>791</v>
      </c>
      <c r="D1354" s="23" t="s">
        <v>606</v>
      </c>
      <c r="E1354" s="20" t="s">
        <v>295</v>
      </c>
      <c r="F1354" s="22"/>
    </row>
    <row r="1355" spans="1:6" ht="28" customHeight="1">
      <c r="A1355" s="19" t="s">
        <v>293</v>
      </c>
      <c r="B1355" s="25" t="s">
        <v>790</v>
      </c>
      <c r="C1355" s="24" t="s">
        <v>789</v>
      </c>
      <c r="D1355" s="23" t="s">
        <v>606</v>
      </c>
      <c r="E1355" s="20" t="s">
        <v>295</v>
      </c>
      <c r="F1355" s="22"/>
    </row>
    <row r="1356" spans="1:6" ht="28" customHeight="1">
      <c r="A1356" s="19" t="s">
        <v>293</v>
      </c>
      <c r="B1356" s="25" t="s">
        <v>788</v>
      </c>
      <c r="C1356" s="24" t="s">
        <v>787</v>
      </c>
      <c r="D1356" s="23" t="s">
        <v>606</v>
      </c>
      <c r="E1356" s="20" t="s">
        <v>295</v>
      </c>
      <c r="F1356" s="22"/>
    </row>
    <row r="1357" spans="1:6" ht="28" customHeight="1">
      <c r="A1357" s="19" t="s">
        <v>293</v>
      </c>
      <c r="B1357" s="25" t="s">
        <v>786</v>
      </c>
      <c r="C1357" s="24" t="s">
        <v>785</v>
      </c>
      <c r="D1357" s="23" t="s">
        <v>606</v>
      </c>
      <c r="E1357" s="20" t="s">
        <v>295</v>
      </c>
      <c r="F1357" s="22"/>
    </row>
    <row r="1358" spans="1:6" ht="28" customHeight="1">
      <c r="A1358" s="19" t="s">
        <v>293</v>
      </c>
      <c r="B1358" s="25" t="s">
        <v>784</v>
      </c>
      <c r="C1358" s="24" t="s">
        <v>783</v>
      </c>
      <c r="D1358" s="23" t="s">
        <v>606</v>
      </c>
      <c r="E1358" s="20" t="s">
        <v>295</v>
      </c>
      <c r="F1358" s="22"/>
    </row>
    <row r="1359" spans="1:6" ht="28" customHeight="1">
      <c r="A1359" s="19" t="s">
        <v>293</v>
      </c>
      <c r="B1359" s="25" t="s">
        <v>782</v>
      </c>
      <c r="C1359" s="24" t="s">
        <v>781</v>
      </c>
      <c r="D1359" s="23" t="s">
        <v>606</v>
      </c>
      <c r="E1359" s="20" t="s">
        <v>295</v>
      </c>
      <c r="F1359" s="22"/>
    </row>
    <row r="1360" spans="1:6" ht="28" customHeight="1">
      <c r="A1360" s="19" t="s">
        <v>293</v>
      </c>
      <c r="B1360" s="25" t="s">
        <v>780</v>
      </c>
      <c r="C1360" s="24" t="s">
        <v>779</v>
      </c>
      <c r="D1360" s="23" t="s">
        <v>606</v>
      </c>
      <c r="E1360" s="20" t="s">
        <v>295</v>
      </c>
      <c r="F1360" s="22"/>
    </row>
    <row r="1361" spans="1:6">
      <c r="A1361" s="26"/>
      <c r="B1361" s="26"/>
      <c r="C1361" s="26" t="s">
        <v>778</v>
      </c>
      <c r="D1361" s="26"/>
      <c r="E1361" s="26"/>
    </row>
    <row r="1362" spans="1:6" ht="28" customHeight="1">
      <c r="A1362" s="19" t="s">
        <v>293</v>
      </c>
      <c r="B1362" s="25" t="s">
        <v>777</v>
      </c>
      <c r="C1362" s="24" t="s">
        <v>776</v>
      </c>
      <c r="D1362" s="23" t="s">
        <v>645</v>
      </c>
      <c r="E1362" s="20" t="s">
        <v>295</v>
      </c>
      <c r="F1362" s="22"/>
    </row>
    <row r="1363" spans="1:6" ht="28" customHeight="1">
      <c r="A1363" s="19" t="s">
        <v>293</v>
      </c>
      <c r="B1363" s="25" t="s">
        <v>775</v>
      </c>
      <c r="C1363" s="24" t="s">
        <v>774</v>
      </c>
      <c r="D1363" s="23" t="s">
        <v>645</v>
      </c>
      <c r="E1363" s="20" t="s">
        <v>295</v>
      </c>
      <c r="F1363" s="22"/>
    </row>
    <row r="1364" spans="1:6" ht="28" customHeight="1">
      <c r="A1364" s="19" t="s">
        <v>293</v>
      </c>
      <c r="B1364" s="25" t="s">
        <v>773</v>
      </c>
      <c r="C1364" s="24" t="s">
        <v>772</v>
      </c>
      <c r="D1364" s="23" t="s">
        <v>645</v>
      </c>
      <c r="E1364" s="20" t="s">
        <v>295</v>
      </c>
      <c r="F1364" s="22"/>
    </row>
    <row r="1365" spans="1:6" ht="28" customHeight="1">
      <c r="A1365" s="19" t="s">
        <v>293</v>
      </c>
      <c r="B1365" s="25" t="s">
        <v>771</v>
      </c>
      <c r="C1365" s="24" t="s">
        <v>770</v>
      </c>
      <c r="D1365" s="23" t="s">
        <v>645</v>
      </c>
      <c r="E1365" s="20" t="s">
        <v>295</v>
      </c>
      <c r="F1365" s="22"/>
    </row>
    <row r="1366" spans="1:6" ht="28" customHeight="1">
      <c r="A1366" s="19" t="s">
        <v>293</v>
      </c>
      <c r="B1366" s="25" t="s">
        <v>769</v>
      </c>
      <c r="C1366" s="24" t="s">
        <v>768</v>
      </c>
      <c r="D1366" s="23" t="s">
        <v>645</v>
      </c>
      <c r="E1366" s="20" t="s">
        <v>295</v>
      </c>
      <c r="F1366" s="22"/>
    </row>
    <row r="1367" spans="1:6" ht="28" customHeight="1">
      <c r="A1367" s="19" t="s">
        <v>293</v>
      </c>
      <c r="B1367" s="25" t="s">
        <v>767</v>
      </c>
      <c r="C1367" s="24" t="s">
        <v>766</v>
      </c>
      <c r="D1367" s="23" t="s">
        <v>645</v>
      </c>
      <c r="E1367" s="20" t="s">
        <v>295</v>
      </c>
      <c r="F1367" s="22"/>
    </row>
    <row r="1368" spans="1:6" ht="28" customHeight="1">
      <c r="A1368" s="19" t="s">
        <v>293</v>
      </c>
      <c r="B1368" s="25" t="s">
        <v>765</v>
      </c>
      <c r="C1368" s="24" t="s">
        <v>764</v>
      </c>
      <c r="D1368" s="23" t="s">
        <v>645</v>
      </c>
      <c r="E1368" s="20" t="s">
        <v>295</v>
      </c>
      <c r="F1368" s="22"/>
    </row>
    <row r="1369" spans="1:6" ht="28" customHeight="1">
      <c r="A1369" s="19" t="s">
        <v>293</v>
      </c>
      <c r="B1369" s="25" t="s">
        <v>763</v>
      </c>
      <c r="C1369" s="24" t="s">
        <v>762</v>
      </c>
      <c r="D1369" s="23" t="s">
        <v>645</v>
      </c>
      <c r="E1369" s="20" t="s">
        <v>295</v>
      </c>
      <c r="F1369" s="22"/>
    </row>
    <row r="1370" spans="1:6" ht="28" customHeight="1">
      <c r="A1370" s="19" t="s">
        <v>293</v>
      </c>
      <c r="B1370" s="25" t="s">
        <v>761</v>
      </c>
      <c r="C1370" s="24" t="s">
        <v>760</v>
      </c>
      <c r="D1370" s="23" t="s">
        <v>645</v>
      </c>
      <c r="E1370" s="20" t="s">
        <v>295</v>
      </c>
      <c r="F1370" s="22"/>
    </row>
    <row r="1371" spans="1:6" ht="28" customHeight="1">
      <c r="A1371" s="19" t="s">
        <v>293</v>
      </c>
      <c r="B1371" s="25" t="s">
        <v>759</v>
      </c>
      <c r="C1371" s="24" t="s">
        <v>758</v>
      </c>
      <c r="D1371" s="23" t="s">
        <v>645</v>
      </c>
      <c r="E1371" s="20" t="s">
        <v>295</v>
      </c>
      <c r="F1371" s="22"/>
    </row>
    <row r="1372" spans="1:6" ht="28" customHeight="1">
      <c r="A1372" s="19" t="s">
        <v>293</v>
      </c>
      <c r="B1372" s="25" t="s">
        <v>757</v>
      </c>
      <c r="C1372" s="24" t="s">
        <v>756</v>
      </c>
      <c r="D1372" s="23" t="s">
        <v>634</v>
      </c>
      <c r="E1372" s="20" t="s">
        <v>295</v>
      </c>
      <c r="F1372" s="22"/>
    </row>
    <row r="1373" spans="1:6" ht="28" customHeight="1">
      <c r="A1373" s="19" t="s">
        <v>293</v>
      </c>
      <c r="B1373" s="25" t="s">
        <v>755</v>
      </c>
      <c r="C1373" s="24" t="s">
        <v>754</v>
      </c>
      <c r="D1373" s="23" t="s">
        <v>634</v>
      </c>
      <c r="E1373" s="20" t="s">
        <v>295</v>
      </c>
      <c r="F1373" s="22"/>
    </row>
    <row r="1374" spans="1:6" ht="28" customHeight="1">
      <c r="A1374" s="19" t="s">
        <v>293</v>
      </c>
      <c r="B1374" s="25" t="s">
        <v>753</v>
      </c>
      <c r="C1374" s="24" t="s">
        <v>752</v>
      </c>
      <c r="D1374" s="23" t="s">
        <v>634</v>
      </c>
      <c r="E1374" s="20" t="s">
        <v>295</v>
      </c>
      <c r="F1374" s="22"/>
    </row>
    <row r="1375" spans="1:6" ht="28" customHeight="1">
      <c r="A1375" s="19" t="s">
        <v>293</v>
      </c>
      <c r="B1375" s="25" t="s">
        <v>751</v>
      </c>
      <c r="C1375" s="24" t="s">
        <v>750</v>
      </c>
      <c r="D1375" s="23" t="s">
        <v>634</v>
      </c>
      <c r="E1375" s="20" t="s">
        <v>295</v>
      </c>
      <c r="F1375" s="22"/>
    </row>
    <row r="1376" spans="1:6" ht="28" customHeight="1">
      <c r="A1376" s="19" t="s">
        <v>293</v>
      </c>
      <c r="B1376" s="25" t="s">
        <v>749</v>
      </c>
      <c r="C1376" s="24" t="s">
        <v>748</v>
      </c>
      <c r="D1376" s="23" t="s">
        <v>634</v>
      </c>
      <c r="E1376" s="20" t="s">
        <v>295</v>
      </c>
      <c r="F1376" s="22"/>
    </row>
    <row r="1377" spans="1:6" ht="28" customHeight="1">
      <c r="A1377" s="19" t="s">
        <v>293</v>
      </c>
      <c r="B1377" s="25" t="s">
        <v>747</v>
      </c>
      <c r="C1377" s="24" t="s">
        <v>746</v>
      </c>
      <c r="D1377" s="23" t="s">
        <v>627</v>
      </c>
      <c r="E1377" s="20" t="s">
        <v>295</v>
      </c>
      <c r="F1377" s="22"/>
    </row>
    <row r="1378" spans="1:6" ht="28" customHeight="1">
      <c r="A1378" s="19" t="s">
        <v>293</v>
      </c>
      <c r="B1378" s="25" t="s">
        <v>745</v>
      </c>
      <c r="C1378" s="24" t="s">
        <v>744</v>
      </c>
      <c r="D1378" s="23" t="s">
        <v>627</v>
      </c>
      <c r="E1378" s="20" t="s">
        <v>295</v>
      </c>
      <c r="F1378" s="22"/>
    </row>
    <row r="1379" spans="1:6" ht="28" customHeight="1">
      <c r="A1379" s="19" t="s">
        <v>293</v>
      </c>
      <c r="B1379" s="25" t="s">
        <v>743</v>
      </c>
      <c r="C1379" s="24" t="s">
        <v>742</v>
      </c>
      <c r="D1379" s="23" t="s">
        <v>627</v>
      </c>
      <c r="E1379" s="20" t="s">
        <v>295</v>
      </c>
      <c r="F1379" s="22"/>
    </row>
    <row r="1380" spans="1:6" ht="28" customHeight="1">
      <c r="A1380" s="19" t="s">
        <v>293</v>
      </c>
      <c r="B1380" s="25" t="s">
        <v>741</v>
      </c>
      <c r="C1380" s="24" t="s">
        <v>740</v>
      </c>
      <c r="D1380" s="23" t="s">
        <v>606</v>
      </c>
      <c r="E1380" s="20" t="s">
        <v>295</v>
      </c>
      <c r="F1380" s="22"/>
    </row>
    <row r="1381" spans="1:6" ht="28" customHeight="1">
      <c r="A1381" s="19" t="s">
        <v>293</v>
      </c>
      <c r="B1381" s="25" t="s">
        <v>739</v>
      </c>
      <c r="C1381" s="24" t="s">
        <v>738</v>
      </c>
      <c r="D1381" s="23" t="s">
        <v>606</v>
      </c>
      <c r="E1381" s="20" t="s">
        <v>295</v>
      </c>
      <c r="F1381" s="22"/>
    </row>
    <row r="1382" spans="1:6" ht="28" customHeight="1">
      <c r="A1382" s="19" t="s">
        <v>293</v>
      </c>
      <c r="B1382" s="25" t="s">
        <v>737</v>
      </c>
      <c r="C1382" s="24" t="s">
        <v>736</v>
      </c>
      <c r="D1382" s="23" t="s">
        <v>606</v>
      </c>
      <c r="E1382" s="20" t="s">
        <v>295</v>
      </c>
      <c r="F1382" s="22"/>
    </row>
    <row r="1383" spans="1:6" ht="28" customHeight="1">
      <c r="A1383" s="19" t="s">
        <v>293</v>
      </c>
      <c r="B1383" s="25" t="s">
        <v>735</v>
      </c>
      <c r="C1383" s="24" t="s">
        <v>734</v>
      </c>
      <c r="D1383" s="23" t="s">
        <v>606</v>
      </c>
      <c r="E1383" s="20" t="s">
        <v>295</v>
      </c>
      <c r="F1383" s="22"/>
    </row>
    <row r="1384" spans="1:6" ht="28" customHeight="1">
      <c r="A1384" s="19" t="s">
        <v>293</v>
      </c>
      <c r="B1384" s="25" t="s">
        <v>733</v>
      </c>
      <c r="C1384" s="24" t="s">
        <v>732</v>
      </c>
      <c r="D1384" s="23" t="s">
        <v>606</v>
      </c>
      <c r="E1384" s="20" t="s">
        <v>295</v>
      </c>
      <c r="F1384" s="22"/>
    </row>
    <row r="1385" spans="1:6" ht="28" customHeight="1">
      <c r="A1385" s="19" t="s">
        <v>293</v>
      </c>
      <c r="B1385" s="25" t="s">
        <v>731</v>
      </c>
      <c r="C1385" s="24" t="s">
        <v>730</v>
      </c>
      <c r="D1385" s="23" t="s">
        <v>606</v>
      </c>
      <c r="E1385" s="20" t="s">
        <v>295</v>
      </c>
      <c r="F1385" s="22"/>
    </row>
    <row r="1386" spans="1:6" ht="28" customHeight="1">
      <c r="A1386" s="19" t="s">
        <v>293</v>
      </c>
      <c r="B1386" s="25" t="s">
        <v>729</v>
      </c>
      <c r="C1386" s="24" t="s">
        <v>728</v>
      </c>
      <c r="D1386" s="23" t="s">
        <v>606</v>
      </c>
      <c r="E1386" s="20" t="s">
        <v>295</v>
      </c>
      <c r="F1386" s="22"/>
    </row>
    <row r="1387" spans="1:6" ht="28" customHeight="1">
      <c r="A1387" s="19" t="s">
        <v>293</v>
      </c>
      <c r="B1387" s="25" t="s">
        <v>727</v>
      </c>
      <c r="C1387" s="24" t="s">
        <v>726</v>
      </c>
      <c r="D1387" s="23" t="s">
        <v>606</v>
      </c>
      <c r="E1387" s="20" t="s">
        <v>295</v>
      </c>
      <c r="F1387" s="22"/>
    </row>
    <row r="1388" spans="1:6" ht="28" customHeight="1">
      <c r="A1388" s="19" t="s">
        <v>293</v>
      </c>
      <c r="B1388" s="25" t="s">
        <v>725</v>
      </c>
      <c r="C1388" s="24" t="s">
        <v>724</v>
      </c>
      <c r="D1388" s="23" t="s">
        <v>606</v>
      </c>
      <c r="E1388" s="20" t="s">
        <v>295</v>
      </c>
      <c r="F1388" s="22"/>
    </row>
    <row r="1389" spans="1:6" ht="28" customHeight="1">
      <c r="A1389" s="19" t="s">
        <v>293</v>
      </c>
      <c r="B1389" s="25" t="s">
        <v>723</v>
      </c>
      <c r="C1389" s="24" t="s">
        <v>722</v>
      </c>
      <c r="D1389" s="23" t="s">
        <v>606</v>
      </c>
      <c r="E1389" s="20" t="s">
        <v>295</v>
      </c>
      <c r="F1389" s="22"/>
    </row>
    <row r="1390" spans="1:6">
      <c r="A1390" s="26"/>
      <c r="B1390" s="26"/>
      <c r="C1390" s="26" t="s">
        <v>721</v>
      </c>
      <c r="D1390" s="26"/>
      <c r="E1390" s="26"/>
    </row>
    <row r="1391" spans="1:6" ht="28" customHeight="1">
      <c r="A1391" s="19" t="s">
        <v>293</v>
      </c>
      <c r="B1391" s="25" t="s">
        <v>720</v>
      </c>
      <c r="C1391" s="24" t="s">
        <v>719</v>
      </c>
      <c r="D1391" s="23" t="s">
        <v>645</v>
      </c>
      <c r="E1391" s="20" t="s">
        <v>295</v>
      </c>
      <c r="F1391" s="22"/>
    </row>
    <row r="1392" spans="1:6" ht="28" customHeight="1">
      <c r="A1392" s="19" t="s">
        <v>293</v>
      </c>
      <c r="B1392" s="25" t="s">
        <v>718</v>
      </c>
      <c r="C1392" s="24" t="s">
        <v>717</v>
      </c>
      <c r="D1392" s="23" t="s">
        <v>645</v>
      </c>
      <c r="E1392" s="20" t="s">
        <v>295</v>
      </c>
      <c r="F1392" s="22"/>
    </row>
    <row r="1393" spans="1:6" ht="28" customHeight="1">
      <c r="A1393" s="19" t="s">
        <v>293</v>
      </c>
      <c r="B1393" s="25" t="s">
        <v>716</v>
      </c>
      <c r="C1393" s="24" t="s">
        <v>715</v>
      </c>
      <c r="D1393" s="23" t="s">
        <v>645</v>
      </c>
      <c r="E1393" s="20" t="s">
        <v>295</v>
      </c>
      <c r="F1393" s="22"/>
    </row>
    <row r="1394" spans="1:6" ht="28" customHeight="1">
      <c r="A1394" s="19" t="s">
        <v>293</v>
      </c>
      <c r="B1394" s="25" t="s">
        <v>714</v>
      </c>
      <c r="C1394" s="24" t="s">
        <v>713</v>
      </c>
      <c r="D1394" s="23" t="s">
        <v>645</v>
      </c>
      <c r="E1394" s="20" t="s">
        <v>295</v>
      </c>
      <c r="F1394" s="22"/>
    </row>
    <row r="1395" spans="1:6" ht="28" customHeight="1">
      <c r="A1395" s="19" t="s">
        <v>293</v>
      </c>
      <c r="B1395" s="25" t="s">
        <v>712</v>
      </c>
      <c r="C1395" s="24" t="s">
        <v>711</v>
      </c>
      <c r="D1395" s="23" t="s">
        <v>645</v>
      </c>
      <c r="E1395" s="20" t="s">
        <v>295</v>
      </c>
      <c r="F1395" s="22"/>
    </row>
    <row r="1396" spans="1:6" ht="28" customHeight="1">
      <c r="A1396" s="19" t="s">
        <v>293</v>
      </c>
      <c r="B1396" s="25" t="s">
        <v>710</v>
      </c>
      <c r="C1396" s="24" t="s">
        <v>709</v>
      </c>
      <c r="D1396" s="23" t="s">
        <v>645</v>
      </c>
      <c r="E1396" s="20" t="s">
        <v>295</v>
      </c>
      <c r="F1396" s="22"/>
    </row>
    <row r="1397" spans="1:6" ht="28" customHeight="1">
      <c r="A1397" s="19" t="s">
        <v>293</v>
      </c>
      <c r="B1397" s="25" t="s">
        <v>708</v>
      </c>
      <c r="C1397" s="24" t="s">
        <v>707</v>
      </c>
      <c r="D1397" s="23" t="s">
        <v>645</v>
      </c>
      <c r="E1397" s="20" t="s">
        <v>295</v>
      </c>
      <c r="F1397" s="22"/>
    </row>
    <row r="1398" spans="1:6" ht="28" customHeight="1">
      <c r="A1398" s="19" t="s">
        <v>293</v>
      </c>
      <c r="B1398" s="25" t="s">
        <v>706</v>
      </c>
      <c r="C1398" s="24" t="s">
        <v>705</v>
      </c>
      <c r="D1398" s="23" t="s">
        <v>645</v>
      </c>
      <c r="E1398" s="20" t="s">
        <v>295</v>
      </c>
      <c r="F1398" s="22"/>
    </row>
    <row r="1399" spans="1:6" ht="28" customHeight="1">
      <c r="A1399" s="19" t="s">
        <v>293</v>
      </c>
      <c r="B1399" s="25" t="s">
        <v>704</v>
      </c>
      <c r="C1399" s="24" t="s">
        <v>703</v>
      </c>
      <c r="D1399" s="23" t="s">
        <v>645</v>
      </c>
      <c r="E1399" s="20" t="s">
        <v>295</v>
      </c>
      <c r="F1399" s="22"/>
    </row>
    <row r="1400" spans="1:6" ht="28" customHeight="1">
      <c r="A1400" s="19" t="s">
        <v>293</v>
      </c>
      <c r="B1400" s="25" t="s">
        <v>702</v>
      </c>
      <c r="C1400" s="24" t="s">
        <v>701</v>
      </c>
      <c r="D1400" s="23" t="s">
        <v>634</v>
      </c>
      <c r="E1400" s="20" t="s">
        <v>295</v>
      </c>
      <c r="F1400" s="22"/>
    </row>
    <row r="1401" spans="1:6" ht="28" customHeight="1">
      <c r="A1401" s="19" t="s">
        <v>293</v>
      </c>
      <c r="B1401" s="25" t="s">
        <v>700</v>
      </c>
      <c r="C1401" s="24" t="s">
        <v>699</v>
      </c>
      <c r="D1401" s="23" t="s">
        <v>634</v>
      </c>
      <c r="E1401" s="20" t="s">
        <v>295</v>
      </c>
      <c r="F1401" s="22"/>
    </row>
    <row r="1402" spans="1:6" ht="28" customHeight="1">
      <c r="A1402" s="19" t="s">
        <v>293</v>
      </c>
      <c r="B1402" s="25" t="s">
        <v>698</v>
      </c>
      <c r="C1402" s="24" t="s">
        <v>697</v>
      </c>
      <c r="D1402" s="23" t="s">
        <v>634</v>
      </c>
      <c r="E1402" s="20" t="s">
        <v>295</v>
      </c>
      <c r="F1402" s="22"/>
    </row>
    <row r="1403" spans="1:6" ht="28" customHeight="1">
      <c r="A1403" s="19" t="s">
        <v>293</v>
      </c>
      <c r="B1403" s="25" t="s">
        <v>696</v>
      </c>
      <c r="C1403" s="24" t="s">
        <v>695</v>
      </c>
      <c r="D1403" s="23" t="s">
        <v>634</v>
      </c>
      <c r="E1403" s="20" t="s">
        <v>295</v>
      </c>
      <c r="F1403" s="22"/>
    </row>
    <row r="1404" spans="1:6" ht="28" customHeight="1">
      <c r="A1404" s="19" t="s">
        <v>293</v>
      </c>
      <c r="B1404" s="25" t="s">
        <v>694</v>
      </c>
      <c r="C1404" s="24" t="s">
        <v>693</v>
      </c>
      <c r="D1404" s="23" t="s">
        <v>634</v>
      </c>
      <c r="E1404" s="20" t="s">
        <v>295</v>
      </c>
      <c r="F1404" s="22"/>
    </row>
    <row r="1405" spans="1:6" ht="28" customHeight="1">
      <c r="A1405" s="19" t="s">
        <v>293</v>
      </c>
      <c r="B1405" s="25" t="s">
        <v>692</v>
      </c>
      <c r="C1405" s="24" t="s">
        <v>691</v>
      </c>
      <c r="D1405" s="23" t="s">
        <v>627</v>
      </c>
      <c r="E1405" s="20" t="s">
        <v>295</v>
      </c>
      <c r="F1405" s="22"/>
    </row>
    <row r="1406" spans="1:6" ht="28" customHeight="1">
      <c r="A1406" s="19" t="s">
        <v>293</v>
      </c>
      <c r="B1406" s="25" t="s">
        <v>690</v>
      </c>
      <c r="C1406" s="24" t="s">
        <v>689</v>
      </c>
      <c r="D1406" s="23" t="s">
        <v>627</v>
      </c>
      <c r="E1406" s="20" t="s">
        <v>295</v>
      </c>
      <c r="F1406" s="22"/>
    </row>
    <row r="1407" spans="1:6" ht="28" customHeight="1">
      <c r="A1407" s="19" t="s">
        <v>293</v>
      </c>
      <c r="B1407" s="25" t="s">
        <v>688</v>
      </c>
      <c r="C1407" s="24" t="s">
        <v>687</v>
      </c>
      <c r="D1407" s="23" t="s">
        <v>627</v>
      </c>
      <c r="E1407" s="20" t="s">
        <v>295</v>
      </c>
      <c r="F1407" s="22"/>
    </row>
    <row r="1408" spans="1:6" ht="28" customHeight="1">
      <c r="A1408" s="19" t="s">
        <v>293</v>
      </c>
      <c r="B1408" s="25" t="s">
        <v>686</v>
      </c>
      <c r="C1408" s="24" t="s">
        <v>685</v>
      </c>
      <c r="D1408" s="23" t="s">
        <v>606</v>
      </c>
      <c r="E1408" s="20" t="s">
        <v>295</v>
      </c>
      <c r="F1408" s="22"/>
    </row>
    <row r="1409" spans="1:6" ht="28" customHeight="1">
      <c r="A1409" s="19" t="s">
        <v>293</v>
      </c>
      <c r="B1409" s="25" t="s">
        <v>684</v>
      </c>
      <c r="C1409" s="24" t="s">
        <v>683</v>
      </c>
      <c r="D1409" s="23" t="s">
        <v>606</v>
      </c>
      <c r="E1409" s="20" t="s">
        <v>295</v>
      </c>
      <c r="F1409" s="22"/>
    </row>
    <row r="1410" spans="1:6" ht="28" customHeight="1">
      <c r="A1410" s="19" t="s">
        <v>293</v>
      </c>
      <c r="B1410" s="25" t="s">
        <v>682</v>
      </c>
      <c r="C1410" s="24" t="s">
        <v>681</v>
      </c>
      <c r="D1410" s="23" t="s">
        <v>606</v>
      </c>
      <c r="E1410" s="20" t="s">
        <v>295</v>
      </c>
      <c r="F1410" s="22"/>
    </row>
    <row r="1411" spans="1:6" ht="28" customHeight="1">
      <c r="A1411" s="19" t="s">
        <v>293</v>
      </c>
      <c r="B1411" s="25" t="s">
        <v>680</v>
      </c>
      <c r="C1411" s="24" t="s">
        <v>679</v>
      </c>
      <c r="D1411" s="23" t="s">
        <v>606</v>
      </c>
      <c r="E1411" s="20" t="s">
        <v>295</v>
      </c>
      <c r="F1411" s="22"/>
    </row>
    <row r="1412" spans="1:6" ht="28" customHeight="1">
      <c r="A1412" s="19" t="s">
        <v>293</v>
      </c>
      <c r="B1412" s="25" t="s">
        <v>678</v>
      </c>
      <c r="C1412" s="24" t="s">
        <v>677</v>
      </c>
      <c r="D1412" s="23" t="s">
        <v>606</v>
      </c>
      <c r="E1412" s="20" t="s">
        <v>295</v>
      </c>
      <c r="F1412" s="22"/>
    </row>
    <row r="1413" spans="1:6" ht="28" customHeight="1">
      <c r="A1413" s="19" t="s">
        <v>293</v>
      </c>
      <c r="B1413" s="25" t="s">
        <v>676</v>
      </c>
      <c r="C1413" s="24" t="s">
        <v>675</v>
      </c>
      <c r="D1413" s="23" t="s">
        <v>606</v>
      </c>
      <c r="E1413" s="20" t="s">
        <v>295</v>
      </c>
      <c r="F1413" s="22"/>
    </row>
    <row r="1414" spans="1:6" ht="28" customHeight="1">
      <c r="A1414" s="19" t="s">
        <v>293</v>
      </c>
      <c r="B1414" s="25" t="s">
        <v>674</v>
      </c>
      <c r="C1414" s="24" t="s">
        <v>673</v>
      </c>
      <c r="D1414" s="23" t="s">
        <v>606</v>
      </c>
      <c r="E1414" s="20" t="s">
        <v>295</v>
      </c>
      <c r="F1414" s="22"/>
    </row>
    <row r="1415" spans="1:6" ht="28" customHeight="1">
      <c r="A1415" s="19" t="s">
        <v>293</v>
      </c>
      <c r="B1415" s="25" t="s">
        <v>672</v>
      </c>
      <c r="C1415" s="24" t="s">
        <v>671</v>
      </c>
      <c r="D1415" s="23" t="s">
        <v>606</v>
      </c>
      <c r="E1415" s="20" t="s">
        <v>295</v>
      </c>
      <c r="F1415" s="22"/>
    </row>
    <row r="1416" spans="1:6" ht="28" customHeight="1">
      <c r="A1416" s="19" t="s">
        <v>293</v>
      </c>
      <c r="B1416" s="25" t="s">
        <v>670</v>
      </c>
      <c r="C1416" s="24" t="s">
        <v>669</v>
      </c>
      <c r="D1416" s="23" t="s">
        <v>606</v>
      </c>
      <c r="E1416" s="20" t="s">
        <v>295</v>
      </c>
      <c r="F1416" s="22"/>
    </row>
    <row r="1417" spans="1:6" ht="28" customHeight="1">
      <c r="A1417" s="19" t="s">
        <v>293</v>
      </c>
      <c r="B1417" s="25" t="s">
        <v>668</v>
      </c>
      <c r="C1417" s="24" t="s">
        <v>667</v>
      </c>
      <c r="D1417" s="23" t="s">
        <v>606</v>
      </c>
      <c r="E1417" s="20" t="s">
        <v>295</v>
      </c>
      <c r="F1417" s="22"/>
    </row>
    <row r="1418" spans="1:6" ht="14" customHeight="1">
      <c r="A1418" s="19" t="s">
        <v>293</v>
      </c>
      <c r="B1418" s="25" t="s">
        <v>666</v>
      </c>
      <c r="C1418" s="24" t="s">
        <v>665</v>
      </c>
      <c r="D1418" s="23" t="s">
        <v>603</v>
      </c>
      <c r="E1418" s="20" t="s">
        <v>295</v>
      </c>
      <c r="F1418" s="22"/>
    </row>
    <row r="1419" spans="1:6">
      <c r="A1419" s="26"/>
      <c r="B1419" s="26"/>
      <c r="C1419" s="26" t="s">
        <v>664</v>
      </c>
      <c r="D1419" s="26"/>
      <c r="E1419" s="26"/>
    </row>
    <row r="1420" spans="1:6" ht="28" customHeight="1">
      <c r="A1420" s="19" t="s">
        <v>293</v>
      </c>
      <c r="B1420" s="25" t="s">
        <v>663</v>
      </c>
      <c r="C1420" s="24" t="s">
        <v>662</v>
      </c>
      <c r="D1420" s="23" t="s">
        <v>645</v>
      </c>
      <c r="E1420" s="20" t="s">
        <v>295</v>
      </c>
      <c r="F1420" s="22"/>
    </row>
    <row r="1421" spans="1:6" ht="28" customHeight="1">
      <c r="A1421" s="19" t="s">
        <v>293</v>
      </c>
      <c r="B1421" s="25" t="s">
        <v>661</v>
      </c>
      <c r="C1421" s="24" t="s">
        <v>660</v>
      </c>
      <c r="D1421" s="23" t="s">
        <v>645</v>
      </c>
      <c r="E1421" s="20" t="s">
        <v>295</v>
      </c>
      <c r="F1421" s="22"/>
    </row>
    <row r="1422" spans="1:6" ht="28" customHeight="1">
      <c r="A1422" s="19" t="s">
        <v>293</v>
      </c>
      <c r="B1422" s="25" t="s">
        <v>659</v>
      </c>
      <c r="C1422" s="24" t="s">
        <v>658</v>
      </c>
      <c r="D1422" s="23" t="s">
        <v>645</v>
      </c>
      <c r="E1422" s="20" t="s">
        <v>295</v>
      </c>
      <c r="F1422" s="22"/>
    </row>
    <row r="1423" spans="1:6" ht="28" customHeight="1">
      <c r="A1423" s="19" t="s">
        <v>293</v>
      </c>
      <c r="B1423" s="25" t="s">
        <v>657</v>
      </c>
      <c r="C1423" s="24" t="s">
        <v>656</v>
      </c>
      <c r="D1423" s="23" t="s">
        <v>645</v>
      </c>
      <c r="E1423" s="20" t="s">
        <v>295</v>
      </c>
      <c r="F1423" s="22"/>
    </row>
    <row r="1424" spans="1:6" ht="28" customHeight="1">
      <c r="A1424" s="19" t="s">
        <v>293</v>
      </c>
      <c r="B1424" s="25" t="s">
        <v>655</v>
      </c>
      <c r="C1424" s="24" t="s">
        <v>654</v>
      </c>
      <c r="D1424" s="23" t="s">
        <v>645</v>
      </c>
      <c r="E1424" s="20" t="s">
        <v>295</v>
      </c>
      <c r="F1424" s="22"/>
    </row>
    <row r="1425" spans="1:6" ht="28" customHeight="1">
      <c r="A1425" s="19" t="s">
        <v>293</v>
      </c>
      <c r="B1425" s="25" t="s">
        <v>653</v>
      </c>
      <c r="C1425" s="24" t="s">
        <v>652</v>
      </c>
      <c r="D1425" s="23" t="s">
        <v>645</v>
      </c>
      <c r="E1425" s="20" t="s">
        <v>295</v>
      </c>
      <c r="F1425" s="22"/>
    </row>
    <row r="1426" spans="1:6" ht="28" customHeight="1">
      <c r="A1426" s="19" t="s">
        <v>293</v>
      </c>
      <c r="B1426" s="25" t="s">
        <v>651</v>
      </c>
      <c r="C1426" s="24" t="s">
        <v>650</v>
      </c>
      <c r="D1426" s="23" t="s">
        <v>645</v>
      </c>
      <c r="E1426" s="20" t="s">
        <v>295</v>
      </c>
      <c r="F1426" s="22"/>
    </row>
    <row r="1427" spans="1:6" ht="28" customHeight="1">
      <c r="A1427" s="19" t="s">
        <v>293</v>
      </c>
      <c r="B1427" s="25" t="s">
        <v>649</v>
      </c>
      <c r="C1427" s="24" t="s">
        <v>648</v>
      </c>
      <c r="D1427" s="23" t="s">
        <v>645</v>
      </c>
      <c r="E1427" s="20" t="s">
        <v>295</v>
      </c>
      <c r="F1427" s="22"/>
    </row>
    <row r="1428" spans="1:6" ht="28" customHeight="1">
      <c r="A1428" s="19" t="s">
        <v>293</v>
      </c>
      <c r="B1428" s="25" t="s">
        <v>647</v>
      </c>
      <c r="C1428" s="24" t="s">
        <v>646</v>
      </c>
      <c r="D1428" s="23" t="s">
        <v>645</v>
      </c>
      <c r="E1428" s="20" t="s">
        <v>295</v>
      </c>
      <c r="F1428" s="22"/>
    </row>
    <row r="1429" spans="1:6" ht="28" customHeight="1">
      <c r="A1429" s="19" t="s">
        <v>293</v>
      </c>
      <c r="B1429" s="25" t="s">
        <v>644</v>
      </c>
      <c r="C1429" s="24" t="s">
        <v>643</v>
      </c>
      <c r="D1429" s="23" t="s">
        <v>634</v>
      </c>
      <c r="E1429" s="20" t="s">
        <v>295</v>
      </c>
      <c r="F1429" s="22"/>
    </row>
    <row r="1430" spans="1:6" ht="28" customHeight="1">
      <c r="A1430" s="19" t="s">
        <v>293</v>
      </c>
      <c r="B1430" s="25" t="s">
        <v>642</v>
      </c>
      <c r="C1430" s="24" t="s">
        <v>641</v>
      </c>
      <c r="D1430" s="23" t="s">
        <v>634</v>
      </c>
      <c r="E1430" s="20" t="s">
        <v>295</v>
      </c>
      <c r="F1430" s="22"/>
    </row>
    <row r="1431" spans="1:6" ht="28" customHeight="1">
      <c r="A1431" s="19" t="s">
        <v>293</v>
      </c>
      <c r="B1431" s="25" t="s">
        <v>640</v>
      </c>
      <c r="C1431" s="24" t="s">
        <v>639</v>
      </c>
      <c r="D1431" s="23" t="s">
        <v>634</v>
      </c>
      <c r="E1431" s="20" t="s">
        <v>295</v>
      </c>
      <c r="F1431" s="22"/>
    </row>
    <row r="1432" spans="1:6" ht="28" customHeight="1">
      <c r="A1432" s="19" t="s">
        <v>293</v>
      </c>
      <c r="B1432" s="25" t="s">
        <v>638</v>
      </c>
      <c r="C1432" s="24" t="s">
        <v>637</v>
      </c>
      <c r="D1432" s="23" t="s">
        <v>634</v>
      </c>
      <c r="E1432" s="20" t="s">
        <v>295</v>
      </c>
      <c r="F1432" s="22"/>
    </row>
    <row r="1433" spans="1:6" ht="28" customHeight="1">
      <c r="A1433" s="19" t="s">
        <v>293</v>
      </c>
      <c r="B1433" s="25" t="s">
        <v>636</v>
      </c>
      <c r="C1433" s="24" t="s">
        <v>635</v>
      </c>
      <c r="D1433" s="23" t="s">
        <v>634</v>
      </c>
      <c r="E1433" s="20" t="s">
        <v>295</v>
      </c>
      <c r="F1433" s="22"/>
    </row>
    <row r="1434" spans="1:6" ht="28" customHeight="1">
      <c r="A1434" s="19" t="s">
        <v>293</v>
      </c>
      <c r="B1434" s="25" t="s">
        <v>633</v>
      </c>
      <c r="C1434" s="24" t="s">
        <v>632</v>
      </c>
      <c r="D1434" s="23" t="s">
        <v>627</v>
      </c>
      <c r="E1434" s="20" t="s">
        <v>295</v>
      </c>
      <c r="F1434" s="22"/>
    </row>
    <row r="1435" spans="1:6" ht="28" customHeight="1">
      <c r="A1435" s="19" t="s">
        <v>293</v>
      </c>
      <c r="B1435" s="25" t="s">
        <v>631</v>
      </c>
      <c r="C1435" s="24" t="s">
        <v>630</v>
      </c>
      <c r="D1435" s="23" t="s">
        <v>627</v>
      </c>
      <c r="E1435" s="20" t="s">
        <v>295</v>
      </c>
      <c r="F1435" s="22"/>
    </row>
    <row r="1436" spans="1:6" ht="28" customHeight="1">
      <c r="A1436" s="19" t="s">
        <v>293</v>
      </c>
      <c r="B1436" s="25" t="s">
        <v>629</v>
      </c>
      <c r="C1436" s="24" t="s">
        <v>628</v>
      </c>
      <c r="D1436" s="23" t="s">
        <v>627</v>
      </c>
      <c r="E1436" s="20" t="s">
        <v>295</v>
      </c>
      <c r="F1436" s="22"/>
    </row>
    <row r="1437" spans="1:6" ht="28" customHeight="1">
      <c r="A1437" s="19" t="s">
        <v>293</v>
      </c>
      <c r="B1437" s="25" t="s">
        <v>626</v>
      </c>
      <c r="C1437" s="24" t="s">
        <v>625</v>
      </c>
      <c r="D1437" s="23" t="s">
        <v>606</v>
      </c>
      <c r="E1437" s="20" t="s">
        <v>295</v>
      </c>
      <c r="F1437" s="22"/>
    </row>
    <row r="1438" spans="1:6" ht="28" customHeight="1">
      <c r="A1438" s="19" t="s">
        <v>293</v>
      </c>
      <c r="B1438" s="25" t="s">
        <v>624</v>
      </c>
      <c r="C1438" s="24" t="s">
        <v>623</v>
      </c>
      <c r="D1438" s="23" t="s">
        <v>606</v>
      </c>
      <c r="E1438" s="20" t="s">
        <v>295</v>
      </c>
      <c r="F1438" s="22"/>
    </row>
    <row r="1439" spans="1:6" ht="28" customHeight="1">
      <c r="A1439" s="19" t="s">
        <v>293</v>
      </c>
      <c r="B1439" s="25" t="s">
        <v>622</v>
      </c>
      <c r="C1439" s="24" t="s">
        <v>621</v>
      </c>
      <c r="D1439" s="23" t="s">
        <v>606</v>
      </c>
      <c r="E1439" s="20" t="s">
        <v>295</v>
      </c>
      <c r="F1439" s="22"/>
    </row>
    <row r="1440" spans="1:6" ht="28" customHeight="1">
      <c r="A1440" s="19" t="s">
        <v>293</v>
      </c>
      <c r="B1440" s="25" t="s">
        <v>620</v>
      </c>
      <c r="C1440" s="24" t="s">
        <v>619</v>
      </c>
      <c r="D1440" s="23" t="s">
        <v>606</v>
      </c>
      <c r="E1440" s="20" t="s">
        <v>295</v>
      </c>
      <c r="F1440" s="22"/>
    </row>
    <row r="1441" spans="1:6" ht="28" customHeight="1">
      <c r="A1441" s="19" t="s">
        <v>293</v>
      </c>
      <c r="B1441" s="25" t="s">
        <v>618</v>
      </c>
      <c r="C1441" s="24" t="s">
        <v>617</v>
      </c>
      <c r="D1441" s="23" t="s">
        <v>606</v>
      </c>
      <c r="E1441" s="20" t="s">
        <v>295</v>
      </c>
      <c r="F1441" s="22"/>
    </row>
    <row r="1442" spans="1:6" ht="28" customHeight="1">
      <c r="A1442" s="19" t="s">
        <v>293</v>
      </c>
      <c r="B1442" s="25" t="s">
        <v>616</v>
      </c>
      <c r="C1442" s="24" t="s">
        <v>615</v>
      </c>
      <c r="D1442" s="23" t="s">
        <v>606</v>
      </c>
      <c r="E1442" s="20" t="s">
        <v>295</v>
      </c>
      <c r="F1442" s="22"/>
    </row>
    <row r="1443" spans="1:6" ht="28" customHeight="1">
      <c r="A1443" s="19" t="s">
        <v>293</v>
      </c>
      <c r="B1443" s="25" t="s">
        <v>614</v>
      </c>
      <c r="C1443" s="24" t="s">
        <v>613</v>
      </c>
      <c r="D1443" s="23" t="s">
        <v>606</v>
      </c>
      <c r="E1443" s="20" t="s">
        <v>295</v>
      </c>
      <c r="F1443" s="22"/>
    </row>
    <row r="1444" spans="1:6" ht="28" customHeight="1">
      <c r="A1444" s="19" t="s">
        <v>293</v>
      </c>
      <c r="B1444" s="25" t="s">
        <v>612</v>
      </c>
      <c r="C1444" s="24" t="s">
        <v>611</v>
      </c>
      <c r="D1444" s="23" t="s">
        <v>606</v>
      </c>
      <c r="E1444" s="20" t="s">
        <v>295</v>
      </c>
      <c r="F1444" s="22"/>
    </row>
    <row r="1445" spans="1:6" ht="28" customHeight="1">
      <c r="A1445" s="19" t="s">
        <v>293</v>
      </c>
      <c r="B1445" s="25" t="s">
        <v>610</v>
      </c>
      <c r="C1445" s="24" t="s">
        <v>609</v>
      </c>
      <c r="D1445" s="23" t="s">
        <v>606</v>
      </c>
      <c r="E1445" s="20" t="s">
        <v>295</v>
      </c>
      <c r="F1445" s="22"/>
    </row>
    <row r="1446" spans="1:6" ht="28" customHeight="1">
      <c r="A1446" s="19" t="s">
        <v>293</v>
      </c>
      <c r="B1446" s="25" t="s">
        <v>608</v>
      </c>
      <c r="C1446" s="24" t="s">
        <v>607</v>
      </c>
      <c r="D1446" s="23" t="s">
        <v>606</v>
      </c>
      <c r="E1446" s="20" t="s">
        <v>295</v>
      </c>
      <c r="F1446" s="22"/>
    </row>
    <row r="1447" spans="1:6" ht="14" customHeight="1">
      <c r="A1447" s="19" t="s">
        <v>293</v>
      </c>
      <c r="B1447" s="25" t="s">
        <v>605</v>
      </c>
      <c r="C1447" s="24" t="s">
        <v>604</v>
      </c>
      <c r="D1447" s="23" t="s">
        <v>603</v>
      </c>
      <c r="E1447" s="20" t="s">
        <v>295</v>
      </c>
      <c r="F1447" s="22"/>
    </row>
    <row r="1448" spans="1:6">
      <c r="A1448" s="26"/>
      <c r="B1448" s="26"/>
      <c r="C1448" s="26" t="s">
        <v>602</v>
      </c>
      <c r="D1448" s="26"/>
      <c r="E1448" s="26"/>
    </row>
    <row r="1449" spans="1:6" ht="28" customHeight="1">
      <c r="A1449" s="19" t="s">
        <v>293</v>
      </c>
      <c r="B1449" s="25" t="s">
        <v>601</v>
      </c>
      <c r="C1449" s="24" t="s">
        <v>600</v>
      </c>
      <c r="D1449" s="23" t="s">
        <v>562</v>
      </c>
      <c r="E1449" s="20" t="s">
        <v>295</v>
      </c>
      <c r="F1449" s="22"/>
    </row>
    <row r="1450" spans="1:6" ht="28" customHeight="1">
      <c r="A1450" s="19" t="s">
        <v>293</v>
      </c>
      <c r="B1450" s="25" t="s">
        <v>599</v>
      </c>
      <c r="C1450" s="24" t="s">
        <v>598</v>
      </c>
      <c r="D1450" s="23" t="s">
        <v>562</v>
      </c>
      <c r="E1450" s="20" t="s">
        <v>295</v>
      </c>
      <c r="F1450" s="22"/>
    </row>
    <row r="1451" spans="1:6" ht="28" customHeight="1">
      <c r="A1451" s="19" t="s">
        <v>293</v>
      </c>
      <c r="B1451" s="25" t="s">
        <v>597</v>
      </c>
      <c r="C1451" s="24" t="s">
        <v>596</v>
      </c>
      <c r="D1451" s="23" t="s">
        <v>562</v>
      </c>
      <c r="E1451" s="20" t="s">
        <v>295</v>
      </c>
      <c r="F1451" s="22"/>
    </row>
    <row r="1452" spans="1:6" ht="28" customHeight="1">
      <c r="A1452" s="19" t="s">
        <v>293</v>
      </c>
      <c r="B1452" s="25" t="s">
        <v>595</v>
      </c>
      <c r="C1452" s="24" t="s">
        <v>594</v>
      </c>
      <c r="D1452" s="23" t="s">
        <v>562</v>
      </c>
      <c r="E1452" s="20" t="s">
        <v>295</v>
      </c>
      <c r="F1452" s="22"/>
    </row>
    <row r="1453" spans="1:6" ht="14" customHeight="1">
      <c r="A1453" s="19" t="s">
        <v>293</v>
      </c>
      <c r="B1453" s="25" t="s">
        <v>593</v>
      </c>
      <c r="C1453" s="24" t="s">
        <v>592</v>
      </c>
      <c r="D1453" s="23" t="s">
        <v>562</v>
      </c>
      <c r="E1453" s="20" t="s">
        <v>295</v>
      </c>
      <c r="F1453" s="22"/>
    </row>
    <row r="1454" spans="1:6" ht="28" customHeight="1">
      <c r="A1454" s="19" t="s">
        <v>293</v>
      </c>
      <c r="B1454" s="25" t="s">
        <v>591</v>
      </c>
      <c r="C1454" s="24" t="s">
        <v>590</v>
      </c>
      <c r="D1454" s="23" t="s">
        <v>562</v>
      </c>
      <c r="E1454" s="20" t="s">
        <v>295</v>
      </c>
      <c r="F1454" s="22"/>
    </row>
    <row r="1455" spans="1:6" ht="28" customHeight="1">
      <c r="A1455" s="19" t="s">
        <v>293</v>
      </c>
      <c r="B1455" s="25" t="s">
        <v>589</v>
      </c>
      <c r="C1455" s="24" t="s">
        <v>588</v>
      </c>
      <c r="D1455" s="23" t="s">
        <v>562</v>
      </c>
      <c r="E1455" s="20" t="s">
        <v>295</v>
      </c>
      <c r="F1455" s="22"/>
    </row>
    <row r="1456" spans="1:6" ht="28" customHeight="1">
      <c r="A1456" s="19" t="s">
        <v>293</v>
      </c>
      <c r="B1456" s="25" t="s">
        <v>587</v>
      </c>
      <c r="C1456" s="24" t="s">
        <v>586</v>
      </c>
      <c r="D1456" s="23" t="s">
        <v>562</v>
      </c>
      <c r="E1456" s="20" t="s">
        <v>295</v>
      </c>
      <c r="F1456" s="22"/>
    </row>
    <row r="1457" spans="1:6" ht="28" customHeight="1">
      <c r="A1457" s="19" t="s">
        <v>293</v>
      </c>
      <c r="B1457" s="25" t="s">
        <v>585</v>
      </c>
      <c r="C1457" s="24" t="s">
        <v>584</v>
      </c>
      <c r="D1457" s="23" t="s">
        <v>562</v>
      </c>
      <c r="E1457" s="20" t="s">
        <v>295</v>
      </c>
      <c r="F1457" s="22"/>
    </row>
    <row r="1458" spans="1:6" ht="14" customHeight="1">
      <c r="A1458" s="19" t="s">
        <v>293</v>
      </c>
      <c r="B1458" s="25" t="s">
        <v>583</v>
      </c>
      <c r="C1458" s="24" t="s">
        <v>582</v>
      </c>
      <c r="D1458" s="23" t="s">
        <v>559</v>
      </c>
      <c r="E1458" s="20" t="s">
        <v>295</v>
      </c>
      <c r="F1458" s="22"/>
    </row>
    <row r="1459" spans="1:6">
      <c r="A1459" s="26"/>
      <c r="B1459" s="26"/>
      <c r="C1459" s="26" t="s">
        <v>581</v>
      </c>
      <c r="D1459" s="26"/>
      <c r="E1459" s="26"/>
    </row>
    <row r="1460" spans="1:6" ht="28" customHeight="1">
      <c r="A1460" s="19" t="s">
        <v>293</v>
      </c>
      <c r="B1460" s="25" t="s">
        <v>580</v>
      </c>
      <c r="C1460" s="24" t="s">
        <v>579</v>
      </c>
      <c r="D1460" s="23" t="s">
        <v>562</v>
      </c>
      <c r="E1460" s="20" t="s">
        <v>295</v>
      </c>
      <c r="F1460" s="22"/>
    </row>
    <row r="1461" spans="1:6" ht="28" customHeight="1">
      <c r="A1461" s="19" t="s">
        <v>293</v>
      </c>
      <c r="B1461" s="25" t="s">
        <v>578</v>
      </c>
      <c r="C1461" s="24" t="s">
        <v>577</v>
      </c>
      <c r="D1461" s="23" t="s">
        <v>562</v>
      </c>
      <c r="E1461" s="20" t="s">
        <v>295</v>
      </c>
      <c r="F1461" s="22"/>
    </row>
    <row r="1462" spans="1:6" ht="28" customHeight="1">
      <c r="A1462" s="19" t="s">
        <v>293</v>
      </c>
      <c r="B1462" s="25" t="s">
        <v>576</v>
      </c>
      <c r="C1462" s="24" t="s">
        <v>575</v>
      </c>
      <c r="D1462" s="23" t="s">
        <v>562</v>
      </c>
      <c r="E1462" s="20" t="s">
        <v>295</v>
      </c>
      <c r="F1462" s="22"/>
    </row>
    <row r="1463" spans="1:6" ht="28" customHeight="1">
      <c r="A1463" s="19" t="s">
        <v>293</v>
      </c>
      <c r="B1463" s="25" t="s">
        <v>574</v>
      </c>
      <c r="C1463" s="24" t="s">
        <v>573</v>
      </c>
      <c r="D1463" s="23" t="s">
        <v>562</v>
      </c>
      <c r="E1463" s="20" t="s">
        <v>295</v>
      </c>
      <c r="F1463" s="22"/>
    </row>
    <row r="1464" spans="1:6" ht="14" customHeight="1">
      <c r="A1464" s="19" t="s">
        <v>293</v>
      </c>
      <c r="B1464" s="25" t="s">
        <v>572</v>
      </c>
      <c r="C1464" s="24" t="s">
        <v>571</v>
      </c>
      <c r="D1464" s="23" t="s">
        <v>562</v>
      </c>
      <c r="E1464" s="20" t="s">
        <v>295</v>
      </c>
      <c r="F1464" s="22"/>
    </row>
    <row r="1465" spans="1:6" ht="28" customHeight="1">
      <c r="A1465" s="19" t="s">
        <v>293</v>
      </c>
      <c r="B1465" s="25" t="s">
        <v>570</v>
      </c>
      <c r="C1465" s="24" t="s">
        <v>569</v>
      </c>
      <c r="D1465" s="23" t="s">
        <v>562</v>
      </c>
      <c r="E1465" s="20" t="s">
        <v>295</v>
      </c>
      <c r="F1465" s="22"/>
    </row>
    <row r="1466" spans="1:6" ht="28" customHeight="1">
      <c r="A1466" s="19" t="s">
        <v>293</v>
      </c>
      <c r="B1466" s="25" t="s">
        <v>568</v>
      </c>
      <c r="C1466" s="24" t="s">
        <v>567</v>
      </c>
      <c r="D1466" s="23" t="s">
        <v>562</v>
      </c>
      <c r="E1466" s="20" t="s">
        <v>295</v>
      </c>
      <c r="F1466" s="22"/>
    </row>
    <row r="1467" spans="1:6" ht="28" customHeight="1">
      <c r="A1467" s="19" t="s">
        <v>293</v>
      </c>
      <c r="B1467" s="25" t="s">
        <v>566</v>
      </c>
      <c r="C1467" s="24" t="s">
        <v>565</v>
      </c>
      <c r="D1467" s="23" t="s">
        <v>562</v>
      </c>
      <c r="E1467" s="20" t="s">
        <v>295</v>
      </c>
      <c r="F1467" s="22"/>
    </row>
    <row r="1468" spans="1:6" ht="28" customHeight="1">
      <c r="A1468" s="19" t="s">
        <v>293</v>
      </c>
      <c r="B1468" s="25" t="s">
        <v>564</v>
      </c>
      <c r="C1468" s="24" t="s">
        <v>563</v>
      </c>
      <c r="D1468" s="23" t="s">
        <v>562</v>
      </c>
      <c r="E1468" s="20" t="s">
        <v>295</v>
      </c>
      <c r="F1468" s="22"/>
    </row>
    <row r="1469" spans="1:6" ht="14" customHeight="1">
      <c r="A1469" s="19" t="s">
        <v>293</v>
      </c>
      <c r="B1469" s="25" t="s">
        <v>561</v>
      </c>
      <c r="C1469" s="24" t="s">
        <v>560</v>
      </c>
      <c r="D1469" s="23" t="s">
        <v>559</v>
      </c>
      <c r="E1469" s="20" t="s">
        <v>295</v>
      </c>
      <c r="F1469" s="22"/>
    </row>
    <row r="1470" spans="1:6">
      <c r="A1470" s="26"/>
      <c r="B1470" s="26"/>
      <c r="C1470" s="26" t="s">
        <v>558</v>
      </c>
      <c r="D1470" s="26"/>
      <c r="E1470" s="26"/>
    </row>
    <row r="1471" spans="1:6" ht="14" customHeight="1">
      <c r="A1471" s="19" t="s">
        <v>293</v>
      </c>
      <c r="B1471" s="25" t="s">
        <v>557</v>
      </c>
      <c r="C1471" s="24" t="s">
        <v>556</v>
      </c>
      <c r="D1471" s="23" t="s">
        <v>547</v>
      </c>
      <c r="E1471" s="20" t="s">
        <v>295</v>
      </c>
      <c r="F1471" s="22"/>
    </row>
    <row r="1472" spans="1:6" ht="14" customHeight="1">
      <c r="A1472" s="19" t="s">
        <v>293</v>
      </c>
      <c r="B1472" s="25" t="s">
        <v>555</v>
      </c>
      <c r="C1472" s="24" t="s">
        <v>554</v>
      </c>
      <c r="D1472" s="23" t="s">
        <v>547</v>
      </c>
      <c r="E1472" s="20" t="s">
        <v>295</v>
      </c>
      <c r="F1472" s="22"/>
    </row>
    <row r="1473" spans="1:6" ht="14" customHeight="1">
      <c r="A1473" s="19" t="s">
        <v>293</v>
      </c>
      <c r="B1473" s="25" t="s">
        <v>553</v>
      </c>
      <c r="C1473" s="24" t="s">
        <v>552</v>
      </c>
      <c r="D1473" s="23" t="s">
        <v>547</v>
      </c>
      <c r="E1473" s="20" t="s">
        <v>295</v>
      </c>
      <c r="F1473" s="22"/>
    </row>
    <row r="1474" spans="1:6" ht="14" customHeight="1">
      <c r="A1474" s="19" t="s">
        <v>293</v>
      </c>
      <c r="B1474" s="25" t="s">
        <v>551</v>
      </c>
      <c r="C1474" s="24" t="s">
        <v>550</v>
      </c>
      <c r="D1474" s="23" t="s">
        <v>547</v>
      </c>
      <c r="E1474" s="20" t="s">
        <v>295</v>
      </c>
      <c r="F1474" s="22"/>
    </row>
    <row r="1475" spans="1:6" ht="14" customHeight="1">
      <c r="A1475" s="19" t="s">
        <v>293</v>
      </c>
      <c r="B1475" s="25" t="s">
        <v>549</v>
      </c>
      <c r="C1475" s="24" t="s">
        <v>548</v>
      </c>
      <c r="D1475" s="23" t="s">
        <v>547</v>
      </c>
      <c r="E1475" s="20" t="s">
        <v>295</v>
      </c>
      <c r="F1475" s="22"/>
    </row>
    <row r="1476" spans="1:6" ht="14" customHeight="1">
      <c r="A1476" s="19" t="s">
        <v>293</v>
      </c>
      <c r="B1476" s="25" t="s">
        <v>546</v>
      </c>
      <c r="C1476" s="24" t="s">
        <v>545</v>
      </c>
      <c r="D1476" s="23" t="s">
        <v>536</v>
      </c>
      <c r="E1476" s="20" t="s">
        <v>295</v>
      </c>
      <c r="F1476" s="22"/>
    </row>
    <row r="1477" spans="1:6" ht="14" customHeight="1">
      <c r="A1477" s="19" t="s">
        <v>293</v>
      </c>
      <c r="B1477" s="25" t="s">
        <v>544</v>
      </c>
      <c r="C1477" s="24" t="s">
        <v>543</v>
      </c>
      <c r="D1477" s="23" t="s">
        <v>536</v>
      </c>
      <c r="E1477" s="20" t="s">
        <v>295</v>
      </c>
      <c r="F1477" s="22"/>
    </row>
    <row r="1478" spans="1:6" ht="14" customHeight="1">
      <c r="A1478" s="19" t="s">
        <v>293</v>
      </c>
      <c r="B1478" s="25" t="s">
        <v>542</v>
      </c>
      <c r="C1478" s="24" t="s">
        <v>541</v>
      </c>
      <c r="D1478" s="23" t="s">
        <v>536</v>
      </c>
      <c r="E1478" s="20" t="s">
        <v>295</v>
      </c>
      <c r="F1478" s="22"/>
    </row>
    <row r="1479" spans="1:6" ht="14" customHeight="1">
      <c r="A1479" s="19" t="s">
        <v>293</v>
      </c>
      <c r="B1479" s="25" t="s">
        <v>540</v>
      </c>
      <c r="C1479" s="24" t="s">
        <v>539</v>
      </c>
      <c r="D1479" s="23" t="s">
        <v>536</v>
      </c>
      <c r="E1479" s="20" t="s">
        <v>295</v>
      </c>
      <c r="F1479" s="22"/>
    </row>
    <row r="1480" spans="1:6" ht="14" customHeight="1">
      <c r="A1480" s="19" t="s">
        <v>293</v>
      </c>
      <c r="B1480" s="25" t="s">
        <v>538</v>
      </c>
      <c r="C1480" s="24" t="s">
        <v>537</v>
      </c>
      <c r="D1480" s="23" t="s">
        <v>536</v>
      </c>
      <c r="E1480" s="20" t="s">
        <v>295</v>
      </c>
      <c r="F1480" s="22"/>
    </row>
    <row r="1481" spans="1:6" ht="14" customHeight="1">
      <c r="A1481" s="19" t="s">
        <v>293</v>
      </c>
      <c r="B1481" s="25" t="s">
        <v>535</v>
      </c>
      <c r="C1481" s="24" t="s">
        <v>534</v>
      </c>
      <c r="D1481" s="23" t="s">
        <v>525</v>
      </c>
      <c r="E1481" s="20" t="s">
        <v>295</v>
      </c>
      <c r="F1481" s="22"/>
    </row>
    <row r="1482" spans="1:6" ht="14" customHeight="1">
      <c r="A1482" s="19" t="s">
        <v>293</v>
      </c>
      <c r="B1482" s="25" t="s">
        <v>533</v>
      </c>
      <c r="C1482" s="24" t="s">
        <v>532</v>
      </c>
      <c r="D1482" s="23" t="s">
        <v>525</v>
      </c>
      <c r="E1482" s="20" t="s">
        <v>295</v>
      </c>
      <c r="F1482" s="22"/>
    </row>
    <row r="1483" spans="1:6" ht="14" customHeight="1">
      <c r="A1483" s="19" t="s">
        <v>293</v>
      </c>
      <c r="B1483" s="25" t="s">
        <v>531</v>
      </c>
      <c r="C1483" s="24" t="s">
        <v>530</v>
      </c>
      <c r="D1483" s="23" t="s">
        <v>525</v>
      </c>
      <c r="E1483" s="20" t="s">
        <v>295</v>
      </c>
      <c r="F1483" s="22"/>
    </row>
    <row r="1484" spans="1:6" ht="14" customHeight="1">
      <c r="A1484" s="19" t="s">
        <v>293</v>
      </c>
      <c r="B1484" s="25" t="s">
        <v>529</v>
      </c>
      <c r="C1484" s="24" t="s">
        <v>528</v>
      </c>
      <c r="D1484" s="23" t="s">
        <v>525</v>
      </c>
      <c r="E1484" s="20" t="s">
        <v>295</v>
      </c>
      <c r="F1484" s="22"/>
    </row>
    <row r="1485" spans="1:6" ht="14" customHeight="1">
      <c r="A1485" s="19" t="s">
        <v>293</v>
      </c>
      <c r="B1485" s="25" t="s">
        <v>527</v>
      </c>
      <c r="C1485" s="24" t="s">
        <v>526</v>
      </c>
      <c r="D1485" s="23" t="s">
        <v>525</v>
      </c>
      <c r="E1485" s="20" t="s">
        <v>295</v>
      </c>
      <c r="F1485" s="22"/>
    </row>
    <row r="1486" spans="1:6" ht="14" customHeight="1">
      <c r="A1486" s="19" t="s">
        <v>293</v>
      </c>
      <c r="B1486" s="25" t="s">
        <v>524</v>
      </c>
      <c r="C1486" s="24" t="s">
        <v>523</v>
      </c>
      <c r="D1486" s="23" t="s">
        <v>514</v>
      </c>
      <c r="E1486" s="20" t="s">
        <v>295</v>
      </c>
      <c r="F1486" s="22"/>
    </row>
    <row r="1487" spans="1:6" ht="14" customHeight="1">
      <c r="A1487" s="19" t="s">
        <v>293</v>
      </c>
      <c r="B1487" s="25" t="s">
        <v>522</v>
      </c>
      <c r="C1487" s="24" t="s">
        <v>521</v>
      </c>
      <c r="D1487" s="23" t="s">
        <v>514</v>
      </c>
      <c r="E1487" s="20" t="s">
        <v>295</v>
      </c>
      <c r="F1487" s="22"/>
    </row>
    <row r="1488" spans="1:6" ht="14" customHeight="1">
      <c r="A1488" s="19" t="s">
        <v>293</v>
      </c>
      <c r="B1488" s="25" t="s">
        <v>520</v>
      </c>
      <c r="C1488" s="24" t="s">
        <v>519</v>
      </c>
      <c r="D1488" s="23" t="s">
        <v>514</v>
      </c>
      <c r="E1488" s="20" t="s">
        <v>295</v>
      </c>
      <c r="F1488" s="22"/>
    </row>
    <row r="1489" spans="1:6" ht="14" customHeight="1">
      <c r="A1489" s="19" t="s">
        <v>293</v>
      </c>
      <c r="B1489" s="25" t="s">
        <v>518</v>
      </c>
      <c r="C1489" s="24" t="s">
        <v>517</v>
      </c>
      <c r="D1489" s="23" t="s">
        <v>514</v>
      </c>
      <c r="E1489" s="20" t="s">
        <v>295</v>
      </c>
      <c r="F1489" s="22"/>
    </row>
    <row r="1490" spans="1:6" ht="14" customHeight="1">
      <c r="A1490" s="19" t="s">
        <v>293</v>
      </c>
      <c r="B1490" s="25" t="s">
        <v>516</v>
      </c>
      <c r="C1490" s="24" t="s">
        <v>515</v>
      </c>
      <c r="D1490" s="23" t="s">
        <v>514</v>
      </c>
      <c r="E1490" s="20" t="s">
        <v>295</v>
      </c>
      <c r="F1490" s="22"/>
    </row>
    <row r="1491" spans="1:6">
      <c r="A1491" s="26"/>
      <c r="B1491" s="26"/>
      <c r="C1491" s="26" t="s">
        <v>513</v>
      </c>
      <c r="D1491" s="26"/>
      <c r="E1491" s="26"/>
    </row>
    <row r="1492" spans="1:6" ht="28" customHeight="1">
      <c r="A1492" s="19" t="s">
        <v>293</v>
      </c>
      <c r="B1492" s="25" t="s">
        <v>512</v>
      </c>
      <c r="C1492" s="24" t="s">
        <v>511</v>
      </c>
      <c r="D1492" s="23" t="s">
        <v>479</v>
      </c>
      <c r="E1492" s="20" t="s">
        <v>295</v>
      </c>
      <c r="F1492" s="22"/>
    </row>
    <row r="1493" spans="1:6" ht="28" customHeight="1">
      <c r="A1493" s="19" t="s">
        <v>293</v>
      </c>
      <c r="B1493" s="25" t="s">
        <v>510</v>
      </c>
      <c r="C1493" s="24" t="s">
        <v>509</v>
      </c>
      <c r="D1493" s="23" t="s">
        <v>479</v>
      </c>
      <c r="E1493" s="20" t="s">
        <v>295</v>
      </c>
      <c r="F1493" s="22"/>
    </row>
    <row r="1494" spans="1:6" ht="28" customHeight="1">
      <c r="A1494" s="19" t="s">
        <v>293</v>
      </c>
      <c r="B1494" s="25" t="s">
        <v>508</v>
      </c>
      <c r="C1494" s="24" t="s">
        <v>507</v>
      </c>
      <c r="D1494" s="23" t="s">
        <v>479</v>
      </c>
      <c r="E1494" s="20" t="s">
        <v>295</v>
      </c>
      <c r="F1494" s="22"/>
    </row>
    <row r="1495" spans="1:6" ht="28" customHeight="1">
      <c r="A1495" s="19" t="s">
        <v>293</v>
      </c>
      <c r="B1495" s="25" t="s">
        <v>506</v>
      </c>
      <c r="C1495" s="24" t="s">
        <v>505</v>
      </c>
      <c r="D1495" s="23" t="s">
        <v>479</v>
      </c>
      <c r="E1495" s="20" t="s">
        <v>295</v>
      </c>
      <c r="F1495" s="22"/>
    </row>
    <row r="1496" spans="1:6" ht="28" customHeight="1">
      <c r="A1496" s="19" t="s">
        <v>293</v>
      </c>
      <c r="B1496" s="25" t="s">
        <v>504</v>
      </c>
      <c r="C1496" s="24" t="s">
        <v>503</v>
      </c>
      <c r="D1496" s="23" t="s">
        <v>479</v>
      </c>
      <c r="E1496" s="20" t="s">
        <v>295</v>
      </c>
      <c r="F1496" s="22"/>
    </row>
    <row r="1497" spans="1:6" ht="28" customHeight="1">
      <c r="A1497" s="19" t="s">
        <v>293</v>
      </c>
      <c r="B1497" s="25" t="s">
        <v>502</v>
      </c>
      <c r="C1497" s="24" t="s">
        <v>501</v>
      </c>
      <c r="D1497" s="23" t="s">
        <v>479</v>
      </c>
      <c r="E1497" s="20" t="s">
        <v>295</v>
      </c>
      <c r="F1497" s="22"/>
    </row>
    <row r="1498" spans="1:6" ht="28" customHeight="1">
      <c r="A1498" s="19" t="s">
        <v>293</v>
      </c>
      <c r="B1498" s="25" t="s">
        <v>500</v>
      </c>
      <c r="C1498" s="24" t="s">
        <v>499</v>
      </c>
      <c r="D1498" s="23" t="s">
        <v>479</v>
      </c>
      <c r="E1498" s="20" t="s">
        <v>295</v>
      </c>
      <c r="F1498" s="22"/>
    </row>
    <row r="1499" spans="1:6" ht="28" customHeight="1">
      <c r="A1499" s="19" t="s">
        <v>293</v>
      </c>
      <c r="B1499" s="25" t="s">
        <v>498</v>
      </c>
      <c r="C1499" s="24" t="s">
        <v>497</v>
      </c>
      <c r="D1499" s="23" t="s">
        <v>479</v>
      </c>
      <c r="E1499" s="20" t="s">
        <v>295</v>
      </c>
      <c r="F1499" s="22"/>
    </row>
    <row r="1500" spans="1:6" ht="28" customHeight="1">
      <c r="A1500" s="19" t="s">
        <v>293</v>
      </c>
      <c r="B1500" s="25" t="s">
        <v>496</v>
      </c>
      <c r="C1500" s="24" t="s">
        <v>495</v>
      </c>
      <c r="D1500" s="23" t="s">
        <v>479</v>
      </c>
      <c r="E1500" s="20" t="s">
        <v>295</v>
      </c>
      <c r="F1500" s="22"/>
    </row>
    <row r="1501" spans="1:6" ht="28" customHeight="1">
      <c r="A1501" s="19" t="s">
        <v>293</v>
      </c>
      <c r="B1501" s="25" t="s">
        <v>494</v>
      </c>
      <c r="C1501" s="24" t="s">
        <v>493</v>
      </c>
      <c r="D1501" s="23" t="s">
        <v>479</v>
      </c>
      <c r="E1501" s="20" t="s">
        <v>295</v>
      </c>
      <c r="F1501" s="22"/>
    </row>
    <row r="1502" spans="1:6" ht="28" customHeight="1">
      <c r="A1502" s="19" t="s">
        <v>293</v>
      </c>
      <c r="B1502" s="25" t="s">
        <v>492</v>
      </c>
      <c r="C1502" s="24" t="s">
        <v>491</v>
      </c>
      <c r="D1502" s="23" t="s">
        <v>479</v>
      </c>
      <c r="E1502" s="20" t="s">
        <v>295</v>
      </c>
      <c r="F1502" s="22"/>
    </row>
    <row r="1503" spans="1:6" ht="28" customHeight="1">
      <c r="A1503" s="19" t="s">
        <v>293</v>
      </c>
      <c r="B1503" s="25" t="s">
        <v>490</v>
      </c>
      <c r="C1503" s="24" t="s">
        <v>489</v>
      </c>
      <c r="D1503" s="23" t="s">
        <v>479</v>
      </c>
      <c r="E1503" s="20" t="s">
        <v>295</v>
      </c>
      <c r="F1503" s="22"/>
    </row>
    <row r="1504" spans="1:6" ht="28" customHeight="1">
      <c r="A1504" s="19" t="s">
        <v>293</v>
      </c>
      <c r="B1504" s="25" t="s">
        <v>488</v>
      </c>
      <c r="C1504" s="24" t="s">
        <v>487</v>
      </c>
      <c r="D1504" s="23" t="s">
        <v>479</v>
      </c>
      <c r="E1504" s="20" t="s">
        <v>295</v>
      </c>
      <c r="F1504" s="22"/>
    </row>
    <row r="1505" spans="1:6" ht="28" customHeight="1">
      <c r="A1505" s="19" t="s">
        <v>293</v>
      </c>
      <c r="B1505" s="25" t="s">
        <v>486</v>
      </c>
      <c r="C1505" s="24" t="s">
        <v>485</v>
      </c>
      <c r="D1505" s="23" t="s">
        <v>479</v>
      </c>
      <c r="E1505" s="20" t="s">
        <v>295</v>
      </c>
      <c r="F1505" s="22"/>
    </row>
    <row r="1506" spans="1:6" ht="28" customHeight="1">
      <c r="A1506" s="19" t="s">
        <v>293</v>
      </c>
      <c r="B1506" s="25" t="s">
        <v>484</v>
      </c>
      <c r="C1506" s="24" t="s">
        <v>483</v>
      </c>
      <c r="D1506" s="23" t="s">
        <v>482</v>
      </c>
      <c r="E1506" s="20" t="s">
        <v>295</v>
      </c>
      <c r="F1506" s="22"/>
    </row>
    <row r="1507" spans="1:6" ht="28" customHeight="1">
      <c r="A1507" s="19" t="s">
        <v>293</v>
      </c>
      <c r="B1507" s="25" t="s">
        <v>481</v>
      </c>
      <c r="C1507" s="24" t="s">
        <v>480</v>
      </c>
      <c r="D1507" s="23" t="s">
        <v>479</v>
      </c>
      <c r="E1507" s="20" t="s">
        <v>295</v>
      </c>
      <c r="F1507" s="22"/>
    </row>
    <row r="1508" spans="1:6" ht="28" customHeight="1">
      <c r="A1508" s="19" t="s">
        <v>293</v>
      </c>
      <c r="B1508" s="25" t="s">
        <v>478</v>
      </c>
      <c r="C1508" s="24" t="s">
        <v>477</v>
      </c>
      <c r="D1508" s="23" t="s">
        <v>445</v>
      </c>
      <c r="E1508" s="20" t="s">
        <v>295</v>
      </c>
      <c r="F1508" s="22"/>
    </row>
    <row r="1509" spans="1:6" ht="28" customHeight="1">
      <c r="A1509" s="19" t="s">
        <v>293</v>
      </c>
      <c r="B1509" s="25" t="s">
        <v>476</v>
      </c>
      <c r="C1509" s="24" t="s">
        <v>475</v>
      </c>
      <c r="D1509" s="23" t="s">
        <v>445</v>
      </c>
      <c r="E1509" s="20" t="s">
        <v>295</v>
      </c>
      <c r="F1509" s="22"/>
    </row>
    <row r="1510" spans="1:6" ht="28" customHeight="1">
      <c r="A1510" s="19" t="s">
        <v>293</v>
      </c>
      <c r="B1510" s="25" t="s">
        <v>474</v>
      </c>
      <c r="C1510" s="24" t="s">
        <v>473</v>
      </c>
      <c r="D1510" s="23" t="s">
        <v>445</v>
      </c>
      <c r="E1510" s="20" t="s">
        <v>295</v>
      </c>
      <c r="F1510" s="22"/>
    </row>
    <row r="1511" spans="1:6" ht="28" customHeight="1">
      <c r="A1511" s="19" t="s">
        <v>293</v>
      </c>
      <c r="B1511" s="25" t="s">
        <v>472</v>
      </c>
      <c r="C1511" s="24" t="s">
        <v>471</v>
      </c>
      <c r="D1511" s="23" t="s">
        <v>445</v>
      </c>
      <c r="E1511" s="20" t="s">
        <v>295</v>
      </c>
      <c r="F1511" s="22"/>
    </row>
    <row r="1512" spans="1:6" ht="28" customHeight="1">
      <c r="A1512" s="19" t="s">
        <v>293</v>
      </c>
      <c r="B1512" s="25" t="s">
        <v>470</v>
      </c>
      <c r="C1512" s="24" t="s">
        <v>469</v>
      </c>
      <c r="D1512" s="23" t="s">
        <v>445</v>
      </c>
      <c r="E1512" s="20" t="s">
        <v>295</v>
      </c>
      <c r="F1512" s="22"/>
    </row>
    <row r="1513" spans="1:6" ht="28" customHeight="1">
      <c r="A1513" s="19" t="s">
        <v>293</v>
      </c>
      <c r="B1513" s="25" t="s">
        <v>468</v>
      </c>
      <c r="C1513" s="24" t="s">
        <v>467</v>
      </c>
      <c r="D1513" s="23" t="s">
        <v>445</v>
      </c>
      <c r="E1513" s="20" t="s">
        <v>295</v>
      </c>
      <c r="F1513" s="22"/>
    </row>
    <row r="1514" spans="1:6" ht="28" customHeight="1">
      <c r="A1514" s="19" t="s">
        <v>293</v>
      </c>
      <c r="B1514" s="25" t="s">
        <v>466</v>
      </c>
      <c r="C1514" s="24" t="s">
        <v>465</v>
      </c>
      <c r="D1514" s="23" t="s">
        <v>445</v>
      </c>
      <c r="E1514" s="20" t="s">
        <v>295</v>
      </c>
      <c r="F1514" s="22"/>
    </row>
    <row r="1515" spans="1:6" ht="28" customHeight="1">
      <c r="A1515" s="19" t="s">
        <v>293</v>
      </c>
      <c r="B1515" s="25" t="s">
        <v>464</v>
      </c>
      <c r="C1515" s="24" t="s">
        <v>463</v>
      </c>
      <c r="D1515" s="23" t="s">
        <v>445</v>
      </c>
      <c r="E1515" s="20" t="s">
        <v>295</v>
      </c>
      <c r="F1515" s="22"/>
    </row>
    <row r="1516" spans="1:6" ht="28" customHeight="1">
      <c r="A1516" s="19" t="s">
        <v>293</v>
      </c>
      <c r="B1516" s="25" t="s">
        <v>462</v>
      </c>
      <c r="C1516" s="24" t="s">
        <v>461</v>
      </c>
      <c r="D1516" s="23" t="s">
        <v>445</v>
      </c>
      <c r="E1516" s="20" t="s">
        <v>295</v>
      </c>
      <c r="F1516" s="22"/>
    </row>
    <row r="1517" spans="1:6" ht="28" customHeight="1">
      <c r="A1517" s="19" t="s">
        <v>293</v>
      </c>
      <c r="B1517" s="25" t="s">
        <v>460</v>
      </c>
      <c r="C1517" s="24" t="s">
        <v>459</v>
      </c>
      <c r="D1517" s="23" t="s">
        <v>445</v>
      </c>
      <c r="E1517" s="20" t="s">
        <v>295</v>
      </c>
      <c r="F1517" s="22"/>
    </row>
    <row r="1518" spans="1:6" ht="28" customHeight="1">
      <c r="A1518" s="19" t="s">
        <v>293</v>
      </c>
      <c r="B1518" s="25" t="s">
        <v>458</v>
      </c>
      <c r="C1518" s="24" t="s">
        <v>457</v>
      </c>
      <c r="D1518" s="23" t="s">
        <v>445</v>
      </c>
      <c r="E1518" s="20" t="s">
        <v>295</v>
      </c>
      <c r="F1518" s="22"/>
    </row>
    <row r="1519" spans="1:6" ht="28" customHeight="1">
      <c r="A1519" s="19" t="s">
        <v>293</v>
      </c>
      <c r="B1519" s="25" t="s">
        <v>456</v>
      </c>
      <c r="C1519" s="24" t="s">
        <v>455</v>
      </c>
      <c r="D1519" s="23" t="s">
        <v>445</v>
      </c>
      <c r="E1519" s="20" t="s">
        <v>295</v>
      </c>
      <c r="F1519" s="22"/>
    </row>
    <row r="1520" spans="1:6" ht="28" customHeight="1">
      <c r="A1520" s="19" t="s">
        <v>293</v>
      </c>
      <c r="B1520" s="25" t="s">
        <v>454</v>
      </c>
      <c r="C1520" s="24" t="s">
        <v>453</v>
      </c>
      <c r="D1520" s="23" t="s">
        <v>445</v>
      </c>
      <c r="E1520" s="20" t="s">
        <v>295</v>
      </c>
      <c r="F1520" s="22"/>
    </row>
    <row r="1521" spans="1:6" ht="28" customHeight="1">
      <c r="A1521" s="19" t="s">
        <v>293</v>
      </c>
      <c r="B1521" s="25" t="s">
        <v>452</v>
      </c>
      <c r="C1521" s="24" t="s">
        <v>451</v>
      </c>
      <c r="D1521" s="23" t="s">
        <v>445</v>
      </c>
      <c r="E1521" s="20" t="s">
        <v>295</v>
      </c>
      <c r="F1521" s="22"/>
    </row>
    <row r="1522" spans="1:6" ht="28" customHeight="1">
      <c r="A1522" s="19" t="s">
        <v>293</v>
      </c>
      <c r="B1522" s="25" t="s">
        <v>450</v>
      </c>
      <c r="C1522" s="24" t="s">
        <v>449</v>
      </c>
      <c r="D1522" s="23" t="s">
        <v>448</v>
      </c>
      <c r="E1522" s="20" t="s">
        <v>295</v>
      </c>
      <c r="F1522" s="22"/>
    </row>
    <row r="1523" spans="1:6" ht="28" customHeight="1">
      <c r="A1523" s="19" t="s">
        <v>293</v>
      </c>
      <c r="B1523" s="25" t="s">
        <v>447</v>
      </c>
      <c r="C1523" s="24" t="s">
        <v>446</v>
      </c>
      <c r="D1523" s="23" t="s">
        <v>445</v>
      </c>
      <c r="E1523" s="20" t="s">
        <v>295</v>
      </c>
      <c r="F1523" s="22"/>
    </row>
    <row r="1524" spans="1:6">
      <c r="A1524" s="26"/>
      <c r="B1524" s="26"/>
      <c r="C1524" s="26" t="s">
        <v>444</v>
      </c>
      <c r="D1524" s="26"/>
      <c r="E1524" s="26"/>
    </row>
    <row r="1525" spans="1:6" ht="14" customHeight="1">
      <c r="A1525" s="19" t="s">
        <v>293</v>
      </c>
      <c r="B1525" s="25" t="s">
        <v>443</v>
      </c>
      <c r="C1525" s="24" t="s">
        <v>442</v>
      </c>
      <c r="D1525" s="23" t="s">
        <v>439</v>
      </c>
      <c r="E1525" s="20" t="s">
        <v>300</v>
      </c>
      <c r="F1525" s="22"/>
    </row>
    <row r="1526" spans="1:6" ht="14" customHeight="1">
      <c r="A1526" s="19" t="s">
        <v>293</v>
      </c>
      <c r="B1526" s="25" t="s">
        <v>441</v>
      </c>
      <c r="C1526" s="24" t="s">
        <v>440</v>
      </c>
      <c r="D1526" s="23" t="s">
        <v>439</v>
      </c>
      <c r="E1526" s="20" t="s">
        <v>300</v>
      </c>
      <c r="F1526" s="22"/>
    </row>
    <row r="1527" spans="1:6">
      <c r="A1527" s="26"/>
      <c r="B1527" s="26"/>
      <c r="C1527" s="26" t="s">
        <v>438</v>
      </c>
      <c r="D1527" s="26"/>
      <c r="E1527" s="26"/>
    </row>
    <row r="1528" spans="1:6" ht="14" customHeight="1">
      <c r="A1528" s="19" t="s">
        <v>293</v>
      </c>
      <c r="B1528" s="25" t="s">
        <v>437</v>
      </c>
      <c r="C1528" s="24" t="s">
        <v>436</v>
      </c>
      <c r="D1528" s="23" t="s">
        <v>415</v>
      </c>
      <c r="E1528" s="20" t="s">
        <v>295</v>
      </c>
      <c r="F1528" s="22"/>
    </row>
    <row r="1529" spans="1:6" ht="14" customHeight="1">
      <c r="A1529" s="19" t="s">
        <v>293</v>
      </c>
      <c r="B1529" s="25" t="s">
        <v>435</v>
      </c>
      <c r="C1529" s="24" t="s">
        <v>434</v>
      </c>
      <c r="D1529" s="23" t="s">
        <v>415</v>
      </c>
      <c r="E1529" s="20" t="s">
        <v>295</v>
      </c>
      <c r="F1529" s="22"/>
    </row>
    <row r="1530" spans="1:6" ht="14" customHeight="1">
      <c r="A1530" s="19" t="s">
        <v>293</v>
      </c>
      <c r="B1530" s="25" t="s">
        <v>433</v>
      </c>
      <c r="C1530" s="24" t="s">
        <v>432</v>
      </c>
      <c r="D1530" s="23" t="s">
        <v>415</v>
      </c>
      <c r="E1530" s="20" t="s">
        <v>295</v>
      </c>
      <c r="F1530" s="22"/>
    </row>
    <row r="1531" spans="1:6" ht="14" customHeight="1">
      <c r="A1531" s="19" t="s">
        <v>293</v>
      </c>
      <c r="B1531" s="25" t="s">
        <v>431</v>
      </c>
      <c r="C1531" s="24" t="s">
        <v>430</v>
      </c>
      <c r="D1531" s="23" t="s">
        <v>415</v>
      </c>
      <c r="E1531" s="20" t="s">
        <v>295</v>
      </c>
      <c r="F1531" s="22"/>
    </row>
    <row r="1532" spans="1:6" ht="14" customHeight="1">
      <c r="A1532" s="19" t="s">
        <v>293</v>
      </c>
      <c r="B1532" s="25" t="s">
        <v>429</v>
      </c>
      <c r="C1532" s="24" t="s">
        <v>428</v>
      </c>
      <c r="D1532" s="23" t="s">
        <v>415</v>
      </c>
      <c r="E1532" s="20" t="s">
        <v>295</v>
      </c>
      <c r="F1532" s="22"/>
    </row>
    <row r="1533" spans="1:6" ht="14" customHeight="1">
      <c r="A1533" s="19" t="s">
        <v>293</v>
      </c>
      <c r="B1533" s="25" t="s">
        <v>427</v>
      </c>
      <c r="C1533" s="24" t="s">
        <v>426</v>
      </c>
      <c r="D1533" s="23" t="s">
        <v>415</v>
      </c>
      <c r="E1533" s="20" t="s">
        <v>295</v>
      </c>
      <c r="F1533" s="22"/>
    </row>
    <row r="1534" spans="1:6" ht="14" customHeight="1">
      <c r="A1534" s="19" t="s">
        <v>293</v>
      </c>
      <c r="B1534" s="25" t="s">
        <v>425</v>
      </c>
      <c r="C1534" s="24" t="s">
        <v>424</v>
      </c>
      <c r="D1534" s="23" t="s">
        <v>415</v>
      </c>
      <c r="E1534" s="20" t="s">
        <v>295</v>
      </c>
      <c r="F1534" s="22"/>
    </row>
    <row r="1535" spans="1:6" ht="14" customHeight="1">
      <c r="A1535" s="19" t="s">
        <v>293</v>
      </c>
      <c r="B1535" s="25" t="s">
        <v>423</v>
      </c>
      <c r="C1535" s="24" t="s">
        <v>422</v>
      </c>
      <c r="D1535" s="23" t="s">
        <v>415</v>
      </c>
      <c r="E1535" s="20" t="s">
        <v>295</v>
      </c>
      <c r="F1535" s="22"/>
    </row>
    <row r="1536" spans="1:6" ht="14" customHeight="1">
      <c r="A1536" s="19" t="s">
        <v>293</v>
      </c>
      <c r="B1536" s="25" t="s">
        <v>421</v>
      </c>
      <c r="C1536" s="24" t="s">
        <v>420</v>
      </c>
      <c r="D1536" s="23" t="s">
        <v>415</v>
      </c>
      <c r="E1536" s="20" t="s">
        <v>295</v>
      </c>
      <c r="F1536" s="22"/>
    </row>
    <row r="1537" spans="1:6" ht="14" customHeight="1">
      <c r="A1537" s="19" t="s">
        <v>293</v>
      </c>
      <c r="B1537" s="25" t="s">
        <v>419</v>
      </c>
      <c r="C1537" s="24" t="s">
        <v>418</v>
      </c>
      <c r="D1537" s="23" t="s">
        <v>415</v>
      </c>
      <c r="E1537" s="20" t="s">
        <v>295</v>
      </c>
      <c r="F1537" s="22"/>
    </row>
    <row r="1538" spans="1:6" ht="14" customHeight="1">
      <c r="A1538" s="19" t="s">
        <v>293</v>
      </c>
      <c r="B1538" s="25" t="s">
        <v>417</v>
      </c>
      <c r="C1538" s="24" t="s">
        <v>416</v>
      </c>
      <c r="D1538" s="23" t="s">
        <v>415</v>
      </c>
      <c r="E1538" s="20" t="s">
        <v>295</v>
      </c>
      <c r="F1538" s="22"/>
    </row>
    <row r="1539" spans="1:6">
      <c r="A1539" s="27"/>
      <c r="B1539" s="27"/>
      <c r="C1539" s="27" t="s">
        <v>414</v>
      </c>
      <c r="D1539" s="27"/>
      <c r="E1539" s="27"/>
    </row>
    <row r="1540" spans="1:6">
      <c r="A1540" s="26"/>
      <c r="B1540" s="26"/>
      <c r="C1540" s="26" t="s">
        <v>413</v>
      </c>
      <c r="D1540" s="26"/>
      <c r="E1540" s="26"/>
    </row>
    <row r="1541" spans="1:6" ht="14" customHeight="1">
      <c r="A1541" s="19" t="s">
        <v>293</v>
      </c>
      <c r="B1541" s="25" t="s">
        <v>214</v>
      </c>
      <c r="C1541" s="24" t="s">
        <v>412</v>
      </c>
      <c r="D1541" s="23" t="s">
        <v>411</v>
      </c>
      <c r="E1541" s="20" t="s">
        <v>332</v>
      </c>
      <c r="F1541" s="22"/>
    </row>
    <row r="1542" spans="1:6" ht="28" customHeight="1">
      <c r="A1542" s="19" t="s">
        <v>293</v>
      </c>
      <c r="B1542" s="25" t="s">
        <v>410</v>
      </c>
      <c r="C1542" s="24" t="s">
        <v>409</v>
      </c>
      <c r="D1542" s="23" t="s">
        <v>406</v>
      </c>
      <c r="E1542" s="20" t="s">
        <v>332</v>
      </c>
      <c r="F1542" s="22"/>
    </row>
    <row r="1543" spans="1:6" ht="28" customHeight="1">
      <c r="A1543" s="19" t="s">
        <v>293</v>
      </c>
      <c r="B1543" s="25" t="s">
        <v>408</v>
      </c>
      <c r="C1543" s="24" t="s">
        <v>407</v>
      </c>
      <c r="D1543" s="23" t="s">
        <v>406</v>
      </c>
      <c r="E1543" s="20" t="s">
        <v>332</v>
      </c>
      <c r="F1543" s="22"/>
    </row>
    <row r="1544" spans="1:6">
      <c r="A1544" s="26"/>
      <c r="B1544" s="26"/>
      <c r="C1544" s="26" t="s">
        <v>405</v>
      </c>
      <c r="D1544" s="26"/>
      <c r="E1544" s="26"/>
    </row>
    <row r="1545" spans="1:6" ht="14" customHeight="1">
      <c r="A1545" s="19" t="s">
        <v>293</v>
      </c>
      <c r="B1545" s="25" t="s">
        <v>404</v>
      </c>
      <c r="C1545" s="24" t="s">
        <v>403</v>
      </c>
      <c r="D1545" s="23" t="s">
        <v>402</v>
      </c>
      <c r="E1545" s="20" t="s">
        <v>300</v>
      </c>
      <c r="F1545" s="22"/>
    </row>
    <row r="1546" spans="1:6" ht="14" customHeight="1">
      <c r="A1546" s="19" t="s">
        <v>293</v>
      </c>
      <c r="B1546" s="25" t="s">
        <v>401</v>
      </c>
      <c r="C1546" s="24" t="s">
        <v>400</v>
      </c>
      <c r="D1546" s="23" t="s">
        <v>399</v>
      </c>
      <c r="E1546" s="20" t="s">
        <v>300</v>
      </c>
      <c r="F1546" s="22"/>
    </row>
    <row r="1547" spans="1:6">
      <c r="A1547" s="26"/>
      <c r="B1547" s="26"/>
      <c r="C1547" s="26" t="s">
        <v>398</v>
      </c>
      <c r="D1547" s="26"/>
      <c r="E1547" s="26"/>
    </row>
    <row r="1548" spans="1:6" ht="14" customHeight="1">
      <c r="A1548" s="19" t="s">
        <v>293</v>
      </c>
      <c r="B1548" s="25" t="s">
        <v>397</v>
      </c>
      <c r="C1548" s="24" t="s">
        <v>396</v>
      </c>
      <c r="D1548" s="23" t="s">
        <v>395</v>
      </c>
      <c r="E1548" s="20" t="s">
        <v>295</v>
      </c>
      <c r="F1548" s="22"/>
    </row>
    <row r="1549" spans="1:6">
      <c r="A1549" s="26"/>
      <c r="B1549" s="26"/>
      <c r="C1549" s="26" t="s">
        <v>394</v>
      </c>
      <c r="D1549" s="26"/>
      <c r="E1549" s="26"/>
    </row>
    <row r="1550" spans="1:6" ht="14" customHeight="1">
      <c r="A1550" s="19" t="s">
        <v>293</v>
      </c>
      <c r="B1550" s="25" t="s">
        <v>393</v>
      </c>
      <c r="C1550" s="24" t="s">
        <v>391</v>
      </c>
      <c r="D1550" s="23" t="s">
        <v>381</v>
      </c>
      <c r="E1550" s="20" t="s">
        <v>295</v>
      </c>
      <c r="F1550" s="22"/>
    </row>
    <row r="1551" spans="1:6" ht="14" customHeight="1">
      <c r="A1551" s="19" t="s">
        <v>293</v>
      </c>
      <c r="B1551" s="25" t="s">
        <v>392</v>
      </c>
      <c r="C1551" s="24" t="s">
        <v>391</v>
      </c>
      <c r="D1551" s="23" t="s">
        <v>381</v>
      </c>
      <c r="E1551" s="20" t="s">
        <v>295</v>
      </c>
      <c r="F1551" s="22"/>
    </row>
    <row r="1552" spans="1:6">
      <c r="A1552" s="26"/>
      <c r="B1552" s="26"/>
      <c r="C1552" s="26" t="s">
        <v>390</v>
      </c>
      <c r="D1552" s="26"/>
      <c r="E1552" s="26"/>
    </row>
    <row r="1553" spans="1:6" ht="14" customHeight="1">
      <c r="A1553" s="19" t="s">
        <v>293</v>
      </c>
      <c r="B1553" s="25" t="s">
        <v>389</v>
      </c>
      <c r="C1553" s="24" t="s">
        <v>386</v>
      </c>
      <c r="D1553" s="23" t="s">
        <v>352</v>
      </c>
      <c r="E1553" s="20" t="s">
        <v>295</v>
      </c>
      <c r="F1553" s="22"/>
    </row>
    <row r="1554" spans="1:6" ht="14" customHeight="1">
      <c r="A1554" s="19" t="s">
        <v>293</v>
      </c>
      <c r="B1554" s="25" t="s">
        <v>388</v>
      </c>
      <c r="C1554" s="24" t="s">
        <v>353</v>
      </c>
      <c r="D1554" s="23" t="s">
        <v>352</v>
      </c>
      <c r="E1554" s="20" t="s">
        <v>295</v>
      </c>
      <c r="F1554" s="22"/>
    </row>
    <row r="1555" spans="1:6" ht="14" customHeight="1">
      <c r="A1555" s="19" t="s">
        <v>293</v>
      </c>
      <c r="B1555" s="25" t="s">
        <v>387</v>
      </c>
      <c r="C1555" s="24" t="s">
        <v>386</v>
      </c>
      <c r="D1555" s="23" t="s">
        <v>352</v>
      </c>
      <c r="E1555" s="20" t="s">
        <v>295</v>
      </c>
      <c r="F1555" s="22"/>
    </row>
    <row r="1556" spans="1:6">
      <c r="A1556" s="26"/>
      <c r="B1556" s="26"/>
      <c r="C1556" s="26" t="s">
        <v>385</v>
      </c>
      <c r="D1556" s="26"/>
      <c r="E1556" s="26"/>
    </row>
    <row r="1557" spans="1:6" ht="14" customHeight="1">
      <c r="A1557" s="19" t="s">
        <v>293</v>
      </c>
      <c r="B1557" s="25" t="s">
        <v>384</v>
      </c>
      <c r="C1557" s="24" t="s">
        <v>382</v>
      </c>
      <c r="D1557" s="23" t="s">
        <v>381</v>
      </c>
      <c r="E1557" s="20" t="s">
        <v>295</v>
      </c>
      <c r="F1557" s="22"/>
    </row>
    <row r="1558" spans="1:6" ht="14" customHeight="1">
      <c r="A1558" s="19" t="s">
        <v>293</v>
      </c>
      <c r="B1558" s="25" t="s">
        <v>383</v>
      </c>
      <c r="C1558" s="24" t="s">
        <v>382</v>
      </c>
      <c r="D1558" s="23" t="s">
        <v>381</v>
      </c>
      <c r="E1558" s="20" t="s">
        <v>295</v>
      </c>
      <c r="F1558" s="22"/>
    </row>
    <row r="1559" spans="1:6">
      <c r="A1559" s="26"/>
      <c r="B1559" s="26"/>
      <c r="C1559" s="26" t="s">
        <v>380</v>
      </c>
      <c r="D1559" s="26"/>
      <c r="E1559" s="26"/>
    </row>
    <row r="1560" spans="1:6" ht="14" customHeight="1">
      <c r="A1560" s="19" t="s">
        <v>293</v>
      </c>
      <c r="B1560" s="25" t="s">
        <v>213</v>
      </c>
      <c r="C1560" s="24" t="s">
        <v>379</v>
      </c>
      <c r="D1560" s="23" t="s">
        <v>378</v>
      </c>
      <c r="E1560" s="20" t="s">
        <v>295</v>
      </c>
      <c r="F1560" s="22"/>
    </row>
    <row r="1561" spans="1:6" ht="14" customHeight="1">
      <c r="A1561" s="19" t="s">
        <v>293</v>
      </c>
      <c r="B1561" s="25" t="s">
        <v>377</v>
      </c>
      <c r="C1561" s="24" t="s">
        <v>376</v>
      </c>
      <c r="D1561" s="23" t="s">
        <v>375</v>
      </c>
      <c r="E1561" s="20" t="s">
        <v>295</v>
      </c>
      <c r="F1561" s="22"/>
    </row>
    <row r="1562" spans="1:6">
      <c r="A1562" s="26"/>
      <c r="B1562" s="26"/>
      <c r="C1562" s="26" t="s">
        <v>374</v>
      </c>
      <c r="D1562" s="26"/>
      <c r="E1562" s="26"/>
    </row>
    <row r="1563" spans="1:6" ht="14" customHeight="1">
      <c r="A1563" s="19" t="s">
        <v>293</v>
      </c>
      <c r="B1563" s="25" t="s">
        <v>373</v>
      </c>
      <c r="C1563" s="24" t="s">
        <v>372</v>
      </c>
      <c r="D1563" s="23" t="s">
        <v>371</v>
      </c>
      <c r="E1563" s="20" t="s">
        <v>295</v>
      </c>
      <c r="F1563" s="22"/>
    </row>
    <row r="1564" spans="1:6" ht="14" customHeight="1">
      <c r="A1564" s="19" t="s">
        <v>293</v>
      </c>
      <c r="B1564" s="25" t="s">
        <v>370</v>
      </c>
      <c r="C1564" s="24" t="s">
        <v>369</v>
      </c>
      <c r="D1564" s="23" t="s">
        <v>368</v>
      </c>
      <c r="E1564" s="20" t="s">
        <v>295</v>
      </c>
      <c r="F1564" s="22"/>
    </row>
    <row r="1565" spans="1:6">
      <c r="A1565" s="26"/>
      <c r="B1565" s="26"/>
      <c r="C1565" s="26" t="s">
        <v>367</v>
      </c>
      <c r="D1565" s="26"/>
      <c r="E1565" s="26"/>
    </row>
    <row r="1566" spans="1:6" ht="14" customHeight="1">
      <c r="A1566" s="19" t="s">
        <v>293</v>
      </c>
      <c r="B1566" s="25" t="s">
        <v>366</v>
      </c>
      <c r="C1566" s="24" t="s">
        <v>365</v>
      </c>
      <c r="D1566" s="23" t="s">
        <v>359</v>
      </c>
      <c r="E1566" s="20" t="s">
        <v>295</v>
      </c>
      <c r="F1566" s="22"/>
    </row>
    <row r="1567" spans="1:6">
      <c r="A1567" s="26"/>
      <c r="B1567" s="26"/>
      <c r="C1567" s="26" t="s">
        <v>364</v>
      </c>
      <c r="D1567" s="26"/>
      <c r="E1567" s="26"/>
    </row>
    <row r="1568" spans="1:6" ht="14" customHeight="1">
      <c r="A1568" s="19" t="s">
        <v>293</v>
      </c>
      <c r="B1568" s="25" t="s">
        <v>212</v>
      </c>
      <c r="C1568" s="24" t="s">
        <v>363</v>
      </c>
      <c r="D1568" s="23" t="s">
        <v>355</v>
      </c>
      <c r="E1568" s="20" t="s">
        <v>295</v>
      </c>
      <c r="F1568" s="22"/>
    </row>
    <row r="1569" spans="1:6">
      <c r="A1569" s="26"/>
      <c r="B1569" s="26"/>
      <c r="C1569" s="26" t="s">
        <v>362</v>
      </c>
      <c r="D1569" s="26"/>
      <c r="E1569" s="26"/>
    </row>
    <row r="1570" spans="1:6" ht="14" customHeight="1">
      <c r="A1570" s="19" t="s">
        <v>293</v>
      </c>
      <c r="B1570" s="25" t="s">
        <v>361</v>
      </c>
      <c r="C1570" s="24" t="s">
        <v>360</v>
      </c>
      <c r="D1570" s="23" t="s">
        <v>359</v>
      </c>
      <c r="E1570" s="20" t="s">
        <v>295</v>
      </c>
      <c r="F1570" s="22"/>
    </row>
    <row r="1571" spans="1:6">
      <c r="A1571" s="26"/>
      <c r="B1571" s="26"/>
      <c r="C1571" s="26" t="s">
        <v>358</v>
      </c>
      <c r="D1571" s="26"/>
      <c r="E1571" s="26"/>
    </row>
    <row r="1572" spans="1:6" ht="14" customHeight="1">
      <c r="A1572" s="19" t="s">
        <v>293</v>
      </c>
      <c r="B1572" s="25" t="s">
        <v>357</v>
      </c>
      <c r="C1572" s="24" t="s">
        <v>356</v>
      </c>
      <c r="D1572" s="23" t="s">
        <v>355</v>
      </c>
      <c r="E1572" s="20" t="s">
        <v>295</v>
      </c>
      <c r="F1572" s="22"/>
    </row>
    <row r="1573" spans="1:6" ht="14" customHeight="1">
      <c r="A1573" s="19" t="s">
        <v>293</v>
      </c>
      <c r="B1573" s="25" t="s">
        <v>354</v>
      </c>
      <c r="C1573" s="24" t="s">
        <v>353</v>
      </c>
      <c r="D1573" s="23" t="s">
        <v>352</v>
      </c>
      <c r="E1573" s="20" t="s">
        <v>295</v>
      </c>
      <c r="F1573" s="22"/>
    </row>
    <row r="1574" spans="1:6">
      <c r="A1574" s="27"/>
      <c r="B1574" s="27"/>
      <c r="C1574" s="27" t="s">
        <v>351</v>
      </c>
      <c r="D1574" s="27"/>
      <c r="E1574" s="27"/>
    </row>
    <row r="1575" spans="1:6">
      <c r="A1575" s="26"/>
      <c r="B1575" s="26"/>
      <c r="C1575" s="26" t="s">
        <v>350</v>
      </c>
      <c r="D1575" s="26"/>
      <c r="E1575" s="26"/>
    </row>
    <row r="1576" spans="1:6" ht="14" customHeight="1">
      <c r="A1576" s="19" t="s">
        <v>293</v>
      </c>
      <c r="B1576" s="25" t="s">
        <v>216</v>
      </c>
      <c r="C1576" s="24" t="s">
        <v>347</v>
      </c>
      <c r="D1576" s="23" t="s">
        <v>349</v>
      </c>
      <c r="E1576" s="20" t="s">
        <v>332</v>
      </c>
      <c r="F1576" s="22"/>
    </row>
    <row r="1577" spans="1:6" ht="14" customHeight="1">
      <c r="A1577" s="19" t="s">
        <v>293</v>
      </c>
      <c r="B1577" s="25" t="s">
        <v>348</v>
      </c>
      <c r="C1577" s="24" t="s">
        <v>347</v>
      </c>
      <c r="D1577" s="23" t="s">
        <v>346</v>
      </c>
      <c r="E1577" s="20" t="s">
        <v>295</v>
      </c>
      <c r="F1577" s="22"/>
    </row>
    <row r="1578" spans="1:6">
      <c r="A1578" s="26"/>
      <c r="B1578" s="26"/>
      <c r="C1578" s="26" t="s">
        <v>345</v>
      </c>
      <c r="D1578" s="26"/>
      <c r="E1578" s="26"/>
    </row>
    <row r="1579" spans="1:6" ht="14" customHeight="1">
      <c r="A1579" s="19" t="s">
        <v>344</v>
      </c>
      <c r="B1579" s="25" t="s">
        <v>343</v>
      </c>
      <c r="C1579" s="24" t="s">
        <v>342</v>
      </c>
      <c r="D1579" s="23" t="s">
        <v>341</v>
      </c>
      <c r="E1579" s="20" t="s">
        <v>295</v>
      </c>
      <c r="F1579" s="22"/>
    </row>
    <row r="1580" spans="1:6">
      <c r="A1580" s="26"/>
      <c r="B1580" s="26"/>
      <c r="C1580" s="26" t="s">
        <v>340</v>
      </c>
      <c r="D1580" s="26"/>
      <c r="E1580" s="26"/>
    </row>
    <row r="1581" spans="1:6" ht="14" customHeight="1">
      <c r="A1581" s="19" t="s">
        <v>293</v>
      </c>
      <c r="B1581" s="25" t="s">
        <v>339</v>
      </c>
      <c r="C1581" s="24" t="s">
        <v>338</v>
      </c>
      <c r="D1581" s="23" t="s">
        <v>337</v>
      </c>
      <c r="E1581" s="20" t="s">
        <v>295</v>
      </c>
      <c r="F1581" s="22"/>
    </row>
    <row r="1582" spans="1:6">
      <c r="A1582" s="26"/>
      <c r="B1582" s="26"/>
      <c r="C1582" s="26" t="s">
        <v>336</v>
      </c>
      <c r="D1582" s="26"/>
      <c r="E1582" s="26"/>
    </row>
    <row r="1583" spans="1:6" ht="14" customHeight="1">
      <c r="A1583" s="19" t="s">
        <v>293</v>
      </c>
      <c r="B1583" s="25" t="s">
        <v>335</v>
      </c>
      <c r="C1583" s="24" t="s">
        <v>334</v>
      </c>
      <c r="D1583" s="23" t="s">
        <v>333</v>
      </c>
      <c r="E1583" s="20" t="s">
        <v>332</v>
      </c>
      <c r="F1583" s="22"/>
    </row>
    <row r="1584" spans="1:6">
      <c r="A1584" s="26"/>
      <c r="B1584" s="26"/>
      <c r="C1584" s="26" t="s">
        <v>331</v>
      </c>
      <c r="D1584" s="26"/>
      <c r="E1584" s="26"/>
    </row>
    <row r="1585" spans="1:6" ht="14" customHeight="1">
      <c r="A1585" s="19" t="s">
        <v>293</v>
      </c>
      <c r="B1585" s="25" t="s">
        <v>215</v>
      </c>
      <c r="C1585" s="24" t="s">
        <v>330</v>
      </c>
      <c r="D1585" s="23" t="s">
        <v>329</v>
      </c>
      <c r="E1585" s="20" t="s">
        <v>300</v>
      </c>
      <c r="F1585" s="22"/>
    </row>
    <row r="1586" spans="1:6">
      <c r="A1586" s="27"/>
      <c r="B1586" s="27"/>
      <c r="C1586" s="27" t="s">
        <v>328</v>
      </c>
      <c r="D1586" s="27"/>
      <c r="E1586" s="27"/>
    </row>
    <row r="1587" spans="1:6">
      <c r="A1587" s="26"/>
      <c r="B1587" s="26"/>
      <c r="C1587" s="26" t="s">
        <v>327</v>
      </c>
      <c r="D1587" s="26"/>
      <c r="E1587" s="26"/>
    </row>
    <row r="1588" spans="1:6" ht="14" customHeight="1">
      <c r="A1588" s="19" t="s">
        <v>293</v>
      </c>
      <c r="B1588" s="25" t="s">
        <v>326</v>
      </c>
      <c r="C1588" s="24" t="s">
        <v>325</v>
      </c>
      <c r="D1588" s="23" t="s">
        <v>324</v>
      </c>
      <c r="E1588" s="20" t="s">
        <v>289</v>
      </c>
      <c r="F1588" s="22"/>
    </row>
    <row r="1589" spans="1:6">
      <c r="A1589" s="26"/>
      <c r="B1589" s="26"/>
      <c r="C1589" s="26" t="s">
        <v>323</v>
      </c>
      <c r="D1589" s="26"/>
      <c r="E1589" s="26"/>
    </row>
    <row r="1590" spans="1:6" ht="14" customHeight="1">
      <c r="A1590" s="19" t="s">
        <v>293</v>
      </c>
      <c r="B1590" s="25" t="s">
        <v>322</v>
      </c>
      <c r="C1590" s="24" t="s">
        <v>321</v>
      </c>
      <c r="D1590" s="23" t="s">
        <v>320</v>
      </c>
      <c r="E1590" s="20" t="s">
        <v>289</v>
      </c>
      <c r="F1590" s="22"/>
    </row>
    <row r="1591" spans="1:6">
      <c r="A1591" s="26"/>
      <c r="B1591" s="26"/>
      <c r="C1591" s="26" t="s">
        <v>319</v>
      </c>
      <c r="D1591" s="26"/>
      <c r="E1591" s="26"/>
    </row>
    <row r="1592" spans="1:6" ht="28" customHeight="1">
      <c r="A1592" s="19" t="s">
        <v>293</v>
      </c>
      <c r="B1592" s="25" t="s">
        <v>318</v>
      </c>
      <c r="C1592" s="24" t="s">
        <v>317</v>
      </c>
      <c r="D1592" s="23" t="s">
        <v>311</v>
      </c>
      <c r="E1592" s="20" t="s">
        <v>295</v>
      </c>
      <c r="F1592" s="22"/>
    </row>
    <row r="1593" spans="1:6" ht="28" customHeight="1">
      <c r="A1593" s="19" t="s">
        <v>293</v>
      </c>
      <c r="B1593" s="25" t="s">
        <v>316</v>
      </c>
      <c r="C1593" s="24" t="s">
        <v>315</v>
      </c>
      <c r="D1593" s="23" t="s">
        <v>314</v>
      </c>
      <c r="E1593" s="20" t="s">
        <v>295</v>
      </c>
      <c r="F1593" s="22"/>
    </row>
    <row r="1594" spans="1:6" ht="28" customHeight="1">
      <c r="A1594" s="19" t="s">
        <v>293</v>
      </c>
      <c r="B1594" s="25" t="s">
        <v>313</v>
      </c>
      <c r="C1594" s="24" t="s">
        <v>312</v>
      </c>
      <c r="D1594" s="23" t="s">
        <v>311</v>
      </c>
      <c r="E1594" s="20" t="s">
        <v>295</v>
      </c>
      <c r="F1594" s="22"/>
    </row>
    <row r="1595" spans="1:6">
      <c r="A1595" s="26"/>
      <c r="B1595" s="26"/>
      <c r="C1595" s="26" t="s">
        <v>310</v>
      </c>
      <c r="D1595" s="26"/>
      <c r="E1595" s="26"/>
    </row>
    <row r="1596" spans="1:6" ht="14" customHeight="1">
      <c r="A1596" s="19" t="s">
        <v>293</v>
      </c>
      <c r="B1596" s="25" t="s">
        <v>309</v>
      </c>
      <c r="C1596" s="24" t="s">
        <v>308</v>
      </c>
      <c r="D1596" s="23" t="s">
        <v>307</v>
      </c>
      <c r="E1596" s="20" t="s">
        <v>300</v>
      </c>
      <c r="F1596" s="22"/>
    </row>
    <row r="1597" spans="1:6" ht="14" customHeight="1">
      <c r="A1597" s="19" t="s">
        <v>293</v>
      </c>
      <c r="B1597" s="25" t="s">
        <v>306</v>
      </c>
      <c r="C1597" s="24" t="s">
        <v>305</v>
      </c>
      <c r="D1597" s="23" t="s">
        <v>304</v>
      </c>
      <c r="E1597" s="20" t="s">
        <v>300</v>
      </c>
      <c r="F1597" s="22"/>
    </row>
    <row r="1598" spans="1:6" ht="14" customHeight="1">
      <c r="A1598" s="19" t="s">
        <v>293</v>
      </c>
      <c r="B1598" s="25" t="s">
        <v>303</v>
      </c>
      <c r="C1598" s="24" t="s">
        <v>302</v>
      </c>
      <c r="D1598" s="23" t="s">
        <v>301</v>
      </c>
      <c r="E1598" s="20" t="s">
        <v>300</v>
      </c>
      <c r="F1598" s="22"/>
    </row>
    <row r="1599" spans="1:6">
      <c r="A1599" s="26"/>
      <c r="B1599" s="26"/>
      <c r="C1599" s="26" t="s">
        <v>299</v>
      </c>
      <c r="D1599" s="26"/>
      <c r="E1599" s="26"/>
    </row>
    <row r="1600" spans="1:6" ht="14" customHeight="1">
      <c r="A1600" s="19" t="s">
        <v>293</v>
      </c>
      <c r="B1600" s="25" t="s">
        <v>298</v>
      </c>
      <c r="C1600" s="24" t="s">
        <v>297</v>
      </c>
      <c r="D1600" s="23" t="s">
        <v>296</v>
      </c>
      <c r="E1600" s="20" t="s">
        <v>295</v>
      </c>
      <c r="F1600" s="22"/>
    </row>
    <row r="1601" spans="1:6">
      <c r="A1601" s="26"/>
      <c r="B1601" s="26"/>
      <c r="C1601" s="26" t="s">
        <v>294</v>
      </c>
      <c r="D1601" s="26"/>
      <c r="E1601" s="26"/>
    </row>
    <row r="1602" spans="1:6" ht="14" customHeight="1">
      <c r="A1602" s="19" t="s">
        <v>293</v>
      </c>
      <c r="B1602" s="25" t="s">
        <v>292</v>
      </c>
      <c r="C1602" s="24" t="s">
        <v>291</v>
      </c>
      <c r="D1602" s="23" t="s">
        <v>290</v>
      </c>
      <c r="E1602" s="20" t="s">
        <v>289</v>
      </c>
      <c r="F1602" s="22"/>
    </row>
    <row r="1604" spans="1:6" ht="70" customHeight="1">
      <c r="A1604" s="19"/>
      <c r="B1604" s="19"/>
      <c r="C1604" s="19"/>
      <c r="D1604" s="19"/>
      <c r="E1604" s="19"/>
    </row>
    <row r="1605" spans="1:6">
      <c r="A1605" s="19"/>
      <c r="B1605" s="19"/>
      <c r="C1605" s="20" t="s">
        <v>288</v>
      </c>
      <c r="D1605" s="19"/>
      <c r="E1605" s="19"/>
    </row>
    <row r="1606" spans="1:6">
      <c r="A1606" s="19"/>
      <c r="B1606" s="19"/>
      <c r="C1606" s="20" t="s">
        <v>287</v>
      </c>
      <c r="D1606" s="19"/>
      <c r="E1606" s="19"/>
    </row>
    <row r="1607" spans="1:6">
      <c r="A1607" s="19"/>
      <c r="B1607" s="19"/>
      <c r="C1607" s="20" t="s">
        <v>286</v>
      </c>
      <c r="D1607" s="19"/>
      <c r="E1607" s="19"/>
    </row>
    <row r="1608" spans="1:6">
      <c r="A1608" s="19"/>
      <c r="B1608" s="19"/>
      <c r="C1608" s="20" t="s">
        <v>285</v>
      </c>
      <c r="D1608" s="19"/>
      <c r="E1608" s="19"/>
    </row>
    <row r="1609" spans="1:6">
      <c r="A1609" s="19"/>
      <c r="B1609" s="19"/>
      <c r="C1609" s="20" t="s">
        <v>284</v>
      </c>
      <c r="D1609" s="19"/>
      <c r="E1609" s="19"/>
    </row>
    <row r="1610" spans="1:6">
      <c r="A1610" s="19"/>
      <c r="B1610" s="19"/>
      <c r="C1610" s="20"/>
      <c r="D1610" s="19"/>
      <c r="E1610" s="19"/>
    </row>
    <row r="1611" spans="1:6">
      <c r="A1611" s="19"/>
      <c r="B1611" s="19"/>
      <c r="C1611" s="21" t="s">
        <v>283</v>
      </c>
      <c r="D1611" s="19"/>
      <c r="E1611" s="19"/>
    </row>
    <row r="1612" spans="1:6" ht="20">
      <c r="A1612" s="19"/>
      <c r="B1612" s="19"/>
      <c r="C1612" s="20" t="s">
        <v>282</v>
      </c>
      <c r="D1612" s="19"/>
      <c r="E1612" s="19"/>
    </row>
    <row r="1613" spans="1:6">
      <c r="A1613" s="19"/>
      <c r="B1613" s="19"/>
      <c r="C1613" s="21" t="s">
        <v>281</v>
      </c>
      <c r="D1613" s="19"/>
      <c r="E1613" s="19"/>
    </row>
    <row r="1614" spans="1:6" ht="20">
      <c r="A1614" s="19"/>
      <c r="B1614" s="19"/>
      <c r="C1614" s="20" t="s">
        <v>280</v>
      </c>
      <c r="D1614" s="19"/>
      <c r="E1614" s="19"/>
    </row>
  </sheetData>
  <mergeCells count="1">
    <mergeCell ref="A1:E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48400-0CBA-4514-A6C0-73D576D10464}">
  <sheetPr codeName="Sheet3">
    <tabColor theme="2" tint="-9.9978637043366805E-2"/>
  </sheetPr>
  <dimension ref="A1:F108"/>
  <sheetViews>
    <sheetView workbookViewId="0">
      <pane ySplit="6" topLeftCell="A88" activePane="bottomLeft" state="frozen"/>
      <selection activeCell="C8" sqref="C8"/>
      <selection pane="bottomLeft" activeCell="C8" sqref="C8"/>
    </sheetView>
  </sheetViews>
  <sheetFormatPr defaultRowHeight="14.5"/>
  <cols>
    <col min="1" max="1" width="10" style="18" customWidth="1"/>
    <col min="2" max="2" width="25" style="18" customWidth="1"/>
    <col min="3" max="3" width="100" style="18" customWidth="1"/>
    <col min="4" max="4" width="15" style="18" customWidth="1"/>
    <col min="5" max="5" width="50" style="18" customWidth="1"/>
    <col min="6" max="16384" width="8.7265625" style="18"/>
  </cols>
  <sheetData>
    <row r="1" spans="1:6">
      <c r="A1" s="1087" t="s">
        <v>3525</v>
      </c>
      <c r="B1" s="1087"/>
      <c r="C1" s="1087"/>
      <c r="D1" s="1087"/>
      <c r="E1" s="1087"/>
    </row>
    <row r="2" spans="1:6">
      <c r="A2" s="29" t="s">
        <v>3524</v>
      </c>
      <c r="B2" s="1090" t="s">
        <v>3523</v>
      </c>
      <c r="C2" s="1090"/>
      <c r="D2" s="1090"/>
      <c r="E2" s="1090"/>
      <c r="F2" s="1091"/>
    </row>
    <row r="3" spans="1:6">
      <c r="A3" s="29" t="s">
        <v>3522</v>
      </c>
      <c r="B3" s="1090" t="s">
        <v>3521</v>
      </c>
      <c r="C3" s="1090"/>
      <c r="D3" s="1090"/>
      <c r="E3" s="1090"/>
      <c r="F3" s="1091"/>
    </row>
    <row r="4" spans="1:6">
      <c r="A4" s="29"/>
      <c r="B4" s="1090" t="s">
        <v>3520</v>
      </c>
      <c r="C4" s="1090"/>
      <c r="D4" s="1090"/>
      <c r="E4" s="1090"/>
      <c r="F4" s="1091"/>
    </row>
    <row r="6" spans="1:6">
      <c r="A6" s="28"/>
      <c r="B6" s="28" t="s">
        <v>3519</v>
      </c>
      <c r="C6" s="28" t="s">
        <v>3518</v>
      </c>
      <c r="D6" s="28" t="s">
        <v>3517</v>
      </c>
      <c r="E6" s="28" t="s">
        <v>3516</v>
      </c>
    </row>
    <row r="7" spans="1:6">
      <c r="A7" s="27"/>
      <c r="B7" s="27"/>
      <c r="C7" s="27" t="s">
        <v>3354</v>
      </c>
      <c r="D7" s="27"/>
      <c r="E7" s="27"/>
    </row>
    <row r="8" spans="1:6">
      <c r="A8" s="26"/>
      <c r="B8" s="26"/>
      <c r="C8" s="26" t="s">
        <v>3687</v>
      </c>
      <c r="D8" s="26"/>
      <c r="E8" s="26"/>
    </row>
    <row r="9" spans="1:6" ht="14" customHeight="1">
      <c r="A9" s="19" t="s">
        <v>293</v>
      </c>
      <c r="B9" s="25" t="s">
        <v>3686</v>
      </c>
      <c r="C9" s="24" t="s">
        <v>3685</v>
      </c>
      <c r="D9" s="23" t="s">
        <v>3673</v>
      </c>
      <c r="E9" s="20" t="s">
        <v>295</v>
      </c>
      <c r="F9" s="22"/>
    </row>
    <row r="10" spans="1:6">
      <c r="A10" s="26"/>
      <c r="B10" s="26"/>
      <c r="C10" s="26" t="s">
        <v>3684</v>
      </c>
      <c r="D10" s="26"/>
      <c r="E10" s="26"/>
    </row>
    <row r="11" spans="1:6" ht="14" customHeight="1">
      <c r="A11" s="19" t="s">
        <v>293</v>
      </c>
      <c r="B11" s="25" t="s">
        <v>3683</v>
      </c>
      <c r="C11" s="24" t="s">
        <v>3682</v>
      </c>
      <c r="D11" s="23" t="s">
        <v>3673</v>
      </c>
      <c r="E11" s="20" t="s">
        <v>295</v>
      </c>
      <c r="F11" s="22"/>
    </row>
    <row r="12" spans="1:6">
      <c r="A12" s="26"/>
      <c r="B12" s="26"/>
      <c r="C12" s="26" t="s">
        <v>3681</v>
      </c>
      <c r="D12" s="26"/>
      <c r="E12" s="26"/>
    </row>
    <row r="13" spans="1:6" ht="14" customHeight="1">
      <c r="A13" s="19" t="s">
        <v>293</v>
      </c>
      <c r="B13" s="25" t="s">
        <v>3680</v>
      </c>
      <c r="C13" s="24" t="s">
        <v>3679</v>
      </c>
      <c r="D13" s="23" t="s">
        <v>3669</v>
      </c>
      <c r="E13" s="20" t="s">
        <v>295</v>
      </c>
      <c r="F13" s="22"/>
    </row>
    <row r="14" spans="1:6">
      <c r="A14" s="26"/>
      <c r="B14" s="26"/>
      <c r="C14" s="26" t="s">
        <v>3678</v>
      </c>
      <c r="D14" s="26"/>
      <c r="E14" s="26"/>
    </row>
    <row r="15" spans="1:6" ht="14" customHeight="1">
      <c r="A15" s="19" t="s">
        <v>293</v>
      </c>
      <c r="B15" s="25" t="s">
        <v>3677</v>
      </c>
      <c r="C15" s="24" t="s">
        <v>3676</v>
      </c>
      <c r="D15" s="23" t="s">
        <v>3669</v>
      </c>
      <c r="E15" s="20" t="s">
        <v>295</v>
      </c>
      <c r="F15" s="22"/>
    </row>
    <row r="16" spans="1:6">
      <c r="A16" s="26"/>
      <c r="B16" s="26"/>
      <c r="C16" s="26" t="s">
        <v>3675</v>
      </c>
      <c r="D16" s="26"/>
      <c r="E16" s="26"/>
    </row>
    <row r="17" spans="1:6" ht="14" customHeight="1">
      <c r="A17" s="19" t="s">
        <v>293</v>
      </c>
      <c r="B17" s="25" t="s">
        <v>222</v>
      </c>
      <c r="C17" s="24" t="s">
        <v>3674</v>
      </c>
      <c r="D17" s="23" t="s">
        <v>3673</v>
      </c>
      <c r="E17" s="20" t="s">
        <v>295</v>
      </c>
      <c r="F17" s="22"/>
    </row>
    <row r="18" spans="1:6">
      <c r="A18" s="26"/>
      <c r="B18" s="26"/>
      <c r="C18" s="26" t="s">
        <v>3672</v>
      </c>
      <c r="D18" s="26"/>
      <c r="E18" s="26"/>
    </row>
    <row r="19" spans="1:6" ht="14" customHeight="1">
      <c r="A19" s="19" t="s">
        <v>293</v>
      </c>
      <c r="B19" s="25" t="s">
        <v>3671</v>
      </c>
      <c r="C19" s="24" t="s">
        <v>3670</v>
      </c>
      <c r="D19" s="23" t="s">
        <v>3669</v>
      </c>
      <c r="E19" s="20" t="s">
        <v>295</v>
      </c>
      <c r="F19" s="22"/>
    </row>
    <row r="20" spans="1:6">
      <c r="A20" s="26"/>
      <c r="B20" s="26"/>
      <c r="C20" s="26" t="s">
        <v>3668</v>
      </c>
      <c r="D20" s="26"/>
      <c r="E20" s="26"/>
    </row>
    <row r="21" spans="1:6" ht="14" customHeight="1">
      <c r="A21" s="19" t="s">
        <v>293</v>
      </c>
      <c r="B21" s="25" t="s">
        <v>3667</v>
      </c>
      <c r="C21" s="24" t="s">
        <v>3666</v>
      </c>
      <c r="D21" s="23" t="s">
        <v>3657</v>
      </c>
      <c r="E21" s="20" t="s">
        <v>295</v>
      </c>
      <c r="F21" s="22"/>
    </row>
    <row r="22" spans="1:6">
      <c r="A22" s="26"/>
      <c r="B22" s="26"/>
      <c r="C22" s="26" t="s">
        <v>3665</v>
      </c>
      <c r="D22" s="26"/>
      <c r="E22" s="26"/>
    </row>
    <row r="23" spans="1:6" ht="14" customHeight="1">
      <c r="A23" s="19" t="s">
        <v>293</v>
      </c>
      <c r="B23" s="25" t="s">
        <v>220</v>
      </c>
      <c r="C23" s="24" t="s">
        <v>3664</v>
      </c>
      <c r="D23" s="23" t="s">
        <v>3661</v>
      </c>
      <c r="E23" s="20" t="s">
        <v>295</v>
      </c>
      <c r="F23" s="22"/>
    </row>
    <row r="24" spans="1:6">
      <c r="A24" s="26"/>
      <c r="B24" s="26"/>
      <c r="C24" s="26" t="s">
        <v>3663</v>
      </c>
      <c r="D24" s="26"/>
      <c r="E24" s="26"/>
    </row>
    <row r="25" spans="1:6" ht="14" customHeight="1">
      <c r="A25" s="19" t="s">
        <v>293</v>
      </c>
      <c r="B25" s="25" t="s">
        <v>221</v>
      </c>
      <c r="C25" s="24" t="s">
        <v>3662</v>
      </c>
      <c r="D25" s="23" t="s">
        <v>3661</v>
      </c>
      <c r="E25" s="20" t="s">
        <v>295</v>
      </c>
      <c r="F25" s="22"/>
    </row>
    <row r="26" spans="1:6">
      <c r="A26" s="26"/>
      <c r="B26" s="26"/>
      <c r="C26" s="26" t="s">
        <v>3660</v>
      </c>
      <c r="D26" s="26"/>
      <c r="E26" s="26"/>
    </row>
    <row r="27" spans="1:6" ht="14" customHeight="1">
      <c r="A27" s="19" t="s">
        <v>293</v>
      </c>
      <c r="B27" s="25" t="s">
        <v>3659</v>
      </c>
      <c r="C27" s="24" t="s">
        <v>3658</v>
      </c>
      <c r="D27" s="23" t="s">
        <v>3657</v>
      </c>
      <c r="E27" s="20" t="s">
        <v>295</v>
      </c>
      <c r="F27" s="22"/>
    </row>
    <row r="28" spans="1:6">
      <c r="A28" s="26"/>
      <c r="B28" s="26"/>
      <c r="C28" s="26" t="s">
        <v>3656</v>
      </c>
      <c r="D28" s="26"/>
      <c r="E28" s="26"/>
    </row>
    <row r="29" spans="1:6" ht="28" customHeight="1">
      <c r="A29" s="19" t="s">
        <v>293</v>
      </c>
      <c r="B29" s="25" t="s">
        <v>224</v>
      </c>
      <c r="C29" s="24" t="s">
        <v>3655</v>
      </c>
      <c r="D29" s="23" t="s">
        <v>3654</v>
      </c>
      <c r="E29" s="20" t="s">
        <v>295</v>
      </c>
      <c r="F29" s="22"/>
    </row>
    <row r="30" spans="1:6">
      <c r="A30" s="26"/>
      <c r="B30" s="26"/>
      <c r="C30" s="26" t="s">
        <v>3653</v>
      </c>
      <c r="D30" s="26"/>
      <c r="E30" s="26"/>
    </row>
    <row r="31" spans="1:6" ht="56" customHeight="1">
      <c r="A31" s="19" t="s">
        <v>293</v>
      </c>
      <c r="B31" s="25" t="s">
        <v>3652</v>
      </c>
      <c r="C31" s="24" t="s">
        <v>3651</v>
      </c>
      <c r="D31" s="23" t="s">
        <v>3648</v>
      </c>
      <c r="E31" s="20" t="s">
        <v>2805</v>
      </c>
      <c r="F31" s="22"/>
    </row>
    <row r="32" spans="1:6" ht="42" customHeight="1">
      <c r="A32" s="19" t="s">
        <v>293</v>
      </c>
      <c r="B32" s="25" t="s">
        <v>3650</v>
      </c>
      <c r="C32" s="24" t="s">
        <v>3649</v>
      </c>
      <c r="D32" s="23" t="s">
        <v>3648</v>
      </c>
      <c r="E32" s="20" t="s">
        <v>2805</v>
      </c>
      <c r="F32" s="22"/>
    </row>
    <row r="33" spans="1:6">
      <c r="A33" s="26"/>
      <c r="B33" s="26"/>
      <c r="C33" s="26" t="s">
        <v>3647</v>
      </c>
      <c r="D33" s="26"/>
      <c r="E33" s="26"/>
    </row>
    <row r="34" spans="1:6" ht="14" customHeight="1">
      <c r="A34" s="19" t="s">
        <v>293</v>
      </c>
      <c r="B34" s="25" t="s">
        <v>3646</v>
      </c>
      <c r="C34" s="24" t="s">
        <v>3645</v>
      </c>
      <c r="D34" s="23" t="s">
        <v>3644</v>
      </c>
      <c r="E34" s="20" t="s">
        <v>2882</v>
      </c>
      <c r="F34" s="22"/>
    </row>
    <row r="35" spans="1:6">
      <c r="A35" s="26"/>
      <c r="B35" s="26"/>
      <c r="C35" s="26" t="s">
        <v>3643</v>
      </c>
      <c r="D35" s="26"/>
      <c r="E35" s="26"/>
    </row>
    <row r="36" spans="1:6" ht="28" customHeight="1">
      <c r="A36" s="19" t="s">
        <v>293</v>
      </c>
      <c r="B36" s="25" t="s">
        <v>3642</v>
      </c>
      <c r="C36" s="24" t="s">
        <v>3641</v>
      </c>
      <c r="D36" s="23" t="s">
        <v>3613</v>
      </c>
      <c r="E36" s="20" t="s">
        <v>3606</v>
      </c>
      <c r="F36" s="22"/>
    </row>
    <row r="37" spans="1:6" ht="14" customHeight="1">
      <c r="A37" s="19" t="s">
        <v>293</v>
      </c>
      <c r="B37" s="25" t="s">
        <v>3640</v>
      </c>
      <c r="C37" s="24" t="s">
        <v>3639</v>
      </c>
      <c r="D37" s="23" t="s">
        <v>3625</v>
      </c>
      <c r="E37" s="20" t="s">
        <v>3606</v>
      </c>
      <c r="F37" s="22"/>
    </row>
    <row r="38" spans="1:6" ht="14" customHeight="1">
      <c r="A38" s="19" t="s">
        <v>293</v>
      </c>
      <c r="B38" s="25" t="s">
        <v>3638</v>
      </c>
      <c r="C38" s="24" t="s">
        <v>3637</v>
      </c>
      <c r="D38" s="23" t="s">
        <v>3613</v>
      </c>
      <c r="E38" s="20" t="s">
        <v>3606</v>
      </c>
      <c r="F38" s="22"/>
    </row>
    <row r="39" spans="1:6" ht="14" customHeight="1">
      <c r="A39" s="19" t="s">
        <v>293</v>
      </c>
      <c r="B39" s="25" t="s">
        <v>3636</v>
      </c>
      <c r="C39" s="24" t="s">
        <v>3635</v>
      </c>
      <c r="D39" s="23" t="s">
        <v>3613</v>
      </c>
      <c r="E39" s="20" t="s">
        <v>3606</v>
      </c>
      <c r="F39" s="22"/>
    </row>
    <row r="40" spans="1:6" ht="28" customHeight="1">
      <c r="A40" s="19" t="s">
        <v>293</v>
      </c>
      <c r="B40" s="25" t="s">
        <v>3634</v>
      </c>
      <c r="C40" s="24" t="s">
        <v>3633</v>
      </c>
      <c r="D40" s="23" t="s">
        <v>3632</v>
      </c>
      <c r="E40" s="20" t="s">
        <v>3606</v>
      </c>
      <c r="F40" s="22"/>
    </row>
    <row r="41" spans="1:6" ht="14" customHeight="1">
      <c r="A41" s="19" t="s">
        <v>293</v>
      </c>
      <c r="B41" s="25" t="s">
        <v>3631</v>
      </c>
      <c r="C41" s="24" t="s">
        <v>3630</v>
      </c>
      <c r="D41" s="23" t="s">
        <v>3625</v>
      </c>
      <c r="E41" s="20" t="s">
        <v>3606</v>
      </c>
      <c r="F41" s="22"/>
    </row>
    <row r="42" spans="1:6" ht="14" customHeight="1">
      <c r="A42" s="19" t="s">
        <v>293</v>
      </c>
      <c r="B42" s="25" t="s">
        <v>3629</v>
      </c>
      <c r="C42" s="24" t="s">
        <v>3628</v>
      </c>
      <c r="D42" s="23" t="s">
        <v>3625</v>
      </c>
      <c r="E42" s="20" t="s">
        <v>3606</v>
      </c>
      <c r="F42" s="22"/>
    </row>
    <row r="43" spans="1:6" ht="28" customHeight="1">
      <c r="A43" s="19" t="s">
        <v>293</v>
      </c>
      <c r="B43" s="25" t="s">
        <v>3627</v>
      </c>
      <c r="C43" s="24" t="s">
        <v>3626</v>
      </c>
      <c r="D43" s="23" t="s">
        <v>3625</v>
      </c>
      <c r="E43" s="20" t="s">
        <v>3606</v>
      </c>
      <c r="F43" s="22"/>
    </row>
    <row r="44" spans="1:6" ht="14" customHeight="1">
      <c r="A44" s="19" t="s">
        <v>293</v>
      </c>
      <c r="B44" s="25" t="s">
        <v>3624</v>
      </c>
      <c r="C44" s="24" t="s">
        <v>3623</v>
      </c>
      <c r="D44" s="23" t="s">
        <v>3613</v>
      </c>
      <c r="E44" s="20" t="s">
        <v>3606</v>
      </c>
      <c r="F44" s="22"/>
    </row>
    <row r="45" spans="1:6" ht="14" customHeight="1">
      <c r="A45" s="19" t="s">
        <v>293</v>
      </c>
      <c r="B45" s="25" t="s">
        <v>3622</v>
      </c>
      <c r="C45" s="24" t="s">
        <v>3621</v>
      </c>
      <c r="D45" s="23" t="s">
        <v>3613</v>
      </c>
      <c r="E45" s="20" t="s">
        <v>3606</v>
      </c>
      <c r="F45" s="22"/>
    </row>
    <row r="46" spans="1:6" ht="28" customHeight="1">
      <c r="A46" s="19" t="s">
        <v>293</v>
      </c>
      <c r="B46" s="25" t="s">
        <v>3620</v>
      </c>
      <c r="C46" s="24" t="s">
        <v>3619</v>
      </c>
      <c r="D46" s="23" t="s">
        <v>3613</v>
      </c>
      <c r="E46" s="20" t="s">
        <v>3606</v>
      </c>
      <c r="F46" s="22"/>
    </row>
    <row r="47" spans="1:6" ht="14" customHeight="1">
      <c r="A47" s="19" t="s">
        <v>293</v>
      </c>
      <c r="B47" s="25" t="s">
        <v>3618</v>
      </c>
      <c r="C47" s="24" t="s">
        <v>3617</v>
      </c>
      <c r="D47" s="23" t="s">
        <v>3613</v>
      </c>
      <c r="E47" s="20" t="s">
        <v>2882</v>
      </c>
      <c r="F47" s="22"/>
    </row>
    <row r="48" spans="1:6">
      <c r="A48" s="26"/>
      <c r="B48" s="26"/>
      <c r="C48" s="26" t="s">
        <v>3616</v>
      </c>
      <c r="D48" s="26"/>
      <c r="E48" s="26"/>
    </row>
    <row r="49" spans="1:6" ht="28" customHeight="1">
      <c r="A49" s="19" t="s">
        <v>293</v>
      </c>
      <c r="B49" s="25" t="s">
        <v>3615</v>
      </c>
      <c r="C49" s="24" t="s">
        <v>3614</v>
      </c>
      <c r="D49" s="23" t="s">
        <v>3613</v>
      </c>
      <c r="E49" s="20" t="s">
        <v>3606</v>
      </c>
      <c r="F49" s="22"/>
    </row>
    <row r="50" spans="1:6" ht="28" customHeight="1">
      <c r="A50" s="19" t="s">
        <v>293</v>
      </c>
      <c r="B50" s="25" t="s">
        <v>3612</v>
      </c>
      <c r="C50" s="24" t="s">
        <v>3611</v>
      </c>
      <c r="D50" s="23" t="s">
        <v>2666</v>
      </c>
      <c r="E50" s="20" t="s">
        <v>3606</v>
      </c>
      <c r="F50" s="22"/>
    </row>
    <row r="51" spans="1:6" ht="14" customHeight="1">
      <c r="A51" s="19" t="s">
        <v>293</v>
      </c>
      <c r="B51" s="25" t="s">
        <v>3610</v>
      </c>
      <c r="C51" s="24" t="s">
        <v>3609</v>
      </c>
      <c r="D51" s="23" t="s">
        <v>1122</v>
      </c>
      <c r="E51" s="20" t="s">
        <v>3606</v>
      </c>
      <c r="F51" s="22"/>
    </row>
    <row r="52" spans="1:6" ht="14" customHeight="1">
      <c r="A52" s="19" t="s">
        <v>293</v>
      </c>
      <c r="B52" s="25" t="s">
        <v>3608</v>
      </c>
      <c r="C52" s="24" t="s">
        <v>3607</v>
      </c>
      <c r="D52" s="23" t="s">
        <v>2666</v>
      </c>
      <c r="E52" s="20" t="s">
        <v>3606</v>
      </c>
      <c r="F52" s="22"/>
    </row>
    <row r="53" spans="1:6">
      <c r="A53" s="26"/>
      <c r="B53" s="26"/>
      <c r="C53" s="26" t="s">
        <v>3605</v>
      </c>
      <c r="D53" s="26"/>
      <c r="E53" s="26"/>
    </row>
    <row r="54" spans="1:6" ht="14" customHeight="1">
      <c r="A54" s="19" t="s">
        <v>293</v>
      </c>
      <c r="B54" s="25" t="s">
        <v>3604</v>
      </c>
      <c r="C54" s="24" t="s">
        <v>3603</v>
      </c>
      <c r="D54" s="23" t="s">
        <v>3579</v>
      </c>
      <c r="E54" s="20" t="s">
        <v>2882</v>
      </c>
      <c r="F54" s="22"/>
    </row>
    <row r="55" spans="1:6" ht="14" customHeight="1">
      <c r="A55" s="19" t="s">
        <v>293</v>
      </c>
      <c r="B55" s="25" t="s">
        <v>3602</v>
      </c>
      <c r="C55" s="24" t="s">
        <v>3601</v>
      </c>
      <c r="D55" s="23" t="s">
        <v>3579</v>
      </c>
      <c r="E55" s="20" t="s">
        <v>2882</v>
      </c>
      <c r="F55" s="22"/>
    </row>
    <row r="56" spans="1:6" ht="14" customHeight="1">
      <c r="A56" s="19" t="s">
        <v>293</v>
      </c>
      <c r="B56" s="25" t="s">
        <v>3600</v>
      </c>
      <c r="C56" s="24" t="s">
        <v>3599</v>
      </c>
      <c r="D56" s="23" t="s">
        <v>3579</v>
      </c>
      <c r="E56" s="20" t="s">
        <v>2882</v>
      </c>
      <c r="F56" s="22"/>
    </row>
    <row r="57" spans="1:6" ht="14" customHeight="1">
      <c r="A57" s="19" t="s">
        <v>293</v>
      </c>
      <c r="B57" s="25" t="s">
        <v>3598</v>
      </c>
      <c r="C57" s="24" t="s">
        <v>3597</v>
      </c>
      <c r="D57" s="23" t="s">
        <v>3588</v>
      </c>
      <c r="E57" s="20" t="s">
        <v>2882</v>
      </c>
      <c r="F57" s="22"/>
    </row>
    <row r="58" spans="1:6" ht="14" customHeight="1">
      <c r="A58" s="19" t="s">
        <v>293</v>
      </c>
      <c r="B58" s="25" t="s">
        <v>3596</v>
      </c>
      <c r="C58" s="24" t="s">
        <v>3595</v>
      </c>
      <c r="D58" s="23" t="s">
        <v>3588</v>
      </c>
      <c r="E58" s="20" t="s">
        <v>2882</v>
      </c>
      <c r="F58" s="22"/>
    </row>
    <row r="59" spans="1:6" ht="14" customHeight="1">
      <c r="A59" s="19" t="s">
        <v>293</v>
      </c>
      <c r="B59" s="25" t="s">
        <v>3594</v>
      </c>
      <c r="C59" s="24" t="s">
        <v>3593</v>
      </c>
      <c r="D59" s="23" t="s">
        <v>3588</v>
      </c>
      <c r="E59" s="20" t="s">
        <v>2882</v>
      </c>
      <c r="F59" s="22"/>
    </row>
    <row r="60" spans="1:6" ht="14" customHeight="1">
      <c r="A60" s="19" t="s">
        <v>293</v>
      </c>
      <c r="B60" s="25" t="s">
        <v>3592</v>
      </c>
      <c r="C60" s="24" t="s">
        <v>3591</v>
      </c>
      <c r="D60" s="23" t="s">
        <v>3588</v>
      </c>
      <c r="E60" s="20" t="s">
        <v>2882</v>
      </c>
      <c r="F60" s="22"/>
    </row>
    <row r="61" spans="1:6" ht="28" customHeight="1">
      <c r="A61" s="19" t="s">
        <v>293</v>
      </c>
      <c r="B61" s="25" t="s">
        <v>3590</v>
      </c>
      <c r="C61" s="24" t="s">
        <v>3589</v>
      </c>
      <c r="D61" s="23" t="s">
        <v>3588</v>
      </c>
      <c r="E61" s="20" t="s">
        <v>2882</v>
      </c>
      <c r="F61" s="22"/>
    </row>
    <row r="62" spans="1:6" ht="14" customHeight="1">
      <c r="A62" s="19" t="s">
        <v>293</v>
      </c>
      <c r="B62" s="25" t="s">
        <v>3587</v>
      </c>
      <c r="C62" s="24" t="s">
        <v>3586</v>
      </c>
      <c r="D62" s="23" t="s">
        <v>3579</v>
      </c>
      <c r="E62" s="20" t="s">
        <v>2882</v>
      </c>
      <c r="F62" s="22"/>
    </row>
    <row r="63" spans="1:6" ht="14" customHeight="1">
      <c r="A63" s="19" t="s">
        <v>293</v>
      </c>
      <c r="B63" s="25" t="s">
        <v>3585</v>
      </c>
      <c r="C63" s="24" t="s">
        <v>3584</v>
      </c>
      <c r="D63" s="23" t="s">
        <v>3579</v>
      </c>
      <c r="E63" s="20" t="s">
        <v>2882</v>
      </c>
      <c r="F63" s="22"/>
    </row>
    <row r="64" spans="1:6" ht="28" customHeight="1">
      <c r="A64" s="19" t="s">
        <v>293</v>
      </c>
      <c r="B64" s="25" t="s">
        <v>3583</v>
      </c>
      <c r="C64" s="24" t="s">
        <v>3582</v>
      </c>
      <c r="D64" s="23" t="s">
        <v>3579</v>
      </c>
      <c r="E64" s="20" t="s">
        <v>2882</v>
      </c>
      <c r="F64" s="22"/>
    </row>
    <row r="65" spans="1:6" ht="14" customHeight="1">
      <c r="A65" s="19" t="s">
        <v>293</v>
      </c>
      <c r="B65" s="25" t="s">
        <v>3581</v>
      </c>
      <c r="C65" s="24" t="s">
        <v>3580</v>
      </c>
      <c r="D65" s="23" t="s">
        <v>3579</v>
      </c>
      <c r="E65" s="20" t="s">
        <v>2882</v>
      </c>
      <c r="F65" s="22"/>
    </row>
    <row r="66" spans="1:6" ht="14" customHeight="1">
      <c r="A66" s="19" t="s">
        <v>293</v>
      </c>
      <c r="B66" s="25" t="s">
        <v>3578</v>
      </c>
      <c r="C66" s="24" t="s">
        <v>3577</v>
      </c>
      <c r="D66" s="23" t="s">
        <v>2872</v>
      </c>
      <c r="E66" s="20" t="s">
        <v>2882</v>
      </c>
      <c r="F66" s="22"/>
    </row>
    <row r="67" spans="1:6">
      <c r="A67" s="26"/>
      <c r="B67" s="26"/>
      <c r="C67" s="26" t="s">
        <v>3576</v>
      </c>
      <c r="D67" s="26"/>
      <c r="E67" s="26"/>
    </row>
    <row r="68" spans="1:6" ht="14" customHeight="1">
      <c r="A68" s="19" t="s">
        <v>293</v>
      </c>
      <c r="B68" s="25" t="s">
        <v>3575</v>
      </c>
      <c r="C68" s="24" t="s">
        <v>3574</v>
      </c>
      <c r="D68" s="23" t="s">
        <v>3573</v>
      </c>
      <c r="E68" s="20" t="s">
        <v>2882</v>
      </c>
      <c r="F68" s="22"/>
    </row>
    <row r="69" spans="1:6">
      <c r="A69" s="26"/>
      <c r="B69" s="26"/>
      <c r="C69" s="26" t="s">
        <v>3572</v>
      </c>
      <c r="D69" s="26"/>
      <c r="E69" s="26"/>
    </row>
    <row r="70" spans="1:6" ht="14" customHeight="1">
      <c r="A70" s="19" t="s">
        <v>293</v>
      </c>
      <c r="B70" s="25" t="s">
        <v>3571</v>
      </c>
      <c r="C70" s="24" t="s">
        <v>3570</v>
      </c>
      <c r="D70" s="23" t="s">
        <v>3569</v>
      </c>
      <c r="E70" s="20" t="s">
        <v>2882</v>
      </c>
      <c r="F70" s="22"/>
    </row>
    <row r="71" spans="1:6">
      <c r="A71" s="26"/>
      <c r="B71" s="26"/>
      <c r="C71" s="26" t="s">
        <v>3568</v>
      </c>
      <c r="D71" s="26"/>
      <c r="E71" s="26"/>
    </row>
    <row r="72" spans="1:6" ht="14" customHeight="1">
      <c r="A72" s="19" t="s">
        <v>293</v>
      </c>
      <c r="B72" s="25" t="s">
        <v>223</v>
      </c>
      <c r="C72" s="24" t="s">
        <v>3567</v>
      </c>
      <c r="D72" s="23" t="s">
        <v>3566</v>
      </c>
      <c r="E72" s="20" t="s">
        <v>2882</v>
      </c>
      <c r="F72" s="22"/>
    </row>
    <row r="73" spans="1:6" ht="14" customHeight="1">
      <c r="A73" s="19" t="s">
        <v>293</v>
      </c>
      <c r="B73" s="25" t="s">
        <v>3565</v>
      </c>
      <c r="C73" s="24" t="s">
        <v>3564</v>
      </c>
      <c r="D73" s="23" t="s">
        <v>3563</v>
      </c>
      <c r="E73" s="20" t="s">
        <v>2882</v>
      </c>
      <c r="F73" s="22"/>
    </row>
    <row r="74" spans="1:6">
      <c r="A74" s="26"/>
      <c r="B74" s="26"/>
      <c r="C74" s="26" t="s">
        <v>3562</v>
      </c>
      <c r="D74" s="26"/>
      <c r="E74" s="26"/>
    </row>
    <row r="75" spans="1:6" ht="14" customHeight="1">
      <c r="A75" s="19" t="s">
        <v>293</v>
      </c>
      <c r="B75" s="25" t="s">
        <v>3561</v>
      </c>
      <c r="C75" s="24" t="s">
        <v>3560</v>
      </c>
      <c r="D75" s="23" t="s">
        <v>3553</v>
      </c>
      <c r="E75" s="20" t="s">
        <v>295</v>
      </c>
      <c r="F75" s="22"/>
    </row>
    <row r="76" spans="1:6">
      <c r="A76" s="26"/>
      <c r="B76" s="26"/>
      <c r="C76" s="26" t="s">
        <v>3559</v>
      </c>
      <c r="D76" s="26"/>
      <c r="E76" s="26"/>
    </row>
    <row r="77" spans="1:6" ht="14" customHeight="1">
      <c r="A77" s="19" t="s">
        <v>293</v>
      </c>
      <c r="B77" s="25" t="s">
        <v>3558</v>
      </c>
      <c r="C77" s="24" t="s">
        <v>3557</v>
      </c>
      <c r="D77" s="23" t="s">
        <v>3550</v>
      </c>
      <c r="E77" s="20" t="s">
        <v>295</v>
      </c>
      <c r="F77" s="22"/>
    </row>
    <row r="78" spans="1:6">
      <c r="A78" s="26"/>
      <c r="B78" s="26"/>
      <c r="C78" s="26" t="s">
        <v>3556</v>
      </c>
      <c r="D78" s="26"/>
      <c r="E78" s="26"/>
    </row>
    <row r="79" spans="1:6" ht="14" customHeight="1">
      <c r="A79" s="19" t="s">
        <v>293</v>
      </c>
      <c r="B79" s="25" t="s">
        <v>3555</v>
      </c>
      <c r="C79" s="24" t="s">
        <v>3554</v>
      </c>
      <c r="D79" s="23" t="s">
        <v>3553</v>
      </c>
      <c r="E79" s="20" t="s">
        <v>295</v>
      </c>
      <c r="F79" s="22"/>
    </row>
    <row r="80" spans="1:6" ht="14" customHeight="1">
      <c r="A80" s="19" t="s">
        <v>293</v>
      </c>
      <c r="B80" s="25" t="s">
        <v>3552</v>
      </c>
      <c r="C80" s="24" t="s">
        <v>3551</v>
      </c>
      <c r="D80" s="23" t="s">
        <v>3550</v>
      </c>
      <c r="E80" s="20" t="s">
        <v>295</v>
      </c>
      <c r="F80" s="22"/>
    </row>
    <row r="81" spans="1:6">
      <c r="A81" s="26"/>
      <c r="B81" s="26"/>
      <c r="C81" s="26" t="s">
        <v>3549</v>
      </c>
      <c r="D81" s="26"/>
      <c r="E81" s="26"/>
    </row>
    <row r="82" spans="1:6" ht="14" customHeight="1">
      <c r="A82" s="19" t="s">
        <v>293</v>
      </c>
      <c r="B82" s="25" t="s">
        <v>3548</v>
      </c>
      <c r="C82" s="24" t="s">
        <v>3547</v>
      </c>
      <c r="D82" s="23" t="s">
        <v>3546</v>
      </c>
      <c r="E82" s="20" t="s">
        <v>300</v>
      </c>
      <c r="F82" s="22"/>
    </row>
    <row r="83" spans="1:6">
      <c r="A83" s="26"/>
      <c r="B83" s="26"/>
      <c r="C83" s="26" t="s">
        <v>3545</v>
      </c>
      <c r="D83" s="26"/>
      <c r="E83" s="26"/>
    </row>
    <row r="84" spans="1:6" ht="14" customHeight="1">
      <c r="A84" s="19" t="s">
        <v>293</v>
      </c>
      <c r="B84" s="25" t="s">
        <v>3544</v>
      </c>
      <c r="C84" s="24" t="s">
        <v>3543</v>
      </c>
      <c r="D84" s="23" t="s">
        <v>3542</v>
      </c>
      <c r="E84" s="20" t="s">
        <v>300</v>
      </c>
      <c r="F84" s="22"/>
    </row>
    <row r="85" spans="1:6">
      <c r="A85" s="26"/>
      <c r="B85" s="26"/>
      <c r="C85" s="26" t="s">
        <v>3541</v>
      </c>
      <c r="D85" s="26"/>
      <c r="E85" s="26"/>
    </row>
    <row r="86" spans="1:6" ht="14" customHeight="1">
      <c r="A86" s="19" t="s">
        <v>293</v>
      </c>
      <c r="B86" s="25" t="s">
        <v>217</v>
      </c>
      <c r="C86" s="24" t="s">
        <v>3540</v>
      </c>
      <c r="D86" s="23" t="s">
        <v>3534</v>
      </c>
      <c r="E86" s="20" t="s">
        <v>295</v>
      </c>
      <c r="F86" s="22"/>
    </row>
    <row r="87" spans="1:6">
      <c r="A87" s="26"/>
      <c r="B87" s="26"/>
      <c r="C87" s="26" t="s">
        <v>3539</v>
      </c>
      <c r="D87" s="26"/>
      <c r="E87" s="26"/>
    </row>
    <row r="88" spans="1:6" ht="28" customHeight="1">
      <c r="A88" s="19" t="s">
        <v>293</v>
      </c>
      <c r="B88" s="25" t="s">
        <v>3538</v>
      </c>
      <c r="C88" s="24" t="s">
        <v>3537</v>
      </c>
      <c r="D88" s="23" t="s">
        <v>482</v>
      </c>
      <c r="E88" s="20" t="s">
        <v>295</v>
      </c>
      <c r="F88" s="22"/>
    </row>
    <row r="89" spans="1:6">
      <c r="A89" s="26"/>
      <c r="B89" s="26"/>
      <c r="C89" s="26" t="s">
        <v>3536</v>
      </c>
      <c r="D89" s="26"/>
      <c r="E89" s="26"/>
    </row>
    <row r="90" spans="1:6" ht="14" customHeight="1">
      <c r="A90" s="19" t="s">
        <v>293</v>
      </c>
      <c r="B90" s="25" t="s">
        <v>218</v>
      </c>
      <c r="C90" s="24" t="s">
        <v>3535</v>
      </c>
      <c r="D90" s="23" t="s">
        <v>3534</v>
      </c>
      <c r="E90" s="20" t="s">
        <v>295</v>
      </c>
      <c r="F90" s="22"/>
    </row>
    <row r="91" spans="1:6" ht="14" customHeight="1">
      <c r="A91" s="19" t="s">
        <v>293</v>
      </c>
      <c r="B91" s="25" t="s">
        <v>219</v>
      </c>
      <c r="C91" s="24" t="s">
        <v>3533</v>
      </c>
      <c r="D91" s="23" t="s">
        <v>1267</v>
      </c>
      <c r="E91" s="20" t="s">
        <v>295</v>
      </c>
      <c r="F91" s="22"/>
    </row>
    <row r="92" spans="1:6">
      <c r="A92" s="26"/>
      <c r="B92" s="26"/>
      <c r="C92" s="26" t="s">
        <v>3532</v>
      </c>
      <c r="D92" s="26"/>
      <c r="E92" s="26"/>
    </row>
    <row r="93" spans="1:6" ht="14" customHeight="1">
      <c r="A93" s="19" t="s">
        <v>293</v>
      </c>
      <c r="B93" s="25" t="s">
        <v>3531</v>
      </c>
      <c r="C93" s="24" t="s">
        <v>3530</v>
      </c>
      <c r="D93" s="23" t="s">
        <v>3529</v>
      </c>
      <c r="E93" s="20" t="s">
        <v>295</v>
      </c>
      <c r="F93" s="22"/>
    </row>
    <row r="94" spans="1:6">
      <c r="A94" s="27"/>
      <c r="B94" s="27"/>
      <c r="C94" s="27" t="s">
        <v>414</v>
      </c>
      <c r="D94" s="27"/>
      <c r="E94" s="27"/>
    </row>
    <row r="95" spans="1:6">
      <c r="A95" s="26"/>
      <c r="B95" s="26"/>
      <c r="C95" s="26" t="s">
        <v>413</v>
      </c>
      <c r="D95" s="26"/>
      <c r="E95" s="26"/>
    </row>
    <row r="96" spans="1:6" ht="14" customHeight="1">
      <c r="A96" s="19" t="s">
        <v>293</v>
      </c>
      <c r="B96" s="25" t="s">
        <v>3528</v>
      </c>
      <c r="C96" s="24" t="s">
        <v>3527</v>
      </c>
      <c r="D96" s="23" t="s">
        <v>3526</v>
      </c>
      <c r="E96" s="20" t="s">
        <v>295</v>
      </c>
      <c r="F96" s="22"/>
    </row>
    <row r="98" spans="1:5" ht="70" customHeight="1">
      <c r="A98" s="19"/>
      <c r="B98" s="19"/>
      <c r="C98" s="19"/>
      <c r="D98" s="19"/>
      <c r="E98" s="19"/>
    </row>
    <row r="99" spans="1:5">
      <c r="A99" s="19"/>
      <c r="B99" s="19"/>
      <c r="C99" s="20" t="s">
        <v>288</v>
      </c>
      <c r="D99" s="19"/>
      <c r="E99" s="19"/>
    </row>
    <row r="100" spans="1:5">
      <c r="A100" s="19"/>
      <c r="B100" s="19"/>
      <c r="C100" s="20" t="s">
        <v>287</v>
      </c>
      <c r="D100" s="19"/>
      <c r="E100" s="19"/>
    </row>
    <row r="101" spans="1:5">
      <c r="A101" s="19"/>
      <c r="B101" s="19"/>
      <c r="C101" s="20" t="s">
        <v>286</v>
      </c>
      <c r="D101" s="19"/>
      <c r="E101" s="19"/>
    </row>
    <row r="102" spans="1:5">
      <c r="A102" s="19"/>
      <c r="B102" s="19"/>
      <c r="C102" s="20" t="s">
        <v>285</v>
      </c>
      <c r="D102" s="19"/>
      <c r="E102" s="19"/>
    </row>
    <row r="103" spans="1:5">
      <c r="A103" s="19"/>
      <c r="B103" s="19"/>
      <c r="C103" s="20" t="s">
        <v>284</v>
      </c>
      <c r="D103" s="19"/>
      <c r="E103" s="19"/>
    </row>
    <row r="104" spans="1:5">
      <c r="A104" s="19"/>
      <c r="B104" s="19"/>
      <c r="C104" s="20"/>
      <c r="D104" s="19"/>
      <c r="E104" s="19"/>
    </row>
    <row r="105" spans="1:5">
      <c r="A105" s="19"/>
      <c r="B105" s="19"/>
      <c r="C105" s="21" t="s">
        <v>283</v>
      </c>
      <c r="D105" s="19"/>
      <c r="E105" s="19"/>
    </row>
    <row r="106" spans="1:5" ht="20">
      <c r="A106" s="19"/>
      <c r="B106" s="19"/>
      <c r="C106" s="20" t="s">
        <v>282</v>
      </c>
      <c r="D106" s="19"/>
      <c r="E106" s="19"/>
    </row>
    <row r="107" spans="1:5">
      <c r="A107" s="19"/>
      <c r="B107" s="19"/>
      <c r="C107" s="21" t="s">
        <v>281</v>
      </c>
      <c r="D107" s="19"/>
      <c r="E107" s="19"/>
    </row>
    <row r="108" spans="1:5" ht="20">
      <c r="A108" s="19"/>
      <c r="B108" s="19"/>
      <c r="C108" s="20" t="s">
        <v>280</v>
      </c>
      <c r="D108" s="19"/>
      <c r="E108" s="19"/>
    </row>
  </sheetData>
  <mergeCells count="4">
    <mergeCell ref="A1:E1"/>
    <mergeCell ref="B2:F2"/>
    <mergeCell ref="B3:F3"/>
    <mergeCell ref="B4:F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9A7CF-D525-4AC4-9399-AD7B4113DE35}">
  <sheetPr>
    <tabColor theme="2" tint="-9.9978637043366805E-2"/>
  </sheetPr>
  <dimension ref="A1:FX2937"/>
  <sheetViews>
    <sheetView zoomScale="120" zoomScaleNormal="120" workbookViewId="0">
      <pane ySplit="4" topLeftCell="A5" activePane="bottomLeft" state="frozen"/>
      <selection activeCell="C8" sqref="C8"/>
      <selection pane="bottomLeft" activeCell="C8" sqref="C8"/>
    </sheetView>
  </sheetViews>
  <sheetFormatPr defaultColWidth="8.81640625" defaultRowHeight="14.5"/>
  <cols>
    <col min="1" max="1" width="9.453125" style="810" customWidth="1"/>
    <col min="2" max="2" width="97.08984375" style="657" customWidth="1"/>
    <col min="3" max="3" width="10.6328125" style="840" customWidth="1"/>
    <col min="4" max="4" width="9" style="839" bestFit="1" customWidth="1"/>
    <col min="5" max="16384" width="8.81640625" style="657"/>
  </cols>
  <sheetData>
    <row r="1" spans="1:4" s="908" customFormat="1" ht="28.5" customHeight="1">
      <c r="A1" s="1067"/>
      <c r="B1" s="1067"/>
      <c r="C1" s="1067"/>
      <c r="D1" s="909"/>
    </row>
    <row r="2" spans="1:4" s="908" customFormat="1" ht="48.25" customHeight="1">
      <c r="A2" s="1065" t="s">
        <v>53775</v>
      </c>
      <c r="B2" s="1065"/>
      <c r="C2" s="911"/>
      <c r="D2" s="909"/>
    </row>
    <row r="3" spans="1:4" s="908" customFormat="1" ht="21.65" customHeight="1">
      <c r="A3" s="1066" t="s">
        <v>53774</v>
      </c>
      <c r="B3" s="1066"/>
      <c r="C3" s="910"/>
      <c r="D3" s="909"/>
    </row>
    <row r="4" spans="1:4" ht="45" customHeight="1">
      <c r="A4" s="907" t="s">
        <v>0</v>
      </c>
      <c r="B4" s="907" t="s">
        <v>53773</v>
      </c>
      <c r="C4" s="906" t="s">
        <v>53772</v>
      </c>
    </row>
    <row r="5" spans="1:4" s="890" customFormat="1" ht="16" customHeight="1">
      <c r="A5" s="902" t="s">
        <v>53771</v>
      </c>
      <c r="B5" s="905" t="s">
        <v>53732</v>
      </c>
      <c r="C5" s="892"/>
      <c r="D5" s="891"/>
    </row>
    <row r="6" spans="1:4" ht="14" customHeight="1">
      <c r="A6" s="852">
        <v>78101</v>
      </c>
      <c r="B6" s="851" t="s">
        <v>53770</v>
      </c>
      <c r="C6" s="841">
        <v>333.48</v>
      </c>
      <c r="D6" s="845"/>
    </row>
    <row r="7" spans="1:4" ht="14" customHeight="1">
      <c r="A7" s="852">
        <v>78104</v>
      </c>
      <c r="B7" s="851" t="s">
        <v>53769</v>
      </c>
      <c r="C7" s="841">
        <v>299.51</v>
      </c>
      <c r="D7" s="845"/>
    </row>
    <row r="8" spans="1:4" ht="14" customHeight="1">
      <c r="A8" s="852">
        <v>78100</v>
      </c>
      <c r="B8" s="851" t="s">
        <v>53768</v>
      </c>
      <c r="C8" s="841">
        <v>283.14999999999998</v>
      </c>
      <c r="D8" s="845"/>
    </row>
    <row r="9" spans="1:4" ht="16" customHeight="1">
      <c r="A9" s="846" t="s">
        <v>53767</v>
      </c>
      <c r="B9" s="844"/>
      <c r="C9" s="841"/>
      <c r="D9" s="845"/>
    </row>
    <row r="10" spans="1:4" s="890" customFormat="1" ht="14" customHeight="1">
      <c r="A10" s="903">
        <v>75713</v>
      </c>
      <c r="B10" s="903" t="s">
        <v>53766</v>
      </c>
      <c r="C10" s="892">
        <v>277.64999999999998</v>
      </c>
      <c r="D10" s="891"/>
    </row>
    <row r="11" spans="1:4" ht="14" customHeight="1">
      <c r="A11" s="843">
        <v>75711</v>
      </c>
      <c r="B11" s="843" t="s">
        <v>53765</v>
      </c>
      <c r="C11" s="879">
        <v>245.73</v>
      </c>
      <c r="D11" s="904"/>
    </row>
    <row r="12" spans="1:4" s="890" customFormat="1" ht="14" customHeight="1">
      <c r="A12" s="903">
        <v>75712</v>
      </c>
      <c r="B12" s="903" t="s">
        <v>53764</v>
      </c>
      <c r="C12" s="892">
        <v>231.83</v>
      </c>
      <c r="D12" s="891"/>
    </row>
    <row r="13" spans="1:4" ht="14" customHeight="1">
      <c r="A13" s="843">
        <v>75710</v>
      </c>
      <c r="B13" s="843" t="s">
        <v>53763</v>
      </c>
      <c r="C13" s="841">
        <v>199.9</v>
      </c>
      <c r="D13" s="845"/>
    </row>
    <row r="14" spans="1:4">
      <c r="A14" s="846" t="s">
        <v>53762</v>
      </c>
      <c r="B14" s="844"/>
      <c r="C14" s="841"/>
      <c r="D14" s="845"/>
    </row>
    <row r="15" spans="1:4" s="890" customFormat="1">
      <c r="A15" s="894">
        <v>75430</v>
      </c>
      <c r="B15" s="893" t="s">
        <v>53761</v>
      </c>
      <c r="C15" s="892">
        <v>319.29000000000002</v>
      </c>
      <c r="D15" s="891"/>
    </row>
    <row r="16" spans="1:4">
      <c r="A16" s="842">
        <v>75431</v>
      </c>
      <c r="B16" s="844" t="s">
        <v>53760</v>
      </c>
      <c r="C16" s="841">
        <v>282.56</v>
      </c>
      <c r="D16" s="845"/>
    </row>
    <row r="17" spans="1:4" s="890" customFormat="1">
      <c r="A17" s="894">
        <v>75432</v>
      </c>
      <c r="B17" s="893" t="s">
        <v>53759</v>
      </c>
      <c r="C17" s="892">
        <v>266.60000000000002</v>
      </c>
      <c r="D17" s="891"/>
    </row>
    <row r="18" spans="1:4">
      <c r="A18" s="842">
        <v>75434</v>
      </c>
      <c r="B18" s="844" t="s">
        <v>53758</v>
      </c>
      <c r="C18" s="841">
        <v>344.84</v>
      </c>
      <c r="D18" s="845"/>
    </row>
    <row r="19" spans="1:4">
      <c r="A19" s="842">
        <v>75429</v>
      </c>
      <c r="B19" s="844" t="s">
        <v>53757</v>
      </c>
      <c r="C19" s="841">
        <v>229.89</v>
      </c>
      <c r="D19" s="845"/>
    </row>
    <row r="20" spans="1:4" ht="16" customHeight="1">
      <c r="A20" s="846" t="s">
        <v>53756</v>
      </c>
      <c r="B20" s="844"/>
      <c r="C20" s="841"/>
      <c r="D20" s="845"/>
    </row>
    <row r="21" spans="1:4" s="890" customFormat="1" ht="14" customHeight="1">
      <c r="A21" s="894">
        <v>75813</v>
      </c>
      <c r="B21" s="893" t="s">
        <v>53755</v>
      </c>
      <c r="C21" s="892">
        <v>298.45999999999998</v>
      </c>
      <c r="D21" s="891"/>
    </row>
    <row r="22" spans="1:4" ht="14" customHeight="1">
      <c r="A22" s="842">
        <v>75866</v>
      </c>
      <c r="B22" s="844" t="s">
        <v>53754</v>
      </c>
      <c r="C22" s="841">
        <v>258.60000000000002</v>
      </c>
      <c r="D22" s="845"/>
    </row>
    <row r="23" spans="1:4" ht="14" customHeight="1">
      <c r="A23" s="842">
        <v>75811</v>
      </c>
      <c r="B23" s="844" t="s">
        <v>53753</v>
      </c>
      <c r="C23" s="841">
        <v>267.93</v>
      </c>
      <c r="D23" s="845"/>
    </row>
    <row r="24" spans="1:4" ht="14" customHeight="1">
      <c r="A24" s="843">
        <v>75833</v>
      </c>
      <c r="B24" s="842" t="s">
        <v>53752</v>
      </c>
      <c r="C24" s="841">
        <v>315.12</v>
      </c>
      <c r="D24" s="657"/>
    </row>
    <row r="25" spans="1:4" ht="14" customHeight="1">
      <c r="A25" s="843">
        <v>75834</v>
      </c>
      <c r="B25" s="842" t="s">
        <v>53751</v>
      </c>
      <c r="C25" s="841">
        <v>298.45999999999998</v>
      </c>
      <c r="D25" s="657"/>
    </row>
    <row r="26" spans="1:4" s="890" customFormat="1" ht="14" customHeight="1">
      <c r="A26" s="894">
        <v>75812</v>
      </c>
      <c r="B26" s="893" t="s">
        <v>53750</v>
      </c>
      <c r="C26" s="892">
        <v>252.66</v>
      </c>
      <c r="D26" s="891"/>
    </row>
    <row r="27" spans="1:4" ht="14" customHeight="1">
      <c r="A27" s="842">
        <v>75832</v>
      </c>
      <c r="B27" s="844" t="s">
        <v>53749</v>
      </c>
      <c r="C27" s="841">
        <v>323.45999999999998</v>
      </c>
      <c r="D27" s="845"/>
    </row>
    <row r="28" spans="1:4" ht="14" customHeight="1">
      <c r="A28" s="842">
        <v>75810</v>
      </c>
      <c r="B28" s="844" t="s">
        <v>53748</v>
      </c>
      <c r="C28" s="841">
        <v>222.13</v>
      </c>
      <c r="D28" s="845"/>
    </row>
    <row r="29" spans="1:4" ht="16" customHeight="1">
      <c r="A29" s="846" t="s">
        <v>53747</v>
      </c>
      <c r="B29" s="844"/>
      <c r="C29" s="841"/>
      <c r="D29" s="845"/>
    </row>
    <row r="30" spans="1:4" s="890" customFormat="1" ht="14" customHeight="1">
      <c r="A30" s="894">
        <v>75454</v>
      </c>
      <c r="B30" s="893" t="s">
        <v>53746</v>
      </c>
      <c r="C30" s="892">
        <v>343.26</v>
      </c>
      <c r="D30" s="891"/>
    </row>
    <row r="31" spans="1:4" ht="14" customHeight="1">
      <c r="A31" s="842">
        <v>75455</v>
      </c>
      <c r="B31" s="844" t="s">
        <v>53745</v>
      </c>
      <c r="C31" s="841">
        <v>308.11</v>
      </c>
      <c r="D31" s="845"/>
    </row>
    <row r="32" spans="1:4" s="890" customFormat="1" ht="14" customHeight="1">
      <c r="A32" s="894">
        <v>75456</v>
      </c>
      <c r="B32" s="893" t="s">
        <v>53744</v>
      </c>
      <c r="C32" s="892">
        <v>290.54000000000002</v>
      </c>
      <c r="D32" s="891"/>
    </row>
    <row r="33" spans="1:4" ht="14" customHeight="1">
      <c r="A33" s="842">
        <v>75458</v>
      </c>
      <c r="B33" s="844" t="s">
        <v>53743</v>
      </c>
      <c r="C33" s="841">
        <v>371.99</v>
      </c>
      <c r="D33" s="845"/>
    </row>
    <row r="34" spans="1:4" ht="14" customHeight="1">
      <c r="A34" s="842">
        <v>75453</v>
      </c>
      <c r="B34" s="844" t="s">
        <v>53742</v>
      </c>
      <c r="C34" s="841">
        <v>255.44</v>
      </c>
      <c r="D34" s="845"/>
    </row>
    <row r="35" spans="1:4" ht="16" customHeight="1">
      <c r="A35" s="846" t="s">
        <v>53741</v>
      </c>
      <c r="B35" s="844"/>
      <c r="C35" s="841"/>
      <c r="D35" s="845"/>
    </row>
    <row r="36" spans="1:4" s="890" customFormat="1" ht="14" customHeight="1">
      <c r="A36" s="894">
        <v>74302</v>
      </c>
      <c r="B36" s="893" t="s">
        <v>53740</v>
      </c>
      <c r="C36" s="892">
        <v>297.85000000000002</v>
      </c>
      <c r="D36" s="891"/>
    </row>
    <row r="37" spans="1:4" s="890" customFormat="1" ht="14" customHeight="1">
      <c r="A37" s="894">
        <v>74301</v>
      </c>
      <c r="B37" s="893" t="s">
        <v>53739</v>
      </c>
      <c r="C37" s="892">
        <v>250.69</v>
      </c>
      <c r="D37" s="891"/>
    </row>
    <row r="38" spans="1:4" ht="14" customHeight="1">
      <c r="A38" s="842">
        <v>74303</v>
      </c>
      <c r="B38" s="844" t="s">
        <v>53738</v>
      </c>
      <c r="C38" s="841">
        <v>243.95</v>
      </c>
      <c r="D38" s="845"/>
    </row>
    <row r="39" spans="1:4" ht="14" customHeight="1">
      <c r="A39" s="842">
        <v>74309</v>
      </c>
      <c r="B39" s="844" t="s">
        <v>53737</v>
      </c>
      <c r="C39" s="841">
        <v>257.16000000000003</v>
      </c>
      <c r="D39" s="845"/>
    </row>
    <row r="40" spans="1:4" s="890" customFormat="1" ht="14" customHeight="1">
      <c r="A40" s="894">
        <v>74304</v>
      </c>
      <c r="B40" s="893" t="s">
        <v>53736</v>
      </c>
      <c r="C40" s="892">
        <v>226.43</v>
      </c>
      <c r="D40" s="891"/>
    </row>
    <row r="41" spans="1:4" ht="14" customHeight="1">
      <c r="A41" s="842">
        <v>74353</v>
      </c>
      <c r="B41" s="844" t="s">
        <v>53735</v>
      </c>
      <c r="C41" s="841">
        <v>303.54000000000002</v>
      </c>
      <c r="D41" s="845"/>
    </row>
    <row r="42" spans="1:4" ht="14" customHeight="1">
      <c r="A42" s="842">
        <v>74300</v>
      </c>
      <c r="B42" s="844" t="s">
        <v>53734</v>
      </c>
      <c r="C42" s="841">
        <v>175.2</v>
      </c>
      <c r="D42" s="845"/>
    </row>
    <row r="43" spans="1:4" s="893" customFormat="1" ht="14">
      <c r="A43" s="902" t="s">
        <v>53733</v>
      </c>
      <c r="B43" s="901" t="s">
        <v>53732</v>
      </c>
      <c r="C43" s="892"/>
    </row>
    <row r="44" spans="1:4" s="844" customFormat="1" ht="14">
      <c r="A44" s="856">
        <v>74431</v>
      </c>
      <c r="B44" s="844" t="s">
        <v>53731</v>
      </c>
      <c r="C44" s="841">
        <v>330.51</v>
      </c>
    </row>
    <row r="45" spans="1:4" s="844" customFormat="1" ht="14">
      <c r="A45" s="856">
        <v>74434</v>
      </c>
      <c r="B45" s="844" t="s">
        <v>53730</v>
      </c>
      <c r="C45" s="841">
        <v>302.60000000000002</v>
      </c>
    </row>
    <row r="46" spans="1:4" s="844" customFormat="1" ht="14">
      <c r="A46" s="856">
        <v>74435</v>
      </c>
      <c r="B46" s="844" t="s">
        <v>53729</v>
      </c>
      <c r="C46" s="841">
        <v>393.47</v>
      </c>
    </row>
    <row r="47" spans="1:4" s="844" customFormat="1" ht="14">
      <c r="A47" s="856">
        <v>74430</v>
      </c>
      <c r="B47" s="844" t="s">
        <v>53728</v>
      </c>
      <c r="C47" s="841">
        <v>243.7</v>
      </c>
    </row>
    <row r="48" spans="1:4" ht="16" customHeight="1">
      <c r="A48" s="846" t="s">
        <v>53727</v>
      </c>
      <c r="B48" s="844"/>
      <c r="C48" s="841"/>
      <c r="D48" s="845"/>
    </row>
    <row r="49" spans="1:4" s="890" customFormat="1" ht="14" customHeight="1">
      <c r="A49" s="894">
        <v>74752</v>
      </c>
      <c r="B49" s="893" t="s">
        <v>53726</v>
      </c>
      <c r="C49" s="892">
        <v>342.53</v>
      </c>
      <c r="D49" s="891"/>
    </row>
    <row r="50" spans="1:4" s="890" customFormat="1" ht="14" customHeight="1">
      <c r="A50" s="894">
        <v>74751</v>
      </c>
      <c r="B50" s="893" t="s">
        <v>53725</v>
      </c>
      <c r="C50" s="892">
        <v>288.3</v>
      </c>
      <c r="D50" s="891"/>
    </row>
    <row r="51" spans="1:4" ht="14" customHeight="1">
      <c r="A51" s="842">
        <v>74753</v>
      </c>
      <c r="B51" s="844" t="s">
        <v>53724</v>
      </c>
      <c r="C51" s="841">
        <v>280.55</v>
      </c>
      <c r="D51" s="845"/>
    </row>
    <row r="52" spans="1:4" s="890" customFormat="1" ht="14" customHeight="1">
      <c r="A52" s="894">
        <v>74754</v>
      </c>
      <c r="B52" s="893" t="s">
        <v>53723</v>
      </c>
      <c r="C52" s="892">
        <v>260.38</v>
      </c>
      <c r="D52" s="891"/>
    </row>
    <row r="53" spans="1:4" ht="14" customHeight="1">
      <c r="A53" s="842">
        <v>74778</v>
      </c>
      <c r="B53" s="844" t="s">
        <v>53722</v>
      </c>
      <c r="C53" s="841">
        <v>341.15</v>
      </c>
      <c r="D53" s="845"/>
    </row>
    <row r="54" spans="1:4" ht="14" customHeight="1">
      <c r="A54" s="842">
        <v>74750</v>
      </c>
      <c r="B54" s="844" t="s">
        <v>53721</v>
      </c>
      <c r="C54" s="841">
        <v>201.49</v>
      </c>
      <c r="D54" s="845"/>
    </row>
    <row r="55" spans="1:4" ht="16" customHeight="1">
      <c r="A55" s="846" t="s">
        <v>53720</v>
      </c>
      <c r="B55" s="900"/>
      <c r="C55" s="841"/>
      <c r="D55" s="845"/>
    </row>
    <row r="56" spans="1:4" s="890" customFormat="1" ht="14" customHeight="1">
      <c r="A56" s="899">
        <v>74612</v>
      </c>
      <c r="B56" s="893" t="s">
        <v>53719</v>
      </c>
      <c r="C56" s="892">
        <v>362.35</v>
      </c>
      <c r="D56" s="891"/>
    </row>
    <row r="57" spans="1:4" s="890" customFormat="1" ht="14" customHeight="1">
      <c r="A57" s="899">
        <v>74611</v>
      </c>
      <c r="B57" s="893" t="s">
        <v>53718</v>
      </c>
      <c r="C57" s="892">
        <v>308.11</v>
      </c>
      <c r="D57" s="891"/>
    </row>
    <row r="58" spans="1:4" ht="14" customHeight="1">
      <c r="A58" s="856">
        <v>74613</v>
      </c>
      <c r="B58" s="844" t="s">
        <v>53717</v>
      </c>
      <c r="C58" s="841">
        <v>300.36</v>
      </c>
      <c r="D58" s="845"/>
    </row>
    <row r="59" spans="1:4" s="890" customFormat="1" ht="14" customHeight="1">
      <c r="A59" s="899">
        <v>74614</v>
      </c>
      <c r="B59" s="893" t="s">
        <v>53716</v>
      </c>
      <c r="C59" s="892">
        <v>280.2</v>
      </c>
      <c r="D59" s="891"/>
    </row>
    <row r="60" spans="1:4" ht="14" customHeight="1">
      <c r="A60" s="856">
        <v>74619</v>
      </c>
      <c r="B60" s="842" t="s">
        <v>53715</v>
      </c>
      <c r="C60" s="841">
        <v>360.96</v>
      </c>
      <c r="D60" s="845"/>
    </row>
    <row r="61" spans="1:4" ht="14" customHeight="1">
      <c r="A61" s="856">
        <v>74610</v>
      </c>
      <c r="B61" s="844" t="s">
        <v>53714</v>
      </c>
      <c r="C61" s="841">
        <v>221.3</v>
      </c>
      <c r="D61" s="845"/>
    </row>
    <row r="62" spans="1:4" ht="16" customHeight="1">
      <c r="A62" s="846" t="s">
        <v>53713</v>
      </c>
      <c r="B62" s="844"/>
      <c r="C62" s="841"/>
      <c r="D62" s="845"/>
    </row>
    <row r="63" spans="1:4" s="890" customFormat="1" ht="14" customHeight="1">
      <c r="A63" s="898">
        <v>45861</v>
      </c>
      <c r="B63" s="897" t="s">
        <v>53712</v>
      </c>
      <c r="C63" s="892">
        <v>455.04</v>
      </c>
      <c r="D63" s="891"/>
    </row>
    <row r="64" spans="1:4" s="890" customFormat="1" ht="14" customHeight="1">
      <c r="A64" s="894">
        <v>45877</v>
      </c>
      <c r="B64" s="897" t="s">
        <v>53711</v>
      </c>
      <c r="C64" s="892">
        <v>455.04</v>
      </c>
      <c r="D64" s="891"/>
    </row>
    <row r="65" spans="1:4" ht="14" customHeight="1">
      <c r="A65" s="896">
        <v>45865</v>
      </c>
      <c r="B65" s="862" t="s">
        <v>53710</v>
      </c>
      <c r="C65" s="841">
        <v>437.19</v>
      </c>
      <c r="D65" s="845"/>
    </row>
    <row r="66" spans="1:4" ht="14" customHeight="1">
      <c r="A66" s="842">
        <v>45881</v>
      </c>
      <c r="B66" s="862" t="s">
        <v>53709</v>
      </c>
      <c r="C66" s="841">
        <v>437.19</v>
      </c>
      <c r="D66" s="845"/>
    </row>
    <row r="67" spans="1:4" ht="14" customHeight="1">
      <c r="A67" s="896">
        <v>45882</v>
      </c>
      <c r="B67" s="862" t="s">
        <v>53708</v>
      </c>
      <c r="C67" s="841">
        <v>398.54</v>
      </c>
      <c r="D67" s="845"/>
    </row>
    <row r="68" spans="1:4" ht="14" customHeight="1">
      <c r="A68" s="842">
        <v>45883</v>
      </c>
      <c r="B68" s="844" t="s">
        <v>53707</v>
      </c>
      <c r="C68" s="841">
        <v>398.54</v>
      </c>
      <c r="D68" s="845"/>
    </row>
    <row r="69" spans="1:4" ht="16" customHeight="1">
      <c r="A69" s="846" t="s">
        <v>53706</v>
      </c>
      <c r="B69" s="844"/>
      <c r="C69" s="841"/>
      <c r="D69" s="845"/>
    </row>
    <row r="70" spans="1:4" s="890" customFormat="1" ht="14" customHeight="1">
      <c r="A70" s="898">
        <v>45851</v>
      </c>
      <c r="B70" s="897" t="s">
        <v>53705</v>
      </c>
      <c r="C70" s="892">
        <v>428.27</v>
      </c>
      <c r="D70" s="891"/>
    </row>
    <row r="71" spans="1:4" s="890" customFormat="1" ht="14" customHeight="1">
      <c r="A71" s="898">
        <v>45871</v>
      </c>
      <c r="B71" s="897" t="s">
        <v>53704</v>
      </c>
      <c r="C71" s="892">
        <v>428.27</v>
      </c>
      <c r="D71" s="891"/>
    </row>
    <row r="72" spans="1:4" ht="14" customHeight="1">
      <c r="A72" s="896">
        <v>45855</v>
      </c>
      <c r="B72" s="862" t="s">
        <v>53703</v>
      </c>
      <c r="C72" s="841">
        <v>410.44</v>
      </c>
      <c r="D72" s="845"/>
    </row>
    <row r="73" spans="1:4" ht="14" customHeight="1">
      <c r="A73" s="896">
        <v>45875</v>
      </c>
      <c r="B73" s="862" t="s">
        <v>53702</v>
      </c>
      <c r="C73" s="841">
        <v>410.44</v>
      </c>
      <c r="D73" s="845"/>
    </row>
    <row r="74" spans="1:4" ht="14" customHeight="1">
      <c r="A74" s="896">
        <v>45857</v>
      </c>
      <c r="B74" s="862" t="s">
        <v>53701</v>
      </c>
      <c r="C74" s="841">
        <v>433.13</v>
      </c>
      <c r="D74" s="845"/>
    </row>
    <row r="75" spans="1:4" ht="14" customHeight="1">
      <c r="A75" s="896">
        <v>45856</v>
      </c>
      <c r="B75" s="862" t="s">
        <v>53700</v>
      </c>
      <c r="C75" s="841">
        <v>339.06</v>
      </c>
      <c r="D75" s="845"/>
    </row>
    <row r="76" spans="1:4" ht="14" customHeight="1">
      <c r="A76" s="896">
        <v>45876</v>
      </c>
      <c r="B76" s="862" t="s">
        <v>53699</v>
      </c>
      <c r="C76" s="841">
        <v>339.06</v>
      </c>
      <c r="D76" s="845"/>
    </row>
    <row r="77" spans="1:4" ht="16" customHeight="1">
      <c r="A77" s="846" t="s">
        <v>53698</v>
      </c>
      <c r="B77" s="844"/>
      <c r="C77" s="841"/>
      <c r="D77" s="845"/>
    </row>
    <row r="78" spans="1:4" ht="14" customHeight="1">
      <c r="A78" s="842">
        <v>44311</v>
      </c>
      <c r="B78" s="853" t="s">
        <v>53697</v>
      </c>
      <c r="C78" s="841">
        <v>467.1</v>
      </c>
      <c r="D78" s="845"/>
    </row>
    <row r="79" spans="1:4" ht="14" customHeight="1">
      <c r="A79" s="842">
        <v>44307</v>
      </c>
      <c r="B79" s="853" t="s">
        <v>53696</v>
      </c>
      <c r="C79" s="841">
        <v>467.1</v>
      </c>
      <c r="D79" s="845"/>
    </row>
    <row r="80" spans="1:4" s="890" customFormat="1" ht="14" customHeight="1">
      <c r="A80" s="894">
        <v>44315</v>
      </c>
      <c r="B80" s="893" t="s">
        <v>53695</v>
      </c>
      <c r="C80" s="892">
        <v>439.94</v>
      </c>
      <c r="D80" s="891"/>
    </row>
    <row r="81" spans="1:4" ht="14" customHeight="1">
      <c r="A81" s="842">
        <v>44301</v>
      </c>
      <c r="B81" s="853" t="s">
        <v>53694</v>
      </c>
      <c r="C81" s="841">
        <v>453.48</v>
      </c>
      <c r="D81" s="845"/>
    </row>
    <row r="82" spans="1:4" s="890" customFormat="1" ht="14" customHeight="1">
      <c r="A82" s="894">
        <v>44305</v>
      </c>
      <c r="B82" s="893" t="s">
        <v>53693</v>
      </c>
      <c r="C82" s="892">
        <v>426.33</v>
      </c>
      <c r="D82" s="891"/>
    </row>
    <row r="83" spans="1:4" ht="14" customHeight="1">
      <c r="A83" s="842">
        <v>44310</v>
      </c>
      <c r="B83" s="844" t="s">
        <v>53692</v>
      </c>
      <c r="C83" s="841">
        <v>391.35</v>
      </c>
      <c r="D83" s="845"/>
    </row>
    <row r="84" spans="1:4" ht="14" customHeight="1">
      <c r="A84" s="842">
        <v>44300</v>
      </c>
      <c r="B84" s="844" t="s">
        <v>53691</v>
      </c>
      <c r="C84" s="841">
        <v>377.73</v>
      </c>
      <c r="D84" s="845"/>
    </row>
    <row r="85" spans="1:4" s="883" customFormat="1" ht="16" customHeight="1">
      <c r="A85" s="846" t="s">
        <v>53690</v>
      </c>
      <c r="B85" s="844"/>
      <c r="C85" s="841"/>
    </row>
    <row r="86" spans="1:4" s="883" customFormat="1" ht="14" customHeight="1">
      <c r="A86" s="842">
        <v>44361</v>
      </c>
      <c r="B86" s="844" t="s">
        <v>53689</v>
      </c>
      <c r="C86" s="841">
        <v>453.49</v>
      </c>
    </row>
    <row r="87" spans="1:4" s="883" customFormat="1" ht="14" customHeight="1">
      <c r="A87" s="842">
        <v>44371</v>
      </c>
      <c r="B87" s="844" t="s">
        <v>53688</v>
      </c>
      <c r="C87" s="841">
        <v>440.27</v>
      </c>
    </row>
    <row r="88" spans="1:4" s="895" customFormat="1" ht="14" customHeight="1">
      <c r="A88" s="894">
        <v>44365</v>
      </c>
      <c r="B88" s="893" t="s">
        <v>53687</v>
      </c>
      <c r="C88" s="892">
        <v>427.12</v>
      </c>
    </row>
    <row r="89" spans="1:4" s="895" customFormat="1" ht="14" customHeight="1">
      <c r="A89" s="894">
        <v>44375</v>
      </c>
      <c r="B89" s="893" t="s">
        <v>53686</v>
      </c>
      <c r="C89" s="892">
        <v>413.91</v>
      </c>
    </row>
    <row r="90" spans="1:4" s="883" customFormat="1" ht="14" customHeight="1">
      <c r="A90" s="842">
        <v>44360</v>
      </c>
      <c r="B90" s="844" t="s">
        <v>53685</v>
      </c>
      <c r="C90" s="841">
        <v>379.95</v>
      </c>
    </row>
    <row r="91" spans="1:4" s="883" customFormat="1" ht="14" customHeight="1">
      <c r="A91" s="842">
        <v>44370</v>
      </c>
      <c r="B91" s="844" t="s">
        <v>53684</v>
      </c>
      <c r="C91" s="841">
        <v>366.73</v>
      </c>
    </row>
    <row r="92" spans="1:4" ht="16" customHeight="1">
      <c r="A92" s="846" t="s">
        <v>53683</v>
      </c>
      <c r="B92" s="844"/>
      <c r="C92" s="841"/>
      <c r="D92" s="845"/>
    </row>
    <row r="93" spans="1:4" ht="14" customHeight="1">
      <c r="A93" s="842">
        <v>44450</v>
      </c>
      <c r="B93" s="844" t="s">
        <v>53682</v>
      </c>
      <c r="C93" s="841">
        <v>434.78</v>
      </c>
      <c r="D93" s="845"/>
    </row>
    <row r="94" spans="1:4" s="890" customFormat="1" ht="14" customHeight="1">
      <c r="A94" s="894">
        <v>44451</v>
      </c>
      <c r="B94" s="893" t="s">
        <v>53681</v>
      </c>
      <c r="C94" s="892">
        <v>407.11</v>
      </c>
      <c r="D94" s="891"/>
    </row>
    <row r="95" spans="1:4" ht="14" customHeight="1">
      <c r="A95" s="842">
        <v>44454</v>
      </c>
      <c r="B95" s="844" t="s">
        <v>53680</v>
      </c>
      <c r="C95" s="841">
        <v>357.52</v>
      </c>
      <c r="D95" s="845"/>
    </row>
    <row r="96" spans="1:4" ht="14" customHeight="1">
      <c r="A96" s="842"/>
      <c r="B96" s="844"/>
      <c r="C96" s="841"/>
      <c r="D96" s="845"/>
    </row>
    <row r="97" spans="1:4" ht="14" customHeight="1">
      <c r="A97" s="842"/>
      <c r="B97" s="844"/>
      <c r="C97" s="841"/>
      <c r="D97" s="845"/>
    </row>
    <row r="98" spans="1:4" ht="14" customHeight="1">
      <c r="A98" s="842"/>
      <c r="B98" s="844"/>
      <c r="C98" s="841"/>
      <c r="D98" s="845"/>
    </row>
    <row r="99" spans="1:4" ht="14" customHeight="1">
      <c r="A99" s="842"/>
      <c r="B99" s="844"/>
      <c r="C99" s="841"/>
      <c r="D99" s="845"/>
    </row>
    <row r="100" spans="1:4" ht="14" customHeight="1">
      <c r="A100" s="842"/>
      <c r="B100" s="844"/>
      <c r="C100" s="841"/>
      <c r="D100" s="845"/>
    </row>
    <row r="101" spans="1:4" ht="14" customHeight="1">
      <c r="A101" s="842"/>
      <c r="B101" s="844"/>
      <c r="C101" s="841"/>
      <c r="D101" s="845"/>
    </row>
    <row r="102" spans="1:4" ht="14" customHeight="1">
      <c r="A102" s="842"/>
      <c r="B102" s="844"/>
      <c r="C102" s="841"/>
      <c r="D102" s="845"/>
    </row>
    <row r="103" spans="1:4" ht="14" customHeight="1">
      <c r="A103" s="842"/>
      <c r="B103" s="844"/>
      <c r="C103" s="841"/>
      <c r="D103" s="845"/>
    </row>
    <row r="104" spans="1:4" ht="14" customHeight="1">
      <c r="A104" s="842"/>
      <c r="B104" s="844"/>
      <c r="C104" s="841"/>
      <c r="D104" s="845"/>
    </row>
    <row r="105" spans="1:4" ht="14" customHeight="1">
      <c r="A105" s="842"/>
      <c r="B105" s="844"/>
      <c r="C105" s="841"/>
      <c r="D105" s="845"/>
    </row>
    <row r="106" spans="1:4" ht="14" customHeight="1">
      <c r="A106" s="842"/>
      <c r="B106" s="844"/>
      <c r="C106" s="841"/>
      <c r="D106" s="845"/>
    </row>
    <row r="107" spans="1:4" ht="14" customHeight="1">
      <c r="A107" s="842"/>
      <c r="B107" s="844"/>
      <c r="C107" s="841"/>
      <c r="D107" s="845"/>
    </row>
    <row r="108" spans="1:4" ht="14" customHeight="1">
      <c r="A108" s="842"/>
      <c r="B108" s="844"/>
      <c r="C108" s="841"/>
      <c r="D108" s="845"/>
    </row>
    <row r="109" spans="1:4" ht="14" customHeight="1">
      <c r="A109" s="842"/>
      <c r="B109" s="844"/>
      <c r="C109" s="841"/>
      <c r="D109" s="845"/>
    </row>
    <row r="110" spans="1:4" ht="14" customHeight="1">
      <c r="A110" s="842"/>
      <c r="B110" s="844"/>
      <c r="C110" s="841"/>
      <c r="D110" s="845"/>
    </row>
    <row r="111" spans="1:4" ht="14" customHeight="1">
      <c r="A111" s="842"/>
      <c r="B111" s="844"/>
      <c r="C111" s="841"/>
      <c r="D111" s="845"/>
    </row>
    <row r="112" spans="1:4" ht="14" customHeight="1">
      <c r="A112" s="842"/>
      <c r="B112" s="844"/>
      <c r="C112" s="841"/>
      <c r="D112" s="845"/>
    </row>
    <row r="113" spans="1:4" ht="14" customHeight="1">
      <c r="A113" s="842"/>
      <c r="B113" s="844"/>
      <c r="C113" s="841"/>
      <c r="D113" s="845"/>
    </row>
    <row r="114" spans="1:4" ht="14" customHeight="1">
      <c r="A114" s="842"/>
      <c r="B114" s="844"/>
      <c r="C114" s="841"/>
      <c r="D114" s="845"/>
    </row>
    <row r="115" spans="1:4" ht="14" customHeight="1">
      <c r="A115" s="842"/>
      <c r="B115" s="844"/>
      <c r="C115" s="841"/>
      <c r="D115" s="845"/>
    </row>
    <row r="116" spans="1:4" ht="14" customHeight="1">
      <c r="A116" s="842"/>
      <c r="B116" s="844"/>
      <c r="C116" s="841"/>
      <c r="D116" s="845"/>
    </row>
    <row r="117" spans="1:4" ht="14" customHeight="1">
      <c r="A117" s="842"/>
      <c r="B117" s="844"/>
      <c r="C117" s="841"/>
      <c r="D117" s="845"/>
    </row>
    <row r="118" spans="1:4" ht="14" customHeight="1">
      <c r="A118" s="842"/>
      <c r="B118" s="844"/>
      <c r="C118" s="841"/>
      <c r="D118" s="845"/>
    </row>
    <row r="119" spans="1:4" ht="14" customHeight="1">
      <c r="A119" s="842"/>
      <c r="B119" s="844"/>
      <c r="C119" s="841"/>
      <c r="D119" s="845"/>
    </row>
    <row r="120" spans="1:4" ht="14" customHeight="1">
      <c r="A120" s="842"/>
      <c r="B120" s="844"/>
      <c r="C120" s="841"/>
      <c r="D120" s="845"/>
    </row>
    <row r="121" spans="1:4" ht="14" customHeight="1">
      <c r="A121" s="842"/>
      <c r="B121" s="844"/>
      <c r="C121" s="841"/>
      <c r="D121" s="845"/>
    </row>
    <row r="122" spans="1:4" ht="14" customHeight="1">
      <c r="A122" s="842"/>
      <c r="B122" s="844"/>
      <c r="C122" s="841"/>
      <c r="D122" s="845"/>
    </row>
    <row r="123" spans="1:4" ht="14" customHeight="1">
      <c r="A123" s="842"/>
      <c r="B123" s="844"/>
      <c r="C123" s="841"/>
      <c r="D123" s="845"/>
    </row>
    <row r="124" spans="1:4" ht="14" customHeight="1">
      <c r="A124" s="842"/>
      <c r="B124" s="844"/>
      <c r="C124" s="841"/>
      <c r="D124" s="845"/>
    </row>
    <row r="125" spans="1:4" ht="14" customHeight="1">
      <c r="A125" s="842"/>
      <c r="B125" s="844"/>
      <c r="C125" s="841"/>
      <c r="D125" s="845"/>
    </row>
    <row r="126" spans="1:4" ht="14" customHeight="1">
      <c r="A126" s="842"/>
      <c r="B126" s="844"/>
      <c r="C126" s="841"/>
      <c r="D126" s="845"/>
    </row>
    <row r="127" spans="1:4" ht="14" customHeight="1">
      <c r="A127" s="842"/>
      <c r="B127" s="844"/>
      <c r="C127" s="841"/>
      <c r="D127" s="845"/>
    </row>
    <row r="128" spans="1:4" ht="14" customHeight="1">
      <c r="A128" s="842"/>
      <c r="B128" s="844"/>
      <c r="C128" s="841"/>
      <c r="D128" s="845"/>
    </row>
    <row r="129" spans="1:4" ht="14" customHeight="1">
      <c r="A129" s="842"/>
      <c r="B129" s="844"/>
      <c r="C129" s="841"/>
      <c r="D129" s="845"/>
    </row>
    <row r="130" spans="1:4" ht="14" customHeight="1">
      <c r="A130" s="842"/>
      <c r="B130" s="844"/>
      <c r="C130" s="841"/>
      <c r="D130" s="845"/>
    </row>
    <row r="131" spans="1:4" ht="14" customHeight="1">
      <c r="A131" s="842"/>
      <c r="B131" s="844"/>
      <c r="C131" s="841"/>
      <c r="D131" s="845"/>
    </row>
    <row r="132" spans="1:4" ht="14" customHeight="1">
      <c r="A132" s="842"/>
      <c r="B132" s="844"/>
      <c r="C132" s="841"/>
      <c r="D132" s="845"/>
    </row>
    <row r="133" spans="1:4" ht="14" customHeight="1">
      <c r="A133" s="842"/>
      <c r="B133" s="844"/>
      <c r="C133" s="841"/>
      <c r="D133" s="845"/>
    </row>
    <row r="134" spans="1:4" ht="14" customHeight="1">
      <c r="A134" s="842"/>
      <c r="B134" s="844"/>
      <c r="C134" s="841"/>
      <c r="D134" s="845"/>
    </row>
    <row r="135" spans="1:4" ht="14" customHeight="1">
      <c r="A135" s="842"/>
      <c r="B135" s="844"/>
      <c r="C135" s="841"/>
      <c r="D135" s="845"/>
    </row>
    <row r="136" spans="1:4" ht="14" customHeight="1">
      <c r="A136" s="842"/>
      <c r="B136" s="844"/>
      <c r="C136" s="841"/>
      <c r="D136" s="845"/>
    </row>
    <row r="137" spans="1:4" ht="14" customHeight="1">
      <c r="A137" s="842"/>
      <c r="B137" s="844"/>
      <c r="C137" s="841"/>
      <c r="D137" s="845"/>
    </row>
    <row r="138" spans="1:4" ht="14" customHeight="1">
      <c r="A138" s="842"/>
      <c r="B138" s="844"/>
      <c r="C138" s="841"/>
      <c r="D138" s="845"/>
    </row>
    <row r="139" spans="1:4" ht="14" customHeight="1">
      <c r="A139" s="842"/>
      <c r="B139" s="844"/>
      <c r="C139" s="841"/>
      <c r="D139" s="845"/>
    </row>
    <row r="140" spans="1:4" ht="14" customHeight="1">
      <c r="A140" s="842"/>
      <c r="B140" s="844"/>
      <c r="C140" s="841"/>
      <c r="D140" s="845"/>
    </row>
    <row r="141" spans="1:4" ht="14" customHeight="1">
      <c r="A141" s="842"/>
      <c r="B141" s="844"/>
      <c r="C141" s="841"/>
      <c r="D141" s="845"/>
    </row>
    <row r="142" spans="1:4" ht="14" customHeight="1">
      <c r="A142" s="842"/>
      <c r="B142" s="844"/>
      <c r="C142" s="841"/>
      <c r="D142" s="845"/>
    </row>
    <row r="143" spans="1:4" ht="14" customHeight="1">
      <c r="A143" s="842"/>
      <c r="B143" s="844"/>
      <c r="C143" s="841"/>
      <c r="D143" s="845"/>
    </row>
    <row r="144" spans="1:4" ht="14" customHeight="1">
      <c r="A144" s="842"/>
      <c r="B144" s="844"/>
      <c r="C144" s="841"/>
      <c r="D144" s="845"/>
    </row>
    <row r="145" spans="1:4" ht="14" customHeight="1">
      <c r="A145" s="842"/>
      <c r="B145" s="844"/>
      <c r="C145" s="841"/>
      <c r="D145" s="845"/>
    </row>
    <row r="146" spans="1:4" ht="14" customHeight="1">
      <c r="A146" s="842"/>
      <c r="B146" s="844"/>
      <c r="C146" s="841"/>
      <c r="D146" s="845"/>
    </row>
    <row r="147" spans="1:4" ht="14" customHeight="1">
      <c r="A147" s="842"/>
      <c r="B147" s="844"/>
      <c r="C147" s="841"/>
      <c r="D147" s="845"/>
    </row>
    <row r="148" spans="1:4" ht="14" customHeight="1">
      <c r="A148" s="842"/>
      <c r="B148" s="844"/>
      <c r="C148" s="841"/>
      <c r="D148" s="845"/>
    </row>
    <row r="149" spans="1:4" ht="14" customHeight="1">
      <c r="A149" s="842"/>
      <c r="B149" s="844"/>
      <c r="C149" s="841"/>
      <c r="D149" s="845"/>
    </row>
    <row r="150" spans="1:4" ht="14" customHeight="1">
      <c r="A150" s="842"/>
      <c r="B150" s="844"/>
      <c r="C150" s="841"/>
      <c r="D150" s="845"/>
    </row>
    <row r="151" spans="1:4" ht="14" customHeight="1">
      <c r="A151" s="842"/>
      <c r="B151" s="844"/>
      <c r="C151" s="841"/>
      <c r="D151" s="845"/>
    </row>
    <row r="152" spans="1:4" ht="14" customHeight="1">
      <c r="A152" s="842"/>
      <c r="B152" s="844"/>
      <c r="C152" s="841"/>
      <c r="D152" s="845"/>
    </row>
    <row r="153" spans="1:4" ht="14" customHeight="1">
      <c r="A153" s="842"/>
      <c r="B153" s="844"/>
      <c r="C153" s="841"/>
      <c r="D153" s="845"/>
    </row>
    <row r="154" spans="1:4" ht="14" customHeight="1">
      <c r="A154" s="842"/>
      <c r="B154" s="844"/>
      <c r="C154" s="841"/>
      <c r="D154" s="845"/>
    </row>
    <row r="155" spans="1:4" ht="14" customHeight="1">
      <c r="A155" s="842"/>
      <c r="B155" s="844"/>
      <c r="C155" s="841"/>
      <c r="D155" s="845"/>
    </row>
    <row r="156" spans="1:4" ht="14" customHeight="1">
      <c r="A156" s="842"/>
      <c r="B156" s="844"/>
      <c r="C156" s="841"/>
      <c r="D156" s="845"/>
    </row>
    <row r="157" spans="1:4" ht="14" customHeight="1">
      <c r="A157" s="842"/>
      <c r="B157" s="844"/>
      <c r="C157" s="841"/>
      <c r="D157" s="845"/>
    </row>
    <row r="158" spans="1:4" ht="14" customHeight="1">
      <c r="A158" s="842"/>
      <c r="B158" s="844"/>
      <c r="C158" s="841"/>
      <c r="D158" s="845"/>
    </row>
    <row r="159" spans="1:4" ht="14" customHeight="1">
      <c r="A159" s="842"/>
      <c r="B159" s="844"/>
      <c r="C159" s="841"/>
      <c r="D159" s="845"/>
    </row>
    <row r="160" spans="1:4" ht="14" customHeight="1">
      <c r="A160" s="842"/>
      <c r="B160" s="844"/>
      <c r="C160" s="841"/>
      <c r="D160" s="845"/>
    </row>
    <row r="161" spans="1:4" ht="14" customHeight="1">
      <c r="A161" s="842"/>
      <c r="B161" s="844"/>
      <c r="C161" s="841"/>
      <c r="D161" s="845"/>
    </row>
    <row r="162" spans="1:4" ht="14" customHeight="1">
      <c r="A162" s="842"/>
      <c r="B162" s="844"/>
      <c r="C162" s="841"/>
      <c r="D162" s="845"/>
    </row>
    <row r="163" spans="1:4" ht="14" customHeight="1">
      <c r="A163" s="842"/>
      <c r="B163" s="844"/>
      <c r="C163" s="841"/>
      <c r="D163" s="845"/>
    </row>
    <row r="164" spans="1:4" ht="14" customHeight="1">
      <c r="A164" s="842"/>
      <c r="B164" s="844"/>
      <c r="C164" s="841"/>
      <c r="D164" s="845"/>
    </row>
    <row r="165" spans="1:4" ht="14" customHeight="1">
      <c r="A165" s="842"/>
      <c r="B165" s="844"/>
      <c r="C165" s="841"/>
      <c r="D165" s="845"/>
    </row>
    <row r="166" spans="1:4" ht="14" customHeight="1">
      <c r="A166" s="842"/>
      <c r="B166" s="844"/>
      <c r="C166" s="841"/>
      <c r="D166" s="845"/>
    </row>
    <row r="167" spans="1:4" ht="14" customHeight="1">
      <c r="A167" s="842"/>
      <c r="B167" s="844"/>
      <c r="C167" s="841"/>
      <c r="D167" s="845"/>
    </row>
    <row r="168" spans="1:4" ht="14" customHeight="1">
      <c r="A168" s="842"/>
      <c r="B168" s="844"/>
      <c r="C168" s="841"/>
      <c r="D168" s="845"/>
    </row>
    <row r="169" spans="1:4" ht="14" customHeight="1">
      <c r="A169" s="842"/>
      <c r="B169" s="844"/>
      <c r="C169" s="841"/>
      <c r="D169" s="845"/>
    </row>
    <row r="170" spans="1:4" ht="14" customHeight="1">
      <c r="A170" s="842"/>
      <c r="B170" s="844"/>
      <c r="C170" s="841"/>
      <c r="D170" s="845"/>
    </row>
    <row r="171" spans="1:4" ht="14" customHeight="1">
      <c r="A171" s="842"/>
      <c r="B171" s="844"/>
      <c r="C171" s="841"/>
      <c r="D171" s="845"/>
    </row>
    <row r="172" spans="1:4" ht="14" customHeight="1">
      <c r="A172" s="842"/>
      <c r="B172" s="844"/>
      <c r="C172" s="841"/>
      <c r="D172" s="845"/>
    </row>
    <row r="173" spans="1:4" ht="14" customHeight="1">
      <c r="A173" s="842"/>
      <c r="B173" s="844"/>
      <c r="C173" s="841"/>
      <c r="D173" s="845"/>
    </row>
    <row r="174" spans="1:4" ht="14" customHeight="1">
      <c r="A174" s="842"/>
      <c r="B174" s="844"/>
      <c r="C174" s="841"/>
      <c r="D174" s="845"/>
    </row>
    <row r="175" spans="1:4" ht="14" customHeight="1">
      <c r="A175" s="842"/>
      <c r="B175" s="844"/>
      <c r="C175" s="841"/>
      <c r="D175" s="845"/>
    </row>
    <row r="176" spans="1:4" ht="14" customHeight="1">
      <c r="A176" s="842"/>
      <c r="B176" s="844"/>
      <c r="C176" s="841"/>
      <c r="D176" s="845"/>
    </row>
    <row r="177" spans="1:4" ht="14" customHeight="1">
      <c r="A177" s="842"/>
      <c r="B177" s="844"/>
      <c r="C177" s="841"/>
      <c r="D177" s="845"/>
    </row>
    <row r="178" spans="1:4" ht="14" customHeight="1">
      <c r="A178" s="842"/>
      <c r="B178" s="844"/>
      <c r="C178" s="841"/>
      <c r="D178" s="845"/>
    </row>
    <row r="179" spans="1:4" ht="14" customHeight="1">
      <c r="A179" s="842"/>
      <c r="B179" s="844"/>
      <c r="C179" s="841"/>
      <c r="D179" s="845"/>
    </row>
    <row r="180" spans="1:4" ht="14" customHeight="1">
      <c r="A180" s="842"/>
      <c r="B180" s="844"/>
      <c r="C180" s="841"/>
      <c r="D180" s="845"/>
    </row>
    <row r="181" spans="1:4" ht="14" customHeight="1">
      <c r="A181" s="842"/>
      <c r="B181" s="844"/>
      <c r="C181" s="841"/>
      <c r="D181" s="845"/>
    </row>
    <row r="182" spans="1:4" ht="14" customHeight="1">
      <c r="A182" s="842"/>
      <c r="B182" s="844"/>
      <c r="C182" s="841"/>
      <c r="D182" s="845"/>
    </row>
    <row r="183" spans="1:4" ht="14" customHeight="1">
      <c r="A183" s="842"/>
      <c r="B183" s="844"/>
      <c r="C183" s="841"/>
      <c r="D183" s="845"/>
    </row>
    <row r="184" spans="1:4" ht="14" customHeight="1">
      <c r="A184" s="842"/>
      <c r="B184" s="844"/>
      <c r="C184" s="841"/>
      <c r="D184" s="845"/>
    </row>
    <row r="185" spans="1:4" ht="14" customHeight="1">
      <c r="A185" s="842"/>
      <c r="B185" s="844"/>
      <c r="C185" s="841"/>
      <c r="D185" s="845"/>
    </row>
    <row r="186" spans="1:4" ht="14" customHeight="1">
      <c r="A186" s="842"/>
      <c r="B186" s="844"/>
      <c r="C186" s="841"/>
      <c r="D186" s="845"/>
    </row>
    <row r="187" spans="1:4" ht="14" customHeight="1">
      <c r="A187" s="842"/>
      <c r="B187" s="844"/>
      <c r="C187" s="841"/>
      <c r="D187" s="845"/>
    </row>
    <row r="188" spans="1:4" ht="14" customHeight="1">
      <c r="A188" s="842"/>
      <c r="B188" s="844"/>
      <c r="C188" s="841"/>
      <c r="D188" s="845"/>
    </row>
    <row r="189" spans="1:4" ht="14" customHeight="1">
      <c r="A189" s="842"/>
      <c r="B189" s="844"/>
      <c r="C189" s="841"/>
      <c r="D189" s="845"/>
    </row>
    <row r="190" spans="1:4" ht="14" customHeight="1">
      <c r="A190" s="842"/>
      <c r="B190" s="844"/>
      <c r="C190" s="841"/>
      <c r="D190" s="845"/>
    </row>
    <row r="191" spans="1:4" ht="14" customHeight="1">
      <c r="A191" s="842"/>
      <c r="B191" s="844"/>
      <c r="C191" s="841"/>
      <c r="D191" s="845"/>
    </row>
    <row r="192" spans="1:4" ht="14" customHeight="1">
      <c r="A192" s="842"/>
      <c r="B192" s="844"/>
      <c r="C192" s="841"/>
      <c r="D192" s="845"/>
    </row>
    <row r="193" spans="1:4" ht="14" customHeight="1">
      <c r="A193" s="842"/>
      <c r="B193" s="844"/>
      <c r="C193" s="841"/>
      <c r="D193" s="845"/>
    </row>
    <row r="194" spans="1:4" ht="14" customHeight="1">
      <c r="A194" s="842"/>
      <c r="B194" s="844"/>
      <c r="C194" s="841"/>
      <c r="D194" s="845"/>
    </row>
    <row r="195" spans="1:4" ht="14" customHeight="1">
      <c r="A195" s="842"/>
      <c r="B195" s="844"/>
      <c r="C195" s="841"/>
      <c r="D195" s="845"/>
    </row>
    <row r="196" spans="1:4" ht="14" customHeight="1">
      <c r="A196" s="842"/>
      <c r="B196" s="844"/>
      <c r="C196" s="841"/>
      <c r="D196" s="845"/>
    </row>
    <row r="197" spans="1:4" ht="14" customHeight="1">
      <c r="A197" s="842"/>
      <c r="B197" s="844"/>
      <c r="C197" s="841"/>
      <c r="D197" s="845"/>
    </row>
    <row r="198" spans="1:4" ht="14" customHeight="1">
      <c r="A198" s="842"/>
      <c r="B198" s="844"/>
      <c r="C198" s="841"/>
      <c r="D198" s="845"/>
    </row>
    <row r="199" spans="1:4" ht="14" customHeight="1">
      <c r="A199" s="842"/>
      <c r="B199" s="844"/>
      <c r="C199" s="841"/>
      <c r="D199" s="845"/>
    </row>
    <row r="200" spans="1:4" ht="14" customHeight="1">
      <c r="A200" s="842"/>
      <c r="B200" s="844"/>
      <c r="C200" s="841"/>
      <c r="D200" s="845"/>
    </row>
    <row r="201" spans="1:4" ht="14" customHeight="1">
      <c r="A201" s="842"/>
      <c r="B201" s="844"/>
      <c r="C201" s="841"/>
      <c r="D201" s="845"/>
    </row>
    <row r="202" spans="1:4" ht="14" customHeight="1">
      <c r="A202" s="842"/>
      <c r="B202" s="844"/>
      <c r="C202" s="841"/>
      <c r="D202" s="845"/>
    </row>
    <row r="203" spans="1:4" ht="14" customHeight="1">
      <c r="A203" s="842"/>
      <c r="B203" s="844"/>
      <c r="C203" s="841"/>
      <c r="D203" s="845"/>
    </row>
    <row r="204" spans="1:4" ht="14" customHeight="1">
      <c r="A204" s="842"/>
      <c r="B204" s="844"/>
      <c r="C204" s="841"/>
      <c r="D204" s="845"/>
    </row>
    <row r="205" spans="1:4" ht="14" customHeight="1">
      <c r="A205" s="842"/>
      <c r="B205" s="844"/>
      <c r="C205" s="841"/>
      <c r="D205" s="845"/>
    </row>
    <row r="206" spans="1:4" ht="14" customHeight="1">
      <c r="A206" s="842"/>
      <c r="B206" s="844"/>
      <c r="C206" s="841"/>
      <c r="D206" s="845"/>
    </row>
    <row r="207" spans="1:4" ht="14" customHeight="1">
      <c r="A207" s="842"/>
      <c r="B207" s="844"/>
      <c r="C207" s="841"/>
      <c r="D207" s="845"/>
    </row>
    <row r="208" spans="1:4" ht="14" customHeight="1">
      <c r="A208" s="842"/>
      <c r="B208" s="844"/>
      <c r="C208" s="841"/>
      <c r="D208" s="845"/>
    </row>
    <row r="209" spans="1:4" ht="14" customHeight="1">
      <c r="A209" s="842"/>
      <c r="B209" s="844"/>
      <c r="C209" s="841"/>
      <c r="D209" s="845"/>
    </row>
    <row r="210" spans="1:4" ht="14" customHeight="1">
      <c r="A210" s="842"/>
      <c r="B210" s="844"/>
      <c r="C210" s="841"/>
      <c r="D210" s="845"/>
    </row>
    <row r="211" spans="1:4" ht="14" customHeight="1">
      <c r="A211" s="842"/>
      <c r="B211" s="844"/>
      <c r="C211" s="841"/>
      <c r="D211" s="845"/>
    </row>
    <row r="212" spans="1:4" ht="14" customHeight="1">
      <c r="A212" s="842"/>
      <c r="B212" s="844"/>
      <c r="C212" s="841"/>
      <c r="D212" s="845"/>
    </row>
    <row r="213" spans="1:4" ht="14" customHeight="1">
      <c r="A213" s="842"/>
      <c r="B213" s="844"/>
      <c r="C213" s="841"/>
      <c r="D213" s="845"/>
    </row>
    <row r="214" spans="1:4" ht="14" customHeight="1">
      <c r="A214" s="842"/>
      <c r="B214" s="844"/>
      <c r="C214" s="841"/>
      <c r="D214" s="845"/>
    </row>
    <row r="215" spans="1:4" ht="14" customHeight="1">
      <c r="A215" s="842"/>
      <c r="B215" s="844"/>
      <c r="C215" s="841"/>
      <c r="D215" s="845"/>
    </row>
    <row r="216" spans="1:4" ht="14" customHeight="1">
      <c r="A216" s="842"/>
      <c r="B216" s="844"/>
      <c r="C216" s="841"/>
      <c r="D216" s="845"/>
    </row>
    <row r="217" spans="1:4" ht="14" customHeight="1">
      <c r="A217" s="842"/>
      <c r="B217" s="844"/>
      <c r="C217" s="841"/>
      <c r="D217" s="845"/>
    </row>
    <row r="218" spans="1:4" ht="14" customHeight="1">
      <c r="A218" s="842"/>
      <c r="B218" s="844"/>
      <c r="C218" s="841"/>
      <c r="D218" s="845"/>
    </row>
    <row r="219" spans="1:4" ht="14" customHeight="1">
      <c r="A219" s="842"/>
      <c r="B219" s="844"/>
      <c r="C219" s="841"/>
      <c r="D219" s="845"/>
    </row>
    <row r="220" spans="1:4" ht="14" customHeight="1">
      <c r="A220" s="842"/>
      <c r="B220" s="844"/>
      <c r="C220" s="841"/>
      <c r="D220" s="845"/>
    </row>
    <row r="221" spans="1:4" ht="14" customHeight="1">
      <c r="A221" s="842"/>
      <c r="B221" s="844"/>
      <c r="C221" s="841"/>
      <c r="D221" s="845"/>
    </row>
    <row r="222" spans="1:4" ht="14" customHeight="1">
      <c r="A222" s="842"/>
      <c r="B222" s="844"/>
      <c r="C222" s="841"/>
      <c r="D222" s="845"/>
    </row>
    <row r="223" spans="1:4" ht="14" customHeight="1">
      <c r="A223" s="842"/>
      <c r="B223" s="844"/>
      <c r="C223" s="841"/>
      <c r="D223" s="845"/>
    </row>
    <row r="224" spans="1:4" ht="14" customHeight="1">
      <c r="A224" s="842"/>
      <c r="B224" s="844"/>
      <c r="C224" s="841"/>
      <c r="D224" s="845"/>
    </row>
    <row r="225" spans="1:4" ht="14" customHeight="1">
      <c r="A225" s="842"/>
      <c r="B225" s="844"/>
      <c r="C225" s="841"/>
      <c r="D225" s="845"/>
    </row>
    <row r="226" spans="1:4" ht="14" customHeight="1">
      <c r="A226" s="842"/>
      <c r="B226" s="844"/>
      <c r="C226" s="841"/>
      <c r="D226" s="845"/>
    </row>
    <row r="227" spans="1:4" ht="14" customHeight="1">
      <c r="A227" s="842"/>
      <c r="B227" s="844"/>
      <c r="C227" s="841"/>
      <c r="D227" s="845"/>
    </row>
    <row r="228" spans="1:4" ht="14" customHeight="1">
      <c r="A228" s="842"/>
      <c r="B228" s="844"/>
      <c r="C228" s="841"/>
      <c r="D228" s="845"/>
    </row>
    <row r="229" spans="1:4" ht="14" customHeight="1">
      <c r="A229" s="842"/>
      <c r="B229" s="844"/>
      <c r="C229" s="841"/>
      <c r="D229" s="845"/>
    </row>
    <row r="230" spans="1:4" ht="14" customHeight="1">
      <c r="A230" s="842"/>
      <c r="B230" s="844"/>
      <c r="C230" s="841"/>
      <c r="D230" s="845"/>
    </row>
    <row r="231" spans="1:4" ht="14" customHeight="1">
      <c r="A231" s="842"/>
      <c r="B231" s="844"/>
      <c r="C231" s="841"/>
      <c r="D231" s="845"/>
    </row>
    <row r="232" spans="1:4" ht="14" customHeight="1">
      <c r="A232" s="842"/>
      <c r="B232" s="844"/>
      <c r="C232" s="841"/>
      <c r="D232" s="845"/>
    </row>
    <row r="233" spans="1:4" ht="14" customHeight="1">
      <c r="A233" s="842"/>
      <c r="B233" s="844"/>
      <c r="C233" s="841"/>
      <c r="D233" s="845"/>
    </row>
    <row r="234" spans="1:4" ht="14" customHeight="1">
      <c r="A234" s="842"/>
      <c r="B234" s="844"/>
      <c r="C234" s="841"/>
      <c r="D234" s="845"/>
    </row>
    <row r="235" spans="1:4" ht="14" customHeight="1">
      <c r="A235" s="842"/>
      <c r="B235" s="844"/>
      <c r="C235" s="841"/>
      <c r="D235" s="845"/>
    </row>
    <row r="236" spans="1:4" ht="14" customHeight="1">
      <c r="A236" s="842"/>
      <c r="B236" s="844"/>
      <c r="C236" s="841"/>
      <c r="D236" s="845"/>
    </row>
    <row r="237" spans="1:4" ht="14" customHeight="1">
      <c r="A237" s="842"/>
      <c r="B237" s="844"/>
      <c r="C237" s="841"/>
      <c r="D237" s="845"/>
    </row>
    <row r="238" spans="1:4" ht="14" customHeight="1">
      <c r="A238" s="842"/>
      <c r="B238" s="844"/>
      <c r="C238" s="841"/>
      <c r="D238" s="845"/>
    </row>
    <row r="239" spans="1:4" ht="14" customHeight="1">
      <c r="A239" s="842"/>
      <c r="B239" s="844"/>
      <c r="C239" s="841"/>
      <c r="D239" s="845"/>
    </row>
    <row r="240" spans="1:4" ht="14" customHeight="1">
      <c r="A240" s="842"/>
      <c r="B240" s="844"/>
      <c r="C240" s="841"/>
      <c r="D240" s="845"/>
    </row>
    <row r="241" spans="1:4" ht="14" customHeight="1">
      <c r="A241" s="842"/>
      <c r="B241" s="844"/>
      <c r="C241" s="841"/>
      <c r="D241" s="845"/>
    </row>
    <row r="242" spans="1:4" ht="14" customHeight="1">
      <c r="A242" s="842"/>
      <c r="B242" s="844"/>
      <c r="C242" s="841"/>
      <c r="D242" s="845"/>
    </row>
    <row r="243" spans="1:4" ht="14" customHeight="1">
      <c r="A243" s="842"/>
      <c r="B243" s="844"/>
      <c r="C243" s="841"/>
      <c r="D243" s="845"/>
    </row>
    <row r="244" spans="1:4" ht="14" customHeight="1">
      <c r="A244" s="842"/>
      <c r="B244" s="844"/>
      <c r="C244" s="841"/>
      <c r="D244" s="845"/>
    </row>
    <row r="245" spans="1:4" ht="14" customHeight="1">
      <c r="A245" s="842"/>
      <c r="B245" s="844"/>
      <c r="C245" s="841"/>
      <c r="D245" s="845"/>
    </row>
    <row r="246" spans="1:4" ht="14" customHeight="1">
      <c r="A246" s="842"/>
      <c r="B246" s="844"/>
      <c r="C246" s="841"/>
      <c r="D246" s="845"/>
    </row>
    <row r="247" spans="1:4" ht="14" customHeight="1">
      <c r="A247" s="842"/>
      <c r="B247" s="844"/>
      <c r="C247" s="841"/>
      <c r="D247" s="845"/>
    </row>
    <row r="248" spans="1:4" ht="14" customHeight="1">
      <c r="A248" s="842"/>
      <c r="B248" s="844"/>
      <c r="C248" s="841"/>
      <c r="D248" s="845"/>
    </row>
    <row r="249" spans="1:4" ht="14" customHeight="1">
      <c r="A249" s="842"/>
      <c r="B249" s="844"/>
      <c r="C249" s="841"/>
      <c r="D249" s="845"/>
    </row>
    <row r="250" spans="1:4" ht="14" customHeight="1">
      <c r="A250" s="842"/>
      <c r="B250" s="844"/>
      <c r="C250" s="841"/>
      <c r="D250" s="845"/>
    </row>
    <row r="251" spans="1:4" ht="14" customHeight="1">
      <c r="A251" s="842"/>
      <c r="B251" s="844"/>
      <c r="C251" s="841"/>
      <c r="D251" s="845"/>
    </row>
    <row r="252" spans="1:4" ht="14" customHeight="1">
      <c r="A252" s="842"/>
      <c r="B252" s="844"/>
      <c r="C252" s="841"/>
      <c r="D252" s="845"/>
    </row>
    <row r="253" spans="1:4" ht="14" customHeight="1">
      <c r="A253" s="842"/>
      <c r="B253" s="844"/>
      <c r="C253" s="841"/>
      <c r="D253" s="845"/>
    </row>
    <row r="254" spans="1:4" ht="14" customHeight="1">
      <c r="A254" s="842"/>
      <c r="B254" s="844"/>
      <c r="C254" s="841"/>
      <c r="D254" s="845"/>
    </row>
    <row r="255" spans="1:4" ht="14" customHeight="1">
      <c r="A255" s="842"/>
      <c r="B255" s="844"/>
      <c r="C255" s="841"/>
      <c r="D255" s="845"/>
    </row>
    <row r="256" spans="1:4" ht="14" customHeight="1">
      <c r="A256" s="842"/>
      <c r="B256" s="844"/>
      <c r="C256" s="841"/>
      <c r="D256" s="845"/>
    </row>
    <row r="257" spans="1:4" ht="14" customHeight="1">
      <c r="A257" s="842"/>
      <c r="B257" s="844"/>
      <c r="C257" s="841"/>
      <c r="D257" s="845"/>
    </row>
    <row r="258" spans="1:4" ht="14" customHeight="1">
      <c r="A258" s="842"/>
      <c r="B258" s="844"/>
      <c r="C258" s="841"/>
      <c r="D258" s="845"/>
    </row>
    <row r="259" spans="1:4" ht="14" customHeight="1">
      <c r="A259" s="842"/>
      <c r="B259" s="844"/>
      <c r="C259" s="841"/>
      <c r="D259" s="845"/>
    </row>
    <row r="260" spans="1:4" ht="14" customHeight="1">
      <c r="A260" s="842"/>
      <c r="B260" s="844"/>
      <c r="C260" s="841"/>
      <c r="D260" s="845"/>
    </row>
    <row r="261" spans="1:4" ht="14" customHeight="1">
      <c r="A261" s="842"/>
      <c r="B261" s="844"/>
      <c r="C261" s="841"/>
      <c r="D261" s="845"/>
    </row>
    <row r="262" spans="1:4" ht="14" customHeight="1">
      <c r="A262" s="842"/>
      <c r="B262" s="844"/>
      <c r="C262" s="841"/>
      <c r="D262" s="845"/>
    </row>
    <row r="263" spans="1:4" ht="14" customHeight="1">
      <c r="A263" s="842"/>
      <c r="B263" s="844"/>
      <c r="C263" s="841"/>
      <c r="D263" s="845"/>
    </row>
    <row r="264" spans="1:4" ht="14" customHeight="1">
      <c r="A264" s="842"/>
      <c r="B264" s="844"/>
      <c r="C264" s="841"/>
      <c r="D264" s="845"/>
    </row>
    <row r="265" spans="1:4" ht="14" customHeight="1">
      <c r="A265" s="842"/>
      <c r="B265" s="844"/>
      <c r="C265" s="841"/>
      <c r="D265" s="845"/>
    </row>
    <row r="266" spans="1:4" ht="14" customHeight="1">
      <c r="A266" s="842"/>
      <c r="B266" s="844"/>
      <c r="C266" s="841"/>
      <c r="D266" s="845"/>
    </row>
    <row r="267" spans="1:4" ht="14" customHeight="1">
      <c r="A267" s="842"/>
      <c r="B267" s="844"/>
      <c r="C267" s="841"/>
      <c r="D267" s="845"/>
    </row>
    <row r="268" spans="1:4" ht="14" customHeight="1">
      <c r="A268" s="842"/>
      <c r="B268" s="844"/>
      <c r="C268" s="841"/>
      <c r="D268" s="845"/>
    </row>
    <row r="269" spans="1:4" ht="14" customHeight="1">
      <c r="A269" s="842"/>
      <c r="B269" s="844"/>
      <c r="C269" s="841"/>
      <c r="D269" s="845"/>
    </row>
    <row r="270" spans="1:4" ht="14" customHeight="1">
      <c r="A270" s="842"/>
      <c r="B270" s="844"/>
      <c r="C270" s="841"/>
      <c r="D270" s="845"/>
    </row>
    <row r="271" spans="1:4" ht="14" customHeight="1">
      <c r="A271" s="842"/>
      <c r="B271" s="844"/>
      <c r="C271" s="841"/>
      <c r="D271" s="845"/>
    </row>
    <row r="272" spans="1:4" ht="14" customHeight="1">
      <c r="A272" s="842"/>
      <c r="B272" s="844"/>
      <c r="C272" s="841"/>
      <c r="D272" s="845"/>
    </row>
    <row r="273" spans="1:4" ht="14" customHeight="1">
      <c r="A273" s="842"/>
      <c r="B273" s="844"/>
      <c r="C273" s="841"/>
      <c r="D273" s="845"/>
    </row>
    <row r="274" spans="1:4" ht="14" customHeight="1">
      <c r="A274" s="842"/>
      <c r="B274" s="844"/>
      <c r="C274" s="841"/>
      <c r="D274" s="845"/>
    </row>
    <row r="275" spans="1:4" ht="14" customHeight="1">
      <c r="A275" s="842"/>
      <c r="B275" s="844"/>
      <c r="C275" s="841"/>
      <c r="D275" s="845"/>
    </row>
    <row r="276" spans="1:4" ht="14" customHeight="1">
      <c r="A276" s="842"/>
      <c r="B276" s="844"/>
      <c r="C276" s="841"/>
      <c r="D276" s="845"/>
    </row>
    <row r="277" spans="1:4" ht="14" customHeight="1">
      <c r="A277" s="842"/>
      <c r="B277" s="844"/>
      <c r="C277" s="841"/>
      <c r="D277" s="845"/>
    </row>
    <row r="278" spans="1:4" ht="14" customHeight="1">
      <c r="A278" s="842"/>
      <c r="B278" s="844"/>
      <c r="C278" s="841"/>
      <c r="D278" s="845"/>
    </row>
    <row r="279" spans="1:4" ht="14" customHeight="1">
      <c r="A279" s="842"/>
      <c r="B279" s="844"/>
      <c r="C279" s="841"/>
      <c r="D279" s="845"/>
    </row>
    <row r="280" spans="1:4" ht="14" customHeight="1">
      <c r="A280" s="842"/>
      <c r="B280" s="844"/>
      <c r="C280" s="841"/>
      <c r="D280" s="845"/>
    </row>
    <row r="281" spans="1:4" ht="14" customHeight="1">
      <c r="A281" s="842"/>
      <c r="B281" s="844"/>
      <c r="C281" s="841"/>
      <c r="D281" s="845"/>
    </row>
    <row r="282" spans="1:4" ht="14" customHeight="1">
      <c r="A282" s="842"/>
      <c r="B282" s="844"/>
      <c r="C282" s="841"/>
      <c r="D282" s="845"/>
    </row>
    <row r="283" spans="1:4" ht="14" customHeight="1">
      <c r="A283" s="842"/>
      <c r="B283" s="844"/>
      <c r="C283" s="841"/>
      <c r="D283" s="845"/>
    </row>
    <row r="284" spans="1:4" ht="14" customHeight="1">
      <c r="A284" s="842"/>
      <c r="B284" s="844"/>
      <c r="C284" s="841"/>
      <c r="D284" s="845"/>
    </row>
    <row r="285" spans="1:4" ht="14" customHeight="1">
      <c r="A285" s="842"/>
      <c r="B285" s="844"/>
      <c r="C285" s="841"/>
      <c r="D285" s="845"/>
    </row>
    <row r="286" spans="1:4" ht="14" customHeight="1">
      <c r="A286" s="842"/>
      <c r="B286" s="844"/>
      <c r="C286" s="841"/>
      <c r="D286" s="845"/>
    </row>
    <row r="287" spans="1:4" ht="14" customHeight="1">
      <c r="A287" s="842"/>
      <c r="B287" s="844"/>
      <c r="C287" s="841"/>
      <c r="D287" s="845"/>
    </row>
    <row r="288" spans="1:4" ht="14" customHeight="1">
      <c r="A288" s="842"/>
      <c r="B288" s="844"/>
      <c r="C288" s="841"/>
      <c r="D288" s="845"/>
    </row>
    <row r="289" spans="1:4" ht="14" customHeight="1">
      <c r="A289" s="842"/>
      <c r="B289" s="844"/>
      <c r="C289" s="841"/>
      <c r="D289" s="845"/>
    </row>
    <row r="290" spans="1:4" ht="14" customHeight="1">
      <c r="A290" s="842"/>
      <c r="B290" s="844"/>
      <c r="C290" s="841"/>
      <c r="D290" s="845"/>
    </row>
    <row r="291" spans="1:4" ht="14" customHeight="1">
      <c r="A291" s="842"/>
      <c r="B291" s="844"/>
      <c r="C291" s="841"/>
      <c r="D291" s="845"/>
    </row>
    <row r="292" spans="1:4" ht="14" customHeight="1">
      <c r="A292" s="842"/>
      <c r="B292" s="844"/>
      <c r="C292" s="841"/>
      <c r="D292" s="845"/>
    </row>
    <row r="293" spans="1:4" ht="14" customHeight="1">
      <c r="A293" s="842"/>
      <c r="B293" s="844"/>
      <c r="C293" s="841"/>
      <c r="D293" s="845"/>
    </row>
    <row r="294" spans="1:4" ht="14" customHeight="1">
      <c r="A294" s="842"/>
      <c r="B294" s="844"/>
      <c r="C294" s="841"/>
      <c r="D294" s="845"/>
    </row>
    <row r="295" spans="1:4" ht="14" customHeight="1">
      <c r="A295" s="842"/>
      <c r="B295" s="844"/>
      <c r="C295" s="841"/>
      <c r="D295" s="845"/>
    </row>
    <row r="296" spans="1:4" ht="14" customHeight="1">
      <c r="A296" s="842"/>
      <c r="B296" s="844"/>
      <c r="C296" s="841"/>
      <c r="D296" s="845"/>
    </row>
    <row r="297" spans="1:4" ht="14" customHeight="1">
      <c r="A297" s="842"/>
      <c r="B297" s="844"/>
      <c r="C297" s="841"/>
      <c r="D297" s="845"/>
    </row>
    <row r="298" spans="1:4" ht="14" customHeight="1">
      <c r="A298" s="842"/>
      <c r="B298" s="844"/>
      <c r="C298" s="841"/>
      <c r="D298" s="845"/>
    </row>
    <row r="299" spans="1:4" ht="14" customHeight="1">
      <c r="A299" s="842"/>
      <c r="B299" s="844"/>
      <c r="C299" s="841"/>
      <c r="D299" s="845"/>
    </row>
    <row r="300" spans="1:4" ht="14" customHeight="1">
      <c r="A300" s="842"/>
      <c r="B300" s="844"/>
      <c r="C300" s="841"/>
      <c r="D300" s="845"/>
    </row>
    <row r="301" spans="1:4" ht="14" customHeight="1">
      <c r="A301" s="842"/>
      <c r="B301" s="844"/>
      <c r="C301" s="841"/>
      <c r="D301" s="845"/>
    </row>
    <row r="302" spans="1:4" ht="14" customHeight="1">
      <c r="A302" s="842"/>
      <c r="B302" s="844"/>
      <c r="C302" s="841"/>
      <c r="D302" s="845"/>
    </row>
    <row r="303" spans="1:4" ht="14" customHeight="1">
      <c r="A303" s="842"/>
      <c r="B303" s="844"/>
      <c r="C303" s="841"/>
      <c r="D303" s="845"/>
    </row>
    <row r="304" spans="1:4" ht="14" customHeight="1">
      <c r="A304" s="842"/>
      <c r="B304" s="844"/>
      <c r="C304" s="841"/>
      <c r="D304" s="845"/>
    </row>
    <row r="305" spans="1:4" ht="14" customHeight="1">
      <c r="A305" s="842"/>
      <c r="B305" s="844"/>
      <c r="C305" s="841"/>
      <c r="D305" s="845"/>
    </row>
    <row r="306" spans="1:4" ht="14" customHeight="1">
      <c r="A306" s="842"/>
      <c r="B306" s="844"/>
      <c r="C306" s="841"/>
      <c r="D306" s="845"/>
    </row>
    <row r="307" spans="1:4" ht="14" customHeight="1">
      <c r="A307" s="842"/>
      <c r="B307" s="844"/>
      <c r="C307" s="841"/>
      <c r="D307" s="845"/>
    </row>
    <row r="308" spans="1:4" ht="14" customHeight="1">
      <c r="A308" s="842"/>
      <c r="B308" s="844"/>
      <c r="C308" s="841"/>
      <c r="D308" s="845"/>
    </row>
    <row r="309" spans="1:4" ht="14" customHeight="1">
      <c r="A309" s="842"/>
      <c r="B309" s="844"/>
      <c r="C309" s="841"/>
      <c r="D309" s="845"/>
    </row>
    <row r="310" spans="1:4" ht="14" customHeight="1">
      <c r="A310" s="842"/>
      <c r="B310" s="844"/>
      <c r="C310" s="841"/>
      <c r="D310" s="845"/>
    </row>
    <row r="311" spans="1:4" ht="14" customHeight="1">
      <c r="A311" s="842"/>
      <c r="B311" s="844"/>
      <c r="C311" s="841"/>
      <c r="D311" s="845"/>
    </row>
    <row r="312" spans="1:4" ht="14" customHeight="1">
      <c r="A312" s="842"/>
      <c r="B312" s="844"/>
      <c r="C312" s="841"/>
      <c r="D312" s="845"/>
    </row>
    <row r="313" spans="1:4" ht="14" customHeight="1">
      <c r="A313" s="842"/>
      <c r="B313" s="844"/>
      <c r="C313" s="841"/>
      <c r="D313" s="845"/>
    </row>
    <row r="314" spans="1:4" ht="14" customHeight="1">
      <c r="A314" s="842"/>
      <c r="B314" s="844"/>
      <c r="C314" s="841"/>
      <c r="D314" s="845"/>
    </row>
    <row r="315" spans="1:4" ht="14" customHeight="1">
      <c r="A315" s="842"/>
      <c r="B315" s="844"/>
      <c r="C315" s="841"/>
      <c r="D315" s="845"/>
    </row>
    <row r="316" spans="1:4" ht="14" customHeight="1">
      <c r="A316" s="842"/>
      <c r="B316" s="844"/>
      <c r="C316" s="841"/>
      <c r="D316" s="845"/>
    </row>
    <row r="317" spans="1:4" ht="14" customHeight="1">
      <c r="A317" s="842"/>
      <c r="B317" s="844"/>
      <c r="C317" s="841"/>
      <c r="D317" s="845"/>
    </row>
    <row r="318" spans="1:4" ht="14" customHeight="1">
      <c r="A318" s="842"/>
      <c r="B318" s="844"/>
      <c r="C318" s="841"/>
      <c r="D318" s="845"/>
    </row>
    <row r="319" spans="1:4" ht="14" customHeight="1">
      <c r="A319" s="842"/>
      <c r="B319" s="844"/>
      <c r="C319" s="841"/>
      <c r="D319" s="845"/>
    </row>
    <row r="320" spans="1:4" ht="14" customHeight="1">
      <c r="A320" s="842"/>
      <c r="B320" s="844"/>
      <c r="C320" s="841"/>
      <c r="D320" s="845"/>
    </row>
    <row r="321" spans="1:4" ht="14" customHeight="1">
      <c r="A321" s="842"/>
      <c r="B321" s="844"/>
      <c r="C321" s="841"/>
      <c r="D321" s="845"/>
    </row>
    <row r="322" spans="1:4" ht="14" customHeight="1">
      <c r="A322" s="842"/>
      <c r="B322" s="844"/>
      <c r="C322" s="841"/>
      <c r="D322" s="845"/>
    </row>
    <row r="323" spans="1:4" ht="14" customHeight="1">
      <c r="A323" s="842"/>
      <c r="B323" s="844"/>
      <c r="C323" s="841"/>
      <c r="D323" s="845"/>
    </row>
    <row r="324" spans="1:4" ht="14" customHeight="1">
      <c r="A324" s="842"/>
      <c r="B324" s="844"/>
      <c r="C324" s="841"/>
      <c r="D324" s="845"/>
    </row>
    <row r="325" spans="1:4" ht="14" customHeight="1">
      <c r="A325" s="842"/>
      <c r="B325" s="844"/>
      <c r="C325" s="841"/>
      <c r="D325" s="845"/>
    </row>
    <row r="326" spans="1:4" ht="14" customHeight="1">
      <c r="A326" s="842"/>
      <c r="B326" s="844"/>
      <c r="C326" s="841"/>
      <c r="D326" s="845"/>
    </row>
    <row r="327" spans="1:4" ht="14" customHeight="1">
      <c r="A327" s="842"/>
      <c r="B327" s="844"/>
      <c r="C327" s="841"/>
      <c r="D327" s="845"/>
    </row>
    <row r="328" spans="1:4" ht="14" customHeight="1">
      <c r="A328" s="842"/>
      <c r="B328" s="844"/>
      <c r="C328" s="841"/>
      <c r="D328" s="845"/>
    </row>
    <row r="329" spans="1:4" ht="14" customHeight="1">
      <c r="A329" s="842"/>
      <c r="B329" s="844"/>
      <c r="C329" s="841"/>
      <c r="D329" s="845"/>
    </row>
    <row r="330" spans="1:4" ht="14" customHeight="1">
      <c r="A330" s="842"/>
      <c r="B330" s="844"/>
      <c r="C330" s="841"/>
      <c r="D330" s="845"/>
    </row>
    <row r="331" spans="1:4" ht="14" customHeight="1">
      <c r="A331" s="842"/>
      <c r="B331" s="844"/>
      <c r="C331" s="841"/>
      <c r="D331" s="845"/>
    </row>
    <row r="332" spans="1:4" ht="14" customHeight="1">
      <c r="A332" s="842"/>
      <c r="B332" s="844"/>
      <c r="C332" s="841"/>
      <c r="D332" s="845"/>
    </row>
    <row r="333" spans="1:4" ht="14" customHeight="1">
      <c r="A333" s="842"/>
      <c r="B333" s="844"/>
      <c r="C333" s="841"/>
      <c r="D333" s="845"/>
    </row>
    <row r="334" spans="1:4" ht="14" customHeight="1">
      <c r="A334" s="842"/>
      <c r="B334" s="844"/>
      <c r="C334" s="841"/>
      <c r="D334" s="845"/>
    </row>
    <row r="335" spans="1:4" ht="14" customHeight="1">
      <c r="A335" s="842"/>
      <c r="B335" s="844"/>
      <c r="C335" s="841"/>
      <c r="D335" s="845"/>
    </row>
    <row r="336" spans="1:4" ht="14" customHeight="1">
      <c r="A336" s="842"/>
      <c r="B336" s="844"/>
      <c r="C336" s="841"/>
      <c r="D336" s="845"/>
    </row>
    <row r="337" spans="1:4" ht="14" customHeight="1">
      <c r="A337" s="842"/>
      <c r="B337" s="844"/>
      <c r="C337" s="841"/>
      <c r="D337" s="845"/>
    </row>
    <row r="338" spans="1:4" ht="14" customHeight="1">
      <c r="A338" s="842"/>
      <c r="B338" s="844"/>
      <c r="C338" s="841"/>
      <c r="D338" s="845"/>
    </row>
    <row r="339" spans="1:4" ht="14" customHeight="1">
      <c r="A339" s="842"/>
      <c r="B339" s="844"/>
      <c r="C339" s="841"/>
      <c r="D339" s="845"/>
    </row>
    <row r="340" spans="1:4" ht="14" customHeight="1">
      <c r="A340" s="842"/>
      <c r="B340" s="844"/>
      <c r="C340" s="841"/>
      <c r="D340" s="845"/>
    </row>
    <row r="341" spans="1:4" ht="14" customHeight="1">
      <c r="A341" s="842"/>
      <c r="B341" s="844"/>
      <c r="C341" s="841"/>
      <c r="D341" s="845"/>
    </row>
    <row r="342" spans="1:4" ht="14" customHeight="1">
      <c r="A342" s="842"/>
      <c r="B342" s="844"/>
      <c r="C342" s="841"/>
      <c r="D342" s="845"/>
    </row>
    <row r="343" spans="1:4" ht="14" customHeight="1">
      <c r="A343" s="842"/>
      <c r="B343" s="844"/>
      <c r="C343" s="841"/>
      <c r="D343" s="845"/>
    </row>
    <row r="344" spans="1:4" ht="14" customHeight="1">
      <c r="A344" s="842"/>
      <c r="B344" s="844"/>
      <c r="C344" s="841"/>
      <c r="D344" s="845"/>
    </row>
    <row r="345" spans="1:4" ht="14" customHeight="1">
      <c r="A345" s="842"/>
      <c r="B345" s="844"/>
      <c r="C345" s="841"/>
      <c r="D345" s="845"/>
    </row>
    <row r="346" spans="1:4" ht="14" customHeight="1">
      <c r="A346" s="842"/>
      <c r="B346" s="844"/>
      <c r="C346" s="841"/>
      <c r="D346" s="845"/>
    </row>
    <row r="347" spans="1:4" ht="14" customHeight="1">
      <c r="A347" s="842"/>
      <c r="B347" s="844"/>
      <c r="C347" s="841"/>
      <c r="D347" s="845"/>
    </row>
    <row r="348" spans="1:4" ht="14" customHeight="1">
      <c r="A348" s="842"/>
      <c r="B348" s="844"/>
      <c r="C348" s="841"/>
      <c r="D348" s="845"/>
    </row>
    <row r="349" spans="1:4" ht="14" customHeight="1">
      <c r="A349" s="842"/>
      <c r="B349" s="844"/>
      <c r="C349" s="841"/>
      <c r="D349" s="845"/>
    </row>
    <row r="350" spans="1:4" ht="14" customHeight="1">
      <c r="A350" s="842"/>
      <c r="B350" s="844"/>
      <c r="C350" s="841"/>
      <c r="D350" s="845"/>
    </row>
    <row r="351" spans="1:4" ht="14" customHeight="1">
      <c r="A351" s="842"/>
      <c r="B351" s="844"/>
      <c r="C351" s="841"/>
      <c r="D351" s="845"/>
    </row>
    <row r="352" spans="1:4" ht="14" customHeight="1">
      <c r="A352" s="842"/>
      <c r="B352" s="844"/>
      <c r="C352" s="841"/>
      <c r="D352" s="845"/>
    </row>
    <row r="353" spans="1:4" ht="14" customHeight="1">
      <c r="A353" s="842"/>
      <c r="B353" s="844"/>
      <c r="C353" s="841"/>
      <c r="D353" s="845"/>
    </row>
    <row r="354" spans="1:4" ht="14" customHeight="1">
      <c r="A354" s="842"/>
      <c r="B354" s="844"/>
      <c r="C354" s="841"/>
      <c r="D354" s="845"/>
    </row>
    <row r="355" spans="1:4" ht="14" customHeight="1">
      <c r="A355" s="842"/>
      <c r="B355" s="844"/>
      <c r="C355" s="841"/>
      <c r="D355" s="845"/>
    </row>
    <row r="356" spans="1:4" ht="14" customHeight="1">
      <c r="A356" s="842"/>
      <c r="B356" s="844"/>
      <c r="C356" s="841"/>
      <c r="D356" s="845"/>
    </row>
    <row r="357" spans="1:4" ht="14" customHeight="1">
      <c r="A357" s="842"/>
      <c r="B357" s="844"/>
      <c r="C357" s="841"/>
      <c r="D357" s="845"/>
    </row>
    <row r="358" spans="1:4" ht="14" customHeight="1">
      <c r="A358" s="842"/>
      <c r="B358" s="844"/>
      <c r="C358" s="841"/>
      <c r="D358" s="845"/>
    </row>
    <row r="359" spans="1:4" ht="14" customHeight="1">
      <c r="A359" s="842"/>
      <c r="B359" s="844"/>
      <c r="C359" s="841"/>
      <c r="D359" s="845"/>
    </row>
    <row r="360" spans="1:4" ht="14" customHeight="1">
      <c r="A360" s="842"/>
      <c r="B360" s="844"/>
      <c r="C360" s="841"/>
      <c r="D360" s="845"/>
    </row>
    <row r="361" spans="1:4" ht="14" customHeight="1">
      <c r="A361" s="842"/>
      <c r="B361" s="844"/>
      <c r="C361" s="841"/>
      <c r="D361" s="845"/>
    </row>
    <row r="362" spans="1:4" ht="14" customHeight="1">
      <c r="A362" s="842"/>
      <c r="B362" s="844"/>
      <c r="C362" s="841"/>
      <c r="D362" s="845"/>
    </row>
    <row r="363" spans="1:4" ht="14" customHeight="1">
      <c r="A363" s="842"/>
      <c r="B363" s="844"/>
      <c r="C363" s="841"/>
      <c r="D363" s="845"/>
    </row>
    <row r="364" spans="1:4" ht="14" customHeight="1">
      <c r="A364" s="842"/>
      <c r="B364" s="844"/>
      <c r="C364" s="841"/>
      <c r="D364" s="845"/>
    </row>
    <row r="365" spans="1:4" ht="14" customHeight="1">
      <c r="A365" s="842"/>
      <c r="B365" s="844"/>
      <c r="C365" s="841"/>
      <c r="D365" s="845"/>
    </row>
    <row r="366" spans="1:4" ht="14" customHeight="1">
      <c r="A366" s="842"/>
      <c r="B366" s="844"/>
      <c r="C366" s="841"/>
      <c r="D366" s="845"/>
    </row>
    <row r="367" spans="1:4" ht="14" customHeight="1">
      <c r="A367" s="842"/>
      <c r="B367" s="844"/>
      <c r="C367" s="841"/>
      <c r="D367" s="845"/>
    </row>
    <row r="368" spans="1:4" ht="14" customHeight="1">
      <c r="A368" s="842"/>
      <c r="B368" s="844"/>
      <c r="C368" s="841"/>
      <c r="D368" s="845"/>
    </row>
    <row r="369" spans="1:4" ht="14" customHeight="1">
      <c r="A369" s="842"/>
      <c r="B369" s="844"/>
      <c r="C369" s="841"/>
      <c r="D369" s="845"/>
    </row>
    <row r="370" spans="1:4" ht="14" customHeight="1">
      <c r="A370" s="842"/>
      <c r="B370" s="844"/>
      <c r="C370" s="841"/>
      <c r="D370" s="845"/>
    </row>
    <row r="371" spans="1:4" ht="14" customHeight="1">
      <c r="A371" s="842"/>
      <c r="B371" s="844"/>
      <c r="C371" s="841"/>
      <c r="D371" s="845"/>
    </row>
    <row r="372" spans="1:4" ht="14" customHeight="1">
      <c r="A372" s="842"/>
      <c r="B372" s="844"/>
      <c r="C372" s="841"/>
      <c r="D372" s="845"/>
    </row>
    <row r="373" spans="1:4" ht="14" customHeight="1">
      <c r="A373" s="842"/>
      <c r="B373" s="844"/>
      <c r="C373" s="841"/>
      <c r="D373" s="845"/>
    </row>
    <row r="374" spans="1:4" ht="14" customHeight="1">
      <c r="A374" s="842"/>
      <c r="B374" s="844"/>
      <c r="C374" s="841"/>
      <c r="D374" s="845"/>
    </row>
    <row r="375" spans="1:4" ht="14" customHeight="1">
      <c r="A375" s="842"/>
      <c r="B375" s="844"/>
      <c r="C375" s="841"/>
      <c r="D375" s="845"/>
    </row>
    <row r="376" spans="1:4" ht="14" customHeight="1">
      <c r="A376" s="842"/>
      <c r="B376" s="844"/>
      <c r="C376" s="841"/>
      <c r="D376" s="845"/>
    </row>
    <row r="377" spans="1:4" ht="14" customHeight="1">
      <c r="A377" s="842"/>
      <c r="B377" s="844"/>
      <c r="C377" s="841"/>
      <c r="D377" s="845"/>
    </row>
    <row r="378" spans="1:4" ht="14" customHeight="1">
      <c r="A378" s="842"/>
      <c r="B378" s="844"/>
      <c r="C378" s="841"/>
      <c r="D378" s="845"/>
    </row>
    <row r="379" spans="1:4" ht="14" customHeight="1">
      <c r="A379" s="842"/>
      <c r="B379" s="844"/>
      <c r="C379" s="841"/>
      <c r="D379" s="845"/>
    </row>
    <row r="380" spans="1:4" ht="14" customHeight="1">
      <c r="A380" s="842"/>
      <c r="B380" s="844"/>
      <c r="C380" s="841"/>
      <c r="D380" s="845"/>
    </row>
    <row r="381" spans="1:4" ht="14" customHeight="1">
      <c r="A381" s="842"/>
      <c r="B381" s="844"/>
      <c r="C381" s="841"/>
      <c r="D381" s="845"/>
    </row>
    <row r="382" spans="1:4" ht="14" customHeight="1">
      <c r="A382" s="842"/>
      <c r="B382" s="844"/>
      <c r="C382" s="841"/>
      <c r="D382" s="845"/>
    </row>
    <row r="383" spans="1:4" ht="14" customHeight="1">
      <c r="A383" s="842"/>
      <c r="B383" s="844"/>
      <c r="C383" s="841"/>
      <c r="D383" s="845"/>
    </row>
    <row r="384" spans="1:4" ht="14" customHeight="1">
      <c r="A384" s="842"/>
      <c r="B384" s="844"/>
      <c r="C384" s="841"/>
      <c r="D384" s="845"/>
    </row>
    <row r="385" spans="1:4" ht="14" customHeight="1">
      <c r="A385" s="842"/>
      <c r="B385" s="844"/>
      <c r="C385" s="841"/>
      <c r="D385" s="845"/>
    </row>
    <row r="386" spans="1:4" ht="14" customHeight="1">
      <c r="A386" s="842"/>
      <c r="B386" s="844"/>
      <c r="C386" s="841"/>
      <c r="D386" s="845"/>
    </row>
    <row r="387" spans="1:4" ht="14" customHeight="1">
      <c r="A387" s="842"/>
      <c r="B387" s="844"/>
      <c r="C387" s="841"/>
      <c r="D387" s="845"/>
    </row>
    <row r="388" spans="1:4" ht="14" customHeight="1">
      <c r="A388" s="842"/>
      <c r="B388" s="844"/>
      <c r="C388" s="841"/>
      <c r="D388" s="845"/>
    </row>
    <row r="389" spans="1:4" ht="14" customHeight="1">
      <c r="A389" s="842"/>
      <c r="B389" s="844"/>
      <c r="C389" s="841"/>
      <c r="D389" s="845"/>
    </row>
    <row r="390" spans="1:4" ht="14" customHeight="1">
      <c r="A390" s="842"/>
      <c r="B390" s="844"/>
      <c r="C390" s="841"/>
      <c r="D390" s="845"/>
    </row>
    <row r="391" spans="1:4" ht="14" customHeight="1">
      <c r="A391" s="842"/>
      <c r="B391" s="844"/>
      <c r="C391" s="841"/>
      <c r="D391" s="845"/>
    </row>
    <row r="392" spans="1:4" ht="14" customHeight="1">
      <c r="A392" s="842"/>
      <c r="B392" s="844"/>
      <c r="C392" s="841"/>
      <c r="D392" s="845"/>
    </row>
    <row r="393" spans="1:4" ht="14" customHeight="1">
      <c r="A393" s="842"/>
      <c r="B393" s="844"/>
      <c r="C393" s="841"/>
      <c r="D393" s="845"/>
    </row>
    <row r="394" spans="1:4" ht="14" customHeight="1">
      <c r="A394" s="842"/>
      <c r="B394" s="844"/>
      <c r="C394" s="841"/>
      <c r="D394" s="845"/>
    </row>
    <row r="395" spans="1:4" ht="14" customHeight="1">
      <c r="A395" s="842"/>
      <c r="B395" s="844"/>
      <c r="C395" s="841"/>
      <c r="D395" s="845"/>
    </row>
    <row r="396" spans="1:4" ht="14" customHeight="1">
      <c r="A396" s="842"/>
      <c r="B396" s="844"/>
      <c r="C396" s="841"/>
      <c r="D396" s="845"/>
    </row>
    <row r="397" spans="1:4" ht="14" customHeight="1">
      <c r="A397" s="842"/>
      <c r="B397" s="844"/>
      <c r="C397" s="841"/>
      <c r="D397" s="845"/>
    </row>
    <row r="398" spans="1:4" ht="14" customHeight="1">
      <c r="A398" s="842"/>
      <c r="B398" s="844"/>
      <c r="C398" s="841"/>
      <c r="D398" s="845"/>
    </row>
    <row r="399" spans="1:4" ht="14" customHeight="1">
      <c r="A399" s="842"/>
      <c r="B399" s="844"/>
      <c r="C399" s="841"/>
      <c r="D399" s="845"/>
    </row>
    <row r="400" spans="1:4" ht="14" customHeight="1">
      <c r="A400" s="842"/>
      <c r="B400" s="844"/>
      <c r="C400" s="841"/>
      <c r="D400" s="845"/>
    </row>
    <row r="401" spans="1:4" ht="14" customHeight="1">
      <c r="A401" s="842"/>
      <c r="B401" s="844"/>
      <c r="C401" s="841"/>
      <c r="D401" s="845"/>
    </row>
    <row r="402" spans="1:4" ht="14" customHeight="1">
      <c r="A402" s="842"/>
      <c r="B402" s="844"/>
      <c r="C402" s="841"/>
      <c r="D402" s="845"/>
    </row>
    <row r="403" spans="1:4" ht="14" customHeight="1">
      <c r="A403" s="842"/>
      <c r="B403" s="844"/>
      <c r="C403" s="841"/>
      <c r="D403" s="845"/>
    </row>
    <row r="404" spans="1:4" ht="14" customHeight="1">
      <c r="A404" s="842"/>
      <c r="B404" s="844"/>
      <c r="C404" s="841"/>
      <c r="D404" s="845"/>
    </row>
    <row r="405" spans="1:4" ht="14" customHeight="1">
      <c r="A405" s="842"/>
      <c r="B405" s="844"/>
      <c r="C405" s="841"/>
      <c r="D405" s="845"/>
    </row>
    <row r="406" spans="1:4" ht="14" customHeight="1">
      <c r="A406" s="842"/>
      <c r="B406" s="844"/>
      <c r="C406" s="841"/>
      <c r="D406" s="845"/>
    </row>
    <row r="407" spans="1:4" ht="14" customHeight="1">
      <c r="A407" s="842"/>
      <c r="B407" s="844"/>
      <c r="C407" s="841"/>
      <c r="D407" s="845"/>
    </row>
    <row r="408" spans="1:4" ht="14" customHeight="1">
      <c r="A408" s="842"/>
      <c r="B408" s="844"/>
      <c r="C408" s="841"/>
      <c r="D408" s="845"/>
    </row>
    <row r="409" spans="1:4" ht="14" customHeight="1">
      <c r="A409" s="842"/>
      <c r="B409" s="844"/>
      <c r="C409" s="841"/>
      <c r="D409" s="845"/>
    </row>
    <row r="410" spans="1:4" ht="14" customHeight="1">
      <c r="A410" s="842"/>
      <c r="B410" s="844"/>
      <c r="C410" s="841"/>
      <c r="D410" s="845"/>
    </row>
    <row r="411" spans="1:4" ht="14" customHeight="1">
      <c r="A411" s="842"/>
      <c r="B411" s="844"/>
      <c r="C411" s="841"/>
      <c r="D411" s="845"/>
    </row>
    <row r="412" spans="1:4" ht="14" customHeight="1">
      <c r="A412" s="842"/>
      <c r="B412" s="844"/>
      <c r="C412" s="841"/>
      <c r="D412" s="845"/>
    </row>
    <row r="413" spans="1:4" ht="14" customHeight="1">
      <c r="A413" s="842"/>
      <c r="B413" s="844"/>
      <c r="C413" s="841"/>
      <c r="D413" s="845"/>
    </row>
    <row r="414" spans="1:4" ht="14" customHeight="1">
      <c r="A414" s="842"/>
      <c r="B414" s="844"/>
      <c r="C414" s="841"/>
      <c r="D414" s="845"/>
    </row>
    <row r="415" spans="1:4" ht="14" customHeight="1">
      <c r="A415" s="842"/>
      <c r="B415" s="844"/>
      <c r="C415" s="841"/>
      <c r="D415" s="845"/>
    </row>
    <row r="416" spans="1:4" ht="14" customHeight="1">
      <c r="A416" s="842"/>
      <c r="B416" s="844"/>
      <c r="C416" s="841"/>
      <c r="D416" s="845"/>
    </row>
    <row r="417" spans="1:4" ht="14" customHeight="1">
      <c r="A417" s="842"/>
      <c r="B417" s="844"/>
      <c r="C417" s="841"/>
      <c r="D417" s="845"/>
    </row>
    <row r="418" spans="1:4" ht="14" customHeight="1">
      <c r="A418" s="842"/>
      <c r="B418" s="844"/>
      <c r="C418" s="841"/>
      <c r="D418" s="845"/>
    </row>
    <row r="419" spans="1:4" ht="14" customHeight="1">
      <c r="A419" s="842"/>
      <c r="B419" s="844"/>
      <c r="C419" s="841"/>
      <c r="D419" s="845"/>
    </row>
    <row r="420" spans="1:4" ht="14" customHeight="1">
      <c r="A420" s="842"/>
      <c r="B420" s="844"/>
      <c r="C420" s="841"/>
      <c r="D420" s="845"/>
    </row>
    <row r="421" spans="1:4" ht="14" customHeight="1">
      <c r="A421" s="842"/>
      <c r="B421" s="844"/>
      <c r="C421" s="841"/>
      <c r="D421" s="845"/>
    </row>
    <row r="422" spans="1:4" ht="14" customHeight="1">
      <c r="A422" s="842"/>
      <c r="B422" s="844"/>
      <c r="C422" s="841"/>
      <c r="D422" s="845"/>
    </row>
    <row r="423" spans="1:4" ht="14" customHeight="1">
      <c r="A423" s="842"/>
      <c r="B423" s="844"/>
      <c r="C423" s="841"/>
      <c r="D423" s="845"/>
    </row>
    <row r="424" spans="1:4" ht="14" customHeight="1">
      <c r="A424" s="842"/>
      <c r="B424" s="844"/>
      <c r="C424" s="841"/>
      <c r="D424" s="845"/>
    </row>
    <row r="425" spans="1:4" ht="14" customHeight="1">
      <c r="A425" s="842"/>
      <c r="B425" s="844"/>
      <c r="C425" s="841"/>
      <c r="D425" s="845"/>
    </row>
    <row r="426" spans="1:4" ht="14" customHeight="1">
      <c r="A426" s="842"/>
      <c r="B426" s="844"/>
      <c r="C426" s="841"/>
      <c r="D426" s="845"/>
    </row>
    <row r="427" spans="1:4" ht="14" customHeight="1">
      <c r="A427" s="842"/>
      <c r="B427" s="844"/>
      <c r="C427" s="841"/>
      <c r="D427" s="845"/>
    </row>
    <row r="428" spans="1:4" ht="14" customHeight="1">
      <c r="A428" s="842"/>
      <c r="B428" s="844"/>
      <c r="C428" s="841"/>
      <c r="D428" s="845"/>
    </row>
    <row r="429" spans="1:4" ht="14" customHeight="1">
      <c r="A429" s="842"/>
      <c r="B429" s="844"/>
      <c r="C429" s="841"/>
      <c r="D429" s="845"/>
    </row>
    <row r="430" spans="1:4" ht="14" customHeight="1">
      <c r="A430" s="842"/>
      <c r="B430" s="844"/>
      <c r="C430" s="841"/>
      <c r="D430" s="845"/>
    </row>
    <row r="431" spans="1:4" ht="14" customHeight="1">
      <c r="A431" s="842"/>
      <c r="B431" s="844"/>
      <c r="C431" s="841"/>
      <c r="D431" s="845"/>
    </row>
    <row r="432" spans="1:4" ht="14" customHeight="1">
      <c r="A432" s="842"/>
      <c r="B432" s="844"/>
      <c r="C432" s="841"/>
      <c r="D432" s="845"/>
    </row>
    <row r="433" spans="1:4" ht="14" customHeight="1">
      <c r="A433" s="842"/>
      <c r="B433" s="844"/>
      <c r="C433" s="841"/>
      <c r="D433" s="845"/>
    </row>
    <row r="434" spans="1:4" ht="14" customHeight="1">
      <c r="A434" s="842"/>
      <c r="B434" s="844"/>
      <c r="C434" s="841"/>
      <c r="D434" s="845"/>
    </row>
    <row r="435" spans="1:4" ht="14" customHeight="1">
      <c r="A435" s="842"/>
      <c r="B435" s="844"/>
      <c r="C435" s="841"/>
      <c r="D435" s="845"/>
    </row>
    <row r="436" spans="1:4" ht="14" customHeight="1">
      <c r="A436" s="842"/>
      <c r="B436" s="844"/>
      <c r="C436" s="841"/>
      <c r="D436" s="845"/>
    </row>
    <row r="437" spans="1:4" ht="14" customHeight="1">
      <c r="A437" s="842"/>
      <c r="B437" s="844"/>
      <c r="C437" s="841"/>
      <c r="D437" s="845"/>
    </row>
    <row r="438" spans="1:4" ht="14" customHeight="1">
      <c r="A438" s="842"/>
      <c r="B438" s="844"/>
      <c r="C438" s="841"/>
      <c r="D438" s="845"/>
    </row>
    <row r="439" spans="1:4" ht="14" customHeight="1">
      <c r="A439" s="842"/>
      <c r="B439" s="844"/>
      <c r="C439" s="841"/>
      <c r="D439" s="845"/>
    </row>
    <row r="440" spans="1:4" ht="14" customHeight="1">
      <c r="A440" s="842"/>
      <c r="B440" s="844"/>
      <c r="C440" s="841"/>
      <c r="D440" s="845"/>
    </row>
    <row r="441" spans="1:4" ht="14" customHeight="1">
      <c r="A441" s="842"/>
      <c r="B441" s="844"/>
      <c r="C441" s="841"/>
      <c r="D441" s="845"/>
    </row>
    <row r="442" spans="1:4" ht="14" customHeight="1">
      <c r="A442" s="842"/>
      <c r="B442" s="844"/>
      <c r="C442" s="841"/>
      <c r="D442" s="845"/>
    </row>
    <row r="443" spans="1:4" ht="14" customHeight="1">
      <c r="A443" s="842"/>
      <c r="B443" s="844"/>
      <c r="C443" s="841"/>
      <c r="D443" s="845"/>
    </row>
    <row r="444" spans="1:4" ht="14" customHeight="1">
      <c r="A444" s="842"/>
      <c r="B444" s="844"/>
      <c r="C444" s="841"/>
      <c r="D444" s="845"/>
    </row>
    <row r="445" spans="1:4" ht="14" customHeight="1">
      <c r="A445" s="842"/>
      <c r="B445" s="844"/>
      <c r="C445" s="841"/>
      <c r="D445" s="845"/>
    </row>
    <row r="446" spans="1:4" ht="14" customHeight="1">
      <c r="A446" s="842"/>
      <c r="B446" s="844"/>
      <c r="C446" s="841"/>
      <c r="D446" s="845"/>
    </row>
    <row r="447" spans="1:4" ht="14" customHeight="1">
      <c r="A447" s="842"/>
      <c r="B447" s="844"/>
      <c r="C447" s="841"/>
      <c r="D447" s="845"/>
    </row>
    <row r="448" spans="1:4" ht="14" customHeight="1">
      <c r="A448" s="842"/>
      <c r="B448" s="844"/>
      <c r="C448" s="841"/>
      <c r="D448" s="845"/>
    </row>
    <row r="449" spans="1:4" ht="14" customHeight="1">
      <c r="A449" s="842"/>
      <c r="B449" s="844"/>
      <c r="C449" s="841"/>
      <c r="D449" s="845"/>
    </row>
    <row r="450" spans="1:4" ht="14" customHeight="1">
      <c r="A450" s="842"/>
      <c r="B450" s="844"/>
      <c r="C450" s="841"/>
      <c r="D450" s="845"/>
    </row>
    <row r="451" spans="1:4" ht="14" customHeight="1">
      <c r="A451" s="842"/>
      <c r="B451" s="844"/>
      <c r="C451" s="841"/>
      <c r="D451" s="845"/>
    </row>
    <row r="452" spans="1:4" ht="14" customHeight="1">
      <c r="A452" s="842"/>
      <c r="B452" s="844"/>
      <c r="C452" s="841"/>
      <c r="D452" s="845"/>
    </row>
    <row r="453" spans="1:4" ht="14" customHeight="1">
      <c r="A453" s="842"/>
      <c r="B453" s="844"/>
      <c r="C453" s="841"/>
      <c r="D453" s="845"/>
    </row>
    <row r="454" spans="1:4" ht="14" customHeight="1">
      <c r="A454" s="842"/>
      <c r="B454" s="844"/>
      <c r="C454" s="841"/>
      <c r="D454" s="845"/>
    </row>
    <row r="455" spans="1:4" ht="14" customHeight="1">
      <c r="A455" s="842"/>
      <c r="B455" s="844"/>
      <c r="C455" s="841"/>
      <c r="D455" s="845"/>
    </row>
    <row r="456" spans="1:4" ht="14" customHeight="1">
      <c r="A456" s="842"/>
      <c r="B456" s="844"/>
      <c r="C456" s="841"/>
      <c r="D456" s="845"/>
    </row>
    <row r="457" spans="1:4" ht="14" customHeight="1">
      <c r="A457" s="842"/>
      <c r="B457" s="844"/>
      <c r="C457" s="841"/>
      <c r="D457" s="845"/>
    </row>
    <row r="458" spans="1:4" ht="14" customHeight="1">
      <c r="A458" s="842"/>
      <c r="B458" s="844"/>
      <c r="C458" s="841"/>
      <c r="D458" s="845"/>
    </row>
    <row r="459" spans="1:4" ht="14" customHeight="1">
      <c r="A459" s="842"/>
      <c r="B459" s="844"/>
      <c r="C459" s="841"/>
      <c r="D459" s="845"/>
    </row>
    <row r="460" spans="1:4" ht="14" customHeight="1">
      <c r="A460" s="842"/>
      <c r="B460" s="844"/>
      <c r="C460" s="841"/>
      <c r="D460" s="845"/>
    </row>
    <row r="461" spans="1:4" ht="14" customHeight="1">
      <c r="A461" s="842"/>
      <c r="B461" s="844"/>
      <c r="C461" s="841"/>
      <c r="D461" s="845"/>
    </row>
    <row r="462" spans="1:4" ht="14" customHeight="1">
      <c r="A462" s="842"/>
      <c r="B462" s="844"/>
      <c r="C462" s="841"/>
      <c r="D462" s="845"/>
    </row>
    <row r="463" spans="1:4" ht="14" customHeight="1">
      <c r="A463" s="842"/>
      <c r="B463" s="844"/>
      <c r="C463" s="841"/>
      <c r="D463" s="845"/>
    </row>
    <row r="464" spans="1:4" ht="14" customHeight="1">
      <c r="A464" s="842"/>
      <c r="B464" s="844"/>
      <c r="C464" s="841"/>
      <c r="D464" s="845"/>
    </row>
    <row r="465" spans="1:4" ht="14" customHeight="1">
      <c r="A465" s="842"/>
      <c r="B465" s="844"/>
      <c r="C465" s="841"/>
      <c r="D465" s="845"/>
    </row>
    <row r="466" spans="1:4" ht="14" customHeight="1">
      <c r="A466" s="842"/>
      <c r="B466" s="844"/>
      <c r="C466" s="841"/>
      <c r="D466" s="845"/>
    </row>
    <row r="467" spans="1:4" ht="14" customHeight="1">
      <c r="A467" s="842"/>
      <c r="B467" s="844"/>
      <c r="C467" s="841"/>
      <c r="D467" s="845"/>
    </row>
    <row r="468" spans="1:4" ht="14" customHeight="1">
      <c r="A468" s="842"/>
      <c r="B468" s="844"/>
      <c r="C468" s="841"/>
      <c r="D468" s="845"/>
    </row>
    <row r="469" spans="1:4" ht="14" customHeight="1">
      <c r="A469" s="842"/>
      <c r="B469" s="844"/>
      <c r="C469" s="841"/>
      <c r="D469" s="845"/>
    </row>
    <row r="470" spans="1:4" ht="14" customHeight="1">
      <c r="A470" s="842"/>
      <c r="B470" s="844"/>
      <c r="C470" s="841"/>
      <c r="D470" s="845"/>
    </row>
    <row r="471" spans="1:4" ht="14" customHeight="1">
      <c r="A471" s="842"/>
      <c r="B471" s="844"/>
      <c r="C471" s="841"/>
      <c r="D471" s="845"/>
    </row>
    <row r="472" spans="1:4" ht="14" customHeight="1">
      <c r="A472" s="842"/>
      <c r="B472" s="844"/>
      <c r="C472" s="841"/>
      <c r="D472" s="845"/>
    </row>
    <row r="473" spans="1:4" ht="14" customHeight="1">
      <c r="A473" s="842"/>
      <c r="B473" s="844"/>
      <c r="C473" s="841"/>
      <c r="D473" s="845"/>
    </row>
    <row r="474" spans="1:4" ht="14" customHeight="1">
      <c r="A474" s="842"/>
      <c r="B474" s="844"/>
      <c r="C474" s="841"/>
      <c r="D474" s="845"/>
    </row>
    <row r="475" spans="1:4" ht="14" customHeight="1">
      <c r="A475" s="842"/>
      <c r="B475" s="844"/>
      <c r="C475" s="841"/>
      <c r="D475" s="845"/>
    </row>
    <row r="476" spans="1:4" ht="14" customHeight="1">
      <c r="A476" s="842"/>
      <c r="B476" s="844"/>
      <c r="C476" s="841"/>
      <c r="D476" s="845"/>
    </row>
    <row r="477" spans="1:4" ht="14" customHeight="1">
      <c r="A477" s="842"/>
      <c r="B477" s="844"/>
      <c r="C477" s="841"/>
      <c r="D477" s="845"/>
    </row>
    <row r="478" spans="1:4" ht="14" customHeight="1">
      <c r="A478" s="842"/>
      <c r="B478" s="844"/>
      <c r="C478" s="841"/>
      <c r="D478" s="845"/>
    </row>
    <row r="479" spans="1:4" ht="14" customHeight="1">
      <c r="A479" s="842"/>
      <c r="B479" s="844"/>
      <c r="C479" s="841"/>
      <c r="D479" s="845"/>
    </row>
    <row r="480" spans="1:4" ht="14" customHeight="1">
      <c r="A480" s="842"/>
      <c r="B480" s="844"/>
      <c r="C480" s="841"/>
      <c r="D480" s="845"/>
    </row>
    <row r="481" spans="1:4" ht="14" customHeight="1">
      <c r="A481" s="842"/>
      <c r="B481" s="844"/>
      <c r="C481" s="841"/>
      <c r="D481" s="845"/>
    </row>
    <row r="482" spans="1:4" ht="14" customHeight="1">
      <c r="A482" s="842"/>
      <c r="B482" s="844"/>
      <c r="C482" s="841"/>
      <c r="D482" s="845"/>
    </row>
    <row r="483" spans="1:4" ht="14" customHeight="1">
      <c r="A483" s="842"/>
      <c r="B483" s="844"/>
      <c r="C483" s="841"/>
      <c r="D483" s="845"/>
    </row>
    <row r="484" spans="1:4" ht="14" customHeight="1">
      <c r="A484" s="842"/>
      <c r="B484" s="844"/>
      <c r="C484" s="841"/>
      <c r="D484" s="845"/>
    </row>
    <row r="485" spans="1:4" ht="14" customHeight="1">
      <c r="A485" s="842"/>
      <c r="B485" s="844"/>
      <c r="C485" s="841"/>
      <c r="D485" s="845"/>
    </row>
    <row r="486" spans="1:4" ht="14" customHeight="1">
      <c r="A486" s="842"/>
      <c r="B486" s="844"/>
      <c r="C486" s="841"/>
      <c r="D486" s="845"/>
    </row>
    <row r="487" spans="1:4" ht="14" customHeight="1">
      <c r="A487" s="842"/>
      <c r="B487" s="844"/>
      <c r="C487" s="841"/>
      <c r="D487" s="845"/>
    </row>
    <row r="488" spans="1:4" ht="14" customHeight="1">
      <c r="A488" s="842"/>
      <c r="B488" s="844"/>
      <c r="C488" s="841"/>
      <c r="D488" s="845"/>
    </row>
    <row r="489" spans="1:4" ht="14" customHeight="1">
      <c r="A489" s="842"/>
      <c r="B489" s="844"/>
      <c r="C489" s="841"/>
      <c r="D489" s="845"/>
    </row>
    <row r="490" spans="1:4" ht="14" customHeight="1">
      <c r="A490" s="842"/>
      <c r="B490" s="844"/>
      <c r="C490" s="841"/>
      <c r="D490" s="845"/>
    </row>
    <row r="491" spans="1:4" ht="14" customHeight="1">
      <c r="A491" s="842"/>
      <c r="B491" s="844"/>
      <c r="C491" s="841"/>
      <c r="D491" s="845"/>
    </row>
    <row r="492" spans="1:4" ht="14" customHeight="1">
      <c r="A492" s="842"/>
      <c r="B492" s="844"/>
      <c r="C492" s="841"/>
      <c r="D492" s="845"/>
    </row>
    <row r="493" spans="1:4" ht="14" customHeight="1">
      <c r="A493" s="842"/>
      <c r="B493" s="844"/>
      <c r="C493" s="841"/>
      <c r="D493" s="845"/>
    </row>
    <row r="494" spans="1:4" ht="14" customHeight="1">
      <c r="A494" s="842"/>
      <c r="B494" s="844"/>
      <c r="C494" s="841"/>
      <c r="D494" s="845"/>
    </row>
    <row r="495" spans="1:4" ht="14" customHeight="1">
      <c r="A495" s="842"/>
      <c r="B495" s="844"/>
      <c r="C495" s="841"/>
      <c r="D495" s="845"/>
    </row>
    <row r="496" spans="1:4" ht="14" customHeight="1">
      <c r="A496" s="842"/>
      <c r="B496" s="844"/>
      <c r="C496" s="841"/>
      <c r="D496" s="845"/>
    </row>
    <row r="497" spans="1:4" ht="14" customHeight="1">
      <c r="A497" s="842"/>
      <c r="B497" s="844"/>
      <c r="C497" s="841"/>
      <c r="D497" s="845"/>
    </row>
    <row r="498" spans="1:4" ht="14" customHeight="1">
      <c r="A498" s="842"/>
      <c r="B498" s="844"/>
      <c r="C498" s="841"/>
      <c r="D498" s="845"/>
    </row>
    <row r="499" spans="1:4" ht="14" customHeight="1">
      <c r="A499" s="842"/>
      <c r="B499" s="844"/>
      <c r="C499" s="841"/>
      <c r="D499" s="845"/>
    </row>
    <row r="500" spans="1:4" ht="14" customHeight="1">
      <c r="A500" s="842"/>
      <c r="B500" s="844"/>
      <c r="C500" s="841"/>
      <c r="D500" s="845"/>
    </row>
    <row r="501" spans="1:4" ht="14" customHeight="1">
      <c r="A501" s="842"/>
      <c r="B501" s="844"/>
      <c r="C501" s="841"/>
      <c r="D501" s="845"/>
    </row>
    <row r="502" spans="1:4" ht="14" customHeight="1">
      <c r="A502" s="842"/>
      <c r="B502" s="844"/>
      <c r="C502" s="841"/>
      <c r="D502" s="845"/>
    </row>
    <row r="503" spans="1:4" ht="14" customHeight="1">
      <c r="A503" s="842"/>
      <c r="B503" s="844"/>
      <c r="C503" s="841"/>
      <c r="D503" s="845"/>
    </row>
    <row r="504" spans="1:4" ht="14" customHeight="1">
      <c r="A504" s="842"/>
      <c r="B504" s="844"/>
      <c r="C504" s="841"/>
      <c r="D504" s="845"/>
    </row>
    <row r="505" spans="1:4" ht="14" customHeight="1">
      <c r="A505" s="842"/>
      <c r="B505" s="844"/>
      <c r="C505" s="841"/>
      <c r="D505" s="845"/>
    </row>
    <row r="506" spans="1:4" ht="14" customHeight="1">
      <c r="A506" s="842"/>
      <c r="B506" s="844"/>
      <c r="C506" s="841"/>
      <c r="D506" s="845"/>
    </row>
    <row r="507" spans="1:4" ht="14" customHeight="1">
      <c r="A507" s="842"/>
      <c r="B507" s="844"/>
      <c r="C507" s="841"/>
      <c r="D507" s="845"/>
    </row>
    <row r="508" spans="1:4" ht="14" customHeight="1">
      <c r="A508" s="842"/>
      <c r="B508" s="844"/>
      <c r="C508" s="841"/>
      <c r="D508" s="845"/>
    </row>
    <row r="509" spans="1:4" ht="14" customHeight="1">
      <c r="A509" s="842"/>
      <c r="B509" s="844"/>
      <c r="C509" s="841"/>
      <c r="D509" s="845"/>
    </row>
    <row r="510" spans="1:4" ht="14" customHeight="1">
      <c r="A510" s="842"/>
      <c r="B510" s="844"/>
      <c r="C510" s="841"/>
      <c r="D510" s="845"/>
    </row>
    <row r="511" spans="1:4" ht="14" customHeight="1">
      <c r="A511" s="842"/>
      <c r="B511" s="844"/>
      <c r="C511" s="841"/>
      <c r="D511" s="845"/>
    </row>
    <row r="512" spans="1:4" ht="14" customHeight="1">
      <c r="A512" s="842"/>
      <c r="B512" s="844"/>
      <c r="C512" s="841"/>
      <c r="D512" s="845"/>
    </row>
    <row r="513" spans="1:4" ht="14" customHeight="1">
      <c r="A513" s="842"/>
      <c r="B513" s="844"/>
      <c r="C513" s="841"/>
      <c r="D513" s="845"/>
    </row>
    <row r="514" spans="1:4" ht="14" customHeight="1">
      <c r="A514" s="842"/>
      <c r="B514" s="844"/>
      <c r="C514" s="841"/>
      <c r="D514" s="845"/>
    </row>
    <row r="515" spans="1:4" ht="14" customHeight="1">
      <c r="A515" s="842"/>
      <c r="B515" s="844"/>
      <c r="C515" s="841"/>
      <c r="D515" s="845"/>
    </row>
    <row r="516" spans="1:4" ht="14" customHeight="1">
      <c r="A516" s="842"/>
      <c r="B516" s="844"/>
      <c r="C516" s="841"/>
      <c r="D516" s="845"/>
    </row>
    <row r="517" spans="1:4" ht="14" customHeight="1">
      <c r="A517" s="842"/>
      <c r="B517" s="844"/>
      <c r="C517" s="841"/>
      <c r="D517" s="845"/>
    </row>
    <row r="518" spans="1:4" ht="14" customHeight="1">
      <c r="A518" s="842"/>
      <c r="B518" s="844"/>
      <c r="C518" s="841"/>
      <c r="D518" s="845"/>
    </row>
    <row r="519" spans="1:4" ht="14" customHeight="1">
      <c r="A519" s="842"/>
      <c r="B519" s="844"/>
      <c r="C519" s="841"/>
      <c r="D519" s="845"/>
    </row>
    <row r="520" spans="1:4" ht="14" customHeight="1">
      <c r="A520" s="842"/>
      <c r="B520" s="844"/>
      <c r="C520" s="841"/>
      <c r="D520" s="845"/>
    </row>
    <row r="521" spans="1:4" ht="14" customHeight="1">
      <c r="A521" s="842"/>
      <c r="B521" s="844"/>
      <c r="C521" s="841"/>
      <c r="D521" s="845"/>
    </row>
    <row r="522" spans="1:4" ht="14" customHeight="1">
      <c r="A522" s="842"/>
      <c r="B522" s="844"/>
      <c r="C522" s="841"/>
      <c r="D522" s="845"/>
    </row>
    <row r="523" spans="1:4" ht="14" customHeight="1">
      <c r="A523" s="842"/>
      <c r="B523" s="844"/>
      <c r="C523" s="841"/>
      <c r="D523" s="845"/>
    </row>
    <row r="524" spans="1:4" ht="14" customHeight="1">
      <c r="A524" s="842"/>
      <c r="B524" s="844"/>
      <c r="C524" s="841"/>
      <c r="D524" s="845"/>
    </row>
    <row r="525" spans="1:4" ht="14" customHeight="1">
      <c r="A525" s="842"/>
      <c r="B525" s="844"/>
      <c r="C525" s="841"/>
      <c r="D525" s="845"/>
    </row>
    <row r="526" spans="1:4" ht="14" customHeight="1">
      <c r="A526" s="842"/>
      <c r="B526" s="844"/>
      <c r="C526" s="841"/>
      <c r="D526" s="845"/>
    </row>
    <row r="527" spans="1:4" ht="14" customHeight="1">
      <c r="A527" s="842"/>
      <c r="B527" s="844"/>
      <c r="C527" s="841"/>
      <c r="D527" s="845"/>
    </row>
    <row r="528" spans="1:4" ht="14" customHeight="1">
      <c r="A528" s="842"/>
      <c r="B528" s="844"/>
      <c r="C528" s="841"/>
      <c r="D528" s="845"/>
    </row>
    <row r="529" spans="1:4" ht="14" customHeight="1">
      <c r="A529" s="842"/>
      <c r="B529" s="844"/>
      <c r="C529" s="841"/>
      <c r="D529" s="845"/>
    </row>
    <row r="530" spans="1:4" ht="14" customHeight="1">
      <c r="A530" s="842"/>
      <c r="B530" s="844"/>
      <c r="C530" s="841"/>
      <c r="D530" s="845"/>
    </row>
    <row r="531" spans="1:4" ht="14" customHeight="1">
      <c r="A531" s="842"/>
      <c r="B531" s="844"/>
      <c r="C531" s="841"/>
      <c r="D531" s="845"/>
    </row>
    <row r="532" spans="1:4" ht="14" customHeight="1">
      <c r="A532" s="842"/>
      <c r="B532" s="844"/>
      <c r="C532" s="841"/>
      <c r="D532" s="845"/>
    </row>
    <row r="533" spans="1:4" ht="14" customHeight="1">
      <c r="A533" s="842"/>
      <c r="B533" s="844"/>
      <c r="C533" s="841"/>
      <c r="D533" s="845"/>
    </row>
    <row r="534" spans="1:4" ht="14" customHeight="1">
      <c r="A534" s="842"/>
      <c r="B534" s="844"/>
      <c r="C534" s="841"/>
      <c r="D534" s="845"/>
    </row>
    <row r="535" spans="1:4" ht="14" customHeight="1">
      <c r="A535" s="842"/>
      <c r="B535" s="844"/>
      <c r="C535" s="841"/>
      <c r="D535" s="845"/>
    </row>
    <row r="536" spans="1:4" ht="14" customHeight="1">
      <c r="A536" s="842"/>
      <c r="B536" s="844"/>
      <c r="C536" s="841"/>
      <c r="D536" s="845"/>
    </row>
    <row r="537" spans="1:4" ht="14" customHeight="1">
      <c r="A537" s="842"/>
      <c r="B537" s="844"/>
      <c r="C537" s="841"/>
      <c r="D537" s="845"/>
    </row>
    <row r="538" spans="1:4" ht="14" customHeight="1">
      <c r="A538" s="842"/>
      <c r="B538" s="844"/>
      <c r="C538" s="841"/>
      <c r="D538" s="845"/>
    </row>
    <row r="539" spans="1:4" ht="14" customHeight="1">
      <c r="A539" s="842"/>
      <c r="B539" s="844"/>
      <c r="C539" s="841"/>
      <c r="D539" s="845"/>
    </row>
    <row r="540" spans="1:4" ht="14" customHeight="1">
      <c r="A540" s="842"/>
      <c r="B540" s="844"/>
      <c r="C540" s="841"/>
      <c r="D540" s="845"/>
    </row>
    <row r="541" spans="1:4" ht="14" customHeight="1">
      <c r="A541" s="842"/>
      <c r="B541" s="844"/>
      <c r="C541" s="841"/>
      <c r="D541" s="845"/>
    </row>
    <row r="542" spans="1:4" ht="14" customHeight="1">
      <c r="A542" s="842"/>
      <c r="B542" s="844"/>
      <c r="C542" s="841"/>
      <c r="D542" s="845"/>
    </row>
    <row r="543" spans="1:4" ht="14" customHeight="1">
      <c r="A543" s="842"/>
      <c r="B543" s="844"/>
      <c r="C543" s="841"/>
      <c r="D543" s="845"/>
    </row>
    <row r="544" spans="1:4" ht="14" customHeight="1">
      <c r="A544" s="842"/>
      <c r="B544" s="844"/>
      <c r="C544" s="841"/>
      <c r="D544" s="845"/>
    </row>
    <row r="545" spans="1:4" ht="14" customHeight="1">
      <c r="A545" s="842"/>
      <c r="B545" s="844"/>
      <c r="C545" s="841"/>
      <c r="D545" s="845"/>
    </row>
    <row r="546" spans="1:4" ht="14" customHeight="1">
      <c r="A546" s="842"/>
      <c r="B546" s="844"/>
      <c r="C546" s="841"/>
      <c r="D546" s="845"/>
    </row>
    <row r="547" spans="1:4" ht="14" customHeight="1">
      <c r="A547" s="842"/>
      <c r="B547" s="844"/>
      <c r="C547" s="841"/>
      <c r="D547" s="845"/>
    </row>
    <row r="548" spans="1:4" ht="14" customHeight="1">
      <c r="A548" s="842"/>
      <c r="B548" s="844"/>
      <c r="C548" s="841"/>
      <c r="D548" s="845"/>
    </row>
    <row r="549" spans="1:4" ht="14" customHeight="1">
      <c r="A549" s="842"/>
      <c r="B549" s="844"/>
      <c r="C549" s="841"/>
      <c r="D549" s="845"/>
    </row>
    <row r="550" spans="1:4" ht="14" customHeight="1">
      <c r="A550" s="842"/>
      <c r="B550" s="844"/>
      <c r="C550" s="841"/>
      <c r="D550" s="845"/>
    </row>
    <row r="551" spans="1:4" ht="14" customHeight="1">
      <c r="A551" s="842"/>
      <c r="B551" s="844"/>
      <c r="C551" s="841"/>
      <c r="D551" s="845"/>
    </row>
    <row r="552" spans="1:4" ht="14" customHeight="1">
      <c r="A552" s="842"/>
      <c r="B552" s="844"/>
      <c r="C552" s="841"/>
      <c r="D552" s="845"/>
    </row>
    <row r="553" spans="1:4" ht="14" customHeight="1">
      <c r="A553" s="842"/>
      <c r="B553" s="844"/>
      <c r="C553" s="841"/>
      <c r="D553" s="845"/>
    </row>
    <row r="554" spans="1:4" ht="14" customHeight="1">
      <c r="A554" s="842"/>
      <c r="B554" s="844"/>
      <c r="C554" s="841"/>
      <c r="D554" s="845"/>
    </row>
    <row r="555" spans="1:4" ht="14" customHeight="1">
      <c r="A555" s="842"/>
      <c r="B555" s="844"/>
      <c r="C555" s="841"/>
      <c r="D555" s="845"/>
    </row>
    <row r="556" spans="1:4" ht="14" customHeight="1">
      <c r="A556" s="842"/>
      <c r="B556" s="844"/>
      <c r="C556" s="841"/>
      <c r="D556" s="845"/>
    </row>
    <row r="557" spans="1:4" ht="14" customHeight="1">
      <c r="A557" s="842"/>
      <c r="B557" s="844"/>
      <c r="C557" s="841"/>
      <c r="D557" s="845"/>
    </row>
    <row r="558" spans="1:4" ht="14" customHeight="1">
      <c r="A558" s="842"/>
      <c r="B558" s="844"/>
      <c r="C558" s="841"/>
      <c r="D558" s="845"/>
    </row>
    <row r="559" spans="1:4" ht="14" customHeight="1">
      <c r="A559" s="842"/>
      <c r="B559" s="844"/>
      <c r="C559" s="841"/>
      <c r="D559" s="845"/>
    </row>
    <row r="560" spans="1:4" ht="14" customHeight="1">
      <c r="A560" s="842"/>
      <c r="B560" s="844"/>
      <c r="C560" s="841"/>
      <c r="D560" s="845"/>
    </row>
    <row r="561" spans="1:4" ht="14" customHeight="1">
      <c r="A561" s="842"/>
      <c r="B561" s="844"/>
      <c r="C561" s="841"/>
      <c r="D561" s="845"/>
    </row>
    <row r="562" spans="1:4" ht="14" customHeight="1">
      <c r="A562" s="842"/>
      <c r="B562" s="844"/>
      <c r="C562" s="841"/>
      <c r="D562" s="845"/>
    </row>
    <row r="563" spans="1:4" ht="14" customHeight="1">
      <c r="A563" s="842"/>
      <c r="B563" s="844"/>
      <c r="C563" s="841"/>
      <c r="D563" s="845"/>
    </row>
    <row r="564" spans="1:4" ht="14" customHeight="1">
      <c r="A564" s="842"/>
      <c r="B564" s="844"/>
      <c r="C564" s="841"/>
      <c r="D564" s="845"/>
    </row>
    <row r="565" spans="1:4" ht="14" customHeight="1">
      <c r="A565" s="842"/>
      <c r="B565" s="844"/>
      <c r="C565" s="841"/>
      <c r="D565" s="845"/>
    </row>
    <row r="566" spans="1:4" ht="14" customHeight="1">
      <c r="A566" s="842"/>
      <c r="B566" s="844"/>
      <c r="C566" s="841"/>
      <c r="D566" s="845"/>
    </row>
    <row r="567" spans="1:4" ht="14" customHeight="1">
      <c r="A567" s="842"/>
      <c r="B567" s="844"/>
      <c r="C567" s="841"/>
      <c r="D567" s="845"/>
    </row>
    <row r="568" spans="1:4" ht="14" customHeight="1">
      <c r="A568" s="842"/>
      <c r="B568" s="844"/>
      <c r="C568" s="841"/>
      <c r="D568" s="845"/>
    </row>
    <row r="569" spans="1:4" ht="14" customHeight="1">
      <c r="A569" s="842"/>
      <c r="B569" s="844"/>
      <c r="C569" s="841"/>
      <c r="D569" s="845"/>
    </row>
    <row r="570" spans="1:4" ht="14" customHeight="1">
      <c r="A570" s="842"/>
      <c r="B570" s="844"/>
      <c r="C570" s="841"/>
      <c r="D570" s="845"/>
    </row>
    <row r="571" spans="1:4" ht="14" customHeight="1">
      <c r="A571" s="842"/>
      <c r="B571" s="844"/>
      <c r="C571" s="841"/>
      <c r="D571" s="845"/>
    </row>
    <row r="572" spans="1:4" ht="14" customHeight="1">
      <c r="A572" s="842"/>
      <c r="B572" s="844"/>
      <c r="C572" s="841"/>
      <c r="D572" s="845"/>
    </row>
    <row r="573" spans="1:4" ht="14" customHeight="1">
      <c r="A573" s="842"/>
      <c r="B573" s="844"/>
      <c r="C573" s="841"/>
      <c r="D573" s="845"/>
    </row>
    <row r="574" spans="1:4" ht="14" customHeight="1">
      <c r="A574" s="842"/>
      <c r="B574" s="844"/>
      <c r="C574" s="841"/>
      <c r="D574" s="845"/>
    </row>
    <row r="575" spans="1:4" ht="14" customHeight="1">
      <c r="A575" s="842"/>
      <c r="B575" s="844"/>
      <c r="C575" s="841"/>
      <c r="D575" s="845"/>
    </row>
    <row r="576" spans="1:4" ht="14" customHeight="1">
      <c r="A576" s="842"/>
      <c r="B576" s="844"/>
      <c r="C576" s="841"/>
      <c r="D576" s="845"/>
    </row>
    <row r="577" spans="1:4" ht="14" customHeight="1">
      <c r="A577" s="842"/>
      <c r="B577" s="844"/>
      <c r="C577" s="841"/>
      <c r="D577" s="845"/>
    </row>
    <row r="578" spans="1:4" ht="14" customHeight="1">
      <c r="A578" s="842"/>
      <c r="B578" s="844"/>
      <c r="C578" s="841"/>
      <c r="D578" s="845"/>
    </row>
    <row r="579" spans="1:4" ht="14" customHeight="1">
      <c r="A579" s="842"/>
      <c r="B579" s="844"/>
      <c r="C579" s="841"/>
      <c r="D579" s="845"/>
    </row>
    <row r="580" spans="1:4" ht="14" customHeight="1">
      <c r="A580" s="842"/>
      <c r="B580" s="844"/>
      <c r="C580" s="841"/>
      <c r="D580" s="845"/>
    </row>
    <row r="581" spans="1:4" ht="14" customHeight="1">
      <c r="A581" s="842"/>
      <c r="B581" s="844"/>
      <c r="C581" s="841"/>
      <c r="D581" s="845"/>
    </row>
    <row r="582" spans="1:4" ht="14" customHeight="1">
      <c r="A582" s="842"/>
      <c r="B582" s="844"/>
      <c r="C582" s="841"/>
      <c r="D582" s="845"/>
    </row>
    <row r="583" spans="1:4" ht="14" customHeight="1">
      <c r="A583" s="842"/>
      <c r="B583" s="844"/>
      <c r="C583" s="841"/>
      <c r="D583" s="845"/>
    </row>
    <row r="584" spans="1:4" ht="14" customHeight="1">
      <c r="A584" s="842"/>
      <c r="B584" s="844"/>
      <c r="C584" s="841"/>
      <c r="D584" s="845"/>
    </row>
    <row r="585" spans="1:4" ht="14" customHeight="1">
      <c r="A585" s="842"/>
      <c r="B585" s="844"/>
      <c r="C585" s="841"/>
      <c r="D585" s="845"/>
    </row>
    <row r="586" spans="1:4" ht="14" customHeight="1">
      <c r="A586" s="842"/>
      <c r="B586" s="844"/>
      <c r="C586" s="841"/>
      <c r="D586" s="845"/>
    </row>
    <row r="587" spans="1:4" ht="14" customHeight="1">
      <c r="A587" s="842"/>
      <c r="B587" s="844"/>
      <c r="C587" s="841"/>
      <c r="D587" s="845"/>
    </row>
    <row r="588" spans="1:4" ht="14" customHeight="1">
      <c r="A588" s="842"/>
      <c r="B588" s="844"/>
      <c r="C588" s="841"/>
      <c r="D588" s="845"/>
    </row>
    <row r="589" spans="1:4" ht="14" customHeight="1">
      <c r="A589" s="842"/>
      <c r="B589" s="844"/>
      <c r="C589" s="841"/>
      <c r="D589" s="845"/>
    </row>
    <row r="590" spans="1:4" ht="14" customHeight="1">
      <c r="A590" s="842"/>
      <c r="B590" s="844"/>
      <c r="C590" s="841"/>
      <c r="D590" s="845"/>
    </row>
    <row r="591" spans="1:4" ht="14" customHeight="1">
      <c r="A591" s="842"/>
      <c r="B591" s="844"/>
      <c r="C591" s="841"/>
      <c r="D591" s="845"/>
    </row>
    <row r="592" spans="1:4" ht="14" customHeight="1">
      <c r="A592" s="842"/>
      <c r="B592" s="844"/>
      <c r="C592" s="841"/>
      <c r="D592" s="845"/>
    </row>
    <row r="593" spans="1:4" ht="14" customHeight="1">
      <c r="A593" s="842"/>
      <c r="B593" s="844"/>
      <c r="C593" s="841"/>
      <c r="D593" s="845"/>
    </row>
    <row r="594" spans="1:4" ht="14" customHeight="1">
      <c r="A594" s="842"/>
      <c r="B594" s="844"/>
      <c r="C594" s="841"/>
      <c r="D594" s="845"/>
    </row>
    <row r="595" spans="1:4" ht="14" customHeight="1">
      <c r="A595" s="842"/>
      <c r="B595" s="844"/>
      <c r="C595" s="841"/>
      <c r="D595" s="845"/>
    </row>
    <row r="596" spans="1:4" ht="14" customHeight="1">
      <c r="A596" s="842"/>
      <c r="B596" s="844"/>
      <c r="C596" s="841"/>
      <c r="D596" s="845"/>
    </row>
    <row r="597" spans="1:4" ht="14" customHeight="1">
      <c r="A597" s="842"/>
      <c r="B597" s="844"/>
      <c r="C597" s="841"/>
      <c r="D597" s="845"/>
    </row>
    <row r="598" spans="1:4" ht="14" customHeight="1">
      <c r="A598" s="842"/>
      <c r="B598" s="844"/>
      <c r="C598" s="841"/>
      <c r="D598" s="845"/>
    </row>
    <row r="599" spans="1:4" ht="14" customHeight="1">
      <c r="A599" s="842"/>
      <c r="B599" s="844"/>
      <c r="C599" s="841"/>
      <c r="D599" s="845"/>
    </row>
    <row r="600" spans="1:4" ht="14" customHeight="1">
      <c r="A600" s="842"/>
      <c r="B600" s="844"/>
      <c r="C600" s="841"/>
      <c r="D600" s="845"/>
    </row>
    <row r="601" spans="1:4" ht="14" customHeight="1">
      <c r="A601" s="842"/>
      <c r="B601" s="844"/>
      <c r="C601" s="841"/>
      <c r="D601" s="845"/>
    </row>
    <row r="602" spans="1:4" ht="14" customHeight="1">
      <c r="A602" s="842"/>
      <c r="B602" s="844"/>
      <c r="C602" s="841"/>
      <c r="D602" s="845"/>
    </row>
    <row r="603" spans="1:4" ht="14" customHeight="1">
      <c r="A603" s="842"/>
      <c r="B603" s="844"/>
      <c r="C603" s="841"/>
      <c r="D603" s="845"/>
    </row>
    <row r="604" spans="1:4" ht="14" customHeight="1">
      <c r="A604" s="842"/>
      <c r="B604" s="844"/>
      <c r="C604" s="841"/>
      <c r="D604" s="845"/>
    </row>
    <row r="605" spans="1:4" ht="14" customHeight="1">
      <c r="A605" s="842"/>
      <c r="B605" s="844"/>
      <c r="C605" s="841"/>
      <c r="D605" s="845"/>
    </row>
    <row r="606" spans="1:4" ht="14" customHeight="1">
      <c r="A606" s="842"/>
      <c r="B606" s="844"/>
      <c r="C606" s="841"/>
      <c r="D606" s="845"/>
    </row>
    <row r="607" spans="1:4" ht="14" customHeight="1">
      <c r="A607" s="842"/>
      <c r="B607" s="844"/>
      <c r="C607" s="841"/>
      <c r="D607" s="845"/>
    </row>
    <row r="608" spans="1:4" ht="14" customHeight="1">
      <c r="A608" s="842"/>
      <c r="B608" s="844"/>
      <c r="C608" s="841"/>
      <c r="D608" s="845"/>
    </row>
    <row r="609" spans="1:4" ht="14" customHeight="1">
      <c r="A609" s="842"/>
      <c r="B609" s="844"/>
      <c r="C609" s="841"/>
      <c r="D609" s="845"/>
    </row>
    <row r="610" spans="1:4" ht="14" customHeight="1">
      <c r="A610" s="842"/>
      <c r="B610" s="844"/>
      <c r="C610" s="841"/>
      <c r="D610" s="845"/>
    </row>
    <row r="611" spans="1:4" ht="14" customHeight="1">
      <c r="A611" s="842"/>
      <c r="B611" s="844"/>
      <c r="C611" s="841"/>
      <c r="D611" s="845"/>
    </row>
    <row r="612" spans="1:4" ht="14" customHeight="1">
      <c r="A612" s="842"/>
      <c r="B612" s="844"/>
      <c r="C612" s="841"/>
      <c r="D612" s="845"/>
    </row>
    <row r="613" spans="1:4" ht="14" customHeight="1">
      <c r="A613" s="842"/>
      <c r="B613" s="844"/>
      <c r="C613" s="841"/>
      <c r="D613" s="845"/>
    </row>
    <row r="614" spans="1:4" ht="14" customHeight="1">
      <c r="A614" s="842"/>
      <c r="B614" s="844"/>
      <c r="C614" s="841"/>
      <c r="D614" s="845"/>
    </row>
    <row r="615" spans="1:4" ht="14" customHeight="1">
      <c r="A615" s="842"/>
      <c r="B615" s="844"/>
      <c r="C615" s="841"/>
      <c r="D615" s="845"/>
    </row>
    <row r="616" spans="1:4" ht="14" customHeight="1">
      <c r="A616" s="842"/>
      <c r="B616" s="844"/>
      <c r="C616" s="841"/>
      <c r="D616" s="845"/>
    </row>
    <row r="617" spans="1:4" ht="14" customHeight="1">
      <c r="A617" s="842"/>
      <c r="B617" s="844"/>
      <c r="C617" s="841"/>
      <c r="D617" s="845"/>
    </row>
    <row r="618" spans="1:4" ht="14" customHeight="1">
      <c r="A618" s="842"/>
      <c r="B618" s="844"/>
      <c r="C618" s="841"/>
      <c r="D618" s="845"/>
    </row>
    <row r="619" spans="1:4" ht="14" customHeight="1">
      <c r="A619" s="842"/>
      <c r="B619" s="844"/>
      <c r="C619" s="841"/>
      <c r="D619" s="845"/>
    </row>
    <row r="620" spans="1:4" ht="14" customHeight="1">
      <c r="A620" s="842"/>
      <c r="B620" s="844"/>
      <c r="C620" s="841"/>
      <c r="D620" s="845"/>
    </row>
    <row r="621" spans="1:4" ht="14" customHeight="1">
      <c r="A621" s="842"/>
      <c r="B621" s="844"/>
      <c r="C621" s="841"/>
      <c r="D621" s="845"/>
    </row>
    <row r="622" spans="1:4" ht="14" customHeight="1">
      <c r="A622" s="842"/>
      <c r="B622" s="844"/>
      <c r="C622" s="841"/>
      <c r="D622" s="845"/>
    </row>
    <row r="623" spans="1:4" ht="14" customHeight="1">
      <c r="A623" s="842"/>
      <c r="B623" s="844"/>
      <c r="C623" s="841"/>
      <c r="D623" s="845"/>
    </row>
    <row r="624" spans="1:4" ht="14" customHeight="1">
      <c r="A624" s="842"/>
      <c r="B624" s="844"/>
      <c r="C624" s="841"/>
      <c r="D624" s="845"/>
    </row>
    <row r="625" spans="1:4" ht="14" customHeight="1">
      <c r="A625" s="842"/>
      <c r="B625" s="844"/>
      <c r="C625" s="841"/>
      <c r="D625" s="845"/>
    </row>
    <row r="626" spans="1:4" ht="14" customHeight="1">
      <c r="A626" s="842"/>
      <c r="B626" s="844"/>
      <c r="C626" s="841"/>
      <c r="D626" s="845"/>
    </row>
    <row r="627" spans="1:4" ht="14" customHeight="1">
      <c r="A627" s="842"/>
      <c r="B627" s="844"/>
      <c r="C627" s="841"/>
      <c r="D627" s="845"/>
    </row>
    <row r="628" spans="1:4" ht="14" customHeight="1">
      <c r="A628" s="842"/>
      <c r="B628" s="844"/>
      <c r="C628" s="841"/>
      <c r="D628" s="845"/>
    </row>
    <row r="629" spans="1:4" ht="14" customHeight="1">
      <c r="A629" s="842"/>
      <c r="B629" s="844"/>
      <c r="C629" s="841"/>
      <c r="D629" s="845"/>
    </row>
    <row r="630" spans="1:4" ht="14" customHeight="1">
      <c r="A630" s="842"/>
      <c r="B630" s="844"/>
      <c r="C630" s="841"/>
      <c r="D630" s="845"/>
    </row>
    <row r="631" spans="1:4" ht="14" customHeight="1">
      <c r="A631" s="842"/>
      <c r="B631" s="844"/>
      <c r="C631" s="841"/>
      <c r="D631" s="845"/>
    </row>
    <row r="632" spans="1:4" ht="14" customHeight="1">
      <c r="A632" s="842"/>
      <c r="B632" s="844"/>
      <c r="C632" s="841"/>
      <c r="D632" s="845"/>
    </row>
    <row r="633" spans="1:4" ht="14" customHeight="1">
      <c r="A633" s="842"/>
      <c r="B633" s="844"/>
      <c r="C633" s="841"/>
      <c r="D633" s="845"/>
    </row>
    <row r="634" spans="1:4" ht="14" customHeight="1">
      <c r="A634" s="842"/>
      <c r="B634" s="844"/>
      <c r="C634" s="841"/>
      <c r="D634" s="845"/>
    </row>
    <row r="635" spans="1:4" ht="14" customHeight="1">
      <c r="A635" s="842"/>
      <c r="B635" s="844"/>
      <c r="C635" s="841"/>
      <c r="D635" s="845"/>
    </row>
    <row r="636" spans="1:4" ht="14" customHeight="1">
      <c r="A636" s="842"/>
      <c r="B636" s="844"/>
      <c r="C636" s="841"/>
      <c r="D636" s="845"/>
    </row>
    <row r="637" spans="1:4" ht="14" customHeight="1">
      <c r="A637" s="842"/>
      <c r="B637" s="844"/>
      <c r="C637" s="841"/>
      <c r="D637" s="845"/>
    </row>
    <row r="638" spans="1:4" ht="14" customHeight="1">
      <c r="A638" s="842"/>
      <c r="B638" s="844"/>
      <c r="C638" s="841"/>
      <c r="D638" s="845"/>
    </row>
    <row r="639" spans="1:4" ht="14" customHeight="1">
      <c r="A639" s="842"/>
      <c r="B639" s="844"/>
      <c r="C639" s="841"/>
      <c r="D639" s="845"/>
    </row>
    <row r="640" spans="1:4" ht="14" customHeight="1">
      <c r="A640" s="842"/>
      <c r="B640" s="844"/>
      <c r="C640" s="841"/>
      <c r="D640" s="845"/>
    </row>
    <row r="641" spans="1:4" ht="14" customHeight="1">
      <c r="A641" s="842"/>
      <c r="B641" s="844"/>
      <c r="C641" s="841"/>
      <c r="D641" s="845"/>
    </row>
    <row r="642" spans="1:4" ht="14" customHeight="1">
      <c r="A642" s="842"/>
      <c r="B642" s="844"/>
      <c r="C642" s="841"/>
      <c r="D642" s="845"/>
    </row>
    <row r="643" spans="1:4" ht="14" customHeight="1">
      <c r="A643" s="842"/>
      <c r="B643" s="844"/>
      <c r="C643" s="841"/>
      <c r="D643" s="845"/>
    </row>
    <row r="644" spans="1:4" ht="14" customHeight="1">
      <c r="A644" s="842"/>
      <c r="B644" s="844"/>
      <c r="C644" s="841"/>
      <c r="D644" s="845"/>
    </row>
    <row r="645" spans="1:4" ht="14" customHeight="1">
      <c r="A645" s="842"/>
      <c r="B645" s="844"/>
      <c r="C645" s="841"/>
      <c r="D645" s="845"/>
    </row>
    <row r="646" spans="1:4" ht="14" customHeight="1">
      <c r="A646" s="842"/>
      <c r="B646" s="844"/>
      <c r="C646" s="841"/>
      <c r="D646" s="845"/>
    </row>
    <row r="647" spans="1:4" ht="14" customHeight="1">
      <c r="A647" s="842"/>
      <c r="B647" s="844"/>
      <c r="C647" s="841"/>
      <c r="D647" s="845"/>
    </row>
    <row r="648" spans="1:4" ht="14" customHeight="1">
      <c r="A648" s="842"/>
      <c r="B648" s="844"/>
      <c r="C648" s="841"/>
      <c r="D648" s="845"/>
    </row>
    <row r="649" spans="1:4" ht="14" customHeight="1">
      <c r="A649" s="842"/>
      <c r="B649" s="844"/>
      <c r="C649" s="841"/>
      <c r="D649" s="845"/>
    </row>
    <row r="650" spans="1:4" ht="14" customHeight="1">
      <c r="A650" s="842"/>
      <c r="B650" s="844"/>
      <c r="C650" s="841"/>
      <c r="D650" s="845"/>
    </row>
    <row r="651" spans="1:4" ht="14" customHeight="1">
      <c r="A651" s="842"/>
      <c r="B651" s="844"/>
      <c r="C651" s="841"/>
      <c r="D651" s="845"/>
    </row>
    <row r="652" spans="1:4" ht="14" customHeight="1">
      <c r="A652" s="842"/>
      <c r="B652" s="844"/>
      <c r="C652" s="841"/>
      <c r="D652" s="845"/>
    </row>
    <row r="653" spans="1:4" ht="14" customHeight="1">
      <c r="A653" s="842"/>
      <c r="B653" s="844"/>
      <c r="C653" s="841"/>
      <c r="D653" s="845"/>
    </row>
    <row r="654" spans="1:4" ht="14" customHeight="1">
      <c r="A654" s="842"/>
      <c r="B654" s="844"/>
      <c r="C654" s="841"/>
      <c r="D654" s="845"/>
    </row>
    <row r="655" spans="1:4" ht="14" customHeight="1">
      <c r="A655" s="842"/>
      <c r="B655" s="844"/>
      <c r="C655" s="841"/>
      <c r="D655" s="845"/>
    </row>
    <row r="656" spans="1:4" ht="14" customHeight="1">
      <c r="A656" s="842"/>
      <c r="B656" s="844"/>
      <c r="C656" s="841"/>
      <c r="D656" s="845"/>
    </row>
    <row r="657" spans="1:4" ht="14" customHeight="1">
      <c r="A657" s="842"/>
      <c r="B657" s="844"/>
      <c r="C657" s="841"/>
      <c r="D657" s="845"/>
    </row>
    <row r="658" spans="1:4" ht="14" customHeight="1">
      <c r="A658" s="842"/>
      <c r="B658" s="844"/>
      <c r="C658" s="841"/>
      <c r="D658" s="845"/>
    </row>
    <row r="659" spans="1:4" ht="14" customHeight="1">
      <c r="A659" s="842"/>
      <c r="B659" s="844"/>
      <c r="C659" s="841"/>
      <c r="D659" s="845"/>
    </row>
    <row r="660" spans="1:4" ht="14" customHeight="1">
      <c r="A660" s="842"/>
      <c r="B660" s="844"/>
      <c r="C660" s="841"/>
      <c r="D660" s="845"/>
    </row>
    <row r="661" spans="1:4" ht="14" customHeight="1">
      <c r="A661" s="842"/>
      <c r="B661" s="844"/>
      <c r="C661" s="841"/>
      <c r="D661" s="845"/>
    </row>
    <row r="662" spans="1:4" ht="14" customHeight="1">
      <c r="A662" s="842"/>
      <c r="B662" s="844"/>
      <c r="C662" s="841"/>
      <c r="D662" s="845"/>
    </row>
    <row r="663" spans="1:4" ht="14" customHeight="1">
      <c r="A663" s="842"/>
      <c r="B663" s="844"/>
      <c r="C663" s="841"/>
      <c r="D663" s="845"/>
    </row>
    <row r="664" spans="1:4" ht="14" customHeight="1">
      <c r="A664" s="842"/>
      <c r="B664" s="844"/>
      <c r="C664" s="841"/>
      <c r="D664" s="845"/>
    </row>
    <row r="665" spans="1:4" ht="14" customHeight="1">
      <c r="A665" s="842"/>
      <c r="B665" s="844"/>
      <c r="C665" s="841"/>
      <c r="D665" s="845"/>
    </row>
    <row r="666" spans="1:4" ht="14" customHeight="1">
      <c r="A666" s="842"/>
      <c r="B666" s="844"/>
      <c r="C666" s="841"/>
      <c r="D666" s="845"/>
    </row>
    <row r="667" spans="1:4" ht="14" customHeight="1">
      <c r="A667" s="842"/>
      <c r="B667" s="844"/>
      <c r="C667" s="841"/>
      <c r="D667" s="845"/>
    </row>
    <row r="668" spans="1:4" ht="14" customHeight="1">
      <c r="A668" s="842"/>
      <c r="B668" s="844"/>
      <c r="C668" s="841"/>
      <c r="D668" s="845"/>
    </row>
    <row r="669" spans="1:4" ht="14" customHeight="1">
      <c r="A669" s="842"/>
      <c r="B669" s="844"/>
      <c r="C669" s="841"/>
      <c r="D669" s="845"/>
    </row>
    <row r="670" spans="1:4" ht="14" customHeight="1">
      <c r="A670" s="842"/>
      <c r="B670" s="844"/>
      <c r="C670" s="841"/>
      <c r="D670" s="845"/>
    </row>
    <row r="671" spans="1:4" ht="14" customHeight="1">
      <c r="A671" s="842"/>
      <c r="B671" s="844"/>
      <c r="C671" s="841"/>
      <c r="D671" s="845"/>
    </row>
    <row r="672" spans="1:4" ht="14" customHeight="1">
      <c r="A672" s="842"/>
      <c r="B672" s="844"/>
      <c r="C672" s="841"/>
      <c r="D672" s="845"/>
    </row>
    <row r="673" spans="1:4" ht="14" customHeight="1">
      <c r="A673" s="842"/>
      <c r="B673" s="844"/>
      <c r="C673" s="841"/>
      <c r="D673" s="845"/>
    </row>
    <row r="674" spans="1:4" ht="14" customHeight="1">
      <c r="A674" s="842"/>
      <c r="B674" s="844"/>
      <c r="C674" s="841"/>
      <c r="D674" s="845"/>
    </row>
    <row r="675" spans="1:4" ht="14" customHeight="1">
      <c r="A675" s="842"/>
      <c r="B675" s="844"/>
      <c r="C675" s="841"/>
      <c r="D675" s="845"/>
    </row>
    <row r="676" spans="1:4" ht="14" customHeight="1">
      <c r="A676" s="842"/>
      <c r="B676" s="844"/>
      <c r="C676" s="841"/>
      <c r="D676" s="845"/>
    </row>
    <row r="677" spans="1:4" ht="14" customHeight="1">
      <c r="A677" s="842"/>
      <c r="B677" s="844"/>
      <c r="C677" s="841"/>
      <c r="D677" s="845"/>
    </row>
    <row r="678" spans="1:4" ht="14" customHeight="1">
      <c r="A678" s="842"/>
      <c r="B678" s="844"/>
      <c r="C678" s="841"/>
      <c r="D678" s="845"/>
    </row>
    <row r="679" spans="1:4" ht="14" customHeight="1">
      <c r="A679" s="842"/>
      <c r="B679" s="844"/>
      <c r="C679" s="841"/>
      <c r="D679" s="845"/>
    </row>
    <row r="680" spans="1:4" ht="14" customHeight="1">
      <c r="A680" s="842"/>
      <c r="B680" s="844"/>
      <c r="C680" s="841"/>
      <c r="D680" s="845"/>
    </row>
    <row r="681" spans="1:4" ht="14" customHeight="1">
      <c r="A681" s="842"/>
      <c r="B681" s="844"/>
      <c r="C681" s="841"/>
      <c r="D681" s="845"/>
    </row>
    <row r="682" spans="1:4" ht="14" customHeight="1">
      <c r="A682" s="842"/>
      <c r="B682" s="844"/>
      <c r="C682" s="841"/>
      <c r="D682" s="845"/>
    </row>
    <row r="683" spans="1:4" ht="14" customHeight="1">
      <c r="A683" s="842"/>
      <c r="B683" s="844"/>
      <c r="C683" s="841"/>
      <c r="D683" s="845"/>
    </row>
    <row r="684" spans="1:4" ht="14" customHeight="1">
      <c r="A684" s="842"/>
      <c r="B684" s="844"/>
      <c r="C684" s="841"/>
      <c r="D684" s="845"/>
    </row>
    <row r="685" spans="1:4" ht="14" customHeight="1">
      <c r="A685" s="842"/>
      <c r="B685" s="844"/>
      <c r="C685" s="841"/>
      <c r="D685" s="845"/>
    </row>
    <row r="686" spans="1:4" ht="14" customHeight="1">
      <c r="A686" s="842"/>
      <c r="B686" s="844"/>
      <c r="C686" s="841"/>
      <c r="D686" s="845"/>
    </row>
    <row r="687" spans="1:4" ht="14" customHeight="1">
      <c r="A687" s="842"/>
      <c r="B687" s="844"/>
      <c r="C687" s="841"/>
      <c r="D687" s="845"/>
    </row>
    <row r="688" spans="1:4" ht="14" customHeight="1">
      <c r="A688" s="842"/>
      <c r="B688" s="844"/>
      <c r="C688" s="841"/>
      <c r="D688" s="845"/>
    </row>
    <row r="689" spans="1:4" ht="14" customHeight="1">
      <c r="A689" s="842"/>
      <c r="B689" s="844"/>
      <c r="C689" s="841"/>
      <c r="D689" s="845"/>
    </row>
    <row r="690" spans="1:4" ht="14" customHeight="1">
      <c r="A690" s="842"/>
      <c r="B690" s="844"/>
      <c r="C690" s="841"/>
      <c r="D690" s="845"/>
    </row>
    <row r="691" spans="1:4" ht="14" customHeight="1">
      <c r="A691" s="842"/>
      <c r="B691" s="844"/>
      <c r="C691" s="841"/>
      <c r="D691" s="845"/>
    </row>
    <row r="692" spans="1:4" ht="14" customHeight="1">
      <c r="A692" s="842"/>
      <c r="B692" s="844"/>
      <c r="C692" s="841"/>
      <c r="D692" s="845"/>
    </row>
    <row r="693" spans="1:4" ht="14" customHeight="1">
      <c r="A693" s="842"/>
      <c r="B693" s="844"/>
      <c r="C693" s="841"/>
      <c r="D693" s="845"/>
    </row>
    <row r="694" spans="1:4" ht="14" customHeight="1">
      <c r="A694" s="842"/>
      <c r="B694" s="844"/>
      <c r="C694" s="841"/>
      <c r="D694" s="845"/>
    </row>
    <row r="695" spans="1:4" ht="14" customHeight="1">
      <c r="A695" s="842"/>
      <c r="B695" s="844"/>
      <c r="C695" s="841"/>
      <c r="D695" s="845"/>
    </row>
    <row r="696" spans="1:4" ht="14" customHeight="1">
      <c r="A696" s="842"/>
      <c r="B696" s="844"/>
      <c r="C696" s="841"/>
      <c r="D696" s="845"/>
    </row>
    <row r="697" spans="1:4" ht="14" customHeight="1">
      <c r="A697" s="842"/>
      <c r="B697" s="844"/>
      <c r="C697" s="841"/>
      <c r="D697" s="845"/>
    </row>
    <row r="698" spans="1:4" ht="14" customHeight="1">
      <c r="A698" s="842"/>
      <c r="B698" s="844"/>
      <c r="C698" s="841"/>
      <c r="D698" s="845"/>
    </row>
    <row r="699" spans="1:4" ht="14" customHeight="1">
      <c r="A699" s="842"/>
      <c r="B699" s="844"/>
      <c r="C699" s="841"/>
      <c r="D699" s="845"/>
    </row>
    <row r="700" spans="1:4" ht="14" customHeight="1">
      <c r="A700" s="842"/>
      <c r="B700" s="844"/>
      <c r="C700" s="841"/>
      <c r="D700" s="845"/>
    </row>
    <row r="701" spans="1:4" ht="14" customHeight="1">
      <c r="A701" s="842"/>
      <c r="B701" s="844"/>
      <c r="C701" s="841"/>
      <c r="D701" s="845"/>
    </row>
    <row r="702" spans="1:4" ht="14" customHeight="1">
      <c r="A702" s="842"/>
      <c r="B702" s="844"/>
      <c r="C702" s="841"/>
      <c r="D702" s="845"/>
    </row>
    <row r="703" spans="1:4" ht="14" customHeight="1">
      <c r="A703" s="842"/>
      <c r="B703" s="844"/>
      <c r="C703" s="841"/>
      <c r="D703" s="845"/>
    </row>
    <row r="704" spans="1:4" ht="14" customHeight="1">
      <c r="A704" s="842"/>
      <c r="B704" s="844"/>
      <c r="C704" s="841"/>
      <c r="D704" s="845"/>
    </row>
    <row r="705" spans="1:4" ht="14" customHeight="1">
      <c r="A705" s="842"/>
      <c r="B705" s="844"/>
      <c r="C705" s="841"/>
      <c r="D705" s="845"/>
    </row>
    <row r="706" spans="1:4" ht="14" customHeight="1">
      <c r="A706" s="842"/>
      <c r="B706" s="844"/>
      <c r="C706" s="841"/>
      <c r="D706" s="845"/>
    </row>
    <row r="707" spans="1:4" ht="14" customHeight="1">
      <c r="A707" s="842"/>
      <c r="B707" s="844"/>
      <c r="C707" s="841"/>
      <c r="D707" s="845"/>
    </row>
    <row r="708" spans="1:4" ht="14" customHeight="1">
      <c r="A708" s="842"/>
      <c r="B708" s="844"/>
      <c r="C708" s="841"/>
      <c r="D708" s="845"/>
    </row>
    <row r="709" spans="1:4" ht="14" customHeight="1">
      <c r="A709" s="842"/>
      <c r="B709" s="844"/>
      <c r="C709" s="841"/>
      <c r="D709" s="845"/>
    </row>
    <row r="710" spans="1:4" ht="14" customHeight="1">
      <c r="A710" s="842"/>
      <c r="B710" s="844"/>
      <c r="C710" s="841"/>
      <c r="D710" s="845"/>
    </row>
    <row r="711" spans="1:4" ht="14" customHeight="1">
      <c r="A711" s="842"/>
      <c r="B711" s="844"/>
      <c r="C711" s="841"/>
      <c r="D711" s="845"/>
    </row>
    <row r="712" spans="1:4" ht="14" customHeight="1">
      <c r="A712" s="842"/>
      <c r="B712" s="844"/>
      <c r="C712" s="841"/>
      <c r="D712" s="845"/>
    </row>
    <row r="713" spans="1:4" ht="14" customHeight="1">
      <c r="A713" s="842"/>
      <c r="B713" s="844"/>
      <c r="C713" s="841"/>
      <c r="D713" s="845"/>
    </row>
    <row r="714" spans="1:4" ht="14" customHeight="1">
      <c r="A714" s="842"/>
      <c r="B714" s="844"/>
      <c r="C714" s="841"/>
      <c r="D714" s="845"/>
    </row>
    <row r="715" spans="1:4" ht="14" customHeight="1">
      <c r="A715" s="842"/>
      <c r="B715" s="844"/>
      <c r="C715" s="841"/>
      <c r="D715" s="845"/>
    </row>
    <row r="716" spans="1:4" ht="14" customHeight="1">
      <c r="A716" s="842"/>
      <c r="B716" s="844"/>
      <c r="C716" s="841"/>
      <c r="D716" s="845"/>
    </row>
    <row r="717" spans="1:4" ht="14" customHeight="1">
      <c r="A717" s="842"/>
      <c r="B717" s="844"/>
      <c r="C717" s="841"/>
      <c r="D717" s="845"/>
    </row>
    <row r="718" spans="1:4" ht="14" customHeight="1">
      <c r="A718" s="842"/>
      <c r="B718" s="844"/>
      <c r="C718" s="841"/>
      <c r="D718" s="845"/>
    </row>
    <row r="719" spans="1:4" ht="14" customHeight="1">
      <c r="A719" s="842"/>
      <c r="B719" s="844"/>
      <c r="C719" s="841"/>
      <c r="D719" s="845"/>
    </row>
    <row r="720" spans="1:4" ht="14" customHeight="1">
      <c r="A720" s="842"/>
      <c r="B720" s="844"/>
      <c r="C720" s="841"/>
      <c r="D720" s="845"/>
    </row>
    <row r="721" spans="1:4" ht="14" customHeight="1">
      <c r="A721" s="842"/>
      <c r="B721" s="844"/>
      <c r="C721" s="841"/>
      <c r="D721" s="845"/>
    </row>
    <row r="722" spans="1:4" ht="14" customHeight="1">
      <c r="A722" s="842"/>
      <c r="B722" s="844"/>
      <c r="C722" s="841"/>
      <c r="D722" s="845"/>
    </row>
    <row r="723" spans="1:4" ht="14" customHeight="1">
      <c r="A723" s="842"/>
      <c r="B723" s="844"/>
      <c r="C723" s="841"/>
      <c r="D723" s="845"/>
    </row>
    <row r="724" spans="1:4" ht="14" customHeight="1">
      <c r="A724" s="842"/>
      <c r="B724" s="844"/>
      <c r="C724" s="841"/>
      <c r="D724" s="845"/>
    </row>
    <row r="725" spans="1:4" ht="14" customHeight="1">
      <c r="A725" s="842"/>
      <c r="B725" s="844"/>
      <c r="C725" s="841"/>
      <c r="D725" s="845"/>
    </row>
    <row r="726" spans="1:4" ht="14" customHeight="1">
      <c r="A726" s="842"/>
      <c r="B726" s="844"/>
      <c r="C726" s="841"/>
      <c r="D726" s="845"/>
    </row>
    <row r="727" spans="1:4" ht="14" customHeight="1">
      <c r="A727" s="842"/>
      <c r="B727" s="844"/>
      <c r="C727" s="841"/>
      <c r="D727" s="845"/>
    </row>
    <row r="728" spans="1:4" ht="14" customHeight="1">
      <c r="A728" s="842"/>
      <c r="B728" s="844"/>
      <c r="C728" s="841"/>
      <c r="D728" s="845"/>
    </row>
    <row r="729" spans="1:4" ht="14" customHeight="1">
      <c r="A729" s="842"/>
      <c r="B729" s="844"/>
      <c r="C729" s="841"/>
      <c r="D729" s="845"/>
    </row>
    <row r="730" spans="1:4" ht="14" customHeight="1">
      <c r="A730" s="842"/>
      <c r="B730" s="844"/>
      <c r="C730" s="841"/>
      <c r="D730" s="845"/>
    </row>
    <row r="731" spans="1:4" ht="14" customHeight="1">
      <c r="A731" s="842"/>
      <c r="B731" s="844"/>
      <c r="C731" s="841"/>
      <c r="D731" s="845"/>
    </row>
    <row r="732" spans="1:4" ht="14" customHeight="1">
      <c r="A732" s="842"/>
      <c r="B732" s="844"/>
      <c r="C732" s="841"/>
      <c r="D732" s="845"/>
    </row>
    <row r="733" spans="1:4" ht="14" customHeight="1">
      <c r="A733" s="842"/>
      <c r="B733" s="844"/>
      <c r="C733" s="841"/>
      <c r="D733" s="845"/>
    </row>
    <row r="734" spans="1:4" ht="14" customHeight="1">
      <c r="A734" s="842"/>
      <c r="B734" s="844"/>
      <c r="C734" s="841"/>
      <c r="D734" s="845"/>
    </row>
    <row r="735" spans="1:4" ht="14" customHeight="1">
      <c r="A735" s="842"/>
      <c r="B735" s="844"/>
      <c r="C735" s="841"/>
      <c r="D735" s="845"/>
    </row>
    <row r="736" spans="1:4" ht="14" customHeight="1">
      <c r="A736" s="842"/>
      <c r="B736" s="844"/>
      <c r="C736" s="841"/>
      <c r="D736" s="845"/>
    </row>
    <row r="737" spans="1:4" ht="14" customHeight="1">
      <c r="A737" s="842"/>
      <c r="B737" s="844"/>
      <c r="C737" s="841"/>
      <c r="D737" s="845"/>
    </row>
    <row r="738" spans="1:4" ht="14" customHeight="1">
      <c r="A738" s="842"/>
      <c r="B738" s="844"/>
      <c r="C738" s="841"/>
      <c r="D738" s="845"/>
    </row>
    <row r="739" spans="1:4" ht="14" customHeight="1">
      <c r="A739" s="842"/>
      <c r="B739" s="844"/>
      <c r="C739" s="841"/>
      <c r="D739" s="845"/>
    </row>
    <row r="740" spans="1:4" ht="14" customHeight="1">
      <c r="A740" s="842"/>
      <c r="B740" s="844"/>
      <c r="C740" s="841"/>
      <c r="D740" s="845"/>
    </row>
    <row r="741" spans="1:4" ht="14" customHeight="1">
      <c r="A741" s="842"/>
      <c r="B741" s="844"/>
      <c r="C741" s="841"/>
      <c r="D741" s="845"/>
    </row>
    <row r="742" spans="1:4" ht="14" customHeight="1">
      <c r="A742" s="842"/>
      <c r="B742" s="844"/>
      <c r="C742" s="841"/>
      <c r="D742" s="845"/>
    </row>
    <row r="743" spans="1:4" ht="14" customHeight="1">
      <c r="A743" s="842"/>
      <c r="B743" s="844"/>
      <c r="C743" s="841"/>
      <c r="D743" s="845"/>
    </row>
    <row r="744" spans="1:4" ht="14" customHeight="1">
      <c r="A744" s="842"/>
      <c r="B744" s="844"/>
      <c r="C744" s="841"/>
      <c r="D744" s="845"/>
    </row>
    <row r="745" spans="1:4" ht="14" customHeight="1">
      <c r="A745" s="842"/>
      <c r="B745" s="844"/>
      <c r="C745" s="841"/>
      <c r="D745" s="845"/>
    </row>
    <row r="746" spans="1:4" ht="14" customHeight="1">
      <c r="A746" s="842"/>
      <c r="B746" s="844"/>
      <c r="C746" s="841"/>
      <c r="D746" s="845"/>
    </row>
    <row r="747" spans="1:4" ht="14" customHeight="1">
      <c r="A747" s="842"/>
      <c r="B747" s="844"/>
      <c r="C747" s="841"/>
      <c r="D747" s="845"/>
    </row>
    <row r="748" spans="1:4" ht="14" customHeight="1">
      <c r="A748" s="842"/>
      <c r="B748" s="844"/>
      <c r="C748" s="841"/>
      <c r="D748" s="845"/>
    </row>
    <row r="749" spans="1:4" ht="14" customHeight="1">
      <c r="A749" s="842"/>
      <c r="B749" s="844"/>
      <c r="C749" s="841"/>
      <c r="D749" s="845"/>
    </row>
    <row r="750" spans="1:4" ht="14" customHeight="1">
      <c r="A750" s="842"/>
      <c r="B750" s="844"/>
      <c r="C750" s="841"/>
      <c r="D750" s="845"/>
    </row>
    <row r="751" spans="1:4" ht="14" customHeight="1">
      <c r="A751" s="842"/>
      <c r="B751" s="844"/>
      <c r="C751" s="841"/>
      <c r="D751" s="845"/>
    </row>
    <row r="752" spans="1:4" ht="14" customHeight="1">
      <c r="A752" s="842"/>
      <c r="B752" s="844"/>
      <c r="C752" s="841"/>
      <c r="D752" s="845"/>
    </row>
    <row r="753" spans="1:4" ht="14" customHeight="1">
      <c r="A753" s="842"/>
      <c r="B753" s="844"/>
      <c r="C753" s="841"/>
      <c r="D753" s="845"/>
    </row>
    <row r="754" spans="1:4" ht="14" customHeight="1">
      <c r="A754" s="842"/>
      <c r="B754" s="844"/>
      <c r="C754" s="841"/>
      <c r="D754" s="845"/>
    </row>
    <row r="755" spans="1:4" ht="14" customHeight="1">
      <c r="A755" s="842"/>
      <c r="B755" s="844"/>
      <c r="C755" s="841"/>
      <c r="D755" s="845"/>
    </row>
    <row r="756" spans="1:4" ht="14" customHeight="1">
      <c r="A756" s="842"/>
      <c r="B756" s="844"/>
      <c r="C756" s="841"/>
      <c r="D756" s="845"/>
    </row>
    <row r="757" spans="1:4" ht="14" customHeight="1">
      <c r="A757" s="842"/>
      <c r="B757" s="844"/>
      <c r="C757" s="841"/>
      <c r="D757" s="845"/>
    </row>
    <row r="758" spans="1:4" ht="14" customHeight="1">
      <c r="A758" s="842"/>
      <c r="B758" s="844"/>
      <c r="C758" s="841"/>
      <c r="D758" s="845"/>
    </row>
    <row r="759" spans="1:4" ht="14" customHeight="1">
      <c r="A759" s="842"/>
      <c r="B759" s="844"/>
      <c r="C759" s="841"/>
      <c r="D759" s="845"/>
    </row>
    <row r="760" spans="1:4" ht="14" customHeight="1">
      <c r="A760" s="842"/>
      <c r="B760" s="844"/>
      <c r="C760" s="841"/>
      <c r="D760" s="845"/>
    </row>
    <row r="761" spans="1:4" ht="14" customHeight="1">
      <c r="A761" s="842"/>
      <c r="B761" s="844"/>
      <c r="C761" s="841"/>
      <c r="D761" s="845"/>
    </row>
    <row r="762" spans="1:4" ht="14" customHeight="1">
      <c r="A762" s="842"/>
      <c r="B762" s="844"/>
      <c r="C762" s="841"/>
      <c r="D762" s="845"/>
    </row>
    <row r="763" spans="1:4" ht="14" customHeight="1">
      <c r="A763" s="842"/>
      <c r="B763" s="844"/>
      <c r="C763" s="841"/>
      <c r="D763" s="845"/>
    </row>
    <row r="764" spans="1:4" ht="14" customHeight="1">
      <c r="A764" s="842"/>
      <c r="B764" s="844"/>
      <c r="C764" s="841"/>
      <c r="D764" s="845"/>
    </row>
    <row r="765" spans="1:4" ht="14" customHeight="1">
      <c r="A765" s="842"/>
      <c r="B765" s="844"/>
      <c r="C765" s="841"/>
      <c r="D765" s="845"/>
    </row>
    <row r="766" spans="1:4" ht="14" customHeight="1">
      <c r="A766" s="842"/>
      <c r="B766" s="844"/>
      <c r="C766" s="841"/>
      <c r="D766" s="845"/>
    </row>
    <row r="767" spans="1:4" ht="14" customHeight="1">
      <c r="A767" s="842"/>
      <c r="B767" s="844"/>
      <c r="C767" s="841"/>
      <c r="D767" s="845"/>
    </row>
    <row r="768" spans="1:4" ht="14" customHeight="1">
      <c r="A768" s="842"/>
      <c r="B768" s="844"/>
      <c r="C768" s="841"/>
      <c r="D768" s="845"/>
    </row>
    <row r="769" spans="1:4" ht="14" customHeight="1">
      <c r="A769" s="842"/>
      <c r="B769" s="844"/>
      <c r="C769" s="841"/>
      <c r="D769" s="845"/>
    </row>
    <row r="770" spans="1:4" ht="14" customHeight="1">
      <c r="A770" s="842"/>
      <c r="B770" s="844"/>
      <c r="C770" s="841"/>
      <c r="D770" s="845"/>
    </row>
    <row r="771" spans="1:4" ht="14" customHeight="1">
      <c r="A771" s="842"/>
      <c r="B771" s="844"/>
      <c r="C771" s="841"/>
      <c r="D771" s="845"/>
    </row>
    <row r="772" spans="1:4" ht="14" customHeight="1">
      <c r="A772" s="842"/>
      <c r="B772" s="844"/>
      <c r="C772" s="841"/>
      <c r="D772" s="845"/>
    </row>
    <row r="773" spans="1:4" ht="14" customHeight="1">
      <c r="A773" s="842"/>
      <c r="B773" s="844"/>
      <c r="C773" s="841"/>
      <c r="D773" s="845"/>
    </row>
    <row r="774" spans="1:4" ht="14" customHeight="1">
      <c r="A774" s="842"/>
      <c r="B774" s="844"/>
      <c r="C774" s="841"/>
      <c r="D774" s="845"/>
    </row>
    <row r="775" spans="1:4" ht="14" customHeight="1">
      <c r="A775" s="842"/>
      <c r="B775" s="844"/>
      <c r="C775" s="841"/>
      <c r="D775" s="845"/>
    </row>
    <row r="776" spans="1:4" ht="14" customHeight="1">
      <c r="A776" s="842"/>
      <c r="B776" s="844"/>
      <c r="C776" s="841"/>
      <c r="D776" s="845"/>
    </row>
    <row r="777" spans="1:4" ht="14" customHeight="1">
      <c r="A777" s="842"/>
      <c r="B777" s="844"/>
      <c r="C777" s="841"/>
      <c r="D777" s="845"/>
    </row>
    <row r="778" spans="1:4" ht="14" customHeight="1">
      <c r="A778" s="842"/>
      <c r="B778" s="844"/>
      <c r="C778" s="841"/>
      <c r="D778" s="845"/>
    </row>
    <row r="779" spans="1:4" ht="14" customHeight="1">
      <c r="A779" s="842"/>
      <c r="B779" s="844"/>
      <c r="C779" s="841"/>
      <c r="D779" s="845"/>
    </row>
    <row r="780" spans="1:4" ht="14" customHeight="1">
      <c r="A780" s="842"/>
      <c r="B780" s="844"/>
      <c r="C780" s="841"/>
      <c r="D780" s="845"/>
    </row>
    <row r="781" spans="1:4" ht="14" customHeight="1">
      <c r="A781" s="842"/>
      <c r="B781" s="844"/>
      <c r="C781" s="841"/>
      <c r="D781" s="845"/>
    </row>
    <row r="782" spans="1:4" ht="14" customHeight="1">
      <c r="A782" s="842"/>
      <c r="B782" s="844"/>
      <c r="C782" s="841"/>
      <c r="D782" s="845"/>
    </row>
    <row r="783" spans="1:4" ht="14" customHeight="1">
      <c r="A783" s="842"/>
      <c r="B783" s="844"/>
      <c r="C783" s="841"/>
      <c r="D783" s="845"/>
    </row>
    <row r="784" spans="1:4" ht="14" customHeight="1">
      <c r="A784" s="842"/>
      <c r="B784" s="844"/>
      <c r="C784" s="841"/>
      <c r="D784" s="845"/>
    </row>
    <row r="785" spans="1:4" ht="14" customHeight="1">
      <c r="A785" s="842"/>
      <c r="B785" s="844"/>
      <c r="C785" s="841"/>
      <c r="D785" s="845"/>
    </row>
    <row r="786" spans="1:4" ht="14" customHeight="1">
      <c r="A786" s="842"/>
      <c r="B786" s="844"/>
      <c r="C786" s="841"/>
      <c r="D786" s="845"/>
    </row>
    <row r="787" spans="1:4" ht="14" customHeight="1">
      <c r="A787" s="842"/>
      <c r="B787" s="844"/>
      <c r="C787" s="841"/>
      <c r="D787" s="845"/>
    </row>
    <row r="788" spans="1:4" ht="14" customHeight="1">
      <c r="A788" s="842"/>
      <c r="B788" s="844"/>
      <c r="C788" s="841"/>
      <c r="D788" s="845"/>
    </row>
    <row r="789" spans="1:4" ht="14" customHeight="1">
      <c r="A789" s="842"/>
      <c r="B789" s="844"/>
      <c r="C789" s="841"/>
      <c r="D789" s="845"/>
    </row>
    <row r="790" spans="1:4" ht="14" customHeight="1">
      <c r="A790" s="842"/>
      <c r="B790" s="844"/>
      <c r="C790" s="841"/>
      <c r="D790" s="845"/>
    </row>
    <row r="791" spans="1:4" ht="14" customHeight="1">
      <c r="A791" s="842"/>
      <c r="B791" s="844"/>
      <c r="C791" s="841"/>
      <c r="D791" s="845"/>
    </row>
    <row r="792" spans="1:4" ht="14" customHeight="1">
      <c r="A792" s="842"/>
      <c r="B792" s="844"/>
      <c r="C792" s="841"/>
      <c r="D792" s="845"/>
    </row>
    <row r="793" spans="1:4" ht="14" customHeight="1">
      <c r="A793" s="842"/>
      <c r="B793" s="844"/>
      <c r="C793" s="841"/>
      <c r="D793" s="845"/>
    </row>
    <row r="794" spans="1:4" ht="14" customHeight="1">
      <c r="A794" s="842"/>
      <c r="B794" s="844"/>
      <c r="C794" s="841"/>
      <c r="D794" s="845"/>
    </row>
    <row r="795" spans="1:4" ht="14" customHeight="1">
      <c r="A795" s="842"/>
      <c r="B795" s="844"/>
      <c r="C795" s="841"/>
      <c r="D795" s="845"/>
    </row>
    <row r="796" spans="1:4" ht="14" customHeight="1">
      <c r="A796" s="842"/>
      <c r="B796" s="844"/>
      <c r="C796" s="841"/>
      <c r="D796" s="845"/>
    </row>
    <row r="797" spans="1:4" ht="14" customHeight="1">
      <c r="A797" s="842"/>
      <c r="B797" s="844"/>
      <c r="C797" s="841"/>
      <c r="D797" s="845"/>
    </row>
    <row r="798" spans="1:4" ht="14" customHeight="1">
      <c r="A798" s="842"/>
      <c r="B798" s="844"/>
      <c r="C798" s="841"/>
      <c r="D798" s="845"/>
    </row>
    <row r="799" spans="1:4" ht="14" customHeight="1">
      <c r="A799" s="842"/>
      <c r="B799" s="844"/>
      <c r="C799" s="841"/>
      <c r="D799" s="845"/>
    </row>
    <row r="800" spans="1:4" ht="14" customHeight="1">
      <c r="A800" s="842"/>
      <c r="B800" s="844"/>
      <c r="C800" s="841"/>
      <c r="D800" s="845"/>
    </row>
    <row r="801" spans="1:4" ht="14" customHeight="1">
      <c r="A801" s="842"/>
      <c r="B801" s="844"/>
      <c r="C801" s="841"/>
      <c r="D801" s="845"/>
    </row>
    <row r="802" spans="1:4" ht="14" customHeight="1">
      <c r="A802" s="842"/>
      <c r="B802" s="844"/>
      <c r="C802" s="841"/>
      <c r="D802" s="845"/>
    </row>
    <row r="803" spans="1:4" ht="14" customHeight="1">
      <c r="A803" s="842"/>
      <c r="B803" s="844"/>
      <c r="C803" s="841"/>
      <c r="D803" s="845"/>
    </row>
    <row r="804" spans="1:4" ht="14" customHeight="1">
      <c r="A804" s="842"/>
      <c r="B804" s="844"/>
      <c r="C804" s="841"/>
      <c r="D804" s="845"/>
    </row>
    <row r="805" spans="1:4" ht="14" customHeight="1">
      <c r="A805" s="842"/>
      <c r="B805" s="844"/>
      <c r="C805" s="841"/>
      <c r="D805" s="845"/>
    </row>
    <row r="806" spans="1:4" ht="14" customHeight="1">
      <c r="A806" s="842"/>
      <c r="B806" s="844"/>
      <c r="C806" s="841"/>
      <c r="D806" s="845"/>
    </row>
    <row r="807" spans="1:4" ht="14" customHeight="1">
      <c r="A807" s="842"/>
      <c r="B807" s="844"/>
      <c r="C807" s="841"/>
      <c r="D807" s="845"/>
    </row>
    <row r="808" spans="1:4" ht="14" customHeight="1">
      <c r="A808" s="842"/>
      <c r="B808" s="844"/>
      <c r="C808" s="841"/>
      <c r="D808" s="845"/>
    </row>
    <row r="809" spans="1:4" ht="14" customHeight="1">
      <c r="A809" s="842"/>
      <c r="B809" s="844"/>
      <c r="C809" s="841"/>
      <c r="D809" s="845"/>
    </row>
    <row r="810" spans="1:4" ht="14" customHeight="1">
      <c r="A810" s="842"/>
      <c r="B810" s="844"/>
      <c r="C810" s="841"/>
      <c r="D810" s="845"/>
    </row>
    <row r="811" spans="1:4" ht="14" customHeight="1">
      <c r="A811" s="842"/>
      <c r="B811" s="844"/>
      <c r="C811" s="841"/>
      <c r="D811" s="845"/>
    </row>
    <row r="812" spans="1:4" ht="14" customHeight="1">
      <c r="A812" s="842"/>
      <c r="B812" s="844"/>
      <c r="C812" s="841"/>
      <c r="D812" s="845"/>
    </row>
    <row r="813" spans="1:4" ht="14" customHeight="1">
      <c r="A813" s="842"/>
      <c r="B813" s="844"/>
      <c r="C813" s="841"/>
      <c r="D813" s="845"/>
    </row>
    <row r="814" spans="1:4" ht="14" customHeight="1">
      <c r="A814" s="842"/>
      <c r="B814" s="844"/>
      <c r="C814" s="841"/>
      <c r="D814" s="845"/>
    </row>
    <row r="815" spans="1:4" ht="14" customHeight="1">
      <c r="A815" s="842"/>
      <c r="B815" s="844"/>
      <c r="C815" s="841"/>
      <c r="D815" s="845"/>
    </row>
    <row r="816" spans="1:4" ht="14" customHeight="1">
      <c r="A816" s="842"/>
      <c r="B816" s="844"/>
      <c r="C816" s="841"/>
      <c r="D816" s="845"/>
    </row>
    <row r="817" spans="1:4" ht="14" customHeight="1">
      <c r="A817" s="842"/>
      <c r="B817" s="844"/>
      <c r="C817" s="841"/>
      <c r="D817" s="845"/>
    </row>
    <row r="818" spans="1:4" ht="14" customHeight="1">
      <c r="A818" s="842"/>
      <c r="B818" s="844"/>
      <c r="C818" s="841"/>
      <c r="D818" s="845"/>
    </row>
    <row r="819" spans="1:4" ht="14" customHeight="1">
      <c r="A819" s="842"/>
      <c r="B819" s="844"/>
      <c r="C819" s="841"/>
      <c r="D819" s="845"/>
    </row>
    <row r="820" spans="1:4" ht="14" customHeight="1">
      <c r="A820" s="842"/>
      <c r="B820" s="844"/>
      <c r="C820" s="841"/>
      <c r="D820" s="845"/>
    </row>
    <row r="821" spans="1:4" ht="14" customHeight="1">
      <c r="A821" s="842"/>
      <c r="B821" s="844"/>
      <c r="C821" s="841"/>
      <c r="D821" s="845"/>
    </row>
    <row r="822" spans="1:4" ht="14" customHeight="1">
      <c r="A822" s="842"/>
      <c r="B822" s="844"/>
      <c r="C822" s="841"/>
      <c r="D822" s="845"/>
    </row>
    <row r="823" spans="1:4" ht="14" customHeight="1">
      <c r="A823" s="842"/>
      <c r="B823" s="844"/>
      <c r="C823" s="841"/>
      <c r="D823" s="845"/>
    </row>
    <row r="824" spans="1:4" ht="14" customHeight="1">
      <c r="A824" s="842"/>
      <c r="B824" s="844"/>
      <c r="C824" s="841"/>
      <c r="D824" s="845"/>
    </row>
    <row r="825" spans="1:4" ht="14" customHeight="1">
      <c r="A825" s="842"/>
      <c r="B825" s="844"/>
      <c r="C825" s="841"/>
      <c r="D825" s="845"/>
    </row>
    <row r="826" spans="1:4" ht="14" customHeight="1">
      <c r="A826" s="842"/>
      <c r="B826" s="844"/>
      <c r="C826" s="841"/>
      <c r="D826" s="845"/>
    </row>
    <row r="827" spans="1:4" ht="14" customHeight="1">
      <c r="A827" s="842"/>
      <c r="B827" s="844"/>
      <c r="C827" s="841"/>
      <c r="D827" s="845"/>
    </row>
    <row r="828" spans="1:4" ht="14" customHeight="1">
      <c r="A828" s="842"/>
      <c r="B828" s="844"/>
      <c r="C828" s="841"/>
      <c r="D828" s="845"/>
    </row>
    <row r="829" spans="1:4" ht="14" customHeight="1">
      <c r="A829" s="842"/>
      <c r="B829" s="844"/>
      <c r="C829" s="841"/>
      <c r="D829" s="845"/>
    </row>
    <row r="830" spans="1:4" ht="14" customHeight="1">
      <c r="A830" s="842"/>
      <c r="B830" s="844"/>
      <c r="C830" s="841"/>
      <c r="D830" s="845"/>
    </row>
    <row r="831" spans="1:4" ht="14" customHeight="1">
      <c r="A831" s="842"/>
      <c r="B831" s="844"/>
      <c r="C831" s="841"/>
      <c r="D831" s="845"/>
    </row>
    <row r="832" spans="1:4" ht="14" customHeight="1">
      <c r="A832" s="842"/>
      <c r="B832" s="844"/>
      <c r="C832" s="841"/>
      <c r="D832" s="845"/>
    </row>
    <row r="833" spans="1:4" ht="14" customHeight="1">
      <c r="A833" s="842"/>
      <c r="B833" s="844"/>
      <c r="C833" s="841"/>
      <c r="D833" s="845"/>
    </row>
    <row r="834" spans="1:4" ht="14" customHeight="1">
      <c r="A834" s="842"/>
      <c r="B834" s="844"/>
      <c r="C834" s="841"/>
      <c r="D834" s="845"/>
    </row>
    <row r="835" spans="1:4" ht="14" customHeight="1">
      <c r="A835" s="842"/>
      <c r="B835" s="844"/>
      <c r="C835" s="841"/>
      <c r="D835" s="845"/>
    </row>
    <row r="836" spans="1:4" ht="14" customHeight="1">
      <c r="A836" s="842"/>
      <c r="B836" s="844"/>
      <c r="C836" s="841"/>
      <c r="D836" s="845"/>
    </row>
    <row r="837" spans="1:4" ht="14" customHeight="1">
      <c r="A837" s="842"/>
      <c r="B837" s="844"/>
      <c r="C837" s="841"/>
      <c r="D837" s="845"/>
    </row>
    <row r="838" spans="1:4" ht="14" customHeight="1">
      <c r="A838" s="842"/>
      <c r="B838" s="844"/>
      <c r="C838" s="841"/>
      <c r="D838" s="845"/>
    </row>
    <row r="839" spans="1:4" ht="14" customHeight="1">
      <c r="A839" s="842"/>
      <c r="B839" s="844"/>
      <c r="C839" s="841"/>
      <c r="D839" s="845"/>
    </row>
    <row r="840" spans="1:4" ht="14" customHeight="1">
      <c r="A840" s="842"/>
      <c r="B840" s="844"/>
      <c r="C840" s="841"/>
      <c r="D840" s="845"/>
    </row>
    <row r="841" spans="1:4" ht="14" customHeight="1">
      <c r="A841" s="842"/>
      <c r="B841" s="844"/>
      <c r="C841" s="841"/>
      <c r="D841" s="845"/>
    </row>
    <row r="842" spans="1:4" ht="14" customHeight="1">
      <c r="A842" s="842"/>
      <c r="B842" s="844"/>
      <c r="C842" s="841"/>
      <c r="D842" s="845"/>
    </row>
    <row r="843" spans="1:4" ht="14" customHeight="1">
      <c r="A843" s="842"/>
      <c r="B843" s="844"/>
      <c r="C843" s="841"/>
      <c r="D843" s="845"/>
    </row>
    <row r="844" spans="1:4" ht="14" customHeight="1">
      <c r="A844" s="842"/>
      <c r="B844" s="844"/>
      <c r="C844" s="841"/>
      <c r="D844" s="845"/>
    </row>
    <row r="845" spans="1:4" ht="14" customHeight="1">
      <c r="A845" s="842"/>
      <c r="B845" s="844"/>
      <c r="C845" s="841"/>
      <c r="D845" s="845"/>
    </row>
    <row r="846" spans="1:4" ht="14" customHeight="1">
      <c r="A846" s="842"/>
      <c r="B846" s="844"/>
      <c r="C846" s="841"/>
      <c r="D846" s="845"/>
    </row>
    <row r="847" spans="1:4" ht="14" customHeight="1">
      <c r="A847" s="842"/>
      <c r="B847" s="844"/>
      <c r="C847" s="841"/>
      <c r="D847" s="845"/>
    </row>
    <row r="848" spans="1:4" ht="14" customHeight="1">
      <c r="A848" s="842"/>
      <c r="B848" s="844"/>
      <c r="C848" s="841"/>
      <c r="D848" s="845"/>
    </row>
    <row r="849" spans="1:4" ht="14" customHeight="1">
      <c r="A849" s="842"/>
      <c r="B849" s="844"/>
      <c r="C849" s="841"/>
      <c r="D849" s="845"/>
    </row>
    <row r="850" spans="1:4" ht="14" customHeight="1">
      <c r="A850" s="842"/>
      <c r="B850" s="844"/>
      <c r="C850" s="841"/>
      <c r="D850" s="845"/>
    </row>
    <row r="851" spans="1:4" ht="14" customHeight="1">
      <c r="A851" s="842"/>
      <c r="B851" s="844"/>
      <c r="C851" s="841"/>
      <c r="D851" s="845"/>
    </row>
    <row r="852" spans="1:4" ht="14" customHeight="1">
      <c r="A852" s="842"/>
      <c r="B852" s="844"/>
      <c r="C852" s="841"/>
      <c r="D852" s="845"/>
    </row>
    <row r="853" spans="1:4" ht="14" customHeight="1">
      <c r="A853" s="842"/>
      <c r="B853" s="844"/>
      <c r="C853" s="841"/>
      <c r="D853" s="845"/>
    </row>
    <row r="854" spans="1:4" ht="14" customHeight="1">
      <c r="A854" s="842"/>
      <c r="B854" s="844"/>
      <c r="C854" s="841"/>
      <c r="D854" s="845"/>
    </row>
    <row r="855" spans="1:4" ht="14" customHeight="1">
      <c r="A855" s="842"/>
      <c r="B855" s="844"/>
      <c r="C855" s="841"/>
      <c r="D855" s="845"/>
    </row>
    <row r="856" spans="1:4" ht="14" customHeight="1">
      <c r="A856" s="842"/>
      <c r="B856" s="844"/>
      <c r="C856" s="841"/>
      <c r="D856" s="845"/>
    </row>
    <row r="857" spans="1:4" ht="14" customHeight="1">
      <c r="A857" s="842"/>
      <c r="B857" s="844"/>
      <c r="C857" s="841"/>
      <c r="D857" s="845"/>
    </row>
    <row r="858" spans="1:4" ht="14" customHeight="1">
      <c r="A858" s="842"/>
      <c r="B858" s="844"/>
      <c r="C858" s="841"/>
      <c r="D858" s="845"/>
    </row>
    <row r="859" spans="1:4" ht="14" customHeight="1">
      <c r="A859" s="842"/>
      <c r="B859" s="844"/>
      <c r="C859" s="841"/>
      <c r="D859" s="845"/>
    </row>
    <row r="860" spans="1:4" ht="14" customHeight="1">
      <c r="A860" s="842"/>
      <c r="B860" s="844"/>
      <c r="C860" s="841"/>
      <c r="D860" s="845"/>
    </row>
    <row r="861" spans="1:4" ht="14" customHeight="1">
      <c r="A861" s="842"/>
      <c r="B861" s="844"/>
      <c r="C861" s="841"/>
      <c r="D861" s="845"/>
    </row>
    <row r="862" spans="1:4" ht="14" customHeight="1">
      <c r="A862" s="842"/>
      <c r="B862" s="844"/>
      <c r="C862" s="841"/>
      <c r="D862" s="845"/>
    </row>
    <row r="863" spans="1:4" ht="14" customHeight="1">
      <c r="A863" s="842"/>
      <c r="B863" s="844"/>
      <c r="C863" s="841"/>
      <c r="D863" s="845"/>
    </row>
    <row r="864" spans="1:4" ht="14" customHeight="1">
      <c r="A864" s="842"/>
      <c r="B864" s="844"/>
      <c r="C864" s="841"/>
      <c r="D864" s="845"/>
    </row>
    <row r="865" spans="1:4" ht="14" customHeight="1">
      <c r="A865" s="842"/>
      <c r="B865" s="844"/>
      <c r="C865" s="841"/>
      <c r="D865" s="845"/>
    </row>
    <row r="866" spans="1:4" ht="14" customHeight="1">
      <c r="A866" s="842"/>
      <c r="B866" s="844"/>
      <c r="C866" s="841"/>
      <c r="D866" s="845"/>
    </row>
    <row r="867" spans="1:4" ht="14" customHeight="1">
      <c r="A867" s="842"/>
      <c r="B867" s="844"/>
      <c r="C867" s="841"/>
      <c r="D867" s="845"/>
    </row>
    <row r="868" spans="1:4" ht="14" customHeight="1">
      <c r="A868" s="842"/>
      <c r="B868" s="844"/>
      <c r="C868" s="841"/>
      <c r="D868" s="845"/>
    </row>
    <row r="869" spans="1:4" ht="14" customHeight="1">
      <c r="A869" s="842"/>
      <c r="B869" s="844"/>
      <c r="C869" s="841"/>
      <c r="D869" s="845"/>
    </row>
    <row r="870" spans="1:4" ht="14" customHeight="1">
      <c r="A870" s="842"/>
      <c r="B870" s="844"/>
      <c r="C870" s="841"/>
      <c r="D870" s="845"/>
    </row>
    <row r="871" spans="1:4" ht="14" customHeight="1">
      <c r="A871" s="842"/>
      <c r="B871" s="844"/>
      <c r="C871" s="841"/>
      <c r="D871" s="845"/>
    </row>
    <row r="872" spans="1:4" ht="14" customHeight="1">
      <c r="A872" s="842"/>
      <c r="B872" s="844"/>
      <c r="C872" s="841"/>
      <c r="D872" s="845"/>
    </row>
    <row r="873" spans="1:4" ht="14" customHeight="1">
      <c r="A873" s="842"/>
      <c r="B873" s="844"/>
      <c r="C873" s="841"/>
      <c r="D873" s="845"/>
    </row>
    <row r="874" spans="1:4" ht="14" customHeight="1">
      <c r="A874" s="842"/>
      <c r="B874" s="844"/>
      <c r="C874" s="841"/>
      <c r="D874" s="845"/>
    </row>
    <row r="875" spans="1:4" ht="14" customHeight="1">
      <c r="A875" s="842"/>
      <c r="B875" s="844"/>
      <c r="C875" s="841"/>
      <c r="D875" s="845"/>
    </row>
    <row r="876" spans="1:4" ht="14" customHeight="1">
      <c r="A876" s="842"/>
      <c r="B876" s="844"/>
      <c r="C876" s="841"/>
      <c r="D876" s="845"/>
    </row>
    <row r="877" spans="1:4" ht="14" customHeight="1">
      <c r="A877" s="842"/>
      <c r="B877" s="844"/>
      <c r="C877" s="841"/>
      <c r="D877" s="845"/>
    </row>
    <row r="878" spans="1:4" ht="14" customHeight="1">
      <c r="A878" s="842"/>
      <c r="B878" s="844"/>
      <c r="C878" s="841"/>
      <c r="D878" s="845"/>
    </row>
    <row r="879" spans="1:4" ht="14" customHeight="1">
      <c r="A879" s="842"/>
      <c r="B879" s="844"/>
      <c r="C879" s="841"/>
      <c r="D879" s="845"/>
    </row>
    <row r="880" spans="1:4" ht="14" customHeight="1">
      <c r="A880" s="842"/>
      <c r="B880" s="844"/>
      <c r="C880" s="841"/>
      <c r="D880" s="845"/>
    </row>
    <row r="881" spans="1:4" ht="14" customHeight="1">
      <c r="A881" s="842"/>
      <c r="B881" s="844"/>
      <c r="C881" s="841"/>
      <c r="D881" s="845"/>
    </row>
    <row r="882" spans="1:4" ht="14" customHeight="1">
      <c r="A882" s="842"/>
      <c r="B882" s="844"/>
      <c r="C882" s="841"/>
      <c r="D882" s="845"/>
    </row>
    <row r="883" spans="1:4" ht="14" customHeight="1">
      <c r="A883" s="842"/>
      <c r="B883" s="844"/>
      <c r="C883" s="841"/>
      <c r="D883" s="845"/>
    </row>
    <row r="884" spans="1:4" ht="14" customHeight="1">
      <c r="A884" s="842"/>
      <c r="B884" s="844"/>
      <c r="C884" s="841"/>
      <c r="D884" s="845"/>
    </row>
    <row r="885" spans="1:4" ht="14" customHeight="1">
      <c r="A885" s="842"/>
      <c r="B885" s="844"/>
      <c r="C885" s="841"/>
      <c r="D885" s="845"/>
    </row>
    <row r="886" spans="1:4" ht="14" customHeight="1">
      <c r="A886" s="842"/>
      <c r="B886" s="844"/>
      <c r="C886" s="841"/>
      <c r="D886" s="845"/>
    </row>
    <row r="887" spans="1:4" ht="14" customHeight="1">
      <c r="A887" s="842"/>
      <c r="B887" s="844"/>
      <c r="C887" s="841"/>
      <c r="D887" s="845"/>
    </row>
    <row r="888" spans="1:4" ht="14" customHeight="1">
      <c r="A888" s="842"/>
      <c r="B888" s="844"/>
      <c r="C888" s="841"/>
      <c r="D888" s="845"/>
    </row>
    <row r="889" spans="1:4" ht="14" customHeight="1">
      <c r="A889" s="842"/>
      <c r="B889" s="844"/>
      <c r="C889" s="841"/>
      <c r="D889" s="845"/>
    </row>
    <row r="890" spans="1:4" ht="14" customHeight="1">
      <c r="A890" s="842"/>
      <c r="B890" s="844"/>
      <c r="C890" s="841"/>
      <c r="D890" s="845"/>
    </row>
    <row r="891" spans="1:4" ht="14" customHeight="1">
      <c r="A891" s="842"/>
      <c r="B891" s="844"/>
      <c r="C891" s="841"/>
      <c r="D891" s="845"/>
    </row>
    <row r="892" spans="1:4" ht="14" customHeight="1">
      <c r="A892" s="842"/>
      <c r="B892" s="844"/>
      <c r="C892" s="841"/>
      <c r="D892" s="845"/>
    </row>
    <row r="893" spans="1:4" ht="14" customHeight="1">
      <c r="A893" s="842"/>
      <c r="B893" s="844"/>
      <c r="C893" s="841"/>
      <c r="D893" s="845"/>
    </row>
    <row r="894" spans="1:4" ht="14" customHeight="1">
      <c r="A894" s="842"/>
      <c r="B894" s="844"/>
      <c r="C894" s="841"/>
      <c r="D894" s="845"/>
    </row>
    <row r="895" spans="1:4" ht="14" customHeight="1">
      <c r="A895" s="842"/>
      <c r="B895" s="844"/>
      <c r="C895" s="841"/>
      <c r="D895" s="845"/>
    </row>
    <row r="896" spans="1:4" ht="14" customHeight="1">
      <c r="A896" s="842"/>
      <c r="B896" s="844"/>
      <c r="C896" s="841"/>
      <c r="D896" s="845"/>
    </row>
    <row r="897" spans="1:4" ht="14" customHeight="1">
      <c r="A897" s="842"/>
      <c r="B897" s="844"/>
      <c r="C897" s="841"/>
      <c r="D897" s="845"/>
    </row>
    <row r="898" spans="1:4" ht="14" customHeight="1">
      <c r="A898" s="842"/>
      <c r="B898" s="844"/>
      <c r="C898" s="841"/>
      <c r="D898" s="845"/>
    </row>
    <row r="899" spans="1:4" ht="14" customHeight="1">
      <c r="A899" s="842"/>
      <c r="B899" s="844"/>
      <c r="C899" s="841"/>
      <c r="D899" s="845"/>
    </row>
    <row r="900" spans="1:4" ht="14" customHeight="1">
      <c r="A900" s="842"/>
      <c r="B900" s="844"/>
      <c r="C900" s="841"/>
      <c r="D900" s="845"/>
    </row>
    <row r="901" spans="1:4" ht="14" customHeight="1">
      <c r="A901" s="842"/>
      <c r="B901" s="844"/>
      <c r="C901" s="841"/>
      <c r="D901" s="845"/>
    </row>
    <row r="902" spans="1:4" ht="14" customHeight="1">
      <c r="A902" s="842"/>
      <c r="B902" s="844"/>
      <c r="C902" s="841"/>
      <c r="D902" s="845"/>
    </row>
    <row r="903" spans="1:4" ht="14" customHeight="1">
      <c r="A903" s="842"/>
      <c r="B903" s="844"/>
      <c r="C903" s="841"/>
      <c r="D903" s="845"/>
    </row>
    <row r="904" spans="1:4" ht="14" customHeight="1">
      <c r="A904" s="842"/>
      <c r="B904" s="844"/>
      <c r="C904" s="841"/>
      <c r="D904" s="845"/>
    </row>
    <row r="905" spans="1:4" ht="14" customHeight="1">
      <c r="A905" s="842"/>
      <c r="B905" s="844"/>
      <c r="C905" s="841"/>
      <c r="D905" s="845"/>
    </row>
    <row r="906" spans="1:4" ht="14" customHeight="1">
      <c r="A906" s="842"/>
      <c r="B906" s="844"/>
      <c r="C906" s="841"/>
      <c r="D906" s="845"/>
    </row>
    <row r="907" spans="1:4" ht="14" customHeight="1">
      <c r="A907" s="842"/>
      <c r="B907" s="844"/>
      <c r="C907" s="841"/>
      <c r="D907" s="845"/>
    </row>
    <row r="908" spans="1:4" ht="14" customHeight="1">
      <c r="A908" s="842"/>
      <c r="B908" s="844"/>
      <c r="C908" s="841"/>
      <c r="D908" s="845"/>
    </row>
    <row r="909" spans="1:4" ht="14" customHeight="1">
      <c r="A909" s="842"/>
      <c r="B909" s="844"/>
      <c r="C909" s="841"/>
      <c r="D909" s="845"/>
    </row>
    <row r="910" spans="1:4" ht="14" customHeight="1">
      <c r="A910" s="842"/>
      <c r="B910" s="844"/>
      <c r="C910" s="841"/>
      <c r="D910" s="845"/>
    </row>
    <row r="911" spans="1:4" ht="14" customHeight="1">
      <c r="A911" s="842"/>
      <c r="B911" s="844"/>
      <c r="C911" s="841"/>
      <c r="D911" s="845"/>
    </row>
    <row r="912" spans="1:4" ht="14" customHeight="1">
      <c r="A912" s="842"/>
      <c r="B912" s="844"/>
      <c r="C912" s="841"/>
      <c r="D912" s="845"/>
    </row>
    <row r="913" spans="1:4" ht="14" customHeight="1">
      <c r="A913" s="842"/>
      <c r="B913" s="844"/>
      <c r="C913" s="841"/>
      <c r="D913" s="845"/>
    </row>
    <row r="914" spans="1:4" ht="14" customHeight="1">
      <c r="A914" s="842"/>
      <c r="B914" s="844"/>
      <c r="C914" s="841"/>
      <c r="D914" s="845"/>
    </row>
    <row r="915" spans="1:4" ht="14" customHeight="1">
      <c r="A915" s="842"/>
      <c r="B915" s="844"/>
      <c r="C915" s="841"/>
      <c r="D915" s="845"/>
    </row>
    <row r="916" spans="1:4" ht="14" customHeight="1">
      <c r="A916" s="842"/>
      <c r="B916" s="844"/>
      <c r="C916" s="841"/>
      <c r="D916" s="845"/>
    </row>
    <row r="917" spans="1:4" ht="14" customHeight="1">
      <c r="A917" s="842"/>
      <c r="B917" s="844"/>
      <c r="C917" s="841"/>
      <c r="D917" s="845"/>
    </row>
    <row r="918" spans="1:4" ht="14" customHeight="1">
      <c r="A918" s="842"/>
      <c r="B918" s="844"/>
      <c r="C918" s="841"/>
      <c r="D918" s="845"/>
    </row>
    <row r="919" spans="1:4" ht="14" customHeight="1">
      <c r="A919" s="842"/>
      <c r="B919" s="844"/>
      <c r="C919" s="841"/>
      <c r="D919" s="845"/>
    </row>
    <row r="920" spans="1:4" ht="14" customHeight="1">
      <c r="A920" s="842"/>
      <c r="B920" s="844"/>
      <c r="C920" s="841"/>
      <c r="D920" s="845"/>
    </row>
    <row r="921" spans="1:4" ht="14" customHeight="1">
      <c r="A921" s="842"/>
      <c r="B921" s="844"/>
      <c r="C921" s="841"/>
      <c r="D921" s="845"/>
    </row>
    <row r="922" spans="1:4" ht="14" customHeight="1">
      <c r="A922" s="842"/>
      <c r="B922" s="844"/>
      <c r="C922" s="841"/>
      <c r="D922" s="845"/>
    </row>
    <row r="923" spans="1:4" ht="14" customHeight="1">
      <c r="A923" s="842"/>
      <c r="B923" s="844"/>
      <c r="C923" s="841"/>
      <c r="D923" s="845"/>
    </row>
    <row r="924" spans="1:4" ht="14" customHeight="1">
      <c r="A924" s="842"/>
      <c r="B924" s="844"/>
      <c r="C924" s="841"/>
      <c r="D924" s="845"/>
    </row>
    <row r="925" spans="1:4" ht="14" customHeight="1">
      <c r="A925" s="842"/>
      <c r="B925" s="844"/>
      <c r="C925" s="841"/>
      <c r="D925" s="845"/>
    </row>
    <row r="926" spans="1:4" ht="14" customHeight="1">
      <c r="A926" s="842"/>
      <c r="B926" s="844"/>
      <c r="C926" s="841"/>
      <c r="D926" s="845"/>
    </row>
    <row r="927" spans="1:4" ht="14" customHeight="1">
      <c r="A927" s="842"/>
      <c r="B927" s="844"/>
      <c r="C927" s="841"/>
      <c r="D927" s="845"/>
    </row>
    <row r="928" spans="1:4" ht="14" customHeight="1">
      <c r="A928" s="842"/>
      <c r="B928" s="844"/>
      <c r="C928" s="841"/>
      <c r="D928" s="845"/>
    </row>
    <row r="929" spans="1:4" ht="14" customHeight="1">
      <c r="A929" s="842"/>
      <c r="B929" s="844"/>
      <c r="C929" s="841"/>
      <c r="D929" s="845"/>
    </row>
    <row r="930" spans="1:4" ht="14" customHeight="1">
      <c r="A930" s="842"/>
      <c r="B930" s="844"/>
      <c r="C930" s="841"/>
      <c r="D930" s="845"/>
    </row>
    <row r="931" spans="1:4" ht="14" customHeight="1">
      <c r="A931" s="842"/>
      <c r="B931" s="844"/>
      <c r="C931" s="841"/>
      <c r="D931" s="845"/>
    </row>
    <row r="932" spans="1:4" ht="14" customHeight="1">
      <c r="A932" s="842"/>
      <c r="B932" s="844"/>
      <c r="C932" s="841"/>
      <c r="D932" s="845"/>
    </row>
    <row r="933" spans="1:4" ht="14" customHeight="1">
      <c r="A933" s="842"/>
      <c r="B933" s="844"/>
      <c r="C933" s="841"/>
      <c r="D933" s="845"/>
    </row>
    <row r="934" spans="1:4" ht="14" customHeight="1">
      <c r="A934" s="842"/>
      <c r="B934" s="844"/>
      <c r="C934" s="841"/>
      <c r="D934" s="845"/>
    </row>
    <row r="935" spans="1:4" ht="14" customHeight="1">
      <c r="A935" s="842"/>
      <c r="B935" s="844"/>
      <c r="C935" s="841"/>
      <c r="D935" s="845"/>
    </row>
    <row r="936" spans="1:4" ht="14" customHeight="1">
      <c r="A936" s="842"/>
      <c r="B936" s="844"/>
      <c r="C936" s="841"/>
      <c r="D936" s="845"/>
    </row>
    <row r="937" spans="1:4" ht="14" customHeight="1">
      <c r="A937" s="842"/>
      <c r="B937" s="844"/>
      <c r="C937" s="841"/>
      <c r="D937" s="845"/>
    </row>
    <row r="938" spans="1:4" ht="14" customHeight="1">
      <c r="A938" s="842"/>
      <c r="B938" s="844"/>
      <c r="C938" s="841"/>
      <c r="D938" s="845"/>
    </row>
    <row r="939" spans="1:4" ht="14" customHeight="1">
      <c r="A939" s="842"/>
      <c r="B939" s="844"/>
      <c r="C939" s="841"/>
      <c r="D939" s="845"/>
    </row>
    <row r="940" spans="1:4" ht="14" customHeight="1">
      <c r="A940" s="842"/>
      <c r="B940" s="844"/>
      <c r="C940" s="841"/>
      <c r="D940" s="845"/>
    </row>
    <row r="941" spans="1:4" ht="14" customHeight="1">
      <c r="A941" s="842"/>
      <c r="B941" s="844"/>
      <c r="C941" s="841"/>
      <c r="D941" s="845"/>
    </row>
    <row r="942" spans="1:4" ht="14" customHeight="1">
      <c r="A942" s="842"/>
      <c r="B942" s="844"/>
      <c r="C942" s="841"/>
      <c r="D942" s="845"/>
    </row>
    <row r="943" spans="1:4" ht="14" customHeight="1">
      <c r="A943" s="842"/>
      <c r="B943" s="844"/>
      <c r="C943" s="841"/>
      <c r="D943" s="845"/>
    </row>
    <row r="944" spans="1:4" ht="14" customHeight="1">
      <c r="A944" s="842"/>
      <c r="B944" s="844"/>
      <c r="C944" s="841"/>
      <c r="D944" s="845"/>
    </row>
    <row r="945" spans="1:4" ht="14" customHeight="1">
      <c r="A945" s="842"/>
      <c r="B945" s="844"/>
      <c r="C945" s="841"/>
      <c r="D945" s="845"/>
    </row>
    <row r="946" spans="1:4" ht="14" customHeight="1">
      <c r="A946" s="842"/>
      <c r="B946" s="844"/>
      <c r="C946" s="841"/>
      <c r="D946" s="845"/>
    </row>
    <row r="947" spans="1:4" ht="14" customHeight="1">
      <c r="A947" s="842"/>
      <c r="B947" s="844"/>
      <c r="C947" s="841"/>
      <c r="D947" s="845"/>
    </row>
    <row r="948" spans="1:4" ht="14" customHeight="1">
      <c r="A948" s="842"/>
      <c r="B948" s="844"/>
      <c r="C948" s="841"/>
      <c r="D948" s="845"/>
    </row>
    <row r="949" spans="1:4" ht="14" customHeight="1">
      <c r="A949" s="842"/>
      <c r="B949" s="844"/>
      <c r="C949" s="841"/>
      <c r="D949" s="845"/>
    </row>
    <row r="950" spans="1:4" ht="14" customHeight="1">
      <c r="A950" s="842"/>
      <c r="B950" s="844"/>
      <c r="C950" s="841"/>
      <c r="D950" s="845"/>
    </row>
    <row r="951" spans="1:4" ht="14" customHeight="1">
      <c r="A951" s="842"/>
      <c r="B951" s="844"/>
      <c r="C951" s="841"/>
      <c r="D951" s="845"/>
    </row>
    <row r="952" spans="1:4" ht="14" customHeight="1">
      <c r="A952" s="842"/>
      <c r="B952" s="844"/>
      <c r="C952" s="841"/>
      <c r="D952" s="845"/>
    </row>
    <row r="953" spans="1:4" ht="14" customHeight="1">
      <c r="A953" s="842"/>
      <c r="B953" s="844"/>
      <c r="C953" s="841"/>
      <c r="D953" s="845"/>
    </row>
    <row r="954" spans="1:4" ht="14" customHeight="1">
      <c r="A954" s="842"/>
      <c r="B954" s="844"/>
      <c r="C954" s="841"/>
      <c r="D954" s="845"/>
    </row>
    <row r="955" spans="1:4" ht="14" customHeight="1">
      <c r="A955" s="842"/>
      <c r="B955" s="844"/>
      <c r="C955" s="841"/>
      <c r="D955" s="845"/>
    </row>
    <row r="956" spans="1:4" ht="14" customHeight="1">
      <c r="A956" s="842"/>
      <c r="B956" s="844"/>
      <c r="C956" s="841"/>
      <c r="D956" s="845"/>
    </row>
    <row r="957" spans="1:4" ht="14" customHeight="1">
      <c r="A957" s="842"/>
      <c r="B957" s="844"/>
      <c r="C957" s="841"/>
      <c r="D957" s="845"/>
    </row>
    <row r="958" spans="1:4" ht="14" customHeight="1">
      <c r="A958" s="842"/>
      <c r="B958" s="844"/>
      <c r="C958" s="841"/>
      <c r="D958" s="845"/>
    </row>
    <row r="959" spans="1:4" ht="14" customHeight="1">
      <c r="A959" s="842"/>
      <c r="B959" s="844"/>
      <c r="C959" s="841"/>
      <c r="D959" s="845"/>
    </row>
    <row r="960" spans="1:4" ht="14" customHeight="1">
      <c r="A960" s="842"/>
      <c r="B960" s="844"/>
      <c r="C960" s="841"/>
      <c r="D960" s="845"/>
    </row>
    <row r="961" spans="1:4" ht="14" customHeight="1">
      <c r="A961" s="842"/>
      <c r="B961" s="844"/>
      <c r="C961" s="841"/>
      <c r="D961" s="845"/>
    </row>
    <row r="962" spans="1:4" ht="14" customHeight="1">
      <c r="A962" s="842"/>
      <c r="B962" s="844"/>
      <c r="C962" s="841"/>
      <c r="D962" s="845"/>
    </row>
    <row r="963" spans="1:4" ht="14" customHeight="1">
      <c r="A963" s="842"/>
      <c r="B963" s="844"/>
      <c r="C963" s="841"/>
      <c r="D963" s="845"/>
    </row>
    <row r="964" spans="1:4" ht="14" customHeight="1">
      <c r="A964" s="842"/>
      <c r="B964" s="844"/>
      <c r="C964" s="841"/>
      <c r="D964" s="845"/>
    </row>
    <row r="965" spans="1:4" ht="14" customHeight="1">
      <c r="A965" s="842"/>
      <c r="B965" s="844"/>
      <c r="C965" s="841"/>
      <c r="D965" s="845"/>
    </row>
    <row r="966" spans="1:4" ht="14" customHeight="1">
      <c r="A966" s="842"/>
      <c r="B966" s="844"/>
      <c r="C966" s="841"/>
      <c r="D966" s="845"/>
    </row>
    <row r="967" spans="1:4" ht="14" customHeight="1">
      <c r="A967" s="842"/>
      <c r="B967" s="844"/>
      <c r="C967" s="841"/>
      <c r="D967" s="845"/>
    </row>
    <row r="968" spans="1:4" ht="14" customHeight="1">
      <c r="A968" s="842"/>
      <c r="B968" s="844"/>
      <c r="C968" s="841"/>
      <c r="D968" s="845"/>
    </row>
    <row r="969" spans="1:4" ht="14" customHeight="1">
      <c r="A969" s="842"/>
      <c r="B969" s="844"/>
      <c r="C969" s="841"/>
      <c r="D969" s="845"/>
    </row>
    <row r="970" spans="1:4" ht="14" customHeight="1">
      <c r="A970" s="842"/>
      <c r="B970" s="844"/>
      <c r="C970" s="841"/>
      <c r="D970" s="845"/>
    </row>
    <row r="971" spans="1:4" ht="14" customHeight="1">
      <c r="A971" s="842"/>
      <c r="B971" s="844"/>
      <c r="C971" s="841"/>
      <c r="D971" s="845"/>
    </row>
    <row r="972" spans="1:4" ht="14" customHeight="1">
      <c r="A972" s="842"/>
      <c r="B972" s="844"/>
      <c r="C972" s="841"/>
      <c r="D972" s="845"/>
    </row>
    <row r="973" spans="1:4" ht="14" customHeight="1">
      <c r="A973" s="842"/>
      <c r="B973" s="844"/>
      <c r="C973" s="841"/>
      <c r="D973" s="845"/>
    </row>
    <row r="974" spans="1:4" ht="14" customHeight="1">
      <c r="A974" s="842"/>
      <c r="B974" s="844"/>
      <c r="C974" s="841"/>
      <c r="D974" s="845"/>
    </row>
    <row r="975" spans="1:4" ht="14" customHeight="1">
      <c r="A975" s="842"/>
      <c r="B975" s="844"/>
      <c r="C975" s="841"/>
      <c r="D975" s="845"/>
    </row>
    <row r="976" spans="1:4" ht="14" customHeight="1">
      <c r="A976" s="842"/>
      <c r="B976" s="844"/>
      <c r="C976" s="841"/>
      <c r="D976" s="845"/>
    </row>
    <row r="977" spans="1:4" ht="14" customHeight="1">
      <c r="A977" s="842"/>
      <c r="B977" s="844"/>
      <c r="C977" s="841"/>
      <c r="D977" s="845"/>
    </row>
    <row r="978" spans="1:4" ht="14" customHeight="1">
      <c r="A978" s="842"/>
      <c r="B978" s="844"/>
      <c r="C978" s="841"/>
      <c r="D978" s="845"/>
    </row>
    <row r="979" spans="1:4" ht="14" customHeight="1">
      <c r="A979" s="842"/>
      <c r="B979" s="844"/>
      <c r="C979" s="841"/>
      <c r="D979" s="845"/>
    </row>
    <row r="980" spans="1:4" ht="14" customHeight="1">
      <c r="A980" s="842"/>
      <c r="B980" s="844"/>
      <c r="C980" s="841"/>
      <c r="D980" s="845"/>
    </row>
    <row r="981" spans="1:4" ht="14" customHeight="1">
      <c r="A981" s="842"/>
      <c r="B981" s="844"/>
      <c r="C981" s="841"/>
      <c r="D981" s="845"/>
    </row>
    <row r="982" spans="1:4" ht="14" customHeight="1">
      <c r="A982" s="842"/>
      <c r="B982" s="844"/>
      <c r="C982" s="841"/>
      <c r="D982" s="845"/>
    </row>
    <row r="983" spans="1:4" ht="14" customHeight="1">
      <c r="A983" s="842"/>
      <c r="B983" s="844"/>
      <c r="C983" s="841"/>
      <c r="D983" s="845"/>
    </row>
    <row r="984" spans="1:4" ht="14" customHeight="1">
      <c r="A984" s="842"/>
      <c r="B984" s="844"/>
      <c r="C984" s="841"/>
      <c r="D984" s="845"/>
    </row>
    <row r="985" spans="1:4" ht="14" customHeight="1">
      <c r="A985" s="842"/>
      <c r="B985" s="844"/>
      <c r="C985" s="841"/>
      <c r="D985" s="845"/>
    </row>
    <row r="986" spans="1:4" ht="14" customHeight="1">
      <c r="A986" s="842"/>
      <c r="B986" s="844"/>
      <c r="C986" s="841"/>
      <c r="D986" s="845"/>
    </row>
    <row r="987" spans="1:4" ht="14" customHeight="1">
      <c r="A987" s="842"/>
      <c r="B987" s="844"/>
      <c r="C987" s="841"/>
      <c r="D987" s="845"/>
    </row>
    <row r="988" spans="1:4" ht="14" customHeight="1">
      <c r="A988" s="842"/>
      <c r="B988" s="844"/>
      <c r="C988" s="841"/>
      <c r="D988" s="845"/>
    </row>
    <row r="989" spans="1:4" ht="14" customHeight="1">
      <c r="A989" s="842"/>
      <c r="B989" s="844"/>
      <c r="C989" s="841"/>
      <c r="D989" s="845"/>
    </row>
    <row r="990" spans="1:4" ht="14" customHeight="1">
      <c r="A990" s="842"/>
      <c r="B990" s="844"/>
      <c r="C990" s="841"/>
      <c r="D990" s="845"/>
    </row>
    <row r="991" spans="1:4" ht="14" customHeight="1">
      <c r="A991" s="842"/>
      <c r="B991" s="844"/>
      <c r="C991" s="841"/>
      <c r="D991" s="845"/>
    </row>
    <row r="992" spans="1:4" ht="14" customHeight="1">
      <c r="A992" s="842"/>
      <c r="B992" s="844"/>
      <c r="C992" s="841"/>
      <c r="D992" s="845"/>
    </row>
    <row r="993" spans="1:4" ht="14" customHeight="1">
      <c r="A993" s="842"/>
      <c r="B993" s="844"/>
      <c r="C993" s="841"/>
      <c r="D993" s="845"/>
    </row>
    <row r="994" spans="1:4" ht="14" customHeight="1">
      <c r="A994" s="842"/>
      <c r="B994" s="844"/>
      <c r="C994" s="841"/>
      <c r="D994" s="845"/>
    </row>
    <row r="995" spans="1:4" ht="14" customHeight="1">
      <c r="A995" s="842"/>
      <c r="B995" s="844"/>
      <c r="C995" s="841"/>
      <c r="D995" s="845"/>
    </row>
    <row r="996" spans="1:4" ht="14" customHeight="1">
      <c r="A996" s="842"/>
      <c r="B996" s="844"/>
      <c r="C996" s="841"/>
      <c r="D996" s="845"/>
    </row>
    <row r="997" spans="1:4" ht="14" customHeight="1">
      <c r="A997" s="842"/>
      <c r="B997" s="844"/>
      <c r="C997" s="841"/>
      <c r="D997" s="845"/>
    </row>
    <row r="998" spans="1:4" ht="14" customHeight="1">
      <c r="A998" s="842"/>
      <c r="B998" s="844"/>
      <c r="C998" s="841"/>
      <c r="D998" s="845"/>
    </row>
    <row r="999" spans="1:4" ht="14" customHeight="1">
      <c r="A999" s="842"/>
      <c r="B999" s="844"/>
      <c r="C999" s="841"/>
      <c r="D999" s="845"/>
    </row>
    <row r="1000" spans="1:4" ht="14" customHeight="1">
      <c r="A1000" s="842"/>
      <c r="B1000" s="844"/>
      <c r="C1000" s="841"/>
      <c r="D1000" s="845"/>
    </row>
    <row r="1001" spans="1:4" ht="14" customHeight="1">
      <c r="A1001" s="842"/>
      <c r="B1001" s="844"/>
      <c r="C1001" s="841"/>
      <c r="D1001" s="845"/>
    </row>
    <row r="1002" spans="1:4" ht="14" customHeight="1">
      <c r="A1002" s="842"/>
      <c r="B1002" s="844"/>
      <c r="C1002" s="841"/>
      <c r="D1002" s="845"/>
    </row>
    <row r="1003" spans="1:4" ht="14" customHeight="1">
      <c r="A1003" s="842"/>
      <c r="B1003" s="844"/>
      <c r="C1003" s="841"/>
      <c r="D1003" s="845"/>
    </row>
    <row r="1004" spans="1:4" ht="14" customHeight="1">
      <c r="A1004" s="842"/>
      <c r="B1004" s="844"/>
      <c r="C1004" s="841"/>
      <c r="D1004" s="845"/>
    </row>
    <row r="1005" spans="1:4" ht="14" customHeight="1">
      <c r="A1005" s="842"/>
      <c r="B1005" s="844"/>
      <c r="C1005" s="841"/>
      <c r="D1005" s="845"/>
    </row>
    <row r="1006" spans="1:4" ht="14" customHeight="1">
      <c r="A1006" s="842"/>
      <c r="B1006" s="844"/>
      <c r="C1006" s="841"/>
      <c r="D1006" s="845"/>
    </row>
    <row r="1007" spans="1:4" ht="14" customHeight="1">
      <c r="A1007" s="842"/>
      <c r="B1007" s="844"/>
      <c r="C1007" s="841"/>
      <c r="D1007" s="845"/>
    </row>
    <row r="1008" spans="1:4" ht="14" customHeight="1">
      <c r="A1008" s="842"/>
      <c r="B1008" s="844"/>
      <c r="C1008" s="841"/>
      <c r="D1008" s="845"/>
    </row>
    <row r="1009" spans="1:4" ht="14" customHeight="1">
      <c r="A1009" s="842"/>
      <c r="B1009" s="844"/>
      <c r="C1009" s="841"/>
      <c r="D1009" s="845"/>
    </row>
    <row r="1010" spans="1:4" ht="14" customHeight="1">
      <c r="A1010" s="842"/>
      <c r="B1010" s="844"/>
      <c r="C1010" s="841"/>
      <c r="D1010" s="845"/>
    </row>
    <row r="1011" spans="1:4" ht="14" customHeight="1">
      <c r="A1011" s="842"/>
      <c r="B1011" s="844"/>
      <c r="C1011" s="841"/>
      <c r="D1011" s="845"/>
    </row>
    <row r="1012" spans="1:4" ht="14" customHeight="1">
      <c r="A1012" s="842"/>
      <c r="B1012" s="844"/>
      <c r="C1012" s="841"/>
      <c r="D1012" s="845"/>
    </row>
    <row r="1013" spans="1:4" ht="14" customHeight="1">
      <c r="A1013" s="842"/>
      <c r="B1013" s="844"/>
      <c r="C1013" s="841"/>
      <c r="D1013" s="845"/>
    </row>
    <row r="1014" spans="1:4" ht="14" customHeight="1">
      <c r="A1014" s="842"/>
      <c r="B1014" s="844"/>
      <c r="C1014" s="841"/>
      <c r="D1014" s="845"/>
    </row>
    <row r="1015" spans="1:4" ht="14" customHeight="1">
      <c r="A1015" s="842"/>
      <c r="B1015" s="844"/>
      <c r="C1015" s="841"/>
      <c r="D1015" s="845"/>
    </row>
    <row r="1016" spans="1:4" ht="14" customHeight="1">
      <c r="A1016" s="842"/>
      <c r="B1016" s="844"/>
      <c r="C1016" s="841"/>
      <c r="D1016" s="845"/>
    </row>
    <row r="1017" spans="1:4" ht="14" customHeight="1">
      <c r="A1017" s="842"/>
      <c r="B1017" s="844"/>
      <c r="C1017" s="841"/>
      <c r="D1017" s="845"/>
    </row>
    <row r="1018" spans="1:4" ht="14" customHeight="1">
      <c r="A1018" s="842"/>
      <c r="B1018" s="844"/>
      <c r="C1018" s="841"/>
      <c r="D1018" s="845"/>
    </row>
    <row r="1019" spans="1:4" ht="14" customHeight="1">
      <c r="A1019" s="842"/>
      <c r="B1019" s="844"/>
      <c r="C1019" s="841"/>
      <c r="D1019" s="845"/>
    </row>
    <row r="1020" spans="1:4" ht="14" customHeight="1">
      <c r="A1020" s="842"/>
      <c r="B1020" s="844"/>
      <c r="C1020" s="841"/>
      <c r="D1020" s="845"/>
    </row>
    <row r="1021" spans="1:4" ht="14" customHeight="1">
      <c r="A1021" s="842"/>
      <c r="B1021" s="844"/>
      <c r="C1021" s="841"/>
      <c r="D1021" s="845"/>
    </row>
    <row r="1022" spans="1:4" ht="14" customHeight="1">
      <c r="A1022" s="842"/>
      <c r="B1022" s="844"/>
      <c r="C1022" s="841"/>
      <c r="D1022" s="845"/>
    </row>
    <row r="1023" spans="1:4" ht="14" customHeight="1">
      <c r="A1023" s="842"/>
      <c r="B1023" s="844"/>
      <c r="C1023" s="841"/>
      <c r="D1023" s="845"/>
    </row>
    <row r="1024" spans="1:4" ht="14" customHeight="1">
      <c r="A1024" s="842"/>
      <c r="B1024" s="844"/>
      <c r="C1024" s="841"/>
      <c r="D1024" s="845"/>
    </row>
    <row r="1025" spans="1:4" ht="14" customHeight="1">
      <c r="A1025" s="842"/>
      <c r="B1025" s="844"/>
      <c r="C1025" s="841"/>
      <c r="D1025" s="845"/>
    </row>
    <row r="1026" spans="1:4" ht="14" customHeight="1">
      <c r="A1026" s="842"/>
      <c r="B1026" s="844"/>
      <c r="C1026" s="841"/>
      <c r="D1026" s="845"/>
    </row>
    <row r="1027" spans="1:4" ht="14" customHeight="1">
      <c r="A1027" s="842"/>
      <c r="B1027" s="844"/>
      <c r="C1027" s="841"/>
      <c r="D1027" s="845"/>
    </row>
    <row r="1028" spans="1:4" ht="14" customHeight="1">
      <c r="A1028" s="842"/>
      <c r="B1028" s="844"/>
      <c r="C1028" s="841"/>
      <c r="D1028" s="845"/>
    </row>
    <row r="1029" spans="1:4" ht="14" customHeight="1">
      <c r="A1029" s="842"/>
      <c r="B1029" s="844"/>
      <c r="C1029" s="841"/>
      <c r="D1029" s="845"/>
    </row>
    <row r="1030" spans="1:4" ht="14" customHeight="1">
      <c r="A1030" s="842"/>
      <c r="B1030" s="844"/>
      <c r="C1030" s="841"/>
      <c r="D1030" s="845"/>
    </row>
    <row r="1031" spans="1:4" ht="14" customHeight="1">
      <c r="A1031" s="842"/>
      <c r="B1031" s="844"/>
      <c r="C1031" s="841"/>
      <c r="D1031" s="845"/>
    </row>
    <row r="1032" spans="1:4" ht="14" customHeight="1">
      <c r="A1032" s="842"/>
      <c r="B1032" s="844"/>
      <c r="C1032" s="841"/>
      <c r="D1032" s="845"/>
    </row>
    <row r="1033" spans="1:4" ht="14" customHeight="1">
      <c r="A1033" s="842"/>
      <c r="B1033" s="844"/>
      <c r="C1033" s="841"/>
      <c r="D1033" s="845"/>
    </row>
    <row r="1034" spans="1:4" ht="14" customHeight="1">
      <c r="A1034" s="842"/>
      <c r="B1034" s="844"/>
      <c r="C1034" s="841"/>
      <c r="D1034" s="845"/>
    </row>
    <row r="1035" spans="1:4" ht="14" customHeight="1">
      <c r="A1035" s="842"/>
      <c r="B1035" s="844"/>
      <c r="C1035" s="841"/>
      <c r="D1035" s="845"/>
    </row>
    <row r="1036" spans="1:4" ht="14" customHeight="1">
      <c r="A1036" s="842"/>
      <c r="B1036" s="844"/>
      <c r="C1036" s="841"/>
      <c r="D1036" s="845"/>
    </row>
    <row r="1037" spans="1:4" ht="14" customHeight="1">
      <c r="A1037" s="842"/>
      <c r="B1037" s="844"/>
      <c r="C1037" s="841"/>
      <c r="D1037" s="845"/>
    </row>
    <row r="1038" spans="1:4" ht="14" customHeight="1">
      <c r="A1038" s="842"/>
      <c r="B1038" s="844"/>
      <c r="C1038" s="841"/>
      <c r="D1038" s="845"/>
    </row>
    <row r="1039" spans="1:4" ht="14" customHeight="1">
      <c r="A1039" s="842"/>
      <c r="B1039" s="844"/>
      <c r="C1039" s="841"/>
      <c r="D1039" s="845"/>
    </row>
    <row r="1040" spans="1:4" ht="14" customHeight="1">
      <c r="A1040" s="842"/>
      <c r="B1040" s="844"/>
      <c r="C1040" s="841"/>
      <c r="D1040" s="845"/>
    </row>
    <row r="1041" spans="1:4" ht="14" customHeight="1">
      <c r="A1041" s="842"/>
      <c r="B1041" s="844"/>
      <c r="C1041" s="841"/>
      <c r="D1041" s="845"/>
    </row>
    <row r="1042" spans="1:4" ht="14" customHeight="1">
      <c r="A1042" s="842"/>
      <c r="B1042" s="844"/>
      <c r="C1042" s="841"/>
      <c r="D1042" s="845"/>
    </row>
    <row r="1043" spans="1:4" ht="14" customHeight="1">
      <c r="A1043" s="842"/>
      <c r="B1043" s="844"/>
      <c r="C1043" s="841"/>
      <c r="D1043" s="845"/>
    </row>
    <row r="1044" spans="1:4" ht="14" customHeight="1">
      <c r="A1044" s="842"/>
      <c r="B1044" s="844"/>
      <c r="C1044" s="841"/>
      <c r="D1044" s="845"/>
    </row>
    <row r="1045" spans="1:4" ht="14" customHeight="1">
      <c r="A1045" s="842"/>
      <c r="B1045" s="844"/>
      <c r="C1045" s="841"/>
      <c r="D1045" s="845"/>
    </row>
    <row r="1046" spans="1:4" ht="14" customHeight="1">
      <c r="A1046" s="842"/>
      <c r="B1046" s="844"/>
      <c r="C1046" s="841"/>
      <c r="D1046" s="845"/>
    </row>
    <row r="1047" spans="1:4" ht="14" customHeight="1">
      <c r="A1047" s="842"/>
      <c r="B1047" s="844"/>
      <c r="C1047" s="841"/>
      <c r="D1047" s="845"/>
    </row>
    <row r="1048" spans="1:4" ht="14" customHeight="1">
      <c r="A1048" s="842"/>
      <c r="B1048" s="844"/>
      <c r="C1048" s="841"/>
      <c r="D1048" s="845"/>
    </row>
    <row r="1049" spans="1:4" ht="14" customHeight="1">
      <c r="A1049" s="842"/>
      <c r="B1049" s="844"/>
      <c r="C1049" s="841"/>
      <c r="D1049" s="845"/>
    </row>
    <row r="1050" spans="1:4" ht="14" customHeight="1">
      <c r="A1050" s="842"/>
      <c r="B1050" s="844"/>
      <c r="C1050" s="841"/>
      <c r="D1050" s="845"/>
    </row>
    <row r="1051" spans="1:4" ht="14" customHeight="1">
      <c r="A1051" s="842"/>
      <c r="B1051" s="844"/>
      <c r="C1051" s="841"/>
      <c r="D1051" s="845"/>
    </row>
    <row r="1052" spans="1:4" ht="14" customHeight="1">
      <c r="A1052" s="842"/>
      <c r="B1052" s="844"/>
      <c r="C1052" s="841"/>
      <c r="D1052" s="845"/>
    </row>
    <row r="1053" spans="1:4" ht="14" customHeight="1">
      <c r="A1053" s="842"/>
      <c r="B1053" s="844"/>
      <c r="C1053" s="841"/>
      <c r="D1053" s="845"/>
    </row>
    <row r="1054" spans="1:4" ht="14" customHeight="1">
      <c r="A1054" s="842"/>
      <c r="B1054" s="844"/>
      <c r="C1054" s="841"/>
      <c r="D1054" s="845"/>
    </row>
    <row r="1055" spans="1:4" ht="14" customHeight="1">
      <c r="A1055" s="842"/>
      <c r="B1055" s="844"/>
      <c r="C1055" s="841"/>
      <c r="D1055" s="845"/>
    </row>
    <row r="1056" spans="1:4" ht="14" customHeight="1">
      <c r="A1056" s="842"/>
      <c r="B1056" s="844"/>
      <c r="C1056" s="841"/>
      <c r="D1056" s="845"/>
    </row>
    <row r="1057" spans="1:4" ht="14" customHeight="1">
      <c r="A1057" s="842"/>
      <c r="B1057" s="844"/>
      <c r="C1057" s="841"/>
      <c r="D1057" s="845"/>
    </row>
    <row r="1058" spans="1:4" ht="14" customHeight="1">
      <c r="A1058" s="842"/>
      <c r="B1058" s="844"/>
      <c r="C1058" s="841"/>
      <c r="D1058" s="845"/>
    </row>
    <row r="1059" spans="1:4" ht="14" customHeight="1">
      <c r="A1059" s="842"/>
      <c r="B1059" s="844"/>
      <c r="C1059" s="841"/>
      <c r="D1059" s="845"/>
    </row>
    <row r="1060" spans="1:4" ht="14" customHeight="1">
      <c r="A1060" s="842"/>
      <c r="B1060" s="844"/>
      <c r="C1060" s="841"/>
      <c r="D1060" s="845"/>
    </row>
    <row r="1061" spans="1:4" ht="14" customHeight="1">
      <c r="A1061" s="842"/>
      <c r="B1061" s="844"/>
      <c r="C1061" s="841"/>
      <c r="D1061" s="845"/>
    </row>
    <row r="1062" spans="1:4" ht="14" customHeight="1">
      <c r="A1062" s="842"/>
      <c r="B1062" s="844"/>
      <c r="C1062" s="841"/>
      <c r="D1062" s="845"/>
    </row>
    <row r="1063" spans="1:4" ht="14" customHeight="1">
      <c r="A1063" s="842"/>
      <c r="B1063" s="844"/>
      <c r="C1063" s="841"/>
      <c r="D1063" s="845"/>
    </row>
    <row r="1064" spans="1:4" ht="14" customHeight="1">
      <c r="A1064" s="842"/>
      <c r="B1064" s="844"/>
      <c r="C1064" s="841"/>
      <c r="D1064" s="845"/>
    </row>
    <row r="1065" spans="1:4" ht="14" customHeight="1">
      <c r="A1065" s="842"/>
      <c r="B1065" s="844"/>
      <c r="C1065" s="841"/>
      <c r="D1065" s="845"/>
    </row>
    <row r="1066" spans="1:4" ht="14" customHeight="1">
      <c r="A1066" s="842"/>
      <c r="B1066" s="844"/>
      <c r="C1066" s="841"/>
      <c r="D1066" s="845"/>
    </row>
    <row r="1067" spans="1:4" ht="14" customHeight="1">
      <c r="A1067" s="842"/>
      <c r="B1067" s="844"/>
      <c r="C1067" s="841"/>
      <c r="D1067" s="845"/>
    </row>
    <row r="1068" spans="1:4" ht="14" customHeight="1">
      <c r="A1068" s="842"/>
      <c r="B1068" s="844"/>
      <c r="C1068" s="841"/>
      <c r="D1068" s="845"/>
    </row>
    <row r="1069" spans="1:4" ht="14" customHeight="1">
      <c r="A1069" s="842"/>
      <c r="B1069" s="844"/>
      <c r="C1069" s="841"/>
      <c r="D1069" s="845"/>
    </row>
    <row r="1070" spans="1:4" ht="14" customHeight="1">
      <c r="A1070" s="842"/>
      <c r="B1070" s="844"/>
      <c r="C1070" s="841"/>
      <c r="D1070" s="845"/>
    </row>
    <row r="1071" spans="1:4" ht="14" customHeight="1">
      <c r="A1071" s="842"/>
      <c r="B1071" s="844"/>
      <c r="C1071" s="841"/>
      <c r="D1071" s="845"/>
    </row>
    <row r="1072" spans="1:4" ht="14" customHeight="1">
      <c r="A1072" s="842"/>
      <c r="B1072" s="844"/>
      <c r="C1072" s="841"/>
      <c r="D1072" s="845"/>
    </row>
    <row r="1073" spans="1:4" ht="14" customHeight="1">
      <c r="A1073" s="842"/>
      <c r="B1073" s="844"/>
      <c r="C1073" s="841"/>
      <c r="D1073" s="845"/>
    </row>
    <row r="1074" spans="1:4" ht="14" customHeight="1">
      <c r="A1074" s="842"/>
      <c r="B1074" s="844"/>
      <c r="C1074" s="841"/>
      <c r="D1074" s="845"/>
    </row>
    <row r="1075" spans="1:4" ht="14" customHeight="1">
      <c r="A1075" s="842"/>
      <c r="B1075" s="844"/>
      <c r="C1075" s="841"/>
      <c r="D1075" s="845"/>
    </row>
    <row r="1076" spans="1:4" ht="14" customHeight="1">
      <c r="A1076" s="842"/>
      <c r="B1076" s="844"/>
      <c r="C1076" s="841"/>
      <c r="D1076" s="845"/>
    </row>
    <row r="1077" spans="1:4" ht="14" customHeight="1">
      <c r="A1077" s="842"/>
      <c r="B1077" s="844"/>
      <c r="C1077" s="841"/>
      <c r="D1077" s="845"/>
    </row>
    <row r="1078" spans="1:4" ht="14" customHeight="1">
      <c r="A1078" s="842"/>
      <c r="B1078" s="844"/>
      <c r="C1078" s="841"/>
      <c r="D1078" s="845"/>
    </row>
    <row r="1079" spans="1:4" ht="14" customHeight="1">
      <c r="A1079" s="842"/>
      <c r="B1079" s="844"/>
      <c r="C1079" s="841"/>
      <c r="D1079" s="845"/>
    </row>
    <row r="1080" spans="1:4" ht="14" customHeight="1">
      <c r="A1080" s="842"/>
      <c r="B1080" s="844"/>
      <c r="C1080" s="841"/>
      <c r="D1080" s="845"/>
    </row>
    <row r="1081" spans="1:4" ht="14" customHeight="1">
      <c r="A1081" s="842"/>
      <c r="B1081" s="844"/>
      <c r="C1081" s="841"/>
      <c r="D1081" s="845"/>
    </row>
    <row r="1082" spans="1:4" ht="14" customHeight="1">
      <c r="A1082" s="842"/>
      <c r="B1082" s="844"/>
      <c r="C1082" s="841"/>
      <c r="D1082" s="845"/>
    </row>
    <row r="1083" spans="1:4" ht="14" customHeight="1">
      <c r="A1083" s="842"/>
      <c r="B1083" s="844"/>
      <c r="C1083" s="841"/>
      <c r="D1083" s="845"/>
    </row>
    <row r="1084" spans="1:4" ht="14" customHeight="1">
      <c r="A1084" s="842"/>
      <c r="B1084" s="844"/>
      <c r="C1084" s="841"/>
      <c r="D1084" s="845"/>
    </row>
    <row r="1085" spans="1:4" ht="14" customHeight="1">
      <c r="A1085" s="842"/>
      <c r="B1085" s="844"/>
      <c r="C1085" s="841"/>
      <c r="D1085" s="845"/>
    </row>
    <row r="1086" spans="1:4" ht="14" customHeight="1">
      <c r="A1086" s="842"/>
      <c r="B1086" s="844"/>
      <c r="C1086" s="841"/>
      <c r="D1086" s="845"/>
    </row>
    <row r="1087" spans="1:4" ht="14" customHeight="1">
      <c r="A1087" s="842"/>
      <c r="B1087" s="844"/>
      <c r="C1087" s="841"/>
      <c r="D1087" s="845"/>
    </row>
    <row r="1088" spans="1:4" ht="14" customHeight="1">
      <c r="A1088" s="842"/>
      <c r="B1088" s="844"/>
      <c r="C1088" s="841"/>
      <c r="D1088" s="845"/>
    </row>
    <row r="1089" spans="1:4" ht="14" customHeight="1">
      <c r="A1089" s="842"/>
      <c r="B1089" s="844"/>
      <c r="C1089" s="841"/>
      <c r="D1089" s="845"/>
    </row>
    <row r="1090" spans="1:4" ht="14" customHeight="1">
      <c r="A1090" s="842"/>
      <c r="B1090" s="844"/>
      <c r="C1090" s="841"/>
      <c r="D1090" s="845"/>
    </row>
    <row r="1091" spans="1:4" ht="14" customHeight="1">
      <c r="A1091" s="842"/>
      <c r="B1091" s="844"/>
      <c r="C1091" s="841"/>
      <c r="D1091" s="845"/>
    </row>
    <row r="1092" spans="1:4" ht="14" customHeight="1">
      <c r="A1092" s="842"/>
      <c r="B1092" s="844"/>
      <c r="C1092" s="841"/>
      <c r="D1092" s="845"/>
    </row>
    <row r="1093" spans="1:4" ht="14" customHeight="1">
      <c r="A1093" s="842"/>
      <c r="B1093" s="844"/>
      <c r="C1093" s="841"/>
      <c r="D1093" s="845"/>
    </row>
    <row r="1094" spans="1:4" ht="14" customHeight="1">
      <c r="A1094" s="842"/>
      <c r="B1094" s="844"/>
      <c r="C1094" s="841"/>
      <c r="D1094" s="845"/>
    </row>
    <row r="1095" spans="1:4" ht="14" customHeight="1">
      <c r="A1095" s="842"/>
      <c r="B1095" s="844"/>
      <c r="C1095" s="841"/>
      <c r="D1095" s="845"/>
    </row>
    <row r="1096" spans="1:4" ht="14" customHeight="1">
      <c r="A1096" s="842"/>
      <c r="B1096" s="844"/>
      <c r="C1096" s="841"/>
      <c r="D1096" s="845"/>
    </row>
    <row r="1097" spans="1:4" ht="14" customHeight="1">
      <c r="A1097" s="842"/>
      <c r="B1097" s="844"/>
      <c r="C1097" s="841"/>
      <c r="D1097" s="845"/>
    </row>
    <row r="1098" spans="1:4" ht="14" customHeight="1">
      <c r="A1098" s="842"/>
      <c r="B1098" s="844"/>
      <c r="C1098" s="841"/>
      <c r="D1098" s="845"/>
    </row>
    <row r="1099" spans="1:4" ht="14" customHeight="1">
      <c r="A1099" s="842"/>
      <c r="B1099" s="844"/>
      <c r="C1099" s="841"/>
      <c r="D1099" s="845"/>
    </row>
    <row r="1100" spans="1:4" ht="14" customHeight="1">
      <c r="A1100" s="842"/>
      <c r="B1100" s="844"/>
      <c r="C1100" s="841"/>
      <c r="D1100" s="845"/>
    </row>
    <row r="1101" spans="1:4" ht="14" customHeight="1">
      <c r="A1101" s="842"/>
      <c r="B1101" s="844"/>
      <c r="C1101" s="841"/>
      <c r="D1101" s="845"/>
    </row>
    <row r="1102" spans="1:4" ht="14" customHeight="1">
      <c r="A1102" s="842"/>
      <c r="B1102" s="844"/>
      <c r="C1102" s="841"/>
      <c r="D1102" s="845"/>
    </row>
    <row r="1103" spans="1:4" ht="14" customHeight="1">
      <c r="A1103" s="842"/>
      <c r="B1103" s="844"/>
      <c r="C1103" s="841"/>
      <c r="D1103" s="845"/>
    </row>
    <row r="1104" spans="1:4" ht="14" customHeight="1">
      <c r="A1104" s="842"/>
      <c r="B1104" s="844"/>
      <c r="C1104" s="841"/>
      <c r="D1104" s="845"/>
    </row>
    <row r="1105" spans="1:4" ht="14" customHeight="1">
      <c r="A1105" s="842"/>
      <c r="B1105" s="844"/>
      <c r="C1105" s="841"/>
      <c r="D1105" s="845"/>
    </row>
    <row r="1106" spans="1:4" ht="14" customHeight="1">
      <c r="A1106" s="842"/>
      <c r="B1106" s="844"/>
      <c r="C1106" s="841"/>
      <c r="D1106" s="845"/>
    </row>
    <row r="1107" spans="1:4" ht="14" customHeight="1">
      <c r="A1107" s="842"/>
      <c r="B1107" s="844"/>
      <c r="C1107" s="841"/>
      <c r="D1107" s="845"/>
    </row>
    <row r="1108" spans="1:4" ht="14" customHeight="1">
      <c r="A1108" s="842"/>
      <c r="B1108" s="844"/>
      <c r="C1108" s="841"/>
      <c r="D1108" s="845"/>
    </row>
    <row r="1109" spans="1:4" ht="14" customHeight="1">
      <c r="A1109" s="842"/>
      <c r="B1109" s="844"/>
      <c r="C1109" s="841"/>
      <c r="D1109" s="845"/>
    </row>
    <row r="1110" spans="1:4" ht="14" customHeight="1">
      <c r="A1110" s="842"/>
      <c r="B1110" s="844"/>
      <c r="C1110" s="841"/>
      <c r="D1110" s="845"/>
    </row>
    <row r="1111" spans="1:4" ht="14" customHeight="1">
      <c r="A1111" s="842"/>
      <c r="B1111" s="844"/>
      <c r="C1111" s="841"/>
      <c r="D1111" s="845"/>
    </row>
    <row r="1112" spans="1:4" ht="14" customHeight="1">
      <c r="A1112" s="842"/>
      <c r="B1112" s="844"/>
      <c r="C1112" s="841"/>
      <c r="D1112" s="845"/>
    </row>
    <row r="1113" spans="1:4" ht="14" customHeight="1">
      <c r="A1113" s="842"/>
      <c r="B1113" s="844"/>
      <c r="C1113" s="841"/>
      <c r="D1113" s="845"/>
    </row>
    <row r="1114" spans="1:4" ht="14" customHeight="1">
      <c r="A1114" s="842"/>
      <c r="B1114" s="844"/>
      <c r="C1114" s="841"/>
      <c r="D1114" s="845"/>
    </row>
    <row r="1115" spans="1:4" ht="14" customHeight="1">
      <c r="A1115" s="842"/>
      <c r="B1115" s="844"/>
      <c r="C1115" s="841"/>
      <c r="D1115" s="845"/>
    </row>
    <row r="1116" spans="1:4" ht="14" customHeight="1">
      <c r="A1116" s="842"/>
      <c r="B1116" s="844"/>
      <c r="C1116" s="841"/>
      <c r="D1116" s="845"/>
    </row>
    <row r="1117" spans="1:4" ht="14" customHeight="1">
      <c r="A1117" s="842"/>
      <c r="B1117" s="844"/>
      <c r="C1117" s="841"/>
      <c r="D1117" s="845"/>
    </row>
    <row r="1118" spans="1:4" ht="14" customHeight="1">
      <c r="A1118" s="842"/>
      <c r="B1118" s="844"/>
      <c r="C1118" s="841"/>
      <c r="D1118" s="845"/>
    </row>
    <row r="1119" spans="1:4" ht="14" customHeight="1">
      <c r="A1119" s="842"/>
      <c r="B1119" s="844"/>
      <c r="C1119" s="841"/>
      <c r="D1119" s="845"/>
    </row>
    <row r="1120" spans="1:4" ht="14" customHeight="1">
      <c r="A1120" s="842"/>
      <c r="B1120" s="844"/>
      <c r="C1120" s="841"/>
      <c r="D1120" s="845"/>
    </row>
    <row r="1121" spans="1:4" ht="14" customHeight="1">
      <c r="A1121" s="842"/>
      <c r="B1121" s="844"/>
      <c r="C1121" s="841"/>
      <c r="D1121" s="845"/>
    </row>
    <row r="1122" spans="1:4" ht="14" customHeight="1">
      <c r="A1122" s="842"/>
      <c r="B1122" s="844"/>
      <c r="C1122" s="841"/>
      <c r="D1122" s="845"/>
    </row>
    <row r="1123" spans="1:4" ht="14" customHeight="1">
      <c r="A1123" s="842"/>
      <c r="B1123" s="844"/>
      <c r="C1123" s="841"/>
      <c r="D1123" s="845"/>
    </row>
    <row r="1124" spans="1:4" ht="14" customHeight="1">
      <c r="A1124" s="842"/>
      <c r="B1124" s="844"/>
      <c r="C1124" s="841"/>
      <c r="D1124" s="845"/>
    </row>
    <row r="1125" spans="1:4" ht="14" customHeight="1">
      <c r="A1125" s="842"/>
      <c r="B1125" s="844"/>
      <c r="C1125" s="841"/>
      <c r="D1125" s="845"/>
    </row>
    <row r="1126" spans="1:4" ht="14" customHeight="1">
      <c r="A1126" s="842"/>
      <c r="B1126" s="844"/>
      <c r="C1126" s="841"/>
      <c r="D1126" s="845"/>
    </row>
    <row r="1127" spans="1:4" ht="14" customHeight="1">
      <c r="A1127" s="842"/>
      <c r="B1127" s="844"/>
      <c r="C1127" s="841"/>
      <c r="D1127" s="845"/>
    </row>
    <row r="1128" spans="1:4" ht="14" customHeight="1">
      <c r="A1128" s="842"/>
      <c r="B1128" s="844"/>
      <c r="C1128" s="841"/>
      <c r="D1128" s="845"/>
    </row>
    <row r="1129" spans="1:4" ht="14" customHeight="1">
      <c r="A1129" s="842"/>
      <c r="B1129" s="844"/>
      <c r="C1129" s="841"/>
      <c r="D1129" s="845"/>
    </row>
    <row r="1130" spans="1:4" ht="14" customHeight="1">
      <c r="A1130" s="842"/>
      <c r="B1130" s="844"/>
      <c r="C1130" s="841"/>
      <c r="D1130" s="845"/>
    </row>
    <row r="1131" spans="1:4" ht="14" customHeight="1">
      <c r="A1131" s="842"/>
      <c r="B1131" s="844"/>
      <c r="C1131" s="841"/>
      <c r="D1131" s="845"/>
    </row>
    <row r="1132" spans="1:4" ht="14" customHeight="1">
      <c r="A1132" s="842"/>
      <c r="B1132" s="844"/>
      <c r="C1132" s="841"/>
      <c r="D1132" s="845"/>
    </row>
    <row r="1133" spans="1:4" ht="14" customHeight="1">
      <c r="A1133" s="842"/>
      <c r="B1133" s="844"/>
      <c r="C1133" s="841"/>
      <c r="D1133" s="845"/>
    </row>
    <row r="1134" spans="1:4" ht="14" customHeight="1">
      <c r="A1134" s="842"/>
      <c r="B1134" s="844"/>
      <c r="C1134" s="841"/>
      <c r="D1134" s="845"/>
    </row>
    <row r="1135" spans="1:4" ht="14" customHeight="1">
      <c r="A1135" s="842"/>
      <c r="B1135" s="844"/>
      <c r="C1135" s="841"/>
      <c r="D1135" s="845"/>
    </row>
    <row r="1136" spans="1:4" ht="14" customHeight="1">
      <c r="A1136" s="842"/>
      <c r="B1136" s="844"/>
      <c r="C1136" s="841"/>
      <c r="D1136" s="845"/>
    </row>
    <row r="1137" spans="1:4" ht="14" customHeight="1">
      <c r="A1137" s="842"/>
      <c r="B1137" s="844"/>
      <c r="C1137" s="841"/>
      <c r="D1137" s="845"/>
    </row>
    <row r="1138" spans="1:4" ht="14" customHeight="1">
      <c r="A1138" s="842"/>
      <c r="B1138" s="844"/>
      <c r="C1138" s="841"/>
      <c r="D1138" s="845"/>
    </row>
    <row r="1139" spans="1:4" ht="14" customHeight="1">
      <c r="A1139" s="842"/>
      <c r="B1139" s="844"/>
      <c r="C1139" s="841"/>
      <c r="D1139" s="845"/>
    </row>
    <row r="1140" spans="1:4" ht="14" customHeight="1">
      <c r="A1140" s="842"/>
      <c r="B1140" s="844"/>
      <c r="C1140" s="841"/>
      <c r="D1140" s="845"/>
    </row>
    <row r="1141" spans="1:4" ht="14" customHeight="1">
      <c r="A1141" s="842"/>
      <c r="B1141" s="844"/>
      <c r="C1141" s="841"/>
      <c r="D1141" s="845"/>
    </row>
    <row r="1142" spans="1:4" ht="14" customHeight="1">
      <c r="A1142" s="842"/>
      <c r="B1142" s="844"/>
      <c r="C1142" s="841"/>
      <c r="D1142" s="845"/>
    </row>
    <row r="1143" spans="1:4" ht="14" customHeight="1">
      <c r="A1143" s="842"/>
      <c r="B1143" s="844"/>
      <c r="C1143" s="841"/>
      <c r="D1143" s="845"/>
    </row>
    <row r="1144" spans="1:4" ht="14" customHeight="1">
      <c r="A1144" s="842"/>
      <c r="B1144" s="844"/>
      <c r="C1144" s="841"/>
      <c r="D1144" s="845"/>
    </row>
    <row r="1145" spans="1:4" ht="14" customHeight="1">
      <c r="A1145" s="842"/>
      <c r="B1145" s="844"/>
      <c r="C1145" s="841"/>
      <c r="D1145" s="845"/>
    </row>
    <row r="1146" spans="1:4" ht="14" customHeight="1">
      <c r="A1146" s="842"/>
      <c r="B1146" s="844"/>
      <c r="C1146" s="841"/>
      <c r="D1146" s="845"/>
    </row>
    <row r="1147" spans="1:4" ht="14" customHeight="1">
      <c r="A1147" s="842"/>
      <c r="B1147" s="844"/>
      <c r="C1147" s="841"/>
      <c r="D1147" s="845"/>
    </row>
    <row r="1148" spans="1:4" ht="14" customHeight="1">
      <c r="A1148" s="842"/>
      <c r="B1148" s="844"/>
      <c r="C1148" s="841"/>
      <c r="D1148" s="845"/>
    </row>
    <row r="1149" spans="1:4" ht="14" customHeight="1">
      <c r="A1149" s="842"/>
      <c r="B1149" s="844"/>
      <c r="C1149" s="841"/>
      <c r="D1149" s="845"/>
    </row>
    <row r="1150" spans="1:4" ht="14" customHeight="1">
      <c r="A1150" s="842"/>
      <c r="B1150" s="844"/>
      <c r="C1150" s="841"/>
      <c r="D1150" s="845"/>
    </row>
    <row r="1151" spans="1:4" ht="14" customHeight="1">
      <c r="A1151" s="842"/>
      <c r="B1151" s="844"/>
      <c r="C1151" s="841"/>
      <c r="D1151" s="845"/>
    </row>
    <row r="1152" spans="1:4" ht="14" customHeight="1">
      <c r="A1152" s="842"/>
      <c r="B1152" s="844"/>
      <c r="C1152" s="841"/>
      <c r="D1152" s="845"/>
    </row>
    <row r="1153" spans="1:4" ht="14" customHeight="1">
      <c r="A1153" s="842"/>
      <c r="B1153" s="844"/>
      <c r="C1153" s="841"/>
      <c r="D1153" s="845"/>
    </row>
    <row r="1154" spans="1:4" ht="14" customHeight="1">
      <c r="A1154" s="842"/>
      <c r="B1154" s="844"/>
      <c r="C1154" s="841"/>
      <c r="D1154" s="845"/>
    </row>
    <row r="1155" spans="1:4" ht="14" customHeight="1">
      <c r="A1155" s="842"/>
      <c r="B1155" s="844"/>
      <c r="C1155" s="841"/>
      <c r="D1155" s="845"/>
    </row>
    <row r="1156" spans="1:4" ht="14" customHeight="1">
      <c r="A1156" s="842"/>
      <c r="B1156" s="844"/>
      <c r="C1156" s="841"/>
      <c r="D1156" s="845"/>
    </row>
    <row r="1157" spans="1:4" ht="14" customHeight="1">
      <c r="A1157" s="842"/>
      <c r="B1157" s="844"/>
      <c r="C1157" s="841"/>
      <c r="D1157" s="845"/>
    </row>
    <row r="1158" spans="1:4" ht="14" customHeight="1">
      <c r="A1158" s="842"/>
      <c r="B1158" s="844"/>
      <c r="C1158" s="841"/>
      <c r="D1158" s="845"/>
    </row>
    <row r="1159" spans="1:4" ht="14" customHeight="1">
      <c r="A1159" s="842"/>
      <c r="B1159" s="844"/>
      <c r="C1159" s="841"/>
      <c r="D1159" s="845"/>
    </row>
    <row r="1160" spans="1:4" ht="14" customHeight="1">
      <c r="A1160" s="842"/>
      <c r="B1160" s="844"/>
      <c r="C1160" s="841"/>
      <c r="D1160" s="845"/>
    </row>
    <row r="1161" spans="1:4" ht="14" customHeight="1">
      <c r="A1161" s="842"/>
      <c r="B1161" s="844"/>
      <c r="C1161" s="841"/>
      <c r="D1161" s="845"/>
    </row>
    <row r="1162" spans="1:4" ht="14" customHeight="1">
      <c r="A1162" s="842"/>
      <c r="B1162" s="844"/>
      <c r="C1162" s="841"/>
      <c r="D1162" s="845"/>
    </row>
    <row r="1163" spans="1:4" ht="14" customHeight="1">
      <c r="A1163" s="842"/>
      <c r="B1163" s="844"/>
      <c r="C1163" s="841"/>
      <c r="D1163" s="845"/>
    </row>
    <row r="1164" spans="1:4" ht="14" customHeight="1">
      <c r="A1164" s="842"/>
      <c r="B1164" s="844"/>
      <c r="C1164" s="841"/>
      <c r="D1164" s="845"/>
    </row>
    <row r="1165" spans="1:4" ht="14" customHeight="1">
      <c r="A1165" s="842"/>
      <c r="B1165" s="844"/>
      <c r="C1165" s="841"/>
      <c r="D1165" s="845"/>
    </row>
    <row r="1166" spans="1:4" ht="14" customHeight="1">
      <c r="A1166" s="842"/>
      <c r="B1166" s="844"/>
      <c r="C1166" s="841"/>
      <c r="D1166" s="845"/>
    </row>
    <row r="1167" spans="1:4" ht="14" customHeight="1">
      <c r="A1167" s="842"/>
      <c r="B1167" s="844"/>
      <c r="C1167" s="841"/>
      <c r="D1167" s="845"/>
    </row>
    <row r="1168" spans="1:4" ht="14" customHeight="1">
      <c r="A1168" s="842"/>
      <c r="B1168" s="844"/>
      <c r="C1168" s="841"/>
      <c r="D1168" s="845"/>
    </row>
    <row r="1169" spans="1:4" ht="14" customHeight="1">
      <c r="A1169" s="842"/>
      <c r="B1169" s="844"/>
      <c r="C1169" s="841"/>
      <c r="D1169" s="845"/>
    </row>
    <row r="1170" spans="1:4" ht="14" customHeight="1">
      <c r="A1170" s="842"/>
      <c r="B1170" s="844"/>
      <c r="C1170" s="841"/>
      <c r="D1170" s="845"/>
    </row>
    <row r="1171" spans="1:4" ht="14" customHeight="1">
      <c r="A1171" s="842"/>
      <c r="B1171" s="844"/>
      <c r="C1171" s="841"/>
      <c r="D1171" s="845"/>
    </row>
    <row r="1172" spans="1:4" ht="14" customHeight="1">
      <c r="A1172" s="842"/>
      <c r="B1172" s="844"/>
      <c r="C1172" s="841"/>
      <c r="D1172" s="845"/>
    </row>
    <row r="1173" spans="1:4" ht="14" customHeight="1">
      <c r="A1173" s="842"/>
      <c r="B1173" s="844"/>
      <c r="C1173" s="841"/>
      <c r="D1173" s="845"/>
    </row>
    <row r="1174" spans="1:4" ht="14" customHeight="1">
      <c r="A1174" s="842"/>
      <c r="B1174" s="844"/>
      <c r="C1174" s="841"/>
      <c r="D1174" s="845"/>
    </row>
    <row r="1175" spans="1:4" ht="14" customHeight="1">
      <c r="A1175" s="842"/>
      <c r="B1175" s="844"/>
      <c r="C1175" s="841"/>
      <c r="D1175" s="845"/>
    </row>
    <row r="1176" spans="1:4" ht="14" customHeight="1">
      <c r="A1176" s="842"/>
      <c r="B1176" s="844"/>
      <c r="C1176" s="841"/>
      <c r="D1176" s="845"/>
    </row>
    <row r="1177" spans="1:4" ht="14" customHeight="1">
      <c r="A1177" s="842"/>
      <c r="B1177" s="844"/>
      <c r="C1177" s="841"/>
      <c r="D1177" s="845"/>
    </row>
    <row r="1178" spans="1:4" ht="14" customHeight="1">
      <c r="A1178" s="842"/>
      <c r="B1178" s="844"/>
      <c r="C1178" s="841"/>
      <c r="D1178" s="845"/>
    </row>
    <row r="1179" spans="1:4" ht="14" customHeight="1">
      <c r="A1179" s="842"/>
      <c r="B1179" s="844"/>
      <c r="C1179" s="841"/>
      <c r="D1179" s="845"/>
    </row>
    <row r="1180" spans="1:4" ht="14" customHeight="1">
      <c r="A1180" s="842"/>
      <c r="B1180" s="844"/>
      <c r="C1180" s="841"/>
      <c r="D1180" s="845"/>
    </row>
    <row r="1181" spans="1:4" ht="14" customHeight="1">
      <c r="A1181" s="842"/>
      <c r="B1181" s="844"/>
      <c r="C1181" s="841"/>
      <c r="D1181" s="845"/>
    </row>
    <row r="1182" spans="1:4" ht="14" customHeight="1">
      <c r="A1182" s="842"/>
      <c r="B1182" s="844"/>
      <c r="C1182" s="841"/>
      <c r="D1182" s="845"/>
    </row>
    <row r="1183" spans="1:4" ht="14" customHeight="1">
      <c r="A1183" s="842"/>
      <c r="B1183" s="844"/>
      <c r="C1183" s="841"/>
      <c r="D1183" s="845"/>
    </row>
    <row r="1184" spans="1:4" ht="14" customHeight="1">
      <c r="A1184" s="842"/>
      <c r="B1184" s="844"/>
      <c r="C1184" s="841"/>
      <c r="D1184" s="845"/>
    </row>
    <row r="1185" spans="1:4" ht="14" customHeight="1">
      <c r="A1185" s="842"/>
      <c r="B1185" s="844"/>
      <c r="C1185" s="841"/>
      <c r="D1185" s="845"/>
    </row>
    <row r="1186" spans="1:4" ht="14" customHeight="1">
      <c r="A1186" s="842"/>
      <c r="B1186" s="844"/>
      <c r="C1186" s="841"/>
      <c r="D1186" s="845"/>
    </row>
    <row r="1187" spans="1:4" ht="14" customHeight="1">
      <c r="A1187" s="842"/>
      <c r="B1187" s="844"/>
      <c r="C1187" s="841"/>
      <c r="D1187" s="845"/>
    </row>
    <row r="1188" spans="1:4" ht="14" customHeight="1">
      <c r="A1188" s="842"/>
      <c r="B1188" s="844"/>
      <c r="C1188" s="841"/>
      <c r="D1188" s="845"/>
    </row>
    <row r="1189" spans="1:4" ht="14" customHeight="1">
      <c r="A1189" s="842"/>
      <c r="B1189" s="844"/>
      <c r="C1189" s="841"/>
      <c r="D1189" s="845"/>
    </row>
    <row r="1190" spans="1:4" ht="14" customHeight="1">
      <c r="A1190" s="842"/>
      <c r="B1190" s="844"/>
      <c r="C1190" s="841"/>
      <c r="D1190" s="845"/>
    </row>
    <row r="1191" spans="1:4" ht="14" customHeight="1">
      <c r="A1191" s="842"/>
      <c r="B1191" s="844"/>
      <c r="C1191" s="841"/>
      <c r="D1191" s="845"/>
    </row>
    <row r="1192" spans="1:4" ht="14" customHeight="1">
      <c r="A1192" s="842"/>
      <c r="B1192" s="844"/>
      <c r="C1192" s="841"/>
      <c r="D1192" s="845"/>
    </row>
    <row r="1193" spans="1:4" ht="14" customHeight="1">
      <c r="A1193" s="842"/>
      <c r="B1193" s="844"/>
      <c r="C1193" s="841"/>
      <c r="D1193" s="845"/>
    </row>
    <row r="1194" spans="1:4" ht="14" customHeight="1">
      <c r="A1194" s="842"/>
      <c r="B1194" s="844"/>
      <c r="C1194" s="841"/>
      <c r="D1194" s="845"/>
    </row>
    <row r="1195" spans="1:4" ht="14" customHeight="1">
      <c r="A1195" s="842"/>
      <c r="B1195" s="844"/>
      <c r="C1195" s="841"/>
      <c r="D1195" s="845"/>
    </row>
    <row r="1196" spans="1:4" ht="14" customHeight="1">
      <c r="A1196" s="842"/>
      <c r="B1196" s="844"/>
      <c r="C1196" s="841"/>
      <c r="D1196" s="845"/>
    </row>
    <row r="1197" spans="1:4" ht="14" customHeight="1">
      <c r="A1197" s="842"/>
      <c r="B1197" s="844"/>
      <c r="C1197" s="841"/>
      <c r="D1197" s="845"/>
    </row>
    <row r="1198" spans="1:4" ht="14" customHeight="1">
      <c r="A1198" s="842"/>
      <c r="B1198" s="844"/>
      <c r="C1198" s="841"/>
      <c r="D1198" s="845"/>
    </row>
    <row r="1199" spans="1:4" ht="14" customHeight="1">
      <c r="A1199" s="842"/>
      <c r="B1199" s="844"/>
      <c r="C1199" s="841"/>
      <c r="D1199" s="845"/>
    </row>
    <row r="1200" spans="1:4" ht="14" customHeight="1">
      <c r="A1200" s="842"/>
      <c r="B1200" s="844"/>
      <c r="C1200" s="841"/>
      <c r="D1200" s="845"/>
    </row>
    <row r="1201" spans="1:4" ht="14" customHeight="1">
      <c r="A1201" s="842"/>
      <c r="B1201" s="844"/>
      <c r="C1201" s="841"/>
      <c r="D1201" s="845"/>
    </row>
    <row r="1202" spans="1:4" ht="14" customHeight="1">
      <c r="A1202" s="842"/>
      <c r="B1202" s="844"/>
      <c r="C1202" s="841"/>
      <c r="D1202" s="845"/>
    </row>
    <row r="1203" spans="1:4" ht="14" customHeight="1">
      <c r="A1203" s="842"/>
      <c r="B1203" s="844"/>
      <c r="C1203" s="841"/>
      <c r="D1203" s="845"/>
    </row>
    <row r="1204" spans="1:4" ht="14" customHeight="1">
      <c r="A1204" s="842"/>
      <c r="B1204" s="844"/>
      <c r="C1204" s="841"/>
      <c r="D1204" s="845"/>
    </row>
    <row r="1205" spans="1:4" ht="14" customHeight="1">
      <c r="A1205" s="842"/>
      <c r="B1205" s="844"/>
      <c r="C1205" s="841"/>
      <c r="D1205" s="845"/>
    </row>
    <row r="1206" spans="1:4" ht="14" customHeight="1">
      <c r="A1206" s="842"/>
      <c r="B1206" s="844"/>
      <c r="C1206" s="841"/>
      <c r="D1206" s="845"/>
    </row>
    <row r="1207" spans="1:4" ht="14" customHeight="1">
      <c r="A1207" s="842"/>
      <c r="B1207" s="844"/>
      <c r="C1207" s="841"/>
      <c r="D1207" s="845"/>
    </row>
    <row r="1208" spans="1:4" ht="14" customHeight="1">
      <c r="A1208" s="842"/>
      <c r="B1208" s="844"/>
      <c r="C1208" s="841"/>
      <c r="D1208" s="845"/>
    </row>
    <row r="1209" spans="1:4" ht="14" customHeight="1">
      <c r="A1209" s="842"/>
      <c r="B1209" s="844"/>
      <c r="C1209" s="841"/>
      <c r="D1209" s="845"/>
    </row>
    <row r="1210" spans="1:4" ht="14" customHeight="1">
      <c r="A1210" s="842"/>
      <c r="B1210" s="844"/>
      <c r="C1210" s="841"/>
      <c r="D1210" s="845"/>
    </row>
    <row r="1211" spans="1:4" ht="14" customHeight="1">
      <c r="A1211" s="842"/>
      <c r="B1211" s="844"/>
      <c r="C1211" s="841"/>
      <c r="D1211" s="845"/>
    </row>
    <row r="1212" spans="1:4" ht="14" customHeight="1">
      <c r="A1212" s="842"/>
      <c r="B1212" s="844"/>
      <c r="C1212" s="841"/>
      <c r="D1212" s="845"/>
    </row>
    <row r="1213" spans="1:4" ht="14" customHeight="1">
      <c r="A1213" s="842"/>
      <c r="B1213" s="844"/>
      <c r="C1213" s="841"/>
      <c r="D1213" s="845"/>
    </row>
    <row r="1214" spans="1:4" ht="14" customHeight="1">
      <c r="A1214" s="842"/>
      <c r="B1214" s="844"/>
      <c r="C1214" s="841"/>
      <c r="D1214" s="845"/>
    </row>
    <row r="1215" spans="1:4" ht="14" customHeight="1">
      <c r="A1215" s="842"/>
      <c r="B1215" s="844"/>
      <c r="C1215" s="841"/>
      <c r="D1215" s="845"/>
    </row>
    <row r="1216" spans="1:4" ht="14" customHeight="1">
      <c r="A1216" s="842"/>
      <c r="B1216" s="844"/>
      <c r="C1216" s="841"/>
      <c r="D1216" s="845"/>
    </row>
    <row r="1217" spans="1:4" ht="14" customHeight="1">
      <c r="A1217" s="842"/>
      <c r="B1217" s="844"/>
      <c r="C1217" s="841"/>
      <c r="D1217" s="845"/>
    </row>
    <row r="1218" spans="1:4" ht="14" customHeight="1">
      <c r="A1218" s="842"/>
      <c r="B1218" s="844"/>
      <c r="C1218" s="841"/>
      <c r="D1218" s="845"/>
    </row>
    <row r="1219" spans="1:4" ht="14" customHeight="1">
      <c r="A1219" s="842"/>
      <c r="B1219" s="844"/>
      <c r="C1219" s="841"/>
      <c r="D1219" s="845"/>
    </row>
    <row r="1220" spans="1:4" ht="14" customHeight="1">
      <c r="A1220" s="842"/>
      <c r="B1220" s="844"/>
      <c r="C1220" s="841"/>
      <c r="D1220" s="845"/>
    </row>
    <row r="1221" spans="1:4" ht="14" customHeight="1">
      <c r="A1221" s="842"/>
      <c r="B1221" s="844"/>
      <c r="C1221" s="841"/>
      <c r="D1221" s="845"/>
    </row>
    <row r="1222" spans="1:4" ht="14" customHeight="1">
      <c r="A1222" s="842"/>
      <c r="B1222" s="844"/>
      <c r="C1222" s="841"/>
      <c r="D1222" s="845"/>
    </row>
    <row r="1223" spans="1:4" ht="14" customHeight="1">
      <c r="A1223" s="842"/>
      <c r="B1223" s="844"/>
      <c r="C1223" s="841"/>
      <c r="D1223" s="845"/>
    </row>
    <row r="1224" spans="1:4" ht="14" customHeight="1">
      <c r="A1224" s="842"/>
      <c r="B1224" s="844"/>
      <c r="C1224" s="841"/>
      <c r="D1224" s="845"/>
    </row>
    <row r="1225" spans="1:4" ht="14" customHeight="1">
      <c r="A1225" s="842"/>
      <c r="B1225" s="844"/>
      <c r="C1225" s="841"/>
      <c r="D1225" s="845"/>
    </row>
    <row r="1226" spans="1:4" ht="14" customHeight="1">
      <c r="A1226" s="842"/>
      <c r="B1226" s="844"/>
      <c r="C1226" s="841"/>
      <c r="D1226" s="845"/>
    </row>
    <row r="1227" spans="1:4" ht="14" customHeight="1">
      <c r="A1227" s="842"/>
      <c r="B1227" s="844"/>
      <c r="C1227" s="841"/>
      <c r="D1227" s="845"/>
    </row>
    <row r="1228" spans="1:4" ht="14" customHeight="1">
      <c r="A1228" s="842"/>
      <c r="B1228" s="844"/>
      <c r="C1228" s="841"/>
      <c r="D1228" s="845"/>
    </row>
    <row r="1229" spans="1:4" ht="14" customHeight="1">
      <c r="A1229" s="842"/>
      <c r="B1229" s="844"/>
      <c r="C1229" s="841"/>
      <c r="D1229" s="845"/>
    </row>
    <row r="1230" spans="1:4" ht="14" customHeight="1">
      <c r="A1230" s="842"/>
      <c r="B1230" s="844"/>
      <c r="C1230" s="841"/>
      <c r="D1230" s="845"/>
    </row>
    <row r="1231" spans="1:4" ht="14" customHeight="1">
      <c r="A1231" s="842"/>
      <c r="B1231" s="844"/>
      <c r="C1231" s="841"/>
      <c r="D1231" s="845"/>
    </row>
    <row r="1232" spans="1:4" ht="14" customHeight="1">
      <c r="A1232" s="842"/>
      <c r="B1232" s="844"/>
      <c r="C1232" s="841"/>
      <c r="D1232" s="845"/>
    </row>
    <row r="1233" spans="1:4" ht="14" customHeight="1">
      <c r="A1233" s="842"/>
      <c r="B1233" s="844"/>
      <c r="C1233" s="841"/>
      <c r="D1233" s="845"/>
    </row>
    <row r="1234" spans="1:4" ht="14" customHeight="1">
      <c r="A1234" s="842"/>
      <c r="B1234" s="844"/>
      <c r="C1234" s="841"/>
      <c r="D1234" s="845"/>
    </row>
    <row r="1235" spans="1:4" ht="14" customHeight="1">
      <c r="A1235" s="842"/>
      <c r="B1235" s="844"/>
      <c r="C1235" s="841"/>
      <c r="D1235" s="845"/>
    </row>
    <row r="1236" spans="1:4" ht="14" customHeight="1">
      <c r="A1236" s="842"/>
      <c r="B1236" s="844"/>
      <c r="C1236" s="841"/>
      <c r="D1236" s="845"/>
    </row>
    <row r="1237" spans="1:4" ht="14" customHeight="1">
      <c r="A1237" s="842"/>
      <c r="B1237" s="844"/>
      <c r="C1237" s="841"/>
      <c r="D1237" s="845"/>
    </row>
    <row r="1238" spans="1:4" ht="14" customHeight="1">
      <c r="A1238" s="842"/>
      <c r="B1238" s="844"/>
      <c r="C1238" s="841"/>
      <c r="D1238" s="845"/>
    </row>
    <row r="1239" spans="1:4" ht="14" customHeight="1">
      <c r="A1239" s="842"/>
      <c r="B1239" s="844"/>
      <c r="C1239" s="841"/>
      <c r="D1239" s="845"/>
    </row>
    <row r="1240" spans="1:4" ht="14" customHeight="1">
      <c r="A1240" s="842"/>
      <c r="B1240" s="844"/>
      <c r="C1240" s="841"/>
      <c r="D1240" s="845"/>
    </row>
    <row r="1241" spans="1:4" ht="14" customHeight="1">
      <c r="A1241" s="842"/>
      <c r="B1241" s="844"/>
      <c r="C1241" s="841"/>
      <c r="D1241" s="845"/>
    </row>
    <row r="1242" spans="1:4" ht="14" customHeight="1">
      <c r="A1242" s="842"/>
      <c r="B1242" s="844"/>
      <c r="C1242" s="841"/>
      <c r="D1242" s="845"/>
    </row>
    <row r="1243" spans="1:4" ht="14" customHeight="1">
      <c r="A1243" s="842"/>
      <c r="B1243" s="844"/>
      <c r="C1243" s="841"/>
      <c r="D1243" s="845"/>
    </row>
    <row r="1244" spans="1:4" ht="14" customHeight="1">
      <c r="A1244" s="842"/>
      <c r="B1244" s="844"/>
      <c r="C1244" s="841"/>
      <c r="D1244" s="845"/>
    </row>
    <row r="1245" spans="1:4" ht="14" customHeight="1">
      <c r="A1245" s="842"/>
      <c r="B1245" s="844"/>
      <c r="C1245" s="841"/>
      <c r="D1245" s="845"/>
    </row>
    <row r="1246" spans="1:4" ht="14" customHeight="1">
      <c r="A1246" s="842"/>
      <c r="B1246" s="844"/>
      <c r="C1246" s="841"/>
      <c r="D1246" s="845"/>
    </row>
    <row r="1247" spans="1:4" ht="14" customHeight="1">
      <c r="A1247" s="842"/>
      <c r="B1247" s="844"/>
      <c r="C1247" s="841"/>
      <c r="D1247" s="845"/>
    </row>
    <row r="1248" spans="1:4" ht="14" customHeight="1">
      <c r="A1248" s="842"/>
      <c r="B1248" s="844"/>
      <c r="C1248" s="841"/>
      <c r="D1248" s="845"/>
    </row>
    <row r="1249" spans="1:4" ht="14" customHeight="1">
      <c r="A1249" s="842"/>
      <c r="B1249" s="844"/>
      <c r="C1249" s="841"/>
      <c r="D1249" s="845"/>
    </row>
    <row r="1250" spans="1:4" ht="14" customHeight="1">
      <c r="A1250" s="842"/>
      <c r="B1250" s="844"/>
      <c r="C1250" s="841"/>
      <c r="D1250" s="845"/>
    </row>
    <row r="1251" spans="1:4" ht="14" customHeight="1">
      <c r="A1251" s="842"/>
      <c r="B1251" s="844"/>
      <c r="C1251" s="841"/>
      <c r="D1251" s="845"/>
    </row>
    <row r="1252" spans="1:4" ht="14" customHeight="1">
      <c r="A1252" s="842"/>
      <c r="B1252" s="844"/>
      <c r="C1252" s="841"/>
      <c r="D1252" s="845"/>
    </row>
    <row r="1253" spans="1:4" ht="14" customHeight="1">
      <c r="A1253" s="842"/>
      <c r="B1253" s="844"/>
      <c r="C1253" s="841"/>
      <c r="D1253" s="845"/>
    </row>
    <row r="1254" spans="1:4" ht="14" customHeight="1">
      <c r="A1254" s="842"/>
      <c r="B1254" s="844"/>
      <c r="C1254" s="841"/>
      <c r="D1254" s="845"/>
    </row>
    <row r="1255" spans="1:4" ht="14" customHeight="1">
      <c r="A1255" s="842"/>
      <c r="B1255" s="844"/>
      <c r="C1255" s="841"/>
      <c r="D1255" s="845"/>
    </row>
    <row r="1256" spans="1:4" ht="14" customHeight="1">
      <c r="A1256" s="842"/>
      <c r="B1256" s="844"/>
      <c r="C1256" s="841"/>
      <c r="D1256" s="845"/>
    </row>
    <row r="1257" spans="1:4" ht="14" customHeight="1">
      <c r="A1257" s="842"/>
      <c r="B1257" s="844"/>
      <c r="C1257" s="841"/>
      <c r="D1257" s="845"/>
    </row>
    <row r="1258" spans="1:4" ht="14" customHeight="1">
      <c r="A1258" s="842"/>
      <c r="B1258" s="844"/>
      <c r="C1258" s="841"/>
      <c r="D1258" s="845"/>
    </row>
    <row r="1259" spans="1:4" ht="14" customHeight="1">
      <c r="A1259" s="842"/>
      <c r="B1259" s="844"/>
      <c r="C1259" s="841"/>
      <c r="D1259" s="845"/>
    </row>
    <row r="1260" spans="1:4" ht="14" customHeight="1">
      <c r="A1260" s="842"/>
      <c r="B1260" s="844"/>
      <c r="C1260" s="841"/>
      <c r="D1260" s="845"/>
    </row>
    <row r="1261" spans="1:4" ht="14" customHeight="1">
      <c r="A1261" s="842"/>
      <c r="B1261" s="844"/>
      <c r="C1261" s="841"/>
      <c r="D1261" s="845"/>
    </row>
    <row r="1262" spans="1:4" ht="14" customHeight="1">
      <c r="A1262" s="842"/>
      <c r="B1262" s="844"/>
      <c r="C1262" s="841"/>
      <c r="D1262" s="845"/>
    </row>
    <row r="1263" spans="1:4" ht="14" customHeight="1">
      <c r="A1263" s="842"/>
      <c r="B1263" s="844"/>
      <c r="C1263" s="841"/>
      <c r="D1263" s="845"/>
    </row>
    <row r="1264" spans="1:4" ht="14" customHeight="1">
      <c r="A1264" s="842"/>
      <c r="B1264" s="844"/>
      <c r="C1264" s="841"/>
      <c r="D1264" s="845"/>
    </row>
    <row r="1265" spans="1:4" ht="14" customHeight="1">
      <c r="A1265" s="842"/>
      <c r="B1265" s="844"/>
      <c r="C1265" s="841"/>
      <c r="D1265" s="845"/>
    </row>
    <row r="1266" spans="1:4" ht="14" customHeight="1">
      <c r="A1266" s="842"/>
      <c r="B1266" s="844"/>
      <c r="C1266" s="841"/>
      <c r="D1266" s="845"/>
    </row>
    <row r="1267" spans="1:4" ht="14" customHeight="1">
      <c r="A1267" s="842"/>
      <c r="B1267" s="844"/>
      <c r="C1267" s="841"/>
      <c r="D1267" s="845"/>
    </row>
    <row r="1268" spans="1:4" ht="14" customHeight="1">
      <c r="A1268" s="842"/>
      <c r="B1268" s="844"/>
      <c r="C1268" s="841"/>
      <c r="D1268" s="845"/>
    </row>
    <row r="1269" spans="1:4" ht="14" customHeight="1">
      <c r="A1269" s="842"/>
      <c r="B1269" s="844"/>
      <c r="C1269" s="841"/>
      <c r="D1269" s="845"/>
    </row>
    <row r="1270" spans="1:4" ht="14" customHeight="1">
      <c r="A1270" s="842"/>
      <c r="B1270" s="844"/>
      <c r="C1270" s="841"/>
      <c r="D1270" s="845"/>
    </row>
    <row r="1271" spans="1:4" ht="14" customHeight="1">
      <c r="A1271" s="842"/>
      <c r="B1271" s="844"/>
      <c r="C1271" s="841"/>
      <c r="D1271" s="845"/>
    </row>
    <row r="1272" spans="1:4" ht="14" customHeight="1">
      <c r="A1272" s="842"/>
      <c r="B1272" s="844"/>
      <c r="C1272" s="841"/>
      <c r="D1272" s="845"/>
    </row>
    <row r="1273" spans="1:4" ht="14" customHeight="1">
      <c r="A1273" s="842"/>
      <c r="B1273" s="844"/>
      <c r="C1273" s="841"/>
      <c r="D1273" s="845"/>
    </row>
    <row r="1274" spans="1:4" ht="14" customHeight="1">
      <c r="A1274" s="842"/>
      <c r="B1274" s="844"/>
      <c r="C1274" s="841"/>
      <c r="D1274" s="845"/>
    </row>
    <row r="1275" spans="1:4" ht="14" customHeight="1">
      <c r="A1275" s="842"/>
      <c r="B1275" s="844"/>
      <c r="C1275" s="841"/>
      <c r="D1275" s="845"/>
    </row>
    <row r="1276" spans="1:4" ht="14" customHeight="1">
      <c r="A1276" s="842"/>
      <c r="B1276" s="844"/>
      <c r="C1276" s="841"/>
      <c r="D1276" s="845"/>
    </row>
    <row r="1277" spans="1:4" ht="14" customHeight="1">
      <c r="A1277" s="842"/>
      <c r="B1277" s="844"/>
      <c r="C1277" s="841"/>
      <c r="D1277" s="845"/>
    </row>
    <row r="1278" spans="1:4" ht="14" customHeight="1">
      <c r="A1278" s="842"/>
      <c r="B1278" s="844"/>
      <c r="C1278" s="841"/>
      <c r="D1278" s="845"/>
    </row>
    <row r="1279" spans="1:4" ht="14" customHeight="1">
      <c r="A1279" s="842"/>
      <c r="B1279" s="844"/>
      <c r="C1279" s="841"/>
      <c r="D1279" s="845"/>
    </row>
    <row r="1280" spans="1:4" ht="14" customHeight="1">
      <c r="A1280" s="842"/>
      <c r="B1280" s="844"/>
      <c r="C1280" s="841"/>
      <c r="D1280" s="845"/>
    </row>
    <row r="1281" spans="1:4" ht="14" customHeight="1">
      <c r="A1281" s="842"/>
      <c r="B1281" s="844"/>
      <c r="C1281" s="841"/>
      <c r="D1281" s="845"/>
    </row>
    <row r="1282" spans="1:4" ht="14" customHeight="1">
      <c r="A1282" s="842"/>
      <c r="B1282" s="844"/>
      <c r="C1282" s="841"/>
      <c r="D1282" s="845"/>
    </row>
    <row r="1283" spans="1:4" ht="14" customHeight="1">
      <c r="A1283" s="842"/>
      <c r="B1283" s="844"/>
      <c r="C1283" s="841"/>
      <c r="D1283" s="845"/>
    </row>
    <row r="1284" spans="1:4" ht="14" customHeight="1">
      <c r="A1284" s="842"/>
      <c r="B1284" s="844"/>
      <c r="C1284" s="841"/>
      <c r="D1284" s="845"/>
    </row>
    <row r="1285" spans="1:4" ht="14" customHeight="1">
      <c r="A1285" s="842"/>
      <c r="B1285" s="844"/>
      <c r="C1285" s="841"/>
      <c r="D1285" s="845"/>
    </row>
    <row r="1286" spans="1:4" ht="14" customHeight="1">
      <c r="A1286" s="842"/>
      <c r="B1286" s="844"/>
      <c r="C1286" s="841"/>
      <c r="D1286" s="845"/>
    </row>
    <row r="1287" spans="1:4" ht="14" customHeight="1">
      <c r="A1287" s="842"/>
      <c r="B1287" s="844"/>
      <c r="C1287" s="841"/>
      <c r="D1287" s="845"/>
    </row>
    <row r="1288" spans="1:4" ht="14" customHeight="1">
      <c r="A1288" s="842"/>
      <c r="B1288" s="844"/>
      <c r="C1288" s="841"/>
      <c r="D1288" s="845"/>
    </row>
    <row r="1289" spans="1:4" ht="14" customHeight="1">
      <c r="A1289" s="842"/>
      <c r="B1289" s="844"/>
      <c r="C1289" s="841"/>
      <c r="D1289" s="845"/>
    </row>
    <row r="1290" spans="1:4" ht="14" customHeight="1">
      <c r="A1290" s="842"/>
      <c r="B1290" s="844"/>
      <c r="C1290" s="841"/>
      <c r="D1290" s="845"/>
    </row>
    <row r="1291" spans="1:4" ht="14" customHeight="1">
      <c r="A1291" s="842"/>
      <c r="B1291" s="844"/>
      <c r="C1291" s="841"/>
      <c r="D1291" s="845"/>
    </row>
    <row r="1292" spans="1:4" ht="14" customHeight="1">
      <c r="A1292" s="842"/>
      <c r="B1292" s="844"/>
      <c r="C1292" s="841"/>
      <c r="D1292" s="845"/>
    </row>
    <row r="1293" spans="1:4" ht="14" customHeight="1">
      <c r="A1293" s="842"/>
      <c r="B1293" s="844"/>
      <c r="C1293" s="841"/>
      <c r="D1293" s="845"/>
    </row>
    <row r="1294" spans="1:4" ht="14" customHeight="1">
      <c r="A1294" s="842"/>
      <c r="B1294" s="844"/>
      <c r="C1294" s="841"/>
      <c r="D1294" s="845"/>
    </row>
    <row r="1295" spans="1:4" ht="14" customHeight="1">
      <c r="A1295" s="842"/>
      <c r="B1295" s="844"/>
      <c r="C1295" s="841"/>
      <c r="D1295" s="845"/>
    </row>
    <row r="1296" spans="1:4" ht="14" customHeight="1">
      <c r="A1296" s="842"/>
      <c r="B1296" s="844"/>
      <c r="C1296" s="841"/>
      <c r="D1296" s="845"/>
    </row>
    <row r="1297" spans="1:4" ht="14" customHeight="1">
      <c r="A1297" s="842"/>
      <c r="B1297" s="844"/>
      <c r="C1297" s="841"/>
      <c r="D1297" s="845"/>
    </row>
    <row r="1298" spans="1:4" ht="14" customHeight="1">
      <c r="A1298" s="842"/>
      <c r="B1298" s="844"/>
      <c r="C1298" s="841"/>
      <c r="D1298" s="845"/>
    </row>
    <row r="1299" spans="1:4" ht="14" customHeight="1">
      <c r="A1299" s="842"/>
      <c r="B1299" s="844"/>
      <c r="C1299" s="841"/>
      <c r="D1299" s="845"/>
    </row>
    <row r="1300" spans="1:4" ht="14" customHeight="1">
      <c r="A1300" s="842"/>
      <c r="B1300" s="844"/>
      <c r="C1300" s="841"/>
      <c r="D1300" s="845"/>
    </row>
    <row r="1301" spans="1:4" ht="14" customHeight="1">
      <c r="A1301" s="842"/>
      <c r="B1301" s="844"/>
      <c r="C1301" s="841"/>
      <c r="D1301" s="845"/>
    </row>
    <row r="1302" spans="1:4" ht="14" customHeight="1">
      <c r="A1302" s="842"/>
      <c r="B1302" s="844"/>
      <c r="C1302" s="841"/>
      <c r="D1302" s="845"/>
    </row>
    <row r="1303" spans="1:4" ht="14" customHeight="1">
      <c r="A1303" s="842"/>
      <c r="B1303" s="844"/>
      <c r="C1303" s="841"/>
      <c r="D1303" s="845"/>
    </row>
    <row r="1304" spans="1:4" ht="14" customHeight="1">
      <c r="A1304" s="842"/>
      <c r="B1304" s="844"/>
      <c r="C1304" s="841"/>
      <c r="D1304" s="845"/>
    </row>
    <row r="1305" spans="1:4" ht="14" customHeight="1">
      <c r="A1305" s="842"/>
      <c r="B1305" s="844"/>
      <c r="C1305" s="841"/>
      <c r="D1305" s="845"/>
    </row>
    <row r="1306" spans="1:4" ht="14" customHeight="1">
      <c r="A1306" s="842"/>
      <c r="B1306" s="844"/>
      <c r="C1306" s="841"/>
      <c r="D1306" s="845"/>
    </row>
    <row r="1307" spans="1:4" ht="14" customHeight="1">
      <c r="A1307" s="842"/>
      <c r="B1307" s="844"/>
      <c r="C1307" s="841"/>
      <c r="D1307" s="845"/>
    </row>
    <row r="1308" spans="1:4" ht="14" customHeight="1">
      <c r="A1308" s="842"/>
      <c r="B1308" s="844"/>
      <c r="C1308" s="841"/>
      <c r="D1308" s="845"/>
    </row>
    <row r="1309" spans="1:4" ht="14" customHeight="1">
      <c r="A1309" s="842"/>
      <c r="B1309" s="844"/>
      <c r="C1309" s="841"/>
      <c r="D1309" s="845"/>
    </row>
    <row r="1310" spans="1:4" ht="14" customHeight="1">
      <c r="A1310" s="842"/>
      <c r="B1310" s="844"/>
      <c r="C1310" s="841"/>
      <c r="D1310" s="845"/>
    </row>
    <row r="1311" spans="1:4" ht="14" customHeight="1">
      <c r="A1311" s="842"/>
      <c r="B1311" s="844"/>
      <c r="C1311" s="841"/>
      <c r="D1311" s="845"/>
    </row>
    <row r="1312" spans="1:4" ht="14" customHeight="1">
      <c r="A1312" s="842"/>
      <c r="B1312" s="844"/>
      <c r="C1312" s="841"/>
      <c r="D1312" s="845"/>
    </row>
    <row r="1313" spans="1:4" ht="14" customHeight="1">
      <c r="A1313" s="842"/>
      <c r="B1313" s="844"/>
      <c r="C1313" s="841"/>
      <c r="D1313" s="845"/>
    </row>
    <row r="1314" spans="1:4" ht="14" customHeight="1">
      <c r="A1314" s="842"/>
      <c r="B1314" s="844"/>
      <c r="C1314" s="841"/>
      <c r="D1314" s="845"/>
    </row>
    <row r="1315" spans="1:4" ht="14" customHeight="1">
      <c r="A1315" s="842"/>
      <c r="B1315" s="844"/>
      <c r="C1315" s="841"/>
      <c r="D1315" s="845"/>
    </row>
    <row r="1316" spans="1:4" ht="14" customHeight="1">
      <c r="A1316" s="842"/>
      <c r="B1316" s="844"/>
      <c r="C1316" s="841"/>
      <c r="D1316" s="845"/>
    </row>
    <row r="1317" spans="1:4" ht="14" customHeight="1">
      <c r="A1317" s="842"/>
      <c r="B1317" s="844"/>
      <c r="C1317" s="841"/>
      <c r="D1317" s="845"/>
    </row>
    <row r="1318" spans="1:4" ht="14" customHeight="1">
      <c r="A1318" s="842"/>
      <c r="B1318" s="844"/>
      <c r="C1318" s="841"/>
      <c r="D1318" s="845"/>
    </row>
    <row r="1319" spans="1:4" ht="14" customHeight="1">
      <c r="A1319" s="842"/>
      <c r="B1319" s="844"/>
      <c r="C1319" s="841"/>
      <c r="D1319" s="845"/>
    </row>
    <row r="1320" spans="1:4" ht="14" customHeight="1">
      <c r="A1320" s="842"/>
      <c r="B1320" s="844"/>
      <c r="C1320" s="841"/>
      <c r="D1320" s="845"/>
    </row>
    <row r="1321" spans="1:4" ht="14" customHeight="1">
      <c r="A1321" s="842"/>
      <c r="B1321" s="844"/>
      <c r="C1321" s="841"/>
      <c r="D1321" s="845"/>
    </row>
    <row r="1322" spans="1:4" ht="14" customHeight="1">
      <c r="A1322" s="842"/>
      <c r="B1322" s="844"/>
      <c r="C1322" s="841"/>
      <c r="D1322" s="845"/>
    </row>
    <row r="1323" spans="1:4" ht="14" customHeight="1">
      <c r="A1323" s="842"/>
      <c r="B1323" s="844"/>
      <c r="C1323" s="841"/>
      <c r="D1323" s="845"/>
    </row>
    <row r="1324" spans="1:4" ht="14" customHeight="1">
      <c r="A1324" s="842"/>
      <c r="B1324" s="844"/>
      <c r="C1324" s="841"/>
      <c r="D1324" s="845"/>
    </row>
    <row r="1325" spans="1:4" ht="14" customHeight="1">
      <c r="A1325" s="842"/>
      <c r="B1325" s="844"/>
      <c r="C1325" s="841"/>
      <c r="D1325" s="845"/>
    </row>
    <row r="1326" spans="1:4" ht="14" customHeight="1">
      <c r="A1326" s="842"/>
      <c r="B1326" s="844"/>
      <c r="C1326" s="841"/>
      <c r="D1326" s="845"/>
    </row>
    <row r="1327" spans="1:4" ht="14" customHeight="1">
      <c r="A1327" s="842"/>
      <c r="B1327" s="844"/>
      <c r="C1327" s="841"/>
      <c r="D1327" s="845"/>
    </row>
    <row r="1328" spans="1:4" ht="14" customHeight="1">
      <c r="A1328" s="842"/>
      <c r="B1328" s="844"/>
      <c r="C1328" s="841"/>
      <c r="D1328" s="845"/>
    </row>
    <row r="1329" spans="1:4" ht="14" customHeight="1">
      <c r="A1329" s="842"/>
      <c r="B1329" s="844"/>
      <c r="C1329" s="841"/>
      <c r="D1329" s="845"/>
    </row>
    <row r="1330" spans="1:4" ht="14" customHeight="1">
      <c r="A1330" s="842"/>
      <c r="B1330" s="844"/>
      <c r="C1330" s="841"/>
      <c r="D1330" s="845"/>
    </row>
    <row r="1331" spans="1:4" ht="14" customHeight="1">
      <c r="A1331" s="842"/>
      <c r="B1331" s="844"/>
      <c r="C1331" s="841"/>
      <c r="D1331" s="845"/>
    </row>
    <row r="1332" spans="1:4" ht="14" customHeight="1">
      <c r="A1332" s="842"/>
      <c r="B1332" s="844"/>
      <c r="C1332" s="841"/>
      <c r="D1332" s="845"/>
    </row>
    <row r="1333" spans="1:4" ht="14" customHeight="1">
      <c r="A1333" s="842"/>
      <c r="B1333" s="844"/>
      <c r="C1333" s="841"/>
      <c r="D1333" s="845"/>
    </row>
    <row r="1334" spans="1:4" ht="14" customHeight="1">
      <c r="A1334" s="842"/>
      <c r="B1334" s="844"/>
      <c r="C1334" s="841"/>
      <c r="D1334" s="845"/>
    </row>
    <row r="1335" spans="1:4" ht="14" customHeight="1">
      <c r="A1335" s="842"/>
      <c r="B1335" s="844"/>
      <c r="C1335" s="841"/>
      <c r="D1335" s="845"/>
    </row>
    <row r="1336" spans="1:4" ht="14" customHeight="1">
      <c r="A1336" s="842"/>
      <c r="B1336" s="844"/>
      <c r="C1336" s="841"/>
      <c r="D1336" s="845"/>
    </row>
    <row r="1337" spans="1:4" ht="14" customHeight="1">
      <c r="A1337" s="842"/>
      <c r="B1337" s="844"/>
      <c r="C1337" s="841"/>
      <c r="D1337" s="845"/>
    </row>
    <row r="1338" spans="1:4" ht="14" customHeight="1">
      <c r="A1338" s="842"/>
      <c r="B1338" s="844"/>
      <c r="C1338" s="841"/>
      <c r="D1338" s="845"/>
    </row>
    <row r="1339" spans="1:4" ht="14" customHeight="1">
      <c r="A1339" s="842"/>
      <c r="B1339" s="844"/>
      <c r="C1339" s="841"/>
      <c r="D1339" s="845"/>
    </row>
    <row r="1340" spans="1:4" ht="14" customHeight="1">
      <c r="A1340" s="842"/>
      <c r="B1340" s="844"/>
      <c r="C1340" s="841"/>
      <c r="D1340" s="845"/>
    </row>
    <row r="1341" spans="1:4" ht="14" customHeight="1">
      <c r="A1341" s="842"/>
      <c r="B1341" s="844"/>
      <c r="C1341" s="841"/>
      <c r="D1341" s="845"/>
    </row>
    <row r="1342" spans="1:4" ht="14" customHeight="1">
      <c r="A1342" s="842"/>
      <c r="B1342" s="844"/>
      <c r="C1342" s="841"/>
      <c r="D1342" s="845"/>
    </row>
    <row r="1343" spans="1:4" ht="14" customHeight="1">
      <c r="A1343" s="842"/>
      <c r="B1343" s="844"/>
      <c r="C1343" s="841"/>
      <c r="D1343" s="845"/>
    </row>
    <row r="1344" spans="1:4" ht="14" customHeight="1">
      <c r="A1344" s="842"/>
      <c r="B1344" s="844"/>
      <c r="C1344" s="841"/>
      <c r="D1344" s="845"/>
    </row>
    <row r="1345" spans="1:4" ht="14" customHeight="1">
      <c r="A1345" s="842"/>
      <c r="B1345" s="844"/>
      <c r="C1345" s="841"/>
      <c r="D1345" s="845"/>
    </row>
    <row r="1346" spans="1:4" ht="14" customHeight="1">
      <c r="A1346" s="842"/>
      <c r="B1346" s="844"/>
      <c r="C1346" s="841"/>
      <c r="D1346" s="845"/>
    </row>
    <row r="1347" spans="1:4" ht="14" customHeight="1">
      <c r="A1347" s="842"/>
      <c r="B1347" s="844"/>
      <c r="C1347" s="841"/>
      <c r="D1347" s="845"/>
    </row>
    <row r="1348" spans="1:4" ht="14" customHeight="1">
      <c r="A1348" s="842"/>
      <c r="B1348" s="844"/>
      <c r="C1348" s="841"/>
      <c r="D1348" s="845"/>
    </row>
    <row r="1349" spans="1:4" ht="14" customHeight="1">
      <c r="A1349" s="842"/>
      <c r="B1349" s="844"/>
      <c r="C1349" s="841"/>
      <c r="D1349" s="845"/>
    </row>
    <row r="1350" spans="1:4" ht="14" customHeight="1">
      <c r="A1350" s="842"/>
      <c r="B1350" s="844"/>
      <c r="C1350" s="841"/>
      <c r="D1350" s="845"/>
    </row>
    <row r="1351" spans="1:4" ht="14" customHeight="1">
      <c r="A1351" s="842"/>
      <c r="B1351" s="844"/>
      <c r="C1351" s="841"/>
      <c r="D1351" s="845"/>
    </row>
    <row r="1352" spans="1:4" ht="14" customHeight="1">
      <c r="A1352" s="842"/>
      <c r="B1352" s="844"/>
      <c r="C1352" s="841"/>
      <c r="D1352" s="845"/>
    </row>
    <row r="1353" spans="1:4" ht="14" customHeight="1">
      <c r="A1353" s="842"/>
      <c r="B1353" s="844"/>
      <c r="C1353" s="841"/>
      <c r="D1353" s="845"/>
    </row>
    <row r="1354" spans="1:4" ht="14" customHeight="1">
      <c r="A1354" s="842"/>
      <c r="B1354" s="844"/>
      <c r="C1354" s="841"/>
      <c r="D1354" s="845"/>
    </row>
    <row r="1355" spans="1:4" ht="14" customHeight="1">
      <c r="A1355" s="842"/>
      <c r="B1355" s="844"/>
      <c r="C1355" s="841"/>
      <c r="D1355" s="845"/>
    </row>
    <row r="1356" spans="1:4" ht="14" customHeight="1">
      <c r="A1356" s="842"/>
      <c r="B1356" s="844"/>
      <c r="C1356" s="841"/>
      <c r="D1356" s="845"/>
    </row>
    <row r="1357" spans="1:4" ht="14" customHeight="1">
      <c r="A1357" s="842"/>
      <c r="B1357" s="844"/>
      <c r="C1357" s="841"/>
      <c r="D1357" s="845"/>
    </row>
    <row r="1358" spans="1:4" ht="14" customHeight="1">
      <c r="A1358" s="842"/>
      <c r="B1358" s="844"/>
      <c r="C1358" s="841"/>
      <c r="D1358" s="845"/>
    </row>
    <row r="1359" spans="1:4" ht="14" customHeight="1">
      <c r="A1359" s="842"/>
      <c r="B1359" s="844"/>
      <c r="C1359" s="841"/>
      <c r="D1359" s="845"/>
    </row>
    <row r="1360" spans="1:4" ht="14" customHeight="1">
      <c r="A1360" s="842"/>
      <c r="B1360" s="844"/>
      <c r="C1360" s="841"/>
      <c r="D1360" s="845"/>
    </row>
    <row r="1361" spans="1:4" ht="14" customHeight="1">
      <c r="A1361" s="842"/>
      <c r="B1361" s="844"/>
      <c r="C1361" s="841"/>
      <c r="D1361" s="845"/>
    </row>
    <row r="1362" spans="1:4" ht="14" customHeight="1">
      <c r="A1362" s="842"/>
      <c r="B1362" s="844"/>
      <c r="C1362" s="841"/>
      <c r="D1362" s="845"/>
    </row>
    <row r="1363" spans="1:4" ht="14" customHeight="1">
      <c r="A1363" s="842"/>
      <c r="B1363" s="844"/>
      <c r="C1363" s="841"/>
      <c r="D1363" s="845"/>
    </row>
    <row r="1364" spans="1:4" ht="14" customHeight="1">
      <c r="A1364" s="842"/>
      <c r="B1364" s="844"/>
      <c r="C1364" s="841"/>
      <c r="D1364" s="845"/>
    </row>
    <row r="1365" spans="1:4" ht="14" customHeight="1">
      <c r="A1365" s="842"/>
      <c r="B1365" s="844"/>
      <c r="C1365" s="841"/>
      <c r="D1365" s="845"/>
    </row>
    <row r="1366" spans="1:4" ht="14" customHeight="1">
      <c r="A1366" s="842"/>
      <c r="B1366" s="844"/>
      <c r="C1366" s="841"/>
      <c r="D1366" s="845"/>
    </row>
    <row r="1367" spans="1:4" ht="14" customHeight="1">
      <c r="A1367" s="842"/>
      <c r="B1367" s="844"/>
      <c r="C1367" s="841"/>
      <c r="D1367" s="845"/>
    </row>
    <row r="1368" spans="1:4" ht="14" customHeight="1">
      <c r="A1368" s="842"/>
      <c r="B1368" s="844"/>
      <c r="C1368" s="841"/>
      <c r="D1368" s="845"/>
    </row>
    <row r="1369" spans="1:4" ht="14" customHeight="1">
      <c r="A1369" s="842"/>
      <c r="B1369" s="844"/>
      <c r="C1369" s="841"/>
      <c r="D1369" s="845"/>
    </row>
    <row r="1370" spans="1:4" ht="14" customHeight="1">
      <c r="A1370" s="842"/>
      <c r="B1370" s="844"/>
      <c r="C1370" s="841"/>
      <c r="D1370" s="845"/>
    </row>
    <row r="1371" spans="1:4" ht="14" customHeight="1">
      <c r="A1371" s="842"/>
      <c r="B1371" s="844"/>
      <c r="C1371" s="841"/>
      <c r="D1371" s="845"/>
    </row>
    <row r="1372" spans="1:4" ht="14" customHeight="1">
      <c r="A1372" s="842"/>
      <c r="B1372" s="844"/>
      <c r="C1372" s="841"/>
      <c r="D1372" s="845"/>
    </row>
    <row r="1373" spans="1:4" ht="14" customHeight="1">
      <c r="A1373" s="842"/>
      <c r="B1373" s="844"/>
      <c r="C1373" s="841"/>
      <c r="D1373" s="845"/>
    </row>
    <row r="1374" spans="1:4" ht="14" customHeight="1">
      <c r="A1374" s="842"/>
      <c r="B1374" s="844"/>
      <c r="C1374" s="841"/>
      <c r="D1374" s="845"/>
    </row>
    <row r="1375" spans="1:4" ht="14" customHeight="1">
      <c r="A1375" s="842"/>
      <c r="B1375" s="844"/>
      <c r="C1375" s="841"/>
      <c r="D1375" s="845"/>
    </row>
    <row r="1376" spans="1:4" ht="14" customHeight="1">
      <c r="A1376" s="842"/>
      <c r="B1376" s="844"/>
      <c r="C1376" s="841"/>
      <c r="D1376" s="845"/>
    </row>
    <row r="1377" spans="1:4" ht="14" customHeight="1">
      <c r="A1377" s="842"/>
      <c r="B1377" s="844"/>
      <c r="C1377" s="841"/>
      <c r="D1377" s="845"/>
    </row>
    <row r="1378" spans="1:4" ht="14" customHeight="1">
      <c r="A1378" s="842"/>
      <c r="B1378" s="844"/>
      <c r="C1378" s="841"/>
      <c r="D1378" s="845"/>
    </row>
    <row r="1379" spans="1:4" ht="14" customHeight="1">
      <c r="A1379" s="842"/>
      <c r="B1379" s="844"/>
      <c r="C1379" s="841"/>
      <c r="D1379" s="845"/>
    </row>
    <row r="1380" spans="1:4" ht="14" customHeight="1">
      <c r="A1380" s="842"/>
      <c r="B1380" s="844"/>
      <c r="C1380" s="841"/>
      <c r="D1380" s="845"/>
    </row>
    <row r="1381" spans="1:4" ht="14" customHeight="1">
      <c r="A1381" s="842"/>
      <c r="B1381" s="844"/>
      <c r="C1381" s="841"/>
      <c r="D1381" s="845"/>
    </row>
    <row r="1382" spans="1:4" ht="14" customHeight="1">
      <c r="A1382" s="842"/>
      <c r="B1382" s="844"/>
      <c r="C1382" s="841"/>
      <c r="D1382" s="845"/>
    </row>
    <row r="1383" spans="1:4" ht="14" customHeight="1">
      <c r="A1383" s="842"/>
      <c r="B1383" s="844"/>
      <c r="C1383" s="841"/>
      <c r="D1383" s="845"/>
    </row>
    <row r="1384" spans="1:4" ht="14" customHeight="1">
      <c r="A1384" s="842"/>
      <c r="B1384" s="844"/>
      <c r="C1384" s="841"/>
      <c r="D1384" s="845"/>
    </row>
    <row r="1385" spans="1:4" ht="14" customHeight="1">
      <c r="A1385" s="842"/>
      <c r="B1385" s="844"/>
      <c r="C1385" s="841"/>
      <c r="D1385" s="845"/>
    </row>
    <row r="1386" spans="1:4" ht="14" customHeight="1">
      <c r="A1386" s="842"/>
      <c r="B1386" s="844"/>
      <c r="C1386" s="841"/>
      <c r="D1386" s="845"/>
    </row>
    <row r="1387" spans="1:4" ht="14" customHeight="1">
      <c r="A1387" s="842"/>
      <c r="B1387" s="844"/>
      <c r="C1387" s="841"/>
      <c r="D1387" s="845"/>
    </row>
    <row r="1388" spans="1:4" ht="14" customHeight="1">
      <c r="A1388" s="842"/>
      <c r="B1388" s="844"/>
      <c r="C1388" s="841"/>
      <c r="D1388" s="845"/>
    </row>
    <row r="1389" spans="1:4" ht="14" customHeight="1">
      <c r="A1389" s="842"/>
      <c r="B1389" s="844"/>
      <c r="C1389" s="841"/>
      <c r="D1389" s="845"/>
    </row>
    <row r="1390" spans="1:4" ht="14" customHeight="1">
      <c r="A1390" s="842"/>
      <c r="B1390" s="844"/>
      <c r="C1390" s="841"/>
      <c r="D1390" s="845"/>
    </row>
    <row r="1391" spans="1:4" ht="14" customHeight="1">
      <c r="A1391" s="842"/>
      <c r="B1391" s="844"/>
      <c r="C1391" s="841"/>
      <c r="D1391" s="845"/>
    </row>
    <row r="1392" spans="1:4" ht="14" customHeight="1">
      <c r="A1392" s="842"/>
      <c r="B1392" s="844"/>
      <c r="C1392" s="841"/>
      <c r="D1392" s="845"/>
    </row>
    <row r="1393" spans="1:4" ht="14" customHeight="1">
      <c r="A1393" s="842"/>
      <c r="B1393" s="844"/>
      <c r="C1393" s="841"/>
      <c r="D1393" s="845"/>
    </row>
    <row r="1394" spans="1:4" ht="14" customHeight="1">
      <c r="A1394" s="842"/>
      <c r="B1394" s="844"/>
      <c r="C1394" s="841"/>
      <c r="D1394" s="845"/>
    </row>
    <row r="1395" spans="1:4" ht="14" customHeight="1">
      <c r="A1395" s="842"/>
      <c r="B1395" s="844"/>
      <c r="C1395" s="841"/>
      <c r="D1395" s="845"/>
    </row>
    <row r="1396" spans="1:4" ht="14" customHeight="1">
      <c r="A1396" s="842"/>
      <c r="B1396" s="844"/>
      <c r="C1396" s="841"/>
      <c r="D1396" s="845"/>
    </row>
    <row r="1397" spans="1:4" ht="14" customHeight="1">
      <c r="A1397" s="842"/>
      <c r="B1397" s="844"/>
      <c r="C1397" s="841"/>
      <c r="D1397" s="845"/>
    </row>
    <row r="1398" spans="1:4" ht="14" customHeight="1">
      <c r="A1398" s="842"/>
      <c r="B1398" s="844"/>
      <c r="C1398" s="841"/>
      <c r="D1398" s="845"/>
    </row>
    <row r="1399" spans="1:4" ht="14" customHeight="1">
      <c r="A1399" s="842"/>
      <c r="B1399" s="844"/>
      <c r="C1399" s="841"/>
      <c r="D1399" s="845"/>
    </row>
    <row r="1400" spans="1:4" ht="14" customHeight="1">
      <c r="A1400" s="842"/>
      <c r="B1400" s="844"/>
      <c r="C1400" s="841"/>
      <c r="D1400" s="845"/>
    </row>
    <row r="1401" spans="1:4" ht="14" customHeight="1">
      <c r="A1401" s="842"/>
      <c r="B1401" s="844"/>
      <c r="C1401" s="841"/>
      <c r="D1401" s="845"/>
    </row>
    <row r="1402" spans="1:4" ht="14" customHeight="1">
      <c r="A1402" s="842"/>
      <c r="B1402" s="844"/>
      <c r="C1402" s="841"/>
      <c r="D1402" s="845"/>
    </row>
    <row r="1403" spans="1:4" ht="14" customHeight="1">
      <c r="A1403" s="842"/>
      <c r="B1403" s="844"/>
      <c r="C1403" s="841"/>
      <c r="D1403" s="845"/>
    </row>
    <row r="1404" spans="1:4" ht="14" customHeight="1">
      <c r="A1404" s="842"/>
      <c r="B1404" s="844"/>
      <c r="C1404" s="841"/>
      <c r="D1404" s="845"/>
    </row>
    <row r="1405" spans="1:4" ht="14" customHeight="1">
      <c r="A1405" s="842"/>
      <c r="B1405" s="844"/>
      <c r="C1405" s="841"/>
      <c r="D1405" s="845"/>
    </row>
    <row r="1406" spans="1:4" ht="14" customHeight="1">
      <c r="A1406" s="842"/>
      <c r="B1406" s="844"/>
      <c r="C1406" s="841"/>
      <c r="D1406" s="845"/>
    </row>
    <row r="1407" spans="1:4" ht="14" customHeight="1">
      <c r="A1407" s="842"/>
      <c r="B1407" s="844"/>
      <c r="C1407" s="841"/>
      <c r="D1407" s="845"/>
    </row>
    <row r="1408" spans="1:4" ht="14" customHeight="1">
      <c r="A1408" s="842"/>
      <c r="B1408" s="844"/>
      <c r="C1408" s="841"/>
      <c r="D1408" s="845"/>
    </row>
    <row r="1409" spans="1:4" ht="14" customHeight="1">
      <c r="A1409" s="842"/>
      <c r="B1409" s="844"/>
      <c r="C1409" s="841"/>
      <c r="D1409" s="845"/>
    </row>
    <row r="1410" spans="1:4" ht="14" customHeight="1">
      <c r="A1410" s="842"/>
      <c r="B1410" s="844"/>
      <c r="C1410" s="841"/>
      <c r="D1410" s="845"/>
    </row>
    <row r="1411" spans="1:4" ht="14" customHeight="1">
      <c r="A1411" s="842"/>
      <c r="B1411" s="844"/>
      <c r="C1411" s="841"/>
      <c r="D1411" s="845"/>
    </row>
    <row r="1412" spans="1:4" ht="14" customHeight="1">
      <c r="A1412" s="842"/>
      <c r="B1412" s="844"/>
      <c r="C1412" s="841"/>
      <c r="D1412" s="845"/>
    </row>
    <row r="1413" spans="1:4" ht="14" customHeight="1">
      <c r="A1413" s="842"/>
      <c r="B1413" s="844"/>
      <c r="C1413" s="841"/>
      <c r="D1413" s="845"/>
    </row>
    <row r="1414" spans="1:4" ht="14" customHeight="1">
      <c r="A1414" s="842"/>
      <c r="B1414" s="844"/>
      <c r="C1414" s="841"/>
      <c r="D1414" s="845"/>
    </row>
    <row r="1415" spans="1:4" ht="14" customHeight="1">
      <c r="A1415" s="842"/>
      <c r="B1415" s="844"/>
      <c r="C1415" s="841"/>
      <c r="D1415" s="845"/>
    </row>
    <row r="1416" spans="1:4" ht="14" customHeight="1">
      <c r="A1416" s="842"/>
      <c r="B1416" s="844"/>
      <c r="C1416" s="841"/>
      <c r="D1416" s="845"/>
    </row>
    <row r="1417" spans="1:4" ht="14" customHeight="1">
      <c r="A1417" s="842"/>
      <c r="B1417" s="844"/>
      <c r="C1417" s="841"/>
      <c r="D1417" s="845"/>
    </row>
    <row r="1418" spans="1:4" ht="14" customHeight="1">
      <c r="A1418" s="842"/>
      <c r="B1418" s="844"/>
      <c r="C1418" s="841"/>
      <c r="D1418" s="845"/>
    </row>
    <row r="1419" spans="1:4" ht="14" customHeight="1">
      <c r="A1419" s="842"/>
      <c r="B1419" s="844"/>
      <c r="C1419" s="841"/>
      <c r="D1419" s="845"/>
    </row>
    <row r="1420" spans="1:4" ht="14" customHeight="1">
      <c r="A1420" s="842"/>
      <c r="B1420" s="844"/>
      <c r="C1420" s="841"/>
      <c r="D1420" s="845"/>
    </row>
    <row r="1421" spans="1:4" ht="14" customHeight="1">
      <c r="A1421" s="842"/>
      <c r="B1421" s="844"/>
      <c r="C1421" s="841"/>
      <c r="D1421" s="845"/>
    </row>
    <row r="1422" spans="1:4" ht="14" customHeight="1">
      <c r="A1422" s="842"/>
      <c r="B1422" s="844"/>
      <c r="C1422" s="841"/>
      <c r="D1422" s="845"/>
    </row>
    <row r="1423" spans="1:4" ht="14" customHeight="1">
      <c r="A1423" s="842"/>
      <c r="B1423" s="844"/>
      <c r="C1423" s="841"/>
      <c r="D1423" s="845"/>
    </row>
    <row r="1424" spans="1:4" ht="14" customHeight="1">
      <c r="A1424" s="842"/>
      <c r="B1424" s="844"/>
      <c r="C1424" s="841"/>
      <c r="D1424" s="845"/>
    </row>
    <row r="1425" spans="1:4" ht="14" customHeight="1">
      <c r="A1425" s="842"/>
      <c r="B1425" s="844"/>
      <c r="C1425" s="841"/>
      <c r="D1425" s="845"/>
    </row>
    <row r="1426" spans="1:4" ht="14" customHeight="1">
      <c r="A1426" s="842"/>
      <c r="B1426" s="844"/>
      <c r="C1426" s="841"/>
      <c r="D1426" s="845"/>
    </row>
    <row r="1427" spans="1:4" ht="14" customHeight="1">
      <c r="A1427" s="842"/>
      <c r="B1427" s="844"/>
      <c r="C1427" s="841"/>
      <c r="D1427" s="845"/>
    </row>
    <row r="1428" spans="1:4" ht="14" customHeight="1">
      <c r="A1428" s="842"/>
      <c r="B1428" s="844"/>
      <c r="C1428" s="841"/>
      <c r="D1428" s="845"/>
    </row>
    <row r="1429" spans="1:4" ht="14" customHeight="1">
      <c r="A1429" s="842"/>
      <c r="B1429" s="844"/>
      <c r="C1429" s="841"/>
      <c r="D1429" s="845"/>
    </row>
    <row r="1430" spans="1:4" ht="14" customHeight="1">
      <c r="A1430" s="842"/>
      <c r="B1430" s="844"/>
      <c r="C1430" s="841"/>
      <c r="D1430" s="845"/>
    </row>
    <row r="1431" spans="1:4" ht="14" customHeight="1">
      <c r="A1431" s="842"/>
      <c r="B1431" s="844"/>
      <c r="C1431" s="841"/>
      <c r="D1431" s="845"/>
    </row>
    <row r="1432" spans="1:4" ht="14" customHeight="1">
      <c r="A1432" s="842"/>
      <c r="B1432" s="844"/>
      <c r="C1432" s="841"/>
      <c r="D1432" s="845"/>
    </row>
    <row r="1433" spans="1:4" ht="14" customHeight="1">
      <c r="A1433" s="842"/>
      <c r="B1433" s="844"/>
      <c r="C1433" s="841"/>
      <c r="D1433" s="845"/>
    </row>
    <row r="1434" spans="1:4" ht="14" customHeight="1">
      <c r="A1434" s="842"/>
      <c r="B1434" s="844"/>
      <c r="C1434" s="841"/>
      <c r="D1434" s="845"/>
    </row>
    <row r="1435" spans="1:4" ht="14" customHeight="1">
      <c r="A1435" s="842"/>
      <c r="B1435" s="844"/>
      <c r="C1435" s="841"/>
      <c r="D1435" s="845"/>
    </row>
    <row r="1436" spans="1:4" ht="14" customHeight="1">
      <c r="A1436" s="842"/>
      <c r="B1436" s="844"/>
      <c r="C1436" s="841"/>
      <c r="D1436" s="845"/>
    </row>
    <row r="1437" spans="1:4" ht="14" customHeight="1">
      <c r="A1437" s="842"/>
      <c r="B1437" s="844"/>
      <c r="C1437" s="841"/>
      <c r="D1437" s="845"/>
    </row>
    <row r="1438" spans="1:4" ht="14" customHeight="1">
      <c r="A1438" s="842"/>
      <c r="B1438" s="844"/>
      <c r="C1438" s="841"/>
      <c r="D1438" s="845"/>
    </row>
    <row r="1439" spans="1:4" ht="14" customHeight="1">
      <c r="A1439" s="842"/>
      <c r="B1439" s="844"/>
      <c r="C1439" s="841"/>
      <c r="D1439" s="845"/>
    </row>
    <row r="1440" spans="1:4" ht="14" customHeight="1">
      <c r="A1440" s="842"/>
      <c r="B1440" s="844"/>
      <c r="C1440" s="841"/>
      <c r="D1440" s="845"/>
    </row>
    <row r="1441" spans="1:4" ht="14" customHeight="1">
      <c r="A1441" s="842"/>
      <c r="B1441" s="844"/>
      <c r="C1441" s="841"/>
      <c r="D1441" s="845"/>
    </row>
    <row r="1442" spans="1:4" ht="14" customHeight="1">
      <c r="A1442" s="842"/>
      <c r="B1442" s="844"/>
      <c r="C1442" s="841"/>
      <c r="D1442" s="845"/>
    </row>
    <row r="1443" spans="1:4" ht="14" customHeight="1">
      <c r="A1443" s="842"/>
      <c r="B1443" s="844"/>
      <c r="C1443" s="841"/>
      <c r="D1443" s="845"/>
    </row>
    <row r="1444" spans="1:4" ht="14" customHeight="1">
      <c r="A1444" s="842"/>
      <c r="B1444" s="844"/>
      <c r="C1444" s="841"/>
      <c r="D1444" s="845"/>
    </row>
    <row r="1445" spans="1:4" ht="14" customHeight="1">
      <c r="A1445" s="842"/>
      <c r="B1445" s="844"/>
      <c r="C1445" s="841"/>
      <c r="D1445" s="845"/>
    </row>
    <row r="1446" spans="1:4" ht="14" customHeight="1">
      <c r="A1446" s="842"/>
      <c r="B1446" s="844"/>
      <c r="C1446" s="841"/>
      <c r="D1446" s="845"/>
    </row>
    <row r="1447" spans="1:4" ht="14" customHeight="1">
      <c r="A1447" s="842"/>
      <c r="B1447" s="844"/>
      <c r="C1447" s="841"/>
      <c r="D1447" s="845"/>
    </row>
    <row r="1448" spans="1:4" ht="14" customHeight="1">
      <c r="A1448" s="842"/>
      <c r="B1448" s="844"/>
      <c r="C1448" s="841"/>
      <c r="D1448" s="845"/>
    </row>
    <row r="1449" spans="1:4" ht="14" customHeight="1">
      <c r="A1449" s="842"/>
      <c r="B1449" s="844"/>
      <c r="C1449" s="841"/>
      <c r="D1449" s="845"/>
    </row>
    <row r="1450" spans="1:4" ht="14" customHeight="1">
      <c r="A1450" s="842"/>
      <c r="B1450" s="844"/>
      <c r="C1450" s="841"/>
      <c r="D1450" s="845"/>
    </row>
    <row r="1451" spans="1:4" ht="14" customHeight="1">
      <c r="A1451" s="842"/>
      <c r="B1451" s="844"/>
      <c r="C1451" s="841"/>
      <c r="D1451" s="845"/>
    </row>
    <row r="1452" spans="1:4" ht="14" customHeight="1">
      <c r="A1452" s="842"/>
      <c r="B1452" s="844"/>
      <c r="C1452" s="841"/>
      <c r="D1452" s="845"/>
    </row>
    <row r="1453" spans="1:4" ht="14" customHeight="1">
      <c r="A1453" s="842"/>
      <c r="B1453" s="844"/>
      <c r="C1453" s="841"/>
      <c r="D1453" s="845"/>
    </row>
    <row r="1454" spans="1:4" ht="14" customHeight="1">
      <c r="A1454" s="842"/>
      <c r="B1454" s="844"/>
      <c r="C1454" s="841"/>
      <c r="D1454" s="845"/>
    </row>
    <row r="1455" spans="1:4" ht="14" customHeight="1">
      <c r="A1455" s="842"/>
      <c r="B1455" s="844"/>
      <c r="C1455" s="841"/>
      <c r="D1455" s="845"/>
    </row>
    <row r="1456" spans="1:4" ht="14" customHeight="1">
      <c r="A1456" s="842"/>
      <c r="B1456" s="844"/>
      <c r="C1456" s="841"/>
      <c r="D1456" s="845"/>
    </row>
    <row r="1457" spans="1:4" ht="14" customHeight="1">
      <c r="A1457" s="842"/>
      <c r="B1457" s="844"/>
      <c r="C1457" s="841"/>
      <c r="D1457" s="845"/>
    </row>
    <row r="1458" spans="1:4" ht="14" customHeight="1">
      <c r="A1458" s="842"/>
      <c r="B1458" s="844"/>
      <c r="C1458" s="841"/>
      <c r="D1458" s="845"/>
    </row>
    <row r="1459" spans="1:4" ht="14" customHeight="1">
      <c r="A1459" s="842"/>
      <c r="B1459" s="844"/>
      <c r="C1459" s="841"/>
      <c r="D1459" s="845"/>
    </row>
    <row r="1460" spans="1:4" ht="14" customHeight="1">
      <c r="A1460" s="842"/>
      <c r="B1460" s="844"/>
      <c r="C1460" s="841"/>
      <c r="D1460" s="845"/>
    </row>
    <row r="1461" spans="1:4" ht="14" customHeight="1">
      <c r="A1461" s="842"/>
      <c r="B1461" s="844"/>
      <c r="C1461" s="841"/>
      <c r="D1461" s="845"/>
    </row>
    <row r="1462" spans="1:4" ht="14" customHeight="1">
      <c r="A1462" s="842"/>
      <c r="B1462" s="844"/>
      <c r="C1462" s="841"/>
      <c r="D1462" s="845"/>
    </row>
    <row r="1463" spans="1:4" ht="14" customHeight="1">
      <c r="A1463" s="842"/>
      <c r="B1463" s="844"/>
      <c r="C1463" s="841"/>
      <c r="D1463" s="845"/>
    </row>
    <row r="1464" spans="1:4" ht="14" customHeight="1">
      <c r="A1464" s="842"/>
      <c r="B1464" s="844"/>
      <c r="C1464" s="841"/>
      <c r="D1464" s="845"/>
    </row>
    <row r="1465" spans="1:4" ht="14" customHeight="1">
      <c r="A1465" s="842"/>
      <c r="B1465" s="844"/>
      <c r="C1465" s="841"/>
      <c r="D1465" s="845"/>
    </row>
    <row r="1466" spans="1:4" ht="14" customHeight="1">
      <c r="A1466" s="842"/>
      <c r="B1466" s="844"/>
      <c r="C1466" s="841"/>
      <c r="D1466" s="845"/>
    </row>
    <row r="1467" spans="1:4" ht="14" customHeight="1">
      <c r="A1467" s="842"/>
      <c r="B1467" s="844"/>
      <c r="C1467" s="841"/>
      <c r="D1467" s="845"/>
    </row>
    <row r="1468" spans="1:4" ht="14" customHeight="1">
      <c r="A1468" s="842"/>
      <c r="B1468" s="844"/>
      <c r="C1468" s="841"/>
      <c r="D1468" s="845"/>
    </row>
    <row r="1469" spans="1:4" ht="14" customHeight="1">
      <c r="A1469" s="842"/>
      <c r="B1469" s="844"/>
      <c r="C1469" s="841"/>
      <c r="D1469" s="845"/>
    </row>
    <row r="1470" spans="1:4" ht="14" customHeight="1">
      <c r="A1470" s="842"/>
      <c r="B1470" s="844"/>
      <c r="C1470" s="841"/>
      <c r="D1470" s="845"/>
    </row>
    <row r="1471" spans="1:4" ht="14" customHeight="1">
      <c r="A1471" s="842"/>
      <c r="B1471" s="844"/>
      <c r="C1471" s="841"/>
      <c r="D1471" s="845"/>
    </row>
    <row r="1472" spans="1:4" ht="14" customHeight="1">
      <c r="A1472" s="842"/>
      <c r="B1472" s="844"/>
      <c r="C1472" s="841"/>
      <c r="D1472" s="845"/>
    </row>
    <row r="1473" spans="1:4" ht="14" customHeight="1">
      <c r="A1473" s="842"/>
      <c r="B1473" s="844"/>
      <c r="C1473" s="841"/>
      <c r="D1473" s="845"/>
    </row>
    <row r="1474" spans="1:4" ht="14" customHeight="1">
      <c r="A1474" s="842"/>
      <c r="B1474" s="844"/>
      <c r="C1474" s="841"/>
      <c r="D1474" s="845"/>
    </row>
    <row r="1475" spans="1:4" ht="14" customHeight="1">
      <c r="A1475" s="842"/>
      <c r="B1475" s="844"/>
      <c r="C1475" s="841"/>
      <c r="D1475" s="845"/>
    </row>
    <row r="1476" spans="1:4" ht="14" customHeight="1">
      <c r="A1476" s="842"/>
      <c r="B1476" s="844"/>
      <c r="C1476" s="841"/>
      <c r="D1476" s="845"/>
    </row>
    <row r="1477" spans="1:4" ht="14" customHeight="1">
      <c r="A1477" s="842"/>
      <c r="B1477" s="844"/>
      <c r="C1477" s="841"/>
      <c r="D1477" s="845"/>
    </row>
    <row r="1478" spans="1:4" ht="14" customHeight="1">
      <c r="A1478" s="842"/>
      <c r="B1478" s="844"/>
      <c r="C1478" s="841"/>
      <c r="D1478" s="845"/>
    </row>
    <row r="1479" spans="1:4" ht="14" customHeight="1">
      <c r="A1479" s="842"/>
      <c r="B1479" s="844"/>
      <c r="C1479" s="841"/>
      <c r="D1479" s="845"/>
    </row>
    <row r="1480" spans="1:4" ht="14" customHeight="1">
      <c r="A1480" s="842"/>
      <c r="B1480" s="844"/>
      <c r="C1480" s="841"/>
      <c r="D1480" s="845"/>
    </row>
    <row r="1481" spans="1:4" ht="14" customHeight="1">
      <c r="A1481" s="842"/>
      <c r="B1481" s="844"/>
      <c r="C1481" s="841"/>
      <c r="D1481" s="845"/>
    </row>
    <row r="1482" spans="1:4" ht="14" customHeight="1">
      <c r="A1482" s="842"/>
      <c r="B1482" s="844"/>
      <c r="C1482" s="841"/>
      <c r="D1482" s="845"/>
    </row>
    <row r="1483" spans="1:4" ht="14" customHeight="1">
      <c r="A1483" s="842"/>
      <c r="B1483" s="844"/>
      <c r="C1483" s="841"/>
      <c r="D1483" s="845"/>
    </row>
    <row r="1484" spans="1:4" ht="14" customHeight="1">
      <c r="A1484" s="842"/>
      <c r="B1484" s="844"/>
      <c r="C1484" s="841"/>
      <c r="D1484" s="845"/>
    </row>
    <row r="1485" spans="1:4" ht="14" customHeight="1">
      <c r="A1485" s="842"/>
      <c r="B1485" s="844"/>
      <c r="C1485" s="841"/>
      <c r="D1485" s="845"/>
    </row>
    <row r="1486" spans="1:4" ht="14" customHeight="1">
      <c r="A1486" s="842"/>
      <c r="B1486" s="844"/>
      <c r="C1486" s="841"/>
      <c r="D1486" s="845"/>
    </row>
    <row r="1487" spans="1:4" ht="14" customHeight="1">
      <c r="A1487" s="842"/>
      <c r="B1487" s="844"/>
      <c r="C1487" s="841"/>
      <c r="D1487" s="845"/>
    </row>
    <row r="1488" spans="1:4" ht="14" customHeight="1">
      <c r="A1488" s="842"/>
      <c r="B1488" s="844"/>
      <c r="C1488" s="841"/>
      <c r="D1488" s="845"/>
    </row>
    <row r="1489" spans="1:4" ht="14" customHeight="1">
      <c r="A1489" s="842"/>
      <c r="B1489" s="844"/>
      <c r="C1489" s="841"/>
      <c r="D1489" s="845"/>
    </row>
    <row r="1490" spans="1:4" ht="14" customHeight="1">
      <c r="A1490" s="842"/>
      <c r="B1490" s="844"/>
      <c r="C1490" s="841"/>
      <c r="D1490" s="845"/>
    </row>
    <row r="1491" spans="1:4" ht="14" customHeight="1">
      <c r="A1491" s="842"/>
      <c r="B1491" s="844"/>
      <c r="C1491" s="841"/>
      <c r="D1491" s="845"/>
    </row>
    <row r="1492" spans="1:4" ht="14" customHeight="1">
      <c r="A1492" s="842"/>
      <c r="B1492" s="844"/>
      <c r="C1492" s="841"/>
      <c r="D1492" s="845"/>
    </row>
    <row r="1493" spans="1:4" ht="14" customHeight="1">
      <c r="A1493" s="842"/>
      <c r="B1493" s="844"/>
      <c r="C1493" s="841"/>
      <c r="D1493" s="845"/>
    </row>
    <row r="1494" spans="1:4" ht="14" customHeight="1">
      <c r="A1494" s="842"/>
      <c r="B1494" s="844"/>
      <c r="C1494" s="841"/>
      <c r="D1494" s="845"/>
    </row>
    <row r="1495" spans="1:4" ht="14" customHeight="1">
      <c r="A1495" s="842"/>
      <c r="B1495" s="844"/>
      <c r="C1495" s="841"/>
      <c r="D1495" s="845"/>
    </row>
    <row r="1496" spans="1:4" ht="14" customHeight="1">
      <c r="A1496" s="842"/>
      <c r="B1496" s="844"/>
      <c r="C1496" s="841"/>
      <c r="D1496" s="845"/>
    </row>
    <row r="1497" spans="1:4" ht="14" customHeight="1">
      <c r="A1497" s="842"/>
      <c r="B1497" s="844"/>
      <c r="C1497" s="841"/>
      <c r="D1497" s="845"/>
    </row>
    <row r="1498" spans="1:4" ht="14" customHeight="1">
      <c r="A1498" s="842"/>
      <c r="B1498" s="844"/>
      <c r="C1498" s="841"/>
      <c r="D1498" s="845"/>
    </row>
    <row r="1499" spans="1:4" ht="14" customHeight="1">
      <c r="A1499" s="842"/>
      <c r="B1499" s="844"/>
      <c r="C1499" s="841"/>
      <c r="D1499" s="845"/>
    </row>
    <row r="1500" spans="1:4" ht="14" customHeight="1">
      <c r="A1500" s="842"/>
      <c r="B1500" s="844"/>
      <c r="C1500" s="841"/>
      <c r="D1500" s="845"/>
    </row>
    <row r="1501" spans="1:4" ht="14" customHeight="1">
      <c r="A1501" s="842"/>
      <c r="B1501" s="844"/>
      <c r="C1501" s="841"/>
      <c r="D1501" s="845"/>
    </row>
    <row r="1502" spans="1:4" ht="14" customHeight="1">
      <c r="A1502" s="842"/>
      <c r="B1502" s="844"/>
      <c r="C1502" s="841"/>
      <c r="D1502" s="845"/>
    </row>
    <row r="1503" spans="1:4" ht="14" customHeight="1">
      <c r="A1503" s="842"/>
      <c r="B1503" s="844"/>
      <c r="C1503" s="841"/>
      <c r="D1503" s="845"/>
    </row>
    <row r="1504" spans="1:4" ht="14" customHeight="1">
      <c r="A1504" s="842"/>
      <c r="B1504" s="844"/>
      <c r="C1504" s="841"/>
      <c r="D1504" s="845"/>
    </row>
    <row r="1505" spans="1:4" ht="14" customHeight="1">
      <c r="A1505" s="842"/>
      <c r="B1505" s="844"/>
      <c r="C1505" s="841"/>
      <c r="D1505" s="845"/>
    </row>
    <row r="1506" spans="1:4" ht="14" customHeight="1">
      <c r="A1506" s="842"/>
      <c r="B1506" s="844"/>
      <c r="C1506" s="841"/>
      <c r="D1506" s="845"/>
    </row>
    <row r="1507" spans="1:4" ht="14" customHeight="1">
      <c r="A1507" s="842"/>
      <c r="B1507" s="844"/>
      <c r="C1507" s="841"/>
      <c r="D1507" s="845"/>
    </row>
    <row r="1508" spans="1:4" ht="14" customHeight="1">
      <c r="A1508" s="842"/>
      <c r="B1508" s="844"/>
      <c r="C1508" s="841"/>
      <c r="D1508" s="845"/>
    </row>
    <row r="1509" spans="1:4" ht="14" customHeight="1">
      <c r="A1509" s="842"/>
      <c r="B1509" s="844"/>
      <c r="C1509" s="841"/>
      <c r="D1509" s="845"/>
    </row>
    <row r="1510" spans="1:4" ht="14" customHeight="1">
      <c r="A1510" s="842"/>
      <c r="B1510" s="844"/>
      <c r="C1510" s="841"/>
      <c r="D1510" s="845"/>
    </row>
    <row r="1511" spans="1:4" ht="14" customHeight="1">
      <c r="A1511" s="842"/>
      <c r="B1511" s="844"/>
      <c r="C1511" s="841"/>
      <c r="D1511" s="845"/>
    </row>
    <row r="1512" spans="1:4" ht="14" customHeight="1">
      <c r="A1512" s="842"/>
      <c r="B1512" s="844"/>
      <c r="C1512" s="841"/>
      <c r="D1512" s="845"/>
    </row>
    <row r="1513" spans="1:4" ht="14" customHeight="1">
      <c r="A1513" s="842"/>
      <c r="B1513" s="844"/>
      <c r="C1513" s="841"/>
      <c r="D1513" s="845"/>
    </row>
    <row r="1514" spans="1:4" ht="14" customHeight="1">
      <c r="A1514" s="842"/>
      <c r="B1514" s="844"/>
      <c r="C1514" s="841"/>
      <c r="D1514" s="845"/>
    </row>
    <row r="1515" spans="1:4" ht="14" customHeight="1">
      <c r="A1515" s="842"/>
      <c r="B1515" s="844"/>
      <c r="C1515" s="841"/>
      <c r="D1515" s="845"/>
    </row>
    <row r="1516" spans="1:4" ht="14" customHeight="1">
      <c r="A1516" s="842"/>
      <c r="B1516" s="844"/>
      <c r="C1516" s="841"/>
      <c r="D1516" s="845"/>
    </row>
    <row r="1517" spans="1:4" ht="16" customHeight="1">
      <c r="A1517" s="846" t="s">
        <v>53679</v>
      </c>
      <c r="B1517" s="844"/>
      <c r="C1517" s="841"/>
      <c r="D1517" s="845"/>
    </row>
    <row r="1518" spans="1:4" ht="14" customHeight="1">
      <c r="A1518" s="842">
        <v>90513</v>
      </c>
      <c r="B1518" s="844" t="s">
        <v>53678</v>
      </c>
      <c r="C1518" s="841">
        <v>307.81</v>
      </c>
      <c r="D1518" s="845"/>
    </row>
    <row r="1519" spans="1:4" ht="14" customHeight="1">
      <c r="A1519" s="842">
        <v>90503</v>
      </c>
      <c r="B1519" s="844" t="s">
        <v>53677</v>
      </c>
      <c r="C1519" s="841">
        <v>307.81</v>
      </c>
      <c r="D1519" s="845"/>
    </row>
    <row r="1520" spans="1:4" ht="14" customHeight="1">
      <c r="A1520" s="842">
        <v>90523</v>
      </c>
      <c r="B1520" s="844" t="s">
        <v>53676</v>
      </c>
      <c r="C1520" s="841">
        <v>307.81</v>
      </c>
      <c r="D1520" s="845"/>
    </row>
    <row r="1521" spans="1:4" ht="14" customHeight="1">
      <c r="A1521" s="842">
        <v>90541</v>
      </c>
      <c r="B1521" s="844" t="s">
        <v>53675</v>
      </c>
      <c r="C1521" s="841">
        <v>138.32</v>
      </c>
      <c r="D1521" s="845"/>
    </row>
    <row r="1522" spans="1:4" ht="14" customHeight="1">
      <c r="A1522" s="842">
        <v>90540</v>
      </c>
      <c r="B1522" s="844" t="s">
        <v>53674</v>
      </c>
      <c r="C1522" s="841">
        <v>138.32</v>
      </c>
      <c r="D1522" s="845"/>
    </row>
    <row r="1523" spans="1:4" ht="14" customHeight="1">
      <c r="A1523" s="842">
        <v>90545</v>
      </c>
      <c r="B1523" s="844" t="s">
        <v>53673</v>
      </c>
      <c r="C1523" s="841">
        <v>138.32</v>
      </c>
      <c r="D1523" s="845"/>
    </row>
    <row r="1524" spans="1:4" ht="14" customHeight="1">
      <c r="A1524" s="842">
        <v>90510</v>
      </c>
      <c r="B1524" s="844" t="s">
        <v>53672</v>
      </c>
      <c r="C1524" s="841">
        <v>208.76</v>
      </c>
      <c r="D1524" s="845"/>
    </row>
    <row r="1525" spans="1:4" ht="14" customHeight="1">
      <c r="A1525" s="842">
        <v>90500</v>
      </c>
      <c r="B1525" s="844" t="s">
        <v>53671</v>
      </c>
      <c r="C1525" s="841">
        <v>208.76</v>
      </c>
      <c r="D1525" s="845"/>
    </row>
    <row r="1526" spans="1:4" ht="14" customHeight="1">
      <c r="A1526" s="842">
        <v>90520</v>
      </c>
      <c r="B1526" s="844" t="s">
        <v>53670</v>
      </c>
      <c r="C1526" s="841">
        <v>208.76</v>
      </c>
      <c r="D1526" s="845"/>
    </row>
    <row r="1527" spans="1:4" ht="16" customHeight="1">
      <c r="A1527" s="846" t="s">
        <v>53669</v>
      </c>
      <c r="B1527" s="844"/>
      <c r="C1527" s="841"/>
      <c r="D1527" s="845"/>
    </row>
    <row r="1528" spans="1:4" s="883" customFormat="1" ht="14" customHeight="1">
      <c r="A1528" s="887">
        <v>90952</v>
      </c>
      <c r="B1528" s="844" t="s">
        <v>53668</v>
      </c>
      <c r="C1528" s="841">
        <v>298.85000000000002</v>
      </c>
      <c r="D1528" s="884"/>
    </row>
    <row r="1529" spans="1:4" s="883" customFormat="1" ht="14" customHeight="1">
      <c r="A1529" s="887">
        <v>90962</v>
      </c>
      <c r="B1529" s="844" t="s">
        <v>53667</v>
      </c>
      <c r="C1529" s="841">
        <v>298.85000000000002</v>
      </c>
      <c r="D1529" s="884"/>
    </row>
    <row r="1530" spans="1:4" s="883" customFormat="1" ht="14" customHeight="1">
      <c r="A1530" s="887">
        <v>90951</v>
      </c>
      <c r="B1530" s="844" t="s">
        <v>53666</v>
      </c>
      <c r="C1530" s="841">
        <v>202.68</v>
      </c>
      <c r="D1530" s="884"/>
    </row>
    <row r="1531" spans="1:4" s="883" customFormat="1" ht="14" customHeight="1">
      <c r="A1531" s="887">
        <v>90961</v>
      </c>
      <c r="B1531" s="844" t="s">
        <v>53665</v>
      </c>
      <c r="C1531" s="841">
        <v>202.68</v>
      </c>
      <c r="D1531" s="884"/>
    </row>
    <row r="1532" spans="1:4" s="883" customFormat="1" ht="14" customHeight="1">
      <c r="A1532" s="887">
        <v>90950</v>
      </c>
      <c r="B1532" s="844" t="s">
        <v>53664</v>
      </c>
      <c r="C1532" s="841">
        <v>148.4</v>
      </c>
      <c r="D1532" s="884"/>
    </row>
    <row r="1533" spans="1:4" s="883" customFormat="1" ht="14" customHeight="1">
      <c r="A1533" s="887">
        <v>90960</v>
      </c>
      <c r="B1533" s="844" t="s">
        <v>53663</v>
      </c>
      <c r="C1533" s="841">
        <v>148.4</v>
      </c>
      <c r="D1533" s="884"/>
    </row>
    <row r="1534" spans="1:4" s="883" customFormat="1" ht="14" customHeight="1">
      <c r="A1534" s="889" t="s">
        <v>53662</v>
      </c>
      <c r="B1534" s="844"/>
      <c r="C1534" s="841"/>
    </row>
    <row r="1535" spans="1:4" ht="16" customHeight="1">
      <c r="A1535" s="846" t="s">
        <v>53661</v>
      </c>
      <c r="B1535" s="844"/>
      <c r="C1535" s="841"/>
      <c r="D1535" s="845"/>
    </row>
    <row r="1536" spans="1:4" s="883" customFormat="1" ht="14" customHeight="1">
      <c r="A1536" s="887">
        <v>90044</v>
      </c>
      <c r="B1536" s="844" t="s">
        <v>53660</v>
      </c>
      <c r="C1536" s="841">
        <v>169.77</v>
      </c>
      <c r="D1536" s="884"/>
    </row>
    <row r="1537" spans="1:4" s="883" customFormat="1" ht="14" customHeight="1">
      <c r="A1537" s="887">
        <v>90244</v>
      </c>
      <c r="B1537" s="844" t="s">
        <v>53659</v>
      </c>
      <c r="C1537" s="841">
        <v>169.77</v>
      </c>
      <c r="D1537" s="884"/>
    </row>
    <row r="1538" spans="1:4" ht="16" customHeight="1">
      <c r="A1538" s="846" t="s">
        <v>53658</v>
      </c>
      <c r="B1538" s="844"/>
      <c r="C1538" s="841"/>
      <c r="D1538" s="657"/>
    </row>
    <row r="1539" spans="1:4" s="883" customFormat="1" ht="14" customHeight="1">
      <c r="A1539" s="887">
        <v>91802</v>
      </c>
      <c r="B1539" s="844" t="s">
        <v>53657</v>
      </c>
      <c r="C1539" s="841">
        <v>314.72000000000003</v>
      </c>
    </row>
    <row r="1540" spans="1:4" s="883" customFormat="1" ht="14" customHeight="1">
      <c r="A1540" s="887">
        <v>91812</v>
      </c>
      <c r="B1540" s="844" t="s">
        <v>53656</v>
      </c>
      <c r="C1540" s="841">
        <v>314.72000000000003</v>
      </c>
    </row>
    <row r="1541" spans="1:4" s="883" customFormat="1" ht="14" customHeight="1">
      <c r="A1541" s="887">
        <v>91800</v>
      </c>
      <c r="B1541" s="844" t="s">
        <v>53655</v>
      </c>
      <c r="C1541" s="841">
        <v>165.76</v>
      </c>
    </row>
    <row r="1542" spans="1:4" s="883" customFormat="1" ht="14" customHeight="1">
      <c r="A1542" s="887">
        <v>91810</v>
      </c>
      <c r="B1542" s="844" t="s">
        <v>53654</v>
      </c>
      <c r="C1542" s="841">
        <v>165.76</v>
      </c>
    </row>
    <row r="1543" spans="1:4" s="883" customFormat="1" ht="14" customHeight="1">
      <c r="A1543" s="842">
        <v>91801</v>
      </c>
      <c r="B1543" s="844" t="s">
        <v>53653</v>
      </c>
      <c r="C1543" s="841">
        <v>219.52</v>
      </c>
    </row>
    <row r="1544" spans="1:4" s="883" customFormat="1" ht="14" customHeight="1">
      <c r="A1544" s="842">
        <v>91811</v>
      </c>
      <c r="B1544" s="844" t="s">
        <v>53652</v>
      </c>
      <c r="C1544" s="841">
        <v>219.52</v>
      </c>
    </row>
    <row r="1545" spans="1:4" s="883" customFormat="1" ht="14" customHeight="1">
      <c r="A1545" s="887">
        <v>91830</v>
      </c>
      <c r="B1545" s="844" t="s">
        <v>53651</v>
      </c>
      <c r="C1545" s="841">
        <v>344.96</v>
      </c>
    </row>
    <row r="1546" spans="1:4" s="883" customFormat="1" ht="14" customHeight="1">
      <c r="A1546" s="887">
        <v>91831</v>
      </c>
      <c r="B1546" s="844" t="s">
        <v>53650</v>
      </c>
      <c r="C1546" s="841">
        <v>344.96</v>
      </c>
    </row>
    <row r="1547" spans="1:4" s="883" customFormat="1" ht="14" customHeight="1">
      <c r="A1547" s="887">
        <v>91825</v>
      </c>
      <c r="B1547" s="844" t="s">
        <v>53649</v>
      </c>
      <c r="C1547" s="841">
        <v>196</v>
      </c>
    </row>
    <row r="1548" spans="1:4" s="883" customFormat="1" ht="14" customHeight="1">
      <c r="A1548" s="887">
        <v>91826</v>
      </c>
      <c r="B1548" s="844" t="s">
        <v>53648</v>
      </c>
      <c r="C1548" s="841">
        <v>196</v>
      </c>
    </row>
    <row r="1549" spans="1:4" s="883" customFormat="1" ht="14" customHeight="1">
      <c r="A1549" s="842">
        <v>91828</v>
      </c>
      <c r="B1549" s="844" t="s">
        <v>53647</v>
      </c>
      <c r="C1549" s="841">
        <v>249.76</v>
      </c>
    </row>
    <row r="1550" spans="1:4" s="883" customFormat="1" ht="14" customHeight="1">
      <c r="A1550" s="842">
        <v>91829</v>
      </c>
      <c r="B1550" s="844" t="s">
        <v>53646</v>
      </c>
      <c r="C1550" s="841">
        <v>249.76</v>
      </c>
    </row>
    <row r="1551" spans="1:4" s="883" customFormat="1" ht="14" customHeight="1">
      <c r="A1551" s="888" t="s">
        <v>53645</v>
      </c>
      <c r="B1551" s="844"/>
      <c r="C1551" s="841"/>
    </row>
    <row r="1552" spans="1:4" ht="14">
      <c r="A1552" s="846" t="s">
        <v>53644</v>
      </c>
      <c r="B1552" s="844"/>
      <c r="C1552" s="841"/>
      <c r="D1552" s="657"/>
    </row>
    <row r="1553" spans="1:4" s="883" customFormat="1" ht="14">
      <c r="A1553" s="887">
        <v>91804</v>
      </c>
      <c r="B1553" s="844" t="s">
        <v>53643</v>
      </c>
      <c r="C1553" s="841">
        <v>185.92</v>
      </c>
    </row>
    <row r="1554" spans="1:4" s="883" customFormat="1" ht="14">
      <c r="A1554" s="887">
        <v>91814</v>
      </c>
      <c r="B1554" s="844" t="s">
        <v>53642</v>
      </c>
      <c r="C1554" s="841">
        <v>185.92</v>
      </c>
    </row>
    <row r="1555" spans="1:4" s="883" customFormat="1" ht="14">
      <c r="A1555" s="887">
        <v>91838</v>
      </c>
      <c r="B1555" s="844" t="s">
        <v>53641</v>
      </c>
      <c r="C1555" s="841">
        <v>216.16</v>
      </c>
    </row>
    <row r="1556" spans="1:4" s="883" customFormat="1" ht="14">
      <c r="A1556" s="887">
        <v>91839</v>
      </c>
      <c r="B1556" s="844" t="s">
        <v>53640</v>
      </c>
      <c r="C1556" s="841">
        <v>216.16</v>
      </c>
    </row>
    <row r="1557" spans="1:4" ht="16" customHeight="1">
      <c r="A1557" s="846" t="s">
        <v>53639</v>
      </c>
      <c r="B1557" s="886"/>
      <c r="C1557" s="841"/>
      <c r="D1557" s="845"/>
    </row>
    <row r="1558" spans="1:4" ht="14" customHeight="1">
      <c r="A1558" s="842">
        <v>61510</v>
      </c>
      <c r="B1558" s="849" t="s">
        <v>53638</v>
      </c>
      <c r="C1558" s="841">
        <v>113.25</v>
      </c>
      <c r="D1558" s="845"/>
    </row>
    <row r="1559" spans="1:4" ht="14" customHeight="1">
      <c r="A1559" s="842">
        <v>61530</v>
      </c>
      <c r="B1559" s="849" t="s">
        <v>53637</v>
      </c>
      <c r="C1559" s="841">
        <v>71.23</v>
      </c>
      <c r="D1559" s="847"/>
    </row>
    <row r="1560" spans="1:4" ht="16" customHeight="1">
      <c r="A1560" s="846" t="s">
        <v>53636</v>
      </c>
      <c r="B1560" s="885"/>
      <c r="C1560" s="841"/>
      <c r="D1560" s="845"/>
    </row>
    <row r="1561" spans="1:4" ht="14" customHeight="1">
      <c r="A1561" s="842">
        <v>61500</v>
      </c>
      <c r="B1561" s="849" t="s">
        <v>53635</v>
      </c>
      <c r="C1561" s="841">
        <v>157.30000000000001</v>
      </c>
      <c r="D1561" s="845"/>
    </row>
    <row r="1562" spans="1:4" ht="14" customHeight="1">
      <c r="A1562" s="842">
        <v>61501</v>
      </c>
      <c r="B1562" s="849" t="s">
        <v>53634</v>
      </c>
      <c r="C1562" s="841">
        <v>157.30000000000001</v>
      </c>
      <c r="D1562" s="845"/>
    </row>
    <row r="1563" spans="1:4" ht="14" customHeight="1">
      <c r="A1563" s="842">
        <v>61502</v>
      </c>
      <c r="B1563" s="849" t="s">
        <v>53633</v>
      </c>
      <c r="C1563" s="841">
        <v>157.30000000000001</v>
      </c>
      <c r="D1563" s="845"/>
    </row>
    <row r="1564" spans="1:4" s="844" customFormat="1" ht="16" customHeight="1">
      <c r="A1564" s="846" t="s">
        <v>53632</v>
      </c>
      <c r="B1564" s="849"/>
      <c r="C1564" s="841"/>
      <c r="D1564" s="847"/>
    </row>
    <row r="1565" spans="1:4" s="844" customFormat="1" ht="14" customHeight="1">
      <c r="A1565" s="842">
        <v>61520</v>
      </c>
      <c r="B1565" s="849" t="s">
        <v>53631</v>
      </c>
      <c r="C1565" s="841">
        <v>302.02</v>
      </c>
      <c r="D1565" s="847"/>
    </row>
    <row r="1566" spans="1:4" s="844" customFormat="1" ht="14" customHeight="1">
      <c r="A1566" s="842">
        <v>61523</v>
      </c>
      <c r="B1566" s="849" t="s">
        <v>53630</v>
      </c>
      <c r="C1566" s="841">
        <v>302.02</v>
      </c>
    </row>
    <row r="1567" spans="1:4" ht="16" customHeight="1">
      <c r="A1567" s="846" t="s">
        <v>53629</v>
      </c>
      <c r="B1567" s="844"/>
      <c r="C1567" s="841"/>
      <c r="D1567" s="845"/>
    </row>
    <row r="1568" spans="1:4" ht="14" customHeight="1">
      <c r="A1568" s="842">
        <v>44910</v>
      </c>
      <c r="B1568" s="844" t="s">
        <v>53628</v>
      </c>
      <c r="C1568" s="841">
        <v>269.55</v>
      </c>
      <c r="D1568" s="845"/>
    </row>
    <row r="1569" spans="1:4" ht="14" customHeight="1">
      <c r="A1569" s="842">
        <v>44911</v>
      </c>
      <c r="B1569" s="844" t="s">
        <v>53627</v>
      </c>
      <c r="C1569" s="841">
        <v>269.55</v>
      </c>
      <c r="D1569" s="845"/>
    </row>
    <row r="1570" spans="1:4" ht="14" customHeight="1">
      <c r="A1570" s="842">
        <v>44900</v>
      </c>
      <c r="B1570" s="844" t="s">
        <v>53626</v>
      </c>
      <c r="C1570" s="841">
        <v>134.78</v>
      </c>
      <c r="D1570" s="845"/>
    </row>
    <row r="1571" spans="1:4" ht="14" customHeight="1">
      <c r="A1571" s="842">
        <v>44902</v>
      </c>
      <c r="B1571" s="844" t="s">
        <v>53625</v>
      </c>
      <c r="C1571" s="841">
        <v>134.78</v>
      </c>
      <c r="D1571" s="845"/>
    </row>
    <row r="1572" spans="1:4" ht="14" customHeight="1">
      <c r="A1572" s="842">
        <v>44905</v>
      </c>
      <c r="B1572" s="844" t="s">
        <v>53624</v>
      </c>
      <c r="C1572" s="841">
        <v>134.78</v>
      </c>
      <c r="D1572" s="845"/>
    </row>
    <row r="1573" spans="1:4" ht="16" customHeight="1">
      <c r="A1573" s="846" t="s">
        <v>53623</v>
      </c>
      <c r="B1573" s="842"/>
      <c r="C1573" s="841"/>
      <c r="D1573" s="845"/>
    </row>
    <row r="1574" spans="1:4" ht="14" customHeight="1">
      <c r="A1574" s="842">
        <v>44931</v>
      </c>
      <c r="B1574" s="844" t="s">
        <v>53622</v>
      </c>
      <c r="C1574" s="841">
        <v>85.81</v>
      </c>
      <c r="D1574" s="845"/>
    </row>
    <row r="1575" spans="1:4" ht="14" customHeight="1">
      <c r="A1575" s="842">
        <v>44941</v>
      </c>
      <c r="B1575" s="844" t="s">
        <v>53621</v>
      </c>
      <c r="C1575" s="841">
        <v>63.43</v>
      </c>
      <c r="D1575" s="845"/>
    </row>
    <row r="1576" spans="1:4" ht="14" customHeight="1">
      <c r="A1576" s="842">
        <v>44943</v>
      </c>
      <c r="B1576" s="844" t="s">
        <v>53620</v>
      </c>
      <c r="C1576" s="841">
        <v>70.03</v>
      </c>
      <c r="D1576" s="845"/>
    </row>
    <row r="1577" spans="1:4" ht="14" customHeight="1">
      <c r="A1577" s="856">
        <v>44945</v>
      </c>
      <c r="B1577" s="844" t="s">
        <v>53619</v>
      </c>
      <c r="C1577" s="841">
        <v>264.27999999999997</v>
      </c>
      <c r="D1577" s="845"/>
    </row>
    <row r="1578" spans="1:4" ht="14" customHeight="1">
      <c r="A1578" s="856">
        <v>44947</v>
      </c>
      <c r="B1578" s="844" t="s">
        <v>53618</v>
      </c>
      <c r="C1578" s="841">
        <v>264.27999999999997</v>
      </c>
      <c r="D1578" s="845"/>
    </row>
    <row r="1579" spans="1:4" ht="16" customHeight="1">
      <c r="A1579" s="846" t="s">
        <v>53617</v>
      </c>
      <c r="B1579" s="844"/>
      <c r="C1579" s="841"/>
      <c r="D1579" s="845"/>
    </row>
    <row r="1580" spans="1:4" ht="14" customHeight="1">
      <c r="A1580" s="842">
        <v>67750</v>
      </c>
      <c r="B1580" s="844" t="s">
        <v>53616</v>
      </c>
      <c r="C1580" s="841">
        <v>64.05</v>
      </c>
      <c r="D1580" s="845"/>
    </row>
    <row r="1581" spans="1:4" ht="14" customHeight="1">
      <c r="A1581" s="842">
        <v>67751</v>
      </c>
      <c r="B1581" s="844" t="s">
        <v>53615</v>
      </c>
      <c r="C1581" s="841">
        <v>64.05</v>
      </c>
      <c r="D1581" s="845"/>
    </row>
    <row r="1582" spans="1:4" ht="14" customHeight="1">
      <c r="A1582" s="842">
        <v>68750</v>
      </c>
      <c r="B1582" s="844" t="s">
        <v>53614</v>
      </c>
      <c r="C1582" s="841">
        <v>69.41</v>
      </c>
      <c r="D1582" s="845"/>
    </row>
    <row r="1583" spans="1:4" ht="14" customHeight="1">
      <c r="A1583" s="842">
        <v>68752</v>
      </c>
      <c r="B1583" s="844" t="s">
        <v>53613</v>
      </c>
      <c r="C1583" s="841">
        <v>69.41</v>
      </c>
      <c r="D1583" s="845"/>
    </row>
    <row r="1584" spans="1:4" ht="14" customHeight="1">
      <c r="A1584" s="848">
        <v>68751</v>
      </c>
      <c r="B1584" s="844" t="s">
        <v>53612</v>
      </c>
      <c r="C1584" s="841">
        <v>66.73</v>
      </c>
      <c r="D1584" s="845"/>
    </row>
    <row r="1585" spans="1:4" ht="14" customHeight="1">
      <c r="A1585" s="848">
        <v>68753</v>
      </c>
      <c r="B1585" s="844" t="s">
        <v>53611</v>
      </c>
      <c r="C1585" s="841">
        <v>66.73</v>
      </c>
      <c r="D1585" s="845"/>
    </row>
    <row r="1586" spans="1:4" ht="14" customHeight="1">
      <c r="A1586" s="856">
        <v>68780</v>
      </c>
      <c r="B1586" s="855" t="s">
        <v>53610</v>
      </c>
      <c r="C1586" s="841">
        <v>80.08</v>
      </c>
      <c r="D1586" s="845"/>
    </row>
    <row r="1587" spans="1:4" ht="14" customHeight="1">
      <c r="A1587" s="856">
        <v>68781</v>
      </c>
      <c r="B1587" s="855" t="s">
        <v>53609</v>
      </c>
      <c r="C1587" s="841">
        <v>80.08</v>
      </c>
      <c r="D1587" s="845"/>
    </row>
    <row r="1588" spans="1:4" ht="14" customHeight="1">
      <c r="A1588" s="856">
        <v>68782</v>
      </c>
      <c r="B1588" s="855" t="s">
        <v>53608</v>
      </c>
      <c r="C1588" s="841">
        <v>82.75</v>
      </c>
      <c r="D1588" s="845"/>
    </row>
    <row r="1589" spans="1:4" ht="14" customHeight="1">
      <c r="A1589" s="856">
        <v>68783</v>
      </c>
      <c r="B1589" s="855" t="s">
        <v>53607</v>
      </c>
      <c r="C1589" s="841">
        <v>82.75</v>
      </c>
      <c r="D1589" s="845"/>
    </row>
    <row r="1590" spans="1:4" ht="14" customHeight="1">
      <c r="A1590" s="842">
        <v>68760</v>
      </c>
      <c r="B1590" s="844" t="s">
        <v>53606</v>
      </c>
      <c r="C1590" s="841">
        <v>94.35</v>
      </c>
      <c r="D1590" s="845"/>
    </row>
    <row r="1591" spans="1:4" ht="14" customHeight="1">
      <c r="A1591" s="842">
        <v>68762</v>
      </c>
      <c r="B1591" s="844" t="s">
        <v>53605</v>
      </c>
      <c r="C1591" s="841">
        <v>94.35</v>
      </c>
      <c r="D1591" s="845"/>
    </row>
    <row r="1592" spans="1:4" ht="14" customHeight="1">
      <c r="A1592" s="848">
        <v>68910</v>
      </c>
      <c r="B1592" s="844" t="s">
        <v>53604</v>
      </c>
      <c r="C1592" s="841">
        <v>84</v>
      </c>
      <c r="D1592" s="845"/>
    </row>
    <row r="1593" spans="1:4" ht="14" customHeight="1">
      <c r="A1593" s="842">
        <v>68793</v>
      </c>
      <c r="B1593" s="853" t="s">
        <v>53603</v>
      </c>
      <c r="C1593" s="841">
        <v>165.18</v>
      </c>
      <c r="D1593" s="845"/>
    </row>
    <row r="1594" spans="1:4" ht="14" customHeight="1">
      <c r="A1594" s="842">
        <v>68794</v>
      </c>
      <c r="B1594" s="853" t="s">
        <v>53602</v>
      </c>
      <c r="C1594" s="841">
        <v>165.18</v>
      </c>
      <c r="D1594" s="845"/>
    </row>
    <row r="1595" spans="1:4" ht="14" customHeight="1">
      <c r="A1595" s="842">
        <v>68795</v>
      </c>
      <c r="B1595" s="853" t="s">
        <v>53601</v>
      </c>
      <c r="C1595" s="841">
        <v>165.18</v>
      </c>
      <c r="D1595" s="845"/>
    </row>
    <row r="1596" spans="1:4" ht="14" customHeight="1">
      <c r="A1596" s="842">
        <v>68796</v>
      </c>
      <c r="B1596" s="853" t="s">
        <v>53600</v>
      </c>
      <c r="C1596" s="841">
        <v>165.18</v>
      </c>
      <c r="D1596" s="845"/>
    </row>
    <row r="1597" spans="1:4" ht="14" customHeight="1">
      <c r="A1597" s="842">
        <v>68785</v>
      </c>
      <c r="B1597" s="853" t="s">
        <v>53599</v>
      </c>
      <c r="C1597" s="841">
        <v>132.13999999999999</v>
      </c>
      <c r="D1597" s="845"/>
    </row>
    <row r="1598" spans="1:4" ht="14" customHeight="1">
      <c r="A1598" s="842">
        <v>68786</v>
      </c>
      <c r="B1598" s="853" t="s">
        <v>53598</v>
      </c>
      <c r="C1598" s="841">
        <v>132.13999999999999</v>
      </c>
      <c r="D1598" s="845"/>
    </row>
    <row r="1599" spans="1:4" ht="14" customHeight="1">
      <c r="A1599" s="842">
        <v>68732</v>
      </c>
      <c r="B1599" s="853" t="s">
        <v>53597</v>
      </c>
      <c r="C1599" s="841">
        <v>151.96</v>
      </c>
      <c r="D1599" s="845"/>
    </row>
    <row r="1600" spans="1:4" ht="14" customHeight="1">
      <c r="A1600" s="842">
        <v>68733</v>
      </c>
      <c r="B1600" s="853" t="s">
        <v>53596</v>
      </c>
      <c r="C1600" s="841">
        <v>151.96</v>
      </c>
      <c r="D1600" s="845"/>
    </row>
    <row r="1601" spans="1:4" ht="14" customHeight="1">
      <c r="A1601" s="842">
        <v>68734</v>
      </c>
      <c r="B1601" s="853" t="s">
        <v>53595</v>
      </c>
      <c r="C1601" s="841">
        <v>151.96</v>
      </c>
      <c r="D1601" s="845"/>
    </row>
    <row r="1602" spans="1:4" ht="14" customHeight="1">
      <c r="A1602" s="842">
        <v>68735</v>
      </c>
      <c r="B1602" s="853" t="s">
        <v>53594</v>
      </c>
      <c r="C1602" s="841">
        <v>151.96</v>
      </c>
      <c r="D1602" s="845"/>
    </row>
    <row r="1603" spans="1:4" ht="14" customHeight="1">
      <c r="A1603" s="842">
        <v>68730</v>
      </c>
      <c r="B1603" s="853" t="s">
        <v>53593</v>
      </c>
      <c r="C1603" s="841">
        <v>118.92</v>
      </c>
      <c r="D1603" s="845"/>
    </row>
    <row r="1604" spans="1:4" ht="14" customHeight="1">
      <c r="A1604" s="842">
        <v>68731</v>
      </c>
      <c r="B1604" s="853" t="s">
        <v>53592</v>
      </c>
      <c r="C1604" s="841">
        <v>118.92</v>
      </c>
      <c r="D1604" s="845"/>
    </row>
    <row r="1605" spans="1:4" ht="16" customHeight="1">
      <c r="A1605" s="846" t="s">
        <v>53591</v>
      </c>
      <c r="B1605" s="842"/>
      <c r="C1605" s="841"/>
      <c r="D1605" s="845"/>
    </row>
    <row r="1606" spans="1:4" s="883" customFormat="1" ht="14" customHeight="1">
      <c r="A1606" s="842">
        <v>66500</v>
      </c>
      <c r="B1606" s="844" t="s">
        <v>53590</v>
      </c>
      <c r="C1606" s="841">
        <v>42.72</v>
      </c>
      <c r="D1606" s="884"/>
    </row>
    <row r="1607" spans="1:4" s="883" customFormat="1" ht="14" customHeight="1">
      <c r="A1607" s="842">
        <v>66505</v>
      </c>
      <c r="B1607" s="844" t="s">
        <v>53589</v>
      </c>
      <c r="C1607" s="841">
        <v>42.72</v>
      </c>
      <c r="D1607" s="884"/>
    </row>
    <row r="1608" spans="1:4" ht="14" customHeight="1">
      <c r="A1608" s="842">
        <v>67100</v>
      </c>
      <c r="B1608" s="844" t="s">
        <v>53588</v>
      </c>
      <c r="C1608" s="841">
        <v>44.88</v>
      </c>
      <c r="D1608" s="845"/>
    </row>
    <row r="1609" spans="1:4" ht="14" customHeight="1">
      <c r="A1609" s="842">
        <v>67101</v>
      </c>
      <c r="B1609" s="844" t="s">
        <v>53587</v>
      </c>
      <c r="C1609" s="841">
        <v>44.88</v>
      </c>
      <c r="D1609" s="845"/>
    </row>
    <row r="1610" spans="1:4" ht="14" customHeight="1">
      <c r="A1610" s="842">
        <v>68602</v>
      </c>
      <c r="B1610" s="844" t="s">
        <v>53586</v>
      </c>
      <c r="C1610" s="841">
        <v>87.63</v>
      </c>
      <c r="D1610" s="845"/>
    </row>
    <row r="1611" spans="1:4" ht="14" customHeight="1">
      <c r="A1611" s="842">
        <v>68702</v>
      </c>
      <c r="B1611" s="844" t="s">
        <v>53585</v>
      </c>
      <c r="C1611" s="841">
        <v>87.63</v>
      </c>
      <c r="D1611" s="845"/>
    </row>
    <row r="1612" spans="1:4" ht="14" customHeight="1">
      <c r="A1612" s="842">
        <v>68244</v>
      </c>
      <c r="B1612" s="844" t="s">
        <v>53584</v>
      </c>
      <c r="C1612" s="841">
        <v>80.89</v>
      </c>
      <c r="D1612" s="845"/>
    </row>
    <row r="1613" spans="1:4" ht="14" customHeight="1">
      <c r="A1613" s="842">
        <v>68344</v>
      </c>
      <c r="B1613" s="844" t="s">
        <v>53583</v>
      </c>
      <c r="C1613" s="841">
        <v>80.89</v>
      </c>
      <c r="D1613" s="845"/>
    </row>
    <row r="1614" spans="1:4" ht="14" customHeight="1">
      <c r="A1614" s="842">
        <v>68200</v>
      </c>
      <c r="B1614" s="844" t="s">
        <v>53582</v>
      </c>
      <c r="C1614" s="841">
        <v>56.37</v>
      </c>
      <c r="D1614" s="845"/>
    </row>
    <row r="1615" spans="1:4" ht="14" customHeight="1">
      <c r="A1615" s="842">
        <v>68201</v>
      </c>
      <c r="B1615" s="844" t="s">
        <v>53581</v>
      </c>
      <c r="C1615" s="841">
        <v>59.12</v>
      </c>
      <c r="D1615" s="845"/>
    </row>
    <row r="1616" spans="1:4" ht="14" customHeight="1">
      <c r="A1616" s="842">
        <v>68202</v>
      </c>
      <c r="B1616" s="844" t="s">
        <v>53580</v>
      </c>
      <c r="C1616" s="841">
        <v>59.12</v>
      </c>
      <c r="D1616" s="845"/>
    </row>
    <row r="1617" spans="1:4" ht="14" customHeight="1">
      <c r="A1617" s="842">
        <v>68300</v>
      </c>
      <c r="B1617" s="844" t="s">
        <v>53579</v>
      </c>
      <c r="C1617" s="841">
        <v>56.37</v>
      </c>
      <c r="D1617" s="845"/>
    </row>
    <row r="1618" spans="1:4" ht="14" customHeight="1">
      <c r="A1618" s="842">
        <v>68302</v>
      </c>
      <c r="B1618" s="844" t="s">
        <v>53578</v>
      </c>
      <c r="C1618" s="841">
        <v>59.12</v>
      </c>
      <c r="D1618" s="845"/>
    </row>
    <row r="1619" spans="1:4" ht="14" customHeight="1">
      <c r="A1619" s="842">
        <v>68301</v>
      </c>
      <c r="B1619" s="844" t="s">
        <v>53577</v>
      </c>
      <c r="C1619" s="841">
        <v>59.12</v>
      </c>
      <c r="D1619" s="845"/>
    </row>
    <row r="1620" spans="1:4" ht="16" customHeight="1">
      <c r="A1620" s="846" t="s">
        <v>53576</v>
      </c>
      <c r="B1620" s="842"/>
      <c r="C1620" s="841"/>
      <c r="D1620" s="845"/>
    </row>
    <row r="1621" spans="1:4" ht="16" customHeight="1">
      <c r="A1621" s="842">
        <v>61630</v>
      </c>
      <c r="B1621" s="844" t="s">
        <v>53575</v>
      </c>
      <c r="C1621" s="841">
        <v>68.900000000000006</v>
      </c>
      <c r="D1621" s="845"/>
    </row>
    <row r="1622" spans="1:4" ht="16" customHeight="1">
      <c r="A1622" s="842">
        <v>61620</v>
      </c>
      <c r="B1622" s="844" t="s">
        <v>53574</v>
      </c>
      <c r="C1622" s="841">
        <v>68.900000000000006</v>
      </c>
      <c r="D1622" s="845"/>
    </row>
    <row r="1623" spans="1:4" ht="16" customHeight="1">
      <c r="A1623" s="842">
        <v>61631</v>
      </c>
      <c r="B1623" s="844" t="s">
        <v>53573</v>
      </c>
      <c r="C1623" s="841">
        <v>100.7</v>
      </c>
      <c r="D1623" s="845"/>
    </row>
    <row r="1624" spans="1:4" ht="16" customHeight="1">
      <c r="A1624" s="842">
        <v>61621</v>
      </c>
      <c r="B1624" s="844" t="s">
        <v>53572</v>
      </c>
      <c r="C1624" s="841">
        <v>100.7</v>
      </c>
      <c r="D1624" s="845"/>
    </row>
    <row r="1625" spans="1:4" ht="16" customHeight="1">
      <c r="A1625" s="842">
        <v>61636</v>
      </c>
      <c r="B1625" s="844" t="s">
        <v>53571</v>
      </c>
      <c r="C1625" s="841">
        <v>62.54</v>
      </c>
      <c r="D1625" s="845"/>
    </row>
    <row r="1626" spans="1:4" ht="16" customHeight="1">
      <c r="A1626" s="842">
        <v>61626</v>
      </c>
      <c r="B1626" s="844" t="s">
        <v>53570</v>
      </c>
      <c r="C1626" s="841">
        <v>62.54</v>
      </c>
      <c r="D1626" s="845"/>
    </row>
    <row r="1627" spans="1:4" ht="16" customHeight="1">
      <c r="A1627" s="842">
        <v>61637</v>
      </c>
      <c r="B1627" s="844" t="s">
        <v>53569</v>
      </c>
      <c r="C1627" s="841">
        <v>94.34</v>
      </c>
      <c r="D1627" s="845"/>
    </row>
    <row r="1628" spans="1:4" ht="16" customHeight="1">
      <c r="A1628" s="842">
        <v>61627</v>
      </c>
      <c r="B1628" s="844" t="s">
        <v>53568</v>
      </c>
      <c r="C1628" s="841">
        <v>94.34</v>
      </c>
      <c r="D1628" s="845"/>
    </row>
    <row r="1629" spans="1:4" ht="16" customHeight="1">
      <c r="A1629" s="846" t="s">
        <v>53567</v>
      </c>
      <c r="B1629" s="842"/>
      <c r="C1629" s="841"/>
      <c r="D1629" s="845"/>
    </row>
    <row r="1630" spans="1:4" s="844" customFormat="1" ht="14" customHeight="1">
      <c r="A1630" s="842">
        <v>89001</v>
      </c>
      <c r="B1630" s="848" t="s">
        <v>53566</v>
      </c>
      <c r="C1630" s="841">
        <v>218.4</v>
      </c>
      <c r="D1630" s="847"/>
    </row>
    <row r="1631" spans="1:4" ht="14" customHeight="1">
      <c r="A1631" s="842">
        <v>61052</v>
      </c>
      <c r="B1631" s="844" t="s">
        <v>53565</v>
      </c>
      <c r="C1631" s="841">
        <v>67.39</v>
      </c>
      <c r="D1631" s="845"/>
    </row>
    <row r="1632" spans="1:4" ht="14" customHeight="1">
      <c r="A1632" s="842">
        <v>61200</v>
      </c>
      <c r="B1632" s="844" t="s">
        <v>53564</v>
      </c>
      <c r="C1632" s="841">
        <v>90.31</v>
      </c>
      <c r="D1632" s="845"/>
    </row>
    <row r="1633" spans="1:4" ht="14" customHeight="1">
      <c r="A1633" s="842">
        <v>61050</v>
      </c>
      <c r="B1633" s="844" t="s">
        <v>53563</v>
      </c>
      <c r="C1633" s="841">
        <v>52.76</v>
      </c>
      <c r="D1633" s="845"/>
    </row>
    <row r="1634" spans="1:4" ht="14" customHeight="1">
      <c r="A1634" s="842">
        <v>61051</v>
      </c>
      <c r="B1634" s="844" t="s">
        <v>53562</v>
      </c>
      <c r="C1634" s="841">
        <v>52.76</v>
      </c>
      <c r="D1634" s="845"/>
    </row>
    <row r="1635" spans="1:4" ht="14" customHeight="1">
      <c r="A1635" s="842">
        <v>61301</v>
      </c>
      <c r="B1635" s="844" t="s">
        <v>53561</v>
      </c>
      <c r="C1635" s="841">
        <v>66.069999999999993</v>
      </c>
      <c r="D1635" s="845"/>
    </row>
    <row r="1636" spans="1:4" ht="14" customHeight="1">
      <c r="A1636" s="842">
        <v>61304</v>
      </c>
      <c r="B1636" s="849" t="s">
        <v>53560</v>
      </c>
      <c r="C1636" s="841">
        <v>133.43</v>
      </c>
      <c r="D1636" s="845"/>
    </row>
    <row r="1637" spans="1:4" ht="14" customHeight="1">
      <c r="A1637" s="842">
        <v>61305</v>
      </c>
      <c r="B1637" s="849" t="s">
        <v>53559</v>
      </c>
      <c r="C1637" s="841">
        <v>191.6</v>
      </c>
      <c r="D1637" s="845"/>
    </row>
    <row r="1638" spans="1:4" ht="14" customHeight="1">
      <c r="A1638" s="842">
        <v>61307</v>
      </c>
      <c r="B1638" s="849" t="s">
        <v>53558</v>
      </c>
      <c r="C1638" s="841">
        <v>191.6</v>
      </c>
      <c r="D1638" s="845"/>
    </row>
    <row r="1639" spans="1:4" ht="14" customHeight="1">
      <c r="A1639" s="842">
        <v>61306</v>
      </c>
      <c r="B1639" s="849" t="s">
        <v>53557</v>
      </c>
      <c r="C1639" s="841">
        <v>204.81</v>
      </c>
      <c r="D1639" s="845"/>
    </row>
    <row r="1640" spans="1:4" ht="14" customHeight="1">
      <c r="A1640" s="842">
        <v>61600</v>
      </c>
      <c r="B1640" s="844" t="s">
        <v>53556</v>
      </c>
      <c r="C1640" s="841">
        <v>99.11</v>
      </c>
      <c r="D1640" s="845"/>
    </row>
    <row r="1641" spans="1:4" ht="14" customHeight="1">
      <c r="A1641" s="842">
        <v>61601</v>
      </c>
      <c r="B1641" s="844" t="s">
        <v>53555</v>
      </c>
      <c r="C1641" s="841">
        <v>99.11</v>
      </c>
      <c r="D1641" s="845"/>
    </row>
    <row r="1642" spans="1:4" ht="14" customHeight="1">
      <c r="A1642" s="842">
        <v>61602</v>
      </c>
      <c r="B1642" s="844" t="s">
        <v>53554</v>
      </c>
      <c r="C1642" s="841">
        <v>112.32</v>
      </c>
      <c r="D1642" s="845"/>
    </row>
    <row r="1643" spans="1:4" ht="14" customHeight="1">
      <c r="A1643" s="842">
        <v>61603</v>
      </c>
      <c r="B1643" s="844" t="s">
        <v>53553</v>
      </c>
      <c r="C1643" s="841">
        <v>112.32</v>
      </c>
      <c r="D1643" s="845"/>
    </row>
    <row r="1644" spans="1:4" ht="14" customHeight="1">
      <c r="A1644" s="842">
        <v>61607</v>
      </c>
      <c r="B1644" s="844" t="s">
        <v>53552</v>
      </c>
      <c r="C1644" s="841">
        <v>76.63</v>
      </c>
      <c r="D1644" s="845"/>
    </row>
    <row r="1645" spans="1:4" ht="14" customHeight="1">
      <c r="A1645" s="842">
        <v>61608</v>
      </c>
      <c r="B1645" s="844" t="s">
        <v>53551</v>
      </c>
      <c r="C1645" s="841">
        <v>76.63</v>
      </c>
      <c r="D1645" s="845"/>
    </row>
    <row r="1646" spans="1:4" ht="14" customHeight="1">
      <c r="A1646" s="842">
        <v>61400</v>
      </c>
      <c r="B1646" s="844" t="s">
        <v>53550</v>
      </c>
      <c r="C1646" s="841">
        <v>30.4</v>
      </c>
      <c r="D1646" s="845"/>
    </row>
    <row r="1647" spans="1:4" ht="14" customHeight="1">
      <c r="A1647" s="842">
        <v>61420</v>
      </c>
      <c r="B1647" s="853" t="s">
        <v>53549</v>
      </c>
      <c r="C1647" s="841">
        <v>42.29</v>
      </c>
      <c r="D1647" s="845"/>
    </row>
    <row r="1648" spans="1:4" ht="14" customHeight="1">
      <c r="A1648" s="842">
        <v>61421</v>
      </c>
      <c r="B1648" s="853" t="s">
        <v>53548</v>
      </c>
      <c r="C1648" s="841">
        <v>42.29</v>
      </c>
      <c r="D1648" s="845"/>
    </row>
    <row r="1649" spans="1:4" ht="14" customHeight="1">
      <c r="A1649" s="842">
        <v>61422</v>
      </c>
      <c r="B1649" s="853" t="s">
        <v>53547</v>
      </c>
      <c r="C1649" s="841">
        <v>49.55</v>
      </c>
      <c r="D1649" s="845"/>
    </row>
    <row r="1650" spans="1:4" ht="14" customHeight="1">
      <c r="A1650" s="842">
        <v>61425</v>
      </c>
      <c r="B1650" s="853" t="s">
        <v>53546</v>
      </c>
      <c r="C1650" s="841">
        <v>42.29</v>
      </c>
      <c r="D1650" s="845"/>
    </row>
    <row r="1651" spans="1:4" ht="14" customHeight="1">
      <c r="A1651" s="842">
        <v>61424</v>
      </c>
      <c r="B1651" s="853" t="s">
        <v>53545</v>
      </c>
      <c r="C1651" s="841">
        <v>49.55</v>
      </c>
      <c r="D1651" s="845"/>
    </row>
    <row r="1652" spans="1:4" ht="14" customHeight="1">
      <c r="A1652" s="856">
        <v>61435</v>
      </c>
      <c r="B1652" s="856" t="s">
        <v>53544</v>
      </c>
      <c r="C1652" s="841">
        <v>81.790000000000006</v>
      </c>
      <c r="D1652" s="845"/>
    </row>
    <row r="1653" spans="1:4" ht="14" customHeight="1">
      <c r="A1653" s="856">
        <v>61436</v>
      </c>
      <c r="B1653" s="856" t="s">
        <v>53543</v>
      </c>
      <c r="C1653" s="841">
        <v>88.09</v>
      </c>
      <c r="D1653" s="845"/>
    </row>
    <row r="1654" spans="1:4" ht="14" customHeight="1">
      <c r="A1654" s="842">
        <v>61460</v>
      </c>
      <c r="B1654" s="842" t="s">
        <v>53542</v>
      </c>
      <c r="C1654" s="841">
        <v>144.72</v>
      </c>
      <c r="D1654" s="845"/>
    </row>
    <row r="1655" spans="1:4" ht="14" customHeight="1">
      <c r="A1655" s="842">
        <v>61463</v>
      </c>
      <c r="B1655" s="848" t="s">
        <v>53541</v>
      </c>
      <c r="C1655" s="841">
        <v>207.64</v>
      </c>
      <c r="D1655" s="845"/>
    </row>
    <row r="1656" spans="1:4" ht="14" customHeight="1">
      <c r="A1656" s="842">
        <v>61700</v>
      </c>
      <c r="B1656" s="849" t="s">
        <v>53540</v>
      </c>
      <c r="C1656" s="841">
        <v>47.17</v>
      </c>
      <c r="D1656" s="845"/>
    </row>
    <row r="1657" spans="1:4" ht="14" customHeight="1">
      <c r="A1657" s="842">
        <v>61702</v>
      </c>
      <c r="B1657" s="849" t="s">
        <v>53539</v>
      </c>
      <c r="C1657" s="841">
        <v>47.17</v>
      </c>
      <c r="D1657" s="845"/>
    </row>
    <row r="1658" spans="1:4" ht="14" customHeight="1">
      <c r="A1658" s="842">
        <v>61703</v>
      </c>
      <c r="B1658" s="849" t="s">
        <v>53538</v>
      </c>
      <c r="C1658" s="841">
        <v>53.23</v>
      </c>
      <c r="D1658" s="875"/>
    </row>
    <row r="1659" spans="1:4" ht="14" customHeight="1">
      <c r="A1659" s="842">
        <v>61706</v>
      </c>
      <c r="B1659" s="849" t="s">
        <v>53537</v>
      </c>
      <c r="C1659" s="841">
        <v>47.17</v>
      </c>
      <c r="D1659" s="845"/>
    </row>
    <row r="1660" spans="1:4" ht="14" customHeight="1">
      <c r="A1660" s="842">
        <v>61707</v>
      </c>
      <c r="B1660" s="849" t="s">
        <v>53536</v>
      </c>
      <c r="C1660" s="841">
        <v>47.17</v>
      </c>
      <c r="D1660" s="845"/>
    </row>
    <row r="1661" spans="1:4" ht="14" customHeight="1">
      <c r="A1661" s="856">
        <v>61710</v>
      </c>
      <c r="B1661" s="848" t="s">
        <v>53535</v>
      </c>
      <c r="C1661" s="841">
        <v>51.53</v>
      </c>
      <c r="D1661" s="845"/>
    </row>
    <row r="1662" spans="1:4" ht="14" customHeight="1">
      <c r="A1662" s="856">
        <v>61714</v>
      </c>
      <c r="B1662" s="848" t="s">
        <v>53534</v>
      </c>
      <c r="C1662" s="841">
        <v>51.53</v>
      </c>
      <c r="D1662" s="845"/>
    </row>
    <row r="1663" spans="1:4" ht="14" customHeight="1">
      <c r="A1663" s="842">
        <v>61716</v>
      </c>
      <c r="B1663" s="849" t="s">
        <v>53533</v>
      </c>
      <c r="C1663" s="841">
        <v>58.14</v>
      </c>
      <c r="D1663" s="845"/>
    </row>
    <row r="1664" spans="1:4" ht="14" customHeight="1">
      <c r="A1664" s="842">
        <v>51063</v>
      </c>
      <c r="B1664" s="849" t="s">
        <v>53532</v>
      </c>
      <c r="C1664" s="841">
        <v>132.13999999999999</v>
      </c>
      <c r="D1664" s="845"/>
    </row>
    <row r="1665" spans="1:4" ht="14" customHeight="1">
      <c r="A1665" s="842">
        <v>51064</v>
      </c>
      <c r="B1665" s="849" t="s">
        <v>53531</v>
      </c>
      <c r="C1665" s="841">
        <v>132.13999999999999</v>
      </c>
      <c r="D1665" s="845"/>
    </row>
    <row r="1666" spans="1:4" ht="16" customHeight="1">
      <c r="A1666" s="846" t="s">
        <v>53530</v>
      </c>
      <c r="B1666" s="844"/>
      <c r="C1666" s="841"/>
      <c r="D1666" s="845"/>
    </row>
    <row r="1667" spans="1:4" ht="14" customHeight="1">
      <c r="A1667" s="842">
        <v>69140</v>
      </c>
      <c r="B1667" s="844" t="s">
        <v>53529</v>
      </c>
      <c r="C1667" s="841">
        <v>270.91000000000003</v>
      </c>
      <c r="D1667" s="845"/>
    </row>
    <row r="1668" spans="1:4" ht="14" customHeight="1">
      <c r="A1668" s="842">
        <v>69331</v>
      </c>
      <c r="B1668" s="844" t="s">
        <v>53528</v>
      </c>
      <c r="C1668" s="841">
        <v>198.21</v>
      </c>
      <c r="D1668" s="845"/>
    </row>
    <row r="1669" spans="1:4" ht="14" customHeight="1">
      <c r="A1669" s="842">
        <v>69333</v>
      </c>
      <c r="B1669" s="844" t="s">
        <v>53527</v>
      </c>
      <c r="C1669" s="841">
        <v>198.21</v>
      </c>
      <c r="D1669" s="845"/>
    </row>
    <row r="1670" spans="1:4" ht="14" customHeight="1">
      <c r="A1670" s="842">
        <v>69337</v>
      </c>
      <c r="B1670" s="844" t="s">
        <v>53526</v>
      </c>
      <c r="C1670" s="841">
        <v>198.21</v>
      </c>
      <c r="D1670" s="845"/>
    </row>
    <row r="1671" spans="1:4" ht="14" customHeight="1">
      <c r="A1671" s="842">
        <v>88901</v>
      </c>
      <c r="B1671" s="844" t="s">
        <v>53525</v>
      </c>
      <c r="C1671" s="841">
        <v>170.13</v>
      </c>
      <c r="D1671" s="845"/>
    </row>
    <row r="1672" spans="1:4" ht="14" customHeight="1">
      <c r="A1672" s="842">
        <v>88903</v>
      </c>
      <c r="B1672" s="844" t="s">
        <v>53524</v>
      </c>
      <c r="C1672" s="841">
        <v>170.13</v>
      </c>
      <c r="D1672" s="845"/>
    </row>
    <row r="1673" spans="1:4" ht="14" customHeight="1">
      <c r="A1673" s="842">
        <v>88911</v>
      </c>
      <c r="B1673" s="844" t="s">
        <v>53523</v>
      </c>
      <c r="C1673" s="841">
        <v>196.55</v>
      </c>
      <c r="D1673" s="845"/>
    </row>
    <row r="1674" spans="1:4" ht="14" customHeight="1">
      <c r="A1674" s="842">
        <v>88913</v>
      </c>
      <c r="B1674" s="844" t="s">
        <v>53522</v>
      </c>
      <c r="C1674" s="841">
        <v>196.55</v>
      </c>
      <c r="D1674" s="845"/>
    </row>
    <row r="1675" spans="1:4" ht="16" customHeight="1">
      <c r="A1675" s="846" t="s">
        <v>53521</v>
      </c>
      <c r="B1675" s="844"/>
      <c r="C1675" s="841"/>
      <c r="D1675" s="845"/>
    </row>
    <row r="1676" spans="1:4" ht="14" customHeight="1">
      <c r="A1676" s="842">
        <v>61125</v>
      </c>
      <c r="B1676" s="849" t="s">
        <v>53520</v>
      </c>
      <c r="C1676" s="841">
        <v>74.13</v>
      </c>
      <c r="D1676" s="845"/>
    </row>
    <row r="1677" spans="1:4" ht="14" customHeight="1">
      <c r="A1677" s="842">
        <v>61126</v>
      </c>
      <c r="B1677" s="844" t="s">
        <v>53519</v>
      </c>
      <c r="C1677" s="841">
        <v>87.62</v>
      </c>
      <c r="D1677" s="845"/>
    </row>
    <row r="1678" spans="1:4" ht="16" customHeight="1">
      <c r="A1678" s="846" t="s">
        <v>53518</v>
      </c>
      <c r="B1678" s="844"/>
      <c r="C1678" s="841"/>
      <c r="D1678" s="845"/>
    </row>
    <row r="1679" spans="1:4" ht="14" customHeight="1">
      <c r="A1679" s="842">
        <v>66118</v>
      </c>
      <c r="B1679" s="842" t="s">
        <v>53517</v>
      </c>
      <c r="C1679" s="841">
        <v>45.37</v>
      </c>
      <c r="D1679" s="845"/>
    </row>
    <row r="1680" spans="1:4" ht="14" customHeight="1">
      <c r="A1680" s="842">
        <v>66120</v>
      </c>
      <c r="B1680" s="842" t="s">
        <v>53516</v>
      </c>
      <c r="C1680" s="841">
        <v>45.37</v>
      </c>
      <c r="D1680" s="845"/>
    </row>
    <row r="1681" spans="1:4" ht="14" customHeight="1">
      <c r="A1681" s="842">
        <v>66121</v>
      </c>
      <c r="B1681" s="842" t="s">
        <v>53515</v>
      </c>
      <c r="C1681" s="841">
        <v>45.37</v>
      </c>
      <c r="D1681" s="845"/>
    </row>
    <row r="1682" spans="1:4" ht="14" customHeight="1">
      <c r="A1682" s="842">
        <v>66122</v>
      </c>
      <c r="B1682" s="842" t="s">
        <v>53514</v>
      </c>
      <c r="C1682" s="841">
        <v>45.37</v>
      </c>
      <c r="D1682" s="845"/>
    </row>
    <row r="1683" spans="1:4" ht="14" customHeight="1">
      <c r="A1683" s="842">
        <v>66128</v>
      </c>
      <c r="B1683" s="842" t="s">
        <v>53513</v>
      </c>
      <c r="C1683" s="841">
        <v>45.37</v>
      </c>
      <c r="D1683" s="845"/>
    </row>
    <row r="1684" spans="1:4" ht="14" customHeight="1">
      <c r="A1684" s="842">
        <v>66129</v>
      </c>
      <c r="B1684" s="842" t="s">
        <v>53512</v>
      </c>
      <c r="C1684" s="841">
        <v>45.37</v>
      </c>
      <c r="D1684" s="845"/>
    </row>
    <row r="1685" spans="1:4" ht="14" customHeight="1">
      <c r="A1685" s="842">
        <v>66133</v>
      </c>
      <c r="B1685" s="849" t="s">
        <v>53511</v>
      </c>
      <c r="C1685" s="841">
        <v>123.72</v>
      </c>
      <c r="D1685" s="845"/>
    </row>
    <row r="1686" spans="1:4" ht="14" customHeight="1">
      <c r="A1686" s="842">
        <v>66134</v>
      </c>
      <c r="B1686" s="849" t="s">
        <v>53510</v>
      </c>
      <c r="C1686" s="841">
        <v>109.96</v>
      </c>
      <c r="D1686" s="845"/>
    </row>
    <row r="1687" spans="1:4" ht="14" customHeight="1">
      <c r="A1687" s="842">
        <v>66148</v>
      </c>
      <c r="B1687" s="849" t="s">
        <v>53509</v>
      </c>
      <c r="C1687" s="841">
        <v>134.6</v>
      </c>
      <c r="D1687" s="845"/>
    </row>
    <row r="1688" spans="1:4" ht="14" customHeight="1">
      <c r="A1688" s="842">
        <v>66149</v>
      </c>
      <c r="B1688" s="849" t="s">
        <v>53508</v>
      </c>
      <c r="C1688" s="841">
        <v>120.85</v>
      </c>
      <c r="D1688" s="845"/>
    </row>
    <row r="1689" spans="1:4" ht="16" customHeight="1">
      <c r="A1689" s="846" t="s">
        <v>53507</v>
      </c>
      <c r="B1689" s="844"/>
      <c r="C1689" s="841"/>
      <c r="D1689" s="845"/>
    </row>
    <row r="1690" spans="1:4" ht="14" customHeight="1">
      <c r="A1690" s="842">
        <v>66300</v>
      </c>
      <c r="B1690" s="844" t="s">
        <v>53506</v>
      </c>
      <c r="C1690" s="841">
        <v>59.36</v>
      </c>
      <c r="D1690" s="845"/>
    </row>
    <row r="1691" spans="1:4" ht="16" customHeight="1">
      <c r="A1691" s="846" t="s">
        <v>53505</v>
      </c>
      <c r="B1691" s="844"/>
      <c r="C1691" s="841"/>
      <c r="D1691" s="845"/>
    </row>
    <row r="1692" spans="1:4" ht="14" customHeight="1">
      <c r="A1692" s="842">
        <v>65006</v>
      </c>
      <c r="B1692" s="844" t="s">
        <v>53504</v>
      </c>
      <c r="C1692" s="841">
        <v>32.4</v>
      </c>
      <c r="D1692" s="845"/>
    </row>
    <row r="1693" spans="1:4" ht="14" customHeight="1">
      <c r="A1693" s="842">
        <v>65012</v>
      </c>
      <c r="B1693" s="844" t="s">
        <v>53503</v>
      </c>
      <c r="C1693" s="841">
        <v>32.4</v>
      </c>
      <c r="D1693" s="845"/>
    </row>
    <row r="1694" spans="1:4" ht="14" customHeight="1">
      <c r="A1694" s="842">
        <v>65018</v>
      </c>
      <c r="B1694" s="844" t="s">
        <v>53502</v>
      </c>
      <c r="C1694" s="841">
        <v>32.4</v>
      </c>
      <c r="D1694" s="845"/>
    </row>
    <row r="1695" spans="1:4" ht="14" customHeight="1">
      <c r="A1695" s="842">
        <v>65020</v>
      </c>
      <c r="B1695" s="844" t="s">
        <v>53501</v>
      </c>
      <c r="C1695" s="841">
        <v>32.4</v>
      </c>
      <c r="D1695" s="845"/>
    </row>
    <row r="1696" spans="1:4" ht="14" customHeight="1">
      <c r="A1696" s="842">
        <v>65022</v>
      </c>
      <c r="B1696" s="844" t="s">
        <v>53500</v>
      </c>
      <c r="C1696" s="841">
        <v>32.4</v>
      </c>
      <c r="D1696" s="845"/>
    </row>
    <row r="1697" spans="1:4" ht="14" customHeight="1">
      <c r="A1697" s="842">
        <v>65024</v>
      </c>
      <c r="B1697" s="844" t="s">
        <v>53499</v>
      </c>
      <c r="C1697" s="841">
        <v>32.4</v>
      </c>
      <c r="D1697" s="845"/>
    </row>
    <row r="1698" spans="1:4" ht="14" customHeight="1">
      <c r="A1698" s="842">
        <v>65035</v>
      </c>
      <c r="B1698" s="844" t="s">
        <v>53498</v>
      </c>
      <c r="C1698" s="841">
        <v>32.4</v>
      </c>
      <c r="D1698" s="845"/>
    </row>
    <row r="1699" spans="1:4" ht="14" customHeight="1">
      <c r="A1699" s="842">
        <v>65050</v>
      </c>
      <c r="B1699" s="844" t="s">
        <v>53497</v>
      </c>
      <c r="C1699" s="841">
        <v>32.4</v>
      </c>
      <c r="D1699" s="845"/>
    </row>
    <row r="1700" spans="1:4" ht="14" customHeight="1">
      <c r="A1700" s="842">
        <v>65058</v>
      </c>
      <c r="B1700" s="844" t="s">
        <v>53496</v>
      </c>
      <c r="C1700" s="841">
        <v>32.4</v>
      </c>
      <c r="D1700" s="845"/>
    </row>
    <row r="1701" spans="1:4" ht="16" customHeight="1">
      <c r="A1701" s="846" t="s">
        <v>53495</v>
      </c>
      <c r="B1701" s="844"/>
      <c r="C1701" s="841"/>
      <c r="D1701" s="845"/>
    </row>
    <row r="1702" spans="1:4" ht="14" customHeight="1">
      <c r="A1702" s="842">
        <v>65612</v>
      </c>
      <c r="B1702" s="844" t="s">
        <v>53494</v>
      </c>
      <c r="C1702" s="841">
        <v>44.2</v>
      </c>
      <c r="D1702" s="845"/>
    </row>
    <row r="1703" spans="1:4" ht="14" customHeight="1">
      <c r="A1703" s="842">
        <v>65618</v>
      </c>
      <c r="B1703" s="844" t="s">
        <v>53493</v>
      </c>
      <c r="C1703" s="841">
        <v>44.2</v>
      </c>
      <c r="D1703" s="845"/>
    </row>
    <row r="1704" spans="1:4" ht="14" customHeight="1">
      <c r="A1704" s="842">
        <v>65658</v>
      </c>
      <c r="B1704" s="844" t="s">
        <v>53492</v>
      </c>
      <c r="C1704" s="841">
        <v>44.2</v>
      </c>
      <c r="D1704" s="845"/>
    </row>
    <row r="1705" spans="1:4" ht="16" customHeight="1">
      <c r="A1705" s="846" t="s">
        <v>53491</v>
      </c>
      <c r="B1705" s="844"/>
      <c r="C1705" s="841"/>
      <c r="D1705" s="845"/>
    </row>
    <row r="1706" spans="1:4" ht="14" customHeight="1">
      <c r="A1706" s="842">
        <v>65418</v>
      </c>
      <c r="B1706" s="844" t="s">
        <v>53490</v>
      </c>
      <c r="C1706" s="841">
        <v>51.55</v>
      </c>
      <c r="D1706" s="845"/>
    </row>
    <row r="1707" spans="1:4" ht="16" customHeight="1">
      <c r="A1707" s="846" t="s">
        <v>53489</v>
      </c>
      <c r="B1707" s="842"/>
      <c r="C1707" s="841"/>
      <c r="D1707" s="845"/>
    </row>
    <row r="1708" spans="1:4" ht="14" customHeight="1">
      <c r="A1708" s="842">
        <v>71500</v>
      </c>
      <c r="B1708" s="844" t="s">
        <v>53488</v>
      </c>
      <c r="C1708" s="841">
        <v>72.78</v>
      </c>
      <c r="D1708" s="845"/>
    </row>
    <row r="1709" spans="1:4" ht="14" customHeight="1">
      <c r="A1709" s="842">
        <v>71600</v>
      </c>
      <c r="B1709" s="844" t="s">
        <v>53487</v>
      </c>
      <c r="C1709" s="841">
        <v>90.74</v>
      </c>
      <c r="D1709" s="845"/>
    </row>
    <row r="1710" spans="1:4" ht="14" customHeight="1">
      <c r="A1710" s="842">
        <v>71700</v>
      </c>
      <c r="B1710" s="849" t="s">
        <v>53486</v>
      </c>
      <c r="C1710" s="841">
        <v>72.78</v>
      </c>
      <c r="D1710" s="845"/>
    </row>
    <row r="1711" spans="1:4" ht="14" customHeight="1">
      <c r="A1711" s="842">
        <v>71701</v>
      </c>
      <c r="B1711" s="849" t="s">
        <v>53485</v>
      </c>
      <c r="C1711" s="841">
        <v>72.78</v>
      </c>
      <c r="D1711" s="845"/>
    </row>
    <row r="1712" spans="1:4" ht="16" customHeight="1">
      <c r="A1712" s="846" t="s">
        <v>53484</v>
      </c>
      <c r="B1712" s="844"/>
      <c r="C1712" s="841"/>
      <c r="D1712" s="657"/>
    </row>
    <row r="1713" spans="1:4" ht="14" customHeight="1">
      <c r="A1713" s="842">
        <v>73020</v>
      </c>
      <c r="B1713" s="849" t="s">
        <v>53483</v>
      </c>
      <c r="C1713" s="841">
        <v>19.04</v>
      </c>
      <c r="D1713" s="657"/>
    </row>
    <row r="1714" spans="1:4" ht="14" customHeight="1">
      <c r="A1714" s="842">
        <v>73021</v>
      </c>
      <c r="B1714" s="849" t="s">
        <v>53482</v>
      </c>
      <c r="C1714" s="841">
        <v>21.84</v>
      </c>
      <c r="D1714" s="657"/>
    </row>
    <row r="1715" spans="1:4" ht="14" customHeight="1">
      <c r="A1715" s="842">
        <v>73022</v>
      </c>
      <c r="B1715" s="849" t="s">
        <v>53481</v>
      </c>
      <c r="C1715" s="841">
        <v>21.84</v>
      </c>
      <c r="D1715" s="657"/>
    </row>
    <row r="1716" spans="1:4" ht="16" customHeight="1">
      <c r="A1716" s="846" t="s">
        <v>53480</v>
      </c>
      <c r="B1716" s="844"/>
      <c r="C1716" s="841"/>
      <c r="D1716" s="845"/>
    </row>
    <row r="1717" spans="1:4" ht="14" customHeight="1">
      <c r="A1717" s="842">
        <v>73300</v>
      </c>
      <c r="B1717" s="844" t="s">
        <v>53479</v>
      </c>
      <c r="C1717" s="841">
        <v>44.05</v>
      </c>
      <c r="D1717" s="875"/>
    </row>
    <row r="1718" spans="1:4" ht="14" customHeight="1">
      <c r="A1718" s="842">
        <v>73301</v>
      </c>
      <c r="B1718" s="844" t="s">
        <v>53478</v>
      </c>
      <c r="C1718" s="841">
        <v>44.05</v>
      </c>
      <c r="D1718" s="875"/>
    </row>
    <row r="1719" spans="1:4" ht="14" customHeight="1">
      <c r="A1719" s="842">
        <v>73302</v>
      </c>
      <c r="B1719" s="844" t="s">
        <v>53477</v>
      </c>
      <c r="C1719" s="841">
        <v>44.05</v>
      </c>
      <c r="D1719" s="875"/>
    </row>
    <row r="1720" spans="1:4" ht="14" customHeight="1">
      <c r="A1720" s="842">
        <v>73303</v>
      </c>
      <c r="B1720" s="844" t="s">
        <v>53476</v>
      </c>
      <c r="C1720" s="841">
        <v>44.05</v>
      </c>
      <c r="D1720" s="875"/>
    </row>
    <row r="1721" spans="1:4" ht="16" customHeight="1">
      <c r="A1721" s="846" t="s">
        <v>53475</v>
      </c>
      <c r="B1721" s="844"/>
      <c r="C1721" s="841"/>
      <c r="D1721" s="845"/>
    </row>
    <row r="1722" spans="1:4" ht="14" customHeight="1">
      <c r="A1722" s="842">
        <v>66318</v>
      </c>
      <c r="B1722" s="842" t="s">
        <v>53474</v>
      </c>
      <c r="C1722" s="841">
        <v>38.89</v>
      </c>
      <c r="D1722" s="845"/>
    </row>
    <row r="1723" spans="1:4" ht="14" customHeight="1">
      <c r="A1723" s="842">
        <v>66323</v>
      </c>
      <c r="B1723" s="842" t="s">
        <v>53473</v>
      </c>
      <c r="C1723" s="841">
        <v>38.89</v>
      </c>
      <c r="D1723" s="845"/>
    </row>
    <row r="1724" spans="1:4" ht="14" customHeight="1">
      <c r="A1724" s="842">
        <v>66601</v>
      </c>
      <c r="B1724" s="849" t="s">
        <v>53472</v>
      </c>
      <c r="C1724" s="841">
        <v>66.069999999999993</v>
      </c>
      <c r="D1724" s="845"/>
    </row>
    <row r="1725" spans="1:4" ht="14" customHeight="1">
      <c r="A1725" s="842">
        <v>66604</v>
      </c>
      <c r="B1725" s="849" t="s">
        <v>53471</v>
      </c>
      <c r="C1725" s="841">
        <v>66.069999999999993</v>
      </c>
      <c r="D1725" s="845"/>
    </row>
    <row r="1726" spans="1:4" ht="14" customHeight="1">
      <c r="A1726" s="842">
        <v>66602</v>
      </c>
      <c r="B1726" s="849" t="s">
        <v>53470</v>
      </c>
      <c r="C1726" s="841">
        <v>66.069999999999993</v>
      </c>
      <c r="D1726" s="845"/>
    </row>
    <row r="1727" spans="1:4" ht="14" customHeight="1">
      <c r="A1727" s="842">
        <v>66605</v>
      </c>
      <c r="B1727" s="849" t="s">
        <v>53469</v>
      </c>
      <c r="C1727" s="841">
        <v>66.069999999999993</v>
      </c>
      <c r="D1727" s="845"/>
    </row>
    <row r="1728" spans="1:4" ht="14" customHeight="1">
      <c r="A1728" s="842">
        <v>66603</v>
      </c>
      <c r="B1728" s="849" t="s">
        <v>53468</v>
      </c>
      <c r="C1728" s="841">
        <v>66.069999999999993</v>
      </c>
      <c r="D1728" s="845"/>
    </row>
    <row r="1729" spans="1:4" ht="14" customHeight="1">
      <c r="A1729" s="842">
        <v>66606</v>
      </c>
      <c r="B1729" s="849" t="s">
        <v>53467</v>
      </c>
      <c r="C1729" s="841">
        <v>66.069999999999993</v>
      </c>
      <c r="D1729" s="845"/>
    </row>
    <row r="1730" spans="1:4" ht="14" customHeight="1">
      <c r="A1730" s="842">
        <v>66608</v>
      </c>
      <c r="B1730" s="849" t="s">
        <v>53466</v>
      </c>
      <c r="C1730" s="841">
        <v>66.069999999999993</v>
      </c>
      <c r="D1730" s="845"/>
    </row>
    <row r="1731" spans="1:4" ht="14" customHeight="1">
      <c r="A1731" s="842">
        <v>66609</v>
      </c>
      <c r="B1731" s="849" t="s">
        <v>53465</v>
      </c>
      <c r="C1731" s="841">
        <v>66.069999999999993</v>
      </c>
      <c r="D1731" s="845"/>
    </row>
    <row r="1732" spans="1:4" ht="14" customHeight="1">
      <c r="A1732" s="842">
        <v>66320</v>
      </c>
      <c r="B1732" s="848" t="s">
        <v>53464</v>
      </c>
      <c r="C1732" s="841">
        <v>113.25</v>
      </c>
      <c r="D1732" s="845"/>
    </row>
    <row r="1733" spans="1:4" ht="14" customHeight="1">
      <c r="A1733" s="842">
        <v>66210</v>
      </c>
      <c r="B1733" s="849" t="s">
        <v>53463</v>
      </c>
      <c r="C1733" s="841">
        <v>165.76</v>
      </c>
      <c r="D1733" s="845"/>
    </row>
    <row r="1734" spans="1:4" ht="14" customHeight="1">
      <c r="A1734" s="842">
        <v>66211</v>
      </c>
      <c r="B1734" s="849" t="s">
        <v>53462</v>
      </c>
      <c r="C1734" s="841">
        <v>232.14</v>
      </c>
      <c r="D1734" s="845"/>
    </row>
    <row r="1735" spans="1:4" ht="16" customHeight="1">
      <c r="A1735" s="846" t="s">
        <v>53461</v>
      </c>
      <c r="B1735" s="844"/>
      <c r="C1735" s="841"/>
      <c r="D1735" s="845"/>
    </row>
    <row r="1736" spans="1:4" ht="14" customHeight="1">
      <c r="A1736" s="842">
        <v>88853</v>
      </c>
      <c r="B1736" s="844" t="s">
        <v>53460</v>
      </c>
      <c r="C1736" s="841">
        <v>99.11</v>
      </c>
      <c r="D1736" s="845"/>
    </row>
    <row r="1737" spans="1:4" ht="14" customHeight="1">
      <c r="A1737" s="842">
        <v>88850</v>
      </c>
      <c r="B1737" s="844" t="s">
        <v>53459</v>
      </c>
      <c r="C1737" s="841">
        <v>99.11</v>
      </c>
      <c r="D1737" s="845"/>
    </row>
    <row r="1738" spans="1:4" ht="14" customHeight="1">
      <c r="A1738" s="842">
        <v>88851</v>
      </c>
      <c r="B1738" s="844" t="s">
        <v>53458</v>
      </c>
      <c r="C1738" s="841">
        <v>99.11</v>
      </c>
      <c r="D1738" s="845"/>
    </row>
    <row r="1739" spans="1:4" ht="14" customHeight="1">
      <c r="A1739" s="842">
        <v>88854</v>
      </c>
      <c r="B1739" s="848" t="s">
        <v>53457</v>
      </c>
      <c r="C1739" s="841">
        <v>141.99</v>
      </c>
      <c r="D1739" s="845"/>
    </row>
    <row r="1740" spans="1:4" ht="14" customHeight="1">
      <c r="A1740" s="856">
        <v>88830</v>
      </c>
      <c r="B1740" s="851" t="s">
        <v>53456</v>
      </c>
      <c r="C1740" s="841">
        <v>115.7</v>
      </c>
      <c r="D1740" s="845"/>
    </row>
    <row r="1741" spans="1:4" ht="14" customHeight="1">
      <c r="A1741" s="856">
        <v>88831</v>
      </c>
      <c r="B1741" s="851" t="s">
        <v>53455</v>
      </c>
      <c r="C1741" s="841">
        <v>115.7</v>
      </c>
      <c r="D1741" s="845"/>
    </row>
    <row r="1742" spans="1:4" ht="14" customHeight="1">
      <c r="A1742" s="842">
        <v>88832</v>
      </c>
      <c r="B1742" s="853" t="s">
        <v>53454</v>
      </c>
      <c r="C1742" s="841">
        <v>142.9</v>
      </c>
      <c r="D1742" s="875"/>
    </row>
    <row r="1743" spans="1:4" ht="14" customHeight="1">
      <c r="A1743" s="842">
        <v>88834</v>
      </c>
      <c r="B1743" s="853" t="s">
        <v>53453</v>
      </c>
      <c r="C1743" s="841">
        <v>115.7</v>
      </c>
      <c r="D1743" s="875"/>
    </row>
    <row r="1744" spans="1:4" ht="14" customHeight="1">
      <c r="A1744" s="856">
        <v>88835</v>
      </c>
      <c r="B1744" s="851" t="s">
        <v>53452</v>
      </c>
      <c r="C1744" s="841">
        <v>135.51</v>
      </c>
      <c r="D1744" s="845"/>
    </row>
    <row r="1745" spans="1:4" ht="14" customHeight="1">
      <c r="A1745" s="856">
        <v>88836</v>
      </c>
      <c r="B1745" s="851" t="s">
        <v>53451</v>
      </c>
      <c r="C1745" s="841">
        <v>135.51</v>
      </c>
      <c r="D1745" s="845"/>
    </row>
    <row r="1746" spans="1:4" ht="14" customHeight="1">
      <c r="A1746" s="856">
        <v>88837</v>
      </c>
      <c r="B1746" s="851" t="s">
        <v>53450</v>
      </c>
      <c r="C1746" s="841">
        <v>162.72</v>
      </c>
      <c r="D1746" s="845"/>
    </row>
    <row r="1747" spans="1:4" ht="14" customHeight="1">
      <c r="A1747" s="856">
        <v>88838</v>
      </c>
      <c r="B1747" s="851" t="s">
        <v>53449</v>
      </c>
      <c r="C1747" s="841">
        <v>135.51</v>
      </c>
      <c r="D1747" s="845"/>
    </row>
    <row r="1748" spans="1:4" ht="14" customHeight="1">
      <c r="A1748" s="842">
        <v>88600</v>
      </c>
      <c r="B1748" s="853" t="s">
        <v>53448</v>
      </c>
      <c r="C1748" s="841">
        <v>99.11</v>
      </c>
      <c r="D1748" s="845"/>
    </row>
    <row r="1749" spans="1:4" ht="14" customHeight="1">
      <c r="A1749" s="842">
        <v>88601</v>
      </c>
      <c r="B1749" s="853" t="s">
        <v>53447</v>
      </c>
      <c r="C1749" s="841">
        <v>99.11</v>
      </c>
      <c r="D1749" s="845"/>
    </row>
    <row r="1750" spans="1:4" ht="14" customHeight="1">
      <c r="A1750" s="842">
        <v>88602</v>
      </c>
      <c r="B1750" s="853" t="s">
        <v>53446</v>
      </c>
      <c r="C1750" s="841">
        <v>99.11</v>
      </c>
      <c r="D1750" s="845"/>
    </row>
    <row r="1751" spans="1:4" ht="14" customHeight="1">
      <c r="A1751" s="842">
        <v>88603</v>
      </c>
      <c r="B1751" s="853" t="s">
        <v>53445</v>
      </c>
      <c r="C1751" s="841">
        <v>99.11</v>
      </c>
      <c r="D1751" s="845"/>
    </row>
    <row r="1752" spans="1:4" ht="14" customHeight="1">
      <c r="A1752" s="842">
        <v>88604</v>
      </c>
      <c r="B1752" s="853" t="s">
        <v>53444</v>
      </c>
      <c r="C1752" s="841">
        <v>99.11</v>
      </c>
      <c r="D1752" s="845"/>
    </row>
    <row r="1753" spans="1:4" ht="14" customHeight="1">
      <c r="A1753" s="842">
        <v>88605</v>
      </c>
      <c r="B1753" s="853" t="s">
        <v>53443</v>
      </c>
      <c r="C1753" s="841">
        <v>99.11</v>
      </c>
      <c r="D1753" s="845"/>
    </row>
    <row r="1754" spans="1:4" ht="14" customHeight="1">
      <c r="A1754" s="842">
        <v>88610</v>
      </c>
      <c r="B1754" s="853" t="s">
        <v>53442</v>
      </c>
      <c r="C1754" s="841">
        <v>118.92</v>
      </c>
      <c r="D1754" s="845"/>
    </row>
    <row r="1755" spans="1:4" ht="14" customHeight="1">
      <c r="A1755" s="842">
        <v>88611</v>
      </c>
      <c r="B1755" s="853" t="s">
        <v>53441</v>
      </c>
      <c r="C1755" s="841">
        <v>118.92</v>
      </c>
      <c r="D1755" s="845"/>
    </row>
    <row r="1756" spans="1:4" ht="14" customHeight="1">
      <c r="A1756" s="842">
        <v>88612</v>
      </c>
      <c r="B1756" s="853" t="s">
        <v>53440</v>
      </c>
      <c r="C1756" s="841">
        <v>118.92</v>
      </c>
      <c r="D1756" s="845"/>
    </row>
    <row r="1757" spans="1:4" ht="14" customHeight="1">
      <c r="A1757" s="842">
        <v>88613</v>
      </c>
      <c r="B1757" s="853" t="s">
        <v>53439</v>
      </c>
      <c r="C1757" s="841">
        <v>118.92</v>
      </c>
      <c r="D1757" s="845"/>
    </row>
    <row r="1758" spans="1:4" ht="14" customHeight="1">
      <c r="A1758" s="842">
        <v>88614</v>
      </c>
      <c r="B1758" s="853" t="s">
        <v>53438</v>
      </c>
      <c r="C1758" s="841">
        <v>118.92</v>
      </c>
      <c r="D1758" s="845"/>
    </row>
    <row r="1759" spans="1:4" ht="14" customHeight="1">
      <c r="A1759" s="842">
        <v>88615</v>
      </c>
      <c r="B1759" s="853" t="s">
        <v>53437</v>
      </c>
      <c r="C1759" s="841">
        <v>118.92</v>
      </c>
      <c r="D1759" s="845"/>
    </row>
    <row r="1760" spans="1:4" ht="16" customHeight="1">
      <c r="A1760" s="846" t="s">
        <v>53436</v>
      </c>
      <c r="B1760" s="844"/>
      <c r="C1760" s="841"/>
      <c r="D1760" s="845"/>
    </row>
    <row r="1761" spans="1:4" ht="14" customHeight="1">
      <c r="A1761" s="842">
        <v>88061</v>
      </c>
      <c r="B1761" s="848" t="s">
        <v>53435</v>
      </c>
      <c r="C1761" s="841">
        <v>89.85</v>
      </c>
      <c r="D1761" s="845"/>
    </row>
    <row r="1762" spans="1:4" ht="14" customHeight="1">
      <c r="A1762" s="842">
        <v>88073</v>
      </c>
      <c r="B1762" s="848" t="s">
        <v>53434</v>
      </c>
      <c r="C1762" s="841">
        <v>89.85</v>
      </c>
      <c r="D1762" s="845"/>
    </row>
    <row r="1763" spans="1:4" s="844" customFormat="1" ht="14" customHeight="1">
      <c r="A1763" s="842">
        <v>89000</v>
      </c>
      <c r="B1763" s="848" t="s">
        <v>53433</v>
      </c>
      <c r="C1763" s="841">
        <v>218.4</v>
      </c>
      <c r="D1763" s="847"/>
    </row>
    <row r="1764" spans="1:4" s="844" customFormat="1" ht="14" customHeight="1">
      <c r="A1764" s="882">
        <v>89023</v>
      </c>
      <c r="B1764" s="881" t="s">
        <v>53432</v>
      </c>
      <c r="C1764" s="879">
        <v>218.4</v>
      </c>
      <c r="D1764" s="880"/>
    </row>
    <row r="1765" spans="1:4" s="844" customFormat="1" ht="14" customHeight="1">
      <c r="A1765" s="842">
        <v>88135</v>
      </c>
      <c r="B1765" s="848" t="s">
        <v>53431</v>
      </c>
      <c r="C1765" s="841">
        <v>117.6</v>
      </c>
      <c r="D1765" s="847"/>
    </row>
    <row r="1766" spans="1:4" s="844" customFormat="1" ht="14" customHeight="1">
      <c r="A1766" s="842">
        <v>88137</v>
      </c>
      <c r="B1766" s="848" t="s">
        <v>53430</v>
      </c>
      <c r="C1766" s="841">
        <v>117.6</v>
      </c>
      <c r="D1766" s="847"/>
    </row>
    <row r="1767" spans="1:4" ht="14" customHeight="1">
      <c r="A1767" s="842">
        <v>88033</v>
      </c>
      <c r="B1767" s="848" t="s">
        <v>53429</v>
      </c>
      <c r="C1767" s="841">
        <v>92.49</v>
      </c>
      <c r="D1767" s="845"/>
    </row>
    <row r="1768" spans="1:4" ht="14" customHeight="1">
      <c r="A1768" s="842">
        <v>88072</v>
      </c>
      <c r="B1768" s="848" t="s">
        <v>53428</v>
      </c>
      <c r="C1768" s="841">
        <v>92.49</v>
      </c>
      <c r="D1768" s="845"/>
    </row>
    <row r="1769" spans="1:4" ht="14" customHeight="1">
      <c r="A1769" s="842">
        <v>88031</v>
      </c>
      <c r="B1769" s="848" t="s">
        <v>53427</v>
      </c>
      <c r="C1769" s="841">
        <v>112.32</v>
      </c>
      <c r="D1769" s="845"/>
    </row>
    <row r="1770" spans="1:4" ht="14" customHeight="1">
      <c r="A1770" s="842">
        <v>88062</v>
      </c>
      <c r="B1770" s="848" t="s">
        <v>53426</v>
      </c>
      <c r="C1770" s="841">
        <v>112.32</v>
      </c>
      <c r="D1770" s="845"/>
    </row>
    <row r="1771" spans="1:4" ht="14" customHeight="1">
      <c r="A1771" s="842">
        <v>88063</v>
      </c>
      <c r="B1771" s="848" t="s">
        <v>53425</v>
      </c>
      <c r="C1771" s="841">
        <v>112.32</v>
      </c>
      <c r="D1771" s="845"/>
    </row>
    <row r="1772" spans="1:4" ht="14" customHeight="1">
      <c r="A1772" s="842">
        <v>88082</v>
      </c>
      <c r="B1772" s="876" t="s">
        <v>53424</v>
      </c>
      <c r="C1772" s="841">
        <v>132.13999999999999</v>
      </c>
      <c r="D1772" s="845"/>
    </row>
    <row r="1773" spans="1:4" ht="14" customHeight="1">
      <c r="A1773" s="842">
        <v>88083</v>
      </c>
      <c r="B1773" s="876" t="s">
        <v>53423</v>
      </c>
      <c r="C1773" s="841">
        <v>132.13999999999999</v>
      </c>
      <c r="D1773" s="845"/>
    </row>
    <row r="1774" spans="1:4" ht="14" customHeight="1">
      <c r="A1774" s="842">
        <v>88074</v>
      </c>
      <c r="B1774" s="844" t="s">
        <v>53422</v>
      </c>
      <c r="C1774" s="841">
        <v>191.6</v>
      </c>
      <c r="D1774" s="845"/>
    </row>
    <row r="1775" spans="1:4" ht="14" customHeight="1">
      <c r="A1775" s="842">
        <v>88081</v>
      </c>
      <c r="B1775" s="876" t="s">
        <v>53421</v>
      </c>
      <c r="C1775" s="841">
        <v>231.25</v>
      </c>
      <c r="D1775" s="845"/>
    </row>
    <row r="1776" spans="1:4" s="844" customFormat="1" ht="14" customHeight="1">
      <c r="A1776" s="842">
        <v>88131</v>
      </c>
      <c r="B1776" s="848" t="s">
        <v>53420</v>
      </c>
      <c r="C1776" s="841">
        <v>297.23</v>
      </c>
      <c r="D1776" s="847"/>
    </row>
    <row r="1777" spans="1:4" s="844" customFormat="1" ht="14" customHeight="1">
      <c r="A1777" s="842">
        <v>88132</v>
      </c>
      <c r="B1777" s="848" t="s">
        <v>53419</v>
      </c>
      <c r="C1777" s="841">
        <v>277.51</v>
      </c>
      <c r="D1777" s="847"/>
    </row>
    <row r="1778" spans="1:4" ht="14" customHeight="1">
      <c r="A1778" s="842">
        <v>88040</v>
      </c>
      <c r="B1778" s="848" t="s">
        <v>53418</v>
      </c>
      <c r="C1778" s="841">
        <v>178.39</v>
      </c>
      <c r="D1778" s="845"/>
    </row>
    <row r="1779" spans="1:4" ht="14" customHeight="1">
      <c r="A1779" s="842">
        <v>95313</v>
      </c>
      <c r="B1779" s="848" t="s">
        <v>53417</v>
      </c>
      <c r="C1779" s="841">
        <v>251.69</v>
      </c>
      <c r="D1779" s="845"/>
    </row>
    <row r="1780" spans="1:4" ht="14" customHeight="1">
      <c r="A1780" s="842">
        <v>88064</v>
      </c>
      <c r="B1780" s="848" t="s">
        <v>53416</v>
      </c>
      <c r="C1780" s="841">
        <v>178.39</v>
      </c>
      <c r="D1780" s="845"/>
    </row>
    <row r="1781" spans="1:4" ht="13" customHeight="1">
      <c r="A1781" s="842">
        <v>88065</v>
      </c>
      <c r="B1781" s="848" t="s">
        <v>53415</v>
      </c>
      <c r="C1781" s="841">
        <v>178.39</v>
      </c>
      <c r="D1781" s="845"/>
    </row>
    <row r="1782" spans="1:4" ht="14" customHeight="1">
      <c r="A1782" s="842">
        <v>95314</v>
      </c>
      <c r="B1782" s="876" t="s">
        <v>53414</v>
      </c>
      <c r="C1782" s="841">
        <v>276.85000000000002</v>
      </c>
      <c r="D1782" s="845"/>
    </row>
    <row r="1783" spans="1:4" ht="14" customHeight="1">
      <c r="A1783" s="842">
        <v>88084</v>
      </c>
      <c r="B1783" s="876" t="s">
        <v>53413</v>
      </c>
      <c r="C1783" s="841">
        <v>198.21</v>
      </c>
      <c r="D1783" s="845"/>
    </row>
    <row r="1784" spans="1:4" ht="14" customHeight="1">
      <c r="A1784" s="842">
        <v>88085</v>
      </c>
      <c r="B1784" s="876" t="s">
        <v>53412</v>
      </c>
      <c r="C1784" s="841">
        <v>198.21</v>
      </c>
      <c r="D1784" s="845"/>
    </row>
    <row r="1785" spans="1:4" ht="14" customHeight="1">
      <c r="A1785" s="842">
        <v>88052</v>
      </c>
      <c r="B1785" s="844" t="s">
        <v>53411</v>
      </c>
      <c r="C1785" s="841">
        <v>237.84</v>
      </c>
      <c r="D1785" s="845"/>
    </row>
    <row r="1786" spans="1:4" ht="14" customHeight="1">
      <c r="A1786" s="842">
        <v>88054</v>
      </c>
      <c r="B1786" s="844" t="s">
        <v>53410</v>
      </c>
      <c r="C1786" s="841">
        <v>264.27999999999997</v>
      </c>
      <c r="D1786" s="845"/>
    </row>
    <row r="1787" spans="1:4" ht="14" customHeight="1">
      <c r="A1787" s="842">
        <v>88076</v>
      </c>
      <c r="B1787" s="844" t="s">
        <v>53409</v>
      </c>
      <c r="C1787" s="841">
        <v>237.84</v>
      </c>
      <c r="D1787" s="845"/>
    </row>
    <row r="1788" spans="1:4" ht="14" customHeight="1">
      <c r="A1788" s="842">
        <v>88077</v>
      </c>
      <c r="B1788" s="844" t="s">
        <v>53408</v>
      </c>
      <c r="C1788" s="841">
        <v>237.84</v>
      </c>
      <c r="D1788" s="845"/>
    </row>
    <row r="1789" spans="1:4" ht="13" customHeight="1">
      <c r="A1789" s="842">
        <v>89021</v>
      </c>
      <c r="B1789" s="848" t="s">
        <v>53407</v>
      </c>
      <c r="C1789" s="879">
        <v>178.39</v>
      </c>
      <c r="D1789" s="878"/>
    </row>
    <row r="1790" spans="1:4" ht="14" customHeight="1">
      <c r="A1790" s="842">
        <v>89022</v>
      </c>
      <c r="B1790" s="876" t="s">
        <v>53406</v>
      </c>
      <c r="C1790" s="879">
        <v>198.21</v>
      </c>
      <c r="D1790" s="878"/>
    </row>
    <row r="1791" spans="1:4" ht="14" customHeight="1">
      <c r="A1791" s="877">
        <v>88094</v>
      </c>
      <c r="B1791" s="876" t="s">
        <v>53405</v>
      </c>
      <c r="C1791" s="841">
        <v>125.84</v>
      </c>
      <c r="D1791" s="845"/>
    </row>
    <row r="1792" spans="1:4" ht="14" customHeight="1">
      <c r="A1792" s="877">
        <v>88095</v>
      </c>
      <c r="B1792" s="876" t="s">
        <v>53404</v>
      </c>
      <c r="C1792" s="841">
        <v>144.72</v>
      </c>
      <c r="D1792" s="845"/>
    </row>
    <row r="1793" spans="1:4" ht="14" customHeight="1">
      <c r="A1793" s="842">
        <v>88058</v>
      </c>
      <c r="B1793" s="849" t="s">
        <v>53403</v>
      </c>
      <c r="C1793" s="841">
        <v>231.25</v>
      </c>
      <c r="D1793" s="845"/>
    </row>
    <row r="1794" spans="1:4" ht="14" customHeight="1">
      <c r="A1794" s="842">
        <v>88059</v>
      </c>
      <c r="B1794" s="849" t="s">
        <v>53402</v>
      </c>
      <c r="C1794" s="841">
        <v>251.06</v>
      </c>
      <c r="D1794" s="845"/>
    </row>
    <row r="1795" spans="1:4" ht="14" customHeight="1">
      <c r="A1795" s="842">
        <v>88066</v>
      </c>
      <c r="B1795" s="848" t="s">
        <v>53401</v>
      </c>
      <c r="C1795" s="841">
        <v>264.27999999999997</v>
      </c>
      <c r="D1795" s="845"/>
    </row>
    <row r="1796" spans="1:4" ht="28" customHeight="1">
      <c r="A1796" s="842">
        <v>88071</v>
      </c>
      <c r="B1796" s="848" t="s">
        <v>53400</v>
      </c>
      <c r="C1796" s="841">
        <v>284.10000000000002</v>
      </c>
      <c r="D1796" s="845"/>
    </row>
    <row r="1797" spans="1:4" ht="14" customHeight="1">
      <c r="A1797" s="842">
        <v>88089</v>
      </c>
      <c r="B1797" s="848" t="s">
        <v>53399</v>
      </c>
      <c r="C1797" s="841">
        <v>327.2</v>
      </c>
      <c r="D1797" s="845"/>
    </row>
    <row r="1798" spans="1:4" ht="26.5">
      <c r="A1798" s="842">
        <v>88090</v>
      </c>
      <c r="B1798" s="848" t="s">
        <v>53398</v>
      </c>
      <c r="C1798" s="841">
        <v>346.07</v>
      </c>
      <c r="D1798" s="845"/>
    </row>
    <row r="1799" spans="1:4" s="844" customFormat="1" ht="14" customHeight="1">
      <c r="A1799" s="842">
        <v>89003</v>
      </c>
      <c r="B1799" s="848" t="s">
        <v>53397</v>
      </c>
      <c r="C1799" s="841">
        <v>274.39999999999998</v>
      </c>
      <c r="D1799" s="847"/>
    </row>
    <row r="1800" spans="1:4" s="844" customFormat="1" ht="14" customHeight="1">
      <c r="A1800" s="842">
        <v>89009</v>
      </c>
      <c r="B1800" s="848" t="s">
        <v>53396</v>
      </c>
      <c r="C1800" s="841">
        <v>334.88</v>
      </c>
      <c r="D1800" s="847"/>
    </row>
    <row r="1801" spans="1:4" s="844" customFormat="1" ht="14" customHeight="1">
      <c r="A1801" s="842">
        <v>89014</v>
      </c>
      <c r="B1801" s="848" t="s">
        <v>53395</v>
      </c>
      <c r="C1801" s="841">
        <v>341.6</v>
      </c>
      <c r="D1801" s="847"/>
    </row>
    <row r="1802" spans="1:4" s="844" customFormat="1" ht="14" customHeight="1">
      <c r="A1802" s="842">
        <v>89013</v>
      </c>
      <c r="B1802" s="848" t="s">
        <v>53394</v>
      </c>
      <c r="C1802" s="841">
        <v>281.12</v>
      </c>
      <c r="D1802" s="847"/>
    </row>
    <row r="1803" spans="1:4" s="844" customFormat="1" ht="14" customHeight="1">
      <c r="A1803" s="842">
        <v>88126</v>
      </c>
      <c r="B1803" s="848" t="s">
        <v>53393</v>
      </c>
      <c r="C1803" s="841">
        <v>277.76</v>
      </c>
      <c r="D1803" s="847"/>
    </row>
    <row r="1804" spans="1:4" s="844" customFormat="1" ht="14" customHeight="1">
      <c r="A1804" s="842">
        <v>88127</v>
      </c>
      <c r="B1804" s="848" t="s">
        <v>53392</v>
      </c>
      <c r="C1804" s="841">
        <v>297.92</v>
      </c>
      <c r="D1804" s="847"/>
    </row>
    <row r="1805" spans="1:4" s="844" customFormat="1" ht="14" customHeight="1">
      <c r="A1805" s="842">
        <v>88128</v>
      </c>
      <c r="B1805" s="848" t="s">
        <v>53391</v>
      </c>
      <c r="C1805" s="841">
        <v>235.2</v>
      </c>
      <c r="D1805" s="847"/>
    </row>
    <row r="1806" spans="1:4" s="844" customFormat="1" ht="14" customHeight="1">
      <c r="A1806" s="842">
        <v>88129</v>
      </c>
      <c r="B1806" s="848" t="s">
        <v>53390</v>
      </c>
      <c r="C1806" s="841">
        <v>255.36</v>
      </c>
      <c r="D1806" s="847"/>
    </row>
    <row r="1807" spans="1:4" s="844" customFormat="1" ht="14" customHeight="1">
      <c r="A1807" s="842">
        <v>89015</v>
      </c>
      <c r="B1807" s="848" t="s">
        <v>53389</v>
      </c>
      <c r="C1807" s="841">
        <v>277.76</v>
      </c>
      <c r="D1807" s="847"/>
    </row>
    <row r="1808" spans="1:4" s="844" customFormat="1" ht="14" customHeight="1">
      <c r="A1808" s="842">
        <v>89016</v>
      </c>
      <c r="B1808" s="848" t="s">
        <v>53388</v>
      </c>
      <c r="C1808" s="841">
        <v>297.92</v>
      </c>
      <c r="D1808" s="847"/>
    </row>
    <row r="1809" spans="1:4" s="844" customFormat="1" ht="14" customHeight="1">
      <c r="A1809" s="842">
        <v>89017</v>
      </c>
      <c r="B1809" s="848" t="s">
        <v>53387</v>
      </c>
      <c r="C1809" s="841">
        <v>235.2</v>
      </c>
      <c r="D1809" s="847"/>
    </row>
    <row r="1810" spans="1:4" s="844" customFormat="1" ht="14" customHeight="1">
      <c r="A1810" s="842">
        <v>89018</v>
      </c>
      <c r="B1810" s="848" t="s">
        <v>53386</v>
      </c>
      <c r="C1810" s="841">
        <v>255.36</v>
      </c>
      <c r="D1810" s="847"/>
    </row>
    <row r="1811" spans="1:4" ht="16" customHeight="1">
      <c r="A1811" s="846" t="s">
        <v>53385</v>
      </c>
      <c r="B1811" s="842"/>
      <c r="C1811" s="841"/>
      <c r="D1811" s="845"/>
    </row>
    <row r="1812" spans="1:4" ht="14" customHeight="1">
      <c r="A1812" s="842">
        <v>88810</v>
      </c>
      <c r="B1812" s="870" t="s">
        <v>53384</v>
      </c>
      <c r="C1812" s="841">
        <v>188.71</v>
      </c>
      <c r="D1812" s="875"/>
    </row>
    <row r="1813" spans="1:4" ht="14" customHeight="1">
      <c r="A1813" s="842">
        <v>88811</v>
      </c>
      <c r="B1813" s="870" t="s">
        <v>53383</v>
      </c>
      <c r="C1813" s="841">
        <v>188.71</v>
      </c>
      <c r="D1813" s="875"/>
    </row>
    <row r="1814" spans="1:4" ht="14" customHeight="1">
      <c r="A1814" s="842">
        <v>88814</v>
      </c>
      <c r="B1814" s="870" t="s">
        <v>53382</v>
      </c>
      <c r="C1814" s="841">
        <v>194.31</v>
      </c>
      <c r="D1814" s="875"/>
    </row>
    <row r="1815" spans="1:4" ht="14" customHeight="1">
      <c r="A1815" s="842">
        <v>88817</v>
      </c>
      <c r="B1815" s="870" t="s">
        <v>53381</v>
      </c>
      <c r="C1815" s="841">
        <v>194.31</v>
      </c>
      <c r="D1815" s="875"/>
    </row>
    <row r="1816" spans="1:4" ht="14" customHeight="1">
      <c r="A1816" s="842">
        <v>88818</v>
      </c>
      <c r="B1816" s="870" t="s">
        <v>53380</v>
      </c>
      <c r="C1816" s="841">
        <v>194.31</v>
      </c>
      <c r="D1816" s="875"/>
    </row>
    <row r="1817" spans="1:4" ht="14" customHeight="1">
      <c r="A1817" s="842">
        <v>88820</v>
      </c>
      <c r="B1817" s="870" t="s">
        <v>53379</v>
      </c>
      <c r="C1817" s="841">
        <v>194.31</v>
      </c>
      <c r="D1817" s="875"/>
    </row>
    <row r="1818" spans="1:4" ht="14" customHeight="1">
      <c r="A1818" s="842">
        <v>88821</v>
      </c>
      <c r="B1818" s="870" t="s">
        <v>53378</v>
      </c>
      <c r="C1818" s="841">
        <v>194.31</v>
      </c>
      <c r="D1818" s="875"/>
    </row>
    <row r="1819" spans="1:4">
      <c r="A1819" s="846" t="s">
        <v>53377</v>
      </c>
      <c r="B1819" s="842"/>
      <c r="C1819" s="841"/>
      <c r="D1819" s="845"/>
    </row>
    <row r="1820" spans="1:4" ht="14">
      <c r="A1820" s="842">
        <v>88812</v>
      </c>
      <c r="B1820" s="870" t="s">
        <v>53376</v>
      </c>
      <c r="C1820" s="841">
        <v>173.6</v>
      </c>
      <c r="D1820" s="875"/>
    </row>
    <row r="1821" spans="1:4" ht="14">
      <c r="A1821" s="842">
        <v>88813</v>
      </c>
      <c r="B1821" s="870" t="s">
        <v>53375</v>
      </c>
      <c r="C1821" s="841">
        <v>173.6</v>
      </c>
      <c r="D1821" s="875"/>
    </row>
    <row r="1822" spans="1:4" ht="14">
      <c r="A1822" s="842">
        <v>88819</v>
      </c>
      <c r="B1822" s="870" t="s">
        <v>53374</v>
      </c>
      <c r="C1822" s="841">
        <v>178.81</v>
      </c>
      <c r="D1822" s="875"/>
    </row>
    <row r="1823" spans="1:4" ht="14">
      <c r="A1823" s="842">
        <v>88824</v>
      </c>
      <c r="B1823" s="870" t="s">
        <v>53373</v>
      </c>
      <c r="C1823" s="841">
        <v>178.81</v>
      </c>
      <c r="D1823" s="875"/>
    </row>
    <row r="1824" spans="1:4" ht="14">
      <c r="A1824" s="842">
        <v>88825</v>
      </c>
      <c r="B1824" s="870" t="s">
        <v>53372</v>
      </c>
      <c r="C1824" s="841">
        <v>178.81</v>
      </c>
      <c r="D1824" s="875"/>
    </row>
    <row r="1825" spans="1:4" ht="16" customHeight="1">
      <c r="A1825" s="846" t="s">
        <v>53371</v>
      </c>
      <c r="B1825" s="844"/>
      <c r="C1825" s="841"/>
      <c r="D1825" s="845"/>
    </row>
    <row r="1826" spans="1:4" ht="14" customHeight="1">
      <c r="A1826" s="842">
        <v>14000</v>
      </c>
      <c r="B1826" s="844" t="s">
        <v>53370</v>
      </c>
      <c r="C1826" s="841">
        <v>141.6</v>
      </c>
      <c r="D1826" s="845"/>
    </row>
    <row r="1827" spans="1:4" ht="14" customHeight="1">
      <c r="A1827" s="842">
        <v>14032</v>
      </c>
      <c r="B1827" s="844" t="s">
        <v>53369</v>
      </c>
      <c r="C1827" s="841">
        <v>141.6</v>
      </c>
      <c r="D1827" s="845"/>
    </row>
    <row r="1828" spans="1:4" s="844" customFormat="1" ht="14" customHeight="1">
      <c r="A1828" s="842">
        <v>14007</v>
      </c>
      <c r="B1828" s="844" t="s">
        <v>53368</v>
      </c>
      <c r="C1828" s="841">
        <v>141.6</v>
      </c>
    </row>
    <row r="1829" spans="1:4" ht="14" customHeight="1">
      <c r="A1829" s="842">
        <v>14027</v>
      </c>
      <c r="B1829" s="844" t="s">
        <v>53367</v>
      </c>
      <c r="C1829" s="841">
        <v>186.91</v>
      </c>
      <c r="D1829" s="845"/>
    </row>
    <row r="1830" spans="1:4" ht="14" customHeight="1">
      <c r="A1830" s="842">
        <v>14031</v>
      </c>
      <c r="B1830" s="844" t="s">
        <v>53366</v>
      </c>
      <c r="C1830" s="841">
        <v>188.7</v>
      </c>
      <c r="D1830" s="845"/>
    </row>
    <row r="1831" spans="1:4" ht="14" customHeight="1">
      <c r="A1831" s="842">
        <v>14072</v>
      </c>
      <c r="B1831" s="844" t="s">
        <v>53365</v>
      </c>
      <c r="C1831" s="841">
        <v>145.41999999999999</v>
      </c>
      <c r="D1831" s="845"/>
    </row>
    <row r="1832" spans="1:4" ht="14" customHeight="1">
      <c r="A1832" s="842">
        <v>14008</v>
      </c>
      <c r="B1832" s="844" t="s">
        <v>53364</v>
      </c>
      <c r="C1832" s="841">
        <v>141.6</v>
      </c>
      <c r="D1832" s="845"/>
    </row>
    <row r="1833" spans="1:4" ht="14" customHeight="1">
      <c r="A1833" s="842">
        <v>14024</v>
      </c>
      <c r="B1833" s="844" t="s">
        <v>53363</v>
      </c>
      <c r="C1833" s="841">
        <v>162.84</v>
      </c>
      <c r="D1833" s="845"/>
    </row>
    <row r="1834" spans="1:4" s="844" customFormat="1" ht="14" customHeight="1">
      <c r="A1834" s="842">
        <v>14034</v>
      </c>
      <c r="B1834" s="844" t="s">
        <v>53362</v>
      </c>
      <c r="C1834" s="841">
        <v>141.6</v>
      </c>
    </row>
    <row r="1835" spans="1:4" ht="14" customHeight="1">
      <c r="A1835" s="842">
        <v>14065</v>
      </c>
      <c r="B1835" s="844" t="s">
        <v>53361</v>
      </c>
      <c r="C1835" s="841">
        <v>199.33</v>
      </c>
      <c r="D1835" s="845"/>
    </row>
    <row r="1836" spans="1:4" ht="14" customHeight="1">
      <c r="A1836" s="842">
        <v>14069</v>
      </c>
      <c r="B1836" s="844" t="s">
        <v>53360</v>
      </c>
      <c r="C1836" s="841">
        <v>199.33</v>
      </c>
      <c r="D1836" s="845"/>
    </row>
    <row r="1837" spans="1:4" ht="14" customHeight="1">
      <c r="A1837" s="842">
        <v>14066</v>
      </c>
      <c r="B1837" s="844" t="s">
        <v>53359</v>
      </c>
      <c r="C1837" s="841">
        <v>146.9</v>
      </c>
      <c r="D1837" s="845"/>
    </row>
    <row r="1838" spans="1:4" ht="14" customHeight="1">
      <c r="A1838" s="842">
        <v>14067</v>
      </c>
      <c r="B1838" s="844" t="s">
        <v>53358</v>
      </c>
      <c r="C1838" s="841">
        <v>146.9</v>
      </c>
      <c r="D1838" s="845"/>
    </row>
    <row r="1839" spans="1:4" ht="14" customHeight="1">
      <c r="A1839" s="842">
        <v>14068</v>
      </c>
      <c r="B1839" s="844" t="s">
        <v>53357</v>
      </c>
      <c r="C1839" s="841">
        <v>195.44</v>
      </c>
      <c r="D1839" s="845"/>
    </row>
    <row r="1840" spans="1:4" s="844" customFormat="1" ht="16" customHeight="1">
      <c r="A1840" s="846" t="s">
        <v>53356</v>
      </c>
      <c r="C1840" s="841"/>
    </row>
    <row r="1841" spans="1:4" s="844" customFormat="1" ht="14" customHeight="1">
      <c r="A1841" s="842">
        <v>14800</v>
      </c>
      <c r="B1841" s="870" t="s">
        <v>53355</v>
      </c>
      <c r="C1841" s="841">
        <v>198.13</v>
      </c>
    </row>
    <row r="1842" spans="1:4" s="844" customFormat="1" ht="14" customHeight="1">
      <c r="A1842" s="842">
        <v>14801</v>
      </c>
      <c r="B1842" s="870" t="s">
        <v>53354</v>
      </c>
      <c r="C1842" s="841">
        <v>148.68</v>
      </c>
    </row>
    <row r="1843" spans="1:4" s="844" customFormat="1" ht="14" customHeight="1">
      <c r="A1843" s="842">
        <v>14802</v>
      </c>
      <c r="B1843" s="870" t="s">
        <v>53353</v>
      </c>
      <c r="C1843" s="841">
        <v>170.98</v>
      </c>
    </row>
    <row r="1844" spans="1:4" s="844" customFormat="1" ht="14" customHeight="1">
      <c r="A1844" s="842">
        <v>14803</v>
      </c>
      <c r="B1844" s="870" t="s">
        <v>53352</v>
      </c>
      <c r="C1844" s="841">
        <v>148.68</v>
      </c>
    </row>
    <row r="1845" spans="1:4" s="844" customFormat="1" ht="16" customHeight="1">
      <c r="A1845" s="846" t="s">
        <v>53351</v>
      </c>
      <c r="C1845" s="841"/>
    </row>
    <row r="1846" spans="1:4" s="844" customFormat="1" ht="14" customHeight="1">
      <c r="A1846" s="843">
        <v>14104</v>
      </c>
      <c r="B1846" s="848" t="s">
        <v>53350</v>
      </c>
      <c r="C1846" s="841">
        <v>126.46</v>
      </c>
    </row>
    <row r="1847" spans="1:4" s="844" customFormat="1" ht="14" customHeight="1">
      <c r="A1847" s="843">
        <v>14102</v>
      </c>
      <c r="B1847" s="848" t="s">
        <v>53349</v>
      </c>
      <c r="C1847" s="841">
        <v>174.06</v>
      </c>
    </row>
    <row r="1848" spans="1:4" s="844" customFormat="1" ht="14" customHeight="1">
      <c r="A1848" s="842">
        <v>14122</v>
      </c>
      <c r="B1848" s="844" t="s">
        <v>53348</v>
      </c>
      <c r="C1848" s="841">
        <v>126.46</v>
      </c>
    </row>
    <row r="1849" spans="1:4" s="844" customFormat="1" ht="14" customHeight="1">
      <c r="A1849" s="842">
        <v>14120</v>
      </c>
      <c r="B1849" s="844" t="s">
        <v>53347</v>
      </c>
      <c r="C1849" s="841">
        <v>174.06</v>
      </c>
    </row>
    <row r="1850" spans="1:4" ht="16" customHeight="1">
      <c r="A1850" s="846" t="s">
        <v>53346</v>
      </c>
      <c r="B1850" s="844"/>
      <c r="C1850" s="841"/>
      <c r="D1850" s="845"/>
    </row>
    <row r="1851" spans="1:4" s="844" customFormat="1" ht="16" customHeight="1">
      <c r="A1851" s="843">
        <v>14570</v>
      </c>
      <c r="B1851" s="842" t="s">
        <v>53345</v>
      </c>
      <c r="C1851" s="841">
        <v>137.47</v>
      </c>
    </row>
    <row r="1852" spans="1:4" ht="14" customHeight="1">
      <c r="A1852" s="842">
        <v>14516</v>
      </c>
      <c r="B1852" s="848" t="s">
        <v>53344</v>
      </c>
      <c r="C1852" s="841">
        <v>137.47</v>
      </c>
      <c r="D1852" s="845"/>
    </row>
    <row r="1853" spans="1:4" ht="14" customHeight="1">
      <c r="A1853" s="842">
        <v>14510</v>
      </c>
      <c r="B1853" s="848" t="s">
        <v>53343</v>
      </c>
      <c r="C1853" s="841">
        <v>174.06</v>
      </c>
      <c r="D1853" s="845"/>
    </row>
    <row r="1854" spans="1:4" s="844" customFormat="1" ht="14" customHeight="1">
      <c r="A1854" s="842">
        <v>14101</v>
      </c>
      <c r="B1854" s="848" t="s">
        <v>53342</v>
      </c>
      <c r="C1854" s="841">
        <v>174.06</v>
      </c>
    </row>
    <row r="1855" spans="1:4" ht="14" customHeight="1">
      <c r="A1855" s="842">
        <v>14512</v>
      </c>
      <c r="B1855" s="848" t="s">
        <v>53341</v>
      </c>
      <c r="C1855" s="841">
        <v>184.87</v>
      </c>
      <c r="D1855" s="845"/>
    </row>
    <row r="1856" spans="1:4" ht="14" customHeight="1">
      <c r="A1856" s="842">
        <v>14513</v>
      </c>
      <c r="B1856" s="848" t="s">
        <v>53340</v>
      </c>
      <c r="C1856" s="841">
        <v>186.95</v>
      </c>
      <c r="D1856" s="845"/>
    </row>
    <row r="1857" spans="1:4" s="844" customFormat="1" ht="14" customHeight="1">
      <c r="A1857" s="842">
        <v>14517</v>
      </c>
      <c r="B1857" s="848" t="s">
        <v>53339</v>
      </c>
      <c r="C1857" s="841">
        <v>186.95</v>
      </c>
    </row>
    <row r="1858" spans="1:4" ht="14" customHeight="1">
      <c r="A1858" s="842">
        <v>14514</v>
      </c>
      <c r="B1858" s="848" t="s">
        <v>53338</v>
      </c>
      <c r="C1858" s="841">
        <v>184.87</v>
      </c>
      <c r="D1858" s="845"/>
    </row>
    <row r="1859" spans="1:4" ht="14" customHeight="1">
      <c r="A1859" s="842">
        <v>14518</v>
      </c>
      <c r="B1859" s="848" t="s">
        <v>53337</v>
      </c>
      <c r="C1859" s="841">
        <v>196.31</v>
      </c>
      <c r="D1859" s="845"/>
    </row>
    <row r="1860" spans="1:4" ht="28" customHeight="1">
      <c r="A1860" s="842">
        <v>14515</v>
      </c>
      <c r="B1860" s="848" t="s">
        <v>53336</v>
      </c>
      <c r="C1860" s="841">
        <v>186.75</v>
      </c>
      <c r="D1860" s="845"/>
    </row>
    <row r="1861" spans="1:4" ht="14" customHeight="1">
      <c r="A1861" s="842">
        <v>14531</v>
      </c>
      <c r="B1861" s="844" t="s">
        <v>53335</v>
      </c>
      <c r="C1861" s="841">
        <v>189.3</v>
      </c>
      <c r="D1861" s="845"/>
    </row>
    <row r="1862" spans="1:4" ht="14" customHeight="1">
      <c r="A1862" s="842">
        <v>14532</v>
      </c>
      <c r="B1862" s="844" t="s">
        <v>53334</v>
      </c>
      <c r="C1862" s="841">
        <v>189.3</v>
      </c>
      <c r="D1862" s="845"/>
    </row>
    <row r="1863" spans="1:4" ht="28" customHeight="1">
      <c r="A1863" s="842">
        <v>14533</v>
      </c>
      <c r="B1863" s="849" t="s">
        <v>53333</v>
      </c>
      <c r="C1863" s="841">
        <v>190.49</v>
      </c>
      <c r="D1863" s="845"/>
    </row>
    <row r="1864" spans="1:4" s="844" customFormat="1" ht="14" customHeight="1">
      <c r="A1864" s="842">
        <v>14534</v>
      </c>
      <c r="B1864" s="844" t="s">
        <v>53332</v>
      </c>
      <c r="C1864" s="841">
        <v>166.1</v>
      </c>
      <c r="D1864" s="847"/>
    </row>
    <row r="1865" spans="1:4" ht="16" customHeight="1">
      <c r="A1865" s="846" t="s">
        <v>53331</v>
      </c>
      <c r="B1865" s="844"/>
      <c r="C1865" s="841"/>
      <c r="D1865" s="845"/>
    </row>
    <row r="1866" spans="1:4" ht="14" customHeight="1">
      <c r="A1866" s="842">
        <v>14975</v>
      </c>
      <c r="B1866" s="844" t="s">
        <v>53330</v>
      </c>
      <c r="C1866" s="841">
        <v>56.63</v>
      </c>
      <c r="D1866" s="845"/>
    </row>
    <row r="1867" spans="1:4" s="844" customFormat="1" ht="16" customHeight="1">
      <c r="A1867" s="846" t="s">
        <v>53329</v>
      </c>
      <c r="C1867" s="841"/>
      <c r="D1867" s="847"/>
    </row>
    <row r="1868" spans="1:4" s="844" customFormat="1" ht="14" customHeight="1">
      <c r="A1868" s="856">
        <v>14300</v>
      </c>
      <c r="B1868" s="844" t="s">
        <v>53328</v>
      </c>
      <c r="C1868" s="841">
        <v>232.81</v>
      </c>
      <c r="D1868" s="847"/>
    </row>
    <row r="1869" spans="1:4" s="844" customFormat="1" ht="14" customHeight="1">
      <c r="A1869" s="856">
        <v>14306</v>
      </c>
      <c r="B1869" s="844" t="s">
        <v>53327</v>
      </c>
      <c r="C1869" s="841">
        <v>232.81</v>
      </c>
      <c r="D1869" s="847"/>
    </row>
    <row r="1870" spans="1:4" s="844" customFormat="1" ht="14" customHeight="1">
      <c r="A1870" s="856">
        <v>14301</v>
      </c>
      <c r="B1870" s="844" t="s">
        <v>53326</v>
      </c>
      <c r="C1870" s="841">
        <v>257.98</v>
      </c>
      <c r="D1870" s="847"/>
    </row>
    <row r="1871" spans="1:4" s="844" customFormat="1" ht="14" customHeight="1">
      <c r="A1871" s="856">
        <v>14307</v>
      </c>
      <c r="B1871" s="844" t="s">
        <v>53325</v>
      </c>
      <c r="C1871" s="841">
        <v>257.98</v>
      </c>
      <c r="D1871" s="847"/>
    </row>
    <row r="1872" spans="1:4" s="844" customFormat="1" ht="14" customHeight="1">
      <c r="A1872" s="856">
        <v>14302</v>
      </c>
      <c r="B1872" s="844" t="s">
        <v>53324</v>
      </c>
      <c r="C1872" s="841">
        <v>270.56</v>
      </c>
      <c r="D1872" s="847"/>
    </row>
    <row r="1873" spans="1:4" s="844" customFormat="1" ht="14" customHeight="1">
      <c r="A1873" s="856">
        <v>14308</v>
      </c>
      <c r="B1873" s="844" t="s">
        <v>53323</v>
      </c>
      <c r="C1873" s="841">
        <v>270.56</v>
      </c>
      <c r="D1873" s="847"/>
    </row>
    <row r="1874" spans="1:4" s="844" customFormat="1" ht="14" customHeight="1">
      <c r="A1874" s="856">
        <v>14310</v>
      </c>
      <c r="B1874" s="844" t="s">
        <v>53322</v>
      </c>
      <c r="C1874" s="841">
        <v>232.81</v>
      </c>
      <c r="D1874" s="847"/>
    </row>
    <row r="1875" spans="1:4" s="844" customFormat="1" ht="14" customHeight="1">
      <c r="A1875" s="856">
        <v>14311</v>
      </c>
      <c r="B1875" s="844" t="s">
        <v>53321</v>
      </c>
      <c r="C1875" s="841">
        <v>257.98</v>
      </c>
      <c r="D1875" s="847"/>
    </row>
    <row r="1876" spans="1:4">
      <c r="A1876" s="846" t="s">
        <v>53320</v>
      </c>
      <c r="B1876" s="844"/>
      <c r="C1876" s="841"/>
      <c r="D1876" s="845"/>
    </row>
    <row r="1877" spans="1:4">
      <c r="A1877" s="842">
        <v>59000</v>
      </c>
      <c r="B1877" s="874" t="s">
        <v>53319</v>
      </c>
      <c r="C1877" s="841">
        <v>184.8</v>
      </c>
      <c r="D1877" s="845"/>
    </row>
    <row r="1878" spans="1:4" ht="16" customHeight="1">
      <c r="A1878" s="846" t="s">
        <v>53318</v>
      </c>
      <c r="B1878" s="873"/>
      <c r="C1878" s="841"/>
      <c r="D1878" s="845"/>
    </row>
    <row r="1879" spans="1:4">
      <c r="A1879" s="868" t="s">
        <v>53184</v>
      </c>
      <c r="B1879" s="867"/>
      <c r="C1879" s="841"/>
      <c r="D1879" s="845"/>
    </row>
    <row r="1880" spans="1:4" ht="14" customHeight="1">
      <c r="A1880" s="842">
        <v>69110</v>
      </c>
      <c r="B1880" s="848" t="s">
        <v>53317</v>
      </c>
      <c r="C1880" s="841">
        <v>277.48</v>
      </c>
      <c r="D1880" s="845"/>
    </row>
    <row r="1881" spans="1:4" s="844" customFormat="1" ht="14" customHeight="1">
      <c r="A1881" s="842">
        <v>69253</v>
      </c>
      <c r="B1881" s="848" t="s">
        <v>53316</v>
      </c>
      <c r="C1881" s="841">
        <v>284.69</v>
      </c>
    </row>
    <row r="1882" spans="1:4" ht="14" customHeight="1">
      <c r="A1882" s="842">
        <v>69210</v>
      </c>
      <c r="B1882" s="849" t="s">
        <v>53315</v>
      </c>
      <c r="C1882" s="841">
        <v>284.69</v>
      </c>
      <c r="D1882" s="845"/>
    </row>
    <row r="1883" spans="1:4" ht="14" customHeight="1">
      <c r="A1883" s="842">
        <v>69211</v>
      </c>
      <c r="B1883" s="848" t="s">
        <v>53314</v>
      </c>
      <c r="C1883" s="841">
        <v>284.69</v>
      </c>
      <c r="D1883" s="845"/>
    </row>
    <row r="1884" spans="1:4" s="844" customFormat="1" ht="14" customHeight="1">
      <c r="A1884" s="842">
        <v>69251</v>
      </c>
      <c r="B1884" s="848" t="s">
        <v>53313</v>
      </c>
      <c r="C1884" s="841">
        <v>383.8</v>
      </c>
    </row>
    <row r="1885" spans="1:4" ht="14" customHeight="1">
      <c r="A1885" s="842">
        <v>69260</v>
      </c>
      <c r="B1885" s="848" t="s">
        <v>53312</v>
      </c>
      <c r="C1885" s="841">
        <v>328.12</v>
      </c>
      <c r="D1885" s="845"/>
    </row>
    <row r="1886" spans="1:4" ht="14" customHeight="1">
      <c r="A1886" s="842">
        <v>69264</v>
      </c>
      <c r="B1886" s="848" t="s">
        <v>53311</v>
      </c>
      <c r="C1886" s="841">
        <v>328.12</v>
      </c>
      <c r="D1886" s="845"/>
    </row>
    <row r="1887" spans="1:4" s="844" customFormat="1" ht="14" customHeight="1">
      <c r="A1887" s="842">
        <v>69252</v>
      </c>
      <c r="B1887" s="848" t="s">
        <v>53310</v>
      </c>
      <c r="C1887" s="841">
        <v>328.12</v>
      </c>
    </row>
    <row r="1888" spans="1:4" ht="14" customHeight="1">
      <c r="A1888" s="842">
        <v>69266</v>
      </c>
      <c r="B1888" s="842" t="s">
        <v>53309</v>
      </c>
      <c r="C1888" s="841">
        <v>341.87</v>
      </c>
      <c r="D1888" s="845"/>
    </row>
    <row r="1889" spans="1:4" ht="14" customHeight="1">
      <c r="A1889" s="842">
        <v>69267</v>
      </c>
      <c r="B1889" s="842" t="s">
        <v>53308</v>
      </c>
      <c r="C1889" s="841">
        <v>341.87</v>
      </c>
      <c r="D1889" s="845"/>
    </row>
    <row r="1890" spans="1:4" ht="14" customHeight="1">
      <c r="A1890" s="842">
        <v>69262</v>
      </c>
      <c r="B1890" s="842" t="s">
        <v>53307</v>
      </c>
      <c r="C1890" s="841">
        <v>411.04</v>
      </c>
      <c r="D1890" s="845"/>
    </row>
    <row r="1891" spans="1:4" ht="14" customHeight="1">
      <c r="A1891" s="842">
        <v>69888</v>
      </c>
      <c r="B1891" s="842" t="s">
        <v>53306</v>
      </c>
      <c r="C1891" s="841">
        <v>411.04</v>
      </c>
      <c r="D1891" s="845"/>
    </row>
    <row r="1892" spans="1:4" ht="14" customHeight="1">
      <c r="A1892" s="842">
        <v>69889</v>
      </c>
      <c r="B1892" s="848" t="s">
        <v>53305</v>
      </c>
      <c r="C1892" s="841">
        <v>442.5</v>
      </c>
      <c r="D1892" s="845"/>
    </row>
    <row r="1893" spans="1:4">
      <c r="A1893" s="842">
        <v>69500</v>
      </c>
      <c r="B1893" s="842" t="s">
        <v>53304</v>
      </c>
      <c r="C1893" s="841">
        <v>375.2</v>
      </c>
      <c r="D1893" s="845"/>
    </row>
    <row r="1894" spans="1:4">
      <c r="A1894" s="842">
        <v>69501</v>
      </c>
      <c r="B1894" s="842" t="s">
        <v>53303</v>
      </c>
      <c r="C1894" s="841">
        <v>402.08</v>
      </c>
      <c r="D1894" s="845"/>
    </row>
    <row r="1895" spans="1:4" ht="14">
      <c r="A1895" s="842">
        <v>59150</v>
      </c>
      <c r="B1895" s="842" t="s">
        <v>53302</v>
      </c>
      <c r="C1895" s="841">
        <v>328.12</v>
      </c>
      <c r="D1895" s="657"/>
    </row>
    <row r="1896" spans="1:4" ht="14">
      <c r="A1896" s="842">
        <v>59151</v>
      </c>
      <c r="B1896" s="842" t="s">
        <v>53301</v>
      </c>
      <c r="C1896" s="841">
        <v>341.87</v>
      </c>
      <c r="D1896" s="657"/>
    </row>
    <row r="1897" spans="1:4" ht="14">
      <c r="A1897" s="842">
        <v>59152</v>
      </c>
      <c r="B1897" s="842" t="s">
        <v>53300</v>
      </c>
      <c r="C1897" s="841">
        <v>411.04</v>
      </c>
      <c r="D1897" s="657"/>
    </row>
    <row r="1898" spans="1:4" ht="14">
      <c r="A1898" s="842">
        <v>69167</v>
      </c>
      <c r="B1898" s="842" t="s">
        <v>53299</v>
      </c>
      <c r="C1898" s="841">
        <v>375.2</v>
      </c>
      <c r="D1898" s="657"/>
    </row>
    <row r="1899" spans="1:4" ht="14">
      <c r="A1899" s="842">
        <v>69168</v>
      </c>
      <c r="B1899" s="842" t="s">
        <v>53298</v>
      </c>
      <c r="C1899" s="841">
        <v>402.08</v>
      </c>
      <c r="D1899" s="657"/>
    </row>
    <row r="1900" spans="1:4" ht="14" customHeight="1">
      <c r="A1900" s="842">
        <v>69215</v>
      </c>
      <c r="B1900" s="848" t="s">
        <v>53297</v>
      </c>
      <c r="C1900" s="841">
        <v>306.36</v>
      </c>
      <c r="D1900" s="845"/>
    </row>
    <row r="1901" spans="1:4" ht="14" customHeight="1">
      <c r="A1901" s="842">
        <v>69216</v>
      </c>
      <c r="B1901" s="842" t="s">
        <v>53296</v>
      </c>
      <c r="C1901" s="841">
        <v>390.41</v>
      </c>
      <c r="D1901" s="845"/>
    </row>
    <row r="1902" spans="1:4" ht="14" customHeight="1">
      <c r="A1902" s="842">
        <v>69219</v>
      </c>
      <c r="B1902" s="842" t="s">
        <v>53295</v>
      </c>
      <c r="C1902" s="841">
        <v>390.41</v>
      </c>
      <c r="D1902" s="845"/>
    </row>
    <row r="1903" spans="1:4" ht="14" customHeight="1">
      <c r="A1903" s="842">
        <v>69120</v>
      </c>
      <c r="B1903" s="848" t="s">
        <v>53294</v>
      </c>
      <c r="C1903" s="841">
        <v>690.82</v>
      </c>
      <c r="D1903" s="845"/>
    </row>
    <row r="1904" spans="1:4" ht="14" customHeight="1">
      <c r="A1904" s="842">
        <v>69230</v>
      </c>
      <c r="B1904" s="848" t="s">
        <v>53293</v>
      </c>
      <c r="C1904" s="841">
        <v>697.98</v>
      </c>
      <c r="D1904" s="845"/>
    </row>
    <row r="1905" spans="1:4" ht="14" customHeight="1">
      <c r="A1905" s="842">
        <v>69250</v>
      </c>
      <c r="B1905" s="848" t="s">
        <v>53292</v>
      </c>
      <c r="C1905" s="841">
        <v>771.22</v>
      </c>
      <c r="D1905" s="845"/>
    </row>
    <row r="1906" spans="1:4" ht="14" customHeight="1">
      <c r="A1906" s="842">
        <v>69261</v>
      </c>
      <c r="B1906" s="848" t="s">
        <v>53291</v>
      </c>
      <c r="C1906" s="841">
        <v>733.36</v>
      </c>
      <c r="D1906" s="845"/>
    </row>
    <row r="1907" spans="1:4" ht="14" customHeight="1">
      <c r="A1907" s="842">
        <v>69265</v>
      </c>
      <c r="B1907" s="849" t="s">
        <v>53290</v>
      </c>
      <c r="C1907" s="841">
        <v>797.35</v>
      </c>
      <c r="D1907" s="845"/>
    </row>
    <row r="1908" spans="1:4" s="844" customFormat="1" ht="14" customHeight="1">
      <c r="A1908" s="842">
        <v>69268</v>
      </c>
      <c r="B1908" s="849" t="s">
        <v>53289</v>
      </c>
      <c r="C1908" s="841">
        <v>763.25</v>
      </c>
    </row>
    <row r="1909" spans="1:4" ht="14" customHeight="1">
      <c r="A1909" s="842">
        <v>69220</v>
      </c>
      <c r="B1909" s="848" t="s">
        <v>53288</v>
      </c>
      <c r="C1909" s="841">
        <v>193.1</v>
      </c>
      <c r="D1909" s="845"/>
    </row>
    <row r="1910" spans="1:4" ht="14" customHeight="1">
      <c r="A1910" s="842">
        <v>69221</v>
      </c>
      <c r="B1910" s="848" t="s">
        <v>53287</v>
      </c>
      <c r="C1910" s="841">
        <v>221.69</v>
      </c>
      <c r="D1910" s="845"/>
    </row>
    <row r="1911" spans="1:4" ht="14" customHeight="1">
      <c r="A1911" s="842">
        <v>69222</v>
      </c>
      <c r="B1911" s="848" t="s">
        <v>53286</v>
      </c>
      <c r="C1911" s="841">
        <v>221.69</v>
      </c>
      <c r="D1911" s="845"/>
    </row>
    <row r="1912" spans="1:4" ht="14" customHeight="1">
      <c r="A1912" s="842">
        <v>69240</v>
      </c>
      <c r="B1912" s="848" t="s">
        <v>53285</v>
      </c>
      <c r="C1912" s="841">
        <v>307.51</v>
      </c>
      <c r="D1912" s="845"/>
    </row>
    <row r="1913" spans="1:4" ht="14" customHeight="1">
      <c r="A1913" s="842">
        <v>69241</v>
      </c>
      <c r="B1913" s="848" t="s">
        <v>53284</v>
      </c>
      <c r="C1913" s="841">
        <v>336.12</v>
      </c>
      <c r="D1913" s="845"/>
    </row>
    <row r="1914" spans="1:4" ht="14" customHeight="1">
      <c r="A1914" s="842">
        <v>69242</v>
      </c>
      <c r="B1914" s="848" t="s">
        <v>53283</v>
      </c>
      <c r="C1914" s="841">
        <v>336.12</v>
      </c>
      <c r="D1914" s="845"/>
    </row>
    <row r="1915" spans="1:4" s="844" customFormat="1" ht="14" customHeight="1">
      <c r="A1915" s="842">
        <v>69243</v>
      </c>
      <c r="B1915" s="848" t="s">
        <v>53282</v>
      </c>
      <c r="C1915" s="841">
        <v>307.51</v>
      </c>
    </row>
    <row r="1916" spans="1:4" ht="14" customHeight="1">
      <c r="A1916" s="842">
        <v>69245</v>
      </c>
      <c r="B1916" s="848" t="s">
        <v>53281</v>
      </c>
      <c r="C1916" s="841">
        <v>548.52</v>
      </c>
      <c r="D1916" s="845"/>
    </row>
    <row r="1917" spans="1:4" ht="14" customHeight="1">
      <c r="A1917" s="842">
        <v>69246</v>
      </c>
      <c r="B1917" s="848" t="s">
        <v>53280</v>
      </c>
      <c r="C1917" s="841">
        <v>576.15</v>
      </c>
      <c r="D1917" s="845"/>
    </row>
    <row r="1918" spans="1:4" ht="14" customHeight="1">
      <c r="A1918" s="842">
        <v>69247</v>
      </c>
      <c r="B1918" s="848" t="s">
        <v>53279</v>
      </c>
      <c r="C1918" s="841">
        <v>576.15</v>
      </c>
      <c r="D1918" s="845"/>
    </row>
    <row r="1919" spans="1:4" ht="14" customHeight="1">
      <c r="A1919" s="842">
        <v>69270</v>
      </c>
      <c r="B1919" s="844" t="s">
        <v>53278</v>
      </c>
      <c r="C1919" s="841">
        <v>235.87</v>
      </c>
      <c r="D1919" s="845"/>
    </row>
    <row r="1920" spans="1:4" ht="14" customHeight="1">
      <c r="A1920" s="842">
        <v>69272</v>
      </c>
      <c r="B1920" s="844" t="s">
        <v>53277</v>
      </c>
      <c r="C1920" s="841">
        <v>235.87</v>
      </c>
      <c r="D1920" s="845"/>
    </row>
    <row r="1921" spans="1:4" ht="14" customHeight="1">
      <c r="A1921" s="842">
        <v>69273</v>
      </c>
      <c r="B1921" s="844" t="s">
        <v>53276</v>
      </c>
      <c r="C1921" s="841">
        <v>235.87</v>
      </c>
      <c r="D1921" s="845"/>
    </row>
    <row r="1922" spans="1:4" ht="14" customHeight="1">
      <c r="A1922" s="842">
        <v>69274</v>
      </c>
      <c r="B1922" s="844" t="s">
        <v>53275</v>
      </c>
      <c r="C1922" s="841">
        <v>235.87</v>
      </c>
      <c r="D1922" s="845"/>
    </row>
    <row r="1923" spans="1:4" ht="14" customHeight="1">
      <c r="A1923" s="842">
        <v>69275</v>
      </c>
      <c r="B1923" s="844" t="s">
        <v>53274</v>
      </c>
      <c r="C1923" s="841">
        <v>235.87</v>
      </c>
      <c r="D1923" s="845"/>
    </row>
    <row r="1924" spans="1:4" ht="14" customHeight="1">
      <c r="A1924" s="842">
        <v>69284</v>
      </c>
      <c r="B1924" s="844" t="s">
        <v>53273</v>
      </c>
      <c r="C1924" s="841">
        <v>235.87</v>
      </c>
      <c r="D1924" s="845"/>
    </row>
    <row r="1925" spans="1:4" ht="14" customHeight="1">
      <c r="A1925" s="842">
        <v>69276</v>
      </c>
      <c r="B1925" s="844" t="s">
        <v>53272</v>
      </c>
      <c r="C1925" s="841">
        <v>235.87</v>
      </c>
      <c r="D1925" s="845"/>
    </row>
    <row r="1926" spans="1:4" ht="14" customHeight="1">
      <c r="A1926" s="842">
        <v>69277</v>
      </c>
      <c r="B1926" s="849" t="s">
        <v>53271</v>
      </c>
      <c r="C1926" s="841">
        <v>283.02</v>
      </c>
      <c r="D1926" s="845"/>
    </row>
    <row r="1927" spans="1:4" ht="14" customHeight="1">
      <c r="A1927" s="842">
        <v>69278</v>
      </c>
      <c r="B1927" s="844" t="s">
        <v>53270</v>
      </c>
      <c r="C1927" s="841">
        <v>249.35</v>
      </c>
      <c r="D1927" s="845"/>
    </row>
    <row r="1928" spans="1:4" ht="14" customHeight="1">
      <c r="A1928" s="842">
        <v>69279</v>
      </c>
      <c r="B1928" s="844" t="s">
        <v>53269</v>
      </c>
      <c r="C1928" s="841">
        <v>235.87</v>
      </c>
      <c r="D1928" s="845"/>
    </row>
    <row r="1929" spans="1:4" s="871" customFormat="1" ht="14" customHeight="1">
      <c r="A1929" s="856">
        <v>69286</v>
      </c>
      <c r="B1929" s="844" t="s">
        <v>53268</v>
      </c>
      <c r="C1929" s="841">
        <v>235.87</v>
      </c>
      <c r="D1929" s="872"/>
    </row>
    <row r="1930" spans="1:4" s="871" customFormat="1" ht="14" customHeight="1">
      <c r="A1930" s="856">
        <v>69287</v>
      </c>
      <c r="B1930" s="844" t="s">
        <v>53267</v>
      </c>
      <c r="C1930" s="841">
        <v>235.87</v>
      </c>
      <c r="D1930" s="872"/>
    </row>
    <row r="1931" spans="1:4" s="844" customFormat="1" ht="14" customHeight="1">
      <c r="A1931" s="842">
        <v>69288</v>
      </c>
      <c r="B1931" s="844" t="s">
        <v>53266</v>
      </c>
      <c r="C1931" s="841">
        <v>235.87</v>
      </c>
      <c r="D1931" s="847"/>
    </row>
    <row r="1932" spans="1:4" ht="14" customHeight="1">
      <c r="A1932" s="842">
        <v>69290</v>
      </c>
      <c r="B1932" s="844" t="s">
        <v>53265</v>
      </c>
      <c r="C1932" s="841">
        <v>235.87</v>
      </c>
      <c r="D1932" s="845"/>
    </row>
    <row r="1933" spans="1:4" ht="14" customHeight="1">
      <c r="A1933" s="842">
        <v>69291</v>
      </c>
      <c r="B1933" s="844" t="s">
        <v>53264</v>
      </c>
      <c r="C1933" s="841">
        <v>235.87</v>
      </c>
      <c r="D1933" s="845"/>
    </row>
    <row r="1934" spans="1:4" ht="14" customHeight="1">
      <c r="A1934" s="842">
        <v>69293</v>
      </c>
      <c r="B1934" s="844" t="s">
        <v>53263</v>
      </c>
      <c r="C1934" s="841">
        <v>235.87</v>
      </c>
      <c r="D1934" s="845"/>
    </row>
    <row r="1935" spans="1:4" ht="14" customHeight="1">
      <c r="A1935" s="842">
        <v>69280</v>
      </c>
      <c r="B1935" s="844" t="s">
        <v>53262</v>
      </c>
      <c r="C1935" s="841">
        <v>165.23</v>
      </c>
      <c r="D1935" s="845"/>
    </row>
    <row r="1936" spans="1:4" ht="14" customHeight="1">
      <c r="A1936" s="842">
        <v>69282</v>
      </c>
      <c r="B1936" s="844" t="s">
        <v>53261</v>
      </c>
      <c r="C1936" s="841">
        <v>165.23</v>
      </c>
      <c r="D1936" s="845"/>
    </row>
    <row r="1937" spans="1:7" ht="14" customHeight="1">
      <c r="A1937" s="842">
        <v>69283</v>
      </c>
      <c r="B1937" s="844" t="s">
        <v>53260</v>
      </c>
      <c r="C1937" s="841">
        <v>165.23</v>
      </c>
      <c r="D1937" s="845"/>
    </row>
    <row r="1938" spans="1:7" s="844" customFormat="1" ht="14" customHeight="1">
      <c r="A1938" s="842">
        <v>69285</v>
      </c>
      <c r="B1938" s="844" t="s">
        <v>53259</v>
      </c>
      <c r="C1938" s="841">
        <v>165.23</v>
      </c>
      <c r="D1938" s="847"/>
    </row>
    <row r="1939" spans="1:7" s="844" customFormat="1" ht="14" customHeight="1">
      <c r="A1939" s="842">
        <v>69289</v>
      </c>
      <c r="B1939" s="844" t="s">
        <v>53258</v>
      </c>
      <c r="C1939" s="841">
        <v>165.23</v>
      </c>
      <c r="D1939" s="847"/>
    </row>
    <row r="1940" spans="1:7">
      <c r="A1940" s="842">
        <v>69340</v>
      </c>
      <c r="B1940" s="844" t="s">
        <v>53257</v>
      </c>
      <c r="C1940" s="841">
        <v>257.60000000000002</v>
      </c>
      <c r="D1940" s="781"/>
      <c r="E1940" s="839"/>
      <c r="F1940" s="839"/>
      <c r="G1940" s="839"/>
    </row>
    <row r="1941" spans="1:7">
      <c r="A1941" s="842">
        <v>69341</v>
      </c>
      <c r="B1941" s="844" t="s">
        <v>53256</v>
      </c>
      <c r="C1941" s="841">
        <v>257.60000000000002</v>
      </c>
      <c r="D1941" s="781"/>
      <c r="E1941" s="839"/>
      <c r="F1941" s="839"/>
      <c r="G1941" s="839"/>
    </row>
    <row r="1942" spans="1:7">
      <c r="A1942" s="842">
        <v>69343</v>
      </c>
      <c r="B1942" s="844" t="s">
        <v>53255</v>
      </c>
      <c r="C1942" s="841">
        <v>257.60000000000002</v>
      </c>
      <c r="D1942" s="781"/>
      <c r="E1942" s="839"/>
      <c r="F1942" s="839"/>
      <c r="G1942" s="839"/>
    </row>
    <row r="1943" spans="1:7">
      <c r="A1943" s="842">
        <v>69344</v>
      </c>
      <c r="B1943" s="844" t="s">
        <v>53254</v>
      </c>
      <c r="C1943" s="841">
        <v>257.60000000000002</v>
      </c>
      <c r="D1943" s="781"/>
      <c r="E1943" s="839"/>
      <c r="F1943" s="839"/>
      <c r="G1943" s="839"/>
    </row>
    <row r="1944" spans="1:7">
      <c r="A1944" s="842">
        <v>69342</v>
      </c>
      <c r="B1944" s="844" t="s">
        <v>53253</v>
      </c>
      <c r="C1944" s="841">
        <v>257.60000000000002</v>
      </c>
      <c r="D1944" s="781"/>
      <c r="E1944" s="839"/>
      <c r="F1944" s="839"/>
      <c r="G1944" s="839"/>
    </row>
    <row r="1945" spans="1:7">
      <c r="A1945" s="842">
        <v>69345</v>
      </c>
      <c r="B1945" s="844" t="s">
        <v>53252</v>
      </c>
      <c r="C1945" s="841">
        <v>257.60000000000002</v>
      </c>
      <c r="D1945" s="781"/>
      <c r="E1945" s="839"/>
      <c r="F1945" s="839"/>
      <c r="G1945" s="839"/>
    </row>
    <row r="1946" spans="1:7">
      <c r="A1946" s="842">
        <v>69350</v>
      </c>
      <c r="B1946" s="844" t="s">
        <v>53251</v>
      </c>
      <c r="C1946" s="841">
        <v>313.60000000000002</v>
      </c>
      <c r="D1946" s="781"/>
      <c r="E1946" s="839"/>
      <c r="F1946" s="839"/>
      <c r="G1946" s="839"/>
    </row>
    <row r="1947" spans="1:7">
      <c r="A1947" s="842">
        <v>69351</v>
      </c>
      <c r="B1947" s="844" t="s">
        <v>53250</v>
      </c>
      <c r="C1947" s="841">
        <v>313.60000000000002</v>
      </c>
      <c r="D1947" s="781"/>
      <c r="E1947" s="839"/>
      <c r="F1947" s="839"/>
      <c r="G1947" s="839"/>
    </row>
    <row r="1948" spans="1:7">
      <c r="A1948" s="842">
        <v>69353</v>
      </c>
      <c r="B1948" s="844" t="s">
        <v>53249</v>
      </c>
      <c r="C1948" s="841">
        <v>313.60000000000002</v>
      </c>
      <c r="D1948" s="781"/>
      <c r="E1948" s="839"/>
      <c r="F1948" s="839"/>
      <c r="G1948" s="839"/>
    </row>
    <row r="1949" spans="1:7">
      <c r="A1949" s="842">
        <v>69354</v>
      </c>
      <c r="B1949" s="844" t="s">
        <v>53248</v>
      </c>
      <c r="C1949" s="841">
        <v>313.60000000000002</v>
      </c>
      <c r="D1949" s="781"/>
      <c r="E1949" s="839"/>
      <c r="F1949" s="839"/>
      <c r="G1949" s="839"/>
    </row>
    <row r="1950" spans="1:7">
      <c r="A1950" s="842">
        <v>69352</v>
      </c>
      <c r="B1950" s="844" t="s">
        <v>53247</v>
      </c>
      <c r="C1950" s="841">
        <v>313.60000000000002</v>
      </c>
      <c r="D1950" s="781"/>
      <c r="E1950" s="839"/>
      <c r="F1950" s="839"/>
      <c r="G1950" s="839"/>
    </row>
    <row r="1951" spans="1:7">
      <c r="A1951" s="842">
        <v>69355</v>
      </c>
      <c r="B1951" s="844" t="s">
        <v>53246</v>
      </c>
      <c r="C1951" s="841">
        <v>313.60000000000002</v>
      </c>
      <c r="D1951" s="781"/>
      <c r="E1951" s="839"/>
      <c r="F1951" s="839"/>
      <c r="G1951" s="839"/>
    </row>
    <row r="1952" spans="1:7" ht="14" customHeight="1">
      <c r="A1952" s="842">
        <v>69424</v>
      </c>
      <c r="B1952" s="853" t="s">
        <v>53245</v>
      </c>
      <c r="C1952" s="841">
        <v>284.10000000000002</v>
      </c>
      <c r="D1952" s="845"/>
    </row>
    <row r="1953" spans="1:4" s="844" customFormat="1" ht="14" customHeight="1">
      <c r="A1953" s="842">
        <v>69429</v>
      </c>
      <c r="B1953" s="853" t="s">
        <v>53244</v>
      </c>
      <c r="C1953" s="841">
        <v>298.24</v>
      </c>
      <c r="D1953" s="847"/>
    </row>
    <row r="1954" spans="1:4" s="844" customFormat="1" ht="14">
      <c r="A1954" s="842">
        <v>69455</v>
      </c>
      <c r="B1954" s="844" t="s">
        <v>53243</v>
      </c>
      <c r="C1954" s="841">
        <v>297.54000000000002</v>
      </c>
    </row>
    <row r="1955" spans="1:4" s="844" customFormat="1" ht="14">
      <c r="A1955" s="842">
        <v>69456</v>
      </c>
      <c r="B1955" s="844" t="s">
        <v>53242</v>
      </c>
      <c r="C1955" s="841">
        <v>311.68</v>
      </c>
    </row>
    <row r="1956" spans="1:4">
      <c r="A1956" s="842">
        <v>69458</v>
      </c>
      <c r="B1956" s="844" t="s">
        <v>53241</v>
      </c>
      <c r="C1956" s="841">
        <v>330.4</v>
      </c>
    </row>
    <row r="1957" spans="1:4" s="844" customFormat="1" ht="14">
      <c r="A1957" s="842">
        <v>69459</v>
      </c>
      <c r="B1957" s="844" t="s">
        <v>53240</v>
      </c>
      <c r="C1957" s="841">
        <v>347.2</v>
      </c>
    </row>
    <row r="1958" spans="1:4" s="844" customFormat="1" ht="14">
      <c r="A1958" s="842">
        <v>69503</v>
      </c>
      <c r="B1958" s="844" t="s">
        <v>53239</v>
      </c>
      <c r="C1958" s="841">
        <v>330.4</v>
      </c>
    </row>
    <row r="1959" spans="1:4" s="844" customFormat="1" ht="15.5">
      <c r="A1959" s="842">
        <v>69504</v>
      </c>
      <c r="B1959" s="844" t="s">
        <v>53238</v>
      </c>
      <c r="C1959" s="841">
        <v>330.4</v>
      </c>
    </row>
    <row r="1960" spans="1:4" s="844" customFormat="1" ht="14">
      <c r="A1960" s="842">
        <v>69505</v>
      </c>
      <c r="B1960" s="844" t="s">
        <v>53237</v>
      </c>
      <c r="C1960" s="841">
        <v>330.4</v>
      </c>
    </row>
    <row r="1961" spans="1:4" s="844" customFormat="1" ht="14">
      <c r="A1961" s="842">
        <v>69506</v>
      </c>
      <c r="B1961" s="844" t="s">
        <v>53236</v>
      </c>
      <c r="C1961" s="841">
        <v>330.4</v>
      </c>
    </row>
    <row r="1962" spans="1:4" s="871" customFormat="1" ht="14" customHeight="1">
      <c r="A1962" s="856">
        <v>69400</v>
      </c>
      <c r="B1962" s="844" t="s">
        <v>53235</v>
      </c>
      <c r="C1962" s="841">
        <v>284.10000000000002</v>
      </c>
      <c r="D1962" s="872"/>
    </row>
    <row r="1963" spans="1:4" s="871" customFormat="1" ht="31" customHeight="1">
      <c r="A1963" s="856">
        <v>69401</v>
      </c>
      <c r="B1963" s="849" t="s">
        <v>53234</v>
      </c>
      <c r="C1963" s="841">
        <v>284.10000000000002</v>
      </c>
      <c r="D1963" s="872"/>
    </row>
    <row r="1964" spans="1:4" s="871" customFormat="1" ht="14" customHeight="1">
      <c r="A1964" s="856">
        <v>69402</v>
      </c>
      <c r="B1964" s="844" t="s">
        <v>53233</v>
      </c>
      <c r="C1964" s="841">
        <v>284.10000000000002</v>
      </c>
      <c r="D1964" s="872"/>
    </row>
    <row r="1965" spans="1:4" s="871" customFormat="1" ht="14" customHeight="1">
      <c r="A1965" s="856">
        <v>69404</v>
      </c>
      <c r="B1965" s="844" t="s">
        <v>53232</v>
      </c>
      <c r="C1965" s="841">
        <v>284.10000000000002</v>
      </c>
      <c r="D1965" s="872"/>
    </row>
    <row r="1966" spans="1:4" s="871" customFormat="1" ht="14" customHeight="1">
      <c r="A1966" s="856">
        <v>69405</v>
      </c>
      <c r="B1966" s="844" t="s">
        <v>53231</v>
      </c>
      <c r="C1966" s="841">
        <v>297.54000000000002</v>
      </c>
      <c r="D1966" s="872"/>
    </row>
    <row r="1967" spans="1:4" s="871" customFormat="1" ht="28" customHeight="1">
      <c r="A1967" s="856">
        <v>69406</v>
      </c>
      <c r="B1967" s="849" t="s">
        <v>53230</v>
      </c>
      <c r="C1967" s="841">
        <v>297.54000000000002</v>
      </c>
      <c r="D1967" s="872"/>
    </row>
    <row r="1968" spans="1:4" s="871" customFormat="1" ht="14" customHeight="1">
      <c r="A1968" s="856">
        <v>69407</v>
      </c>
      <c r="B1968" s="844" t="s">
        <v>53229</v>
      </c>
      <c r="C1968" s="841">
        <v>297.54000000000002</v>
      </c>
      <c r="D1968" s="872"/>
    </row>
    <row r="1969" spans="1:4" s="871" customFormat="1" ht="14" customHeight="1">
      <c r="A1969" s="856">
        <v>69408</v>
      </c>
      <c r="B1969" s="844" t="s">
        <v>53228</v>
      </c>
      <c r="C1969" s="841">
        <v>297.54000000000002</v>
      </c>
      <c r="D1969" s="872"/>
    </row>
    <row r="1970" spans="1:4" s="871" customFormat="1" ht="14" customHeight="1">
      <c r="A1970" s="856">
        <v>69428</v>
      </c>
      <c r="B1970" s="853" t="s">
        <v>53227</v>
      </c>
      <c r="C1970" s="841">
        <v>314.61</v>
      </c>
      <c r="D1970" s="872"/>
    </row>
    <row r="1971" spans="1:4" s="871" customFormat="1" ht="14" customHeight="1">
      <c r="A1971" s="856">
        <v>69480</v>
      </c>
      <c r="B1971" s="844" t="s">
        <v>53226</v>
      </c>
      <c r="C1971" s="841">
        <v>314.61</v>
      </c>
      <c r="D1971" s="872"/>
    </row>
    <row r="1972" spans="1:4" s="844" customFormat="1" ht="14" customHeight="1">
      <c r="A1972" s="842">
        <v>69414</v>
      </c>
      <c r="B1972" s="844" t="s">
        <v>53225</v>
      </c>
      <c r="C1972" s="841">
        <v>462.47</v>
      </c>
    </row>
    <row r="1973" spans="1:4" ht="14" customHeight="1">
      <c r="A1973" s="842">
        <v>69434</v>
      </c>
      <c r="B1973" s="853" t="s">
        <v>53224</v>
      </c>
      <c r="C1973" s="841">
        <v>566.29</v>
      </c>
      <c r="D1973" s="845"/>
    </row>
    <row r="1974" spans="1:4" s="871" customFormat="1" ht="14" customHeight="1">
      <c r="A1974" s="856">
        <v>69411</v>
      </c>
      <c r="B1974" s="853" t="s">
        <v>53223</v>
      </c>
      <c r="C1974" s="841">
        <v>436.3</v>
      </c>
      <c r="D1974" s="847"/>
    </row>
    <row r="1975" spans="1:4" s="871" customFormat="1" ht="14" customHeight="1">
      <c r="A1975" s="856">
        <v>69417</v>
      </c>
      <c r="B1975" s="853" t="s">
        <v>53222</v>
      </c>
      <c r="C1975" s="841">
        <v>436.3</v>
      </c>
      <c r="D1975" s="847"/>
    </row>
    <row r="1976" spans="1:4" s="871" customFormat="1" ht="14" customHeight="1">
      <c r="A1976" s="856">
        <v>69418</v>
      </c>
      <c r="B1976" s="853" t="s">
        <v>53221</v>
      </c>
      <c r="C1976" s="841">
        <v>436.3</v>
      </c>
      <c r="D1976" s="847"/>
    </row>
    <row r="1977" spans="1:4" s="871" customFormat="1" ht="14" customHeight="1">
      <c r="A1977" s="856">
        <v>69419</v>
      </c>
      <c r="B1977" s="853" t="s">
        <v>53220</v>
      </c>
      <c r="C1977" s="841">
        <v>436.3</v>
      </c>
      <c r="D1977" s="847"/>
    </row>
    <row r="1978" spans="1:4" s="871" customFormat="1" ht="14" customHeight="1">
      <c r="A1978" s="856">
        <v>69431</v>
      </c>
      <c r="B1978" s="844" t="s">
        <v>53219</v>
      </c>
      <c r="C1978" s="841">
        <v>534.24</v>
      </c>
      <c r="D1978" s="847"/>
    </row>
    <row r="1979" spans="1:4" s="871" customFormat="1" ht="14" customHeight="1">
      <c r="A1979" s="856">
        <v>69437</v>
      </c>
      <c r="B1979" s="844" t="s">
        <v>53218</v>
      </c>
      <c r="C1979" s="841">
        <v>534.24</v>
      </c>
      <c r="D1979" s="847"/>
    </row>
    <row r="1980" spans="1:4" s="871" customFormat="1" ht="14" customHeight="1">
      <c r="A1980" s="856">
        <v>69438</v>
      </c>
      <c r="B1980" s="844" t="s">
        <v>53217</v>
      </c>
      <c r="C1980" s="841">
        <v>534.24</v>
      </c>
      <c r="D1980" s="847"/>
    </row>
    <row r="1981" spans="1:4" s="871" customFormat="1" ht="14" customHeight="1">
      <c r="A1981" s="856">
        <v>69439</v>
      </c>
      <c r="B1981" s="844" t="s">
        <v>53216</v>
      </c>
      <c r="C1981" s="841">
        <v>534.24</v>
      </c>
      <c r="D1981" s="847"/>
    </row>
    <row r="1982" spans="1:4" s="871" customFormat="1" ht="14" customHeight="1">
      <c r="A1982" s="856">
        <v>69465</v>
      </c>
      <c r="B1982" s="844" t="s">
        <v>53215</v>
      </c>
      <c r="C1982" s="841">
        <v>508.39</v>
      </c>
      <c r="D1982" s="847"/>
    </row>
    <row r="1983" spans="1:4" s="871" customFormat="1" ht="14" customHeight="1">
      <c r="A1983" s="856">
        <v>69475</v>
      </c>
      <c r="B1983" s="844" t="s">
        <v>53214</v>
      </c>
      <c r="C1983" s="841">
        <v>612.21</v>
      </c>
      <c r="D1983" s="847"/>
    </row>
    <row r="1984" spans="1:4" s="871" customFormat="1" ht="14" customHeight="1">
      <c r="A1984" s="856">
        <v>69466</v>
      </c>
      <c r="B1984" s="844" t="s">
        <v>53213</v>
      </c>
      <c r="C1984" s="841">
        <v>482.22</v>
      </c>
      <c r="D1984" s="847"/>
    </row>
    <row r="1985" spans="1:4" s="871" customFormat="1" ht="14" customHeight="1">
      <c r="A1985" s="856">
        <v>69467</v>
      </c>
      <c r="B1985" s="844" t="s">
        <v>53212</v>
      </c>
      <c r="C1985" s="841">
        <v>482.22</v>
      </c>
      <c r="D1985" s="847"/>
    </row>
    <row r="1986" spans="1:4" s="871" customFormat="1" ht="14" customHeight="1">
      <c r="A1986" s="856">
        <v>69468</v>
      </c>
      <c r="B1986" s="844" t="s">
        <v>53211</v>
      </c>
      <c r="C1986" s="841">
        <v>482.22</v>
      </c>
      <c r="D1986" s="847"/>
    </row>
    <row r="1987" spans="1:4" s="871" customFormat="1" ht="14" customHeight="1">
      <c r="A1987" s="856">
        <v>69469</v>
      </c>
      <c r="B1987" s="844" t="s">
        <v>53210</v>
      </c>
      <c r="C1987" s="841">
        <v>482.22</v>
      </c>
      <c r="D1987" s="847"/>
    </row>
    <row r="1988" spans="1:4" s="871" customFormat="1" ht="14" customHeight="1">
      <c r="A1988" s="856">
        <v>69476</v>
      </c>
      <c r="B1988" s="844" t="s">
        <v>53209</v>
      </c>
      <c r="C1988" s="841">
        <v>580.16</v>
      </c>
      <c r="D1988" s="847"/>
    </row>
    <row r="1989" spans="1:4" s="871" customFormat="1" ht="14" customHeight="1">
      <c r="A1989" s="856">
        <v>69477</v>
      </c>
      <c r="B1989" s="844" t="s">
        <v>53208</v>
      </c>
      <c r="C1989" s="841">
        <v>580.16</v>
      </c>
      <c r="D1989" s="847"/>
    </row>
    <row r="1990" spans="1:4" s="871" customFormat="1" ht="14" customHeight="1">
      <c r="A1990" s="856">
        <v>69478</v>
      </c>
      <c r="B1990" s="844" t="s">
        <v>53207</v>
      </c>
      <c r="C1990" s="841">
        <v>580.16</v>
      </c>
      <c r="D1990" s="847"/>
    </row>
    <row r="1991" spans="1:4" s="871" customFormat="1" ht="14" customHeight="1">
      <c r="A1991" s="856">
        <v>69479</v>
      </c>
      <c r="B1991" s="844" t="s">
        <v>53206</v>
      </c>
      <c r="C1991" s="841">
        <v>580.16</v>
      </c>
      <c r="D1991" s="847"/>
    </row>
    <row r="1992" spans="1:4" ht="14" customHeight="1">
      <c r="A1992" s="842">
        <v>69464</v>
      </c>
      <c r="B1992" s="853" t="s">
        <v>53205</v>
      </c>
      <c r="C1992" s="841">
        <v>302.02</v>
      </c>
      <c r="D1992" s="845"/>
    </row>
    <row r="1993" spans="1:4" s="844" customFormat="1" ht="14" customHeight="1">
      <c r="A1993" s="842">
        <v>69470</v>
      </c>
      <c r="B1993" s="870" t="s">
        <v>53204</v>
      </c>
      <c r="C1993" s="841">
        <v>484.5</v>
      </c>
      <c r="D1993" s="847"/>
    </row>
    <row r="1994" spans="1:4" s="844" customFormat="1" ht="14" customHeight="1">
      <c r="A1994" s="842">
        <v>69473</v>
      </c>
      <c r="B1994" s="870" t="s">
        <v>53203</v>
      </c>
      <c r="C1994" s="841">
        <v>597.76</v>
      </c>
      <c r="D1994" s="847"/>
    </row>
    <row r="1995" spans="1:4" ht="14" customHeight="1">
      <c r="A1995" s="842">
        <v>69191</v>
      </c>
      <c r="B1995" s="844" t="s">
        <v>53202</v>
      </c>
      <c r="C1995" s="841">
        <v>755.06</v>
      </c>
      <c r="D1995" s="845"/>
    </row>
    <row r="1996" spans="1:4" ht="14" customHeight="1">
      <c r="A1996" s="842">
        <v>69192</v>
      </c>
      <c r="B1996" s="844" t="s">
        <v>53201</v>
      </c>
      <c r="C1996" s="841">
        <v>755.06</v>
      </c>
      <c r="D1996" s="845"/>
    </row>
    <row r="1997" spans="1:4" ht="14" customHeight="1">
      <c r="A1997" s="842">
        <v>69440</v>
      </c>
      <c r="B1997" s="848" t="s">
        <v>53200</v>
      </c>
      <c r="C1997" s="841">
        <v>320.89999999999998</v>
      </c>
      <c r="D1997" s="845"/>
    </row>
    <row r="1998" spans="1:4" ht="14" customHeight="1">
      <c r="A1998" s="842">
        <v>69441</v>
      </c>
      <c r="B1998" s="848" t="s">
        <v>53199</v>
      </c>
      <c r="C1998" s="841">
        <v>264.27999999999997</v>
      </c>
      <c r="D1998" s="845"/>
    </row>
    <row r="1999" spans="1:4" ht="14" customHeight="1">
      <c r="A1999" s="842">
        <v>69442</v>
      </c>
      <c r="B1999" s="848" t="s">
        <v>53198</v>
      </c>
      <c r="C1999" s="841">
        <v>355.51</v>
      </c>
      <c r="D1999" s="845"/>
    </row>
    <row r="2000" spans="1:4" s="844" customFormat="1" ht="14" customHeight="1">
      <c r="A2000" s="842">
        <v>69445</v>
      </c>
      <c r="B2000" s="848" t="s">
        <v>53197</v>
      </c>
      <c r="C2000" s="841">
        <v>500.85</v>
      </c>
      <c r="D2000" s="847"/>
    </row>
    <row r="2001" spans="1:4" s="844" customFormat="1" ht="14" customHeight="1">
      <c r="A2001" s="842">
        <v>69446</v>
      </c>
      <c r="B2001" s="848" t="s">
        <v>53196</v>
      </c>
      <c r="C2001" s="841">
        <v>453.04</v>
      </c>
      <c r="D2001" s="847"/>
    </row>
    <row r="2002" spans="1:4" s="844" customFormat="1" ht="14" customHeight="1">
      <c r="A2002" s="842">
        <v>69443</v>
      </c>
      <c r="B2002" s="848" t="s">
        <v>53195</v>
      </c>
      <c r="C2002" s="841">
        <v>616.63</v>
      </c>
      <c r="D2002" s="847"/>
    </row>
    <row r="2003" spans="1:4" s="844" customFormat="1" ht="14" customHeight="1">
      <c r="A2003" s="842">
        <v>69444</v>
      </c>
      <c r="B2003" s="848" t="s">
        <v>53194</v>
      </c>
      <c r="C2003" s="841">
        <v>566.29</v>
      </c>
      <c r="D2003" s="847"/>
    </row>
    <row r="2004" spans="1:4" s="844" customFormat="1" ht="14" customHeight="1">
      <c r="A2004" s="842">
        <v>69483</v>
      </c>
      <c r="B2004" s="844" t="s">
        <v>53193</v>
      </c>
      <c r="C2004" s="841">
        <v>367.2</v>
      </c>
      <c r="D2004" s="847"/>
    </row>
    <row r="2005" spans="1:4" s="844" customFormat="1" ht="14" customHeight="1">
      <c r="A2005" s="842">
        <v>69484</v>
      </c>
      <c r="B2005" s="848" t="s">
        <v>53192</v>
      </c>
      <c r="C2005" s="841">
        <v>310.58</v>
      </c>
      <c r="D2005" s="847"/>
    </row>
    <row r="2006" spans="1:4" ht="14" customHeight="1">
      <c r="A2006" s="842">
        <v>69450</v>
      </c>
      <c r="B2006" s="848" t="s">
        <v>53191</v>
      </c>
      <c r="C2006" s="841">
        <v>339.77</v>
      </c>
      <c r="D2006" s="845"/>
    </row>
    <row r="2007" spans="1:4" ht="14" customHeight="1">
      <c r="A2007" s="842">
        <v>69451</v>
      </c>
      <c r="B2007" s="848" t="s">
        <v>53190</v>
      </c>
      <c r="C2007" s="841">
        <v>283.14999999999998</v>
      </c>
      <c r="D2007" s="845"/>
    </row>
    <row r="2008" spans="1:4" s="844" customFormat="1" ht="14" customHeight="1">
      <c r="A2008" s="842">
        <v>69447</v>
      </c>
      <c r="B2008" s="848" t="s">
        <v>53189</v>
      </c>
      <c r="C2008" s="841">
        <v>522.24</v>
      </c>
      <c r="D2008" s="847"/>
    </row>
    <row r="2009" spans="1:4" s="844" customFormat="1" ht="14" customHeight="1">
      <c r="A2009" s="842">
        <v>69448</v>
      </c>
      <c r="B2009" s="848" t="s">
        <v>53188</v>
      </c>
      <c r="C2009" s="841">
        <v>475.69</v>
      </c>
      <c r="D2009" s="847"/>
    </row>
    <row r="2010" spans="1:4" s="844" customFormat="1" ht="14" customHeight="1">
      <c r="A2010" s="842">
        <v>69453</v>
      </c>
      <c r="B2010" s="848" t="s">
        <v>53187</v>
      </c>
      <c r="C2010" s="841">
        <v>641.79999999999995</v>
      </c>
      <c r="D2010" s="847"/>
    </row>
    <row r="2011" spans="1:4" s="844" customFormat="1" ht="14" customHeight="1">
      <c r="A2011" s="842">
        <v>69454</v>
      </c>
      <c r="B2011" s="848" t="s">
        <v>53186</v>
      </c>
      <c r="C2011" s="841">
        <v>591.46</v>
      </c>
      <c r="D2011" s="847"/>
    </row>
    <row r="2012" spans="1:4" ht="16" customHeight="1">
      <c r="A2012" s="846" t="s">
        <v>53185</v>
      </c>
      <c r="B2012" s="869"/>
      <c r="C2012" s="841"/>
      <c r="D2012" s="845"/>
    </row>
    <row r="2013" spans="1:4">
      <c r="A2013" s="868" t="s">
        <v>53184</v>
      </c>
      <c r="B2013" s="867"/>
      <c r="C2013" s="841"/>
      <c r="D2013" s="845"/>
    </row>
    <row r="2014" spans="1:4" ht="14" customHeight="1">
      <c r="A2014" s="842">
        <v>69600</v>
      </c>
      <c r="B2014" s="849" t="s">
        <v>53183</v>
      </c>
      <c r="C2014" s="841">
        <v>283.14999999999998</v>
      </c>
      <c r="D2014" s="845"/>
    </row>
    <row r="2015" spans="1:4" ht="14" customHeight="1">
      <c r="A2015" s="842">
        <v>69601</v>
      </c>
      <c r="B2015" s="849" t="s">
        <v>53182</v>
      </c>
      <c r="C2015" s="841">
        <v>283.14999999999998</v>
      </c>
      <c r="D2015" s="845"/>
    </row>
    <row r="2016" spans="1:4" ht="14" customHeight="1">
      <c r="A2016" s="842">
        <v>69602</v>
      </c>
      <c r="B2016" s="849" t="s">
        <v>53181</v>
      </c>
      <c r="C2016" s="841">
        <v>283.14999999999998</v>
      </c>
      <c r="D2016" s="845"/>
    </row>
    <row r="2017" spans="1:4" ht="14" customHeight="1">
      <c r="A2017" s="842">
        <v>69610</v>
      </c>
      <c r="B2017" s="849" t="s">
        <v>53180</v>
      </c>
      <c r="C2017" s="841">
        <v>283.14999999999998</v>
      </c>
      <c r="D2017" s="845"/>
    </row>
    <row r="2018" spans="1:4" ht="14" customHeight="1">
      <c r="A2018" s="842">
        <v>69611</v>
      </c>
      <c r="B2018" s="849" t="s">
        <v>53179</v>
      </c>
      <c r="C2018" s="841">
        <v>283.14999999999998</v>
      </c>
      <c r="D2018" s="845"/>
    </row>
    <row r="2019" spans="1:4" ht="16" customHeight="1">
      <c r="A2019" s="846" t="s">
        <v>53178</v>
      </c>
      <c r="B2019" s="842"/>
      <c r="C2019" s="841"/>
      <c r="D2019" s="845"/>
    </row>
    <row r="2020" spans="1:4" s="844" customFormat="1" ht="14" customHeight="1">
      <c r="A2020" s="863" t="s">
        <v>53177</v>
      </c>
      <c r="B2020" s="842"/>
      <c r="C2020" s="841"/>
      <c r="D2020" s="847"/>
    </row>
    <row r="2021" spans="1:4" s="844" customFormat="1" ht="14" customHeight="1">
      <c r="A2021" s="842">
        <v>99502</v>
      </c>
      <c r="B2021" s="842" t="s">
        <v>53176</v>
      </c>
      <c r="C2021" s="841">
        <v>233.32</v>
      </c>
      <c r="D2021" s="847"/>
    </row>
    <row r="2022" spans="1:4" s="844" customFormat="1" ht="14" customHeight="1">
      <c r="A2022" s="842">
        <v>99503</v>
      </c>
      <c r="B2022" s="842" t="s">
        <v>53175</v>
      </c>
      <c r="C2022" s="841">
        <v>272.25</v>
      </c>
      <c r="D2022" s="847"/>
    </row>
    <row r="2023" spans="1:4" s="844" customFormat="1" ht="14" customHeight="1">
      <c r="A2023" s="842">
        <v>99505</v>
      </c>
      <c r="B2023" s="842" t="s">
        <v>53174</v>
      </c>
      <c r="C2023" s="841">
        <v>0</v>
      </c>
      <c r="D2023" s="847"/>
    </row>
    <row r="2024" spans="1:4" s="844" customFormat="1" ht="14" customHeight="1">
      <c r="A2024" s="842">
        <v>99499</v>
      </c>
      <c r="B2024" s="842" t="s">
        <v>53173</v>
      </c>
      <c r="C2024" s="841">
        <v>233.32</v>
      </c>
      <c r="D2024" s="847"/>
    </row>
    <row r="2025" spans="1:4" s="844" customFormat="1" ht="14" customHeight="1">
      <c r="A2025" s="842">
        <v>99500</v>
      </c>
      <c r="B2025" s="842" t="s">
        <v>53172</v>
      </c>
      <c r="C2025" s="841">
        <v>272.25</v>
      </c>
      <c r="D2025" s="847"/>
    </row>
    <row r="2026" spans="1:4" s="844" customFormat="1" ht="14" customHeight="1">
      <c r="A2026" s="842">
        <v>99501</v>
      </c>
      <c r="B2026" s="842" t="s">
        <v>53171</v>
      </c>
      <c r="C2026" s="841">
        <v>252.8</v>
      </c>
      <c r="D2026" s="847"/>
    </row>
    <row r="2027" spans="1:4" s="844" customFormat="1" ht="14">
      <c r="A2027" s="842">
        <v>99546</v>
      </c>
      <c r="B2027" s="842" t="s">
        <v>53170</v>
      </c>
      <c r="C2027" s="841">
        <v>76.430000000000007</v>
      </c>
    </row>
    <row r="2028" spans="1:4" s="844" customFormat="1" ht="14" customHeight="1">
      <c r="A2028" s="842">
        <v>99549</v>
      </c>
      <c r="B2028" s="842" t="s">
        <v>53169</v>
      </c>
      <c r="C2028" s="841">
        <v>51.52</v>
      </c>
      <c r="D2028" s="847"/>
    </row>
    <row r="2029" spans="1:4" s="844" customFormat="1" ht="14" customHeight="1">
      <c r="A2029" s="842">
        <v>99504</v>
      </c>
      <c r="B2029" s="842" t="s">
        <v>53168</v>
      </c>
      <c r="C2029" s="841">
        <v>0</v>
      </c>
      <c r="D2029" s="847"/>
    </row>
    <row r="2030" spans="1:4" s="844" customFormat="1" ht="14" customHeight="1">
      <c r="A2030" s="842">
        <v>99192</v>
      </c>
      <c r="B2030" s="842" t="s">
        <v>53167</v>
      </c>
      <c r="C2030" s="841">
        <v>92.49</v>
      </c>
      <c r="D2030" s="847"/>
    </row>
    <row r="2031" spans="1:4" s="844" customFormat="1" ht="14" customHeight="1">
      <c r="A2031" s="842">
        <v>99199</v>
      </c>
      <c r="B2031" s="842" t="s">
        <v>53166</v>
      </c>
      <c r="C2031" s="841">
        <v>96.47</v>
      </c>
      <c r="D2031" s="847"/>
    </row>
    <row r="2032" spans="1:4" s="844" customFormat="1" ht="14">
      <c r="A2032" s="842">
        <v>990303</v>
      </c>
      <c r="B2032" s="849" t="s">
        <v>53165</v>
      </c>
      <c r="C2032" s="841">
        <v>109.22</v>
      </c>
    </row>
    <row r="2033" spans="1:4" s="844" customFormat="1" ht="14" customHeight="1">
      <c r="A2033" s="863" t="s">
        <v>53164</v>
      </c>
      <c r="C2033" s="841"/>
      <c r="D2033" s="847"/>
    </row>
    <row r="2034" spans="1:4" s="844" customFormat="1" ht="14" customHeight="1">
      <c r="A2034" s="842">
        <v>99104</v>
      </c>
      <c r="B2034" s="842" t="s">
        <v>53163</v>
      </c>
      <c r="C2034" s="841">
        <v>463.76</v>
      </c>
      <c r="D2034" s="847"/>
    </row>
    <row r="2035" spans="1:4" s="844" customFormat="1" ht="14" customHeight="1">
      <c r="A2035" s="842">
        <v>99105</v>
      </c>
      <c r="B2035" s="842" t="s">
        <v>53162</v>
      </c>
      <c r="C2035" s="841">
        <v>544.5</v>
      </c>
      <c r="D2035" s="847"/>
    </row>
    <row r="2036" spans="1:4" s="844" customFormat="1" ht="14" customHeight="1">
      <c r="A2036" s="842">
        <v>99124</v>
      </c>
      <c r="B2036" s="844" t="s">
        <v>53161</v>
      </c>
      <c r="C2036" s="841">
        <v>142.53</v>
      </c>
      <c r="D2036" s="847"/>
    </row>
    <row r="2037" spans="1:4" s="844" customFormat="1" ht="14" customHeight="1">
      <c r="A2037" s="866" t="s">
        <v>53160</v>
      </c>
      <c r="B2037" s="842"/>
      <c r="C2037" s="841"/>
      <c r="D2037" s="847"/>
    </row>
    <row r="2038" spans="1:4" s="844" customFormat="1" ht="14" customHeight="1">
      <c r="A2038" s="842">
        <v>99202</v>
      </c>
      <c r="B2038" s="842" t="s">
        <v>53159</v>
      </c>
      <c r="C2038" s="841">
        <v>23.78</v>
      </c>
      <c r="D2038" s="847"/>
    </row>
    <row r="2039" spans="1:4" s="864" customFormat="1" ht="14" customHeight="1">
      <c r="A2039" s="842">
        <v>99203</v>
      </c>
      <c r="B2039" s="842" t="s">
        <v>53158</v>
      </c>
      <c r="C2039" s="841">
        <v>23.78</v>
      </c>
      <c r="D2039" s="865"/>
    </row>
    <row r="2040" spans="1:4" s="864" customFormat="1" ht="14">
      <c r="A2040" s="842">
        <v>99544</v>
      </c>
      <c r="B2040" s="842" t="s">
        <v>53157</v>
      </c>
      <c r="C2040" s="841">
        <v>45.11</v>
      </c>
    </row>
    <row r="2041" spans="1:4" s="864" customFormat="1" ht="14">
      <c r="A2041" s="842">
        <v>99543</v>
      </c>
      <c r="B2041" s="842" t="s">
        <v>53156</v>
      </c>
      <c r="C2041" s="841">
        <v>46.3</v>
      </c>
    </row>
    <row r="2042" spans="1:4" s="844" customFormat="1" ht="14" customHeight="1">
      <c r="A2042" s="863" t="s">
        <v>53155</v>
      </c>
      <c r="C2042" s="841"/>
      <c r="D2042" s="847"/>
    </row>
    <row r="2043" spans="1:4" s="844" customFormat="1" ht="14" customHeight="1">
      <c r="A2043" s="842">
        <v>99132</v>
      </c>
      <c r="B2043" s="844" t="s">
        <v>53154</v>
      </c>
      <c r="C2043" s="841">
        <v>27.74</v>
      </c>
      <c r="D2043" s="847"/>
    </row>
    <row r="2044" spans="1:4" s="844" customFormat="1" ht="14" customHeight="1">
      <c r="A2044" s="842">
        <v>99133</v>
      </c>
      <c r="B2044" s="844" t="s">
        <v>53153</v>
      </c>
      <c r="C2044" s="841">
        <v>27.74</v>
      </c>
      <c r="D2044" s="847"/>
    </row>
    <row r="2045" spans="1:4" s="844" customFormat="1" ht="14" customHeight="1">
      <c r="A2045" s="842">
        <v>99353</v>
      </c>
      <c r="B2045" s="842" t="s">
        <v>53152</v>
      </c>
      <c r="C2045" s="841">
        <v>2.97</v>
      </c>
      <c r="D2045" s="847"/>
    </row>
    <row r="2046" spans="1:4" s="844" customFormat="1" ht="14" customHeight="1">
      <c r="A2046" s="842">
        <v>99050</v>
      </c>
      <c r="B2046" s="842" t="s">
        <v>53151</v>
      </c>
      <c r="C2046" s="841">
        <v>377.55</v>
      </c>
    </row>
    <row r="2047" spans="1:4" s="844" customFormat="1" ht="14" customHeight="1">
      <c r="A2047" s="842">
        <v>99108</v>
      </c>
      <c r="B2047" s="842" t="s">
        <v>53150</v>
      </c>
      <c r="C2047" s="841">
        <v>6.61</v>
      </c>
    </row>
    <row r="2048" spans="1:4" s="844" customFormat="1" ht="14" customHeight="1">
      <c r="A2048" s="842">
        <v>99065</v>
      </c>
      <c r="B2048" s="842" t="s">
        <v>53149</v>
      </c>
      <c r="C2048" s="841">
        <v>7.93</v>
      </c>
      <c r="D2048" s="847"/>
    </row>
    <row r="2049" spans="1:4" s="844" customFormat="1" ht="14" customHeight="1">
      <c r="A2049" s="842">
        <v>99066</v>
      </c>
      <c r="B2049" s="842" t="s">
        <v>53148</v>
      </c>
      <c r="C2049" s="841">
        <v>7.93</v>
      </c>
      <c r="D2049" s="847"/>
    </row>
    <row r="2050" spans="1:4" s="844" customFormat="1" ht="14" customHeight="1">
      <c r="A2050" s="842">
        <v>99067</v>
      </c>
      <c r="B2050" s="842" t="s">
        <v>53147</v>
      </c>
      <c r="C2050" s="841">
        <v>7.93</v>
      </c>
      <c r="D2050" s="847"/>
    </row>
    <row r="2051" spans="1:4" s="844" customFormat="1" ht="14" customHeight="1">
      <c r="A2051" s="842">
        <v>99068</v>
      </c>
      <c r="B2051" s="842" t="s">
        <v>53146</v>
      </c>
      <c r="C2051" s="841">
        <v>7.93</v>
      </c>
      <c r="D2051" s="847"/>
    </row>
    <row r="2052" spans="1:4" s="844" customFormat="1" ht="14" customHeight="1">
      <c r="A2052" s="842">
        <v>991089</v>
      </c>
      <c r="B2052" s="848" t="s">
        <v>53145</v>
      </c>
      <c r="C2052" s="841">
        <v>25.11</v>
      </c>
      <c r="D2052" s="847"/>
    </row>
    <row r="2053" spans="1:4" s="844" customFormat="1" ht="14" customHeight="1">
      <c r="A2053" s="842">
        <v>99039</v>
      </c>
      <c r="B2053" s="842" t="s">
        <v>53144</v>
      </c>
      <c r="C2053" s="841">
        <v>55.51</v>
      </c>
      <c r="D2053" s="847"/>
    </row>
    <row r="2054" spans="1:4" s="844" customFormat="1" ht="14" customHeight="1">
      <c r="A2054" s="842">
        <v>99143</v>
      </c>
      <c r="B2054" s="842" t="s">
        <v>53143</v>
      </c>
      <c r="C2054" s="841">
        <v>55.51</v>
      </c>
      <c r="D2054" s="847"/>
    </row>
    <row r="2055" spans="1:4" s="844" customFormat="1" ht="14" customHeight="1">
      <c r="A2055" s="842">
        <v>99091</v>
      </c>
      <c r="B2055" s="842" t="s">
        <v>53142</v>
      </c>
      <c r="C2055" s="841">
        <v>42.29</v>
      </c>
      <c r="D2055" s="847"/>
    </row>
    <row r="2056" spans="1:4" s="844" customFormat="1" ht="14" customHeight="1">
      <c r="A2056" s="842">
        <v>990755</v>
      </c>
      <c r="B2056" s="844" t="s">
        <v>53141</v>
      </c>
      <c r="C2056" s="841">
        <v>1.65</v>
      </c>
      <c r="D2056" s="847"/>
    </row>
    <row r="2057" spans="1:4" s="844" customFormat="1" ht="14" customHeight="1">
      <c r="A2057" s="842">
        <v>990756</v>
      </c>
      <c r="B2057" s="844" t="s">
        <v>53140</v>
      </c>
      <c r="C2057" s="841">
        <v>1.65</v>
      </c>
      <c r="D2057" s="847"/>
    </row>
    <row r="2058" spans="1:4" s="844" customFormat="1" ht="14" customHeight="1">
      <c r="A2058" s="842">
        <v>990762</v>
      </c>
      <c r="B2058" s="844" t="s">
        <v>53139</v>
      </c>
      <c r="C2058" s="841">
        <v>1.65</v>
      </c>
      <c r="D2058" s="847"/>
    </row>
    <row r="2059" spans="1:4" s="844" customFormat="1" ht="14" customHeight="1">
      <c r="A2059" s="842">
        <v>990807</v>
      </c>
      <c r="B2059" s="844" t="s">
        <v>53138</v>
      </c>
      <c r="C2059" s="841">
        <v>1.64</v>
      </c>
      <c r="D2059" s="847"/>
    </row>
    <row r="2060" spans="1:4" s="844" customFormat="1" ht="14" customHeight="1">
      <c r="A2060" s="842">
        <v>997781</v>
      </c>
      <c r="B2060" s="844" t="s">
        <v>53137</v>
      </c>
      <c r="C2060" s="841">
        <v>1.65</v>
      </c>
      <c r="D2060" s="847"/>
    </row>
    <row r="2061" spans="1:4" s="844" customFormat="1" ht="14" customHeight="1">
      <c r="A2061" s="842">
        <v>990838</v>
      </c>
      <c r="B2061" s="844" t="s">
        <v>53136</v>
      </c>
      <c r="C2061" s="841">
        <v>1.98</v>
      </c>
      <c r="D2061" s="847"/>
    </row>
    <row r="2062" spans="1:4" s="844" customFormat="1" ht="14" customHeight="1">
      <c r="A2062" s="842">
        <v>990809</v>
      </c>
      <c r="B2062" s="844" t="s">
        <v>53135</v>
      </c>
      <c r="C2062" s="841">
        <v>1.98</v>
      </c>
      <c r="D2062" s="847"/>
    </row>
    <row r="2063" spans="1:4" s="844" customFormat="1" ht="14" customHeight="1">
      <c r="A2063" s="842">
        <v>990296</v>
      </c>
      <c r="B2063" s="844" t="s">
        <v>53134</v>
      </c>
      <c r="C2063" s="841">
        <v>26.43</v>
      </c>
      <c r="D2063" s="847"/>
    </row>
    <row r="2064" spans="1:4" s="844" customFormat="1" ht="14" customHeight="1">
      <c r="A2064" s="863" t="s">
        <v>53133</v>
      </c>
      <c r="C2064" s="841"/>
      <c r="D2064" s="847"/>
    </row>
    <row r="2065" spans="1:160" s="844" customFormat="1" ht="14" customHeight="1">
      <c r="A2065" s="842">
        <v>992020</v>
      </c>
      <c r="B2065" s="844" t="s">
        <v>53132</v>
      </c>
      <c r="C2065" s="841">
        <v>55.51</v>
      </c>
      <c r="D2065" s="847"/>
    </row>
    <row r="2066" spans="1:160" s="844" customFormat="1" ht="14" customHeight="1">
      <c r="A2066" s="842">
        <v>99356</v>
      </c>
      <c r="B2066" s="844" t="s">
        <v>53131</v>
      </c>
      <c r="C2066" s="841">
        <v>21.15</v>
      </c>
      <c r="D2066" s="847"/>
    </row>
    <row r="2067" spans="1:160" s="844" customFormat="1" ht="14" customHeight="1">
      <c r="A2067" s="842">
        <v>99357</v>
      </c>
      <c r="B2067" s="844" t="s">
        <v>53130</v>
      </c>
      <c r="C2067" s="841">
        <v>27.74</v>
      </c>
      <c r="D2067" s="847"/>
    </row>
    <row r="2068" spans="1:160" s="844" customFormat="1" ht="14" customHeight="1">
      <c r="A2068" s="842">
        <v>99358</v>
      </c>
      <c r="B2068" s="844" t="s">
        <v>53129</v>
      </c>
      <c r="C2068" s="841">
        <v>27.74</v>
      </c>
      <c r="D2068" s="847"/>
    </row>
    <row r="2069" spans="1:160" s="844" customFormat="1" ht="14" customHeight="1">
      <c r="A2069" s="842">
        <v>99359</v>
      </c>
      <c r="B2069" s="844" t="s">
        <v>53128</v>
      </c>
      <c r="C2069" s="841">
        <v>27.74</v>
      </c>
      <c r="D2069" s="847"/>
    </row>
    <row r="2070" spans="1:160" s="844" customFormat="1" ht="14" customHeight="1">
      <c r="A2070" s="842">
        <v>99360</v>
      </c>
      <c r="B2070" s="844" t="s">
        <v>53127</v>
      </c>
      <c r="C2070" s="841">
        <v>104.4</v>
      </c>
      <c r="D2070" s="847"/>
    </row>
    <row r="2071" spans="1:160" s="844" customFormat="1" ht="14" customHeight="1">
      <c r="A2071" s="842">
        <v>992225</v>
      </c>
      <c r="B2071" s="844" t="s">
        <v>53126</v>
      </c>
      <c r="C2071" s="841">
        <v>27.74</v>
      </c>
      <c r="D2071" s="847"/>
    </row>
    <row r="2072" spans="1:160" s="844" customFormat="1" ht="14" customHeight="1">
      <c r="A2072" s="863" t="s">
        <v>53125</v>
      </c>
      <c r="C2072" s="841"/>
      <c r="D2072" s="847"/>
    </row>
    <row r="2073" spans="1:160" s="844" customFormat="1" ht="14" customHeight="1">
      <c r="A2073" s="842">
        <v>99218</v>
      </c>
      <c r="B2073" s="844" t="s">
        <v>53124</v>
      </c>
      <c r="C2073" s="841">
        <v>35.04</v>
      </c>
      <c r="D2073" s="847"/>
    </row>
    <row r="2074" spans="1:160" s="844" customFormat="1" ht="14" customHeight="1">
      <c r="A2074" s="842">
        <v>99223</v>
      </c>
      <c r="B2074" s="844" t="s">
        <v>53123</v>
      </c>
      <c r="C2074" s="841">
        <v>31.71</v>
      </c>
      <c r="D2074" s="847"/>
    </row>
    <row r="2075" spans="1:160" s="844" customFormat="1" ht="14" customHeight="1">
      <c r="A2075" s="842">
        <v>99228</v>
      </c>
      <c r="B2075" s="844" t="s">
        <v>53122</v>
      </c>
      <c r="C2075" s="841">
        <v>24.99</v>
      </c>
      <c r="D2075" s="847"/>
    </row>
    <row r="2076" spans="1:160" s="844" customFormat="1" ht="14" customHeight="1">
      <c r="A2076" s="842">
        <v>99287</v>
      </c>
      <c r="B2076" s="844" t="s">
        <v>53121</v>
      </c>
      <c r="C2076" s="841">
        <v>115.2</v>
      </c>
      <c r="D2076" s="847"/>
    </row>
    <row r="2077" spans="1:160" s="844" customFormat="1" ht="14" customHeight="1">
      <c r="A2077" s="842">
        <v>99380</v>
      </c>
      <c r="B2077" s="842" t="s">
        <v>53120</v>
      </c>
      <c r="C2077" s="841">
        <v>68.709999999999994</v>
      </c>
      <c r="D2077" s="847"/>
    </row>
    <row r="2078" spans="1:160" s="844" customFormat="1" ht="14" customHeight="1">
      <c r="A2078" s="842">
        <v>99421</v>
      </c>
      <c r="B2078" s="862" t="s">
        <v>53119</v>
      </c>
      <c r="C2078" s="841">
        <v>147.66</v>
      </c>
      <c r="D2078" s="847"/>
    </row>
    <row r="2079" spans="1:160" s="844" customFormat="1" ht="14" customHeight="1">
      <c r="A2079" s="842">
        <v>99430</v>
      </c>
      <c r="B2079" s="862" t="s">
        <v>53118</v>
      </c>
      <c r="C2079" s="841">
        <v>33.36</v>
      </c>
      <c r="D2079" s="847"/>
    </row>
    <row r="2080" spans="1:160" s="858" customFormat="1" ht="14" customHeight="1">
      <c r="A2080" s="856">
        <v>99440</v>
      </c>
      <c r="B2080" s="855" t="s">
        <v>53117</v>
      </c>
      <c r="C2080" s="841">
        <v>107.03</v>
      </c>
      <c r="D2080" s="861"/>
      <c r="E2080" s="855"/>
      <c r="F2080" s="855"/>
      <c r="G2080" s="855"/>
      <c r="H2080" s="855"/>
      <c r="I2080" s="855"/>
      <c r="J2080" s="855"/>
      <c r="K2080" s="855"/>
      <c r="L2080" s="855"/>
      <c r="M2080" s="855"/>
      <c r="N2080" s="855"/>
      <c r="O2080" s="855"/>
      <c r="P2080" s="855"/>
      <c r="Q2080" s="855"/>
      <c r="R2080" s="855"/>
      <c r="S2080" s="855"/>
      <c r="T2080" s="855"/>
      <c r="U2080" s="855"/>
      <c r="V2080" s="855"/>
      <c r="W2080" s="855"/>
      <c r="X2080" s="855"/>
      <c r="Y2080" s="855"/>
      <c r="Z2080" s="855"/>
      <c r="AA2080" s="855"/>
      <c r="AB2080" s="855"/>
      <c r="AC2080" s="855"/>
      <c r="AD2080" s="855"/>
      <c r="AE2080" s="855"/>
      <c r="AF2080" s="855"/>
      <c r="AG2080" s="855"/>
      <c r="AH2080" s="855"/>
      <c r="AI2080" s="855"/>
      <c r="AJ2080" s="855"/>
      <c r="AK2080" s="855"/>
      <c r="AL2080" s="855"/>
      <c r="AM2080" s="855"/>
      <c r="AN2080" s="855"/>
      <c r="AO2080" s="855"/>
      <c r="AP2080" s="855"/>
      <c r="AQ2080" s="855"/>
      <c r="AR2080" s="855"/>
      <c r="AS2080" s="855"/>
      <c r="AT2080" s="855"/>
      <c r="AU2080" s="855"/>
      <c r="AV2080" s="855"/>
      <c r="AW2080" s="855"/>
      <c r="AX2080" s="855"/>
      <c r="AY2080" s="855"/>
      <c r="AZ2080" s="855"/>
      <c r="BA2080" s="855"/>
      <c r="BB2080" s="855"/>
      <c r="BC2080" s="855"/>
      <c r="BD2080" s="855"/>
      <c r="BE2080" s="855"/>
      <c r="BF2080" s="855"/>
      <c r="BG2080" s="855"/>
      <c r="BH2080" s="855"/>
      <c r="BI2080" s="855"/>
      <c r="BJ2080" s="855"/>
      <c r="BK2080" s="855"/>
      <c r="BL2080" s="855"/>
      <c r="BM2080" s="855"/>
      <c r="BN2080" s="855"/>
      <c r="BO2080" s="855"/>
      <c r="BP2080" s="855"/>
      <c r="BQ2080" s="855"/>
      <c r="BR2080" s="855"/>
      <c r="BS2080" s="855"/>
      <c r="BT2080" s="855"/>
      <c r="BU2080" s="855"/>
      <c r="BV2080" s="855"/>
      <c r="BW2080" s="855"/>
      <c r="BX2080" s="855"/>
      <c r="BY2080" s="855"/>
      <c r="BZ2080" s="855"/>
      <c r="CA2080" s="855"/>
      <c r="CB2080" s="855"/>
      <c r="CC2080" s="855"/>
      <c r="CD2080" s="855"/>
      <c r="CE2080" s="855"/>
      <c r="CF2080" s="855"/>
      <c r="CG2080" s="855"/>
      <c r="CH2080" s="855"/>
      <c r="CI2080" s="855"/>
      <c r="CJ2080" s="855"/>
      <c r="CK2080" s="855"/>
      <c r="CL2080" s="855"/>
      <c r="CM2080" s="855"/>
      <c r="CN2080" s="855"/>
      <c r="CO2080" s="855"/>
      <c r="CP2080" s="855"/>
      <c r="CQ2080" s="855"/>
      <c r="CR2080" s="855"/>
      <c r="CS2080" s="855"/>
      <c r="CT2080" s="855"/>
      <c r="CU2080" s="855"/>
      <c r="CV2080" s="855"/>
      <c r="CW2080" s="855"/>
      <c r="CX2080" s="855"/>
      <c r="CY2080" s="855"/>
      <c r="CZ2080" s="855"/>
      <c r="DA2080" s="855"/>
      <c r="DB2080" s="855"/>
      <c r="DC2080" s="855"/>
      <c r="DD2080" s="855"/>
      <c r="DE2080" s="855"/>
      <c r="DF2080" s="855"/>
      <c r="DG2080" s="855"/>
      <c r="DH2080" s="855"/>
      <c r="DI2080" s="855"/>
      <c r="DJ2080" s="855"/>
      <c r="DK2080" s="855"/>
      <c r="DL2080" s="855"/>
      <c r="DM2080" s="855"/>
      <c r="DN2080" s="855"/>
      <c r="DO2080" s="855"/>
      <c r="DP2080" s="855"/>
      <c r="DQ2080" s="855"/>
      <c r="DR2080" s="855"/>
      <c r="DS2080" s="855"/>
      <c r="DT2080" s="855"/>
      <c r="DU2080" s="855"/>
      <c r="DV2080" s="855"/>
      <c r="DW2080" s="855"/>
      <c r="DX2080" s="855"/>
      <c r="DY2080" s="855"/>
      <c r="DZ2080" s="855"/>
      <c r="EA2080" s="855"/>
      <c r="EB2080" s="855"/>
      <c r="EC2080" s="855"/>
      <c r="ED2080" s="855"/>
      <c r="EE2080" s="855"/>
      <c r="EF2080" s="855"/>
      <c r="EG2080" s="855"/>
      <c r="EH2080" s="855"/>
      <c r="EI2080" s="855"/>
      <c r="EJ2080" s="855"/>
      <c r="EK2080" s="855"/>
      <c r="EL2080" s="855"/>
      <c r="EM2080" s="855"/>
      <c r="EN2080" s="855"/>
      <c r="EO2080" s="855"/>
      <c r="EP2080" s="855"/>
      <c r="EQ2080" s="855"/>
      <c r="ER2080" s="855"/>
      <c r="ES2080" s="855"/>
      <c r="ET2080" s="855"/>
      <c r="EU2080" s="855"/>
      <c r="EV2080" s="855"/>
      <c r="EW2080" s="855"/>
      <c r="EX2080" s="855"/>
      <c r="EY2080" s="855"/>
      <c r="EZ2080" s="855"/>
      <c r="FA2080" s="855"/>
      <c r="FB2080" s="855"/>
      <c r="FC2080" s="855"/>
      <c r="FD2080" s="855"/>
    </row>
    <row r="2081" spans="1:160" s="858" customFormat="1" ht="14" customHeight="1">
      <c r="A2081" s="856">
        <v>99441</v>
      </c>
      <c r="B2081" s="855" t="s">
        <v>53116</v>
      </c>
      <c r="C2081" s="841">
        <v>358.8</v>
      </c>
      <c r="D2081" s="861"/>
      <c r="E2081" s="855"/>
      <c r="F2081" s="855"/>
      <c r="G2081" s="855"/>
      <c r="H2081" s="855"/>
      <c r="I2081" s="855"/>
      <c r="J2081" s="855"/>
      <c r="K2081" s="855"/>
      <c r="L2081" s="855"/>
      <c r="M2081" s="855"/>
      <c r="N2081" s="855"/>
      <c r="O2081" s="855"/>
      <c r="P2081" s="855"/>
      <c r="Q2081" s="855"/>
      <c r="R2081" s="855"/>
      <c r="S2081" s="855"/>
      <c r="T2081" s="855"/>
      <c r="U2081" s="855"/>
      <c r="V2081" s="855"/>
      <c r="W2081" s="855"/>
      <c r="X2081" s="855"/>
      <c r="Y2081" s="855"/>
      <c r="Z2081" s="855"/>
      <c r="AA2081" s="855"/>
      <c r="AB2081" s="855"/>
      <c r="AC2081" s="855"/>
      <c r="AD2081" s="855"/>
      <c r="AE2081" s="855"/>
      <c r="AF2081" s="855"/>
      <c r="AG2081" s="855"/>
      <c r="AH2081" s="855"/>
      <c r="AI2081" s="855"/>
      <c r="AJ2081" s="855"/>
      <c r="AK2081" s="855"/>
      <c r="AL2081" s="855"/>
      <c r="AM2081" s="855"/>
      <c r="AN2081" s="855"/>
      <c r="AO2081" s="855"/>
      <c r="AP2081" s="855"/>
      <c r="AQ2081" s="855"/>
      <c r="AR2081" s="855"/>
      <c r="AS2081" s="855"/>
      <c r="AT2081" s="855"/>
      <c r="AU2081" s="855"/>
      <c r="AV2081" s="855"/>
      <c r="AW2081" s="855"/>
      <c r="AX2081" s="855"/>
      <c r="AY2081" s="855"/>
      <c r="AZ2081" s="855"/>
      <c r="BA2081" s="855"/>
      <c r="BB2081" s="855"/>
      <c r="BC2081" s="855"/>
      <c r="BD2081" s="855"/>
      <c r="BE2081" s="855"/>
      <c r="BF2081" s="855"/>
      <c r="BG2081" s="855"/>
      <c r="BH2081" s="855"/>
      <c r="BI2081" s="855"/>
      <c r="BJ2081" s="855"/>
      <c r="BK2081" s="855"/>
      <c r="BL2081" s="855"/>
      <c r="BM2081" s="855"/>
      <c r="BN2081" s="855"/>
      <c r="BO2081" s="855"/>
      <c r="BP2081" s="855"/>
      <c r="BQ2081" s="855"/>
      <c r="BR2081" s="855"/>
      <c r="BS2081" s="855"/>
      <c r="BT2081" s="855"/>
      <c r="BU2081" s="855"/>
      <c r="BV2081" s="855"/>
      <c r="BW2081" s="855"/>
      <c r="BX2081" s="855"/>
      <c r="BY2081" s="855"/>
      <c r="BZ2081" s="855"/>
      <c r="CA2081" s="855"/>
      <c r="CB2081" s="855"/>
      <c r="CC2081" s="855"/>
      <c r="CD2081" s="855"/>
      <c r="CE2081" s="855"/>
      <c r="CF2081" s="855"/>
      <c r="CG2081" s="855"/>
      <c r="CH2081" s="855"/>
      <c r="CI2081" s="855"/>
      <c r="CJ2081" s="855"/>
      <c r="CK2081" s="855"/>
      <c r="CL2081" s="855"/>
      <c r="CM2081" s="855"/>
      <c r="CN2081" s="855"/>
      <c r="CO2081" s="855"/>
      <c r="CP2081" s="855"/>
      <c r="CQ2081" s="855"/>
      <c r="CR2081" s="855"/>
      <c r="CS2081" s="855"/>
      <c r="CT2081" s="855"/>
      <c r="CU2081" s="855"/>
      <c r="CV2081" s="855"/>
      <c r="CW2081" s="855"/>
      <c r="CX2081" s="855"/>
      <c r="CY2081" s="855"/>
      <c r="CZ2081" s="855"/>
      <c r="DA2081" s="855"/>
      <c r="DB2081" s="855"/>
      <c r="DC2081" s="855"/>
      <c r="DD2081" s="855"/>
      <c r="DE2081" s="855"/>
      <c r="DF2081" s="855"/>
      <c r="DG2081" s="855"/>
      <c r="DH2081" s="855"/>
      <c r="DI2081" s="855"/>
      <c r="DJ2081" s="855"/>
      <c r="DK2081" s="855"/>
      <c r="DL2081" s="855"/>
      <c r="DM2081" s="855"/>
      <c r="DN2081" s="855"/>
      <c r="DO2081" s="855"/>
      <c r="DP2081" s="855"/>
      <c r="DQ2081" s="855"/>
      <c r="DR2081" s="855"/>
      <c r="DS2081" s="855"/>
      <c r="DT2081" s="855"/>
      <c r="DU2081" s="855"/>
      <c r="DV2081" s="855"/>
      <c r="DW2081" s="855"/>
      <c r="DX2081" s="855"/>
      <c r="DY2081" s="855"/>
      <c r="DZ2081" s="855"/>
      <c r="EA2081" s="855"/>
      <c r="EB2081" s="855"/>
      <c r="EC2081" s="855"/>
      <c r="ED2081" s="855"/>
      <c r="EE2081" s="855"/>
      <c r="EF2081" s="855"/>
      <c r="EG2081" s="855"/>
      <c r="EH2081" s="855"/>
      <c r="EI2081" s="855"/>
      <c r="EJ2081" s="855"/>
      <c r="EK2081" s="855"/>
      <c r="EL2081" s="855"/>
      <c r="EM2081" s="855"/>
      <c r="EN2081" s="855"/>
      <c r="EO2081" s="855"/>
      <c r="EP2081" s="855"/>
      <c r="EQ2081" s="855"/>
      <c r="ER2081" s="855"/>
      <c r="ES2081" s="855"/>
      <c r="ET2081" s="855"/>
      <c r="EU2081" s="855"/>
      <c r="EV2081" s="855"/>
      <c r="EW2081" s="855"/>
      <c r="EX2081" s="855"/>
      <c r="EY2081" s="855"/>
      <c r="EZ2081" s="855"/>
      <c r="FA2081" s="855"/>
      <c r="FB2081" s="855"/>
      <c r="FC2081" s="855"/>
      <c r="FD2081" s="855"/>
    </row>
    <row r="2082" spans="1:160" s="844" customFormat="1" ht="14" customHeight="1">
      <c r="A2082" s="848">
        <v>99454</v>
      </c>
      <c r="B2082" s="849" t="s">
        <v>53115</v>
      </c>
      <c r="C2082" s="841">
        <v>106.14</v>
      </c>
      <c r="D2082" s="847"/>
    </row>
    <row r="2083" spans="1:160" s="844" customFormat="1" ht="14" customHeight="1">
      <c r="A2083" s="842">
        <v>99455</v>
      </c>
      <c r="B2083" s="862" t="s">
        <v>53114</v>
      </c>
      <c r="C2083" s="841">
        <v>31.23</v>
      </c>
      <c r="D2083" s="847"/>
    </row>
    <row r="2084" spans="1:160" s="844" customFormat="1" ht="14" customHeight="1">
      <c r="A2084" s="848">
        <v>99460</v>
      </c>
      <c r="B2084" s="849" t="s">
        <v>53113</v>
      </c>
      <c r="C2084" s="841">
        <v>106.14</v>
      </c>
      <c r="D2084" s="847"/>
    </row>
    <row r="2085" spans="1:160" s="844" customFormat="1" ht="14" customHeight="1">
      <c r="A2085" s="848">
        <v>99461</v>
      </c>
      <c r="B2085" s="849" t="s">
        <v>53112</v>
      </c>
      <c r="C2085" s="841">
        <v>106.14</v>
      </c>
      <c r="D2085" s="847"/>
    </row>
    <row r="2086" spans="1:160" s="844" customFormat="1" ht="14" customHeight="1">
      <c r="A2086" s="848">
        <v>99463</v>
      </c>
      <c r="B2086" s="849" t="s">
        <v>53111</v>
      </c>
      <c r="C2086" s="841">
        <v>106.14</v>
      </c>
      <c r="D2086" s="847"/>
    </row>
    <row r="2087" spans="1:160" s="844" customFormat="1" ht="14" customHeight="1">
      <c r="A2087" s="848">
        <v>99466</v>
      </c>
      <c r="B2087" s="849" t="s">
        <v>53110</v>
      </c>
      <c r="C2087" s="841">
        <v>40.43</v>
      </c>
      <c r="D2087" s="847"/>
    </row>
    <row r="2088" spans="1:160" s="844" customFormat="1" ht="14" customHeight="1">
      <c r="A2088" s="842">
        <v>99470</v>
      </c>
      <c r="B2088" s="844" t="s">
        <v>53109</v>
      </c>
      <c r="C2088" s="841">
        <v>135.15</v>
      </c>
      <c r="D2088" s="847"/>
    </row>
    <row r="2089" spans="1:160" s="858" customFormat="1" ht="14" customHeight="1">
      <c r="A2089" s="842">
        <v>99472</v>
      </c>
      <c r="B2089" s="844" t="s">
        <v>53108</v>
      </c>
      <c r="C2089" s="841">
        <v>76.56</v>
      </c>
      <c r="D2089" s="861"/>
      <c r="E2089" s="855"/>
      <c r="F2089" s="855"/>
      <c r="G2089" s="855"/>
      <c r="H2089" s="855"/>
      <c r="I2089" s="855"/>
      <c r="J2089" s="855"/>
      <c r="K2089" s="855"/>
      <c r="L2089" s="855"/>
      <c r="M2089" s="855"/>
      <c r="N2089" s="855"/>
      <c r="O2089" s="855"/>
      <c r="P2089" s="855"/>
      <c r="Q2089" s="855"/>
      <c r="R2089" s="855"/>
      <c r="S2089" s="855"/>
      <c r="T2089" s="855"/>
      <c r="U2089" s="855"/>
      <c r="V2089" s="855"/>
      <c r="W2089" s="855"/>
      <c r="X2089" s="855"/>
      <c r="Y2089" s="855"/>
      <c r="Z2089" s="855"/>
      <c r="AA2089" s="855"/>
      <c r="AB2089" s="855"/>
      <c r="AC2089" s="855"/>
      <c r="AD2089" s="855"/>
      <c r="AE2089" s="855"/>
      <c r="AF2089" s="855"/>
      <c r="AG2089" s="855"/>
      <c r="AH2089" s="855"/>
      <c r="AI2089" s="855"/>
      <c r="AJ2089" s="855"/>
      <c r="AK2089" s="855"/>
      <c r="AL2089" s="855"/>
      <c r="AM2089" s="855"/>
      <c r="AN2089" s="855"/>
      <c r="AO2089" s="855"/>
      <c r="AP2089" s="855"/>
      <c r="AQ2089" s="855"/>
      <c r="AR2089" s="855"/>
      <c r="AS2089" s="855"/>
      <c r="AT2089" s="855"/>
      <c r="AU2089" s="855"/>
      <c r="AV2089" s="855"/>
      <c r="AW2089" s="855"/>
      <c r="AX2089" s="855"/>
      <c r="AY2089" s="855"/>
      <c r="AZ2089" s="855"/>
      <c r="BA2089" s="855"/>
      <c r="BB2089" s="855"/>
      <c r="BC2089" s="855"/>
      <c r="BD2089" s="855"/>
      <c r="BE2089" s="855"/>
      <c r="BF2089" s="855"/>
      <c r="BG2089" s="855"/>
      <c r="BH2089" s="855"/>
      <c r="BI2089" s="855"/>
      <c r="BJ2089" s="855"/>
      <c r="BK2089" s="855"/>
      <c r="BL2089" s="855"/>
      <c r="BM2089" s="855"/>
      <c r="BN2089" s="855"/>
      <c r="BO2089" s="855"/>
      <c r="BP2089" s="855"/>
      <c r="BQ2089" s="855"/>
      <c r="BR2089" s="855"/>
      <c r="BS2089" s="855"/>
      <c r="BT2089" s="855"/>
      <c r="BU2089" s="855"/>
      <c r="BV2089" s="855"/>
      <c r="BW2089" s="855"/>
      <c r="BX2089" s="855"/>
      <c r="BY2089" s="855"/>
      <c r="BZ2089" s="855"/>
      <c r="CA2089" s="855"/>
      <c r="CB2089" s="855"/>
      <c r="CC2089" s="855"/>
      <c r="CD2089" s="855"/>
      <c r="CE2089" s="855"/>
      <c r="CF2089" s="855"/>
      <c r="CG2089" s="855"/>
      <c r="CH2089" s="855"/>
      <c r="CI2089" s="855"/>
      <c r="CJ2089" s="855"/>
      <c r="CK2089" s="855"/>
      <c r="CL2089" s="855"/>
      <c r="CM2089" s="855"/>
      <c r="CN2089" s="855"/>
      <c r="CO2089" s="855"/>
      <c r="CP2089" s="855"/>
      <c r="CQ2089" s="855"/>
      <c r="CR2089" s="855"/>
      <c r="CS2089" s="855"/>
      <c r="CT2089" s="855"/>
      <c r="CU2089" s="855"/>
      <c r="CV2089" s="855"/>
      <c r="CW2089" s="855"/>
      <c r="CX2089" s="855"/>
      <c r="CY2089" s="855"/>
      <c r="CZ2089" s="855"/>
      <c r="DA2089" s="855"/>
      <c r="DB2089" s="855"/>
      <c r="DC2089" s="855"/>
      <c r="DD2089" s="855"/>
      <c r="DE2089" s="855"/>
      <c r="DF2089" s="855"/>
      <c r="DG2089" s="855"/>
      <c r="DH2089" s="855"/>
      <c r="DI2089" s="855"/>
      <c r="DJ2089" s="855"/>
      <c r="DK2089" s="855"/>
      <c r="DL2089" s="855"/>
      <c r="DM2089" s="855"/>
      <c r="DN2089" s="855"/>
      <c r="DO2089" s="855"/>
      <c r="DP2089" s="855"/>
      <c r="DQ2089" s="855"/>
      <c r="DR2089" s="855"/>
      <c r="DS2089" s="855"/>
      <c r="DT2089" s="855"/>
      <c r="DU2089" s="855"/>
      <c r="DV2089" s="855"/>
      <c r="DW2089" s="855"/>
      <c r="DX2089" s="855"/>
      <c r="DY2089" s="855"/>
      <c r="DZ2089" s="855"/>
      <c r="EA2089" s="855"/>
      <c r="EB2089" s="855"/>
      <c r="EC2089" s="855"/>
      <c r="ED2089" s="855"/>
      <c r="EE2089" s="855"/>
      <c r="EF2089" s="855"/>
      <c r="EG2089" s="855"/>
      <c r="EH2089" s="855"/>
      <c r="EI2089" s="855"/>
      <c r="EJ2089" s="855"/>
      <c r="EK2089" s="855"/>
      <c r="EL2089" s="855"/>
      <c r="EM2089" s="855"/>
      <c r="EN2089" s="855"/>
      <c r="EO2089" s="855"/>
      <c r="EP2089" s="855"/>
      <c r="EQ2089" s="855"/>
      <c r="ER2089" s="855"/>
      <c r="ES2089" s="855"/>
      <c r="ET2089" s="855"/>
      <c r="EU2089" s="855"/>
      <c r="EV2089" s="855"/>
      <c r="EW2089" s="855"/>
      <c r="EX2089" s="855"/>
      <c r="EY2089" s="855"/>
      <c r="EZ2089" s="855"/>
      <c r="FA2089" s="855"/>
      <c r="FB2089" s="855"/>
      <c r="FC2089" s="855"/>
      <c r="FD2089" s="855"/>
    </row>
    <row r="2090" spans="1:160" s="858" customFormat="1" ht="14" customHeight="1">
      <c r="A2090" s="842">
        <v>99473</v>
      </c>
      <c r="B2090" s="844" t="s">
        <v>53107</v>
      </c>
      <c r="C2090" s="841">
        <v>28.83</v>
      </c>
      <c r="D2090" s="861"/>
      <c r="E2090" s="855"/>
      <c r="F2090" s="855"/>
      <c r="G2090" s="855"/>
      <c r="H2090" s="855"/>
      <c r="I2090" s="855"/>
      <c r="J2090" s="855"/>
      <c r="K2090" s="855"/>
      <c r="L2090" s="855"/>
      <c r="M2090" s="855"/>
      <c r="N2090" s="855"/>
      <c r="O2090" s="855"/>
      <c r="P2090" s="855"/>
      <c r="Q2090" s="855"/>
      <c r="R2090" s="855"/>
      <c r="S2090" s="855"/>
      <c r="T2090" s="855"/>
      <c r="U2090" s="855"/>
      <c r="V2090" s="855"/>
      <c r="W2090" s="855"/>
      <c r="X2090" s="855"/>
      <c r="Y2090" s="855"/>
      <c r="Z2090" s="855"/>
      <c r="AA2090" s="855"/>
      <c r="AB2090" s="855"/>
      <c r="AC2090" s="855"/>
      <c r="AD2090" s="855"/>
      <c r="AE2090" s="855"/>
      <c r="AF2090" s="855"/>
      <c r="AG2090" s="855"/>
      <c r="AH2090" s="855"/>
      <c r="AI2090" s="855"/>
      <c r="AJ2090" s="855"/>
      <c r="AK2090" s="855"/>
      <c r="AL2090" s="855"/>
      <c r="AM2090" s="855"/>
      <c r="AN2090" s="855"/>
      <c r="AO2090" s="855"/>
      <c r="AP2090" s="855"/>
      <c r="AQ2090" s="855"/>
      <c r="AR2090" s="855"/>
      <c r="AS2090" s="855"/>
      <c r="AT2090" s="855"/>
      <c r="AU2090" s="855"/>
      <c r="AV2090" s="855"/>
      <c r="AW2090" s="855"/>
      <c r="AX2090" s="855"/>
      <c r="AY2090" s="855"/>
      <c r="AZ2090" s="855"/>
      <c r="BA2090" s="855"/>
      <c r="BB2090" s="855"/>
      <c r="BC2090" s="855"/>
      <c r="BD2090" s="855"/>
      <c r="BE2090" s="855"/>
      <c r="BF2090" s="855"/>
      <c r="BG2090" s="855"/>
      <c r="BH2090" s="855"/>
      <c r="BI2090" s="855"/>
      <c r="BJ2090" s="855"/>
      <c r="BK2090" s="855"/>
      <c r="BL2090" s="855"/>
      <c r="BM2090" s="855"/>
      <c r="BN2090" s="855"/>
      <c r="BO2090" s="855"/>
      <c r="BP2090" s="855"/>
      <c r="BQ2090" s="855"/>
      <c r="BR2090" s="855"/>
      <c r="BS2090" s="855"/>
      <c r="BT2090" s="855"/>
      <c r="BU2090" s="855"/>
      <c r="BV2090" s="855"/>
      <c r="BW2090" s="855"/>
      <c r="BX2090" s="855"/>
      <c r="BY2090" s="855"/>
      <c r="BZ2090" s="855"/>
      <c r="CA2090" s="855"/>
      <c r="CB2090" s="855"/>
      <c r="CC2090" s="855"/>
      <c r="CD2090" s="855"/>
      <c r="CE2090" s="855"/>
      <c r="CF2090" s="855"/>
      <c r="CG2090" s="855"/>
      <c r="CH2090" s="855"/>
      <c r="CI2090" s="855"/>
      <c r="CJ2090" s="855"/>
      <c r="CK2090" s="855"/>
      <c r="CL2090" s="855"/>
      <c r="CM2090" s="855"/>
      <c r="CN2090" s="855"/>
      <c r="CO2090" s="855"/>
      <c r="CP2090" s="855"/>
      <c r="CQ2090" s="855"/>
      <c r="CR2090" s="855"/>
      <c r="CS2090" s="855"/>
      <c r="CT2090" s="855"/>
      <c r="CU2090" s="855"/>
      <c r="CV2090" s="855"/>
      <c r="CW2090" s="855"/>
      <c r="CX2090" s="855"/>
      <c r="CY2090" s="855"/>
      <c r="CZ2090" s="855"/>
      <c r="DA2090" s="855"/>
      <c r="DB2090" s="855"/>
      <c r="DC2090" s="855"/>
      <c r="DD2090" s="855"/>
      <c r="DE2090" s="855"/>
      <c r="DF2090" s="855"/>
      <c r="DG2090" s="855"/>
      <c r="DH2090" s="855"/>
      <c r="DI2090" s="855"/>
      <c r="DJ2090" s="855"/>
      <c r="DK2090" s="855"/>
      <c r="DL2090" s="855"/>
      <c r="DM2090" s="855"/>
      <c r="DN2090" s="855"/>
      <c r="DO2090" s="855"/>
      <c r="DP2090" s="855"/>
      <c r="DQ2090" s="855"/>
      <c r="DR2090" s="855"/>
      <c r="DS2090" s="855"/>
      <c r="DT2090" s="855"/>
      <c r="DU2090" s="855"/>
      <c r="DV2090" s="855"/>
      <c r="DW2090" s="855"/>
      <c r="DX2090" s="855"/>
      <c r="DY2090" s="855"/>
      <c r="DZ2090" s="855"/>
      <c r="EA2090" s="855"/>
      <c r="EB2090" s="855"/>
      <c r="EC2090" s="855"/>
      <c r="ED2090" s="855"/>
      <c r="EE2090" s="855"/>
      <c r="EF2090" s="855"/>
      <c r="EG2090" s="855"/>
      <c r="EH2090" s="855"/>
      <c r="EI2090" s="855"/>
      <c r="EJ2090" s="855"/>
      <c r="EK2090" s="855"/>
      <c r="EL2090" s="855"/>
      <c r="EM2090" s="855"/>
      <c r="EN2090" s="855"/>
      <c r="EO2090" s="855"/>
      <c r="EP2090" s="855"/>
      <c r="EQ2090" s="855"/>
      <c r="ER2090" s="855"/>
      <c r="ES2090" s="855"/>
      <c r="ET2090" s="855"/>
      <c r="EU2090" s="855"/>
      <c r="EV2090" s="855"/>
      <c r="EW2090" s="855"/>
      <c r="EX2090" s="855"/>
      <c r="EY2090" s="855"/>
      <c r="EZ2090" s="855"/>
      <c r="FA2090" s="855"/>
      <c r="FB2090" s="855"/>
      <c r="FC2090" s="855"/>
      <c r="FD2090" s="855"/>
    </row>
    <row r="2091" spans="1:160" s="858" customFormat="1" ht="14" customHeight="1">
      <c r="A2091" s="842">
        <v>99476</v>
      </c>
      <c r="B2091" s="844" t="s">
        <v>53106</v>
      </c>
      <c r="C2091" s="841">
        <v>80.28</v>
      </c>
      <c r="D2091" s="861"/>
      <c r="E2091" s="855"/>
      <c r="F2091" s="855"/>
      <c r="G2091" s="855"/>
      <c r="H2091" s="855"/>
      <c r="I2091" s="855"/>
      <c r="J2091" s="855"/>
      <c r="K2091" s="855"/>
      <c r="L2091" s="855"/>
      <c r="M2091" s="855"/>
      <c r="N2091" s="855"/>
      <c r="O2091" s="855"/>
      <c r="P2091" s="855"/>
      <c r="Q2091" s="855"/>
      <c r="R2091" s="855"/>
      <c r="S2091" s="855"/>
      <c r="T2091" s="855"/>
      <c r="U2091" s="855"/>
      <c r="V2091" s="855"/>
      <c r="W2091" s="855"/>
      <c r="X2091" s="855"/>
      <c r="Y2091" s="855"/>
      <c r="Z2091" s="855"/>
      <c r="AA2091" s="855"/>
      <c r="AB2091" s="855"/>
      <c r="AC2091" s="855"/>
      <c r="AD2091" s="855"/>
      <c r="AE2091" s="855"/>
      <c r="AF2091" s="855"/>
      <c r="AG2091" s="855"/>
      <c r="AH2091" s="855"/>
      <c r="AI2091" s="855"/>
      <c r="AJ2091" s="855"/>
      <c r="AK2091" s="855"/>
      <c r="AL2091" s="855"/>
      <c r="AM2091" s="855"/>
      <c r="AN2091" s="855"/>
      <c r="AO2091" s="855"/>
      <c r="AP2091" s="855"/>
      <c r="AQ2091" s="855"/>
      <c r="AR2091" s="855"/>
      <c r="AS2091" s="855"/>
      <c r="AT2091" s="855"/>
      <c r="AU2091" s="855"/>
      <c r="AV2091" s="855"/>
      <c r="AW2091" s="855"/>
      <c r="AX2091" s="855"/>
      <c r="AY2091" s="855"/>
      <c r="AZ2091" s="855"/>
      <c r="BA2091" s="855"/>
      <c r="BB2091" s="855"/>
      <c r="BC2091" s="855"/>
      <c r="BD2091" s="855"/>
      <c r="BE2091" s="855"/>
      <c r="BF2091" s="855"/>
      <c r="BG2091" s="855"/>
      <c r="BH2091" s="855"/>
      <c r="BI2091" s="855"/>
      <c r="BJ2091" s="855"/>
      <c r="BK2091" s="855"/>
      <c r="BL2091" s="855"/>
      <c r="BM2091" s="855"/>
      <c r="BN2091" s="855"/>
      <c r="BO2091" s="855"/>
      <c r="BP2091" s="855"/>
      <c r="BQ2091" s="855"/>
      <c r="BR2091" s="855"/>
      <c r="BS2091" s="855"/>
      <c r="BT2091" s="855"/>
      <c r="BU2091" s="855"/>
      <c r="BV2091" s="855"/>
      <c r="BW2091" s="855"/>
      <c r="BX2091" s="855"/>
      <c r="BY2091" s="855"/>
      <c r="BZ2091" s="855"/>
      <c r="CA2091" s="855"/>
      <c r="CB2091" s="855"/>
      <c r="CC2091" s="855"/>
      <c r="CD2091" s="855"/>
      <c r="CE2091" s="855"/>
      <c r="CF2091" s="855"/>
      <c r="CG2091" s="855"/>
      <c r="CH2091" s="855"/>
      <c r="CI2091" s="855"/>
      <c r="CJ2091" s="855"/>
      <c r="CK2091" s="855"/>
      <c r="CL2091" s="855"/>
      <c r="CM2091" s="855"/>
      <c r="CN2091" s="855"/>
      <c r="CO2091" s="855"/>
      <c r="CP2091" s="855"/>
      <c r="CQ2091" s="855"/>
      <c r="CR2091" s="855"/>
      <c r="CS2091" s="855"/>
      <c r="CT2091" s="855"/>
      <c r="CU2091" s="855"/>
      <c r="CV2091" s="855"/>
      <c r="CW2091" s="855"/>
      <c r="CX2091" s="855"/>
      <c r="CY2091" s="855"/>
      <c r="CZ2091" s="855"/>
      <c r="DA2091" s="855"/>
      <c r="DB2091" s="855"/>
      <c r="DC2091" s="855"/>
      <c r="DD2091" s="855"/>
      <c r="DE2091" s="855"/>
      <c r="DF2091" s="855"/>
      <c r="DG2091" s="855"/>
      <c r="DH2091" s="855"/>
      <c r="DI2091" s="855"/>
      <c r="DJ2091" s="855"/>
      <c r="DK2091" s="855"/>
      <c r="DL2091" s="855"/>
      <c r="DM2091" s="855"/>
      <c r="DN2091" s="855"/>
      <c r="DO2091" s="855"/>
      <c r="DP2091" s="855"/>
      <c r="DQ2091" s="855"/>
      <c r="DR2091" s="855"/>
      <c r="DS2091" s="855"/>
      <c r="DT2091" s="855"/>
      <c r="DU2091" s="855"/>
      <c r="DV2091" s="855"/>
      <c r="DW2091" s="855"/>
      <c r="DX2091" s="855"/>
      <c r="DY2091" s="855"/>
      <c r="DZ2091" s="855"/>
      <c r="EA2091" s="855"/>
      <c r="EB2091" s="855"/>
      <c r="EC2091" s="855"/>
      <c r="ED2091" s="855"/>
      <c r="EE2091" s="855"/>
      <c r="EF2091" s="855"/>
      <c r="EG2091" s="855"/>
      <c r="EH2091" s="855"/>
      <c r="EI2091" s="855"/>
      <c r="EJ2091" s="855"/>
      <c r="EK2091" s="855"/>
      <c r="EL2091" s="855"/>
      <c r="EM2091" s="855"/>
      <c r="EN2091" s="855"/>
      <c r="EO2091" s="855"/>
      <c r="EP2091" s="855"/>
      <c r="EQ2091" s="855"/>
      <c r="ER2091" s="855"/>
      <c r="ES2091" s="855"/>
      <c r="ET2091" s="855"/>
      <c r="EU2091" s="855"/>
      <c r="EV2091" s="855"/>
      <c r="EW2091" s="855"/>
      <c r="EX2091" s="855"/>
      <c r="EY2091" s="855"/>
      <c r="EZ2091" s="855"/>
      <c r="FA2091" s="855"/>
      <c r="FB2091" s="855"/>
      <c r="FC2091" s="855"/>
      <c r="FD2091" s="855"/>
    </row>
    <row r="2092" spans="1:160" s="858" customFormat="1" ht="14" customHeight="1">
      <c r="A2092" s="842">
        <v>99477</v>
      </c>
      <c r="B2092" s="844" t="s">
        <v>53105</v>
      </c>
      <c r="C2092" s="841">
        <v>50.53</v>
      </c>
      <c r="D2092" s="861"/>
      <c r="E2092" s="855"/>
      <c r="F2092" s="855"/>
      <c r="G2092" s="855"/>
      <c r="H2092" s="855"/>
      <c r="I2092" s="855"/>
      <c r="J2092" s="855"/>
      <c r="K2092" s="855"/>
      <c r="L2092" s="855"/>
      <c r="M2092" s="855"/>
      <c r="N2092" s="855"/>
      <c r="O2092" s="855"/>
      <c r="P2092" s="855"/>
      <c r="Q2092" s="855"/>
      <c r="R2092" s="855"/>
      <c r="S2092" s="855"/>
      <c r="T2092" s="855"/>
      <c r="U2092" s="855"/>
      <c r="V2092" s="855"/>
      <c r="W2092" s="855"/>
      <c r="X2092" s="855"/>
      <c r="Y2092" s="855"/>
      <c r="Z2092" s="855"/>
      <c r="AA2092" s="855"/>
      <c r="AB2092" s="855"/>
      <c r="AC2092" s="855"/>
      <c r="AD2092" s="855"/>
      <c r="AE2092" s="855"/>
      <c r="AF2092" s="855"/>
      <c r="AG2092" s="855"/>
      <c r="AH2092" s="855"/>
      <c r="AI2092" s="855"/>
      <c r="AJ2092" s="855"/>
      <c r="AK2092" s="855"/>
      <c r="AL2092" s="855"/>
      <c r="AM2092" s="855"/>
      <c r="AN2092" s="855"/>
      <c r="AO2092" s="855"/>
      <c r="AP2092" s="855"/>
      <c r="AQ2092" s="855"/>
      <c r="AR2092" s="855"/>
      <c r="AS2092" s="855"/>
      <c r="AT2092" s="855"/>
      <c r="AU2092" s="855"/>
      <c r="AV2092" s="855"/>
      <c r="AW2092" s="855"/>
      <c r="AX2092" s="855"/>
      <c r="AY2092" s="855"/>
      <c r="AZ2092" s="855"/>
      <c r="BA2092" s="855"/>
      <c r="BB2092" s="855"/>
      <c r="BC2092" s="855"/>
      <c r="BD2092" s="855"/>
      <c r="BE2092" s="855"/>
      <c r="BF2092" s="855"/>
      <c r="BG2092" s="855"/>
      <c r="BH2092" s="855"/>
      <c r="BI2092" s="855"/>
      <c r="BJ2092" s="855"/>
      <c r="BK2092" s="855"/>
      <c r="BL2092" s="855"/>
      <c r="BM2092" s="855"/>
      <c r="BN2092" s="855"/>
      <c r="BO2092" s="855"/>
      <c r="BP2092" s="855"/>
      <c r="BQ2092" s="855"/>
      <c r="BR2092" s="855"/>
      <c r="BS2092" s="855"/>
      <c r="BT2092" s="855"/>
      <c r="BU2092" s="855"/>
      <c r="BV2092" s="855"/>
      <c r="BW2092" s="855"/>
      <c r="BX2092" s="855"/>
      <c r="BY2092" s="855"/>
      <c r="BZ2092" s="855"/>
      <c r="CA2092" s="855"/>
      <c r="CB2092" s="855"/>
      <c r="CC2092" s="855"/>
      <c r="CD2092" s="855"/>
      <c r="CE2092" s="855"/>
      <c r="CF2092" s="855"/>
      <c r="CG2092" s="855"/>
      <c r="CH2092" s="855"/>
      <c r="CI2092" s="855"/>
      <c r="CJ2092" s="855"/>
      <c r="CK2092" s="855"/>
      <c r="CL2092" s="855"/>
      <c r="CM2092" s="855"/>
      <c r="CN2092" s="855"/>
      <c r="CO2092" s="855"/>
      <c r="CP2092" s="855"/>
      <c r="CQ2092" s="855"/>
      <c r="CR2092" s="855"/>
      <c r="CS2092" s="855"/>
      <c r="CT2092" s="855"/>
      <c r="CU2092" s="855"/>
      <c r="CV2092" s="855"/>
      <c r="CW2092" s="855"/>
      <c r="CX2092" s="855"/>
      <c r="CY2092" s="855"/>
      <c r="CZ2092" s="855"/>
      <c r="DA2092" s="855"/>
      <c r="DB2092" s="855"/>
      <c r="DC2092" s="855"/>
      <c r="DD2092" s="855"/>
      <c r="DE2092" s="855"/>
      <c r="DF2092" s="855"/>
      <c r="DG2092" s="855"/>
      <c r="DH2092" s="855"/>
      <c r="DI2092" s="855"/>
      <c r="DJ2092" s="855"/>
      <c r="DK2092" s="855"/>
      <c r="DL2092" s="855"/>
      <c r="DM2092" s="855"/>
      <c r="DN2092" s="855"/>
      <c r="DO2092" s="855"/>
      <c r="DP2092" s="855"/>
      <c r="DQ2092" s="855"/>
      <c r="DR2092" s="855"/>
      <c r="DS2092" s="855"/>
      <c r="DT2092" s="855"/>
      <c r="DU2092" s="855"/>
      <c r="DV2092" s="855"/>
      <c r="DW2092" s="855"/>
      <c r="DX2092" s="855"/>
      <c r="DY2092" s="855"/>
      <c r="DZ2092" s="855"/>
      <c r="EA2092" s="855"/>
      <c r="EB2092" s="855"/>
      <c r="EC2092" s="855"/>
      <c r="ED2092" s="855"/>
      <c r="EE2092" s="855"/>
      <c r="EF2092" s="855"/>
      <c r="EG2092" s="855"/>
      <c r="EH2092" s="855"/>
      <c r="EI2092" s="855"/>
      <c r="EJ2092" s="855"/>
      <c r="EK2092" s="855"/>
      <c r="EL2092" s="855"/>
      <c r="EM2092" s="855"/>
      <c r="EN2092" s="855"/>
      <c r="EO2092" s="855"/>
      <c r="EP2092" s="855"/>
      <c r="EQ2092" s="855"/>
      <c r="ER2092" s="855"/>
      <c r="ES2092" s="855"/>
      <c r="ET2092" s="855"/>
      <c r="EU2092" s="855"/>
      <c r="EV2092" s="855"/>
      <c r="EW2092" s="855"/>
      <c r="EX2092" s="855"/>
      <c r="EY2092" s="855"/>
      <c r="EZ2092" s="855"/>
      <c r="FA2092" s="855"/>
      <c r="FB2092" s="855"/>
      <c r="FC2092" s="855"/>
      <c r="FD2092" s="855"/>
    </row>
    <row r="2093" spans="1:160" s="858" customFormat="1" ht="14" customHeight="1">
      <c r="A2093" s="842">
        <v>99508</v>
      </c>
      <c r="B2093" s="844" t="s">
        <v>53104</v>
      </c>
      <c r="C2093" s="841">
        <v>22.3</v>
      </c>
      <c r="D2093" s="861"/>
      <c r="E2093" s="855"/>
      <c r="F2093" s="855"/>
      <c r="G2093" s="855"/>
      <c r="H2093" s="855"/>
      <c r="I2093" s="855"/>
      <c r="J2093" s="855"/>
      <c r="K2093" s="855"/>
      <c r="L2093" s="855"/>
      <c r="M2093" s="855"/>
      <c r="N2093" s="855"/>
      <c r="O2093" s="855"/>
      <c r="P2093" s="855"/>
      <c r="Q2093" s="855"/>
      <c r="R2093" s="855"/>
      <c r="S2093" s="855"/>
      <c r="T2093" s="855"/>
      <c r="U2093" s="855"/>
      <c r="V2093" s="855"/>
      <c r="W2093" s="855"/>
      <c r="X2093" s="855"/>
      <c r="Y2093" s="855"/>
      <c r="Z2093" s="855"/>
      <c r="AA2093" s="855"/>
      <c r="AB2093" s="855"/>
      <c r="AC2093" s="855"/>
      <c r="AD2093" s="855"/>
      <c r="AE2093" s="855"/>
      <c r="AF2093" s="855"/>
      <c r="AG2093" s="855"/>
      <c r="AH2093" s="855"/>
      <c r="AI2093" s="855"/>
      <c r="AJ2093" s="855"/>
      <c r="AK2093" s="855"/>
      <c r="AL2093" s="855"/>
      <c r="AM2093" s="855"/>
      <c r="AN2093" s="855"/>
      <c r="AO2093" s="855"/>
      <c r="AP2093" s="855"/>
      <c r="AQ2093" s="855"/>
      <c r="AR2093" s="855"/>
      <c r="AS2093" s="855"/>
      <c r="AT2093" s="855"/>
      <c r="AU2093" s="855"/>
      <c r="AV2093" s="855"/>
      <c r="AW2093" s="855"/>
      <c r="AX2093" s="855"/>
      <c r="AY2093" s="855"/>
      <c r="AZ2093" s="855"/>
      <c r="BA2093" s="855"/>
      <c r="BB2093" s="855"/>
      <c r="BC2093" s="855"/>
      <c r="BD2093" s="855"/>
      <c r="BE2093" s="855"/>
      <c r="BF2093" s="855"/>
      <c r="BG2093" s="855"/>
      <c r="BH2093" s="855"/>
      <c r="BI2093" s="855"/>
      <c r="BJ2093" s="855"/>
      <c r="BK2093" s="855"/>
      <c r="BL2093" s="855"/>
      <c r="BM2093" s="855"/>
      <c r="BN2093" s="855"/>
      <c r="BO2093" s="855"/>
      <c r="BP2093" s="855"/>
      <c r="BQ2093" s="855"/>
      <c r="BR2093" s="855"/>
      <c r="BS2093" s="855"/>
      <c r="BT2093" s="855"/>
      <c r="BU2093" s="855"/>
      <c r="BV2093" s="855"/>
      <c r="BW2093" s="855"/>
      <c r="BX2093" s="855"/>
      <c r="BY2093" s="855"/>
      <c r="BZ2093" s="855"/>
      <c r="CA2093" s="855"/>
      <c r="CB2093" s="855"/>
      <c r="CC2093" s="855"/>
      <c r="CD2093" s="855"/>
      <c r="CE2093" s="855"/>
      <c r="CF2093" s="855"/>
      <c r="CG2093" s="855"/>
      <c r="CH2093" s="855"/>
      <c r="CI2093" s="855"/>
      <c r="CJ2093" s="855"/>
      <c r="CK2093" s="855"/>
      <c r="CL2093" s="855"/>
      <c r="CM2093" s="855"/>
      <c r="CN2093" s="855"/>
      <c r="CO2093" s="855"/>
      <c r="CP2093" s="855"/>
      <c r="CQ2093" s="855"/>
      <c r="CR2093" s="855"/>
      <c r="CS2093" s="855"/>
      <c r="CT2093" s="855"/>
      <c r="CU2093" s="855"/>
      <c r="CV2093" s="855"/>
      <c r="CW2093" s="855"/>
      <c r="CX2093" s="855"/>
      <c r="CY2093" s="855"/>
      <c r="CZ2093" s="855"/>
      <c r="DA2093" s="855"/>
      <c r="DB2093" s="855"/>
      <c r="DC2093" s="855"/>
      <c r="DD2093" s="855"/>
      <c r="DE2093" s="855"/>
      <c r="DF2093" s="855"/>
      <c r="DG2093" s="855"/>
      <c r="DH2093" s="855"/>
      <c r="DI2093" s="855"/>
      <c r="DJ2093" s="855"/>
      <c r="DK2093" s="855"/>
      <c r="DL2093" s="855"/>
      <c r="DM2093" s="855"/>
      <c r="DN2093" s="855"/>
      <c r="DO2093" s="855"/>
      <c r="DP2093" s="855"/>
      <c r="DQ2093" s="855"/>
      <c r="DR2093" s="855"/>
      <c r="DS2093" s="855"/>
      <c r="DT2093" s="855"/>
      <c r="DU2093" s="855"/>
      <c r="DV2093" s="855"/>
      <c r="DW2093" s="855"/>
      <c r="DX2093" s="855"/>
      <c r="DY2093" s="855"/>
      <c r="DZ2093" s="855"/>
      <c r="EA2093" s="855"/>
      <c r="EB2093" s="855"/>
      <c r="EC2093" s="855"/>
      <c r="ED2093" s="855"/>
      <c r="EE2093" s="855"/>
      <c r="EF2093" s="855"/>
      <c r="EG2093" s="855"/>
      <c r="EH2093" s="855"/>
      <c r="EI2093" s="855"/>
      <c r="EJ2093" s="855"/>
      <c r="EK2093" s="855"/>
      <c r="EL2093" s="855"/>
      <c r="EM2093" s="855"/>
      <c r="EN2093" s="855"/>
      <c r="EO2093" s="855"/>
      <c r="EP2093" s="855"/>
      <c r="EQ2093" s="855"/>
      <c r="ER2093" s="855"/>
      <c r="ES2093" s="855"/>
      <c r="ET2093" s="855"/>
      <c r="EU2093" s="855"/>
      <c r="EV2093" s="855"/>
      <c r="EW2093" s="855"/>
      <c r="EX2093" s="855"/>
      <c r="EY2093" s="855"/>
      <c r="EZ2093" s="855"/>
      <c r="FA2093" s="855"/>
      <c r="FB2093" s="855"/>
      <c r="FC2093" s="855"/>
      <c r="FD2093" s="855"/>
    </row>
    <row r="2094" spans="1:160" s="844" customFormat="1" ht="14" customHeight="1">
      <c r="A2094" s="842">
        <v>99511</v>
      </c>
      <c r="B2094" s="842" t="s">
        <v>53103</v>
      </c>
      <c r="C2094" s="841">
        <v>339.77</v>
      </c>
      <c r="D2094" s="847"/>
    </row>
    <row r="2095" spans="1:160" s="844" customFormat="1" ht="14" customHeight="1">
      <c r="A2095" s="842">
        <v>99513</v>
      </c>
      <c r="B2095" s="842" t="s">
        <v>53102</v>
      </c>
      <c r="C2095" s="841">
        <v>147.24</v>
      </c>
      <c r="D2095" s="847"/>
    </row>
    <row r="2096" spans="1:160" s="844" customFormat="1" ht="14" customHeight="1">
      <c r="A2096" s="842">
        <v>99514</v>
      </c>
      <c r="B2096" s="842" t="s">
        <v>53101</v>
      </c>
      <c r="C2096" s="841">
        <v>70.8</v>
      </c>
      <c r="D2096" s="847"/>
    </row>
    <row r="2097" spans="1:148" s="858" customFormat="1" ht="14" customHeight="1">
      <c r="A2097" s="842">
        <v>99517</v>
      </c>
      <c r="B2097" s="844" t="s">
        <v>53100</v>
      </c>
      <c r="C2097" s="841">
        <v>65.13</v>
      </c>
      <c r="D2097" s="861"/>
      <c r="E2097" s="855"/>
      <c r="F2097" s="855"/>
      <c r="G2097" s="855"/>
      <c r="H2097" s="855"/>
      <c r="I2097" s="855"/>
      <c r="J2097" s="855"/>
      <c r="K2097" s="855"/>
      <c r="L2097" s="855"/>
      <c r="M2097" s="855"/>
      <c r="N2097" s="855"/>
      <c r="O2097" s="855"/>
      <c r="P2097" s="855"/>
      <c r="Q2097" s="855"/>
      <c r="R2097" s="855"/>
      <c r="S2097" s="855"/>
      <c r="T2097" s="855"/>
      <c r="U2097" s="855"/>
      <c r="V2097" s="855"/>
      <c r="W2097" s="855"/>
      <c r="X2097" s="855"/>
      <c r="Y2097" s="855"/>
      <c r="Z2097" s="855"/>
      <c r="AA2097" s="855"/>
      <c r="AB2097" s="855"/>
      <c r="AC2097" s="855"/>
      <c r="AD2097" s="855"/>
      <c r="AE2097" s="855"/>
      <c r="AF2097" s="855"/>
      <c r="AG2097" s="855"/>
      <c r="AH2097" s="855"/>
      <c r="AI2097" s="855"/>
      <c r="AJ2097" s="855"/>
      <c r="AK2097" s="855"/>
      <c r="AL2097" s="855"/>
      <c r="AM2097" s="855"/>
      <c r="AN2097" s="855"/>
      <c r="AO2097" s="855"/>
      <c r="AP2097" s="855"/>
      <c r="AQ2097" s="855"/>
      <c r="AR2097" s="855"/>
      <c r="AS2097" s="855"/>
      <c r="AT2097" s="855"/>
      <c r="AU2097" s="855"/>
      <c r="AV2097" s="855"/>
      <c r="AW2097" s="855"/>
      <c r="AX2097" s="855"/>
      <c r="AY2097" s="855"/>
      <c r="AZ2097" s="855"/>
      <c r="BA2097" s="855"/>
      <c r="BB2097" s="855"/>
      <c r="BC2097" s="855"/>
      <c r="BD2097" s="855"/>
      <c r="BE2097" s="855"/>
      <c r="BF2097" s="855"/>
      <c r="BG2097" s="855"/>
      <c r="BH2097" s="855"/>
      <c r="BI2097" s="855"/>
      <c r="BJ2097" s="855"/>
      <c r="BK2097" s="855"/>
      <c r="BL2097" s="855"/>
      <c r="BM2097" s="855"/>
      <c r="BN2097" s="855"/>
      <c r="BO2097" s="855"/>
      <c r="BP2097" s="855"/>
      <c r="BQ2097" s="855"/>
      <c r="BR2097" s="855"/>
      <c r="BS2097" s="855"/>
      <c r="BT2097" s="855"/>
      <c r="BU2097" s="855"/>
      <c r="BV2097" s="855"/>
      <c r="BW2097" s="855"/>
      <c r="BX2097" s="855"/>
      <c r="BY2097" s="855"/>
      <c r="BZ2097" s="855"/>
      <c r="CA2097" s="855"/>
      <c r="CB2097" s="855"/>
      <c r="CC2097" s="855"/>
      <c r="CD2097" s="855"/>
      <c r="CE2097" s="855"/>
      <c r="CF2097" s="855"/>
      <c r="CG2097" s="855"/>
      <c r="CH2097" s="855"/>
      <c r="CI2097" s="855"/>
      <c r="CJ2097" s="855"/>
      <c r="CK2097" s="855"/>
      <c r="CL2097" s="855"/>
      <c r="CM2097" s="855"/>
      <c r="CN2097" s="855"/>
      <c r="CO2097" s="855"/>
      <c r="CP2097" s="855"/>
      <c r="CQ2097" s="855"/>
      <c r="CR2097" s="855"/>
      <c r="CS2097" s="855"/>
      <c r="CT2097" s="855"/>
      <c r="CU2097" s="855"/>
      <c r="CV2097" s="855"/>
      <c r="CW2097" s="855"/>
      <c r="CX2097" s="855"/>
      <c r="CY2097" s="855"/>
      <c r="CZ2097" s="855"/>
      <c r="DA2097" s="855"/>
      <c r="DB2097" s="855"/>
      <c r="DC2097" s="855"/>
      <c r="DD2097" s="855"/>
      <c r="DE2097" s="855"/>
      <c r="DF2097" s="855"/>
      <c r="DG2097" s="855"/>
      <c r="DH2097" s="855"/>
      <c r="DI2097" s="855"/>
      <c r="DJ2097" s="855"/>
      <c r="DK2097" s="855"/>
      <c r="DL2097" s="855"/>
      <c r="DM2097" s="855"/>
      <c r="DN2097" s="855"/>
      <c r="DO2097" s="855"/>
      <c r="DP2097" s="855"/>
      <c r="DQ2097" s="855"/>
      <c r="DR2097" s="855"/>
      <c r="DS2097" s="855"/>
      <c r="DT2097" s="855"/>
      <c r="DU2097" s="855"/>
      <c r="DV2097" s="855"/>
      <c r="DW2097" s="855"/>
      <c r="DX2097" s="855"/>
      <c r="DY2097" s="855"/>
      <c r="DZ2097" s="855"/>
      <c r="EA2097" s="855"/>
      <c r="EB2097" s="855"/>
      <c r="EC2097" s="855"/>
      <c r="ED2097" s="855"/>
      <c r="EE2097" s="855"/>
      <c r="EF2097" s="855"/>
      <c r="EG2097" s="855"/>
      <c r="EH2097" s="855"/>
      <c r="EI2097" s="855"/>
      <c r="EJ2097" s="855"/>
      <c r="EK2097" s="855"/>
      <c r="EL2097" s="855"/>
      <c r="EM2097" s="855"/>
      <c r="EN2097" s="855"/>
      <c r="EO2097" s="855"/>
      <c r="EP2097" s="855"/>
      <c r="EQ2097" s="855"/>
      <c r="ER2097" s="855"/>
    </row>
    <row r="2098" spans="1:148" s="858" customFormat="1" ht="14" customHeight="1">
      <c r="A2098" s="842">
        <v>99518</v>
      </c>
      <c r="B2098" s="844" t="s">
        <v>53099</v>
      </c>
      <c r="C2098" s="841">
        <v>70.8</v>
      </c>
      <c r="D2098" s="861"/>
      <c r="E2098" s="855"/>
      <c r="F2098" s="855"/>
      <c r="G2098" s="855"/>
      <c r="H2098" s="855"/>
      <c r="I2098" s="855"/>
      <c r="J2098" s="855"/>
      <c r="K2098" s="855"/>
      <c r="L2098" s="855"/>
      <c r="M2098" s="855"/>
      <c r="N2098" s="855"/>
      <c r="O2098" s="855"/>
      <c r="P2098" s="855"/>
      <c r="Q2098" s="855"/>
      <c r="R2098" s="855"/>
      <c r="S2098" s="855"/>
      <c r="T2098" s="855"/>
      <c r="U2098" s="855"/>
      <c r="V2098" s="855"/>
      <c r="W2098" s="855"/>
      <c r="X2098" s="855"/>
      <c r="Y2098" s="855"/>
      <c r="Z2098" s="855"/>
      <c r="AA2098" s="855"/>
      <c r="AB2098" s="855"/>
      <c r="AC2098" s="855"/>
      <c r="AD2098" s="855"/>
      <c r="AE2098" s="855"/>
      <c r="AF2098" s="855"/>
      <c r="AG2098" s="855"/>
      <c r="AH2098" s="855"/>
      <c r="AI2098" s="855"/>
      <c r="AJ2098" s="855"/>
      <c r="AK2098" s="855"/>
      <c r="AL2098" s="855"/>
      <c r="AM2098" s="855"/>
      <c r="AN2098" s="855"/>
      <c r="AO2098" s="855"/>
      <c r="AP2098" s="855"/>
      <c r="AQ2098" s="855"/>
      <c r="AR2098" s="855"/>
      <c r="AS2098" s="855"/>
      <c r="AT2098" s="855"/>
      <c r="AU2098" s="855"/>
      <c r="AV2098" s="855"/>
      <c r="AW2098" s="855"/>
      <c r="AX2098" s="855"/>
      <c r="AY2098" s="855"/>
      <c r="AZ2098" s="855"/>
      <c r="BA2098" s="855"/>
      <c r="BB2098" s="855"/>
      <c r="BC2098" s="855"/>
      <c r="BD2098" s="855"/>
      <c r="BE2098" s="855"/>
      <c r="BF2098" s="855"/>
      <c r="BG2098" s="855"/>
      <c r="BH2098" s="855"/>
      <c r="BI2098" s="855"/>
      <c r="BJ2098" s="855"/>
      <c r="BK2098" s="855"/>
      <c r="BL2098" s="855"/>
      <c r="BM2098" s="855"/>
      <c r="BN2098" s="855"/>
      <c r="BO2098" s="855"/>
      <c r="BP2098" s="855"/>
      <c r="BQ2098" s="855"/>
      <c r="BR2098" s="855"/>
      <c r="BS2098" s="855"/>
      <c r="BT2098" s="855"/>
      <c r="BU2098" s="855"/>
      <c r="BV2098" s="855"/>
      <c r="BW2098" s="855"/>
      <c r="BX2098" s="855"/>
      <c r="BY2098" s="855"/>
      <c r="BZ2098" s="855"/>
      <c r="CA2098" s="855"/>
      <c r="CB2098" s="855"/>
      <c r="CC2098" s="855"/>
      <c r="CD2098" s="855"/>
      <c r="CE2098" s="855"/>
      <c r="CF2098" s="855"/>
      <c r="CG2098" s="855"/>
      <c r="CH2098" s="855"/>
      <c r="CI2098" s="855"/>
      <c r="CJ2098" s="855"/>
      <c r="CK2098" s="855"/>
      <c r="CL2098" s="855"/>
      <c r="CM2098" s="855"/>
      <c r="CN2098" s="855"/>
      <c r="CO2098" s="855"/>
      <c r="CP2098" s="855"/>
      <c r="CQ2098" s="855"/>
      <c r="CR2098" s="855"/>
      <c r="CS2098" s="855"/>
      <c r="CT2098" s="855"/>
      <c r="CU2098" s="855"/>
      <c r="CV2098" s="855"/>
      <c r="CW2098" s="855"/>
      <c r="CX2098" s="855"/>
      <c r="CY2098" s="855"/>
      <c r="CZ2098" s="855"/>
      <c r="DA2098" s="855"/>
      <c r="DB2098" s="855"/>
      <c r="DC2098" s="855"/>
      <c r="DD2098" s="855"/>
      <c r="DE2098" s="855"/>
      <c r="DF2098" s="855"/>
      <c r="DG2098" s="855"/>
      <c r="DH2098" s="855"/>
      <c r="DI2098" s="855"/>
      <c r="DJ2098" s="855"/>
      <c r="DK2098" s="855"/>
      <c r="DL2098" s="855"/>
      <c r="DM2098" s="855"/>
      <c r="DN2098" s="855"/>
      <c r="DO2098" s="855"/>
      <c r="DP2098" s="855"/>
      <c r="DQ2098" s="855"/>
      <c r="DR2098" s="855"/>
      <c r="DS2098" s="855"/>
      <c r="DT2098" s="855"/>
      <c r="DU2098" s="855"/>
      <c r="DV2098" s="855"/>
      <c r="DW2098" s="855"/>
      <c r="DX2098" s="855"/>
      <c r="DY2098" s="855"/>
      <c r="DZ2098" s="855"/>
      <c r="EA2098" s="855"/>
      <c r="EB2098" s="855"/>
      <c r="EC2098" s="855"/>
      <c r="ED2098" s="855"/>
      <c r="EE2098" s="855"/>
      <c r="EF2098" s="855"/>
      <c r="EG2098" s="855"/>
      <c r="EH2098" s="855"/>
      <c r="EI2098" s="855"/>
      <c r="EJ2098" s="855"/>
      <c r="EK2098" s="855"/>
      <c r="EL2098" s="855"/>
      <c r="EM2098" s="855"/>
      <c r="EN2098" s="855"/>
      <c r="EO2098" s="855"/>
      <c r="EP2098" s="855"/>
      <c r="EQ2098" s="855"/>
      <c r="ER2098" s="855"/>
    </row>
    <row r="2099" spans="1:148" s="858" customFormat="1" ht="14" customHeight="1">
      <c r="A2099" s="842">
        <v>99519</v>
      </c>
      <c r="B2099" s="844" t="s">
        <v>53098</v>
      </c>
      <c r="C2099" s="841">
        <v>50.97</v>
      </c>
      <c r="D2099" s="861"/>
      <c r="E2099" s="855"/>
      <c r="F2099" s="855"/>
      <c r="G2099" s="855"/>
      <c r="H2099" s="855"/>
      <c r="I2099" s="855"/>
      <c r="J2099" s="855"/>
      <c r="K2099" s="855"/>
      <c r="L2099" s="855"/>
      <c r="M2099" s="855"/>
      <c r="N2099" s="855"/>
      <c r="O2099" s="855"/>
      <c r="P2099" s="855"/>
      <c r="Q2099" s="855"/>
      <c r="R2099" s="855"/>
      <c r="S2099" s="855"/>
      <c r="T2099" s="855"/>
      <c r="U2099" s="855"/>
      <c r="V2099" s="855"/>
      <c r="W2099" s="855"/>
      <c r="X2099" s="855"/>
      <c r="Y2099" s="855"/>
      <c r="Z2099" s="855"/>
      <c r="AA2099" s="855"/>
      <c r="AB2099" s="855"/>
      <c r="AC2099" s="855"/>
      <c r="AD2099" s="855"/>
      <c r="AE2099" s="855"/>
      <c r="AF2099" s="855"/>
      <c r="AG2099" s="855"/>
      <c r="AH2099" s="855"/>
      <c r="AI2099" s="855"/>
      <c r="AJ2099" s="855"/>
      <c r="AK2099" s="855"/>
      <c r="AL2099" s="855"/>
      <c r="AM2099" s="855"/>
      <c r="AN2099" s="855"/>
      <c r="AO2099" s="855"/>
      <c r="AP2099" s="855"/>
      <c r="AQ2099" s="855"/>
      <c r="AR2099" s="855"/>
      <c r="AS2099" s="855"/>
      <c r="AT2099" s="855"/>
      <c r="AU2099" s="855"/>
      <c r="AV2099" s="855"/>
      <c r="AW2099" s="855"/>
      <c r="AX2099" s="855"/>
      <c r="AY2099" s="855"/>
      <c r="AZ2099" s="855"/>
      <c r="BA2099" s="855"/>
      <c r="BB2099" s="855"/>
      <c r="BC2099" s="855"/>
      <c r="BD2099" s="855"/>
      <c r="BE2099" s="855"/>
      <c r="BF2099" s="855"/>
      <c r="BG2099" s="855"/>
      <c r="BH2099" s="855"/>
      <c r="BI2099" s="855"/>
      <c r="BJ2099" s="855"/>
      <c r="BK2099" s="855"/>
      <c r="BL2099" s="855"/>
      <c r="BM2099" s="855"/>
      <c r="BN2099" s="855"/>
      <c r="BO2099" s="855"/>
      <c r="BP2099" s="855"/>
      <c r="BQ2099" s="855"/>
      <c r="BR2099" s="855"/>
      <c r="BS2099" s="855"/>
      <c r="BT2099" s="855"/>
      <c r="BU2099" s="855"/>
      <c r="BV2099" s="855"/>
      <c r="BW2099" s="855"/>
      <c r="BX2099" s="855"/>
      <c r="BY2099" s="855"/>
      <c r="BZ2099" s="855"/>
      <c r="CA2099" s="855"/>
      <c r="CB2099" s="855"/>
      <c r="CC2099" s="855"/>
      <c r="CD2099" s="855"/>
      <c r="CE2099" s="855"/>
      <c r="CF2099" s="855"/>
      <c r="CG2099" s="855"/>
      <c r="CH2099" s="855"/>
      <c r="CI2099" s="855"/>
      <c r="CJ2099" s="855"/>
      <c r="CK2099" s="855"/>
      <c r="CL2099" s="855"/>
      <c r="CM2099" s="855"/>
      <c r="CN2099" s="855"/>
      <c r="CO2099" s="855"/>
      <c r="CP2099" s="855"/>
      <c r="CQ2099" s="855"/>
      <c r="CR2099" s="855"/>
      <c r="CS2099" s="855"/>
      <c r="CT2099" s="855"/>
      <c r="CU2099" s="855"/>
      <c r="CV2099" s="855"/>
      <c r="CW2099" s="855"/>
      <c r="CX2099" s="855"/>
      <c r="CY2099" s="855"/>
      <c r="CZ2099" s="855"/>
      <c r="DA2099" s="855"/>
      <c r="DB2099" s="855"/>
      <c r="DC2099" s="855"/>
      <c r="DD2099" s="855"/>
      <c r="DE2099" s="855"/>
      <c r="DF2099" s="855"/>
      <c r="DG2099" s="855"/>
      <c r="DH2099" s="855"/>
      <c r="DI2099" s="855"/>
      <c r="DJ2099" s="855"/>
      <c r="DK2099" s="855"/>
      <c r="DL2099" s="855"/>
      <c r="DM2099" s="855"/>
      <c r="DN2099" s="855"/>
      <c r="DO2099" s="855"/>
      <c r="DP2099" s="855"/>
      <c r="DQ2099" s="855"/>
      <c r="DR2099" s="855"/>
      <c r="DS2099" s="855"/>
      <c r="DT2099" s="855"/>
      <c r="DU2099" s="855"/>
      <c r="DV2099" s="855"/>
      <c r="DW2099" s="855"/>
      <c r="DX2099" s="855"/>
      <c r="DY2099" s="855"/>
      <c r="DZ2099" s="855"/>
      <c r="EA2099" s="855"/>
      <c r="EB2099" s="855"/>
      <c r="EC2099" s="855"/>
      <c r="ED2099" s="855"/>
      <c r="EE2099" s="855"/>
      <c r="EF2099" s="855"/>
      <c r="EG2099" s="855"/>
      <c r="EH2099" s="855"/>
      <c r="EI2099" s="855"/>
      <c r="EJ2099" s="855"/>
      <c r="EK2099" s="855"/>
      <c r="EL2099" s="855"/>
      <c r="EM2099" s="855"/>
      <c r="EN2099" s="855"/>
      <c r="EO2099" s="855"/>
      <c r="EP2099" s="855"/>
      <c r="EQ2099" s="855"/>
      <c r="ER2099" s="855"/>
    </row>
    <row r="2100" spans="1:148" s="858" customFormat="1" ht="14" customHeight="1">
      <c r="A2100" s="842">
        <v>99520</v>
      </c>
      <c r="B2100" s="844" t="s">
        <v>53097</v>
      </c>
      <c r="C2100" s="841">
        <v>36.81</v>
      </c>
      <c r="D2100" s="861"/>
      <c r="E2100" s="855"/>
      <c r="F2100" s="855"/>
      <c r="G2100" s="855"/>
      <c r="H2100" s="855"/>
      <c r="I2100" s="855"/>
      <c r="J2100" s="855"/>
      <c r="K2100" s="855"/>
      <c r="L2100" s="855"/>
      <c r="M2100" s="855"/>
      <c r="N2100" s="855"/>
      <c r="O2100" s="855"/>
      <c r="P2100" s="855"/>
      <c r="Q2100" s="855"/>
      <c r="R2100" s="855"/>
      <c r="S2100" s="855"/>
      <c r="T2100" s="855"/>
      <c r="U2100" s="855"/>
      <c r="V2100" s="855"/>
      <c r="W2100" s="855"/>
      <c r="X2100" s="855"/>
      <c r="Y2100" s="855"/>
      <c r="Z2100" s="855"/>
      <c r="AA2100" s="855"/>
      <c r="AB2100" s="855"/>
      <c r="AC2100" s="855"/>
      <c r="AD2100" s="855"/>
      <c r="AE2100" s="855"/>
      <c r="AF2100" s="855"/>
      <c r="AG2100" s="855"/>
      <c r="AH2100" s="855"/>
      <c r="AI2100" s="855"/>
      <c r="AJ2100" s="855"/>
      <c r="AK2100" s="855"/>
      <c r="AL2100" s="855"/>
      <c r="AM2100" s="855"/>
      <c r="AN2100" s="855"/>
      <c r="AO2100" s="855"/>
      <c r="AP2100" s="855"/>
      <c r="AQ2100" s="855"/>
      <c r="AR2100" s="855"/>
      <c r="AS2100" s="855"/>
      <c r="AT2100" s="855"/>
      <c r="AU2100" s="855"/>
      <c r="AV2100" s="855"/>
      <c r="AW2100" s="855"/>
      <c r="AX2100" s="855"/>
      <c r="AY2100" s="855"/>
      <c r="AZ2100" s="855"/>
      <c r="BA2100" s="855"/>
      <c r="BB2100" s="855"/>
      <c r="BC2100" s="855"/>
      <c r="BD2100" s="855"/>
      <c r="BE2100" s="855"/>
      <c r="BF2100" s="855"/>
      <c r="BG2100" s="855"/>
      <c r="BH2100" s="855"/>
      <c r="BI2100" s="855"/>
      <c r="BJ2100" s="855"/>
      <c r="BK2100" s="855"/>
      <c r="BL2100" s="855"/>
      <c r="BM2100" s="855"/>
      <c r="BN2100" s="855"/>
      <c r="BO2100" s="855"/>
      <c r="BP2100" s="855"/>
      <c r="BQ2100" s="855"/>
      <c r="BR2100" s="855"/>
      <c r="BS2100" s="855"/>
      <c r="BT2100" s="855"/>
      <c r="BU2100" s="855"/>
      <c r="BV2100" s="855"/>
      <c r="BW2100" s="855"/>
      <c r="BX2100" s="855"/>
      <c r="BY2100" s="855"/>
      <c r="BZ2100" s="855"/>
      <c r="CA2100" s="855"/>
      <c r="CB2100" s="855"/>
      <c r="CC2100" s="855"/>
      <c r="CD2100" s="855"/>
      <c r="CE2100" s="855"/>
      <c r="CF2100" s="855"/>
      <c r="CG2100" s="855"/>
      <c r="CH2100" s="855"/>
      <c r="CI2100" s="855"/>
      <c r="CJ2100" s="855"/>
      <c r="CK2100" s="855"/>
      <c r="CL2100" s="855"/>
      <c r="CM2100" s="855"/>
      <c r="CN2100" s="855"/>
      <c r="CO2100" s="855"/>
      <c r="CP2100" s="855"/>
      <c r="CQ2100" s="855"/>
      <c r="CR2100" s="855"/>
      <c r="CS2100" s="855"/>
      <c r="CT2100" s="855"/>
      <c r="CU2100" s="855"/>
      <c r="CV2100" s="855"/>
      <c r="CW2100" s="855"/>
      <c r="CX2100" s="855"/>
      <c r="CY2100" s="855"/>
      <c r="CZ2100" s="855"/>
      <c r="DA2100" s="855"/>
      <c r="DB2100" s="855"/>
      <c r="DC2100" s="855"/>
      <c r="DD2100" s="855"/>
      <c r="DE2100" s="855"/>
      <c r="DF2100" s="855"/>
      <c r="DG2100" s="855"/>
      <c r="DH2100" s="855"/>
      <c r="DI2100" s="855"/>
      <c r="DJ2100" s="855"/>
      <c r="DK2100" s="855"/>
      <c r="DL2100" s="855"/>
      <c r="DM2100" s="855"/>
      <c r="DN2100" s="855"/>
      <c r="DO2100" s="855"/>
      <c r="DP2100" s="855"/>
      <c r="DQ2100" s="855"/>
      <c r="DR2100" s="855"/>
      <c r="DS2100" s="855"/>
      <c r="DT2100" s="855"/>
      <c r="DU2100" s="855"/>
      <c r="DV2100" s="855"/>
      <c r="DW2100" s="855"/>
      <c r="DX2100" s="855"/>
      <c r="DY2100" s="855"/>
      <c r="DZ2100" s="855"/>
      <c r="EA2100" s="855"/>
      <c r="EB2100" s="855"/>
      <c r="EC2100" s="855"/>
      <c r="ED2100" s="855"/>
      <c r="EE2100" s="855"/>
      <c r="EF2100" s="855"/>
      <c r="EG2100" s="855"/>
      <c r="EH2100" s="855"/>
      <c r="EI2100" s="855"/>
      <c r="EJ2100" s="855"/>
      <c r="EK2100" s="855"/>
      <c r="EL2100" s="855"/>
      <c r="EM2100" s="855"/>
      <c r="EN2100" s="855"/>
      <c r="EO2100" s="855"/>
      <c r="EP2100" s="855"/>
      <c r="EQ2100" s="855"/>
      <c r="ER2100" s="855"/>
    </row>
    <row r="2101" spans="1:148" s="858" customFormat="1" ht="14" customHeight="1">
      <c r="A2101" s="842">
        <v>99521</v>
      </c>
      <c r="B2101" s="844" t="s">
        <v>53096</v>
      </c>
      <c r="C2101" s="841">
        <v>135.91</v>
      </c>
      <c r="D2101" s="861"/>
      <c r="E2101" s="855"/>
      <c r="F2101" s="855"/>
      <c r="G2101" s="855"/>
      <c r="H2101" s="855"/>
      <c r="I2101" s="855"/>
      <c r="J2101" s="855"/>
      <c r="K2101" s="855"/>
      <c r="L2101" s="855"/>
      <c r="M2101" s="855"/>
      <c r="N2101" s="855"/>
      <c r="O2101" s="855"/>
      <c r="P2101" s="855"/>
      <c r="Q2101" s="855"/>
      <c r="R2101" s="855"/>
      <c r="S2101" s="855"/>
      <c r="T2101" s="855"/>
      <c r="U2101" s="855"/>
      <c r="V2101" s="855"/>
      <c r="W2101" s="855"/>
      <c r="X2101" s="855"/>
      <c r="Y2101" s="855"/>
      <c r="Z2101" s="855"/>
      <c r="AA2101" s="855"/>
      <c r="AB2101" s="855"/>
      <c r="AC2101" s="855"/>
      <c r="AD2101" s="855"/>
      <c r="AE2101" s="855"/>
      <c r="AF2101" s="855"/>
      <c r="AG2101" s="855"/>
      <c r="AH2101" s="855"/>
      <c r="AI2101" s="855"/>
      <c r="AJ2101" s="855"/>
      <c r="AK2101" s="855"/>
      <c r="AL2101" s="855"/>
      <c r="AM2101" s="855"/>
      <c r="AN2101" s="855"/>
      <c r="AO2101" s="855"/>
      <c r="AP2101" s="855"/>
      <c r="AQ2101" s="855"/>
      <c r="AR2101" s="855"/>
      <c r="AS2101" s="855"/>
      <c r="AT2101" s="855"/>
      <c r="AU2101" s="855"/>
      <c r="AV2101" s="855"/>
      <c r="AW2101" s="855"/>
      <c r="AX2101" s="855"/>
      <c r="AY2101" s="855"/>
      <c r="AZ2101" s="855"/>
      <c r="BA2101" s="855"/>
      <c r="BB2101" s="855"/>
      <c r="BC2101" s="855"/>
      <c r="BD2101" s="855"/>
      <c r="BE2101" s="855"/>
      <c r="BF2101" s="855"/>
      <c r="BG2101" s="855"/>
      <c r="BH2101" s="855"/>
      <c r="BI2101" s="855"/>
      <c r="BJ2101" s="855"/>
      <c r="BK2101" s="855"/>
      <c r="BL2101" s="855"/>
      <c r="BM2101" s="855"/>
      <c r="BN2101" s="855"/>
      <c r="BO2101" s="855"/>
      <c r="BP2101" s="855"/>
      <c r="BQ2101" s="855"/>
      <c r="BR2101" s="855"/>
      <c r="BS2101" s="855"/>
      <c r="BT2101" s="855"/>
      <c r="BU2101" s="855"/>
      <c r="BV2101" s="855"/>
      <c r="BW2101" s="855"/>
      <c r="BX2101" s="855"/>
      <c r="BY2101" s="855"/>
      <c r="BZ2101" s="855"/>
      <c r="CA2101" s="855"/>
      <c r="CB2101" s="855"/>
      <c r="CC2101" s="855"/>
      <c r="CD2101" s="855"/>
      <c r="CE2101" s="855"/>
      <c r="CF2101" s="855"/>
      <c r="CG2101" s="855"/>
      <c r="CH2101" s="855"/>
      <c r="CI2101" s="855"/>
      <c r="CJ2101" s="855"/>
      <c r="CK2101" s="855"/>
      <c r="CL2101" s="855"/>
      <c r="CM2101" s="855"/>
      <c r="CN2101" s="855"/>
      <c r="CO2101" s="855"/>
      <c r="CP2101" s="855"/>
      <c r="CQ2101" s="855"/>
      <c r="CR2101" s="855"/>
      <c r="CS2101" s="855"/>
      <c r="CT2101" s="855"/>
      <c r="CU2101" s="855"/>
      <c r="CV2101" s="855"/>
      <c r="CW2101" s="855"/>
      <c r="CX2101" s="855"/>
      <c r="CY2101" s="855"/>
      <c r="CZ2101" s="855"/>
      <c r="DA2101" s="855"/>
      <c r="DB2101" s="855"/>
      <c r="DC2101" s="855"/>
      <c r="DD2101" s="855"/>
      <c r="DE2101" s="855"/>
      <c r="DF2101" s="855"/>
      <c r="DG2101" s="855"/>
      <c r="DH2101" s="855"/>
      <c r="DI2101" s="855"/>
      <c r="DJ2101" s="855"/>
      <c r="DK2101" s="855"/>
      <c r="DL2101" s="855"/>
      <c r="DM2101" s="855"/>
      <c r="DN2101" s="855"/>
      <c r="DO2101" s="855"/>
      <c r="DP2101" s="855"/>
      <c r="DQ2101" s="855"/>
      <c r="DR2101" s="855"/>
      <c r="DS2101" s="855"/>
      <c r="DT2101" s="855"/>
      <c r="DU2101" s="855"/>
      <c r="DV2101" s="855"/>
      <c r="DW2101" s="855"/>
      <c r="DX2101" s="855"/>
      <c r="DY2101" s="855"/>
      <c r="DZ2101" s="855"/>
      <c r="EA2101" s="855"/>
      <c r="EB2101" s="855"/>
      <c r="EC2101" s="855"/>
      <c r="ED2101" s="855"/>
      <c r="EE2101" s="855"/>
      <c r="EF2101" s="855"/>
      <c r="EG2101" s="855"/>
      <c r="EH2101" s="855"/>
      <c r="EI2101" s="855"/>
      <c r="EJ2101" s="855"/>
      <c r="EK2101" s="855"/>
      <c r="EL2101" s="855"/>
      <c r="EM2101" s="855"/>
      <c r="EN2101" s="855"/>
      <c r="EO2101" s="855"/>
      <c r="EP2101" s="855"/>
      <c r="EQ2101" s="855"/>
      <c r="ER2101" s="855"/>
    </row>
    <row r="2102" spans="1:148" s="858" customFormat="1" ht="14" customHeight="1">
      <c r="A2102" s="842">
        <v>99522</v>
      </c>
      <c r="B2102" s="844" t="s">
        <v>53095</v>
      </c>
      <c r="C2102" s="841">
        <v>127.85</v>
      </c>
      <c r="D2102" s="861"/>
      <c r="E2102" s="855"/>
      <c r="F2102" s="855"/>
      <c r="G2102" s="855"/>
      <c r="H2102" s="855"/>
      <c r="I2102" s="855"/>
      <c r="J2102" s="855"/>
      <c r="K2102" s="855"/>
      <c r="L2102" s="855"/>
      <c r="M2102" s="855"/>
      <c r="N2102" s="855"/>
      <c r="O2102" s="855"/>
      <c r="P2102" s="855"/>
      <c r="Q2102" s="855"/>
      <c r="R2102" s="855"/>
      <c r="S2102" s="855"/>
      <c r="T2102" s="855"/>
      <c r="U2102" s="855"/>
      <c r="V2102" s="855"/>
      <c r="W2102" s="855"/>
      <c r="X2102" s="855"/>
      <c r="Y2102" s="855"/>
      <c r="Z2102" s="855"/>
      <c r="AA2102" s="855"/>
      <c r="AB2102" s="855"/>
      <c r="AC2102" s="855"/>
      <c r="AD2102" s="855"/>
      <c r="AE2102" s="855"/>
      <c r="AF2102" s="855"/>
      <c r="AG2102" s="855"/>
      <c r="AH2102" s="855"/>
      <c r="AI2102" s="855"/>
      <c r="AJ2102" s="855"/>
      <c r="AK2102" s="855"/>
      <c r="AL2102" s="855"/>
      <c r="AM2102" s="855"/>
      <c r="AN2102" s="855"/>
      <c r="AO2102" s="855"/>
      <c r="AP2102" s="855"/>
      <c r="AQ2102" s="855"/>
      <c r="AR2102" s="855"/>
      <c r="AS2102" s="855"/>
      <c r="AT2102" s="855"/>
      <c r="AU2102" s="855"/>
      <c r="AV2102" s="855"/>
      <c r="AW2102" s="855"/>
      <c r="AX2102" s="855"/>
      <c r="AY2102" s="855"/>
      <c r="AZ2102" s="855"/>
      <c r="BA2102" s="855"/>
      <c r="BB2102" s="855"/>
      <c r="BC2102" s="855"/>
      <c r="BD2102" s="855"/>
      <c r="BE2102" s="855"/>
      <c r="BF2102" s="855"/>
      <c r="BG2102" s="855"/>
      <c r="BH2102" s="855"/>
      <c r="BI2102" s="855"/>
      <c r="BJ2102" s="855"/>
      <c r="BK2102" s="855"/>
      <c r="BL2102" s="855"/>
      <c r="BM2102" s="855"/>
      <c r="BN2102" s="855"/>
      <c r="BO2102" s="855"/>
      <c r="BP2102" s="855"/>
      <c r="BQ2102" s="855"/>
      <c r="BR2102" s="855"/>
      <c r="BS2102" s="855"/>
      <c r="BT2102" s="855"/>
      <c r="BU2102" s="855"/>
      <c r="BV2102" s="855"/>
      <c r="BW2102" s="855"/>
      <c r="BX2102" s="855"/>
      <c r="BY2102" s="855"/>
      <c r="BZ2102" s="855"/>
      <c r="CA2102" s="855"/>
      <c r="CB2102" s="855"/>
      <c r="CC2102" s="855"/>
      <c r="CD2102" s="855"/>
      <c r="CE2102" s="855"/>
      <c r="CF2102" s="855"/>
      <c r="CG2102" s="855"/>
      <c r="CH2102" s="855"/>
      <c r="CI2102" s="855"/>
      <c r="CJ2102" s="855"/>
      <c r="CK2102" s="855"/>
      <c r="CL2102" s="855"/>
      <c r="CM2102" s="855"/>
      <c r="CN2102" s="855"/>
      <c r="CO2102" s="855"/>
      <c r="CP2102" s="855"/>
      <c r="CQ2102" s="855"/>
      <c r="CR2102" s="855"/>
      <c r="CS2102" s="855"/>
      <c r="CT2102" s="855"/>
      <c r="CU2102" s="855"/>
      <c r="CV2102" s="855"/>
      <c r="CW2102" s="855"/>
      <c r="CX2102" s="855"/>
      <c r="CY2102" s="855"/>
      <c r="CZ2102" s="855"/>
      <c r="DA2102" s="855"/>
      <c r="DB2102" s="855"/>
      <c r="DC2102" s="855"/>
      <c r="DD2102" s="855"/>
      <c r="DE2102" s="855"/>
      <c r="DF2102" s="855"/>
      <c r="DG2102" s="855"/>
      <c r="DH2102" s="855"/>
      <c r="DI2102" s="855"/>
      <c r="DJ2102" s="855"/>
      <c r="DK2102" s="855"/>
      <c r="DL2102" s="855"/>
      <c r="DM2102" s="855"/>
      <c r="DN2102" s="855"/>
      <c r="DO2102" s="855"/>
      <c r="DP2102" s="855"/>
      <c r="DQ2102" s="855"/>
      <c r="DR2102" s="855"/>
      <c r="DS2102" s="855"/>
      <c r="DT2102" s="855"/>
      <c r="DU2102" s="855"/>
      <c r="DV2102" s="855"/>
      <c r="DW2102" s="855"/>
      <c r="DX2102" s="855"/>
      <c r="DY2102" s="855"/>
      <c r="DZ2102" s="855"/>
      <c r="EA2102" s="855"/>
      <c r="EB2102" s="855"/>
      <c r="EC2102" s="855"/>
      <c r="ED2102" s="855"/>
      <c r="EE2102" s="855"/>
      <c r="EF2102" s="855"/>
      <c r="EG2102" s="855"/>
      <c r="EH2102" s="855"/>
      <c r="EI2102" s="855"/>
      <c r="EJ2102" s="855"/>
      <c r="EK2102" s="855"/>
      <c r="EL2102" s="855"/>
      <c r="EM2102" s="855"/>
      <c r="EN2102" s="855"/>
      <c r="EO2102" s="855"/>
      <c r="EP2102" s="855"/>
      <c r="EQ2102" s="855"/>
      <c r="ER2102" s="855"/>
    </row>
    <row r="2103" spans="1:148" s="858" customFormat="1" ht="14" customHeight="1">
      <c r="A2103" s="842">
        <v>99523</v>
      </c>
      <c r="B2103" s="844" t="s">
        <v>53094</v>
      </c>
      <c r="C2103" s="841">
        <v>208.12</v>
      </c>
      <c r="D2103" s="861"/>
      <c r="E2103" s="855"/>
      <c r="F2103" s="855"/>
      <c r="G2103" s="855"/>
      <c r="H2103" s="855"/>
      <c r="I2103" s="855"/>
      <c r="J2103" s="855"/>
      <c r="K2103" s="855"/>
      <c r="L2103" s="855"/>
      <c r="M2103" s="855"/>
      <c r="N2103" s="855"/>
      <c r="O2103" s="855"/>
      <c r="P2103" s="855"/>
      <c r="Q2103" s="855"/>
      <c r="R2103" s="855"/>
      <c r="S2103" s="855"/>
      <c r="T2103" s="855"/>
      <c r="U2103" s="855"/>
      <c r="V2103" s="855"/>
      <c r="W2103" s="855"/>
      <c r="X2103" s="855"/>
      <c r="Y2103" s="855"/>
      <c r="Z2103" s="855"/>
      <c r="AA2103" s="855"/>
      <c r="AB2103" s="855"/>
      <c r="AC2103" s="855"/>
      <c r="AD2103" s="855"/>
      <c r="AE2103" s="855"/>
      <c r="AF2103" s="855"/>
      <c r="AG2103" s="855"/>
      <c r="AH2103" s="855"/>
      <c r="AI2103" s="855"/>
      <c r="AJ2103" s="855"/>
      <c r="AK2103" s="855"/>
      <c r="AL2103" s="855"/>
      <c r="AM2103" s="855"/>
      <c r="AN2103" s="855"/>
      <c r="AO2103" s="855"/>
      <c r="AP2103" s="855"/>
      <c r="AQ2103" s="855"/>
      <c r="AR2103" s="855"/>
      <c r="AS2103" s="855"/>
      <c r="AT2103" s="855"/>
      <c r="AU2103" s="855"/>
      <c r="AV2103" s="855"/>
      <c r="AW2103" s="855"/>
      <c r="AX2103" s="855"/>
      <c r="AY2103" s="855"/>
      <c r="AZ2103" s="855"/>
      <c r="BA2103" s="855"/>
      <c r="BB2103" s="855"/>
      <c r="BC2103" s="855"/>
      <c r="BD2103" s="855"/>
      <c r="BE2103" s="855"/>
      <c r="BF2103" s="855"/>
      <c r="BG2103" s="855"/>
      <c r="BH2103" s="855"/>
      <c r="BI2103" s="855"/>
      <c r="BJ2103" s="855"/>
      <c r="BK2103" s="855"/>
      <c r="BL2103" s="855"/>
      <c r="BM2103" s="855"/>
      <c r="BN2103" s="855"/>
      <c r="BO2103" s="855"/>
      <c r="BP2103" s="855"/>
      <c r="BQ2103" s="855"/>
      <c r="BR2103" s="855"/>
      <c r="BS2103" s="855"/>
      <c r="BT2103" s="855"/>
      <c r="BU2103" s="855"/>
      <c r="BV2103" s="855"/>
      <c r="BW2103" s="855"/>
      <c r="BX2103" s="855"/>
      <c r="BY2103" s="855"/>
      <c r="BZ2103" s="855"/>
      <c r="CA2103" s="855"/>
      <c r="CB2103" s="855"/>
      <c r="CC2103" s="855"/>
      <c r="CD2103" s="855"/>
      <c r="CE2103" s="855"/>
      <c r="CF2103" s="855"/>
      <c r="CG2103" s="855"/>
      <c r="CH2103" s="855"/>
      <c r="CI2103" s="855"/>
      <c r="CJ2103" s="855"/>
      <c r="CK2103" s="855"/>
      <c r="CL2103" s="855"/>
      <c r="CM2103" s="855"/>
      <c r="CN2103" s="855"/>
      <c r="CO2103" s="855"/>
      <c r="CP2103" s="855"/>
      <c r="CQ2103" s="855"/>
      <c r="CR2103" s="855"/>
      <c r="CS2103" s="855"/>
      <c r="CT2103" s="855"/>
      <c r="CU2103" s="855"/>
      <c r="CV2103" s="855"/>
      <c r="CW2103" s="855"/>
      <c r="CX2103" s="855"/>
      <c r="CY2103" s="855"/>
      <c r="CZ2103" s="855"/>
      <c r="DA2103" s="855"/>
      <c r="DB2103" s="855"/>
      <c r="DC2103" s="855"/>
      <c r="DD2103" s="855"/>
      <c r="DE2103" s="855"/>
      <c r="DF2103" s="855"/>
      <c r="DG2103" s="855"/>
      <c r="DH2103" s="855"/>
      <c r="DI2103" s="855"/>
      <c r="DJ2103" s="855"/>
      <c r="DK2103" s="855"/>
      <c r="DL2103" s="855"/>
      <c r="DM2103" s="855"/>
      <c r="DN2103" s="855"/>
      <c r="DO2103" s="855"/>
      <c r="DP2103" s="855"/>
      <c r="DQ2103" s="855"/>
      <c r="DR2103" s="855"/>
      <c r="DS2103" s="855"/>
      <c r="DT2103" s="855"/>
      <c r="DU2103" s="855"/>
      <c r="DV2103" s="855"/>
      <c r="DW2103" s="855"/>
      <c r="DX2103" s="855"/>
      <c r="DY2103" s="855"/>
      <c r="DZ2103" s="855"/>
      <c r="EA2103" s="855"/>
      <c r="EB2103" s="855"/>
      <c r="EC2103" s="855"/>
      <c r="ED2103" s="855"/>
      <c r="EE2103" s="855"/>
      <c r="EF2103" s="855"/>
      <c r="EG2103" s="855"/>
      <c r="EH2103" s="855"/>
      <c r="EI2103" s="855"/>
      <c r="EJ2103" s="855"/>
      <c r="EK2103" s="855"/>
      <c r="EL2103" s="855"/>
      <c r="EM2103" s="855"/>
      <c r="EN2103" s="855"/>
      <c r="EO2103" s="855"/>
      <c r="EP2103" s="855"/>
      <c r="EQ2103" s="855"/>
      <c r="ER2103" s="855"/>
    </row>
    <row r="2104" spans="1:148" s="858" customFormat="1" ht="14" customHeight="1">
      <c r="A2104" s="842">
        <v>99524</v>
      </c>
      <c r="B2104" s="844" t="s">
        <v>53093</v>
      </c>
      <c r="C2104" s="841">
        <v>254.83</v>
      </c>
      <c r="D2104" s="861"/>
      <c r="E2104" s="855"/>
      <c r="F2104" s="855"/>
      <c r="G2104" s="855"/>
      <c r="H2104" s="855"/>
      <c r="I2104" s="855"/>
      <c r="J2104" s="855"/>
      <c r="K2104" s="855"/>
      <c r="L2104" s="855"/>
      <c r="M2104" s="855"/>
      <c r="N2104" s="855"/>
      <c r="O2104" s="855"/>
      <c r="P2104" s="855"/>
      <c r="Q2104" s="855"/>
      <c r="R2104" s="855"/>
      <c r="S2104" s="855"/>
      <c r="T2104" s="855"/>
      <c r="U2104" s="855"/>
      <c r="V2104" s="855"/>
      <c r="W2104" s="855"/>
      <c r="X2104" s="855"/>
      <c r="Y2104" s="855"/>
      <c r="Z2104" s="855"/>
      <c r="AA2104" s="855"/>
      <c r="AB2104" s="855"/>
      <c r="AC2104" s="855"/>
      <c r="AD2104" s="855"/>
      <c r="AE2104" s="855"/>
      <c r="AF2104" s="855"/>
      <c r="AG2104" s="855"/>
      <c r="AH2104" s="855"/>
      <c r="AI2104" s="855"/>
      <c r="AJ2104" s="855"/>
      <c r="AK2104" s="855"/>
      <c r="AL2104" s="855"/>
      <c r="AM2104" s="855"/>
      <c r="AN2104" s="855"/>
      <c r="AO2104" s="855"/>
      <c r="AP2104" s="855"/>
      <c r="AQ2104" s="855"/>
      <c r="AR2104" s="855"/>
      <c r="AS2104" s="855"/>
      <c r="AT2104" s="855"/>
      <c r="AU2104" s="855"/>
      <c r="AV2104" s="855"/>
      <c r="AW2104" s="855"/>
      <c r="AX2104" s="855"/>
      <c r="AY2104" s="855"/>
      <c r="AZ2104" s="855"/>
      <c r="BA2104" s="855"/>
      <c r="BB2104" s="855"/>
      <c r="BC2104" s="855"/>
      <c r="BD2104" s="855"/>
      <c r="BE2104" s="855"/>
      <c r="BF2104" s="855"/>
      <c r="BG2104" s="855"/>
      <c r="BH2104" s="855"/>
      <c r="BI2104" s="855"/>
      <c r="BJ2104" s="855"/>
      <c r="BK2104" s="855"/>
      <c r="BL2104" s="855"/>
      <c r="BM2104" s="855"/>
      <c r="BN2104" s="855"/>
      <c r="BO2104" s="855"/>
      <c r="BP2104" s="855"/>
      <c r="BQ2104" s="855"/>
      <c r="BR2104" s="855"/>
      <c r="BS2104" s="855"/>
      <c r="BT2104" s="855"/>
      <c r="BU2104" s="855"/>
      <c r="BV2104" s="855"/>
      <c r="BW2104" s="855"/>
      <c r="BX2104" s="855"/>
      <c r="BY2104" s="855"/>
      <c r="BZ2104" s="855"/>
      <c r="CA2104" s="855"/>
      <c r="CB2104" s="855"/>
      <c r="CC2104" s="855"/>
      <c r="CD2104" s="855"/>
      <c r="CE2104" s="855"/>
      <c r="CF2104" s="855"/>
      <c r="CG2104" s="855"/>
      <c r="CH2104" s="855"/>
      <c r="CI2104" s="855"/>
      <c r="CJ2104" s="855"/>
      <c r="CK2104" s="855"/>
      <c r="CL2104" s="855"/>
      <c r="CM2104" s="855"/>
      <c r="CN2104" s="855"/>
      <c r="CO2104" s="855"/>
      <c r="CP2104" s="855"/>
      <c r="CQ2104" s="855"/>
      <c r="CR2104" s="855"/>
      <c r="CS2104" s="855"/>
      <c r="CT2104" s="855"/>
      <c r="CU2104" s="855"/>
      <c r="CV2104" s="855"/>
      <c r="CW2104" s="855"/>
      <c r="CX2104" s="855"/>
      <c r="CY2104" s="855"/>
      <c r="CZ2104" s="855"/>
      <c r="DA2104" s="855"/>
      <c r="DB2104" s="855"/>
      <c r="DC2104" s="855"/>
      <c r="DD2104" s="855"/>
      <c r="DE2104" s="855"/>
      <c r="DF2104" s="855"/>
      <c r="DG2104" s="855"/>
      <c r="DH2104" s="855"/>
      <c r="DI2104" s="855"/>
      <c r="DJ2104" s="855"/>
      <c r="DK2104" s="855"/>
      <c r="DL2104" s="855"/>
      <c r="DM2104" s="855"/>
      <c r="DN2104" s="855"/>
      <c r="DO2104" s="855"/>
      <c r="DP2104" s="855"/>
      <c r="DQ2104" s="855"/>
      <c r="DR2104" s="855"/>
      <c r="DS2104" s="855"/>
      <c r="DT2104" s="855"/>
      <c r="DU2104" s="855"/>
      <c r="DV2104" s="855"/>
      <c r="DW2104" s="855"/>
      <c r="DX2104" s="855"/>
      <c r="DY2104" s="855"/>
      <c r="DZ2104" s="855"/>
      <c r="EA2104" s="855"/>
      <c r="EB2104" s="855"/>
      <c r="EC2104" s="855"/>
      <c r="ED2104" s="855"/>
      <c r="EE2104" s="855"/>
      <c r="EF2104" s="855"/>
      <c r="EG2104" s="855"/>
      <c r="EH2104" s="855"/>
      <c r="EI2104" s="855"/>
      <c r="EJ2104" s="855"/>
      <c r="EK2104" s="855"/>
      <c r="EL2104" s="855"/>
      <c r="EM2104" s="855"/>
      <c r="EN2104" s="855"/>
      <c r="EO2104" s="855"/>
      <c r="EP2104" s="855"/>
      <c r="EQ2104" s="855"/>
      <c r="ER2104" s="855"/>
    </row>
    <row r="2105" spans="1:148" s="858" customFormat="1" ht="14" customHeight="1">
      <c r="A2105" s="842">
        <v>99525</v>
      </c>
      <c r="B2105" s="844" t="s">
        <v>53092</v>
      </c>
      <c r="C2105" s="841">
        <v>50.97</v>
      </c>
      <c r="D2105" s="861"/>
      <c r="E2105" s="855"/>
      <c r="F2105" s="855"/>
      <c r="G2105" s="855"/>
      <c r="H2105" s="855"/>
      <c r="I2105" s="855"/>
      <c r="J2105" s="855"/>
      <c r="K2105" s="855"/>
      <c r="L2105" s="855"/>
      <c r="M2105" s="855"/>
      <c r="N2105" s="855"/>
      <c r="O2105" s="855"/>
      <c r="P2105" s="855"/>
      <c r="Q2105" s="855"/>
      <c r="R2105" s="855"/>
      <c r="S2105" s="855"/>
      <c r="T2105" s="855"/>
      <c r="U2105" s="855"/>
      <c r="V2105" s="855"/>
      <c r="W2105" s="855"/>
      <c r="X2105" s="855"/>
      <c r="Y2105" s="855"/>
      <c r="Z2105" s="855"/>
      <c r="AA2105" s="855"/>
      <c r="AB2105" s="855"/>
      <c r="AC2105" s="855"/>
      <c r="AD2105" s="855"/>
      <c r="AE2105" s="855"/>
      <c r="AF2105" s="855"/>
      <c r="AG2105" s="855"/>
      <c r="AH2105" s="855"/>
      <c r="AI2105" s="855"/>
      <c r="AJ2105" s="855"/>
      <c r="AK2105" s="855"/>
      <c r="AL2105" s="855"/>
      <c r="AM2105" s="855"/>
      <c r="AN2105" s="855"/>
      <c r="AO2105" s="855"/>
      <c r="AP2105" s="855"/>
      <c r="AQ2105" s="855"/>
      <c r="AR2105" s="855"/>
      <c r="AS2105" s="855"/>
      <c r="AT2105" s="855"/>
      <c r="AU2105" s="855"/>
      <c r="AV2105" s="855"/>
      <c r="AW2105" s="855"/>
      <c r="AX2105" s="855"/>
      <c r="AY2105" s="855"/>
      <c r="AZ2105" s="855"/>
      <c r="BA2105" s="855"/>
      <c r="BB2105" s="855"/>
      <c r="BC2105" s="855"/>
      <c r="BD2105" s="855"/>
      <c r="BE2105" s="855"/>
      <c r="BF2105" s="855"/>
      <c r="BG2105" s="855"/>
      <c r="BH2105" s="855"/>
      <c r="BI2105" s="855"/>
      <c r="BJ2105" s="855"/>
      <c r="BK2105" s="855"/>
      <c r="BL2105" s="855"/>
      <c r="BM2105" s="855"/>
      <c r="BN2105" s="855"/>
      <c r="BO2105" s="855"/>
      <c r="BP2105" s="855"/>
      <c r="BQ2105" s="855"/>
      <c r="BR2105" s="855"/>
      <c r="BS2105" s="855"/>
      <c r="BT2105" s="855"/>
      <c r="BU2105" s="855"/>
      <c r="BV2105" s="855"/>
      <c r="BW2105" s="855"/>
      <c r="BX2105" s="855"/>
      <c r="BY2105" s="855"/>
      <c r="BZ2105" s="855"/>
      <c r="CA2105" s="855"/>
      <c r="CB2105" s="855"/>
      <c r="CC2105" s="855"/>
      <c r="CD2105" s="855"/>
      <c r="CE2105" s="855"/>
      <c r="CF2105" s="855"/>
      <c r="CG2105" s="855"/>
      <c r="CH2105" s="855"/>
      <c r="CI2105" s="855"/>
      <c r="CJ2105" s="855"/>
      <c r="CK2105" s="855"/>
      <c r="CL2105" s="855"/>
      <c r="CM2105" s="855"/>
      <c r="CN2105" s="855"/>
      <c r="CO2105" s="855"/>
      <c r="CP2105" s="855"/>
      <c r="CQ2105" s="855"/>
      <c r="CR2105" s="855"/>
      <c r="CS2105" s="855"/>
      <c r="CT2105" s="855"/>
      <c r="CU2105" s="855"/>
      <c r="CV2105" s="855"/>
      <c r="CW2105" s="855"/>
      <c r="CX2105" s="855"/>
      <c r="CY2105" s="855"/>
      <c r="CZ2105" s="855"/>
      <c r="DA2105" s="855"/>
      <c r="DB2105" s="855"/>
      <c r="DC2105" s="855"/>
      <c r="DD2105" s="855"/>
      <c r="DE2105" s="855"/>
      <c r="DF2105" s="855"/>
      <c r="DG2105" s="855"/>
      <c r="DH2105" s="855"/>
      <c r="DI2105" s="855"/>
      <c r="DJ2105" s="855"/>
      <c r="DK2105" s="855"/>
      <c r="DL2105" s="855"/>
      <c r="DM2105" s="855"/>
      <c r="DN2105" s="855"/>
      <c r="DO2105" s="855"/>
      <c r="DP2105" s="855"/>
      <c r="DQ2105" s="855"/>
      <c r="DR2105" s="855"/>
      <c r="DS2105" s="855"/>
      <c r="DT2105" s="855"/>
      <c r="DU2105" s="855"/>
      <c r="DV2105" s="855"/>
      <c r="DW2105" s="855"/>
      <c r="DX2105" s="855"/>
      <c r="DY2105" s="855"/>
      <c r="DZ2105" s="855"/>
      <c r="EA2105" s="855"/>
      <c r="EB2105" s="855"/>
      <c r="EC2105" s="855"/>
      <c r="ED2105" s="855"/>
      <c r="EE2105" s="855"/>
      <c r="EF2105" s="855"/>
      <c r="EG2105" s="855"/>
      <c r="EH2105" s="855"/>
      <c r="EI2105" s="855"/>
      <c r="EJ2105" s="855"/>
      <c r="EK2105" s="855"/>
      <c r="EL2105" s="855"/>
      <c r="EM2105" s="855"/>
      <c r="EN2105" s="855"/>
      <c r="EO2105" s="855"/>
      <c r="EP2105" s="855"/>
      <c r="EQ2105" s="855"/>
      <c r="ER2105" s="855"/>
    </row>
    <row r="2106" spans="1:148" s="858" customFormat="1" ht="14" customHeight="1">
      <c r="A2106" s="842">
        <v>99526</v>
      </c>
      <c r="B2106" s="844" t="s">
        <v>53091</v>
      </c>
      <c r="C2106" s="841">
        <v>62.29</v>
      </c>
      <c r="D2106" s="861"/>
      <c r="E2106" s="855"/>
      <c r="F2106" s="855"/>
      <c r="G2106" s="855"/>
      <c r="H2106" s="855"/>
      <c r="I2106" s="855"/>
      <c r="J2106" s="855"/>
      <c r="K2106" s="855"/>
      <c r="L2106" s="855"/>
      <c r="M2106" s="855"/>
      <c r="N2106" s="855"/>
      <c r="O2106" s="855"/>
      <c r="P2106" s="855"/>
      <c r="Q2106" s="855"/>
      <c r="R2106" s="855"/>
      <c r="S2106" s="855"/>
      <c r="T2106" s="855"/>
      <c r="U2106" s="855"/>
      <c r="V2106" s="855"/>
      <c r="W2106" s="855"/>
      <c r="X2106" s="855"/>
      <c r="Y2106" s="855"/>
      <c r="Z2106" s="855"/>
      <c r="AA2106" s="855"/>
      <c r="AB2106" s="855"/>
      <c r="AC2106" s="855"/>
      <c r="AD2106" s="855"/>
      <c r="AE2106" s="855"/>
      <c r="AF2106" s="855"/>
      <c r="AG2106" s="855"/>
      <c r="AH2106" s="855"/>
      <c r="AI2106" s="855"/>
      <c r="AJ2106" s="855"/>
      <c r="AK2106" s="855"/>
      <c r="AL2106" s="855"/>
      <c r="AM2106" s="855"/>
      <c r="AN2106" s="855"/>
      <c r="AO2106" s="855"/>
      <c r="AP2106" s="855"/>
      <c r="AQ2106" s="855"/>
      <c r="AR2106" s="855"/>
      <c r="AS2106" s="855"/>
      <c r="AT2106" s="855"/>
      <c r="AU2106" s="855"/>
      <c r="AV2106" s="855"/>
      <c r="AW2106" s="855"/>
      <c r="AX2106" s="855"/>
      <c r="AY2106" s="855"/>
      <c r="AZ2106" s="855"/>
      <c r="BA2106" s="855"/>
      <c r="BB2106" s="855"/>
      <c r="BC2106" s="855"/>
      <c r="BD2106" s="855"/>
      <c r="BE2106" s="855"/>
      <c r="BF2106" s="855"/>
      <c r="BG2106" s="855"/>
      <c r="BH2106" s="855"/>
      <c r="BI2106" s="855"/>
      <c r="BJ2106" s="855"/>
      <c r="BK2106" s="855"/>
      <c r="BL2106" s="855"/>
      <c r="BM2106" s="855"/>
      <c r="BN2106" s="855"/>
      <c r="BO2106" s="855"/>
      <c r="BP2106" s="855"/>
      <c r="BQ2106" s="855"/>
      <c r="BR2106" s="855"/>
      <c r="BS2106" s="855"/>
      <c r="BT2106" s="855"/>
      <c r="BU2106" s="855"/>
      <c r="BV2106" s="855"/>
      <c r="BW2106" s="855"/>
      <c r="BX2106" s="855"/>
      <c r="BY2106" s="855"/>
      <c r="BZ2106" s="855"/>
      <c r="CA2106" s="855"/>
      <c r="CB2106" s="855"/>
      <c r="CC2106" s="855"/>
      <c r="CD2106" s="855"/>
      <c r="CE2106" s="855"/>
      <c r="CF2106" s="855"/>
      <c r="CG2106" s="855"/>
      <c r="CH2106" s="855"/>
      <c r="CI2106" s="855"/>
      <c r="CJ2106" s="855"/>
      <c r="CK2106" s="855"/>
      <c r="CL2106" s="855"/>
      <c r="CM2106" s="855"/>
      <c r="CN2106" s="855"/>
      <c r="CO2106" s="855"/>
      <c r="CP2106" s="855"/>
      <c r="CQ2106" s="855"/>
      <c r="CR2106" s="855"/>
      <c r="CS2106" s="855"/>
      <c r="CT2106" s="855"/>
      <c r="CU2106" s="855"/>
      <c r="CV2106" s="855"/>
      <c r="CW2106" s="855"/>
      <c r="CX2106" s="855"/>
      <c r="CY2106" s="855"/>
      <c r="CZ2106" s="855"/>
      <c r="DA2106" s="855"/>
      <c r="DB2106" s="855"/>
      <c r="DC2106" s="855"/>
      <c r="DD2106" s="855"/>
      <c r="DE2106" s="855"/>
      <c r="DF2106" s="855"/>
      <c r="DG2106" s="855"/>
      <c r="DH2106" s="855"/>
      <c r="DI2106" s="855"/>
      <c r="DJ2106" s="855"/>
      <c r="DK2106" s="855"/>
      <c r="DL2106" s="855"/>
      <c r="DM2106" s="855"/>
      <c r="DN2106" s="855"/>
      <c r="DO2106" s="855"/>
      <c r="DP2106" s="855"/>
      <c r="DQ2106" s="855"/>
      <c r="DR2106" s="855"/>
      <c r="DS2106" s="855"/>
      <c r="DT2106" s="855"/>
      <c r="DU2106" s="855"/>
      <c r="DV2106" s="855"/>
      <c r="DW2106" s="855"/>
      <c r="DX2106" s="855"/>
      <c r="DY2106" s="855"/>
      <c r="DZ2106" s="855"/>
      <c r="EA2106" s="855"/>
      <c r="EB2106" s="855"/>
      <c r="EC2106" s="855"/>
      <c r="ED2106" s="855"/>
      <c r="EE2106" s="855"/>
      <c r="EF2106" s="855"/>
      <c r="EG2106" s="855"/>
      <c r="EH2106" s="855"/>
      <c r="EI2106" s="855"/>
      <c r="EJ2106" s="855"/>
      <c r="EK2106" s="855"/>
      <c r="EL2106" s="855"/>
      <c r="EM2106" s="855"/>
      <c r="EN2106" s="855"/>
      <c r="EO2106" s="855"/>
      <c r="EP2106" s="855"/>
      <c r="EQ2106" s="855"/>
      <c r="ER2106" s="855"/>
    </row>
    <row r="2107" spans="1:148" s="858" customFormat="1" ht="14" customHeight="1">
      <c r="A2107" s="842">
        <v>99527</v>
      </c>
      <c r="B2107" s="844" t="s">
        <v>53090</v>
      </c>
      <c r="C2107" s="841">
        <v>127.42</v>
      </c>
      <c r="D2107" s="861"/>
      <c r="E2107" s="855"/>
      <c r="F2107" s="855"/>
      <c r="G2107" s="855"/>
      <c r="H2107" s="855"/>
      <c r="I2107" s="855"/>
      <c r="J2107" s="855"/>
      <c r="K2107" s="855"/>
      <c r="L2107" s="855"/>
      <c r="M2107" s="855"/>
      <c r="N2107" s="855"/>
      <c r="O2107" s="855"/>
      <c r="P2107" s="855"/>
      <c r="Q2107" s="855"/>
      <c r="R2107" s="855"/>
      <c r="S2107" s="855"/>
      <c r="T2107" s="855"/>
      <c r="U2107" s="855"/>
      <c r="V2107" s="855"/>
      <c r="W2107" s="855"/>
      <c r="X2107" s="855"/>
      <c r="Y2107" s="855"/>
      <c r="Z2107" s="855"/>
      <c r="AA2107" s="855"/>
      <c r="AB2107" s="855"/>
      <c r="AC2107" s="855"/>
      <c r="AD2107" s="855"/>
      <c r="AE2107" s="855"/>
      <c r="AF2107" s="855"/>
      <c r="AG2107" s="855"/>
      <c r="AH2107" s="855"/>
      <c r="AI2107" s="855"/>
      <c r="AJ2107" s="855"/>
      <c r="AK2107" s="855"/>
      <c r="AL2107" s="855"/>
      <c r="AM2107" s="855"/>
      <c r="AN2107" s="855"/>
      <c r="AO2107" s="855"/>
      <c r="AP2107" s="855"/>
      <c r="AQ2107" s="855"/>
      <c r="AR2107" s="855"/>
      <c r="AS2107" s="855"/>
      <c r="AT2107" s="855"/>
      <c r="AU2107" s="855"/>
      <c r="AV2107" s="855"/>
      <c r="AW2107" s="855"/>
      <c r="AX2107" s="855"/>
      <c r="AY2107" s="855"/>
      <c r="AZ2107" s="855"/>
      <c r="BA2107" s="855"/>
      <c r="BB2107" s="855"/>
      <c r="BC2107" s="855"/>
      <c r="BD2107" s="855"/>
      <c r="BE2107" s="855"/>
      <c r="BF2107" s="855"/>
      <c r="BG2107" s="855"/>
      <c r="BH2107" s="855"/>
      <c r="BI2107" s="855"/>
      <c r="BJ2107" s="855"/>
      <c r="BK2107" s="855"/>
      <c r="BL2107" s="855"/>
      <c r="BM2107" s="855"/>
      <c r="BN2107" s="855"/>
      <c r="BO2107" s="855"/>
      <c r="BP2107" s="855"/>
      <c r="BQ2107" s="855"/>
      <c r="BR2107" s="855"/>
      <c r="BS2107" s="855"/>
      <c r="BT2107" s="855"/>
      <c r="BU2107" s="855"/>
      <c r="BV2107" s="855"/>
      <c r="BW2107" s="855"/>
      <c r="BX2107" s="855"/>
      <c r="BY2107" s="855"/>
      <c r="BZ2107" s="855"/>
      <c r="CA2107" s="855"/>
      <c r="CB2107" s="855"/>
      <c r="CC2107" s="855"/>
      <c r="CD2107" s="855"/>
      <c r="CE2107" s="855"/>
      <c r="CF2107" s="855"/>
      <c r="CG2107" s="855"/>
      <c r="CH2107" s="855"/>
      <c r="CI2107" s="855"/>
      <c r="CJ2107" s="855"/>
      <c r="CK2107" s="855"/>
      <c r="CL2107" s="855"/>
      <c r="CM2107" s="855"/>
      <c r="CN2107" s="855"/>
      <c r="CO2107" s="855"/>
      <c r="CP2107" s="855"/>
      <c r="CQ2107" s="855"/>
      <c r="CR2107" s="855"/>
      <c r="CS2107" s="855"/>
      <c r="CT2107" s="855"/>
      <c r="CU2107" s="855"/>
      <c r="CV2107" s="855"/>
      <c r="CW2107" s="855"/>
      <c r="CX2107" s="855"/>
      <c r="CY2107" s="855"/>
      <c r="CZ2107" s="855"/>
      <c r="DA2107" s="855"/>
      <c r="DB2107" s="855"/>
      <c r="DC2107" s="855"/>
      <c r="DD2107" s="855"/>
      <c r="DE2107" s="855"/>
      <c r="DF2107" s="855"/>
      <c r="DG2107" s="855"/>
      <c r="DH2107" s="855"/>
      <c r="DI2107" s="855"/>
      <c r="DJ2107" s="855"/>
      <c r="DK2107" s="855"/>
      <c r="DL2107" s="855"/>
      <c r="DM2107" s="855"/>
      <c r="DN2107" s="855"/>
      <c r="DO2107" s="855"/>
      <c r="DP2107" s="855"/>
      <c r="DQ2107" s="855"/>
      <c r="DR2107" s="855"/>
      <c r="DS2107" s="855"/>
      <c r="DT2107" s="855"/>
      <c r="DU2107" s="855"/>
      <c r="DV2107" s="855"/>
      <c r="DW2107" s="855"/>
      <c r="DX2107" s="855"/>
      <c r="DY2107" s="855"/>
      <c r="DZ2107" s="855"/>
      <c r="EA2107" s="855"/>
      <c r="EB2107" s="855"/>
      <c r="EC2107" s="855"/>
      <c r="ED2107" s="855"/>
      <c r="EE2107" s="855"/>
      <c r="EF2107" s="855"/>
      <c r="EG2107" s="855"/>
      <c r="EH2107" s="855"/>
      <c r="EI2107" s="855"/>
      <c r="EJ2107" s="855"/>
      <c r="EK2107" s="855"/>
      <c r="EL2107" s="855"/>
      <c r="EM2107" s="855"/>
      <c r="EN2107" s="855"/>
      <c r="EO2107" s="855"/>
      <c r="EP2107" s="855"/>
      <c r="EQ2107" s="855"/>
      <c r="ER2107" s="855"/>
    </row>
    <row r="2108" spans="1:148" s="858" customFormat="1" ht="14" customHeight="1">
      <c r="A2108" s="842">
        <v>99528</v>
      </c>
      <c r="B2108" s="844" t="s">
        <v>53089</v>
      </c>
      <c r="C2108" s="841">
        <v>52.06</v>
      </c>
      <c r="D2108" s="861"/>
      <c r="E2108" s="855"/>
      <c r="F2108" s="855"/>
      <c r="G2108" s="855"/>
      <c r="H2108" s="855"/>
      <c r="I2108" s="855"/>
      <c r="J2108" s="855"/>
      <c r="K2108" s="855"/>
      <c r="L2108" s="855"/>
      <c r="M2108" s="855"/>
      <c r="N2108" s="855"/>
      <c r="O2108" s="855"/>
      <c r="P2108" s="855"/>
      <c r="Q2108" s="855"/>
      <c r="R2108" s="855"/>
      <c r="S2108" s="855"/>
      <c r="T2108" s="855"/>
      <c r="U2108" s="855"/>
      <c r="V2108" s="855"/>
      <c r="W2108" s="855"/>
      <c r="X2108" s="855"/>
      <c r="Y2108" s="855"/>
      <c r="Z2108" s="855"/>
      <c r="AA2108" s="855"/>
      <c r="AB2108" s="855"/>
      <c r="AC2108" s="855"/>
      <c r="AD2108" s="855"/>
      <c r="AE2108" s="855"/>
      <c r="AF2108" s="855"/>
      <c r="AG2108" s="855"/>
      <c r="AH2108" s="855"/>
      <c r="AI2108" s="855"/>
      <c r="AJ2108" s="855"/>
      <c r="AK2108" s="855"/>
      <c r="AL2108" s="855"/>
      <c r="AM2108" s="855"/>
      <c r="AN2108" s="855"/>
      <c r="AO2108" s="855"/>
      <c r="AP2108" s="855"/>
      <c r="AQ2108" s="855"/>
      <c r="AR2108" s="855"/>
      <c r="AS2108" s="855"/>
      <c r="AT2108" s="855"/>
      <c r="AU2108" s="855"/>
      <c r="AV2108" s="855"/>
      <c r="AW2108" s="855"/>
      <c r="AX2108" s="855"/>
      <c r="AY2108" s="855"/>
      <c r="AZ2108" s="855"/>
      <c r="BA2108" s="855"/>
      <c r="BB2108" s="855"/>
      <c r="BC2108" s="855"/>
      <c r="BD2108" s="855"/>
      <c r="BE2108" s="855"/>
      <c r="BF2108" s="855"/>
      <c r="BG2108" s="855"/>
      <c r="BH2108" s="855"/>
      <c r="BI2108" s="855"/>
      <c r="BJ2108" s="855"/>
      <c r="BK2108" s="855"/>
      <c r="BL2108" s="855"/>
      <c r="BM2108" s="855"/>
      <c r="BN2108" s="855"/>
      <c r="BO2108" s="855"/>
      <c r="BP2108" s="855"/>
      <c r="BQ2108" s="855"/>
      <c r="BR2108" s="855"/>
      <c r="BS2108" s="855"/>
      <c r="BT2108" s="855"/>
      <c r="BU2108" s="855"/>
      <c r="BV2108" s="855"/>
      <c r="BW2108" s="855"/>
      <c r="BX2108" s="855"/>
      <c r="BY2108" s="855"/>
      <c r="BZ2108" s="855"/>
      <c r="CA2108" s="855"/>
      <c r="CB2108" s="855"/>
      <c r="CC2108" s="855"/>
      <c r="CD2108" s="855"/>
      <c r="CE2108" s="855"/>
      <c r="CF2108" s="855"/>
      <c r="CG2108" s="855"/>
      <c r="CH2108" s="855"/>
      <c r="CI2108" s="855"/>
      <c r="CJ2108" s="855"/>
      <c r="CK2108" s="855"/>
      <c r="CL2108" s="855"/>
      <c r="CM2108" s="855"/>
      <c r="CN2108" s="855"/>
      <c r="CO2108" s="855"/>
      <c r="CP2108" s="855"/>
      <c r="CQ2108" s="855"/>
      <c r="CR2108" s="855"/>
      <c r="CS2108" s="855"/>
      <c r="CT2108" s="855"/>
      <c r="CU2108" s="855"/>
      <c r="CV2108" s="855"/>
      <c r="CW2108" s="855"/>
      <c r="CX2108" s="855"/>
      <c r="CY2108" s="855"/>
      <c r="CZ2108" s="855"/>
      <c r="DA2108" s="855"/>
      <c r="DB2108" s="855"/>
      <c r="DC2108" s="855"/>
      <c r="DD2108" s="855"/>
      <c r="DE2108" s="855"/>
      <c r="DF2108" s="855"/>
      <c r="DG2108" s="855"/>
      <c r="DH2108" s="855"/>
      <c r="DI2108" s="855"/>
      <c r="DJ2108" s="855"/>
      <c r="DK2108" s="855"/>
      <c r="DL2108" s="855"/>
      <c r="DM2108" s="855"/>
      <c r="DN2108" s="855"/>
      <c r="DO2108" s="855"/>
      <c r="DP2108" s="855"/>
      <c r="DQ2108" s="855"/>
      <c r="DR2108" s="855"/>
      <c r="DS2108" s="855"/>
      <c r="DT2108" s="855"/>
      <c r="DU2108" s="855"/>
      <c r="DV2108" s="855"/>
      <c r="DW2108" s="855"/>
      <c r="DX2108" s="855"/>
      <c r="DY2108" s="855"/>
      <c r="DZ2108" s="855"/>
      <c r="EA2108" s="855"/>
      <c r="EB2108" s="855"/>
      <c r="EC2108" s="855"/>
      <c r="ED2108" s="855"/>
      <c r="EE2108" s="855"/>
      <c r="EF2108" s="855"/>
      <c r="EG2108" s="855"/>
      <c r="EH2108" s="855"/>
      <c r="EI2108" s="855"/>
      <c r="EJ2108" s="855"/>
      <c r="EK2108" s="855"/>
      <c r="EL2108" s="855"/>
      <c r="EM2108" s="855"/>
      <c r="EN2108" s="855"/>
      <c r="EO2108" s="855"/>
      <c r="EP2108" s="855"/>
      <c r="EQ2108" s="855"/>
      <c r="ER2108" s="855"/>
    </row>
    <row r="2109" spans="1:148" s="858" customFormat="1" ht="14" customHeight="1">
      <c r="A2109" s="842">
        <v>99529</v>
      </c>
      <c r="B2109" s="844" t="s">
        <v>53088</v>
      </c>
      <c r="C2109" s="841">
        <v>38.520000000000003</v>
      </c>
      <c r="D2109" s="861"/>
      <c r="E2109" s="855"/>
      <c r="F2109" s="855"/>
      <c r="G2109" s="855"/>
      <c r="H2109" s="855"/>
      <c r="I2109" s="855"/>
      <c r="J2109" s="855"/>
      <c r="K2109" s="855"/>
      <c r="L2109" s="855"/>
      <c r="M2109" s="855"/>
      <c r="N2109" s="855"/>
      <c r="O2109" s="855"/>
      <c r="P2109" s="855"/>
      <c r="Q2109" s="855"/>
      <c r="R2109" s="855"/>
      <c r="S2109" s="855"/>
      <c r="T2109" s="855"/>
      <c r="U2109" s="855"/>
      <c r="V2109" s="855"/>
      <c r="W2109" s="855"/>
      <c r="X2109" s="855"/>
      <c r="Y2109" s="855"/>
      <c r="Z2109" s="855"/>
      <c r="AA2109" s="855"/>
      <c r="AB2109" s="855"/>
      <c r="AC2109" s="855"/>
      <c r="AD2109" s="855"/>
      <c r="AE2109" s="855"/>
      <c r="AF2109" s="855"/>
      <c r="AG2109" s="855"/>
      <c r="AH2109" s="855"/>
      <c r="AI2109" s="855"/>
      <c r="AJ2109" s="855"/>
      <c r="AK2109" s="855"/>
      <c r="AL2109" s="855"/>
      <c r="AM2109" s="855"/>
      <c r="AN2109" s="855"/>
      <c r="AO2109" s="855"/>
      <c r="AP2109" s="855"/>
      <c r="AQ2109" s="855"/>
      <c r="AR2109" s="855"/>
      <c r="AS2109" s="855"/>
      <c r="AT2109" s="855"/>
      <c r="AU2109" s="855"/>
      <c r="AV2109" s="855"/>
      <c r="AW2109" s="855"/>
      <c r="AX2109" s="855"/>
      <c r="AY2109" s="855"/>
      <c r="AZ2109" s="855"/>
      <c r="BA2109" s="855"/>
      <c r="BB2109" s="855"/>
      <c r="BC2109" s="855"/>
      <c r="BD2109" s="855"/>
      <c r="BE2109" s="855"/>
      <c r="BF2109" s="855"/>
      <c r="BG2109" s="855"/>
      <c r="BH2109" s="855"/>
      <c r="BI2109" s="855"/>
      <c r="BJ2109" s="855"/>
      <c r="BK2109" s="855"/>
      <c r="BL2109" s="855"/>
      <c r="BM2109" s="855"/>
      <c r="BN2109" s="855"/>
      <c r="BO2109" s="855"/>
      <c r="BP2109" s="855"/>
      <c r="BQ2109" s="855"/>
      <c r="BR2109" s="855"/>
      <c r="BS2109" s="855"/>
      <c r="BT2109" s="855"/>
      <c r="BU2109" s="855"/>
      <c r="BV2109" s="855"/>
      <c r="BW2109" s="855"/>
      <c r="BX2109" s="855"/>
      <c r="BY2109" s="855"/>
      <c r="BZ2109" s="855"/>
      <c r="CA2109" s="855"/>
      <c r="CB2109" s="855"/>
      <c r="CC2109" s="855"/>
      <c r="CD2109" s="855"/>
      <c r="CE2109" s="855"/>
      <c r="CF2109" s="855"/>
      <c r="CG2109" s="855"/>
      <c r="CH2109" s="855"/>
      <c r="CI2109" s="855"/>
      <c r="CJ2109" s="855"/>
      <c r="CK2109" s="855"/>
      <c r="CL2109" s="855"/>
      <c r="CM2109" s="855"/>
      <c r="CN2109" s="855"/>
      <c r="CO2109" s="855"/>
      <c r="CP2109" s="855"/>
      <c r="CQ2109" s="855"/>
      <c r="CR2109" s="855"/>
      <c r="CS2109" s="855"/>
      <c r="CT2109" s="855"/>
      <c r="CU2109" s="855"/>
      <c r="CV2109" s="855"/>
      <c r="CW2109" s="855"/>
      <c r="CX2109" s="855"/>
      <c r="CY2109" s="855"/>
      <c r="CZ2109" s="855"/>
      <c r="DA2109" s="855"/>
      <c r="DB2109" s="855"/>
      <c r="DC2109" s="855"/>
      <c r="DD2109" s="855"/>
      <c r="DE2109" s="855"/>
      <c r="DF2109" s="855"/>
      <c r="DG2109" s="855"/>
      <c r="DH2109" s="855"/>
      <c r="DI2109" s="855"/>
      <c r="DJ2109" s="855"/>
      <c r="DK2109" s="855"/>
      <c r="DL2109" s="855"/>
      <c r="DM2109" s="855"/>
      <c r="DN2109" s="855"/>
      <c r="DO2109" s="855"/>
      <c r="DP2109" s="855"/>
      <c r="DQ2109" s="855"/>
      <c r="DR2109" s="855"/>
      <c r="DS2109" s="855"/>
      <c r="DT2109" s="855"/>
      <c r="DU2109" s="855"/>
      <c r="DV2109" s="855"/>
      <c r="DW2109" s="855"/>
      <c r="DX2109" s="855"/>
      <c r="DY2109" s="855"/>
      <c r="DZ2109" s="855"/>
      <c r="EA2109" s="855"/>
      <c r="EB2109" s="855"/>
      <c r="EC2109" s="855"/>
      <c r="ED2109" s="855"/>
      <c r="EE2109" s="855"/>
      <c r="EF2109" s="855"/>
      <c r="EG2109" s="855"/>
      <c r="EH2109" s="855"/>
      <c r="EI2109" s="855"/>
      <c r="EJ2109" s="855"/>
      <c r="EK2109" s="855"/>
      <c r="EL2109" s="855"/>
      <c r="EM2109" s="855"/>
      <c r="EN2109" s="855"/>
      <c r="EO2109" s="855"/>
      <c r="EP2109" s="855"/>
      <c r="EQ2109" s="855"/>
      <c r="ER2109" s="855"/>
    </row>
    <row r="2110" spans="1:148" s="858" customFormat="1" ht="14" customHeight="1">
      <c r="A2110" s="842">
        <v>99530</v>
      </c>
      <c r="B2110" s="844" t="s">
        <v>53087</v>
      </c>
      <c r="C2110" s="841">
        <v>54.11</v>
      </c>
      <c r="D2110" s="861"/>
      <c r="E2110" s="855"/>
      <c r="F2110" s="855"/>
      <c r="G2110" s="855"/>
      <c r="H2110" s="855"/>
      <c r="I2110" s="855"/>
      <c r="J2110" s="855"/>
      <c r="K2110" s="855"/>
      <c r="L2110" s="855"/>
      <c r="M2110" s="855"/>
      <c r="N2110" s="855"/>
      <c r="O2110" s="855"/>
      <c r="P2110" s="855"/>
      <c r="Q2110" s="855"/>
      <c r="R2110" s="855"/>
      <c r="S2110" s="855"/>
      <c r="T2110" s="855"/>
      <c r="U2110" s="855"/>
      <c r="V2110" s="855"/>
      <c r="W2110" s="855"/>
      <c r="X2110" s="855"/>
      <c r="Y2110" s="855"/>
      <c r="Z2110" s="855"/>
      <c r="AA2110" s="855"/>
      <c r="AB2110" s="855"/>
      <c r="AC2110" s="855"/>
      <c r="AD2110" s="855"/>
      <c r="AE2110" s="855"/>
      <c r="AF2110" s="855"/>
      <c r="AG2110" s="855"/>
      <c r="AH2110" s="855"/>
      <c r="AI2110" s="855"/>
      <c r="AJ2110" s="855"/>
      <c r="AK2110" s="855"/>
      <c r="AL2110" s="855"/>
      <c r="AM2110" s="855"/>
      <c r="AN2110" s="855"/>
      <c r="AO2110" s="855"/>
      <c r="AP2110" s="855"/>
      <c r="AQ2110" s="855"/>
      <c r="AR2110" s="855"/>
      <c r="AS2110" s="855"/>
      <c r="AT2110" s="855"/>
      <c r="AU2110" s="855"/>
      <c r="AV2110" s="855"/>
      <c r="AW2110" s="855"/>
      <c r="AX2110" s="855"/>
      <c r="AY2110" s="855"/>
      <c r="AZ2110" s="855"/>
      <c r="BA2110" s="855"/>
      <c r="BB2110" s="855"/>
      <c r="BC2110" s="855"/>
      <c r="BD2110" s="855"/>
      <c r="BE2110" s="855"/>
      <c r="BF2110" s="855"/>
      <c r="BG2110" s="855"/>
      <c r="BH2110" s="855"/>
      <c r="BI2110" s="855"/>
      <c r="BJ2110" s="855"/>
      <c r="BK2110" s="855"/>
      <c r="BL2110" s="855"/>
      <c r="BM2110" s="855"/>
      <c r="BN2110" s="855"/>
      <c r="BO2110" s="855"/>
      <c r="BP2110" s="855"/>
      <c r="BQ2110" s="855"/>
      <c r="BR2110" s="855"/>
      <c r="BS2110" s="855"/>
      <c r="BT2110" s="855"/>
      <c r="BU2110" s="855"/>
      <c r="BV2110" s="855"/>
      <c r="BW2110" s="855"/>
      <c r="BX2110" s="855"/>
      <c r="BY2110" s="855"/>
      <c r="BZ2110" s="855"/>
      <c r="CA2110" s="855"/>
      <c r="CB2110" s="855"/>
      <c r="CC2110" s="855"/>
      <c r="CD2110" s="855"/>
      <c r="CE2110" s="855"/>
      <c r="CF2110" s="855"/>
      <c r="CG2110" s="855"/>
      <c r="CH2110" s="855"/>
      <c r="CI2110" s="855"/>
      <c r="CJ2110" s="855"/>
      <c r="CK2110" s="855"/>
      <c r="CL2110" s="855"/>
      <c r="CM2110" s="855"/>
      <c r="CN2110" s="855"/>
      <c r="CO2110" s="855"/>
      <c r="CP2110" s="855"/>
      <c r="CQ2110" s="855"/>
      <c r="CR2110" s="855"/>
      <c r="CS2110" s="855"/>
      <c r="CT2110" s="855"/>
      <c r="CU2110" s="855"/>
      <c r="CV2110" s="855"/>
      <c r="CW2110" s="855"/>
      <c r="CX2110" s="855"/>
      <c r="CY2110" s="855"/>
      <c r="CZ2110" s="855"/>
      <c r="DA2110" s="855"/>
      <c r="DB2110" s="855"/>
      <c r="DC2110" s="855"/>
      <c r="DD2110" s="855"/>
      <c r="DE2110" s="855"/>
      <c r="DF2110" s="855"/>
      <c r="DG2110" s="855"/>
      <c r="DH2110" s="855"/>
      <c r="DI2110" s="855"/>
      <c r="DJ2110" s="855"/>
      <c r="DK2110" s="855"/>
      <c r="DL2110" s="855"/>
      <c r="DM2110" s="855"/>
      <c r="DN2110" s="855"/>
      <c r="DO2110" s="855"/>
      <c r="DP2110" s="855"/>
      <c r="DQ2110" s="855"/>
      <c r="DR2110" s="855"/>
      <c r="DS2110" s="855"/>
      <c r="DT2110" s="855"/>
      <c r="DU2110" s="855"/>
      <c r="DV2110" s="855"/>
      <c r="DW2110" s="855"/>
      <c r="DX2110" s="855"/>
      <c r="DY2110" s="855"/>
      <c r="DZ2110" s="855"/>
      <c r="EA2110" s="855"/>
      <c r="EB2110" s="855"/>
      <c r="EC2110" s="855"/>
      <c r="ED2110" s="855"/>
      <c r="EE2110" s="855"/>
      <c r="EF2110" s="855"/>
      <c r="EG2110" s="855"/>
      <c r="EH2110" s="855"/>
      <c r="EI2110" s="855"/>
      <c r="EJ2110" s="855"/>
      <c r="EK2110" s="855"/>
      <c r="EL2110" s="855"/>
      <c r="EM2110" s="855"/>
      <c r="EN2110" s="855"/>
      <c r="EO2110" s="855"/>
      <c r="EP2110" s="855"/>
      <c r="EQ2110" s="855"/>
      <c r="ER2110" s="855"/>
    </row>
    <row r="2111" spans="1:148" s="858" customFormat="1" ht="14" customHeight="1">
      <c r="A2111" s="842">
        <v>99531</v>
      </c>
      <c r="B2111" s="844" t="s">
        <v>53086</v>
      </c>
      <c r="C2111" s="841">
        <v>218.03</v>
      </c>
      <c r="D2111" s="861"/>
      <c r="E2111" s="855"/>
      <c r="F2111" s="855"/>
      <c r="G2111" s="855"/>
      <c r="H2111" s="855"/>
      <c r="I2111" s="855"/>
      <c r="J2111" s="855"/>
      <c r="K2111" s="855"/>
      <c r="L2111" s="855"/>
      <c r="M2111" s="855"/>
      <c r="N2111" s="855"/>
      <c r="O2111" s="855"/>
      <c r="P2111" s="855"/>
      <c r="Q2111" s="855"/>
      <c r="R2111" s="855"/>
      <c r="S2111" s="855"/>
      <c r="T2111" s="855"/>
      <c r="U2111" s="855"/>
      <c r="V2111" s="855"/>
      <c r="W2111" s="855"/>
      <c r="X2111" s="855"/>
      <c r="Y2111" s="855"/>
      <c r="Z2111" s="855"/>
      <c r="AA2111" s="855"/>
      <c r="AB2111" s="855"/>
      <c r="AC2111" s="855"/>
      <c r="AD2111" s="855"/>
      <c r="AE2111" s="855"/>
      <c r="AF2111" s="855"/>
      <c r="AG2111" s="855"/>
      <c r="AH2111" s="855"/>
      <c r="AI2111" s="855"/>
      <c r="AJ2111" s="855"/>
      <c r="AK2111" s="855"/>
      <c r="AL2111" s="855"/>
      <c r="AM2111" s="855"/>
      <c r="AN2111" s="855"/>
      <c r="AO2111" s="855"/>
      <c r="AP2111" s="855"/>
      <c r="AQ2111" s="855"/>
      <c r="AR2111" s="855"/>
      <c r="AS2111" s="855"/>
      <c r="AT2111" s="855"/>
      <c r="AU2111" s="855"/>
      <c r="AV2111" s="855"/>
      <c r="AW2111" s="855"/>
      <c r="AX2111" s="855"/>
      <c r="AY2111" s="855"/>
      <c r="AZ2111" s="855"/>
      <c r="BA2111" s="855"/>
      <c r="BB2111" s="855"/>
      <c r="BC2111" s="855"/>
      <c r="BD2111" s="855"/>
      <c r="BE2111" s="855"/>
      <c r="BF2111" s="855"/>
      <c r="BG2111" s="855"/>
      <c r="BH2111" s="855"/>
      <c r="BI2111" s="855"/>
      <c r="BJ2111" s="855"/>
      <c r="BK2111" s="855"/>
      <c r="BL2111" s="855"/>
      <c r="BM2111" s="855"/>
      <c r="BN2111" s="855"/>
      <c r="BO2111" s="855"/>
      <c r="BP2111" s="855"/>
      <c r="BQ2111" s="855"/>
      <c r="BR2111" s="855"/>
      <c r="BS2111" s="855"/>
      <c r="BT2111" s="855"/>
      <c r="BU2111" s="855"/>
      <c r="BV2111" s="855"/>
      <c r="BW2111" s="855"/>
      <c r="BX2111" s="855"/>
      <c r="BY2111" s="855"/>
      <c r="BZ2111" s="855"/>
      <c r="CA2111" s="855"/>
      <c r="CB2111" s="855"/>
      <c r="CC2111" s="855"/>
      <c r="CD2111" s="855"/>
      <c r="CE2111" s="855"/>
      <c r="CF2111" s="855"/>
      <c r="CG2111" s="855"/>
      <c r="CH2111" s="855"/>
      <c r="CI2111" s="855"/>
      <c r="CJ2111" s="855"/>
      <c r="CK2111" s="855"/>
      <c r="CL2111" s="855"/>
      <c r="CM2111" s="855"/>
      <c r="CN2111" s="855"/>
      <c r="CO2111" s="855"/>
      <c r="CP2111" s="855"/>
      <c r="CQ2111" s="855"/>
      <c r="CR2111" s="855"/>
      <c r="CS2111" s="855"/>
      <c r="CT2111" s="855"/>
      <c r="CU2111" s="855"/>
      <c r="CV2111" s="855"/>
      <c r="CW2111" s="855"/>
      <c r="CX2111" s="855"/>
      <c r="CY2111" s="855"/>
      <c r="CZ2111" s="855"/>
      <c r="DA2111" s="855"/>
      <c r="DB2111" s="855"/>
      <c r="DC2111" s="855"/>
      <c r="DD2111" s="855"/>
      <c r="DE2111" s="855"/>
      <c r="DF2111" s="855"/>
      <c r="DG2111" s="855"/>
      <c r="DH2111" s="855"/>
      <c r="DI2111" s="855"/>
      <c r="DJ2111" s="855"/>
      <c r="DK2111" s="855"/>
      <c r="DL2111" s="855"/>
      <c r="DM2111" s="855"/>
      <c r="DN2111" s="855"/>
      <c r="DO2111" s="855"/>
      <c r="DP2111" s="855"/>
      <c r="DQ2111" s="855"/>
      <c r="DR2111" s="855"/>
      <c r="DS2111" s="855"/>
      <c r="DT2111" s="855"/>
      <c r="DU2111" s="855"/>
      <c r="DV2111" s="855"/>
      <c r="DW2111" s="855"/>
      <c r="DX2111" s="855"/>
      <c r="DY2111" s="855"/>
      <c r="DZ2111" s="855"/>
      <c r="EA2111" s="855"/>
      <c r="EB2111" s="855"/>
      <c r="EC2111" s="855"/>
      <c r="ED2111" s="855"/>
      <c r="EE2111" s="855"/>
      <c r="EF2111" s="855"/>
      <c r="EG2111" s="855"/>
      <c r="EH2111" s="855"/>
      <c r="EI2111" s="855"/>
      <c r="EJ2111" s="855"/>
      <c r="EK2111" s="855"/>
      <c r="EL2111" s="855"/>
      <c r="EM2111" s="855"/>
      <c r="EN2111" s="855"/>
      <c r="EO2111" s="855"/>
      <c r="EP2111" s="855"/>
      <c r="EQ2111" s="855"/>
      <c r="ER2111" s="855"/>
    </row>
    <row r="2112" spans="1:148" s="858" customFormat="1" ht="14" customHeight="1">
      <c r="A2112" s="842">
        <v>99532</v>
      </c>
      <c r="B2112" s="844" t="s">
        <v>53085</v>
      </c>
      <c r="C2112" s="841">
        <v>127.85</v>
      </c>
      <c r="D2112" s="861"/>
      <c r="E2112" s="855"/>
      <c r="F2112" s="855"/>
      <c r="G2112" s="855"/>
      <c r="H2112" s="855"/>
      <c r="I2112" s="855"/>
      <c r="J2112" s="855"/>
      <c r="K2112" s="855"/>
      <c r="L2112" s="855"/>
      <c r="M2112" s="855"/>
      <c r="N2112" s="855"/>
      <c r="O2112" s="855"/>
      <c r="P2112" s="855"/>
      <c r="Q2112" s="855"/>
      <c r="R2112" s="855"/>
      <c r="S2112" s="855"/>
      <c r="T2112" s="855"/>
      <c r="U2112" s="855"/>
      <c r="V2112" s="855"/>
      <c r="W2112" s="855"/>
      <c r="X2112" s="855"/>
      <c r="Y2112" s="855"/>
      <c r="Z2112" s="855"/>
      <c r="AA2112" s="855"/>
      <c r="AB2112" s="855"/>
      <c r="AC2112" s="855"/>
      <c r="AD2112" s="855"/>
      <c r="AE2112" s="855"/>
      <c r="AF2112" s="855"/>
      <c r="AG2112" s="855"/>
      <c r="AH2112" s="855"/>
      <c r="AI2112" s="855"/>
      <c r="AJ2112" s="855"/>
      <c r="AK2112" s="855"/>
      <c r="AL2112" s="855"/>
      <c r="AM2112" s="855"/>
      <c r="AN2112" s="855"/>
      <c r="AO2112" s="855"/>
      <c r="AP2112" s="855"/>
      <c r="AQ2112" s="855"/>
      <c r="AR2112" s="855"/>
      <c r="AS2112" s="855"/>
      <c r="AT2112" s="855"/>
      <c r="AU2112" s="855"/>
      <c r="AV2112" s="855"/>
      <c r="AW2112" s="855"/>
      <c r="AX2112" s="855"/>
      <c r="AY2112" s="855"/>
      <c r="AZ2112" s="855"/>
      <c r="BA2112" s="855"/>
      <c r="BB2112" s="855"/>
      <c r="BC2112" s="855"/>
      <c r="BD2112" s="855"/>
      <c r="BE2112" s="855"/>
      <c r="BF2112" s="855"/>
      <c r="BG2112" s="855"/>
      <c r="BH2112" s="855"/>
      <c r="BI2112" s="855"/>
      <c r="BJ2112" s="855"/>
      <c r="BK2112" s="855"/>
      <c r="BL2112" s="855"/>
      <c r="BM2112" s="855"/>
      <c r="BN2112" s="855"/>
      <c r="BO2112" s="855"/>
      <c r="BP2112" s="855"/>
      <c r="BQ2112" s="855"/>
      <c r="BR2112" s="855"/>
      <c r="BS2112" s="855"/>
      <c r="BT2112" s="855"/>
      <c r="BU2112" s="855"/>
      <c r="BV2112" s="855"/>
      <c r="BW2112" s="855"/>
      <c r="BX2112" s="855"/>
      <c r="BY2112" s="855"/>
      <c r="BZ2112" s="855"/>
      <c r="CA2112" s="855"/>
      <c r="CB2112" s="855"/>
      <c r="CC2112" s="855"/>
      <c r="CD2112" s="855"/>
      <c r="CE2112" s="855"/>
      <c r="CF2112" s="855"/>
      <c r="CG2112" s="855"/>
      <c r="CH2112" s="855"/>
      <c r="CI2112" s="855"/>
      <c r="CJ2112" s="855"/>
      <c r="CK2112" s="855"/>
      <c r="CL2112" s="855"/>
      <c r="CM2112" s="855"/>
      <c r="CN2112" s="855"/>
      <c r="CO2112" s="855"/>
      <c r="CP2112" s="855"/>
      <c r="CQ2112" s="855"/>
      <c r="CR2112" s="855"/>
      <c r="CS2112" s="855"/>
      <c r="CT2112" s="855"/>
      <c r="CU2112" s="855"/>
      <c r="CV2112" s="855"/>
      <c r="CW2112" s="855"/>
      <c r="CX2112" s="855"/>
      <c r="CY2112" s="855"/>
      <c r="CZ2112" s="855"/>
      <c r="DA2112" s="855"/>
      <c r="DB2112" s="855"/>
      <c r="DC2112" s="855"/>
      <c r="DD2112" s="855"/>
      <c r="DE2112" s="855"/>
      <c r="DF2112" s="855"/>
      <c r="DG2112" s="855"/>
      <c r="DH2112" s="855"/>
      <c r="DI2112" s="855"/>
      <c r="DJ2112" s="855"/>
      <c r="DK2112" s="855"/>
      <c r="DL2112" s="855"/>
      <c r="DM2112" s="855"/>
      <c r="DN2112" s="855"/>
      <c r="DO2112" s="855"/>
      <c r="DP2112" s="855"/>
      <c r="DQ2112" s="855"/>
      <c r="DR2112" s="855"/>
      <c r="DS2112" s="855"/>
      <c r="DT2112" s="855"/>
      <c r="DU2112" s="855"/>
      <c r="DV2112" s="855"/>
      <c r="DW2112" s="855"/>
      <c r="DX2112" s="855"/>
      <c r="DY2112" s="855"/>
      <c r="DZ2112" s="855"/>
      <c r="EA2112" s="855"/>
      <c r="EB2112" s="855"/>
      <c r="EC2112" s="855"/>
      <c r="ED2112" s="855"/>
      <c r="EE2112" s="855"/>
      <c r="EF2112" s="855"/>
      <c r="EG2112" s="855"/>
      <c r="EH2112" s="855"/>
      <c r="EI2112" s="855"/>
      <c r="EJ2112" s="855"/>
      <c r="EK2112" s="855"/>
      <c r="EL2112" s="855"/>
      <c r="EM2112" s="855"/>
      <c r="EN2112" s="855"/>
      <c r="EO2112" s="855"/>
      <c r="EP2112" s="855"/>
      <c r="EQ2112" s="855"/>
      <c r="ER2112" s="855"/>
    </row>
    <row r="2113" spans="1:151" s="858" customFormat="1" ht="14" customHeight="1">
      <c r="A2113" s="842">
        <v>99533</v>
      </c>
      <c r="B2113" s="844" t="s">
        <v>53084</v>
      </c>
      <c r="C2113" s="841">
        <v>84.92</v>
      </c>
      <c r="D2113" s="861"/>
      <c r="E2113" s="855"/>
      <c r="F2113" s="855"/>
      <c r="G2113" s="855"/>
      <c r="H2113" s="855"/>
      <c r="I2113" s="855"/>
      <c r="J2113" s="855"/>
      <c r="K2113" s="855"/>
      <c r="L2113" s="855"/>
      <c r="M2113" s="855"/>
      <c r="N2113" s="855"/>
      <c r="O2113" s="855"/>
      <c r="P2113" s="855"/>
      <c r="Q2113" s="855"/>
      <c r="R2113" s="855"/>
      <c r="S2113" s="855"/>
      <c r="T2113" s="855"/>
      <c r="U2113" s="855"/>
      <c r="V2113" s="855"/>
      <c r="W2113" s="855"/>
      <c r="X2113" s="855"/>
      <c r="Y2113" s="855"/>
      <c r="Z2113" s="855"/>
      <c r="AA2113" s="855"/>
      <c r="AB2113" s="855"/>
      <c r="AC2113" s="855"/>
      <c r="AD2113" s="855"/>
      <c r="AE2113" s="855"/>
      <c r="AF2113" s="855"/>
      <c r="AG2113" s="855"/>
      <c r="AH2113" s="855"/>
      <c r="AI2113" s="855"/>
      <c r="AJ2113" s="855"/>
      <c r="AK2113" s="855"/>
      <c r="AL2113" s="855"/>
      <c r="AM2113" s="855"/>
      <c r="AN2113" s="855"/>
      <c r="AO2113" s="855"/>
      <c r="AP2113" s="855"/>
      <c r="AQ2113" s="855"/>
      <c r="AR2113" s="855"/>
      <c r="AS2113" s="855"/>
      <c r="AT2113" s="855"/>
      <c r="AU2113" s="855"/>
      <c r="AV2113" s="855"/>
      <c r="AW2113" s="855"/>
      <c r="AX2113" s="855"/>
      <c r="AY2113" s="855"/>
      <c r="AZ2113" s="855"/>
      <c r="BA2113" s="855"/>
      <c r="BB2113" s="855"/>
      <c r="BC2113" s="855"/>
      <c r="BD2113" s="855"/>
      <c r="BE2113" s="855"/>
      <c r="BF2113" s="855"/>
      <c r="BG2113" s="855"/>
      <c r="BH2113" s="855"/>
      <c r="BI2113" s="855"/>
      <c r="BJ2113" s="855"/>
      <c r="BK2113" s="855"/>
      <c r="BL2113" s="855"/>
      <c r="BM2113" s="855"/>
      <c r="BN2113" s="855"/>
      <c r="BO2113" s="855"/>
      <c r="BP2113" s="855"/>
      <c r="BQ2113" s="855"/>
      <c r="BR2113" s="855"/>
      <c r="BS2113" s="855"/>
      <c r="BT2113" s="855"/>
      <c r="BU2113" s="855"/>
      <c r="BV2113" s="855"/>
      <c r="BW2113" s="855"/>
      <c r="BX2113" s="855"/>
      <c r="BY2113" s="855"/>
      <c r="BZ2113" s="855"/>
      <c r="CA2113" s="855"/>
      <c r="CB2113" s="855"/>
      <c r="CC2113" s="855"/>
      <c r="CD2113" s="855"/>
      <c r="CE2113" s="855"/>
      <c r="CF2113" s="855"/>
      <c r="CG2113" s="855"/>
      <c r="CH2113" s="855"/>
      <c r="CI2113" s="855"/>
      <c r="CJ2113" s="855"/>
      <c r="CK2113" s="855"/>
      <c r="CL2113" s="855"/>
      <c r="CM2113" s="855"/>
      <c r="CN2113" s="855"/>
      <c r="CO2113" s="855"/>
      <c r="CP2113" s="855"/>
      <c r="CQ2113" s="855"/>
      <c r="CR2113" s="855"/>
      <c r="CS2113" s="855"/>
      <c r="CT2113" s="855"/>
      <c r="CU2113" s="855"/>
      <c r="CV2113" s="855"/>
      <c r="CW2113" s="855"/>
      <c r="CX2113" s="855"/>
      <c r="CY2113" s="855"/>
      <c r="CZ2113" s="855"/>
      <c r="DA2113" s="855"/>
      <c r="DB2113" s="855"/>
      <c r="DC2113" s="855"/>
      <c r="DD2113" s="855"/>
      <c r="DE2113" s="855"/>
      <c r="DF2113" s="855"/>
      <c r="DG2113" s="855"/>
      <c r="DH2113" s="855"/>
      <c r="DI2113" s="855"/>
      <c r="DJ2113" s="855"/>
      <c r="DK2113" s="855"/>
      <c r="DL2113" s="855"/>
      <c r="DM2113" s="855"/>
      <c r="DN2113" s="855"/>
      <c r="DO2113" s="855"/>
      <c r="DP2113" s="855"/>
      <c r="DQ2113" s="855"/>
      <c r="DR2113" s="855"/>
      <c r="DS2113" s="855"/>
      <c r="DT2113" s="855"/>
      <c r="DU2113" s="855"/>
      <c r="DV2113" s="855"/>
      <c r="DW2113" s="855"/>
      <c r="DX2113" s="855"/>
      <c r="DY2113" s="855"/>
      <c r="DZ2113" s="855"/>
      <c r="EA2113" s="855"/>
      <c r="EB2113" s="855"/>
      <c r="EC2113" s="855"/>
      <c r="ED2113" s="855"/>
      <c r="EE2113" s="855"/>
      <c r="EF2113" s="855"/>
      <c r="EG2113" s="855"/>
      <c r="EH2113" s="855"/>
      <c r="EI2113" s="855"/>
      <c r="EJ2113" s="855"/>
      <c r="EK2113" s="855"/>
      <c r="EL2113" s="855"/>
      <c r="EM2113" s="855"/>
      <c r="EN2113" s="855"/>
      <c r="EO2113" s="855"/>
      <c r="EP2113" s="855"/>
      <c r="EQ2113" s="855"/>
      <c r="ER2113" s="855"/>
    </row>
    <row r="2114" spans="1:151" s="858" customFormat="1" ht="14" customHeight="1">
      <c r="A2114" s="842">
        <v>99534</v>
      </c>
      <c r="B2114" s="844" t="s">
        <v>53083</v>
      </c>
      <c r="C2114" s="841">
        <v>104.78</v>
      </c>
      <c r="D2114" s="861"/>
      <c r="E2114" s="855"/>
      <c r="F2114" s="855"/>
      <c r="G2114" s="855"/>
      <c r="H2114" s="855"/>
      <c r="I2114" s="855"/>
      <c r="J2114" s="855"/>
      <c r="K2114" s="855"/>
      <c r="L2114" s="855"/>
      <c r="M2114" s="855"/>
      <c r="N2114" s="855"/>
      <c r="O2114" s="855"/>
      <c r="P2114" s="855"/>
      <c r="Q2114" s="855"/>
      <c r="R2114" s="855"/>
      <c r="S2114" s="855"/>
      <c r="T2114" s="855"/>
      <c r="U2114" s="855"/>
      <c r="V2114" s="855"/>
      <c r="W2114" s="855"/>
      <c r="X2114" s="855"/>
      <c r="Y2114" s="855"/>
      <c r="Z2114" s="855"/>
      <c r="AA2114" s="855"/>
      <c r="AB2114" s="855"/>
      <c r="AC2114" s="855"/>
      <c r="AD2114" s="855"/>
      <c r="AE2114" s="855"/>
      <c r="AF2114" s="855"/>
      <c r="AG2114" s="855"/>
      <c r="AH2114" s="855"/>
      <c r="AI2114" s="855"/>
      <c r="AJ2114" s="855"/>
      <c r="AK2114" s="855"/>
      <c r="AL2114" s="855"/>
      <c r="AM2114" s="855"/>
      <c r="AN2114" s="855"/>
      <c r="AO2114" s="855"/>
      <c r="AP2114" s="855"/>
      <c r="AQ2114" s="855"/>
      <c r="AR2114" s="855"/>
      <c r="AS2114" s="855"/>
      <c r="AT2114" s="855"/>
      <c r="AU2114" s="855"/>
      <c r="AV2114" s="855"/>
      <c r="AW2114" s="855"/>
      <c r="AX2114" s="855"/>
      <c r="AY2114" s="855"/>
      <c r="AZ2114" s="855"/>
      <c r="BA2114" s="855"/>
      <c r="BB2114" s="855"/>
      <c r="BC2114" s="855"/>
      <c r="BD2114" s="855"/>
      <c r="BE2114" s="855"/>
      <c r="BF2114" s="855"/>
      <c r="BG2114" s="855"/>
      <c r="BH2114" s="855"/>
      <c r="BI2114" s="855"/>
      <c r="BJ2114" s="855"/>
      <c r="BK2114" s="855"/>
      <c r="BL2114" s="855"/>
      <c r="BM2114" s="855"/>
      <c r="BN2114" s="855"/>
      <c r="BO2114" s="855"/>
      <c r="BP2114" s="855"/>
      <c r="BQ2114" s="855"/>
      <c r="BR2114" s="855"/>
      <c r="BS2114" s="855"/>
      <c r="BT2114" s="855"/>
      <c r="BU2114" s="855"/>
      <c r="BV2114" s="855"/>
      <c r="BW2114" s="855"/>
      <c r="BX2114" s="855"/>
      <c r="BY2114" s="855"/>
      <c r="BZ2114" s="855"/>
      <c r="CA2114" s="855"/>
      <c r="CB2114" s="855"/>
      <c r="CC2114" s="855"/>
      <c r="CD2114" s="855"/>
      <c r="CE2114" s="855"/>
      <c r="CF2114" s="855"/>
      <c r="CG2114" s="855"/>
      <c r="CH2114" s="855"/>
      <c r="CI2114" s="855"/>
      <c r="CJ2114" s="855"/>
      <c r="CK2114" s="855"/>
      <c r="CL2114" s="855"/>
      <c r="CM2114" s="855"/>
      <c r="CN2114" s="855"/>
      <c r="CO2114" s="855"/>
      <c r="CP2114" s="855"/>
      <c r="CQ2114" s="855"/>
      <c r="CR2114" s="855"/>
      <c r="CS2114" s="855"/>
      <c r="CT2114" s="855"/>
      <c r="CU2114" s="855"/>
      <c r="CV2114" s="855"/>
      <c r="CW2114" s="855"/>
      <c r="CX2114" s="855"/>
      <c r="CY2114" s="855"/>
      <c r="CZ2114" s="855"/>
      <c r="DA2114" s="855"/>
      <c r="DB2114" s="855"/>
      <c r="DC2114" s="855"/>
      <c r="DD2114" s="855"/>
      <c r="DE2114" s="855"/>
      <c r="DF2114" s="855"/>
      <c r="DG2114" s="855"/>
      <c r="DH2114" s="855"/>
      <c r="DI2114" s="855"/>
      <c r="DJ2114" s="855"/>
      <c r="DK2114" s="855"/>
      <c r="DL2114" s="855"/>
      <c r="DM2114" s="855"/>
      <c r="DN2114" s="855"/>
      <c r="DO2114" s="855"/>
      <c r="DP2114" s="855"/>
      <c r="DQ2114" s="855"/>
      <c r="DR2114" s="855"/>
      <c r="DS2114" s="855"/>
      <c r="DT2114" s="855"/>
      <c r="DU2114" s="855"/>
      <c r="DV2114" s="855"/>
      <c r="DW2114" s="855"/>
      <c r="DX2114" s="855"/>
      <c r="DY2114" s="855"/>
      <c r="DZ2114" s="855"/>
      <c r="EA2114" s="855"/>
      <c r="EB2114" s="855"/>
      <c r="EC2114" s="855"/>
      <c r="ED2114" s="855"/>
      <c r="EE2114" s="855"/>
      <c r="EF2114" s="855"/>
      <c r="EG2114" s="855"/>
      <c r="EH2114" s="855"/>
      <c r="EI2114" s="855"/>
      <c r="EJ2114" s="855"/>
      <c r="EK2114" s="855"/>
      <c r="EL2114" s="855"/>
      <c r="EM2114" s="855"/>
      <c r="EN2114" s="855"/>
      <c r="EO2114" s="855"/>
      <c r="EP2114" s="855"/>
      <c r="EQ2114" s="855"/>
      <c r="ER2114" s="855"/>
    </row>
    <row r="2115" spans="1:151" s="858" customFormat="1" ht="14" customHeight="1">
      <c r="A2115" s="842">
        <v>99535</v>
      </c>
      <c r="B2115" s="844" t="s">
        <v>53082</v>
      </c>
      <c r="C2115" s="841">
        <v>268.99</v>
      </c>
      <c r="D2115" s="861"/>
      <c r="E2115" s="855"/>
      <c r="F2115" s="855"/>
      <c r="G2115" s="855"/>
      <c r="H2115" s="855"/>
      <c r="I2115" s="855"/>
      <c r="J2115" s="855"/>
      <c r="K2115" s="855"/>
      <c r="L2115" s="855"/>
      <c r="M2115" s="855"/>
      <c r="N2115" s="855"/>
      <c r="O2115" s="855"/>
      <c r="P2115" s="855"/>
      <c r="Q2115" s="855"/>
      <c r="R2115" s="855"/>
      <c r="S2115" s="855"/>
      <c r="T2115" s="855"/>
      <c r="U2115" s="855"/>
      <c r="V2115" s="855"/>
      <c r="W2115" s="855"/>
      <c r="X2115" s="855"/>
      <c r="Y2115" s="855"/>
      <c r="Z2115" s="855"/>
      <c r="AA2115" s="855"/>
      <c r="AB2115" s="855"/>
      <c r="AC2115" s="855"/>
      <c r="AD2115" s="855"/>
      <c r="AE2115" s="855"/>
      <c r="AF2115" s="855"/>
      <c r="AG2115" s="855"/>
      <c r="AH2115" s="855"/>
      <c r="AI2115" s="855"/>
      <c r="AJ2115" s="855"/>
      <c r="AK2115" s="855"/>
      <c r="AL2115" s="855"/>
      <c r="AM2115" s="855"/>
      <c r="AN2115" s="855"/>
      <c r="AO2115" s="855"/>
      <c r="AP2115" s="855"/>
      <c r="AQ2115" s="855"/>
      <c r="AR2115" s="855"/>
      <c r="AS2115" s="855"/>
      <c r="AT2115" s="855"/>
      <c r="AU2115" s="855"/>
      <c r="AV2115" s="855"/>
      <c r="AW2115" s="855"/>
      <c r="AX2115" s="855"/>
      <c r="AY2115" s="855"/>
      <c r="AZ2115" s="855"/>
      <c r="BA2115" s="855"/>
      <c r="BB2115" s="855"/>
      <c r="BC2115" s="855"/>
      <c r="BD2115" s="855"/>
      <c r="BE2115" s="855"/>
      <c r="BF2115" s="855"/>
      <c r="BG2115" s="855"/>
      <c r="BH2115" s="855"/>
      <c r="BI2115" s="855"/>
      <c r="BJ2115" s="855"/>
      <c r="BK2115" s="855"/>
      <c r="BL2115" s="855"/>
      <c r="BM2115" s="855"/>
      <c r="BN2115" s="855"/>
      <c r="BO2115" s="855"/>
      <c r="BP2115" s="855"/>
      <c r="BQ2115" s="855"/>
      <c r="BR2115" s="855"/>
      <c r="BS2115" s="855"/>
      <c r="BT2115" s="855"/>
      <c r="BU2115" s="855"/>
      <c r="BV2115" s="855"/>
      <c r="BW2115" s="855"/>
      <c r="BX2115" s="855"/>
      <c r="BY2115" s="855"/>
      <c r="BZ2115" s="855"/>
      <c r="CA2115" s="855"/>
      <c r="CB2115" s="855"/>
      <c r="CC2115" s="855"/>
      <c r="CD2115" s="855"/>
      <c r="CE2115" s="855"/>
      <c r="CF2115" s="855"/>
      <c r="CG2115" s="855"/>
      <c r="CH2115" s="855"/>
      <c r="CI2115" s="855"/>
      <c r="CJ2115" s="855"/>
      <c r="CK2115" s="855"/>
      <c r="CL2115" s="855"/>
      <c r="CM2115" s="855"/>
      <c r="CN2115" s="855"/>
      <c r="CO2115" s="855"/>
      <c r="CP2115" s="855"/>
      <c r="CQ2115" s="855"/>
      <c r="CR2115" s="855"/>
      <c r="CS2115" s="855"/>
      <c r="CT2115" s="855"/>
      <c r="CU2115" s="855"/>
      <c r="CV2115" s="855"/>
      <c r="CW2115" s="855"/>
      <c r="CX2115" s="855"/>
      <c r="CY2115" s="855"/>
      <c r="CZ2115" s="855"/>
      <c r="DA2115" s="855"/>
      <c r="DB2115" s="855"/>
      <c r="DC2115" s="855"/>
      <c r="DD2115" s="855"/>
      <c r="DE2115" s="855"/>
      <c r="DF2115" s="855"/>
      <c r="DG2115" s="855"/>
      <c r="DH2115" s="855"/>
      <c r="DI2115" s="855"/>
      <c r="DJ2115" s="855"/>
      <c r="DK2115" s="855"/>
      <c r="DL2115" s="855"/>
      <c r="DM2115" s="855"/>
      <c r="DN2115" s="855"/>
      <c r="DO2115" s="855"/>
      <c r="DP2115" s="855"/>
      <c r="DQ2115" s="855"/>
      <c r="DR2115" s="855"/>
      <c r="DS2115" s="855"/>
      <c r="DT2115" s="855"/>
      <c r="DU2115" s="855"/>
      <c r="DV2115" s="855"/>
      <c r="DW2115" s="855"/>
      <c r="DX2115" s="855"/>
      <c r="DY2115" s="855"/>
      <c r="DZ2115" s="855"/>
      <c r="EA2115" s="855"/>
      <c r="EB2115" s="855"/>
      <c r="EC2115" s="855"/>
      <c r="ED2115" s="855"/>
      <c r="EE2115" s="855"/>
      <c r="EF2115" s="855"/>
      <c r="EG2115" s="855"/>
      <c r="EH2115" s="855"/>
      <c r="EI2115" s="855"/>
      <c r="EJ2115" s="855"/>
      <c r="EK2115" s="855"/>
      <c r="EL2115" s="855"/>
      <c r="EM2115" s="855"/>
      <c r="EN2115" s="855"/>
      <c r="EO2115" s="855"/>
      <c r="EP2115" s="855"/>
      <c r="EQ2115" s="855"/>
      <c r="ER2115" s="855"/>
    </row>
    <row r="2116" spans="1:151" s="858" customFormat="1" ht="14" customHeight="1">
      <c r="A2116" s="842">
        <v>99537</v>
      </c>
      <c r="B2116" s="844" t="s">
        <v>53081</v>
      </c>
      <c r="C2116" s="841">
        <v>37.799999999999997</v>
      </c>
      <c r="D2116" s="861"/>
      <c r="E2116" s="855"/>
      <c r="F2116" s="855"/>
      <c r="G2116" s="855"/>
      <c r="H2116" s="855"/>
      <c r="I2116" s="855"/>
      <c r="J2116" s="855"/>
      <c r="K2116" s="855"/>
      <c r="L2116" s="855"/>
      <c r="M2116" s="855"/>
      <c r="N2116" s="855"/>
      <c r="O2116" s="855"/>
      <c r="P2116" s="855"/>
      <c r="Q2116" s="855"/>
      <c r="R2116" s="855"/>
      <c r="S2116" s="855"/>
      <c r="T2116" s="855"/>
      <c r="U2116" s="855"/>
      <c r="V2116" s="855"/>
      <c r="W2116" s="855"/>
      <c r="X2116" s="855"/>
      <c r="Y2116" s="855"/>
      <c r="Z2116" s="855"/>
      <c r="AA2116" s="855"/>
      <c r="AB2116" s="855"/>
      <c r="AC2116" s="855"/>
      <c r="AD2116" s="855"/>
      <c r="AE2116" s="855"/>
      <c r="AF2116" s="855"/>
      <c r="AG2116" s="855"/>
      <c r="AH2116" s="855"/>
      <c r="AI2116" s="855"/>
      <c r="AJ2116" s="855"/>
      <c r="AK2116" s="855"/>
      <c r="AL2116" s="855"/>
      <c r="AM2116" s="855"/>
      <c r="AN2116" s="855"/>
      <c r="AO2116" s="855"/>
      <c r="AP2116" s="855"/>
      <c r="AQ2116" s="855"/>
      <c r="AR2116" s="855"/>
      <c r="AS2116" s="855"/>
      <c r="AT2116" s="855"/>
      <c r="AU2116" s="855"/>
      <c r="AV2116" s="855"/>
      <c r="AW2116" s="855"/>
      <c r="AX2116" s="855"/>
      <c r="AY2116" s="855"/>
      <c r="AZ2116" s="855"/>
      <c r="BA2116" s="855"/>
      <c r="BB2116" s="855"/>
      <c r="BC2116" s="855"/>
      <c r="BD2116" s="855"/>
      <c r="BE2116" s="855"/>
      <c r="BF2116" s="855"/>
      <c r="BG2116" s="855"/>
      <c r="BH2116" s="855"/>
      <c r="BI2116" s="855"/>
      <c r="BJ2116" s="855"/>
      <c r="BK2116" s="855"/>
      <c r="BL2116" s="855"/>
      <c r="BM2116" s="855"/>
      <c r="BN2116" s="855"/>
      <c r="BO2116" s="855"/>
      <c r="BP2116" s="855"/>
      <c r="BQ2116" s="855"/>
      <c r="BR2116" s="855"/>
      <c r="BS2116" s="855"/>
      <c r="BT2116" s="855"/>
      <c r="BU2116" s="855"/>
      <c r="BV2116" s="855"/>
      <c r="BW2116" s="855"/>
      <c r="BX2116" s="855"/>
      <c r="BY2116" s="855"/>
      <c r="BZ2116" s="855"/>
      <c r="CA2116" s="855"/>
      <c r="CB2116" s="855"/>
      <c r="CC2116" s="855"/>
      <c r="CD2116" s="855"/>
      <c r="CE2116" s="855"/>
      <c r="CF2116" s="855"/>
      <c r="CG2116" s="855"/>
      <c r="CH2116" s="855"/>
      <c r="CI2116" s="855"/>
      <c r="CJ2116" s="855"/>
      <c r="CK2116" s="855"/>
      <c r="CL2116" s="855"/>
      <c r="CM2116" s="855"/>
      <c r="CN2116" s="855"/>
      <c r="CO2116" s="855"/>
      <c r="CP2116" s="855"/>
      <c r="CQ2116" s="855"/>
      <c r="CR2116" s="855"/>
      <c r="CS2116" s="855"/>
      <c r="CT2116" s="855"/>
      <c r="CU2116" s="855"/>
      <c r="CV2116" s="855"/>
      <c r="CW2116" s="855"/>
      <c r="CX2116" s="855"/>
      <c r="CY2116" s="855"/>
      <c r="CZ2116" s="855"/>
      <c r="DA2116" s="855"/>
      <c r="DB2116" s="855"/>
      <c r="DC2116" s="855"/>
      <c r="DD2116" s="855"/>
      <c r="DE2116" s="855"/>
      <c r="DF2116" s="855"/>
      <c r="DG2116" s="855"/>
      <c r="DH2116" s="855"/>
      <c r="DI2116" s="855"/>
      <c r="DJ2116" s="855"/>
      <c r="DK2116" s="855"/>
      <c r="DL2116" s="855"/>
      <c r="DM2116" s="855"/>
      <c r="DN2116" s="855"/>
      <c r="DO2116" s="855"/>
      <c r="DP2116" s="855"/>
      <c r="DQ2116" s="855"/>
      <c r="DR2116" s="855"/>
      <c r="DS2116" s="855"/>
      <c r="DT2116" s="855"/>
      <c r="DU2116" s="855"/>
      <c r="DV2116" s="855"/>
      <c r="DW2116" s="855"/>
      <c r="DX2116" s="855"/>
      <c r="DY2116" s="855"/>
      <c r="DZ2116" s="855"/>
      <c r="EA2116" s="855"/>
      <c r="EB2116" s="855"/>
      <c r="EC2116" s="855"/>
      <c r="ED2116" s="855"/>
      <c r="EE2116" s="855"/>
      <c r="EF2116" s="855"/>
      <c r="EG2116" s="855"/>
      <c r="EH2116" s="855"/>
      <c r="EI2116" s="855"/>
      <c r="EJ2116" s="855"/>
      <c r="EK2116" s="855"/>
      <c r="EL2116" s="855"/>
      <c r="EM2116" s="855"/>
      <c r="EN2116" s="855"/>
      <c r="EO2116" s="855"/>
      <c r="EP2116" s="855"/>
      <c r="EQ2116" s="855"/>
      <c r="ER2116" s="855"/>
    </row>
    <row r="2117" spans="1:151" s="858" customFormat="1" ht="14" customHeight="1">
      <c r="A2117" s="842">
        <v>99538</v>
      </c>
      <c r="B2117" s="844" t="s">
        <v>53080</v>
      </c>
      <c r="C2117" s="841">
        <v>196.34</v>
      </c>
      <c r="D2117" s="861"/>
      <c r="E2117" s="855"/>
      <c r="F2117" s="855"/>
      <c r="G2117" s="855"/>
      <c r="H2117" s="855"/>
      <c r="I2117" s="855"/>
      <c r="J2117" s="855"/>
      <c r="K2117" s="855"/>
      <c r="L2117" s="855"/>
      <c r="M2117" s="855"/>
      <c r="N2117" s="855"/>
      <c r="O2117" s="855"/>
      <c r="P2117" s="855"/>
      <c r="Q2117" s="855"/>
      <c r="R2117" s="855"/>
      <c r="S2117" s="855"/>
      <c r="T2117" s="855"/>
      <c r="U2117" s="855"/>
      <c r="V2117" s="855"/>
      <c r="W2117" s="855"/>
      <c r="X2117" s="855"/>
      <c r="Y2117" s="855"/>
      <c r="Z2117" s="855"/>
      <c r="AA2117" s="855"/>
      <c r="AB2117" s="855"/>
      <c r="AC2117" s="855"/>
      <c r="AD2117" s="855"/>
      <c r="AE2117" s="855"/>
      <c r="AF2117" s="855"/>
      <c r="AG2117" s="855"/>
      <c r="AH2117" s="855"/>
      <c r="AI2117" s="855"/>
      <c r="AJ2117" s="855"/>
      <c r="AK2117" s="855"/>
      <c r="AL2117" s="855"/>
      <c r="AM2117" s="855"/>
      <c r="AN2117" s="855"/>
      <c r="AO2117" s="855"/>
      <c r="AP2117" s="855"/>
      <c r="AQ2117" s="855"/>
      <c r="AR2117" s="855"/>
      <c r="AS2117" s="855"/>
      <c r="AT2117" s="855"/>
      <c r="AU2117" s="855"/>
      <c r="AV2117" s="855"/>
      <c r="AW2117" s="855"/>
      <c r="AX2117" s="855"/>
      <c r="AY2117" s="855"/>
      <c r="AZ2117" s="855"/>
      <c r="BA2117" s="855"/>
      <c r="BB2117" s="855"/>
      <c r="BC2117" s="855"/>
      <c r="BD2117" s="855"/>
      <c r="BE2117" s="855"/>
      <c r="BF2117" s="855"/>
      <c r="BG2117" s="855"/>
      <c r="BH2117" s="855"/>
      <c r="BI2117" s="855"/>
      <c r="BJ2117" s="855"/>
      <c r="BK2117" s="855"/>
      <c r="BL2117" s="855"/>
      <c r="BM2117" s="855"/>
      <c r="BN2117" s="855"/>
      <c r="BO2117" s="855"/>
      <c r="BP2117" s="855"/>
      <c r="BQ2117" s="855"/>
      <c r="BR2117" s="855"/>
      <c r="BS2117" s="855"/>
      <c r="BT2117" s="855"/>
      <c r="BU2117" s="855"/>
      <c r="BV2117" s="855"/>
      <c r="BW2117" s="855"/>
      <c r="BX2117" s="855"/>
      <c r="BY2117" s="855"/>
      <c r="BZ2117" s="855"/>
      <c r="CA2117" s="855"/>
      <c r="CB2117" s="855"/>
      <c r="CC2117" s="855"/>
      <c r="CD2117" s="855"/>
      <c r="CE2117" s="855"/>
      <c r="CF2117" s="855"/>
      <c r="CG2117" s="855"/>
      <c r="CH2117" s="855"/>
      <c r="CI2117" s="855"/>
      <c r="CJ2117" s="855"/>
      <c r="CK2117" s="855"/>
      <c r="CL2117" s="855"/>
      <c r="CM2117" s="855"/>
      <c r="CN2117" s="855"/>
      <c r="CO2117" s="855"/>
      <c r="CP2117" s="855"/>
      <c r="CQ2117" s="855"/>
      <c r="CR2117" s="855"/>
      <c r="CS2117" s="855"/>
      <c r="CT2117" s="855"/>
      <c r="CU2117" s="855"/>
      <c r="CV2117" s="855"/>
      <c r="CW2117" s="855"/>
      <c r="CX2117" s="855"/>
      <c r="CY2117" s="855"/>
      <c r="CZ2117" s="855"/>
      <c r="DA2117" s="855"/>
      <c r="DB2117" s="855"/>
      <c r="DC2117" s="855"/>
      <c r="DD2117" s="855"/>
      <c r="DE2117" s="855"/>
      <c r="DF2117" s="855"/>
      <c r="DG2117" s="855"/>
      <c r="DH2117" s="855"/>
      <c r="DI2117" s="855"/>
      <c r="DJ2117" s="855"/>
      <c r="DK2117" s="855"/>
      <c r="DL2117" s="855"/>
      <c r="DM2117" s="855"/>
      <c r="DN2117" s="855"/>
      <c r="DO2117" s="855"/>
      <c r="DP2117" s="855"/>
      <c r="DQ2117" s="855"/>
      <c r="DR2117" s="855"/>
      <c r="DS2117" s="855"/>
      <c r="DT2117" s="855"/>
      <c r="DU2117" s="855"/>
      <c r="DV2117" s="855"/>
      <c r="DW2117" s="855"/>
      <c r="DX2117" s="855"/>
      <c r="DY2117" s="855"/>
      <c r="DZ2117" s="855"/>
      <c r="EA2117" s="855"/>
      <c r="EB2117" s="855"/>
      <c r="EC2117" s="855"/>
      <c r="ED2117" s="855"/>
      <c r="EE2117" s="855"/>
      <c r="EF2117" s="855"/>
      <c r="EG2117" s="855"/>
      <c r="EH2117" s="855"/>
      <c r="EI2117" s="855"/>
      <c r="EJ2117" s="855"/>
      <c r="EK2117" s="855"/>
      <c r="EL2117" s="855"/>
      <c r="EM2117" s="855"/>
      <c r="EN2117" s="855"/>
      <c r="EO2117" s="855"/>
      <c r="EP2117" s="855"/>
      <c r="EQ2117" s="855"/>
      <c r="ER2117" s="855"/>
    </row>
    <row r="2118" spans="1:151" s="858" customFormat="1" ht="14" customHeight="1">
      <c r="A2118" s="842">
        <v>99539</v>
      </c>
      <c r="B2118" s="844" t="s">
        <v>53079</v>
      </c>
      <c r="C2118" s="841">
        <v>240.41</v>
      </c>
      <c r="D2118" s="861"/>
      <c r="E2118" s="855"/>
      <c r="F2118" s="855"/>
      <c r="G2118" s="855"/>
      <c r="H2118" s="855"/>
      <c r="I2118" s="855"/>
      <c r="J2118" s="855"/>
      <c r="K2118" s="855"/>
      <c r="L2118" s="855"/>
      <c r="M2118" s="855"/>
      <c r="N2118" s="855"/>
      <c r="O2118" s="855"/>
      <c r="P2118" s="855"/>
      <c r="Q2118" s="855"/>
      <c r="R2118" s="855"/>
      <c r="S2118" s="855"/>
      <c r="T2118" s="855"/>
      <c r="U2118" s="855"/>
      <c r="V2118" s="855"/>
      <c r="W2118" s="855"/>
      <c r="X2118" s="855"/>
      <c r="Y2118" s="855"/>
      <c r="Z2118" s="855"/>
      <c r="AA2118" s="855"/>
      <c r="AB2118" s="855"/>
      <c r="AC2118" s="855"/>
      <c r="AD2118" s="855"/>
      <c r="AE2118" s="855"/>
      <c r="AF2118" s="855"/>
      <c r="AG2118" s="855"/>
      <c r="AH2118" s="855"/>
      <c r="AI2118" s="855"/>
      <c r="AJ2118" s="855"/>
      <c r="AK2118" s="855"/>
      <c r="AL2118" s="855"/>
      <c r="AM2118" s="855"/>
      <c r="AN2118" s="855"/>
      <c r="AO2118" s="855"/>
      <c r="AP2118" s="855"/>
      <c r="AQ2118" s="855"/>
      <c r="AR2118" s="855"/>
      <c r="AS2118" s="855"/>
      <c r="AT2118" s="855"/>
      <c r="AU2118" s="855"/>
      <c r="AV2118" s="855"/>
      <c r="AW2118" s="855"/>
      <c r="AX2118" s="855"/>
      <c r="AY2118" s="855"/>
      <c r="AZ2118" s="855"/>
      <c r="BA2118" s="855"/>
      <c r="BB2118" s="855"/>
      <c r="BC2118" s="855"/>
      <c r="BD2118" s="855"/>
      <c r="BE2118" s="855"/>
      <c r="BF2118" s="855"/>
      <c r="BG2118" s="855"/>
      <c r="BH2118" s="855"/>
      <c r="BI2118" s="855"/>
      <c r="BJ2118" s="855"/>
      <c r="BK2118" s="855"/>
      <c r="BL2118" s="855"/>
      <c r="BM2118" s="855"/>
      <c r="BN2118" s="855"/>
      <c r="BO2118" s="855"/>
      <c r="BP2118" s="855"/>
      <c r="BQ2118" s="855"/>
      <c r="BR2118" s="855"/>
      <c r="BS2118" s="855"/>
      <c r="BT2118" s="855"/>
      <c r="BU2118" s="855"/>
      <c r="BV2118" s="855"/>
      <c r="BW2118" s="855"/>
      <c r="BX2118" s="855"/>
      <c r="BY2118" s="855"/>
      <c r="BZ2118" s="855"/>
      <c r="CA2118" s="855"/>
      <c r="CB2118" s="855"/>
      <c r="CC2118" s="855"/>
      <c r="CD2118" s="855"/>
      <c r="CE2118" s="855"/>
      <c r="CF2118" s="855"/>
      <c r="CG2118" s="855"/>
      <c r="CH2118" s="855"/>
      <c r="CI2118" s="855"/>
      <c r="CJ2118" s="855"/>
      <c r="CK2118" s="855"/>
      <c r="CL2118" s="855"/>
      <c r="CM2118" s="855"/>
      <c r="CN2118" s="855"/>
      <c r="CO2118" s="855"/>
      <c r="CP2118" s="855"/>
      <c r="CQ2118" s="855"/>
      <c r="CR2118" s="855"/>
      <c r="CS2118" s="855"/>
      <c r="CT2118" s="855"/>
      <c r="CU2118" s="855"/>
      <c r="CV2118" s="855"/>
      <c r="CW2118" s="855"/>
      <c r="CX2118" s="855"/>
      <c r="CY2118" s="855"/>
      <c r="CZ2118" s="855"/>
      <c r="DA2118" s="855"/>
      <c r="DB2118" s="855"/>
      <c r="DC2118" s="855"/>
      <c r="DD2118" s="855"/>
      <c r="DE2118" s="855"/>
      <c r="DF2118" s="855"/>
      <c r="DG2118" s="855"/>
      <c r="DH2118" s="855"/>
      <c r="DI2118" s="855"/>
      <c r="DJ2118" s="855"/>
      <c r="DK2118" s="855"/>
      <c r="DL2118" s="855"/>
      <c r="DM2118" s="855"/>
      <c r="DN2118" s="855"/>
      <c r="DO2118" s="855"/>
      <c r="DP2118" s="855"/>
      <c r="DQ2118" s="855"/>
      <c r="DR2118" s="855"/>
      <c r="DS2118" s="855"/>
      <c r="DT2118" s="855"/>
      <c r="DU2118" s="855"/>
      <c r="DV2118" s="855"/>
      <c r="DW2118" s="855"/>
      <c r="DX2118" s="855"/>
      <c r="DY2118" s="855"/>
      <c r="DZ2118" s="855"/>
      <c r="EA2118" s="855"/>
      <c r="EB2118" s="855"/>
      <c r="EC2118" s="855"/>
      <c r="ED2118" s="855"/>
      <c r="EE2118" s="855"/>
      <c r="EF2118" s="855"/>
      <c r="EG2118" s="855"/>
      <c r="EH2118" s="855"/>
      <c r="EI2118" s="855"/>
      <c r="EJ2118" s="855"/>
      <c r="EK2118" s="855"/>
      <c r="EL2118" s="855"/>
      <c r="EM2118" s="855"/>
      <c r="EN2118" s="855"/>
      <c r="EO2118" s="855"/>
      <c r="EP2118" s="855"/>
      <c r="EQ2118" s="855"/>
      <c r="ER2118" s="855"/>
    </row>
    <row r="2119" spans="1:151" s="858" customFormat="1" ht="14" customHeight="1">
      <c r="A2119" s="842">
        <v>99540</v>
      </c>
      <c r="B2119" s="844" t="s">
        <v>53078</v>
      </c>
      <c r="C2119" s="841">
        <v>98.28</v>
      </c>
      <c r="D2119" s="861"/>
      <c r="E2119" s="855"/>
      <c r="F2119" s="855"/>
      <c r="G2119" s="855"/>
      <c r="H2119" s="855"/>
      <c r="I2119" s="855"/>
      <c r="J2119" s="855"/>
      <c r="K2119" s="855"/>
      <c r="L2119" s="855"/>
      <c r="M2119" s="855"/>
      <c r="N2119" s="855"/>
      <c r="O2119" s="855"/>
      <c r="P2119" s="855"/>
      <c r="Q2119" s="855"/>
      <c r="R2119" s="855"/>
      <c r="S2119" s="855"/>
      <c r="T2119" s="855"/>
      <c r="U2119" s="855"/>
      <c r="V2119" s="855"/>
      <c r="W2119" s="855"/>
      <c r="X2119" s="855"/>
      <c r="Y2119" s="855"/>
      <c r="Z2119" s="855"/>
      <c r="AA2119" s="855"/>
      <c r="AB2119" s="855"/>
      <c r="AC2119" s="855"/>
      <c r="AD2119" s="855"/>
      <c r="AE2119" s="855"/>
      <c r="AF2119" s="855"/>
      <c r="AG2119" s="855"/>
      <c r="AH2119" s="855"/>
      <c r="AI2119" s="855"/>
      <c r="AJ2119" s="855"/>
      <c r="AK2119" s="855"/>
      <c r="AL2119" s="855"/>
      <c r="AM2119" s="855"/>
      <c r="AN2119" s="855"/>
      <c r="AO2119" s="855"/>
      <c r="AP2119" s="855"/>
      <c r="AQ2119" s="855"/>
      <c r="AR2119" s="855"/>
      <c r="AS2119" s="855"/>
      <c r="AT2119" s="855"/>
      <c r="AU2119" s="855"/>
      <c r="AV2119" s="855"/>
      <c r="AW2119" s="855"/>
      <c r="AX2119" s="855"/>
      <c r="AY2119" s="855"/>
      <c r="AZ2119" s="855"/>
      <c r="BA2119" s="855"/>
      <c r="BB2119" s="855"/>
      <c r="BC2119" s="855"/>
      <c r="BD2119" s="855"/>
      <c r="BE2119" s="855"/>
      <c r="BF2119" s="855"/>
      <c r="BG2119" s="855"/>
      <c r="BH2119" s="855"/>
      <c r="BI2119" s="855"/>
      <c r="BJ2119" s="855"/>
      <c r="BK2119" s="855"/>
      <c r="BL2119" s="855"/>
      <c r="BM2119" s="855"/>
      <c r="BN2119" s="855"/>
      <c r="BO2119" s="855"/>
      <c r="BP2119" s="855"/>
      <c r="BQ2119" s="855"/>
      <c r="BR2119" s="855"/>
      <c r="BS2119" s="855"/>
      <c r="BT2119" s="855"/>
      <c r="BU2119" s="855"/>
      <c r="BV2119" s="855"/>
      <c r="BW2119" s="855"/>
      <c r="BX2119" s="855"/>
      <c r="BY2119" s="855"/>
      <c r="BZ2119" s="855"/>
      <c r="CA2119" s="855"/>
      <c r="CB2119" s="855"/>
      <c r="CC2119" s="855"/>
      <c r="CD2119" s="855"/>
      <c r="CE2119" s="855"/>
      <c r="CF2119" s="855"/>
      <c r="CG2119" s="855"/>
      <c r="CH2119" s="855"/>
      <c r="CI2119" s="855"/>
      <c r="CJ2119" s="855"/>
      <c r="CK2119" s="855"/>
      <c r="CL2119" s="855"/>
      <c r="CM2119" s="855"/>
      <c r="CN2119" s="855"/>
      <c r="CO2119" s="855"/>
      <c r="CP2119" s="855"/>
      <c r="CQ2119" s="855"/>
      <c r="CR2119" s="855"/>
      <c r="CS2119" s="855"/>
      <c r="CT2119" s="855"/>
      <c r="CU2119" s="855"/>
      <c r="CV2119" s="855"/>
      <c r="CW2119" s="855"/>
      <c r="CX2119" s="855"/>
      <c r="CY2119" s="855"/>
      <c r="CZ2119" s="855"/>
      <c r="DA2119" s="855"/>
      <c r="DB2119" s="855"/>
      <c r="DC2119" s="855"/>
      <c r="DD2119" s="855"/>
      <c r="DE2119" s="855"/>
      <c r="DF2119" s="855"/>
      <c r="DG2119" s="855"/>
      <c r="DH2119" s="855"/>
      <c r="DI2119" s="855"/>
      <c r="DJ2119" s="855"/>
      <c r="DK2119" s="855"/>
      <c r="DL2119" s="855"/>
      <c r="DM2119" s="855"/>
      <c r="DN2119" s="855"/>
      <c r="DO2119" s="855"/>
      <c r="DP2119" s="855"/>
      <c r="DQ2119" s="855"/>
      <c r="DR2119" s="855"/>
      <c r="DS2119" s="855"/>
      <c r="DT2119" s="855"/>
      <c r="DU2119" s="855"/>
      <c r="DV2119" s="855"/>
      <c r="DW2119" s="855"/>
      <c r="DX2119" s="855"/>
      <c r="DY2119" s="855"/>
      <c r="DZ2119" s="855"/>
      <c r="EA2119" s="855"/>
      <c r="EB2119" s="855"/>
      <c r="EC2119" s="855"/>
      <c r="ED2119" s="855"/>
      <c r="EE2119" s="855"/>
      <c r="EF2119" s="855"/>
      <c r="EG2119" s="855"/>
      <c r="EH2119" s="855"/>
      <c r="EI2119" s="855"/>
      <c r="EJ2119" s="855"/>
      <c r="EK2119" s="855"/>
      <c r="EL2119" s="855"/>
      <c r="EM2119" s="855"/>
      <c r="EN2119" s="855"/>
      <c r="EO2119" s="855"/>
      <c r="EP2119" s="855"/>
      <c r="EQ2119" s="855"/>
      <c r="ER2119" s="855"/>
    </row>
    <row r="2120" spans="1:151" s="858" customFormat="1" ht="14" customHeight="1">
      <c r="A2120" s="842">
        <v>99542</v>
      </c>
      <c r="B2120" s="844" t="s">
        <v>53077</v>
      </c>
      <c r="C2120" s="841">
        <v>98.28</v>
      </c>
      <c r="D2120" s="861"/>
      <c r="E2120" s="855"/>
      <c r="F2120" s="855"/>
      <c r="G2120" s="855"/>
      <c r="H2120" s="855"/>
      <c r="I2120" s="855"/>
      <c r="J2120" s="855"/>
      <c r="K2120" s="855"/>
      <c r="L2120" s="855"/>
      <c r="M2120" s="855"/>
      <c r="N2120" s="855"/>
      <c r="O2120" s="855"/>
      <c r="P2120" s="855"/>
      <c r="Q2120" s="855"/>
      <c r="R2120" s="855"/>
      <c r="S2120" s="855"/>
      <c r="T2120" s="855"/>
      <c r="U2120" s="855"/>
      <c r="V2120" s="855"/>
      <c r="W2120" s="855"/>
      <c r="X2120" s="855"/>
      <c r="Y2120" s="855"/>
      <c r="Z2120" s="855"/>
      <c r="AA2120" s="855"/>
      <c r="AB2120" s="855"/>
      <c r="AC2120" s="855"/>
      <c r="AD2120" s="855"/>
      <c r="AE2120" s="855"/>
      <c r="AF2120" s="855"/>
      <c r="AG2120" s="855"/>
      <c r="AH2120" s="855"/>
      <c r="AI2120" s="855"/>
      <c r="AJ2120" s="855"/>
      <c r="AK2120" s="855"/>
      <c r="AL2120" s="855"/>
      <c r="AM2120" s="855"/>
      <c r="AN2120" s="855"/>
      <c r="AO2120" s="855"/>
      <c r="AP2120" s="855"/>
      <c r="AQ2120" s="855"/>
      <c r="AR2120" s="855"/>
      <c r="AS2120" s="855"/>
      <c r="AT2120" s="855"/>
      <c r="AU2120" s="855"/>
      <c r="AV2120" s="855"/>
      <c r="AW2120" s="855"/>
      <c r="AX2120" s="855"/>
      <c r="AY2120" s="855"/>
      <c r="AZ2120" s="855"/>
      <c r="BA2120" s="855"/>
      <c r="BB2120" s="855"/>
      <c r="BC2120" s="855"/>
      <c r="BD2120" s="855"/>
      <c r="BE2120" s="855"/>
      <c r="BF2120" s="855"/>
      <c r="BG2120" s="855"/>
      <c r="BH2120" s="855"/>
      <c r="BI2120" s="855"/>
      <c r="BJ2120" s="855"/>
      <c r="BK2120" s="855"/>
      <c r="BL2120" s="855"/>
      <c r="BM2120" s="855"/>
      <c r="BN2120" s="855"/>
      <c r="BO2120" s="855"/>
      <c r="BP2120" s="855"/>
      <c r="BQ2120" s="855"/>
      <c r="BR2120" s="855"/>
      <c r="BS2120" s="855"/>
      <c r="BT2120" s="855"/>
      <c r="BU2120" s="855"/>
      <c r="BV2120" s="855"/>
      <c r="BW2120" s="855"/>
      <c r="BX2120" s="855"/>
      <c r="BY2120" s="855"/>
      <c r="BZ2120" s="855"/>
      <c r="CA2120" s="855"/>
      <c r="CB2120" s="855"/>
      <c r="CC2120" s="855"/>
      <c r="CD2120" s="855"/>
      <c r="CE2120" s="855"/>
      <c r="CF2120" s="855"/>
      <c r="CG2120" s="855"/>
      <c r="CH2120" s="855"/>
      <c r="CI2120" s="855"/>
      <c r="CJ2120" s="855"/>
      <c r="CK2120" s="855"/>
      <c r="CL2120" s="855"/>
      <c r="CM2120" s="855"/>
      <c r="CN2120" s="855"/>
      <c r="CO2120" s="855"/>
      <c r="CP2120" s="855"/>
      <c r="CQ2120" s="855"/>
      <c r="CR2120" s="855"/>
      <c r="CS2120" s="855"/>
      <c r="CT2120" s="855"/>
      <c r="CU2120" s="855"/>
      <c r="CV2120" s="855"/>
      <c r="CW2120" s="855"/>
      <c r="CX2120" s="855"/>
      <c r="CY2120" s="855"/>
      <c r="CZ2120" s="855"/>
      <c r="DA2120" s="855"/>
      <c r="DB2120" s="855"/>
      <c r="DC2120" s="855"/>
      <c r="DD2120" s="855"/>
      <c r="DE2120" s="855"/>
      <c r="DF2120" s="855"/>
      <c r="DG2120" s="855"/>
      <c r="DH2120" s="855"/>
      <c r="DI2120" s="855"/>
      <c r="DJ2120" s="855"/>
      <c r="DK2120" s="855"/>
      <c r="DL2120" s="855"/>
      <c r="DM2120" s="855"/>
      <c r="DN2120" s="855"/>
      <c r="DO2120" s="855"/>
      <c r="DP2120" s="855"/>
      <c r="DQ2120" s="855"/>
      <c r="DR2120" s="855"/>
      <c r="DS2120" s="855"/>
      <c r="DT2120" s="855"/>
      <c r="DU2120" s="855"/>
      <c r="DV2120" s="855"/>
      <c r="DW2120" s="855"/>
      <c r="DX2120" s="855"/>
      <c r="DY2120" s="855"/>
      <c r="DZ2120" s="855"/>
      <c r="EA2120" s="855"/>
      <c r="EB2120" s="855"/>
      <c r="EC2120" s="855"/>
      <c r="ED2120" s="855"/>
      <c r="EE2120" s="855"/>
      <c r="EF2120" s="855"/>
      <c r="EG2120" s="855"/>
      <c r="EH2120" s="855"/>
      <c r="EI2120" s="855"/>
      <c r="EJ2120" s="855"/>
      <c r="EK2120" s="855"/>
      <c r="EL2120" s="855"/>
      <c r="EM2120" s="855"/>
      <c r="EN2120" s="855"/>
      <c r="EO2120" s="855"/>
      <c r="EP2120" s="855"/>
      <c r="EQ2120" s="855"/>
      <c r="ER2120" s="855"/>
    </row>
    <row r="2121" spans="1:151" s="858" customFormat="1" ht="14" customHeight="1">
      <c r="A2121" s="842">
        <v>99547</v>
      </c>
      <c r="B2121" s="844" t="s">
        <v>53076</v>
      </c>
      <c r="C2121" s="841">
        <v>109</v>
      </c>
      <c r="D2121" s="861"/>
      <c r="E2121" s="855"/>
      <c r="F2121" s="855"/>
      <c r="G2121" s="855"/>
      <c r="H2121" s="855"/>
      <c r="I2121" s="855"/>
      <c r="J2121" s="855"/>
      <c r="K2121" s="855"/>
      <c r="L2121" s="855"/>
      <c r="M2121" s="855"/>
      <c r="N2121" s="855"/>
      <c r="O2121" s="855"/>
      <c r="P2121" s="855"/>
      <c r="Q2121" s="855"/>
      <c r="R2121" s="855"/>
      <c r="S2121" s="855"/>
      <c r="T2121" s="855"/>
      <c r="U2121" s="855"/>
      <c r="V2121" s="855"/>
      <c r="W2121" s="855"/>
      <c r="X2121" s="855"/>
      <c r="Y2121" s="855"/>
      <c r="Z2121" s="855"/>
      <c r="AA2121" s="855"/>
      <c r="AB2121" s="855"/>
      <c r="AC2121" s="855"/>
      <c r="AD2121" s="855"/>
      <c r="AE2121" s="855"/>
      <c r="AF2121" s="855"/>
      <c r="AG2121" s="855"/>
      <c r="AH2121" s="855"/>
      <c r="AI2121" s="855"/>
      <c r="AJ2121" s="855"/>
      <c r="AK2121" s="855"/>
      <c r="AL2121" s="855"/>
      <c r="AM2121" s="855"/>
      <c r="AN2121" s="855"/>
      <c r="AO2121" s="855"/>
      <c r="AP2121" s="855"/>
      <c r="AQ2121" s="855"/>
      <c r="AR2121" s="855"/>
      <c r="AS2121" s="855"/>
      <c r="AT2121" s="855"/>
      <c r="AU2121" s="855"/>
      <c r="AV2121" s="855"/>
      <c r="AW2121" s="855"/>
      <c r="AX2121" s="855"/>
      <c r="AY2121" s="855"/>
      <c r="AZ2121" s="855"/>
      <c r="BA2121" s="855"/>
      <c r="BB2121" s="855"/>
      <c r="BC2121" s="855"/>
      <c r="BD2121" s="855"/>
      <c r="BE2121" s="855"/>
      <c r="BF2121" s="855"/>
      <c r="BG2121" s="855"/>
      <c r="BH2121" s="855"/>
      <c r="BI2121" s="855"/>
      <c r="BJ2121" s="855"/>
      <c r="BK2121" s="855"/>
      <c r="BL2121" s="855"/>
      <c r="BM2121" s="855"/>
      <c r="BN2121" s="855"/>
      <c r="BO2121" s="855"/>
      <c r="BP2121" s="855"/>
      <c r="BQ2121" s="855"/>
      <c r="BR2121" s="855"/>
      <c r="BS2121" s="855"/>
      <c r="BT2121" s="855"/>
      <c r="BU2121" s="855"/>
      <c r="BV2121" s="855"/>
      <c r="BW2121" s="855"/>
      <c r="BX2121" s="855"/>
      <c r="BY2121" s="855"/>
      <c r="BZ2121" s="855"/>
      <c r="CA2121" s="855"/>
      <c r="CB2121" s="855"/>
      <c r="CC2121" s="855"/>
      <c r="CD2121" s="855"/>
      <c r="CE2121" s="855"/>
      <c r="CF2121" s="855"/>
      <c r="CG2121" s="855"/>
      <c r="CH2121" s="855"/>
      <c r="CI2121" s="855"/>
      <c r="CJ2121" s="855"/>
      <c r="CK2121" s="855"/>
      <c r="CL2121" s="855"/>
      <c r="CM2121" s="855"/>
      <c r="CN2121" s="855"/>
      <c r="CO2121" s="855"/>
      <c r="CP2121" s="855"/>
      <c r="CQ2121" s="855"/>
      <c r="CR2121" s="855"/>
      <c r="CS2121" s="855"/>
      <c r="CT2121" s="855"/>
      <c r="CU2121" s="855"/>
      <c r="CV2121" s="855"/>
      <c r="CW2121" s="855"/>
      <c r="CX2121" s="855"/>
      <c r="CY2121" s="855"/>
      <c r="CZ2121" s="855"/>
      <c r="DA2121" s="855"/>
      <c r="DB2121" s="855"/>
      <c r="DC2121" s="855"/>
      <c r="DD2121" s="855"/>
      <c r="DE2121" s="855"/>
      <c r="DF2121" s="855"/>
      <c r="DG2121" s="855"/>
      <c r="DH2121" s="855"/>
      <c r="DI2121" s="855"/>
      <c r="DJ2121" s="855"/>
      <c r="DK2121" s="855"/>
      <c r="DL2121" s="855"/>
      <c r="DM2121" s="855"/>
      <c r="DN2121" s="855"/>
      <c r="DO2121" s="855"/>
      <c r="DP2121" s="855"/>
      <c r="DQ2121" s="855"/>
      <c r="DR2121" s="855"/>
      <c r="DS2121" s="855"/>
      <c r="DT2121" s="855"/>
      <c r="DU2121" s="855"/>
      <c r="DV2121" s="855"/>
      <c r="DW2121" s="855"/>
      <c r="DX2121" s="855"/>
      <c r="DY2121" s="855"/>
      <c r="DZ2121" s="855"/>
      <c r="EA2121" s="855"/>
      <c r="EB2121" s="855"/>
      <c r="EC2121" s="855"/>
      <c r="ED2121" s="855"/>
      <c r="EE2121" s="855"/>
      <c r="EF2121" s="855"/>
      <c r="EG2121" s="855"/>
      <c r="EH2121" s="855"/>
      <c r="EI2121" s="855"/>
      <c r="EJ2121" s="855"/>
      <c r="EK2121" s="855"/>
      <c r="EL2121" s="855"/>
      <c r="EM2121" s="855"/>
      <c r="EN2121" s="855"/>
      <c r="EO2121" s="855"/>
      <c r="EP2121" s="855"/>
      <c r="EQ2121" s="855"/>
      <c r="ER2121" s="855"/>
    </row>
    <row r="2122" spans="1:151" s="858" customFormat="1" ht="14" customHeight="1">
      <c r="A2122" s="842">
        <v>99550</v>
      </c>
      <c r="B2122" s="844" t="s">
        <v>53075</v>
      </c>
      <c r="C2122" s="841">
        <v>78.12</v>
      </c>
      <c r="D2122" s="861"/>
      <c r="E2122" s="855"/>
      <c r="F2122" s="855"/>
      <c r="G2122" s="855"/>
      <c r="H2122" s="855"/>
      <c r="I2122" s="855"/>
      <c r="J2122" s="855"/>
      <c r="K2122" s="855"/>
      <c r="L2122" s="855"/>
      <c r="M2122" s="855"/>
      <c r="N2122" s="855"/>
      <c r="O2122" s="855"/>
      <c r="P2122" s="855"/>
      <c r="Q2122" s="855"/>
      <c r="R2122" s="855"/>
      <c r="S2122" s="855"/>
      <c r="T2122" s="855"/>
      <c r="U2122" s="855"/>
      <c r="V2122" s="855"/>
      <c r="W2122" s="855"/>
      <c r="X2122" s="855"/>
      <c r="Y2122" s="855"/>
      <c r="Z2122" s="855"/>
      <c r="AA2122" s="855"/>
      <c r="AB2122" s="855"/>
      <c r="AC2122" s="855"/>
      <c r="AD2122" s="855"/>
      <c r="AE2122" s="855"/>
      <c r="AF2122" s="855"/>
      <c r="AG2122" s="855"/>
      <c r="AH2122" s="855"/>
      <c r="AI2122" s="855"/>
      <c r="AJ2122" s="855"/>
      <c r="AK2122" s="855"/>
      <c r="AL2122" s="855"/>
      <c r="AM2122" s="855"/>
      <c r="AN2122" s="855"/>
      <c r="AO2122" s="855"/>
      <c r="AP2122" s="855"/>
      <c r="AQ2122" s="855"/>
      <c r="AR2122" s="855"/>
      <c r="AS2122" s="855"/>
      <c r="AT2122" s="855"/>
      <c r="AU2122" s="855"/>
      <c r="AV2122" s="855"/>
      <c r="AW2122" s="855"/>
      <c r="AX2122" s="855"/>
      <c r="AY2122" s="855"/>
      <c r="AZ2122" s="855"/>
      <c r="BA2122" s="855"/>
      <c r="BB2122" s="855"/>
      <c r="BC2122" s="855"/>
      <c r="BD2122" s="855"/>
      <c r="BE2122" s="855"/>
      <c r="BF2122" s="855"/>
      <c r="BG2122" s="855"/>
      <c r="BH2122" s="855"/>
      <c r="BI2122" s="855"/>
      <c r="BJ2122" s="855"/>
      <c r="BK2122" s="855"/>
      <c r="BL2122" s="855"/>
      <c r="BM2122" s="855"/>
      <c r="BN2122" s="855"/>
      <c r="BO2122" s="855"/>
      <c r="BP2122" s="855"/>
      <c r="BQ2122" s="855"/>
      <c r="BR2122" s="855"/>
      <c r="BS2122" s="855"/>
      <c r="BT2122" s="855"/>
      <c r="BU2122" s="855"/>
      <c r="BV2122" s="855"/>
      <c r="BW2122" s="855"/>
      <c r="BX2122" s="855"/>
      <c r="BY2122" s="855"/>
      <c r="BZ2122" s="855"/>
      <c r="CA2122" s="855"/>
      <c r="CB2122" s="855"/>
      <c r="CC2122" s="855"/>
      <c r="CD2122" s="855"/>
      <c r="CE2122" s="855"/>
      <c r="CF2122" s="855"/>
      <c r="CG2122" s="855"/>
      <c r="CH2122" s="855"/>
      <c r="CI2122" s="855"/>
      <c r="CJ2122" s="855"/>
      <c r="CK2122" s="855"/>
      <c r="CL2122" s="855"/>
      <c r="CM2122" s="855"/>
      <c r="CN2122" s="855"/>
      <c r="CO2122" s="855"/>
      <c r="CP2122" s="855"/>
      <c r="CQ2122" s="855"/>
      <c r="CR2122" s="855"/>
      <c r="CS2122" s="855"/>
      <c r="CT2122" s="855"/>
      <c r="CU2122" s="855"/>
      <c r="CV2122" s="855"/>
      <c r="CW2122" s="855"/>
      <c r="CX2122" s="855"/>
      <c r="CY2122" s="855"/>
      <c r="CZ2122" s="855"/>
      <c r="DA2122" s="855"/>
      <c r="DB2122" s="855"/>
      <c r="DC2122" s="855"/>
      <c r="DD2122" s="855"/>
      <c r="DE2122" s="855"/>
      <c r="DF2122" s="855"/>
      <c r="DG2122" s="855"/>
      <c r="DH2122" s="855"/>
      <c r="DI2122" s="855"/>
      <c r="DJ2122" s="855"/>
      <c r="DK2122" s="855"/>
      <c r="DL2122" s="855"/>
      <c r="DM2122" s="855"/>
      <c r="DN2122" s="855"/>
      <c r="DO2122" s="855"/>
      <c r="DP2122" s="855"/>
      <c r="DQ2122" s="855"/>
      <c r="DR2122" s="855"/>
      <c r="DS2122" s="855"/>
      <c r="DT2122" s="855"/>
      <c r="DU2122" s="855"/>
      <c r="DV2122" s="855"/>
      <c r="DW2122" s="855"/>
      <c r="DX2122" s="855"/>
      <c r="DY2122" s="855"/>
      <c r="DZ2122" s="855"/>
      <c r="EA2122" s="855"/>
      <c r="EB2122" s="855"/>
      <c r="EC2122" s="855"/>
      <c r="ED2122" s="855"/>
      <c r="EE2122" s="855"/>
      <c r="EF2122" s="855"/>
      <c r="EG2122" s="855"/>
      <c r="EH2122" s="855"/>
      <c r="EI2122" s="855"/>
      <c r="EJ2122" s="855"/>
      <c r="EK2122" s="855"/>
      <c r="EL2122" s="855"/>
      <c r="EM2122" s="855"/>
      <c r="EN2122" s="855"/>
      <c r="EO2122" s="855"/>
      <c r="EP2122" s="855"/>
      <c r="EQ2122" s="855"/>
      <c r="ER2122" s="855"/>
    </row>
    <row r="2123" spans="1:151" s="858" customFormat="1" ht="14" customHeight="1">
      <c r="A2123" s="842">
        <v>99551</v>
      </c>
      <c r="B2123" s="844" t="s">
        <v>53074</v>
      </c>
      <c r="C2123" s="841">
        <v>26.71</v>
      </c>
      <c r="D2123" s="861"/>
      <c r="E2123" s="855"/>
      <c r="F2123" s="855"/>
      <c r="G2123" s="855"/>
      <c r="H2123" s="855"/>
      <c r="I2123" s="855"/>
      <c r="J2123" s="855"/>
      <c r="K2123" s="855"/>
      <c r="L2123" s="855"/>
      <c r="M2123" s="855"/>
      <c r="N2123" s="855"/>
      <c r="O2123" s="855"/>
      <c r="P2123" s="855"/>
      <c r="Q2123" s="855"/>
      <c r="R2123" s="855"/>
      <c r="S2123" s="855"/>
      <c r="T2123" s="855"/>
      <c r="U2123" s="855"/>
      <c r="V2123" s="855"/>
      <c r="W2123" s="855"/>
      <c r="X2123" s="855"/>
      <c r="Y2123" s="855"/>
      <c r="Z2123" s="855"/>
      <c r="AA2123" s="855"/>
      <c r="AB2123" s="855"/>
      <c r="AC2123" s="855"/>
      <c r="AD2123" s="855"/>
      <c r="AE2123" s="855"/>
      <c r="AF2123" s="855"/>
      <c r="AG2123" s="855"/>
      <c r="AH2123" s="855"/>
      <c r="AI2123" s="855"/>
      <c r="AJ2123" s="855"/>
      <c r="AK2123" s="855"/>
      <c r="AL2123" s="855"/>
      <c r="AM2123" s="855"/>
      <c r="AN2123" s="855"/>
      <c r="AO2123" s="855"/>
      <c r="AP2123" s="855"/>
      <c r="AQ2123" s="855"/>
      <c r="AR2123" s="855"/>
      <c r="AS2123" s="855"/>
      <c r="AT2123" s="855"/>
      <c r="AU2123" s="855"/>
      <c r="AV2123" s="855"/>
      <c r="AW2123" s="855"/>
      <c r="AX2123" s="855"/>
      <c r="AY2123" s="855"/>
      <c r="AZ2123" s="855"/>
      <c r="BA2123" s="855"/>
      <c r="BB2123" s="855"/>
      <c r="BC2123" s="855"/>
      <c r="BD2123" s="855"/>
      <c r="BE2123" s="855"/>
      <c r="BF2123" s="855"/>
      <c r="BG2123" s="855"/>
      <c r="BH2123" s="855"/>
      <c r="BI2123" s="855"/>
      <c r="BJ2123" s="855"/>
      <c r="BK2123" s="855"/>
      <c r="BL2123" s="855"/>
      <c r="BM2123" s="855"/>
      <c r="BN2123" s="855"/>
      <c r="BO2123" s="855"/>
      <c r="BP2123" s="855"/>
      <c r="BQ2123" s="855"/>
      <c r="BR2123" s="855"/>
      <c r="BS2123" s="855"/>
      <c r="BT2123" s="855"/>
      <c r="BU2123" s="855"/>
      <c r="BV2123" s="855"/>
      <c r="BW2123" s="855"/>
      <c r="BX2123" s="855"/>
      <c r="BY2123" s="855"/>
      <c r="BZ2123" s="855"/>
      <c r="CA2123" s="855"/>
      <c r="CB2123" s="855"/>
      <c r="CC2123" s="855"/>
      <c r="CD2123" s="855"/>
      <c r="CE2123" s="855"/>
      <c r="CF2123" s="855"/>
      <c r="CG2123" s="855"/>
      <c r="CH2123" s="855"/>
      <c r="CI2123" s="855"/>
      <c r="CJ2123" s="855"/>
      <c r="CK2123" s="855"/>
      <c r="CL2123" s="855"/>
      <c r="CM2123" s="855"/>
      <c r="CN2123" s="855"/>
      <c r="CO2123" s="855"/>
      <c r="CP2123" s="855"/>
      <c r="CQ2123" s="855"/>
      <c r="CR2123" s="855"/>
      <c r="CS2123" s="855"/>
      <c r="CT2123" s="855"/>
      <c r="CU2123" s="855"/>
      <c r="CV2123" s="855"/>
      <c r="CW2123" s="855"/>
      <c r="CX2123" s="855"/>
      <c r="CY2123" s="855"/>
      <c r="CZ2123" s="855"/>
      <c r="DA2123" s="855"/>
      <c r="DB2123" s="855"/>
      <c r="DC2123" s="855"/>
      <c r="DD2123" s="855"/>
      <c r="DE2123" s="855"/>
      <c r="DF2123" s="855"/>
      <c r="DG2123" s="855"/>
      <c r="DH2123" s="855"/>
      <c r="DI2123" s="855"/>
      <c r="DJ2123" s="855"/>
      <c r="DK2123" s="855"/>
      <c r="DL2123" s="855"/>
      <c r="DM2123" s="855"/>
      <c r="DN2123" s="855"/>
      <c r="DO2123" s="855"/>
      <c r="DP2123" s="855"/>
      <c r="DQ2123" s="855"/>
      <c r="DR2123" s="855"/>
      <c r="DS2123" s="855"/>
      <c r="DT2123" s="855"/>
      <c r="DU2123" s="855"/>
      <c r="DV2123" s="855"/>
      <c r="DW2123" s="855"/>
      <c r="DX2123" s="855"/>
      <c r="DY2123" s="855"/>
      <c r="DZ2123" s="855"/>
      <c r="EA2123" s="855"/>
      <c r="EB2123" s="855"/>
      <c r="EC2123" s="855"/>
      <c r="ED2123" s="855"/>
      <c r="EE2123" s="855"/>
      <c r="EF2123" s="855"/>
      <c r="EG2123" s="855"/>
      <c r="EH2123" s="855"/>
      <c r="EI2123" s="855"/>
      <c r="EJ2123" s="855"/>
      <c r="EK2123" s="855"/>
      <c r="EL2123" s="855"/>
      <c r="EM2123" s="855"/>
      <c r="EN2123" s="855"/>
      <c r="EO2123" s="855"/>
      <c r="EP2123" s="855"/>
      <c r="EQ2123" s="855"/>
      <c r="ER2123" s="855"/>
    </row>
    <row r="2124" spans="1:151" s="858" customFormat="1" ht="14" customHeight="1">
      <c r="A2124" s="842">
        <v>99552</v>
      </c>
      <c r="B2124" s="844" t="s">
        <v>53073</v>
      </c>
      <c r="C2124" s="841">
        <v>105.84</v>
      </c>
      <c r="D2124" s="861"/>
      <c r="E2124" s="855"/>
      <c r="F2124" s="855"/>
      <c r="G2124" s="855"/>
      <c r="H2124" s="855"/>
      <c r="I2124" s="855"/>
      <c r="J2124" s="855"/>
      <c r="K2124" s="855"/>
      <c r="L2124" s="855"/>
      <c r="M2124" s="855"/>
      <c r="N2124" s="855"/>
      <c r="O2124" s="855"/>
      <c r="P2124" s="855"/>
      <c r="Q2124" s="855"/>
      <c r="R2124" s="855"/>
      <c r="S2124" s="855"/>
      <c r="T2124" s="855"/>
      <c r="U2124" s="855"/>
      <c r="V2124" s="855"/>
      <c r="W2124" s="855"/>
      <c r="X2124" s="855"/>
      <c r="Y2124" s="855"/>
      <c r="Z2124" s="855"/>
      <c r="AA2124" s="855"/>
      <c r="AB2124" s="855"/>
      <c r="AC2124" s="855"/>
      <c r="AD2124" s="855"/>
      <c r="AE2124" s="855"/>
      <c r="AF2124" s="855"/>
      <c r="AG2124" s="855"/>
      <c r="AH2124" s="855"/>
      <c r="AI2124" s="855"/>
      <c r="AJ2124" s="855"/>
      <c r="AK2124" s="855"/>
      <c r="AL2124" s="855"/>
      <c r="AM2124" s="855"/>
      <c r="AN2124" s="855"/>
      <c r="AO2124" s="855"/>
      <c r="AP2124" s="855"/>
      <c r="AQ2124" s="855"/>
      <c r="AR2124" s="855"/>
      <c r="AS2124" s="855"/>
      <c r="AT2124" s="855"/>
      <c r="AU2124" s="855"/>
      <c r="AV2124" s="855"/>
      <c r="AW2124" s="855"/>
      <c r="AX2124" s="855"/>
      <c r="AY2124" s="855"/>
      <c r="AZ2124" s="855"/>
      <c r="BA2124" s="855"/>
      <c r="BB2124" s="855"/>
      <c r="BC2124" s="855"/>
      <c r="BD2124" s="855"/>
      <c r="BE2124" s="855"/>
      <c r="BF2124" s="855"/>
      <c r="BG2124" s="855"/>
      <c r="BH2124" s="855"/>
      <c r="BI2124" s="855"/>
      <c r="BJ2124" s="855"/>
      <c r="BK2124" s="855"/>
      <c r="BL2124" s="855"/>
      <c r="BM2124" s="855"/>
      <c r="BN2124" s="855"/>
      <c r="BO2124" s="855"/>
      <c r="BP2124" s="855"/>
      <c r="BQ2124" s="855"/>
      <c r="BR2124" s="855"/>
      <c r="BS2124" s="855"/>
      <c r="BT2124" s="855"/>
      <c r="BU2124" s="855"/>
      <c r="BV2124" s="855"/>
      <c r="BW2124" s="855"/>
      <c r="BX2124" s="855"/>
      <c r="BY2124" s="855"/>
      <c r="BZ2124" s="855"/>
      <c r="CA2124" s="855"/>
      <c r="CB2124" s="855"/>
      <c r="CC2124" s="855"/>
      <c r="CD2124" s="855"/>
      <c r="CE2124" s="855"/>
      <c r="CF2124" s="855"/>
      <c r="CG2124" s="855"/>
      <c r="CH2124" s="855"/>
      <c r="CI2124" s="855"/>
      <c r="CJ2124" s="855"/>
      <c r="CK2124" s="855"/>
      <c r="CL2124" s="855"/>
      <c r="CM2124" s="855"/>
      <c r="CN2124" s="855"/>
      <c r="CO2124" s="855"/>
      <c r="CP2124" s="855"/>
      <c r="CQ2124" s="855"/>
      <c r="CR2124" s="855"/>
      <c r="CS2124" s="855"/>
      <c r="CT2124" s="855"/>
      <c r="CU2124" s="855"/>
      <c r="CV2124" s="855"/>
      <c r="CW2124" s="855"/>
      <c r="CX2124" s="855"/>
      <c r="CY2124" s="855"/>
      <c r="CZ2124" s="855"/>
      <c r="DA2124" s="855"/>
      <c r="DB2124" s="855"/>
      <c r="DC2124" s="855"/>
      <c r="DD2124" s="855"/>
      <c r="DE2124" s="855"/>
      <c r="DF2124" s="855"/>
      <c r="DG2124" s="855"/>
      <c r="DH2124" s="855"/>
      <c r="DI2124" s="855"/>
      <c r="DJ2124" s="855"/>
      <c r="DK2124" s="855"/>
      <c r="DL2124" s="855"/>
      <c r="DM2124" s="855"/>
      <c r="DN2124" s="855"/>
      <c r="DO2124" s="855"/>
      <c r="DP2124" s="855"/>
      <c r="DQ2124" s="855"/>
      <c r="DR2124" s="855"/>
      <c r="DS2124" s="855"/>
      <c r="DT2124" s="855"/>
      <c r="DU2124" s="855"/>
      <c r="DV2124" s="855"/>
      <c r="DW2124" s="855"/>
      <c r="DX2124" s="855"/>
      <c r="DY2124" s="855"/>
      <c r="DZ2124" s="855"/>
      <c r="EA2124" s="855"/>
      <c r="EB2124" s="855"/>
      <c r="EC2124" s="855"/>
      <c r="ED2124" s="855"/>
      <c r="EE2124" s="855"/>
      <c r="EF2124" s="855"/>
      <c r="EG2124" s="855"/>
      <c r="EH2124" s="855"/>
      <c r="EI2124" s="855"/>
      <c r="EJ2124" s="855"/>
      <c r="EK2124" s="855"/>
      <c r="EL2124" s="855"/>
      <c r="EM2124" s="855"/>
      <c r="EN2124" s="855"/>
      <c r="EO2124" s="855"/>
      <c r="EP2124" s="855"/>
      <c r="EQ2124" s="855"/>
      <c r="ER2124" s="855"/>
    </row>
    <row r="2125" spans="1:151" s="858" customFormat="1" ht="14" customHeight="1">
      <c r="A2125" s="842">
        <v>99553</v>
      </c>
      <c r="B2125" s="844" t="s">
        <v>53072</v>
      </c>
      <c r="C2125" s="860">
        <v>98.78</v>
      </c>
      <c r="D2125" s="781"/>
      <c r="E2125" s="859"/>
      <c r="F2125" s="859"/>
      <c r="G2125" s="859"/>
      <c r="H2125" s="855"/>
      <c r="I2125" s="855"/>
      <c r="J2125" s="855"/>
      <c r="K2125" s="855"/>
      <c r="L2125" s="855"/>
      <c r="M2125" s="855"/>
      <c r="N2125" s="855"/>
      <c r="O2125" s="855"/>
      <c r="P2125" s="855"/>
      <c r="Q2125" s="855"/>
      <c r="R2125" s="855"/>
      <c r="S2125" s="855"/>
      <c r="T2125" s="855"/>
      <c r="U2125" s="855"/>
      <c r="V2125" s="855"/>
      <c r="W2125" s="855"/>
      <c r="X2125" s="855"/>
      <c r="Y2125" s="855"/>
      <c r="Z2125" s="855"/>
      <c r="AA2125" s="855"/>
      <c r="AB2125" s="855"/>
      <c r="AC2125" s="855"/>
      <c r="AD2125" s="855"/>
      <c r="AE2125" s="855"/>
      <c r="AF2125" s="855"/>
      <c r="AG2125" s="855"/>
      <c r="AH2125" s="855"/>
      <c r="AI2125" s="855"/>
      <c r="AJ2125" s="855"/>
      <c r="AK2125" s="855"/>
      <c r="AL2125" s="855"/>
      <c r="AM2125" s="855"/>
      <c r="AN2125" s="855"/>
      <c r="AO2125" s="855"/>
      <c r="AP2125" s="855"/>
      <c r="AQ2125" s="855"/>
      <c r="AR2125" s="855"/>
      <c r="AS2125" s="855"/>
      <c r="AT2125" s="855"/>
      <c r="AU2125" s="855"/>
      <c r="AV2125" s="855"/>
      <c r="AW2125" s="855"/>
      <c r="AX2125" s="855"/>
      <c r="AY2125" s="855"/>
      <c r="AZ2125" s="855"/>
      <c r="BA2125" s="855"/>
      <c r="BB2125" s="855"/>
      <c r="BC2125" s="855"/>
      <c r="BD2125" s="855"/>
      <c r="BE2125" s="855"/>
      <c r="BF2125" s="855"/>
      <c r="BG2125" s="855"/>
      <c r="BH2125" s="855"/>
      <c r="BI2125" s="855"/>
      <c r="BJ2125" s="855"/>
      <c r="BK2125" s="855"/>
      <c r="BL2125" s="855"/>
      <c r="BM2125" s="855"/>
      <c r="BN2125" s="855"/>
      <c r="BO2125" s="855"/>
      <c r="BP2125" s="855"/>
      <c r="BQ2125" s="855"/>
      <c r="BR2125" s="855"/>
      <c r="BS2125" s="855"/>
      <c r="BT2125" s="855"/>
      <c r="BU2125" s="855"/>
      <c r="BV2125" s="855"/>
      <c r="BW2125" s="855"/>
      <c r="BX2125" s="855"/>
      <c r="BY2125" s="855"/>
      <c r="BZ2125" s="855"/>
      <c r="CA2125" s="855"/>
      <c r="CB2125" s="855"/>
      <c r="CC2125" s="855"/>
      <c r="CD2125" s="855"/>
      <c r="CE2125" s="855"/>
      <c r="CF2125" s="855"/>
      <c r="CG2125" s="855"/>
      <c r="CH2125" s="855"/>
      <c r="CI2125" s="855"/>
      <c r="CJ2125" s="855"/>
      <c r="CK2125" s="855"/>
      <c r="CL2125" s="855"/>
      <c r="CM2125" s="855"/>
      <c r="CN2125" s="855"/>
      <c r="CO2125" s="855"/>
      <c r="CP2125" s="855"/>
      <c r="CQ2125" s="855"/>
      <c r="CR2125" s="855"/>
      <c r="CS2125" s="855"/>
      <c r="CT2125" s="855"/>
      <c r="CU2125" s="855"/>
      <c r="CV2125" s="855"/>
      <c r="CW2125" s="855"/>
      <c r="CX2125" s="855"/>
      <c r="CY2125" s="855"/>
      <c r="CZ2125" s="855"/>
      <c r="DA2125" s="855"/>
      <c r="DB2125" s="855"/>
      <c r="DC2125" s="855"/>
      <c r="DD2125" s="855"/>
      <c r="DE2125" s="855"/>
      <c r="DF2125" s="855"/>
      <c r="DG2125" s="855"/>
      <c r="DH2125" s="855"/>
      <c r="DI2125" s="855"/>
      <c r="DJ2125" s="855"/>
      <c r="DK2125" s="855"/>
      <c r="DL2125" s="855"/>
      <c r="DM2125" s="855"/>
      <c r="DN2125" s="855"/>
      <c r="DO2125" s="855"/>
      <c r="DP2125" s="855"/>
      <c r="DQ2125" s="855"/>
      <c r="DR2125" s="855"/>
      <c r="DS2125" s="855"/>
      <c r="DT2125" s="855"/>
      <c r="DU2125" s="855"/>
      <c r="DV2125" s="855"/>
      <c r="DW2125" s="855"/>
      <c r="DX2125" s="855"/>
      <c r="DY2125" s="855"/>
      <c r="DZ2125" s="855"/>
      <c r="EA2125" s="855"/>
      <c r="EB2125" s="855"/>
      <c r="EC2125" s="855"/>
      <c r="ED2125" s="855"/>
      <c r="EE2125" s="855"/>
      <c r="EF2125" s="855"/>
      <c r="EG2125" s="855"/>
      <c r="EH2125" s="855"/>
      <c r="EI2125" s="855"/>
      <c r="EJ2125" s="855"/>
      <c r="EK2125" s="855"/>
      <c r="EL2125" s="855"/>
      <c r="EM2125" s="855"/>
      <c r="EN2125" s="855"/>
      <c r="EO2125" s="855"/>
      <c r="EP2125" s="855"/>
      <c r="EQ2125" s="855"/>
      <c r="ER2125" s="855"/>
      <c r="ES2125" s="855"/>
      <c r="ET2125" s="855"/>
      <c r="EU2125" s="855"/>
    </row>
    <row r="2126" spans="1:151" s="858" customFormat="1" ht="14" customHeight="1">
      <c r="A2126" s="842">
        <v>99559</v>
      </c>
      <c r="B2126" s="844" t="s">
        <v>53071</v>
      </c>
      <c r="C2126" s="860">
        <v>115.92</v>
      </c>
      <c r="D2126" s="781"/>
      <c r="E2126" s="859"/>
      <c r="F2126" s="859"/>
      <c r="G2126" s="859"/>
      <c r="H2126" s="855"/>
      <c r="I2126" s="855"/>
      <c r="J2126" s="855"/>
      <c r="K2126" s="855"/>
      <c r="L2126" s="855"/>
      <c r="M2126" s="855"/>
      <c r="N2126" s="855"/>
      <c r="O2126" s="855"/>
      <c r="P2126" s="855"/>
      <c r="Q2126" s="855"/>
      <c r="R2126" s="855"/>
      <c r="S2126" s="855"/>
      <c r="T2126" s="855"/>
      <c r="U2126" s="855"/>
      <c r="V2126" s="855"/>
      <c r="W2126" s="855"/>
      <c r="X2126" s="855"/>
      <c r="Y2126" s="855"/>
      <c r="Z2126" s="855"/>
      <c r="AA2126" s="855"/>
      <c r="AB2126" s="855"/>
      <c r="AC2126" s="855"/>
      <c r="AD2126" s="855"/>
      <c r="AE2126" s="855"/>
      <c r="AF2126" s="855"/>
      <c r="AG2126" s="855"/>
      <c r="AH2126" s="855"/>
      <c r="AI2126" s="855"/>
      <c r="AJ2126" s="855"/>
      <c r="AK2126" s="855"/>
      <c r="AL2126" s="855"/>
      <c r="AM2126" s="855"/>
      <c r="AN2126" s="855"/>
      <c r="AO2126" s="855"/>
      <c r="AP2126" s="855"/>
      <c r="AQ2126" s="855"/>
      <c r="AR2126" s="855"/>
      <c r="AS2126" s="855"/>
      <c r="AT2126" s="855"/>
      <c r="AU2126" s="855"/>
      <c r="AV2126" s="855"/>
      <c r="AW2126" s="855"/>
      <c r="AX2126" s="855"/>
      <c r="AY2126" s="855"/>
      <c r="AZ2126" s="855"/>
      <c r="BA2126" s="855"/>
      <c r="BB2126" s="855"/>
      <c r="BC2126" s="855"/>
      <c r="BD2126" s="855"/>
      <c r="BE2126" s="855"/>
      <c r="BF2126" s="855"/>
      <c r="BG2126" s="855"/>
      <c r="BH2126" s="855"/>
      <c r="BI2126" s="855"/>
      <c r="BJ2126" s="855"/>
      <c r="BK2126" s="855"/>
      <c r="BL2126" s="855"/>
      <c r="BM2126" s="855"/>
      <c r="BN2126" s="855"/>
      <c r="BO2126" s="855"/>
      <c r="BP2126" s="855"/>
      <c r="BQ2126" s="855"/>
      <c r="BR2126" s="855"/>
      <c r="BS2126" s="855"/>
      <c r="BT2126" s="855"/>
      <c r="BU2126" s="855"/>
      <c r="BV2126" s="855"/>
      <c r="BW2126" s="855"/>
      <c r="BX2126" s="855"/>
      <c r="BY2126" s="855"/>
      <c r="BZ2126" s="855"/>
      <c r="CA2126" s="855"/>
      <c r="CB2126" s="855"/>
      <c r="CC2126" s="855"/>
      <c r="CD2126" s="855"/>
      <c r="CE2126" s="855"/>
      <c r="CF2126" s="855"/>
      <c r="CG2126" s="855"/>
      <c r="CH2126" s="855"/>
      <c r="CI2126" s="855"/>
      <c r="CJ2126" s="855"/>
      <c r="CK2126" s="855"/>
      <c r="CL2126" s="855"/>
      <c r="CM2126" s="855"/>
      <c r="CN2126" s="855"/>
      <c r="CO2126" s="855"/>
      <c r="CP2126" s="855"/>
      <c r="CQ2126" s="855"/>
      <c r="CR2126" s="855"/>
      <c r="CS2126" s="855"/>
      <c r="CT2126" s="855"/>
      <c r="CU2126" s="855"/>
      <c r="CV2126" s="855"/>
      <c r="CW2126" s="855"/>
      <c r="CX2126" s="855"/>
      <c r="CY2126" s="855"/>
      <c r="CZ2126" s="855"/>
      <c r="DA2126" s="855"/>
      <c r="DB2126" s="855"/>
      <c r="DC2126" s="855"/>
      <c r="DD2126" s="855"/>
      <c r="DE2126" s="855"/>
      <c r="DF2126" s="855"/>
      <c r="DG2126" s="855"/>
      <c r="DH2126" s="855"/>
      <c r="DI2126" s="855"/>
      <c r="DJ2126" s="855"/>
      <c r="DK2126" s="855"/>
      <c r="DL2126" s="855"/>
      <c r="DM2126" s="855"/>
      <c r="DN2126" s="855"/>
      <c r="DO2126" s="855"/>
      <c r="DP2126" s="855"/>
      <c r="DQ2126" s="855"/>
      <c r="DR2126" s="855"/>
      <c r="DS2126" s="855"/>
      <c r="DT2126" s="855"/>
      <c r="DU2126" s="855"/>
      <c r="DV2126" s="855"/>
      <c r="DW2126" s="855"/>
      <c r="DX2126" s="855"/>
      <c r="DY2126" s="855"/>
      <c r="DZ2126" s="855"/>
      <c r="EA2126" s="855"/>
      <c r="EB2126" s="855"/>
      <c r="EC2126" s="855"/>
      <c r="ED2126" s="855"/>
      <c r="EE2126" s="855"/>
      <c r="EF2126" s="855"/>
      <c r="EG2126" s="855"/>
      <c r="EH2126" s="855"/>
      <c r="EI2126" s="855"/>
      <c r="EJ2126" s="855"/>
      <c r="EK2126" s="855"/>
      <c r="EL2126" s="855"/>
      <c r="EM2126" s="855"/>
      <c r="EN2126" s="855"/>
      <c r="EO2126" s="855"/>
      <c r="EP2126" s="855"/>
      <c r="EQ2126" s="855"/>
      <c r="ER2126" s="855"/>
      <c r="ES2126" s="855"/>
      <c r="ET2126" s="855"/>
      <c r="EU2126" s="855"/>
    </row>
    <row r="2127" spans="1:151" s="858" customFormat="1" ht="14" customHeight="1">
      <c r="A2127" s="842">
        <v>99560</v>
      </c>
      <c r="B2127" s="844" t="s">
        <v>53070</v>
      </c>
      <c r="C2127" s="860">
        <v>115.92</v>
      </c>
      <c r="D2127" s="781"/>
      <c r="E2127" s="859"/>
      <c r="F2127" s="859"/>
      <c r="G2127" s="859"/>
      <c r="H2127" s="855"/>
      <c r="I2127" s="855"/>
      <c r="J2127" s="855"/>
      <c r="K2127" s="855"/>
      <c r="L2127" s="855"/>
      <c r="M2127" s="855"/>
      <c r="N2127" s="855"/>
      <c r="O2127" s="855"/>
      <c r="P2127" s="855"/>
      <c r="Q2127" s="855"/>
      <c r="R2127" s="855"/>
      <c r="S2127" s="855"/>
      <c r="T2127" s="855"/>
      <c r="U2127" s="855"/>
      <c r="V2127" s="855"/>
      <c r="W2127" s="855"/>
      <c r="X2127" s="855"/>
      <c r="Y2127" s="855"/>
      <c r="Z2127" s="855"/>
      <c r="AA2127" s="855"/>
      <c r="AB2127" s="855"/>
      <c r="AC2127" s="855"/>
      <c r="AD2127" s="855"/>
      <c r="AE2127" s="855"/>
      <c r="AF2127" s="855"/>
      <c r="AG2127" s="855"/>
      <c r="AH2127" s="855"/>
      <c r="AI2127" s="855"/>
      <c r="AJ2127" s="855"/>
      <c r="AK2127" s="855"/>
      <c r="AL2127" s="855"/>
      <c r="AM2127" s="855"/>
      <c r="AN2127" s="855"/>
      <c r="AO2127" s="855"/>
      <c r="AP2127" s="855"/>
      <c r="AQ2127" s="855"/>
      <c r="AR2127" s="855"/>
      <c r="AS2127" s="855"/>
      <c r="AT2127" s="855"/>
      <c r="AU2127" s="855"/>
      <c r="AV2127" s="855"/>
      <c r="AW2127" s="855"/>
      <c r="AX2127" s="855"/>
      <c r="AY2127" s="855"/>
      <c r="AZ2127" s="855"/>
      <c r="BA2127" s="855"/>
      <c r="BB2127" s="855"/>
      <c r="BC2127" s="855"/>
      <c r="BD2127" s="855"/>
      <c r="BE2127" s="855"/>
      <c r="BF2127" s="855"/>
      <c r="BG2127" s="855"/>
      <c r="BH2127" s="855"/>
      <c r="BI2127" s="855"/>
      <c r="BJ2127" s="855"/>
      <c r="BK2127" s="855"/>
      <c r="BL2127" s="855"/>
      <c r="BM2127" s="855"/>
      <c r="BN2127" s="855"/>
      <c r="BO2127" s="855"/>
      <c r="BP2127" s="855"/>
      <c r="BQ2127" s="855"/>
      <c r="BR2127" s="855"/>
      <c r="BS2127" s="855"/>
      <c r="BT2127" s="855"/>
      <c r="BU2127" s="855"/>
      <c r="BV2127" s="855"/>
      <c r="BW2127" s="855"/>
      <c r="BX2127" s="855"/>
      <c r="BY2127" s="855"/>
      <c r="BZ2127" s="855"/>
      <c r="CA2127" s="855"/>
      <c r="CB2127" s="855"/>
      <c r="CC2127" s="855"/>
      <c r="CD2127" s="855"/>
      <c r="CE2127" s="855"/>
      <c r="CF2127" s="855"/>
      <c r="CG2127" s="855"/>
      <c r="CH2127" s="855"/>
      <c r="CI2127" s="855"/>
      <c r="CJ2127" s="855"/>
      <c r="CK2127" s="855"/>
      <c r="CL2127" s="855"/>
      <c r="CM2127" s="855"/>
      <c r="CN2127" s="855"/>
      <c r="CO2127" s="855"/>
      <c r="CP2127" s="855"/>
      <c r="CQ2127" s="855"/>
      <c r="CR2127" s="855"/>
      <c r="CS2127" s="855"/>
      <c r="CT2127" s="855"/>
      <c r="CU2127" s="855"/>
      <c r="CV2127" s="855"/>
      <c r="CW2127" s="855"/>
      <c r="CX2127" s="855"/>
      <c r="CY2127" s="855"/>
      <c r="CZ2127" s="855"/>
      <c r="DA2127" s="855"/>
      <c r="DB2127" s="855"/>
      <c r="DC2127" s="855"/>
      <c r="DD2127" s="855"/>
      <c r="DE2127" s="855"/>
      <c r="DF2127" s="855"/>
      <c r="DG2127" s="855"/>
      <c r="DH2127" s="855"/>
      <c r="DI2127" s="855"/>
      <c r="DJ2127" s="855"/>
      <c r="DK2127" s="855"/>
      <c r="DL2127" s="855"/>
      <c r="DM2127" s="855"/>
      <c r="DN2127" s="855"/>
      <c r="DO2127" s="855"/>
      <c r="DP2127" s="855"/>
      <c r="DQ2127" s="855"/>
      <c r="DR2127" s="855"/>
      <c r="DS2127" s="855"/>
      <c r="DT2127" s="855"/>
      <c r="DU2127" s="855"/>
      <c r="DV2127" s="855"/>
      <c r="DW2127" s="855"/>
      <c r="DX2127" s="855"/>
      <c r="DY2127" s="855"/>
      <c r="DZ2127" s="855"/>
      <c r="EA2127" s="855"/>
      <c r="EB2127" s="855"/>
      <c r="EC2127" s="855"/>
      <c r="ED2127" s="855"/>
      <c r="EE2127" s="855"/>
      <c r="EF2127" s="855"/>
      <c r="EG2127" s="855"/>
      <c r="EH2127" s="855"/>
      <c r="EI2127" s="855"/>
      <c r="EJ2127" s="855"/>
      <c r="EK2127" s="855"/>
      <c r="EL2127" s="855"/>
      <c r="EM2127" s="855"/>
      <c r="EN2127" s="855"/>
      <c r="EO2127" s="855"/>
      <c r="EP2127" s="855"/>
      <c r="EQ2127" s="855"/>
      <c r="ER2127" s="855"/>
      <c r="ES2127" s="855"/>
      <c r="ET2127" s="855"/>
      <c r="EU2127" s="855"/>
    </row>
    <row r="2128" spans="1:151" s="858" customFormat="1" ht="14" customHeight="1">
      <c r="A2128" s="842">
        <v>99562</v>
      </c>
      <c r="B2128" s="844" t="s">
        <v>53069</v>
      </c>
      <c r="C2128" s="860">
        <v>109.67</v>
      </c>
      <c r="D2128" s="781"/>
      <c r="E2128" s="859"/>
      <c r="F2128" s="859"/>
      <c r="G2128" s="859"/>
      <c r="H2128" s="855"/>
      <c r="I2128" s="855"/>
      <c r="J2128" s="855"/>
      <c r="K2128" s="855"/>
      <c r="L2128" s="855"/>
      <c r="M2128" s="855"/>
      <c r="N2128" s="855"/>
      <c r="O2128" s="855"/>
      <c r="P2128" s="855"/>
      <c r="Q2128" s="855"/>
      <c r="R2128" s="855"/>
      <c r="S2128" s="855"/>
      <c r="T2128" s="855"/>
      <c r="U2128" s="855"/>
      <c r="V2128" s="855"/>
      <c r="W2128" s="855"/>
      <c r="X2128" s="855"/>
      <c r="Y2128" s="855"/>
      <c r="Z2128" s="855"/>
      <c r="AA2128" s="855"/>
      <c r="AB2128" s="855"/>
      <c r="AC2128" s="855"/>
      <c r="AD2128" s="855"/>
      <c r="AE2128" s="855"/>
      <c r="AF2128" s="855"/>
      <c r="AG2128" s="855"/>
      <c r="AH2128" s="855"/>
      <c r="AI2128" s="855"/>
      <c r="AJ2128" s="855"/>
      <c r="AK2128" s="855"/>
      <c r="AL2128" s="855"/>
      <c r="AM2128" s="855"/>
      <c r="AN2128" s="855"/>
      <c r="AO2128" s="855"/>
      <c r="AP2128" s="855"/>
      <c r="AQ2128" s="855"/>
      <c r="AR2128" s="855"/>
      <c r="AS2128" s="855"/>
      <c r="AT2128" s="855"/>
      <c r="AU2128" s="855"/>
      <c r="AV2128" s="855"/>
      <c r="AW2128" s="855"/>
      <c r="AX2128" s="855"/>
      <c r="AY2128" s="855"/>
      <c r="AZ2128" s="855"/>
      <c r="BA2128" s="855"/>
      <c r="BB2128" s="855"/>
      <c r="BC2128" s="855"/>
      <c r="BD2128" s="855"/>
      <c r="BE2128" s="855"/>
      <c r="BF2128" s="855"/>
      <c r="BG2128" s="855"/>
      <c r="BH2128" s="855"/>
      <c r="BI2128" s="855"/>
      <c r="BJ2128" s="855"/>
      <c r="BK2128" s="855"/>
      <c r="BL2128" s="855"/>
      <c r="BM2128" s="855"/>
      <c r="BN2128" s="855"/>
      <c r="BO2128" s="855"/>
      <c r="BP2128" s="855"/>
      <c r="BQ2128" s="855"/>
      <c r="BR2128" s="855"/>
      <c r="BS2128" s="855"/>
      <c r="BT2128" s="855"/>
      <c r="BU2128" s="855"/>
      <c r="BV2128" s="855"/>
      <c r="BW2128" s="855"/>
      <c r="BX2128" s="855"/>
      <c r="BY2128" s="855"/>
      <c r="BZ2128" s="855"/>
      <c r="CA2128" s="855"/>
      <c r="CB2128" s="855"/>
      <c r="CC2128" s="855"/>
      <c r="CD2128" s="855"/>
      <c r="CE2128" s="855"/>
      <c r="CF2128" s="855"/>
      <c r="CG2128" s="855"/>
      <c r="CH2128" s="855"/>
      <c r="CI2128" s="855"/>
      <c r="CJ2128" s="855"/>
      <c r="CK2128" s="855"/>
      <c r="CL2128" s="855"/>
      <c r="CM2128" s="855"/>
      <c r="CN2128" s="855"/>
      <c r="CO2128" s="855"/>
      <c r="CP2128" s="855"/>
      <c r="CQ2128" s="855"/>
      <c r="CR2128" s="855"/>
      <c r="CS2128" s="855"/>
      <c r="CT2128" s="855"/>
      <c r="CU2128" s="855"/>
      <c r="CV2128" s="855"/>
      <c r="CW2128" s="855"/>
      <c r="CX2128" s="855"/>
      <c r="CY2128" s="855"/>
      <c r="CZ2128" s="855"/>
      <c r="DA2128" s="855"/>
      <c r="DB2128" s="855"/>
      <c r="DC2128" s="855"/>
      <c r="DD2128" s="855"/>
      <c r="DE2128" s="855"/>
      <c r="DF2128" s="855"/>
      <c r="DG2128" s="855"/>
      <c r="DH2128" s="855"/>
      <c r="DI2128" s="855"/>
      <c r="DJ2128" s="855"/>
      <c r="DK2128" s="855"/>
      <c r="DL2128" s="855"/>
      <c r="DM2128" s="855"/>
      <c r="DN2128" s="855"/>
      <c r="DO2128" s="855"/>
      <c r="DP2128" s="855"/>
      <c r="DQ2128" s="855"/>
      <c r="DR2128" s="855"/>
      <c r="DS2128" s="855"/>
      <c r="DT2128" s="855"/>
      <c r="DU2128" s="855"/>
      <c r="DV2128" s="855"/>
      <c r="DW2128" s="855"/>
      <c r="DX2128" s="855"/>
      <c r="DY2128" s="855"/>
      <c r="DZ2128" s="855"/>
      <c r="EA2128" s="855"/>
      <c r="EB2128" s="855"/>
      <c r="EC2128" s="855"/>
      <c r="ED2128" s="855"/>
      <c r="EE2128" s="855"/>
      <c r="EF2128" s="855"/>
      <c r="EG2128" s="855"/>
      <c r="EH2128" s="855"/>
      <c r="EI2128" s="855"/>
      <c r="EJ2128" s="855"/>
      <c r="EK2128" s="855"/>
      <c r="EL2128" s="855"/>
      <c r="EM2128" s="855"/>
      <c r="EN2128" s="855"/>
      <c r="EO2128" s="855"/>
      <c r="EP2128" s="855"/>
      <c r="EQ2128" s="855"/>
      <c r="ER2128" s="855"/>
      <c r="ES2128" s="855"/>
      <c r="ET2128" s="855"/>
      <c r="EU2128" s="855"/>
    </row>
    <row r="2129" spans="1:153" s="858" customFormat="1" ht="14" customHeight="1">
      <c r="A2129" s="842">
        <v>99563</v>
      </c>
      <c r="B2129" s="844" t="s">
        <v>53068</v>
      </c>
      <c r="C2129" s="860">
        <v>148.68</v>
      </c>
      <c r="D2129" s="781"/>
      <c r="E2129" s="859"/>
      <c r="F2129" s="859"/>
      <c r="G2129" s="859"/>
      <c r="H2129" s="855"/>
      <c r="I2129" s="855"/>
      <c r="J2129" s="855"/>
      <c r="K2129" s="855"/>
      <c r="L2129" s="855"/>
      <c r="M2129" s="855"/>
      <c r="N2129" s="855"/>
      <c r="O2129" s="855"/>
      <c r="P2129" s="855"/>
      <c r="Q2129" s="855"/>
      <c r="R2129" s="855"/>
      <c r="S2129" s="855"/>
      <c r="T2129" s="855"/>
      <c r="U2129" s="855"/>
      <c r="V2129" s="855"/>
      <c r="W2129" s="855"/>
      <c r="X2129" s="855"/>
      <c r="Y2129" s="855"/>
      <c r="Z2129" s="855"/>
      <c r="AA2129" s="855"/>
      <c r="AB2129" s="855"/>
      <c r="AC2129" s="855"/>
      <c r="AD2129" s="855"/>
      <c r="AE2129" s="855"/>
      <c r="AF2129" s="855"/>
      <c r="AG2129" s="855"/>
      <c r="AH2129" s="855"/>
      <c r="AI2129" s="855"/>
      <c r="AJ2129" s="855"/>
      <c r="AK2129" s="855"/>
      <c r="AL2129" s="855"/>
      <c r="AM2129" s="855"/>
      <c r="AN2129" s="855"/>
      <c r="AO2129" s="855"/>
      <c r="AP2129" s="855"/>
      <c r="AQ2129" s="855"/>
      <c r="AR2129" s="855"/>
      <c r="AS2129" s="855"/>
      <c r="AT2129" s="855"/>
      <c r="AU2129" s="855"/>
      <c r="AV2129" s="855"/>
      <c r="AW2129" s="855"/>
      <c r="AX2129" s="855"/>
      <c r="AY2129" s="855"/>
      <c r="AZ2129" s="855"/>
      <c r="BA2129" s="855"/>
      <c r="BB2129" s="855"/>
      <c r="BC2129" s="855"/>
      <c r="BD2129" s="855"/>
      <c r="BE2129" s="855"/>
      <c r="BF2129" s="855"/>
      <c r="BG2129" s="855"/>
      <c r="BH2129" s="855"/>
      <c r="BI2129" s="855"/>
      <c r="BJ2129" s="855"/>
      <c r="BK2129" s="855"/>
      <c r="BL2129" s="855"/>
      <c r="BM2129" s="855"/>
      <c r="BN2129" s="855"/>
      <c r="BO2129" s="855"/>
      <c r="BP2129" s="855"/>
      <c r="BQ2129" s="855"/>
      <c r="BR2129" s="855"/>
      <c r="BS2129" s="855"/>
      <c r="BT2129" s="855"/>
      <c r="BU2129" s="855"/>
      <c r="BV2129" s="855"/>
      <c r="BW2129" s="855"/>
      <c r="BX2129" s="855"/>
      <c r="BY2129" s="855"/>
      <c r="BZ2129" s="855"/>
      <c r="CA2129" s="855"/>
      <c r="CB2129" s="855"/>
      <c r="CC2129" s="855"/>
      <c r="CD2129" s="855"/>
      <c r="CE2129" s="855"/>
      <c r="CF2129" s="855"/>
      <c r="CG2129" s="855"/>
      <c r="CH2129" s="855"/>
      <c r="CI2129" s="855"/>
      <c r="CJ2129" s="855"/>
      <c r="CK2129" s="855"/>
      <c r="CL2129" s="855"/>
      <c r="CM2129" s="855"/>
      <c r="CN2129" s="855"/>
      <c r="CO2129" s="855"/>
      <c r="CP2129" s="855"/>
      <c r="CQ2129" s="855"/>
      <c r="CR2129" s="855"/>
      <c r="CS2129" s="855"/>
      <c r="CT2129" s="855"/>
      <c r="CU2129" s="855"/>
      <c r="CV2129" s="855"/>
      <c r="CW2129" s="855"/>
      <c r="CX2129" s="855"/>
      <c r="CY2129" s="855"/>
      <c r="CZ2129" s="855"/>
      <c r="DA2129" s="855"/>
      <c r="DB2129" s="855"/>
      <c r="DC2129" s="855"/>
      <c r="DD2129" s="855"/>
      <c r="DE2129" s="855"/>
      <c r="DF2129" s="855"/>
      <c r="DG2129" s="855"/>
      <c r="DH2129" s="855"/>
      <c r="DI2129" s="855"/>
      <c r="DJ2129" s="855"/>
      <c r="DK2129" s="855"/>
      <c r="DL2129" s="855"/>
      <c r="DM2129" s="855"/>
      <c r="DN2129" s="855"/>
      <c r="DO2129" s="855"/>
      <c r="DP2129" s="855"/>
      <c r="DQ2129" s="855"/>
      <c r="DR2129" s="855"/>
      <c r="DS2129" s="855"/>
      <c r="DT2129" s="855"/>
      <c r="DU2129" s="855"/>
      <c r="DV2129" s="855"/>
      <c r="DW2129" s="855"/>
      <c r="DX2129" s="855"/>
      <c r="DY2129" s="855"/>
      <c r="DZ2129" s="855"/>
      <c r="EA2129" s="855"/>
      <c r="EB2129" s="855"/>
      <c r="EC2129" s="855"/>
      <c r="ED2129" s="855"/>
      <c r="EE2129" s="855"/>
      <c r="EF2129" s="855"/>
      <c r="EG2129" s="855"/>
      <c r="EH2129" s="855"/>
      <c r="EI2129" s="855"/>
      <c r="EJ2129" s="855"/>
      <c r="EK2129" s="855"/>
      <c r="EL2129" s="855"/>
      <c r="EM2129" s="855"/>
      <c r="EN2129" s="855"/>
      <c r="EO2129" s="855"/>
      <c r="EP2129" s="855"/>
      <c r="EQ2129" s="855"/>
      <c r="ER2129" s="855"/>
      <c r="ES2129" s="855"/>
      <c r="ET2129" s="855"/>
      <c r="EU2129" s="855"/>
    </row>
    <row r="2130" spans="1:153" s="858" customFormat="1" ht="14" customHeight="1">
      <c r="A2130" s="842">
        <v>99564</v>
      </c>
      <c r="B2130" s="844" t="s">
        <v>53067</v>
      </c>
      <c r="C2130" s="860">
        <v>52.92</v>
      </c>
      <c r="D2130" s="781"/>
      <c r="E2130" s="859"/>
      <c r="F2130" s="859"/>
      <c r="G2130" s="859"/>
      <c r="H2130" s="855"/>
      <c r="I2130" s="855"/>
      <c r="J2130" s="855"/>
      <c r="K2130" s="855"/>
      <c r="L2130" s="855"/>
      <c r="M2130" s="855"/>
      <c r="N2130" s="855"/>
      <c r="O2130" s="855"/>
      <c r="P2130" s="855"/>
      <c r="Q2130" s="855"/>
      <c r="R2130" s="855"/>
      <c r="S2130" s="855"/>
      <c r="T2130" s="855"/>
      <c r="U2130" s="855"/>
      <c r="V2130" s="855"/>
      <c r="W2130" s="855"/>
      <c r="X2130" s="855"/>
      <c r="Y2130" s="855"/>
      <c r="Z2130" s="855"/>
      <c r="AA2130" s="855"/>
      <c r="AB2130" s="855"/>
      <c r="AC2130" s="855"/>
      <c r="AD2130" s="855"/>
      <c r="AE2130" s="855"/>
      <c r="AF2130" s="855"/>
      <c r="AG2130" s="855"/>
      <c r="AH2130" s="855"/>
      <c r="AI2130" s="855"/>
      <c r="AJ2130" s="855"/>
      <c r="AK2130" s="855"/>
      <c r="AL2130" s="855"/>
      <c r="AM2130" s="855"/>
      <c r="AN2130" s="855"/>
      <c r="AO2130" s="855"/>
      <c r="AP2130" s="855"/>
      <c r="AQ2130" s="855"/>
      <c r="AR2130" s="855"/>
      <c r="AS2130" s="855"/>
      <c r="AT2130" s="855"/>
      <c r="AU2130" s="855"/>
      <c r="AV2130" s="855"/>
      <c r="AW2130" s="855"/>
      <c r="AX2130" s="855"/>
      <c r="AY2130" s="855"/>
      <c r="AZ2130" s="855"/>
      <c r="BA2130" s="855"/>
      <c r="BB2130" s="855"/>
      <c r="BC2130" s="855"/>
      <c r="BD2130" s="855"/>
      <c r="BE2130" s="855"/>
      <c r="BF2130" s="855"/>
      <c r="BG2130" s="855"/>
      <c r="BH2130" s="855"/>
      <c r="BI2130" s="855"/>
      <c r="BJ2130" s="855"/>
      <c r="BK2130" s="855"/>
      <c r="BL2130" s="855"/>
      <c r="BM2130" s="855"/>
      <c r="BN2130" s="855"/>
      <c r="BO2130" s="855"/>
      <c r="BP2130" s="855"/>
      <c r="BQ2130" s="855"/>
      <c r="BR2130" s="855"/>
      <c r="BS2130" s="855"/>
      <c r="BT2130" s="855"/>
      <c r="BU2130" s="855"/>
      <c r="BV2130" s="855"/>
      <c r="BW2130" s="855"/>
      <c r="BX2130" s="855"/>
      <c r="BY2130" s="855"/>
      <c r="BZ2130" s="855"/>
      <c r="CA2130" s="855"/>
      <c r="CB2130" s="855"/>
      <c r="CC2130" s="855"/>
      <c r="CD2130" s="855"/>
      <c r="CE2130" s="855"/>
      <c r="CF2130" s="855"/>
      <c r="CG2130" s="855"/>
      <c r="CH2130" s="855"/>
      <c r="CI2130" s="855"/>
      <c r="CJ2130" s="855"/>
      <c r="CK2130" s="855"/>
      <c r="CL2130" s="855"/>
      <c r="CM2130" s="855"/>
      <c r="CN2130" s="855"/>
      <c r="CO2130" s="855"/>
      <c r="CP2130" s="855"/>
      <c r="CQ2130" s="855"/>
      <c r="CR2130" s="855"/>
      <c r="CS2130" s="855"/>
      <c r="CT2130" s="855"/>
      <c r="CU2130" s="855"/>
      <c r="CV2130" s="855"/>
      <c r="CW2130" s="855"/>
      <c r="CX2130" s="855"/>
      <c r="CY2130" s="855"/>
      <c r="CZ2130" s="855"/>
      <c r="DA2130" s="855"/>
      <c r="DB2130" s="855"/>
      <c r="DC2130" s="855"/>
      <c r="DD2130" s="855"/>
      <c r="DE2130" s="855"/>
      <c r="DF2130" s="855"/>
      <c r="DG2130" s="855"/>
      <c r="DH2130" s="855"/>
      <c r="DI2130" s="855"/>
      <c r="DJ2130" s="855"/>
      <c r="DK2130" s="855"/>
      <c r="DL2130" s="855"/>
      <c r="DM2130" s="855"/>
      <c r="DN2130" s="855"/>
      <c r="DO2130" s="855"/>
      <c r="DP2130" s="855"/>
      <c r="DQ2130" s="855"/>
      <c r="DR2130" s="855"/>
      <c r="DS2130" s="855"/>
      <c r="DT2130" s="855"/>
      <c r="DU2130" s="855"/>
      <c r="DV2130" s="855"/>
      <c r="DW2130" s="855"/>
      <c r="DX2130" s="855"/>
      <c r="DY2130" s="855"/>
      <c r="DZ2130" s="855"/>
      <c r="EA2130" s="855"/>
      <c r="EB2130" s="855"/>
      <c r="EC2130" s="855"/>
      <c r="ED2130" s="855"/>
      <c r="EE2130" s="855"/>
      <c r="EF2130" s="855"/>
      <c r="EG2130" s="855"/>
      <c r="EH2130" s="855"/>
      <c r="EI2130" s="855"/>
      <c r="EJ2130" s="855"/>
      <c r="EK2130" s="855"/>
      <c r="EL2130" s="855"/>
      <c r="EM2130" s="855"/>
      <c r="EN2130" s="855"/>
      <c r="EO2130" s="855"/>
      <c r="EP2130" s="855"/>
      <c r="EQ2130" s="855"/>
      <c r="ER2130" s="855"/>
      <c r="ES2130" s="855"/>
      <c r="ET2130" s="855"/>
      <c r="EU2130" s="855"/>
    </row>
    <row r="2131" spans="1:153" s="858" customFormat="1" ht="14" customHeight="1">
      <c r="A2131" s="842">
        <v>99565</v>
      </c>
      <c r="B2131" s="844" t="s">
        <v>53066</v>
      </c>
      <c r="C2131" s="860">
        <v>124.88</v>
      </c>
      <c r="D2131" s="781"/>
      <c r="E2131" s="859"/>
      <c r="F2131" s="859"/>
      <c r="G2131" s="859"/>
      <c r="H2131" s="855"/>
      <c r="I2131" s="855"/>
      <c r="J2131" s="855"/>
      <c r="K2131" s="855"/>
      <c r="L2131" s="855"/>
      <c r="M2131" s="855"/>
      <c r="N2131" s="855"/>
      <c r="O2131" s="855"/>
      <c r="P2131" s="855"/>
      <c r="Q2131" s="855"/>
      <c r="R2131" s="855"/>
      <c r="S2131" s="855"/>
      <c r="T2131" s="855"/>
      <c r="U2131" s="855"/>
      <c r="V2131" s="855"/>
      <c r="W2131" s="855"/>
      <c r="X2131" s="855"/>
      <c r="Y2131" s="855"/>
      <c r="Z2131" s="855"/>
      <c r="AA2131" s="855"/>
      <c r="AB2131" s="855"/>
      <c r="AC2131" s="855"/>
      <c r="AD2131" s="855"/>
      <c r="AE2131" s="855"/>
      <c r="AF2131" s="855"/>
      <c r="AG2131" s="855"/>
      <c r="AH2131" s="855"/>
      <c r="AI2131" s="855"/>
      <c r="AJ2131" s="855"/>
      <c r="AK2131" s="855"/>
      <c r="AL2131" s="855"/>
      <c r="AM2131" s="855"/>
      <c r="AN2131" s="855"/>
      <c r="AO2131" s="855"/>
      <c r="AP2131" s="855"/>
      <c r="AQ2131" s="855"/>
      <c r="AR2131" s="855"/>
      <c r="AS2131" s="855"/>
      <c r="AT2131" s="855"/>
      <c r="AU2131" s="855"/>
      <c r="AV2131" s="855"/>
      <c r="AW2131" s="855"/>
      <c r="AX2131" s="855"/>
      <c r="AY2131" s="855"/>
      <c r="AZ2131" s="855"/>
      <c r="BA2131" s="855"/>
      <c r="BB2131" s="855"/>
      <c r="BC2131" s="855"/>
      <c r="BD2131" s="855"/>
      <c r="BE2131" s="855"/>
      <c r="BF2131" s="855"/>
      <c r="BG2131" s="855"/>
      <c r="BH2131" s="855"/>
      <c r="BI2131" s="855"/>
      <c r="BJ2131" s="855"/>
      <c r="BK2131" s="855"/>
      <c r="BL2131" s="855"/>
      <c r="BM2131" s="855"/>
      <c r="BN2131" s="855"/>
      <c r="BO2131" s="855"/>
      <c r="BP2131" s="855"/>
      <c r="BQ2131" s="855"/>
      <c r="BR2131" s="855"/>
      <c r="BS2131" s="855"/>
      <c r="BT2131" s="855"/>
      <c r="BU2131" s="855"/>
      <c r="BV2131" s="855"/>
      <c r="BW2131" s="855"/>
      <c r="BX2131" s="855"/>
      <c r="BY2131" s="855"/>
      <c r="BZ2131" s="855"/>
      <c r="CA2131" s="855"/>
      <c r="CB2131" s="855"/>
      <c r="CC2131" s="855"/>
      <c r="CD2131" s="855"/>
      <c r="CE2131" s="855"/>
      <c r="CF2131" s="855"/>
      <c r="CG2131" s="855"/>
      <c r="CH2131" s="855"/>
      <c r="CI2131" s="855"/>
      <c r="CJ2131" s="855"/>
      <c r="CK2131" s="855"/>
      <c r="CL2131" s="855"/>
      <c r="CM2131" s="855"/>
      <c r="CN2131" s="855"/>
      <c r="CO2131" s="855"/>
      <c r="CP2131" s="855"/>
      <c r="CQ2131" s="855"/>
      <c r="CR2131" s="855"/>
      <c r="CS2131" s="855"/>
      <c r="CT2131" s="855"/>
      <c r="CU2131" s="855"/>
      <c r="CV2131" s="855"/>
      <c r="CW2131" s="855"/>
      <c r="CX2131" s="855"/>
      <c r="CY2131" s="855"/>
      <c r="CZ2131" s="855"/>
      <c r="DA2131" s="855"/>
      <c r="DB2131" s="855"/>
      <c r="DC2131" s="855"/>
      <c r="DD2131" s="855"/>
      <c r="DE2131" s="855"/>
      <c r="DF2131" s="855"/>
      <c r="DG2131" s="855"/>
      <c r="DH2131" s="855"/>
      <c r="DI2131" s="855"/>
      <c r="DJ2131" s="855"/>
      <c r="DK2131" s="855"/>
      <c r="DL2131" s="855"/>
      <c r="DM2131" s="855"/>
      <c r="DN2131" s="855"/>
      <c r="DO2131" s="855"/>
      <c r="DP2131" s="855"/>
      <c r="DQ2131" s="855"/>
      <c r="DR2131" s="855"/>
      <c r="DS2131" s="855"/>
      <c r="DT2131" s="855"/>
      <c r="DU2131" s="855"/>
      <c r="DV2131" s="855"/>
      <c r="DW2131" s="855"/>
      <c r="DX2131" s="855"/>
      <c r="DY2131" s="855"/>
      <c r="DZ2131" s="855"/>
      <c r="EA2131" s="855"/>
      <c r="EB2131" s="855"/>
      <c r="EC2131" s="855"/>
      <c r="ED2131" s="855"/>
      <c r="EE2131" s="855"/>
      <c r="EF2131" s="855"/>
      <c r="EG2131" s="855"/>
      <c r="EH2131" s="855"/>
      <c r="EI2131" s="855"/>
      <c r="EJ2131" s="855"/>
      <c r="EK2131" s="855"/>
      <c r="EL2131" s="855"/>
      <c r="EM2131" s="855"/>
      <c r="EN2131" s="855"/>
      <c r="EO2131" s="855"/>
      <c r="EP2131" s="855"/>
      <c r="EQ2131" s="855"/>
      <c r="ER2131" s="855"/>
      <c r="ES2131" s="855"/>
      <c r="ET2131" s="855"/>
      <c r="EU2131" s="855"/>
    </row>
    <row r="2132" spans="1:153" s="858" customFormat="1" ht="14" customHeight="1">
      <c r="A2132" s="842">
        <v>99566</v>
      </c>
      <c r="B2132" s="844" t="s">
        <v>53065</v>
      </c>
      <c r="C2132" s="860">
        <v>180.94</v>
      </c>
      <c r="D2132" s="781"/>
      <c r="E2132" s="859"/>
      <c r="F2132" s="859"/>
      <c r="G2132" s="859"/>
      <c r="H2132" s="855"/>
      <c r="I2132" s="855"/>
      <c r="J2132" s="855"/>
      <c r="K2132" s="855"/>
      <c r="L2132" s="855"/>
      <c r="M2132" s="855"/>
      <c r="N2132" s="855"/>
      <c r="O2132" s="855"/>
      <c r="P2132" s="855"/>
      <c r="Q2132" s="855"/>
      <c r="R2132" s="855"/>
      <c r="S2132" s="855"/>
      <c r="T2132" s="855"/>
      <c r="U2132" s="855"/>
      <c r="V2132" s="855"/>
      <c r="W2132" s="855"/>
      <c r="X2132" s="855"/>
      <c r="Y2132" s="855"/>
      <c r="Z2132" s="855"/>
      <c r="AA2132" s="855"/>
      <c r="AB2132" s="855"/>
      <c r="AC2132" s="855"/>
      <c r="AD2132" s="855"/>
      <c r="AE2132" s="855"/>
      <c r="AF2132" s="855"/>
      <c r="AG2132" s="855"/>
      <c r="AH2132" s="855"/>
      <c r="AI2132" s="855"/>
      <c r="AJ2132" s="855"/>
      <c r="AK2132" s="855"/>
      <c r="AL2132" s="855"/>
      <c r="AM2132" s="855"/>
      <c r="AN2132" s="855"/>
      <c r="AO2132" s="855"/>
      <c r="AP2132" s="855"/>
      <c r="AQ2132" s="855"/>
      <c r="AR2132" s="855"/>
      <c r="AS2132" s="855"/>
      <c r="AT2132" s="855"/>
      <c r="AU2132" s="855"/>
      <c r="AV2132" s="855"/>
      <c r="AW2132" s="855"/>
      <c r="AX2132" s="855"/>
      <c r="AY2132" s="855"/>
      <c r="AZ2132" s="855"/>
      <c r="BA2132" s="855"/>
      <c r="BB2132" s="855"/>
      <c r="BC2132" s="855"/>
      <c r="BD2132" s="855"/>
      <c r="BE2132" s="855"/>
      <c r="BF2132" s="855"/>
      <c r="BG2132" s="855"/>
      <c r="BH2132" s="855"/>
      <c r="BI2132" s="855"/>
      <c r="BJ2132" s="855"/>
      <c r="BK2132" s="855"/>
      <c r="BL2132" s="855"/>
      <c r="BM2132" s="855"/>
      <c r="BN2132" s="855"/>
      <c r="BO2132" s="855"/>
      <c r="BP2132" s="855"/>
      <c r="BQ2132" s="855"/>
      <c r="BR2132" s="855"/>
      <c r="BS2132" s="855"/>
      <c r="BT2132" s="855"/>
      <c r="BU2132" s="855"/>
      <c r="BV2132" s="855"/>
      <c r="BW2132" s="855"/>
      <c r="BX2132" s="855"/>
      <c r="BY2132" s="855"/>
      <c r="BZ2132" s="855"/>
      <c r="CA2132" s="855"/>
      <c r="CB2132" s="855"/>
      <c r="CC2132" s="855"/>
      <c r="CD2132" s="855"/>
      <c r="CE2132" s="855"/>
      <c r="CF2132" s="855"/>
      <c r="CG2132" s="855"/>
      <c r="CH2132" s="855"/>
      <c r="CI2132" s="855"/>
      <c r="CJ2132" s="855"/>
      <c r="CK2132" s="855"/>
      <c r="CL2132" s="855"/>
      <c r="CM2132" s="855"/>
      <c r="CN2132" s="855"/>
      <c r="CO2132" s="855"/>
      <c r="CP2132" s="855"/>
      <c r="CQ2132" s="855"/>
      <c r="CR2132" s="855"/>
      <c r="CS2132" s="855"/>
      <c r="CT2132" s="855"/>
      <c r="CU2132" s="855"/>
      <c r="CV2132" s="855"/>
      <c r="CW2132" s="855"/>
      <c r="CX2132" s="855"/>
      <c r="CY2132" s="855"/>
      <c r="CZ2132" s="855"/>
      <c r="DA2132" s="855"/>
      <c r="DB2132" s="855"/>
      <c r="DC2132" s="855"/>
      <c r="DD2132" s="855"/>
      <c r="DE2132" s="855"/>
      <c r="DF2132" s="855"/>
      <c r="DG2132" s="855"/>
      <c r="DH2132" s="855"/>
      <c r="DI2132" s="855"/>
      <c r="DJ2132" s="855"/>
      <c r="DK2132" s="855"/>
      <c r="DL2132" s="855"/>
      <c r="DM2132" s="855"/>
      <c r="DN2132" s="855"/>
      <c r="DO2132" s="855"/>
      <c r="DP2132" s="855"/>
      <c r="DQ2132" s="855"/>
      <c r="DR2132" s="855"/>
      <c r="DS2132" s="855"/>
      <c r="DT2132" s="855"/>
      <c r="DU2132" s="855"/>
      <c r="DV2132" s="855"/>
      <c r="DW2132" s="855"/>
      <c r="DX2132" s="855"/>
      <c r="DY2132" s="855"/>
      <c r="DZ2132" s="855"/>
      <c r="EA2132" s="855"/>
      <c r="EB2132" s="855"/>
      <c r="EC2132" s="855"/>
      <c r="ED2132" s="855"/>
      <c r="EE2132" s="855"/>
      <c r="EF2132" s="855"/>
      <c r="EG2132" s="855"/>
      <c r="EH2132" s="855"/>
      <c r="EI2132" s="855"/>
      <c r="EJ2132" s="855"/>
      <c r="EK2132" s="855"/>
      <c r="EL2132" s="855"/>
      <c r="EM2132" s="855"/>
      <c r="EN2132" s="855"/>
      <c r="EO2132" s="855"/>
      <c r="EP2132" s="855"/>
      <c r="EQ2132" s="855"/>
      <c r="ER2132" s="855"/>
      <c r="ES2132" s="855"/>
      <c r="ET2132" s="855"/>
      <c r="EU2132" s="855"/>
    </row>
    <row r="2133" spans="1:153" s="858" customFormat="1" ht="14" customHeight="1">
      <c r="A2133" s="842">
        <v>99567</v>
      </c>
      <c r="B2133" s="844" t="s">
        <v>53064</v>
      </c>
      <c r="C2133" s="860">
        <v>148.68</v>
      </c>
      <c r="D2133" s="781"/>
      <c r="E2133" s="859"/>
      <c r="F2133" s="859"/>
      <c r="G2133" s="859"/>
      <c r="H2133" s="855"/>
      <c r="I2133" s="855"/>
      <c r="J2133" s="855"/>
      <c r="K2133" s="855"/>
      <c r="L2133" s="855"/>
      <c r="M2133" s="855"/>
      <c r="N2133" s="855"/>
      <c r="O2133" s="855"/>
      <c r="P2133" s="855"/>
      <c r="Q2133" s="855"/>
      <c r="R2133" s="855"/>
      <c r="S2133" s="855"/>
      <c r="T2133" s="855"/>
      <c r="U2133" s="855"/>
      <c r="V2133" s="855"/>
      <c r="W2133" s="855"/>
      <c r="X2133" s="855"/>
      <c r="Y2133" s="855"/>
      <c r="Z2133" s="855"/>
      <c r="AA2133" s="855"/>
      <c r="AB2133" s="855"/>
      <c r="AC2133" s="855"/>
      <c r="AD2133" s="855"/>
      <c r="AE2133" s="855"/>
      <c r="AF2133" s="855"/>
      <c r="AG2133" s="855"/>
      <c r="AH2133" s="855"/>
      <c r="AI2133" s="855"/>
      <c r="AJ2133" s="855"/>
      <c r="AK2133" s="855"/>
      <c r="AL2133" s="855"/>
      <c r="AM2133" s="855"/>
      <c r="AN2133" s="855"/>
      <c r="AO2133" s="855"/>
      <c r="AP2133" s="855"/>
      <c r="AQ2133" s="855"/>
      <c r="AR2133" s="855"/>
      <c r="AS2133" s="855"/>
      <c r="AT2133" s="855"/>
      <c r="AU2133" s="855"/>
      <c r="AV2133" s="855"/>
      <c r="AW2133" s="855"/>
      <c r="AX2133" s="855"/>
      <c r="AY2133" s="855"/>
      <c r="AZ2133" s="855"/>
      <c r="BA2133" s="855"/>
      <c r="BB2133" s="855"/>
      <c r="BC2133" s="855"/>
      <c r="BD2133" s="855"/>
      <c r="BE2133" s="855"/>
      <c r="BF2133" s="855"/>
      <c r="BG2133" s="855"/>
      <c r="BH2133" s="855"/>
      <c r="BI2133" s="855"/>
      <c r="BJ2133" s="855"/>
      <c r="BK2133" s="855"/>
      <c r="BL2133" s="855"/>
      <c r="BM2133" s="855"/>
      <c r="BN2133" s="855"/>
      <c r="BO2133" s="855"/>
      <c r="BP2133" s="855"/>
      <c r="BQ2133" s="855"/>
      <c r="BR2133" s="855"/>
      <c r="BS2133" s="855"/>
      <c r="BT2133" s="855"/>
      <c r="BU2133" s="855"/>
      <c r="BV2133" s="855"/>
      <c r="BW2133" s="855"/>
      <c r="BX2133" s="855"/>
      <c r="BY2133" s="855"/>
      <c r="BZ2133" s="855"/>
      <c r="CA2133" s="855"/>
      <c r="CB2133" s="855"/>
      <c r="CC2133" s="855"/>
      <c r="CD2133" s="855"/>
      <c r="CE2133" s="855"/>
      <c r="CF2133" s="855"/>
      <c r="CG2133" s="855"/>
      <c r="CH2133" s="855"/>
      <c r="CI2133" s="855"/>
      <c r="CJ2133" s="855"/>
      <c r="CK2133" s="855"/>
      <c r="CL2133" s="855"/>
      <c r="CM2133" s="855"/>
      <c r="CN2133" s="855"/>
      <c r="CO2133" s="855"/>
      <c r="CP2133" s="855"/>
      <c r="CQ2133" s="855"/>
      <c r="CR2133" s="855"/>
      <c r="CS2133" s="855"/>
      <c r="CT2133" s="855"/>
      <c r="CU2133" s="855"/>
      <c r="CV2133" s="855"/>
      <c r="CW2133" s="855"/>
      <c r="CX2133" s="855"/>
      <c r="CY2133" s="855"/>
      <c r="CZ2133" s="855"/>
      <c r="DA2133" s="855"/>
      <c r="DB2133" s="855"/>
      <c r="DC2133" s="855"/>
      <c r="DD2133" s="855"/>
      <c r="DE2133" s="855"/>
      <c r="DF2133" s="855"/>
      <c r="DG2133" s="855"/>
      <c r="DH2133" s="855"/>
      <c r="DI2133" s="855"/>
      <c r="DJ2133" s="855"/>
      <c r="DK2133" s="855"/>
      <c r="DL2133" s="855"/>
      <c r="DM2133" s="855"/>
      <c r="DN2133" s="855"/>
      <c r="DO2133" s="855"/>
      <c r="DP2133" s="855"/>
      <c r="DQ2133" s="855"/>
      <c r="DR2133" s="855"/>
      <c r="DS2133" s="855"/>
      <c r="DT2133" s="855"/>
      <c r="DU2133" s="855"/>
      <c r="DV2133" s="855"/>
      <c r="DW2133" s="855"/>
      <c r="DX2133" s="855"/>
      <c r="DY2133" s="855"/>
      <c r="DZ2133" s="855"/>
      <c r="EA2133" s="855"/>
      <c r="EB2133" s="855"/>
      <c r="EC2133" s="855"/>
      <c r="ED2133" s="855"/>
      <c r="EE2133" s="855"/>
      <c r="EF2133" s="855"/>
      <c r="EG2133" s="855"/>
      <c r="EH2133" s="855"/>
      <c r="EI2133" s="855"/>
      <c r="EJ2133" s="855"/>
      <c r="EK2133" s="855"/>
      <c r="EL2133" s="855"/>
      <c r="EM2133" s="855"/>
      <c r="EN2133" s="855"/>
      <c r="EO2133" s="855"/>
      <c r="EP2133" s="855"/>
      <c r="EQ2133" s="855"/>
      <c r="ER2133" s="855"/>
      <c r="ES2133" s="855"/>
      <c r="ET2133" s="855"/>
      <c r="EU2133" s="855"/>
    </row>
    <row r="2134" spans="1:153" s="858" customFormat="1" ht="14" customHeight="1">
      <c r="A2134" s="842">
        <v>99568</v>
      </c>
      <c r="B2134" s="844" t="s">
        <v>53063</v>
      </c>
      <c r="C2134" s="860">
        <v>217</v>
      </c>
      <c r="D2134" s="859"/>
      <c r="E2134" s="859"/>
      <c r="F2134" s="781"/>
      <c r="G2134" s="859"/>
      <c r="H2134" s="859"/>
      <c r="I2134" s="859"/>
      <c r="J2134" s="855"/>
      <c r="K2134" s="855"/>
      <c r="L2134" s="855"/>
      <c r="M2134" s="855"/>
      <c r="N2134" s="855"/>
      <c r="O2134" s="855"/>
      <c r="P2134" s="855"/>
      <c r="Q2134" s="855"/>
      <c r="R2134" s="855"/>
      <c r="S2134" s="855"/>
      <c r="T2134" s="855"/>
      <c r="U2134" s="855"/>
      <c r="V2134" s="855"/>
      <c r="W2134" s="855"/>
      <c r="X2134" s="855"/>
      <c r="Y2134" s="855"/>
      <c r="Z2134" s="855"/>
      <c r="AA2134" s="855"/>
      <c r="AB2134" s="855"/>
      <c r="AC2134" s="855"/>
      <c r="AD2134" s="855"/>
      <c r="AE2134" s="855"/>
      <c r="AF2134" s="855"/>
      <c r="AG2134" s="855"/>
      <c r="AH2134" s="855"/>
      <c r="AI2134" s="855"/>
      <c r="AJ2134" s="855"/>
      <c r="AK2134" s="855"/>
      <c r="AL2134" s="855"/>
      <c r="AM2134" s="855"/>
      <c r="AN2134" s="855"/>
      <c r="AO2134" s="855"/>
      <c r="AP2134" s="855"/>
      <c r="AQ2134" s="855"/>
      <c r="AR2134" s="855"/>
      <c r="AS2134" s="855"/>
      <c r="AT2134" s="855"/>
      <c r="AU2134" s="855"/>
      <c r="AV2134" s="855"/>
      <c r="AW2134" s="855"/>
      <c r="AX2134" s="855"/>
      <c r="AY2134" s="855"/>
      <c r="AZ2134" s="855"/>
      <c r="BA2134" s="855"/>
      <c r="BB2134" s="855"/>
      <c r="BC2134" s="855"/>
      <c r="BD2134" s="855"/>
      <c r="BE2134" s="855"/>
      <c r="BF2134" s="855"/>
      <c r="BG2134" s="855"/>
      <c r="BH2134" s="855"/>
      <c r="BI2134" s="855"/>
      <c r="BJ2134" s="855"/>
      <c r="BK2134" s="855"/>
      <c r="BL2134" s="855"/>
      <c r="BM2134" s="855"/>
      <c r="BN2134" s="855"/>
      <c r="BO2134" s="855"/>
      <c r="BP2134" s="855"/>
      <c r="BQ2134" s="855"/>
      <c r="BR2134" s="855"/>
      <c r="BS2134" s="855"/>
      <c r="BT2134" s="855"/>
      <c r="BU2134" s="855"/>
      <c r="BV2134" s="855"/>
      <c r="BW2134" s="855"/>
      <c r="BX2134" s="855"/>
      <c r="BY2134" s="855"/>
      <c r="BZ2134" s="855"/>
      <c r="CA2134" s="855"/>
      <c r="CB2134" s="855"/>
      <c r="CC2134" s="855"/>
      <c r="CD2134" s="855"/>
      <c r="CE2134" s="855"/>
      <c r="CF2134" s="855"/>
      <c r="CG2134" s="855"/>
      <c r="CH2134" s="855"/>
      <c r="CI2134" s="855"/>
      <c r="CJ2134" s="855"/>
      <c r="CK2134" s="855"/>
      <c r="CL2134" s="855"/>
      <c r="CM2134" s="855"/>
      <c r="CN2134" s="855"/>
      <c r="CO2134" s="855"/>
      <c r="CP2134" s="855"/>
      <c r="CQ2134" s="855"/>
      <c r="CR2134" s="855"/>
      <c r="CS2134" s="855"/>
      <c r="CT2134" s="855"/>
      <c r="CU2134" s="855"/>
      <c r="CV2134" s="855"/>
      <c r="CW2134" s="855"/>
      <c r="CX2134" s="855"/>
      <c r="CY2134" s="855"/>
      <c r="CZ2134" s="855"/>
      <c r="DA2134" s="855"/>
      <c r="DB2134" s="855"/>
      <c r="DC2134" s="855"/>
      <c r="DD2134" s="855"/>
      <c r="DE2134" s="855"/>
      <c r="DF2134" s="855"/>
      <c r="DG2134" s="855"/>
      <c r="DH2134" s="855"/>
      <c r="DI2134" s="855"/>
      <c r="DJ2134" s="855"/>
      <c r="DK2134" s="855"/>
      <c r="DL2134" s="855"/>
      <c r="DM2134" s="855"/>
      <c r="DN2134" s="855"/>
      <c r="DO2134" s="855"/>
      <c r="DP2134" s="855"/>
      <c r="DQ2134" s="855"/>
      <c r="DR2134" s="855"/>
      <c r="DS2134" s="855"/>
      <c r="DT2134" s="855"/>
      <c r="DU2134" s="855"/>
      <c r="DV2134" s="855"/>
      <c r="DW2134" s="855"/>
      <c r="DX2134" s="855"/>
      <c r="DY2134" s="855"/>
      <c r="DZ2134" s="855"/>
      <c r="EA2134" s="855"/>
      <c r="EB2134" s="855"/>
      <c r="EC2134" s="855"/>
      <c r="ED2134" s="855"/>
      <c r="EE2134" s="855"/>
      <c r="EF2134" s="855"/>
      <c r="EG2134" s="855"/>
      <c r="EH2134" s="855"/>
      <c r="EI2134" s="855"/>
      <c r="EJ2134" s="855"/>
      <c r="EK2134" s="855"/>
      <c r="EL2134" s="855"/>
      <c r="EM2134" s="855"/>
      <c r="EN2134" s="855"/>
      <c r="EO2134" s="855"/>
      <c r="EP2134" s="855"/>
      <c r="EQ2134" s="855"/>
      <c r="ER2134" s="855"/>
      <c r="ES2134" s="855"/>
      <c r="ET2134" s="855"/>
      <c r="EU2134" s="855"/>
      <c r="EV2134" s="855"/>
      <c r="EW2134" s="855"/>
    </row>
    <row r="2135" spans="1:153" s="858" customFormat="1" ht="14" customHeight="1">
      <c r="A2135" s="842">
        <v>99569</v>
      </c>
      <c r="B2135" s="844" t="s">
        <v>53062</v>
      </c>
      <c r="C2135" s="860">
        <v>261.07</v>
      </c>
      <c r="D2135" s="859"/>
      <c r="E2135" s="859"/>
      <c r="F2135" s="781"/>
      <c r="G2135" s="859"/>
      <c r="H2135" s="859"/>
      <c r="I2135" s="859"/>
      <c r="J2135" s="855"/>
      <c r="K2135" s="855"/>
      <c r="L2135" s="855"/>
      <c r="M2135" s="855"/>
      <c r="N2135" s="855"/>
      <c r="O2135" s="855"/>
      <c r="P2135" s="855"/>
      <c r="Q2135" s="855"/>
      <c r="R2135" s="855"/>
      <c r="S2135" s="855"/>
      <c r="T2135" s="855"/>
      <c r="U2135" s="855"/>
      <c r="V2135" s="855"/>
      <c r="W2135" s="855"/>
      <c r="X2135" s="855"/>
      <c r="Y2135" s="855"/>
      <c r="Z2135" s="855"/>
      <c r="AA2135" s="855"/>
      <c r="AB2135" s="855"/>
      <c r="AC2135" s="855"/>
      <c r="AD2135" s="855"/>
      <c r="AE2135" s="855"/>
      <c r="AF2135" s="855"/>
      <c r="AG2135" s="855"/>
      <c r="AH2135" s="855"/>
      <c r="AI2135" s="855"/>
      <c r="AJ2135" s="855"/>
      <c r="AK2135" s="855"/>
      <c r="AL2135" s="855"/>
      <c r="AM2135" s="855"/>
      <c r="AN2135" s="855"/>
      <c r="AO2135" s="855"/>
      <c r="AP2135" s="855"/>
      <c r="AQ2135" s="855"/>
      <c r="AR2135" s="855"/>
      <c r="AS2135" s="855"/>
      <c r="AT2135" s="855"/>
      <c r="AU2135" s="855"/>
      <c r="AV2135" s="855"/>
      <c r="AW2135" s="855"/>
      <c r="AX2135" s="855"/>
      <c r="AY2135" s="855"/>
      <c r="AZ2135" s="855"/>
      <c r="BA2135" s="855"/>
      <c r="BB2135" s="855"/>
      <c r="BC2135" s="855"/>
      <c r="BD2135" s="855"/>
      <c r="BE2135" s="855"/>
      <c r="BF2135" s="855"/>
      <c r="BG2135" s="855"/>
      <c r="BH2135" s="855"/>
      <c r="BI2135" s="855"/>
      <c r="BJ2135" s="855"/>
      <c r="BK2135" s="855"/>
      <c r="BL2135" s="855"/>
      <c r="BM2135" s="855"/>
      <c r="BN2135" s="855"/>
      <c r="BO2135" s="855"/>
      <c r="BP2135" s="855"/>
      <c r="BQ2135" s="855"/>
      <c r="BR2135" s="855"/>
      <c r="BS2135" s="855"/>
      <c r="BT2135" s="855"/>
      <c r="BU2135" s="855"/>
      <c r="BV2135" s="855"/>
      <c r="BW2135" s="855"/>
      <c r="BX2135" s="855"/>
      <c r="BY2135" s="855"/>
      <c r="BZ2135" s="855"/>
      <c r="CA2135" s="855"/>
      <c r="CB2135" s="855"/>
      <c r="CC2135" s="855"/>
      <c r="CD2135" s="855"/>
      <c r="CE2135" s="855"/>
      <c r="CF2135" s="855"/>
      <c r="CG2135" s="855"/>
      <c r="CH2135" s="855"/>
      <c r="CI2135" s="855"/>
      <c r="CJ2135" s="855"/>
      <c r="CK2135" s="855"/>
      <c r="CL2135" s="855"/>
      <c r="CM2135" s="855"/>
      <c r="CN2135" s="855"/>
      <c r="CO2135" s="855"/>
      <c r="CP2135" s="855"/>
      <c r="CQ2135" s="855"/>
      <c r="CR2135" s="855"/>
      <c r="CS2135" s="855"/>
      <c r="CT2135" s="855"/>
      <c r="CU2135" s="855"/>
      <c r="CV2135" s="855"/>
      <c r="CW2135" s="855"/>
      <c r="CX2135" s="855"/>
      <c r="CY2135" s="855"/>
      <c r="CZ2135" s="855"/>
      <c r="DA2135" s="855"/>
      <c r="DB2135" s="855"/>
      <c r="DC2135" s="855"/>
      <c r="DD2135" s="855"/>
      <c r="DE2135" s="855"/>
      <c r="DF2135" s="855"/>
      <c r="DG2135" s="855"/>
      <c r="DH2135" s="855"/>
      <c r="DI2135" s="855"/>
      <c r="DJ2135" s="855"/>
      <c r="DK2135" s="855"/>
      <c r="DL2135" s="855"/>
      <c r="DM2135" s="855"/>
      <c r="DN2135" s="855"/>
      <c r="DO2135" s="855"/>
      <c r="DP2135" s="855"/>
      <c r="DQ2135" s="855"/>
      <c r="DR2135" s="855"/>
      <c r="DS2135" s="855"/>
      <c r="DT2135" s="855"/>
      <c r="DU2135" s="855"/>
      <c r="DV2135" s="855"/>
      <c r="DW2135" s="855"/>
      <c r="DX2135" s="855"/>
      <c r="DY2135" s="855"/>
      <c r="DZ2135" s="855"/>
      <c r="EA2135" s="855"/>
      <c r="EB2135" s="855"/>
      <c r="EC2135" s="855"/>
      <c r="ED2135" s="855"/>
      <c r="EE2135" s="855"/>
      <c r="EF2135" s="855"/>
      <c r="EG2135" s="855"/>
      <c r="EH2135" s="855"/>
      <c r="EI2135" s="855"/>
      <c r="EJ2135" s="855"/>
      <c r="EK2135" s="855"/>
      <c r="EL2135" s="855"/>
      <c r="EM2135" s="855"/>
      <c r="EN2135" s="855"/>
      <c r="EO2135" s="855"/>
      <c r="EP2135" s="855"/>
      <c r="EQ2135" s="855"/>
      <c r="ER2135" s="855"/>
      <c r="ES2135" s="855"/>
      <c r="ET2135" s="855"/>
      <c r="EU2135" s="855"/>
      <c r="EV2135" s="855"/>
      <c r="EW2135" s="855"/>
    </row>
    <row r="2136" spans="1:153" s="858" customFormat="1" ht="14" customHeight="1">
      <c r="A2136" s="842">
        <v>99570</v>
      </c>
      <c r="B2136" s="844" t="s">
        <v>53061</v>
      </c>
      <c r="C2136" s="860">
        <v>217</v>
      </c>
      <c r="D2136" s="859"/>
      <c r="E2136" s="859"/>
      <c r="F2136" s="781"/>
      <c r="G2136" s="859"/>
      <c r="H2136" s="859"/>
      <c r="I2136" s="859"/>
      <c r="J2136" s="855"/>
      <c r="K2136" s="855"/>
      <c r="L2136" s="855"/>
      <c r="M2136" s="855"/>
      <c r="N2136" s="855"/>
      <c r="O2136" s="855"/>
      <c r="P2136" s="855"/>
      <c r="Q2136" s="855"/>
      <c r="R2136" s="855"/>
      <c r="S2136" s="855"/>
      <c r="T2136" s="855"/>
      <c r="U2136" s="855"/>
      <c r="V2136" s="855"/>
      <c r="W2136" s="855"/>
      <c r="X2136" s="855"/>
      <c r="Y2136" s="855"/>
      <c r="Z2136" s="855"/>
      <c r="AA2136" s="855"/>
      <c r="AB2136" s="855"/>
      <c r="AC2136" s="855"/>
      <c r="AD2136" s="855"/>
      <c r="AE2136" s="855"/>
      <c r="AF2136" s="855"/>
      <c r="AG2136" s="855"/>
      <c r="AH2136" s="855"/>
      <c r="AI2136" s="855"/>
      <c r="AJ2136" s="855"/>
      <c r="AK2136" s="855"/>
      <c r="AL2136" s="855"/>
      <c r="AM2136" s="855"/>
      <c r="AN2136" s="855"/>
      <c r="AO2136" s="855"/>
      <c r="AP2136" s="855"/>
      <c r="AQ2136" s="855"/>
      <c r="AR2136" s="855"/>
      <c r="AS2136" s="855"/>
      <c r="AT2136" s="855"/>
      <c r="AU2136" s="855"/>
      <c r="AV2136" s="855"/>
      <c r="AW2136" s="855"/>
      <c r="AX2136" s="855"/>
      <c r="AY2136" s="855"/>
      <c r="AZ2136" s="855"/>
      <c r="BA2136" s="855"/>
      <c r="BB2136" s="855"/>
      <c r="BC2136" s="855"/>
      <c r="BD2136" s="855"/>
      <c r="BE2136" s="855"/>
      <c r="BF2136" s="855"/>
      <c r="BG2136" s="855"/>
      <c r="BH2136" s="855"/>
      <c r="BI2136" s="855"/>
      <c r="BJ2136" s="855"/>
      <c r="BK2136" s="855"/>
      <c r="BL2136" s="855"/>
      <c r="BM2136" s="855"/>
      <c r="BN2136" s="855"/>
      <c r="BO2136" s="855"/>
      <c r="BP2136" s="855"/>
      <c r="BQ2136" s="855"/>
      <c r="BR2136" s="855"/>
      <c r="BS2136" s="855"/>
      <c r="BT2136" s="855"/>
      <c r="BU2136" s="855"/>
      <c r="BV2136" s="855"/>
      <c r="BW2136" s="855"/>
      <c r="BX2136" s="855"/>
      <c r="BY2136" s="855"/>
      <c r="BZ2136" s="855"/>
      <c r="CA2136" s="855"/>
      <c r="CB2136" s="855"/>
      <c r="CC2136" s="855"/>
      <c r="CD2136" s="855"/>
      <c r="CE2136" s="855"/>
      <c r="CF2136" s="855"/>
      <c r="CG2136" s="855"/>
      <c r="CH2136" s="855"/>
      <c r="CI2136" s="855"/>
      <c r="CJ2136" s="855"/>
      <c r="CK2136" s="855"/>
      <c r="CL2136" s="855"/>
      <c r="CM2136" s="855"/>
      <c r="CN2136" s="855"/>
      <c r="CO2136" s="855"/>
      <c r="CP2136" s="855"/>
      <c r="CQ2136" s="855"/>
      <c r="CR2136" s="855"/>
      <c r="CS2136" s="855"/>
      <c r="CT2136" s="855"/>
      <c r="CU2136" s="855"/>
      <c r="CV2136" s="855"/>
      <c r="CW2136" s="855"/>
      <c r="CX2136" s="855"/>
      <c r="CY2136" s="855"/>
      <c r="CZ2136" s="855"/>
      <c r="DA2136" s="855"/>
      <c r="DB2136" s="855"/>
      <c r="DC2136" s="855"/>
      <c r="DD2136" s="855"/>
      <c r="DE2136" s="855"/>
      <c r="DF2136" s="855"/>
      <c r="DG2136" s="855"/>
      <c r="DH2136" s="855"/>
      <c r="DI2136" s="855"/>
      <c r="DJ2136" s="855"/>
      <c r="DK2136" s="855"/>
      <c r="DL2136" s="855"/>
      <c r="DM2136" s="855"/>
      <c r="DN2136" s="855"/>
      <c r="DO2136" s="855"/>
      <c r="DP2136" s="855"/>
      <c r="DQ2136" s="855"/>
      <c r="DR2136" s="855"/>
      <c r="DS2136" s="855"/>
      <c r="DT2136" s="855"/>
      <c r="DU2136" s="855"/>
      <c r="DV2136" s="855"/>
      <c r="DW2136" s="855"/>
      <c r="DX2136" s="855"/>
      <c r="DY2136" s="855"/>
      <c r="DZ2136" s="855"/>
      <c r="EA2136" s="855"/>
      <c r="EB2136" s="855"/>
      <c r="EC2136" s="855"/>
      <c r="ED2136" s="855"/>
      <c r="EE2136" s="855"/>
      <c r="EF2136" s="855"/>
      <c r="EG2136" s="855"/>
      <c r="EH2136" s="855"/>
      <c r="EI2136" s="855"/>
      <c r="EJ2136" s="855"/>
      <c r="EK2136" s="855"/>
      <c r="EL2136" s="855"/>
      <c r="EM2136" s="855"/>
      <c r="EN2136" s="855"/>
      <c r="EO2136" s="855"/>
      <c r="EP2136" s="855"/>
      <c r="EQ2136" s="855"/>
      <c r="ER2136" s="855"/>
      <c r="ES2136" s="855"/>
      <c r="ET2136" s="855"/>
      <c r="EU2136" s="855"/>
      <c r="EV2136" s="855"/>
      <c r="EW2136" s="855"/>
    </row>
    <row r="2137" spans="1:153" s="858" customFormat="1" ht="14" customHeight="1">
      <c r="A2137" s="842">
        <v>99571</v>
      </c>
      <c r="B2137" s="844" t="s">
        <v>53060</v>
      </c>
      <c r="C2137" s="860">
        <v>261.07</v>
      </c>
      <c r="D2137" s="859"/>
      <c r="E2137" s="859"/>
      <c r="F2137" s="781"/>
      <c r="G2137" s="859"/>
      <c r="H2137" s="859"/>
      <c r="I2137" s="859"/>
      <c r="J2137" s="855"/>
      <c r="K2137" s="855"/>
      <c r="L2137" s="855"/>
      <c r="M2137" s="855"/>
      <c r="N2137" s="855"/>
      <c r="O2137" s="855"/>
      <c r="P2137" s="855"/>
      <c r="Q2137" s="855"/>
      <c r="R2137" s="855"/>
      <c r="S2137" s="855"/>
      <c r="T2137" s="855"/>
      <c r="U2137" s="855"/>
      <c r="V2137" s="855"/>
      <c r="W2137" s="855"/>
      <c r="X2137" s="855"/>
      <c r="Y2137" s="855"/>
      <c r="Z2137" s="855"/>
      <c r="AA2137" s="855"/>
      <c r="AB2137" s="855"/>
      <c r="AC2137" s="855"/>
      <c r="AD2137" s="855"/>
      <c r="AE2137" s="855"/>
      <c r="AF2137" s="855"/>
      <c r="AG2137" s="855"/>
      <c r="AH2137" s="855"/>
      <c r="AI2137" s="855"/>
      <c r="AJ2137" s="855"/>
      <c r="AK2137" s="855"/>
      <c r="AL2137" s="855"/>
      <c r="AM2137" s="855"/>
      <c r="AN2137" s="855"/>
      <c r="AO2137" s="855"/>
      <c r="AP2137" s="855"/>
      <c r="AQ2137" s="855"/>
      <c r="AR2137" s="855"/>
      <c r="AS2137" s="855"/>
      <c r="AT2137" s="855"/>
      <c r="AU2137" s="855"/>
      <c r="AV2137" s="855"/>
      <c r="AW2137" s="855"/>
      <c r="AX2137" s="855"/>
      <c r="AY2137" s="855"/>
      <c r="AZ2137" s="855"/>
      <c r="BA2137" s="855"/>
      <c r="BB2137" s="855"/>
      <c r="BC2137" s="855"/>
      <c r="BD2137" s="855"/>
      <c r="BE2137" s="855"/>
      <c r="BF2137" s="855"/>
      <c r="BG2137" s="855"/>
      <c r="BH2137" s="855"/>
      <c r="BI2137" s="855"/>
      <c r="BJ2137" s="855"/>
      <c r="BK2137" s="855"/>
      <c r="BL2137" s="855"/>
      <c r="BM2137" s="855"/>
      <c r="BN2137" s="855"/>
      <c r="BO2137" s="855"/>
      <c r="BP2137" s="855"/>
      <c r="BQ2137" s="855"/>
      <c r="BR2137" s="855"/>
      <c r="BS2137" s="855"/>
      <c r="BT2137" s="855"/>
      <c r="BU2137" s="855"/>
      <c r="BV2137" s="855"/>
      <c r="BW2137" s="855"/>
      <c r="BX2137" s="855"/>
      <c r="BY2137" s="855"/>
      <c r="BZ2137" s="855"/>
      <c r="CA2137" s="855"/>
      <c r="CB2137" s="855"/>
      <c r="CC2137" s="855"/>
      <c r="CD2137" s="855"/>
      <c r="CE2137" s="855"/>
      <c r="CF2137" s="855"/>
      <c r="CG2137" s="855"/>
      <c r="CH2137" s="855"/>
      <c r="CI2137" s="855"/>
      <c r="CJ2137" s="855"/>
      <c r="CK2137" s="855"/>
      <c r="CL2137" s="855"/>
      <c r="CM2137" s="855"/>
      <c r="CN2137" s="855"/>
      <c r="CO2137" s="855"/>
      <c r="CP2137" s="855"/>
      <c r="CQ2137" s="855"/>
      <c r="CR2137" s="855"/>
      <c r="CS2137" s="855"/>
      <c r="CT2137" s="855"/>
      <c r="CU2137" s="855"/>
      <c r="CV2137" s="855"/>
      <c r="CW2137" s="855"/>
      <c r="CX2137" s="855"/>
      <c r="CY2137" s="855"/>
      <c r="CZ2137" s="855"/>
      <c r="DA2137" s="855"/>
      <c r="DB2137" s="855"/>
      <c r="DC2137" s="855"/>
      <c r="DD2137" s="855"/>
      <c r="DE2137" s="855"/>
      <c r="DF2137" s="855"/>
      <c r="DG2137" s="855"/>
      <c r="DH2137" s="855"/>
      <c r="DI2137" s="855"/>
      <c r="DJ2137" s="855"/>
      <c r="DK2137" s="855"/>
      <c r="DL2137" s="855"/>
      <c r="DM2137" s="855"/>
      <c r="DN2137" s="855"/>
      <c r="DO2137" s="855"/>
      <c r="DP2137" s="855"/>
      <c r="DQ2137" s="855"/>
      <c r="DR2137" s="855"/>
      <c r="DS2137" s="855"/>
      <c r="DT2137" s="855"/>
      <c r="DU2137" s="855"/>
      <c r="DV2137" s="855"/>
      <c r="DW2137" s="855"/>
      <c r="DX2137" s="855"/>
      <c r="DY2137" s="855"/>
      <c r="DZ2137" s="855"/>
      <c r="EA2137" s="855"/>
      <c r="EB2137" s="855"/>
      <c r="EC2137" s="855"/>
      <c r="ED2137" s="855"/>
      <c r="EE2137" s="855"/>
      <c r="EF2137" s="855"/>
      <c r="EG2137" s="855"/>
      <c r="EH2137" s="855"/>
      <c r="EI2137" s="855"/>
      <c r="EJ2137" s="855"/>
      <c r="EK2137" s="855"/>
      <c r="EL2137" s="855"/>
      <c r="EM2137" s="855"/>
      <c r="EN2137" s="855"/>
      <c r="EO2137" s="855"/>
      <c r="EP2137" s="855"/>
      <c r="EQ2137" s="855"/>
      <c r="ER2137" s="855"/>
      <c r="ES2137" s="855"/>
      <c r="ET2137" s="855"/>
      <c r="EU2137" s="855"/>
      <c r="EV2137" s="855"/>
      <c r="EW2137" s="855"/>
    </row>
    <row r="2138" spans="1:153" s="858" customFormat="1" ht="14" customHeight="1">
      <c r="A2138" s="842">
        <v>99572</v>
      </c>
      <c r="B2138" s="844" t="s">
        <v>53059</v>
      </c>
      <c r="C2138" s="860">
        <v>74.59</v>
      </c>
      <c r="D2138" s="859"/>
      <c r="E2138" s="859"/>
      <c r="F2138" s="781"/>
      <c r="G2138" s="859"/>
      <c r="H2138" s="859"/>
      <c r="I2138" s="859"/>
      <c r="J2138" s="855"/>
      <c r="K2138" s="855"/>
      <c r="L2138" s="855"/>
      <c r="M2138" s="855"/>
      <c r="N2138" s="855"/>
      <c r="O2138" s="855"/>
      <c r="P2138" s="855"/>
      <c r="Q2138" s="855"/>
      <c r="R2138" s="855"/>
      <c r="S2138" s="855"/>
      <c r="T2138" s="855"/>
      <c r="U2138" s="855"/>
      <c r="V2138" s="855"/>
      <c r="W2138" s="855"/>
      <c r="X2138" s="855"/>
      <c r="Y2138" s="855"/>
      <c r="Z2138" s="855"/>
      <c r="AA2138" s="855"/>
      <c r="AB2138" s="855"/>
      <c r="AC2138" s="855"/>
      <c r="AD2138" s="855"/>
      <c r="AE2138" s="855"/>
      <c r="AF2138" s="855"/>
      <c r="AG2138" s="855"/>
      <c r="AH2138" s="855"/>
      <c r="AI2138" s="855"/>
      <c r="AJ2138" s="855"/>
      <c r="AK2138" s="855"/>
      <c r="AL2138" s="855"/>
      <c r="AM2138" s="855"/>
      <c r="AN2138" s="855"/>
      <c r="AO2138" s="855"/>
      <c r="AP2138" s="855"/>
      <c r="AQ2138" s="855"/>
      <c r="AR2138" s="855"/>
      <c r="AS2138" s="855"/>
      <c r="AT2138" s="855"/>
      <c r="AU2138" s="855"/>
      <c r="AV2138" s="855"/>
      <c r="AW2138" s="855"/>
      <c r="AX2138" s="855"/>
      <c r="AY2138" s="855"/>
      <c r="AZ2138" s="855"/>
      <c r="BA2138" s="855"/>
      <c r="BB2138" s="855"/>
      <c r="BC2138" s="855"/>
      <c r="BD2138" s="855"/>
      <c r="BE2138" s="855"/>
      <c r="BF2138" s="855"/>
      <c r="BG2138" s="855"/>
      <c r="BH2138" s="855"/>
      <c r="BI2138" s="855"/>
      <c r="BJ2138" s="855"/>
      <c r="BK2138" s="855"/>
      <c r="BL2138" s="855"/>
      <c r="BM2138" s="855"/>
      <c r="BN2138" s="855"/>
      <c r="BO2138" s="855"/>
      <c r="BP2138" s="855"/>
      <c r="BQ2138" s="855"/>
      <c r="BR2138" s="855"/>
      <c r="BS2138" s="855"/>
      <c r="BT2138" s="855"/>
      <c r="BU2138" s="855"/>
      <c r="BV2138" s="855"/>
      <c r="BW2138" s="855"/>
      <c r="BX2138" s="855"/>
      <c r="BY2138" s="855"/>
      <c r="BZ2138" s="855"/>
      <c r="CA2138" s="855"/>
      <c r="CB2138" s="855"/>
      <c r="CC2138" s="855"/>
      <c r="CD2138" s="855"/>
      <c r="CE2138" s="855"/>
      <c r="CF2138" s="855"/>
      <c r="CG2138" s="855"/>
      <c r="CH2138" s="855"/>
      <c r="CI2138" s="855"/>
      <c r="CJ2138" s="855"/>
      <c r="CK2138" s="855"/>
      <c r="CL2138" s="855"/>
      <c r="CM2138" s="855"/>
      <c r="CN2138" s="855"/>
      <c r="CO2138" s="855"/>
      <c r="CP2138" s="855"/>
      <c r="CQ2138" s="855"/>
      <c r="CR2138" s="855"/>
      <c r="CS2138" s="855"/>
      <c r="CT2138" s="855"/>
      <c r="CU2138" s="855"/>
      <c r="CV2138" s="855"/>
      <c r="CW2138" s="855"/>
      <c r="CX2138" s="855"/>
      <c r="CY2138" s="855"/>
      <c r="CZ2138" s="855"/>
      <c r="DA2138" s="855"/>
      <c r="DB2138" s="855"/>
      <c r="DC2138" s="855"/>
      <c r="DD2138" s="855"/>
      <c r="DE2138" s="855"/>
      <c r="DF2138" s="855"/>
      <c r="DG2138" s="855"/>
      <c r="DH2138" s="855"/>
      <c r="DI2138" s="855"/>
      <c r="DJ2138" s="855"/>
      <c r="DK2138" s="855"/>
      <c r="DL2138" s="855"/>
      <c r="DM2138" s="855"/>
      <c r="DN2138" s="855"/>
      <c r="DO2138" s="855"/>
      <c r="DP2138" s="855"/>
      <c r="DQ2138" s="855"/>
      <c r="DR2138" s="855"/>
      <c r="DS2138" s="855"/>
      <c r="DT2138" s="855"/>
      <c r="DU2138" s="855"/>
      <c r="DV2138" s="855"/>
      <c r="DW2138" s="855"/>
      <c r="DX2138" s="855"/>
      <c r="DY2138" s="855"/>
      <c r="DZ2138" s="855"/>
      <c r="EA2138" s="855"/>
      <c r="EB2138" s="855"/>
      <c r="EC2138" s="855"/>
      <c r="ED2138" s="855"/>
      <c r="EE2138" s="855"/>
      <c r="EF2138" s="855"/>
      <c r="EG2138" s="855"/>
      <c r="EH2138" s="855"/>
      <c r="EI2138" s="855"/>
      <c r="EJ2138" s="855"/>
      <c r="EK2138" s="855"/>
      <c r="EL2138" s="855"/>
      <c r="EM2138" s="855"/>
      <c r="EN2138" s="855"/>
      <c r="EO2138" s="855"/>
      <c r="EP2138" s="855"/>
      <c r="EQ2138" s="855"/>
      <c r="ER2138" s="855"/>
      <c r="ES2138" s="855"/>
      <c r="ET2138" s="855"/>
      <c r="EU2138" s="855"/>
      <c r="EV2138" s="855"/>
      <c r="EW2138" s="855"/>
    </row>
    <row r="2139" spans="1:153" s="858" customFormat="1" ht="14" customHeight="1">
      <c r="A2139" s="842">
        <v>99573</v>
      </c>
      <c r="B2139" s="844" t="s">
        <v>53058</v>
      </c>
      <c r="C2139" s="841">
        <v>66.91</v>
      </c>
      <c r="D2139" s="859"/>
      <c r="E2139" s="781"/>
      <c r="F2139" s="859"/>
      <c r="G2139" s="859"/>
      <c r="H2139" s="859"/>
      <c r="I2139" s="855"/>
      <c r="J2139" s="855"/>
      <c r="K2139" s="855"/>
      <c r="L2139" s="855"/>
      <c r="M2139" s="855"/>
      <c r="N2139" s="855"/>
      <c r="O2139" s="855"/>
      <c r="P2139" s="855"/>
      <c r="Q2139" s="855"/>
      <c r="R2139" s="855"/>
      <c r="S2139" s="855"/>
      <c r="T2139" s="855"/>
      <c r="U2139" s="855"/>
      <c r="V2139" s="855"/>
      <c r="W2139" s="855"/>
      <c r="X2139" s="855"/>
      <c r="Y2139" s="855"/>
      <c r="Z2139" s="855"/>
      <c r="AA2139" s="855"/>
      <c r="AB2139" s="855"/>
      <c r="AC2139" s="855"/>
      <c r="AD2139" s="855"/>
      <c r="AE2139" s="855"/>
      <c r="AF2139" s="855"/>
      <c r="AG2139" s="855"/>
      <c r="AH2139" s="855"/>
      <c r="AI2139" s="855"/>
      <c r="AJ2139" s="855"/>
      <c r="AK2139" s="855"/>
      <c r="AL2139" s="855"/>
      <c r="AM2139" s="855"/>
      <c r="AN2139" s="855"/>
      <c r="AO2139" s="855"/>
      <c r="AP2139" s="855"/>
      <c r="AQ2139" s="855"/>
      <c r="AR2139" s="855"/>
      <c r="AS2139" s="855"/>
      <c r="AT2139" s="855"/>
      <c r="AU2139" s="855"/>
      <c r="AV2139" s="855"/>
      <c r="AW2139" s="855"/>
      <c r="AX2139" s="855"/>
      <c r="AY2139" s="855"/>
      <c r="AZ2139" s="855"/>
      <c r="BA2139" s="855"/>
      <c r="BB2139" s="855"/>
      <c r="BC2139" s="855"/>
      <c r="BD2139" s="855"/>
      <c r="BE2139" s="855"/>
      <c r="BF2139" s="855"/>
      <c r="BG2139" s="855"/>
      <c r="BH2139" s="855"/>
      <c r="BI2139" s="855"/>
      <c r="BJ2139" s="855"/>
      <c r="BK2139" s="855"/>
      <c r="BL2139" s="855"/>
      <c r="BM2139" s="855"/>
      <c r="BN2139" s="855"/>
      <c r="BO2139" s="855"/>
      <c r="BP2139" s="855"/>
      <c r="BQ2139" s="855"/>
      <c r="BR2139" s="855"/>
      <c r="BS2139" s="855"/>
      <c r="BT2139" s="855"/>
      <c r="BU2139" s="855"/>
      <c r="BV2139" s="855"/>
      <c r="BW2139" s="855"/>
      <c r="BX2139" s="855"/>
      <c r="BY2139" s="855"/>
      <c r="BZ2139" s="855"/>
      <c r="CA2139" s="855"/>
      <c r="CB2139" s="855"/>
      <c r="CC2139" s="855"/>
      <c r="CD2139" s="855"/>
      <c r="CE2139" s="855"/>
      <c r="CF2139" s="855"/>
      <c r="CG2139" s="855"/>
      <c r="CH2139" s="855"/>
      <c r="CI2139" s="855"/>
      <c r="CJ2139" s="855"/>
      <c r="CK2139" s="855"/>
      <c r="CL2139" s="855"/>
      <c r="CM2139" s="855"/>
      <c r="CN2139" s="855"/>
      <c r="CO2139" s="855"/>
      <c r="CP2139" s="855"/>
      <c r="CQ2139" s="855"/>
      <c r="CR2139" s="855"/>
      <c r="CS2139" s="855"/>
      <c r="CT2139" s="855"/>
      <c r="CU2139" s="855"/>
      <c r="CV2139" s="855"/>
      <c r="CW2139" s="855"/>
      <c r="CX2139" s="855"/>
      <c r="CY2139" s="855"/>
      <c r="CZ2139" s="855"/>
      <c r="DA2139" s="855"/>
      <c r="DB2139" s="855"/>
      <c r="DC2139" s="855"/>
      <c r="DD2139" s="855"/>
      <c r="DE2139" s="855"/>
      <c r="DF2139" s="855"/>
      <c r="DG2139" s="855"/>
      <c r="DH2139" s="855"/>
      <c r="DI2139" s="855"/>
      <c r="DJ2139" s="855"/>
      <c r="DK2139" s="855"/>
      <c r="DL2139" s="855"/>
      <c r="DM2139" s="855"/>
      <c r="DN2139" s="855"/>
      <c r="DO2139" s="855"/>
      <c r="DP2139" s="855"/>
      <c r="DQ2139" s="855"/>
      <c r="DR2139" s="855"/>
      <c r="DS2139" s="855"/>
      <c r="DT2139" s="855"/>
      <c r="DU2139" s="855"/>
      <c r="DV2139" s="855"/>
      <c r="DW2139" s="855"/>
      <c r="DX2139" s="855"/>
      <c r="DY2139" s="855"/>
      <c r="DZ2139" s="855"/>
      <c r="EA2139" s="855"/>
      <c r="EB2139" s="855"/>
      <c r="EC2139" s="855"/>
      <c r="ED2139" s="855"/>
      <c r="EE2139" s="855"/>
      <c r="EF2139" s="855"/>
      <c r="EG2139" s="855"/>
      <c r="EH2139" s="855"/>
      <c r="EI2139" s="855"/>
      <c r="EJ2139" s="855"/>
      <c r="EK2139" s="855"/>
      <c r="EL2139" s="855"/>
      <c r="EM2139" s="855"/>
      <c r="EN2139" s="855"/>
      <c r="EO2139" s="855"/>
      <c r="EP2139" s="855"/>
      <c r="EQ2139" s="855"/>
      <c r="ER2139" s="855"/>
      <c r="ES2139" s="855"/>
      <c r="ET2139" s="855"/>
      <c r="EU2139" s="855"/>
      <c r="EV2139" s="855"/>
    </row>
    <row r="2140" spans="1:153" s="858" customFormat="1" ht="14" customHeight="1">
      <c r="A2140" s="842">
        <v>99575</v>
      </c>
      <c r="B2140" s="844" t="s">
        <v>53057</v>
      </c>
      <c r="C2140" s="841">
        <v>124.99</v>
      </c>
      <c r="D2140" s="859"/>
      <c r="E2140" s="781"/>
      <c r="F2140" s="859"/>
      <c r="G2140" s="859"/>
      <c r="H2140" s="859"/>
      <c r="I2140" s="855"/>
      <c r="J2140" s="855"/>
      <c r="K2140" s="855"/>
      <c r="L2140" s="855"/>
      <c r="M2140" s="855"/>
      <c r="N2140" s="855"/>
      <c r="O2140" s="855"/>
      <c r="P2140" s="855"/>
      <c r="Q2140" s="855"/>
      <c r="R2140" s="855"/>
      <c r="S2140" s="855"/>
      <c r="T2140" s="855"/>
      <c r="U2140" s="855"/>
      <c r="V2140" s="855"/>
      <c r="W2140" s="855"/>
      <c r="X2140" s="855"/>
      <c r="Y2140" s="855"/>
      <c r="Z2140" s="855"/>
      <c r="AA2140" s="855"/>
      <c r="AB2140" s="855"/>
      <c r="AC2140" s="855"/>
      <c r="AD2140" s="855"/>
      <c r="AE2140" s="855"/>
      <c r="AF2140" s="855"/>
      <c r="AG2140" s="855"/>
      <c r="AH2140" s="855"/>
      <c r="AI2140" s="855"/>
      <c r="AJ2140" s="855"/>
      <c r="AK2140" s="855"/>
      <c r="AL2140" s="855"/>
      <c r="AM2140" s="855"/>
      <c r="AN2140" s="855"/>
      <c r="AO2140" s="855"/>
      <c r="AP2140" s="855"/>
      <c r="AQ2140" s="855"/>
      <c r="AR2140" s="855"/>
      <c r="AS2140" s="855"/>
      <c r="AT2140" s="855"/>
      <c r="AU2140" s="855"/>
      <c r="AV2140" s="855"/>
      <c r="AW2140" s="855"/>
      <c r="AX2140" s="855"/>
      <c r="AY2140" s="855"/>
      <c r="AZ2140" s="855"/>
      <c r="BA2140" s="855"/>
      <c r="BB2140" s="855"/>
      <c r="BC2140" s="855"/>
      <c r="BD2140" s="855"/>
      <c r="BE2140" s="855"/>
      <c r="BF2140" s="855"/>
      <c r="BG2140" s="855"/>
      <c r="BH2140" s="855"/>
      <c r="BI2140" s="855"/>
      <c r="BJ2140" s="855"/>
      <c r="BK2140" s="855"/>
      <c r="BL2140" s="855"/>
      <c r="BM2140" s="855"/>
      <c r="BN2140" s="855"/>
      <c r="BO2140" s="855"/>
      <c r="BP2140" s="855"/>
      <c r="BQ2140" s="855"/>
      <c r="BR2140" s="855"/>
      <c r="BS2140" s="855"/>
      <c r="BT2140" s="855"/>
      <c r="BU2140" s="855"/>
      <c r="BV2140" s="855"/>
      <c r="BW2140" s="855"/>
      <c r="BX2140" s="855"/>
      <c r="BY2140" s="855"/>
      <c r="BZ2140" s="855"/>
      <c r="CA2140" s="855"/>
      <c r="CB2140" s="855"/>
      <c r="CC2140" s="855"/>
      <c r="CD2140" s="855"/>
      <c r="CE2140" s="855"/>
      <c r="CF2140" s="855"/>
      <c r="CG2140" s="855"/>
      <c r="CH2140" s="855"/>
      <c r="CI2140" s="855"/>
      <c r="CJ2140" s="855"/>
      <c r="CK2140" s="855"/>
      <c r="CL2140" s="855"/>
      <c r="CM2140" s="855"/>
      <c r="CN2140" s="855"/>
      <c r="CO2140" s="855"/>
      <c r="CP2140" s="855"/>
      <c r="CQ2140" s="855"/>
      <c r="CR2140" s="855"/>
      <c r="CS2140" s="855"/>
      <c r="CT2140" s="855"/>
      <c r="CU2140" s="855"/>
      <c r="CV2140" s="855"/>
      <c r="CW2140" s="855"/>
      <c r="CX2140" s="855"/>
      <c r="CY2140" s="855"/>
      <c r="CZ2140" s="855"/>
      <c r="DA2140" s="855"/>
      <c r="DB2140" s="855"/>
      <c r="DC2140" s="855"/>
      <c r="DD2140" s="855"/>
      <c r="DE2140" s="855"/>
      <c r="DF2140" s="855"/>
      <c r="DG2140" s="855"/>
      <c r="DH2140" s="855"/>
      <c r="DI2140" s="855"/>
      <c r="DJ2140" s="855"/>
      <c r="DK2140" s="855"/>
      <c r="DL2140" s="855"/>
      <c r="DM2140" s="855"/>
      <c r="DN2140" s="855"/>
      <c r="DO2140" s="855"/>
      <c r="DP2140" s="855"/>
      <c r="DQ2140" s="855"/>
      <c r="DR2140" s="855"/>
      <c r="DS2140" s="855"/>
      <c r="DT2140" s="855"/>
      <c r="DU2140" s="855"/>
      <c r="DV2140" s="855"/>
      <c r="DW2140" s="855"/>
      <c r="DX2140" s="855"/>
      <c r="DY2140" s="855"/>
      <c r="DZ2140" s="855"/>
      <c r="EA2140" s="855"/>
      <c r="EB2140" s="855"/>
      <c r="EC2140" s="855"/>
      <c r="ED2140" s="855"/>
      <c r="EE2140" s="855"/>
      <c r="EF2140" s="855"/>
      <c r="EG2140" s="855"/>
      <c r="EH2140" s="855"/>
      <c r="EI2140" s="855"/>
      <c r="EJ2140" s="855"/>
      <c r="EK2140" s="855"/>
      <c r="EL2140" s="855"/>
      <c r="EM2140" s="855"/>
      <c r="EN2140" s="855"/>
      <c r="EO2140" s="855"/>
      <c r="EP2140" s="855"/>
      <c r="EQ2140" s="855"/>
      <c r="ER2140" s="855"/>
      <c r="ES2140" s="855"/>
      <c r="ET2140" s="855"/>
      <c r="EU2140" s="855"/>
      <c r="EV2140" s="855"/>
    </row>
    <row r="2141" spans="1:153" s="858" customFormat="1" ht="14" customHeight="1">
      <c r="A2141" s="842">
        <v>99577</v>
      </c>
      <c r="B2141" s="844" t="s">
        <v>53056</v>
      </c>
      <c r="C2141" s="841">
        <v>180.94</v>
      </c>
      <c r="D2141" s="859"/>
      <c r="E2141" s="781"/>
      <c r="F2141" s="859"/>
      <c r="G2141" s="859"/>
      <c r="H2141" s="859"/>
      <c r="I2141" s="855"/>
      <c r="J2141" s="855"/>
      <c r="K2141" s="855"/>
      <c r="L2141" s="855"/>
      <c r="M2141" s="855"/>
      <c r="N2141" s="855"/>
      <c r="O2141" s="855"/>
      <c r="P2141" s="855"/>
      <c r="Q2141" s="855"/>
      <c r="R2141" s="855"/>
      <c r="S2141" s="855"/>
      <c r="T2141" s="855"/>
      <c r="U2141" s="855"/>
      <c r="V2141" s="855"/>
      <c r="W2141" s="855"/>
      <c r="X2141" s="855"/>
      <c r="Y2141" s="855"/>
      <c r="Z2141" s="855"/>
      <c r="AA2141" s="855"/>
      <c r="AB2141" s="855"/>
      <c r="AC2141" s="855"/>
      <c r="AD2141" s="855"/>
      <c r="AE2141" s="855"/>
      <c r="AF2141" s="855"/>
      <c r="AG2141" s="855"/>
      <c r="AH2141" s="855"/>
      <c r="AI2141" s="855"/>
      <c r="AJ2141" s="855"/>
      <c r="AK2141" s="855"/>
      <c r="AL2141" s="855"/>
      <c r="AM2141" s="855"/>
      <c r="AN2141" s="855"/>
      <c r="AO2141" s="855"/>
      <c r="AP2141" s="855"/>
      <c r="AQ2141" s="855"/>
      <c r="AR2141" s="855"/>
      <c r="AS2141" s="855"/>
      <c r="AT2141" s="855"/>
      <c r="AU2141" s="855"/>
      <c r="AV2141" s="855"/>
      <c r="AW2141" s="855"/>
      <c r="AX2141" s="855"/>
      <c r="AY2141" s="855"/>
      <c r="AZ2141" s="855"/>
      <c r="BA2141" s="855"/>
      <c r="BB2141" s="855"/>
      <c r="BC2141" s="855"/>
      <c r="BD2141" s="855"/>
      <c r="BE2141" s="855"/>
      <c r="BF2141" s="855"/>
      <c r="BG2141" s="855"/>
      <c r="BH2141" s="855"/>
      <c r="BI2141" s="855"/>
      <c r="BJ2141" s="855"/>
      <c r="BK2141" s="855"/>
      <c r="BL2141" s="855"/>
      <c r="BM2141" s="855"/>
      <c r="BN2141" s="855"/>
      <c r="BO2141" s="855"/>
      <c r="BP2141" s="855"/>
      <c r="BQ2141" s="855"/>
      <c r="BR2141" s="855"/>
      <c r="BS2141" s="855"/>
      <c r="BT2141" s="855"/>
      <c r="BU2141" s="855"/>
      <c r="BV2141" s="855"/>
      <c r="BW2141" s="855"/>
      <c r="BX2141" s="855"/>
      <c r="BY2141" s="855"/>
      <c r="BZ2141" s="855"/>
      <c r="CA2141" s="855"/>
      <c r="CB2141" s="855"/>
      <c r="CC2141" s="855"/>
      <c r="CD2141" s="855"/>
      <c r="CE2141" s="855"/>
      <c r="CF2141" s="855"/>
      <c r="CG2141" s="855"/>
      <c r="CH2141" s="855"/>
      <c r="CI2141" s="855"/>
      <c r="CJ2141" s="855"/>
      <c r="CK2141" s="855"/>
      <c r="CL2141" s="855"/>
      <c r="CM2141" s="855"/>
      <c r="CN2141" s="855"/>
      <c r="CO2141" s="855"/>
      <c r="CP2141" s="855"/>
      <c r="CQ2141" s="855"/>
      <c r="CR2141" s="855"/>
      <c r="CS2141" s="855"/>
      <c r="CT2141" s="855"/>
      <c r="CU2141" s="855"/>
      <c r="CV2141" s="855"/>
      <c r="CW2141" s="855"/>
      <c r="CX2141" s="855"/>
      <c r="CY2141" s="855"/>
      <c r="CZ2141" s="855"/>
      <c r="DA2141" s="855"/>
      <c r="DB2141" s="855"/>
      <c r="DC2141" s="855"/>
      <c r="DD2141" s="855"/>
      <c r="DE2141" s="855"/>
      <c r="DF2141" s="855"/>
      <c r="DG2141" s="855"/>
      <c r="DH2141" s="855"/>
      <c r="DI2141" s="855"/>
      <c r="DJ2141" s="855"/>
      <c r="DK2141" s="855"/>
      <c r="DL2141" s="855"/>
      <c r="DM2141" s="855"/>
      <c r="DN2141" s="855"/>
      <c r="DO2141" s="855"/>
      <c r="DP2141" s="855"/>
      <c r="DQ2141" s="855"/>
      <c r="DR2141" s="855"/>
      <c r="DS2141" s="855"/>
      <c r="DT2141" s="855"/>
      <c r="DU2141" s="855"/>
      <c r="DV2141" s="855"/>
      <c r="DW2141" s="855"/>
      <c r="DX2141" s="855"/>
      <c r="DY2141" s="855"/>
      <c r="DZ2141" s="855"/>
      <c r="EA2141" s="855"/>
      <c r="EB2141" s="855"/>
      <c r="EC2141" s="855"/>
      <c r="ED2141" s="855"/>
      <c r="EE2141" s="855"/>
      <c r="EF2141" s="855"/>
      <c r="EG2141" s="855"/>
      <c r="EH2141" s="855"/>
      <c r="EI2141" s="855"/>
      <c r="EJ2141" s="855"/>
      <c r="EK2141" s="855"/>
      <c r="EL2141" s="855"/>
      <c r="EM2141" s="855"/>
      <c r="EN2141" s="855"/>
      <c r="EO2141" s="855"/>
      <c r="EP2141" s="855"/>
      <c r="EQ2141" s="855"/>
      <c r="ER2141" s="855"/>
      <c r="ES2141" s="855"/>
      <c r="ET2141" s="855"/>
      <c r="EU2141" s="855"/>
      <c r="EV2141" s="855"/>
    </row>
    <row r="2142" spans="1:153" s="858" customFormat="1" ht="14" customHeight="1">
      <c r="A2142" s="842">
        <v>99578</v>
      </c>
      <c r="B2142" s="844" t="s">
        <v>53055</v>
      </c>
      <c r="C2142" s="841">
        <v>96.77</v>
      </c>
      <c r="D2142" s="859"/>
      <c r="E2142" s="781"/>
      <c r="F2142" s="859"/>
      <c r="G2142" s="859"/>
      <c r="H2142" s="859"/>
      <c r="I2142" s="855"/>
      <c r="J2142" s="855"/>
      <c r="K2142" s="855"/>
      <c r="L2142" s="855"/>
      <c r="M2142" s="855"/>
      <c r="N2142" s="855"/>
      <c r="O2142" s="855"/>
      <c r="P2142" s="855"/>
      <c r="Q2142" s="855"/>
      <c r="R2142" s="855"/>
      <c r="S2142" s="855"/>
      <c r="T2142" s="855"/>
      <c r="U2142" s="855"/>
      <c r="V2142" s="855"/>
      <c r="W2142" s="855"/>
      <c r="X2142" s="855"/>
      <c r="Y2142" s="855"/>
      <c r="Z2142" s="855"/>
      <c r="AA2142" s="855"/>
      <c r="AB2142" s="855"/>
      <c r="AC2142" s="855"/>
      <c r="AD2142" s="855"/>
      <c r="AE2142" s="855"/>
      <c r="AF2142" s="855"/>
      <c r="AG2142" s="855"/>
      <c r="AH2142" s="855"/>
      <c r="AI2142" s="855"/>
      <c r="AJ2142" s="855"/>
      <c r="AK2142" s="855"/>
      <c r="AL2142" s="855"/>
      <c r="AM2142" s="855"/>
      <c r="AN2142" s="855"/>
      <c r="AO2142" s="855"/>
      <c r="AP2142" s="855"/>
      <c r="AQ2142" s="855"/>
      <c r="AR2142" s="855"/>
      <c r="AS2142" s="855"/>
      <c r="AT2142" s="855"/>
      <c r="AU2142" s="855"/>
      <c r="AV2142" s="855"/>
      <c r="AW2142" s="855"/>
      <c r="AX2142" s="855"/>
      <c r="AY2142" s="855"/>
      <c r="AZ2142" s="855"/>
      <c r="BA2142" s="855"/>
      <c r="BB2142" s="855"/>
      <c r="BC2142" s="855"/>
      <c r="BD2142" s="855"/>
      <c r="BE2142" s="855"/>
      <c r="BF2142" s="855"/>
      <c r="BG2142" s="855"/>
      <c r="BH2142" s="855"/>
      <c r="BI2142" s="855"/>
      <c r="BJ2142" s="855"/>
      <c r="BK2142" s="855"/>
      <c r="BL2142" s="855"/>
      <c r="BM2142" s="855"/>
      <c r="BN2142" s="855"/>
      <c r="BO2142" s="855"/>
      <c r="BP2142" s="855"/>
      <c r="BQ2142" s="855"/>
      <c r="BR2142" s="855"/>
      <c r="BS2142" s="855"/>
      <c r="BT2142" s="855"/>
      <c r="BU2142" s="855"/>
      <c r="BV2142" s="855"/>
      <c r="BW2142" s="855"/>
      <c r="BX2142" s="855"/>
      <c r="BY2142" s="855"/>
      <c r="BZ2142" s="855"/>
      <c r="CA2142" s="855"/>
      <c r="CB2142" s="855"/>
      <c r="CC2142" s="855"/>
      <c r="CD2142" s="855"/>
      <c r="CE2142" s="855"/>
      <c r="CF2142" s="855"/>
      <c r="CG2142" s="855"/>
      <c r="CH2142" s="855"/>
      <c r="CI2142" s="855"/>
      <c r="CJ2142" s="855"/>
      <c r="CK2142" s="855"/>
      <c r="CL2142" s="855"/>
      <c r="CM2142" s="855"/>
      <c r="CN2142" s="855"/>
      <c r="CO2142" s="855"/>
      <c r="CP2142" s="855"/>
      <c r="CQ2142" s="855"/>
      <c r="CR2142" s="855"/>
      <c r="CS2142" s="855"/>
      <c r="CT2142" s="855"/>
      <c r="CU2142" s="855"/>
      <c r="CV2142" s="855"/>
      <c r="CW2142" s="855"/>
      <c r="CX2142" s="855"/>
      <c r="CY2142" s="855"/>
      <c r="CZ2142" s="855"/>
      <c r="DA2142" s="855"/>
      <c r="DB2142" s="855"/>
      <c r="DC2142" s="855"/>
      <c r="DD2142" s="855"/>
      <c r="DE2142" s="855"/>
      <c r="DF2142" s="855"/>
      <c r="DG2142" s="855"/>
      <c r="DH2142" s="855"/>
      <c r="DI2142" s="855"/>
      <c r="DJ2142" s="855"/>
      <c r="DK2142" s="855"/>
      <c r="DL2142" s="855"/>
      <c r="DM2142" s="855"/>
      <c r="DN2142" s="855"/>
      <c r="DO2142" s="855"/>
      <c r="DP2142" s="855"/>
      <c r="DQ2142" s="855"/>
      <c r="DR2142" s="855"/>
      <c r="DS2142" s="855"/>
      <c r="DT2142" s="855"/>
      <c r="DU2142" s="855"/>
      <c r="DV2142" s="855"/>
      <c r="DW2142" s="855"/>
      <c r="DX2142" s="855"/>
      <c r="DY2142" s="855"/>
      <c r="DZ2142" s="855"/>
      <c r="EA2142" s="855"/>
      <c r="EB2142" s="855"/>
      <c r="EC2142" s="855"/>
      <c r="ED2142" s="855"/>
      <c r="EE2142" s="855"/>
      <c r="EF2142" s="855"/>
      <c r="EG2142" s="855"/>
      <c r="EH2142" s="855"/>
      <c r="EI2142" s="855"/>
      <c r="EJ2142" s="855"/>
      <c r="EK2142" s="855"/>
      <c r="EL2142" s="855"/>
      <c r="EM2142" s="855"/>
      <c r="EN2142" s="855"/>
      <c r="EO2142" s="855"/>
      <c r="EP2142" s="855"/>
      <c r="EQ2142" s="855"/>
      <c r="ER2142" s="855"/>
      <c r="ES2142" s="855"/>
      <c r="ET2142" s="855"/>
      <c r="EU2142" s="855"/>
      <c r="EV2142" s="855"/>
    </row>
    <row r="2143" spans="1:153" ht="16" customHeight="1">
      <c r="A2143" s="846" t="s">
        <v>3762</v>
      </c>
      <c r="B2143" s="844"/>
      <c r="C2143" s="841"/>
      <c r="D2143" s="845"/>
    </row>
    <row r="2144" spans="1:153" ht="14" customHeight="1">
      <c r="A2144" s="842">
        <v>14030</v>
      </c>
      <c r="B2144" s="857" t="s">
        <v>53054</v>
      </c>
      <c r="C2144" s="841">
        <v>29.14</v>
      </c>
      <c r="D2144" s="845"/>
    </row>
    <row r="2145" spans="1:4" ht="14" customHeight="1">
      <c r="A2145" s="842">
        <v>14055</v>
      </c>
      <c r="B2145" s="857" t="s">
        <v>53053</v>
      </c>
      <c r="C2145" s="841">
        <v>43.04</v>
      </c>
      <c r="D2145" s="845"/>
    </row>
    <row r="2146" spans="1:4" ht="14" customHeight="1">
      <c r="A2146" s="842">
        <v>14057</v>
      </c>
      <c r="B2146" s="857" t="s">
        <v>53052</v>
      </c>
      <c r="C2146" s="841">
        <v>40.43</v>
      </c>
      <c r="D2146" s="845"/>
    </row>
    <row r="2147" spans="1:4" ht="14" customHeight="1">
      <c r="A2147" s="842">
        <v>14059</v>
      </c>
      <c r="B2147" s="857" t="s">
        <v>53051</v>
      </c>
      <c r="C2147" s="841">
        <v>13.89</v>
      </c>
      <c r="D2147" s="845"/>
    </row>
    <row r="2148" spans="1:4" ht="14" customHeight="1">
      <c r="A2148" s="842">
        <v>14073</v>
      </c>
      <c r="B2148" s="857" t="s">
        <v>53050</v>
      </c>
      <c r="C2148" s="841">
        <v>35.840000000000003</v>
      </c>
      <c r="D2148" s="845"/>
    </row>
    <row r="2149" spans="1:4" ht="14" customHeight="1">
      <c r="A2149" s="842">
        <v>14112</v>
      </c>
      <c r="B2149" s="857" t="s">
        <v>53049</v>
      </c>
      <c r="C2149" s="841">
        <v>56.6</v>
      </c>
      <c r="D2149" s="845"/>
    </row>
    <row r="2150" spans="1:4" ht="14" customHeight="1">
      <c r="A2150" s="842">
        <v>14113</v>
      </c>
      <c r="B2150" s="857" t="s">
        <v>53048</v>
      </c>
      <c r="C2150" s="841">
        <v>52.85</v>
      </c>
      <c r="D2150" s="845"/>
    </row>
    <row r="2151" spans="1:4" ht="14" customHeight="1">
      <c r="A2151" s="842">
        <v>14114</v>
      </c>
      <c r="B2151" s="857" t="s">
        <v>53047</v>
      </c>
      <c r="C2151" s="841">
        <v>43.04</v>
      </c>
      <c r="D2151" s="845"/>
    </row>
    <row r="2152" spans="1:4" ht="14" customHeight="1">
      <c r="A2152" s="842">
        <v>14115</v>
      </c>
      <c r="B2152" s="857" t="s">
        <v>53046</v>
      </c>
      <c r="C2152" s="841">
        <v>52.64</v>
      </c>
      <c r="D2152" s="845"/>
    </row>
    <row r="2153" spans="1:4" ht="14" customHeight="1">
      <c r="A2153" s="842">
        <v>14135</v>
      </c>
      <c r="B2153" s="844" t="s">
        <v>53045</v>
      </c>
      <c r="C2153" s="841">
        <v>37.06</v>
      </c>
      <c r="D2153" s="845"/>
    </row>
    <row r="2154" spans="1:4" ht="14" customHeight="1">
      <c r="A2154" s="842">
        <v>14136</v>
      </c>
      <c r="B2154" s="857" t="s">
        <v>53044</v>
      </c>
      <c r="C2154" s="841">
        <v>47.17</v>
      </c>
      <c r="D2154" s="845"/>
    </row>
    <row r="2155" spans="1:4" ht="14" customHeight="1">
      <c r="A2155" s="842">
        <v>14137</v>
      </c>
      <c r="B2155" s="844" t="s">
        <v>53043</v>
      </c>
      <c r="C2155" s="841">
        <v>74.13</v>
      </c>
      <c r="D2155" s="845"/>
    </row>
    <row r="2156" spans="1:4" ht="14" customHeight="1">
      <c r="A2156" s="842">
        <v>14138</v>
      </c>
      <c r="B2156" s="844" t="s">
        <v>53042</v>
      </c>
      <c r="C2156" s="841">
        <v>6.74</v>
      </c>
      <c r="D2156" s="845"/>
    </row>
    <row r="2157" spans="1:4" ht="14" customHeight="1">
      <c r="A2157" s="842">
        <v>14139</v>
      </c>
      <c r="B2157" s="844" t="s">
        <v>53041</v>
      </c>
      <c r="C2157" s="841">
        <v>35.04</v>
      </c>
      <c r="D2157" s="845"/>
    </row>
    <row r="2158" spans="1:4" ht="14" customHeight="1">
      <c r="A2158" s="842">
        <v>14155</v>
      </c>
      <c r="B2158" s="844" t="s">
        <v>53040</v>
      </c>
      <c r="C2158" s="841">
        <v>37.06</v>
      </c>
      <c r="D2158" s="845"/>
    </row>
    <row r="2159" spans="1:4" s="844" customFormat="1" ht="14" customHeight="1">
      <c r="A2159" s="842">
        <v>14303</v>
      </c>
      <c r="B2159" s="844" t="s">
        <v>53039</v>
      </c>
      <c r="C2159" s="841">
        <v>12.59</v>
      </c>
      <c r="D2159" s="847"/>
    </row>
    <row r="2160" spans="1:4" s="844" customFormat="1" ht="14" customHeight="1">
      <c r="A2160" s="842">
        <v>14304</v>
      </c>
      <c r="B2160" s="844" t="s">
        <v>53038</v>
      </c>
      <c r="C2160" s="841">
        <v>25.17</v>
      </c>
      <c r="D2160" s="847"/>
    </row>
    <row r="2161" spans="1:8" s="844" customFormat="1" ht="14" customHeight="1">
      <c r="A2161" s="842">
        <v>14305</v>
      </c>
      <c r="B2161" s="844" t="s">
        <v>53037</v>
      </c>
      <c r="C2161" s="841">
        <v>31.46</v>
      </c>
      <c r="D2161" s="847"/>
    </row>
    <row r="2162" spans="1:8" ht="14" customHeight="1">
      <c r="A2162" s="842">
        <v>14902</v>
      </c>
      <c r="B2162" s="857" t="s">
        <v>53036</v>
      </c>
      <c r="C2162" s="841">
        <v>16.8</v>
      </c>
      <c r="D2162" s="845"/>
    </row>
    <row r="2163" spans="1:8" ht="14" customHeight="1">
      <c r="A2163" s="842">
        <v>20226</v>
      </c>
      <c r="B2163" s="842" t="s">
        <v>53035</v>
      </c>
      <c r="C2163" s="841">
        <v>29.08</v>
      </c>
      <c r="D2163" s="845"/>
    </row>
    <row r="2164" spans="1:8">
      <c r="A2164" s="842">
        <v>20237</v>
      </c>
      <c r="B2164" s="842" t="s">
        <v>53034</v>
      </c>
      <c r="C2164" s="841">
        <v>33.6</v>
      </c>
      <c r="D2164" s="781"/>
      <c r="E2164" s="781"/>
      <c r="F2164" s="839"/>
      <c r="G2164" s="839"/>
      <c r="H2164" s="839"/>
    </row>
    <row r="2165" spans="1:8">
      <c r="A2165" s="842">
        <v>20238</v>
      </c>
      <c r="B2165" s="842" t="s">
        <v>53033</v>
      </c>
      <c r="C2165" s="841">
        <v>134.4</v>
      </c>
      <c r="D2165" s="781"/>
      <c r="E2165" s="839"/>
      <c r="F2165" s="839"/>
      <c r="G2165" s="839"/>
    </row>
    <row r="2166" spans="1:8">
      <c r="A2166" s="842">
        <v>20239</v>
      </c>
      <c r="B2166" s="842" t="s">
        <v>53032</v>
      </c>
      <c r="C2166" s="841">
        <v>1680</v>
      </c>
      <c r="D2166" s="781"/>
      <c r="E2166" s="839"/>
      <c r="F2166" s="839"/>
      <c r="G2166" s="839"/>
    </row>
    <row r="2167" spans="1:8" ht="14">
      <c r="A2167" s="843">
        <v>20607</v>
      </c>
      <c r="B2167" s="842" t="s">
        <v>53031</v>
      </c>
      <c r="C2167" s="841">
        <v>20.82</v>
      </c>
      <c r="D2167" s="657"/>
    </row>
    <row r="2168" spans="1:8" ht="14" customHeight="1">
      <c r="A2168" s="842">
        <v>21400</v>
      </c>
      <c r="B2168" s="842" t="s">
        <v>53030</v>
      </c>
      <c r="C2168" s="841">
        <v>499.84</v>
      </c>
      <c r="D2168" s="845"/>
    </row>
    <row r="2169" spans="1:8" ht="14" customHeight="1">
      <c r="A2169" s="842">
        <v>21401</v>
      </c>
      <c r="B2169" s="842" t="s">
        <v>53029</v>
      </c>
      <c r="C2169" s="841">
        <v>480.03</v>
      </c>
      <c r="D2169" s="845"/>
    </row>
    <row r="2170" spans="1:8" ht="14" customHeight="1">
      <c r="A2170" s="842">
        <v>22047</v>
      </c>
      <c r="B2170" s="842" t="s">
        <v>53028</v>
      </c>
      <c r="C2170" s="841">
        <v>34.36</v>
      </c>
      <c r="D2170" s="845"/>
    </row>
    <row r="2171" spans="1:8" ht="14" customHeight="1">
      <c r="A2171" s="842">
        <v>22050</v>
      </c>
      <c r="B2171" s="842" t="s">
        <v>53027</v>
      </c>
      <c r="C2171" s="841">
        <v>19.440000000000001</v>
      </c>
      <c r="D2171" s="845"/>
    </row>
    <row r="2172" spans="1:8" ht="14" customHeight="1">
      <c r="A2172" s="842">
        <v>22051</v>
      </c>
      <c r="B2172" s="842" t="s">
        <v>53026</v>
      </c>
      <c r="C2172" s="841">
        <v>19.440000000000001</v>
      </c>
      <c r="D2172" s="845"/>
    </row>
    <row r="2173" spans="1:8" ht="14" customHeight="1">
      <c r="A2173" s="843">
        <v>22054</v>
      </c>
      <c r="B2173" s="842" t="s">
        <v>53025</v>
      </c>
      <c r="C2173" s="841">
        <v>29.14</v>
      </c>
      <c r="D2173" s="657"/>
    </row>
    <row r="2174" spans="1:8" ht="14" customHeight="1">
      <c r="A2174" s="842">
        <v>22056</v>
      </c>
      <c r="B2174" s="842" t="s">
        <v>53024</v>
      </c>
      <c r="C2174" s="841">
        <v>27.75</v>
      </c>
      <c r="D2174" s="845"/>
    </row>
    <row r="2175" spans="1:8" ht="14" customHeight="1">
      <c r="A2175" s="842">
        <v>22058</v>
      </c>
      <c r="B2175" s="842" t="s">
        <v>53023</v>
      </c>
      <c r="C2175" s="841">
        <v>13.47</v>
      </c>
      <c r="D2175" s="845"/>
    </row>
    <row r="2176" spans="1:8" ht="14" customHeight="1">
      <c r="A2176" s="842">
        <v>22060</v>
      </c>
      <c r="B2176" s="842" t="s">
        <v>53022</v>
      </c>
      <c r="C2176" s="841">
        <v>40.43</v>
      </c>
      <c r="D2176" s="845"/>
    </row>
    <row r="2177" spans="1:4" ht="14" customHeight="1">
      <c r="A2177" s="842">
        <v>22069</v>
      </c>
      <c r="B2177" s="844" t="s">
        <v>53021</v>
      </c>
      <c r="C2177" s="841">
        <v>10.77</v>
      </c>
      <c r="D2177" s="845"/>
    </row>
    <row r="2178" spans="1:4" ht="14" customHeight="1">
      <c r="A2178" s="842">
        <v>22070</v>
      </c>
      <c r="B2178" s="842" t="s">
        <v>53020</v>
      </c>
      <c r="C2178" s="841">
        <v>6.61</v>
      </c>
      <c r="D2178" s="845"/>
    </row>
    <row r="2179" spans="1:4" ht="14" customHeight="1">
      <c r="A2179" s="842">
        <v>22071</v>
      </c>
      <c r="B2179" s="842" t="s">
        <v>53019</v>
      </c>
      <c r="C2179" s="841">
        <v>15.86</v>
      </c>
      <c r="D2179" s="845"/>
    </row>
    <row r="2180" spans="1:4" ht="14" customHeight="1">
      <c r="A2180" s="842">
        <v>22074</v>
      </c>
      <c r="B2180" s="844" t="s">
        <v>53018</v>
      </c>
      <c r="C2180" s="841">
        <v>6.74</v>
      </c>
      <c r="D2180" s="845"/>
    </row>
    <row r="2181" spans="1:4" ht="14" customHeight="1">
      <c r="A2181" s="856">
        <v>22079</v>
      </c>
      <c r="B2181" s="855" t="s">
        <v>53017</v>
      </c>
      <c r="C2181" s="841">
        <v>3.32</v>
      </c>
      <c r="D2181" s="845"/>
    </row>
    <row r="2182" spans="1:4" ht="14" customHeight="1">
      <c r="A2182" s="842">
        <v>22080</v>
      </c>
      <c r="B2182" s="844" t="s">
        <v>53016</v>
      </c>
      <c r="C2182" s="841">
        <v>15.86</v>
      </c>
      <c r="D2182" s="845"/>
    </row>
    <row r="2183" spans="1:4" ht="14" customHeight="1">
      <c r="A2183" s="856">
        <v>22081</v>
      </c>
      <c r="B2183" s="855" t="s">
        <v>53015</v>
      </c>
      <c r="C2183" s="841">
        <v>3.96</v>
      </c>
      <c r="D2183" s="845"/>
    </row>
    <row r="2184" spans="1:4" ht="14" customHeight="1">
      <c r="A2184" s="842">
        <v>22082</v>
      </c>
      <c r="B2184" s="844" t="s">
        <v>53014</v>
      </c>
      <c r="C2184" s="841">
        <v>3.96</v>
      </c>
      <c r="D2184" s="845"/>
    </row>
    <row r="2185" spans="1:4" ht="14" customHeight="1">
      <c r="A2185" s="842">
        <v>22083</v>
      </c>
      <c r="B2185" s="844" t="s">
        <v>53013</v>
      </c>
      <c r="C2185" s="841">
        <v>60.66</v>
      </c>
      <c r="D2185" s="845"/>
    </row>
    <row r="2186" spans="1:4" ht="14" customHeight="1">
      <c r="A2186" s="842">
        <v>22084</v>
      </c>
      <c r="B2186" s="844" t="s">
        <v>53012</v>
      </c>
      <c r="C2186" s="841">
        <v>5.03</v>
      </c>
      <c r="D2186" s="845"/>
    </row>
    <row r="2187" spans="1:4" s="844" customFormat="1" ht="14" customHeight="1">
      <c r="A2187" s="842">
        <v>22085</v>
      </c>
      <c r="B2187" s="842" t="s">
        <v>53011</v>
      </c>
      <c r="C2187" s="841">
        <v>40.43</v>
      </c>
      <c r="D2187" s="847"/>
    </row>
    <row r="2188" spans="1:4" s="844" customFormat="1" ht="14" customHeight="1">
      <c r="A2188" s="842">
        <v>22089</v>
      </c>
      <c r="B2188" s="842" t="s">
        <v>53010</v>
      </c>
      <c r="C2188" s="841">
        <v>19.71</v>
      </c>
      <c r="D2188" s="847"/>
    </row>
    <row r="2189" spans="1:4" s="844" customFormat="1" ht="14" customHeight="1">
      <c r="A2189" s="842">
        <v>22090</v>
      </c>
      <c r="B2189" s="842" t="s">
        <v>53009</v>
      </c>
      <c r="C2189" s="841">
        <v>4.41</v>
      </c>
      <c r="D2189" s="847"/>
    </row>
    <row r="2190" spans="1:4" s="844" customFormat="1" ht="14" customHeight="1">
      <c r="A2190" s="842">
        <v>22091</v>
      </c>
      <c r="B2190" s="842" t="s">
        <v>53008</v>
      </c>
      <c r="C2190" s="841">
        <v>6.83</v>
      </c>
    </row>
    <row r="2191" spans="1:4" ht="14" customHeight="1">
      <c r="A2191" s="842">
        <v>22100</v>
      </c>
      <c r="B2191" s="844" t="s">
        <v>53007</v>
      </c>
      <c r="C2191" s="841">
        <v>33.04</v>
      </c>
      <c r="D2191" s="845"/>
    </row>
    <row r="2192" spans="1:4" s="844" customFormat="1" ht="14" customHeight="1">
      <c r="A2192" s="842">
        <v>22101</v>
      </c>
      <c r="B2192" s="854" t="s">
        <v>53006</v>
      </c>
      <c r="C2192" s="841">
        <v>26.43</v>
      </c>
      <c r="D2192" s="847"/>
    </row>
    <row r="2193" spans="1:4" s="844" customFormat="1" ht="14" customHeight="1">
      <c r="A2193" s="842">
        <v>22102</v>
      </c>
      <c r="B2193" s="854" t="s">
        <v>53005</v>
      </c>
      <c r="C2193" s="841">
        <v>52.85</v>
      </c>
      <c r="D2193" s="847"/>
    </row>
    <row r="2194" spans="1:4" s="844" customFormat="1" ht="14" customHeight="1">
      <c r="A2194" s="842">
        <v>22104</v>
      </c>
      <c r="B2194" s="854" t="s">
        <v>53004</v>
      </c>
      <c r="C2194" s="841">
        <v>52.85</v>
      </c>
      <c r="D2194" s="847"/>
    </row>
    <row r="2195" spans="1:4" s="844" customFormat="1" ht="14" customHeight="1">
      <c r="A2195" s="842">
        <v>22105</v>
      </c>
      <c r="B2195" s="854" t="s">
        <v>53003</v>
      </c>
      <c r="C2195" s="841">
        <v>201.82</v>
      </c>
      <c r="D2195" s="847"/>
    </row>
    <row r="2196" spans="1:4" s="844" customFormat="1" ht="14" customHeight="1">
      <c r="A2196" s="842">
        <v>22103</v>
      </c>
      <c r="B2196" s="854" t="s">
        <v>53002</v>
      </c>
      <c r="C2196" s="841">
        <v>284.39999999999998</v>
      </c>
      <c r="D2196" s="847"/>
    </row>
    <row r="2197" spans="1:4" s="844" customFormat="1" ht="14" customHeight="1">
      <c r="A2197" s="842">
        <v>22111</v>
      </c>
      <c r="B2197" s="854" t="s">
        <v>53001</v>
      </c>
      <c r="C2197" s="841">
        <v>47.6</v>
      </c>
      <c r="D2197" s="847"/>
    </row>
    <row r="2198" spans="1:4" s="844" customFormat="1" ht="14" customHeight="1">
      <c r="A2198" s="842">
        <v>22112</v>
      </c>
      <c r="B2198" s="854" t="s">
        <v>53000</v>
      </c>
      <c r="C2198" s="841">
        <v>95.2</v>
      </c>
      <c r="D2198" s="847"/>
    </row>
    <row r="2199" spans="1:4" s="844" customFormat="1" ht="14">
      <c r="A2199" s="842">
        <v>22120</v>
      </c>
      <c r="B2199" s="854" t="s">
        <v>52999</v>
      </c>
      <c r="C2199" s="841">
        <v>36.96</v>
      </c>
    </row>
    <row r="2200" spans="1:4" s="844" customFormat="1" ht="14">
      <c r="A2200" s="842">
        <v>22121</v>
      </c>
      <c r="B2200" s="854" t="s">
        <v>52998</v>
      </c>
      <c r="C2200" s="841">
        <v>15.12</v>
      </c>
    </row>
    <row r="2201" spans="1:4" s="844" customFormat="1" ht="14">
      <c r="A2201" s="842">
        <v>22131</v>
      </c>
      <c r="B2201" s="854" t="s">
        <v>52997</v>
      </c>
      <c r="C2201" s="841">
        <v>30.8</v>
      </c>
    </row>
    <row r="2202" spans="1:4" ht="14" customHeight="1">
      <c r="A2202" s="842">
        <v>22511</v>
      </c>
      <c r="B2202" s="842" t="s">
        <v>52996</v>
      </c>
      <c r="C2202" s="841">
        <v>11.1</v>
      </c>
      <c r="D2202" s="845"/>
    </row>
    <row r="2203" spans="1:4" ht="14" customHeight="1">
      <c r="A2203" s="842">
        <v>22513</v>
      </c>
      <c r="B2203" s="842" t="s">
        <v>52995</v>
      </c>
      <c r="C2203" s="841">
        <v>19.440000000000001</v>
      </c>
      <c r="D2203" s="845"/>
    </row>
    <row r="2204" spans="1:4" ht="14" customHeight="1">
      <c r="A2204" s="842">
        <v>22519</v>
      </c>
      <c r="B2204" s="842" t="s">
        <v>52994</v>
      </c>
      <c r="C2204" s="841">
        <v>11.1</v>
      </c>
      <c r="D2204" s="845"/>
    </row>
    <row r="2205" spans="1:4" ht="14" customHeight="1">
      <c r="A2205" s="842">
        <v>25090</v>
      </c>
      <c r="B2205" s="842" t="s">
        <v>52993</v>
      </c>
      <c r="C2205" s="841">
        <v>33.31</v>
      </c>
      <c r="D2205" s="845"/>
    </row>
    <row r="2206" spans="1:4" ht="14" customHeight="1">
      <c r="A2206" s="843">
        <v>25131</v>
      </c>
      <c r="B2206" s="842" t="s">
        <v>52992</v>
      </c>
      <c r="C2206" s="841">
        <v>17.37</v>
      </c>
      <c r="D2206" s="657"/>
    </row>
    <row r="2207" spans="1:4" ht="14" customHeight="1">
      <c r="A2207" s="843">
        <v>25170</v>
      </c>
      <c r="B2207" s="842" t="s">
        <v>52991</v>
      </c>
      <c r="C2207" s="841">
        <v>74.959999999999994</v>
      </c>
      <c r="D2207" s="657"/>
    </row>
    <row r="2208" spans="1:4" ht="14" customHeight="1">
      <c r="A2208" s="843">
        <v>33004</v>
      </c>
      <c r="B2208" s="842" t="s">
        <v>52990</v>
      </c>
      <c r="C2208" s="841">
        <v>28</v>
      </c>
      <c r="D2208" s="657"/>
    </row>
    <row r="2209" spans="1:4" ht="14" customHeight="1">
      <c r="A2209" s="842">
        <v>40163</v>
      </c>
      <c r="B2209" s="842" t="s">
        <v>52989</v>
      </c>
      <c r="C2209" s="841">
        <v>19.440000000000001</v>
      </c>
      <c r="D2209" s="845"/>
    </row>
    <row r="2210" spans="1:4" ht="14" customHeight="1">
      <c r="A2210" s="842">
        <v>44007</v>
      </c>
      <c r="B2210" s="842" t="s">
        <v>52988</v>
      </c>
      <c r="C2210" s="841">
        <v>59.71</v>
      </c>
      <c r="D2210" s="845"/>
    </row>
    <row r="2211" spans="1:4" ht="14" customHeight="1">
      <c r="A2211" s="842">
        <v>44050</v>
      </c>
      <c r="B2211" s="842" t="s">
        <v>52987</v>
      </c>
      <c r="C2211" s="841">
        <v>41.52</v>
      </c>
      <c r="D2211" s="845"/>
    </row>
    <row r="2212" spans="1:4" ht="14" customHeight="1">
      <c r="A2212" s="842">
        <v>44103</v>
      </c>
      <c r="B2212" s="842" t="s">
        <v>52986</v>
      </c>
      <c r="C2212" s="841">
        <v>52.85</v>
      </c>
      <c r="D2212" s="845"/>
    </row>
    <row r="2213" spans="1:4" ht="14" customHeight="1">
      <c r="A2213" s="842">
        <v>44132</v>
      </c>
      <c r="B2213" s="842" t="s">
        <v>52985</v>
      </c>
      <c r="C2213" s="841">
        <v>65.25</v>
      </c>
      <c r="D2213" s="845"/>
    </row>
    <row r="2214" spans="1:4" ht="14" customHeight="1">
      <c r="A2214" s="842">
        <v>44306</v>
      </c>
      <c r="B2214" s="842" t="s">
        <v>52984</v>
      </c>
      <c r="C2214" s="841">
        <v>46.26</v>
      </c>
      <c r="D2214" s="845"/>
    </row>
    <row r="2215" spans="1:4" ht="14" customHeight="1">
      <c r="A2215" s="842">
        <v>44350</v>
      </c>
      <c r="B2215" s="842" t="s">
        <v>52983</v>
      </c>
      <c r="C2215" s="841">
        <v>33.04</v>
      </c>
      <c r="D2215" s="845"/>
    </row>
    <row r="2216" spans="1:4" ht="14" customHeight="1">
      <c r="A2216" s="842">
        <v>44351</v>
      </c>
      <c r="B2216" s="842" t="s">
        <v>52982</v>
      </c>
      <c r="C2216" s="841">
        <v>59.47</v>
      </c>
      <c r="D2216" s="845"/>
    </row>
    <row r="2217" spans="1:4" ht="14" customHeight="1">
      <c r="A2217" s="842">
        <v>44353</v>
      </c>
      <c r="B2217" s="842" t="s">
        <v>52981</v>
      </c>
      <c r="C2217" s="841">
        <v>84</v>
      </c>
      <c r="D2217" s="845"/>
    </row>
    <row r="2218" spans="1:4" s="844" customFormat="1" ht="14" customHeight="1">
      <c r="A2218" s="842">
        <v>44366</v>
      </c>
      <c r="B2218" s="842" t="s">
        <v>52980</v>
      </c>
      <c r="C2218" s="841">
        <v>59.47</v>
      </c>
    </row>
    <row r="2219" spans="1:4" ht="14" customHeight="1">
      <c r="A2219" s="842">
        <v>44610</v>
      </c>
      <c r="B2219" s="842" t="s">
        <v>52979</v>
      </c>
      <c r="C2219" s="841">
        <v>74.959999999999994</v>
      </c>
      <c r="D2219" s="845"/>
    </row>
    <row r="2220" spans="1:4" ht="14" customHeight="1">
      <c r="A2220" s="843">
        <v>44461</v>
      </c>
      <c r="B2220" s="842" t="s">
        <v>52978</v>
      </c>
      <c r="C2220" s="841">
        <v>59.36</v>
      </c>
      <c r="D2220" s="657"/>
    </row>
    <row r="2221" spans="1:4" ht="14" customHeight="1">
      <c r="A2221" s="842">
        <v>44903</v>
      </c>
      <c r="B2221" s="842" t="s">
        <v>52977</v>
      </c>
      <c r="C2221" s="841">
        <v>19.440000000000001</v>
      </c>
      <c r="D2221" s="845"/>
    </row>
    <row r="2222" spans="1:4" ht="14" customHeight="1">
      <c r="A2222" s="842">
        <v>44908</v>
      </c>
      <c r="B2222" s="842" t="s">
        <v>52976</v>
      </c>
      <c r="C2222" s="841">
        <v>13.89</v>
      </c>
      <c r="D2222" s="845"/>
    </row>
    <row r="2223" spans="1:4" ht="14" customHeight="1">
      <c r="A2223" s="842">
        <v>44909</v>
      </c>
      <c r="B2223" s="844" t="s">
        <v>52975</v>
      </c>
      <c r="C2223" s="841">
        <v>41.66</v>
      </c>
      <c r="D2223" s="845"/>
    </row>
    <row r="2224" spans="1:4" ht="14" customHeight="1">
      <c r="A2224" s="842">
        <v>44915</v>
      </c>
      <c r="B2224" s="844" t="s">
        <v>52974</v>
      </c>
      <c r="C2224" s="841">
        <v>6.93</v>
      </c>
      <c r="D2224" s="845"/>
    </row>
    <row r="2225" spans="1:4" ht="14" customHeight="1">
      <c r="A2225" s="842">
        <v>44916</v>
      </c>
      <c r="B2225" s="844" t="s">
        <v>52973</v>
      </c>
      <c r="C2225" s="841">
        <v>6.93</v>
      </c>
      <c r="D2225" s="845"/>
    </row>
    <row r="2226" spans="1:4" ht="14" customHeight="1">
      <c r="A2226" s="842">
        <v>44918</v>
      </c>
      <c r="B2226" s="842" t="s">
        <v>52972</v>
      </c>
      <c r="C2226" s="841">
        <v>13.89</v>
      </c>
      <c r="D2226" s="845"/>
    </row>
    <row r="2227" spans="1:4" ht="14" customHeight="1">
      <c r="A2227" s="842">
        <v>44922</v>
      </c>
      <c r="B2227" s="844" t="s">
        <v>52971</v>
      </c>
      <c r="C2227" s="841">
        <v>22.65</v>
      </c>
      <c r="D2227" s="845"/>
    </row>
    <row r="2228" spans="1:4" ht="14" customHeight="1">
      <c r="A2228" s="842">
        <v>44923</v>
      </c>
      <c r="B2228" s="842" t="s">
        <v>52970</v>
      </c>
      <c r="C2228" s="841">
        <v>26.96</v>
      </c>
      <c r="D2228" s="845"/>
    </row>
    <row r="2229" spans="1:4" ht="14" customHeight="1">
      <c r="A2229" s="842">
        <v>44924</v>
      </c>
      <c r="B2229" s="844" t="s">
        <v>52969</v>
      </c>
      <c r="C2229" s="841">
        <v>6.93</v>
      </c>
      <c r="D2229" s="845"/>
    </row>
    <row r="2230" spans="1:4" ht="14" customHeight="1">
      <c r="A2230" s="842">
        <v>44925</v>
      </c>
      <c r="B2230" s="844" t="s">
        <v>52968</v>
      </c>
      <c r="C2230" s="841">
        <v>6.93</v>
      </c>
      <c r="D2230" s="845"/>
    </row>
    <row r="2231" spans="1:4" ht="14" customHeight="1">
      <c r="A2231" s="842">
        <v>44942</v>
      </c>
      <c r="B2231" s="844" t="s">
        <v>52967</v>
      </c>
      <c r="C2231" s="841">
        <v>16.170000000000002</v>
      </c>
      <c r="D2231" s="845"/>
    </row>
    <row r="2232" spans="1:4" ht="14" customHeight="1">
      <c r="A2232" s="842">
        <v>44950</v>
      </c>
      <c r="B2232" s="844" t="s">
        <v>52966</v>
      </c>
      <c r="C2232" s="841">
        <v>2.64</v>
      </c>
      <c r="D2232" s="845"/>
    </row>
    <row r="2233" spans="1:4" ht="14" customHeight="1">
      <c r="A2233" s="842">
        <v>44951</v>
      </c>
      <c r="B2233" s="844" t="s">
        <v>52965</v>
      </c>
      <c r="C2233" s="841">
        <v>39.64</v>
      </c>
      <c r="D2233" s="845"/>
    </row>
    <row r="2234" spans="1:4" ht="14" customHeight="1">
      <c r="A2234" s="842">
        <v>44952</v>
      </c>
      <c r="B2234" s="844" t="s">
        <v>52964</v>
      </c>
      <c r="C2234" s="841">
        <v>39.64</v>
      </c>
      <c r="D2234" s="845"/>
    </row>
    <row r="2235" spans="1:4" ht="14" customHeight="1">
      <c r="A2235" s="842">
        <v>45070</v>
      </c>
      <c r="B2235" s="842" t="s">
        <v>52963</v>
      </c>
      <c r="C2235" s="841">
        <v>41.66</v>
      </c>
      <c r="D2235" s="845"/>
    </row>
    <row r="2236" spans="1:4" ht="14" customHeight="1">
      <c r="A2236" s="842">
        <v>45071</v>
      </c>
      <c r="B2236" s="842" t="s">
        <v>52962</v>
      </c>
      <c r="C2236" s="841">
        <v>74.959999999999994</v>
      </c>
      <c r="D2236" s="845"/>
    </row>
    <row r="2237" spans="1:4" ht="14" customHeight="1">
      <c r="A2237" s="842">
        <v>45072</v>
      </c>
      <c r="B2237" s="842" t="s">
        <v>52961</v>
      </c>
      <c r="C2237" s="841">
        <v>41.66</v>
      </c>
      <c r="D2237" s="845"/>
    </row>
    <row r="2238" spans="1:4" ht="14" customHeight="1">
      <c r="A2238" s="842">
        <v>45074</v>
      </c>
      <c r="B2238" s="842" t="s">
        <v>52960</v>
      </c>
      <c r="C2238" s="841">
        <v>74.959999999999994</v>
      </c>
      <c r="D2238" s="845"/>
    </row>
    <row r="2239" spans="1:4" ht="14" customHeight="1">
      <c r="A2239" s="842">
        <v>45075</v>
      </c>
      <c r="B2239" s="842" t="s">
        <v>52959</v>
      </c>
      <c r="C2239" s="841">
        <v>41.66</v>
      </c>
      <c r="D2239" s="845"/>
    </row>
    <row r="2240" spans="1:4" ht="14" customHeight="1">
      <c r="A2240" s="842">
        <v>45076</v>
      </c>
      <c r="B2240" s="842" t="s">
        <v>52958</v>
      </c>
      <c r="C2240" s="841">
        <v>74.959999999999994</v>
      </c>
      <c r="D2240" s="845"/>
    </row>
    <row r="2241" spans="1:4" ht="14" customHeight="1">
      <c r="A2241" s="842">
        <v>45232</v>
      </c>
      <c r="B2241" s="842" t="s">
        <v>52957</v>
      </c>
      <c r="C2241" s="841">
        <v>21.44</v>
      </c>
      <c r="D2241" s="845"/>
    </row>
    <row r="2242" spans="1:4" ht="14" customHeight="1">
      <c r="A2242" s="842">
        <v>45630</v>
      </c>
      <c r="B2242" s="842" t="s">
        <v>52956</v>
      </c>
      <c r="C2242" s="841">
        <v>88.85</v>
      </c>
      <c r="D2242" s="845"/>
    </row>
    <row r="2243" spans="1:4" ht="14" customHeight="1">
      <c r="A2243" s="842">
        <v>45637</v>
      </c>
      <c r="B2243" s="842" t="s">
        <v>52955</v>
      </c>
      <c r="C2243" s="841">
        <v>222.13</v>
      </c>
      <c r="D2243" s="845"/>
    </row>
    <row r="2244" spans="1:4" ht="14" customHeight="1">
      <c r="A2244" s="842">
        <v>45654</v>
      </c>
      <c r="B2244" s="842" t="s">
        <v>52954</v>
      </c>
      <c r="C2244" s="841">
        <v>221.64</v>
      </c>
      <c r="D2244" s="845"/>
    </row>
    <row r="2245" spans="1:4" ht="14" customHeight="1">
      <c r="A2245" s="842">
        <v>45657</v>
      </c>
      <c r="B2245" s="842" t="s">
        <v>52953</v>
      </c>
      <c r="C2245" s="841">
        <v>22.21</v>
      </c>
      <c r="D2245" s="845"/>
    </row>
    <row r="2246" spans="1:4" ht="14" customHeight="1">
      <c r="A2246" s="842">
        <v>45677</v>
      </c>
      <c r="B2246" s="842" t="s">
        <v>52952</v>
      </c>
      <c r="C2246" s="841">
        <v>47.17</v>
      </c>
      <c r="D2246" s="845"/>
    </row>
    <row r="2247" spans="1:4" ht="14" customHeight="1">
      <c r="A2247" s="842">
        <v>45842</v>
      </c>
      <c r="B2247" s="842" t="s">
        <v>52951</v>
      </c>
      <c r="C2247" s="841">
        <v>138.82</v>
      </c>
      <c r="D2247" s="845"/>
    </row>
    <row r="2248" spans="1:4" ht="14" customHeight="1">
      <c r="A2248" s="842">
        <v>45845</v>
      </c>
      <c r="B2248" s="842" t="s">
        <v>52950</v>
      </c>
      <c r="C2248" s="841">
        <v>104.12</v>
      </c>
      <c r="D2248" s="845"/>
    </row>
    <row r="2249" spans="1:4" ht="14">
      <c r="A2249" s="843">
        <v>45846</v>
      </c>
      <c r="B2249" s="842" t="s">
        <v>52949</v>
      </c>
      <c r="C2249" s="841">
        <v>4.17</v>
      </c>
      <c r="D2249" s="657"/>
    </row>
    <row r="2250" spans="1:4" ht="14" customHeight="1">
      <c r="A2250" s="842">
        <v>45937</v>
      </c>
      <c r="B2250" s="842" t="s">
        <v>52948</v>
      </c>
      <c r="C2250" s="841">
        <v>74.959999999999994</v>
      </c>
      <c r="D2250" s="845"/>
    </row>
    <row r="2251" spans="1:4" ht="14" customHeight="1">
      <c r="A2251" s="842">
        <v>45938</v>
      </c>
      <c r="B2251" s="842" t="s">
        <v>52947</v>
      </c>
      <c r="C2251" s="841">
        <v>62.98</v>
      </c>
      <c r="D2251" s="845"/>
    </row>
    <row r="2252" spans="1:4" ht="14" customHeight="1">
      <c r="A2252" s="842">
        <v>46005</v>
      </c>
      <c r="B2252" s="842" t="s">
        <v>52946</v>
      </c>
      <c r="C2252" s="841">
        <v>201.35</v>
      </c>
      <c r="D2252" s="845"/>
    </row>
    <row r="2253" spans="1:4" ht="14" customHeight="1">
      <c r="A2253" s="843">
        <v>51107</v>
      </c>
      <c r="B2253" s="842" t="s">
        <v>52945</v>
      </c>
      <c r="C2253" s="841">
        <v>12.63</v>
      </c>
      <c r="D2253" s="845"/>
    </row>
    <row r="2254" spans="1:4" ht="14" customHeight="1">
      <c r="A2254" s="842">
        <v>59001</v>
      </c>
      <c r="B2254" s="842" t="s">
        <v>52944</v>
      </c>
      <c r="C2254" s="850">
        <v>14</v>
      </c>
      <c r="D2254" s="657"/>
    </row>
    <row r="2255" spans="1:4" ht="14" customHeight="1">
      <c r="A2255" s="842">
        <v>59002</v>
      </c>
      <c r="B2255" s="842" t="s">
        <v>52943</v>
      </c>
      <c r="C2255" s="850">
        <v>11.2</v>
      </c>
      <c r="D2255" s="657"/>
    </row>
    <row r="2256" spans="1:4" ht="14" customHeight="1">
      <c r="A2256" s="842">
        <v>61003</v>
      </c>
      <c r="B2256" s="842" t="s">
        <v>52942</v>
      </c>
      <c r="C2256" s="841">
        <v>5.28</v>
      </c>
      <c r="D2256" s="845"/>
    </row>
    <row r="2257" spans="1:4" ht="14" customHeight="1">
      <c r="A2257" s="842">
        <v>61311</v>
      </c>
      <c r="B2257" s="842" t="s">
        <v>52941</v>
      </c>
      <c r="C2257" s="841">
        <v>10.56</v>
      </c>
      <c r="D2257" s="845"/>
    </row>
    <row r="2258" spans="1:4" ht="14" customHeight="1">
      <c r="A2258" s="842">
        <v>61437</v>
      </c>
      <c r="B2258" s="848" t="s">
        <v>52940</v>
      </c>
      <c r="C2258" s="841">
        <v>2.52</v>
      </c>
      <c r="D2258" s="845"/>
    </row>
    <row r="2259" spans="1:4" ht="14" customHeight="1">
      <c r="A2259" s="842">
        <v>61461</v>
      </c>
      <c r="B2259" s="842" t="s">
        <v>52939</v>
      </c>
      <c r="C2259" s="841">
        <v>31.46</v>
      </c>
      <c r="D2259" s="845"/>
    </row>
    <row r="2260" spans="1:4" ht="14" customHeight="1">
      <c r="A2260" s="842">
        <v>61522</v>
      </c>
      <c r="B2260" s="848" t="s">
        <v>52938</v>
      </c>
      <c r="C2260" s="841">
        <v>75.510000000000005</v>
      </c>
      <c r="D2260" s="845"/>
    </row>
    <row r="2261" spans="1:4" ht="14" customHeight="1">
      <c r="A2261" s="842">
        <v>61465</v>
      </c>
      <c r="B2261" s="848" t="s">
        <v>52937</v>
      </c>
      <c r="C2261" s="841">
        <v>33.04</v>
      </c>
      <c r="D2261" s="845"/>
    </row>
    <row r="2262" spans="1:4" ht="14" customHeight="1">
      <c r="A2262" s="842">
        <v>61469</v>
      </c>
      <c r="B2262" s="848" t="s">
        <v>52936</v>
      </c>
      <c r="C2262" s="841">
        <v>513.05999999999995</v>
      </c>
      <c r="D2262" s="845"/>
    </row>
    <row r="2263" spans="1:4" ht="14" customHeight="1">
      <c r="A2263" s="842">
        <v>61604</v>
      </c>
      <c r="B2263" s="844" t="s">
        <v>52935</v>
      </c>
      <c r="C2263" s="841">
        <v>33.700000000000003</v>
      </c>
      <c r="D2263" s="845"/>
    </row>
    <row r="2264" spans="1:4" s="844" customFormat="1" ht="14" customHeight="1">
      <c r="A2264" s="842">
        <v>61609</v>
      </c>
      <c r="B2264" s="842" t="s">
        <v>52934</v>
      </c>
      <c r="C2264" s="841">
        <v>6.74</v>
      </c>
    </row>
    <row r="2265" spans="1:4" s="844" customFormat="1" ht="14" customHeight="1">
      <c r="A2265" s="842">
        <v>61622</v>
      </c>
      <c r="B2265" s="842" t="s">
        <v>52933</v>
      </c>
      <c r="C2265" s="841">
        <v>4.7699999999999996</v>
      </c>
    </row>
    <row r="2266" spans="1:4" s="844" customFormat="1" ht="14" customHeight="1">
      <c r="A2266" s="842">
        <v>61623</v>
      </c>
      <c r="B2266" s="842" t="s">
        <v>52932</v>
      </c>
      <c r="C2266" s="841">
        <v>19.079999999999998</v>
      </c>
    </row>
    <row r="2267" spans="1:4" s="844" customFormat="1" ht="14" customHeight="1">
      <c r="A2267" s="842">
        <v>61624</v>
      </c>
      <c r="B2267" s="842" t="s">
        <v>52931</v>
      </c>
      <c r="C2267" s="841">
        <v>8.08</v>
      </c>
    </row>
    <row r="2268" spans="1:4" s="844" customFormat="1" ht="14" customHeight="1">
      <c r="A2268" s="842">
        <v>61625</v>
      </c>
      <c r="B2268" s="842" t="s">
        <v>52930</v>
      </c>
      <c r="C2268" s="841">
        <v>27.03</v>
      </c>
    </row>
    <row r="2269" spans="1:4" s="844" customFormat="1" ht="14" customHeight="1">
      <c r="A2269" s="842">
        <v>61628</v>
      </c>
      <c r="B2269" s="842" t="s">
        <v>52929</v>
      </c>
      <c r="C2269" s="841">
        <v>17.68</v>
      </c>
    </row>
    <row r="2270" spans="1:4" ht="14" customHeight="1">
      <c r="A2270" s="842">
        <v>64030</v>
      </c>
      <c r="B2270" s="842" t="s">
        <v>52928</v>
      </c>
      <c r="C2270" s="841">
        <v>12.63</v>
      </c>
      <c r="D2270" s="845"/>
    </row>
    <row r="2271" spans="1:4" ht="14" customHeight="1">
      <c r="A2271" s="842">
        <v>65030</v>
      </c>
      <c r="B2271" s="842" t="s">
        <v>52927</v>
      </c>
      <c r="C2271" s="841">
        <v>10.42</v>
      </c>
      <c r="D2271" s="845"/>
    </row>
    <row r="2272" spans="1:4" ht="14" customHeight="1">
      <c r="A2272" s="842">
        <v>65031</v>
      </c>
      <c r="B2272" s="842" t="s">
        <v>52926</v>
      </c>
      <c r="C2272" s="841">
        <v>4.17</v>
      </c>
      <c r="D2272" s="845"/>
    </row>
    <row r="2273" spans="1:4" ht="14">
      <c r="A2273" s="843">
        <v>65098</v>
      </c>
      <c r="B2273" s="842" t="s">
        <v>52925</v>
      </c>
      <c r="C2273" s="841">
        <v>22.21</v>
      </c>
      <c r="D2273" s="657"/>
    </row>
    <row r="2274" spans="1:4" ht="14" customHeight="1">
      <c r="A2274" s="842">
        <v>66028</v>
      </c>
      <c r="B2274" s="842" t="s">
        <v>52924</v>
      </c>
      <c r="C2274" s="841">
        <v>5.54</v>
      </c>
      <c r="D2274" s="845"/>
    </row>
    <row r="2275" spans="1:4" ht="14" customHeight="1">
      <c r="A2275" s="842">
        <v>66029</v>
      </c>
      <c r="B2275" s="842" t="s">
        <v>52923</v>
      </c>
      <c r="C2275" s="841">
        <v>5.54</v>
      </c>
      <c r="D2275" s="845"/>
    </row>
    <row r="2276" spans="1:4" ht="14" customHeight="1">
      <c r="A2276" s="842">
        <v>66143</v>
      </c>
      <c r="B2276" s="842" t="s">
        <v>52922</v>
      </c>
      <c r="C2276" s="841">
        <v>20.22</v>
      </c>
      <c r="D2276" s="845"/>
    </row>
    <row r="2277" spans="1:4" ht="14" customHeight="1">
      <c r="A2277" s="842">
        <v>66155</v>
      </c>
      <c r="B2277" s="842" t="s">
        <v>52921</v>
      </c>
      <c r="C2277" s="841">
        <v>10.08</v>
      </c>
      <c r="D2277" s="845"/>
    </row>
    <row r="2278" spans="1:4" ht="14" customHeight="1">
      <c r="A2278" s="842">
        <v>66301</v>
      </c>
      <c r="B2278" s="842" t="s">
        <v>52920</v>
      </c>
      <c r="C2278" s="841">
        <v>6.93</v>
      </c>
      <c r="D2278" s="845"/>
    </row>
    <row r="2279" spans="1:4" ht="14" customHeight="1">
      <c r="A2279" s="842">
        <v>66302</v>
      </c>
      <c r="B2279" s="842" t="s">
        <v>52919</v>
      </c>
      <c r="C2279" s="841">
        <v>9.73</v>
      </c>
      <c r="D2279" s="845"/>
    </row>
    <row r="2280" spans="1:4" ht="14" customHeight="1">
      <c r="A2280" s="842">
        <v>66607</v>
      </c>
      <c r="B2280" s="842" t="s">
        <v>52918</v>
      </c>
      <c r="C2280" s="841">
        <v>13.22</v>
      </c>
      <c r="D2280" s="845"/>
    </row>
    <row r="2281" spans="1:4" ht="14" customHeight="1">
      <c r="A2281" s="842">
        <v>66321</v>
      </c>
      <c r="B2281" s="842" t="s">
        <v>52917</v>
      </c>
      <c r="C2281" s="841">
        <v>18.87</v>
      </c>
      <c r="D2281" s="845"/>
    </row>
    <row r="2282" spans="1:4" ht="14" customHeight="1">
      <c r="A2282" s="842">
        <v>68008</v>
      </c>
      <c r="B2282" s="842" t="s">
        <v>52916</v>
      </c>
      <c r="C2282" s="841">
        <v>9.91</v>
      </c>
      <c r="D2282" s="845"/>
    </row>
    <row r="2283" spans="1:4" ht="14" customHeight="1">
      <c r="A2283" s="842">
        <v>68085</v>
      </c>
      <c r="B2283" s="844" t="s">
        <v>52915</v>
      </c>
      <c r="C2283" s="841">
        <v>34.700000000000003</v>
      </c>
      <c r="D2283" s="845"/>
    </row>
    <row r="2284" spans="1:4" ht="14" customHeight="1">
      <c r="A2284" s="848">
        <v>68088</v>
      </c>
      <c r="B2284" s="848" t="s">
        <v>52914</v>
      </c>
      <c r="C2284" s="841">
        <v>13.47</v>
      </c>
      <c r="D2284" s="845"/>
    </row>
    <row r="2285" spans="1:4" ht="14" customHeight="1">
      <c r="A2285" s="848">
        <v>68089</v>
      </c>
      <c r="B2285" s="848" t="s">
        <v>52913</v>
      </c>
      <c r="C2285" s="841">
        <v>21.57</v>
      </c>
      <c r="D2285" s="845"/>
    </row>
    <row r="2286" spans="1:4" ht="14" customHeight="1">
      <c r="A2286" s="842">
        <v>68789</v>
      </c>
      <c r="B2286" s="842" t="s">
        <v>52912</v>
      </c>
      <c r="C2286" s="841">
        <v>502.12</v>
      </c>
      <c r="D2286" s="845"/>
    </row>
    <row r="2287" spans="1:4" ht="14" customHeight="1">
      <c r="A2287" s="842">
        <v>68790</v>
      </c>
      <c r="B2287" s="842" t="s">
        <v>52911</v>
      </c>
      <c r="C2287" s="841">
        <v>33.04</v>
      </c>
      <c r="D2287" s="845"/>
    </row>
    <row r="2288" spans="1:4" ht="14" customHeight="1">
      <c r="A2288" s="842">
        <v>68792</v>
      </c>
      <c r="B2288" s="842" t="s">
        <v>52910</v>
      </c>
      <c r="C2288" s="841">
        <v>26.43</v>
      </c>
      <c r="D2288" s="845"/>
    </row>
    <row r="2289" spans="1:4" ht="14" customHeight="1">
      <c r="A2289" s="842">
        <v>68905</v>
      </c>
      <c r="B2289" s="842" t="s">
        <v>52909</v>
      </c>
      <c r="C2289" s="841">
        <v>23.6</v>
      </c>
      <c r="D2289" s="845"/>
    </row>
    <row r="2290" spans="1:4" ht="14" customHeight="1">
      <c r="A2290" s="842">
        <v>69114</v>
      </c>
      <c r="B2290" s="842" t="s">
        <v>52908</v>
      </c>
      <c r="C2290" s="841">
        <v>148.53</v>
      </c>
      <c r="D2290" s="845"/>
    </row>
    <row r="2291" spans="1:4" ht="14" customHeight="1">
      <c r="A2291" s="842">
        <v>69115</v>
      </c>
      <c r="B2291" s="842" t="s">
        <v>52907</v>
      </c>
      <c r="C2291" s="841">
        <v>27.75</v>
      </c>
      <c r="D2291" s="845"/>
    </row>
    <row r="2292" spans="1:4" ht="14" customHeight="1">
      <c r="A2292" s="842">
        <v>69116</v>
      </c>
      <c r="B2292" s="842" t="s">
        <v>52906</v>
      </c>
      <c r="C2292" s="841">
        <v>27.75</v>
      </c>
      <c r="D2292" s="845"/>
    </row>
    <row r="2293" spans="1:4" ht="14" customHeight="1">
      <c r="A2293" s="842">
        <v>69117</v>
      </c>
      <c r="B2293" s="842" t="s">
        <v>52905</v>
      </c>
      <c r="C2293" s="841">
        <v>27.75</v>
      </c>
      <c r="D2293" s="845"/>
    </row>
    <row r="2294" spans="1:4" ht="14" customHeight="1">
      <c r="A2294" s="842">
        <v>69118</v>
      </c>
      <c r="B2294" s="842" t="s">
        <v>52904</v>
      </c>
      <c r="C2294" s="841">
        <v>51.36</v>
      </c>
      <c r="D2294" s="845"/>
    </row>
    <row r="2295" spans="1:4" ht="14" customHeight="1">
      <c r="A2295" s="842">
        <v>69124</v>
      </c>
      <c r="B2295" s="842" t="s">
        <v>52903</v>
      </c>
      <c r="C2295" s="841">
        <v>13.89</v>
      </c>
      <c r="D2295" s="845"/>
    </row>
    <row r="2296" spans="1:4" ht="14" customHeight="1">
      <c r="A2296" s="842">
        <v>69130</v>
      </c>
      <c r="B2296" s="842" t="s">
        <v>52902</v>
      </c>
      <c r="C2296" s="841">
        <v>73.569999999999993</v>
      </c>
      <c r="D2296" s="845"/>
    </row>
    <row r="2297" spans="1:4" ht="14" customHeight="1">
      <c r="A2297" s="842">
        <v>69132</v>
      </c>
      <c r="B2297" s="842" t="s">
        <v>52901</v>
      </c>
      <c r="C2297" s="841">
        <v>59.71</v>
      </c>
      <c r="D2297" s="845"/>
    </row>
    <row r="2298" spans="1:4" ht="14" customHeight="1">
      <c r="A2298" s="842">
        <v>69134</v>
      </c>
      <c r="B2298" s="842" t="s">
        <v>52900</v>
      </c>
      <c r="C2298" s="841">
        <v>59.71</v>
      </c>
      <c r="D2298" s="845"/>
    </row>
    <row r="2299" spans="1:4" ht="14" customHeight="1">
      <c r="A2299" s="842">
        <v>69138</v>
      </c>
      <c r="B2299" s="853" t="s">
        <v>52899</v>
      </c>
      <c r="C2299" s="841">
        <v>94.38</v>
      </c>
      <c r="D2299" s="845"/>
    </row>
    <row r="2300" spans="1:4" ht="14" customHeight="1">
      <c r="A2300" s="842">
        <v>69135</v>
      </c>
      <c r="B2300" s="842" t="s">
        <v>52898</v>
      </c>
      <c r="C2300" s="841">
        <v>59.71</v>
      </c>
      <c r="D2300" s="845"/>
    </row>
    <row r="2301" spans="1:4" ht="14" customHeight="1">
      <c r="A2301" s="842">
        <v>69161</v>
      </c>
      <c r="B2301" s="842" t="s">
        <v>52897</v>
      </c>
      <c r="C2301" s="841">
        <v>107.11</v>
      </c>
      <c r="D2301" s="845"/>
    </row>
    <row r="2302" spans="1:4" ht="14" customHeight="1">
      <c r="A2302" s="842">
        <v>69175</v>
      </c>
      <c r="B2302" s="842" t="s">
        <v>52896</v>
      </c>
      <c r="C2302" s="841">
        <v>15.76</v>
      </c>
      <c r="D2302" s="845"/>
    </row>
    <row r="2303" spans="1:4" ht="14" customHeight="1">
      <c r="A2303" s="842">
        <v>69176</v>
      </c>
      <c r="B2303" s="842" t="s">
        <v>52895</v>
      </c>
      <c r="C2303" s="841">
        <v>15.76</v>
      </c>
      <c r="D2303" s="845"/>
    </row>
    <row r="2304" spans="1:4" ht="14" customHeight="1">
      <c r="A2304" s="842">
        <v>69177</v>
      </c>
      <c r="B2304" s="842" t="s">
        <v>52894</v>
      </c>
      <c r="C2304" s="841">
        <v>15.76</v>
      </c>
      <c r="D2304" s="845"/>
    </row>
    <row r="2305" spans="1:7" ht="14" customHeight="1">
      <c r="A2305" s="842">
        <v>69178</v>
      </c>
      <c r="B2305" s="842" t="s">
        <v>52893</v>
      </c>
      <c r="C2305" s="841">
        <v>15.76</v>
      </c>
      <c r="D2305" s="845"/>
    </row>
    <row r="2306" spans="1:7" ht="14" customHeight="1">
      <c r="A2306" s="842">
        <v>69223</v>
      </c>
      <c r="B2306" s="842" t="s">
        <v>52892</v>
      </c>
      <c r="C2306" s="841">
        <v>15.76</v>
      </c>
      <c r="D2306" s="845"/>
    </row>
    <row r="2307" spans="1:7" ht="14" customHeight="1">
      <c r="A2307" s="842">
        <v>69224</v>
      </c>
      <c r="B2307" s="848" t="s">
        <v>52891</v>
      </c>
      <c r="C2307" s="841">
        <v>29.14</v>
      </c>
      <c r="D2307" s="845"/>
    </row>
    <row r="2308" spans="1:7" ht="14" customHeight="1">
      <c r="A2308" s="842">
        <v>69225</v>
      </c>
      <c r="B2308" s="848" t="s">
        <v>52890</v>
      </c>
      <c r="C2308" s="841">
        <v>29.14</v>
      </c>
      <c r="D2308" s="845"/>
    </row>
    <row r="2309" spans="1:7" ht="14" customHeight="1">
      <c r="A2309" s="842">
        <v>69271</v>
      </c>
      <c r="B2309" s="848" t="s">
        <v>52889</v>
      </c>
      <c r="C2309" s="841">
        <v>6.74</v>
      </c>
      <c r="D2309" s="845"/>
    </row>
    <row r="2310" spans="1:7" ht="14" customHeight="1">
      <c r="A2310" s="842">
        <v>69281</v>
      </c>
      <c r="B2310" s="848" t="s">
        <v>52888</v>
      </c>
      <c r="C2310" s="841">
        <v>34.36</v>
      </c>
      <c r="D2310" s="845"/>
    </row>
    <row r="2311" spans="1:7" ht="14" customHeight="1">
      <c r="A2311" s="842">
        <v>69300</v>
      </c>
      <c r="B2311" s="848" t="s">
        <v>52887</v>
      </c>
      <c r="C2311" s="841">
        <v>83.29</v>
      </c>
      <c r="D2311" s="845"/>
    </row>
    <row r="2312" spans="1:7" ht="14" customHeight="1">
      <c r="A2312" s="842">
        <v>69310</v>
      </c>
      <c r="B2312" s="848" t="s">
        <v>52886</v>
      </c>
      <c r="C2312" s="841">
        <v>83.29</v>
      </c>
      <c r="D2312" s="845"/>
    </row>
    <row r="2313" spans="1:7" ht="14" customHeight="1">
      <c r="A2313" s="842">
        <v>69320</v>
      </c>
      <c r="B2313" s="848" t="s">
        <v>52885</v>
      </c>
      <c r="C2313" s="841">
        <v>43.68</v>
      </c>
      <c r="D2313" s="845"/>
    </row>
    <row r="2314" spans="1:7" ht="14" customHeight="1">
      <c r="A2314" s="842">
        <v>69321</v>
      </c>
      <c r="B2314" s="848" t="s">
        <v>52884</v>
      </c>
      <c r="C2314" s="841">
        <v>43.68</v>
      </c>
      <c r="D2314" s="845"/>
    </row>
    <row r="2315" spans="1:7" ht="14" customHeight="1">
      <c r="A2315" s="842">
        <v>69322</v>
      </c>
      <c r="B2315" s="848" t="s">
        <v>52883</v>
      </c>
      <c r="C2315" s="841">
        <v>43.68</v>
      </c>
      <c r="D2315" s="845"/>
    </row>
    <row r="2316" spans="1:7" ht="14" customHeight="1">
      <c r="A2316" s="842">
        <v>69323</v>
      </c>
      <c r="B2316" s="848" t="s">
        <v>52882</v>
      </c>
      <c r="C2316" s="841">
        <v>43.68</v>
      </c>
      <c r="D2316" s="845"/>
    </row>
    <row r="2317" spans="1:7" ht="14" customHeight="1">
      <c r="A2317" s="842">
        <v>69334</v>
      </c>
      <c r="B2317" s="848" t="s">
        <v>52881</v>
      </c>
      <c r="C2317" s="841">
        <v>26.43</v>
      </c>
      <c r="D2317" s="845"/>
    </row>
    <row r="2318" spans="1:7" ht="14" customHeight="1">
      <c r="A2318" s="842">
        <v>69336</v>
      </c>
      <c r="B2318" s="848" t="s">
        <v>52880</v>
      </c>
      <c r="C2318" s="841">
        <v>26.43</v>
      </c>
      <c r="D2318" s="845"/>
    </row>
    <row r="2319" spans="1:7" ht="14" customHeight="1">
      <c r="A2319" s="842">
        <v>69339</v>
      </c>
      <c r="B2319" s="848" t="s">
        <v>52879</v>
      </c>
      <c r="C2319" s="841">
        <v>26.43</v>
      </c>
      <c r="D2319" s="845"/>
    </row>
    <row r="2320" spans="1:7" ht="14" customHeight="1">
      <c r="A2320" s="842">
        <v>69481</v>
      </c>
      <c r="B2320" s="848" t="s">
        <v>52878</v>
      </c>
      <c r="C2320" s="841">
        <v>83.29</v>
      </c>
      <c r="D2320" s="781"/>
      <c r="E2320" s="839"/>
      <c r="F2320" s="839"/>
      <c r="G2320" s="839"/>
    </row>
    <row r="2321" spans="1:7">
      <c r="A2321" s="842">
        <v>69490</v>
      </c>
      <c r="B2321" s="848" t="s">
        <v>52877</v>
      </c>
      <c r="C2321" s="841">
        <v>21.37</v>
      </c>
      <c r="D2321" s="781"/>
      <c r="E2321" s="839"/>
      <c r="F2321" s="839"/>
      <c r="G2321" s="839"/>
    </row>
    <row r="2322" spans="1:7">
      <c r="A2322" s="842">
        <v>69491</v>
      </c>
      <c r="B2322" s="848" t="s">
        <v>52876</v>
      </c>
      <c r="C2322" s="841">
        <v>21.37</v>
      </c>
      <c r="D2322" s="781"/>
      <c r="E2322" s="839"/>
      <c r="F2322" s="839"/>
      <c r="G2322" s="839"/>
    </row>
    <row r="2323" spans="1:7">
      <c r="A2323" s="842">
        <v>69492</v>
      </c>
      <c r="B2323" s="848" t="s">
        <v>52875</v>
      </c>
      <c r="C2323" s="841">
        <v>21.37</v>
      </c>
      <c r="D2323" s="781"/>
      <c r="E2323" s="839"/>
      <c r="F2323" s="839"/>
      <c r="G2323" s="839"/>
    </row>
    <row r="2324" spans="1:7">
      <c r="A2324" s="842">
        <v>69493</v>
      </c>
      <c r="B2324" s="848" t="s">
        <v>52874</v>
      </c>
      <c r="C2324" s="841">
        <v>21.37</v>
      </c>
      <c r="D2324" s="781"/>
      <c r="E2324" s="839"/>
      <c r="F2324" s="839"/>
      <c r="G2324" s="839"/>
    </row>
    <row r="2325" spans="1:7">
      <c r="A2325" s="842">
        <v>69603</v>
      </c>
      <c r="B2325" s="848" t="s">
        <v>52873</v>
      </c>
      <c r="C2325" s="841">
        <v>11.2</v>
      </c>
      <c r="D2325" s="781"/>
      <c r="E2325" s="839"/>
      <c r="F2325" s="839"/>
      <c r="G2325" s="839"/>
    </row>
    <row r="2326" spans="1:7" ht="14" customHeight="1">
      <c r="A2326" s="842">
        <v>69901</v>
      </c>
      <c r="B2326" s="842" t="s">
        <v>52872</v>
      </c>
      <c r="C2326" s="841">
        <v>33.31</v>
      </c>
      <c r="D2326" s="845"/>
    </row>
    <row r="2327" spans="1:7" ht="14" customHeight="1">
      <c r="A2327" s="842">
        <v>69903</v>
      </c>
      <c r="B2327" s="842" t="s">
        <v>52871</v>
      </c>
      <c r="C2327" s="841">
        <v>31.92</v>
      </c>
      <c r="D2327" s="845"/>
    </row>
    <row r="2328" spans="1:7" ht="14" customHeight="1">
      <c r="A2328" s="842">
        <v>69906</v>
      </c>
      <c r="B2328" s="842" t="s">
        <v>52870</v>
      </c>
      <c r="C2328" s="841">
        <v>33.31</v>
      </c>
      <c r="D2328" s="845"/>
    </row>
    <row r="2329" spans="1:7" ht="14">
      <c r="A2329" s="843">
        <v>70114</v>
      </c>
      <c r="B2329" s="842" t="s">
        <v>52869</v>
      </c>
      <c r="C2329" s="841">
        <v>11.82</v>
      </c>
      <c r="D2329" s="657"/>
    </row>
    <row r="2330" spans="1:7" ht="14" customHeight="1">
      <c r="A2330" s="842">
        <v>71503</v>
      </c>
      <c r="B2330" s="842" t="s">
        <v>52868</v>
      </c>
      <c r="C2330" s="841">
        <v>6.93</v>
      </c>
      <c r="D2330" s="845"/>
    </row>
    <row r="2331" spans="1:7" ht="14" customHeight="1">
      <c r="A2331" s="842">
        <v>71510</v>
      </c>
      <c r="B2331" s="844" t="s">
        <v>52867</v>
      </c>
      <c r="C2331" s="841">
        <v>8.33</v>
      </c>
      <c r="D2331" s="845"/>
    </row>
    <row r="2332" spans="1:7" ht="14" customHeight="1">
      <c r="A2332" s="842">
        <v>72024</v>
      </c>
      <c r="B2332" s="842" t="s">
        <v>52866</v>
      </c>
      <c r="C2332" s="841">
        <v>4.17</v>
      </c>
      <c r="D2332" s="845"/>
    </row>
    <row r="2333" spans="1:7" ht="14" customHeight="1">
      <c r="A2333" s="842">
        <v>74039</v>
      </c>
      <c r="B2333" s="842" t="s">
        <v>52865</v>
      </c>
      <c r="C2333" s="841">
        <v>59.71</v>
      </c>
      <c r="D2333" s="845"/>
    </row>
    <row r="2334" spans="1:7" ht="14" customHeight="1">
      <c r="A2334" s="848">
        <v>74054</v>
      </c>
      <c r="B2334" s="848" t="s">
        <v>52864</v>
      </c>
      <c r="C2334" s="841">
        <v>8.1</v>
      </c>
      <c r="D2334" s="845"/>
    </row>
    <row r="2335" spans="1:7" ht="14" customHeight="1">
      <c r="A2335" s="842">
        <v>74059</v>
      </c>
      <c r="B2335" s="848" t="s">
        <v>52863</v>
      </c>
      <c r="C2335" s="841">
        <v>64.69</v>
      </c>
      <c r="D2335" s="845"/>
    </row>
    <row r="2336" spans="1:7" ht="14" customHeight="1">
      <c r="A2336" s="842">
        <v>74060</v>
      </c>
      <c r="B2336" s="848" t="s">
        <v>52862</v>
      </c>
      <c r="C2336" s="841">
        <v>72.78</v>
      </c>
      <c r="D2336" s="845"/>
    </row>
    <row r="2337" spans="1:4" ht="14" customHeight="1">
      <c r="A2337" s="842">
        <v>74102</v>
      </c>
      <c r="B2337" s="842" t="s">
        <v>52861</v>
      </c>
      <c r="C2337" s="841">
        <v>58.32</v>
      </c>
      <c r="D2337" s="845"/>
    </row>
    <row r="2338" spans="1:4" ht="14">
      <c r="A2338" s="843">
        <v>75103</v>
      </c>
      <c r="B2338" s="842" t="s">
        <v>52860</v>
      </c>
      <c r="C2338" s="841">
        <v>65.25</v>
      </c>
      <c r="D2338" s="657"/>
    </row>
    <row r="2339" spans="1:4" ht="14">
      <c r="A2339" s="843">
        <v>75104</v>
      </c>
      <c r="B2339" s="842" t="s">
        <v>52859</v>
      </c>
      <c r="C2339" s="841">
        <v>1.75</v>
      </c>
      <c r="D2339" s="657"/>
    </row>
    <row r="2340" spans="1:4" ht="14" customHeight="1">
      <c r="A2340" s="842">
        <v>74115</v>
      </c>
      <c r="B2340" s="842" t="s">
        <v>52858</v>
      </c>
      <c r="C2340" s="841">
        <v>63.35</v>
      </c>
      <c r="D2340" s="845"/>
    </row>
    <row r="2341" spans="1:4" ht="14" customHeight="1">
      <c r="A2341" s="842">
        <v>74175</v>
      </c>
      <c r="B2341" s="842" t="s">
        <v>52857</v>
      </c>
      <c r="C2341" s="841">
        <v>51.5</v>
      </c>
      <c r="D2341" s="845"/>
    </row>
    <row r="2342" spans="1:4" ht="14" customHeight="1">
      <c r="A2342" s="842">
        <v>74200</v>
      </c>
      <c r="B2342" s="842" t="s">
        <v>52856</v>
      </c>
      <c r="C2342" s="841">
        <v>93</v>
      </c>
      <c r="D2342" s="845"/>
    </row>
    <row r="2343" spans="1:4" ht="14" customHeight="1">
      <c r="A2343" s="842">
        <v>74400</v>
      </c>
      <c r="B2343" s="842" t="s">
        <v>52855</v>
      </c>
      <c r="C2343" s="841">
        <v>542.79</v>
      </c>
      <c r="D2343" s="845"/>
    </row>
    <row r="2344" spans="1:4" ht="14" customHeight="1">
      <c r="A2344" s="842">
        <v>74401</v>
      </c>
      <c r="B2344" s="842" t="s">
        <v>52854</v>
      </c>
      <c r="C2344" s="841">
        <v>542.79</v>
      </c>
      <c r="D2344" s="845"/>
    </row>
    <row r="2345" spans="1:4" ht="14" customHeight="1">
      <c r="A2345" s="842">
        <v>74436</v>
      </c>
      <c r="B2345" s="842" t="s">
        <v>52853</v>
      </c>
      <c r="C2345" s="841">
        <v>61.6</v>
      </c>
      <c r="D2345" s="845"/>
    </row>
    <row r="2346" spans="1:4" ht="14" customHeight="1">
      <c r="A2346" s="842">
        <v>74903</v>
      </c>
      <c r="B2346" s="842" t="s">
        <v>52852</v>
      </c>
      <c r="C2346" s="841">
        <v>11.1</v>
      </c>
      <c r="D2346" s="845"/>
    </row>
    <row r="2347" spans="1:4" ht="14" customHeight="1">
      <c r="A2347" s="842">
        <v>74904</v>
      </c>
      <c r="B2347" s="842" t="s">
        <v>52851</v>
      </c>
      <c r="C2347" s="841">
        <v>11.1</v>
      </c>
      <c r="D2347" s="845"/>
    </row>
    <row r="2348" spans="1:4" ht="14" customHeight="1">
      <c r="A2348" s="842">
        <v>74913</v>
      </c>
      <c r="B2348" s="842" t="s">
        <v>52850</v>
      </c>
      <c r="C2348" s="841">
        <v>22.21</v>
      </c>
      <c r="D2348" s="845"/>
    </row>
    <row r="2349" spans="1:4" ht="14" customHeight="1">
      <c r="A2349" s="842">
        <v>75027</v>
      </c>
      <c r="B2349" s="842" t="s">
        <v>52849</v>
      </c>
      <c r="C2349" s="841">
        <v>41.66</v>
      </c>
      <c r="D2349" s="845"/>
    </row>
    <row r="2350" spans="1:4" ht="14" customHeight="1">
      <c r="A2350" s="842">
        <v>75105</v>
      </c>
      <c r="B2350" s="842" t="s">
        <v>52848</v>
      </c>
      <c r="C2350" s="841">
        <v>39.64</v>
      </c>
      <c r="D2350" s="845"/>
    </row>
    <row r="2351" spans="1:4" ht="14" customHeight="1">
      <c r="A2351" s="842">
        <v>75115</v>
      </c>
      <c r="B2351" s="842" t="s">
        <v>52847</v>
      </c>
      <c r="C2351" s="841">
        <v>22.21</v>
      </c>
      <c r="D2351" s="845"/>
    </row>
    <row r="2352" spans="1:4" ht="14" customHeight="1">
      <c r="A2352" s="842">
        <v>75116</v>
      </c>
      <c r="B2352" s="842" t="s">
        <v>52846</v>
      </c>
      <c r="C2352" s="841">
        <v>22.21</v>
      </c>
      <c r="D2352" s="845"/>
    </row>
    <row r="2353" spans="1:4" ht="14" customHeight="1">
      <c r="A2353" s="842">
        <v>75117</v>
      </c>
      <c r="B2353" s="842" t="s">
        <v>52845</v>
      </c>
      <c r="C2353" s="841">
        <v>22.21</v>
      </c>
      <c r="D2353" s="845"/>
    </row>
    <row r="2354" spans="1:4" ht="14" customHeight="1">
      <c r="A2354" s="842">
        <v>75133</v>
      </c>
      <c r="B2354" s="848" t="s">
        <v>52844</v>
      </c>
      <c r="C2354" s="841">
        <v>80.88</v>
      </c>
      <c r="D2354" s="845"/>
    </row>
    <row r="2355" spans="1:4" ht="14" customHeight="1">
      <c r="A2355" s="842">
        <v>75134</v>
      </c>
      <c r="B2355" s="848" t="s">
        <v>52843</v>
      </c>
      <c r="C2355" s="841">
        <v>88.96</v>
      </c>
      <c r="D2355" s="845"/>
    </row>
    <row r="2356" spans="1:4" ht="14" customHeight="1">
      <c r="A2356" s="842">
        <v>75140</v>
      </c>
      <c r="B2356" s="842" t="s">
        <v>52842</v>
      </c>
      <c r="C2356" s="841">
        <v>21.44</v>
      </c>
      <c r="D2356" s="845"/>
    </row>
    <row r="2357" spans="1:4" ht="14">
      <c r="A2357" s="843">
        <v>75160</v>
      </c>
      <c r="B2357" s="842" t="s">
        <v>52841</v>
      </c>
      <c r="C2357" s="841">
        <v>65.11</v>
      </c>
      <c r="D2357" s="657"/>
    </row>
    <row r="2358" spans="1:4" ht="14" customHeight="1">
      <c r="A2358" s="842">
        <v>75176</v>
      </c>
      <c r="B2358" s="842" t="s">
        <v>52840</v>
      </c>
      <c r="C2358" s="841">
        <v>47.17</v>
      </c>
      <c r="D2358" s="845"/>
    </row>
    <row r="2359" spans="1:4" ht="14">
      <c r="A2359" s="843">
        <v>75205</v>
      </c>
      <c r="B2359" s="842" t="s">
        <v>52839</v>
      </c>
      <c r="C2359" s="841">
        <v>53.75</v>
      </c>
      <c r="D2359" s="657"/>
    </row>
    <row r="2360" spans="1:4" ht="14" customHeight="1">
      <c r="A2360" s="842">
        <v>75277</v>
      </c>
      <c r="B2360" s="842" t="s">
        <v>52838</v>
      </c>
      <c r="C2360" s="841">
        <v>89.85</v>
      </c>
      <c r="D2360" s="845"/>
    </row>
    <row r="2361" spans="1:4" ht="14" customHeight="1">
      <c r="A2361" s="842">
        <v>75375</v>
      </c>
      <c r="B2361" s="849" t="s">
        <v>52837</v>
      </c>
      <c r="C2361" s="841">
        <v>32.909999999999997</v>
      </c>
      <c r="D2361" s="845"/>
    </row>
    <row r="2362" spans="1:4" ht="14" customHeight="1">
      <c r="A2362" s="842">
        <v>75400</v>
      </c>
      <c r="B2362" s="842" t="s">
        <v>52836</v>
      </c>
      <c r="C2362" s="841">
        <v>513.05999999999995</v>
      </c>
      <c r="D2362" s="845"/>
    </row>
    <row r="2363" spans="1:4" ht="14" customHeight="1">
      <c r="A2363" s="842">
        <v>75702</v>
      </c>
      <c r="B2363" s="842" t="s">
        <v>52835</v>
      </c>
      <c r="C2363" s="841">
        <v>4.0199999999999996</v>
      </c>
      <c r="D2363" s="845"/>
    </row>
    <row r="2364" spans="1:4" ht="14">
      <c r="A2364" s="843">
        <v>75766</v>
      </c>
      <c r="B2364" s="842" t="s">
        <v>52834</v>
      </c>
      <c r="C2364" s="841">
        <v>47.21</v>
      </c>
      <c r="D2364" s="657"/>
    </row>
    <row r="2365" spans="1:4" ht="28" customHeight="1">
      <c r="A2365" s="842">
        <v>75768</v>
      </c>
      <c r="B2365" s="849" t="s">
        <v>52833</v>
      </c>
      <c r="C2365" s="841">
        <v>51.64</v>
      </c>
      <c r="D2365" s="845"/>
    </row>
    <row r="2366" spans="1:4" ht="14" customHeight="1">
      <c r="A2366" s="842">
        <v>75851</v>
      </c>
      <c r="B2366" s="842" t="s">
        <v>52832</v>
      </c>
      <c r="C2366" s="841">
        <v>30.06</v>
      </c>
      <c r="D2366" s="845"/>
    </row>
    <row r="2367" spans="1:4" ht="14" customHeight="1">
      <c r="A2367" s="842">
        <v>75902</v>
      </c>
      <c r="B2367" s="842" t="s">
        <v>52831</v>
      </c>
      <c r="C2367" s="841">
        <v>9.7100000000000009</v>
      </c>
      <c r="D2367" s="845"/>
    </row>
    <row r="2368" spans="1:4" ht="14" customHeight="1">
      <c r="A2368" s="842">
        <v>75903</v>
      </c>
      <c r="B2368" s="842" t="s">
        <v>52830</v>
      </c>
      <c r="C2368" s="841">
        <v>9.7100000000000009</v>
      </c>
      <c r="D2368" s="845"/>
    </row>
    <row r="2369" spans="1:4" ht="14" customHeight="1">
      <c r="A2369" s="842">
        <v>75904</v>
      </c>
      <c r="B2369" s="842" t="s">
        <v>52829</v>
      </c>
      <c r="C2369" s="841">
        <v>9.7100000000000009</v>
      </c>
      <c r="D2369" s="845"/>
    </row>
    <row r="2370" spans="1:4" ht="14" customHeight="1">
      <c r="A2370" s="842">
        <v>75906</v>
      </c>
      <c r="B2370" s="842" t="s">
        <v>52828</v>
      </c>
      <c r="C2370" s="841">
        <v>11.1</v>
      </c>
      <c r="D2370" s="845"/>
    </row>
    <row r="2371" spans="1:4" ht="14" customHeight="1">
      <c r="A2371" s="842">
        <v>75908</v>
      </c>
      <c r="B2371" s="842" t="s">
        <v>52827</v>
      </c>
      <c r="C2371" s="841">
        <v>9.7100000000000009</v>
      </c>
      <c r="D2371" s="845"/>
    </row>
    <row r="2372" spans="1:4" ht="14" customHeight="1">
      <c r="A2372" s="842">
        <v>75910</v>
      </c>
      <c r="B2372" s="842" t="s">
        <v>52826</v>
      </c>
      <c r="C2372" s="841">
        <v>33.31</v>
      </c>
      <c r="D2372" s="845"/>
    </row>
    <row r="2373" spans="1:4" ht="14" customHeight="1">
      <c r="A2373" s="842">
        <v>75913</v>
      </c>
      <c r="B2373" s="842" t="s">
        <v>52825</v>
      </c>
      <c r="C2373" s="841">
        <v>18.04</v>
      </c>
      <c r="D2373" s="845"/>
    </row>
    <row r="2374" spans="1:4" ht="14" customHeight="1">
      <c r="A2374" s="842">
        <v>75927</v>
      </c>
      <c r="B2374" s="842" t="s">
        <v>52824</v>
      </c>
      <c r="C2374" s="841">
        <v>33.31</v>
      </c>
      <c r="D2374" s="845"/>
    </row>
    <row r="2375" spans="1:4" ht="14" customHeight="1">
      <c r="A2375" s="842">
        <v>75928</v>
      </c>
      <c r="B2375" s="842" t="s">
        <v>52823</v>
      </c>
      <c r="C2375" s="841">
        <v>51.36</v>
      </c>
      <c r="D2375" s="845"/>
    </row>
    <row r="2376" spans="1:4" ht="14" customHeight="1">
      <c r="A2376" s="842">
        <v>75933</v>
      </c>
      <c r="B2376" s="842" t="s">
        <v>52822</v>
      </c>
      <c r="C2376" s="841">
        <v>9.7100000000000009</v>
      </c>
      <c r="D2376" s="845"/>
    </row>
    <row r="2377" spans="1:4" ht="14" customHeight="1">
      <c r="A2377" s="842">
        <v>75934</v>
      </c>
      <c r="B2377" s="842" t="s">
        <v>52821</v>
      </c>
      <c r="C2377" s="841">
        <v>9.7100000000000009</v>
      </c>
      <c r="D2377" s="845"/>
    </row>
    <row r="2378" spans="1:4" ht="14" customHeight="1">
      <c r="A2378" s="842">
        <v>75943</v>
      </c>
      <c r="B2378" s="842" t="s">
        <v>52820</v>
      </c>
      <c r="C2378" s="841">
        <v>18.04</v>
      </c>
      <c r="D2378" s="845"/>
    </row>
    <row r="2379" spans="1:4" ht="14" customHeight="1">
      <c r="A2379" s="842">
        <v>75946</v>
      </c>
      <c r="B2379" s="842" t="s">
        <v>52819</v>
      </c>
      <c r="C2379" s="841">
        <v>9.7100000000000009</v>
      </c>
      <c r="D2379" s="845"/>
    </row>
    <row r="2380" spans="1:4" ht="14" customHeight="1">
      <c r="A2380" s="842">
        <v>75948</v>
      </c>
      <c r="B2380" s="842" t="s">
        <v>52818</v>
      </c>
      <c r="C2380" s="841">
        <v>9.7100000000000009</v>
      </c>
      <c r="D2380" s="845"/>
    </row>
    <row r="2381" spans="1:4" ht="14" customHeight="1">
      <c r="A2381" s="842">
        <v>75950</v>
      </c>
      <c r="B2381" s="842" t="s">
        <v>52817</v>
      </c>
      <c r="C2381" s="841">
        <v>18.04</v>
      </c>
      <c r="D2381" s="845"/>
    </row>
    <row r="2382" spans="1:4" ht="14" customHeight="1">
      <c r="A2382" s="842">
        <v>75967</v>
      </c>
      <c r="B2382" s="842" t="s">
        <v>52816</v>
      </c>
      <c r="C2382" s="841">
        <v>16.170000000000002</v>
      </c>
      <c r="D2382" s="845"/>
    </row>
    <row r="2383" spans="1:4" ht="14" customHeight="1">
      <c r="A2383" s="842">
        <v>76090</v>
      </c>
      <c r="B2383" s="842" t="s">
        <v>52815</v>
      </c>
      <c r="C2383" s="841">
        <v>27.75</v>
      </c>
      <c r="D2383" s="845"/>
    </row>
    <row r="2384" spans="1:4" ht="14" customHeight="1">
      <c r="A2384" s="842">
        <v>76103</v>
      </c>
      <c r="B2384" s="842" t="s">
        <v>52814</v>
      </c>
      <c r="C2384" s="841">
        <v>30.06</v>
      </c>
      <c r="D2384" s="845"/>
    </row>
    <row r="2385" spans="1:4" ht="14">
      <c r="A2385" s="843">
        <v>76105</v>
      </c>
      <c r="B2385" s="842" t="s">
        <v>52813</v>
      </c>
      <c r="C2385" s="841">
        <v>20.059999999999999</v>
      </c>
      <c r="D2385" s="657"/>
    </row>
    <row r="2386" spans="1:4" ht="14" customHeight="1">
      <c r="A2386" s="842">
        <v>76375</v>
      </c>
      <c r="B2386" s="842" t="s">
        <v>52812</v>
      </c>
      <c r="C2386" s="841">
        <v>55.53</v>
      </c>
      <c r="D2386" s="845"/>
    </row>
    <row r="2387" spans="1:4" ht="14" customHeight="1">
      <c r="A2387" s="842">
        <v>76409</v>
      </c>
      <c r="B2387" s="842" t="s">
        <v>52811</v>
      </c>
      <c r="C2387" s="841">
        <v>8.33</v>
      </c>
      <c r="D2387" s="845"/>
    </row>
    <row r="2388" spans="1:4" ht="14" customHeight="1">
      <c r="A2388" s="842">
        <v>76805</v>
      </c>
      <c r="B2388" s="842" t="s">
        <v>52810</v>
      </c>
      <c r="C2388" s="841">
        <v>52.85</v>
      </c>
      <c r="D2388" s="845"/>
    </row>
    <row r="2389" spans="1:4" ht="14" customHeight="1">
      <c r="A2389" s="842">
        <v>77375</v>
      </c>
      <c r="B2389" s="844" t="s">
        <v>52809</v>
      </c>
      <c r="C2389" s="841">
        <v>58.65</v>
      </c>
      <c r="D2389" s="845"/>
    </row>
    <row r="2390" spans="1:4" ht="14">
      <c r="A2390" s="843">
        <v>77501</v>
      </c>
      <c r="B2390" s="842" t="s">
        <v>52808</v>
      </c>
      <c r="C2390" s="841">
        <v>48.6</v>
      </c>
      <c r="D2390" s="657"/>
    </row>
    <row r="2391" spans="1:4" ht="14" customHeight="1">
      <c r="A2391" s="852">
        <v>78105</v>
      </c>
      <c r="B2391" s="851" t="s">
        <v>52807</v>
      </c>
      <c r="C2391" s="841">
        <v>67.95</v>
      </c>
      <c r="D2391" s="845"/>
    </row>
    <row r="2392" spans="1:4" ht="14" customHeight="1">
      <c r="A2392" s="852">
        <v>78106</v>
      </c>
      <c r="B2392" s="851" t="s">
        <v>52806</v>
      </c>
      <c r="C2392" s="841">
        <v>18.87</v>
      </c>
      <c r="D2392" s="845"/>
    </row>
    <row r="2393" spans="1:4" ht="14" customHeight="1">
      <c r="A2393" s="842">
        <v>78107</v>
      </c>
      <c r="B2393" s="842" t="s">
        <v>52805</v>
      </c>
      <c r="C2393" s="841">
        <v>81.790000000000006</v>
      </c>
      <c r="D2393" s="845"/>
    </row>
    <row r="2394" spans="1:4" ht="14" customHeight="1">
      <c r="A2394" s="842">
        <v>78108</v>
      </c>
      <c r="B2394" s="842" t="s">
        <v>52804</v>
      </c>
      <c r="C2394" s="841">
        <v>12.59</v>
      </c>
      <c r="D2394" s="657"/>
    </row>
    <row r="2395" spans="1:4" ht="14" customHeight="1">
      <c r="A2395" s="842">
        <v>78109</v>
      </c>
      <c r="B2395" s="842" t="s">
        <v>52803</v>
      </c>
      <c r="C2395" s="841">
        <v>12.59</v>
      </c>
      <c r="D2395" s="657"/>
    </row>
    <row r="2396" spans="1:4" ht="14" customHeight="1">
      <c r="A2396" s="842">
        <v>78110</v>
      </c>
      <c r="B2396" s="842" t="s">
        <v>52802</v>
      </c>
      <c r="C2396" s="841">
        <v>12.59</v>
      </c>
      <c r="D2396" s="657"/>
    </row>
    <row r="2397" spans="1:4" ht="14" customHeight="1">
      <c r="A2397" s="842">
        <v>78111</v>
      </c>
      <c r="B2397" s="842" t="s">
        <v>52801</v>
      </c>
      <c r="C2397" s="841">
        <v>12.59</v>
      </c>
      <c r="D2397" s="657"/>
    </row>
    <row r="2398" spans="1:4" ht="14" customHeight="1">
      <c r="A2398" s="842">
        <v>78112</v>
      </c>
      <c r="B2398" s="842" t="s">
        <v>52800</v>
      </c>
      <c r="C2398" s="841">
        <v>12.59</v>
      </c>
      <c r="D2398" s="657"/>
    </row>
    <row r="2399" spans="1:4" ht="14" customHeight="1">
      <c r="A2399" s="852">
        <v>78113</v>
      </c>
      <c r="B2399" s="851" t="s">
        <v>52799</v>
      </c>
      <c r="C2399" s="841">
        <v>62.92</v>
      </c>
      <c r="D2399" s="845"/>
    </row>
    <row r="2400" spans="1:4" ht="14" customHeight="1">
      <c r="A2400" s="842">
        <v>78114</v>
      </c>
      <c r="B2400" s="848" t="s">
        <v>52798</v>
      </c>
      <c r="C2400" s="841">
        <v>94.38</v>
      </c>
      <c r="D2400" s="845"/>
    </row>
    <row r="2401" spans="1:7">
      <c r="A2401" s="842">
        <v>78115</v>
      </c>
      <c r="B2401" s="848" t="s">
        <v>52797</v>
      </c>
      <c r="C2401" s="850">
        <v>127.4</v>
      </c>
      <c r="D2401" s="781"/>
      <c r="E2401" s="845"/>
      <c r="F2401" s="845"/>
      <c r="G2401" s="845"/>
    </row>
    <row r="2402" spans="1:7">
      <c r="A2402" s="842">
        <v>78116</v>
      </c>
      <c r="B2402" s="848" t="s">
        <v>52796</v>
      </c>
      <c r="C2402" s="850">
        <v>7.37</v>
      </c>
      <c r="D2402" s="781"/>
      <c r="E2402" s="845"/>
      <c r="F2402" s="845"/>
      <c r="G2402" s="845"/>
    </row>
    <row r="2403" spans="1:7">
      <c r="A2403" s="842">
        <v>78117</v>
      </c>
      <c r="B2403" s="848" t="s">
        <v>52795</v>
      </c>
      <c r="C2403" s="850">
        <v>134.4</v>
      </c>
      <c r="D2403" s="781"/>
      <c r="E2403" s="845"/>
      <c r="F2403" s="845"/>
      <c r="G2403" s="845"/>
    </row>
    <row r="2404" spans="1:7">
      <c r="A2404" s="842">
        <v>78118</v>
      </c>
      <c r="B2404" s="848" t="s">
        <v>52794</v>
      </c>
      <c r="C2404" s="850">
        <v>53.76</v>
      </c>
      <c r="D2404" s="781"/>
      <c r="E2404" s="845"/>
      <c r="F2404" s="845"/>
      <c r="G2404" s="845"/>
    </row>
    <row r="2405" spans="1:7">
      <c r="A2405" s="842">
        <v>78119</v>
      </c>
      <c r="B2405" s="848" t="s">
        <v>52793</v>
      </c>
      <c r="C2405" s="850">
        <v>61.6</v>
      </c>
      <c r="D2405" s="781"/>
      <c r="E2405" s="845"/>
      <c r="F2405" s="845"/>
      <c r="G2405" s="845"/>
    </row>
    <row r="2406" spans="1:7">
      <c r="A2406" s="842">
        <v>78204</v>
      </c>
      <c r="B2406" s="848" t="s">
        <v>52792</v>
      </c>
      <c r="C2406" s="850">
        <v>106.4</v>
      </c>
      <c r="D2406" s="781"/>
      <c r="E2406" s="845"/>
      <c r="F2406" s="845"/>
      <c r="G2406" s="845"/>
    </row>
    <row r="2407" spans="1:7">
      <c r="A2407" s="842">
        <v>78205</v>
      </c>
      <c r="B2407" s="848" t="s">
        <v>52791</v>
      </c>
      <c r="C2407" s="850">
        <v>7.37</v>
      </c>
      <c r="D2407" s="781"/>
      <c r="E2407" s="845"/>
      <c r="F2407" s="845"/>
      <c r="G2407" s="845"/>
    </row>
    <row r="2408" spans="1:7">
      <c r="A2408" s="842">
        <v>78206</v>
      </c>
      <c r="B2408" s="848" t="s">
        <v>52790</v>
      </c>
      <c r="C2408" s="850">
        <v>134.4</v>
      </c>
      <c r="D2408" s="781"/>
      <c r="E2408" s="845"/>
      <c r="F2408" s="845"/>
      <c r="G2408" s="845"/>
    </row>
    <row r="2409" spans="1:7" ht="14" customHeight="1">
      <c r="A2409" s="842">
        <v>78903</v>
      </c>
      <c r="B2409" s="842" t="s">
        <v>52789</v>
      </c>
      <c r="C2409" s="841">
        <v>11.1</v>
      </c>
      <c r="D2409" s="845"/>
    </row>
    <row r="2410" spans="1:7" ht="14" customHeight="1">
      <c r="A2410" s="842">
        <v>78904</v>
      </c>
      <c r="B2410" s="842" t="s">
        <v>52788</v>
      </c>
      <c r="C2410" s="841">
        <v>11.1</v>
      </c>
      <c r="D2410" s="845"/>
    </row>
    <row r="2411" spans="1:7" ht="14" customHeight="1">
      <c r="A2411" s="842">
        <v>78913</v>
      </c>
      <c r="B2411" s="842" t="s">
        <v>52787</v>
      </c>
      <c r="C2411" s="841">
        <v>18.04</v>
      </c>
      <c r="D2411" s="845"/>
    </row>
    <row r="2412" spans="1:7" ht="14" customHeight="1">
      <c r="A2412" s="842">
        <v>85115</v>
      </c>
      <c r="B2412" s="842" t="s">
        <v>52786</v>
      </c>
      <c r="C2412" s="841">
        <v>22.21</v>
      </c>
      <c r="D2412" s="845"/>
    </row>
    <row r="2413" spans="1:7" ht="14" customHeight="1">
      <c r="A2413" s="842">
        <v>85116</v>
      </c>
      <c r="B2413" s="842" t="s">
        <v>52785</v>
      </c>
      <c r="C2413" s="841">
        <v>22.21</v>
      </c>
      <c r="D2413" s="845"/>
    </row>
    <row r="2414" spans="1:7" ht="14" customHeight="1">
      <c r="A2414" s="842">
        <v>85117</v>
      </c>
      <c r="B2414" s="842" t="s">
        <v>52784</v>
      </c>
      <c r="C2414" s="841">
        <v>22.21</v>
      </c>
      <c r="D2414" s="845"/>
    </row>
    <row r="2415" spans="1:7" ht="14" customHeight="1">
      <c r="A2415" s="842">
        <v>85175</v>
      </c>
      <c r="B2415" s="842" t="s">
        <v>52783</v>
      </c>
      <c r="C2415" s="841">
        <v>8.49</v>
      </c>
      <c r="D2415" s="845"/>
    </row>
    <row r="2416" spans="1:7" ht="14" customHeight="1">
      <c r="A2416" s="842">
        <v>85177</v>
      </c>
      <c r="B2416" s="842" t="s">
        <v>52782</v>
      </c>
      <c r="C2416" s="841">
        <v>42.46</v>
      </c>
      <c r="D2416" s="845"/>
    </row>
    <row r="2417" spans="1:4" ht="14" customHeight="1">
      <c r="A2417" s="842">
        <v>85179</v>
      </c>
      <c r="B2417" s="842" t="s">
        <v>52781</v>
      </c>
      <c r="C2417" s="841">
        <v>1284.96</v>
      </c>
      <c r="D2417" s="845"/>
    </row>
    <row r="2418" spans="1:4" ht="14" customHeight="1">
      <c r="A2418" s="842">
        <v>85180</v>
      </c>
      <c r="B2418" s="842" t="s">
        <v>52780</v>
      </c>
      <c r="C2418" s="841">
        <v>22.62</v>
      </c>
      <c r="D2418" s="845"/>
    </row>
    <row r="2419" spans="1:4" ht="14" customHeight="1">
      <c r="A2419" s="842">
        <v>85905</v>
      </c>
      <c r="B2419" s="842" t="s">
        <v>52779</v>
      </c>
      <c r="C2419" s="841">
        <v>18.04</v>
      </c>
      <c r="D2419" s="845"/>
    </row>
    <row r="2420" spans="1:4" ht="14" customHeight="1">
      <c r="A2420" s="842">
        <v>88036</v>
      </c>
      <c r="B2420" s="842" t="s">
        <v>52778</v>
      </c>
      <c r="C2420" s="841">
        <v>18.04</v>
      </c>
      <c r="D2420" s="845"/>
    </row>
    <row r="2421" spans="1:4" ht="14" customHeight="1">
      <c r="A2421" s="842">
        <v>88038</v>
      </c>
      <c r="B2421" s="842" t="s">
        <v>52777</v>
      </c>
      <c r="C2421" s="841">
        <v>18.04</v>
      </c>
      <c r="D2421" s="845"/>
    </row>
    <row r="2422" spans="1:4" ht="14" customHeight="1">
      <c r="A2422" s="842">
        <v>88043</v>
      </c>
      <c r="B2422" s="842" t="s">
        <v>52776</v>
      </c>
      <c r="C2422" s="841">
        <v>18.04</v>
      </c>
      <c r="D2422" s="845"/>
    </row>
    <row r="2423" spans="1:4" ht="14" customHeight="1">
      <c r="A2423" s="842">
        <v>88048</v>
      </c>
      <c r="B2423" s="842" t="s">
        <v>52775</v>
      </c>
      <c r="C2423" s="841">
        <v>18.04</v>
      </c>
      <c r="D2423" s="845"/>
    </row>
    <row r="2424" spans="1:4" ht="14" customHeight="1">
      <c r="A2424" s="842">
        <v>88086</v>
      </c>
      <c r="B2424" s="842" t="s">
        <v>52774</v>
      </c>
      <c r="C2424" s="841">
        <v>18.04</v>
      </c>
      <c r="D2424" s="845"/>
    </row>
    <row r="2425" spans="1:4" ht="14" customHeight="1">
      <c r="A2425" s="842">
        <v>88051</v>
      </c>
      <c r="B2425" s="844" t="s">
        <v>52773</v>
      </c>
      <c r="C2425" s="841">
        <v>26.96</v>
      </c>
      <c r="D2425" s="845"/>
    </row>
    <row r="2426" spans="1:4" ht="14" customHeight="1">
      <c r="A2426" s="842">
        <v>88053</v>
      </c>
      <c r="B2426" s="842" t="s">
        <v>52772</v>
      </c>
      <c r="C2426" s="841">
        <v>26.96</v>
      </c>
      <c r="D2426" s="845"/>
    </row>
    <row r="2427" spans="1:4" ht="14" customHeight="1">
      <c r="A2427" s="842">
        <v>88057</v>
      </c>
      <c r="B2427" s="849" t="s">
        <v>52771</v>
      </c>
      <c r="C2427" s="841">
        <v>9.44</v>
      </c>
      <c r="D2427" s="845"/>
    </row>
    <row r="2428" spans="1:4" ht="14" customHeight="1">
      <c r="A2428" s="842">
        <v>88098</v>
      </c>
      <c r="B2428" s="849" t="s">
        <v>52770</v>
      </c>
      <c r="C2428" s="841">
        <v>34.68</v>
      </c>
      <c r="D2428" s="845"/>
    </row>
    <row r="2429" spans="1:4" ht="14">
      <c r="A2429" s="843">
        <v>88110</v>
      </c>
      <c r="B2429" s="842" t="s">
        <v>52769</v>
      </c>
      <c r="C2429" s="841">
        <v>6.93</v>
      </c>
      <c r="D2429" s="657"/>
    </row>
    <row r="2430" spans="1:4" ht="14" customHeight="1">
      <c r="A2430" s="842">
        <v>88125</v>
      </c>
      <c r="B2430" s="849" t="s">
        <v>52768</v>
      </c>
      <c r="C2430" s="841">
        <v>34.68</v>
      </c>
      <c r="D2430" s="845"/>
    </row>
    <row r="2431" spans="1:4" ht="14" customHeight="1">
      <c r="A2431" s="842">
        <v>88130</v>
      </c>
      <c r="B2431" s="849" t="s">
        <v>52767</v>
      </c>
      <c r="C2431" s="841">
        <v>56</v>
      </c>
      <c r="D2431" s="845"/>
    </row>
    <row r="2432" spans="1:4" ht="14" customHeight="1">
      <c r="A2432" s="842">
        <v>88133</v>
      </c>
      <c r="B2432" s="849" t="s">
        <v>52766</v>
      </c>
      <c r="C2432" s="841">
        <v>69.56</v>
      </c>
      <c r="D2432" s="845"/>
    </row>
    <row r="2433" spans="1:4" ht="14" customHeight="1">
      <c r="A2433" s="842">
        <v>88136</v>
      </c>
      <c r="B2433" s="842" t="s">
        <v>52765</v>
      </c>
      <c r="C2433" s="841">
        <v>23.52</v>
      </c>
      <c r="D2433" s="845"/>
    </row>
    <row r="2434" spans="1:4" ht="14" customHeight="1">
      <c r="A2434" s="842">
        <v>88178</v>
      </c>
      <c r="B2434" s="842" t="s">
        <v>52764</v>
      </c>
      <c r="C2434" s="841">
        <v>6.59</v>
      </c>
      <c r="D2434" s="845"/>
    </row>
    <row r="2435" spans="1:4" s="844" customFormat="1" ht="14" customHeight="1">
      <c r="A2435" s="842">
        <v>88300</v>
      </c>
      <c r="B2435" s="842" t="s">
        <v>52763</v>
      </c>
      <c r="C2435" s="841">
        <v>28</v>
      </c>
    </row>
    <row r="2436" spans="1:4" s="844" customFormat="1" ht="14">
      <c r="A2436" s="842">
        <v>88301</v>
      </c>
      <c r="B2436" s="842" t="s">
        <v>52762</v>
      </c>
      <c r="C2436" s="841">
        <v>28</v>
      </c>
    </row>
    <row r="2437" spans="1:4" s="844" customFormat="1" ht="14">
      <c r="A2437" s="842">
        <v>88815</v>
      </c>
      <c r="B2437" s="842" t="s">
        <v>52761</v>
      </c>
      <c r="C2437" s="841">
        <v>4.4800000000000004</v>
      </c>
    </row>
    <row r="2438" spans="1:4" s="844" customFormat="1" ht="14">
      <c r="A2438" s="842">
        <v>88816</v>
      </c>
      <c r="B2438" s="842" t="s">
        <v>52760</v>
      </c>
      <c r="C2438" s="841">
        <v>4.4800000000000004</v>
      </c>
    </row>
    <row r="2439" spans="1:4" ht="14" customHeight="1">
      <c r="A2439" s="843">
        <v>88822</v>
      </c>
      <c r="B2439" s="842" t="s">
        <v>52759</v>
      </c>
      <c r="C2439" s="841">
        <v>8.74</v>
      </c>
    </row>
    <row r="2440" spans="1:4" ht="14" customHeight="1">
      <c r="A2440" s="842">
        <v>88833</v>
      </c>
      <c r="B2440" s="842" t="s">
        <v>52758</v>
      </c>
      <c r="C2440" s="841">
        <v>27.75</v>
      </c>
      <c r="D2440" s="845"/>
    </row>
    <row r="2441" spans="1:4" ht="14" customHeight="1">
      <c r="A2441" s="842">
        <v>88839</v>
      </c>
      <c r="B2441" s="842" t="s">
        <v>52757</v>
      </c>
      <c r="C2441" s="841">
        <v>13.89</v>
      </c>
      <c r="D2441" s="845"/>
    </row>
    <row r="2442" spans="1:4" ht="14" customHeight="1">
      <c r="A2442" s="842">
        <v>88906</v>
      </c>
      <c r="B2442" s="842" t="s">
        <v>52756</v>
      </c>
      <c r="C2442" s="841">
        <v>26.43</v>
      </c>
      <c r="D2442" s="845"/>
    </row>
    <row r="2443" spans="1:4" ht="14">
      <c r="A2443" s="843">
        <v>89002</v>
      </c>
      <c r="B2443" s="842" t="s">
        <v>52755</v>
      </c>
      <c r="C2443" s="841">
        <v>334.88</v>
      </c>
      <c r="D2443" s="657"/>
    </row>
    <row r="2444" spans="1:4" s="844" customFormat="1" ht="14" customHeight="1">
      <c r="A2444" s="842">
        <v>89007</v>
      </c>
      <c r="B2444" s="842" t="s">
        <v>52754</v>
      </c>
      <c r="C2444" s="841">
        <v>6.87</v>
      </c>
      <c r="D2444" s="847"/>
    </row>
    <row r="2445" spans="1:4" s="844" customFormat="1" ht="14" customHeight="1">
      <c r="A2445" s="842">
        <v>89008</v>
      </c>
      <c r="B2445" s="848" t="s">
        <v>52753</v>
      </c>
      <c r="C2445" s="841">
        <v>61.6</v>
      </c>
      <c r="D2445" s="847"/>
    </row>
    <row r="2446" spans="1:4" s="844" customFormat="1" ht="14" customHeight="1">
      <c r="A2446" s="842">
        <v>89012</v>
      </c>
      <c r="B2446" s="848" t="s">
        <v>52752</v>
      </c>
      <c r="C2446" s="841">
        <v>22.21</v>
      </c>
    </row>
    <row r="2447" spans="1:4" s="844" customFormat="1" ht="14" customHeight="1">
      <c r="A2447" s="842">
        <v>89020</v>
      </c>
      <c r="B2447" s="848" t="s">
        <v>52751</v>
      </c>
      <c r="C2447" s="841">
        <v>56</v>
      </c>
    </row>
    <row r="2448" spans="1:4" ht="14">
      <c r="A2448" s="843">
        <v>90120</v>
      </c>
      <c r="B2448" s="842" t="s">
        <v>52750</v>
      </c>
      <c r="C2448" s="841">
        <v>74.41</v>
      </c>
      <c r="D2448" s="657"/>
    </row>
    <row r="2449" spans="1:180" ht="14" customHeight="1">
      <c r="A2449" s="842">
        <v>90339</v>
      </c>
      <c r="B2449" s="842" t="s">
        <v>52749</v>
      </c>
      <c r="C2449" s="841">
        <v>75.510000000000005</v>
      </c>
      <c r="D2449" s="845"/>
    </row>
    <row r="2450" spans="1:180" ht="14" customHeight="1">
      <c r="A2450" s="842">
        <v>90542</v>
      </c>
      <c r="B2450" s="842" t="s">
        <v>52748</v>
      </c>
      <c r="C2450" s="841">
        <v>7.92</v>
      </c>
      <c r="D2450" s="845"/>
    </row>
    <row r="2451" spans="1:180" ht="14" customHeight="1">
      <c r="A2451" s="842">
        <v>90341</v>
      </c>
      <c r="B2451" s="844" t="s">
        <v>52747</v>
      </c>
      <c r="C2451" s="841">
        <v>53.42</v>
      </c>
      <c r="D2451" s="847"/>
      <c r="E2451" s="844"/>
      <c r="F2451" s="844"/>
      <c r="G2451" s="844"/>
      <c r="H2451" s="844"/>
      <c r="I2451" s="844"/>
      <c r="J2451" s="844"/>
      <c r="K2451" s="844"/>
      <c r="L2451" s="844"/>
      <c r="M2451" s="844"/>
      <c r="N2451" s="844"/>
      <c r="O2451" s="844"/>
      <c r="P2451" s="844"/>
      <c r="Q2451" s="844"/>
      <c r="R2451" s="844"/>
      <c r="S2451" s="844"/>
      <c r="T2451" s="844"/>
      <c r="U2451" s="844"/>
      <c r="V2451" s="844"/>
      <c r="W2451" s="844"/>
      <c r="X2451" s="844"/>
      <c r="Y2451" s="844"/>
      <c r="Z2451" s="844"/>
      <c r="AA2451" s="844"/>
      <c r="AB2451" s="844"/>
      <c r="AC2451" s="844"/>
      <c r="AD2451" s="844"/>
      <c r="AE2451" s="844"/>
      <c r="AF2451" s="844"/>
      <c r="AG2451" s="844"/>
      <c r="AH2451" s="844"/>
      <c r="AI2451" s="844"/>
      <c r="AJ2451" s="844"/>
      <c r="AK2451" s="844"/>
      <c r="AL2451" s="844"/>
      <c r="AM2451" s="844"/>
      <c r="AN2451" s="844"/>
      <c r="AO2451" s="844"/>
      <c r="AP2451" s="844"/>
      <c r="AQ2451" s="844"/>
      <c r="AR2451" s="844"/>
      <c r="AS2451" s="844"/>
      <c r="AT2451" s="844"/>
      <c r="AU2451" s="844"/>
      <c r="AV2451" s="844"/>
      <c r="AW2451" s="844"/>
      <c r="AX2451" s="844"/>
      <c r="AY2451" s="844"/>
      <c r="AZ2451" s="844"/>
      <c r="BA2451" s="844"/>
      <c r="BB2451" s="844"/>
      <c r="BC2451" s="844"/>
      <c r="BD2451" s="844"/>
      <c r="BE2451" s="844"/>
      <c r="BF2451" s="844"/>
      <c r="BG2451" s="844"/>
      <c r="BH2451" s="844"/>
      <c r="BI2451" s="844"/>
      <c r="BJ2451" s="844"/>
      <c r="BK2451" s="844"/>
      <c r="BL2451" s="844"/>
      <c r="BM2451" s="844"/>
      <c r="BN2451" s="844"/>
      <c r="BO2451" s="844"/>
      <c r="BP2451" s="844"/>
      <c r="BQ2451" s="844"/>
      <c r="BR2451" s="844"/>
      <c r="BS2451" s="844"/>
      <c r="BT2451" s="844"/>
      <c r="BU2451" s="844"/>
      <c r="BV2451" s="844"/>
      <c r="BW2451" s="844"/>
      <c r="BX2451" s="844"/>
      <c r="BY2451" s="844"/>
      <c r="BZ2451" s="844"/>
      <c r="CA2451" s="844"/>
      <c r="CB2451" s="844"/>
      <c r="CC2451" s="844"/>
      <c r="CD2451" s="844"/>
      <c r="CE2451" s="844"/>
      <c r="CF2451" s="844"/>
      <c r="CG2451" s="844"/>
      <c r="CH2451" s="844"/>
      <c r="CI2451" s="844"/>
      <c r="CJ2451" s="844"/>
      <c r="CK2451" s="844"/>
      <c r="CL2451" s="844"/>
      <c r="CM2451" s="844"/>
      <c r="CN2451" s="844"/>
      <c r="CO2451" s="844"/>
      <c r="CP2451" s="844"/>
      <c r="CQ2451" s="844"/>
      <c r="CR2451" s="844"/>
      <c r="CS2451" s="844"/>
      <c r="CT2451" s="844"/>
      <c r="CU2451" s="844"/>
      <c r="CV2451" s="844"/>
      <c r="CW2451" s="844"/>
      <c r="CX2451" s="844"/>
      <c r="CY2451" s="844"/>
      <c r="CZ2451" s="844"/>
      <c r="DA2451" s="844"/>
      <c r="DB2451" s="844"/>
      <c r="DC2451" s="844"/>
      <c r="DD2451" s="844"/>
      <c r="DE2451" s="844"/>
      <c r="DF2451" s="844"/>
      <c r="DG2451" s="844"/>
      <c r="DH2451" s="844"/>
      <c r="DI2451" s="844"/>
      <c r="DJ2451" s="844"/>
      <c r="DK2451" s="844"/>
      <c r="DL2451" s="844"/>
      <c r="DM2451" s="844"/>
      <c r="DN2451" s="844"/>
      <c r="DO2451" s="844"/>
      <c r="DP2451" s="844"/>
      <c r="DQ2451" s="844"/>
      <c r="DR2451" s="844"/>
      <c r="DS2451" s="844"/>
      <c r="DT2451" s="844"/>
      <c r="DU2451" s="844"/>
      <c r="DV2451" s="844"/>
      <c r="DW2451" s="844"/>
      <c r="DX2451" s="844"/>
      <c r="DY2451" s="844"/>
      <c r="DZ2451" s="844"/>
      <c r="EA2451" s="844"/>
      <c r="EB2451" s="844"/>
      <c r="EC2451" s="844"/>
      <c r="ED2451" s="844"/>
      <c r="EE2451" s="844"/>
      <c r="EF2451" s="844"/>
      <c r="EG2451" s="844"/>
      <c r="EH2451" s="844"/>
      <c r="EI2451" s="844"/>
      <c r="EJ2451" s="844"/>
      <c r="EK2451" s="844"/>
      <c r="EL2451" s="844"/>
      <c r="EM2451" s="844"/>
      <c r="EN2451" s="844"/>
      <c r="EO2451" s="844"/>
      <c r="EP2451" s="844"/>
      <c r="EQ2451" s="844"/>
      <c r="ER2451" s="844"/>
      <c r="ES2451" s="844"/>
      <c r="ET2451" s="844"/>
      <c r="EU2451" s="844"/>
      <c r="EV2451" s="844"/>
      <c r="EW2451" s="844"/>
      <c r="EX2451" s="844"/>
      <c r="EY2451" s="844"/>
      <c r="EZ2451" s="844"/>
      <c r="FA2451" s="844"/>
      <c r="FB2451" s="844"/>
      <c r="FC2451" s="844"/>
      <c r="FD2451" s="844"/>
      <c r="FE2451" s="844"/>
      <c r="FF2451" s="844"/>
      <c r="FG2451" s="844"/>
      <c r="FH2451" s="844"/>
      <c r="FI2451" s="844"/>
      <c r="FJ2451" s="844"/>
      <c r="FK2451" s="844"/>
      <c r="FL2451" s="844"/>
      <c r="FM2451" s="844"/>
      <c r="FN2451" s="844"/>
      <c r="FO2451" s="844"/>
      <c r="FP2451" s="844"/>
      <c r="FQ2451" s="844"/>
      <c r="FR2451" s="844"/>
      <c r="FS2451" s="844"/>
      <c r="FT2451" s="844"/>
      <c r="FU2451" s="844"/>
      <c r="FV2451" s="844"/>
      <c r="FW2451" s="844"/>
      <c r="FX2451" s="844"/>
    </row>
    <row r="2452" spans="1:180" s="844" customFormat="1" ht="14" customHeight="1">
      <c r="A2452" s="842">
        <v>90342</v>
      </c>
      <c r="B2452" s="844" t="s">
        <v>52746</v>
      </c>
      <c r="C2452" s="841">
        <v>17.809999999999999</v>
      </c>
      <c r="D2452" s="847"/>
    </row>
    <row r="2453" spans="1:180" s="844" customFormat="1" ht="14" customHeight="1">
      <c r="A2453" s="842">
        <v>90345</v>
      </c>
      <c r="B2453" s="844" t="s">
        <v>52745</v>
      </c>
      <c r="C2453" s="841">
        <v>68.86</v>
      </c>
      <c r="D2453" s="847"/>
    </row>
    <row r="2454" spans="1:180" s="844" customFormat="1" ht="14" customHeight="1">
      <c r="A2454" s="842">
        <v>90346</v>
      </c>
      <c r="B2454" s="844" t="s">
        <v>52744</v>
      </c>
      <c r="C2454" s="841">
        <v>13.89</v>
      </c>
      <c r="D2454" s="847"/>
    </row>
    <row r="2455" spans="1:180" s="844" customFormat="1" ht="14" customHeight="1">
      <c r="A2455" s="842">
        <v>90910</v>
      </c>
      <c r="B2455" s="844" t="s">
        <v>52743</v>
      </c>
      <c r="C2455" s="841">
        <v>688.58</v>
      </c>
      <c r="D2455" s="847"/>
    </row>
    <row r="2456" spans="1:180" s="844" customFormat="1" ht="14" customHeight="1">
      <c r="A2456" s="842">
        <v>90912</v>
      </c>
      <c r="B2456" s="844" t="s">
        <v>52742</v>
      </c>
      <c r="C2456" s="841">
        <v>652.96</v>
      </c>
      <c r="D2456" s="847"/>
    </row>
    <row r="2457" spans="1:180" ht="14">
      <c r="A2457" s="843">
        <v>91840</v>
      </c>
      <c r="B2457" s="842" t="s">
        <v>52741</v>
      </c>
      <c r="C2457" s="841">
        <v>35.840000000000003</v>
      </c>
      <c r="D2457" s="657"/>
    </row>
    <row r="2458" spans="1:180" ht="14">
      <c r="A2458" s="843">
        <v>99398</v>
      </c>
      <c r="B2458" s="842" t="s">
        <v>52740</v>
      </c>
      <c r="C2458" s="841">
        <v>6.93</v>
      </c>
      <c r="D2458" s="657"/>
    </row>
    <row r="2459" spans="1:180" s="844" customFormat="1" ht="14" customHeight="1">
      <c r="A2459" s="842">
        <v>908019</v>
      </c>
      <c r="B2459" s="842" t="s">
        <v>52739</v>
      </c>
      <c r="C2459" s="841">
        <v>10.77</v>
      </c>
      <c r="D2459" s="847"/>
    </row>
    <row r="2460" spans="1:180" s="844" customFormat="1" ht="14" customHeight="1">
      <c r="A2460" s="842">
        <v>99075</v>
      </c>
      <c r="B2460" s="842" t="s">
        <v>52738</v>
      </c>
      <c r="C2460" s="841">
        <v>5.54</v>
      </c>
      <c r="D2460" s="845"/>
      <c r="E2460" s="657"/>
      <c r="F2460" s="657"/>
      <c r="G2460" s="657"/>
      <c r="H2460" s="657"/>
      <c r="I2460" s="657"/>
      <c r="J2460" s="657"/>
      <c r="K2460" s="657"/>
      <c r="L2460" s="657"/>
      <c r="M2460" s="657"/>
      <c r="N2460" s="657"/>
      <c r="O2460" s="657"/>
      <c r="P2460" s="657"/>
      <c r="Q2460" s="657"/>
      <c r="R2460" s="657"/>
      <c r="S2460" s="657"/>
      <c r="T2460" s="657"/>
      <c r="U2460" s="657"/>
      <c r="V2460" s="657"/>
      <c r="W2460" s="657"/>
      <c r="X2460" s="657"/>
      <c r="Y2460" s="657"/>
      <c r="Z2460" s="657"/>
      <c r="AA2460" s="657"/>
      <c r="AB2460" s="657"/>
      <c r="AC2460" s="657"/>
      <c r="AD2460" s="657"/>
      <c r="AE2460" s="657"/>
      <c r="AF2460" s="657"/>
      <c r="AG2460" s="657"/>
      <c r="AH2460" s="657"/>
      <c r="AI2460" s="657"/>
      <c r="AJ2460" s="657"/>
      <c r="AK2460" s="657"/>
      <c r="AL2460" s="657"/>
      <c r="AM2460" s="657"/>
      <c r="AN2460" s="657"/>
      <c r="AO2460" s="657"/>
      <c r="AP2460" s="657"/>
      <c r="AQ2460" s="657"/>
      <c r="AR2460" s="657"/>
      <c r="AS2460" s="657"/>
      <c r="AT2460" s="657"/>
      <c r="AU2460" s="657"/>
      <c r="AV2460" s="657"/>
      <c r="AW2460" s="657"/>
      <c r="AX2460" s="657"/>
      <c r="AY2460" s="657"/>
      <c r="AZ2460" s="657"/>
      <c r="BA2460" s="657"/>
      <c r="BB2460" s="657"/>
      <c r="BC2460" s="657"/>
      <c r="BD2460" s="657"/>
      <c r="BE2460" s="657"/>
      <c r="BF2460" s="657"/>
      <c r="BG2460" s="657"/>
      <c r="BH2460" s="657"/>
      <c r="BI2460" s="657"/>
      <c r="BJ2460" s="657"/>
      <c r="BK2460" s="657"/>
      <c r="BL2460" s="657"/>
      <c r="BM2460" s="657"/>
      <c r="BN2460" s="657"/>
      <c r="BO2460" s="657"/>
      <c r="BP2460" s="657"/>
      <c r="BQ2460" s="657"/>
      <c r="BR2460" s="657"/>
      <c r="BS2460" s="657"/>
      <c r="BT2460" s="657"/>
      <c r="BU2460" s="657"/>
      <c r="BV2460" s="657"/>
      <c r="BW2460" s="657"/>
      <c r="BX2460" s="657"/>
      <c r="BY2460" s="657"/>
      <c r="BZ2460" s="657"/>
      <c r="CA2460" s="657"/>
      <c r="CB2460" s="657"/>
      <c r="CC2460" s="657"/>
      <c r="CD2460" s="657"/>
      <c r="CE2460" s="657"/>
      <c r="CF2460" s="657"/>
      <c r="CG2460" s="657"/>
      <c r="CH2460" s="657"/>
      <c r="CI2460" s="657"/>
      <c r="CJ2460" s="657"/>
      <c r="CK2460" s="657"/>
      <c r="CL2460" s="657"/>
      <c r="CM2460" s="657"/>
      <c r="CN2460" s="657"/>
      <c r="CO2460" s="657"/>
      <c r="CP2460" s="657"/>
      <c r="CQ2460" s="657"/>
      <c r="CR2460" s="657"/>
      <c r="CS2460" s="657"/>
      <c r="CT2460" s="657"/>
      <c r="CU2460" s="657"/>
      <c r="CV2460" s="657"/>
      <c r="CW2460" s="657"/>
      <c r="CX2460" s="657"/>
      <c r="CY2460" s="657"/>
      <c r="CZ2460" s="657"/>
      <c r="DA2460" s="657"/>
      <c r="DB2460" s="657"/>
      <c r="DC2460" s="657"/>
      <c r="DD2460" s="657"/>
      <c r="DE2460" s="657"/>
      <c r="DF2460" s="657"/>
      <c r="DG2460" s="657"/>
      <c r="DH2460" s="657"/>
      <c r="DI2460" s="657"/>
      <c r="DJ2460" s="657"/>
      <c r="DK2460" s="657"/>
      <c r="DL2460" s="657"/>
      <c r="DM2460" s="657"/>
      <c r="DN2460" s="657"/>
      <c r="DO2460" s="657"/>
      <c r="DP2460" s="657"/>
      <c r="DQ2460" s="657"/>
      <c r="DR2460" s="657"/>
      <c r="DS2460" s="657"/>
      <c r="DT2460" s="657"/>
      <c r="DU2460" s="657"/>
      <c r="DV2460" s="657"/>
      <c r="DW2460" s="657"/>
      <c r="DX2460" s="657"/>
      <c r="DY2460" s="657"/>
      <c r="DZ2460" s="657"/>
      <c r="EA2460" s="657"/>
      <c r="EB2460" s="657"/>
      <c r="EC2460" s="657"/>
      <c r="ED2460" s="657"/>
      <c r="EE2460" s="657"/>
      <c r="EF2460" s="657"/>
      <c r="EG2460" s="657"/>
      <c r="EH2460" s="657"/>
      <c r="EI2460" s="657"/>
      <c r="EJ2460" s="657"/>
      <c r="EK2460" s="657"/>
      <c r="EL2460" s="657"/>
      <c r="EM2460" s="657"/>
      <c r="EN2460" s="657"/>
      <c r="EO2460" s="657"/>
      <c r="EP2460" s="657"/>
      <c r="EQ2460" s="657"/>
      <c r="ER2460" s="657"/>
      <c r="ES2460" s="657"/>
      <c r="ET2460" s="657"/>
      <c r="EU2460" s="657"/>
      <c r="EV2460" s="657"/>
      <c r="EW2460" s="657"/>
      <c r="EX2460" s="657"/>
      <c r="EY2460" s="657"/>
      <c r="EZ2460" s="657"/>
      <c r="FA2460" s="657"/>
      <c r="FB2460" s="657"/>
      <c r="FC2460" s="657"/>
      <c r="FD2460" s="657"/>
      <c r="FE2460" s="657"/>
      <c r="FF2460" s="657"/>
      <c r="FG2460" s="657"/>
      <c r="FH2460" s="657"/>
      <c r="FI2460" s="657"/>
      <c r="FJ2460" s="657"/>
      <c r="FK2460" s="657"/>
      <c r="FL2460" s="657"/>
      <c r="FM2460" s="657"/>
      <c r="FN2460" s="657"/>
      <c r="FO2460" s="657"/>
      <c r="FP2460" s="657"/>
      <c r="FQ2460" s="657"/>
      <c r="FR2460" s="657"/>
      <c r="FS2460" s="657"/>
      <c r="FT2460" s="657"/>
      <c r="FU2460" s="657"/>
      <c r="FV2460" s="657"/>
      <c r="FW2460" s="657"/>
      <c r="FX2460" s="657"/>
    </row>
    <row r="2461" spans="1:180">
      <c r="A2461" s="846" t="s">
        <v>52737</v>
      </c>
      <c r="B2461" s="844"/>
      <c r="C2461" s="841"/>
    </row>
    <row r="2462" spans="1:180">
      <c r="A2462" s="843">
        <v>14029</v>
      </c>
      <c r="B2462" s="842" t="s">
        <v>52736</v>
      </c>
      <c r="C2462" s="841">
        <v>21.44</v>
      </c>
    </row>
    <row r="2463" spans="1:180">
      <c r="A2463" s="843">
        <v>14061</v>
      </c>
      <c r="B2463" s="842" t="s">
        <v>52735</v>
      </c>
      <c r="C2463" s="841">
        <v>18.87</v>
      </c>
    </row>
    <row r="2464" spans="1:180">
      <c r="A2464" s="843">
        <v>14062</v>
      </c>
      <c r="B2464" s="842" t="s">
        <v>52734</v>
      </c>
      <c r="C2464" s="841">
        <v>18.87</v>
      </c>
    </row>
    <row r="2465" spans="1:3">
      <c r="A2465" s="843">
        <v>14110</v>
      </c>
      <c r="B2465" s="842" t="s">
        <v>52733</v>
      </c>
      <c r="C2465" s="841">
        <v>5.76</v>
      </c>
    </row>
    <row r="2466" spans="1:3">
      <c r="A2466" s="843">
        <v>20160</v>
      </c>
      <c r="B2466" s="842" t="s">
        <v>52732</v>
      </c>
      <c r="C2466" s="841">
        <v>3.48</v>
      </c>
    </row>
    <row r="2467" spans="1:3">
      <c r="A2467" s="843">
        <v>20710</v>
      </c>
      <c r="B2467" s="842" t="s">
        <v>52731</v>
      </c>
      <c r="C2467" s="841">
        <v>6.93</v>
      </c>
    </row>
    <row r="2468" spans="1:3">
      <c r="A2468" s="843">
        <v>25142</v>
      </c>
      <c r="B2468" s="842" t="s">
        <v>52730</v>
      </c>
      <c r="C2468" s="841">
        <v>34.36</v>
      </c>
    </row>
    <row r="2469" spans="1:3">
      <c r="A2469" s="843">
        <v>44934</v>
      </c>
      <c r="B2469" s="842" t="s">
        <v>52729</v>
      </c>
      <c r="C2469" s="841">
        <v>10.77</v>
      </c>
    </row>
    <row r="2470" spans="1:3">
      <c r="A2470" s="843">
        <v>44935</v>
      </c>
      <c r="B2470" s="842" t="s">
        <v>52728</v>
      </c>
      <c r="C2470" s="841">
        <v>10.77</v>
      </c>
    </row>
    <row r="2471" spans="1:3">
      <c r="A2471" s="843">
        <v>45631</v>
      </c>
      <c r="B2471" s="842" t="s">
        <v>52727</v>
      </c>
      <c r="C2471" s="841">
        <v>48.6</v>
      </c>
    </row>
    <row r="2472" spans="1:3">
      <c r="A2472" s="843">
        <v>45632</v>
      </c>
      <c r="B2472" s="842" t="s">
        <v>52726</v>
      </c>
      <c r="C2472" s="841">
        <v>48.6</v>
      </c>
    </row>
    <row r="2473" spans="1:3">
      <c r="A2473" s="843">
        <v>45633</v>
      </c>
      <c r="B2473" s="842" t="s">
        <v>52725</v>
      </c>
      <c r="C2473" s="841">
        <v>51.64</v>
      </c>
    </row>
    <row r="2474" spans="1:3">
      <c r="A2474" s="843">
        <v>45634</v>
      </c>
      <c r="B2474" s="842" t="s">
        <v>52724</v>
      </c>
      <c r="C2474" s="841">
        <v>51.64</v>
      </c>
    </row>
    <row r="2475" spans="1:3">
      <c r="A2475" s="843">
        <v>45635</v>
      </c>
      <c r="B2475" s="842" t="s">
        <v>52723</v>
      </c>
      <c r="C2475" s="841">
        <v>7.92</v>
      </c>
    </row>
    <row r="2476" spans="1:3">
      <c r="A2476" s="843">
        <v>45638</v>
      </c>
      <c r="B2476" s="842" t="s">
        <v>52722</v>
      </c>
      <c r="C2476" s="841">
        <v>51.5</v>
      </c>
    </row>
    <row r="2477" spans="1:3">
      <c r="A2477" s="843">
        <v>45639</v>
      </c>
      <c r="B2477" s="842" t="s">
        <v>52721</v>
      </c>
      <c r="C2477" s="841">
        <v>73.64</v>
      </c>
    </row>
    <row r="2478" spans="1:3">
      <c r="A2478" s="843">
        <v>45640</v>
      </c>
      <c r="B2478" s="842" t="s">
        <v>52720</v>
      </c>
      <c r="C2478" s="841">
        <v>7.92</v>
      </c>
    </row>
    <row r="2479" spans="1:3">
      <c r="A2479" s="843">
        <v>45641</v>
      </c>
      <c r="B2479" s="842" t="s">
        <v>52719</v>
      </c>
      <c r="C2479" s="841">
        <v>265.14</v>
      </c>
    </row>
    <row r="2480" spans="1:3">
      <c r="A2480" s="843">
        <v>45642</v>
      </c>
      <c r="B2480" s="842" t="s">
        <v>52718</v>
      </c>
      <c r="C2480" s="841">
        <v>15.76</v>
      </c>
    </row>
    <row r="2481" spans="1:3">
      <c r="A2481" s="843">
        <v>45643</v>
      </c>
      <c r="B2481" s="842" t="s">
        <v>52717</v>
      </c>
      <c r="C2481" s="841">
        <v>3.19</v>
      </c>
    </row>
    <row r="2482" spans="1:3">
      <c r="A2482" s="843">
        <v>45841</v>
      </c>
      <c r="B2482" s="842" t="s">
        <v>52716</v>
      </c>
      <c r="C2482" s="841">
        <v>90.23</v>
      </c>
    </row>
    <row r="2483" spans="1:3">
      <c r="A2483" s="843">
        <v>45843</v>
      </c>
      <c r="B2483" s="842" t="s">
        <v>52715</v>
      </c>
      <c r="C2483" s="841">
        <v>20.82</v>
      </c>
    </row>
    <row r="2484" spans="1:3">
      <c r="A2484" s="843">
        <v>45844</v>
      </c>
      <c r="B2484" s="842" t="s">
        <v>52714</v>
      </c>
      <c r="C2484" s="841">
        <v>69.42</v>
      </c>
    </row>
    <row r="2485" spans="1:3">
      <c r="A2485" s="843">
        <v>45847</v>
      </c>
      <c r="B2485" s="842" t="s">
        <v>52713</v>
      </c>
      <c r="C2485" s="841">
        <v>69.42</v>
      </c>
    </row>
    <row r="2486" spans="1:3">
      <c r="A2486" s="843">
        <v>45904</v>
      </c>
      <c r="B2486" s="842" t="s">
        <v>52712</v>
      </c>
      <c r="C2486" s="841">
        <v>48.6</v>
      </c>
    </row>
    <row r="2487" spans="1:3">
      <c r="A2487" s="843">
        <v>45914</v>
      </c>
      <c r="B2487" s="842" t="s">
        <v>52711</v>
      </c>
      <c r="C2487" s="841">
        <v>48.6</v>
      </c>
    </row>
    <row r="2488" spans="1:3">
      <c r="A2488" s="843">
        <v>45916</v>
      </c>
      <c r="B2488" s="842" t="s">
        <v>52710</v>
      </c>
      <c r="C2488" s="841">
        <v>6.93</v>
      </c>
    </row>
    <row r="2489" spans="1:3">
      <c r="A2489" s="843">
        <v>45918</v>
      </c>
      <c r="B2489" s="842" t="s">
        <v>52709</v>
      </c>
      <c r="C2489" s="841">
        <v>17.37</v>
      </c>
    </row>
    <row r="2490" spans="1:3">
      <c r="A2490" s="843">
        <v>45924</v>
      </c>
      <c r="B2490" s="842" t="s">
        <v>52708</v>
      </c>
      <c r="C2490" s="841">
        <v>42.91</v>
      </c>
    </row>
    <row r="2491" spans="1:3">
      <c r="A2491" s="843">
        <v>61001</v>
      </c>
      <c r="B2491" s="842" t="s">
        <v>52707</v>
      </c>
      <c r="C2491" s="841">
        <v>6.88</v>
      </c>
    </row>
    <row r="2492" spans="1:3">
      <c r="A2492" s="843">
        <v>61013</v>
      </c>
      <c r="B2492" s="842" t="s">
        <v>52706</v>
      </c>
      <c r="C2492" s="841">
        <v>6.74</v>
      </c>
    </row>
    <row r="2493" spans="1:3">
      <c r="A2493" s="843">
        <v>61426</v>
      </c>
      <c r="B2493" s="842" t="s">
        <v>52705</v>
      </c>
      <c r="C2493" s="841">
        <v>7.28</v>
      </c>
    </row>
    <row r="2494" spans="1:3">
      <c r="A2494" s="843">
        <v>61427</v>
      </c>
      <c r="B2494" s="842" t="s">
        <v>52704</v>
      </c>
      <c r="C2494" s="841">
        <v>7.28</v>
      </c>
    </row>
    <row r="2495" spans="1:3">
      <c r="A2495" s="843">
        <v>61440</v>
      </c>
      <c r="B2495" s="842" t="s">
        <v>52703</v>
      </c>
      <c r="C2495" s="841">
        <v>7.55</v>
      </c>
    </row>
    <row r="2496" spans="1:3">
      <c r="A2496" s="843">
        <v>61441</v>
      </c>
      <c r="B2496" s="842" t="s">
        <v>52702</v>
      </c>
      <c r="C2496" s="841">
        <v>7.55</v>
      </c>
    </row>
    <row r="2497" spans="1:3">
      <c r="A2497" s="843">
        <v>61701</v>
      </c>
      <c r="B2497" s="842" t="s">
        <v>52701</v>
      </c>
      <c r="C2497" s="841">
        <v>3.32</v>
      </c>
    </row>
    <row r="2498" spans="1:3">
      <c r="A2498" s="843">
        <v>61720</v>
      </c>
      <c r="B2498" s="842" t="s">
        <v>52700</v>
      </c>
      <c r="C2498" s="841">
        <v>7.28</v>
      </c>
    </row>
    <row r="2499" spans="1:3">
      <c r="A2499" s="843">
        <v>61721</v>
      </c>
      <c r="B2499" s="842" t="s">
        <v>52699</v>
      </c>
      <c r="C2499" s="841">
        <v>7.28</v>
      </c>
    </row>
    <row r="2500" spans="1:3">
      <c r="A2500" s="843">
        <v>67103</v>
      </c>
      <c r="B2500" s="842" t="s">
        <v>52698</v>
      </c>
      <c r="C2500" s="841">
        <v>18.87</v>
      </c>
    </row>
    <row r="2501" spans="1:3">
      <c r="A2501" s="843">
        <v>67304</v>
      </c>
      <c r="B2501" s="842" t="s">
        <v>52697</v>
      </c>
      <c r="C2501" s="841">
        <v>29.65</v>
      </c>
    </row>
    <row r="2502" spans="1:3">
      <c r="A2502" s="843">
        <v>68052</v>
      </c>
      <c r="B2502" s="842" t="s">
        <v>52696</v>
      </c>
      <c r="C2502" s="841">
        <v>57.46</v>
      </c>
    </row>
    <row r="2503" spans="1:3">
      <c r="A2503" s="843">
        <v>68090</v>
      </c>
      <c r="B2503" s="842" t="s">
        <v>52695</v>
      </c>
      <c r="C2503" s="841">
        <v>6.61</v>
      </c>
    </row>
    <row r="2504" spans="1:3">
      <c r="A2504" s="843">
        <v>68091</v>
      </c>
      <c r="B2504" s="842" t="s">
        <v>52694</v>
      </c>
      <c r="C2504" s="841">
        <v>15.86</v>
      </c>
    </row>
    <row r="2505" spans="1:3">
      <c r="A2505" s="843">
        <v>68092</v>
      </c>
      <c r="B2505" s="842" t="s">
        <v>52693</v>
      </c>
      <c r="C2505" s="841">
        <v>2.64</v>
      </c>
    </row>
    <row r="2506" spans="1:3">
      <c r="A2506" s="843">
        <v>68221</v>
      </c>
      <c r="B2506" s="842" t="s">
        <v>52692</v>
      </c>
      <c r="C2506" s="841">
        <v>37.200000000000003</v>
      </c>
    </row>
    <row r="2507" spans="1:3">
      <c r="A2507" s="843">
        <v>68236</v>
      </c>
      <c r="B2507" s="842" t="s">
        <v>52691</v>
      </c>
      <c r="C2507" s="841">
        <v>57.46</v>
      </c>
    </row>
    <row r="2508" spans="1:3">
      <c r="A2508" s="843">
        <v>68715</v>
      </c>
      <c r="B2508" s="842" t="s">
        <v>52690</v>
      </c>
      <c r="C2508" s="841">
        <v>60.66</v>
      </c>
    </row>
    <row r="2509" spans="1:3">
      <c r="A2509" s="843">
        <v>69125</v>
      </c>
      <c r="B2509" s="842" t="s">
        <v>52689</v>
      </c>
      <c r="C2509" s="841">
        <v>10.77</v>
      </c>
    </row>
    <row r="2510" spans="1:3">
      <c r="A2510" s="843">
        <v>69164</v>
      </c>
      <c r="B2510" s="842" t="s">
        <v>52688</v>
      </c>
      <c r="C2510" s="841">
        <v>27.75</v>
      </c>
    </row>
    <row r="2511" spans="1:3">
      <c r="A2511" s="843">
        <v>70400</v>
      </c>
      <c r="B2511" s="842" t="s">
        <v>52687</v>
      </c>
      <c r="C2511" s="841">
        <v>6.93</v>
      </c>
    </row>
    <row r="2512" spans="1:3">
      <c r="A2512" s="843">
        <v>74050</v>
      </c>
      <c r="B2512" s="842" t="s">
        <v>52686</v>
      </c>
      <c r="C2512" s="841">
        <v>5</v>
      </c>
    </row>
    <row r="2513" spans="1:4">
      <c r="A2513" s="843">
        <v>74051</v>
      </c>
      <c r="B2513" s="842" t="s">
        <v>52685</v>
      </c>
      <c r="C2513" s="841">
        <v>20.61</v>
      </c>
    </row>
    <row r="2514" spans="1:4">
      <c r="A2514" s="843">
        <v>74335</v>
      </c>
      <c r="B2514" s="842" t="s">
        <v>52684</v>
      </c>
      <c r="C2514" s="841">
        <v>48.6</v>
      </c>
    </row>
    <row r="2515" spans="1:4">
      <c r="A2515" s="843">
        <v>74507</v>
      </c>
      <c r="B2515" s="842" t="s">
        <v>52683</v>
      </c>
      <c r="C2515" s="841">
        <v>35.74</v>
      </c>
    </row>
    <row r="2516" spans="1:4">
      <c r="A2516" s="843">
        <v>74535</v>
      </c>
      <c r="B2516" s="842" t="s">
        <v>52682</v>
      </c>
      <c r="C2516" s="841">
        <v>55.53</v>
      </c>
    </row>
    <row r="2517" spans="1:4">
      <c r="A2517" s="843">
        <v>74914</v>
      </c>
      <c r="B2517" s="842" t="s">
        <v>52681</v>
      </c>
      <c r="C2517" s="841">
        <v>12.63</v>
      </c>
    </row>
    <row r="2518" spans="1:4">
      <c r="A2518" s="843">
        <v>75125</v>
      </c>
      <c r="B2518" s="842" t="s">
        <v>52680</v>
      </c>
      <c r="C2518" s="841">
        <v>22.09</v>
      </c>
    </row>
    <row r="2519" spans="1:4">
      <c r="A2519" s="843">
        <v>75765</v>
      </c>
      <c r="B2519" s="842" t="s">
        <v>52679</v>
      </c>
      <c r="C2519" s="841">
        <v>44.23</v>
      </c>
    </row>
    <row r="2520" spans="1:4">
      <c r="A2520" s="843">
        <v>75798</v>
      </c>
      <c r="B2520" s="842" t="s">
        <v>52678</v>
      </c>
      <c r="C2520" s="841">
        <v>34.700000000000003</v>
      </c>
    </row>
    <row r="2521" spans="1:4" ht="14" customHeight="1">
      <c r="A2521" s="842">
        <v>75914</v>
      </c>
      <c r="B2521" s="842" t="s">
        <v>52677</v>
      </c>
      <c r="C2521" s="841">
        <v>14.29</v>
      </c>
      <c r="D2521" s="845"/>
    </row>
    <row r="2522" spans="1:4">
      <c r="A2522" s="843">
        <v>75952</v>
      </c>
      <c r="B2522" s="842" t="s">
        <v>52676</v>
      </c>
      <c r="C2522" s="841">
        <v>33.700000000000003</v>
      </c>
    </row>
    <row r="2523" spans="1:4">
      <c r="A2523" s="843">
        <v>75956</v>
      </c>
      <c r="B2523" s="842" t="s">
        <v>52675</v>
      </c>
      <c r="C2523" s="841">
        <v>50.4</v>
      </c>
    </row>
    <row r="2524" spans="1:4">
      <c r="A2524" s="843">
        <v>76102</v>
      </c>
      <c r="B2524" s="842" t="s">
        <v>52674</v>
      </c>
      <c r="C2524" s="841">
        <v>15.76</v>
      </c>
    </row>
    <row r="2525" spans="1:4">
      <c r="A2525" s="843">
        <v>76104</v>
      </c>
      <c r="B2525" s="842" t="s">
        <v>52673</v>
      </c>
      <c r="C2525" s="841">
        <v>1.75</v>
      </c>
    </row>
    <row r="2526" spans="1:4">
      <c r="A2526" s="843">
        <v>76956</v>
      </c>
      <c r="B2526" s="842" t="s">
        <v>52672</v>
      </c>
      <c r="C2526" s="841">
        <v>21.44</v>
      </c>
    </row>
    <row r="2527" spans="1:4" ht="14" customHeight="1">
      <c r="A2527" s="843">
        <v>77510</v>
      </c>
      <c r="B2527" s="842" t="s">
        <v>52671</v>
      </c>
      <c r="C2527" s="841">
        <v>45.68</v>
      </c>
    </row>
    <row r="2528" spans="1:4" ht="14" customHeight="1">
      <c r="A2528" s="843">
        <v>78003</v>
      </c>
      <c r="B2528" s="842" t="s">
        <v>52670</v>
      </c>
      <c r="C2528" s="841">
        <v>57.2</v>
      </c>
    </row>
    <row r="2529" spans="1:4" ht="14" customHeight="1">
      <c r="A2529" s="842">
        <v>78914</v>
      </c>
      <c r="B2529" s="842" t="s">
        <v>52669</v>
      </c>
      <c r="C2529" s="841">
        <v>14.29</v>
      </c>
      <c r="D2529" s="845"/>
    </row>
    <row r="2530" spans="1:4" ht="14" customHeight="1">
      <c r="A2530" s="842">
        <v>78915</v>
      </c>
      <c r="B2530" s="842" t="s">
        <v>52668</v>
      </c>
      <c r="C2530" s="841">
        <v>14.29</v>
      </c>
      <c r="D2530" s="845"/>
    </row>
    <row r="2531" spans="1:4" ht="14" customHeight="1">
      <c r="A2531" s="843">
        <v>88117</v>
      </c>
      <c r="B2531" s="842" t="s">
        <v>52667</v>
      </c>
      <c r="C2531" s="841">
        <v>22.92</v>
      </c>
    </row>
    <row r="2532" spans="1:4" ht="14" customHeight="1">
      <c r="A2532" s="843">
        <v>88705</v>
      </c>
      <c r="B2532" s="842" t="s">
        <v>52666</v>
      </c>
      <c r="C2532" s="841">
        <v>44.36</v>
      </c>
    </row>
    <row r="2533" spans="1:4" ht="14" customHeight="1">
      <c r="A2533" s="842">
        <v>88914</v>
      </c>
      <c r="B2533" s="842" t="s">
        <v>52665</v>
      </c>
      <c r="C2533" s="841">
        <v>12.63</v>
      </c>
      <c r="D2533" s="845"/>
    </row>
    <row r="2534" spans="1:4" ht="14" customHeight="1">
      <c r="A2534" s="843">
        <v>90030</v>
      </c>
      <c r="B2534" s="842" t="s">
        <v>52664</v>
      </c>
      <c r="C2534" s="841">
        <v>25.83</v>
      </c>
    </row>
    <row r="2535" spans="1:4" ht="14" customHeight="1">
      <c r="A2535" s="843">
        <v>90314</v>
      </c>
      <c r="B2535" s="842" t="s">
        <v>52663</v>
      </c>
      <c r="C2535" s="841">
        <v>14.18</v>
      </c>
    </row>
    <row r="2536" spans="1:4" ht="14" customHeight="1">
      <c r="A2536" s="843">
        <v>90320</v>
      </c>
      <c r="B2536" s="842" t="s">
        <v>52662</v>
      </c>
      <c r="C2536" s="841">
        <v>14.18</v>
      </c>
    </row>
    <row r="2537" spans="1:4" ht="14" customHeight="1">
      <c r="A2537" s="843">
        <v>90331</v>
      </c>
      <c r="B2537" s="842" t="s">
        <v>52661</v>
      </c>
      <c r="C2537" s="841">
        <v>10.33</v>
      </c>
    </row>
    <row r="2538" spans="1:4">
      <c r="A2538" s="843">
        <v>90547</v>
      </c>
      <c r="B2538" s="842" t="s">
        <v>52660</v>
      </c>
      <c r="C2538" s="841">
        <v>14.29</v>
      </c>
    </row>
    <row r="2539" spans="1:4">
      <c r="A2539" s="843">
        <v>90557</v>
      </c>
      <c r="B2539" s="842" t="s">
        <v>52659</v>
      </c>
      <c r="C2539" s="841">
        <v>16.649999999999999</v>
      </c>
    </row>
    <row r="2540" spans="1:4">
      <c r="A2540" s="843">
        <v>90954</v>
      </c>
      <c r="B2540" s="842" t="s">
        <v>52658</v>
      </c>
      <c r="C2540" s="841">
        <v>84</v>
      </c>
    </row>
    <row r="2541" spans="1:4">
      <c r="A2541" s="843">
        <v>130018</v>
      </c>
      <c r="B2541" s="842" t="s">
        <v>52657</v>
      </c>
      <c r="C2541" s="841">
        <v>10.63</v>
      </c>
    </row>
    <row r="2542" spans="1:4">
      <c r="A2542" s="843">
        <v>130066</v>
      </c>
      <c r="B2542" s="842" t="s">
        <v>52656</v>
      </c>
      <c r="C2542" s="841">
        <v>1.32</v>
      </c>
    </row>
    <row r="2543" spans="1:4">
      <c r="A2543" s="843">
        <v>140026</v>
      </c>
      <c r="B2543" s="842" t="s">
        <v>52655</v>
      </c>
      <c r="C2543" s="841">
        <v>0.71</v>
      </c>
    </row>
    <row r="2544" spans="1:4">
      <c r="A2544" s="843">
        <v>140029</v>
      </c>
      <c r="B2544" s="842" t="s">
        <v>52654</v>
      </c>
      <c r="C2544" s="841">
        <v>18.87</v>
      </c>
    </row>
    <row r="2545" spans="1:3">
      <c r="A2545" s="843">
        <v>140112</v>
      </c>
      <c r="B2545" s="842" t="s">
        <v>52653</v>
      </c>
      <c r="C2545" s="841">
        <v>66.099999999999994</v>
      </c>
    </row>
    <row r="2546" spans="1:3">
      <c r="A2546" s="843">
        <v>140121</v>
      </c>
      <c r="B2546" s="842" t="s">
        <v>52652</v>
      </c>
      <c r="C2546" s="841">
        <v>7.93</v>
      </c>
    </row>
    <row r="2547" spans="1:3">
      <c r="A2547" s="843">
        <v>140123</v>
      </c>
      <c r="B2547" s="842" t="s">
        <v>52651</v>
      </c>
      <c r="C2547" s="841">
        <v>6.61</v>
      </c>
    </row>
    <row r="2548" spans="1:3">
      <c r="A2548" s="843">
        <v>141012</v>
      </c>
      <c r="B2548" s="842" t="s">
        <v>52650</v>
      </c>
      <c r="C2548" s="841">
        <v>0.67</v>
      </c>
    </row>
    <row r="2549" spans="1:3">
      <c r="A2549" s="843">
        <v>141120</v>
      </c>
      <c r="B2549" s="842" t="s">
        <v>52649</v>
      </c>
      <c r="C2549" s="841">
        <v>8.1</v>
      </c>
    </row>
    <row r="2550" spans="1:3">
      <c r="A2550" s="843">
        <v>141129</v>
      </c>
      <c r="B2550" s="842" t="s">
        <v>52648</v>
      </c>
      <c r="C2550" s="841">
        <v>0.34</v>
      </c>
    </row>
    <row r="2551" spans="1:3">
      <c r="A2551" s="843">
        <v>143037</v>
      </c>
      <c r="B2551" s="842" t="s">
        <v>52647</v>
      </c>
      <c r="C2551" s="841">
        <v>5.94</v>
      </c>
    </row>
    <row r="2552" spans="1:3">
      <c r="A2552" s="843">
        <v>151601</v>
      </c>
      <c r="B2552" s="842" t="s">
        <v>52646</v>
      </c>
      <c r="C2552" s="841">
        <v>11.1</v>
      </c>
    </row>
    <row r="2553" spans="1:3">
      <c r="A2553" s="843">
        <v>151706</v>
      </c>
      <c r="B2553" s="842" t="s">
        <v>52645</v>
      </c>
      <c r="C2553" s="841">
        <v>1.75</v>
      </c>
    </row>
    <row r="2554" spans="1:3">
      <c r="A2554" s="843">
        <v>151726</v>
      </c>
      <c r="B2554" s="842" t="s">
        <v>52644</v>
      </c>
      <c r="C2554" s="841">
        <v>13.23</v>
      </c>
    </row>
    <row r="2555" spans="1:3">
      <c r="A2555" s="843">
        <v>201604</v>
      </c>
      <c r="B2555" s="842" t="s">
        <v>52643</v>
      </c>
      <c r="C2555" s="841">
        <v>1.75</v>
      </c>
    </row>
    <row r="2556" spans="1:3">
      <c r="A2556" s="843">
        <v>201722</v>
      </c>
      <c r="B2556" s="842" t="s">
        <v>52642</v>
      </c>
      <c r="C2556" s="841">
        <v>15.28</v>
      </c>
    </row>
    <row r="2557" spans="1:3">
      <c r="A2557" s="843">
        <v>201777</v>
      </c>
      <c r="B2557" s="842" t="s">
        <v>52641</v>
      </c>
      <c r="C2557" s="841">
        <v>1.75</v>
      </c>
    </row>
    <row r="2558" spans="1:3">
      <c r="A2558" s="843">
        <v>202027</v>
      </c>
      <c r="B2558" s="842" t="s">
        <v>52640</v>
      </c>
      <c r="C2558" s="841">
        <v>2.78</v>
      </c>
    </row>
    <row r="2559" spans="1:3">
      <c r="A2559" s="843">
        <v>202515</v>
      </c>
      <c r="B2559" s="842" t="s">
        <v>52639</v>
      </c>
      <c r="C2559" s="841">
        <v>1.39</v>
      </c>
    </row>
    <row r="2560" spans="1:3">
      <c r="A2560" s="843">
        <v>205004</v>
      </c>
      <c r="B2560" s="842" t="s">
        <v>52638</v>
      </c>
      <c r="C2560" s="841">
        <v>6.93</v>
      </c>
    </row>
    <row r="2561" spans="1:3">
      <c r="A2561" s="843">
        <v>206003</v>
      </c>
      <c r="B2561" s="842" t="s">
        <v>52637</v>
      </c>
      <c r="C2561" s="841">
        <v>13.89</v>
      </c>
    </row>
    <row r="2562" spans="1:3">
      <c r="A2562" s="843">
        <v>240008</v>
      </c>
      <c r="B2562" s="842" t="s">
        <v>52636</v>
      </c>
      <c r="C2562" s="841">
        <v>7.28</v>
      </c>
    </row>
    <row r="2563" spans="1:3">
      <c r="A2563" s="843">
        <v>240028</v>
      </c>
      <c r="B2563" s="842" t="s">
        <v>52635</v>
      </c>
      <c r="C2563" s="841">
        <v>1.75</v>
      </c>
    </row>
    <row r="2564" spans="1:3">
      <c r="A2564" s="843">
        <v>250002</v>
      </c>
      <c r="B2564" s="842" t="s">
        <v>52634</v>
      </c>
      <c r="C2564" s="841">
        <v>14.18</v>
      </c>
    </row>
    <row r="2565" spans="1:3">
      <c r="A2565" s="843">
        <v>250005</v>
      </c>
      <c r="B2565" s="842" t="s">
        <v>52633</v>
      </c>
      <c r="C2565" s="841">
        <v>1.75</v>
      </c>
    </row>
    <row r="2566" spans="1:3">
      <c r="A2566" s="843">
        <v>250008</v>
      </c>
      <c r="B2566" s="842" t="s">
        <v>52632</v>
      </c>
      <c r="C2566" s="841">
        <v>3.48</v>
      </c>
    </row>
    <row r="2567" spans="1:3">
      <c r="A2567" s="843">
        <v>251003</v>
      </c>
      <c r="B2567" s="842" t="s">
        <v>52631</v>
      </c>
      <c r="C2567" s="841">
        <v>17.37</v>
      </c>
    </row>
    <row r="2568" spans="1:3">
      <c r="A2568" s="843">
        <v>251700</v>
      </c>
      <c r="B2568" s="842" t="s">
        <v>52630</v>
      </c>
      <c r="C2568" s="841">
        <v>74.959999999999994</v>
      </c>
    </row>
    <row r="2569" spans="1:3">
      <c r="A2569" s="843">
        <v>252001</v>
      </c>
      <c r="B2569" s="842" t="s">
        <v>52629</v>
      </c>
      <c r="C2569" s="841">
        <v>31.46</v>
      </c>
    </row>
    <row r="2570" spans="1:3">
      <c r="A2570" s="843">
        <v>252013</v>
      </c>
      <c r="B2570" s="842" t="s">
        <v>52628</v>
      </c>
      <c r="C2570" s="841">
        <v>4.17</v>
      </c>
    </row>
    <row r="2571" spans="1:3">
      <c r="A2571" s="843">
        <v>252014</v>
      </c>
      <c r="B2571" s="842" t="s">
        <v>52627</v>
      </c>
      <c r="C2571" s="841">
        <v>6.74</v>
      </c>
    </row>
    <row r="2572" spans="1:3">
      <c r="A2572" s="843">
        <v>252015</v>
      </c>
      <c r="B2572" s="842" t="s">
        <v>52626</v>
      </c>
      <c r="C2572" s="841">
        <v>6.93</v>
      </c>
    </row>
    <row r="2573" spans="1:3">
      <c r="A2573" s="843">
        <v>252018</v>
      </c>
      <c r="B2573" s="842" t="s">
        <v>52625</v>
      </c>
      <c r="C2573" s="841">
        <v>55.25</v>
      </c>
    </row>
    <row r="2574" spans="1:3">
      <c r="A2574" s="843">
        <v>330002</v>
      </c>
      <c r="B2574" s="842" t="s">
        <v>52624</v>
      </c>
      <c r="C2574" s="841">
        <v>6.88</v>
      </c>
    </row>
    <row r="2575" spans="1:3">
      <c r="A2575" s="843">
        <v>330025</v>
      </c>
      <c r="B2575" s="842" t="s">
        <v>52623</v>
      </c>
      <c r="C2575" s="841">
        <v>0.67</v>
      </c>
    </row>
    <row r="2576" spans="1:3">
      <c r="A2576" s="843">
        <v>330218</v>
      </c>
      <c r="B2576" s="842" t="s">
        <v>52622</v>
      </c>
      <c r="C2576" s="841">
        <v>6.88</v>
      </c>
    </row>
    <row r="2577" spans="1:3">
      <c r="A2577" s="843">
        <v>338005</v>
      </c>
      <c r="B2577" s="842" t="s">
        <v>52621</v>
      </c>
      <c r="C2577" s="841">
        <v>16.170000000000002</v>
      </c>
    </row>
    <row r="2578" spans="1:3">
      <c r="A2578" s="843">
        <v>400103</v>
      </c>
      <c r="B2578" s="842" t="s">
        <v>52620</v>
      </c>
      <c r="C2578" s="841">
        <v>2.78</v>
      </c>
    </row>
    <row r="2579" spans="1:3">
      <c r="A2579" s="843">
        <v>400157</v>
      </c>
      <c r="B2579" s="842" t="s">
        <v>52619</v>
      </c>
      <c r="C2579" s="841">
        <v>11.04</v>
      </c>
    </row>
    <row r="2580" spans="1:3">
      <c r="A2580" s="843">
        <v>400307</v>
      </c>
      <c r="B2580" s="842" t="s">
        <v>52618</v>
      </c>
      <c r="C2580" s="841">
        <v>2.92</v>
      </c>
    </row>
    <row r="2581" spans="1:3">
      <c r="A2581" s="843">
        <v>401705</v>
      </c>
      <c r="B2581" s="842" t="s">
        <v>52617</v>
      </c>
      <c r="C2581" s="841">
        <v>74.959999999999994</v>
      </c>
    </row>
    <row r="2582" spans="1:3">
      <c r="A2582" s="843">
        <v>440005</v>
      </c>
      <c r="B2582" s="842" t="s">
        <v>52616</v>
      </c>
      <c r="C2582" s="841">
        <v>2.78</v>
      </c>
    </row>
    <row r="2583" spans="1:3">
      <c r="A2583" s="843">
        <v>440006</v>
      </c>
      <c r="B2583" s="842" t="s">
        <v>52615</v>
      </c>
      <c r="C2583" s="841">
        <v>0.71</v>
      </c>
    </row>
    <row r="2584" spans="1:3">
      <c r="A2584" s="843">
        <v>440007</v>
      </c>
      <c r="B2584" s="842" t="s">
        <v>52614</v>
      </c>
      <c r="C2584" s="841">
        <v>59.71</v>
      </c>
    </row>
    <row r="2585" spans="1:3">
      <c r="A2585" s="843">
        <v>440015</v>
      </c>
      <c r="B2585" s="842" t="s">
        <v>52613</v>
      </c>
      <c r="C2585" s="841">
        <v>1.46</v>
      </c>
    </row>
    <row r="2586" spans="1:3">
      <c r="A2586" s="843">
        <v>440023</v>
      </c>
      <c r="B2586" s="842" t="s">
        <v>52612</v>
      </c>
      <c r="C2586" s="841">
        <v>0.43</v>
      </c>
    </row>
    <row r="2587" spans="1:3">
      <c r="A2587" s="843">
        <v>440033</v>
      </c>
      <c r="B2587" s="842" t="s">
        <v>52611</v>
      </c>
      <c r="C2587" s="841">
        <v>1.59</v>
      </c>
    </row>
    <row r="2588" spans="1:3">
      <c r="A2588" s="843">
        <v>440106</v>
      </c>
      <c r="B2588" s="842" t="s">
        <v>52610</v>
      </c>
      <c r="C2588" s="841">
        <v>14.18</v>
      </c>
    </row>
    <row r="2589" spans="1:3">
      <c r="A2589" s="843">
        <v>440114</v>
      </c>
      <c r="B2589" s="842" t="s">
        <v>52609</v>
      </c>
      <c r="C2589" s="841">
        <v>24.99</v>
      </c>
    </row>
    <row r="2590" spans="1:3">
      <c r="A2590" s="843">
        <v>440117</v>
      </c>
      <c r="B2590" s="842" t="s">
        <v>52608</v>
      </c>
      <c r="C2590" s="841">
        <v>8.1</v>
      </c>
    </row>
    <row r="2591" spans="1:3">
      <c r="A2591" s="843">
        <v>440927</v>
      </c>
      <c r="B2591" s="842" t="s">
        <v>52607</v>
      </c>
      <c r="C2591" s="841">
        <v>20.22</v>
      </c>
    </row>
    <row r="2592" spans="1:3">
      <c r="A2592" s="843">
        <v>443028</v>
      </c>
      <c r="B2592" s="842" t="s">
        <v>52606</v>
      </c>
      <c r="C2592" s="841">
        <v>52.85</v>
      </c>
    </row>
    <row r="2593" spans="1:3">
      <c r="A2593" s="843">
        <v>443210</v>
      </c>
      <c r="B2593" s="842" t="s">
        <v>52605</v>
      </c>
      <c r="C2593" s="841">
        <v>19.440000000000001</v>
      </c>
    </row>
    <row r="2594" spans="1:3">
      <c r="A2594" s="843">
        <v>444001</v>
      </c>
      <c r="B2594" s="842" t="s">
        <v>52604</v>
      </c>
      <c r="C2594" s="841">
        <v>32.479999999999997</v>
      </c>
    </row>
    <row r="2595" spans="1:3">
      <c r="A2595" s="843">
        <v>446001</v>
      </c>
      <c r="B2595" s="842" t="s">
        <v>52603</v>
      </c>
      <c r="C2595" s="841">
        <v>32.479999999999997</v>
      </c>
    </row>
    <row r="2596" spans="1:3">
      <c r="A2596" s="843">
        <v>446012</v>
      </c>
      <c r="B2596" s="842" t="s">
        <v>52602</v>
      </c>
      <c r="C2596" s="841">
        <v>7.92</v>
      </c>
    </row>
    <row r="2597" spans="1:3">
      <c r="A2597" s="843">
        <v>446019</v>
      </c>
      <c r="B2597" s="842" t="s">
        <v>52601</v>
      </c>
      <c r="C2597" s="841">
        <v>15.76</v>
      </c>
    </row>
    <row r="2598" spans="1:3">
      <c r="A2598" s="843">
        <v>446030</v>
      </c>
      <c r="B2598" s="842" t="s">
        <v>52600</v>
      </c>
      <c r="C2598" s="841">
        <v>13.89</v>
      </c>
    </row>
    <row r="2599" spans="1:3">
      <c r="A2599" s="843">
        <v>446034</v>
      </c>
      <c r="B2599" s="842" t="s">
        <v>52599</v>
      </c>
      <c r="C2599" s="841">
        <v>19.84</v>
      </c>
    </row>
    <row r="2600" spans="1:3">
      <c r="A2600" s="843">
        <v>446035</v>
      </c>
      <c r="B2600" s="842" t="s">
        <v>52598</v>
      </c>
      <c r="C2600" s="841">
        <v>107.82</v>
      </c>
    </row>
    <row r="2601" spans="1:3">
      <c r="A2601" s="843">
        <v>446036</v>
      </c>
      <c r="B2601" s="842" t="s">
        <v>52597</v>
      </c>
      <c r="C2601" s="841">
        <v>10.33</v>
      </c>
    </row>
    <row r="2602" spans="1:3">
      <c r="A2602" s="843">
        <v>450018</v>
      </c>
      <c r="B2602" s="842" t="s">
        <v>52596</v>
      </c>
      <c r="C2602" s="841">
        <v>3.19</v>
      </c>
    </row>
    <row r="2603" spans="1:3">
      <c r="A2603" s="843">
        <v>450019</v>
      </c>
      <c r="B2603" s="842" t="s">
        <v>52595</v>
      </c>
      <c r="C2603" s="841">
        <v>2.78</v>
      </c>
    </row>
    <row r="2604" spans="1:3">
      <c r="A2604" s="843">
        <v>450020</v>
      </c>
      <c r="B2604" s="842" t="s">
        <v>52594</v>
      </c>
      <c r="C2604" s="841">
        <v>5.54</v>
      </c>
    </row>
    <row r="2605" spans="1:3">
      <c r="A2605" s="843">
        <v>450021</v>
      </c>
      <c r="B2605" s="842" t="s">
        <v>52593</v>
      </c>
      <c r="C2605" s="841">
        <v>6.93</v>
      </c>
    </row>
    <row r="2606" spans="1:3">
      <c r="A2606" s="843">
        <v>450022</v>
      </c>
      <c r="B2606" s="842" t="s">
        <v>52592</v>
      </c>
      <c r="C2606" s="841">
        <v>3.48</v>
      </c>
    </row>
    <row r="2607" spans="1:3">
      <c r="A2607" s="843">
        <v>450029</v>
      </c>
      <c r="B2607" s="842" t="s">
        <v>52591</v>
      </c>
      <c r="C2607" s="841">
        <v>6.88</v>
      </c>
    </row>
    <row r="2608" spans="1:3">
      <c r="A2608" s="843">
        <v>450031</v>
      </c>
      <c r="B2608" s="842" t="s">
        <v>52590</v>
      </c>
      <c r="C2608" s="841">
        <v>14.18</v>
      </c>
    </row>
    <row r="2609" spans="1:3">
      <c r="A2609" s="843">
        <v>450053</v>
      </c>
      <c r="B2609" s="842" t="s">
        <v>52589</v>
      </c>
      <c r="C2609" s="841">
        <v>9.44</v>
      </c>
    </row>
    <row r="2610" spans="1:3">
      <c r="A2610" s="843">
        <v>450055</v>
      </c>
      <c r="B2610" s="842" t="s">
        <v>52588</v>
      </c>
      <c r="C2610" s="841">
        <v>0.9</v>
      </c>
    </row>
    <row r="2611" spans="1:3">
      <c r="A2611" s="843">
        <v>450112</v>
      </c>
      <c r="B2611" s="842" t="s">
        <v>52587</v>
      </c>
      <c r="C2611" s="841">
        <v>27.75</v>
      </c>
    </row>
    <row r="2612" spans="1:3">
      <c r="A2612" s="843">
        <v>450116</v>
      </c>
      <c r="B2612" s="842" t="s">
        <v>52586</v>
      </c>
      <c r="C2612" s="841">
        <v>3.48</v>
      </c>
    </row>
    <row r="2613" spans="1:3">
      <c r="A2613" s="843">
        <v>450145</v>
      </c>
      <c r="B2613" s="842" t="s">
        <v>52585</v>
      </c>
      <c r="C2613" s="841">
        <v>44.05</v>
      </c>
    </row>
    <row r="2614" spans="1:3">
      <c r="A2614" s="843">
        <v>450163</v>
      </c>
      <c r="B2614" s="842" t="s">
        <v>52584</v>
      </c>
      <c r="C2614" s="841">
        <v>15.28</v>
      </c>
    </row>
    <row r="2615" spans="1:3">
      <c r="A2615" s="843">
        <v>450165</v>
      </c>
      <c r="B2615" s="842" t="s">
        <v>52583</v>
      </c>
      <c r="C2615" s="841">
        <v>32.479999999999997</v>
      </c>
    </row>
    <row r="2616" spans="1:3">
      <c r="A2616" s="843">
        <v>450166</v>
      </c>
      <c r="B2616" s="842" t="s">
        <v>52582</v>
      </c>
      <c r="C2616" s="841">
        <v>41.23</v>
      </c>
    </row>
    <row r="2617" spans="1:3">
      <c r="A2617" s="843">
        <v>450500</v>
      </c>
      <c r="B2617" s="842" t="s">
        <v>52581</v>
      </c>
      <c r="C2617" s="841">
        <v>13.89</v>
      </c>
    </row>
    <row r="2618" spans="1:3">
      <c r="A2618" s="843">
        <v>451000</v>
      </c>
      <c r="B2618" s="842" t="s">
        <v>52580</v>
      </c>
      <c r="C2618" s="841">
        <v>93.35</v>
      </c>
    </row>
    <row r="2619" spans="1:3">
      <c r="A2619" s="843">
        <v>456018</v>
      </c>
      <c r="B2619" s="842" t="s">
        <v>52579</v>
      </c>
      <c r="C2619" s="841">
        <v>22.21</v>
      </c>
    </row>
    <row r="2620" spans="1:3">
      <c r="A2620" s="843">
        <v>456030</v>
      </c>
      <c r="B2620" s="842" t="s">
        <v>52578</v>
      </c>
      <c r="C2620" s="841">
        <v>88.85</v>
      </c>
    </row>
    <row r="2621" spans="1:3">
      <c r="A2621" s="843">
        <v>456033</v>
      </c>
      <c r="B2621" s="842" t="s">
        <v>52577</v>
      </c>
      <c r="C2621" s="841">
        <v>58.92</v>
      </c>
    </row>
    <row r="2622" spans="1:3">
      <c r="A2622" s="843">
        <v>456047</v>
      </c>
      <c r="B2622" s="842" t="s">
        <v>52576</v>
      </c>
      <c r="C2622" s="841">
        <v>4.17</v>
      </c>
    </row>
    <row r="2623" spans="1:3">
      <c r="A2623" s="843">
        <v>456051</v>
      </c>
      <c r="B2623" s="842" t="s">
        <v>52575</v>
      </c>
      <c r="C2623" s="841">
        <v>1.39</v>
      </c>
    </row>
    <row r="2624" spans="1:3">
      <c r="A2624" s="843">
        <v>456052</v>
      </c>
      <c r="B2624" s="842" t="s">
        <v>52574</v>
      </c>
      <c r="C2624" s="841">
        <v>3.48</v>
      </c>
    </row>
    <row r="2625" spans="1:3">
      <c r="A2625" s="843">
        <v>456062</v>
      </c>
      <c r="B2625" s="842" t="s">
        <v>52573</v>
      </c>
      <c r="C2625" s="841">
        <v>68.05</v>
      </c>
    </row>
    <row r="2626" spans="1:3">
      <c r="A2626" s="843">
        <v>456520</v>
      </c>
      <c r="B2626" s="842" t="s">
        <v>52572</v>
      </c>
      <c r="C2626" s="841">
        <v>20.22</v>
      </c>
    </row>
    <row r="2627" spans="1:3">
      <c r="A2627" s="843">
        <v>456531</v>
      </c>
      <c r="B2627" s="842" t="s">
        <v>52571</v>
      </c>
      <c r="C2627" s="841">
        <v>20.22</v>
      </c>
    </row>
    <row r="2628" spans="1:3">
      <c r="A2628" s="843">
        <v>456593</v>
      </c>
      <c r="B2628" s="842" t="s">
        <v>52570</v>
      </c>
      <c r="C2628" s="841">
        <v>15.86</v>
      </c>
    </row>
    <row r="2629" spans="1:3">
      <c r="A2629" s="843">
        <v>456596</v>
      </c>
      <c r="B2629" s="842" t="s">
        <v>52569</v>
      </c>
      <c r="C2629" s="841">
        <v>13.22</v>
      </c>
    </row>
    <row r="2630" spans="1:3">
      <c r="A2630" s="843">
        <v>456617</v>
      </c>
      <c r="B2630" s="842" t="s">
        <v>52568</v>
      </c>
      <c r="C2630" s="841">
        <v>47.17</v>
      </c>
    </row>
    <row r="2631" spans="1:3">
      <c r="A2631" s="843">
        <v>456623</v>
      </c>
      <c r="B2631" s="842" t="s">
        <v>52567</v>
      </c>
      <c r="C2631" s="841">
        <v>107.82</v>
      </c>
    </row>
    <row r="2632" spans="1:3" s="844" customFormat="1" ht="14" customHeight="1">
      <c r="A2632" s="843">
        <v>456625</v>
      </c>
      <c r="B2632" s="842" t="s">
        <v>52566</v>
      </c>
      <c r="C2632" s="841">
        <v>377.37</v>
      </c>
    </row>
    <row r="2633" spans="1:3" s="844" customFormat="1" ht="14" customHeight="1">
      <c r="A2633" s="843">
        <v>456636</v>
      </c>
      <c r="B2633" s="842" t="s">
        <v>52565</v>
      </c>
      <c r="C2633" s="841">
        <v>2.64</v>
      </c>
    </row>
    <row r="2634" spans="1:3" s="844" customFormat="1" ht="14" customHeight="1">
      <c r="A2634" s="843">
        <v>456637</v>
      </c>
      <c r="B2634" s="842" t="s">
        <v>52564</v>
      </c>
      <c r="C2634" s="841">
        <v>2.64</v>
      </c>
    </row>
    <row r="2635" spans="1:3" s="844" customFormat="1" ht="14" customHeight="1">
      <c r="A2635" s="843">
        <v>456638</v>
      </c>
      <c r="B2635" s="842" t="s">
        <v>52563</v>
      </c>
      <c r="C2635" s="841">
        <v>2.64</v>
      </c>
    </row>
    <row r="2636" spans="1:3" s="844" customFormat="1" ht="14" customHeight="1">
      <c r="A2636" s="843">
        <v>456639</v>
      </c>
      <c r="B2636" s="842" t="s">
        <v>52562</v>
      </c>
      <c r="C2636" s="841">
        <v>2.64</v>
      </c>
    </row>
    <row r="2637" spans="1:3">
      <c r="A2637" s="843">
        <v>456645</v>
      </c>
      <c r="B2637" s="842" t="s">
        <v>52561</v>
      </c>
      <c r="C2637" s="841">
        <v>96.02</v>
      </c>
    </row>
    <row r="2638" spans="1:3">
      <c r="A2638" s="843">
        <v>458019</v>
      </c>
      <c r="B2638" s="842" t="s">
        <v>52560</v>
      </c>
      <c r="C2638" s="841">
        <v>0.36</v>
      </c>
    </row>
    <row r="2639" spans="1:3">
      <c r="A2639" s="843">
        <v>458034</v>
      </c>
      <c r="B2639" s="842" t="s">
        <v>52559</v>
      </c>
      <c r="C2639" s="841">
        <v>21.57</v>
      </c>
    </row>
    <row r="2640" spans="1:3">
      <c r="A2640" s="843">
        <v>460054</v>
      </c>
      <c r="B2640" s="842" t="s">
        <v>52558</v>
      </c>
      <c r="C2640" s="841">
        <v>94.38</v>
      </c>
    </row>
    <row r="2641" spans="1:3">
      <c r="A2641" s="843">
        <v>460057</v>
      </c>
      <c r="B2641" s="842" t="s">
        <v>52557</v>
      </c>
      <c r="C2641" s="841">
        <v>94.38</v>
      </c>
    </row>
    <row r="2642" spans="1:3">
      <c r="A2642" s="843">
        <v>510017</v>
      </c>
      <c r="B2642" s="842" t="s">
        <v>52556</v>
      </c>
      <c r="C2642" s="841">
        <v>6.88</v>
      </c>
    </row>
    <row r="2643" spans="1:3">
      <c r="A2643" s="843">
        <v>511076</v>
      </c>
      <c r="B2643" s="842" t="s">
        <v>52555</v>
      </c>
      <c r="C2643" s="841">
        <v>1.75</v>
      </c>
    </row>
    <row r="2644" spans="1:3">
      <c r="A2644" s="843">
        <v>610002</v>
      </c>
      <c r="B2644" s="842" t="s">
        <v>52554</v>
      </c>
      <c r="C2644" s="841">
        <v>3.48</v>
      </c>
    </row>
    <row r="2645" spans="1:3">
      <c r="A2645" s="843">
        <v>610107</v>
      </c>
      <c r="B2645" s="842" t="s">
        <v>52553</v>
      </c>
      <c r="C2645" s="841">
        <v>7.09</v>
      </c>
    </row>
    <row r="2646" spans="1:3">
      <c r="A2646" s="843">
        <v>612004</v>
      </c>
      <c r="B2646" s="842" t="s">
        <v>52552</v>
      </c>
      <c r="C2646" s="841">
        <v>6.88</v>
      </c>
    </row>
    <row r="2647" spans="1:3">
      <c r="A2647" s="843">
        <v>612016</v>
      </c>
      <c r="B2647" s="842" t="s">
        <v>52551</v>
      </c>
      <c r="C2647" s="841">
        <v>3.48</v>
      </c>
    </row>
    <row r="2648" spans="1:3">
      <c r="A2648" s="843">
        <v>613013</v>
      </c>
      <c r="B2648" s="842" t="s">
        <v>52550</v>
      </c>
      <c r="C2648" s="841">
        <v>6.88</v>
      </c>
    </row>
    <row r="2649" spans="1:3">
      <c r="A2649" s="843">
        <v>613016</v>
      </c>
      <c r="B2649" s="842" t="s">
        <v>52549</v>
      </c>
      <c r="C2649" s="841">
        <v>4.29</v>
      </c>
    </row>
    <row r="2650" spans="1:3">
      <c r="A2650" s="843">
        <v>613017</v>
      </c>
      <c r="B2650" s="842" t="s">
        <v>52548</v>
      </c>
      <c r="C2650" s="841">
        <v>4.29</v>
      </c>
    </row>
    <row r="2651" spans="1:3">
      <c r="A2651" s="843">
        <v>614007</v>
      </c>
      <c r="B2651" s="842" t="s">
        <v>52547</v>
      </c>
      <c r="C2651" s="841">
        <v>4.7300000000000004</v>
      </c>
    </row>
    <row r="2652" spans="1:3">
      <c r="A2652" s="843">
        <v>616019</v>
      </c>
      <c r="B2652" s="842" t="s">
        <v>52546</v>
      </c>
      <c r="C2652" s="841">
        <v>6.74</v>
      </c>
    </row>
    <row r="2653" spans="1:3">
      <c r="A2653" s="843">
        <v>616040</v>
      </c>
      <c r="B2653" s="842" t="s">
        <v>52545</v>
      </c>
      <c r="C2653" s="841">
        <v>33.700000000000003</v>
      </c>
    </row>
    <row r="2654" spans="1:3">
      <c r="A2654" s="843">
        <v>617005</v>
      </c>
      <c r="B2654" s="842" t="s">
        <v>52544</v>
      </c>
      <c r="C2654" s="841">
        <v>3.96</v>
      </c>
    </row>
    <row r="2655" spans="1:3">
      <c r="A2655" s="843">
        <v>640030</v>
      </c>
      <c r="B2655" s="842" t="s">
        <v>52543</v>
      </c>
      <c r="C2655" s="841">
        <v>12.63</v>
      </c>
    </row>
    <row r="2656" spans="1:3">
      <c r="A2656" s="843">
        <v>650003</v>
      </c>
      <c r="B2656" s="842" t="s">
        <v>52542</v>
      </c>
      <c r="C2656" s="841">
        <v>0.36</v>
      </c>
    </row>
    <row r="2657" spans="1:3">
      <c r="A2657" s="843">
        <v>650064</v>
      </c>
      <c r="B2657" s="842" t="s">
        <v>52541</v>
      </c>
      <c r="C2657" s="841">
        <v>1.34</v>
      </c>
    </row>
    <row r="2658" spans="1:3">
      <c r="A2658" s="843">
        <v>653034</v>
      </c>
      <c r="B2658" s="842" t="s">
        <v>52540</v>
      </c>
      <c r="C2658" s="841">
        <v>3.75</v>
      </c>
    </row>
    <row r="2659" spans="1:3">
      <c r="A2659" s="843">
        <v>653035</v>
      </c>
      <c r="B2659" s="842" t="s">
        <v>52539</v>
      </c>
      <c r="C2659" s="841">
        <v>3.75</v>
      </c>
    </row>
    <row r="2660" spans="1:3">
      <c r="A2660" s="843">
        <v>660023</v>
      </c>
      <c r="B2660" s="842" t="s">
        <v>52538</v>
      </c>
      <c r="C2660" s="841">
        <v>6.93</v>
      </c>
    </row>
    <row r="2661" spans="1:3">
      <c r="A2661" s="843">
        <v>660024</v>
      </c>
      <c r="B2661" s="842" t="s">
        <v>52537</v>
      </c>
      <c r="C2661" s="841">
        <v>2.78</v>
      </c>
    </row>
    <row r="2662" spans="1:3">
      <c r="A2662" s="843">
        <v>660031</v>
      </c>
      <c r="B2662" s="842" t="s">
        <v>52536</v>
      </c>
      <c r="C2662" s="841">
        <v>0.71</v>
      </c>
    </row>
    <row r="2663" spans="1:3">
      <c r="A2663" s="843">
        <v>660032</v>
      </c>
      <c r="B2663" s="842" t="s">
        <v>52535</v>
      </c>
      <c r="C2663" s="841">
        <v>2.78</v>
      </c>
    </row>
    <row r="2664" spans="1:3">
      <c r="A2664" s="843">
        <v>660043</v>
      </c>
      <c r="B2664" s="842" t="s">
        <v>52534</v>
      </c>
      <c r="C2664" s="841">
        <v>17.62</v>
      </c>
    </row>
    <row r="2665" spans="1:3">
      <c r="A2665" s="843">
        <v>660045</v>
      </c>
      <c r="B2665" s="842" t="s">
        <v>52533</v>
      </c>
      <c r="C2665" s="841">
        <v>2.52</v>
      </c>
    </row>
    <row r="2666" spans="1:3">
      <c r="A2666" s="843">
        <v>670015</v>
      </c>
      <c r="B2666" s="842" t="s">
        <v>52532</v>
      </c>
      <c r="C2666" s="841">
        <v>10.27</v>
      </c>
    </row>
    <row r="2667" spans="1:3">
      <c r="A2667" s="843">
        <v>670102</v>
      </c>
      <c r="B2667" s="842" t="s">
        <v>52531</v>
      </c>
      <c r="C2667" s="841">
        <v>8.1</v>
      </c>
    </row>
    <row r="2668" spans="1:3">
      <c r="A2668" s="843">
        <v>670314</v>
      </c>
      <c r="B2668" s="842" t="s">
        <v>52530</v>
      </c>
      <c r="C2668" s="841">
        <v>6.74</v>
      </c>
    </row>
    <row r="2669" spans="1:3">
      <c r="A2669" s="843">
        <v>680002</v>
      </c>
      <c r="B2669" s="842" t="s">
        <v>52529</v>
      </c>
      <c r="C2669" s="841">
        <v>6.88</v>
      </c>
    </row>
    <row r="2670" spans="1:3">
      <c r="A2670" s="843">
        <v>680011</v>
      </c>
      <c r="B2670" s="842" t="s">
        <v>52528</v>
      </c>
      <c r="C2670" s="841">
        <v>1.52</v>
      </c>
    </row>
    <row r="2671" spans="1:3">
      <c r="A2671" s="843">
        <v>680038</v>
      </c>
      <c r="B2671" s="842" t="s">
        <v>52527</v>
      </c>
      <c r="C2671" s="841">
        <v>11.04</v>
      </c>
    </row>
    <row r="2672" spans="1:3">
      <c r="A2672" s="843">
        <v>680211</v>
      </c>
      <c r="B2672" s="842" t="s">
        <v>52526</v>
      </c>
      <c r="C2672" s="841">
        <v>10.68</v>
      </c>
    </row>
    <row r="2673" spans="1:3">
      <c r="A2673" s="843">
        <v>680217</v>
      </c>
      <c r="B2673" s="842" t="s">
        <v>52525</v>
      </c>
      <c r="C2673" s="841">
        <v>2.91</v>
      </c>
    </row>
    <row r="2674" spans="1:3">
      <c r="A2674" s="843">
        <v>680236</v>
      </c>
      <c r="B2674" s="842" t="s">
        <v>52524</v>
      </c>
      <c r="C2674" s="841">
        <v>54.11</v>
      </c>
    </row>
    <row r="2675" spans="1:3">
      <c r="A2675" s="843">
        <v>680237</v>
      </c>
      <c r="B2675" s="842" t="s">
        <v>52523</v>
      </c>
      <c r="C2675" s="841">
        <v>6.88</v>
      </c>
    </row>
    <row r="2676" spans="1:3">
      <c r="A2676" s="843">
        <v>680706</v>
      </c>
      <c r="B2676" s="842" t="s">
        <v>52522</v>
      </c>
      <c r="C2676" s="841">
        <v>1.69</v>
      </c>
    </row>
    <row r="2677" spans="1:3">
      <c r="A2677" s="843">
        <v>680711</v>
      </c>
      <c r="B2677" s="842" t="s">
        <v>52521</v>
      </c>
      <c r="C2677" s="841">
        <v>13.47</v>
      </c>
    </row>
    <row r="2678" spans="1:3">
      <c r="A2678" s="843">
        <v>680754</v>
      </c>
      <c r="B2678" s="842" t="s">
        <v>52520</v>
      </c>
      <c r="C2678" s="841">
        <v>13.47</v>
      </c>
    </row>
    <row r="2679" spans="1:3">
      <c r="A2679" s="843">
        <v>687515</v>
      </c>
      <c r="B2679" s="842" t="s">
        <v>52519</v>
      </c>
      <c r="C2679" s="841">
        <v>39.64</v>
      </c>
    </row>
    <row r="2680" spans="1:3">
      <c r="A2680" s="843">
        <v>687823</v>
      </c>
      <c r="B2680" s="842" t="s">
        <v>52518</v>
      </c>
      <c r="C2680" s="841">
        <v>5.29</v>
      </c>
    </row>
    <row r="2681" spans="1:3">
      <c r="A2681" s="843">
        <v>691111</v>
      </c>
      <c r="B2681" s="842" t="s">
        <v>52517</v>
      </c>
      <c r="C2681" s="841">
        <v>1.7</v>
      </c>
    </row>
    <row r="2682" spans="1:3">
      <c r="A2682" s="843">
        <v>691112</v>
      </c>
      <c r="B2682" s="842" t="s">
        <v>52516</v>
      </c>
      <c r="C2682" s="841">
        <v>1.39</v>
      </c>
    </row>
    <row r="2683" spans="1:3">
      <c r="A2683" s="843">
        <v>691113</v>
      </c>
      <c r="B2683" s="842" t="s">
        <v>52515</v>
      </c>
      <c r="C2683" s="841">
        <v>1.39</v>
      </c>
    </row>
    <row r="2684" spans="1:3">
      <c r="A2684" s="843">
        <v>691114</v>
      </c>
      <c r="B2684" s="842" t="s">
        <v>52514</v>
      </c>
      <c r="C2684" s="841">
        <v>1.39</v>
      </c>
    </row>
    <row r="2685" spans="1:3">
      <c r="A2685" s="843">
        <v>691116</v>
      </c>
      <c r="B2685" s="842" t="s">
        <v>52513</v>
      </c>
      <c r="C2685" s="841">
        <v>208.23</v>
      </c>
    </row>
    <row r="2686" spans="1:3">
      <c r="A2686" s="843">
        <v>691133</v>
      </c>
      <c r="B2686" s="842" t="s">
        <v>52512</v>
      </c>
      <c r="C2686" s="841">
        <v>1.39</v>
      </c>
    </row>
    <row r="2687" spans="1:3">
      <c r="A2687" s="843">
        <v>691134</v>
      </c>
      <c r="B2687" s="842" t="s">
        <v>52511</v>
      </c>
      <c r="C2687" s="841">
        <v>2.78</v>
      </c>
    </row>
    <row r="2688" spans="1:3">
      <c r="A2688" s="843">
        <v>691135</v>
      </c>
      <c r="B2688" s="842" t="s">
        <v>52510</v>
      </c>
      <c r="C2688" s="841">
        <v>0.67</v>
      </c>
    </row>
    <row r="2689" spans="1:3">
      <c r="A2689" s="843">
        <v>691136</v>
      </c>
      <c r="B2689" s="842" t="s">
        <v>52509</v>
      </c>
      <c r="C2689" s="841">
        <v>22.21</v>
      </c>
    </row>
    <row r="2690" spans="1:3">
      <c r="A2690" s="843">
        <v>691146</v>
      </c>
      <c r="B2690" s="842" t="s">
        <v>52508</v>
      </c>
      <c r="C2690" s="841">
        <v>1.39</v>
      </c>
    </row>
    <row r="2691" spans="1:3">
      <c r="A2691" s="843">
        <v>691148</v>
      </c>
      <c r="B2691" s="842" t="s">
        <v>52507</v>
      </c>
      <c r="C2691" s="841">
        <v>2.7</v>
      </c>
    </row>
    <row r="2692" spans="1:3">
      <c r="A2692" s="843">
        <v>691150</v>
      </c>
      <c r="B2692" s="842" t="s">
        <v>52506</v>
      </c>
      <c r="C2692" s="841">
        <v>0.71</v>
      </c>
    </row>
    <row r="2693" spans="1:3">
      <c r="A2693" s="843">
        <v>691151</v>
      </c>
      <c r="B2693" s="842" t="s">
        <v>52505</v>
      </c>
      <c r="C2693" s="841">
        <v>2.78</v>
      </c>
    </row>
    <row r="2694" spans="1:3">
      <c r="A2694" s="843">
        <v>691152</v>
      </c>
      <c r="B2694" s="842" t="s">
        <v>52504</v>
      </c>
      <c r="C2694" s="841">
        <v>20.82</v>
      </c>
    </row>
    <row r="2695" spans="1:3">
      <c r="A2695" s="843">
        <v>691161</v>
      </c>
      <c r="B2695" s="842" t="s">
        <v>52503</v>
      </c>
      <c r="C2695" s="841">
        <v>2.78</v>
      </c>
    </row>
    <row r="2696" spans="1:3">
      <c r="A2696" s="843">
        <v>691162</v>
      </c>
      <c r="B2696" s="842" t="s">
        <v>52502</v>
      </c>
      <c r="C2696" s="841">
        <v>4.17</v>
      </c>
    </row>
    <row r="2697" spans="1:3">
      <c r="A2697" s="843">
        <v>691167</v>
      </c>
      <c r="B2697" s="842" t="s">
        <v>52501</v>
      </c>
      <c r="C2697" s="841">
        <v>0.71</v>
      </c>
    </row>
    <row r="2698" spans="1:3">
      <c r="A2698" s="843">
        <v>691204</v>
      </c>
      <c r="B2698" s="842" t="s">
        <v>52500</v>
      </c>
      <c r="C2698" s="841">
        <v>20.22</v>
      </c>
    </row>
    <row r="2699" spans="1:3">
      <c r="A2699" s="843">
        <v>691241</v>
      </c>
      <c r="B2699" s="842" t="s">
        <v>52499</v>
      </c>
      <c r="C2699" s="841">
        <v>13.89</v>
      </c>
    </row>
    <row r="2700" spans="1:3">
      <c r="A2700" s="843">
        <v>691243</v>
      </c>
      <c r="B2700" s="842" t="s">
        <v>52498</v>
      </c>
      <c r="C2700" s="841">
        <v>1.39</v>
      </c>
    </row>
    <row r="2701" spans="1:3">
      <c r="A2701" s="843">
        <v>691252</v>
      </c>
      <c r="B2701" s="842" t="s">
        <v>52497</v>
      </c>
      <c r="C2701" s="841">
        <v>1.39</v>
      </c>
    </row>
    <row r="2702" spans="1:3">
      <c r="A2702" s="843">
        <v>691254</v>
      </c>
      <c r="B2702" s="842" t="s">
        <v>52496</v>
      </c>
      <c r="C2702" s="841">
        <v>1.46</v>
      </c>
    </row>
    <row r="2703" spans="1:3">
      <c r="A2703" s="843">
        <v>691275</v>
      </c>
      <c r="B2703" s="842" t="s">
        <v>52495</v>
      </c>
      <c r="C2703" s="841">
        <v>13.47</v>
      </c>
    </row>
    <row r="2704" spans="1:3">
      <c r="A2704" s="843">
        <v>691285</v>
      </c>
      <c r="B2704" s="842" t="s">
        <v>52494</v>
      </c>
      <c r="C2704" s="841">
        <v>34.700000000000003</v>
      </c>
    </row>
    <row r="2705" spans="1:3">
      <c r="A2705" s="843">
        <v>691286</v>
      </c>
      <c r="B2705" s="842" t="s">
        <v>52493</v>
      </c>
      <c r="C2705" s="841">
        <v>1.34</v>
      </c>
    </row>
    <row r="2706" spans="1:3">
      <c r="A2706" s="843">
        <v>691287</v>
      </c>
      <c r="B2706" s="842" t="s">
        <v>52492</v>
      </c>
      <c r="C2706" s="841">
        <v>1.34</v>
      </c>
    </row>
    <row r="2707" spans="1:3">
      <c r="A2707" s="843">
        <v>691288</v>
      </c>
      <c r="B2707" s="842" t="s">
        <v>52491</v>
      </c>
      <c r="C2707" s="841">
        <v>1.34</v>
      </c>
    </row>
    <row r="2708" spans="1:3">
      <c r="A2708" s="843">
        <v>691289</v>
      </c>
      <c r="B2708" s="842" t="s">
        <v>52490</v>
      </c>
      <c r="C2708" s="841">
        <v>1.34</v>
      </c>
    </row>
    <row r="2709" spans="1:3">
      <c r="A2709" s="843">
        <v>691305</v>
      </c>
      <c r="B2709" s="842" t="s">
        <v>52489</v>
      </c>
      <c r="C2709" s="841">
        <v>28.58</v>
      </c>
    </row>
    <row r="2710" spans="1:3">
      <c r="A2710" s="843">
        <v>691325</v>
      </c>
      <c r="B2710" s="842" t="s">
        <v>52488</v>
      </c>
      <c r="C2710" s="841">
        <v>6.93</v>
      </c>
    </row>
    <row r="2711" spans="1:3">
      <c r="A2711" s="843">
        <v>691335</v>
      </c>
      <c r="B2711" s="842" t="s">
        <v>52487</v>
      </c>
      <c r="C2711" s="841">
        <v>13.89</v>
      </c>
    </row>
    <row r="2712" spans="1:3">
      <c r="A2712" s="843">
        <v>691352</v>
      </c>
      <c r="B2712" s="842" t="s">
        <v>52486</v>
      </c>
      <c r="C2712" s="841">
        <v>13.22</v>
      </c>
    </row>
    <row r="2713" spans="1:3">
      <c r="A2713" s="843">
        <v>692156</v>
      </c>
      <c r="B2713" s="842" t="s">
        <v>52485</v>
      </c>
      <c r="C2713" s="841">
        <v>20.22</v>
      </c>
    </row>
    <row r="2714" spans="1:3">
      <c r="A2714" s="843">
        <v>692157</v>
      </c>
      <c r="B2714" s="842" t="s">
        <v>52484</v>
      </c>
      <c r="C2714" s="841">
        <v>13.47</v>
      </c>
    </row>
    <row r="2715" spans="1:3">
      <c r="A2715" s="843">
        <v>692204</v>
      </c>
      <c r="B2715" s="842" t="s">
        <v>52483</v>
      </c>
      <c r="C2715" s="841">
        <v>69.42</v>
      </c>
    </row>
    <row r="2716" spans="1:3">
      <c r="A2716" s="843">
        <v>692229</v>
      </c>
      <c r="B2716" s="842" t="s">
        <v>52482</v>
      </c>
      <c r="C2716" s="841">
        <v>20.82</v>
      </c>
    </row>
    <row r="2717" spans="1:3">
      <c r="A2717" s="843">
        <v>692230</v>
      </c>
      <c r="B2717" s="842" t="s">
        <v>52481</v>
      </c>
      <c r="C2717" s="841">
        <v>15.76</v>
      </c>
    </row>
    <row r="2718" spans="1:3">
      <c r="A2718" s="843">
        <v>692251</v>
      </c>
      <c r="B2718" s="842" t="s">
        <v>52480</v>
      </c>
      <c r="C2718" s="841">
        <v>34.700000000000003</v>
      </c>
    </row>
    <row r="2719" spans="1:3">
      <c r="A2719" s="843">
        <v>692252</v>
      </c>
      <c r="B2719" s="842" t="s">
        <v>52479</v>
      </c>
      <c r="C2719" s="841">
        <v>34.700000000000003</v>
      </c>
    </row>
    <row r="2720" spans="1:3">
      <c r="A2720" s="843">
        <v>692402</v>
      </c>
      <c r="B2720" s="842" t="s">
        <v>52478</v>
      </c>
      <c r="C2720" s="841">
        <v>1.39</v>
      </c>
    </row>
    <row r="2721" spans="1:3">
      <c r="A2721" s="843">
        <v>692413</v>
      </c>
      <c r="B2721" s="842" t="s">
        <v>52477</v>
      </c>
      <c r="C2721" s="841">
        <v>0.71</v>
      </c>
    </row>
    <row r="2722" spans="1:3">
      <c r="A2722" s="843">
        <v>692420</v>
      </c>
      <c r="B2722" s="842" t="s">
        <v>52476</v>
      </c>
      <c r="C2722" s="841">
        <v>6.93</v>
      </c>
    </row>
    <row r="2723" spans="1:3">
      <c r="A2723" s="843">
        <v>692523</v>
      </c>
      <c r="B2723" s="842" t="s">
        <v>52475</v>
      </c>
      <c r="C2723" s="841">
        <v>6.74</v>
      </c>
    </row>
    <row r="2724" spans="1:3">
      <c r="A2724" s="843">
        <v>692632</v>
      </c>
      <c r="B2724" s="842" t="s">
        <v>52474</v>
      </c>
      <c r="C2724" s="841">
        <v>20.22</v>
      </c>
    </row>
    <row r="2725" spans="1:3">
      <c r="A2725" s="843">
        <v>692710</v>
      </c>
      <c r="B2725" s="842" t="s">
        <v>52473</v>
      </c>
      <c r="C2725" s="841">
        <v>1.25</v>
      </c>
    </row>
    <row r="2726" spans="1:3">
      <c r="A2726" s="843">
        <v>694110</v>
      </c>
      <c r="B2726" s="842" t="s">
        <v>52472</v>
      </c>
      <c r="C2726" s="841">
        <v>1.37</v>
      </c>
    </row>
    <row r="2727" spans="1:3">
      <c r="A2727" s="843">
        <v>694130</v>
      </c>
      <c r="B2727" s="842" t="s">
        <v>52471</v>
      </c>
      <c r="C2727" s="841">
        <v>14.25</v>
      </c>
    </row>
    <row r="2728" spans="1:3">
      <c r="A2728" s="843">
        <v>694132</v>
      </c>
      <c r="B2728" s="842" t="s">
        <v>52470</v>
      </c>
      <c r="C2728" s="841">
        <v>3.77</v>
      </c>
    </row>
    <row r="2729" spans="1:3">
      <c r="A2729" s="843">
        <v>694182</v>
      </c>
      <c r="B2729" s="842" t="s">
        <v>52469</v>
      </c>
      <c r="C2729" s="841">
        <v>16.8</v>
      </c>
    </row>
    <row r="2730" spans="1:3">
      <c r="A2730" s="843">
        <v>694184</v>
      </c>
      <c r="B2730" s="842" t="s">
        <v>52468</v>
      </c>
      <c r="C2730" s="841">
        <v>16.8</v>
      </c>
    </row>
    <row r="2731" spans="1:3">
      <c r="A2731" s="843">
        <v>694414</v>
      </c>
      <c r="B2731" s="842" t="s">
        <v>52467</v>
      </c>
      <c r="C2731" s="841">
        <v>39.18</v>
      </c>
    </row>
    <row r="2732" spans="1:3">
      <c r="A2732" s="843">
        <v>694506</v>
      </c>
      <c r="B2732" s="842" t="s">
        <v>52466</v>
      </c>
      <c r="C2732" s="841">
        <v>92.6</v>
      </c>
    </row>
    <row r="2733" spans="1:3">
      <c r="A2733" s="843">
        <v>700025</v>
      </c>
      <c r="B2733" s="842" t="s">
        <v>52465</v>
      </c>
      <c r="C2733" s="841">
        <v>0.77</v>
      </c>
    </row>
    <row r="2734" spans="1:3">
      <c r="A2734" s="843">
        <v>700115</v>
      </c>
      <c r="B2734" s="842" t="s">
        <v>52464</v>
      </c>
      <c r="C2734" s="841">
        <v>2.78</v>
      </c>
    </row>
    <row r="2735" spans="1:3">
      <c r="A2735" s="843">
        <v>715007</v>
      </c>
      <c r="B2735" s="842" t="s">
        <v>52463</v>
      </c>
      <c r="C2735" s="841">
        <v>6.88</v>
      </c>
    </row>
    <row r="2736" spans="1:3">
      <c r="A2736" s="843">
        <v>715012</v>
      </c>
      <c r="B2736" s="842" t="s">
        <v>52462</v>
      </c>
      <c r="C2736" s="841">
        <v>11.1</v>
      </c>
    </row>
    <row r="2737" spans="1:3">
      <c r="A2737" s="843">
        <v>715013</v>
      </c>
      <c r="B2737" s="842" t="s">
        <v>52461</v>
      </c>
      <c r="C2737" s="841">
        <v>17.37</v>
      </c>
    </row>
    <row r="2738" spans="1:3">
      <c r="A2738" s="843">
        <v>715014</v>
      </c>
      <c r="B2738" s="842" t="s">
        <v>52460</v>
      </c>
      <c r="C2738" s="841">
        <v>47.21</v>
      </c>
    </row>
    <row r="2739" spans="1:3">
      <c r="A2739" s="843">
        <v>720024</v>
      </c>
      <c r="B2739" s="842" t="s">
        <v>52459</v>
      </c>
      <c r="C2739" s="841">
        <v>4.1100000000000003</v>
      </c>
    </row>
    <row r="2740" spans="1:3">
      <c r="A2740" s="843">
        <v>740005</v>
      </c>
      <c r="B2740" s="842" t="s">
        <v>52458</v>
      </c>
      <c r="C2740" s="841">
        <v>1.75</v>
      </c>
    </row>
    <row r="2741" spans="1:3">
      <c r="A2741" s="843">
        <v>740022</v>
      </c>
      <c r="B2741" s="842" t="s">
        <v>52457</v>
      </c>
      <c r="C2741" s="841">
        <v>4.46</v>
      </c>
    </row>
    <row r="2742" spans="1:3">
      <c r="A2742" s="843">
        <v>740913</v>
      </c>
      <c r="B2742" s="842" t="s">
        <v>52398</v>
      </c>
      <c r="C2742" s="841">
        <v>16.649999999999999</v>
      </c>
    </row>
    <row r="2743" spans="1:3">
      <c r="A2743" s="843">
        <v>74007</v>
      </c>
      <c r="B2743" s="842" t="s">
        <v>52456</v>
      </c>
      <c r="C2743" s="841">
        <v>15.76</v>
      </c>
    </row>
    <row r="2744" spans="1:3">
      <c r="A2744" s="843">
        <v>747016</v>
      </c>
      <c r="B2744" s="842" t="s">
        <v>52455</v>
      </c>
      <c r="C2744" s="841">
        <v>1.75</v>
      </c>
    </row>
    <row r="2745" spans="1:3">
      <c r="A2745" s="843">
        <v>747035</v>
      </c>
      <c r="B2745" s="842" t="s">
        <v>52454</v>
      </c>
      <c r="C2745" s="841">
        <v>36.1</v>
      </c>
    </row>
    <row r="2746" spans="1:3">
      <c r="A2746" s="843">
        <v>747603</v>
      </c>
      <c r="B2746" s="842" t="s">
        <v>52453</v>
      </c>
      <c r="C2746" s="841">
        <v>40.43</v>
      </c>
    </row>
    <row r="2747" spans="1:3">
      <c r="A2747" s="843">
        <v>747715</v>
      </c>
      <c r="B2747" s="842" t="s">
        <v>52452</v>
      </c>
      <c r="C2747" s="841">
        <v>52.85</v>
      </c>
    </row>
    <row r="2748" spans="1:3">
      <c r="A2748" s="843">
        <v>747718</v>
      </c>
      <c r="B2748" s="842" t="s">
        <v>52451</v>
      </c>
      <c r="C2748" s="841">
        <v>32.479999999999997</v>
      </c>
    </row>
    <row r="2749" spans="1:3">
      <c r="A2749" s="843">
        <v>747720</v>
      </c>
      <c r="B2749" s="842" t="s">
        <v>52450</v>
      </c>
      <c r="C2749" s="841">
        <v>33.700000000000003</v>
      </c>
    </row>
    <row r="2750" spans="1:3">
      <c r="A2750" s="843">
        <v>748008</v>
      </c>
      <c r="B2750" s="842" t="s">
        <v>52449</v>
      </c>
      <c r="C2750" s="841">
        <v>35.74</v>
      </c>
    </row>
    <row r="2751" spans="1:3">
      <c r="A2751" s="843">
        <v>750002</v>
      </c>
      <c r="B2751" s="842" t="s">
        <v>52448</v>
      </c>
      <c r="C2751" s="841">
        <v>6.93</v>
      </c>
    </row>
    <row r="2752" spans="1:3">
      <c r="A2752" s="843">
        <v>750005</v>
      </c>
      <c r="B2752" s="842" t="s">
        <v>52447</v>
      </c>
      <c r="C2752" s="841">
        <v>1.75</v>
      </c>
    </row>
    <row r="2753" spans="1:3">
      <c r="A2753" s="843">
        <v>750006</v>
      </c>
      <c r="B2753" s="842" t="s">
        <v>52446</v>
      </c>
      <c r="C2753" s="841">
        <v>1.75</v>
      </c>
    </row>
    <row r="2754" spans="1:3">
      <c r="A2754" s="843">
        <v>750009</v>
      </c>
      <c r="B2754" s="842" t="s">
        <v>52445</v>
      </c>
      <c r="C2754" s="841">
        <v>3.48</v>
      </c>
    </row>
    <row r="2755" spans="1:3">
      <c r="A2755" s="843">
        <v>750016</v>
      </c>
      <c r="B2755" s="842" t="s">
        <v>52444</v>
      </c>
      <c r="C2755" s="841">
        <v>1.75</v>
      </c>
    </row>
    <row r="2756" spans="1:3">
      <c r="A2756" s="843">
        <v>750017</v>
      </c>
      <c r="B2756" s="842" t="s">
        <v>52443</v>
      </c>
      <c r="C2756" s="841">
        <v>1.75</v>
      </c>
    </row>
    <row r="2757" spans="1:3">
      <c r="A2757" s="843">
        <v>750055</v>
      </c>
      <c r="B2757" s="842" t="s">
        <v>52442</v>
      </c>
      <c r="C2757" s="841">
        <v>48.6</v>
      </c>
    </row>
    <row r="2758" spans="1:3">
      <c r="A2758" s="843">
        <v>750057</v>
      </c>
      <c r="B2758" s="842" t="s">
        <v>52441</v>
      </c>
      <c r="C2758" s="841">
        <v>31.2</v>
      </c>
    </row>
    <row r="2759" spans="1:3">
      <c r="A2759" s="843">
        <v>750061</v>
      </c>
      <c r="B2759" s="842" t="s">
        <v>52440</v>
      </c>
      <c r="C2759" s="841">
        <v>1.75</v>
      </c>
    </row>
    <row r="2760" spans="1:3">
      <c r="A2760" s="843">
        <v>750095</v>
      </c>
      <c r="B2760" s="842" t="s">
        <v>52439</v>
      </c>
      <c r="C2760" s="841">
        <v>0.36</v>
      </c>
    </row>
    <row r="2761" spans="1:3">
      <c r="A2761" s="843">
        <v>750158</v>
      </c>
      <c r="B2761" s="842" t="s">
        <v>52438</v>
      </c>
      <c r="C2761" s="841">
        <v>25.05</v>
      </c>
    </row>
    <row r="2762" spans="1:3">
      <c r="A2762" s="843">
        <v>750310</v>
      </c>
      <c r="B2762" s="842" t="s">
        <v>52437</v>
      </c>
      <c r="C2762" s="841">
        <v>17.37</v>
      </c>
    </row>
    <row r="2763" spans="1:3">
      <c r="A2763" s="843">
        <v>750913</v>
      </c>
      <c r="B2763" s="842" t="s">
        <v>52398</v>
      </c>
      <c r="C2763" s="841">
        <v>16.649999999999999</v>
      </c>
    </row>
    <row r="2764" spans="1:3">
      <c r="A2764" s="843">
        <v>750915</v>
      </c>
      <c r="B2764" s="842" t="s">
        <v>52436</v>
      </c>
      <c r="C2764" s="841">
        <v>4.17</v>
      </c>
    </row>
    <row r="2765" spans="1:3">
      <c r="A2765" s="843">
        <v>750970</v>
      </c>
      <c r="B2765" s="842" t="s">
        <v>52435</v>
      </c>
      <c r="C2765" s="841">
        <v>51.64</v>
      </c>
    </row>
    <row r="2766" spans="1:3">
      <c r="A2766" s="843">
        <v>750978</v>
      </c>
      <c r="B2766" s="842" t="s">
        <v>52434</v>
      </c>
      <c r="C2766" s="841">
        <v>4.03</v>
      </c>
    </row>
    <row r="2767" spans="1:3">
      <c r="A2767" s="843">
        <v>750979</v>
      </c>
      <c r="B2767" s="842" t="s">
        <v>52433</v>
      </c>
      <c r="C2767" s="841">
        <v>10.77</v>
      </c>
    </row>
    <row r="2768" spans="1:3">
      <c r="A2768" s="843">
        <v>750981</v>
      </c>
      <c r="B2768" s="842" t="s">
        <v>52432</v>
      </c>
      <c r="C2768" s="841">
        <v>21.57</v>
      </c>
    </row>
    <row r="2769" spans="1:3">
      <c r="A2769" s="843">
        <v>754301</v>
      </c>
      <c r="B2769" s="842" t="s">
        <v>52431</v>
      </c>
      <c r="C2769" s="841">
        <v>33.72</v>
      </c>
    </row>
    <row r="2770" spans="1:3">
      <c r="A2770" s="843">
        <v>754308</v>
      </c>
      <c r="B2770" s="842" t="s">
        <v>52430</v>
      </c>
      <c r="C2770" s="841">
        <v>20.22</v>
      </c>
    </row>
    <row r="2771" spans="1:3">
      <c r="A2771" s="843">
        <v>754309</v>
      </c>
      <c r="B2771" s="842" t="s">
        <v>52429</v>
      </c>
      <c r="C2771" s="841">
        <v>32.33</v>
      </c>
    </row>
    <row r="2772" spans="1:3">
      <c r="A2772" s="843">
        <v>757003</v>
      </c>
      <c r="B2772" s="842" t="s">
        <v>52428</v>
      </c>
      <c r="C2772" s="841">
        <v>15.01</v>
      </c>
    </row>
    <row r="2773" spans="1:3">
      <c r="A2773" s="843">
        <v>757006</v>
      </c>
      <c r="B2773" s="842" t="s">
        <v>52427</v>
      </c>
      <c r="C2773" s="841">
        <v>1.59</v>
      </c>
    </row>
    <row r="2774" spans="1:3">
      <c r="A2774" s="843">
        <v>757008</v>
      </c>
      <c r="B2774" s="842" t="s">
        <v>52426</v>
      </c>
      <c r="C2774" s="841">
        <v>3.19</v>
      </c>
    </row>
    <row r="2775" spans="1:3">
      <c r="A2775" s="843">
        <v>757009</v>
      </c>
      <c r="B2775" s="842" t="s">
        <v>52425</v>
      </c>
      <c r="C2775" s="841">
        <v>3.48</v>
      </c>
    </row>
    <row r="2776" spans="1:3">
      <c r="A2776" s="843">
        <v>757010</v>
      </c>
      <c r="B2776" s="842" t="s">
        <v>52424</v>
      </c>
      <c r="C2776" s="841">
        <v>5.76</v>
      </c>
    </row>
    <row r="2777" spans="1:3">
      <c r="A2777" s="843">
        <v>757016</v>
      </c>
      <c r="B2777" s="842" t="s">
        <v>52423</v>
      </c>
      <c r="C2777" s="841">
        <v>1.75</v>
      </c>
    </row>
    <row r="2778" spans="1:3">
      <c r="A2778" s="843">
        <v>757017</v>
      </c>
      <c r="B2778" s="842" t="s">
        <v>52422</v>
      </c>
      <c r="C2778" s="841">
        <v>1.75</v>
      </c>
    </row>
    <row r="2779" spans="1:3">
      <c r="A2779" s="843">
        <v>757036</v>
      </c>
      <c r="B2779" s="842" t="s">
        <v>52421</v>
      </c>
      <c r="C2779" s="841">
        <v>0.43</v>
      </c>
    </row>
    <row r="2780" spans="1:3">
      <c r="A2780" s="843">
        <v>757037</v>
      </c>
      <c r="B2780" s="842" t="s">
        <v>52420</v>
      </c>
      <c r="C2780" s="841">
        <v>4.0199999999999996</v>
      </c>
    </row>
    <row r="2781" spans="1:3">
      <c r="A2781" s="843">
        <v>757047</v>
      </c>
      <c r="B2781" s="842" t="s">
        <v>52419</v>
      </c>
      <c r="C2781" s="841">
        <v>17.760000000000002</v>
      </c>
    </row>
    <row r="2782" spans="1:3">
      <c r="A2782" s="843">
        <v>757048</v>
      </c>
      <c r="B2782" s="842" t="s">
        <v>52418</v>
      </c>
      <c r="C2782" s="841">
        <v>48.59</v>
      </c>
    </row>
    <row r="2783" spans="1:3">
      <c r="A2783" s="843">
        <v>757049</v>
      </c>
      <c r="B2783" s="842" t="s">
        <v>52417</v>
      </c>
      <c r="C2783" s="841">
        <v>15.76</v>
      </c>
    </row>
    <row r="2784" spans="1:3">
      <c r="A2784" s="843">
        <v>757057</v>
      </c>
      <c r="B2784" s="842" t="s">
        <v>52416</v>
      </c>
      <c r="C2784" s="841">
        <v>13.47</v>
      </c>
    </row>
    <row r="2785" spans="1:3">
      <c r="A2785" s="843">
        <v>757082</v>
      </c>
      <c r="B2785" s="842" t="s">
        <v>52415</v>
      </c>
      <c r="C2785" s="841">
        <v>6.61</v>
      </c>
    </row>
    <row r="2786" spans="1:3">
      <c r="A2786" s="843">
        <v>757091</v>
      </c>
      <c r="B2786" s="842" t="s">
        <v>52414</v>
      </c>
      <c r="C2786" s="841">
        <v>48.59</v>
      </c>
    </row>
    <row r="2787" spans="1:3">
      <c r="A2787" s="843">
        <v>757094</v>
      </c>
      <c r="B2787" s="842" t="s">
        <v>52413</v>
      </c>
      <c r="C2787" s="841">
        <v>3.48</v>
      </c>
    </row>
    <row r="2788" spans="1:3">
      <c r="A2788" s="843">
        <v>760057</v>
      </c>
      <c r="B2788" s="842" t="s">
        <v>52412</v>
      </c>
      <c r="C2788" s="841">
        <v>14.18</v>
      </c>
    </row>
    <row r="2789" spans="1:3">
      <c r="A2789" s="843">
        <v>761004</v>
      </c>
      <c r="B2789" s="842" t="s">
        <v>52411</v>
      </c>
      <c r="C2789" s="841">
        <v>2.91</v>
      </c>
    </row>
    <row r="2790" spans="1:3">
      <c r="A2790" s="843">
        <v>761013</v>
      </c>
      <c r="B2790" s="842" t="s">
        <v>52410</v>
      </c>
      <c r="C2790" s="841">
        <v>1.39</v>
      </c>
    </row>
    <row r="2791" spans="1:3">
      <c r="A2791" s="843">
        <v>761021</v>
      </c>
      <c r="B2791" s="842" t="s">
        <v>52409</v>
      </c>
      <c r="C2791" s="841">
        <v>14.29</v>
      </c>
    </row>
    <row r="2792" spans="1:3">
      <c r="A2792" s="843">
        <v>761025</v>
      </c>
      <c r="B2792" s="842" t="s">
        <v>52408</v>
      </c>
      <c r="C2792" s="841">
        <v>80.88</v>
      </c>
    </row>
    <row r="2793" spans="1:3">
      <c r="A2793" s="843">
        <v>763002</v>
      </c>
      <c r="B2793" s="842" t="s">
        <v>52407</v>
      </c>
      <c r="C2793" s="841">
        <v>97.17</v>
      </c>
    </row>
    <row r="2794" spans="1:3">
      <c r="A2794" s="843">
        <v>763018</v>
      </c>
      <c r="B2794" s="842" t="s">
        <v>52406</v>
      </c>
      <c r="C2794" s="841">
        <v>4.03</v>
      </c>
    </row>
    <row r="2795" spans="1:3">
      <c r="A2795" s="843">
        <v>763019</v>
      </c>
      <c r="B2795" s="842" t="s">
        <v>52405</v>
      </c>
      <c r="C2795" s="841">
        <v>1.02</v>
      </c>
    </row>
    <row r="2796" spans="1:3">
      <c r="A2796" s="843">
        <v>770008</v>
      </c>
      <c r="B2796" s="842" t="s">
        <v>52404</v>
      </c>
      <c r="C2796" s="841">
        <v>1.75</v>
      </c>
    </row>
    <row r="2797" spans="1:3">
      <c r="A2797" s="843">
        <v>775006</v>
      </c>
      <c r="B2797" s="842" t="s">
        <v>52403</v>
      </c>
      <c r="C2797" s="841">
        <v>39.78</v>
      </c>
    </row>
    <row r="2798" spans="1:3">
      <c r="A2798" s="843">
        <v>775010</v>
      </c>
      <c r="B2798" s="842" t="s">
        <v>52402</v>
      </c>
      <c r="C2798" s="841">
        <v>39.01</v>
      </c>
    </row>
    <row r="2799" spans="1:3">
      <c r="A2799" s="843">
        <v>775011</v>
      </c>
      <c r="B2799" s="842" t="s">
        <v>52401</v>
      </c>
      <c r="C2799" s="841">
        <v>14.18</v>
      </c>
    </row>
    <row r="2800" spans="1:3">
      <c r="A2800" s="843">
        <v>775012</v>
      </c>
      <c r="B2800" s="842" t="s">
        <v>52400</v>
      </c>
      <c r="C2800" s="841">
        <v>1.75</v>
      </c>
    </row>
    <row r="2801" spans="1:3">
      <c r="A2801" s="843">
        <v>775536</v>
      </c>
      <c r="B2801" s="842" t="s">
        <v>52399</v>
      </c>
      <c r="C2801" s="841">
        <v>44.05</v>
      </c>
    </row>
    <row r="2802" spans="1:3">
      <c r="A2802" s="843">
        <v>780913</v>
      </c>
      <c r="B2802" s="842" t="s">
        <v>52398</v>
      </c>
      <c r="C2802" s="841">
        <v>16.649999999999999</v>
      </c>
    </row>
    <row r="2803" spans="1:3">
      <c r="A2803" s="843">
        <v>850011</v>
      </c>
      <c r="B2803" s="842" t="s">
        <v>52397</v>
      </c>
      <c r="C2803" s="841">
        <v>3.48</v>
      </c>
    </row>
    <row r="2804" spans="1:3">
      <c r="A2804" s="843">
        <v>850017</v>
      </c>
      <c r="B2804" s="842" t="s">
        <v>52396</v>
      </c>
      <c r="C2804" s="841">
        <v>1.75</v>
      </c>
    </row>
    <row r="2805" spans="1:3">
      <c r="A2805" s="843">
        <v>850018</v>
      </c>
      <c r="B2805" s="842" t="s">
        <v>52395</v>
      </c>
      <c r="C2805" s="841">
        <v>5.28</v>
      </c>
    </row>
    <row r="2806" spans="1:3">
      <c r="A2806" s="843">
        <v>850019</v>
      </c>
      <c r="B2806" s="842" t="s">
        <v>52394</v>
      </c>
      <c r="C2806" s="841">
        <v>5.28</v>
      </c>
    </row>
    <row r="2807" spans="1:3">
      <c r="A2807" s="843">
        <v>850020</v>
      </c>
      <c r="B2807" s="842" t="s">
        <v>52393</v>
      </c>
      <c r="C2807" s="841">
        <v>1.39</v>
      </c>
    </row>
    <row r="2808" spans="1:3">
      <c r="A2808" s="843">
        <v>880009</v>
      </c>
      <c r="B2808" s="842" t="s">
        <v>52392</v>
      </c>
      <c r="C2808" s="841">
        <v>4.17</v>
      </c>
    </row>
    <row r="2809" spans="1:3">
      <c r="A2809" s="843">
        <v>880012</v>
      </c>
      <c r="B2809" s="842" t="s">
        <v>52391</v>
      </c>
      <c r="C2809" s="841">
        <v>1.75</v>
      </c>
    </row>
    <row r="2810" spans="1:3">
      <c r="A2810" s="843">
        <v>880046</v>
      </c>
      <c r="B2810" s="842" t="s">
        <v>52390</v>
      </c>
      <c r="C2810" s="841">
        <v>2.78</v>
      </c>
    </row>
    <row r="2811" spans="1:3">
      <c r="A2811" s="843">
        <v>880096</v>
      </c>
      <c r="B2811" s="842" t="s">
        <v>52389</v>
      </c>
      <c r="C2811" s="841">
        <v>17.21</v>
      </c>
    </row>
    <row r="2812" spans="1:3">
      <c r="A2812" s="843">
        <v>880097</v>
      </c>
      <c r="B2812" s="842" t="s">
        <v>52388</v>
      </c>
      <c r="C2812" s="841">
        <v>17.21</v>
      </c>
    </row>
    <row r="2813" spans="1:3">
      <c r="A2813" s="843">
        <v>880098</v>
      </c>
      <c r="B2813" s="842" t="s">
        <v>52387</v>
      </c>
      <c r="C2813" s="841">
        <v>6.93</v>
      </c>
    </row>
    <row r="2814" spans="1:3">
      <c r="A2814" s="843">
        <v>880104</v>
      </c>
      <c r="B2814" s="842" t="s">
        <v>52386</v>
      </c>
      <c r="C2814" s="841">
        <v>5.54</v>
      </c>
    </row>
    <row r="2815" spans="1:3">
      <c r="A2815" s="843">
        <v>880108</v>
      </c>
      <c r="B2815" s="842" t="s">
        <v>52385</v>
      </c>
      <c r="C2815" s="841">
        <v>5.54</v>
      </c>
    </row>
    <row r="2816" spans="1:3">
      <c r="A2816" s="843">
        <v>880110</v>
      </c>
      <c r="B2816" s="842" t="s">
        <v>52384</v>
      </c>
      <c r="C2816" s="841">
        <v>20.22</v>
      </c>
    </row>
    <row r="2817" spans="1:3">
      <c r="A2817" s="843">
        <v>880111</v>
      </c>
      <c r="B2817" s="842" t="s">
        <v>52383</v>
      </c>
      <c r="C2817" s="841">
        <v>20.22</v>
      </c>
    </row>
    <row r="2818" spans="1:3">
      <c r="A2818" s="843">
        <v>880112</v>
      </c>
      <c r="B2818" s="842" t="s">
        <v>52382</v>
      </c>
      <c r="C2818" s="841">
        <v>18.04</v>
      </c>
    </row>
    <row r="2819" spans="1:3">
      <c r="A2819" s="843">
        <v>880113</v>
      </c>
      <c r="B2819" s="842" t="s">
        <v>52381</v>
      </c>
      <c r="C2819" s="841">
        <v>20.22</v>
      </c>
    </row>
    <row r="2820" spans="1:3">
      <c r="A2820" s="843">
        <v>880159</v>
      </c>
      <c r="B2820" s="842" t="s">
        <v>52380</v>
      </c>
      <c r="C2820" s="841">
        <v>5.29</v>
      </c>
    </row>
    <row r="2821" spans="1:3">
      <c r="A2821" s="843">
        <v>880160</v>
      </c>
      <c r="B2821" s="842" t="s">
        <v>52379</v>
      </c>
      <c r="C2821" s="841">
        <v>19.82</v>
      </c>
    </row>
    <row r="2822" spans="1:3">
      <c r="A2822" s="843">
        <v>880196</v>
      </c>
      <c r="B2822" s="842" t="s">
        <v>52378</v>
      </c>
      <c r="C2822" s="841">
        <v>7.93</v>
      </c>
    </row>
    <row r="2823" spans="1:3">
      <c r="A2823" s="843">
        <v>880197</v>
      </c>
      <c r="B2823" s="842" t="s">
        <v>52377</v>
      </c>
      <c r="C2823" s="841">
        <v>6.93</v>
      </c>
    </row>
    <row r="2824" spans="1:3">
      <c r="A2824" s="843">
        <v>880199</v>
      </c>
      <c r="B2824" s="842" t="s">
        <v>52376</v>
      </c>
      <c r="C2824" s="841">
        <v>7.93</v>
      </c>
    </row>
    <row r="2825" spans="1:3">
      <c r="A2825" s="843">
        <v>880200</v>
      </c>
      <c r="B2825" s="842" t="s">
        <v>52375</v>
      </c>
      <c r="C2825" s="841">
        <v>6.93</v>
      </c>
    </row>
    <row r="2826" spans="1:3">
      <c r="A2826" s="843">
        <v>880204</v>
      </c>
      <c r="B2826" s="842" t="s">
        <v>52374</v>
      </c>
      <c r="C2826" s="841">
        <v>33.04</v>
      </c>
    </row>
    <row r="2827" spans="1:3">
      <c r="A2827" s="843">
        <v>880206</v>
      </c>
      <c r="B2827" s="842" t="s">
        <v>52373</v>
      </c>
      <c r="C2827" s="841">
        <v>7.93</v>
      </c>
    </row>
    <row r="2828" spans="1:3">
      <c r="A2828" s="843">
        <v>880217</v>
      </c>
      <c r="B2828" s="842" t="s">
        <v>52372</v>
      </c>
      <c r="C2828" s="841">
        <v>6.93</v>
      </c>
    </row>
    <row r="2829" spans="1:3">
      <c r="A2829" s="843">
        <v>880219</v>
      </c>
      <c r="B2829" s="842" t="s">
        <v>52371</v>
      </c>
      <c r="C2829" s="841">
        <v>12.59</v>
      </c>
    </row>
    <row r="2830" spans="1:3">
      <c r="A2830" s="843">
        <v>880220</v>
      </c>
      <c r="B2830" s="842" t="s">
        <v>52370</v>
      </c>
      <c r="C2830" s="841">
        <v>46.26</v>
      </c>
    </row>
    <row r="2831" spans="1:3">
      <c r="A2831" s="843">
        <v>880231</v>
      </c>
      <c r="B2831" s="842" t="s">
        <v>52369</v>
      </c>
      <c r="C2831" s="841">
        <v>15.86</v>
      </c>
    </row>
    <row r="2832" spans="1:3">
      <c r="A2832" s="843">
        <v>881006</v>
      </c>
      <c r="B2832" s="842" t="s">
        <v>52368</v>
      </c>
      <c r="C2832" s="841">
        <v>13.89</v>
      </c>
    </row>
    <row r="2833" spans="1:3">
      <c r="A2833" s="843">
        <v>881100</v>
      </c>
      <c r="B2833" s="842" t="s">
        <v>52367</v>
      </c>
      <c r="C2833" s="841">
        <v>28.58</v>
      </c>
    </row>
    <row r="2834" spans="1:3">
      <c r="A2834" s="843">
        <v>881127</v>
      </c>
      <c r="B2834" s="842" t="s">
        <v>52366</v>
      </c>
      <c r="C2834" s="841">
        <v>2.78</v>
      </c>
    </row>
    <row r="2835" spans="1:3">
      <c r="A2835" s="843">
        <v>881130</v>
      </c>
      <c r="B2835" s="842" t="s">
        <v>52365</v>
      </c>
      <c r="C2835" s="841">
        <v>55.53</v>
      </c>
    </row>
    <row r="2836" spans="1:3">
      <c r="A2836" s="843">
        <v>881140</v>
      </c>
      <c r="B2836" s="842" t="s">
        <v>52364</v>
      </c>
      <c r="C2836" s="841">
        <v>55.53</v>
      </c>
    </row>
    <row r="2837" spans="1:3">
      <c r="A2837" s="843">
        <v>881141</v>
      </c>
      <c r="B2837" s="842" t="s">
        <v>52363</v>
      </c>
      <c r="C2837" s="841">
        <v>28.58</v>
      </c>
    </row>
    <row r="2838" spans="1:3">
      <c r="A2838" s="843">
        <v>886016</v>
      </c>
      <c r="B2838" s="842" t="s">
        <v>52362</v>
      </c>
      <c r="C2838" s="841">
        <v>9.44</v>
      </c>
    </row>
    <row r="2839" spans="1:3">
      <c r="A2839" s="843">
        <v>888002</v>
      </c>
      <c r="B2839" s="842" t="s">
        <v>52361</v>
      </c>
      <c r="C2839" s="841">
        <v>14.29</v>
      </c>
    </row>
    <row r="2840" spans="1:3">
      <c r="A2840" s="843">
        <v>888113</v>
      </c>
      <c r="B2840" s="842" t="s">
        <v>52360</v>
      </c>
      <c r="C2840" s="841">
        <v>13.89</v>
      </c>
    </row>
    <row r="2841" spans="1:3">
      <c r="A2841" s="843">
        <v>888114</v>
      </c>
      <c r="B2841" s="842" t="s">
        <v>52359</v>
      </c>
      <c r="C2841" s="841">
        <v>9.24</v>
      </c>
    </row>
    <row r="2842" spans="1:3">
      <c r="A2842" s="843">
        <v>888126</v>
      </c>
      <c r="B2842" s="842" t="s">
        <v>52358</v>
      </c>
      <c r="C2842" s="841">
        <v>46.02</v>
      </c>
    </row>
    <row r="2843" spans="1:3">
      <c r="A2843" s="843">
        <v>888309</v>
      </c>
      <c r="B2843" s="842" t="s">
        <v>52357</v>
      </c>
      <c r="C2843" s="841">
        <v>4.18</v>
      </c>
    </row>
    <row r="2844" spans="1:3">
      <c r="A2844" s="843">
        <v>888319</v>
      </c>
      <c r="B2844" s="842" t="s">
        <v>52356</v>
      </c>
      <c r="C2844" s="841">
        <v>2.78</v>
      </c>
    </row>
    <row r="2845" spans="1:3">
      <c r="A2845" s="843">
        <v>900042</v>
      </c>
      <c r="B2845" s="842" t="s">
        <v>52355</v>
      </c>
      <c r="C2845" s="841">
        <v>0.9</v>
      </c>
    </row>
    <row r="2846" spans="1:3">
      <c r="A2846" s="843">
        <v>900047</v>
      </c>
      <c r="B2846" s="842" t="s">
        <v>52354</v>
      </c>
      <c r="C2846" s="841">
        <v>1.75</v>
      </c>
    </row>
    <row r="2847" spans="1:3">
      <c r="A2847" s="843">
        <v>900048</v>
      </c>
      <c r="B2847" s="842" t="s">
        <v>52353</v>
      </c>
      <c r="C2847" s="841">
        <v>2.78</v>
      </c>
    </row>
    <row r="2848" spans="1:3">
      <c r="A2848" s="843">
        <v>900304</v>
      </c>
      <c r="B2848" s="842" t="s">
        <v>52352</v>
      </c>
      <c r="C2848" s="841">
        <v>3.34</v>
      </c>
    </row>
    <row r="2849" spans="1:3">
      <c r="A2849" s="843">
        <v>900309</v>
      </c>
      <c r="B2849" s="842" t="s">
        <v>52351</v>
      </c>
      <c r="C2849" s="841">
        <v>1.52</v>
      </c>
    </row>
    <row r="2850" spans="1:3">
      <c r="A2850" s="843">
        <v>903035</v>
      </c>
      <c r="B2850" s="842" t="s">
        <v>52350</v>
      </c>
      <c r="C2850" s="841">
        <v>3.37</v>
      </c>
    </row>
    <row r="2851" spans="1:3">
      <c r="A2851" s="843">
        <v>903039</v>
      </c>
      <c r="B2851" s="842" t="s">
        <v>52349</v>
      </c>
      <c r="C2851" s="841">
        <v>7.93</v>
      </c>
    </row>
    <row r="2852" spans="1:3">
      <c r="A2852" s="843">
        <v>903059</v>
      </c>
      <c r="B2852" s="842" t="s">
        <v>52348</v>
      </c>
      <c r="C2852" s="841">
        <v>1.52</v>
      </c>
    </row>
    <row r="2853" spans="1:3">
      <c r="A2853" s="843">
        <v>905009</v>
      </c>
      <c r="B2853" s="842" t="s">
        <v>52347</v>
      </c>
      <c r="C2853" s="841">
        <v>4.0199999999999996</v>
      </c>
    </row>
    <row r="2854" spans="1:3">
      <c r="A2854" s="843">
        <v>905021</v>
      </c>
      <c r="B2854" s="842" t="s">
        <v>52346</v>
      </c>
      <c r="C2854" s="841">
        <v>0.43</v>
      </c>
    </row>
    <row r="2855" spans="1:3">
      <c r="A2855" s="843">
        <v>905027</v>
      </c>
      <c r="B2855" s="842" t="s">
        <v>52345</v>
      </c>
      <c r="C2855" s="841">
        <v>7.92</v>
      </c>
    </row>
    <row r="2856" spans="1:3">
      <c r="A2856" s="843">
        <v>905028</v>
      </c>
      <c r="B2856" s="842" t="s">
        <v>52344</v>
      </c>
      <c r="C2856" s="841">
        <v>0.43</v>
      </c>
    </row>
    <row r="2857" spans="1:3">
      <c r="A2857" s="843">
        <v>905029</v>
      </c>
      <c r="B2857" s="842" t="s">
        <v>52343</v>
      </c>
      <c r="C2857" s="841">
        <v>0.43</v>
      </c>
    </row>
    <row r="2858" spans="1:3">
      <c r="A2858" s="843">
        <v>905034</v>
      </c>
      <c r="B2858" s="842" t="s">
        <v>52342</v>
      </c>
      <c r="C2858" s="841">
        <v>7.64</v>
      </c>
    </row>
    <row r="2859" spans="1:3">
      <c r="A2859" s="843">
        <v>905041</v>
      </c>
      <c r="B2859" s="842" t="s">
        <v>52341</v>
      </c>
      <c r="C2859" s="841">
        <v>13.84</v>
      </c>
    </row>
    <row r="2860" spans="1:3">
      <c r="A2860" s="843">
        <v>905046</v>
      </c>
      <c r="B2860" s="842" t="s">
        <v>52340</v>
      </c>
      <c r="C2860" s="841">
        <v>0.9</v>
      </c>
    </row>
    <row r="2861" spans="1:3">
      <c r="A2861" s="843">
        <v>905074</v>
      </c>
      <c r="B2861" s="842" t="s">
        <v>52339</v>
      </c>
      <c r="C2861" s="841">
        <v>4.17</v>
      </c>
    </row>
    <row r="2862" spans="1:3">
      <c r="A2862" s="843">
        <v>905082</v>
      </c>
      <c r="B2862" s="842" t="s">
        <v>52338</v>
      </c>
      <c r="C2862" s="841">
        <v>76.349999999999994</v>
      </c>
    </row>
    <row r="2863" spans="1:3">
      <c r="A2863" s="843">
        <v>905083</v>
      </c>
      <c r="B2863" s="842" t="s">
        <v>52337</v>
      </c>
      <c r="C2863" s="841">
        <v>7.64</v>
      </c>
    </row>
    <row r="2864" spans="1:3">
      <c r="A2864" s="843">
        <v>906010</v>
      </c>
      <c r="B2864" s="842" t="s">
        <v>52336</v>
      </c>
      <c r="C2864" s="841">
        <v>28.91</v>
      </c>
    </row>
    <row r="2865" spans="1:3">
      <c r="A2865" s="843">
        <v>906020</v>
      </c>
      <c r="B2865" s="842" t="s">
        <v>52335</v>
      </c>
      <c r="C2865" s="841">
        <v>1.39</v>
      </c>
    </row>
    <row r="2866" spans="1:3">
      <c r="A2866" s="843">
        <v>906021</v>
      </c>
      <c r="B2866" s="842" t="s">
        <v>52334</v>
      </c>
      <c r="C2866" s="841">
        <v>5.39</v>
      </c>
    </row>
    <row r="2867" spans="1:3">
      <c r="A2867" s="843">
        <v>906024</v>
      </c>
      <c r="B2867" s="842" t="s">
        <v>52333</v>
      </c>
      <c r="C2867" s="841">
        <v>5.54</v>
      </c>
    </row>
    <row r="2868" spans="1:3">
      <c r="A2868" s="843">
        <v>906026</v>
      </c>
      <c r="B2868" s="842" t="s">
        <v>52332</v>
      </c>
      <c r="C2868" s="841">
        <v>5.54</v>
      </c>
    </row>
    <row r="2869" spans="1:3">
      <c r="A2869" s="843">
        <v>906027</v>
      </c>
      <c r="B2869" s="842" t="s">
        <v>52331</v>
      </c>
      <c r="C2869" s="841">
        <v>5.54</v>
      </c>
    </row>
    <row r="2870" spans="1:3">
      <c r="A2870" s="843">
        <v>906043</v>
      </c>
      <c r="B2870" s="842" t="s">
        <v>52330</v>
      </c>
      <c r="C2870" s="841">
        <v>48.59</v>
      </c>
    </row>
    <row r="2871" spans="1:3">
      <c r="A2871" s="843">
        <v>906044</v>
      </c>
      <c r="B2871" s="842" t="s">
        <v>52329</v>
      </c>
      <c r="C2871" s="841">
        <v>1.34</v>
      </c>
    </row>
    <row r="2872" spans="1:3">
      <c r="A2872" s="843">
        <v>906046</v>
      </c>
      <c r="B2872" s="842" t="s">
        <v>52328</v>
      </c>
      <c r="C2872" s="841">
        <v>0.71</v>
      </c>
    </row>
    <row r="2873" spans="1:3">
      <c r="A2873" s="843">
        <v>906050</v>
      </c>
      <c r="B2873" s="842" t="s">
        <v>52327</v>
      </c>
      <c r="C2873" s="841">
        <v>27.75</v>
      </c>
    </row>
    <row r="2874" spans="1:3">
      <c r="A2874" s="843">
        <v>906056</v>
      </c>
      <c r="B2874" s="842" t="s">
        <v>52326</v>
      </c>
      <c r="C2874" s="841">
        <v>2.78</v>
      </c>
    </row>
    <row r="2875" spans="1:3">
      <c r="A2875" s="843">
        <v>906060</v>
      </c>
      <c r="B2875" s="842" t="s">
        <v>52325</v>
      </c>
      <c r="C2875" s="841">
        <v>79.33</v>
      </c>
    </row>
    <row r="2876" spans="1:3">
      <c r="A2876" s="843">
        <v>908004</v>
      </c>
      <c r="B2876" s="842" t="s">
        <v>52324</v>
      </c>
      <c r="C2876" s="841">
        <v>13.22</v>
      </c>
    </row>
    <row r="2877" spans="1:3">
      <c r="A2877" s="843">
        <v>908010</v>
      </c>
      <c r="B2877" s="842" t="s">
        <v>52323</v>
      </c>
      <c r="C2877" s="841">
        <v>76.349999999999994</v>
      </c>
    </row>
    <row r="2878" spans="1:3">
      <c r="A2878" s="843">
        <v>908025</v>
      </c>
      <c r="B2878" s="842" t="s">
        <v>52322</v>
      </c>
      <c r="C2878" s="841">
        <v>13.89</v>
      </c>
    </row>
    <row r="2879" spans="1:3">
      <c r="A2879" s="843">
        <v>908039</v>
      </c>
      <c r="B2879" s="842" t="s">
        <v>52321</v>
      </c>
      <c r="C2879" s="841">
        <v>13.47</v>
      </c>
    </row>
    <row r="2880" spans="1:3">
      <c r="A2880" s="843">
        <v>940047</v>
      </c>
      <c r="B2880" s="842" t="s">
        <v>52320</v>
      </c>
      <c r="C2880" s="841">
        <v>5.54</v>
      </c>
    </row>
    <row r="2881" spans="1:3">
      <c r="A2881" s="843">
        <v>940075</v>
      </c>
      <c r="B2881" s="842" t="s">
        <v>52319</v>
      </c>
      <c r="C2881" s="841">
        <v>18.04</v>
      </c>
    </row>
    <row r="2882" spans="1:3">
      <c r="A2882" s="843">
        <v>940076</v>
      </c>
      <c r="B2882" s="842" t="s">
        <v>52318</v>
      </c>
      <c r="C2882" s="841">
        <v>2.63</v>
      </c>
    </row>
    <row r="2883" spans="1:3">
      <c r="A2883" s="843">
        <v>940083</v>
      </c>
      <c r="B2883" s="842" t="s">
        <v>52317</v>
      </c>
      <c r="C2883" s="841">
        <v>8.1</v>
      </c>
    </row>
    <row r="2884" spans="1:3">
      <c r="A2884" s="843">
        <v>940087</v>
      </c>
      <c r="B2884" s="842" t="s">
        <v>52316</v>
      </c>
      <c r="C2884" s="841">
        <v>26.96</v>
      </c>
    </row>
    <row r="2885" spans="1:3">
      <c r="A2885" s="843">
        <v>940103</v>
      </c>
      <c r="B2885" s="842" t="s">
        <v>52315</v>
      </c>
      <c r="C2885" s="841">
        <v>3.37</v>
      </c>
    </row>
    <row r="2886" spans="1:3">
      <c r="A2886" s="843">
        <v>940129</v>
      </c>
      <c r="B2886" s="842" t="s">
        <v>52314</v>
      </c>
      <c r="C2886" s="841">
        <v>10.56</v>
      </c>
    </row>
    <row r="2887" spans="1:3">
      <c r="A2887" s="843">
        <v>940205</v>
      </c>
      <c r="B2887" s="842" t="s">
        <v>52313</v>
      </c>
      <c r="C2887" s="841">
        <v>2.98</v>
      </c>
    </row>
    <row r="2888" spans="1:3">
      <c r="A2888" s="843">
        <v>990276</v>
      </c>
      <c r="B2888" s="842" t="s">
        <v>52312</v>
      </c>
      <c r="C2888" s="841">
        <v>33.04</v>
      </c>
    </row>
    <row r="2889" spans="1:3">
      <c r="A2889" s="843">
        <v>990277</v>
      </c>
      <c r="B2889" s="842" t="s">
        <v>52311</v>
      </c>
      <c r="C2889" s="841">
        <v>31.46</v>
      </c>
    </row>
    <row r="2890" spans="1:3">
      <c r="A2890" s="843">
        <v>990760</v>
      </c>
      <c r="B2890" s="842" t="s">
        <v>52310</v>
      </c>
      <c r="C2890" s="841">
        <v>1.65</v>
      </c>
    </row>
    <row r="2891" spans="1:3">
      <c r="A2891" s="843">
        <v>991370</v>
      </c>
      <c r="B2891" s="842" t="s">
        <v>52309</v>
      </c>
      <c r="C2891" s="841">
        <v>24.06</v>
      </c>
    </row>
    <row r="2892" spans="1:3">
      <c r="A2892" s="843">
        <v>991371</v>
      </c>
      <c r="B2892" s="842" t="s">
        <v>52308</v>
      </c>
      <c r="C2892" s="841">
        <v>24.93</v>
      </c>
    </row>
    <row r="2893" spans="1:3">
      <c r="A2893" s="843" t="s">
        <v>52307</v>
      </c>
      <c r="B2893" s="842" t="s">
        <v>52306</v>
      </c>
      <c r="C2893" s="841">
        <v>2.78</v>
      </c>
    </row>
    <row r="2894" spans="1:3">
      <c r="A2894" s="843" t="s">
        <v>52305</v>
      </c>
      <c r="B2894" s="842" t="s">
        <v>52304</v>
      </c>
      <c r="C2894" s="841">
        <v>14.18</v>
      </c>
    </row>
    <row r="2895" spans="1:3">
      <c r="A2895" s="843" t="s">
        <v>52303</v>
      </c>
      <c r="B2895" s="842" t="s">
        <v>52302</v>
      </c>
      <c r="C2895" s="841">
        <v>14.18</v>
      </c>
    </row>
    <row r="2896" spans="1:3">
      <c r="A2896" s="843" t="s">
        <v>52301</v>
      </c>
      <c r="B2896" s="842" t="s">
        <v>52300</v>
      </c>
      <c r="C2896" s="841">
        <v>17.37</v>
      </c>
    </row>
    <row r="2897" spans="1:3">
      <c r="A2897" s="843" t="s">
        <v>52299</v>
      </c>
      <c r="B2897" s="842" t="s">
        <v>52298</v>
      </c>
      <c r="C2897" s="841">
        <v>17.37</v>
      </c>
    </row>
    <row r="2898" spans="1:3">
      <c r="A2898" s="843" t="s">
        <v>52297</v>
      </c>
      <c r="B2898" s="842" t="s">
        <v>52296</v>
      </c>
      <c r="C2898" s="841">
        <v>31.46</v>
      </c>
    </row>
    <row r="2899" spans="1:3">
      <c r="A2899" s="843" t="s">
        <v>52295</v>
      </c>
      <c r="B2899" s="842" t="s">
        <v>52294</v>
      </c>
      <c r="C2899" s="841">
        <v>31.46</v>
      </c>
    </row>
    <row r="2900" spans="1:3">
      <c r="A2900" s="843" t="s">
        <v>52293</v>
      </c>
      <c r="B2900" s="842" t="s">
        <v>52292</v>
      </c>
      <c r="C2900" s="841">
        <v>3.48</v>
      </c>
    </row>
    <row r="2901" spans="1:3">
      <c r="A2901" s="843" t="s">
        <v>52291</v>
      </c>
      <c r="B2901" s="842" t="s">
        <v>52290</v>
      </c>
      <c r="C2901" s="841">
        <v>13.89</v>
      </c>
    </row>
    <row r="2902" spans="1:3">
      <c r="A2902" s="843" t="s">
        <v>52289</v>
      </c>
      <c r="B2902" s="842" t="s">
        <v>52288</v>
      </c>
      <c r="C2902" s="841">
        <v>30.54</v>
      </c>
    </row>
    <row r="2903" spans="1:3">
      <c r="A2903" s="843" t="s">
        <v>52287</v>
      </c>
      <c r="B2903" s="842" t="s">
        <v>52286</v>
      </c>
      <c r="C2903" s="841">
        <v>27.75</v>
      </c>
    </row>
    <row r="2904" spans="1:3">
      <c r="A2904" s="843" t="s">
        <v>52285</v>
      </c>
      <c r="B2904" s="842" t="s">
        <v>52284</v>
      </c>
      <c r="C2904" s="841">
        <v>1.25</v>
      </c>
    </row>
    <row r="2905" spans="1:3">
      <c r="A2905" s="843" t="s">
        <v>52283</v>
      </c>
      <c r="B2905" s="842" t="s">
        <v>52282</v>
      </c>
      <c r="C2905" s="841">
        <v>3.75</v>
      </c>
    </row>
    <row r="2906" spans="1:3">
      <c r="A2906" s="843" t="s">
        <v>52281</v>
      </c>
      <c r="B2906" s="842" t="s">
        <v>52280</v>
      </c>
      <c r="C2906" s="841">
        <v>3.75</v>
      </c>
    </row>
    <row r="2907" spans="1:3">
      <c r="A2907" s="843" t="s">
        <v>52279</v>
      </c>
      <c r="B2907" s="842" t="s">
        <v>52278</v>
      </c>
      <c r="C2907" s="841">
        <v>3.75</v>
      </c>
    </row>
    <row r="2908" spans="1:3">
      <c r="A2908" s="843" t="s">
        <v>52277</v>
      </c>
      <c r="B2908" s="842" t="s">
        <v>52276</v>
      </c>
      <c r="C2908" s="841">
        <v>3.75</v>
      </c>
    </row>
    <row r="2909" spans="1:3">
      <c r="A2909" s="843" t="s">
        <v>52275</v>
      </c>
      <c r="B2909" s="842" t="s">
        <v>52274</v>
      </c>
      <c r="C2909" s="841">
        <v>6.93</v>
      </c>
    </row>
    <row r="2910" spans="1:3">
      <c r="A2910" s="843" t="s">
        <v>52273</v>
      </c>
      <c r="B2910" s="842" t="s">
        <v>52272</v>
      </c>
      <c r="C2910" s="841">
        <v>6.93</v>
      </c>
    </row>
    <row r="2911" spans="1:3">
      <c r="A2911" s="843" t="s">
        <v>52271</v>
      </c>
      <c r="B2911" s="842" t="s">
        <v>52270</v>
      </c>
      <c r="C2911" s="841">
        <v>6.93</v>
      </c>
    </row>
    <row r="2912" spans="1:3">
      <c r="A2912" s="843" t="s">
        <v>52269</v>
      </c>
      <c r="B2912" s="842" t="s">
        <v>52268</v>
      </c>
      <c r="C2912" s="841">
        <v>6.93</v>
      </c>
    </row>
    <row r="2913" spans="1:3">
      <c r="A2913" s="843" t="s">
        <v>52267</v>
      </c>
      <c r="B2913" s="842" t="s">
        <v>52266</v>
      </c>
      <c r="C2913" s="841">
        <v>6.93</v>
      </c>
    </row>
    <row r="2914" spans="1:3">
      <c r="A2914" s="843" t="s">
        <v>52265</v>
      </c>
      <c r="B2914" s="842" t="s">
        <v>52264</v>
      </c>
      <c r="C2914" s="841">
        <v>3.32</v>
      </c>
    </row>
    <row r="2915" spans="1:3">
      <c r="A2915" s="843" t="s">
        <v>52263</v>
      </c>
      <c r="B2915" s="842" t="s">
        <v>52262</v>
      </c>
      <c r="C2915" s="841">
        <v>3.32</v>
      </c>
    </row>
    <row r="2916" spans="1:3">
      <c r="A2916" s="843" t="s">
        <v>52261</v>
      </c>
      <c r="B2916" s="842" t="s">
        <v>52260</v>
      </c>
      <c r="C2916" s="841">
        <v>3.32</v>
      </c>
    </row>
    <row r="2917" spans="1:3">
      <c r="A2917" s="843" t="s">
        <v>52259</v>
      </c>
      <c r="B2917" s="842" t="s">
        <v>52258</v>
      </c>
      <c r="C2917" s="841">
        <v>22.21</v>
      </c>
    </row>
    <row r="2918" spans="1:3">
      <c r="A2918" s="843" t="s">
        <v>52257</v>
      </c>
      <c r="B2918" s="842" t="s">
        <v>52256</v>
      </c>
      <c r="C2918" s="841">
        <v>110.08</v>
      </c>
    </row>
    <row r="2919" spans="1:3">
      <c r="A2919" s="843" t="s">
        <v>52255</v>
      </c>
      <c r="B2919" s="842" t="s">
        <v>52254</v>
      </c>
      <c r="C2919" s="841">
        <v>104.84</v>
      </c>
    </row>
    <row r="2920" spans="1:3">
      <c r="A2920" s="843" t="s">
        <v>52253</v>
      </c>
      <c r="B2920" s="842" t="s">
        <v>52252</v>
      </c>
      <c r="C2920" s="841">
        <v>51.35</v>
      </c>
    </row>
    <row r="2921" spans="1:3">
      <c r="A2921" s="843" t="s">
        <v>52251</v>
      </c>
      <c r="B2921" s="842" t="s">
        <v>52250</v>
      </c>
      <c r="C2921" s="841">
        <v>3.48</v>
      </c>
    </row>
    <row r="2922" spans="1:3">
      <c r="A2922" s="843" t="s">
        <v>52249</v>
      </c>
      <c r="B2922" s="842" t="s">
        <v>52248</v>
      </c>
      <c r="C2922" s="841">
        <v>41.66</v>
      </c>
    </row>
    <row r="2923" spans="1:3">
      <c r="A2923" s="843" t="s">
        <v>52247</v>
      </c>
      <c r="B2923" s="842" t="s">
        <v>52246</v>
      </c>
      <c r="C2923" s="841">
        <v>46.28</v>
      </c>
    </row>
    <row r="2924" spans="1:3">
      <c r="A2924" s="843" t="s">
        <v>52245</v>
      </c>
      <c r="B2924" s="842" t="s">
        <v>52244</v>
      </c>
      <c r="C2924" s="841">
        <v>2.91</v>
      </c>
    </row>
    <row r="2925" spans="1:3">
      <c r="A2925" s="843" t="s">
        <v>52243</v>
      </c>
      <c r="B2925" s="842" t="s">
        <v>52242</v>
      </c>
      <c r="C2925" s="841">
        <v>5.39</v>
      </c>
    </row>
    <row r="2926" spans="1:3">
      <c r="A2926" s="843" t="s">
        <v>52241</v>
      </c>
      <c r="B2926" s="842" t="s">
        <v>52240</v>
      </c>
      <c r="C2926" s="841">
        <v>48.59</v>
      </c>
    </row>
    <row r="2927" spans="1:3">
      <c r="A2927" s="843" t="s">
        <v>52239</v>
      </c>
      <c r="B2927" s="842" t="s">
        <v>52238</v>
      </c>
      <c r="C2927" s="841">
        <v>83.31</v>
      </c>
    </row>
    <row r="2928" spans="1:3">
      <c r="A2928" s="843" t="s">
        <v>52237</v>
      </c>
      <c r="B2928" s="842" t="s">
        <v>52236</v>
      </c>
      <c r="C2928" s="841">
        <v>83.31</v>
      </c>
    </row>
    <row r="2929" spans="1:3">
      <c r="A2929" s="843" t="s">
        <v>52235</v>
      </c>
      <c r="B2929" s="842" t="s">
        <v>52234</v>
      </c>
      <c r="C2929" s="841">
        <v>8.1</v>
      </c>
    </row>
    <row r="2930" spans="1:3">
      <c r="A2930" s="843" t="s">
        <v>52233</v>
      </c>
      <c r="B2930" s="842" t="s">
        <v>52232</v>
      </c>
      <c r="C2930" s="841">
        <v>8.1</v>
      </c>
    </row>
    <row r="2931" spans="1:3">
      <c r="A2931" s="843" t="s">
        <v>52231</v>
      </c>
      <c r="B2931" s="842" t="s">
        <v>52230</v>
      </c>
      <c r="C2931" s="841">
        <v>8.1</v>
      </c>
    </row>
    <row r="2932" spans="1:3">
      <c r="A2932" s="843" t="s">
        <v>52229</v>
      </c>
      <c r="B2932" s="842" t="s">
        <v>52228</v>
      </c>
      <c r="C2932" s="841">
        <v>8.1</v>
      </c>
    </row>
    <row r="2933" spans="1:3" s="844" customFormat="1" ht="14">
      <c r="A2933" s="843">
        <v>52113</v>
      </c>
      <c r="B2933" s="842" t="s">
        <v>52227</v>
      </c>
      <c r="C2933" s="841">
        <v>9.7100000000000009</v>
      </c>
    </row>
    <row r="2934" spans="1:3">
      <c r="A2934" s="843">
        <v>75911</v>
      </c>
      <c r="B2934" s="842" t="s">
        <v>52226</v>
      </c>
      <c r="C2934" s="841">
        <v>1.52</v>
      </c>
    </row>
    <row r="2935" spans="1:3">
      <c r="A2935" s="843">
        <v>88099</v>
      </c>
      <c r="B2935" s="842" t="s">
        <v>52225</v>
      </c>
      <c r="C2935" s="841">
        <v>34.68</v>
      </c>
    </row>
    <row r="2936" spans="1:3">
      <c r="A2936" s="843">
        <v>45905</v>
      </c>
      <c r="B2936" s="842" t="s">
        <v>52224</v>
      </c>
      <c r="C2936" s="841">
        <v>42.92</v>
      </c>
    </row>
    <row r="2937" spans="1:3">
      <c r="A2937" s="843">
        <v>45926</v>
      </c>
      <c r="B2937" s="842" t="s">
        <v>52223</v>
      </c>
      <c r="C2937" s="841">
        <v>40.869999999999997</v>
      </c>
    </row>
  </sheetData>
  <mergeCells count="3">
    <mergeCell ref="A2:B2"/>
    <mergeCell ref="A3:B3"/>
    <mergeCell ref="A1:C1"/>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A0DE6-16B6-4108-843F-25977F79F39E}">
  <sheetPr>
    <tabColor theme="2" tint="-9.9978637043366805E-2"/>
  </sheetPr>
  <dimension ref="A1:C1015"/>
  <sheetViews>
    <sheetView workbookViewId="0">
      <selection activeCell="C8" sqref="C8"/>
    </sheetView>
  </sheetViews>
  <sheetFormatPr defaultColWidth="23.7265625" defaultRowHeight="14.5"/>
  <cols>
    <col min="1" max="1" width="23.7265625" style="1108"/>
    <col min="2" max="2" width="65.6328125" style="912" customWidth="1"/>
    <col min="3" max="3" width="9.90625" style="1109" bestFit="1" customWidth="1"/>
    <col min="4" max="16384" width="23.7265625" style="1108"/>
  </cols>
  <sheetData>
    <row r="1" spans="1:3">
      <c r="A1" s="1108" t="s">
        <v>57305</v>
      </c>
      <c r="B1" s="912" t="s">
        <v>57304</v>
      </c>
      <c r="C1" s="1109" t="s">
        <v>263</v>
      </c>
    </row>
    <row r="2" spans="1:3" ht="29">
      <c r="A2" s="1108" t="s">
        <v>57303</v>
      </c>
      <c r="B2" s="912" t="s">
        <v>57302</v>
      </c>
      <c r="C2" s="1109">
        <v>601</v>
      </c>
    </row>
    <row r="3" spans="1:3" ht="29">
      <c r="A3" s="1108" t="s">
        <v>57301</v>
      </c>
      <c r="B3" s="912" t="s">
        <v>57300</v>
      </c>
      <c r="C3" s="1109">
        <v>626</v>
      </c>
    </row>
    <row r="4" spans="1:3" ht="29">
      <c r="A4" s="1108" t="s">
        <v>57299</v>
      </c>
      <c r="B4" s="912" t="s">
        <v>57298</v>
      </c>
      <c r="C4" s="1109">
        <v>601</v>
      </c>
    </row>
    <row r="5" spans="1:3" ht="29">
      <c r="A5" s="1108" t="s">
        <v>57297</v>
      </c>
      <c r="B5" s="912" t="s">
        <v>57296</v>
      </c>
      <c r="C5" s="1109">
        <v>527</v>
      </c>
    </row>
    <row r="6" spans="1:3" ht="29">
      <c r="A6" s="1108" t="s">
        <v>57295</v>
      </c>
      <c r="B6" s="912" t="s">
        <v>57294</v>
      </c>
      <c r="C6" s="1109">
        <v>547</v>
      </c>
    </row>
    <row r="7" spans="1:3" ht="29">
      <c r="A7" s="1108" t="s">
        <v>57293</v>
      </c>
      <c r="B7" s="912" t="s">
        <v>57292</v>
      </c>
      <c r="C7" s="1109">
        <v>539</v>
      </c>
    </row>
    <row r="8" spans="1:3" ht="29">
      <c r="A8" s="1108" t="s">
        <v>57291</v>
      </c>
      <c r="B8" s="912" t="s">
        <v>57290</v>
      </c>
      <c r="C8" s="1109">
        <v>578</v>
      </c>
    </row>
    <row r="9" spans="1:3" ht="29">
      <c r="A9" s="1108" t="s">
        <v>57289</v>
      </c>
      <c r="B9" s="912" t="s">
        <v>57288</v>
      </c>
      <c r="C9" s="1109">
        <v>578</v>
      </c>
    </row>
    <row r="10" spans="1:3" ht="29">
      <c r="A10" s="1108" t="s">
        <v>57287</v>
      </c>
      <c r="B10" s="912" t="s">
        <v>57286</v>
      </c>
      <c r="C10" s="1109">
        <v>216</v>
      </c>
    </row>
    <row r="11" spans="1:3">
      <c r="A11" s="1108" t="s">
        <v>57285</v>
      </c>
      <c r="B11" s="912" t="s">
        <v>57284</v>
      </c>
      <c r="C11" s="1109">
        <v>838</v>
      </c>
    </row>
    <row r="12" spans="1:3">
      <c r="A12" s="1108" t="s">
        <v>57283</v>
      </c>
      <c r="B12" s="912" t="s">
        <v>57282</v>
      </c>
      <c r="C12" s="1109">
        <v>893</v>
      </c>
    </row>
    <row r="13" spans="1:3" ht="29">
      <c r="A13" s="1108" t="s">
        <v>57281</v>
      </c>
      <c r="B13" s="912" t="s">
        <v>57280</v>
      </c>
      <c r="C13" s="1109">
        <v>838</v>
      </c>
    </row>
    <row r="14" spans="1:3" ht="29">
      <c r="A14" s="1108" t="s">
        <v>57279</v>
      </c>
      <c r="B14" s="912" t="s">
        <v>57278</v>
      </c>
      <c r="C14" s="1109">
        <v>893</v>
      </c>
    </row>
    <row r="15" spans="1:3">
      <c r="A15" s="1108" t="s">
        <v>57277</v>
      </c>
      <c r="B15" s="912" t="s">
        <v>57276</v>
      </c>
      <c r="C15" s="1109">
        <v>641</v>
      </c>
    </row>
    <row r="16" spans="1:3" ht="29">
      <c r="A16" s="1108" t="s">
        <v>57275</v>
      </c>
      <c r="B16" s="912" t="s">
        <v>57274</v>
      </c>
      <c r="C16" s="1109">
        <v>392</v>
      </c>
    </row>
    <row r="17" spans="1:3">
      <c r="A17" s="1108" t="s">
        <v>57273</v>
      </c>
      <c r="B17" s="912" t="s">
        <v>57272</v>
      </c>
      <c r="C17" s="1109">
        <v>343</v>
      </c>
    </row>
    <row r="18" spans="1:3" ht="43.5">
      <c r="A18" s="1108" t="s">
        <v>57271</v>
      </c>
      <c r="B18" s="912" t="s">
        <v>57270</v>
      </c>
      <c r="C18" s="1109">
        <v>354</v>
      </c>
    </row>
    <row r="19" spans="1:3" ht="29">
      <c r="A19" s="1108" t="s">
        <v>57269</v>
      </c>
      <c r="B19" s="912" t="s">
        <v>57268</v>
      </c>
      <c r="C19" s="1109">
        <v>708</v>
      </c>
    </row>
    <row r="20" spans="1:3" ht="43.5">
      <c r="A20" s="1108" t="s">
        <v>57267</v>
      </c>
      <c r="B20" s="912" t="s">
        <v>57266</v>
      </c>
      <c r="C20" s="1109">
        <v>920</v>
      </c>
    </row>
    <row r="21" spans="1:3" ht="43.5">
      <c r="A21" s="1108" t="s">
        <v>57265</v>
      </c>
      <c r="B21" s="912" t="s">
        <v>57264</v>
      </c>
      <c r="C21" s="1109">
        <v>869</v>
      </c>
    </row>
    <row r="22" spans="1:3" ht="29">
      <c r="A22" s="1108" t="s">
        <v>57263</v>
      </c>
      <c r="B22" s="912" t="s">
        <v>57262</v>
      </c>
      <c r="C22" s="1109">
        <v>1060</v>
      </c>
    </row>
    <row r="23" spans="1:3" ht="29">
      <c r="A23" s="1108" t="s">
        <v>57261</v>
      </c>
      <c r="B23" s="912" t="s">
        <v>57260</v>
      </c>
      <c r="C23" s="1109">
        <v>1100</v>
      </c>
    </row>
    <row r="24" spans="1:3">
      <c r="A24" s="1108" t="s">
        <v>57259</v>
      </c>
      <c r="B24" s="912" t="s">
        <v>57258</v>
      </c>
      <c r="C24" s="1109">
        <v>418</v>
      </c>
    </row>
    <row r="25" spans="1:3">
      <c r="A25" s="1108" t="s">
        <v>57257</v>
      </c>
      <c r="B25" s="912" t="s">
        <v>57256</v>
      </c>
      <c r="C25" s="1109">
        <v>704</v>
      </c>
    </row>
    <row r="26" spans="1:3">
      <c r="A26" s="1108" t="s">
        <v>57255</v>
      </c>
      <c r="B26" s="912" t="s">
        <v>57254</v>
      </c>
      <c r="C26" s="1109">
        <v>730</v>
      </c>
    </row>
    <row r="27" spans="1:3">
      <c r="A27" s="1108" t="s">
        <v>57253</v>
      </c>
      <c r="B27" s="912" t="s">
        <v>57252</v>
      </c>
      <c r="C27" s="1109">
        <v>755</v>
      </c>
    </row>
    <row r="28" spans="1:3">
      <c r="A28" s="1108" t="s">
        <v>57251</v>
      </c>
      <c r="B28" s="912" t="s">
        <v>57250</v>
      </c>
      <c r="C28" s="1109">
        <v>630</v>
      </c>
    </row>
    <row r="29" spans="1:3">
      <c r="A29" s="1108" t="s">
        <v>57249</v>
      </c>
      <c r="B29" s="912" t="s">
        <v>57248</v>
      </c>
      <c r="C29" s="1109">
        <v>920</v>
      </c>
    </row>
    <row r="30" spans="1:3">
      <c r="A30" s="1108" t="s">
        <v>57247</v>
      </c>
      <c r="B30" s="912" t="s">
        <v>57246</v>
      </c>
      <c r="C30" s="1109">
        <v>941</v>
      </c>
    </row>
    <row r="31" spans="1:3">
      <c r="A31" s="1108" t="s">
        <v>57245</v>
      </c>
      <c r="B31" s="912" t="s">
        <v>57244</v>
      </c>
      <c r="C31" s="1109">
        <v>1001</v>
      </c>
    </row>
    <row r="32" spans="1:3" ht="29">
      <c r="A32" s="1108" t="s">
        <v>57243</v>
      </c>
      <c r="B32" s="912" t="s">
        <v>57242</v>
      </c>
      <c r="C32" s="1109">
        <v>1110</v>
      </c>
    </row>
    <row r="33" spans="1:3">
      <c r="A33" s="1108" t="s">
        <v>57241</v>
      </c>
      <c r="B33" s="912" t="s">
        <v>57240</v>
      </c>
      <c r="C33" s="1109">
        <v>1210</v>
      </c>
    </row>
    <row r="34" spans="1:3">
      <c r="A34" s="1108" t="s">
        <v>57239</v>
      </c>
      <c r="B34" s="912" t="s">
        <v>57238</v>
      </c>
      <c r="C34" s="1109">
        <v>640</v>
      </c>
    </row>
    <row r="35" spans="1:3">
      <c r="A35" s="1108" t="s">
        <v>57237</v>
      </c>
      <c r="B35" s="912" t="s">
        <v>57236</v>
      </c>
      <c r="C35" s="1109">
        <v>702</v>
      </c>
    </row>
    <row r="36" spans="1:3">
      <c r="A36" s="1108" t="s">
        <v>57235</v>
      </c>
      <c r="B36" s="912" t="s">
        <v>57234</v>
      </c>
      <c r="C36" s="1109">
        <v>723</v>
      </c>
    </row>
    <row r="37" spans="1:3">
      <c r="A37" s="1108" t="s">
        <v>57233</v>
      </c>
      <c r="B37" s="912" t="s">
        <v>57232</v>
      </c>
      <c r="C37" s="1109">
        <v>573</v>
      </c>
    </row>
    <row r="38" spans="1:3" ht="29">
      <c r="A38" s="1108" t="s">
        <v>57231</v>
      </c>
      <c r="B38" s="912" t="s">
        <v>57230</v>
      </c>
      <c r="C38" s="1109">
        <v>836</v>
      </c>
    </row>
    <row r="39" spans="1:3" ht="29">
      <c r="A39" s="1108" t="s">
        <v>57229</v>
      </c>
      <c r="B39" s="912" t="s">
        <v>57228</v>
      </c>
      <c r="C39" s="1109">
        <v>876</v>
      </c>
    </row>
    <row r="40" spans="1:3" ht="29">
      <c r="A40" s="1108" t="s">
        <v>57227</v>
      </c>
      <c r="B40" s="912" t="s">
        <v>57226</v>
      </c>
      <c r="C40" s="1109">
        <v>910</v>
      </c>
    </row>
    <row r="41" spans="1:3" ht="29">
      <c r="A41" s="1108" t="s">
        <v>57225</v>
      </c>
      <c r="B41" s="912" t="s">
        <v>57224</v>
      </c>
      <c r="C41" s="1109">
        <v>1009</v>
      </c>
    </row>
    <row r="42" spans="1:3" ht="29">
      <c r="A42" s="1108" t="s">
        <v>57223</v>
      </c>
      <c r="B42" s="912" t="s">
        <v>57222</v>
      </c>
      <c r="C42" s="1109">
        <v>640</v>
      </c>
    </row>
    <row r="43" spans="1:3" ht="29">
      <c r="A43" s="1108" t="s">
        <v>57221</v>
      </c>
      <c r="B43" s="912" t="s">
        <v>57220</v>
      </c>
      <c r="C43" s="1109">
        <v>664</v>
      </c>
    </row>
    <row r="44" spans="1:3" ht="29">
      <c r="A44" s="1108" t="s">
        <v>57219</v>
      </c>
      <c r="B44" s="912" t="s">
        <v>57218</v>
      </c>
      <c r="C44" s="1109">
        <v>836</v>
      </c>
    </row>
    <row r="45" spans="1:3" ht="29">
      <c r="A45" s="1108" t="s">
        <v>57217</v>
      </c>
      <c r="B45" s="912" t="s">
        <v>57216</v>
      </c>
      <c r="C45" s="1109">
        <v>855</v>
      </c>
    </row>
    <row r="46" spans="1:3" ht="29">
      <c r="A46" s="1108" t="s">
        <v>57215</v>
      </c>
      <c r="B46" s="912" t="s">
        <v>57214</v>
      </c>
      <c r="C46" s="1109">
        <v>876</v>
      </c>
    </row>
    <row r="47" spans="1:3" ht="29">
      <c r="A47" s="1108" t="s">
        <v>57213</v>
      </c>
      <c r="B47" s="912" t="s">
        <v>57212</v>
      </c>
      <c r="C47" s="1109">
        <v>910</v>
      </c>
    </row>
    <row r="48" spans="1:3" ht="29">
      <c r="A48" s="1108" t="s">
        <v>57211</v>
      </c>
      <c r="B48" s="912" t="s">
        <v>57210</v>
      </c>
      <c r="C48" s="1109">
        <v>1100</v>
      </c>
    </row>
    <row r="49" spans="1:3" ht="29">
      <c r="A49" s="1108" t="s">
        <v>57209</v>
      </c>
      <c r="B49" s="912" t="s">
        <v>57208</v>
      </c>
      <c r="C49" s="1109">
        <v>356</v>
      </c>
    </row>
    <row r="50" spans="1:3" ht="29">
      <c r="A50" s="1108" t="s">
        <v>57207</v>
      </c>
      <c r="B50" s="912" t="s">
        <v>57206</v>
      </c>
      <c r="C50" s="1109">
        <v>377</v>
      </c>
    </row>
    <row r="51" spans="1:3" ht="43.5">
      <c r="A51" s="1108" t="s">
        <v>57205</v>
      </c>
      <c r="B51" s="912" t="s">
        <v>57204</v>
      </c>
      <c r="C51" s="1109">
        <v>950</v>
      </c>
    </row>
    <row r="52" spans="1:3" ht="29">
      <c r="A52" s="1108" t="s">
        <v>57203</v>
      </c>
      <c r="B52" s="912" t="s">
        <v>57202</v>
      </c>
      <c r="C52" s="1109">
        <v>1050</v>
      </c>
    </row>
    <row r="53" spans="1:3" ht="58">
      <c r="A53" s="1108" t="s">
        <v>57201</v>
      </c>
      <c r="B53" s="912" t="s">
        <v>57200</v>
      </c>
      <c r="C53" s="1109">
        <v>1150</v>
      </c>
    </row>
    <row r="54" spans="1:3" ht="29">
      <c r="A54" s="1108" t="s">
        <v>57199</v>
      </c>
      <c r="B54" s="912" t="s">
        <v>57198</v>
      </c>
      <c r="C54" s="1109">
        <v>338</v>
      </c>
    </row>
    <row r="55" spans="1:3">
      <c r="A55" s="1108" t="s">
        <v>57197</v>
      </c>
      <c r="B55" s="912" t="s">
        <v>57196</v>
      </c>
      <c r="C55" s="1109">
        <v>515</v>
      </c>
    </row>
    <row r="56" spans="1:3" ht="29">
      <c r="A56" s="1108" t="s">
        <v>57195</v>
      </c>
      <c r="B56" s="912" t="s">
        <v>57194</v>
      </c>
      <c r="C56" s="1109">
        <v>669</v>
      </c>
    </row>
    <row r="57" spans="1:3" ht="29">
      <c r="A57" s="1108" t="s">
        <v>57193</v>
      </c>
      <c r="B57" s="912" t="s">
        <v>57192</v>
      </c>
      <c r="C57" s="1109">
        <v>675</v>
      </c>
    </row>
    <row r="58" spans="1:3" ht="29">
      <c r="A58" s="1108" t="s">
        <v>57191</v>
      </c>
      <c r="B58" s="912" t="s">
        <v>57190</v>
      </c>
      <c r="C58" s="1109">
        <v>751</v>
      </c>
    </row>
    <row r="59" spans="1:3" ht="29">
      <c r="A59" s="1108" t="s">
        <v>57189</v>
      </c>
      <c r="B59" s="912" t="s">
        <v>57188</v>
      </c>
      <c r="C59" s="1109">
        <v>809</v>
      </c>
    </row>
    <row r="60" spans="1:3" ht="29">
      <c r="A60" s="1108" t="s">
        <v>57187</v>
      </c>
      <c r="B60" s="912" t="s">
        <v>57186</v>
      </c>
      <c r="C60" s="1109">
        <v>809</v>
      </c>
    </row>
    <row r="61" spans="1:3" ht="29">
      <c r="A61" s="1108" t="s">
        <v>57185</v>
      </c>
      <c r="B61" s="912" t="s">
        <v>57184</v>
      </c>
      <c r="C61" s="1109">
        <v>868</v>
      </c>
    </row>
    <row r="62" spans="1:3">
      <c r="A62" s="1108" t="s">
        <v>57183</v>
      </c>
      <c r="B62" s="912" t="s">
        <v>57182</v>
      </c>
      <c r="C62" s="1109">
        <v>370</v>
      </c>
    </row>
    <row r="63" spans="1:3">
      <c r="A63" s="1108" t="s">
        <v>57181</v>
      </c>
      <c r="B63" s="912" t="s">
        <v>57180</v>
      </c>
      <c r="C63" s="1109">
        <v>575</v>
      </c>
    </row>
    <row r="64" spans="1:3" ht="29">
      <c r="A64" s="1108" t="s">
        <v>57179</v>
      </c>
      <c r="B64" s="912" t="s">
        <v>57178</v>
      </c>
      <c r="C64" s="1109">
        <v>575</v>
      </c>
    </row>
    <row r="65" spans="1:3" ht="29">
      <c r="A65" s="1108" t="s">
        <v>57177</v>
      </c>
      <c r="B65" s="912" t="s">
        <v>57176</v>
      </c>
      <c r="C65" s="1109">
        <v>199</v>
      </c>
    </row>
    <row r="66" spans="1:3" ht="29">
      <c r="A66" s="1108" t="s">
        <v>57175</v>
      </c>
      <c r="B66" s="912" t="s">
        <v>57174</v>
      </c>
      <c r="C66" s="1109">
        <v>549</v>
      </c>
    </row>
    <row r="67" spans="1:3" ht="29">
      <c r="A67" s="1108" t="s">
        <v>57173</v>
      </c>
      <c r="B67" s="912" t="s">
        <v>57172</v>
      </c>
      <c r="C67" s="1109">
        <v>464</v>
      </c>
    </row>
    <row r="68" spans="1:3" ht="29">
      <c r="A68" s="1108" t="s">
        <v>57171</v>
      </c>
      <c r="B68" s="912" t="s">
        <v>57170</v>
      </c>
      <c r="C68" s="1109">
        <v>397</v>
      </c>
    </row>
    <row r="69" spans="1:3" ht="29">
      <c r="A69" s="1108" t="s">
        <v>57162</v>
      </c>
      <c r="B69" s="912" t="s">
        <v>57169</v>
      </c>
      <c r="C69" s="1109">
        <v>397</v>
      </c>
    </row>
    <row r="70" spans="1:3" ht="29">
      <c r="A70" s="1108" t="s">
        <v>57168</v>
      </c>
      <c r="B70" s="912" t="s">
        <v>57167</v>
      </c>
      <c r="C70" s="1109">
        <v>529</v>
      </c>
    </row>
    <row r="71" spans="1:3" ht="29">
      <c r="A71" s="1108" t="s">
        <v>57166</v>
      </c>
      <c r="B71" s="912" t="s">
        <v>57165</v>
      </c>
      <c r="C71" s="1109">
        <v>464</v>
      </c>
    </row>
    <row r="72" spans="1:3" ht="29">
      <c r="A72" s="1108" t="s">
        <v>57164</v>
      </c>
      <c r="B72" s="912" t="s">
        <v>57163</v>
      </c>
      <c r="C72" s="1109">
        <v>543</v>
      </c>
    </row>
    <row r="73" spans="1:3" ht="29">
      <c r="A73" s="1108" t="s">
        <v>57162</v>
      </c>
      <c r="B73" s="912" t="s">
        <v>57161</v>
      </c>
      <c r="C73" s="1109">
        <v>397</v>
      </c>
    </row>
    <row r="74" spans="1:3" ht="29">
      <c r="A74" s="1108" t="s">
        <v>57160</v>
      </c>
      <c r="B74" s="912" t="s">
        <v>57159</v>
      </c>
      <c r="C74" s="1109">
        <v>464</v>
      </c>
    </row>
    <row r="75" spans="1:3" ht="29">
      <c r="A75" s="1108" t="s">
        <v>57158</v>
      </c>
      <c r="B75" s="912" t="s">
        <v>57157</v>
      </c>
      <c r="C75" s="1109">
        <v>529</v>
      </c>
    </row>
    <row r="76" spans="1:3" ht="29">
      <c r="A76" s="1108" t="s">
        <v>57156</v>
      </c>
      <c r="B76" s="912" t="s">
        <v>57155</v>
      </c>
      <c r="C76" s="1109">
        <v>569</v>
      </c>
    </row>
    <row r="77" spans="1:3" ht="29">
      <c r="A77" s="1108" t="s">
        <v>57154</v>
      </c>
      <c r="B77" s="912" t="s">
        <v>57153</v>
      </c>
      <c r="C77" s="1109">
        <v>609</v>
      </c>
    </row>
    <row r="78" spans="1:3" ht="29">
      <c r="A78" s="1108" t="s">
        <v>57152</v>
      </c>
      <c r="B78" s="912" t="s">
        <v>57151</v>
      </c>
      <c r="C78" s="1109">
        <v>789</v>
      </c>
    </row>
    <row r="79" spans="1:3" ht="29">
      <c r="A79" s="1108" t="s">
        <v>57150</v>
      </c>
      <c r="B79" s="912" t="s">
        <v>57149</v>
      </c>
      <c r="C79" s="1109">
        <v>815</v>
      </c>
    </row>
    <row r="80" spans="1:3" ht="29">
      <c r="A80" s="1108" t="s">
        <v>57148</v>
      </c>
      <c r="B80" s="912" t="s">
        <v>57147</v>
      </c>
      <c r="C80" s="1109">
        <v>840</v>
      </c>
    </row>
    <row r="81" spans="1:3">
      <c r="A81" s="1108" t="s">
        <v>57146</v>
      </c>
      <c r="B81" s="912" t="s">
        <v>57145</v>
      </c>
      <c r="C81" s="1109">
        <v>794</v>
      </c>
    </row>
    <row r="82" spans="1:3">
      <c r="A82" s="1108" t="s">
        <v>57144</v>
      </c>
      <c r="B82" s="912" t="s">
        <v>57143</v>
      </c>
      <c r="C82" s="1109">
        <v>815</v>
      </c>
    </row>
    <row r="83" spans="1:3" ht="29">
      <c r="A83" s="1108" t="s">
        <v>57142</v>
      </c>
      <c r="B83" s="912" t="s">
        <v>57141</v>
      </c>
      <c r="C83" s="1109">
        <v>908</v>
      </c>
    </row>
    <row r="84" spans="1:3">
      <c r="A84" s="1108" t="s">
        <v>57140</v>
      </c>
      <c r="B84" s="912" t="s">
        <v>57139</v>
      </c>
      <c r="C84" s="1109">
        <v>840</v>
      </c>
    </row>
    <row r="85" spans="1:3" ht="29">
      <c r="A85" s="1108" t="s">
        <v>57138</v>
      </c>
      <c r="B85" s="912" t="s">
        <v>57137</v>
      </c>
      <c r="C85" s="1109">
        <v>827</v>
      </c>
    </row>
    <row r="86" spans="1:3" ht="29">
      <c r="A86" s="1108" t="s">
        <v>57136</v>
      </c>
      <c r="B86" s="912" t="s">
        <v>57135</v>
      </c>
      <c r="C86" s="1109">
        <v>873</v>
      </c>
    </row>
    <row r="87" spans="1:3" ht="29">
      <c r="A87" s="1108" t="s">
        <v>57134</v>
      </c>
      <c r="B87" s="912" t="s">
        <v>57133</v>
      </c>
      <c r="C87" s="1109">
        <v>960</v>
      </c>
    </row>
    <row r="88" spans="1:3" ht="29">
      <c r="A88" s="1108" t="s">
        <v>57132</v>
      </c>
      <c r="B88" s="912" t="s">
        <v>57131</v>
      </c>
      <c r="C88" s="1109">
        <v>920</v>
      </c>
    </row>
    <row r="89" spans="1:3" ht="29">
      <c r="A89" s="1108" t="s">
        <v>57130</v>
      </c>
      <c r="B89" s="912" t="s">
        <v>57129</v>
      </c>
      <c r="C89" s="1109">
        <v>946</v>
      </c>
    </row>
    <row r="90" spans="1:3" ht="29">
      <c r="A90" s="1108" t="s">
        <v>57128</v>
      </c>
      <c r="B90" s="912" t="s">
        <v>57127</v>
      </c>
      <c r="C90" s="1109">
        <v>974</v>
      </c>
    </row>
    <row r="91" spans="1:3" ht="29">
      <c r="A91" s="1108" t="s">
        <v>57126</v>
      </c>
      <c r="B91" s="912" t="s">
        <v>57125</v>
      </c>
      <c r="C91" s="1109">
        <v>881</v>
      </c>
    </row>
    <row r="92" spans="1:3" ht="29">
      <c r="A92" s="1108" t="s">
        <v>57124</v>
      </c>
      <c r="B92" s="912" t="s">
        <v>57123</v>
      </c>
      <c r="C92" s="1109">
        <v>1059</v>
      </c>
    </row>
    <row r="93" spans="1:3">
      <c r="A93" s="1108" t="s">
        <v>57122</v>
      </c>
      <c r="B93" s="912" t="s">
        <v>57121</v>
      </c>
      <c r="C93" s="1109">
        <v>548</v>
      </c>
    </row>
    <row r="94" spans="1:3">
      <c r="A94" s="1108" t="s">
        <v>57120</v>
      </c>
      <c r="B94" s="912" t="s">
        <v>57119</v>
      </c>
      <c r="C94" s="1109">
        <v>587</v>
      </c>
    </row>
    <row r="95" spans="1:3">
      <c r="A95" s="1108" t="s">
        <v>57118</v>
      </c>
      <c r="B95" s="912" t="s">
        <v>57117</v>
      </c>
      <c r="C95" s="1109">
        <v>636</v>
      </c>
    </row>
    <row r="96" spans="1:3">
      <c r="A96" s="1108" t="s">
        <v>57116</v>
      </c>
      <c r="B96" s="912" t="s">
        <v>57115</v>
      </c>
      <c r="C96" s="1109">
        <v>661</v>
      </c>
    </row>
    <row r="97" spans="1:3" ht="29">
      <c r="A97" s="1108" t="s">
        <v>57114</v>
      </c>
      <c r="B97" s="912" t="s">
        <v>57113</v>
      </c>
      <c r="C97" s="1109">
        <v>894</v>
      </c>
    </row>
    <row r="98" spans="1:3" ht="29">
      <c r="A98" s="1108" t="s">
        <v>57112</v>
      </c>
      <c r="B98" s="912" t="s">
        <v>57111</v>
      </c>
      <c r="C98" s="1109">
        <v>517</v>
      </c>
    </row>
    <row r="99" spans="1:3" ht="29">
      <c r="A99" s="1108" t="s">
        <v>57110</v>
      </c>
      <c r="B99" s="912" t="s">
        <v>57109</v>
      </c>
      <c r="C99" s="1109">
        <v>442</v>
      </c>
    </row>
    <row r="100" spans="1:3">
      <c r="A100" s="1108" t="s">
        <v>57108</v>
      </c>
      <c r="B100" s="912" t="s">
        <v>57107</v>
      </c>
      <c r="C100" s="1109">
        <v>172</v>
      </c>
    </row>
    <row r="101" spans="1:3" ht="29">
      <c r="A101" s="1108" t="s">
        <v>57106</v>
      </c>
      <c r="B101" s="912" t="s">
        <v>57105</v>
      </c>
      <c r="C101" s="1109">
        <v>199</v>
      </c>
    </row>
    <row r="102" spans="1:3" ht="29">
      <c r="A102" s="1108" t="s">
        <v>57104</v>
      </c>
      <c r="B102" s="912" t="s">
        <v>57103</v>
      </c>
      <c r="C102" s="1109">
        <v>212</v>
      </c>
    </row>
    <row r="103" spans="1:3">
      <c r="A103" s="1108" t="s">
        <v>57102</v>
      </c>
      <c r="B103" s="912" t="s">
        <v>57101</v>
      </c>
      <c r="C103" s="1109">
        <v>212</v>
      </c>
    </row>
    <row r="104" spans="1:3" ht="29">
      <c r="A104" s="1108" t="s">
        <v>57100</v>
      </c>
      <c r="B104" s="912" t="s">
        <v>57099</v>
      </c>
      <c r="C104" s="1109">
        <v>208</v>
      </c>
    </row>
    <row r="105" spans="1:3" ht="29">
      <c r="A105" s="1108" t="s">
        <v>57098</v>
      </c>
      <c r="B105" s="912" t="s">
        <v>57097</v>
      </c>
      <c r="C105" s="1109">
        <v>213</v>
      </c>
    </row>
    <row r="106" spans="1:3" ht="29">
      <c r="A106" s="1108" t="s">
        <v>57096</v>
      </c>
      <c r="B106" s="912" t="s">
        <v>57095</v>
      </c>
      <c r="C106" s="1109">
        <v>199</v>
      </c>
    </row>
    <row r="107" spans="1:3" ht="29">
      <c r="A107" s="1108" t="s">
        <v>57094</v>
      </c>
      <c r="B107" s="912" t="s">
        <v>57093</v>
      </c>
      <c r="C107" s="1109">
        <v>212</v>
      </c>
    </row>
    <row r="108" spans="1:3">
      <c r="A108" s="1108" t="s">
        <v>57092</v>
      </c>
      <c r="B108" s="912" t="s">
        <v>57091</v>
      </c>
      <c r="C108" s="1109">
        <v>198</v>
      </c>
    </row>
    <row r="109" spans="1:3" ht="29">
      <c r="A109" s="1108" t="s">
        <v>57090</v>
      </c>
      <c r="B109" s="912" t="s">
        <v>57089</v>
      </c>
      <c r="C109" s="1109">
        <v>495</v>
      </c>
    </row>
    <row r="110" spans="1:3" ht="29">
      <c r="A110" s="1108" t="s">
        <v>57088</v>
      </c>
      <c r="B110" s="912" t="s">
        <v>57087</v>
      </c>
      <c r="C110" s="1109">
        <v>519</v>
      </c>
    </row>
    <row r="111" spans="1:3" ht="29">
      <c r="A111" s="1108" t="s">
        <v>57086</v>
      </c>
      <c r="B111" s="912" t="s">
        <v>57085</v>
      </c>
      <c r="C111" s="1109">
        <v>495</v>
      </c>
    </row>
    <row r="112" spans="1:3" ht="29">
      <c r="A112" s="1108" t="s">
        <v>57084</v>
      </c>
      <c r="B112" s="912" t="s">
        <v>57083</v>
      </c>
      <c r="C112" s="1109">
        <v>519</v>
      </c>
    </row>
    <row r="113" spans="1:3" ht="29">
      <c r="A113" s="1108" t="s">
        <v>57082</v>
      </c>
      <c r="B113" s="912" t="s">
        <v>57081</v>
      </c>
      <c r="C113" s="1109">
        <v>353</v>
      </c>
    </row>
    <row r="114" spans="1:3" ht="29">
      <c r="A114" s="1108" t="s">
        <v>57080</v>
      </c>
      <c r="B114" s="912" t="s">
        <v>57079</v>
      </c>
      <c r="C114" s="1109">
        <v>377</v>
      </c>
    </row>
    <row r="115" spans="1:3">
      <c r="A115" s="1108" t="s">
        <v>57078</v>
      </c>
      <c r="B115" s="912" t="s">
        <v>57077</v>
      </c>
      <c r="C115" s="1109">
        <v>216</v>
      </c>
    </row>
    <row r="116" spans="1:3">
      <c r="A116" s="1108" t="s">
        <v>57076</v>
      </c>
      <c r="B116" s="912" t="s">
        <v>57075</v>
      </c>
      <c r="C116" s="1109">
        <v>227</v>
      </c>
    </row>
    <row r="117" spans="1:3">
      <c r="A117" s="1108" t="s">
        <v>57074</v>
      </c>
      <c r="B117" s="912" t="s">
        <v>57073</v>
      </c>
      <c r="C117" s="1109">
        <v>213</v>
      </c>
    </row>
    <row r="118" spans="1:3">
      <c r="A118" s="1108" t="s">
        <v>57072</v>
      </c>
      <c r="B118" s="912" t="s">
        <v>57071</v>
      </c>
      <c r="C118" s="1109">
        <v>224</v>
      </c>
    </row>
    <row r="119" spans="1:3">
      <c r="A119" s="1108" t="s">
        <v>57070</v>
      </c>
      <c r="B119" s="912" t="s">
        <v>57069</v>
      </c>
      <c r="C119" s="1109">
        <v>116</v>
      </c>
    </row>
    <row r="120" spans="1:3" ht="29">
      <c r="A120" s="1108" t="s">
        <v>57068</v>
      </c>
      <c r="B120" s="912" t="s">
        <v>57067</v>
      </c>
      <c r="C120" s="1109">
        <v>147</v>
      </c>
    </row>
    <row r="121" spans="1:3" ht="29">
      <c r="A121" s="1108" t="s">
        <v>57066</v>
      </c>
      <c r="B121" s="912" t="s">
        <v>57065</v>
      </c>
      <c r="C121" s="1109">
        <v>157</v>
      </c>
    </row>
    <row r="122" spans="1:3">
      <c r="A122" s="1108" t="s">
        <v>57064</v>
      </c>
      <c r="B122" s="912" t="s">
        <v>57063</v>
      </c>
      <c r="C122" s="1109">
        <v>58</v>
      </c>
    </row>
    <row r="123" spans="1:3">
      <c r="A123" s="1108" t="s">
        <v>57062</v>
      </c>
      <c r="B123" s="912" t="s">
        <v>57061</v>
      </c>
      <c r="C123" s="1109">
        <v>64</v>
      </c>
    </row>
    <row r="124" spans="1:3">
      <c r="A124" s="1108" t="s">
        <v>57060</v>
      </c>
      <c r="B124" s="912" t="s">
        <v>57059</v>
      </c>
      <c r="C124" s="1109">
        <v>89</v>
      </c>
    </row>
    <row r="125" spans="1:3">
      <c r="A125" s="1108" t="s">
        <v>57058</v>
      </c>
      <c r="B125" s="912" t="s">
        <v>57057</v>
      </c>
      <c r="C125" s="1109">
        <v>89</v>
      </c>
    </row>
    <row r="126" spans="1:3" ht="43.5">
      <c r="A126" s="1108" t="s">
        <v>57056</v>
      </c>
      <c r="B126" s="912" t="s">
        <v>57055</v>
      </c>
      <c r="C126" s="1109">
        <v>45</v>
      </c>
    </row>
    <row r="127" spans="1:3" ht="29">
      <c r="A127" s="1108" t="s">
        <v>57054</v>
      </c>
      <c r="B127" s="912" t="s">
        <v>57053</v>
      </c>
      <c r="C127" s="1109">
        <v>64</v>
      </c>
    </row>
    <row r="128" spans="1:3" ht="29">
      <c r="A128" s="1108" t="s">
        <v>57052</v>
      </c>
      <c r="B128" s="912" t="s">
        <v>57051</v>
      </c>
      <c r="C128" s="1109">
        <v>116</v>
      </c>
    </row>
    <row r="129" spans="1:3" ht="29">
      <c r="A129" s="1108" t="s">
        <v>57050</v>
      </c>
      <c r="B129" s="912" t="s">
        <v>57049</v>
      </c>
      <c r="C129" s="1109">
        <v>58</v>
      </c>
    </row>
    <row r="130" spans="1:3" ht="29">
      <c r="A130" s="1108" t="s">
        <v>57048</v>
      </c>
      <c r="B130" s="912" t="s">
        <v>57047</v>
      </c>
      <c r="C130" s="1109">
        <v>64</v>
      </c>
    </row>
    <row r="131" spans="1:3">
      <c r="A131" s="1108" t="s">
        <v>57046</v>
      </c>
      <c r="B131" s="912" t="s">
        <v>57045</v>
      </c>
      <c r="C131" s="1109">
        <v>167</v>
      </c>
    </row>
    <row r="132" spans="1:3" ht="29">
      <c r="A132" s="1108" t="s">
        <v>57044</v>
      </c>
      <c r="B132" s="912" t="s">
        <v>57043</v>
      </c>
      <c r="C132" s="1109">
        <v>53</v>
      </c>
    </row>
    <row r="133" spans="1:3" ht="29">
      <c r="A133" s="1108" t="s">
        <v>57042</v>
      </c>
      <c r="B133" s="912" t="s">
        <v>57041</v>
      </c>
      <c r="C133" s="1109">
        <v>50</v>
      </c>
    </row>
    <row r="134" spans="1:3" ht="29">
      <c r="A134" s="1108" t="s">
        <v>57040</v>
      </c>
      <c r="B134" s="912" t="s">
        <v>57039</v>
      </c>
      <c r="C134" s="1109">
        <v>97</v>
      </c>
    </row>
    <row r="135" spans="1:3" ht="29">
      <c r="A135" s="1108" t="s">
        <v>57038</v>
      </c>
      <c r="B135" s="912" t="s">
        <v>57037</v>
      </c>
      <c r="C135" s="1109">
        <v>173</v>
      </c>
    </row>
    <row r="136" spans="1:3" ht="29">
      <c r="A136" s="1108" t="s">
        <v>57036</v>
      </c>
      <c r="B136" s="912" t="s">
        <v>57035</v>
      </c>
      <c r="C136" s="1109">
        <v>194</v>
      </c>
    </row>
    <row r="137" spans="1:3" ht="29">
      <c r="A137" s="1108" t="s">
        <v>57034</v>
      </c>
      <c r="B137" s="912" t="s">
        <v>57033</v>
      </c>
      <c r="C137" s="1109">
        <v>194</v>
      </c>
    </row>
    <row r="138" spans="1:3" ht="29">
      <c r="A138" s="1108" t="s">
        <v>57032</v>
      </c>
      <c r="B138" s="912" t="s">
        <v>57031</v>
      </c>
      <c r="C138" s="1109">
        <v>277</v>
      </c>
    </row>
    <row r="139" spans="1:3">
      <c r="A139" s="1108" t="s">
        <v>57030</v>
      </c>
      <c r="B139" s="912" t="s">
        <v>57029</v>
      </c>
      <c r="C139" s="1109">
        <v>53</v>
      </c>
    </row>
    <row r="140" spans="1:3" ht="29">
      <c r="A140" s="1108" t="s">
        <v>57028</v>
      </c>
      <c r="B140" s="912" t="s">
        <v>57027</v>
      </c>
      <c r="C140" s="1109">
        <v>64</v>
      </c>
    </row>
    <row r="141" spans="1:3">
      <c r="A141" s="1108" t="s">
        <v>57026</v>
      </c>
      <c r="B141" s="912" t="s">
        <v>57025</v>
      </c>
      <c r="C141" s="1109">
        <v>187</v>
      </c>
    </row>
    <row r="142" spans="1:3">
      <c r="A142" s="1108" t="s">
        <v>57024</v>
      </c>
      <c r="B142" s="912" t="s">
        <v>57023</v>
      </c>
      <c r="C142" s="1109">
        <v>193</v>
      </c>
    </row>
    <row r="143" spans="1:3">
      <c r="A143" s="1108" t="s">
        <v>57022</v>
      </c>
      <c r="B143" s="912" t="s">
        <v>57021</v>
      </c>
      <c r="C143" s="1109">
        <v>173</v>
      </c>
    </row>
    <row r="144" spans="1:3">
      <c r="A144" s="1108" t="s">
        <v>57020</v>
      </c>
      <c r="B144" s="912" t="s">
        <v>57019</v>
      </c>
      <c r="C144" s="1109">
        <v>180</v>
      </c>
    </row>
    <row r="145" spans="1:3">
      <c r="A145" s="1108" t="s">
        <v>57018</v>
      </c>
      <c r="B145" s="912" t="s">
        <v>57017</v>
      </c>
      <c r="C145" s="1109">
        <v>193</v>
      </c>
    </row>
    <row r="146" spans="1:3" ht="29">
      <c r="A146" s="1108" t="s">
        <v>57016</v>
      </c>
      <c r="B146" s="912" t="s">
        <v>57015</v>
      </c>
      <c r="C146" s="1109">
        <v>353</v>
      </c>
    </row>
    <row r="147" spans="1:3" ht="29">
      <c r="A147" s="1108" t="s">
        <v>57014</v>
      </c>
      <c r="B147" s="912" t="s">
        <v>57013</v>
      </c>
      <c r="C147" s="1109">
        <v>386</v>
      </c>
    </row>
    <row r="148" spans="1:3" ht="29">
      <c r="A148" s="1108" t="s">
        <v>57012</v>
      </c>
      <c r="B148" s="912" t="s">
        <v>57011</v>
      </c>
      <c r="C148" s="1109">
        <v>276</v>
      </c>
    </row>
    <row r="149" spans="1:3" ht="29">
      <c r="A149" s="1108" t="s">
        <v>57010</v>
      </c>
      <c r="B149" s="912" t="s">
        <v>57009</v>
      </c>
      <c r="C149" s="1109">
        <v>386</v>
      </c>
    </row>
    <row r="150" spans="1:3">
      <c r="A150" s="1108" t="s">
        <v>57008</v>
      </c>
      <c r="B150" s="912" t="s">
        <v>57007</v>
      </c>
      <c r="C150" s="1109">
        <v>353</v>
      </c>
    </row>
    <row r="151" spans="1:3" ht="29">
      <c r="A151" s="1108" t="s">
        <v>57006</v>
      </c>
      <c r="B151" s="912" t="s">
        <v>57005</v>
      </c>
      <c r="C151" s="1109">
        <v>206</v>
      </c>
    </row>
    <row r="152" spans="1:3" ht="29">
      <c r="A152" s="1108" t="s">
        <v>57004</v>
      </c>
      <c r="B152" s="912" t="s">
        <v>57003</v>
      </c>
      <c r="C152" s="1109">
        <v>405</v>
      </c>
    </row>
    <row r="153" spans="1:3" ht="29">
      <c r="A153" s="1108" t="s">
        <v>57002</v>
      </c>
      <c r="B153" s="912" t="s">
        <v>57001</v>
      </c>
      <c r="C153" s="1109">
        <v>399</v>
      </c>
    </row>
    <row r="154" spans="1:3" ht="29">
      <c r="A154" s="1108" t="s">
        <v>57000</v>
      </c>
      <c r="B154" s="912" t="s">
        <v>56999</v>
      </c>
      <c r="C154" s="1109">
        <v>161</v>
      </c>
    </row>
    <row r="155" spans="1:3" ht="29">
      <c r="A155" s="1108" t="s">
        <v>56998</v>
      </c>
      <c r="B155" s="912" t="s">
        <v>56997</v>
      </c>
      <c r="C155" s="1109">
        <v>161</v>
      </c>
    </row>
    <row r="156" spans="1:3" ht="29">
      <c r="A156" s="1108" t="s">
        <v>56996</v>
      </c>
      <c r="B156" s="912" t="s">
        <v>56995</v>
      </c>
      <c r="C156" s="1109">
        <v>353</v>
      </c>
    </row>
    <row r="157" spans="1:3">
      <c r="A157" s="1108" t="s">
        <v>56994</v>
      </c>
      <c r="B157" s="912" t="s">
        <v>56993</v>
      </c>
      <c r="C157" s="1109">
        <v>270</v>
      </c>
    </row>
    <row r="158" spans="1:3" ht="29">
      <c r="A158" s="1108" t="s">
        <v>56992</v>
      </c>
      <c r="B158" s="912" t="s">
        <v>56991</v>
      </c>
      <c r="C158" s="1109">
        <v>429</v>
      </c>
    </row>
    <row r="159" spans="1:3" ht="29">
      <c r="A159" s="1108" t="s">
        <v>56990</v>
      </c>
      <c r="B159" s="912" t="s">
        <v>56989</v>
      </c>
      <c r="C159" s="1109">
        <v>462</v>
      </c>
    </row>
    <row r="160" spans="1:3">
      <c r="A160" s="1108" t="s">
        <v>56988</v>
      </c>
      <c r="B160" s="912" t="s">
        <v>56987</v>
      </c>
      <c r="C160" s="1109">
        <v>157</v>
      </c>
    </row>
    <row r="161" spans="1:3">
      <c r="A161" s="1108" t="s">
        <v>56986</v>
      </c>
      <c r="B161" s="912" t="s">
        <v>56985</v>
      </c>
      <c r="C161" s="1109">
        <v>419</v>
      </c>
    </row>
    <row r="162" spans="1:3" ht="29">
      <c r="A162" s="1108" t="s">
        <v>56984</v>
      </c>
      <c r="B162" s="912" t="s">
        <v>56983</v>
      </c>
      <c r="C162" s="1109">
        <v>259</v>
      </c>
    </row>
    <row r="163" spans="1:3">
      <c r="A163" s="1108" t="s">
        <v>56982</v>
      </c>
      <c r="B163" s="912" t="s">
        <v>56981</v>
      </c>
      <c r="C163" s="1109">
        <v>143</v>
      </c>
    </row>
    <row r="164" spans="1:3">
      <c r="A164" s="1108" t="s">
        <v>56980</v>
      </c>
      <c r="B164" s="912" t="s">
        <v>56979</v>
      </c>
      <c r="C164" s="1109">
        <v>129</v>
      </c>
    </row>
    <row r="165" spans="1:3">
      <c r="A165" s="1108" t="s">
        <v>56978</v>
      </c>
      <c r="B165" s="912" t="s">
        <v>56977</v>
      </c>
      <c r="C165" s="1109">
        <v>116</v>
      </c>
    </row>
    <row r="166" spans="1:3" ht="29">
      <c r="A166" s="1108" t="s">
        <v>56976</v>
      </c>
      <c r="B166" s="912" t="s">
        <v>56975</v>
      </c>
      <c r="C166" s="1109">
        <v>161</v>
      </c>
    </row>
    <row r="167" spans="1:3" ht="29">
      <c r="A167" s="1108" t="s">
        <v>56974</v>
      </c>
      <c r="B167" s="912" t="s">
        <v>56973</v>
      </c>
      <c r="C167" s="1109">
        <v>450</v>
      </c>
    </row>
    <row r="168" spans="1:3" ht="43.5">
      <c r="A168" s="1108" t="s">
        <v>56972</v>
      </c>
      <c r="B168" s="912" t="s">
        <v>56971</v>
      </c>
      <c r="C168" s="1109">
        <v>500</v>
      </c>
    </row>
    <row r="169" spans="1:3" ht="29">
      <c r="A169" s="1108" t="s">
        <v>56970</v>
      </c>
      <c r="B169" s="912" t="s">
        <v>56969</v>
      </c>
      <c r="C169" s="1109">
        <v>318</v>
      </c>
    </row>
    <row r="170" spans="1:3" ht="29">
      <c r="A170" s="1108" t="s">
        <v>56968</v>
      </c>
      <c r="B170" s="912" t="s">
        <v>56967</v>
      </c>
      <c r="C170" s="1109">
        <v>318</v>
      </c>
    </row>
    <row r="171" spans="1:3" ht="29">
      <c r="A171" s="1108" t="s">
        <v>56966</v>
      </c>
      <c r="B171" s="912" t="s">
        <v>56965</v>
      </c>
      <c r="C171" s="1109">
        <v>33</v>
      </c>
    </row>
    <row r="172" spans="1:3" ht="43.5">
      <c r="A172" s="1108" t="s">
        <v>56964</v>
      </c>
      <c r="B172" s="912" t="s">
        <v>56963</v>
      </c>
      <c r="C172" s="1109">
        <v>107</v>
      </c>
    </row>
    <row r="173" spans="1:3" ht="43.5">
      <c r="A173" s="1108" t="s">
        <v>56962</v>
      </c>
      <c r="B173" s="912" t="s">
        <v>56961</v>
      </c>
      <c r="C173" s="1109">
        <v>66</v>
      </c>
    </row>
    <row r="174" spans="1:3" ht="43.5">
      <c r="A174" s="1108" t="s">
        <v>56960</v>
      </c>
      <c r="B174" s="912" t="s">
        <v>56959</v>
      </c>
      <c r="C174" s="1109">
        <v>63</v>
      </c>
    </row>
    <row r="175" spans="1:3" ht="29">
      <c r="A175" s="1108" t="s">
        <v>56958</v>
      </c>
      <c r="B175" s="912" t="s">
        <v>56957</v>
      </c>
      <c r="C175" s="1109">
        <v>107</v>
      </c>
    </row>
    <row r="176" spans="1:3" ht="29">
      <c r="A176" s="1108" t="s">
        <v>56956</v>
      </c>
      <c r="B176" s="912" t="s">
        <v>56955</v>
      </c>
      <c r="C176" s="1109">
        <v>66</v>
      </c>
    </row>
    <row r="177" spans="1:3">
      <c r="A177" s="1108" t="s">
        <v>56954</v>
      </c>
      <c r="B177" s="912" t="s">
        <v>56953</v>
      </c>
      <c r="C177" s="1109">
        <v>19</v>
      </c>
    </row>
    <row r="178" spans="1:3">
      <c r="A178" s="1108" t="s">
        <v>56952</v>
      </c>
      <c r="B178" s="912" t="s">
        <v>56951</v>
      </c>
      <c r="C178" s="1109">
        <v>19</v>
      </c>
    </row>
    <row r="179" spans="1:3">
      <c r="A179" s="1108" t="s">
        <v>56950</v>
      </c>
      <c r="B179" s="912" t="s">
        <v>56949</v>
      </c>
      <c r="C179" s="1109">
        <v>33</v>
      </c>
    </row>
    <row r="180" spans="1:3">
      <c r="A180" s="1108" t="s">
        <v>56948</v>
      </c>
      <c r="B180" s="912" t="s">
        <v>56947</v>
      </c>
      <c r="C180" s="1109">
        <v>26</v>
      </c>
    </row>
    <row r="181" spans="1:3">
      <c r="A181" s="1108" t="s">
        <v>56946</v>
      </c>
      <c r="B181" s="912" t="s">
        <v>56945</v>
      </c>
      <c r="C181" s="1109">
        <v>53</v>
      </c>
    </row>
    <row r="182" spans="1:3">
      <c r="A182" s="1108" t="s">
        <v>56944</v>
      </c>
      <c r="B182" s="912" t="s">
        <v>56943</v>
      </c>
      <c r="C182" s="1109">
        <v>53</v>
      </c>
    </row>
    <row r="183" spans="1:3">
      <c r="A183" s="1108" t="s">
        <v>56942</v>
      </c>
      <c r="B183" s="912" t="s">
        <v>56941</v>
      </c>
      <c r="C183" s="1109">
        <v>67</v>
      </c>
    </row>
    <row r="184" spans="1:3">
      <c r="A184" s="1108" t="s">
        <v>56940</v>
      </c>
      <c r="B184" s="912" t="s">
        <v>56939</v>
      </c>
      <c r="C184" s="1109">
        <v>85</v>
      </c>
    </row>
    <row r="185" spans="1:3">
      <c r="A185" s="1108" t="s">
        <v>56938</v>
      </c>
      <c r="B185" s="912" t="s">
        <v>56937</v>
      </c>
      <c r="C185" s="1109">
        <v>109</v>
      </c>
    </row>
    <row r="186" spans="1:3" ht="29">
      <c r="A186" s="1108" t="s">
        <v>56936</v>
      </c>
      <c r="B186" s="912" t="s">
        <v>56935</v>
      </c>
      <c r="C186" s="1109">
        <v>200</v>
      </c>
    </row>
    <row r="187" spans="1:3">
      <c r="A187" s="1108" t="s">
        <v>56934</v>
      </c>
      <c r="B187" s="912" t="s">
        <v>56933</v>
      </c>
      <c r="C187" s="1109">
        <v>13</v>
      </c>
    </row>
    <row r="188" spans="1:3">
      <c r="A188" s="1108" t="s">
        <v>56932</v>
      </c>
      <c r="B188" s="912" t="s">
        <v>56931</v>
      </c>
      <c r="C188" s="1109">
        <v>3</v>
      </c>
    </row>
    <row r="189" spans="1:3">
      <c r="A189" s="1108" t="s">
        <v>56930</v>
      </c>
      <c r="B189" s="912" t="s">
        <v>56929</v>
      </c>
      <c r="C189" s="1109">
        <v>3</v>
      </c>
    </row>
    <row r="190" spans="1:3" ht="29">
      <c r="A190" s="1108" t="s">
        <v>56928</v>
      </c>
      <c r="B190" s="912" t="s">
        <v>56927</v>
      </c>
      <c r="C190" s="1109">
        <v>78</v>
      </c>
    </row>
    <row r="191" spans="1:3">
      <c r="A191" s="1108" t="s">
        <v>56926</v>
      </c>
      <c r="B191" s="912" t="s">
        <v>56925</v>
      </c>
      <c r="C191" s="1109">
        <v>15</v>
      </c>
    </row>
    <row r="192" spans="1:3">
      <c r="A192" s="1108" t="s">
        <v>56924</v>
      </c>
      <c r="B192" s="912" t="s">
        <v>56923</v>
      </c>
      <c r="C192" s="1109">
        <v>37</v>
      </c>
    </row>
    <row r="193" spans="1:3" ht="29">
      <c r="A193" s="1108" t="s">
        <v>56922</v>
      </c>
      <c r="B193" s="912" t="s">
        <v>56921</v>
      </c>
      <c r="C193" s="1109">
        <v>110</v>
      </c>
    </row>
    <row r="194" spans="1:3">
      <c r="A194" s="1108" t="s">
        <v>56920</v>
      </c>
      <c r="B194" s="912" t="s">
        <v>56919</v>
      </c>
      <c r="C194" s="1109">
        <v>80</v>
      </c>
    </row>
    <row r="195" spans="1:3">
      <c r="A195" s="1108" t="s">
        <v>56918</v>
      </c>
      <c r="B195" s="912" t="s">
        <v>56917</v>
      </c>
      <c r="C195" s="1109">
        <v>90</v>
      </c>
    </row>
    <row r="196" spans="1:3" ht="29">
      <c r="A196" s="1108" t="s">
        <v>56916</v>
      </c>
      <c r="B196" s="912" t="s">
        <v>56915</v>
      </c>
      <c r="C196" s="1109">
        <v>26</v>
      </c>
    </row>
    <row r="197" spans="1:3">
      <c r="A197" s="1108" t="s">
        <v>56914</v>
      </c>
      <c r="B197" s="912" t="s">
        <v>56913</v>
      </c>
      <c r="C197" s="1109">
        <v>26</v>
      </c>
    </row>
    <row r="198" spans="1:3">
      <c r="A198" s="1108" t="s">
        <v>56912</v>
      </c>
      <c r="B198" s="912" t="s">
        <v>56911</v>
      </c>
      <c r="C198" s="1109">
        <v>32</v>
      </c>
    </row>
    <row r="199" spans="1:3">
      <c r="A199" s="1108" t="s">
        <v>56910</v>
      </c>
      <c r="B199" s="912" t="s">
        <v>56909</v>
      </c>
      <c r="C199" s="1109">
        <v>32</v>
      </c>
    </row>
    <row r="200" spans="1:3">
      <c r="A200" s="1108" t="s">
        <v>56908</v>
      </c>
      <c r="B200" s="912" t="s">
        <v>56907</v>
      </c>
      <c r="C200" s="1109">
        <v>13</v>
      </c>
    </row>
    <row r="201" spans="1:3">
      <c r="A201" s="1108" t="s">
        <v>56906</v>
      </c>
      <c r="B201" s="912" t="s">
        <v>56905</v>
      </c>
      <c r="C201" s="1109">
        <v>33</v>
      </c>
    </row>
    <row r="202" spans="1:3" ht="29">
      <c r="A202" s="1108" t="s">
        <v>56904</v>
      </c>
      <c r="B202" s="912" t="s">
        <v>56903</v>
      </c>
      <c r="C202" s="1109">
        <v>50</v>
      </c>
    </row>
    <row r="203" spans="1:3">
      <c r="A203" s="1108" t="s">
        <v>56902</v>
      </c>
      <c r="B203" s="912" t="s">
        <v>56901</v>
      </c>
      <c r="C203" s="1109">
        <v>33</v>
      </c>
    </row>
    <row r="204" spans="1:3" ht="29">
      <c r="A204" s="1108" t="s">
        <v>56900</v>
      </c>
      <c r="B204" s="912" t="s">
        <v>56899</v>
      </c>
      <c r="C204" s="1109">
        <v>37</v>
      </c>
    </row>
    <row r="205" spans="1:3" ht="29">
      <c r="A205" s="1108" t="s">
        <v>56898</v>
      </c>
      <c r="B205" s="912" t="s">
        <v>56897</v>
      </c>
      <c r="C205" s="1109">
        <v>58</v>
      </c>
    </row>
    <row r="206" spans="1:3" ht="29">
      <c r="A206" s="1108" t="s">
        <v>56896</v>
      </c>
      <c r="B206" s="912" t="s">
        <v>56895</v>
      </c>
      <c r="C206" s="1109">
        <v>43</v>
      </c>
    </row>
    <row r="207" spans="1:3" ht="29">
      <c r="A207" s="1108" t="s">
        <v>56894</v>
      </c>
      <c r="B207" s="912" t="s">
        <v>56893</v>
      </c>
      <c r="C207" s="1109">
        <v>33</v>
      </c>
    </row>
    <row r="208" spans="1:3" ht="29">
      <c r="A208" s="1108" t="s">
        <v>56892</v>
      </c>
      <c r="B208" s="912" t="s">
        <v>56891</v>
      </c>
      <c r="C208" s="1109">
        <v>33</v>
      </c>
    </row>
    <row r="209" spans="1:3">
      <c r="A209" s="1108" t="s">
        <v>56890</v>
      </c>
      <c r="B209" s="912" t="s">
        <v>56889</v>
      </c>
      <c r="C209" s="1109">
        <v>32</v>
      </c>
    </row>
    <row r="210" spans="1:3">
      <c r="A210" s="1108" t="s">
        <v>56888</v>
      </c>
      <c r="B210" s="912" t="s">
        <v>56887</v>
      </c>
      <c r="C210" s="1109">
        <v>50</v>
      </c>
    </row>
    <row r="211" spans="1:3">
      <c r="A211" s="1108" t="s">
        <v>56886</v>
      </c>
      <c r="B211" s="912" t="s">
        <v>56885</v>
      </c>
      <c r="C211" s="1109">
        <v>50</v>
      </c>
    </row>
    <row r="212" spans="1:3">
      <c r="A212" s="1108" t="s">
        <v>56884</v>
      </c>
      <c r="B212" s="912" t="s">
        <v>56883</v>
      </c>
      <c r="C212" s="1109">
        <v>50</v>
      </c>
    </row>
    <row r="213" spans="1:3">
      <c r="A213" s="1108" t="s">
        <v>56882</v>
      </c>
      <c r="B213" s="912" t="s">
        <v>56881</v>
      </c>
      <c r="C213" s="1109">
        <v>50</v>
      </c>
    </row>
    <row r="214" spans="1:3">
      <c r="A214" s="1108" t="s">
        <v>56880</v>
      </c>
      <c r="B214" s="912" t="s">
        <v>56879</v>
      </c>
      <c r="C214" s="1109">
        <v>50</v>
      </c>
    </row>
    <row r="215" spans="1:3">
      <c r="A215" s="1108" t="s">
        <v>56878</v>
      </c>
      <c r="B215" s="912" t="s">
        <v>56877</v>
      </c>
      <c r="C215" s="1109">
        <v>56</v>
      </c>
    </row>
    <row r="216" spans="1:3">
      <c r="A216" s="1108" t="s">
        <v>56876</v>
      </c>
      <c r="B216" s="912" t="s">
        <v>56875</v>
      </c>
      <c r="C216" s="1109">
        <v>50</v>
      </c>
    </row>
    <row r="217" spans="1:3">
      <c r="A217" s="1108" t="s">
        <v>56874</v>
      </c>
      <c r="B217" s="912" t="s">
        <v>56873</v>
      </c>
      <c r="C217" s="1109">
        <v>50</v>
      </c>
    </row>
    <row r="218" spans="1:3">
      <c r="A218" s="1108" t="s">
        <v>56872</v>
      </c>
      <c r="B218" s="912" t="s">
        <v>56871</v>
      </c>
      <c r="C218" s="1109">
        <v>50</v>
      </c>
    </row>
    <row r="219" spans="1:3">
      <c r="A219" s="1108" t="s">
        <v>56870</v>
      </c>
      <c r="B219" s="912" t="s">
        <v>56869</v>
      </c>
      <c r="C219" s="1109">
        <v>50</v>
      </c>
    </row>
    <row r="220" spans="1:3" ht="29">
      <c r="A220" s="1108" t="s">
        <v>56868</v>
      </c>
      <c r="B220" s="912" t="s">
        <v>56867</v>
      </c>
      <c r="C220" s="1109">
        <v>50</v>
      </c>
    </row>
    <row r="221" spans="1:3" ht="29">
      <c r="A221" s="1108" t="s">
        <v>56866</v>
      </c>
      <c r="B221" s="912" t="s">
        <v>56865</v>
      </c>
      <c r="C221" s="1109">
        <v>50</v>
      </c>
    </row>
    <row r="222" spans="1:3">
      <c r="A222" s="1108" t="s">
        <v>56864</v>
      </c>
      <c r="B222" s="912" t="s">
        <v>56863</v>
      </c>
      <c r="C222" s="1109">
        <v>50</v>
      </c>
    </row>
    <row r="223" spans="1:3">
      <c r="A223" s="1108" t="s">
        <v>56862</v>
      </c>
      <c r="B223" s="912" t="s">
        <v>56861</v>
      </c>
      <c r="C223" s="1109">
        <v>50</v>
      </c>
    </row>
    <row r="224" spans="1:3" ht="29">
      <c r="A224" s="1108" t="s">
        <v>56860</v>
      </c>
      <c r="B224" s="912" t="s">
        <v>56859</v>
      </c>
      <c r="C224" s="1109">
        <v>67</v>
      </c>
    </row>
    <row r="225" spans="1:3" ht="29">
      <c r="A225" s="1108" t="s">
        <v>56858</v>
      </c>
      <c r="B225" s="912" t="s">
        <v>56857</v>
      </c>
      <c r="C225" s="1109">
        <v>50</v>
      </c>
    </row>
    <row r="226" spans="1:3">
      <c r="A226" s="1108" t="s">
        <v>56856</v>
      </c>
      <c r="B226" s="912" t="s">
        <v>56855</v>
      </c>
      <c r="C226" s="1109">
        <v>67</v>
      </c>
    </row>
    <row r="227" spans="1:3">
      <c r="A227" s="1108" t="s">
        <v>56854</v>
      </c>
      <c r="B227" s="912" t="s">
        <v>56853</v>
      </c>
      <c r="C227" s="1109">
        <v>62</v>
      </c>
    </row>
    <row r="228" spans="1:3">
      <c r="A228" s="1108" t="s">
        <v>56852</v>
      </c>
      <c r="B228" s="912" t="s">
        <v>56851</v>
      </c>
      <c r="C228" s="1109">
        <v>62</v>
      </c>
    </row>
    <row r="229" spans="1:3">
      <c r="A229" s="1108" t="s">
        <v>56850</v>
      </c>
      <c r="B229" s="912" t="s">
        <v>56849</v>
      </c>
      <c r="C229" s="1109">
        <v>62</v>
      </c>
    </row>
    <row r="230" spans="1:3">
      <c r="A230" s="1108" t="s">
        <v>56848</v>
      </c>
      <c r="B230" s="912" t="s">
        <v>56847</v>
      </c>
      <c r="C230" s="1109">
        <v>50</v>
      </c>
    </row>
    <row r="231" spans="1:3">
      <c r="A231" s="1108" t="s">
        <v>56846</v>
      </c>
      <c r="B231" s="912" t="s">
        <v>56845</v>
      </c>
      <c r="C231" s="1109">
        <v>62</v>
      </c>
    </row>
    <row r="232" spans="1:3">
      <c r="A232" s="1108" t="s">
        <v>56844</v>
      </c>
      <c r="B232" s="912" t="s">
        <v>56843</v>
      </c>
      <c r="C232" s="1109">
        <v>75</v>
      </c>
    </row>
    <row r="233" spans="1:3">
      <c r="A233" s="1108" t="s">
        <v>56842</v>
      </c>
      <c r="B233" s="912" t="s">
        <v>56841</v>
      </c>
      <c r="C233" s="1109">
        <v>75</v>
      </c>
    </row>
    <row r="234" spans="1:3">
      <c r="A234" s="1108" t="s">
        <v>56840</v>
      </c>
      <c r="B234" s="912" t="s">
        <v>56839</v>
      </c>
      <c r="C234" s="1109">
        <v>75</v>
      </c>
    </row>
    <row r="235" spans="1:3">
      <c r="A235" s="1108" t="s">
        <v>56838</v>
      </c>
      <c r="B235" s="912" t="s">
        <v>56837</v>
      </c>
      <c r="C235" s="1109">
        <v>50</v>
      </c>
    </row>
    <row r="236" spans="1:3">
      <c r="A236" s="1108" t="s">
        <v>56836</v>
      </c>
      <c r="B236" s="912" t="s">
        <v>56835</v>
      </c>
      <c r="C236" s="1109">
        <v>50</v>
      </c>
    </row>
    <row r="237" spans="1:3">
      <c r="A237" s="1108" t="s">
        <v>56834</v>
      </c>
      <c r="B237" s="912" t="s">
        <v>56833</v>
      </c>
      <c r="C237" s="1109">
        <v>50</v>
      </c>
    </row>
    <row r="238" spans="1:3">
      <c r="A238" s="1108" t="s">
        <v>56832</v>
      </c>
      <c r="B238" s="912" t="s">
        <v>56831</v>
      </c>
      <c r="C238" s="1109">
        <v>50</v>
      </c>
    </row>
    <row r="239" spans="1:3">
      <c r="A239" s="1108" t="s">
        <v>56830</v>
      </c>
      <c r="B239" s="912" t="s">
        <v>56829</v>
      </c>
      <c r="C239" s="1109">
        <v>50</v>
      </c>
    </row>
    <row r="240" spans="1:3">
      <c r="A240" s="1108" t="s">
        <v>56828</v>
      </c>
      <c r="B240" s="912" t="s">
        <v>56827</v>
      </c>
      <c r="C240" s="1109">
        <v>50</v>
      </c>
    </row>
    <row r="241" spans="1:3">
      <c r="A241" s="1108" t="s">
        <v>56826</v>
      </c>
      <c r="B241" s="912" t="s">
        <v>56825</v>
      </c>
      <c r="C241" s="1109">
        <v>50</v>
      </c>
    </row>
    <row r="242" spans="1:3">
      <c r="A242" s="1108" t="s">
        <v>56824</v>
      </c>
      <c r="B242" s="912" t="s">
        <v>56823</v>
      </c>
      <c r="C242" s="1109">
        <v>50</v>
      </c>
    </row>
    <row r="243" spans="1:3">
      <c r="A243" s="1108" t="s">
        <v>56822</v>
      </c>
      <c r="B243" s="912" t="s">
        <v>56821</v>
      </c>
      <c r="C243" s="1109">
        <v>50</v>
      </c>
    </row>
    <row r="244" spans="1:3">
      <c r="A244" s="1108" t="s">
        <v>56820</v>
      </c>
      <c r="B244" s="912" t="s">
        <v>56819</v>
      </c>
      <c r="C244" s="1109">
        <v>50</v>
      </c>
    </row>
    <row r="245" spans="1:3">
      <c r="A245" s="1108" t="s">
        <v>56818</v>
      </c>
      <c r="B245" s="912" t="s">
        <v>56817</v>
      </c>
      <c r="C245" s="1109">
        <v>50</v>
      </c>
    </row>
    <row r="246" spans="1:3">
      <c r="A246" s="1108" t="s">
        <v>56816</v>
      </c>
      <c r="B246" s="912" t="s">
        <v>56815</v>
      </c>
      <c r="C246" s="1109">
        <v>50</v>
      </c>
    </row>
    <row r="247" spans="1:3">
      <c r="A247" s="1108" t="s">
        <v>56814</v>
      </c>
      <c r="B247" s="912" t="s">
        <v>56813</v>
      </c>
      <c r="C247" s="1109">
        <v>50</v>
      </c>
    </row>
    <row r="248" spans="1:3">
      <c r="A248" s="1108" t="s">
        <v>56812</v>
      </c>
      <c r="B248" s="912" t="s">
        <v>56811</v>
      </c>
      <c r="C248" s="1109">
        <v>50</v>
      </c>
    </row>
    <row r="249" spans="1:3">
      <c r="A249" s="1108" t="s">
        <v>56810</v>
      </c>
      <c r="B249" s="912" t="s">
        <v>56809</v>
      </c>
      <c r="C249" s="1109">
        <v>50</v>
      </c>
    </row>
    <row r="250" spans="1:3">
      <c r="A250" s="1108" t="s">
        <v>56808</v>
      </c>
      <c r="B250" s="912" t="s">
        <v>56807</v>
      </c>
      <c r="C250" s="1109">
        <v>50</v>
      </c>
    </row>
    <row r="251" spans="1:3">
      <c r="A251" s="1108" t="s">
        <v>56806</v>
      </c>
      <c r="B251" s="912" t="s">
        <v>56805</v>
      </c>
      <c r="C251" s="1109">
        <v>50</v>
      </c>
    </row>
    <row r="252" spans="1:3">
      <c r="A252" s="1108" t="s">
        <v>56804</v>
      </c>
      <c r="B252" s="912" t="s">
        <v>56803</v>
      </c>
      <c r="C252" s="1109">
        <v>50</v>
      </c>
    </row>
    <row r="253" spans="1:3">
      <c r="A253" s="1108" t="s">
        <v>56802</v>
      </c>
      <c r="B253" s="912" t="s">
        <v>56801</v>
      </c>
      <c r="C253" s="1109">
        <v>50</v>
      </c>
    </row>
    <row r="254" spans="1:3">
      <c r="A254" s="1108" t="s">
        <v>56800</v>
      </c>
      <c r="B254" s="912" t="s">
        <v>56799</v>
      </c>
      <c r="C254" s="1109">
        <v>50</v>
      </c>
    </row>
    <row r="255" spans="1:3">
      <c r="A255" s="1108" t="s">
        <v>56798</v>
      </c>
      <c r="B255" s="912" t="s">
        <v>56797</v>
      </c>
      <c r="C255" s="1109">
        <v>50</v>
      </c>
    </row>
    <row r="256" spans="1:3">
      <c r="A256" s="1108" t="s">
        <v>56796</v>
      </c>
      <c r="B256" s="912" t="s">
        <v>56795</v>
      </c>
      <c r="C256" s="1109">
        <v>50</v>
      </c>
    </row>
    <row r="257" spans="1:3">
      <c r="A257" s="1108" t="s">
        <v>56794</v>
      </c>
      <c r="B257" s="912" t="s">
        <v>56793</v>
      </c>
      <c r="C257" s="1109">
        <v>50</v>
      </c>
    </row>
    <row r="258" spans="1:3">
      <c r="A258" s="1108" t="s">
        <v>56792</v>
      </c>
      <c r="B258" s="912" t="s">
        <v>56791</v>
      </c>
      <c r="C258" s="1109">
        <v>60</v>
      </c>
    </row>
    <row r="259" spans="1:3">
      <c r="A259" s="1108" t="s">
        <v>56790</v>
      </c>
      <c r="B259" s="912" t="s">
        <v>56789</v>
      </c>
      <c r="C259" s="1109">
        <v>50</v>
      </c>
    </row>
    <row r="260" spans="1:3">
      <c r="A260" s="1108" t="s">
        <v>56788</v>
      </c>
      <c r="B260" s="912" t="s">
        <v>56787</v>
      </c>
      <c r="C260" s="1109">
        <v>50</v>
      </c>
    </row>
    <row r="261" spans="1:3">
      <c r="A261" s="1108" t="s">
        <v>56786</v>
      </c>
      <c r="B261" s="912" t="s">
        <v>56785</v>
      </c>
      <c r="C261" s="1109">
        <v>50</v>
      </c>
    </row>
    <row r="262" spans="1:3">
      <c r="A262" s="1108" t="s">
        <v>56784</v>
      </c>
      <c r="B262" s="912" t="s">
        <v>56783</v>
      </c>
      <c r="C262" s="1109">
        <v>50</v>
      </c>
    </row>
    <row r="263" spans="1:3">
      <c r="A263" s="1108" t="s">
        <v>56782</v>
      </c>
      <c r="B263" s="912" t="s">
        <v>56781</v>
      </c>
      <c r="C263" s="1109">
        <v>50</v>
      </c>
    </row>
    <row r="264" spans="1:3">
      <c r="A264" s="1108" t="s">
        <v>56780</v>
      </c>
      <c r="B264" s="912" t="s">
        <v>56779</v>
      </c>
      <c r="C264" s="1109">
        <v>50</v>
      </c>
    </row>
    <row r="265" spans="1:3">
      <c r="A265" s="1108" t="s">
        <v>56778</v>
      </c>
      <c r="B265" s="912" t="s">
        <v>56777</v>
      </c>
      <c r="C265" s="1109">
        <v>50</v>
      </c>
    </row>
    <row r="266" spans="1:3">
      <c r="A266" s="1108" t="s">
        <v>56776</v>
      </c>
      <c r="B266" s="912" t="s">
        <v>56775</v>
      </c>
      <c r="C266" s="1109">
        <v>50</v>
      </c>
    </row>
    <row r="267" spans="1:3">
      <c r="A267" s="1108" t="s">
        <v>56774</v>
      </c>
      <c r="B267" s="912" t="s">
        <v>56773</v>
      </c>
      <c r="C267" s="1109">
        <v>50</v>
      </c>
    </row>
    <row r="268" spans="1:3" ht="29">
      <c r="A268" s="1108" t="s">
        <v>56772</v>
      </c>
      <c r="B268" s="912" t="s">
        <v>56771</v>
      </c>
      <c r="C268" s="1109">
        <v>50</v>
      </c>
    </row>
    <row r="269" spans="1:3" ht="29">
      <c r="A269" s="1108" t="s">
        <v>56770</v>
      </c>
      <c r="B269" s="912" t="s">
        <v>56769</v>
      </c>
      <c r="C269" s="1109">
        <v>50</v>
      </c>
    </row>
    <row r="270" spans="1:3">
      <c r="A270" s="1108" t="s">
        <v>56768</v>
      </c>
      <c r="B270" s="912" t="s">
        <v>56767</v>
      </c>
      <c r="C270" s="1109">
        <v>50</v>
      </c>
    </row>
    <row r="271" spans="1:3">
      <c r="A271" s="1108" t="s">
        <v>56766</v>
      </c>
      <c r="B271" s="912" t="s">
        <v>56765</v>
      </c>
      <c r="C271" s="1109">
        <v>50</v>
      </c>
    </row>
    <row r="272" spans="1:3">
      <c r="A272" s="1108" t="s">
        <v>56764</v>
      </c>
      <c r="B272" s="912" t="s">
        <v>56763</v>
      </c>
      <c r="C272" s="1109">
        <v>50</v>
      </c>
    </row>
    <row r="273" spans="1:3">
      <c r="A273" s="1108" t="s">
        <v>56762</v>
      </c>
      <c r="B273" s="912" t="s">
        <v>56761</v>
      </c>
      <c r="C273" s="1109">
        <v>50</v>
      </c>
    </row>
    <row r="274" spans="1:3">
      <c r="A274" s="1108" t="s">
        <v>56760</v>
      </c>
      <c r="B274" s="912" t="s">
        <v>56759</v>
      </c>
      <c r="C274" s="1109">
        <v>50</v>
      </c>
    </row>
    <row r="275" spans="1:3">
      <c r="A275" s="1108" t="s">
        <v>56758</v>
      </c>
      <c r="B275" s="912" t="s">
        <v>56757</v>
      </c>
      <c r="C275" s="1109">
        <v>50</v>
      </c>
    </row>
    <row r="276" spans="1:3">
      <c r="A276" s="1108" t="s">
        <v>56756</v>
      </c>
      <c r="B276" s="912" t="s">
        <v>56755</v>
      </c>
      <c r="C276" s="1109">
        <v>50</v>
      </c>
    </row>
    <row r="277" spans="1:3">
      <c r="A277" s="1108" t="s">
        <v>56754</v>
      </c>
      <c r="B277" s="912" t="s">
        <v>56753</v>
      </c>
      <c r="C277" s="1109">
        <v>50</v>
      </c>
    </row>
    <row r="278" spans="1:3">
      <c r="A278" s="1108" t="s">
        <v>56752</v>
      </c>
      <c r="B278" s="912" t="s">
        <v>56751</v>
      </c>
      <c r="C278" s="1109">
        <v>50</v>
      </c>
    </row>
    <row r="279" spans="1:3" ht="29">
      <c r="A279" s="1108" t="s">
        <v>56750</v>
      </c>
      <c r="B279" s="912" t="s">
        <v>56749</v>
      </c>
      <c r="C279" s="1109">
        <v>50</v>
      </c>
    </row>
    <row r="280" spans="1:3">
      <c r="A280" s="1108" t="s">
        <v>56748</v>
      </c>
      <c r="B280" s="912" t="s">
        <v>56747</v>
      </c>
      <c r="C280" s="1109">
        <v>50</v>
      </c>
    </row>
    <row r="281" spans="1:3">
      <c r="A281" s="1108" t="s">
        <v>56746</v>
      </c>
      <c r="B281" s="912" t="s">
        <v>56745</v>
      </c>
      <c r="C281" s="1109">
        <v>50</v>
      </c>
    </row>
    <row r="282" spans="1:3">
      <c r="A282" s="1108" t="s">
        <v>56744</v>
      </c>
      <c r="B282" s="912" t="s">
        <v>56743</v>
      </c>
      <c r="C282" s="1109">
        <v>50</v>
      </c>
    </row>
    <row r="283" spans="1:3">
      <c r="A283" s="1108" t="s">
        <v>56742</v>
      </c>
      <c r="B283" s="912" t="s">
        <v>56741</v>
      </c>
      <c r="C283" s="1109">
        <v>50</v>
      </c>
    </row>
    <row r="284" spans="1:3">
      <c r="A284" s="1108" t="s">
        <v>56740</v>
      </c>
      <c r="B284" s="912" t="s">
        <v>56739</v>
      </c>
      <c r="C284" s="1109">
        <v>50</v>
      </c>
    </row>
    <row r="285" spans="1:3" ht="29">
      <c r="A285" s="1108" t="s">
        <v>56738</v>
      </c>
      <c r="B285" s="912" t="s">
        <v>56737</v>
      </c>
      <c r="C285" s="1109">
        <v>50</v>
      </c>
    </row>
    <row r="286" spans="1:3" ht="29">
      <c r="A286" s="1108" t="s">
        <v>56736</v>
      </c>
      <c r="B286" s="912" t="s">
        <v>56735</v>
      </c>
      <c r="C286" s="1109">
        <v>50</v>
      </c>
    </row>
    <row r="287" spans="1:3" ht="29">
      <c r="A287" s="1108" t="s">
        <v>56734</v>
      </c>
      <c r="B287" s="912" t="s">
        <v>56733</v>
      </c>
      <c r="C287" s="1109">
        <v>50</v>
      </c>
    </row>
    <row r="288" spans="1:3">
      <c r="A288" s="1108" t="s">
        <v>56732</v>
      </c>
      <c r="B288" s="912" t="s">
        <v>56731</v>
      </c>
      <c r="C288" s="1109">
        <v>50</v>
      </c>
    </row>
    <row r="289" spans="1:3">
      <c r="A289" s="1108" t="s">
        <v>56730</v>
      </c>
      <c r="B289" s="912" t="s">
        <v>56729</v>
      </c>
      <c r="C289" s="1109">
        <v>50</v>
      </c>
    </row>
    <row r="290" spans="1:3" ht="29">
      <c r="A290" s="1108" t="s">
        <v>56728</v>
      </c>
      <c r="B290" s="912" t="s">
        <v>56727</v>
      </c>
      <c r="C290" s="1109">
        <v>50</v>
      </c>
    </row>
    <row r="291" spans="1:3" ht="29">
      <c r="A291" s="1108" t="s">
        <v>56726</v>
      </c>
      <c r="B291" s="912" t="s">
        <v>56725</v>
      </c>
      <c r="C291" s="1109">
        <v>50</v>
      </c>
    </row>
    <row r="292" spans="1:3">
      <c r="A292" s="1108" t="s">
        <v>56724</v>
      </c>
      <c r="B292" s="912" t="s">
        <v>56723</v>
      </c>
      <c r="C292" s="1109">
        <v>50</v>
      </c>
    </row>
    <row r="293" spans="1:3">
      <c r="A293" s="1108" t="s">
        <v>56722</v>
      </c>
      <c r="B293" s="912" t="s">
        <v>56721</v>
      </c>
      <c r="C293" s="1109">
        <v>50</v>
      </c>
    </row>
    <row r="294" spans="1:3">
      <c r="A294" s="1108" t="s">
        <v>56720</v>
      </c>
      <c r="B294" s="912" t="s">
        <v>56719</v>
      </c>
      <c r="C294" s="1109">
        <v>50</v>
      </c>
    </row>
    <row r="295" spans="1:3">
      <c r="A295" s="1108" t="s">
        <v>56718</v>
      </c>
      <c r="B295" s="912" t="s">
        <v>56717</v>
      </c>
      <c r="C295" s="1109">
        <v>50</v>
      </c>
    </row>
    <row r="296" spans="1:3">
      <c r="A296" s="1108" t="s">
        <v>56716</v>
      </c>
      <c r="B296" s="912" t="s">
        <v>56715</v>
      </c>
      <c r="C296" s="1109">
        <v>50</v>
      </c>
    </row>
    <row r="297" spans="1:3">
      <c r="A297" s="1108" t="s">
        <v>56714</v>
      </c>
      <c r="B297" s="912" t="s">
        <v>56713</v>
      </c>
      <c r="C297" s="1109">
        <v>50</v>
      </c>
    </row>
    <row r="298" spans="1:3">
      <c r="A298" s="1108" t="s">
        <v>56712</v>
      </c>
      <c r="B298" s="912" t="s">
        <v>56711</v>
      </c>
      <c r="C298" s="1109">
        <v>50</v>
      </c>
    </row>
    <row r="299" spans="1:3">
      <c r="A299" s="1108" t="s">
        <v>56710</v>
      </c>
      <c r="B299" s="912" t="s">
        <v>56709</v>
      </c>
      <c r="C299" s="1109">
        <v>50</v>
      </c>
    </row>
    <row r="300" spans="1:3">
      <c r="A300" s="1108" t="s">
        <v>56708</v>
      </c>
      <c r="B300" s="912" t="s">
        <v>56707</v>
      </c>
      <c r="C300" s="1109">
        <v>50</v>
      </c>
    </row>
    <row r="301" spans="1:3" ht="29">
      <c r="A301" s="1108" t="s">
        <v>56706</v>
      </c>
      <c r="B301" s="912" t="s">
        <v>56705</v>
      </c>
      <c r="C301" s="1109">
        <v>50</v>
      </c>
    </row>
    <row r="302" spans="1:3">
      <c r="A302" s="1108" t="s">
        <v>56704</v>
      </c>
      <c r="B302" s="912" t="s">
        <v>56703</v>
      </c>
      <c r="C302" s="1109">
        <v>50</v>
      </c>
    </row>
    <row r="303" spans="1:3">
      <c r="A303" s="1108" t="s">
        <v>56702</v>
      </c>
      <c r="B303" s="912" t="s">
        <v>56701</v>
      </c>
      <c r="C303" s="1109">
        <v>50</v>
      </c>
    </row>
    <row r="304" spans="1:3">
      <c r="A304" s="1108" t="s">
        <v>56700</v>
      </c>
      <c r="B304" s="912" t="s">
        <v>56699</v>
      </c>
      <c r="C304" s="1109">
        <v>50</v>
      </c>
    </row>
    <row r="305" spans="1:3">
      <c r="A305" s="1108" t="s">
        <v>56698</v>
      </c>
      <c r="B305" s="912" t="s">
        <v>56697</v>
      </c>
      <c r="C305" s="1109">
        <v>50</v>
      </c>
    </row>
    <row r="306" spans="1:3" ht="29">
      <c r="A306" s="1108" t="s">
        <v>56696</v>
      </c>
      <c r="B306" s="912" t="s">
        <v>56695</v>
      </c>
      <c r="C306" s="1109">
        <v>50</v>
      </c>
    </row>
    <row r="307" spans="1:3">
      <c r="A307" s="1108" t="s">
        <v>56694</v>
      </c>
      <c r="B307" s="912" t="s">
        <v>56693</v>
      </c>
      <c r="C307" s="1109">
        <v>50</v>
      </c>
    </row>
    <row r="308" spans="1:3">
      <c r="A308" s="1108" t="s">
        <v>56692</v>
      </c>
      <c r="B308" s="912" t="s">
        <v>56691</v>
      </c>
      <c r="C308" s="1109">
        <v>50</v>
      </c>
    </row>
    <row r="309" spans="1:3">
      <c r="A309" s="1108" t="s">
        <v>56690</v>
      </c>
      <c r="B309" s="912" t="s">
        <v>56689</v>
      </c>
      <c r="C309" s="1109">
        <v>50</v>
      </c>
    </row>
    <row r="310" spans="1:3">
      <c r="A310" s="1108" t="s">
        <v>56688</v>
      </c>
      <c r="B310" s="912" t="s">
        <v>56686</v>
      </c>
      <c r="C310" s="1109">
        <v>50</v>
      </c>
    </row>
    <row r="311" spans="1:3">
      <c r="A311" s="1108" t="s">
        <v>56687</v>
      </c>
      <c r="B311" s="912" t="s">
        <v>56686</v>
      </c>
      <c r="C311" s="1109">
        <v>50</v>
      </c>
    </row>
    <row r="312" spans="1:3">
      <c r="A312" s="1108" t="s">
        <v>56685</v>
      </c>
      <c r="B312" s="912" t="s">
        <v>56684</v>
      </c>
      <c r="C312" s="1109">
        <v>50</v>
      </c>
    </row>
    <row r="313" spans="1:3">
      <c r="A313" s="1108" t="s">
        <v>56683</v>
      </c>
      <c r="B313" s="912" t="s">
        <v>56682</v>
      </c>
      <c r="C313" s="1109">
        <v>50</v>
      </c>
    </row>
    <row r="314" spans="1:3">
      <c r="A314" s="1108" t="s">
        <v>56681</v>
      </c>
      <c r="B314" s="912" t="s">
        <v>56680</v>
      </c>
      <c r="C314" s="1109">
        <v>50</v>
      </c>
    </row>
    <row r="315" spans="1:3">
      <c r="A315" s="1108" t="s">
        <v>56679</v>
      </c>
      <c r="B315" s="912" t="s">
        <v>56678</v>
      </c>
      <c r="C315" s="1109">
        <v>50</v>
      </c>
    </row>
    <row r="316" spans="1:3">
      <c r="A316" s="1108" t="s">
        <v>56677</v>
      </c>
      <c r="B316" s="912" t="s">
        <v>56676</v>
      </c>
      <c r="C316" s="1109">
        <v>50</v>
      </c>
    </row>
    <row r="317" spans="1:3">
      <c r="A317" s="1108" t="s">
        <v>56675</v>
      </c>
      <c r="B317" s="912" t="s">
        <v>56674</v>
      </c>
      <c r="C317" s="1109">
        <v>50</v>
      </c>
    </row>
    <row r="318" spans="1:3">
      <c r="A318" s="1108" t="s">
        <v>56673</v>
      </c>
      <c r="B318" s="912" t="s">
        <v>56672</v>
      </c>
      <c r="C318" s="1109">
        <v>50</v>
      </c>
    </row>
    <row r="319" spans="1:3">
      <c r="A319" s="1108" t="s">
        <v>56671</v>
      </c>
      <c r="B319" s="912" t="s">
        <v>56670</v>
      </c>
      <c r="C319" s="1109">
        <v>50</v>
      </c>
    </row>
    <row r="320" spans="1:3">
      <c r="A320" s="1108" t="s">
        <v>56669</v>
      </c>
      <c r="B320" s="912" t="s">
        <v>56668</v>
      </c>
      <c r="C320" s="1109">
        <v>60</v>
      </c>
    </row>
    <row r="321" spans="1:3">
      <c r="A321" s="1108" t="s">
        <v>56667</v>
      </c>
      <c r="B321" s="912" t="s">
        <v>56666</v>
      </c>
      <c r="C321" s="1109">
        <v>50</v>
      </c>
    </row>
    <row r="322" spans="1:3">
      <c r="A322" s="1108" t="s">
        <v>56665</v>
      </c>
      <c r="B322" s="912" t="s">
        <v>56664</v>
      </c>
      <c r="C322" s="1109">
        <v>50</v>
      </c>
    </row>
    <row r="323" spans="1:3" ht="29">
      <c r="A323" s="1108" t="s">
        <v>56663</v>
      </c>
      <c r="B323" s="912" t="s">
        <v>56662</v>
      </c>
      <c r="C323" s="1109">
        <v>79</v>
      </c>
    </row>
    <row r="324" spans="1:3">
      <c r="A324" s="1108" t="s">
        <v>56661</v>
      </c>
      <c r="B324" s="912" t="s">
        <v>56660</v>
      </c>
      <c r="C324" s="1109">
        <v>46</v>
      </c>
    </row>
    <row r="325" spans="1:3">
      <c r="A325" s="1108" t="s">
        <v>56659</v>
      </c>
      <c r="B325" s="912" t="s">
        <v>56658</v>
      </c>
      <c r="C325" s="1109">
        <v>50</v>
      </c>
    </row>
    <row r="326" spans="1:3">
      <c r="A326" s="1108" t="s">
        <v>56657</v>
      </c>
      <c r="B326" s="912" t="s">
        <v>56656</v>
      </c>
      <c r="C326" s="1109">
        <v>50</v>
      </c>
    </row>
    <row r="327" spans="1:3">
      <c r="A327" s="1108" t="s">
        <v>56655</v>
      </c>
      <c r="B327" s="912" t="s">
        <v>56654</v>
      </c>
      <c r="C327" s="1109">
        <v>50</v>
      </c>
    </row>
    <row r="328" spans="1:3">
      <c r="A328" s="1108" t="s">
        <v>56653</v>
      </c>
      <c r="B328" s="912" t="s">
        <v>56652</v>
      </c>
      <c r="C328" s="1109">
        <v>50</v>
      </c>
    </row>
    <row r="329" spans="1:3">
      <c r="A329" s="1108" t="s">
        <v>56651</v>
      </c>
      <c r="B329" s="912" t="s">
        <v>56650</v>
      </c>
      <c r="C329" s="1109">
        <v>50</v>
      </c>
    </row>
    <row r="330" spans="1:3">
      <c r="A330" s="1108" t="s">
        <v>56649</v>
      </c>
      <c r="B330" s="912" t="s">
        <v>56648</v>
      </c>
      <c r="C330" s="1109">
        <v>50</v>
      </c>
    </row>
    <row r="331" spans="1:3" ht="29">
      <c r="A331" s="1108" t="s">
        <v>56647</v>
      </c>
      <c r="B331" s="912" t="s">
        <v>56646</v>
      </c>
      <c r="C331" s="1109">
        <v>50</v>
      </c>
    </row>
    <row r="332" spans="1:3" ht="29">
      <c r="A332" s="1108" t="s">
        <v>56645</v>
      </c>
      <c r="B332" s="912" t="s">
        <v>56644</v>
      </c>
      <c r="C332" s="1109">
        <v>50</v>
      </c>
    </row>
    <row r="333" spans="1:3">
      <c r="A333" s="1108" t="s">
        <v>56643</v>
      </c>
      <c r="B333" s="912" t="s">
        <v>56642</v>
      </c>
      <c r="C333" s="1109">
        <v>50</v>
      </c>
    </row>
    <row r="334" spans="1:3">
      <c r="A334" s="1108" t="s">
        <v>56641</v>
      </c>
      <c r="B334" s="912" t="s">
        <v>56640</v>
      </c>
      <c r="C334" s="1109">
        <v>50</v>
      </c>
    </row>
    <row r="335" spans="1:3">
      <c r="A335" s="1108" t="s">
        <v>56639</v>
      </c>
      <c r="B335" s="912" t="s">
        <v>56638</v>
      </c>
      <c r="C335" s="1109">
        <v>50</v>
      </c>
    </row>
    <row r="336" spans="1:3">
      <c r="A336" s="1108" t="s">
        <v>56637</v>
      </c>
      <c r="B336" s="912" t="s">
        <v>56636</v>
      </c>
      <c r="C336" s="1109">
        <v>50</v>
      </c>
    </row>
    <row r="337" spans="1:3">
      <c r="A337" s="1108" t="s">
        <v>56635</v>
      </c>
      <c r="B337" s="912" t="s">
        <v>56634</v>
      </c>
      <c r="C337" s="1109">
        <v>50</v>
      </c>
    </row>
    <row r="338" spans="1:3">
      <c r="A338" s="1108" t="s">
        <v>56633</v>
      </c>
      <c r="B338" s="912" t="s">
        <v>56632</v>
      </c>
      <c r="C338" s="1109">
        <v>50</v>
      </c>
    </row>
    <row r="339" spans="1:3">
      <c r="A339" s="1108" t="s">
        <v>56631</v>
      </c>
      <c r="B339" s="912" t="s">
        <v>56630</v>
      </c>
      <c r="C339" s="1109">
        <v>50</v>
      </c>
    </row>
    <row r="340" spans="1:3" ht="29">
      <c r="A340" s="1108" t="s">
        <v>56629</v>
      </c>
      <c r="B340" s="912" t="s">
        <v>56628</v>
      </c>
      <c r="C340" s="1109">
        <v>50</v>
      </c>
    </row>
    <row r="341" spans="1:3">
      <c r="A341" s="1108" t="s">
        <v>56627</v>
      </c>
      <c r="B341" s="912" t="s">
        <v>56626</v>
      </c>
      <c r="C341" s="1109">
        <v>50</v>
      </c>
    </row>
    <row r="342" spans="1:3">
      <c r="A342" s="1108" t="s">
        <v>56625</v>
      </c>
      <c r="B342" s="912" t="s">
        <v>56624</v>
      </c>
      <c r="C342" s="1109">
        <v>50</v>
      </c>
    </row>
    <row r="343" spans="1:3">
      <c r="A343" s="1108" t="s">
        <v>56623</v>
      </c>
      <c r="B343" s="912" t="s">
        <v>56622</v>
      </c>
      <c r="C343" s="1109">
        <v>50</v>
      </c>
    </row>
    <row r="344" spans="1:3">
      <c r="A344" s="1108" t="s">
        <v>56621</v>
      </c>
      <c r="B344" s="912" t="s">
        <v>56620</v>
      </c>
      <c r="C344" s="1109">
        <v>50</v>
      </c>
    </row>
    <row r="345" spans="1:3">
      <c r="A345" s="1108" t="s">
        <v>56619</v>
      </c>
      <c r="B345" s="912" t="s">
        <v>56618</v>
      </c>
      <c r="C345" s="1109">
        <v>50</v>
      </c>
    </row>
    <row r="346" spans="1:3">
      <c r="A346" s="1108" t="s">
        <v>56617</v>
      </c>
      <c r="B346" s="912" t="s">
        <v>56616</v>
      </c>
      <c r="C346" s="1109">
        <v>56</v>
      </c>
    </row>
    <row r="347" spans="1:3">
      <c r="A347" s="1108" t="s">
        <v>56615</v>
      </c>
      <c r="B347" s="912" t="s">
        <v>56614</v>
      </c>
      <c r="C347" s="1109">
        <v>56</v>
      </c>
    </row>
    <row r="348" spans="1:3">
      <c r="A348" s="1108" t="s">
        <v>56613</v>
      </c>
      <c r="B348" s="912" t="s">
        <v>56612</v>
      </c>
      <c r="C348" s="1109">
        <v>67</v>
      </c>
    </row>
    <row r="349" spans="1:3">
      <c r="A349" s="1108" t="s">
        <v>56611</v>
      </c>
      <c r="B349" s="912" t="s">
        <v>56610</v>
      </c>
      <c r="C349" s="1109">
        <v>58</v>
      </c>
    </row>
    <row r="350" spans="1:3">
      <c r="A350" s="1108" t="s">
        <v>56609</v>
      </c>
      <c r="B350" s="912" t="s">
        <v>56608</v>
      </c>
      <c r="C350" s="1109">
        <v>46</v>
      </c>
    </row>
    <row r="351" spans="1:3" ht="29">
      <c r="A351" s="1108" t="s">
        <v>56607</v>
      </c>
      <c r="B351" s="912" t="s">
        <v>56606</v>
      </c>
      <c r="C351" s="1109">
        <v>50</v>
      </c>
    </row>
    <row r="352" spans="1:3">
      <c r="A352" s="1108" t="s">
        <v>56605</v>
      </c>
      <c r="B352" s="912" t="s">
        <v>56604</v>
      </c>
      <c r="C352" s="1109">
        <v>56</v>
      </c>
    </row>
    <row r="353" spans="1:3" ht="29">
      <c r="A353" s="1108" t="s">
        <v>56603</v>
      </c>
      <c r="B353" s="912" t="s">
        <v>56602</v>
      </c>
      <c r="C353" s="1109">
        <v>67</v>
      </c>
    </row>
    <row r="354" spans="1:3" ht="29">
      <c r="A354" s="1108" t="s">
        <v>56601</v>
      </c>
      <c r="B354" s="912" t="s">
        <v>56600</v>
      </c>
      <c r="C354" s="1109">
        <v>154</v>
      </c>
    </row>
    <row r="355" spans="1:3" ht="43.5">
      <c r="A355" s="1108" t="s">
        <v>56599</v>
      </c>
      <c r="B355" s="912" t="s">
        <v>56598</v>
      </c>
      <c r="C355" s="1109">
        <v>33</v>
      </c>
    </row>
    <row r="356" spans="1:3" ht="29">
      <c r="A356" s="1108" t="s">
        <v>56597</v>
      </c>
      <c r="B356" s="912" t="s">
        <v>56596</v>
      </c>
      <c r="C356" s="1109">
        <v>50</v>
      </c>
    </row>
    <row r="357" spans="1:3">
      <c r="A357" s="1108" t="s">
        <v>56595</v>
      </c>
      <c r="B357" s="912" t="s">
        <v>56594</v>
      </c>
      <c r="C357" s="1109">
        <v>33</v>
      </c>
    </row>
    <row r="358" spans="1:3">
      <c r="A358" s="1108" t="s">
        <v>56593</v>
      </c>
      <c r="B358" s="912" t="s">
        <v>56592</v>
      </c>
      <c r="C358" s="1109">
        <v>78</v>
      </c>
    </row>
    <row r="359" spans="1:3">
      <c r="A359" s="1108" t="s">
        <v>56591</v>
      </c>
      <c r="B359" s="912" t="s">
        <v>56590</v>
      </c>
      <c r="C359" s="1109">
        <v>143</v>
      </c>
    </row>
    <row r="360" spans="1:3">
      <c r="A360" s="1108" t="s">
        <v>56589</v>
      </c>
      <c r="B360" s="912" t="s">
        <v>56588</v>
      </c>
      <c r="C360" s="1109">
        <v>88</v>
      </c>
    </row>
    <row r="361" spans="1:3">
      <c r="A361" s="1108" t="s">
        <v>56587</v>
      </c>
      <c r="B361" s="912" t="s">
        <v>56586</v>
      </c>
      <c r="C361" s="1109">
        <v>147</v>
      </c>
    </row>
    <row r="362" spans="1:3">
      <c r="A362" s="1108" t="s">
        <v>56585</v>
      </c>
      <c r="B362" s="912" t="s">
        <v>56584</v>
      </c>
      <c r="C362" s="1109">
        <v>84</v>
      </c>
    </row>
    <row r="363" spans="1:3">
      <c r="A363" s="1108" t="s">
        <v>56583</v>
      </c>
      <c r="B363" s="912" t="s">
        <v>56582</v>
      </c>
      <c r="C363" s="1109">
        <v>97</v>
      </c>
    </row>
    <row r="364" spans="1:3">
      <c r="A364" s="1108" t="s">
        <v>56581</v>
      </c>
      <c r="B364" s="912" t="s">
        <v>56580</v>
      </c>
      <c r="C364" s="1109">
        <v>20</v>
      </c>
    </row>
    <row r="365" spans="1:3">
      <c r="A365" s="1108" t="s">
        <v>56579</v>
      </c>
      <c r="B365" s="912" t="s">
        <v>56578</v>
      </c>
      <c r="C365" s="1109">
        <v>20</v>
      </c>
    </row>
    <row r="366" spans="1:3">
      <c r="A366" s="1108" t="s">
        <v>56577</v>
      </c>
      <c r="B366" s="912" t="s">
        <v>56576</v>
      </c>
      <c r="C366" s="1109">
        <v>26</v>
      </c>
    </row>
    <row r="367" spans="1:3">
      <c r="A367" s="1108" t="s">
        <v>56575</v>
      </c>
      <c r="B367" s="912" t="s">
        <v>56574</v>
      </c>
      <c r="C367" s="1109">
        <v>13</v>
      </c>
    </row>
    <row r="368" spans="1:3">
      <c r="A368" s="1108" t="s">
        <v>56573</v>
      </c>
      <c r="B368" s="912" t="s">
        <v>56572</v>
      </c>
      <c r="C368" s="1109">
        <v>13</v>
      </c>
    </row>
    <row r="369" spans="1:3">
      <c r="A369" s="1108" t="s">
        <v>56571</v>
      </c>
      <c r="B369" s="912" t="s">
        <v>56570</v>
      </c>
      <c r="C369" s="1109">
        <v>25</v>
      </c>
    </row>
    <row r="370" spans="1:3">
      <c r="A370" s="1108" t="s">
        <v>56569</v>
      </c>
      <c r="B370" s="912" t="s">
        <v>56568</v>
      </c>
      <c r="C370" s="1109">
        <v>25</v>
      </c>
    </row>
    <row r="371" spans="1:3">
      <c r="A371" s="1108" t="s">
        <v>56567</v>
      </c>
      <c r="B371" s="912" t="s">
        <v>56566</v>
      </c>
      <c r="C371" s="1109">
        <v>32</v>
      </c>
    </row>
    <row r="372" spans="1:3">
      <c r="A372" s="1108" t="s">
        <v>56565</v>
      </c>
      <c r="B372" s="912" t="s">
        <v>56564</v>
      </c>
      <c r="C372" s="1109">
        <v>43</v>
      </c>
    </row>
    <row r="373" spans="1:3">
      <c r="A373" s="1108" t="s">
        <v>56563</v>
      </c>
      <c r="B373" s="912" t="s">
        <v>56562</v>
      </c>
      <c r="C373" s="1109">
        <v>50</v>
      </c>
    </row>
    <row r="374" spans="1:3">
      <c r="A374" s="1108" t="s">
        <v>56561</v>
      </c>
      <c r="B374" s="912" t="s">
        <v>56560</v>
      </c>
      <c r="C374" s="1109">
        <v>50</v>
      </c>
    </row>
    <row r="375" spans="1:3" ht="29">
      <c r="A375" s="1108" t="s">
        <v>56559</v>
      </c>
      <c r="B375" s="912" t="s">
        <v>56558</v>
      </c>
      <c r="C375" s="1109">
        <v>20</v>
      </c>
    </row>
    <row r="376" spans="1:3">
      <c r="A376" s="1108" t="s">
        <v>56557</v>
      </c>
      <c r="B376" s="912" t="s">
        <v>56556</v>
      </c>
      <c r="C376" s="1109">
        <v>20</v>
      </c>
    </row>
    <row r="377" spans="1:3" ht="29">
      <c r="A377" s="1108" t="s">
        <v>56555</v>
      </c>
      <c r="B377" s="912" t="s">
        <v>56554</v>
      </c>
      <c r="C377" s="1109">
        <v>33</v>
      </c>
    </row>
    <row r="378" spans="1:3" ht="29">
      <c r="A378" s="1108" t="s">
        <v>56553</v>
      </c>
      <c r="B378" s="912" t="s">
        <v>56552</v>
      </c>
      <c r="C378" s="1109">
        <v>25</v>
      </c>
    </row>
    <row r="379" spans="1:3" ht="29">
      <c r="A379" s="1108" t="s">
        <v>56551</v>
      </c>
      <c r="B379" s="912" t="s">
        <v>56550</v>
      </c>
      <c r="C379" s="1109">
        <v>33</v>
      </c>
    </row>
    <row r="380" spans="1:3" ht="29">
      <c r="A380" s="1108" t="s">
        <v>56549</v>
      </c>
      <c r="B380" s="912" t="s">
        <v>56548</v>
      </c>
      <c r="C380" s="1109">
        <v>33</v>
      </c>
    </row>
    <row r="381" spans="1:3" ht="29">
      <c r="A381" s="1108" t="s">
        <v>56547</v>
      </c>
      <c r="B381" s="912" t="s">
        <v>56546</v>
      </c>
      <c r="C381" s="1109">
        <v>33</v>
      </c>
    </row>
    <row r="382" spans="1:3" ht="29">
      <c r="A382" s="1108" t="s">
        <v>56545</v>
      </c>
      <c r="B382" s="912" t="s">
        <v>56544</v>
      </c>
      <c r="C382" s="1109">
        <v>32</v>
      </c>
    </row>
    <row r="383" spans="1:3" ht="29">
      <c r="A383" s="1108" t="s">
        <v>56543</v>
      </c>
      <c r="B383" s="912" t="s">
        <v>56542</v>
      </c>
      <c r="C383" s="1109">
        <v>37</v>
      </c>
    </row>
    <row r="384" spans="1:3" ht="29">
      <c r="A384" s="1108" t="s">
        <v>56541</v>
      </c>
      <c r="B384" s="912" t="s">
        <v>56540</v>
      </c>
      <c r="C384" s="1109">
        <v>37</v>
      </c>
    </row>
    <row r="385" spans="1:3" ht="29">
      <c r="A385" s="1108" t="s">
        <v>56539</v>
      </c>
      <c r="B385" s="912" t="s">
        <v>56538</v>
      </c>
      <c r="C385" s="1109">
        <v>37</v>
      </c>
    </row>
    <row r="386" spans="1:3" ht="29">
      <c r="A386" s="1108" t="s">
        <v>56537</v>
      </c>
      <c r="B386" s="912" t="s">
        <v>56536</v>
      </c>
      <c r="C386" s="1109">
        <v>50</v>
      </c>
    </row>
    <row r="387" spans="1:3" ht="29">
      <c r="A387" s="1108" t="s">
        <v>56535</v>
      </c>
      <c r="B387" s="912" t="s">
        <v>56534</v>
      </c>
      <c r="C387" s="1109">
        <v>43</v>
      </c>
    </row>
    <row r="388" spans="1:3">
      <c r="A388" s="1108" t="s">
        <v>56533</v>
      </c>
      <c r="B388" s="912" t="s">
        <v>56532</v>
      </c>
      <c r="C388" s="1109">
        <v>92</v>
      </c>
    </row>
    <row r="389" spans="1:3">
      <c r="A389" s="1108" t="s">
        <v>56531</v>
      </c>
      <c r="B389" s="912" t="s">
        <v>56530</v>
      </c>
      <c r="C389" s="1109">
        <v>12</v>
      </c>
    </row>
    <row r="390" spans="1:3" ht="29">
      <c r="A390" s="1108" t="s">
        <v>56529</v>
      </c>
      <c r="B390" s="912" t="s">
        <v>56528</v>
      </c>
      <c r="C390" s="1109">
        <v>475</v>
      </c>
    </row>
    <row r="391" spans="1:3" ht="29">
      <c r="A391" s="1108" t="s">
        <v>56527</v>
      </c>
      <c r="B391" s="912" t="s">
        <v>56526</v>
      </c>
      <c r="C391" s="1109">
        <v>572</v>
      </c>
    </row>
    <row r="392" spans="1:3" ht="29">
      <c r="A392" s="1108" t="s">
        <v>56525</v>
      </c>
      <c r="B392" s="912" t="s">
        <v>56524</v>
      </c>
      <c r="C392" s="1109">
        <v>721</v>
      </c>
    </row>
    <row r="393" spans="1:3" ht="29">
      <c r="A393" s="1108" t="s">
        <v>56523</v>
      </c>
      <c r="B393" s="912" t="s">
        <v>56522</v>
      </c>
      <c r="C393" s="1109">
        <v>771</v>
      </c>
    </row>
    <row r="394" spans="1:3" ht="29">
      <c r="A394" s="1108" t="s">
        <v>56521</v>
      </c>
      <c r="B394" s="912" t="s">
        <v>56520</v>
      </c>
      <c r="C394" s="1109">
        <v>769</v>
      </c>
    </row>
    <row r="395" spans="1:3" ht="29">
      <c r="A395" s="1108" t="s">
        <v>56519</v>
      </c>
      <c r="B395" s="912" t="s">
        <v>56518</v>
      </c>
      <c r="C395" s="1109">
        <v>849</v>
      </c>
    </row>
    <row r="396" spans="1:3" ht="29">
      <c r="A396" s="1108" t="s">
        <v>56517</v>
      </c>
      <c r="B396" s="912" t="s">
        <v>56516</v>
      </c>
      <c r="C396" s="1109">
        <v>899</v>
      </c>
    </row>
    <row r="397" spans="1:3" ht="29">
      <c r="A397" s="1108" t="s">
        <v>56515</v>
      </c>
      <c r="B397" s="912" t="s">
        <v>56514</v>
      </c>
      <c r="C397" s="1109">
        <v>580</v>
      </c>
    </row>
    <row r="398" spans="1:3" ht="29">
      <c r="A398" s="1108" t="s">
        <v>56513</v>
      </c>
      <c r="B398" s="912" t="s">
        <v>56512</v>
      </c>
      <c r="C398" s="1109">
        <v>721</v>
      </c>
    </row>
    <row r="399" spans="1:3" ht="29">
      <c r="A399" s="1108" t="s">
        <v>56511</v>
      </c>
      <c r="B399" s="912" t="s">
        <v>56510</v>
      </c>
      <c r="C399" s="1109">
        <v>771</v>
      </c>
    </row>
    <row r="400" spans="1:3" ht="29">
      <c r="A400" s="1108" t="s">
        <v>56509</v>
      </c>
      <c r="B400" s="912" t="s">
        <v>56508</v>
      </c>
      <c r="C400" s="1109">
        <v>729</v>
      </c>
    </row>
    <row r="401" spans="1:3" ht="29">
      <c r="A401" s="1108" t="s">
        <v>56507</v>
      </c>
      <c r="B401" s="912" t="s">
        <v>56506</v>
      </c>
      <c r="C401" s="1109">
        <v>851</v>
      </c>
    </row>
    <row r="402" spans="1:3" ht="29">
      <c r="A402" s="1108" t="s">
        <v>56505</v>
      </c>
      <c r="B402" s="912" t="s">
        <v>56504</v>
      </c>
      <c r="C402" s="1109">
        <v>901</v>
      </c>
    </row>
    <row r="403" spans="1:3" ht="29">
      <c r="A403" s="1108" t="s">
        <v>56503</v>
      </c>
      <c r="B403" s="912" t="s">
        <v>56502</v>
      </c>
      <c r="C403" s="1109">
        <v>778</v>
      </c>
    </row>
    <row r="404" spans="1:3" ht="29">
      <c r="A404" s="1108" t="s">
        <v>56501</v>
      </c>
      <c r="B404" s="912" t="s">
        <v>56500</v>
      </c>
      <c r="C404" s="1109">
        <v>837</v>
      </c>
    </row>
    <row r="405" spans="1:3" ht="29">
      <c r="A405" s="1108" t="s">
        <v>56499</v>
      </c>
      <c r="B405" s="912" t="s">
        <v>56498</v>
      </c>
      <c r="C405" s="1109">
        <v>877</v>
      </c>
    </row>
    <row r="406" spans="1:3" ht="29">
      <c r="A406" s="1108" t="s">
        <v>56497</v>
      </c>
      <c r="B406" s="912" t="s">
        <v>56496</v>
      </c>
      <c r="C406" s="1109">
        <v>927</v>
      </c>
    </row>
    <row r="407" spans="1:3" ht="29">
      <c r="A407" s="1108" t="s">
        <v>56495</v>
      </c>
      <c r="B407" s="912" t="s">
        <v>56494</v>
      </c>
      <c r="C407" s="1109">
        <v>911</v>
      </c>
    </row>
    <row r="408" spans="1:3" ht="29">
      <c r="A408" s="1108" t="s">
        <v>56493</v>
      </c>
      <c r="B408" s="912" t="s">
        <v>56492</v>
      </c>
      <c r="C408" s="1109">
        <v>1009</v>
      </c>
    </row>
    <row r="409" spans="1:3" ht="29">
      <c r="A409" s="1108" t="s">
        <v>56491</v>
      </c>
      <c r="B409" s="912" t="s">
        <v>56490</v>
      </c>
      <c r="C409" s="1109">
        <v>1059</v>
      </c>
    </row>
    <row r="410" spans="1:3" ht="29">
      <c r="A410" s="1108" t="s">
        <v>56489</v>
      </c>
      <c r="B410" s="912" t="s">
        <v>56488</v>
      </c>
      <c r="C410" s="1109">
        <v>613</v>
      </c>
    </row>
    <row r="411" spans="1:3" ht="29">
      <c r="A411" s="1108" t="s">
        <v>56487</v>
      </c>
      <c r="B411" s="912" t="s">
        <v>56486</v>
      </c>
      <c r="C411" s="1109">
        <v>863</v>
      </c>
    </row>
    <row r="412" spans="1:3" ht="29">
      <c r="A412" s="1108" t="s">
        <v>56485</v>
      </c>
      <c r="B412" s="912" t="s">
        <v>56484</v>
      </c>
      <c r="C412" s="1109">
        <v>913</v>
      </c>
    </row>
    <row r="413" spans="1:3" ht="29">
      <c r="A413" s="1108" t="s">
        <v>56483</v>
      </c>
      <c r="B413" s="912" t="s">
        <v>56482</v>
      </c>
      <c r="C413" s="1109">
        <v>1067</v>
      </c>
    </row>
    <row r="414" spans="1:3" ht="29">
      <c r="A414" s="1108" t="s">
        <v>56481</v>
      </c>
      <c r="B414" s="912" t="s">
        <v>56480</v>
      </c>
      <c r="C414" s="1109">
        <v>1117</v>
      </c>
    </row>
    <row r="415" spans="1:3" ht="29">
      <c r="A415" s="1108" t="s">
        <v>56479</v>
      </c>
      <c r="B415" s="912" t="s">
        <v>56478</v>
      </c>
      <c r="C415" s="1109">
        <v>817</v>
      </c>
    </row>
    <row r="416" spans="1:3">
      <c r="A416" s="1108" t="s">
        <v>56477</v>
      </c>
      <c r="B416" s="912" t="s">
        <v>56476</v>
      </c>
      <c r="C416" s="1109">
        <v>551</v>
      </c>
    </row>
    <row r="417" spans="1:3" ht="29">
      <c r="A417" s="1108" t="s">
        <v>56475</v>
      </c>
      <c r="B417" s="912" t="s">
        <v>56474</v>
      </c>
      <c r="C417" s="1109">
        <v>650</v>
      </c>
    </row>
    <row r="418" spans="1:3" ht="29">
      <c r="A418" s="1108" t="s">
        <v>56473</v>
      </c>
      <c r="B418" s="912" t="s">
        <v>56472</v>
      </c>
      <c r="C418" s="1109">
        <v>700</v>
      </c>
    </row>
    <row r="419" spans="1:3">
      <c r="A419" s="1108" t="s">
        <v>56471</v>
      </c>
      <c r="B419" s="912" t="s">
        <v>56470</v>
      </c>
      <c r="C419" s="1109">
        <v>729</v>
      </c>
    </row>
    <row r="420" spans="1:3" ht="29">
      <c r="A420" s="1108" t="s">
        <v>56469</v>
      </c>
      <c r="B420" s="912" t="s">
        <v>56468</v>
      </c>
      <c r="C420" s="1109">
        <v>778</v>
      </c>
    </row>
    <row r="421" spans="1:3" ht="29">
      <c r="A421" s="1108" t="s">
        <v>56467</v>
      </c>
      <c r="B421" s="912" t="s">
        <v>56466</v>
      </c>
      <c r="C421" s="1109">
        <v>828</v>
      </c>
    </row>
    <row r="422" spans="1:3">
      <c r="A422" s="1108" t="s">
        <v>56465</v>
      </c>
      <c r="B422" s="912" t="s">
        <v>56464</v>
      </c>
      <c r="C422" s="1109">
        <v>611</v>
      </c>
    </row>
    <row r="423" spans="1:3" ht="29">
      <c r="A423" s="1108" t="s">
        <v>56463</v>
      </c>
      <c r="B423" s="912" t="s">
        <v>56462</v>
      </c>
      <c r="C423" s="1109">
        <v>721</v>
      </c>
    </row>
    <row r="424" spans="1:3" ht="29">
      <c r="A424" s="1108" t="s">
        <v>56461</v>
      </c>
      <c r="B424" s="912" t="s">
        <v>56460</v>
      </c>
      <c r="C424" s="1109">
        <v>771</v>
      </c>
    </row>
    <row r="425" spans="1:3">
      <c r="A425" s="1108" t="s">
        <v>56459</v>
      </c>
      <c r="B425" s="912" t="s">
        <v>56458</v>
      </c>
      <c r="C425" s="1109">
        <v>778</v>
      </c>
    </row>
    <row r="426" spans="1:3" ht="29">
      <c r="A426" s="1108" t="s">
        <v>56457</v>
      </c>
      <c r="B426" s="912" t="s">
        <v>56456</v>
      </c>
      <c r="C426" s="1109">
        <v>851</v>
      </c>
    </row>
    <row r="427" spans="1:3" ht="29">
      <c r="A427" s="1108" t="s">
        <v>56455</v>
      </c>
      <c r="B427" s="912" t="s">
        <v>56454</v>
      </c>
      <c r="C427" s="1109">
        <v>901</v>
      </c>
    </row>
    <row r="428" spans="1:3">
      <c r="A428" s="1108" t="s">
        <v>56453</v>
      </c>
      <c r="B428" s="912" t="s">
        <v>56452</v>
      </c>
      <c r="C428" s="1109">
        <v>429</v>
      </c>
    </row>
    <row r="429" spans="1:3" ht="29">
      <c r="A429" s="1108" t="s">
        <v>56451</v>
      </c>
      <c r="B429" s="912" t="s">
        <v>56450</v>
      </c>
      <c r="C429" s="1109">
        <v>559</v>
      </c>
    </row>
    <row r="430" spans="1:3" ht="29">
      <c r="A430" s="1108" t="s">
        <v>56449</v>
      </c>
      <c r="B430" s="912" t="s">
        <v>56448</v>
      </c>
      <c r="C430" s="1109">
        <v>609</v>
      </c>
    </row>
    <row r="431" spans="1:3">
      <c r="A431" s="1108" t="s">
        <v>56447</v>
      </c>
      <c r="B431" s="912" t="s">
        <v>56446</v>
      </c>
      <c r="C431" s="1109">
        <v>589</v>
      </c>
    </row>
    <row r="432" spans="1:3" ht="29">
      <c r="A432" s="1108" t="s">
        <v>56445</v>
      </c>
      <c r="B432" s="912" t="s">
        <v>56444</v>
      </c>
      <c r="C432" s="1109">
        <v>727</v>
      </c>
    </row>
    <row r="433" spans="1:3" ht="29">
      <c r="A433" s="1108" t="s">
        <v>56443</v>
      </c>
      <c r="B433" s="912" t="s">
        <v>56442</v>
      </c>
      <c r="C433" s="1109">
        <v>777</v>
      </c>
    </row>
    <row r="434" spans="1:3" ht="29">
      <c r="A434" s="1108" t="s">
        <v>56441</v>
      </c>
      <c r="B434" s="912" t="s">
        <v>56440</v>
      </c>
      <c r="C434" s="1109">
        <v>669</v>
      </c>
    </row>
    <row r="435" spans="1:3" ht="29">
      <c r="A435" s="1108" t="s">
        <v>56439</v>
      </c>
      <c r="B435" s="912" t="s">
        <v>56438</v>
      </c>
      <c r="C435" s="1109">
        <v>1042</v>
      </c>
    </row>
    <row r="436" spans="1:3" ht="29">
      <c r="A436" s="1108" t="s">
        <v>56437</v>
      </c>
      <c r="B436" s="912" t="s">
        <v>56436</v>
      </c>
      <c r="C436" s="1109">
        <v>1102</v>
      </c>
    </row>
    <row r="437" spans="1:3" ht="29">
      <c r="A437" s="1108" t="s">
        <v>56435</v>
      </c>
      <c r="B437" s="912" t="s">
        <v>56434</v>
      </c>
      <c r="C437" s="1109">
        <v>1102</v>
      </c>
    </row>
    <row r="438" spans="1:3">
      <c r="A438" s="1108" t="s">
        <v>56433</v>
      </c>
      <c r="B438" s="912" t="s">
        <v>56432</v>
      </c>
      <c r="C438" s="1109">
        <v>1102</v>
      </c>
    </row>
    <row r="439" spans="1:3" ht="43.5">
      <c r="A439" s="1108" t="s">
        <v>56431</v>
      </c>
      <c r="B439" s="912" t="s">
        <v>56430</v>
      </c>
      <c r="C439" s="1109">
        <v>1042</v>
      </c>
    </row>
    <row r="440" spans="1:3">
      <c r="A440" s="1108" t="s">
        <v>56429</v>
      </c>
      <c r="B440" s="912" t="s">
        <v>56428</v>
      </c>
      <c r="C440" s="1109">
        <v>392</v>
      </c>
    </row>
    <row r="441" spans="1:3" ht="29">
      <c r="A441" s="1108" t="s">
        <v>56427</v>
      </c>
      <c r="B441" s="912" t="s">
        <v>56426</v>
      </c>
      <c r="C441" s="1109">
        <v>405</v>
      </c>
    </row>
    <row r="442" spans="1:3">
      <c r="A442" s="1108" t="s">
        <v>56425</v>
      </c>
      <c r="B442" s="912" t="s">
        <v>56424</v>
      </c>
      <c r="C442" s="1109">
        <v>515</v>
      </c>
    </row>
    <row r="443" spans="1:3" ht="29">
      <c r="A443" s="1108" t="s">
        <v>56423</v>
      </c>
      <c r="B443" s="912" t="s">
        <v>56422</v>
      </c>
      <c r="C443" s="1109">
        <v>565</v>
      </c>
    </row>
    <row r="444" spans="1:3">
      <c r="A444" s="1108" t="s">
        <v>56421</v>
      </c>
      <c r="B444" s="912" t="s">
        <v>56420</v>
      </c>
      <c r="C444" s="1109">
        <v>572</v>
      </c>
    </row>
    <row r="445" spans="1:3" ht="29">
      <c r="A445" s="1108" t="s">
        <v>56419</v>
      </c>
      <c r="B445" s="912" t="s">
        <v>56418</v>
      </c>
      <c r="C445" s="1109">
        <v>572</v>
      </c>
    </row>
    <row r="446" spans="1:3">
      <c r="A446" s="1108" t="s">
        <v>56417</v>
      </c>
      <c r="B446" s="912" t="s">
        <v>56416</v>
      </c>
      <c r="C446" s="1109">
        <v>682</v>
      </c>
    </row>
    <row r="447" spans="1:3" ht="29">
      <c r="A447" s="1108" t="s">
        <v>56415</v>
      </c>
      <c r="B447" s="912" t="s">
        <v>56414</v>
      </c>
      <c r="C447" s="1109">
        <v>731</v>
      </c>
    </row>
    <row r="448" spans="1:3">
      <c r="A448" s="1108" t="s">
        <v>56413</v>
      </c>
      <c r="B448" s="912" t="s">
        <v>56412</v>
      </c>
      <c r="C448" s="1109">
        <v>392</v>
      </c>
    </row>
    <row r="449" spans="1:3" ht="29">
      <c r="A449" s="1108" t="s">
        <v>56411</v>
      </c>
      <c r="B449" s="912" t="s">
        <v>56410</v>
      </c>
      <c r="C449" s="1109">
        <v>405</v>
      </c>
    </row>
    <row r="450" spans="1:3">
      <c r="A450" s="1108" t="s">
        <v>56409</v>
      </c>
      <c r="B450" s="912" t="s">
        <v>56408</v>
      </c>
      <c r="C450" s="1109">
        <v>515</v>
      </c>
    </row>
    <row r="451" spans="1:3" ht="29">
      <c r="A451" s="1108" t="s">
        <v>56407</v>
      </c>
      <c r="B451" s="912" t="s">
        <v>56406</v>
      </c>
      <c r="C451" s="1109">
        <v>565</v>
      </c>
    </row>
    <row r="452" spans="1:3">
      <c r="A452" s="1108" t="s">
        <v>56405</v>
      </c>
      <c r="B452" s="912" t="s">
        <v>56404</v>
      </c>
      <c r="C452" s="1109">
        <v>572</v>
      </c>
    </row>
    <row r="453" spans="1:3" ht="29">
      <c r="A453" s="1108" t="s">
        <v>56403</v>
      </c>
      <c r="B453" s="912" t="s">
        <v>56402</v>
      </c>
      <c r="C453" s="1109">
        <v>572</v>
      </c>
    </row>
    <row r="454" spans="1:3">
      <c r="A454" s="1108" t="s">
        <v>56401</v>
      </c>
      <c r="B454" s="912" t="s">
        <v>56400</v>
      </c>
      <c r="C454" s="1109">
        <v>681</v>
      </c>
    </row>
    <row r="455" spans="1:3" ht="29">
      <c r="A455" s="1108" t="s">
        <v>56399</v>
      </c>
      <c r="B455" s="912" t="s">
        <v>56398</v>
      </c>
      <c r="C455" s="1109">
        <v>731</v>
      </c>
    </row>
    <row r="456" spans="1:3" ht="43.5">
      <c r="A456" s="1108" t="s">
        <v>56397</v>
      </c>
      <c r="B456" s="912" t="s">
        <v>56396</v>
      </c>
      <c r="C456" s="1109">
        <v>641</v>
      </c>
    </row>
    <row r="457" spans="1:3" ht="43.5">
      <c r="A457" s="1108" t="s">
        <v>56395</v>
      </c>
      <c r="B457" s="912" t="s">
        <v>56394</v>
      </c>
      <c r="C457" s="1109">
        <v>429</v>
      </c>
    </row>
    <row r="458" spans="1:3">
      <c r="A458" s="1108" t="s">
        <v>56393</v>
      </c>
      <c r="B458" s="912" t="s">
        <v>56392</v>
      </c>
      <c r="C458" s="1109">
        <v>455</v>
      </c>
    </row>
    <row r="459" spans="1:3">
      <c r="A459" s="1108" t="s">
        <v>56391</v>
      </c>
      <c r="B459" s="912" t="s">
        <v>56390</v>
      </c>
      <c r="C459" s="1109">
        <v>379</v>
      </c>
    </row>
    <row r="460" spans="1:3">
      <c r="A460" s="1108" t="s">
        <v>56389</v>
      </c>
      <c r="B460" s="912" t="s">
        <v>56388</v>
      </c>
      <c r="C460" s="1109">
        <v>419</v>
      </c>
    </row>
    <row r="461" spans="1:3" ht="29">
      <c r="A461" s="1108" t="s">
        <v>56387</v>
      </c>
      <c r="B461" s="912" t="s">
        <v>56386</v>
      </c>
      <c r="C461" s="1109">
        <v>701</v>
      </c>
    </row>
    <row r="462" spans="1:3" ht="29">
      <c r="A462" s="1108" t="s">
        <v>56385</v>
      </c>
      <c r="B462" s="912" t="s">
        <v>56384</v>
      </c>
      <c r="C462" s="1109">
        <v>741</v>
      </c>
    </row>
    <row r="463" spans="1:3" ht="29">
      <c r="A463" s="1108" t="s">
        <v>56383</v>
      </c>
      <c r="B463" s="912" t="s">
        <v>56382</v>
      </c>
      <c r="C463" s="1109">
        <v>665</v>
      </c>
    </row>
    <row r="464" spans="1:3" ht="29">
      <c r="A464" s="1108" t="s">
        <v>56381</v>
      </c>
      <c r="B464" s="912" t="s">
        <v>56380</v>
      </c>
      <c r="C464" s="1109">
        <v>855</v>
      </c>
    </row>
    <row r="465" spans="1:3" ht="29">
      <c r="A465" s="1108" t="s">
        <v>56379</v>
      </c>
      <c r="B465" s="912" t="s">
        <v>56378</v>
      </c>
      <c r="C465" s="1109">
        <v>250</v>
      </c>
    </row>
    <row r="466" spans="1:3" ht="29">
      <c r="A466" s="1108" t="s">
        <v>56377</v>
      </c>
      <c r="B466" s="912" t="s">
        <v>56376</v>
      </c>
      <c r="C466" s="1109">
        <v>353</v>
      </c>
    </row>
    <row r="467" spans="1:3" ht="29">
      <c r="A467" s="1108" t="s">
        <v>56375</v>
      </c>
      <c r="B467" s="912" t="s">
        <v>56374</v>
      </c>
      <c r="C467" s="1109">
        <v>376</v>
      </c>
    </row>
    <row r="468" spans="1:3" ht="29">
      <c r="A468" s="1108" t="s">
        <v>56373</v>
      </c>
      <c r="B468" s="912" t="s">
        <v>56372</v>
      </c>
      <c r="C468" s="1109">
        <v>520</v>
      </c>
    </row>
    <row r="469" spans="1:3" ht="29">
      <c r="A469" s="1108" t="s">
        <v>56371</v>
      </c>
      <c r="B469" s="912" t="s">
        <v>56370</v>
      </c>
      <c r="C469" s="1109">
        <v>400</v>
      </c>
    </row>
    <row r="470" spans="1:3" ht="29">
      <c r="A470" s="1108" t="s">
        <v>56369</v>
      </c>
      <c r="B470" s="912" t="s">
        <v>56368</v>
      </c>
      <c r="C470" s="1109">
        <v>520</v>
      </c>
    </row>
    <row r="471" spans="1:3">
      <c r="A471" s="1108" t="s">
        <v>56367</v>
      </c>
      <c r="B471" s="912" t="s">
        <v>56366</v>
      </c>
      <c r="C471" s="1109">
        <v>387</v>
      </c>
    </row>
    <row r="472" spans="1:3">
      <c r="A472" s="1108" t="s">
        <v>56365</v>
      </c>
      <c r="B472" s="912" t="s">
        <v>56364</v>
      </c>
      <c r="C472" s="1109">
        <v>347</v>
      </c>
    </row>
    <row r="473" spans="1:3">
      <c r="A473" s="1108" t="s">
        <v>56363</v>
      </c>
      <c r="B473" s="912" t="s">
        <v>56362</v>
      </c>
      <c r="C473" s="1109">
        <v>99</v>
      </c>
    </row>
    <row r="474" spans="1:3">
      <c r="A474" s="1108" t="s">
        <v>56361</v>
      </c>
      <c r="B474" s="912" t="s">
        <v>56360</v>
      </c>
      <c r="C474" s="1109">
        <v>110</v>
      </c>
    </row>
    <row r="475" spans="1:3">
      <c r="A475" s="1108" t="s">
        <v>56359</v>
      </c>
      <c r="B475" s="912" t="s">
        <v>56358</v>
      </c>
      <c r="C475" s="1109">
        <v>99</v>
      </c>
    </row>
    <row r="476" spans="1:3" ht="29">
      <c r="A476" s="1108" t="s">
        <v>56357</v>
      </c>
      <c r="B476" s="912" t="s">
        <v>56356</v>
      </c>
      <c r="C476" s="1109">
        <v>118</v>
      </c>
    </row>
    <row r="477" spans="1:3">
      <c r="A477" s="1108" t="s">
        <v>56355</v>
      </c>
      <c r="B477" s="912" t="s">
        <v>56354</v>
      </c>
      <c r="C477" s="1109">
        <v>167</v>
      </c>
    </row>
    <row r="478" spans="1:3">
      <c r="A478" s="1108" t="s">
        <v>56353</v>
      </c>
      <c r="B478" s="912" t="s">
        <v>56352</v>
      </c>
      <c r="C478" s="1109">
        <v>188</v>
      </c>
    </row>
    <row r="479" spans="1:3">
      <c r="A479" s="1108" t="s">
        <v>56351</v>
      </c>
      <c r="B479" s="912" t="s">
        <v>56350</v>
      </c>
      <c r="C479" s="1109">
        <v>211</v>
      </c>
    </row>
    <row r="480" spans="1:3">
      <c r="A480" s="1108" t="s">
        <v>56349</v>
      </c>
      <c r="B480" s="912" t="s">
        <v>56348</v>
      </c>
      <c r="C480" s="1109">
        <v>211</v>
      </c>
    </row>
    <row r="481" spans="1:3">
      <c r="A481" s="1108" t="s">
        <v>56347</v>
      </c>
      <c r="B481" s="912" t="s">
        <v>56346</v>
      </c>
      <c r="C481" s="1109">
        <v>251</v>
      </c>
    </row>
    <row r="482" spans="1:3">
      <c r="A482" s="1108" t="s">
        <v>56345</v>
      </c>
      <c r="B482" s="912" t="s">
        <v>56344</v>
      </c>
      <c r="C482" s="1109">
        <v>251</v>
      </c>
    </row>
    <row r="483" spans="1:3">
      <c r="A483" s="1108" t="s">
        <v>56343</v>
      </c>
      <c r="B483" s="912" t="s">
        <v>56342</v>
      </c>
      <c r="C483" s="1109">
        <v>20</v>
      </c>
    </row>
    <row r="484" spans="1:3">
      <c r="A484" s="1108" t="s">
        <v>56341</v>
      </c>
      <c r="B484" s="912" t="s">
        <v>56340</v>
      </c>
      <c r="C484" s="1109">
        <v>20</v>
      </c>
    </row>
    <row r="485" spans="1:3">
      <c r="A485" s="1108" t="s">
        <v>56339</v>
      </c>
      <c r="B485" s="912" t="s">
        <v>56338</v>
      </c>
      <c r="C485" s="1109">
        <v>53</v>
      </c>
    </row>
    <row r="486" spans="1:3">
      <c r="A486" s="1108" t="s">
        <v>56337</v>
      </c>
      <c r="B486" s="912" t="s">
        <v>56336</v>
      </c>
      <c r="C486" s="1109">
        <v>61</v>
      </c>
    </row>
    <row r="487" spans="1:3" ht="29">
      <c r="A487" s="1108" t="s">
        <v>56335</v>
      </c>
      <c r="B487" s="912" t="s">
        <v>56334</v>
      </c>
      <c r="C487" s="1109">
        <v>1071</v>
      </c>
    </row>
    <row r="488" spans="1:3" ht="29">
      <c r="A488" s="1108" t="s">
        <v>56333</v>
      </c>
      <c r="B488" s="912" t="s">
        <v>56332</v>
      </c>
      <c r="C488" s="1109">
        <v>1060</v>
      </c>
    </row>
    <row r="489" spans="1:3" ht="29">
      <c r="A489" s="1108" t="s">
        <v>56331</v>
      </c>
      <c r="B489" s="912" t="s">
        <v>56330</v>
      </c>
      <c r="C489" s="1109">
        <v>1060</v>
      </c>
    </row>
    <row r="490" spans="1:3">
      <c r="A490" s="1108" t="s">
        <v>56329</v>
      </c>
      <c r="B490" s="912" t="s">
        <v>56328</v>
      </c>
      <c r="C490" s="1109">
        <v>1060</v>
      </c>
    </row>
    <row r="491" spans="1:3" ht="29">
      <c r="A491" s="1108" t="s">
        <v>56327</v>
      </c>
      <c r="B491" s="912" t="s">
        <v>56326</v>
      </c>
      <c r="C491" s="1109">
        <v>1097</v>
      </c>
    </row>
    <row r="492" spans="1:3" ht="29">
      <c r="A492" s="1108" t="s">
        <v>56325</v>
      </c>
      <c r="B492" s="912" t="s">
        <v>56324</v>
      </c>
      <c r="C492" s="1109">
        <v>1060</v>
      </c>
    </row>
    <row r="493" spans="1:3" ht="29">
      <c r="A493" s="1108" t="s">
        <v>56323</v>
      </c>
      <c r="B493" s="912" t="s">
        <v>56322</v>
      </c>
      <c r="C493" s="1109">
        <v>1102</v>
      </c>
    </row>
    <row r="494" spans="1:3" ht="29">
      <c r="A494" s="1108" t="s">
        <v>56321</v>
      </c>
      <c r="B494" s="912" t="s">
        <v>56320</v>
      </c>
      <c r="C494" s="1109">
        <v>1102</v>
      </c>
    </row>
    <row r="495" spans="1:3" ht="29">
      <c r="A495" s="1108" t="s">
        <v>56319</v>
      </c>
      <c r="B495" s="912" t="s">
        <v>56318</v>
      </c>
      <c r="C495" s="1109">
        <v>1102</v>
      </c>
    </row>
    <row r="496" spans="1:3" ht="29">
      <c r="A496" s="1108" t="s">
        <v>56317</v>
      </c>
      <c r="B496" s="912" t="s">
        <v>56316</v>
      </c>
      <c r="C496" s="1109">
        <v>1102</v>
      </c>
    </row>
    <row r="497" spans="1:3" ht="29">
      <c r="A497" s="1108" t="s">
        <v>56315</v>
      </c>
      <c r="B497" s="912" t="s">
        <v>56314</v>
      </c>
      <c r="C497" s="1109">
        <v>1145</v>
      </c>
    </row>
    <row r="498" spans="1:3" ht="29">
      <c r="A498" s="1108" t="s">
        <v>56313</v>
      </c>
      <c r="B498" s="912" t="s">
        <v>56312</v>
      </c>
      <c r="C498" s="1109">
        <v>1145</v>
      </c>
    </row>
    <row r="499" spans="1:3">
      <c r="A499" s="1108" t="s">
        <v>56311</v>
      </c>
      <c r="B499" s="912" t="s">
        <v>56310</v>
      </c>
      <c r="C499" s="1109">
        <v>1221</v>
      </c>
    </row>
    <row r="500" spans="1:3" ht="29">
      <c r="A500" s="1108" t="s">
        <v>56309</v>
      </c>
      <c r="B500" s="912" t="s">
        <v>56308</v>
      </c>
      <c r="C500" s="1109">
        <v>1221</v>
      </c>
    </row>
    <row r="501" spans="1:3" ht="29">
      <c r="A501" s="1108" t="s">
        <v>56307</v>
      </c>
      <c r="B501" s="912" t="s">
        <v>56306</v>
      </c>
      <c r="C501" s="1109">
        <v>1253</v>
      </c>
    </row>
    <row r="502" spans="1:3">
      <c r="A502" s="1108" t="s">
        <v>56305</v>
      </c>
      <c r="B502" s="912" t="s">
        <v>56304</v>
      </c>
      <c r="C502" s="1109">
        <v>1294</v>
      </c>
    </row>
    <row r="503" spans="1:3">
      <c r="A503" s="1108" t="s">
        <v>56303</v>
      </c>
      <c r="B503" s="912" t="s">
        <v>56302</v>
      </c>
      <c r="C503" s="1109">
        <v>1073</v>
      </c>
    </row>
    <row r="504" spans="1:3">
      <c r="A504" s="1108" t="s">
        <v>56301</v>
      </c>
      <c r="B504" s="912" t="s">
        <v>56300</v>
      </c>
      <c r="C504" s="1109">
        <v>1060</v>
      </c>
    </row>
    <row r="505" spans="1:3">
      <c r="A505" s="1108" t="s">
        <v>56299</v>
      </c>
      <c r="B505" s="912" t="s">
        <v>56298</v>
      </c>
      <c r="C505" s="1109">
        <v>1060</v>
      </c>
    </row>
    <row r="506" spans="1:3" ht="29">
      <c r="A506" s="1108" t="s">
        <v>56297</v>
      </c>
      <c r="B506" s="912" t="s">
        <v>56296</v>
      </c>
      <c r="C506" s="1109">
        <v>1097</v>
      </c>
    </row>
    <row r="507" spans="1:3">
      <c r="A507" s="1108" t="s">
        <v>56295</v>
      </c>
      <c r="B507" s="912" t="s">
        <v>56294</v>
      </c>
      <c r="C507" s="1109">
        <v>1102</v>
      </c>
    </row>
    <row r="508" spans="1:3">
      <c r="A508" s="1108" t="s">
        <v>56293</v>
      </c>
      <c r="B508" s="912" t="s">
        <v>56292</v>
      </c>
      <c r="C508" s="1109">
        <v>1102</v>
      </c>
    </row>
    <row r="509" spans="1:3" ht="29">
      <c r="A509" s="1108" t="s">
        <v>56291</v>
      </c>
      <c r="B509" s="912" t="s">
        <v>56290</v>
      </c>
      <c r="C509" s="1109">
        <v>1102</v>
      </c>
    </row>
    <row r="510" spans="1:3" ht="29">
      <c r="A510" s="1108" t="s">
        <v>56289</v>
      </c>
      <c r="B510" s="912" t="s">
        <v>56288</v>
      </c>
      <c r="C510" s="1109">
        <v>1102</v>
      </c>
    </row>
    <row r="511" spans="1:3">
      <c r="A511" s="1108" t="s">
        <v>56287</v>
      </c>
      <c r="B511" s="912" t="s">
        <v>56286</v>
      </c>
      <c r="C511" s="1109">
        <v>1221</v>
      </c>
    </row>
    <row r="512" spans="1:3" ht="29">
      <c r="A512" s="1108" t="s">
        <v>56285</v>
      </c>
      <c r="B512" s="912" t="s">
        <v>56284</v>
      </c>
      <c r="C512" s="1109">
        <v>1060</v>
      </c>
    </row>
    <row r="513" spans="1:3">
      <c r="A513" s="1108" t="s">
        <v>56283</v>
      </c>
      <c r="B513" s="912" t="s">
        <v>56282</v>
      </c>
      <c r="C513" s="1109">
        <v>1221</v>
      </c>
    </row>
    <row r="514" spans="1:3">
      <c r="A514" s="1108" t="s">
        <v>56281</v>
      </c>
      <c r="B514" s="912" t="s">
        <v>56280</v>
      </c>
      <c r="C514" s="1109">
        <v>1221</v>
      </c>
    </row>
    <row r="515" spans="1:3" ht="29">
      <c r="A515" s="1108" t="s">
        <v>56279</v>
      </c>
      <c r="B515" s="912" t="s">
        <v>56278</v>
      </c>
      <c r="C515" s="1109">
        <v>1009</v>
      </c>
    </row>
    <row r="516" spans="1:3">
      <c r="A516" s="1108" t="s">
        <v>56277</v>
      </c>
      <c r="B516" s="912" t="s">
        <v>56276</v>
      </c>
      <c r="C516" s="1109">
        <v>364</v>
      </c>
    </row>
    <row r="517" spans="1:3">
      <c r="A517" s="1108" t="s">
        <v>56275</v>
      </c>
      <c r="B517" s="912" t="s">
        <v>56274</v>
      </c>
      <c r="C517" s="1109">
        <v>166</v>
      </c>
    </row>
    <row r="518" spans="1:3" ht="29">
      <c r="A518" s="1108" t="s">
        <v>56273</v>
      </c>
      <c r="B518" s="912" t="s">
        <v>56272</v>
      </c>
      <c r="C518" s="1109">
        <v>1224</v>
      </c>
    </row>
    <row r="519" spans="1:3" ht="29">
      <c r="A519" s="1108" t="s">
        <v>56271</v>
      </c>
      <c r="B519" s="912" t="s">
        <v>56270</v>
      </c>
      <c r="C519" s="1109">
        <v>927</v>
      </c>
    </row>
    <row r="520" spans="1:3" ht="29">
      <c r="A520" s="1108" t="s">
        <v>56269</v>
      </c>
      <c r="B520" s="912" t="s">
        <v>56268</v>
      </c>
      <c r="C520" s="1109">
        <v>1289</v>
      </c>
    </row>
    <row r="521" spans="1:3" ht="29">
      <c r="A521" s="1108" t="s">
        <v>56267</v>
      </c>
      <c r="B521" s="912" t="s">
        <v>56266</v>
      </c>
      <c r="C521" s="1109">
        <v>1301</v>
      </c>
    </row>
    <row r="522" spans="1:3" ht="29">
      <c r="A522" s="1108" t="s">
        <v>56265</v>
      </c>
      <c r="B522" s="912" t="s">
        <v>56264</v>
      </c>
      <c r="C522" s="1109">
        <v>1289</v>
      </c>
    </row>
    <row r="523" spans="1:3" ht="29">
      <c r="A523" s="1108" t="s">
        <v>56263</v>
      </c>
      <c r="B523" s="912" t="s">
        <v>56262</v>
      </c>
      <c r="C523" s="1109">
        <v>1289</v>
      </c>
    </row>
    <row r="524" spans="1:3" ht="29">
      <c r="A524" s="1108" t="s">
        <v>56261</v>
      </c>
      <c r="B524" s="912" t="s">
        <v>56260</v>
      </c>
      <c r="C524" s="1109">
        <v>1463</v>
      </c>
    </row>
    <row r="525" spans="1:3" ht="29">
      <c r="A525" s="1108" t="s">
        <v>56259</v>
      </c>
      <c r="B525" s="912" t="s">
        <v>56258</v>
      </c>
      <c r="C525" s="1109">
        <v>1463</v>
      </c>
    </row>
    <row r="526" spans="1:3" ht="29">
      <c r="A526" s="1108" t="s">
        <v>56257</v>
      </c>
      <c r="B526" s="912" t="s">
        <v>56256</v>
      </c>
      <c r="C526" s="1109">
        <v>1463</v>
      </c>
    </row>
    <row r="527" spans="1:3">
      <c r="A527" s="1108" t="s">
        <v>56255</v>
      </c>
      <c r="B527" s="912" t="s">
        <v>56254</v>
      </c>
      <c r="C527" s="1109">
        <v>1264</v>
      </c>
    </row>
    <row r="528" spans="1:3">
      <c r="A528" s="1108" t="s">
        <v>56253</v>
      </c>
      <c r="B528" s="912" t="s">
        <v>56252</v>
      </c>
      <c r="C528" s="1109">
        <v>1276</v>
      </c>
    </row>
    <row r="529" spans="1:3" ht="29">
      <c r="A529" s="1108" t="s">
        <v>56251</v>
      </c>
      <c r="B529" s="912" t="s">
        <v>56250</v>
      </c>
      <c r="C529" s="1109">
        <v>1264</v>
      </c>
    </row>
    <row r="530" spans="1:3" ht="29">
      <c r="A530" s="1108" t="s">
        <v>56249</v>
      </c>
      <c r="B530" s="912" t="s">
        <v>56248</v>
      </c>
      <c r="C530" s="1109">
        <v>1300</v>
      </c>
    </row>
    <row r="531" spans="1:3" ht="29">
      <c r="A531" s="1108" t="s">
        <v>56247</v>
      </c>
      <c r="B531" s="912" t="s">
        <v>56246</v>
      </c>
      <c r="C531" s="1109">
        <v>1312</v>
      </c>
    </row>
    <row r="532" spans="1:3" ht="29">
      <c r="A532" s="1108" t="s">
        <v>56245</v>
      </c>
      <c r="B532" s="912" t="s">
        <v>56244</v>
      </c>
      <c r="C532" s="1109">
        <v>1300</v>
      </c>
    </row>
    <row r="533" spans="1:3" ht="29">
      <c r="A533" s="1108" t="s">
        <v>56243</v>
      </c>
      <c r="B533" s="912" t="s">
        <v>56242</v>
      </c>
      <c r="C533" s="1109">
        <v>1300</v>
      </c>
    </row>
    <row r="534" spans="1:3" ht="29">
      <c r="A534" s="1108" t="s">
        <v>56241</v>
      </c>
      <c r="B534" s="912" t="s">
        <v>56240</v>
      </c>
      <c r="C534" s="1109">
        <v>1315</v>
      </c>
    </row>
    <row r="535" spans="1:3" ht="29">
      <c r="A535" s="1108" t="s">
        <v>56239</v>
      </c>
      <c r="B535" s="912" t="s">
        <v>56238</v>
      </c>
      <c r="C535" s="1109">
        <v>1327</v>
      </c>
    </row>
    <row r="536" spans="1:3" ht="29">
      <c r="A536" s="1108" t="s">
        <v>56237</v>
      </c>
      <c r="B536" s="912" t="s">
        <v>56236</v>
      </c>
      <c r="C536" s="1109">
        <v>1315</v>
      </c>
    </row>
    <row r="537" spans="1:3" ht="29">
      <c r="A537" s="1108" t="s">
        <v>56235</v>
      </c>
      <c r="B537" s="912" t="s">
        <v>56234</v>
      </c>
      <c r="C537" s="1109">
        <v>1475</v>
      </c>
    </row>
    <row r="538" spans="1:3" ht="29">
      <c r="A538" s="1108" t="s">
        <v>56233</v>
      </c>
      <c r="B538" s="912" t="s">
        <v>56232</v>
      </c>
      <c r="C538" s="1109">
        <v>1475</v>
      </c>
    </row>
    <row r="539" spans="1:3">
      <c r="A539" s="1108" t="s">
        <v>56231</v>
      </c>
      <c r="B539" s="912" t="s">
        <v>56230</v>
      </c>
      <c r="C539" s="1109">
        <v>1258</v>
      </c>
    </row>
    <row r="540" spans="1:3">
      <c r="A540" s="1108" t="s">
        <v>56229</v>
      </c>
      <c r="B540" s="912" t="s">
        <v>56228</v>
      </c>
      <c r="C540" s="1109">
        <v>1271</v>
      </c>
    </row>
    <row r="541" spans="1:3">
      <c r="A541" s="1108" t="s">
        <v>56227</v>
      </c>
      <c r="B541" s="912" t="s">
        <v>56226</v>
      </c>
      <c r="C541" s="1109">
        <v>1258</v>
      </c>
    </row>
    <row r="542" spans="1:3">
      <c r="A542" s="1108" t="s">
        <v>56225</v>
      </c>
      <c r="B542" s="912" t="s">
        <v>56224</v>
      </c>
      <c r="C542" s="1109">
        <v>1258</v>
      </c>
    </row>
    <row r="543" spans="1:3">
      <c r="A543" s="1108" t="s">
        <v>56223</v>
      </c>
      <c r="B543" s="912" t="s">
        <v>56222</v>
      </c>
      <c r="C543" s="1109">
        <v>1271</v>
      </c>
    </row>
    <row r="544" spans="1:3">
      <c r="A544" s="1108" t="s">
        <v>56221</v>
      </c>
      <c r="B544" s="912" t="s">
        <v>56220</v>
      </c>
      <c r="C544" s="1109">
        <v>1258</v>
      </c>
    </row>
    <row r="545" spans="1:3">
      <c r="A545" s="1108" t="s">
        <v>56219</v>
      </c>
      <c r="B545" s="912" t="s">
        <v>56218</v>
      </c>
      <c r="C545" s="1109">
        <v>1300</v>
      </c>
    </row>
    <row r="546" spans="1:3">
      <c r="A546" s="1108" t="s">
        <v>56217</v>
      </c>
      <c r="B546" s="912" t="s">
        <v>56216</v>
      </c>
      <c r="C546" s="1109">
        <v>1312</v>
      </c>
    </row>
    <row r="547" spans="1:3">
      <c r="A547" s="1108" t="s">
        <v>56215</v>
      </c>
      <c r="B547" s="912" t="s">
        <v>56214</v>
      </c>
      <c r="C547" s="1109">
        <v>1300</v>
      </c>
    </row>
    <row r="548" spans="1:3">
      <c r="A548" s="1108" t="s">
        <v>56213</v>
      </c>
      <c r="B548" s="912" t="s">
        <v>56212</v>
      </c>
      <c r="C548" s="1109">
        <v>1315</v>
      </c>
    </row>
    <row r="549" spans="1:3">
      <c r="A549" s="1108" t="s">
        <v>56211</v>
      </c>
      <c r="B549" s="912" t="s">
        <v>56210</v>
      </c>
      <c r="C549" s="1109">
        <v>1327</v>
      </c>
    </row>
    <row r="550" spans="1:3">
      <c r="A550" s="1108" t="s">
        <v>56209</v>
      </c>
      <c r="B550" s="912" t="s">
        <v>56208</v>
      </c>
      <c r="C550" s="1109">
        <v>1315</v>
      </c>
    </row>
    <row r="551" spans="1:3">
      <c r="A551" s="1108" t="s">
        <v>56207</v>
      </c>
      <c r="B551" s="912" t="s">
        <v>56206</v>
      </c>
      <c r="C551" s="1109">
        <v>1315</v>
      </c>
    </row>
    <row r="552" spans="1:3">
      <c r="A552" s="1108" t="s">
        <v>56205</v>
      </c>
      <c r="B552" s="912" t="s">
        <v>56204</v>
      </c>
      <c r="C552" s="1109">
        <v>1460</v>
      </c>
    </row>
    <row r="553" spans="1:3">
      <c r="A553" s="1108" t="s">
        <v>56203</v>
      </c>
      <c r="B553" s="912" t="s">
        <v>56202</v>
      </c>
      <c r="C553" s="1109">
        <v>1460</v>
      </c>
    </row>
    <row r="554" spans="1:3" ht="29">
      <c r="A554" s="1108" t="s">
        <v>56201</v>
      </c>
      <c r="B554" s="912" t="s">
        <v>56200</v>
      </c>
      <c r="C554" s="1109">
        <v>1460</v>
      </c>
    </row>
    <row r="555" spans="1:3" ht="29">
      <c r="A555" s="1108" t="s">
        <v>56199</v>
      </c>
      <c r="B555" s="912" t="s">
        <v>56198</v>
      </c>
      <c r="C555" s="1109">
        <v>1257</v>
      </c>
    </row>
    <row r="556" spans="1:3" ht="29">
      <c r="A556" s="1108" t="s">
        <v>56197</v>
      </c>
      <c r="B556" s="912" t="s">
        <v>56196</v>
      </c>
      <c r="C556" s="1109">
        <v>1269</v>
      </c>
    </row>
    <row r="557" spans="1:3" ht="29">
      <c r="A557" s="1108" t="s">
        <v>56195</v>
      </c>
      <c r="B557" s="912" t="s">
        <v>56194</v>
      </c>
      <c r="C557" s="1109">
        <v>1257</v>
      </c>
    </row>
    <row r="558" spans="1:3" ht="29">
      <c r="A558" s="1108" t="s">
        <v>56193</v>
      </c>
      <c r="B558" s="912" t="s">
        <v>56192</v>
      </c>
      <c r="C558" s="1109">
        <v>382</v>
      </c>
    </row>
    <row r="559" spans="1:3" ht="29">
      <c r="A559" s="1108" t="s">
        <v>56191</v>
      </c>
      <c r="B559" s="912" t="s">
        <v>56190</v>
      </c>
      <c r="C559" s="1109">
        <v>229</v>
      </c>
    </row>
    <row r="560" spans="1:3" ht="29">
      <c r="A560" s="1108" t="s">
        <v>56189</v>
      </c>
      <c r="B560" s="912" t="s">
        <v>56188</v>
      </c>
      <c r="C560" s="1109">
        <v>229</v>
      </c>
    </row>
    <row r="561" spans="1:3">
      <c r="A561" s="1108" t="s">
        <v>56187</v>
      </c>
      <c r="B561" s="912" t="s">
        <v>56186</v>
      </c>
      <c r="C561" s="1109">
        <v>399</v>
      </c>
    </row>
    <row r="562" spans="1:3" ht="29">
      <c r="A562" s="1108" t="s">
        <v>56185</v>
      </c>
      <c r="B562" s="912" t="s">
        <v>56184</v>
      </c>
      <c r="C562" s="1109">
        <v>242</v>
      </c>
    </row>
    <row r="563" spans="1:3" ht="29">
      <c r="A563" s="1108" t="s">
        <v>56183</v>
      </c>
      <c r="B563" s="912" t="s">
        <v>56182</v>
      </c>
      <c r="C563" s="1109">
        <v>382</v>
      </c>
    </row>
    <row r="564" spans="1:3" ht="29">
      <c r="A564" s="1108" t="s">
        <v>56181</v>
      </c>
      <c r="B564" s="912" t="s">
        <v>56180</v>
      </c>
      <c r="C564" s="1109">
        <v>229</v>
      </c>
    </row>
    <row r="565" spans="1:3" ht="29">
      <c r="A565" s="1108" t="s">
        <v>56179</v>
      </c>
      <c r="B565" s="912" t="s">
        <v>56178</v>
      </c>
      <c r="C565" s="1109">
        <v>429</v>
      </c>
    </row>
    <row r="566" spans="1:3">
      <c r="A566" s="1108" t="s">
        <v>56174</v>
      </c>
      <c r="B566" s="912" t="s">
        <v>56177</v>
      </c>
      <c r="C566" s="1109">
        <v>202</v>
      </c>
    </row>
    <row r="567" spans="1:3" ht="29">
      <c r="A567" s="1108" t="s">
        <v>56176</v>
      </c>
      <c r="B567" s="912" t="s">
        <v>56175</v>
      </c>
      <c r="C567" s="1109">
        <v>367</v>
      </c>
    </row>
    <row r="568" spans="1:3">
      <c r="A568" s="1108" t="s">
        <v>56174</v>
      </c>
      <c r="B568" s="912" t="s">
        <v>56173</v>
      </c>
      <c r="C568" s="1109">
        <v>202</v>
      </c>
    </row>
    <row r="569" spans="1:3" ht="29">
      <c r="A569" s="1108" t="s">
        <v>56165</v>
      </c>
      <c r="B569" s="912" t="s">
        <v>56172</v>
      </c>
      <c r="C569" s="1109">
        <v>353</v>
      </c>
    </row>
    <row r="570" spans="1:3">
      <c r="A570" s="1108" t="s">
        <v>56171</v>
      </c>
      <c r="B570" s="912" t="s">
        <v>56170</v>
      </c>
      <c r="C570" s="1109">
        <v>254</v>
      </c>
    </row>
    <row r="571" spans="1:3" ht="29">
      <c r="A571" s="1108" t="s">
        <v>56169</v>
      </c>
      <c r="B571" s="912" t="s">
        <v>56168</v>
      </c>
      <c r="C571" s="1109">
        <v>353</v>
      </c>
    </row>
    <row r="572" spans="1:3" ht="29">
      <c r="A572" s="1108" t="s">
        <v>56167</v>
      </c>
      <c r="B572" s="912" t="s">
        <v>56166</v>
      </c>
      <c r="C572" s="1109">
        <v>254</v>
      </c>
    </row>
    <row r="573" spans="1:3" ht="29">
      <c r="A573" s="1108" t="s">
        <v>56165</v>
      </c>
      <c r="B573" s="912" t="s">
        <v>56164</v>
      </c>
      <c r="C573" s="1109">
        <v>353</v>
      </c>
    </row>
    <row r="574" spans="1:3">
      <c r="A574" s="1108" t="s">
        <v>56163</v>
      </c>
      <c r="B574" s="912" t="s">
        <v>56162</v>
      </c>
      <c r="C574" s="1109">
        <v>198</v>
      </c>
    </row>
    <row r="575" spans="1:3">
      <c r="A575" s="1108" t="s">
        <v>56161</v>
      </c>
      <c r="B575" s="912" t="s">
        <v>56160</v>
      </c>
      <c r="C575" s="1109">
        <v>353</v>
      </c>
    </row>
    <row r="576" spans="1:3">
      <c r="A576" s="1108" t="s">
        <v>56159</v>
      </c>
      <c r="B576" s="912" t="s">
        <v>56158</v>
      </c>
      <c r="C576" s="1109">
        <v>239</v>
      </c>
    </row>
    <row r="577" spans="1:3">
      <c r="A577" s="1108" t="s">
        <v>56157</v>
      </c>
      <c r="B577" s="912" t="s">
        <v>56156</v>
      </c>
      <c r="C577" s="1109">
        <v>239</v>
      </c>
    </row>
    <row r="578" spans="1:3" ht="29">
      <c r="A578" s="1108" t="s">
        <v>56155</v>
      </c>
      <c r="B578" s="912" t="s">
        <v>56154</v>
      </c>
      <c r="C578" s="1109">
        <v>353</v>
      </c>
    </row>
    <row r="579" spans="1:3" ht="29">
      <c r="A579" s="1108" t="s">
        <v>56153</v>
      </c>
      <c r="B579" s="912" t="s">
        <v>56152</v>
      </c>
      <c r="C579" s="1109">
        <v>239</v>
      </c>
    </row>
    <row r="580" spans="1:3" ht="29">
      <c r="A580" s="1108" t="s">
        <v>56149</v>
      </c>
      <c r="B580" s="912" t="s">
        <v>56148</v>
      </c>
      <c r="C580" s="1109">
        <v>399</v>
      </c>
    </row>
    <row r="581" spans="1:3" ht="29">
      <c r="A581" s="1108" t="s">
        <v>56151</v>
      </c>
      <c r="B581" s="912" t="s">
        <v>56150</v>
      </c>
      <c r="C581" s="1109">
        <v>254</v>
      </c>
    </row>
    <row r="582" spans="1:3" ht="29">
      <c r="A582" s="1108" t="s">
        <v>56149</v>
      </c>
      <c r="B582" s="912" t="s">
        <v>56148</v>
      </c>
      <c r="C582" s="1109">
        <v>399</v>
      </c>
    </row>
    <row r="583" spans="1:3" ht="29">
      <c r="A583" s="1108" t="s">
        <v>56147</v>
      </c>
      <c r="B583" s="912" t="s">
        <v>56146</v>
      </c>
      <c r="C583" s="1109">
        <v>239</v>
      </c>
    </row>
    <row r="584" spans="1:3" ht="29">
      <c r="A584" s="1108" t="s">
        <v>56145</v>
      </c>
      <c r="B584" s="912" t="s">
        <v>56144</v>
      </c>
      <c r="C584" s="1109">
        <v>399</v>
      </c>
    </row>
    <row r="585" spans="1:3">
      <c r="A585" s="1108" t="s">
        <v>56143</v>
      </c>
      <c r="B585" s="912" t="s">
        <v>56142</v>
      </c>
      <c r="C585" s="1109">
        <v>239</v>
      </c>
    </row>
    <row r="586" spans="1:3">
      <c r="A586" s="1108" t="s">
        <v>56141</v>
      </c>
      <c r="B586" s="912" t="s">
        <v>56140</v>
      </c>
      <c r="C586" s="1109">
        <v>353</v>
      </c>
    </row>
    <row r="587" spans="1:3">
      <c r="A587" s="1108" t="s">
        <v>56139</v>
      </c>
      <c r="B587" s="912" t="s">
        <v>56138</v>
      </c>
      <c r="C587" s="1109">
        <v>196</v>
      </c>
    </row>
    <row r="588" spans="1:3" ht="29">
      <c r="A588" s="1108" t="s">
        <v>56137</v>
      </c>
      <c r="B588" s="912" t="s">
        <v>56136</v>
      </c>
      <c r="C588" s="1109">
        <v>259</v>
      </c>
    </row>
    <row r="589" spans="1:3" ht="29">
      <c r="A589" s="1108" t="s">
        <v>56135</v>
      </c>
      <c r="B589" s="912" t="s">
        <v>56134</v>
      </c>
      <c r="C589" s="1109">
        <v>130</v>
      </c>
    </row>
    <row r="590" spans="1:3" ht="29">
      <c r="A590" s="1108" t="s">
        <v>56133</v>
      </c>
      <c r="B590" s="912" t="s">
        <v>56132</v>
      </c>
      <c r="C590" s="1109">
        <v>236</v>
      </c>
    </row>
    <row r="591" spans="1:3" ht="29">
      <c r="A591" s="1108" t="s">
        <v>56131</v>
      </c>
      <c r="B591" s="912" t="s">
        <v>56130</v>
      </c>
      <c r="C591" s="1109">
        <v>173</v>
      </c>
    </row>
    <row r="592" spans="1:3" ht="29">
      <c r="A592" s="1108" t="s">
        <v>56129</v>
      </c>
      <c r="B592" s="912" t="s">
        <v>56128</v>
      </c>
      <c r="C592" s="1109">
        <v>190</v>
      </c>
    </row>
    <row r="593" spans="1:3" ht="29">
      <c r="A593" s="1108" t="s">
        <v>56127</v>
      </c>
      <c r="B593" s="912" t="s">
        <v>56126</v>
      </c>
      <c r="C593" s="1109">
        <v>275</v>
      </c>
    </row>
    <row r="594" spans="1:3" ht="29">
      <c r="A594" s="1108" t="s">
        <v>56125</v>
      </c>
      <c r="B594" s="912" t="s">
        <v>56124</v>
      </c>
      <c r="C594" s="1109">
        <v>135</v>
      </c>
    </row>
    <row r="595" spans="1:3">
      <c r="A595" s="1108" t="s">
        <v>56123</v>
      </c>
      <c r="B595" s="912" t="s">
        <v>56122</v>
      </c>
      <c r="C595" s="1109">
        <v>216</v>
      </c>
    </row>
    <row r="596" spans="1:3" ht="29">
      <c r="A596" s="1108" t="s">
        <v>56121</v>
      </c>
      <c r="B596" s="912" t="s">
        <v>56120</v>
      </c>
      <c r="C596" s="1109">
        <v>259</v>
      </c>
    </row>
    <row r="597" spans="1:3" ht="29">
      <c r="A597" s="1108" t="s">
        <v>56119</v>
      </c>
      <c r="B597" s="912" t="s">
        <v>56118</v>
      </c>
      <c r="C597" s="1109">
        <v>130</v>
      </c>
    </row>
    <row r="598" spans="1:3">
      <c r="A598" s="1108" t="s">
        <v>56117</v>
      </c>
      <c r="B598" s="912" t="s">
        <v>56116</v>
      </c>
      <c r="C598" s="1109">
        <v>224</v>
      </c>
    </row>
    <row r="599" spans="1:3">
      <c r="A599" s="1108" t="s">
        <v>56115</v>
      </c>
      <c r="B599" s="912" t="s">
        <v>56114</v>
      </c>
      <c r="C599" s="1109">
        <v>353</v>
      </c>
    </row>
    <row r="600" spans="1:3">
      <c r="A600" s="1108" t="s">
        <v>56113</v>
      </c>
      <c r="B600" s="912" t="s">
        <v>56112</v>
      </c>
      <c r="C600" s="1109">
        <v>353</v>
      </c>
    </row>
    <row r="601" spans="1:3" ht="29">
      <c r="A601" s="1108" t="s">
        <v>56111</v>
      </c>
      <c r="B601" s="912" t="s">
        <v>56110</v>
      </c>
      <c r="C601" s="1109">
        <v>202</v>
      </c>
    </row>
    <row r="602" spans="1:3" ht="29">
      <c r="A602" s="1108" t="s">
        <v>56109</v>
      </c>
      <c r="B602" s="912" t="s">
        <v>56108</v>
      </c>
      <c r="C602" s="1109">
        <v>202</v>
      </c>
    </row>
    <row r="603" spans="1:3" ht="29">
      <c r="A603" s="1108" t="s">
        <v>56107</v>
      </c>
      <c r="B603" s="912" t="s">
        <v>56106</v>
      </c>
      <c r="C603" s="1109">
        <v>353</v>
      </c>
    </row>
    <row r="604" spans="1:3" ht="29">
      <c r="A604" s="1108" t="s">
        <v>56105</v>
      </c>
      <c r="B604" s="912" t="s">
        <v>56103</v>
      </c>
      <c r="C604" s="1109">
        <v>202</v>
      </c>
    </row>
    <row r="605" spans="1:3" ht="29">
      <c r="A605" s="1108" t="s">
        <v>56104</v>
      </c>
      <c r="B605" s="912" t="s">
        <v>56103</v>
      </c>
      <c r="C605" s="1109">
        <v>202</v>
      </c>
    </row>
    <row r="606" spans="1:3">
      <c r="A606" s="1108" t="s">
        <v>56102</v>
      </c>
      <c r="B606" s="912" t="s">
        <v>56101</v>
      </c>
      <c r="C606" s="1109">
        <v>353</v>
      </c>
    </row>
    <row r="607" spans="1:3" ht="29">
      <c r="A607" s="1108" t="s">
        <v>56100</v>
      </c>
      <c r="B607" s="912" t="s">
        <v>56099</v>
      </c>
      <c r="C607" s="1109">
        <v>364</v>
      </c>
    </row>
    <row r="608" spans="1:3" ht="29">
      <c r="A608" s="1108" t="s">
        <v>56098</v>
      </c>
      <c r="B608" s="912" t="s">
        <v>56097</v>
      </c>
      <c r="C608" s="1109">
        <v>183</v>
      </c>
    </row>
    <row r="609" spans="1:3">
      <c r="A609" s="1108" t="s">
        <v>56096</v>
      </c>
      <c r="B609" s="912" t="s">
        <v>56095</v>
      </c>
      <c r="C609" s="1109">
        <v>259</v>
      </c>
    </row>
    <row r="610" spans="1:3" ht="29">
      <c r="A610" s="1108" t="s">
        <v>56094</v>
      </c>
      <c r="B610" s="912" t="s">
        <v>56093</v>
      </c>
      <c r="C610" s="1109">
        <v>206</v>
      </c>
    </row>
    <row r="611" spans="1:3" ht="29">
      <c r="A611" s="1108" t="s">
        <v>56092</v>
      </c>
      <c r="B611" s="912" t="s">
        <v>56091</v>
      </c>
      <c r="C611" s="1109">
        <v>295</v>
      </c>
    </row>
    <row r="612" spans="1:3">
      <c r="A612" s="1108" t="s">
        <v>56090</v>
      </c>
      <c r="B612" s="912" t="s">
        <v>56089</v>
      </c>
      <c r="C612" s="1109">
        <v>339</v>
      </c>
    </row>
    <row r="613" spans="1:3" ht="29">
      <c r="A613" s="1108" t="s">
        <v>56088</v>
      </c>
      <c r="B613" s="912" t="s">
        <v>56087</v>
      </c>
      <c r="C613" s="1109">
        <v>270</v>
      </c>
    </row>
    <row r="614" spans="1:3">
      <c r="A614" s="1108" t="s">
        <v>56086</v>
      </c>
      <c r="B614" s="912" t="s">
        <v>56085</v>
      </c>
      <c r="C614" s="1109">
        <v>233</v>
      </c>
    </row>
    <row r="615" spans="1:3">
      <c r="A615" s="1108" t="s">
        <v>56084</v>
      </c>
      <c r="B615" s="912" t="s">
        <v>56083</v>
      </c>
      <c r="C615" s="1109">
        <v>190</v>
      </c>
    </row>
    <row r="616" spans="1:3" ht="29">
      <c r="A616" s="1108" t="s">
        <v>56082</v>
      </c>
      <c r="B616" s="912" t="s">
        <v>56081</v>
      </c>
      <c r="C616" s="1109">
        <v>197</v>
      </c>
    </row>
    <row r="617" spans="1:3" ht="29">
      <c r="A617" s="1108" t="s">
        <v>56080</v>
      </c>
      <c r="B617" s="912" t="s">
        <v>56079</v>
      </c>
      <c r="C617" s="1109">
        <v>275</v>
      </c>
    </row>
    <row r="618" spans="1:3">
      <c r="A618" s="1108" t="s">
        <v>56078</v>
      </c>
      <c r="B618" s="912" t="s">
        <v>56077</v>
      </c>
      <c r="C618" s="1109">
        <v>212</v>
      </c>
    </row>
    <row r="619" spans="1:3" ht="29">
      <c r="A619" s="1108" t="s">
        <v>56076</v>
      </c>
      <c r="B619" s="912" t="s">
        <v>56075</v>
      </c>
      <c r="C619" s="1109">
        <v>343</v>
      </c>
    </row>
    <row r="620" spans="1:3" ht="29">
      <c r="A620" s="1108" t="s">
        <v>56074</v>
      </c>
      <c r="B620" s="912" t="s">
        <v>56073</v>
      </c>
      <c r="C620" s="1109">
        <v>173</v>
      </c>
    </row>
    <row r="621" spans="1:3" ht="29">
      <c r="A621" s="1108" t="s">
        <v>56072</v>
      </c>
      <c r="B621" s="912" t="s">
        <v>56071</v>
      </c>
      <c r="C621" s="1109">
        <v>341</v>
      </c>
    </row>
    <row r="622" spans="1:3" ht="29">
      <c r="A622" s="1108" t="s">
        <v>56070</v>
      </c>
      <c r="B622" s="912" t="s">
        <v>56069</v>
      </c>
      <c r="C622" s="1109">
        <v>172</v>
      </c>
    </row>
    <row r="623" spans="1:3" ht="29">
      <c r="A623" s="1108" t="s">
        <v>56068</v>
      </c>
      <c r="B623" s="912" t="s">
        <v>56067</v>
      </c>
      <c r="C623" s="1109">
        <v>365</v>
      </c>
    </row>
    <row r="624" spans="1:3" ht="29">
      <c r="A624" s="1108" t="s">
        <v>56066</v>
      </c>
      <c r="B624" s="912" t="s">
        <v>56065</v>
      </c>
      <c r="C624" s="1109">
        <v>182.5</v>
      </c>
    </row>
    <row r="625" spans="1:3" ht="29">
      <c r="A625" s="1108" t="s">
        <v>56064</v>
      </c>
      <c r="B625" s="912" t="s">
        <v>56063</v>
      </c>
      <c r="C625" s="1109">
        <v>355</v>
      </c>
    </row>
    <row r="626" spans="1:3" ht="29">
      <c r="A626" s="1108" t="s">
        <v>56062</v>
      </c>
      <c r="B626" s="912" t="s">
        <v>56061</v>
      </c>
      <c r="C626" s="1109">
        <v>178</v>
      </c>
    </row>
    <row r="627" spans="1:3" ht="29">
      <c r="A627" s="1108" t="s">
        <v>56060</v>
      </c>
      <c r="B627" s="912" t="s">
        <v>56059</v>
      </c>
      <c r="C627" s="1109">
        <v>270</v>
      </c>
    </row>
    <row r="628" spans="1:3">
      <c r="A628" s="1108" t="s">
        <v>56058</v>
      </c>
      <c r="B628" s="912" t="s">
        <v>56057</v>
      </c>
      <c r="C628" s="1109">
        <v>350</v>
      </c>
    </row>
    <row r="629" spans="1:3" ht="29">
      <c r="A629" s="1108" t="s">
        <v>56056</v>
      </c>
      <c r="B629" s="912" t="s">
        <v>56055</v>
      </c>
      <c r="C629" s="1109">
        <v>175</v>
      </c>
    </row>
    <row r="630" spans="1:3" ht="29">
      <c r="A630" s="1108" t="s">
        <v>56054</v>
      </c>
      <c r="B630" s="912" t="s">
        <v>56053</v>
      </c>
      <c r="C630" s="1109">
        <v>307</v>
      </c>
    </row>
    <row r="631" spans="1:3" ht="29">
      <c r="A631" s="1108" t="s">
        <v>56052</v>
      </c>
      <c r="B631" s="912" t="s">
        <v>56051</v>
      </c>
      <c r="C631" s="1109">
        <v>341</v>
      </c>
    </row>
    <row r="632" spans="1:3" ht="29">
      <c r="A632" s="1108" t="s">
        <v>56050</v>
      </c>
      <c r="B632" s="912" t="s">
        <v>56049</v>
      </c>
      <c r="C632" s="1109">
        <v>171</v>
      </c>
    </row>
    <row r="633" spans="1:3" ht="29">
      <c r="A633" s="1108" t="s">
        <v>56048</v>
      </c>
      <c r="B633" s="912" t="s">
        <v>56047</v>
      </c>
      <c r="C633" s="1109">
        <v>429</v>
      </c>
    </row>
    <row r="634" spans="1:3" ht="29">
      <c r="A634" s="1108" t="s">
        <v>56046</v>
      </c>
      <c r="B634" s="912" t="s">
        <v>56045</v>
      </c>
      <c r="C634" s="1109">
        <v>215</v>
      </c>
    </row>
    <row r="635" spans="1:3">
      <c r="A635" s="1108" t="s">
        <v>56044</v>
      </c>
      <c r="B635" s="912" t="s">
        <v>56043</v>
      </c>
      <c r="C635" s="1109">
        <v>429</v>
      </c>
    </row>
    <row r="636" spans="1:3">
      <c r="A636" s="1108" t="s">
        <v>56042</v>
      </c>
      <c r="B636" s="912" t="s">
        <v>56041</v>
      </c>
      <c r="C636" s="1109">
        <v>429</v>
      </c>
    </row>
    <row r="637" spans="1:3">
      <c r="A637" s="1108" t="s">
        <v>56040</v>
      </c>
      <c r="B637" s="912" t="s">
        <v>56039</v>
      </c>
      <c r="C637" s="1109">
        <v>307</v>
      </c>
    </row>
    <row r="638" spans="1:3">
      <c r="A638" s="1108" t="s">
        <v>56038</v>
      </c>
      <c r="B638" s="912" t="s">
        <v>56037</v>
      </c>
      <c r="C638" s="1109">
        <v>307</v>
      </c>
    </row>
    <row r="639" spans="1:3" ht="29">
      <c r="A639" s="1108" t="s">
        <v>56036</v>
      </c>
      <c r="B639" s="912" t="s">
        <v>56035</v>
      </c>
      <c r="C639" s="1109">
        <v>429</v>
      </c>
    </row>
    <row r="640" spans="1:3">
      <c r="A640" s="1108" t="s">
        <v>56034</v>
      </c>
      <c r="B640" s="912" t="s">
        <v>56032</v>
      </c>
      <c r="C640" s="1109">
        <v>307</v>
      </c>
    </row>
    <row r="641" spans="1:3">
      <c r="A641" s="1108" t="s">
        <v>56033</v>
      </c>
      <c r="B641" s="912" t="s">
        <v>56032</v>
      </c>
      <c r="C641" s="1109">
        <v>307</v>
      </c>
    </row>
    <row r="642" spans="1:3">
      <c r="A642" s="1108" t="s">
        <v>56031</v>
      </c>
      <c r="B642" s="912" t="s">
        <v>56030</v>
      </c>
      <c r="C642" s="1109">
        <v>418</v>
      </c>
    </row>
    <row r="643" spans="1:3" ht="29">
      <c r="A643" s="1108" t="s">
        <v>56029</v>
      </c>
      <c r="B643" s="912" t="s">
        <v>56028</v>
      </c>
      <c r="C643" s="1109">
        <v>210</v>
      </c>
    </row>
    <row r="644" spans="1:3">
      <c r="A644" s="1108" t="s">
        <v>56027</v>
      </c>
      <c r="B644" s="912" t="s">
        <v>56026</v>
      </c>
      <c r="C644" s="1109">
        <v>418</v>
      </c>
    </row>
    <row r="645" spans="1:3" ht="29">
      <c r="A645" s="1108" t="s">
        <v>56025</v>
      </c>
      <c r="B645" s="912" t="s">
        <v>56024</v>
      </c>
      <c r="C645" s="1109">
        <v>210</v>
      </c>
    </row>
    <row r="646" spans="1:3">
      <c r="A646" s="1108" t="s">
        <v>56023</v>
      </c>
      <c r="B646" s="912" t="s">
        <v>56022</v>
      </c>
      <c r="C646" s="1109">
        <v>446</v>
      </c>
    </row>
    <row r="647" spans="1:3" ht="29">
      <c r="A647" s="1108" t="s">
        <v>56021</v>
      </c>
      <c r="B647" s="912" t="s">
        <v>56020</v>
      </c>
      <c r="C647" s="1109">
        <v>439</v>
      </c>
    </row>
    <row r="648" spans="1:3" ht="29">
      <c r="A648" s="1108" t="s">
        <v>56019</v>
      </c>
      <c r="B648" s="912" t="s">
        <v>56018</v>
      </c>
      <c r="C648" s="1109">
        <v>259</v>
      </c>
    </row>
    <row r="649" spans="1:3" ht="29">
      <c r="A649" s="1108" t="s">
        <v>56017</v>
      </c>
      <c r="B649" s="912" t="s">
        <v>56016</v>
      </c>
      <c r="C649" s="1109">
        <v>341</v>
      </c>
    </row>
    <row r="650" spans="1:3" ht="29">
      <c r="A650" s="1108" t="s">
        <v>56015</v>
      </c>
      <c r="B650" s="912" t="s">
        <v>56014</v>
      </c>
      <c r="C650" s="1109">
        <v>341</v>
      </c>
    </row>
    <row r="651" spans="1:3">
      <c r="A651" s="1108" t="s">
        <v>56013</v>
      </c>
      <c r="B651" s="912" t="s">
        <v>56012</v>
      </c>
      <c r="C651" s="1109">
        <v>399</v>
      </c>
    </row>
    <row r="652" spans="1:3" ht="29">
      <c r="A652" s="1108" t="s">
        <v>56011</v>
      </c>
      <c r="B652" s="912" t="s">
        <v>56010</v>
      </c>
      <c r="C652" s="1109">
        <v>270</v>
      </c>
    </row>
    <row r="653" spans="1:3">
      <c r="A653" s="1108" t="s">
        <v>56009</v>
      </c>
      <c r="B653" s="912" t="s">
        <v>56008</v>
      </c>
      <c r="C653" s="1109">
        <v>350</v>
      </c>
    </row>
    <row r="654" spans="1:3">
      <c r="A654" s="1108" t="s">
        <v>56007</v>
      </c>
      <c r="B654" s="912" t="s">
        <v>56006</v>
      </c>
      <c r="C654" s="1109">
        <v>420</v>
      </c>
    </row>
    <row r="655" spans="1:3">
      <c r="A655" s="1108" t="s">
        <v>56005</v>
      </c>
      <c r="B655" s="912" t="s">
        <v>56004</v>
      </c>
      <c r="C655" s="1109">
        <v>259</v>
      </c>
    </row>
    <row r="656" spans="1:3" ht="29">
      <c r="A656" s="1108" t="s">
        <v>56003</v>
      </c>
      <c r="B656" s="912" t="s">
        <v>56002</v>
      </c>
      <c r="C656" s="1109">
        <v>350</v>
      </c>
    </row>
    <row r="657" spans="1:3" ht="29">
      <c r="A657" s="1108" t="s">
        <v>56001</v>
      </c>
      <c r="B657" s="912" t="s">
        <v>56000</v>
      </c>
      <c r="C657" s="1109">
        <v>58</v>
      </c>
    </row>
    <row r="658" spans="1:3">
      <c r="A658" s="1108" t="s">
        <v>55999</v>
      </c>
      <c r="B658" s="912" t="s">
        <v>55998</v>
      </c>
      <c r="C658" s="1109">
        <v>321</v>
      </c>
    </row>
    <row r="659" spans="1:3">
      <c r="A659" s="1108" t="s">
        <v>55997</v>
      </c>
      <c r="B659" s="912" t="s">
        <v>55996</v>
      </c>
      <c r="C659" s="1109">
        <v>362</v>
      </c>
    </row>
    <row r="660" spans="1:3">
      <c r="A660" s="1108" t="s">
        <v>55995</v>
      </c>
      <c r="B660" s="912" t="s">
        <v>55994</v>
      </c>
      <c r="C660" s="1109">
        <v>372</v>
      </c>
    </row>
    <row r="661" spans="1:3">
      <c r="A661" s="1108" t="s">
        <v>55993</v>
      </c>
      <c r="B661" s="912" t="s">
        <v>55992</v>
      </c>
      <c r="C661" s="1109">
        <v>400</v>
      </c>
    </row>
    <row r="662" spans="1:3">
      <c r="A662" s="1108" t="s">
        <v>55991</v>
      </c>
      <c r="B662" s="912" t="s">
        <v>55990</v>
      </c>
      <c r="C662" s="1109">
        <v>355</v>
      </c>
    </row>
    <row r="663" spans="1:3">
      <c r="A663" s="1108" t="s">
        <v>55989</v>
      </c>
      <c r="B663" s="912" t="s">
        <v>55988</v>
      </c>
      <c r="C663" s="1109">
        <v>321</v>
      </c>
    </row>
    <row r="664" spans="1:3">
      <c r="A664" s="1108" t="s">
        <v>55987</v>
      </c>
      <c r="B664" s="912" t="s">
        <v>55986</v>
      </c>
      <c r="C664" s="1109">
        <v>367</v>
      </c>
    </row>
    <row r="665" spans="1:3">
      <c r="A665" s="1108" t="s">
        <v>55985</v>
      </c>
      <c r="B665" s="912" t="s">
        <v>55984</v>
      </c>
      <c r="C665" s="1109">
        <v>350</v>
      </c>
    </row>
    <row r="666" spans="1:3" ht="29">
      <c r="A666" s="1108" t="s">
        <v>55983</v>
      </c>
      <c r="B666" s="912" t="s">
        <v>55982</v>
      </c>
      <c r="C666" s="1109">
        <v>330</v>
      </c>
    </row>
    <row r="667" spans="1:3">
      <c r="A667" s="1108" t="s">
        <v>55981</v>
      </c>
      <c r="B667" s="912" t="s">
        <v>55980</v>
      </c>
      <c r="C667" s="1109">
        <v>330</v>
      </c>
    </row>
    <row r="668" spans="1:3" ht="29">
      <c r="A668" s="1108" t="s">
        <v>55979</v>
      </c>
      <c r="B668" s="912" t="s">
        <v>55978</v>
      </c>
      <c r="C668" s="1109">
        <v>661</v>
      </c>
    </row>
    <row r="669" spans="1:3" ht="29">
      <c r="A669" s="1108" t="s">
        <v>55977</v>
      </c>
      <c r="B669" s="912" t="s">
        <v>55976</v>
      </c>
      <c r="C669" s="1109">
        <v>754</v>
      </c>
    </row>
    <row r="670" spans="1:3">
      <c r="A670" s="1108" t="s">
        <v>55975</v>
      </c>
      <c r="B670" s="912" t="s">
        <v>55974</v>
      </c>
      <c r="C670" s="1109">
        <v>796</v>
      </c>
    </row>
    <row r="671" spans="1:3" ht="29">
      <c r="A671" s="1108" t="s">
        <v>55973</v>
      </c>
      <c r="B671" s="912" t="s">
        <v>55972</v>
      </c>
      <c r="C671" s="1109">
        <v>887</v>
      </c>
    </row>
    <row r="672" spans="1:3">
      <c r="A672" s="1108" t="s">
        <v>55971</v>
      </c>
      <c r="B672" s="912" t="s">
        <v>55970</v>
      </c>
      <c r="C672" s="1109">
        <v>839</v>
      </c>
    </row>
    <row r="673" spans="1:3" ht="29">
      <c r="A673" s="1108" t="s">
        <v>55969</v>
      </c>
      <c r="B673" s="912" t="s">
        <v>55968</v>
      </c>
      <c r="C673" s="1109">
        <v>723</v>
      </c>
    </row>
    <row r="674" spans="1:3" ht="29">
      <c r="A674" s="1108" t="s">
        <v>55967</v>
      </c>
      <c r="B674" s="912" t="s">
        <v>55966</v>
      </c>
      <c r="C674" s="1109">
        <v>876</v>
      </c>
    </row>
    <row r="675" spans="1:3" ht="29">
      <c r="A675" s="1108" t="s">
        <v>55965</v>
      </c>
      <c r="B675" s="912" t="s">
        <v>55964</v>
      </c>
      <c r="C675" s="1109">
        <v>858</v>
      </c>
    </row>
    <row r="676" spans="1:3" ht="29">
      <c r="A676" s="1108" t="s">
        <v>55963</v>
      </c>
      <c r="B676" s="912" t="s">
        <v>55962</v>
      </c>
      <c r="C676" s="1109">
        <v>1110</v>
      </c>
    </row>
    <row r="677" spans="1:3" ht="43.5">
      <c r="A677" s="1108" t="s">
        <v>55961</v>
      </c>
      <c r="B677" s="912" t="s">
        <v>55960</v>
      </c>
      <c r="C677" s="1109">
        <v>1456</v>
      </c>
    </row>
    <row r="678" spans="1:3">
      <c r="A678" s="1108" t="s">
        <v>55959</v>
      </c>
      <c r="B678" s="912" t="s">
        <v>55958</v>
      </c>
      <c r="C678" s="1109">
        <v>705</v>
      </c>
    </row>
    <row r="679" spans="1:3" ht="29">
      <c r="A679" s="1108" t="s">
        <v>55957</v>
      </c>
      <c r="B679" s="912" t="s">
        <v>55956</v>
      </c>
      <c r="C679" s="1109">
        <v>796</v>
      </c>
    </row>
    <row r="680" spans="1:3" ht="29">
      <c r="A680" s="1108" t="s">
        <v>55955</v>
      </c>
      <c r="B680" s="912" t="s">
        <v>55954</v>
      </c>
      <c r="C680" s="1109">
        <v>796</v>
      </c>
    </row>
    <row r="681" spans="1:3">
      <c r="A681" s="1108" t="s">
        <v>55953</v>
      </c>
      <c r="B681" s="912" t="s">
        <v>55952</v>
      </c>
      <c r="C681" s="1109">
        <v>812</v>
      </c>
    </row>
    <row r="682" spans="1:3">
      <c r="A682" s="1108" t="s">
        <v>55951</v>
      </c>
      <c r="B682" s="912" t="s">
        <v>55950</v>
      </c>
      <c r="C682" s="1109">
        <v>877</v>
      </c>
    </row>
    <row r="683" spans="1:3">
      <c r="A683" s="1108" t="s">
        <v>55949</v>
      </c>
      <c r="B683" s="912" t="s">
        <v>55948</v>
      </c>
      <c r="C683" s="1109">
        <v>1012</v>
      </c>
    </row>
    <row r="684" spans="1:3" ht="29">
      <c r="A684" s="1108" t="s">
        <v>55947</v>
      </c>
      <c r="B684" s="912" t="s">
        <v>55946</v>
      </c>
      <c r="C684" s="1109">
        <v>1100</v>
      </c>
    </row>
    <row r="685" spans="1:3" ht="29">
      <c r="A685" s="1108" t="s">
        <v>55945</v>
      </c>
      <c r="B685" s="912" t="s">
        <v>55944</v>
      </c>
      <c r="C685" s="1109">
        <v>772</v>
      </c>
    </row>
    <row r="686" spans="1:3">
      <c r="A686" s="1108" t="s">
        <v>55932</v>
      </c>
      <c r="B686" s="912" t="s">
        <v>55931</v>
      </c>
      <c r="C686" s="1109">
        <v>130</v>
      </c>
    </row>
    <row r="687" spans="1:3">
      <c r="A687" s="1108" t="s">
        <v>55943</v>
      </c>
      <c r="B687" s="912" t="s">
        <v>55942</v>
      </c>
      <c r="C687" s="1109">
        <v>197</v>
      </c>
    </row>
    <row r="688" spans="1:3" ht="29">
      <c r="A688" s="1108" t="s">
        <v>55941</v>
      </c>
      <c r="B688" s="912" t="s">
        <v>55940</v>
      </c>
      <c r="C688" s="1109">
        <v>135</v>
      </c>
    </row>
    <row r="689" spans="1:3" ht="29">
      <c r="A689" s="1108" t="s">
        <v>55939</v>
      </c>
      <c r="B689" s="912" t="s">
        <v>55938</v>
      </c>
      <c r="C689" s="1109">
        <v>156</v>
      </c>
    </row>
    <row r="690" spans="1:3">
      <c r="A690" s="1108" t="s">
        <v>55932</v>
      </c>
      <c r="B690" s="912" t="s">
        <v>55931</v>
      </c>
      <c r="C690" s="1109">
        <v>130</v>
      </c>
    </row>
    <row r="691" spans="1:3" ht="29">
      <c r="A691" s="1108" t="s">
        <v>55937</v>
      </c>
      <c r="B691" s="912" t="s">
        <v>55936</v>
      </c>
      <c r="C691" s="1109">
        <v>151</v>
      </c>
    </row>
    <row r="692" spans="1:3">
      <c r="A692" s="1108" t="s">
        <v>55932</v>
      </c>
      <c r="B692" s="912" t="s">
        <v>55935</v>
      </c>
      <c r="C692" s="1109">
        <v>130</v>
      </c>
    </row>
    <row r="693" spans="1:3" ht="29">
      <c r="A693" s="1108" t="s">
        <v>55934</v>
      </c>
      <c r="B693" s="912" t="s">
        <v>55933</v>
      </c>
      <c r="C693" s="1109">
        <v>140</v>
      </c>
    </row>
    <row r="694" spans="1:3">
      <c r="A694" s="1108" t="s">
        <v>55932</v>
      </c>
      <c r="B694" s="912" t="s">
        <v>55931</v>
      </c>
      <c r="C694" s="1109">
        <v>130</v>
      </c>
    </row>
    <row r="695" spans="1:3" ht="29">
      <c r="A695" s="1108" t="s">
        <v>55930</v>
      </c>
      <c r="B695" s="912" t="s">
        <v>55929</v>
      </c>
      <c r="C695" s="1109">
        <v>2211</v>
      </c>
    </row>
    <row r="696" spans="1:3" ht="29">
      <c r="A696" s="1108" t="s">
        <v>55928</v>
      </c>
      <c r="B696" s="912" t="s">
        <v>55927</v>
      </c>
      <c r="C696" s="1109">
        <v>2441</v>
      </c>
    </row>
    <row r="697" spans="1:3" ht="29">
      <c r="A697" s="1108" t="s">
        <v>55926</v>
      </c>
      <c r="B697" s="912" t="s">
        <v>55925</v>
      </c>
      <c r="C697" s="1109">
        <v>2308</v>
      </c>
    </row>
    <row r="698" spans="1:3" ht="29">
      <c r="A698" s="1108" t="s">
        <v>55924</v>
      </c>
      <c r="B698" s="912" t="s">
        <v>55923</v>
      </c>
      <c r="C698" s="1109">
        <v>2500</v>
      </c>
    </row>
    <row r="699" spans="1:3" ht="29">
      <c r="A699" s="1108" t="s">
        <v>55922</v>
      </c>
      <c r="B699" s="912" t="s">
        <v>55921</v>
      </c>
      <c r="C699" s="1109">
        <v>3093</v>
      </c>
    </row>
    <row r="700" spans="1:3" ht="29">
      <c r="A700" s="1108" t="s">
        <v>55920</v>
      </c>
      <c r="B700" s="912" t="s">
        <v>55919</v>
      </c>
      <c r="C700" s="1109">
        <v>3193</v>
      </c>
    </row>
    <row r="701" spans="1:3" ht="29">
      <c r="A701" s="1108" t="s">
        <v>55918</v>
      </c>
      <c r="B701" s="912" t="s">
        <v>55917</v>
      </c>
      <c r="C701" s="1109">
        <v>3234</v>
      </c>
    </row>
    <row r="702" spans="1:3" ht="43.5">
      <c r="A702" s="1108" t="s">
        <v>55916</v>
      </c>
      <c r="B702" s="912" t="s">
        <v>55915</v>
      </c>
      <c r="C702" s="1109">
        <v>3408</v>
      </c>
    </row>
    <row r="703" spans="1:3" ht="43.5">
      <c r="A703" s="1108" t="s">
        <v>55914</v>
      </c>
      <c r="B703" s="912" t="s">
        <v>55913</v>
      </c>
      <c r="C703" s="1109">
        <v>3565</v>
      </c>
    </row>
    <row r="704" spans="1:3">
      <c r="A704" s="1108" t="s">
        <v>55912</v>
      </c>
      <c r="B704" s="912" t="s">
        <v>55911</v>
      </c>
      <c r="C704" s="1109">
        <v>460</v>
      </c>
    </row>
    <row r="705" spans="1:3" ht="29">
      <c r="A705" s="1108" t="s">
        <v>55910</v>
      </c>
      <c r="B705" s="912" t="s">
        <v>55909</v>
      </c>
      <c r="C705" s="1109">
        <v>2529</v>
      </c>
    </row>
    <row r="706" spans="1:3" ht="29">
      <c r="A706" s="1108" t="s">
        <v>55908</v>
      </c>
      <c r="B706" s="912" t="s">
        <v>55907</v>
      </c>
      <c r="C706" s="1109">
        <v>2600</v>
      </c>
    </row>
    <row r="707" spans="1:3" ht="29">
      <c r="A707" s="1108" t="s">
        <v>55906</v>
      </c>
      <c r="B707" s="912" t="s">
        <v>55905</v>
      </c>
      <c r="C707" s="1109">
        <v>2900</v>
      </c>
    </row>
    <row r="708" spans="1:3">
      <c r="A708" s="1108" t="s">
        <v>55904</v>
      </c>
      <c r="B708" s="912" t="s">
        <v>55903</v>
      </c>
      <c r="C708" s="1109">
        <v>3525</v>
      </c>
    </row>
    <row r="709" spans="1:3" ht="29">
      <c r="A709" s="1108" t="s">
        <v>55902</v>
      </c>
      <c r="B709" s="912" t="s">
        <v>55901</v>
      </c>
      <c r="C709" s="1109">
        <v>4625</v>
      </c>
    </row>
    <row r="710" spans="1:3" ht="29">
      <c r="A710" s="1108" t="s">
        <v>55900</v>
      </c>
      <c r="B710" s="912" t="s">
        <v>55899</v>
      </c>
      <c r="C710" s="1109">
        <v>2329</v>
      </c>
    </row>
    <row r="711" spans="1:3" ht="29">
      <c r="A711" s="1108" t="s">
        <v>55898</v>
      </c>
      <c r="B711" s="912" t="s">
        <v>55897</v>
      </c>
      <c r="C711" s="1109">
        <v>2495</v>
      </c>
    </row>
    <row r="712" spans="1:3" ht="29">
      <c r="A712" s="1108" t="s">
        <v>55896</v>
      </c>
      <c r="B712" s="912" t="s">
        <v>55895</v>
      </c>
      <c r="C712" s="1109">
        <v>2395</v>
      </c>
    </row>
    <row r="713" spans="1:3" ht="29">
      <c r="A713" s="1108" t="s">
        <v>55894</v>
      </c>
      <c r="B713" s="912" t="s">
        <v>55893</v>
      </c>
      <c r="C713" s="1109">
        <v>2464</v>
      </c>
    </row>
    <row r="714" spans="1:3" ht="29">
      <c r="A714" s="1108" t="s">
        <v>55892</v>
      </c>
      <c r="B714" s="912" t="s">
        <v>55891</v>
      </c>
      <c r="C714" s="1109">
        <v>3350</v>
      </c>
    </row>
    <row r="715" spans="1:3" ht="43.5">
      <c r="A715" s="1108" t="s">
        <v>55890</v>
      </c>
      <c r="B715" s="912" t="s">
        <v>55889</v>
      </c>
      <c r="C715" s="1109">
        <v>3523</v>
      </c>
    </row>
    <row r="716" spans="1:3" ht="43.5">
      <c r="A716" s="1108" t="s">
        <v>55888</v>
      </c>
      <c r="B716" s="912" t="s">
        <v>55887</v>
      </c>
      <c r="C716" s="1109">
        <v>3681</v>
      </c>
    </row>
    <row r="717" spans="1:3" ht="29">
      <c r="A717" s="1108" t="s">
        <v>55886</v>
      </c>
      <c r="B717" s="912" t="s">
        <v>55885</v>
      </c>
      <c r="C717" s="1109">
        <v>3725</v>
      </c>
    </row>
    <row r="718" spans="1:3" ht="29">
      <c r="A718" s="1108" t="s">
        <v>55884</v>
      </c>
      <c r="B718" s="912" t="s">
        <v>55883</v>
      </c>
      <c r="C718" s="1109">
        <v>4825</v>
      </c>
    </row>
    <row r="719" spans="1:3" ht="14.25" customHeight="1">
      <c r="A719" s="1108" t="s">
        <v>55882</v>
      </c>
      <c r="B719" s="912" t="s">
        <v>55881</v>
      </c>
      <c r="C719" s="1109">
        <v>2297</v>
      </c>
    </row>
    <row r="720" spans="1:3" ht="14.25" customHeight="1">
      <c r="A720" s="1108" t="s">
        <v>55880</v>
      </c>
      <c r="B720" s="912" t="s">
        <v>55879</v>
      </c>
      <c r="C720" s="1109">
        <v>2523</v>
      </c>
    </row>
    <row r="721" spans="1:3" ht="29">
      <c r="A721" s="1108" t="s">
        <v>55878</v>
      </c>
      <c r="B721" s="912" t="s">
        <v>55877</v>
      </c>
      <c r="C721" s="1109">
        <v>2361</v>
      </c>
    </row>
    <row r="722" spans="1:3" ht="43.5">
      <c r="A722" s="1108" t="s">
        <v>55876</v>
      </c>
      <c r="B722" s="912" t="s">
        <v>55875</v>
      </c>
      <c r="C722" s="1109">
        <v>2397</v>
      </c>
    </row>
    <row r="723" spans="1:3" ht="58">
      <c r="A723" s="1108" t="s">
        <v>55874</v>
      </c>
      <c r="B723" s="912" t="s">
        <v>55873</v>
      </c>
      <c r="C723" s="1109">
        <v>3003</v>
      </c>
    </row>
    <row r="724" spans="1:3" ht="43.5">
      <c r="A724" s="1108" t="s">
        <v>55872</v>
      </c>
      <c r="B724" s="912" t="s">
        <v>55871</v>
      </c>
      <c r="C724" s="1109">
        <v>3200</v>
      </c>
    </row>
    <row r="725" spans="1:3" ht="58">
      <c r="A725" s="1108" t="s">
        <v>55870</v>
      </c>
      <c r="B725" s="912" t="s">
        <v>55869</v>
      </c>
      <c r="C725" s="1109">
        <v>3119</v>
      </c>
    </row>
    <row r="726" spans="1:3" ht="29">
      <c r="A726" s="1108" t="s">
        <v>55868</v>
      </c>
      <c r="B726" s="912" t="s">
        <v>55867</v>
      </c>
      <c r="C726" s="1109">
        <v>4000</v>
      </c>
    </row>
    <row r="727" spans="1:3" ht="43.5">
      <c r="A727" s="1108" t="s">
        <v>55866</v>
      </c>
      <c r="B727" s="912" t="s">
        <v>55865</v>
      </c>
      <c r="C727" s="1109">
        <v>5573</v>
      </c>
    </row>
    <row r="728" spans="1:3" ht="43.5">
      <c r="A728" s="1108" t="s">
        <v>55864</v>
      </c>
      <c r="B728" s="912" t="s">
        <v>55863</v>
      </c>
      <c r="C728" s="1109">
        <v>5616</v>
      </c>
    </row>
    <row r="729" spans="1:3">
      <c r="A729" s="1108" t="s">
        <v>55862</v>
      </c>
      <c r="B729" s="912" t="s">
        <v>55861</v>
      </c>
      <c r="C729" s="1109">
        <v>490</v>
      </c>
    </row>
    <row r="730" spans="1:3" ht="29">
      <c r="A730" s="1108" t="s">
        <v>55860</v>
      </c>
      <c r="B730" s="912" t="s">
        <v>55859</v>
      </c>
      <c r="C730" s="1109">
        <v>700</v>
      </c>
    </row>
    <row r="731" spans="1:3" ht="29">
      <c r="A731" s="1108" t="s">
        <v>55858</v>
      </c>
      <c r="B731" s="912" t="s">
        <v>55857</v>
      </c>
      <c r="C731" s="1109">
        <v>770</v>
      </c>
    </row>
    <row r="732" spans="1:3" ht="29">
      <c r="A732" s="1108" t="s">
        <v>55856</v>
      </c>
      <c r="B732" s="912" t="s">
        <v>55855</v>
      </c>
      <c r="C732" s="1109">
        <v>998</v>
      </c>
    </row>
    <row r="733" spans="1:3">
      <c r="A733" s="1108" t="s">
        <v>55854</v>
      </c>
      <c r="B733" s="912" t="s">
        <v>55853</v>
      </c>
      <c r="C733" s="1109">
        <v>385</v>
      </c>
    </row>
    <row r="734" spans="1:3" ht="29">
      <c r="A734" s="1108" t="s">
        <v>55852</v>
      </c>
      <c r="B734" s="912" t="s">
        <v>55851</v>
      </c>
      <c r="C734" s="1109">
        <v>990</v>
      </c>
    </row>
    <row r="735" spans="1:3">
      <c r="A735" s="1108" t="s">
        <v>55850</v>
      </c>
      <c r="B735" s="912" t="s">
        <v>55830</v>
      </c>
      <c r="C735" s="1109">
        <v>1105</v>
      </c>
    </row>
    <row r="736" spans="1:3" ht="58">
      <c r="A736" s="1108" t="s">
        <v>55849</v>
      </c>
      <c r="B736" s="912" t="s">
        <v>55848</v>
      </c>
      <c r="C736" s="1109">
        <v>3300</v>
      </c>
    </row>
    <row r="737" spans="1:3" ht="58">
      <c r="A737" s="1108" t="s">
        <v>55847</v>
      </c>
      <c r="B737" s="912" t="s">
        <v>55846</v>
      </c>
      <c r="C737" s="1109">
        <v>3304</v>
      </c>
    </row>
    <row r="738" spans="1:3" ht="72.5">
      <c r="A738" s="1108" t="s">
        <v>55845</v>
      </c>
      <c r="B738" s="912" t="s">
        <v>55844</v>
      </c>
      <c r="C738" s="1109">
        <v>3420</v>
      </c>
    </row>
    <row r="739" spans="1:3" ht="58">
      <c r="A739" s="1108" t="s">
        <v>55843</v>
      </c>
      <c r="B739" s="912" t="s">
        <v>55842</v>
      </c>
      <c r="C739" s="1109">
        <v>3450</v>
      </c>
    </row>
    <row r="740" spans="1:3" ht="43.5">
      <c r="A740" s="1108" t="s">
        <v>55841</v>
      </c>
      <c r="B740" s="912" t="s">
        <v>55840</v>
      </c>
      <c r="C740" s="1109">
        <v>6086</v>
      </c>
    </row>
    <row r="741" spans="1:3" ht="43.5">
      <c r="A741" s="1108" t="s">
        <v>55839</v>
      </c>
      <c r="B741" s="912" t="s">
        <v>55838</v>
      </c>
      <c r="C741" s="1109">
        <v>6116</v>
      </c>
    </row>
    <row r="742" spans="1:3" ht="29">
      <c r="A742" s="1108" t="s">
        <v>55837</v>
      </c>
      <c r="B742" s="912" t="s">
        <v>55836</v>
      </c>
      <c r="C742" s="1109">
        <v>770</v>
      </c>
    </row>
    <row r="743" spans="1:3">
      <c r="A743" s="1108" t="s">
        <v>55835</v>
      </c>
      <c r="B743" s="912" t="s">
        <v>55834</v>
      </c>
      <c r="C743" s="1109">
        <v>385</v>
      </c>
    </row>
    <row r="744" spans="1:3" ht="29">
      <c r="A744" s="1108" t="s">
        <v>55833</v>
      </c>
      <c r="B744" s="912" t="s">
        <v>55832</v>
      </c>
      <c r="C744" s="1109">
        <v>990</v>
      </c>
    </row>
    <row r="745" spans="1:3">
      <c r="A745" s="1108" t="s">
        <v>55831</v>
      </c>
      <c r="B745" s="912" t="s">
        <v>55830</v>
      </c>
      <c r="C745" s="1109">
        <v>1105</v>
      </c>
    </row>
    <row r="746" spans="1:3" ht="43.5">
      <c r="A746" s="1108" t="s">
        <v>55829</v>
      </c>
      <c r="B746" s="912" t="s">
        <v>55828</v>
      </c>
      <c r="C746" s="1109">
        <v>3550</v>
      </c>
    </row>
    <row r="747" spans="1:3" ht="29">
      <c r="A747" s="1108" t="s">
        <v>55827</v>
      </c>
      <c r="B747" s="912" t="s">
        <v>55826</v>
      </c>
      <c r="C747" s="1109">
        <v>3400</v>
      </c>
    </row>
    <row r="748" spans="1:3" ht="43.5">
      <c r="A748" s="1108" t="s">
        <v>55825</v>
      </c>
      <c r="B748" s="912" t="s">
        <v>55824</v>
      </c>
      <c r="C748" s="1109">
        <v>950</v>
      </c>
    </row>
    <row r="749" spans="1:3" ht="29">
      <c r="A749" s="1108" t="s">
        <v>55823</v>
      </c>
      <c r="B749" s="912" t="s">
        <v>55822</v>
      </c>
      <c r="C749" s="1109">
        <v>950</v>
      </c>
    </row>
    <row r="750" spans="1:3" ht="43.5">
      <c r="A750" s="1108" t="s">
        <v>55821</v>
      </c>
      <c r="B750" s="912" t="s">
        <v>55820</v>
      </c>
      <c r="C750" s="1109">
        <v>1000</v>
      </c>
    </row>
    <row r="751" spans="1:3" ht="43.5">
      <c r="A751" s="1108" t="s">
        <v>55819</v>
      </c>
      <c r="B751" s="912" t="s">
        <v>55818</v>
      </c>
      <c r="C751" s="1109">
        <v>356</v>
      </c>
    </row>
    <row r="752" spans="1:3" ht="29">
      <c r="A752" s="1108" t="s">
        <v>55734</v>
      </c>
      <c r="B752" s="912" t="s">
        <v>55817</v>
      </c>
      <c r="C752" s="1109">
        <v>594</v>
      </c>
    </row>
    <row r="753" spans="1:3">
      <c r="A753" s="1108" t="s">
        <v>55816</v>
      </c>
      <c r="B753" s="912" t="s">
        <v>55815</v>
      </c>
      <c r="C753" s="1109">
        <v>184</v>
      </c>
    </row>
    <row r="754" spans="1:3" ht="29">
      <c r="A754" s="1108" t="s">
        <v>55814</v>
      </c>
      <c r="B754" s="912" t="s">
        <v>55813</v>
      </c>
      <c r="C754" s="1109">
        <v>320</v>
      </c>
    </row>
    <row r="755" spans="1:3" ht="29">
      <c r="A755" s="1108" t="s">
        <v>55812</v>
      </c>
      <c r="B755" s="912" t="s">
        <v>55811</v>
      </c>
      <c r="C755" s="1109">
        <v>2400</v>
      </c>
    </row>
    <row r="756" spans="1:3" ht="43.5">
      <c r="A756" s="1108" t="s">
        <v>55810</v>
      </c>
      <c r="B756" s="912" t="s">
        <v>55809</v>
      </c>
      <c r="C756" s="1109">
        <v>4500</v>
      </c>
    </row>
    <row r="757" spans="1:3" ht="29">
      <c r="A757" s="1108" t="s">
        <v>55808</v>
      </c>
      <c r="B757" s="912" t="s">
        <v>55807</v>
      </c>
      <c r="C757" s="1109">
        <v>3000</v>
      </c>
    </row>
    <row r="758" spans="1:3" ht="29">
      <c r="A758" s="1108" t="s">
        <v>55806</v>
      </c>
      <c r="B758" s="912" t="s">
        <v>55805</v>
      </c>
      <c r="C758" s="1109">
        <v>2688</v>
      </c>
    </row>
    <row r="759" spans="1:3">
      <c r="A759" s="1108" t="s">
        <v>55804</v>
      </c>
      <c r="B759" s="912" t="s">
        <v>55803</v>
      </c>
      <c r="C759" s="1109">
        <v>319</v>
      </c>
    </row>
    <row r="760" spans="1:3" ht="29">
      <c r="A760" s="1108" t="s">
        <v>55802</v>
      </c>
      <c r="B760" s="912" t="s">
        <v>55801</v>
      </c>
      <c r="C760" s="1109">
        <v>300</v>
      </c>
    </row>
    <row r="761" spans="1:3">
      <c r="A761" s="1108" t="s">
        <v>55800</v>
      </c>
      <c r="B761" s="912" t="s">
        <v>55799</v>
      </c>
      <c r="C761" s="1109">
        <v>386</v>
      </c>
    </row>
    <row r="762" spans="1:3" ht="29">
      <c r="A762" s="1108" t="s">
        <v>55798</v>
      </c>
      <c r="B762" s="912" t="s">
        <v>55797</v>
      </c>
      <c r="C762" s="1109">
        <v>62</v>
      </c>
    </row>
    <row r="763" spans="1:3" ht="43.5">
      <c r="A763" s="1108" t="s">
        <v>55796</v>
      </c>
      <c r="B763" s="912" t="s">
        <v>55795</v>
      </c>
      <c r="C763" s="1109">
        <v>140</v>
      </c>
    </row>
    <row r="764" spans="1:3" ht="43.5">
      <c r="A764" s="1108" t="s">
        <v>55794</v>
      </c>
      <c r="B764" s="912" t="s">
        <v>55793</v>
      </c>
      <c r="C764" s="1109">
        <v>767</v>
      </c>
    </row>
    <row r="765" spans="1:3">
      <c r="A765" s="1108" t="s">
        <v>55792</v>
      </c>
      <c r="B765" s="912" t="s">
        <v>55791</v>
      </c>
      <c r="C765" s="1109">
        <v>282</v>
      </c>
    </row>
    <row r="766" spans="1:3" ht="29">
      <c r="A766" s="1108" t="s">
        <v>55790</v>
      </c>
      <c r="B766" s="912" t="s">
        <v>55789</v>
      </c>
      <c r="C766" s="1109">
        <v>551</v>
      </c>
    </row>
    <row r="767" spans="1:3" ht="43.5">
      <c r="A767" s="1108" t="s">
        <v>55788</v>
      </c>
      <c r="B767" s="912" t="s">
        <v>55787</v>
      </c>
      <c r="C767" s="1109">
        <v>551</v>
      </c>
    </row>
    <row r="768" spans="1:3" ht="29">
      <c r="A768" s="1108" t="s">
        <v>55786</v>
      </c>
      <c r="B768" s="912" t="s">
        <v>55785</v>
      </c>
      <c r="C768" s="1109">
        <v>853</v>
      </c>
    </row>
    <row r="769" spans="1:3" ht="58">
      <c r="A769" s="1108" t="s">
        <v>55784</v>
      </c>
      <c r="B769" s="912" t="s">
        <v>55783</v>
      </c>
      <c r="C769" s="1109">
        <v>1102</v>
      </c>
    </row>
    <row r="770" spans="1:3" ht="43.5">
      <c r="A770" s="1108" t="s">
        <v>55782</v>
      </c>
      <c r="B770" s="912" t="s">
        <v>55781</v>
      </c>
      <c r="C770" s="1109">
        <v>1321</v>
      </c>
    </row>
    <row r="771" spans="1:3" ht="29">
      <c r="A771" s="1108" t="s">
        <v>55780</v>
      </c>
      <c r="B771" s="912" t="s">
        <v>55779</v>
      </c>
      <c r="C771" s="1109">
        <v>787</v>
      </c>
    </row>
    <row r="772" spans="1:3" ht="29">
      <c r="A772" s="1108" t="s">
        <v>55778</v>
      </c>
      <c r="B772" s="912" t="s">
        <v>55777</v>
      </c>
      <c r="C772" s="1109">
        <v>184</v>
      </c>
    </row>
    <row r="773" spans="1:3">
      <c r="A773" s="1108" t="s">
        <v>55776</v>
      </c>
      <c r="B773" s="912" t="s">
        <v>55775</v>
      </c>
      <c r="C773" s="1109">
        <v>520</v>
      </c>
    </row>
    <row r="774" spans="1:3" ht="43.5">
      <c r="A774" s="1108" t="s">
        <v>55774</v>
      </c>
      <c r="B774" s="912" t="s">
        <v>55773</v>
      </c>
      <c r="C774" s="1109">
        <v>1113</v>
      </c>
    </row>
    <row r="775" spans="1:3" ht="29">
      <c r="A775" s="1108" t="s">
        <v>55772</v>
      </c>
      <c r="B775" s="912" t="s">
        <v>55771</v>
      </c>
      <c r="C775" s="1109">
        <v>370</v>
      </c>
    </row>
    <row r="776" spans="1:3" ht="29">
      <c r="A776" s="1108" t="s">
        <v>55770</v>
      </c>
      <c r="B776" s="912" t="s">
        <v>55769</v>
      </c>
      <c r="C776" s="1109">
        <v>792</v>
      </c>
    </row>
    <row r="777" spans="1:3" ht="29">
      <c r="A777" s="1108" t="s">
        <v>55768</v>
      </c>
      <c r="B777" s="912" t="s">
        <v>55767</v>
      </c>
      <c r="C777" s="1109">
        <v>310</v>
      </c>
    </row>
    <row r="778" spans="1:3" ht="43.5">
      <c r="A778" s="1108" t="s">
        <v>55766</v>
      </c>
      <c r="B778" s="912" t="s">
        <v>55765</v>
      </c>
      <c r="C778" s="1109">
        <v>356</v>
      </c>
    </row>
    <row r="779" spans="1:3" ht="29">
      <c r="A779" s="1108" t="s">
        <v>55764</v>
      </c>
      <c r="B779" s="912" t="s">
        <v>55763</v>
      </c>
      <c r="C779" s="1109">
        <v>3500</v>
      </c>
    </row>
    <row r="780" spans="1:3" ht="29">
      <c r="A780" s="1108" t="s">
        <v>55762</v>
      </c>
      <c r="B780" s="912" t="s">
        <v>55761</v>
      </c>
      <c r="C780" s="1109">
        <v>3374</v>
      </c>
    </row>
    <row r="781" spans="1:3" ht="58">
      <c r="A781" s="1108" t="s">
        <v>55760</v>
      </c>
      <c r="B781" s="912" t="s">
        <v>55759</v>
      </c>
      <c r="C781" s="1109">
        <v>4000</v>
      </c>
    </row>
    <row r="782" spans="1:3" ht="58">
      <c r="A782" s="1108" t="s">
        <v>55758</v>
      </c>
      <c r="B782" s="912" t="s">
        <v>55757</v>
      </c>
      <c r="C782" s="1109">
        <v>4500</v>
      </c>
    </row>
    <row r="783" spans="1:3">
      <c r="A783" s="1108" t="s">
        <v>55756</v>
      </c>
      <c r="B783" s="912" t="s">
        <v>55755</v>
      </c>
      <c r="C783" s="1109">
        <v>825</v>
      </c>
    </row>
    <row r="784" spans="1:3" ht="43.5">
      <c r="A784" s="1108" t="s">
        <v>55754</v>
      </c>
      <c r="B784" s="912" t="s">
        <v>55753</v>
      </c>
      <c r="C784" s="1109">
        <v>3374</v>
      </c>
    </row>
    <row r="785" spans="1:3" ht="29">
      <c r="A785" s="1108" t="s">
        <v>55752</v>
      </c>
      <c r="B785" s="912" t="s">
        <v>55751</v>
      </c>
      <c r="C785" s="1109">
        <v>319</v>
      </c>
    </row>
    <row r="786" spans="1:3" ht="29">
      <c r="A786" s="1108" t="s">
        <v>55750</v>
      </c>
      <c r="B786" s="912" t="s">
        <v>55749</v>
      </c>
      <c r="C786" s="1109">
        <v>796</v>
      </c>
    </row>
    <row r="787" spans="1:3" ht="29">
      <c r="A787" s="1108" t="s">
        <v>55748</v>
      </c>
      <c r="B787" s="912" t="s">
        <v>55747</v>
      </c>
      <c r="C787" s="1109">
        <v>809</v>
      </c>
    </row>
    <row r="788" spans="1:3" ht="29">
      <c r="A788" s="1108" t="s">
        <v>55746</v>
      </c>
      <c r="B788" s="912" t="s">
        <v>55745</v>
      </c>
      <c r="C788" s="1109">
        <v>453</v>
      </c>
    </row>
    <row r="789" spans="1:3" ht="29">
      <c r="A789" s="1108" t="s">
        <v>55744</v>
      </c>
      <c r="B789" s="912" t="s">
        <v>55743</v>
      </c>
      <c r="C789" s="1109">
        <v>661</v>
      </c>
    </row>
    <row r="790" spans="1:3" ht="29">
      <c r="A790" s="1108" t="s">
        <v>55742</v>
      </c>
      <c r="B790" s="912" t="s">
        <v>55741</v>
      </c>
      <c r="C790" s="1109">
        <v>1212</v>
      </c>
    </row>
    <row r="791" spans="1:3" ht="29">
      <c r="A791" s="1108" t="s">
        <v>55740</v>
      </c>
      <c r="B791" s="912" t="s">
        <v>55739</v>
      </c>
      <c r="C791" s="1109">
        <v>858</v>
      </c>
    </row>
    <row r="792" spans="1:3" ht="29">
      <c r="A792" s="1108" t="s">
        <v>55738</v>
      </c>
      <c r="B792" s="912" t="s">
        <v>55737</v>
      </c>
      <c r="C792" s="1109">
        <v>714</v>
      </c>
    </row>
    <row r="793" spans="1:3" ht="29">
      <c r="A793" s="1108" t="s">
        <v>55736</v>
      </c>
      <c r="B793" s="912" t="s">
        <v>55735</v>
      </c>
      <c r="C793" s="1109">
        <v>796</v>
      </c>
    </row>
    <row r="794" spans="1:3" ht="29">
      <c r="A794" s="1108" t="s">
        <v>55734</v>
      </c>
      <c r="B794" s="912" t="s">
        <v>55733</v>
      </c>
      <c r="C794" s="1109">
        <v>594</v>
      </c>
    </row>
    <row r="795" spans="1:3" ht="29">
      <c r="A795" s="1108" t="s">
        <v>55732</v>
      </c>
      <c r="B795" s="912" t="s">
        <v>55731</v>
      </c>
      <c r="C795" s="1109">
        <v>5775</v>
      </c>
    </row>
    <row r="796" spans="1:3">
      <c r="A796" s="1108" t="s">
        <v>55730</v>
      </c>
      <c r="B796" s="912" t="s">
        <v>55729</v>
      </c>
      <c r="C796" s="1109">
        <v>809</v>
      </c>
    </row>
    <row r="797" spans="1:3" ht="29">
      <c r="A797" s="1108" t="s">
        <v>55728</v>
      </c>
      <c r="B797" s="912" t="s">
        <v>55727</v>
      </c>
      <c r="C797" s="1109">
        <v>624</v>
      </c>
    </row>
    <row r="798" spans="1:3" ht="29">
      <c r="A798" s="1108" t="s">
        <v>55726</v>
      </c>
      <c r="B798" s="912" t="s">
        <v>55725</v>
      </c>
      <c r="C798" s="1109">
        <v>824</v>
      </c>
    </row>
    <row r="799" spans="1:3" ht="43.5">
      <c r="A799" s="1108" t="s">
        <v>55724</v>
      </c>
      <c r="B799" s="912" t="s">
        <v>55723</v>
      </c>
      <c r="C799" s="1109">
        <v>1042</v>
      </c>
    </row>
    <row r="800" spans="1:3" ht="43.5">
      <c r="A800" s="1108" t="s">
        <v>55722</v>
      </c>
      <c r="B800" s="912" t="s">
        <v>55721</v>
      </c>
      <c r="C800" s="1109">
        <v>1164</v>
      </c>
    </row>
    <row r="801" spans="1:3" ht="43.5">
      <c r="A801" s="1108" t="s">
        <v>55720</v>
      </c>
      <c r="B801" s="912" t="s">
        <v>55719</v>
      </c>
      <c r="C801" s="1109">
        <v>1560</v>
      </c>
    </row>
    <row r="802" spans="1:3" ht="43.5">
      <c r="A802" s="1108" t="s">
        <v>55718</v>
      </c>
      <c r="B802" s="912" t="s">
        <v>55717</v>
      </c>
      <c r="C802" s="1109">
        <v>1635</v>
      </c>
    </row>
    <row r="803" spans="1:3" ht="43.5">
      <c r="A803" s="1108" t="s">
        <v>55716</v>
      </c>
      <c r="B803" s="912" t="s">
        <v>55715</v>
      </c>
      <c r="C803" s="1109">
        <v>1837</v>
      </c>
    </row>
    <row r="804" spans="1:3" ht="29">
      <c r="A804" s="1108" t="s">
        <v>55714</v>
      </c>
      <c r="B804" s="912" t="s">
        <v>55713</v>
      </c>
      <c r="C804" s="1109">
        <v>1224</v>
      </c>
    </row>
    <row r="805" spans="1:3" ht="43.5">
      <c r="A805" s="1108" t="s">
        <v>55712</v>
      </c>
      <c r="B805" s="912" t="s">
        <v>55711</v>
      </c>
      <c r="C805" s="1109">
        <v>2230</v>
      </c>
    </row>
    <row r="806" spans="1:3" ht="43.5">
      <c r="A806" s="1108" t="s">
        <v>55710</v>
      </c>
      <c r="B806" s="912" t="s">
        <v>55709</v>
      </c>
      <c r="C806" s="1109">
        <v>4400</v>
      </c>
    </row>
    <row r="807" spans="1:3" ht="43.5">
      <c r="A807" s="1108" t="s">
        <v>55708</v>
      </c>
      <c r="B807" s="912" t="s">
        <v>55707</v>
      </c>
      <c r="C807" s="1109">
        <v>2327</v>
      </c>
    </row>
    <row r="808" spans="1:3" ht="43.5">
      <c r="A808" s="1108" t="s">
        <v>55706</v>
      </c>
      <c r="B808" s="912" t="s">
        <v>55705</v>
      </c>
      <c r="C808" s="1109">
        <v>2327</v>
      </c>
    </row>
    <row r="809" spans="1:3" ht="43.5">
      <c r="A809" s="1108" t="s">
        <v>55704</v>
      </c>
      <c r="B809" s="912" t="s">
        <v>55703</v>
      </c>
      <c r="C809" s="1109">
        <v>2137</v>
      </c>
    </row>
    <row r="810" spans="1:3" ht="29">
      <c r="A810" s="1108" t="s">
        <v>55702</v>
      </c>
      <c r="B810" s="912" t="s">
        <v>55701</v>
      </c>
      <c r="C810" s="1109">
        <v>3061</v>
      </c>
    </row>
    <row r="811" spans="1:3" ht="29">
      <c r="A811" s="1108" t="s">
        <v>55700</v>
      </c>
      <c r="B811" s="912" t="s">
        <v>55699</v>
      </c>
      <c r="C811" s="1109">
        <v>1000</v>
      </c>
    </row>
    <row r="812" spans="1:3" ht="29">
      <c r="A812" s="1108" t="s">
        <v>55698</v>
      </c>
      <c r="B812" s="912" t="s">
        <v>55697</v>
      </c>
      <c r="C812" s="1109">
        <v>1224</v>
      </c>
    </row>
    <row r="813" spans="1:3" ht="29">
      <c r="A813" s="1108" t="s">
        <v>55696</v>
      </c>
      <c r="B813" s="912" t="s">
        <v>55695</v>
      </c>
      <c r="C813" s="1109">
        <v>1470</v>
      </c>
    </row>
    <row r="814" spans="1:3">
      <c r="A814" s="1108" t="s">
        <v>55694</v>
      </c>
      <c r="B814" s="912" t="s">
        <v>55693</v>
      </c>
      <c r="C814" s="1109">
        <v>1178</v>
      </c>
    </row>
    <row r="815" spans="1:3">
      <c r="A815" s="1108" t="s">
        <v>55692</v>
      </c>
      <c r="B815" s="912" t="s">
        <v>55691</v>
      </c>
      <c r="C815" s="1109">
        <v>1178</v>
      </c>
    </row>
    <row r="816" spans="1:3" ht="29">
      <c r="A816" s="1108" t="s">
        <v>55690</v>
      </c>
      <c r="B816" s="912" t="s">
        <v>55689</v>
      </c>
      <c r="C816" s="1109">
        <v>1102</v>
      </c>
    </row>
    <row r="817" spans="1:3">
      <c r="A817" s="1108" t="s">
        <v>55688</v>
      </c>
      <c r="B817" s="912" t="s">
        <v>55687</v>
      </c>
      <c r="C817" s="1109">
        <v>1715</v>
      </c>
    </row>
    <row r="818" spans="1:3">
      <c r="A818" s="1108" t="s">
        <v>55686</v>
      </c>
      <c r="B818" s="912" t="s">
        <v>55685</v>
      </c>
      <c r="C818" s="1109">
        <v>1715</v>
      </c>
    </row>
    <row r="819" spans="1:3" ht="29">
      <c r="A819" s="1108" t="s">
        <v>55684</v>
      </c>
      <c r="B819" s="912" t="s">
        <v>55683</v>
      </c>
      <c r="C819" s="1109">
        <v>2143</v>
      </c>
    </row>
    <row r="820" spans="1:3" ht="29">
      <c r="A820" s="1108" t="s">
        <v>55682</v>
      </c>
      <c r="B820" s="912" t="s">
        <v>55681</v>
      </c>
      <c r="C820" s="1109">
        <v>1791</v>
      </c>
    </row>
    <row r="821" spans="1:3">
      <c r="A821" s="1108" t="s">
        <v>55680</v>
      </c>
      <c r="B821" s="912" t="s">
        <v>55679</v>
      </c>
      <c r="C821" s="1109">
        <v>1271</v>
      </c>
    </row>
    <row r="822" spans="1:3" ht="29">
      <c r="A822" s="1108" t="s">
        <v>55678</v>
      </c>
      <c r="B822" s="912" t="s">
        <v>55677</v>
      </c>
      <c r="C822" s="1109">
        <v>1837</v>
      </c>
    </row>
    <row r="823" spans="1:3" ht="29">
      <c r="A823" s="1108" t="s">
        <v>55676</v>
      </c>
      <c r="B823" s="912" t="s">
        <v>55675</v>
      </c>
      <c r="C823" s="1109">
        <v>1837</v>
      </c>
    </row>
    <row r="824" spans="1:3">
      <c r="A824" s="1108" t="s">
        <v>55674</v>
      </c>
      <c r="B824" s="912" t="s">
        <v>55673</v>
      </c>
      <c r="C824" s="1109">
        <v>1592</v>
      </c>
    </row>
    <row r="825" spans="1:3" ht="29">
      <c r="A825" s="1108" t="s">
        <v>55672</v>
      </c>
      <c r="B825" s="912" t="s">
        <v>55671</v>
      </c>
      <c r="C825" s="1109">
        <v>2306</v>
      </c>
    </row>
    <row r="826" spans="1:3">
      <c r="A826" s="1108" t="s">
        <v>55670</v>
      </c>
      <c r="B826" s="912" t="s">
        <v>55669</v>
      </c>
      <c r="C826" s="1109">
        <v>2082</v>
      </c>
    </row>
    <row r="827" spans="1:3" ht="29">
      <c r="A827" s="1108" t="s">
        <v>55668</v>
      </c>
      <c r="B827" s="912" t="s">
        <v>55667</v>
      </c>
      <c r="C827" s="1109">
        <v>1780</v>
      </c>
    </row>
    <row r="828" spans="1:3" ht="29">
      <c r="A828" s="1108" t="s">
        <v>55666</v>
      </c>
      <c r="B828" s="912" t="s">
        <v>55665</v>
      </c>
      <c r="C828" s="1109">
        <v>2082</v>
      </c>
    </row>
    <row r="829" spans="1:3">
      <c r="A829" s="1108" t="s">
        <v>55664</v>
      </c>
      <c r="B829" s="912" t="s">
        <v>55663</v>
      </c>
      <c r="C829" s="1109">
        <v>1571</v>
      </c>
    </row>
    <row r="830" spans="1:3" ht="29">
      <c r="A830" s="1108" t="s">
        <v>55662</v>
      </c>
      <c r="B830" s="912" t="s">
        <v>55661</v>
      </c>
      <c r="C830" s="1109">
        <v>1837</v>
      </c>
    </row>
    <row r="831" spans="1:3" ht="29">
      <c r="A831" s="1108" t="s">
        <v>55660</v>
      </c>
      <c r="B831" s="912" t="s">
        <v>55659</v>
      </c>
      <c r="C831" s="1109">
        <v>1837</v>
      </c>
    </row>
    <row r="832" spans="1:3">
      <c r="A832" s="1108" t="s">
        <v>55658</v>
      </c>
      <c r="B832" s="912" t="s">
        <v>55657</v>
      </c>
      <c r="C832" s="1109">
        <v>1715</v>
      </c>
    </row>
    <row r="833" spans="1:3" ht="29">
      <c r="A833" s="1108" t="s">
        <v>55656</v>
      </c>
      <c r="B833" s="912" t="s">
        <v>55655</v>
      </c>
      <c r="C833" s="1109">
        <v>1837</v>
      </c>
    </row>
    <row r="834" spans="1:3">
      <c r="A834" s="1108" t="s">
        <v>55654</v>
      </c>
      <c r="B834" s="912" t="s">
        <v>55653</v>
      </c>
      <c r="C834" s="1109">
        <v>1571</v>
      </c>
    </row>
    <row r="835" spans="1:3">
      <c r="A835" s="1108" t="s">
        <v>55652</v>
      </c>
      <c r="B835" s="912" t="s">
        <v>55651</v>
      </c>
      <c r="C835" s="1109">
        <v>1959</v>
      </c>
    </row>
    <row r="836" spans="1:3" ht="29">
      <c r="A836" s="1108" t="s">
        <v>55650</v>
      </c>
      <c r="B836" s="912" t="s">
        <v>55649</v>
      </c>
      <c r="C836" s="1109">
        <v>2860</v>
      </c>
    </row>
    <row r="837" spans="1:3">
      <c r="A837" s="1108" t="s">
        <v>55648</v>
      </c>
      <c r="B837" s="912" t="s">
        <v>55647</v>
      </c>
      <c r="C837" s="1109">
        <v>1837</v>
      </c>
    </row>
    <row r="838" spans="1:3" ht="29">
      <c r="A838" s="1108" t="s">
        <v>55646</v>
      </c>
      <c r="B838" s="912" t="s">
        <v>55645</v>
      </c>
      <c r="C838" s="1109">
        <v>1915</v>
      </c>
    </row>
    <row r="839" spans="1:3" ht="29">
      <c r="A839" s="1108" t="s">
        <v>55644</v>
      </c>
      <c r="B839" s="912" t="s">
        <v>55643</v>
      </c>
      <c r="C839" s="1109">
        <v>2070</v>
      </c>
    </row>
    <row r="840" spans="1:3" ht="29">
      <c r="A840" s="1108" t="s">
        <v>55642</v>
      </c>
      <c r="B840" s="912" t="s">
        <v>55641</v>
      </c>
      <c r="C840" s="1109">
        <v>1959</v>
      </c>
    </row>
    <row r="841" spans="1:3" ht="29">
      <c r="A841" s="1108" t="s">
        <v>55640</v>
      </c>
      <c r="B841" s="912" t="s">
        <v>55639</v>
      </c>
      <c r="C841" s="1109">
        <v>2082</v>
      </c>
    </row>
    <row r="842" spans="1:3" ht="29">
      <c r="A842" s="1108" t="s">
        <v>55638</v>
      </c>
      <c r="B842" s="912" t="s">
        <v>55637</v>
      </c>
      <c r="C842" s="1109">
        <v>2213</v>
      </c>
    </row>
    <row r="843" spans="1:3" ht="29">
      <c r="A843" s="1108" t="s">
        <v>55636</v>
      </c>
      <c r="B843" s="912" t="s">
        <v>55635</v>
      </c>
      <c r="C843" s="1109">
        <v>2285</v>
      </c>
    </row>
    <row r="844" spans="1:3">
      <c r="A844" s="1108" t="s">
        <v>55634</v>
      </c>
      <c r="B844" s="912" t="s">
        <v>55633</v>
      </c>
      <c r="C844" s="1109">
        <v>1929</v>
      </c>
    </row>
    <row r="845" spans="1:3" ht="29">
      <c r="A845" s="1108" t="s">
        <v>55632</v>
      </c>
      <c r="B845" s="912" t="s">
        <v>55631</v>
      </c>
      <c r="C845" s="1109">
        <v>2449</v>
      </c>
    </row>
    <row r="846" spans="1:3" ht="29">
      <c r="A846" s="1108" t="s">
        <v>55630</v>
      </c>
      <c r="B846" s="912" t="s">
        <v>55629</v>
      </c>
      <c r="C846" s="1109">
        <v>2632</v>
      </c>
    </row>
    <row r="847" spans="1:3" ht="29">
      <c r="A847" s="1108" t="s">
        <v>55628</v>
      </c>
      <c r="B847" s="912" t="s">
        <v>55627</v>
      </c>
      <c r="C847" s="1109">
        <v>3927</v>
      </c>
    </row>
    <row r="848" spans="1:3">
      <c r="A848" s="1108" t="s">
        <v>55626</v>
      </c>
      <c r="B848" s="912" t="s">
        <v>55625</v>
      </c>
      <c r="C848" s="1109">
        <v>1592</v>
      </c>
    </row>
    <row r="849" spans="1:3" ht="29">
      <c r="A849" s="1108" t="s">
        <v>55624</v>
      </c>
      <c r="B849" s="912" t="s">
        <v>55623</v>
      </c>
      <c r="C849" s="1109">
        <v>1929</v>
      </c>
    </row>
    <row r="850" spans="1:3" ht="29">
      <c r="A850" s="1108" t="s">
        <v>55622</v>
      </c>
      <c r="B850" s="912" t="s">
        <v>55621</v>
      </c>
      <c r="C850" s="1109">
        <v>1714</v>
      </c>
    </row>
    <row r="851" spans="1:3" ht="29">
      <c r="A851" s="1108" t="s">
        <v>55620</v>
      </c>
      <c r="B851" s="912" t="s">
        <v>55619</v>
      </c>
      <c r="C851" s="1109">
        <v>1929</v>
      </c>
    </row>
    <row r="852" spans="1:3" ht="58">
      <c r="A852" s="1108" t="s">
        <v>55618</v>
      </c>
      <c r="B852" s="912" t="s">
        <v>55617</v>
      </c>
      <c r="C852" s="1109">
        <v>2474</v>
      </c>
    </row>
    <row r="853" spans="1:3" ht="29">
      <c r="A853" s="1108" t="s">
        <v>55616</v>
      </c>
      <c r="B853" s="912" t="s">
        <v>55615</v>
      </c>
      <c r="C853" s="1109">
        <v>1653</v>
      </c>
    </row>
    <row r="854" spans="1:3" ht="29">
      <c r="A854" s="1108" t="s">
        <v>55614</v>
      </c>
      <c r="B854" s="912" t="s">
        <v>55613</v>
      </c>
      <c r="C854" s="1109">
        <v>2327</v>
      </c>
    </row>
    <row r="855" spans="1:3" ht="29">
      <c r="A855" s="1108" t="s">
        <v>55612</v>
      </c>
      <c r="B855" s="912" t="s">
        <v>55611</v>
      </c>
      <c r="C855" s="1109">
        <v>2175</v>
      </c>
    </row>
    <row r="856" spans="1:3" ht="29">
      <c r="A856" s="1108" t="s">
        <v>55599</v>
      </c>
      <c r="B856" s="912" t="s">
        <v>55610</v>
      </c>
      <c r="C856" s="1109">
        <v>2050</v>
      </c>
    </row>
    <row r="857" spans="1:3" ht="29">
      <c r="A857" s="1108" t="s">
        <v>55609</v>
      </c>
      <c r="B857" s="912" t="s">
        <v>55608</v>
      </c>
      <c r="C857" s="1109">
        <v>2510</v>
      </c>
    </row>
    <row r="858" spans="1:3">
      <c r="A858" s="1108" t="s">
        <v>55607</v>
      </c>
      <c r="B858" s="912" t="s">
        <v>55606</v>
      </c>
      <c r="C858" s="1109">
        <v>2021</v>
      </c>
    </row>
    <row r="859" spans="1:3" ht="29">
      <c r="A859" s="1108" t="s">
        <v>55605</v>
      </c>
      <c r="B859" s="912" t="s">
        <v>55604</v>
      </c>
      <c r="C859" s="1109">
        <v>2572</v>
      </c>
    </row>
    <row r="860" spans="1:3" ht="29">
      <c r="A860" s="1108" t="s">
        <v>55603</v>
      </c>
      <c r="B860" s="912" t="s">
        <v>55602</v>
      </c>
      <c r="C860" s="1109">
        <v>3696</v>
      </c>
    </row>
    <row r="861" spans="1:3" ht="43.5">
      <c r="A861" s="1108" t="s">
        <v>55601</v>
      </c>
      <c r="B861" s="912" t="s">
        <v>55600</v>
      </c>
      <c r="C861" s="1109">
        <v>3150</v>
      </c>
    </row>
    <row r="862" spans="1:3" ht="29">
      <c r="A862" s="1108" t="s">
        <v>55599</v>
      </c>
      <c r="B862" s="912" t="s">
        <v>55598</v>
      </c>
      <c r="C862" s="1109">
        <v>2075</v>
      </c>
    </row>
    <row r="863" spans="1:3" ht="29">
      <c r="A863" s="1108" t="s">
        <v>55597</v>
      </c>
      <c r="B863" s="912" t="s">
        <v>55596</v>
      </c>
      <c r="C863" s="1109">
        <v>2233</v>
      </c>
    </row>
    <row r="864" spans="1:3" ht="29">
      <c r="A864" s="1108" t="s">
        <v>55595</v>
      </c>
      <c r="B864" s="912" t="s">
        <v>55594</v>
      </c>
      <c r="C864" s="1109">
        <v>1837</v>
      </c>
    </row>
    <row r="865" spans="1:3">
      <c r="A865" s="1108" t="s">
        <v>55593</v>
      </c>
      <c r="B865" s="912" t="s">
        <v>55592</v>
      </c>
      <c r="C865" s="1109">
        <v>1571</v>
      </c>
    </row>
    <row r="866" spans="1:3">
      <c r="A866" s="1108" t="s">
        <v>55591</v>
      </c>
      <c r="B866" s="912" t="s">
        <v>55590</v>
      </c>
      <c r="C866" s="1109">
        <v>1645</v>
      </c>
    </row>
    <row r="867" spans="1:3">
      <c r="A867" s="1108" t="s">
        <v>55589</v>
      </c>
      <c r="B867" s="912" t="s">
        <v>55588</v>
      </c>
      <c r="C867" s="1109">
        <v>1959</v>
      </c>
    </row>
    <row r="868" spans="1:3">
      <c r="A868" s="1108" t="s">
        <v>55587</v>
      </c>
      <c r="B868" s="912" t="s">
        <v>55586</v>
      </c>
      <c r="C868" s="1109">
        <v>2021</v>
      </c>
    </row>
    <row r="869" spans="1:3" ht="29">
      <c r="A869" s="1108" t="s">
        <v>55585</v>
      </c>
      <c r="B869" s="912" t="s">
        <v>55584</v>
      </c>
      <c r="C869" s="1109">
        <v>2449</v>
      </c>
    </row>
    <row r="870" spans="1:3" ht="29">
      <c r="A870" s="1108" t="s">
        <v>55583</v>
      </c>
      <c r="B870" s="912" t="s">
        <v>55582</v>
      </c>
      <c r="C870" s="1109">
        <v>2572</v>
      </c>
    </row>
    <row r="871" spans="1:3">
      <c r="A871" s="1108" t="s">
        <v>55581</v>
      </c>
      <c r="B871" s="912" t="s">
        <v>55580</v>
      </c>
      <c r="C871" s="1109">
        <v>2204</v>
      </c>
    </row>
    <row r="872" spans="1:3">
      <c r="A872" s="1108" t="s">
        <v>55579</v>
      </c>
      <c r="B872" s="912" t="s">
        <v>55578</v>
      </c>
      <c r="C872" s="1109">
        <v>2356</v>
      </c>
    </row>
    <row r="873" spans="1:3" ht="29">
      <c r="A873" s="1108" t="s">
        <v>55577</v>
      </c>
      <c r="B873" s="912" t="s">
        <v>55576</v>
      </c>
      <c r="C873" s="1109">
        <v>2572</v>
      </c>
    </row>
    <row r="874" spans="1:3">
      <c r="A874" s="1108" t="s">
        <v>55575</v>
      </c>
      <c r="B874" s="912" t="s">
        <v>55574</v>
      </c>
      <c r="C874" s="1109">
        <v>2572</v>
      </c>
    </row>
    <row r="875" spans="1:3" ht="29">
      <c r="A875" s="1108" t="s">
        <v>55573</v>
      </c>
      <c r="B875" s="912" t="s">
        <v>55572</v>
      </c>
      <c r="C875" s="1109">
        <v>3000</v>
      </c>
    </row>
    <row r="876" spans="1:3" ht="29">
      <c r="A876" s="1108" t="s">
        <v>55571</v>
      </c>
      <c r="B876" s="912" t="s">
        <v>55570</v>
      </c>
      <c r="C876" s="1109">
        <v>3400</v>
      </c>
    </row>
    <row r="877" spans="1:3">
      <c r="A877" s="1108" t="s">
        <v>55569</v>
      </c>
      <c r="B877" s="912" t="s">
        <v>55568</v>
      </c>
      <c r="C877" s="1109">
        <v>3714</v>
      </c>
    </row>
    <row r="878" spans="1:3" ht="29">
      <c r="A878" s="1108" t="s">
        <v>55567</v>
      </c>
      <c r="B878" s="912" t="s">
        <v>55566</v>
      </c>
      <c r="C878" s="1109">
        <v>4285</v>
      </c>
    </row>
    <row r="879" spans="1:3" ht="29">
      <c r="A879" s="1108" t="s">
        <v>55565</v>
      </c>
      <c r="B879" s="912" t="s">
        <v>55564</v>
      </c>
      <c r="C879" s="1109">
        <v>2857</v>
      </c>
    </row>
    <row r="880" spans="1:3">
      <c r="A880" s="1108" t="s">
        <v>55563</v>
      </c>
      <c r="B880" s="912" t="s">
        <v>55562</v>
      </c>
      <c r="C880" s="1109">
        <v>3429</v>
      </c>
    </row>
    <row r="881" spans="1:3">
      <c r="A881" s="1108" t="s">
        <v>55561</v>
      </c>
      <c r="B881" s="912" t="s">
        <v>55560</v>
      </c>
      <c r="C881" s="1109">
        <v>3571</v>
      </c>
    </row>
    <row r="882" spans="1:3">
      <c r="A882" s="1108" t="s">
        <v>55559</v>
      </c>
      <c r="B882" s="912" t="s">
        <v>55558</v>
      </c>
      <c r="C882" s="1109">
        <v>2714</v>
      </c>
    </row>
    <row r="883" spans="1:3" ht="29">
      <c r="A883" s="1108" t="s">
        <v>55557</v>
      </c>
      <c r="B883" s="912" t="s">
        <v>55556</v>
      </c>
      <c r="C883" s="1109">
        <v>3714</v>
      </c>
    </row>
    <row r="884" spans="1:3">
      <c r="A884" s="1108" t="s">
        <v>55555</v>
      </c>
      <c r="B884" s="912" t="s">
        <v>55554</v>
      </c>
      <c r="C884" s="1109">
        <v>4000</v>
      </c>
    </row>
    <row r="885" spans="1:3" ht="29">
      <c r="A885" s="1108" t="s">
        <v>55553</v>
      </c>
      <c r="B885" s="912" t="s">
        <v>55552</v>
      </c>
      <c r="C885" s="1109">
        <v>4285</v>
      </c>
    </row>
    <row r="886" spans="1:3">
      <c r="A886" s="1108" t="s">
        <v>55551</v>
      </c>
      <c r="B886" s="912" t="s">
        <v>55550</v>
      </c>
      <c r="C886" s="1109">
        <v>4285</v>
      </c>
    </row>
    <row r="887" spans="1:3" ht="29">
      <c r="A887" s="1108" t="s">
        <v>55549</v>
      </c>
      <c r="B887" s="912" t="s">
        <v>55548</v>
      </c>
      <c r="C887" s="1109">
        <v>4285</v>
      </c>
    </row>
    <row r="888" spans="1:3" ht="43.5">
      <c r="A888" s="1108" t="s">
        <v>55547</v>
      </c>
      <c r="B888" s="912" t="s">
        <v>55546</v>
      </c>
      <c r="C888" s="1109">
        <v>4000</v>
      </c>
    </row>
    <row r="889" spans="1:3" ht="29">
      <c r="A889" s="1108" t="s">
        <v>55545</v>
      </c>
      <c r="B889" s="912" t="s">
        <v>55544</v>
      </c>
      <c r="C889" s="1109">
        <v>7142</v>
      </c>
    </row>
    <row r="890" spans="1:3">
      <c r="A890" s="1108" t="s">
        <v>55543</v>
      </c>
      <c r="B890" s="912" t="s">
        <v>55542</v>
      </c>
      <c r="C890" s="1109">
        <v>6428</v>
      </c>
    </row>
    <row r="891" spans="1:3" ht="29">
      <c r="A891" s="1108" t="s">
        <v>55541</v>
      </c>
      <c r="B891" s="912" t="s">
        <v>55540</v>
      </c>
      <c r="C891" s="1109">
        <v>5000</v>
      </c>
    </row>
    <row r="892" spans="1:3" ht="29">
      <c r="A892" s="1108" t="s">
        <v>55539</v>
      </c>
      <c r="B892" s="912" t="s">
        <v>55538</v>
      </c>
      <c r="C892" s="1109">
        <v>7142</v>
      </c>
    </row>
    <row r="893" spans="1:3" ht="29">
      <c r="A893" s="1108" t="s">
        <v>55537</v>
      </c>
      <c r="B893" s="912" t="s">
        <v>55536</v>
      </c>
      <c r="C893" s="1109">
        <v>5999</v>
      </c>
    </row>
    <row r="894" spans="1:3" ht="29">
      <c r="A894" s="1108" t="s">
        <v>55535</v>
      </c>
      <c r="B894" s="912" t="s">
        <v>55534</v>
      </c>
      <c r="C894" s="1109">
        <v>6428</v>
      </c>
    </row>
    <row r="895" spans="1:3" ht="29">
      <c r="A895" s="1108" t="s">
        <v>55533</v>
      </c>
      <c r="B895" s="912" t="s">
        <v>55532</v>
      </c>
      <c r="C895" s="1109">
        <v>6928</v>
      </c>
    </row>
    <row r="896" spans="1:3" ht="29">
      <c r="A896" s="1108" t="s">
        <v>55531</v>
      </c>
      <c r="B896" s="912" t="s">
        <v>55530</v>
      </c>
      <c r="C896" s="1109">
        <v>6300</v>
      </c>
    </row>
    <row r="897" spans="1:3" ht="29">
      <c r="A897" s="1108" t="s">
        <v>55529</v>
      </c>
      <c r="B897" s="912" t="s">
        <v>55528</v>
      </c>
      <c r="C897" s="1109">
        <v>5713</v>
      </c>
    </row>
    <row r="898" spans="1:3" ht="29">
      <c r="A898" s="1108" t="s">
        <v>55527</v>
      </c>
      <c r="B898" s="912" t="s">
        <v>55526</v>
      </c>
      <c r="C898" s="1109">
        <v>7135</v>
      </c>
    </row>
    <row r="899" spans="1:3" ht="29">
      <c r="A899" s="1108" t="s">
        <v>55525</v>
      </c>
      <c r="B899" s="912" t="s">
        <v>55524</v>
      </c>
      <c r="C899" s="1109">
        <v>2572</v>
      </c>
    </row>
    <row r="900" spans="1:3" ht="43.5">
      <c r="A900" s="1108" t="s">
        <v>55523</v>
      </c>
      <c r="B900" s="912" t="s">
        <v>55522</v>
      </c>
      <c r="C900" s="1109">
        <v>7854</v>
      </c>
    </row>
    <row r="901" spans="1:3" ht="58">
      <c r="A901" s="1108" t="s">
        <v>55521</v>
      </c>
      <c r="B901" s="912" t="s">
        <v>55520</v>
      </c>
      <c r="C901" s="1109">
        <v>9900</v>
      </c>
    </row>
    <row r="902" spans="1:3" ht="72.5">
      <c r="A902" s="1108" t="s">
        <v>55519</v>
      </c>
      <c r="B902" s="912" t="s">
        <v>55518</v>
      </c>
      <c r="C902" s="1109">
        <v>7854</v>
      </c>
    </row>
    <row r="903" spans="1:3" ht="29">
      <c r="A903" s="1108" t="s">
        <v>55517</v>
      </c>
      <c r="B903" s="912" t="s">
        <v>55516</v>
      </c>
      <c r="C903" s="1109">
        <v>250</v>
      </c>
    </row>
    <row r="904" spans="1:3" ht="58">
      <c r="A904" s="1108" t="s">
        <v>55515</v>
      </c>
      <c r="B904" s="912" t="s">
        <v>55514</v>
      </c>
      <c r="C904" s="1109">
        <v>2500</v>
      </c>
    </row>
    <row r="905" spans="1:3" ht="43.5">
      <c r="A905" s="1108" t="s">
        <v>55513</v>
      </c>
      <c r="B905" s="912" t="s">
        <v>55512</v>
      </c>
      <c r="C905" s="1109">
        <v>3400</v>
      </c>
    </row>
    <row r="906" spans="1:3" ht="43.5">
      <c r="A906" s="1108" t="s">
        <v>55511</v>
      </c>
      <c r="B906" s="912" t="s">
        <v>55510</v>
      </c>
      <c r="C906" s="1109">
        <v>1250</v>
      </c>
    </row>
    <row r="907" spans="1:3" ht="101.5">
      <c r="A907" s="1108" t="s">
        <v>55509</v>
      </c>
      <c r="B907" s="912" t="s">
        <v>55508</v>
      </c>
      <c r="C907" s="1109">
        <v>7150</v>
      </c>
    </row>
    <row r="908" spans="1:3" ht="58">
      <c r="A908" s="1108" t="s">
        <v>55507</v>
      </c>
      <c r="B908" s="912" t="s">
        <v>55506</v>
      </c>
      <c r="C908" s="1109">
        <v>7200</v>
      </c>
    </row>
    <row r="909" spans="1:3" ht="29">
      <c r="A909" s="1108" t="s">
        <v>55505</v>
      </c>
      <c r="B909" s="912" t="s">
        <v>55504</v>
      </c>
      <c r="C909" s="1109">
        <v>10350</v>
      </c>
    </row>
    <row r="910" spans="1:3" ht="29">
      <c r="A910" s="1108" t="s">
        <v>55503</v>
      </c>
      <c r="B910" s="912" t="s">
        <v>55502</v>
      </c>
      <c r="C910" s="1109">
        <v>5713</v>
      </c>
    </row>
    <row r="911" spans="1:3" ht="29">
      <c r="A911" s="1108" t="s">
        <v>55501</v>
      </c>
      <c r="B911" s="912" t="s">
        <v>55500</v>
      </c>
      <c r="C911" s="1109">
        <v>6428</v>
      </c>
    </row>
    <row r="912" spans="1:3" ht="29">
      <c r="A912" s="1108" t="s">
        <v>55499</v>
      </c>
      <c r="B912" s="912" t="s">
        <v>55498</v>
      </c>
      <c r="C912" s="1109">
        <v>7708</v>
      </c>
    </row>
    <row r="913" spans="1:3" ht="29">
      <c r="A913" s="1108" t="s">
        <v>55497</v>
      </c>
      <c r="B913" s="912" t="s">
        <v>55496</v>
      </c>
      <c r="C913" s="1109">
        <v>7102</v>
      </c>
    </row>
    <row r="914" spans="1:3" ht="29">
      <c r="A914" s="1108" t="s">
        <v>55495</v>
      </c>
      <c r="B914" s="912" t="s">
        <v>55494</v>
      </c>
      <c r="C914" s="1109">
        <v>6428</v>
      </c>
    </row>
    <row r="915" spans="1:3" ht="29">
      <c r="A915" s="1108" t="s">
        <v>55493</v>
      </c>
      <c r="B915" s="912" t="s">
        <v>55492</v>
      </c>
      <c r="C915" s="1109">
        <v>7142</v>
      </c>
    </row>
    <row r="916" spans="1:3" ht="29">
      <c r="A916" s="1108" t="s">
        <v>55491</v>
      </c>
      <c r="B916" s="912" t="s">
        <v>55490</v>
      </c>
      <c r="C916" s="1109">
        <v>7999</v>
      </c>
    </row>
    <row r="917" spans="1:3" ht="29">
      <c r="A917" s="1108" t="s">
        <v>55489</v>
      </c>
      <c r="B917" s="912" t="s">
        <v>55488</v>
      </c>
      <c r="C917" s="1109">
        <v>8791</v>
      </c>
    </row>
    <row r="918" spans="1:3" ht="29">
      <c r="A918" s="1108" t="s">
        <v>55487</v>
      </c>
      <c r="B918" s="912" t="s">
        <v>55486</v>
      </c>
      <c r="C918" s="1109">
        <v>9183</v>
      </c>
    </row>
    <row r="919" spans="1:3" ht="29">
      <c r="A919" s="1108" t="s">
        <v>55485</v>
      </c>
      <c r="B919" s="912" t="s">
        <v>55484</v>
      </c>
      <c r="C919" s="1109">
        <v>9794</v>
      </c>
    </row>
    <row r="920" spans="1:3" ht="29">
      <c r="A920" s="1108" t="s">
        <v>55483</v>
      </c>
      <c r="B920" s="912" t="s">
        <v>55482</v>
      </c>
      <c r="C920" s="1109">
        <v>8213</v>
      </c>
    </row>
    <row r="921" spans="1:3" ht="29">
      <c r="A921" s="1108" t="s">
        <v>55481</v>
      </c>
      <c r="B921" s="912" t="s">
        <v>55480</v>
      </c>
      <c r="C921" s="1109">
        <v>7346</v>
      </c>
    </row>
    <row r="922" spans="1:3" ht="29">
      <c r="A922" s="1108" t="s">
        <v>55479</v>
      </c>
      <c r="B922" s="912" t="s">
        <v>55478</v>
      </c>
      <c r="C922" s="1109">
        <v>7591</v>
      </c>
    </row>
    <row r="923" spans="1:3" ht="29">
      <c r="A923" s="1108" t="s">
        <v>55477</v>
      </c>
      <c r="B923" s="912" t="s">
        <v>55476</v>
      </c>
      <c r="C923" s="1109">
        <v>7959</v>
      </c>
    </row>
    <row r="924" spans="1:3" ht="43.5">
      <c r="A924" s="1108" t="s">
        <v>55475</v>
      </c>
      <c r="B924" s="912" t="s">
        <v>55474</v>
      </c>
      <c r="C924" s="1109">
        <v>7959</v>
      </c>
    </row>
    <row r="925" spans="1:3" ht="43.5">
      <c r="A925" s="1108" t="s">
        <v>55473</v>
      </c>
      <c r="B925" s="912" t="s">
        <v>55472</v>
      </c>
      <c r="C925" s="1109">
        <v>7856</v>
      </c>
    </row>
    <row r="926" spans="1:3" ht="29">
      <c r="A926" s="1108" t="s">
        <v>55471</v>
      </c>
      <c r="B926" s="912" t="s">
        <v>55470</v>
      </c>
      <c r="C926" s="1109">
        <v>8570</v>
      </c>
    </row>
    <row r="927" spans="1:3" ht="29">
      <c r="A927" s="1108" t="s">
        <v>55469</v>
      </c>
      <c r="B927" s="912" t="s">
        <v>55468</v>
      </c>
      <c r="C927" s="1109">
        <v>10407</v>
      </c>
    </row>
    <row r="928" spans="1:3" ht="43.5">
      <c r="A928" s="1108" t="s">
        <v>55467</v>
      </c>
      <c r="B928" s="912" t="s">
        <v>55466</v>
      </c>
      <c r="C928" s="1109">
        <v>3918</v>
      </c>
    </row>
    <row r="929" spans="1:3" ht="43.5">
      <c r="A929" s="1108" t="s">
        <v>55465</v>
      </c>
      <c r="B929" s="912" t="s">
        <v>55464</v>
      </c>
      <c r="C929" s="1109">
        <v>9240</v>
      </c>
    </row>
    <row r="930" spans="1:3" ht="29">
      <c r="A930" s="1108" t="s">
        <v>55463</v>
      </c>
      <c r="B930" s="912" t="s">
        <v>55462</v>
      </c>
      <c r="C930" s="1109">
        <v>6353</v>
      </c>
    </row>
    <row r="931" spans="1:3" ht="43.5">
      <c r="A931" s="1108" t="s">
        <v>55461</v>
      </c>
      <c r="B931" s="912" t="s">
        <v>55460</v>
      </c>
      <c r="C931" s="1109">
        <v>9009</v>
      </c>
    </row>
    <row r="932" spans="1:3" ht="29">
      <c r="A932" s="1108" t="s">
        <v>55459</v>
      </c>
      <c r="B932" s="912" t="s">
        <v>55458</v>
      </c>
      <c r="C932" s="1109">
        <v>10120</v>
      </c>
    </row>
    <row r="933" spans="1:3" ht="29">
      <c r="A933" s="1108" t="s">
        <v>55457</v>
      </c>
      <c r="B933" s="912" t="s">
        <v>55456</v>
      </c>
      <c r="C933" s="1109">
        <v>4285</v>
      </c>
    </row>
    <row r="934" spans="1:3" ht="43.5">
      <c r="A934" s="1108" t="s">
        <v>55455</v>
      </c>
      <c r="B934" s="912" t="s">
        <v>55454</v>
      </c>
      <c r="C934" s="1109">
        <v>7150</v>
      </c>
    </row>
    <row r="935" spans="1:3" ht="29">
      <c r="A935" s="1108" t="s">
        <v>55453</v>
      </c>
      <c r="B935" s="912" t="s">
        <v>55452</v>
      </c>
      <c r="C935" s="1109">
        <v>7150</v>
      </c>
    </row>
    <row r="936" spans="1:3">
      <c r="A936" s="1108" t="s">
        <v>55451</v>
      </c>
      <c r="B936" s="912" t="s">
        <v>55450</v>
      </c>
      <c r="C936" s="1109">
        <v>6000</v>
      </c>
    </row>
    <row r="937" spans="1:3" ht="43.5">
      <c r="A937" s="1108" t="s">
        <v>55449</v>
      </c>
      <c r="B937" s="912" t="s">
        <v>55448</v>
      </c>
      <c r="C937" s="1109">
        <v>10407</v>
      </c>
    </row>
    <row r="938" spans="1:3" ht="58">
      <c r="A938" s="1108" t="s">
        <v>55447</v>
      </c>
      <c r="B938" s="912" t="s">
        <v>55446</v>
      </c>
      <c r="C938" s="1109">
        <v>3571</v>
      </c>
    </row>
    <row r="939" spans="1:3" ht="43.5">
      <c r="A939" s="1108" t="s">
        <v>55445</v>
      </c>
      <c r="B939" s="912" t="s">
        <v>55444</v>
      </c>
      <c r="C939" s="1109">
        <v>9000</v>
      </c>
    </row>
    <row r="940" spans="1:3" ht="29">
      <c r="A940" s="1108" t="s">
        <v>55443</v>
      </c>
      <c r="B940" s="912" t="s">
        <v>55442</v>
      </c>
      <c r="C940" s="1109">
        <v>8570</v>
      </c>
    </row>
    <row r="941" spans="1:3" ht="29">
      <c r="A941" s="1108" t="s">
        <v>55441</v>
      </c>
      <c r="B941" s="912" t="s">
        <v>55440</v>
      </c>
      <c r="C941" s="1109">
        <v>8213</v>
      </c>
    </row>
    <row r="942" spans="1:3" ht="29">
      <c r="A942" s="1108" t="s">
        <v>55439</v>
      </c>
      <c r="B942" s="912" t="s">
        <v>55438</v>
      </c>
      <c r="C942" s="1109">
        <v>9713</v>
      </c>
    </row>
    <row r="943" spans="1:3" ht="29">
      <c r="A943" s="1108" t="s">
        <v>55437</v>
      </c>
      <c r="B943" s="912" t="s">
        <v>55436</v>
      </c>
      <c r="C943" s="1109">
        <v>10712</v>
      </c>
    </row>
    <row r="944" spans="1:3" ht="29">
      <c r="A944" s="1108" t="s">
        <v>55435</v>
      </c>
      <c r="B944" s="912" t="s">
        <v>55434</v>
      </c>
      <c r="C944" s="1109">
        <v>10285</v>
      </c>
    </row>
    <row r="945" spans="1:3" ht="29">
      <c r="A945" s="1108" t="s">
        <v>55433</v>
      </c>
      <c r="B945" s="912" t="s">
        <v>55432</v>
      </c>
      <c r="C945" s="1109">
        <v>8600</v>
      </c>
    </row>
    <row r="946" spans="1:3" ht="43.5">
      <c r="A946" s="1108" t="s">
        <v>55431</v>
      </c>
      <c r="B946" s="912" t="s">
        <v>55430</v>
      </c>
      <c r="C946" s="1109">
        <v>8700</v>
      </c>
    </row>
    <row r="947" spans="1:3" ht="29">
      <c r="A947" s="1108" t="s">
        <v>55429</v>
      </c>
      <c r="B947" s="912" t="s">
        <v>55428</v>
      </c>
      <c r="C947" s="1109">
        <v>4571</v>
      </c>
    </row>
    <row r="948" spans="1:3" ht="29">
      <c r="A948" s="1108" t="s">
        <v>55427</v>
      </c>
      <c r="B948" s="912" t="s">
        <v>55426</v>
      </c>
      <c r="C948" s="1109">
        <v>1830</v>
      </c>
    </row>
    <row r="949" spans="1:3" ht="29">
      <c r="A949" s="1108" t="s">
        <v>55425</v>
      </c>
      <c r="B949" s="912" t="s">
        <v>55424</v>
      </c>
      <c r="C949" s="1109">
        <v>3571</v>
      </c>
    </row>
    <row r="950" spans="1:3" ht="29">
      <c r="A950" s="1108" t="s">
        <v>55423</v>
      </c>
      <c r="B950" s="912" t="s">
        <v>55422</v>
      </c>
      <c r="C950" s="1109">
        <v>3571</v>
      </c>
    </row>
    <row r="951" spans="1:3" ht="29">
      <c r="A951" s="1108" t="s">
        <v>55421</v>
      </c>
      <c r="B951" s="912" t="s">
        <v>55420</v>
      </c>
      <c r="C951" s="1109">
        <v>4000</v>
      </c>
    </row>
    <row r="952" spans="1:3">
      <c r="A952" s="1108" t="s">
        <v>55419</v>
      </c>
      <c r="B952" s="912" t="s">
        <v>55418</v>
      </c>
      <c r="C952" s="1109">
        <v>3307</v>
      </c>
    </row>
    <row r="953" spans="1:3">
      <c r="A953" s="1108" t="s">
        <v>55417</v>
      </c>
      <c r="B953" s="912" t="s">
        <v>55416</v>
      </c>
      <c r="C953" s="1109">
        <v>3307</v>
      </c>
    </row>
    <row r="954" spans="1:3" ht="29">
      <c r="A954" s="1108" t="s">
        <v>55415</v>
      </c>
      <c r="B954" s="912" t="s">
        <v>55414</v>
      </c>
      <c r="C954" s="1109">
        <v>3927</v>
      </c>
    </row>
    <row r="955" spans="1:3" ht="29">
      <c r="A955" s="1108" t="s">
        <v>55413</v>
      </c>
      <c r="B955" s="912" t="s">
        <v>55412</v>
      </c>
      <c r="C955" s="1109">
        <v>4285</v>
      </c>
    </row>
    <row r="956" spans="1:3" ht="29">
      <c r="A956" s="1108" t="s">
        <v>55411</v>
      </c>
      <c r="B956" s="912" t="s">
        <v>55410</v>
      </c>
      <c r="C956" s="1109">
        <v>4285</v>
      </c>
    </row>
    <row r="957" spans="1:3" ht="29">
      <c r="A957" s="1108" t="s">
        <v>55409</v>
      </c>
      <c r="B957" s="912" t="s">
        <v>55408</v>
      </c>
      <c r="C957" s="1109">
        <v>3960</v>
      </c>
    </row>
    <row r="958" spans="1:3" ht="29">
      <c r="A958" s="1108" t="s">
        <v>55407</v>
      </c>
      <c r="B958" s="912" t="s">
        <v>55406</v>
      </c>
      <c r="C958" s="1109">
        <v>3927</v>
      </c>
    </row>
    <row r="959" spans="1:3">
      <c r="A959" s="1108" t="s">
        <v>55405</v>
      </c>
      <c r="B959" s="912" t="s">
        <v>55404</v>
      </c>
      <c r="C959" s="1109">
        <v>2783</v>
      </c>
    </row>
    <row r="960" spans="1:3">
      <c r="A960" s="1108" t="s">
        <v>55403</v>
      </c>
      <c r="B960" s="912" t="s">
        <v>55402</v>
      </c>
      <c r="C960" s="1109">
        <v>3307</v>
      </c>
    </row>
    <row r="961" spans="1:3">
      <c r="A961" s="1108" t="s">
        <v>55401</v>
      </c>
      <c r="B961" s="912" t="s">
        <v>55400</v>
      </c>
      <c r="C961" s="1109">
        <v>2783</v>
      </c>
    </row>
    <row r="962" spans="1:3">
      <c r="A962" s="1108" t="s">
        <v>55399</v>
      </c>
      <c r="B962" s="912" t="s">
        <v>55398</v>
      </c>
      <c r="C962" s="1109">
        <v>2783</v>
      </c>
    </row>
    <row r="963" spans="1:3" ht="29">
      <c r="A963" s="1108" t="s">
        <v>55397</v>
      </c>
      <c r="B963" s="912" t="s">
        <v>55396</v>
      </c>
      <c r="C963" s="1109">
        <v>2900</v>
      </c>
    </row>
    <row r="964" spans="1:3" ht="29">
      <c r="A964" s="1108" t="s">
        <v>55395</v>
      </c>
      <c r="B964" s="912" t="s">
        <v>55394</v>
      </c>
      <c r="C964" s="1109">
        <v>2900</v>
      </c>
    </row>
    <row r="965" spans="1:3">
      <c r="A965" s="1108" t="s">
        <v>55393</v>
      </c>
      <c r="B965" s="912" t="s">
        <v>55392</v>
      </c>
      <c r="C965" s="1109">
        <v>1980</v>
      </c>
    </row>
    <row r="966" spans="1:3">
      <c r="A966" s="1108" t="s">
        <v>55391</v>
      </c>
      <c r="B966" s="912" t="s">
        <v>55390</v>
      </c>
      <c r="C966" s="1109">
        <v>1863</v>
      </c>
    </row>
    <row r="967" spans="1:3">
      <c r="A967" s="1108" t="s">
        <v>55389</v>
      </c>
      <c r="B967" s="912" t="s">
        <v>55388</v>
      </c>
      <c r="C967" s="1109">
        <v>1000</v>
      </c>
    </row>
    <row r="968" spans="1:3" ht="29">
      <c r="A968" s="1108" t="s">
        <v>55387</v>
      </c>
      <c r="B968" s="912" t="s">
        <v>55386</v>
      </c>
      <c r="C968" s="1109">
        <v>1000</v>
      </c>
    </row>
    <row r="969" spans="1:3">
      <c r="A969" s="1108" t="s">
        <v>55385</v>
      </c>
      <c r="B969" s="912" t="s">
        <v>55384</v>
      </c>
      <c r="C969" s="1109">
        <v>1001</v>
      </c>
    </row>
    <row r="970" spans="1:3" ht="29">
      <c r="A970" s="1108" t="s">
        <v>55383</v>
      </c>
      <c r="B970" s="912" t="s">
        <v>55382</v>
      </c>
      <c r="C970" s="1109">
        <v>1000</v>
      </c>
    </row>
    <row r="971" spans="1:3" ht="29">
      <c r="A971" s="1108" t="s">
        <v>55381</v>
      </c>
      <c r="B971" s="912" t="s">
        <v>55380</v>
      </c>
      <c r="C971" s="1109">
        <v>1000</v>
      </c>
    </row>
    <row r="972" spans="1:3" ht="29">
      <c r="A972" s="1108" t="s">
        <v>55379</v>
      </c>
      <c r="B972" s="912" t="s">
        <v>55378</v>
      </c>
      <c r="C972" s="1109">
        <v>1001</v>
      </c>
    </row>
    <row r="973" spans="1:3" ht="29">
      <c r="A973" s="1108" t="s">
        <v>55377</v>
      </c>
      <c r="B973" s="912" t="s">
        <v>55376</v>
      </c>
      <c r="C973" s="1109">
        <v>1001</v>
      </c>
    </row>
    <row r="974" spans="1:3" ht="29">
      <c r="A974" s="1108" t="s">
        <v>55375</v>
      </c>
      <c r="B974" s="912" t="s">
        <v>55374</v>
      </c>
      <c r="C974" s="1109">
        <v>920</v>
      </c>
    </row>
    <row r="975" spans="1:3" ht="29">
      <c r="A975" s="1108" t="s">
        <v>55373</v>
      </c>
      <c r="B975" s="912" t="s">
        <v>55372</v>
      </c>
      <c r="C975" s="1109">
        <v>4500</v>
      </c>
    </row>
    <row r="976" spans="1:3" ht="43.5">
      <c r="A976" s="1108" t="s">
        <v>55371</v>
      </c>
      <c r="B976" s="912" t="s">
        <v>55370</v>
      </c>
      <c r="C976" s="1109">
        <v>4500</v>
      </c>
    </row>
    <row r="977" spans="1:3" ht="29">
      <c r="A977" s="1108" t="s">
        <v>55369</v>
      </c>
      <c r="B977" s="912" t="s">
        <v>55368</v>
      </c>
      <c r="C977" s="1109">
        <v>17075</v>
      </c>
    </row>
    <row r="978" spans="1:3" ht="29">
      <c r="A978" s="1108" t="s">
        <v>55367</v>
      </c>
      <c r="B978" s="912" t="s">
        <v>55366</v>
      </c>
      <c r="C978" s="1109">
        <v>18700</v>
      </c>
    </row>
    <row r="979" spans="1:3" ht="43.5">
      <c r="A979" s="1108" t="s">
        <v>55365</v>
      </c>
      <c r="B979" s="912" t="s">
        <v>55364</v>
      </c>
      <c r="C979" s="1109">
        <v>18700</v>
      </c>
    </row>
    <row r="980" spans="1:3" ht="58">
      <c r="A980" s="1108" t="s">
        <v>55363</v>
      </c>
      <c r="B980" s="912" t="s">
        <v>55362</v>
      </c>
      <c r="C980" s="1109">
        <v>7000</v>
      </c>
    </row>
    <row r="981" spans="1:3">
      <c r="A981" s="1108" t="s">
        <v>55361</v>
      </c>
      <c r="B981" s="912" t="s">
        <v>55360</v>
      </c>
      <c r="C981" s="1109">
        <v>375</v>
      </c>
    </row>
    <row r="982" spans="1:3">
      <c r="A982" s="1108" t="s">
        <v>55359</v>
      </c>
      <c r="B982" s="912" t="s">
        <v>55358</v>
      </c>
      <c r="C982" s="1109">
        <v>475</v>
      </c>
    </row>
    <row r="983" spans="1:3">
      <c r="A983" s="1108" t="s">
        <v>55357</v>
      </c>
      <c r="B983" s="912" t="s">
        <v>55356</v>
      </c>
      <c r="C983" s="1109">
        <v>500</v>
      </c>
    </row>
    <row r="984" spans="1:3" ht="43.5">
      <c r="A984" s="1108" t="s">
        <v>55355</v>
      </c>
      <c r="B984" s="912" t="s">
        <v>55354</v>
      </c>
      <c r="C984" s="1109">
        <v>3927</v>
      </c>
    </row>
    <row r="985" spans="1:3" ht="43.5">
      <c r="A985" s="1108" t="s">
        <v>55353</v>
      </c>
      <c r="B985" s="912" t="s">
        <v>55352</v>
      </c>
      <c r="C985" s="1109">
        <v>8300</v>
      </c>
    </row>
    <row r="986" spans="1:3" ht="43.5">
      <c r="A986" s="1108" t="s">
        <v>55351</v>
      </c>
      <c r="B986" s="912" t="s">
        <v>55350</v>
      </c>
      <c r="C986" s="1109">
        <v>8300</v>
      </c>
    </row>
    <row r="987" spans="1:3" ht="43.5">
      <c r="A987" s="1108" t="s">
        <v>55349</v>
      </c>
      <c r="B987" s="912" t="s">
        <v>55348</v>
      </c>
      <c r="C987" s="1109">
        <v>7700</v>
      </c>
    </row>
    <row r="988" spans="1:3" ht="29">
      <c r="A988" s="1108" t="s">
        <v>55347</v>
      </c>
      <c r="B988" s="912" t="s">
        <v>55346</v>
      </c>
      <c r="C988" s="1109">
        <v>10000</v>
      </c>
    </row>
    <row r="989" spans="1:3">
      <c r="A989" s="1108" t="s">
        <v>55345</v>
      </c>
      <c r="B989" s="912" t="s">
        <v>55344</v>
      </c>
      <c r="C989" s="1109">
        <v>418</v>
      </c>
    </row>
    <row r="990" spans="1:3" ht="29">
      <c r="A990" s="1108" t="s">
        <v>55343</v>
      </c>
      <c r="B990" s="912" t="s">
        <v>55342</v>
      </c>
      <c r="C990" s="1109">
        <v>147</v>
      </c>
    </row>
    <row r="991" spans="1:3">
      <c r="A991" s="1108" t="s">
        <v>55341</v>
      </c>
      <c r="B991" s="912" t="s">
        <v>55340</v>
      </c>
      <c r="C991" s="1109">
        <v>669</v>
      </c>
    </row>
    <row r="992" spans="1:3" ht="29">
      <c r="A992" s="1108" t="s">
        <v>55339</v>
      </c>
      <c r="B992" s="912" t="s">
        <v>55338</v>
      </c>
      <c r="C992" s="1109">
        <v>173</v>
      </c>
    </row>
    <row r="993" spans="1:3" ht="29">
      <c r="A993" s="1108" t="s">
        <v>55337</v>
      </c>
      <c r="B993" s="912" t="s">
        <v>55336</v>
      </c>
      <c r="C993" s="1109">
        <v>239</v>
      </c>
    </row>
    <row r="994" spans="1:3" ht="29">
      <c r="A994" s="1108" t="s">
        <v>55335</v>
      </c>
      <c r="B994" s="912" t="s">
        <v>55334</v>
      </c>
      <c r="C994" s="1109">
        <v>239</v>
      </c>
    </row>
    <row r="995" spans="1:3" ht="29">
      <c r="A995" s="1108" t="s">
        <v>55333</v>
      </c>
      <c r="B995" s="912" t="s">
        <v>55332</v>
      </c>
      <c r="C995" s="1109">
        <v>803</v>
      </c>
    </row>
    <row r="996" spans="1:3">
      <c r="A996" s="1108" t="s">
        <v>55331</v>
      </c>
      <c r="B996" s="912" t="s">
        <v>55330</v>
      </c>
      <c r="C996" s="1109">
        <v>820</v>
      </c>
    </row>
    <row r="997" spans="1:3" ht="29">
      <c r="A997" s="1108" t="s">
        <v>55329</v>
      </c>
      <c r="B997" s="912" t="s">
        <v>55328</v>
      </c>
      <c r="C997" s="1109">
        <v>870</v>
      </c>
    </row>
    <row r="998" spans="1:3">
      <c r="A998" s="1108" t="s">
        <v>55327</v>
      </c>
      <c r="B998" s="912" t="s">
        <v>55326</v>
      </c>
      <c r="C998" s="1109">
        <v>870</v>
      </c>
    </row>
    <row r="999" spans="1:3">
      <c r="A999" s="1108" t="s">
        <v>55325</v>
      </c>
      <c r="B999" s="912" t="s">
        <v>55324</v>
      </c>
      <c r="C999" s="1109">
        <v>870</v>
      </c>
    </row>
    <row r="1000" spans="1:3" ht="29">
      <c r="A1000" s="1108" t="s">
        <v>55323</v>
      </c>
      <c r="B1000" s="912" t="s">
        <v>55322</v>
      </c>
      <c r="C1000" s="1109">
        <v>870</v>
      </c>
    </row>
    <row r="1001" spans="1:3" ht="29">
      <c r="A1001" s="1108" t="s">
        <v>55321</v>
      </c>
      <c r="B1001" s="912" t="s">
        <v>55320</v>
      </c>
      <c r="C1001" s="1109">
        <v>820</v>
      </c>
    </row>
    <row r="1002" spans="1:3" ht="29">
      <c r="A1002" s="1108" t="s">
        <v>55319</v>
      </c>
      <c r="B1002" s="912" t="s">
        <v>55318</v>
      </c>
      <c r="C1002" s="1109">
        <v>850</v>
      </c>
    </row>
    <row r="1003" spans="1:3" ht="29">
      <c r="A1003" s="1108" t="s">
        <v>55317</v>
      </c>
      <c r="B1003" s="912" t="s">
        <v>55316</v>
      </c>
      <c r="C1003" s="1109">
        <v>850</v>
      </c>
    </row>
    <row r="1004" spans="1:3" ht="29">
      <c r="A1004" s="1108" t="s">
        <v>55315</v>
      </c>
      <c r="B1004" s="912" t="s">
        <v>55314</v>
      </c>
      <c r="C1004" s="1109">
        <v>900</v>
      </c>
    </row>
    <row r="1005" spans="1:3" ht="29">
      <c r="A1005" s="1108" t="s">
        <v>55313</v>
      </c>
      <c r="B1005" s="912" t="s">
        <v>55312</v>
      </c>
      <c r="C1005" s="1109">
        <v>900</v>
      </c>
    </row>
    <row r="1006" spans="1:3" ht="29">
      <c r="A1006" s="1108" t="s">
        <v>55311</v>
      </c>
      <c r="B1006" s="912" t="s">
        <v>55310</v>
      </c>
      <c r="C1006" s="1109">
        <v>900</v>
      </c>
    </row>
    <row r="1007" spans="1:3" ht="29">
      <c r="A1007" s="1108" t="s">
        <v>55309</v>
      </c>
      <c r="B1007" s="912" t="s">
        <v>55308</v>
      </c>
      <c r="C1007" s="1109">
        <v>900</v>
      </c>
    </row>
    <row r="1008" spans="1:3" ht="29">
      <c r="A1008" s="1108" t="s">
        <v>55307</v>
      </c>
      <c r="B1008" s="912" t="s">
        <v>55306</v>
      </c>
      <c r="C1008" s="1109">
        <v>900</v>
      </c>
    </row>
    <row r="1009" spans="1:3" ht="29">
      <c r="A1009" s="1108" t="s">
        <v>55305</v>
      </c>
      <c r="B1009" s="912" t="s">
        <v>55304</v>
      </c>
      <c r="C1009" s="1109">
        <v>900</v>
      </c>
    </row>
    <row r="1010" spans="1:3" ht="29">
      <c r="A1010" s="1108" t="s">
        <v>55303</v>
      </c>
      <c r="B1010" s="912" t="s">
        <v>55302</v>
      </c>
      <c r="C1010" s="1109">
        <v>900</v>
      </c>
    </row>
    <row r="1011" spans="1:3" ht="29">
      <c r="A1011" s="1108" t="s">
        <v>55301</v>
      </c>
      <c r="B1011" s="912" t="s">
        <v>55300</v>
      </c>
      <c r="C1011" s="1109">
        <v>900</v>
      </c>
    </row>
    <row r="1012" spans="1:3" ht="29">
      <c r="A1012" s="1108" t="s">
        <v>55299</v>
      </c>
      <c r="B1012" s="912" t="s">
        <v>55298</v>
      </c>
      <c r="C1012" s="1109">
        <v>850</v>
      </c>
    </row>
    <row r="1013" spans="1:3" ht="29">
      <c r="A1013" s="1108" t="s">
        <v>55297</v>
      </c>
      <c r="B1013" s="912" t="s">
        <v>55296</v>
      </c>
      <c r="C1013" s="1109">
        <v>850</v>
      </c>
    </row>
    <row r="1014" spans="1:3" ht="43.5">
      <c r="A1014" s="1108" t="s">
        <v>55295</v>
      </c>
      <c r="B1014" s="912" t="s">
        <v>55294</v>
      </c>
      <c r="C1014" s="1109">
        <v>30</v>
      </c>
    </row>
    <row r="1015" spans="1:3">
      <c r="A1015" s="1108" t="s">
        <v>55293</v>
      </c>
      <c r="B1015" s="912" t="s">
        <v>55292</v>
      </c>
      <c r="C1015" s="1109">
        <v>250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8557A-875D-4042-9DC1-DCF8F75BE96F}">
  <sheetPr>
    <tabColor theme="2" tint="-9.9978637043366805E-2"/>
  </sheetPr>
  <dimension ref="A1:F9059"/>
  <sheetViews>
    <sheetView workbookViewId="0">
      <selection activeCell="C8" sqref="C8"/>
    </sheetView>
  </sheetViews>
  <sheetFormatPr defaultRowHeight="14.5"/>
  <cols>
    <col min="2" max="2" width="17.453125" customWidth="1"/>
    <col min="3" max="3" width="32.7265625" customWidth="1"/>
    <col min="4" max="4" width="35.1796875" customWidth="1"/>
    <col min="5" max="5" width="27.54296875" customWidth="1"/>
  </cols>
  <sheetData>
    <row r="1" spans="1:6">
      <c r="A1" s="754" t="s">
        <v>7810</v>
      </c>
      <c r="B1" s="754" t="s">
        <v>16693</v>
      </c>
      <c r="C1" s="754" t="s">
        <v>52215</v>
      </c>
      <c r="D1" s="754" t="s">
        <v>1</v>
      </c>
      <c r="E1" s="754" t="s">
        <v>52214</v>
      </c>
      <c r="F1" s="754" t="s">
        <v>263</v>
      </c>
    </row>
    <row r="2" spans="1:6">
      <c r="A2" s="753" t="s">
        <v>52213</v>
      </c>
      <c r="B2" s="753" t="s">
        <v>52212</v>
      </c>
      <c r="C2" s="752" t="s">
        <v>52211</v>
      </c>
      <c r="D2" s="753" t="s">
        <v>52192</v>
      </c>
      <c r="E2" s="752" t="s">
        <v>293</v>
      </c>
      <c r="F2" s="751">
        <v>2825</v>
      </c>
    </row>
    <row r="3" spans="1:6">
      <c r="A3" s="753"/>
      <c r="B3" s="753"/>
      <c r="C3" s="752" t="s">
        <v>52210</v>
      </c>
      <c r="D3" s="753" t="s">
        <v>52192</v>
      </c>
      <c r="E3" s="752" t="s">
        <v>293</v>
      </c>
      <c r="F3" s="751">
        <v>2825</v>
      </c>
    </row>
    <row r="4" spans="1:6">
      <c r="A4" s="753"/>
      <c r="B4" s="753"/>
      <c r="C4" s="752" t="s">
        <v>52209</v>
      </c>
      <c r="D4" s="753" t="s">
        <v>52192</v>
      </c>
      <c r="E4" s="752" t="s">
        <v>38539</v>
      </c>
      <c r="F4" s="751">
        <v>2575</v>
      </c>
    </row>
    <row r="5" spans="1:6">
      <c r="A5" s="753"/>
      <c r="B5" s="753"/>
      <c r="C5" s="752" t="s">
        <v>52208</v>
      </c>
      <c r="D5" s="753" t="s">
        <v>52207</v>
      </c>
      <c r="E5" s="752" t="s">
        <v>293</v>
      </c>
      <c r="F5" s="751">
        <v>3375</v>
      </c>
    </row>
    <row r="6" spans="1:6">
      <c r="A6" s="753"/>
      <c r="B6" s="753"/>
      <c r="C6" s="752" t="s">
        <v>52206</v>
      </c>
      <c r="D6" s="753" t="s">
        <v>52205</v>
      </c>
      <c r="E6" s="752" t="s">
        <v>293</v>
      </c>
      <c r="F6" s="751">
        <v>3375</v>
      </c>
    </row>
    <row r="7" spans="1:6">
      <c r="A7" s="753"/>
      <c r="B7" s="753"/>
      <c r="C7" s="752" t="s">
        <v>52204</v>
      </c>
      <c r="D7" s="753" t="s">
        <v>52200</v>
      </c>
      <c r="E7" s="752" t="s">
        <v>293</v>
      </c>
      <c r="F7" s="751">
        <v>2625</v>
      </c>
    </row>
    <row r="8" spans="1:6">
      <c r="A8" s="753"/>
      <c r="B8" s="753"/>
      <c r="C8" s="752" t="s">
        <v>52203</v>
      </c>
      <c r="D8" s="753" t="s">
        <v>52200</v>
      </c>
      <c r="E8" s="752" t="s">
        <v>37794</v>
      </c>
      <c r="F8" s="751">
        <v>3385</v>
      </c>
    </row>
    <row r="9" spans="1:6">
      <c r="A9" s="753"/>
      <c r="B9" s="753"/>
      <c r="C9" s="752" t="s">
        <v>52202</v>
      </c>
      <c r="D9" s="753" t="s">
        <v>52200</v>
      </c>
      <c r="E9" s="752" t="s">
        <v>293</v>
      </c>
      <c r="F9" s="751">
        <v>2625</v>
      </c>
    </row>
    <row r="10" spans="1:6">
      <c r="A10" s="753"/>
      <c r="B10" s="753"/>
      <c r="C10" s="752" t="s">
        <v>52201</v>
      </c>
      <c r="D10" s="753" t="s">
        <v>52200</v>
      </c>
      <c r="E10" s="752" t="s">
        <v>293</v>
      </c>
      <c r="F10" s="751">
        <v>2625</v>
      </c>
    </row>
    <row r="11" spans="1:6">
      <c r="A11" s="753"/>
      <c r="B11" s="753"/>
      <c r="C11" s="752" t="s">
        <v>52199</v>
      </c>
      <c r="D11" s="753" t="s">
        <v>52198</v>
      </c>
      <c r="E11" s="752" t="s">
        <v>293</v>
      </c>
      <c r="F11" s="751">
        <v>2625</v>
      </c>
    </row>
    <row r="12" spans="1:6">
      <c r="A12" s="753"/>
      <c r="B12" s="753"/>
      <c r="C12" s="752" t="s">
        <v>52197</v>
      </c>
      <c r="D12" s="753" t="s">
        <v>52194</v>
      </c>
      <c r="E12" s="752" t="s">
        <v>293</v>
      </c>
      <c r="F12" s="751">
        <v>3175</v>
      </c>
    </row>
    <row r="13" spans="1:6">
      <c r="A13" s="753"/>
      <c r="B13" s="753"/>
      <c r="C13" s="752" t="s">
        <v>52196</v>
      </c>
      <c r="D13" s="753" t="s">
        <v>52194</v>
      </c>
      <c r="E13" s="752" t="s">
        <v>293</v>
      </c>
      <c r="F13" s="751">
        <v>3175</v>
      </c>
    </row>
    <row r="14" spans="1:6">
      <c r="A14" s="753"/>
      <c r="B14" s="753"/>
      <c r="C14" s="752" t="s">
        <v>52195</v>
      </c>
      <c r="D14" s="753" t="s">
        <v>52194</v>
      </c>
      <c r="E14" s="752" t="s">
        <v>293</v>
      </c>
      <c r="F14" s="751">
        <v>3175</v>
      </c>
    </row>
    <row r="15" spans="1:6">
      <c r="A15" s="753"/>
      <c r="B15" s="753"/>
      <c r="C15" s="752" t="s">
        <v>52193</v>
      </c>
      <c r="D15" s="753" t="s">
        <v>52192</v>
      </c>
      <c r="E15" s="752" t="s">
        <v>293</v>
      </c>
      <c r="F15" s="751">
        <v>2825</v>
      </c>
    </row>
    <row r="16" spans="1:6">
      <c r="A16" s="753"/>
      <c r="B16" s="753" t="s">
        <v>52191</v>
      </c>
      <c r="C16" s="752" t="s">
        <v>52190</v>
      </c>
      <c r="D16" s="753" t="s">
        <v>52189</v>
      </c>
      <c r="E16" s="752" t="s">
        <v>293</v>
      </c>
      <c r="F16" s="751">
        <v>3765</v>
      </c>
    </row>
    <row r="17" spans="1:6">
      <c r="A17" s="753"/>
      <c r="B17" s="753"/>
      <c r="C17" s="752" t="s">
        <v>52188</v>
      </c>
      <c r="D17" s="753" t="s">
        <v>52186</v>
      </c>
      <c r="E17" s="752" t="s">
        <v>293</v>
      </c>
      <c r="F17" s="751">
        <v>3335</v>
      </c>
    </row>
    <row r="18" spans="1:6">
      <c r="A18" s="753"/>
      <c r="B18" s="753"/>
      <c r="C18" s="752" t="s">
        <v>52187</v>
      </c>
      <c r="D18" s="753" t="s">
        <v>52186</v>
      </c>
      <c r="E18" s="752" t="s">
        <v>39011</v>
      </c>
      <c r="F18" s="751">
        <v>3335</v>
      </c>
    </row>
    <row r="19" spans="1:6">
      <c r="A19" s="753"/>
      <c r="B19" s="753"/>
      <c r="C19" s="752" t="s">
        <v>52185</v>
      </c>
      <c r="D19" s="753" t="s">
        <v>52182</v>
      </c>
      <c r="E19" s="752" t="s">
        <v>293</v>
      </c>
      <c r="F19" s="751">
        <v>2375</v>
      </c>
    </row>
    <row r="20" spans="1:6">
      <c r="A20" s="753"/>
      <c r="B20" s="753"/>
      <c r="C20" s="752" t="s">
        <v>52184</v>
      </c>
      <c r="D20" s="753" t="s">
        <v>52182</v>
      </c>
      <c r="E20" s="752" t="s">
        <v>293</v>
      </c>
      <c r="F20" s="751">
        <v>2375</v>
      </c>
    </row>
    <row r="21" spans="1:6">
      <c r="A21" s="753"/>
      <c r="B21" s="753"/>
      <c r="C21" s="752" t="s">
        <v>52183</v>
      </c>
      <c r="D21" s="753" t="s">
        <v>52182</v>
      </c>
      <c r="E21" s="752" t="s">
        <v>293</v>
      </c>
      <c r="F21" s="751">
        <v>2375</v>
      </c>
    </row>
    <row r="22" spans="1:6">
      <c r="A22" s="753"/>
      <c r="B22" s="753"/>
      <c r="C22" s="752" t="s">
        <v>52181</v>
      </c>
      <c r="D22" s="753" t="s">
        <v>52180</v>
      </c>
      <c r="E22" s="752" t="s">
        <v>293</v>
      </c>
      <c r="F22" s="751">
        <v>2725</v>
      </c>
    </row>
    <row r="23" spans="1:6">
      <c r="A23" s="753"/>
      <c r="B23" s="753"/>
      <c r="C23" s="752" t="s">
        <v>52179</v>
      </c>
      <c r="D23" s="753" t="s">
        <v>52178</v>
      </c>
      <c r="E23" s="752" t="s">
        <v>293</v>
      </c>
      <c r="F23" s="751">
        <v>2475</v>
      </c>
    </row>
    <row r="24" spans="1:6">
      <c r="A24" s="753"/>
      <c r="B24" s="753" t="s">
        <v>52177</v>
      </c>
      <c r="C24" s="752" t="s">
        <v>52176</v>
      </c>
      <c r="D24" s="753" t="s">
        <v>52175</v>
      </c>
      <c r="E24" s="752" t="s">
        <v>37838</v>
      </c>
      <c r="F24" s="751">
        <v>1975</v>
      </c>
    </row>
    <row r="25" spans="1:6">
      <c r="A25" s="753"/>
      <c r="B25" s="753" t="s">
        <v>52174</v>
      </c>
      <c r="C25" s="752" t="s">
        <v>52173</v>
      </c>
      <c r="D25" s="753" t="s">
        <v>52172</v>
      </c>
      <c r="E25" s="752" t="s">
        <v>293</v>
      </c>
      <c r="F25" s="751">
        <v>2025</v>
      </c>
    </row>
    <row r="26" spans="1:6">
      <c r="A26" s="753" t="s">
        <v>52171</v>
      </c>
      <c r="B26" s="753" t="s">
        <v>52170</v>
      </c>
      <c r="C26" s="752" t="s">
        <v>52169</v>
      </c>
      <c r="D26" s="753" t="s">
        <v>52168</v>
      </c>
      <c r="E26" s="752" t="s">
        <v>37838</v>
      </c>
      <c r="F26" s="751">
        <v>1975</v>
      </c>
    </row>
    <row r="27" spans="1:6">
      <c r="A27" s="753"/>
      <c r="B27" s="753" t="s">
        <v>52167</v>
      </c>
      <c r="C27" s="752" t="s">
        <v>52166</v>
      </c>
      <c r="D27" s="753" t="s">
        <v>52164</v>
      </c>
      <c r="E27" s="752" t="s">
        <v>37838</v>
      </c>
      <c r="F27" s="751">
        <v>1975</v>
      </c>
    </row>
    <row r="28" spans="1:6">
      <c r="A28" s="753"/>
      <c r="B28" s="753"/>
      <c r="C28" s="752" t="s">
        <v>52165</v>
      </c>
      <c r="D28" s="753" t="s">
        <v>52164</v>
      </c>
      <c r="E28" s="752" t="s">
        <v>37838</v>
      </c>
      <c r="F28" s="751">
        <v>1975</v>
      </c>
    </row>
    <row r="29" spans="1:6">
      <c r="A29" s="753"/>
      <c r="B29" s="753" t="s">
        <v>52163</v>
      </c>
      <c r="C29" s="752" t="s">
        <v>52162</v>
      </c>
      <c r="D29" s="753" t="s">
        <v>52161</v>
      </c>
      <c r="E29" s="752" t="s">
        <v>293</v>
      </c>
      <c r="F29" s="751">
        <v>2375</v>
      </c>
    </row>
    <row r="30" spans="1:6">
      <c r="A30" s="753"/>
      <c r="B30" s="753" t="s">
        <v>52160</v>
      </c>
      <c r="C30" s="752" t="s">
        <v>52159</v>
      </c>
      <c r="D30" s="753" t="s">
        <v>52158</v>
      </c>
      <c r="E30" s="752" t="s">
        <v>37838</v>
      </c>
      <c r="F30" s="751">
        <v>1975</v>
      </c>
    </row>
    <row r="31" spans="1:6">
      <c r="A31" s="753"/>
      <c r="B31" s="753" t="s">
        <v>52157</v>
      </c>
      <c r="C31" s="752" t="s">
        <v>52156</v>
      </c>
      <c r="D31" s="753" t="s">
        <v>52155</v>
      </c>
      <c r="E31" s="752" t="s">
        <v>52143</v>
      </c>
      <c r="F31" s="751">
        <v>2125</v>
      </c>
    </row>
    <row r="32" spans="1:6">
      <c r="A32" s="753"/>
      <c r="B32" s="753" t="s">
        <v>52154</v>
      </c>
      <c r="C32" s="752" t="s">
        <v>52153</v>
      </c>
      <c r="D32" s="753" t="s">
        <v>52151</v>
      </c>
      <c r="E32" s="752" t="s">
        <v>52143</v>
      </c>
      <c r="F32" s="751">
        <v>2575</v>
      </c>
    </row>
    <row r="33" spans="1:6">
      <c r="A33" s="753"/>
      <c r="B33" s="753"/>
      <c r="C33" s="752" t="s">
        <v>52152</v>
      </c>
      <c r="D33" s="753" t="s">
        <v>52151</v>
      </c>
      <c r="E33" s="752" t="s">
        <v>39458</v>
      </c>
      <c r="F33" s="751">
        <v>2575</v>
      </c>
    </row>
    <row r="34" spans="1:6">
      <c r="A34" s="753"/>
      <c r="B34" s="753"/>
      <c r="C34" s="752" t="s">
        <v>52150</v>
      </c>
      <c r="D34" s="753" t="s">
        <v>52149</v>
      </c>
      <c r="E34" s="752" t="s">
        <v>52143</v>
      </c>
      <c r="F34" s="751">
        <v>2375</v>
      </c>
    </row>
    <row r="35" spans="1:6">
      <c r="A35" s="753"/>
      <c r="B35" s="753"/>
      <c r="C35" s="752" t="s">
        <v>52148</v>
      </c>
      <c r="D35" s="753" t="s">
        <v>52146</v>
      </c>
      <c r="E35" s="752" t="s">
        <v>293</v>
      </c>
      <c r="F35" s="751">
        <v>2925</v>
      </c>
    </row>
    <row r="36" spans="1:6">
      <c r="A36" s="753"/>
      <c r="B36" s="753"/>
      <c r="C36" s="752" t="s">
        <v>52147</v>
      </c>
      <c r="D36" s="753" t="s">
        <v>52146</v>
      </c>
      <c r="E36" s="752" t="s">
        <v>39011</v>
      </c>
      <c r="F36" s="751">
        <v>3685</v>
      </c>
    </row>
    <row r="37" spans="1:6">
      <c r="A37" s="753"/>
      <c r="B37" s="753"/>
      <c r="C37" s="752" t="s">
        <v>52145</v>
      </c>
      <c r="D37" s="753" t="s">
        <v>52144</v>
      </c>
      <c r="E37" s="752" t="s">
        <v>52143</v>
      </c>
      <c r="F37" s="751">
        <v>2475</v>
      </c>
    </row>
    <row r="38" spans="1:6">
      <c r="A38" s="753"/>
      <c r="B38" s="753"/>
      <c r="C38" s="752" t="s">
        <v>52142</v>
      </c>
      <c r="D38" s="753" t="s">
        <v>52141</v>
      </c>
      <c r="E38" s="752" t="s">
        <v>52140</v>
      </c>
      <c r="F38" s="751">
        <v>3785</v>
      </c>
    </row>
    <row r="39" spans="1:6">
      <c r="A39" s="753"/>
      <c r="B39" s="753" t="s">
        <v>52139</v>
      </c>
      <c r="C39" s="752" t="s">
        <v>52138</v>
      </c>
      <c r="D39" s="753" t="s">
        <v>52134</v>
      </c>
      <c r="E39" s="752" t="s">
        <v>52137</v>
      </c>
      <c r="F39" s="751">
        <v>2575</v>
      </c>
    </row>
    <row r="40" spans="1:6">
      <c r="A40" s="753"/>
      <c r="B40" s="753"/>
      <c r="C40" s="752" t="s">
        <v>52136</v>
      </c>
      <c r="D40" s="753" t="s">
        <v>52134</v>
      </c>
      <c r="E40" s="752" t="s">
        <v>293</v>
      </c>
      <c r="F40" s="751">
        <v>2575</v>
      </c>
    </row>
    <row r="41" spans="1:6">
      <c r="A41" s="753"/>
      <c r="B41" s="753"/>
      <c r="C41" s="752" t="s">
        <v>52135</v>
      </c>
      <c r="D41" s="753" t="s">
        <v>52134</v>
      </c>
      <c r="E41" s="752" t="s">
        <v>37750</v>
      </c>
      <c r="F41" s="751">
        <v>2325</v>
      </c>
    </row>
    <row r="42" spans="1:6">
      <c r="A42" s="753"/>
      <c r="B42" s="753"/>
      <c r="C42" s="752" t="s">
        <v>52133</v>
      </c>
      <c r="D42" s="753" t="s">
        <v>52132</v>
      </c>
      <c r="E42" s="752" t="s">
        <v>52111</v>
      </c>
      <c r="F42" s="751">
        <v>3125</v>
      </c>
    </row>
    <row r="43" spans="1:6">
      <c r="A43" s="753"/>
      <c r="B43" s="753"/>
      <c r="C43" s="752" t="s">
        <v>52131</v>
      </c>
      <c r="D43" s="753" t="s">
        <v>52128</v>
      </c>
      <c r="E43" s="752" t="s">
        <v>52120</v>
      </c>
      <c r="F43" s="751">
        <v>2375</v>
      </c>
    </row>
    <row r="44" spans="1:6">
      <c r="A44" s="753"/>
      <c r="B44" s="753"/>
      <c r="C44" s="752" t="s">
        <v>52130</v>
      </c>
      <c r="D44" s="753" t="s">
        <v>52128</v>
      </c>
      <c r="E44" s="752" t="s">
        <v>39011</v>
      </c>
      <c r="F44" s="751">
        <v>3135</v>
      </c>
    </row>
    <row r="45" spans="1:6">
      <c r="A45" s="753"/>
      <c r="B45" s="753"/>
      <c r="C45" s="752" t="s">
        <v>52129</v>
      </c>
      <c r="D45" s="753" t="s">
        <v>52128</v>
      </c>
      <c r="E45" s="752" t="s">
        <v>52120</v>
      </c>
      <c r="F45" s="751">
        <v>2625</v>
      </c>
    </row>
    <row r="46" spans="1:6">
      <c r="A46" s="753"/>
      <c r="B46" s="753"/>
      <c r="C46" s="752" t="s">
        <v>52127</v>
      </c>
      <c r="D46" s="753" t="s">
        <v>52126</v>
      </c>
      <c r="E46" s="752" t="s">
        <v>38962</v>
      </c>
      <c r="F46" s="751">
        <v>2125</v>
      </c>
    </row>
    <row r="47" spans="1:6">
      <c r="A47" s="753"/>
      <c r="B47" s="753"/>
      <c r="C47" s="752" t="s">
        <v>52125</v>
      </c>
      <c r="D47" s="753" t="s">
        <v>52123</v>
      </c>
      <c r="E47" s="752" t="s">
        <v>52120</v>
      </c>
      <c r="F47" s="751">
        <v>2925</v>
      </c>
    </row>
    <row r="48" spans="1:6">
      <c r="A48" s="753"/>
      <c r="B48" s="753"/>
      <c r="C48" s="752" t="s">
        <v>52124</v>
      </c>
      <c r="D48" s="753" t="s">
        <v>52123</v>
      </c>
      <c r="E48" s="752" t="s">
        <v>293</v>
      </c>
      <c r="F48" s="751">
        <v>3175</v>
      </c>
    </row>
    <row r="49" spans="1:6">
      <c r="A49" s="753"/>
      <c r="B49" s="753"/>
      <c r="C49" s="752" t="s">
        <v>52122</v>
      </c>
      <c r="D49" s="753" t="s">
        <v>52121</v>
      </c>
      <c r="E49" s="752" t="s">
        <v>52120</v>
      </c>
      <c r="F49" s="751">
        <v>2925</v>
      </c>
    </row>
    <row r="50" spans="1:6">
      <c r="A50" s="753"/>
      <c r="B50" s="753"/>
      <c r="C50" s="752" t="s">
        <v>52119</v>
      </c>
      <c r="D50" s="753" t="s">
        <v>52116</v>
      </c>
      <c r="E50" s="752" t="s">
        <v>52115</v>
      </c>
      <c r="F50" s="751">
        <v>2475</v>
      </c>
    </row>
    <row r="51" spans="1:6">
      <c r="A51" s="753"/>
      <c r="B51" s="753"/>
      <c r="C51" s="752" t="s">
        <v>52118</v>
      </c>
      <c r="D51" s="753" t="s">
        <v>52116</v>
      </c>
      <c r="E51" s="752" t="s">
        <v>38962</v>
      </c>
      <c r="F51" s="751">
        <v>2225</v>
      </c>
    </row>
    <row r="52" spans="1:6">
      <c r="A52" s="753"/>
      <c r="B52" s="753"/>
      <c r="C52" s="752" t="s">
        <v>52117</v>
      </c>
      <c r="D52" s="753" t="s">
        <v>52116</v>
      </c>
      <c r="E52" s="752" t="s">
        <v>52115</v>
      </c>
      <c r="F52" s="751">
        <v>2475</v>
      </c>
    </row>
    <row r="53" spans="1:6">
      <c r="A53" s="753"/>
      <c r="B53" s="753" t="s">
        <v>52114</v>
      </c>
      <c r="C53" s="752" t="s">
        <v>52113</v>
      </c>
      <c r="D53" s="753" t="s">
        <v>52112</v>
      </c>
      <c r="E53" s="752" t="s">
        <v>52111</v>
      </c>
      <c r="F53" s="751">
        <v>2375</v>
      </c>
    </row>
    <row r="54" spans="1:6">
      <c r="A54" s="753"/>
      <c r="B54" s="753"/>
      <c r="C54" s="752" t="s">
        <v>52110</v>
      </c>
      <c r="D54" s="753" t="s">
        <v>52109</v>
      </c>
      <c r="E54" s="752" t="s">
        <v>39430</v>
      </c>
      <c r="F54" s="751">
        <v>2925</v>
      </c>
    </row>
    <row r="55" spans="1:6">
      <c r="A55" s="753"/>
      <c r="B55" s="753" t="s">
        <v>52108</v>
      </c>
      <c r="C55" s="752" t="s">
        <v>52107</v>
      </c>
      <c r="D55" s="753" t="s">
        <v>52105</v>
      </c>
      <c r="E55" s="752" t="s">
        <v>37838</v>
      </c>
      <c r="F55" s="751">
        <v>1975</v>
      </c>
    </row>
    <row r="56" spans="1:6">
      <c r="A56" s="753"/>
      <c r="B56" s="753"/>
      <c r="C56" s="752" t="s">
        <v>52106</v>
      </c>
      <c r="D56" s="753" t="s">
        <v>52105</v>
      </c>
      <c r="E56" s="752" t="s">
        <v>39055</v>
      </c>
      <c r="F56" s="751">
        <v>1975</v>
      </c>
    </row>
    <row r="57" spans="1:6">
      <c r="A57" s="753"/>
      <c r="B57" s="753" t="s">
        <v>52104</v>
      </c>
      <c r="C57" s="752" t="s">
        <v>52103</v>
      </c>
      <c r="D57" s="753" t="s">
        <v>52102</v>
      </c>
      <c r="E57" s="752" t="s">
        <v>37838</v>
      </c>
      <c r="F57" s="751">
        <v>1975</v>
      </c>
    </row>
    <row r="58" spans="1:6">
      <c r="A58" s="753" t="s">
        <v>52101</v>
      </c>
      <c r="B58" s="753">
        <v>235</v>
      </c>
      <c r="C58" s="752" t="s">
        <v>52100</v>
      </c>
      <c r="D58" s="753" t="s">
        <v>52099</v>
      </c>
      <c r="E58" s="752" t="s">
        <v>39055</v>
      </c>
      <c r="F58" s="751">
        <v>2075</v>
      </c>
    </row>
    <row r="59" spans="1:6">
      <c r="A59" s="753"/>
      <c r="B59" s="753" t="s">
        <v>52098</v>
      </c>
      <c r="C59" s="752" t="s">
        <v>52097</v>
      </c>
      <c r="D59" s="753" t="s">
        <v>52096</v>
      </c>
      <c r="E59" s="752" t="s">
        <v>293</v>
      </c>
      <c r="F59" s="751">
        <v>2575</v>
      </c>
    </row>
    <row r="60" spans="1:6">
      <c r="A60" s="753"/>
      <c r="B60" s="753"/>
      <c r="C60" s="752" t="s">
        <v>52095</v>
      </c>
      <c r="D60" s="753" t="s">
        <v>52093</v>
      </c>
      <c r="E60" s="752" t="s">
        <v>293</v>
      </c>
      <c r="F60" s="751">
        <v>2375</v>
      </c>
    </row>
    <row r="61" spans="1:6">
      <c r="A61" s="753"/>
      <c r="B61" s="753"/>
      <c r="C61" s="752" t="s">
        <v>52094</v>
      </c>
      <c r="D61" s="753" t="s">
        <v>52093</v>
      </c>
      <c r="E61" s="752" t="s">
        <v>39430</v>
      </c>
      <c r="F61" s="751">
        <v>2025</v>
      </c>
    </row>
    <row r="62" spans="1:6">
      <c r="A62" s="753"/>
      <c r="B62" s="753"/>
      <c r="C62" s="752" t="s">
        <v>52092</v>
      </c>
      <c r="D62" s="753" t="s">
        <v>52091</v>
      </c>
      <c r="E62" s="752" t="s">
        <v>39430</v>
      </c>
      <c r="F62" s="751">
        <v>2125</v>
      </c>
    </row>
    <row r="63" spans="1:6">
      <c r="A63" s="753"/>
      <c r="B63" s="753" t="s">
        <v>52090</v>
      </c>
      <c r="C63" s="752" t="s">
        <v>52089</v>
      </c>
      <c r="D63" s="753" t="s">
        <v>52088</v>
      </c>
      <c r="E63" s="752" t="s">
        <v>37838</v>
      </c>
      <c r="F63" s="751">
        <v>1925</v>
      </c>
    </row>
    <row r="64" spans="1:6">
      <c r="A64" s="753"/>
      <c r="B64" s="753" t="s">
        <v>52087</v>
      </c>
      <c r="C64" s="752" t="s">
        <v>52086</v>
      </c>
      <c r="D64" s="753" t="s">
        <v>52085</v>
      </c>
      <c r="E64" s="752" t="s">
        <v>37838</v>
      </c>
      <c r="F64" s="751">
        <v>2075</v>
      </c>
    </row>
    <row r="65" spans="1:6">
      <c r="A65" s="753"/>
      <c r="B65" s="753">
        <v>650</v>
      </c>
      <c r="C65" s="752" t="s">
        <v>52084</v>
      </c>
      <c r="D65" s="753" t="s">
        <v>52083</v>
      </c>
      <c r="E65" s="752" t="s">
        <v>37838</v>
      </c>
      <c r="F65" s="751">
        <v>1975</v>
      </c>
    </row>
    <row r="66" spans="1:6">
      <c r="A66" s="753"/>
      <c r="B66" s="753" t="s">
        <v>52082</v>
      </c>
      <c r="C66" s="752" t="s">
        <v>52081</v>
      </c>
      <c r="D66" s="753" t="s">
        <v>52080</v>
      </c>
      <c r="E66" s="752" t="s">
        <v>37838</v>
      </c>
      <c r="F66" s="751">
        <v>1975</v>
      </c>
    </row>
    <row r="67" spans="1:6">
      <c r="A67" s="753"/>
      <c r="B67" s="753"/>
      <c r="C67" s="752" t="s">
        <v>52079</v>
      </c>
      <c r="D67" s="753" t="s">
        <v>52078</v>
      </c>
      <c r="E67" s="752" t="s">
        <v>293</v>
      </c>
      <c r="F67" s="751">
        <v>2025</v>
      </c>
    </row>
    <row r="68" spans="1:6">
      <c r="A68" s="753"/>
      <c r="B68" s="753"/>
      <c r="C68" s="752" t="s">
        <v>52077</v>
      </c>
      <c r="D68" s="753" t="s">
        <v>52076</v>
      </c>
      <c r="E68" s="752" t="s">
        <v>293</v>
      </c>
      <c r="F68" s="751">
        <v>2575</v>
      </c>
    </row>
    <row r="69" spans="1:6">
      <c r="A69" s="753"/>
      <c r="B69" s="753"/>
      <c r="C69" s="752" t="s">
        <v>52075</v>
      </c>
      <c r="D69" s="753" t="s">
        <v>52074</v>
      </c>
      <c r="E69" s="752" t="s">
        <v>293</v>
      </c>
      <c r="F69" s="751">
        <v>1825</v>
      </c>
    </row>
    <row r="70" spans="1:6">
      <c r="A70" s="753"/>
      <c r="B70" s="753"/>
      <c r="C70" s="752" t="s">
        <v>52073</v>
      </c>
      <c r="D70" s="753" t="s">
        <v>52072</v>
      </c>
      <c r="E70" s="752" t="s">
        <v>293</v>
      </c>
      <c r="F70" s="751">
        <v>2375</v>
      </c>
    </row>
    <row r="71" spans="1:6">
      <c r="A71" s="753"/>
      <c r="B71" s="753" t="s">
        <v>52071</v>
      </c>
      <c r="C71" s="752" t="s">
        <v>52070</v>
      </c>
      <c r="D71" s="753" t="s">
        <v>52069</v>
      </c>
      <c r="E71" s="752" t="s">
        <v>37838</v>
      </c>
      <c r="F71" s="751">
        <v>1975</v>
      </c>
    </row>
    <row r="72" spans="1:6">
      <c r="A72" s="753"/>
      <c r="B72" s="753" t="s">
        <v>52068</v>
      </c>
      <c r="C72" s="752" t="s">
        <v>52067</v>
      </c>
      <c r="D72" s="753" t="s">
        <v>52066</v>
      </c>
      <c r="E72" s="752" t="s">
        <v>293</v>
      </c>
      <c r="F72" s="751">
        <v>3125</v>
      </c>
    </row>
    <row r="73" spans="1:6">
      <c r="A73" s="753"/>
      <c r="B73" s="753"/>
      <c r="C73" s="752" t="s">
        <v>52065</v>
      </c>
      <c r="D73" s="753" t="s">
        <v>52062</v>
      </c>
      <c r="E73" s="752" t="s">
        <v>293</v>
      </c>
      <c r="F73" s="751">
        <v>2375</v>
      </c>
    </row>
    <row r="74" spans="1:6">
      <c r="A74" s="753"/>
      <c r="B74" s="753"/>
      <c r="C74" s="752" t="s">
        <v>52064</v>
      </c>
      <c r="D74" s="753" t="s">
        <v>52062</v>
      </c>
      <c r="E74" s="752" t="s">
        <v>293</v>
      </c>
      <c r="F74" s="751">
        <v>2375</v>
      </c>
    </row>
    <row r="75" spans="1:6">
      <c r="A75" s="753"/>
      <c r="B75" s="753"/>
      <c r="C75" s="752" t="s">
        <v>52063</v>
      </c>
      <c r="D75" s="753" t="s">
        <v>52062</v>
      </c>
      <c r="E75" s="752" t="s">
        <v>293</v>
      </c>
      <c r="F75" s="751">
        <v>2375</v>
      </c>
    </row>
    <row r="76" spans="1:6">
      <c r="A76" s="753"/>
      <c r="B76" s="753"/>
      <c r="C76" s="752" t="s">
        <v>52061</v>
      </c>
      <c r="D76" s="753" t="s">
        <v>52059</v>
      </c>
      <c r="E76" s="752" t="s">
        <v>293</v>
      </c>
      <c r="F76" s="751">
        <v>2925</v>
      </c>
    </row>
    <row r="77" spans="1:6">
      <c r="A77" s="753"/>
      <c r="B77" s="753"/>
      <c r="C77" s="752" t="s">
        <v>52060</v>
      </c>
      <c r="D77" s="753" t="s">
        <v>52059</v>
      </c>
      <c r="E77" s="752" t="s">
        <v>293</v>
      </c>
      <c r="F77" s="751">
        <v>2925</v>
      </c>
    </row>
    <row r="78" spans="1:6">
      <c r="A78" s="753"/>
      <c r="B78" s="753"/>
      <c r="C78" s="752" t="s">
        <v>52058</v>
      </c>
      <c r="D78" s="753" t="s">
        <v>52057</v>
      </c>
      <c r="E78" s="752" t="s">
        <v>39011</v>
      </c>
      <c r="F78" s="751">
        <v>3935</v>
      </c>
    </row>
    <row r="79" spans="1:6">
      <c r="A79" s="753"/>
      <c r="B79" s="753"/>
      <c r="C79" s="752" t="s">
        <v>52056</v>
      </c>
      <c r="D79" s="753" t="s">
        <v>52055</v>
      </c>
      <c r="E79" s="752" t="s">
        <v>293</v>
      </c>
      <c r="F79" s="751">
        <v>2475</v>
      </c>
    </row>
    <row r="80" spans="1:6">
      <c r="A80" s="753"/>
      <c r="B80" s="753"/>
      <c r="C80" s="752" t="s">
        <v>52054</v>
      </c>
      <c r="D80" s="753" t="s">
        <v>52053</v>
      </c>
      <c r="E80" s="752" t="s">
        <v>293</v>
      </c>
      <c r="F80" s="751">
        <v>2475</v>
      </c>
    </row>
    <row r="81" spans="1:6">
      <c r="A81" s="753"/>
      <c r="B81" s="753"/>
      <c r="C81" s="752" t="s">
        <v>52052</v>
      </c>
      <c r="D81" s="753" t="s">
        <v>52051</v>
      </c>
      <c r="E81" s="752" t="s">
        <v>293</v>
      </c>
      <c r="F81" s="751">
        <v>3025</v>
      </c>
    </row>
    <row r="82" spans="1:6">
      <c r="A82" s="753"/>
      <c r="B82" s="753" t="s">
        <v>52050</v>
      </c>
      <c r="C82" s="752" t="s">
        <v>52049</v>
      </c>
      <c r="D82" s="753" t="s">
        <v>52045</v>
      </c>
      <c r="E82" s="752" t="s">
        <v>293</v>
      </c>
      <c r="F82" s="751">
        <v>2575</v>
      </c>
    </row>
    <row r="83" spans="1:6">
      <c r="A83" s="753"/>
      <c r="B83" s="753"/>
      <c r="C83" s="752" t="s">
        <v>52048</v>
      </c>
      <c r="D83" s="753" t="s">
        <v>52045</v>
      </c>
      <c r="E83" s="752" t="s">
        <v>293</v>
      </c>
      <c r="F83" s="751">
        <v>2575</v>
      </c>
    </row>
    <row r="84" spans="1:6">
      <c r="A84" s="753"/>
      <c r="B84" s="753"/>
      <c r="C84" s="752" t="s">
        <v>52047</v>
      </c>
      <c r="D84" s="753" t="s">
        <v>52045</v>
      </c>
      <c r="E84" s="752" t="s">
        <v>293</v>
      </c>
      <c r="F84" s="751">
        <v>2575</v>
      </c>
    </row>
    <row r="85" spans="1:6">
      <c r="A85" s="753"/>
      <c r="B85" s="753"/>
      <c r="C85" s="752" t="s">
        <v>52046</v>
      </c>
      <c r="D85" s="753" t="s">
        <v>52045</v>
      </c>
      <c r="E85" s="752" t="s">
        <v>38587</v>
      </c>
      <c r="F85" s="751">
        <v>2575</v>
      </c>
    </row>
    <row r="86" spans="1:6">
      <c r="A86" s="753"/>
      <c r="B86" s="753"/>
      <c r="C86" s="752" t="s">
        <v>52044</v>
      </c>
      <c r="D86" s="753" t="s">
        <v>52041</v>
      </c>
      <c r="E86" s="752" t="s">
        <v>293</v>
      </c>
      <c r="F86" s="751">
        <v>3125</v>
      </c>
    </row>
    <row r="87" spans="1:6">
      <c r="A87" s="753"/>
      <c r="B87" s="753"/>
      <c r="C87" s="752" t="s">
        <v>52043</v>
      </c>
      <c r="D87" s="753" t="s">
        <v>52041</v>
      </c>
      <c r="E87" s="752" t="s">
        <v>293</v>
      </c>
      <c r="F87" s="751">
        <v>3125</v>
      </c>
    </row>
    <row r="88" spans="1:6">
      <c r="A88" s="753"/>
      <c r="B88" s="753"/>
      <c r="C88" s="752" t="s">
        <v>52042</v>
      </c>
      <c r="D88" s="753" t="s">
        <v>52041</v>
      </c>
      <c r="E88" s="752" t="s">
        <v>293</v>
      </c>
      <c r="F88" s="751">
        <v>3125</v>
      </c>
    </row>
    <row r="89" spans="1:6">
      <c r="A89" s="753"/>
      <c r="B89" s="753"/>
      <c r="C89" s="752" t="s">
        <v>52040</v>
      </c>
      <c r="D89" s="753" t="s">
        <v>52039</v>
      </c>
      <c r="E89" s="752" t="s">
        <v>293</v>
      </c>
      <c r="F89" s="751">
        <v>3125</v>
      </c>
    </row>
    <row r="90" spans="1:6">
      <c r="A90" s="753"/>
      <c r="B90" s="753"/>
      <c r="C90" s="752" t="s">
        <v>52038</v>
      </c>
      <c r="D90" s="753" t="s">
        <v>52032</v>
      </c>
      <c r="E90" s="752" t="s">
        <v>293</v>
      </c>
      <c r="F90" s="751">
        <v>2375</v>
      </c>
    </row>
    <row r="91" spans="1:6">
      <c r="A91" s="753"/>
      <c r="B91" s="753"/>
      <c r="C91" s="752" t="s">
        <v>52037</v>
      </c>
      <c r="D91" s="753" t="s">
        <v>52032</v>
      </c>
      <c r="E91" s="752" t="s">
        <v>293</v>
      </c>
      <c r="F91" s="751">
        <v>2375</v>
      </c>
    </row>
    <row r="92" spans="1:6">
      <c r="A92" s="753"/>
      <c r="B92" s="753"/>
      <c r="C92" s="752" t="s">
        <v>52036</v>
      </c>
      <c r="D92" s="753" t="s">
        <v>52032</v>
      </c>
      <c r="E92" s="752" t="s">
        <v>293</v>
      </c>
      <c r="F92" s="751">
        <v>2375</v>
      </c>
    </row>
    <row r="93" spans="1:6">
      <c r="A93" s="753"/>
      <c r="B93" s="753"/>
      <c r="C93" s="752" t="s">
        <v>52035</v>
      </c>
      <c r="D93" s="753" t="s">
        <v>52032</v>
      </c>
      <c r="E93" s="752" t="s">
        <v>39011</v>
      </c>
      <c r="F93" s="751">
        <v>3135</v>
      </c>
    </row>
    <row r="94" spans="1:6">
      <c r="A94" s="753"/>
      <c r="B94" s="753"/>
      <c r="C94" s="752" t="s">
        <v>52034</v>
      </c>
      <c r="D94" s="753" t="s">
        <v>52032</v>
      </c>
      <c r="E94" s="752" t="s">
        <v>38550</v>
      </c>
      <c r="F94" s="751">
        <v>3215</v>
      </c>
    </row>
    <row r="95" spans="1:6">
      <c r="A95" s="753"/>
      <c r="B95" s="753"/>
      <c r="C95" s="752" t="s">
        <v>52033</v>
      </c>
      <c r="D95" s="753" t="s">
        <v>52032</v>
      </c>
      <c r="E95" s="752" t="s">
        <v>293</v>
      </c>
      <c r="F95" s="751">
        <v>2375</v>
      </c>
    </row>
    <row r="96" spans="1:6">
      <c r="A96" s="753"/>
      <c r="B96" s="753"/>
      <c r="C96" s="752" t="s">
        <v>52031</v>
      </c>
      <c r="D96" s="753" t="s">
        <v>52027</v>
      </c>
      <c r="E96" s="752" t="s">
        <v>293</v>
      </c>
      <c r="F96" s="751">
        <v>2925</v>
      </c>
    </row>
    <row r="97" spans="1:6">
      <c r="A97" s="753"/>
      <c r="B97" s="753"/>
      <c r="C97" s="752" t="s">
        <v>52030</v>
      </c>
      <c r="D97" s="753" t="s">
        <v>52027</v>
      </c>
      <c r="E97" s="752" t="s">
        <v>293</v>
      </c>
      <c r="F97" s="751">
        <v>2925</v>
      </c>
    </row>
    <row r="98" spans="1:6">
      <c r="A98" s="753"/>
      <c r="B98" s="753"/>
      <c r="C98" s="752" t="s">
        <v>52029</v>
      </c>
      <c r="D98" s="753" t="s">
        <v>52027</v>
      </c>
      <c r="E98" s="752" t="s">
        <v>293</v>
      </c>
      <c r="F98" s="751">
        <v>2925</v>
      </c>
    </row>
    <row r="99" spans="1:6">
      <c r="A99" s="753"/>
      <c r="B99" s="753"/>
      <c r="C99" s="752" t="s">
        <v>52028</v>
      </c>
      <c r="D99" s="753" t="s">
        <v>52027</v>
      </c>
      <c r="E99" s="752" t="s">
        <v>293</v>
      </c>
      <c r="F99" s="751">
        <v>2925</v>
      </c>
    </row>
    <row r="100" spans="1:6">
      <c r="A100" s="753"/>
      <c r="B100" s="753"/>
      <c r="C100" s="752" t="s">
        <v>52026</v>
      </c>
      <c r="D100" s="753" t="s">
        <v>52025</v>
      </c>
      <c r="E100" s="752" t="s">
        <v>293</v>
      </c>
      <c r="F100" s="751">
        <v>2925</v>
      </c>
    </row>
    <row r="101" spans="1:6">
      <c r="A101" s="753"/>
      <c r="B101" s="753"/>
      <c r="C101" s="752" t="s">
        <v>52024</v>
      </c>
      <c r="D101" s="753" t="s">
        <v>52022</v>
      </c>
      <c r="E101" s="752" t="s">
        <v>293</v>
      </c>
      <c r="F101" s="751">
        <v>2925</v>
      </c>
    </row>
    <row r="102" spans="1:6">
      <c r="A102" s="753"/>
      <c r="B102" s="753"/>
      <c r="C102" s="752" t="s">
        <v>52023</v>
      </c>
      <c r="D102" s="753" t="s">
        <v>52022</v>
      </c>
      <c r="E102" s="752" t="s">
        <v>293</v>
      </c>
      <c r="F102" s="751">
        <v>2925</v>
      </c>
    </row>
    <row r="103" spans="1:6">
      <c r="A103" s="753"/>
      <c r="B103" s="753"/>
      <c r="C103" s="752" t="s">
        <v>52021</v>
      </c>
      <c r="D103" s="753" t="s">
        <v>52018</v>
      </c>
      <c r="E103" s="752" t="s">
        <v>293</v>
      </c>
      <c r="F103" s="751">
        <v>2475</v>
      </c>
    </row>
    <row r="104" spans="1:6">
      <c r="A104" s="753"/>
      <c r="B104" s="753"/>
      <c r="C104" s="752" t="s">
        <v>52020</v>
      </c>
      <c r="D104" s="753" t="s">
        <v>52018</v>
      </c>
      <c r="E104" s="752" t="s">
        <v>293</v>
      </c>
      <c r="F104" s="751">
        <v>2475</v>
      </c>
    </row>
    <row r="105" spans="1:6">
      <c r="A105" s="753"/>
      <c r="B105" s="753"/>
      <c r="C105" s="752" t="s">
        <v>52019</v>
      </c>
      <c r="D105" s="753" t="s">
        <v>52018</v>
      </c>
      <c r="E105" s="752" t="s">
        <v>293</v>
      </c>
      <c r="F105" s="751">
        <v>2475</v>
      </c>
    </row>
    <row r="106" spans="1:6">
      <c r="A106" s="753"/>
      <c r="B106" s="753"/>
      <c r="C106" s="752" t="s">
        <v>52017</v>
      </c>
      <c r="D106" s="753" t="s">
        <v>52015</v>
      </c>
      <c r="E106" s="752" t="s">
        <v>293</v>
      </c>
      <c r="F106" s="751">
        <v>3025</v>
      </c>
    </row>
    <row r="107" spans="1:6">
      <c r="A107" s="753"/>
      <c r="B107" s="753"/>
      <c r="C107" s="752" t="s">
        <v>52016</v>
      </c>
      <c r="D107" s="753" t="s">
        <v>52015</v>
      </c>
      <c r="E107" s="752" t="s">
        <v>293</v>
      </c>
      <c r="F107" s="751">
        <v>2825</v>
      </c>
    </row>
    <row r="108" spans="1:6">
      <c r="A108" s="753"/>
      <c r="B108" s="753" t="s">
        <v>52014</v>
      </c>
      <c r="C108" s="752" t="s">
        <v>52013</v>
      </c>
      <c r="D108" s="753" t="s">
        <v>52011</v>
      </c>
      <c r="E108" s="752" t="s">
        <v>293</v>
      </c>
      <c r="F108" s="751">
        <v>2575</v>
      </c>
    </row>
    <row r="109" spans="1:6">
      <c r="A109" s="753"/>
      <c r="B109" s="753"/>
      <c r="C109" s="752" t="s">
        <v>52012</v>
      </c>
      <c r="D109" s="753" t="s">
        <v>52011</v>
      </c>
      <c r="E109" s="752" t="s">
        <v>293</v>
      </c>
      <c r="F109" s="751">
        <v>2375</v>
      </c>
    </row>
    <row r="110" spans="1:6">
      <c r="A110" s="753"/>
      <c r="B110" s="753"/>
      <c r="C110" s="752" t="s">
        <v>52010</v>
      </c>
      <c r="D110" s="753" t="s">
        <v>52009</v>
      </c>
      <c r="E110" s="752" t="s">
        <v>293</v>
      </c>
      <c r="F110" s="751">
        <v>3125</v>
      </c>
    </row>
    <row r="111" spans="1:6">
      <c r="A111" s="753"/>
      <c r="B111" s="753"/>
      <c r="C111" s="752" t="s">
        <v>52008</v>
      </c>
      <c r="D111" s="753" t="s">
        <v>52007</v>
      </c>
      <c r="E111" s="752" t="s">
        <v>293</v>
      </c>
      <c r="F111" s="751">
        <v>2375</v>
      </c>
    </row>
    <row r="112" spans="1:6">
      <c r="A112" s="753"/>
      <c r="B112" s="753"/>
      <c r="C112" s="752" t="s">
        <v>52006</v>
      </c>
      <c r="D112" s="753" t="s">
        <v>52005</v>
      </c>
      <c r="E112" s="752" t="s">
        <v>293</v>
      </c>
      <c r="F112" s="751">
        <v>2925</v>
      </c>
    </row>
    <row r="113" spans="1:6">
      <c r="A113" s="753"/>
      <c r="B113" s="753" t="s">
        <v>52004</v>
      </c>
      <c r="C113" s="752" t="s">
        <v>52003</v>
      </c>
      <c r="D113" s="753" t="s">
        <v>52002</v>
      </c>
      <c r="E113" s="752" t="s">
        <v>46807</v>
      </c>
      <c r="F113" s="751">
        <v>2325</v>
      </c>
    </row>
    <row r="114" spans="1:6">
      <c r="A114" s="753"/>
      <c r="B114" s="753"/>
      <c r="C114" s="752" t="s">
        <v>52001</v>
      </c>
      <c r="D114" s="753" t="s">
        <v>52000</v>
      </c>
      <c r="E114" s="752" t="s">
        <v>38539</v>
      </c>
      <c r="F114" s="751">
        <v>2575</v>
      </c>
    </row>
    <row r="115" spans="1:6">
      <c r="A115" s="753"/>
      <c r="B115" s="753"/>
      <c r="C115" s="752" t="s">
        <v>51999</v>
      </c>
      <c r="D115" s="753" t="s">
        <v>51997</v>
      </c>
      <c r="E115" s="752" t="s">
        <v>46807</v>
      </c>
      <c r="F115" s="751">
        <v>2125</v>
      </c>
    </row>
    <row r="116" spans="1:6">
      <c r="A116" s="753"/>
      <c r="B116" s="753"/>
      <c r="C116" s="752" t="s">
        <v>51998</v>
      </c>
      <c r="D116" s="753" t="s">
        <v>51997</v>
      </c>
      <c r="E116" s="752" t="s">
        <v>38539</v>
      </c>
      <c r="F116" s="751">
        <v>2625</v>
      </c>
    </row>
    <row r="117" spans="1:6">
      <c r="A117" s="753"/>
      <c r="B117" s="753"/>
      <c r="C117" s="752" t="s">
        <v>51996</v>
      </c>
      <c r="D117" s="753" t="s">
        <v>51994</v>
      </c>
      <c r="E117" s="752" t="s">
        <v>38539</v>
      </c>
      <c r="F117" s="751">
        <v>2725</v>
      </c>
    </row>
    <row r="118" spans="1:6">
      <c r="A118" s="753"/>
      <c r="B118" s="753"/>
      <c r="C118" s="752" t="s">
        <v>51995</v>
      </c>
      <c r="D118" s="753" t="s">
        <v>51994</v>
      </c>
      <c r="E118" s="752" t="s">
        <v>46076</v>
      </c>
      <c r="F118" s="751">
        <v>3235</v>
      </c>
    </row>
    <row r="119" spans="1:6">
      <c r="A119" s="753" t="s">
        <v>51993</v>
      </c>
      <c r="B119" s="753" t="s">
        <v>51992</v>
      </c>
      <c r="C119" s="752" t="s">
        <v>51991</v>
      </c>
      <c r="D119" s="753" t="s">
        <v>51990</v>
      </c>
      <c r="E119" s="752" t="s">
        <v>293</v>
      </c>
      <c r="F119" s="751">
        <v>4515</v>
      </c>
    </row>
    <row r="120" spans="1:6">
      <c r="A120" s="753"/>
      <c r="B120" s="753"/>
      <c r="C120" s="752" t="s">
        <v>51989</v>
      </c>
      <c r="D120" s="753" t="s">
        <v>51977</v>
      </c>
      <c r="E120" s="752" t="s">
        <v>293</v>
      </c>
      <c r="F120" s="751">
        <v>2825</v>
      </c>
    </row>
    <row r="121" spans="1:6">
      <c r="A121" s="753"/>
      <c r="B121" s="753"/>
      <c r="C121" s="752" t="s">
        <v>51988</v>
      </c>
      <c r="D121" s="753" t="s">
        <v>51977</v>
      </c>
      <c r="E121" s="752" t="s">
        <v>51987</v>
      </c>
      <c r="F121" s="751">
        <v>2325</v>
      </c>
    </row>
    <row r="122" spans="1:6">
      <c r="A122" s="753"/>
      <c r="B122" s="753"/>
      <c r="C122" s="752" t="s">
        <v>51986</v>
      </c>
      <c r="D122" s="753" t="s">
        <v>51977</v>
      </c>
      <c r="E122" s="752" t="s">
        <v>293</v>
      </c>
      <c r="F122" s="751">
        <v>2825</v>
      </c>
    </row>
    <row r="123" spans="1:6">
      <c r="A123" s="753"/>
      <c r="B123" s="753"/>
      <c r="C123" s="752" t="s">
        <v>51985</v>
      </c>
      <c r="D123" s="753" t="s">
        <v>51984</v>
      </c>
      <c r="E123" s="752" t="s">
        <v>293</v>
      </c>
      <c r="F123" s="751">
        <v>3375</v>
      </c>
    </row>
    <row r="124" spans="1:6">
      <c r="A124" s="753"/>
      <c r="B124" s="753"/>
      <c r="C124" s="752" t="s">
        <v>51983</v>
      </c>
      <c r="D124" s="753" t="s">
        <v>51982</v>
      </c>
      <c r="E124" s="752" t="s">
        <v>293</v>
      </c>
      <c r="F124" s="751">
        <v>2625</v>
      </c>
    </row>
    <row r="125" spans="1:6">
      <c r="A125" s="753"/>
      <c r="B125" s="753"/>
      <c r="C125" s="752" t="s">
        <v>51981</v>
      </c>
      <c r="D125" s="753" t="s">
        <v>51979</v>
      </c>
      <c r="E125" s="752" t="s">
        <v>293</v>
      </c>
      <c r="F125" s="751">
        <v>3175</v>
      </c>
    </row>
    <row r="126" spans="1:6">
      <c r="A126" s="753"/>
      <c r="B126" s="753"/>
      <c r="C126" s="752" t="s">
        <v>51980</v>
      </c>
      <c r="D126" s="753" t="s">
        <v>51979</v>
      </c>
      <c r="E126" s="752" t="s">
        <v>37758</v>
      </c>
      <c r="F126" s="751">
        <v>3175</v>
      </c>
    </row>
    <row r="127" spans="1:6">
      <c r="A127" s="753"/>
      <c r="B127" s="753"/>
      <c r="C127" s="752" t="s">
        <v>51978</v>
      </c>
      <c r="D127" s="753" t="s">
        <v>51977</v>
      </c>
      <c r="E127" s="752" t="s">
        <v>38962</v>
      </c>
      <c r="F127" s="751">
        <v>2175</v>
      </c>
    </row>
    <row r="128" spans="1:6">
      <c r="A128" s="753"/>
      <c r="B128" s="753"/>
      <c r="C128" s="752" t="s">
        <v>51976</v>
      </c>
      <c r="D128" s="753" t="s">
        <v>51975</v>
      </c>
      <c r="E128" s="752" t="s">
        <v>293</v>
      </c>
      <c r="F128" s="751">
        <v>2225</v>
      </c>
    </row>
    <row r="129" spans="1:6">
      <c r="A129" s="753"/>
      <c r="B129" s="753" t="s">
        <v>51974</v>
      </c>
      <c r="C129" s="752" t="s">
        <v>51973</v>
      </c>
      <c r="D129" s="753" t="s">
        <v>51972</v>
      </c>
      <c r="E129" s="752" t="s">
        <v>293</v>
      </c>
      <c r="F129" s="751">
        <v>2125</v>
      </c>
    </row>
    <row r="130" spans="1:6">
      <c r="A130" s="753"/>
      <c r="B130" s="753"/>
      <c r="C130" s="752" t="s">
        <v>51971</v>
      </c>
      <c r="D130" s="753" t="s">
        <v>51970</v>
      </c>
      <c r="E130" s="752" t="s">
        <v>293</v>
      </c>
      <c r="F130" s="751">
        <v>1925</v>
      </c>
    </row>
    <row r="131" spans="1:6">
      <c r="A131" s="753"/>
      <c r="B131" s="753"/>
      <c r="C131" s="752" t="s">
        <v>51969</v>
      </c>
      <c r="D131" s="753" t="s">
        <v>51968</v>
      </c>
      <c r="E131" s="752" t="s">
        <v>293</v>
      </c>
      <c r="F131" s="751">
        <v>2475</v>
      </c>
    </row>
    <row r="132" spans="1:6">
      <c r="A132" s="753"/>
      <c r="B132" s="753" t="s">
        <v>51967</v>
      </c>
      <c r="C132" s="752" t="s">
        <v>51966</v>
      </c>
      <c r="D132" s="753" t="s">
        <v>51965</v>
      </c>
      <c r="E132" s="752" t="s">
        <v>293</v>
      </c>
      <c r="F132" s="751">
        <v>2575</v>
      </c>
    </row>
    <row r="133" spans="1:6">
      <c r="A133" s="753"/>
      <c r="B133" s="753"/>
      <c r="C133" s="752" t="s">
        <v>51964</v>
      </c>
      <c r="D133" s="753" t="s">
        <v>51963</v>
      </c>
      <c r="E133" s="752" t="s">
        <v>293</v>
      </c>
      <c r="F133" s="751">
        <v>3125</v>
      </c>
    </row>
    <row r="134" spans="1:6">
      <c r="A134" s="753"/>
      <c r="B134" s="753"/>
      <c r="C134" s="752" t="s">
        <v>51962</v>
      </c>
      <c r="D134" s="753" t="s">
        <v>51961</v>
      </c>
      <c r="E134" s="752" t="s">
        <v>293</v>
      </c>
      <c r="F134" s="751">
        <v>3125</v>
      </c>
    </row>
    <row r="135" spans="1:6">
      <c r="A135" s="753"/>
      <c r="B135" s="753"/>
      <c r="C135" s="752" t="s">
        <v>51960</v>
      </c>
      <c r="D135" s="753" t="s">
        <v>51959</v>
      </c>
      <c r="E135" s="752" t="s">
        <v>293</v>
      </c>
      <c r="F135" s="751">
        <v>2375</v>
      </c>
    </row>
    <row r="136" spans="1:6">
      <c r="A136" s="753"/>
      <c r="B136" s="753"/>
      <c r="C136" s="752" t="s">
        <v>51958</v>
      </c>
      <c r="D136" s="753" t="s">
        <v>51957</v>
      </c>
      <c r="E136" s="752" t="s">
        <v>293</v>
      </c>
      <c r="F136" s="751">
        <v>2925</v>
      </c>
    </row>
    <row r="137" spans="1:6">
      <c r="A137" s="753"/>
      <c r="B137" s="753"/>
      <c r="C137" s="752" t="s">
        <v>51956</v>
      </c>
      <c r="D137" s="753" t="s">
        <v>51955</v>
      </c>
      <c r="E137" s="752" t="s">
        <v>293</v>
      </c>
      <c r="F137" s="751">
        <v>2925</v>
      </c>
    </row>
    <row r="138" spans="1:6">
      <c r="A138" s="753"/>
      <c r="B138" s="753"/>
      <c r="C138" s="752" t="s">
        <v>51954</v>
      </c>
      <c r="D138" s="753" t="s">
        <v>51953</v>
      </c>
      <c r="E138" s="752" t="s">
        <v>293</v>
      </c>
      <c r="F138" s="751">
        <v>2475</v>
      </c>
    </row>
    <row r="139" spans="1:6">
      <c r="A139" s="753"/>
      <c r="B139" s="753"/>
      <c r="C139" s="752" t="s">
        <v>51952</v>
      </c>
      <c r="D139" s="753" t="s">
        <v>51951</v>
      </c>
      <c r="E139" s="752" t="s">
        <v>293</v>
      </c>
      <c r="F139" s="751">
        <v>3025</v>
      </c>
    </row>
    <row r="140" spans="1:6">
      <c r="A140" s="753"/>
      <c r="B140" s="753"/>
      <c r="C140" s="752" t="s">
        <v>51950</v>
      </c>
      <c r="D140" s="753" t="s">
        <v>51949</v>
      </c>
      <c r="E140" s="752" t="s">
        <v>293</v>
      </c>
      <c r="F140" s="751">
        <v>3025</v>
      </c>
    </row>
    <row r="141" spans="1:6">
      <c r="A141" s="753"/>
      <c r="B141" s="753" t="s">
        <v>51948</v>
      </c>
      <c r="C141" s="752" t="s">
        <v>51947</v>
      </c>
      <c r="D141" s="753" t="s">
        <v>51944</v>
      </c>
      <c r="E141" s="752" t="s">
        <v>37838</v>
      </c>
      <c r="F141" s="751">
        <v>1975</v>
      </c>
    </row>
    <row r="142" spans="1:6">
      <c r="A142" s="753"/>
      <c r="B142" s="753"/>
      <c r="C142" s="752" t="s">
        <v>51946</v>
      </c>
      <c r="D142" s="753" t="s">
        <v>51944</v>
      </c>
      <c r="E142" s="752" t="s">
        <v>37838</v>
      </c>
      <c r="F142" s="751">
        <v>1975</v>
      </c>
    </row>
    <row r="143" spans="1:6">
      <c r="A143" s="753"/>
      <c r="B143" s="753"/>
      <c r="C143" s="752" t="s">
        <v>51945</v>
      </c>
      <c r="D143" s="753" t="s">
        <v>51944</v>
      </c>
      <c r="E143" s="752" t="s">
        <v>39060</v>
      </c>
      <c r="F143" s="751">
        <v>1975</v>
      </c>
    </row>
    <row r="144" spans="1:6">
      <c r="A144" s="753"/>
      <c r="B144" s="753"/>
      <c r="C144" s="752" t="s">
        <v>51943</v>
      </c>
      <c r="D144" s="753" t="s">
        <v>51942</v>
      </c>
      <c r="E144" s="752" t="s">
        <v>39060</v>
      </c>
      <c r="F144" s="751">
        <v>1975</v>
      </c>
    </row>
    <row r="145" spans="1:6">
      <c r="A145" s="753"/>
      <c r="B145" s="753" t="s">
        <v>51941</v>
      </c>
      <c r="C145" s="752" t="s">
        <v>51940</v>
      </c>
      <c r="D145" s="753" t="s">
        <v>51938</v>
      </c>
      <c r="E145" s="752" t="s">
        <v>37838</v>
      </c>
      <c r="F145" s="751">
        <v>1975</v>
      </c>
    </row>
    <row r="146" spans="1:6">
      <c r="A146" s="753"/>
      <c r="B146" s="753"/>
      <c r="C146" s="752" t="s">
        <v>51939</v>
      </c>
      <c r="D146" s="753" t="s">
        <v>51938</v>
      </c>
      <c r="E146" s="752" t="s">
        <v>39055</v>
      </c>
      <c r="F146" s="751">
        <v>1975</v>
      </c>
    </row>
    <row r="147" spans="1:6">
      <c r="A147" s="753"/>
      <c r="B147" s="753" t="s">
        <v>51937</v>
      </c>
      <c r="C147" s="752" t="s">
        <v>51936</v>
      </c>
      <c r="D147" s="753" t="s">
        <v>51935</v>
      </c>
      <c r="E147" s="752" t="s">
        <v>37838</v>
      </c>
      <c r="F147" s="751">
        <v>2225</v>
      </c>
    </row>
    <row r="148" spans="1:6">
      <c r="A148" s="753"/>
      <c r="B148" s="753" t="s">
        <v>51934</v>
      </c>
      <c r="C148" s="752" t="s">
        <v>51933</v>
      </c>
      <c r="D148" s="753" t="s">
        <v>51932</v>
      </c>
      <c r="E148" s="752" t="s">
        <v>293</v>
      </c>
      <c r="F148" s="751">
        <v>4365</v>
      </c>
    </row>
    <row r="149" spans="1:6">
      <c r="A149" s="753"/>
      <c r="B149" s="753"/>
      <c r="C149" s="752" t="s">
        <v>51931</v>
      </c>
      <c r="D149" s="753" t="s">
        <v>51930</v>
      </c>
      <c r="E149" s="752" t="s">
        <v>293</v>
      </c>
      <c r="F149" s="751">
        <v>2575</v>
      </c>
    </row>
    <row r="150" spans="1:6">
      <c r="A150" s="753"/>
      <c r="B150" s="753"/>
      <c r="C150" s="752" t="s">
        <v>51929</v>
      </c>
      <c r="D150" s="753" t="s">
        <v>51928</v>
      </c>
      <c r="E150" s="752" t="s">
        <v>293</v>
      </c>
      <c r="F150" s="751">
        <v>3125</v>
      </c>
    </row>
    <row r="151" spans="1:6">
      <c r="A151" s="753"/>
      <c r="B151" s="753"/>
      <c r="C151" s="752" t="s">
        <v>51927</v>
      </c>
      <c r="D151" s="753" t="s">
        <v>51926</v>
      </c>
      <c r="E151" s="752" t="s">
        <v>293</v>
      </c>
      <c r="F151" s="751">
        <v>2375</v>
      </c>
    </row>
    <row r="152" spans="1:6">
      <c r="A152" s="753"/>
      <c r="B152" s="753"/>
      <c r="C152" s="752" t="s">
        <v>51925</v>
      </c>
      <c r="D152" s="753" t="s">
        <v>51924</v>
      </c>
      <c r="E152" s="752" t="s">
        <v>293</v>
      </c>
      <c r="F152" s="751">
        <v>2925</v>
      </c>
    </row>
    <row r="153" spans="1:6">
      <c r="A153" s="753"/>
      <c r="B153" s="753" t="s">
        <v>51923</v>
      </c>
      <c r="C153" s="752" t="s">
        <v>51922</v>
      </c>
      <c r="D153" s="753" t="s">
        <v>51920</v>
      </c>
      <c r="E153" s="752" t="s">
        <v>293</v>
      </c>
      <c r="F153" s="751">
        <v>3375</v>
      </c>
    </row>
    <row r="154" spans="1:6">
      <c r="A154" s="753"/>
      <c r="B154" s="753"/>
      <c r="C154" s="752" t="s">
        <v>51921</v>
      </c>
      <c r="D154" s="753" t="s">
        <v>51920</v>
      </c>
      <c r="E154" s="752" t="s">
        <v>38577</v>
      </c>
      <c r="F154" s="751">
        <v>4135</v>
      </c>
    </row>
    <row r="155" spans="1:6">
      <c r="A155" s="753"/>
      <c r="B155" s="753"/>
      <c r="C155" s="752" t="s">
        <v>51919</v>
      </c>
      <c r="D155" s="753" t="s">
        <v>51918</v>
      </c>
      <c r="E155" s="752" t="s">
        <v>293</v>
      </c>
      <c r="F155" s="751">
        <v>3175</v>
      </c>
    </row>
    <row r="156" spans="1:6">
      <c r="A156" s="753"/>
      <c r="B156" s="753" t="s">
        <v>51917</v>
      </c>
      <c r="C156" s="752" t="s">
        <v>51916</v>
      </c>
      <c r="D156" s="753" t="s">
        <v>51915</v>
      </c>
      <c r="E156" s="752" t="s">
        <v>293</v>
      </c>
      <c r="F156" s="751">
        <v>2325</v>
      </c>
    </row>
    <row r="157" spans="1:6">
      <c r="A157" s="753"/>
      <c r="B157" s="753"/>
      <c r="C157" s="752" t="s">
        <v>51914</v>
      </c>
      <c r="D157" s="753" t="s">
        <v>51913</v>
      </c>
      <c r="E157" s="752" t="s">
        <v>293</v>
      </c>
      <c r="F157" s="751">
        <v>2225</v>
      </c>
    </row>
    <row r="158" spans="1:6">
      <c r="A158" s="753"/>
      <c r="B158" s="753"/>
      <c r="C158" s="752" t="s">
        <v>51912</v>
      </c>
      <c r="D158" s="753" t="s">
        <v>51911</v>
      </c>
      <c r="E158" s="752" t="s">
        <v>293</v>
      </c>
      <c r="F158" s="751">
        <v>2875</v>
      </c>
    </row>
    <row r="159" spans="1:6">
      <c r="A159" s="753"/>
      <c r="B159" s="753"/>
      <c r="C159" s="752" t="s">
        <v>51910</v>
      </c>
      <c r="D159" s="753" t="s">
        <v>51909</v>
      </c>
      <c r="E159" s="752" t="s">
        <v>293</v>
      </c>
      <c r="F159" s="751">
        <v>2675</v>
      </c>
    </row>
    <row r="160" spans="1:6">
      <c r="A160" s="753"/>
      <c r="B160" s="753"/>
      <c r="C160" s="752" t="s">
        <v>51908</v>
      </c>
      <c r="D160" s="753" t="s">
        <v>51907</v>
      </c>
      <c r="E160" s="752" t="s">
        <v>293</v>
      </c>
      <c r="F160" s="751">
        <v>2775</v>
      </c>
    </row>
    <row r="161" spans="1:6">
      <c r="A161" s="753"/>
      <c r="B161" s="753"/>
      <c r="C161" s="752" t="s">
        <v>51906</v>
      </c>
      <c r="D161" s="753" t="s">
        <v>51905</v>
      </c>
      <c r="E161" s="752" t="s">
        <v>293</v>
      </c>
      <c r="F161" s="751">
        <v>2125</v>
      </c>
    </row>
    <row r="162" spans="1:6">
      <c r="A162" s="753"/>
      <c r="B162" s="753"/>
      <c r="C162" s="752" t="s">
        <v>51904</v>
      </c>
      <c r="D162" s="753" t="s">
        <v>51903</v>
      </c>
      <c r="E162" s="752" t="s">
        <v>293</v>
      </c>
      <c r="F162" s="751">
        <v>2775</v>
      </c>
    </row>
    <row r="163" spans="1:6">
      <c r="A163" s="753"/>
      <c r="B163" s="753"/>
      <c r="C163" s="752" t="s">
        <v>51902</v>
      </c>
      <c r="D163" s="753" t="s">
        <v>51901</v>
      </c>
      <c r="E163" s="752" t="s">
        <v>293</v>
      </c>
      <c r="F163" s="751">
        <v>2875</v>
      </c>
    </row>
    <row r="164" spans="1:6">
      <c r="A164" s="753"/>
      <c r="B164" s="753"/>
      <c r="C164" s="752" t="s">
        <v>51900</v>
      </c>
      <c r="D164" s="753" t="s">
        <v>51899</v>
      </c>
      <c r="E164" s="752" t="s">
        <v>293</v>
      </c>
      <c r="F164" s="751">
        <v>2675</v>
      </c>
    </row>
    <row r="165" spans="1:6">
      <c r="A165" s="753" t="s">
        <v>51898</v>
      </c>
      <c r="B165" s="753" t="s">
        <v>51897</v>
      </c>
      <c r="C165" s="752" t="s">
        <v>51896</v>
      </c>
      <c r="D165" s="753" t="s">
        <v>51895</v>
      </c>
      <c r="E165" s="752" t="s">
        <v>39088</v>
      </c>
      <c r="F165" s="751">
        <v>2075</v>
      </c>
    </row>
    <row r="166" spans="1:6">
      <c r="A166" s="753"/>
      <c r="B166" s="753"/>
      <c r="C166" s="752" t="s">
        <v>51894</v>
      </c>
      <c r="D166" s="753" t="s">
        <v>51892</v>
      </c>
      <c r="E166" s="752" t="s">
        <v>39088</v>
      </c>
      <c r="F166" s="751">
        <v>2075</v>
      </c>
    </row>
    <row r="167" spans="1:6">
      <c r="A167" s="753"/>
      <c r="B167" s="753"/>
      <c r="C167" s="752" t="s">
        <v>51893</v>
      </c>
      <c r="D167" s="753" t="s">
        <v>51892</v>
      </c>
      <c r="E167" s="752" t="s">
        <v>39088</v>
      </c>
      <c r="F167" s="751">
        <v>2075</v>
      </c>
    </row>
    <row r="168" spans="1:6">
      <c r="A168" s="753"/>
      <c r="B168" s="753" t="s">
        <v>51891</v>
      </c>
      <c r="C168" s="752" t="s">
        <v>51890</v>
      </c>
      <c r="D168" s="753" t="s">
        <v>51889</v>
      </c>
      <c r="E168" s="752" t="s">
        <v>37838</v>
      </c>
      <c r="F168" s="751">
        <v>1975</v>
      </c>
    </row>
    <row r="169" spans="1:6">
      <c r="A169" s="753"/>
      <c r="B169" s="753" t="s">
        <v>51888</v>
      </c>
      <c r="C169" s="752" t="s">
        <v>51887</v>
      </c>
      <c r="D169" s="753" t="s">
        <v>51884</v>
      </c>
      <c r="E169" s="752" t="s">
        <v>38577</v>
      </c>
      <c r="F169" s="751">
        <v>5125</v>
      </c>
    </row>
    <row r="170" spans="1:6">
      <c r="A170" s="753"/>
      <c r="B170" s="753"/>
      <c r="C170" s="752" t="s">
        <v>51886</v>
      </c>
      <c r="D170" s="753" t="s">
        <v>51878</v>
      </c>
      <c r="E170" s="752" t="s">
        <v>293</v>
      </c>
      <c r="F170" s="751">
        <v>4265</v>
      </c>
    </row>
    <row r="171" spans="1:6">
      <c r="A171" s="753"/>
      <c r="B171" s="753"/>
      <c r="C171" s="752" t="s">
        <v>51885</v>
      </c>
      <c r="D171" s="753" t="s">
        <v>51884</v>
      </c>
      <c r="E171" s="752" t="s">
        <v>38577</v>
      </c>
      <c r="F171" s="751">
        <v>5125</v>
      </c>
    </row>
    <row r="172" spans="1:6">
      <c r="A172" s="753"/>
      <c r="B172" s="753"/>
      <c r="C172" s="752" t="s">
        <v>51883</v>
      </c>
      <c r="D172" s="753" t="s">
        <v>51878</v>
      </c>
      <c r="E172" s="752" t="s">
        <v>293</v>
      </c>
      <c r="F172" s="751">
        <v>4265</v>
      </c>
    </row>
    <row r="173" spans="1:6">
      <c r="A173" s="753"/>
      <c r="B173" s="753"/>
      <c r="C173" s="752" t="s">
        <v>51882</v>
      </c>
      <c r="D173" s="753" t="s">
        <v>51880</v>
      </c>
      <c r="E173" s="752" t="s">
        <v>293</v>
      </c>
      <c r="F173" s="751">
        <v>3875</v>
      </c>
    </row>
    <row r="174" spans="1:6">
      <c r="A174" s="753"/>
      <c r="B174" s="753"/>
      <c r="C174" s="752" t="s">
        <v>51881</v>
      </c>
      <c r="D174" s="753" t="s">
        <v>51880</v>
      </c>
      <c r="E174" s="752" t="s">
        <v>293</v>
      </c>
      <c r="F174" s="751">
        <v>4125</v>
      </c>
    </row>
    <row r="175" spans="1:6">
      <c r="A175" s="753"/>
      <c r="B175" s="753"/>
      <c r="C175" s="752" t="s">
        <v>51879</v>
      </c>
      <c r="D175" s="753" t="s">
        <v>51878</v>
      </c>
      <c r="E175" s="752" t="s">
        <v>293</v>
      </c>
      <c r="F175" s="751">
        <v>4515</v>
      </c>
    </row>
    <row r="176" spans="1:6">
      <c r="A176" s="753"/>
      <c r="B176" s="753"/>
      <c r="C176" s="752" t="s">
        <v>51877</v>
      </c>
      <c r="D176" s="753" t="s">
        <v>51873</v>
      </c>
      <c r="E176" s="752" t="s">
        <v>293</v>
      </c>
      <c r="F176" s="751">
        <v>5195</v>
      </c>
    </row>
    <row r="177" spans="1:6">
      <c r="A177" s="753"/>
      <c r="B177" s="753"/>
      <c r="C177" s="752" t="s">
        <v>51876</v>
      </c>
      <c r="D177" s="753" t="s">
        <v>51875</v>
      </c>
      <c r="E177" s="752" t="s">
        <v>293</v>
      </c>
      <c r="F177" s="751">
        <v>5495</v>
      </c>
    </row>
    <row r="178" spans="1:6">
      <c r="A178" s="753"/>
      <c r="B178" s="753"/>
      <c r="C178" s="752" t="s">
        <v>51874</v>
      </c>
      <c r="D178" s="753" t="s">
        <v>51873</v>
      </c>
      <c r="E178" s="752" t="s">
        <v>293</v>
      </c>
      <c r="F178" s="751">
        <v>5495</v>
      </c>
    </row>
    <row r="179" spans="1:6">
      <c r="A179" s="753"/>
      <c r="B179" s="753"/>
      <c r="C179" s="752" t="s">
        <v>51872</v>
      </c>
      <c r="D179" s="753" t="s">
        <v>51859</v>
      </c>
      <c r="E179" s="752" t="s">
        <v>293</v>
      </c>
      <c r="F179" s="751">
        <v>2825</v>
      </c>
    </row>
    <row r="180" spans="1:6">
      <c r="A180" s="753"/>
      <c r="B180" s="753"/>
      <c r="C180" s="752" t="s">
        <v>51871</v>
      </c>
      <c r="D180" s="753" t="s">
        <v>51859</v>
      </c>
      <c r="E180" s="752" t="s">
        <v>39011</v>
      </c>
      <c r="F180" s="751">
        <v>3585</v>
      </c>
    </row>
    <row r="181" spans="1:6">
      <c r="A181" s="753"/>
      <c r="B181" s="753"/>
      <c r="C181" s="752" t="s">
        <v>51870</v>
      </c>
      <c r="D181" s="753" t="s">
        <v>51859</v>
      </c>
      <c r="E181" s="752" t="s">
        <v>293</v>
      </c>
      <c r="F181" s="751">
        <v>2825</v>
      </c>
    </row>
    <row r="182" spans="1:6">
      <c r="A182" s="753"/>
      <c r="B182" s="753"/>
      <c r="C182" s="752" t="s">
        <v>51869</v>
      </c>
      <c r="D182" s="753" t="s">
        <v>51859</v>
      </c>
      <c r="E182" s="752" t="s">
        <v>39996</v>
      </c>
      <c r="F182" s="751">
        <v>2575</v>
      </c>
    </row>
    <row r="183" spans="1:6">
      <c r="A183" s="753"/>
      <c r="B183" s="753"/>
      <c r="C183" s="752" t="s">
        <v>51868</v>
      </c>
      <c r="D183" s="753" t="s">
        <v>51859</v>
      </c>
      <c r="E183" s="752" t="s">
        <v>293</v>
      </c>
      <c r="F183" s="751">
        <v>2825</v>
      </c>
    </row>
    <row r="184" spans="1:6">
      <c r="A184" s="753"/>
      <c r="B184" s="753"/>
      <c r="C184" s="752" t="s">
        <v>51867</v>
      </c>
      <c r="D184" s="753" t="s">
        <v>51859</v>
      </c>
      <c r="E184" s="752" t="s">
        <v>39097</v>
      </c>
      <c r="F184" s="751">
        <v>2825</v>
      </c>
    </row>
    <row r="185" spans="1:6">
      <c r="A185" s="753"/>
      <c r="B185" s="753"/>
      <c r="C185" s="752" t="s">
        <v>51866</v>
      </c>
      <c r="D185" s="753" t="s">
        <v>51859</v>
      </c>
      <c r="E185" s="752" t="s">
        <v>51865</v>
      </c>
      <c r="F185" s="751">
        <v>3205</v>
      </c>
    </row>
    <row r="186" spans="1:6">
      <c r="A186" s="753"/>
      <c r="B186" s="753"/>
      <c r="C186" s="752" t="s">
        <v>51864</v>
      </c>
      <c r="D186" s="753" t="s">
        <v>51863</v>
      </c>
      <c r="E186" s="752" t="s">
        <v>51862</v>
      </c>
      <c r="F186" s="751">
        <v>3585</v>
      </c>
    </row>
    <row r="187" spans="1:6">
      <c r="A187" s="753"/>
      <c r="B187" s="753"/>
      <c r="C187" s="752" t="s">
        <v>51861</v>
      </c>
      <c r="D187" s="753" t="s">
        <v>51859</v>
      </c>
      <c r="E187" s="752" t="s">
        <v>38581</v>
      </c>
      <c r="F187" s="751">
        <v>2825</v>
      </c>
    </row>
    <row r="188" spans="1:6">
      <c r="A188" s="753"/>
      <c r="B188" s="753"/>
      <c r="C188" s="752" t="s">
        <v>51860</v>
      </c>
      <c r="D188" s="753" t="s">
        <v>51859</v>
      </c>
      <c r="E188" s="752" t="s">
        <v>38962</v>
      </c>
      <c r="F188" s="751">
        <v>2245</v>
      </c>
    </row>
    <row r="189" spans="1:6">
      <c r="A189" s="753"/>
      <c r="B189" s="753"/>
      <c r="C189" s="752" t="s">
        <v>51858</v>
      </c>
      <c r="D189" s="753" t="s">
        <v>51843</v>
      </c>
      <c r="E189" s="752" t="s">
        <v>293</v>
      </c>
      <c r="F189" s="751">
        <v>3375</v>
      </c>
    </row>
    <row r="190" spans="1:6">
      <c r="A190" s="753"/>
      <c r="B190" s="753"/>
      <c r="C190" s="752" t="s">
        <v>51857</v>
      </c>
      <c r="D190" s="753" t="s">
        <v>51843</v>
      </c>
      <c r="E190" s="752" t="s">
        <v>42794</v>
      </c>
      <c r="F190" s="751">
        <v>3375</v>
      </c>
    </row>
    <row r="191" spans="1:6">
      <c r="A191" s="753"/>
      <c r="B191" s="753"/>
      <c r="C191" s="752" t="s">
        <v>51856</v>
      </c>
      <c r="D191" s="753" t="s">
        <v>51843</v>
      </c>
      <c r="E191" s="752" t="s">
        <v>42792</v>
      </c>
      <c r="F191" s="751">
        <v>3375</v>
      </c>
    </row>
    <row r="192" spans="1:6">
      <c r="A192" s="753"/>
      <c r="B192" s="753"/>
      <c r="C192" s="752" t="s">
        <v>51855</v>
      </c>
      <c r="D192" s="753" t="s">
        <v>51843</v>
      </c>
      <c r="E192" s="752" t="s">
        <v>293</v>
      </c>
      <c r="F192" s="751">
        <v>3375</v>
      </c>
    </row>
    <row r="193" spans="1:6">
      <c r="A193" s="753"/>
      <c r="B193" s="753"/>
      <c r="C193" s="752" t="s">
        <v>51854</v>
      </c>
      <c r="D193" s="753" t="s">
        <v>51843</v>
      </c>
      <c r="E193" s="752" t="s">
        <v>293</v>
      </c>
      <c r="F193" s="751">
        <v>3375</v>
      </c>
    </row>
    <row r="194" spans="1:6">
      <c r="A194" s="753"/>
      <c r="B194" s="753"/>
      <c r="C194" s="752" t="s">
        <v>51853</v>
      </c>
      <c r="D194" s="753" t="s">
        <v>51843</v>
      </c>
      <c r="E194" s="752" t="s">
        <v>39996</v>
      </c>
      <c r="F194" s="751">
        <v>3125</v>
      </c>
    </row>
    <row r="195" spans="1:6">
      <c r="A195" s="753"/>
      <c r="B195" s="753"/>
      <c r="C195" s="752" t="s">
        <v>51852</v>
      </c>
      <c r="D195" s="753" t="s">
        <v>51843</v>
      </c>
      <c r="E195" s="752" t="s">
        <v>39097</v>
      </c>
      <c r="F195" s="751">
        <v>3375</v>
      </c>
    </row>
    <row r="196" spans="1:6">
      <c r="A196" s="753"/>
      <c r="B196" s="753"/>
      <c r="C196" s="752" t="s">
        <v>51851</v>
      </c>
      <c r="D196" s="753" t="s">
        <v>51843</v>
      </c>
      <c r="E196" s="752" t="s">
        <v>42775</v>
      </c>
      <c r="F196" s="751">
        <v>3505</v>
      </c>
    </row>
    <row r="197" spans="1:6">
      <c r="A197" s="753"/>
      <c r="B197" s="753"/>
      <c r="C197" s="752" t="s">
        <v>51850</v>
      </c>
      <c r="D197" s="753" t="s">
        <v>51843</v>
      </c>
      <c r="E197" s="752" t="s">
        <v>293</v>
      </c>
      <c r="F197" s="751">
        <v>3375</v>
      </c>
    </row>
    <row r="198" spans="1:6">
      <c r="A198" s="753"/>
      <c r="B198" s="753"/>
      <c r="C198" s="752" t="s">
        <v>51849</v>
      </c>
      <c r="D198" s="753" t="s">
        <v>51845</v>
      </c>
      <c r="E198" s="752" t="s">
        <v>293</v>
      </c>
      <c r="F198" s="751">
        <v>3375</v>
      </c>
    </row>
    <row r="199" spans="1:6">
      <c r="A199" s="753"/>
      <c r="B199" s="753"/>
      <c r="C199" s="752" t="s">
        <v>51848</v>
      </c>
      <c r="D199" s="753" t="s">
        <v>51845</v>
      </c>
      <c r="E199" s="752" t="s">
        <v>293</v>
      </c>
      <c r="F199" s="751">
        <v>3375</v>
      </c>
    </row>
    <row r="200" spans="1:6">
      <c r="A200" s="753"/>
      <c r="B200" s="753"/>
      <c r="C200" s="752" t="s">
        <v>51847</v>
      </c>
      <c r="D200" s="753" t="s">
        <v>51845</v>
      </c>
      <c r="E200" s="752" t="s">
        <v>293</v>
      </c>
      <c r="F200" s="751">
        <v>3375</v>
      </c>
    </row>
    <row r="201" spans="1:6">
      <c r="A201" s="753"/>
      <c r="B201" s="753"/>
      <c r="C201" s="752" t="s">
        <v>51846</v>
      </c>
      <c r="D201" s="753" t="s">
        <v>51845</v>
      </c>
      <c r="E201" s="752" t="s">
        <v>39097</v>
      </c>
      <c r="F201" s="751">
        <v>3375</v>
      </c>
    </row>
    <row r="202" spans="1:6">
      <c r="A202" s="753"/>
      <c r="B202" s="753"/>
      <c r="C202" s="752" t="s">
        <v>51844</v>
      </c>
      <c r="D202" s="753" t="s">
        <v>51843</v>
      </c>
      <c r="E202" s="752" t="s">
        <v>38570</v>
      </c>
      <c r="F202" s="751">
        <v>3375</v>
      </c>
    </row>
    <row r="203" spans="1:6">
      <c r="A203" s="753"/>
      <c r="B203" s="753"/>
      <c r="C203" s="752" t="s">
        <v>51842</v>
      </c>
      <c r="D203" s="753" t="s">
        <v>51821</v>
      </c>
      <c r="E203" s="752" t="s">
        <v>293</v>
      </c>
      <c r="F203" s="751">
        <v>2625</v>
      </c>
    </row>
    <row r="204" spans="1:6">
      <c r="A204" s="753"/>
      <c r="B204" s="753"/>
      <c r="C204" s="752" t="s">
        <v>51841</v>
      </c>
      <c r="D204" s="753" t="s">
        <v>51821</v>
      </c>
      <c r="E204" s="752" t="s">
        <v>41652</v>
      </c>
      <c r="F204" s="751">
        <v>2625</v>
      </c>
    </row>
    <row r="205" spans="1:6">
      <c r="A205" s="753"/>
      <c r="B205" s="753"/>
      <c r="C205" s="752" t="s">
        <v>51840</v>
      </c>
      <c r="D205" s="753" t="s">
        <v>51821</v>
      </c>
      <c r="E205" s="752" t="s">
        <v>51839</v>
      </c>
      <c r="F205" s="751">
        <v>2625</v>
      </c>
    </row>
    <row r="206" spans="1:6">
      <c r="A206" s="753"/>
      <c r="B206" s="753"/>
      <c r="C206" s="752" t="s">
        <v>51838</v>
      </c>
      <c r="D206" s="753" t="s">
        <v>51821</v>
      </c>
      <c r="E206" s="752" t="s">
        <v>293</v>
      </c>
      <c r="F206" s="751">
        <v>2625</v>
      </c>
    </row>
    <row r="207" spans="1:6">
      <c r="A207" s="753"/>
      <c r="B207" s="753"/>
      <c r="C207" s="752" t="s">
        <v>51837</v>
      </c>
      <c r="D207" s="753" t="s">
        <v>51821</v>
      </c>
      <c r="E207" s="752" t="s">
        <v>39011</v>
      </c>
      <c r="F207" s="751">
        <v>3385</v>
      </c>
    </row>
    <row r="208" spans="1:6">
      <c r="A208" s="753"/>
      <c r="B208" s="753"/>
      <c r="C208" s="752" t="s">
        <v>51836</v>
      </c>
      <c r="D208" s="753" t="s">
        <v>51821</v>
      </c>
      <c r="E208" s="752" t="s">
        <v>293</v>
      </c>
      <c r="F208" s="751">
        <v>2625</v>
      </c>
    </row>
    <row r="209" spans="1:6">
      <c r="A209" s="753"/>
      <c r="B209" s="753"/>
      <c r="C209" s="752" t="s">
        <v>51835</v>
      </c>
      <c r="D209" s="753" t="s">
        <v>51821</v>
      </c>
      <c r="E209" s="752" t="s">
        <v>41652</v>
      </c>
      <c r="F209" s="751">
        <v>2375</v>
      </c>
    </row>
    <row r="210" spans="1:6">
      <c r="A210" s="753"/>
      <c r="B210" s="753"/>
      <c r="C210" s="752" t="s">
        <v>51834</v>
      </c>
      <c r="D210" s="753" t="s">
        <v>51821</v>
      </c>
      <c r="E210" s="752" t="s">
        <v>39011</v>
      </c>
      <c r="F210" s="751">
        <v>3385</v>
      </c>
    </row>
    <row r="211" spans="1:6">
      <c r="A211" s="753"/>
      <c r="B211" s="753"/>
      <c r="C211" s="752" t="s">
        <v>51833</v>
      </c>
      <c r="D211" s="753" t="s">
        <v>51821</v>
      </c>
      <c r="E211" s="752" t="s">
        <v>39097</v>
      </c>
      <c r="F211" s="751">
        <v>2625</v>
      </c>
    </row>
    <row r="212" spans="1:6">
      <c r="A212" s="753"/>
      <c r="B212" s="753"/>
      <c r="C212" s="752" t="s">
        <v>51832</v>
      </c>
      <c r="D212" s="753" t="s">
        <v>51821</v>
      </c>
      <c r="E212" s="752" t="s">
        <v>42698</v>
      </c>
      <c r="F212" s="751">
        <v>3005</v>
      </c>
    </row>
    <row r="213" spans="1:6">
      <c r="A213" s="753"/>
      <c r="B213" s="753"/>
      <c r="C213" s="752" t="s">
        <v>51831</v>
      </c>
      <c r="D213" s="753" t="s">
        <v>51830</v>
      </c>
      <c r="E213" s="752" t="s">
        <v>42698</v>
      </c>
      <c r="F213" s="751">
        <v>2605</v>
      </c>
    </row>
    <row r="214" spans="1:6">
      <c r="A214" s="753"/>
      <c r="B214" s="753"/>
      <c r="C214" s="752" t="s">
        <v>51829</v>
      </c>
      <c r="D214" s="753" t="s">
        <v>51821</v>
      </c>
      <c r="E214" s="752" t="s">
        <v>51828</v>
      </c>
      <c r="F214" s="751">
        <v>3765</v>
      </c>
    </row>
    <row r="215" spans="1:6">
      <c r="A215" s="753"/>
      <c r="B215" s="753"/>
      <c r="C215" s="752" t="s">
        <v>51827</v>
      </c>
      <c r="D215" s="753" t="s">
        <v>51821</v>
      </c>
      <c r="E215" s="752" t="s">
        <v>49818</v>
      </c>
      <c r="F215" s="751">
        <v>3385</v>
      </c>
    </row>
    <row r="216" spans="1:6">
      <c r="A216" s="753"/>
      <c r="B216" s="753"/>
      <c r="C216" s="752" t="s">
        <v>51826</v>
      </c>
      <c r="D216" s="753" t="s">
        <v>51825</v>
      </c>
      <c r="E216" s="752" t="s">
        <v>42698</v>
      </c>
      <c r="F216" s="751">
        <v>3765</v>
      </c>
    </row>
    <row r="217" spans="1:6">
      <c r="A217" s="753"/>
      <c r="B217" s="753"/>
      <c r="C217" s="752" t="s">
        <v>51824</v>
      </c>
      <c r="D217" s="753" t="s">
        <v>51821</v>
      </c>
      <c r="E217" s="752" t="s">
        <v>51823</v>
      </c>
      <c r="F217" s="751">
        <v>3715</v>
      </c>
    </row>
    <row r="218" spans="1:6">
      <c r="A218" s="753"/>
      <c r="B218" s="753"/>
      <c r="C218" s="752" t="s">
        <v>51822</v>
      </c>
      <c r="D218" s="753" t="s">
        <v>51821</v>
      </c>
      <c r="E218" s="752" t="s">
        <v>293</v>
      </c>
      <c r="F218" s="751">
        <v>2625</v>
      </c>
    </row>
    <row r="219" spans="1:6">
      <c r="A219" s="753"/>
      <c r="B219" s="753"/>
      <c r="C219" s="752" t="s">
        <v>51820</v>
      </c>
      <c r="D219" s="753" t="s">
        <v>51798</v>
      </c>
      <c r="E219" s="752" t="s">
        <v>293</v>
      </c>
      <c r="F219" s="751">
        <v>3175</v>
      </c>
    </row>
    <row r="220" spans="1:6">
      <c r="A220" s="753"/>
      <c r="B220" s="753"/>
      <c r="C220" s="752" t="s">
        <v>51819</v>
      </c>
      <c r="D220" s="753" t="s">
        <v>51798</v>
      </c>
      <c r="E220" s="752" t="s">
        <v>293</v>
      </c>
      <c r="F220" s="751">
        <v>3175</v>
      </c>
    </row>
    <row r="221" spans="1:6">
      <c r="A221" s="753"/>
      <c r="B221" s="753"/>
      <c r="C221" s="752" t="s">
        <v>51818</v>
      </c>
      <c r="D221" s="753" t="s">
        <v>51798</v>
      </c>
      <c r="E221" s="752" t="s">
        <v>39996</v>
      </c>
      <c r="F221" s="751">
        <v>3175</v>
      </c>
    </row>
    <row r="222" spans="1:6">
      <c r="A222" s="753"/>
      <c r="B222" s="753"/>
      <c r="C222" s="752" t="s">
        <v>51817</v>
      </c>
      <c r="D222" s="753" t="s">
        <v>51798</v>
      </c>
      <c r="E222" s="752" t="s">
        <v>293</v>
      </c>
      <c r="F222" s="751">
        <v>3175</v>
      </c>
    </row>
    <row r="223" spans="1:6">
      <c r="A223" s="753"/>
      <c r="B223" s="753"/>
      <c r="C223" s="752" t="s">
        <v>51816</v>
      </c>
      <c r="D223" s="753" t="s">
        <v>51798</v>
      </c>
      <c r="E223" s="752" t="s">
        <v>39097</v>
      </c>
      <c r="F223" s="751">
        <v>3175</v>
      </c>
    </row>
    <row r="224" spans="1:6">
      <c r="A224" s="753"/>
      <c r="B224" s="753"/>
      <c r="C224" s="752" t="s">
        <v>51815</v>
      </c>
      <c r="D224" s="753" t="s">
        <v>51798</v>
      </c>
      <c r="E224" s="752" t="s">
        <v>51814</v>
      </c>
      <c r="F224" s="751">
        <v>3935</v>
      </c>
    </row>
    <row r="225" spans="1:6">
      <c r="A225" s="753"/>
      <c r="B225" s="753"/>
      <c r="C225" s="752" t="s">
        <v>51813</v>
      </c>
      <c r="D225" s="753" t="s">
        <v>51798</v>
      </c>
      <c r="E225" s="752" t="s">
        <v>38570</v>
      </c>
      <c r="F225" s="751">
        <v>3175</v>
      </c>
    </row>
    <row r="226" spans="1:6">
      <c r="A226" s="753"/>
      <c r="B226" s="753"/>
      <c r="C226" s="752" t="s">
        <v>51812</v>
      </c>
      <c r="D226" s="753" t="s">
        <v>51798</v>
      </c>
      <c r="E226" s="752" t="s">
        <v>38584</v>
      </c>
      <c r="F226" s="751">
        <v>3175</v>
      </c>
    </row>
    <row r="227" spans="1:6">
      <c r="A227" s="753"/>
      <c r="B227" s="753"/>
      <c r="C227" s="752" t="s">
        <v>51811</v>
      </c>
      <c r="D227" s="753" t="s">
        <v>51804</v>
      </c>
      <c r="E227" s="752" t="s">
        <v>293</v>
      </c>
      <c r="F227" s="751">
        <v>3175</v>
      </c>
    </row>
    <row r="228" spans="1:6">
      <c r="A228" s="753"/>
      <c r="B228" s="753"/>
      <c r="C228" s="752" t="s">
        <v>51810</v>
      </c>
      <c r="D228" s="753" t="s">
        <v>51804</v>
      </c>
      <c r="E228" s="752" t="s">
        <v>42816</v>
      </c>
      <c r="F228" s="751">
        <v>3175</v>
      </c>
    </row>
    <row r="229" spans="1:6">
      <c r="A229" s="753"/>
      <c r="B229" s="753"/>
      <c r="C229" s="752" t="s">
        <v>51809</v>
      </c>
      <c r="D229" s="753" t="s">
        <v>51804</v>
      </c>
      <c r="E229" s="752" t="s">
        <v>293</v>
      </c>
      <c r="F229" s="751">
        <v>3175</v>
      </c>
    </row>
    <row r="230" spans="1:6">
      <c r="A230" s="753"/>
      <c r="B230" s="753"/>
      <c r="C230" s="752" t="s">
        <v>51808</v>
      </c>
      <c r="D230" s="753" t="s">
        <v>51804</v>
      </c>
      <c r="E230" s="752" t="s">
        <v>38577</v>
      </c>
      <c r="F230" s="751">
        <v>3935</v>
      </c>
    </row>
    <row r="231" spans="1:6">
      <c r="A231" s="753"/>
      <c r="B231" s="753"/>
      <c r="C231" s="752" t="s">
        <v>51807</v>
      </c>
      <c r="D231" s="753" t="s">
        <v>51804</v>
      </c>
      <c r="E231" s="752" t="s">
        <v>293</v>
      </c>
      <c r="F231" s="751">
        <v>3175</v>
      </c>
    </row>
    <row r="232" spans="1:6">
      <c r="A232" s="753"/>
      <c r="B232" s="753"/>
      <c r="C232" s="752" t="s">
        <v>51806</v>
      </c>
      <c r="D232" s="753" t="s">
        <v>51804</v>
      </c>
      <c r="E232" s="752" t="s">
        <v>39097</v>
      </c>
      <c r="F232" s="751">
        <v>3175</v>
      </c>
    </row>
    <row r="233" spans="1:6">
      <c r="A233" s="753"/>
      <c r="B233" s="753"/>
      <c r="C233" s="752" t="s">
        <v>51805</v>
      </c>
      <c r="D233" s="753" t="s">
        <v>51804</v>
      </c>
      <c r="E233" s="752" t="s">
        <v>42698</v>
      </c>
      <c r="F233" s="751">
        <v>3305</v>
      </c>
    </row>
    <row r="234" spans="1:6">
      <c r="A234" s="753"/>
      <c r="B234" s="753"/>
      <c r="C234" s="752" t="s">
        <v>51803</v>
      </c>
      <c r="D234" s="753" t="s">
        <v>51800</v>
      </c>
      <c r="E234" s="752" t="s">
        <v>39097</v>
      </c>
      <c r="F234" s="751">
        <v>2725</v>
      </c>
    </row>
    <row r="235" spans="1:6">
      <c r="A235" s="753"/>
      <c r="B235" s="753"/>
      <c r="C235" s="752" t="s">
        <v>51802</v>
      </c>
      <c r="D235" s="753" t="s">
        <v>51800</v>
      </c>
      <c r="E235" s="752" t="s">
        <v>293</v>
      </c>
      <c r="F235" s="751">
        <v>3275</v>
      </c>
    </row>
    <row r="236" spans="1:6">
      <c r="A236" s="753"/>
      <c r="B236" s="753"/>
      <c r="C236" s="752" t="s">
        <v>51801</v>
      </c>
      <c r="D236" s="753" t="s">
        <v>51800</v>
      </c>
      <c r="E236" s="752" t="s">
        <v>39011</v>
      </c>
      <c r="F236" s="751">
        <v>4035</v>
      </c>
    </row>
    <row r="237" spans="1:6">
      <c r="A237" s="753"/>
      <c r="B237" s="753"/>
      <c r="C237" s="752" t="s">
        <v>51799</v>
      </c>
      <c r="D237" s="753" t="s">
        <v>51798</v>
      </c>
      <c r="E237" s="752" t="s">
        <v>42920</v>
      </c>
      <c r="F237" s="751">
        <v>3805</v>
      </c>
    </row>
    <row r="238" spans="1:6">
      <c r="A238" s="753"/>
      <c r="B238" s="753" t="s">
        <v>51797</v>
      </c>
      <c r="C238" s="752" t="s">
        <v>51796</v>
      </c>
      <c r="D238" s="753" t="s">
        <v>51791</v>
      </c>
      <c r="E238" s="752" t="s">
        <v>42893</v>
      </c>
      <c r="F238" s="751">
        <v>2575</v>
      </c>
    </row>
    <row r="239" spans="1:6">
      <c r="A239" s="753"/>
      <c r="B239" s="753"/>
      <c r="C239" s="752" t="s">
        <v>51795</v>
      </c>
      <c r="D239" s="753" t="s">
        <v>51791</v>
      </c>
      <c r="E239" s="752" t="s">
        <v>42903</v>
      </c>
      <c r="F239" s="751">
        <v>2575</v>
      </c>
    </row>
    <row r="240" spans="1:6">
      <c r="A240" s="753"/>
      <c r="B240" s="753"/>
      <c r="C240" s="752" t="s">
        <v>51794</v>
      </c>
      <c r="D240" s="753" t="s">
        <v>51791</v>
      </c>
      <c r="E240" s="752" t="s">
        <v>42903</v>
      </c>
      <c r="F240" s="751">
        <v>2575</v>
      </c>
    </row>
    <row r="241" spans="1:6">
      <c r="A241" s="753"/>
      <c r="B241" s="753"/>
      <c r="C241" s="752" t="s">
        <v>51793</v>
      </c>
      <c r="D241" s="753" t="s">
        <v>51791</v>
      </c>
      <c r="E241" s="752" t="s">
        <v>42885</v>
      </c>
      <c r="F241" s="751">
        <v>2575</v>
      </c>
    </row>
    <row r="242" spans="1:6">
      <c r="A242" s="753"/>
      <c r="B242" s="753"/>
      <c r="C242" s="752" t="s">
        <v>51792</v>
      </c>
      <c r="D242" s="753" t="s">
        <v>51791</v>
      </c>
      <c r="E242" s="752" t="s">
        <v>42885</v>
      </c>
      <c r="F242" s="751">
        <v>2575</v>
      </c>
    </row>
    <row r="243" spans="1:6">
      <c r="A243" s="753"/>
      <c r="B243" s="753"/>
      <c r="C243" s="752" t="s">
        <v>51790</v>
      </c>
      <c r="D243" s="753" t="s">
        <v>51767</v>
      </c>
      <c r="E243" s="752" t="s">
        <v>42876</v>
      </c>
      <c r="F243" s="751">
        <v>3875</v>
      </c>
    </row>
    <row r="244" spans="1:6">
      <c r="A244" s="753"/>
      <c r="B244" s="753"/>
      <c r="C244" s="752" t="s">
        <v>51789</v>
      </c>
      <c r="D244" s="753" t="s">
        <v>51767</v>
      </c>
      <c r="E244" s="752" t="s">
        <v>42988</v>
      </c>
      <c r="F244" s="751">
        <v>3875</v>
      </c>
    </row>
    <row r="245" spans="1:6">
      <c r="A245" s="753"/>
      <c r="B245" s="753"/>
      <c r="C245" s="752" t="s">
        <v>51788</v>
      </c>
      <c r="D245" s="753" t="s">
        <v>51767</v>
      </c>
      <c r="E245" s="752" t="s">
        <v>50178</v>
      </c>
      <c r="F245" s="751">
        <v>3625</v>
      </c>
    </row>
    <row r="246" spans="1:6">
      <c r="A246" s="753"/>
      <c r="B246" s="753"/>
      <c r="C246" s="752" t="s">
        <v>51787</v>
      </c>
      <c r="D246" s="753" t="s">
        <v>51767</v>
      </c>
      <c r="E246" s="752" t="s">
        <v>50176</v>
      </c>
      <c r="F246" s="751">
        <v>3625</v>
      </c>
    </row>
    <row r="247" spans="1:6">
      <c r="A247" s="753"/>
      <c r="B247" s="753"/>
      <c r="C247" s="752" t="s">
        <v>51786</v>
      </c>
      <c r="D247" s="753" t="s">
        <v>51767</v>
      </c>
      <c r="E247" s="752" t="s">
        <v>42926</v>
      </c>
      <c r="F247" s="751">
        <v>3625</v>
      </c>
    </row>
    <row r="248" spans="1:6">
      <c r="A248" s="753"/>
      <c r="B248" s="753"/>
      <c r="C248" s="752" t="s">
        <v>51785</v>
      </c>
      <c r="D248" s="753" t="s">
        <v>51767</v>
      </c>
      <c r="E248" s="752" t="s">
        <v>42941</v>
      </c>
      <c r="F248" s="751">
        <v>3625</v>
      </c>
    </row>
    <row r="249" spans="1:6">
      <c r="A249" s="753"/>
      <c r="B249" s="753"/>
      <c r="C249" s="752" t="s">
        <v>51784</v>
      </c>
      <c r="D249" s="753" t="s">
        <v>51767</v>
      </c>
      <c r="E249" s="752" t="s">
        <v>42893</v>
      </c>
      <c r="F249" s="751">
        <v>3125</v>
      </c>
    </row>
    <row r="250" spans="1:6">
      <c r="A250" s="753"/>
      <c r="B250" s="753"/>
      <c r="C250" s="752" t="s">
        <v>51783</v>
      </c>
      <c r="D250" s="753" t="s">
        <v>51767</v>
      </c>
      <c r="E250" s="752" t="s">
        <v>42876</v>
      </c>
      <c r="F250" s="751">
        <v>3875</v>
      </c>
    </row>
    <row r="251" spans="1:6">
      <c r="A251" s="753"/>
      <c r="B251" s="753"/>
      <c r="C251" s="752" t="s">
        <v>51782</v>
      </c>
      <c r="D251" s="753" t="s">
        <v>51767</v>
      </c>
      <c r="E251" s="752" t="s">
        <v>42946</v>
      </c>
      <c r="F251" s="751">
        <v>4385</v>
      </c>
    </row>
    <row r="252" spans="1:6">
      <c r="A252" s="753"/>
      <c r="B252" s="753"/>
      <c r="C252" s="752" t="s">
        <v>51781</v>
      </c>
      <c r="D252" s="753" t="s">
        <v>51767</v>
      </c>
      <c r="E252" s="752" t="s">
        <v>42926</v>
      </c>
      <c r="F252" s="751">
        <v>3625</v>
      </c>
    </row>
    <row r="253" spans="1:6">
      <c r="A253" s="753"/>
      <c r="B253" s="753"/>
      <c r="C253" s="752" t="s">
        <v>51780</v>
      </c>
      <c r="D253" s="753" t="s">
        <v>51767</v>
      </c>
      <c r="E253" s="752" t="s">
        <v>42903</v>
      </c>
      <c r="F253" s="751">
        <v>3125</v>
      </c>
    </row>
    <row r="254" spans="1:6">
      <c r="A254" s="753"/>
      <c r="B254" s="753"/>
      <c r="C254" s="752" t="s">
        <v>51779</v>
      </c>
      <c r="D254" s="753" t="s">
        <v>51767</v>
      </c>
      <c r="E254" s="752" t="s">
        <v>51778</v>
      </c>
      <c r="F254" s="751">
        <v>3885</v>
      </c>
    </row>
    <row r="255" spans="1:6">
      <c r="A255" s="753"/>
      <c r="B255" s="753"/>
      <c r="C255" s="752" t="s">
        <v>51777</v>
      </c>
      <c r="D255" s="753" t="s">
        <v>51767</v>
      </c>
      <c r="E255" s="752" t="s">
        <v>42876</v>
      </c>
      <c r="F255" s="751">
        <v>3875</v>
      </c>
    </row>
    <row r="256" spans="1:6">
      <c r="A256" s="753"/>
      <c r="B256" s="753"/>
      <c r="C256" s="752" t="s">
        <v>51776</v>
      </c>
      <c r="D256" s="753" t="s">
        <v>51767</v>
      </c>
      <c r="E256" s="752" t="s">
        <v>42926</v>
      </c>
      <c r="F256" s="751">
        <v>3625</v>
      </c>
    </row>
    <row r="257" spans="1:6">
      <c r="A257" s="753"/>
      <c r="B257" s="753"/>
      <c r="C257" s="752" t="s">
        <v>51775</v>
      </c>
      <c r="D257" s="753" t="s">
        <v>51767</v>
      </c>
      <c r="E257" s="752" t="s">
        <v>42903</v>
      </c>
      <c r="F257" s="751">
        <v>3125</v>
      </c>
    </row>
    <row r="258" spans="1:6">
      <c r="A258" s="753"/>
      <c r="B258" s="753"/>
      <c r="C258" s="752" t="s">
        <v>51774</v>
      </c>
      <c r="D258" s="753" t="s">
        <v>51767</v>
      </c>
      <c r="E258" s="752" t="s">
        <v>42891</v>
      </c>
      <c r="F258" s="751">
        <v>3875</v>
      </c>
    </row>
    <row r="259" spans="1:6">
      <c r="A259" s="753"/>
      <c r="B259" s="753"/>
      <c r="C259" s="752" t="s">
        <v>51773</v>
      </c>
      <c r="D259" s="753" t="s">
        <v>51767</v>
      </c>
      <c r="E259" s="752" t="s">
        <v>42887</v>
      </c>
      <c r="F259" s="751">
        <v>3625</v>
      </c>
    </row>
    <row r="260" spans="1:6">
      <c r="A260" s="753"/>
      <c r="B260" s="753"/>
      <c r="C260" s="752" t="s">
        <v>51772</v>
      </c>
      <c r="D260" s="753" t="s">
        <v>51767</v>
      </c>
      <c r="E260" s="752" t="s">
        <v>42885</v>
      </c>
      <c r="F260" s="751">
        <v>3125</v>
      </c>
    </row>
    <row r="261" spans="1:6">
      <c r="A261" s="753"/>
      <c r="B261" s="753"/>
      <c r="C261" s="752" t="s">
        <v>51771</v>
      </c>
      <c r="D261" s="753" t="s">
        <v>51767</v>
      </c>
      <c r="E261" s="752" t="s">
        <v>42883</v>
      </c>
      <c r="F261" s="751">
        <v>3875</v>
      </c>
    </row>
    <row r="262" spans="1:6">
      <c r="A262" s="753"/>
      <c r="B262" s="753"/>
      <c r="C262" s="752" t="s">
        <v>51770</v>
      </c>
      <c r="D262" s="753" t="s">
        <v>51767</v>
      </c>
      <c r="E262" s="752" t="s">
        <v>51769</v>
      </c>
      <c r="F262" s="751">
        <v>4385</v>
      </c>
    </row>
    <row r="263" spans="1:6">
      <c r="A263" s="753"/>
      <c r="B263" s="753"/>
      <c r="C263" s="752" t="s">
        <v>51768</v>
      </c>
      <c r="D263" s="753" t="s">
        <v>51767</v>
      </c>
      <c r="E263" s="752" t="s">
        <v>293</v>
      </c>
      <c r="F263" s="751">
        <v>3125</v>
      </c>
    </row>
    <row r="264" spans="1:6">
      <c r="A264" s="753"/>
      <c r="B264" s="753"/>
      <c r="C264" s="752" t="s">
        <v>51766</v>
      </c>
      <c r="D264" s="753" t="s">
        <v>51748</v>
      </c>
      <c r="E264" s="752" t="s">
        <v>51762</v>
      </c>
      <c r="F264" s="751">
        <v>3625</v>
      </c>
    </row>
    <row r="265" spans="1:6">
      <c r="A265" s="753"/>
      <c r="B265" s="753"/>
      <c r="C265" s="752" t="s">
        <v>51765</v>
      </c>
      <c r="D265" s="753" t="s">
        <v>51748</v>
      </c>
      <c r="E265" s="752" t="s">
        <v>42876</v>
      </c>
      <c r="F265" s="751">
        <v>3875</v>
      </c>
    </row>
    <row r="266" spans="1:6">
      <c r="A266" s="753"/>
      <c r="B266" s="753"/>
      <c r="C266" s="752" t="s">
        <v>51764</v>
      </c>
      <c r="D266" s="753" t="s">
        <v>51748</v>
      </c>
      <c r="E266" s="752" t="s">
        <v>42988</v>
      </c>
      <c r="F266" s="751">
        <v>3875</v>
      </c>
    </row>
    <row r="267" spans="1:6">
      <c r="A267" s="753"/>
      <c r="B267" s="753"/>
      <c r="C267" s="752" t="s">
        <v>51763</v>
      </c>
      <c r="D267" s="753" t="s">
        <v>51748</v>
      </c>
      <c r="E267" s="752" t="s">
        <v>51762</v>
      </c>
      <c r="F267" s="751">
        <v>3625</v>
      </c>
    </row>
    <row r="268" spans="1:6">
      <c r="A268" s="753"/>
      <c r="B268" s="753"/>
      <c r="C268" s="752" t="s">
        <v>51761</v>
      </c>
      <c r="D268" s="753" t="s">
        <v>51748</v>
      </c>
      <c r="E268" s="752" t="s">
        <v>51760</v>
      </c>
      <c r="F268" s="751">
        <v>3625</v>
      </c>
    </row>
    <row r="269" spans="1:6">
      <c r="A269" s="753"/>
      <c r="B269" s="753"/>
      <c r="C269" s="752" t="s">
        <v>51759</v>
      </c>
      <c r="D269" s="753" t="s">
        <v>51748</v>
      </c>
      <c r="E269" s="752" t="s">
        <v>42926</v>
      </c>
      <c r="F269" s="751">
        <v>3625</v>
      </c>
    </row>
    <row r="270" spans="1:6">
      <c r="A270" s="753"/>
      <c r="B270" s="753"/>
      <c r="C270" s="752" t="s">
        <v>51758</v>
      </c>
      <c r="D270" s="753" t="s">
        <v>51748</v>
      </c>
      <c r="E270" s="752" t="s">
        <v>42941</v>
      </c>
      <c r="F270" s="751">
        <v>3625</v>
      </c>
    </row>
    <row r="271" spans="1:6">
      <c r="A271" s="753"/>
      <c r="B271" s="753"/>
      <c r="C271" s="752" t="s">
        <v>51757</v>
      </c>
      <c r="D271" s="753" t="s">
        <v>51748</v>
      </c>
      <c r="E271" s="752" t="s">
        <v>42893</v>
      </c>
      <c r="F271" s="751">
        <v>3125</v>
      </c>
    </row>
    <row r="272" spans="1:6">
      <c r="A272" s="753"/>
      <c r="B272" s="753"/>
      <c r="C272" s="752" t="s">
        <v>51756</v>
      </c>
      <c r="D272" s="753" t="s">
        <v>51748</v>
      </c>
      <c r="E272" s="752" t="s">
        <v>42876</v>
      </c>
      <c r="F272" s="751">
        <v>3875</v>
      </c>
    </row>
    <row r="273" spans="1:6">
      <c r="A273" s="753"/>
      <c r="B273" s="753"/>
      <c r="C273" s="752" t="s">
        <v>51755</v>
      </c>
      <c r="D273" s="753" t="s">
        <v>51748</v>
      </c>
      <c r="E273" s="752" t="s">
        <v>42926</v>
      </c>
      <c r="F273" s="751">
        <v>3625</v>
      </c>
    </row>
    <row r="274" spans="1:6">
      <c r="A274" s="753"/>
      <c r="B274" s="753"/>
      <c r="C274" s="752" t="s">
        <v>51754</v>
      </c>
      <c r="D274" s="753" t="s">
        <v>51748</v>
      </c>
      <c r="E274" s="752" t="s">
        <v>42903</v>
      </c>
      <c r="F274" s="751">
        <v>3125</v>
      </c>
    </row>
    <row r="275" spans="1:6">
      <c r="A275" s="753"/>
      <c r="B275" s="753"/>
      <c r="C275" s="752" t="s">
        <v>51753</v>
      </c>
      <c r="D275" s="753" t="s">
        <v>51748</v>
      </c>
      <c r="E275" s="752" t="s">
        <v>42876</v>
      </c>
      <c r="F275" s="751">
        <v>3875</v>
      </c>
    </row>
    <row r="276" spans="1:6">
      <c r="A276" s="753"/>
      <c r="B276" s="753"/>
      <c r="C276" s="752" t="s">
        <v>51752</v>
      </c>
      <c r="D276" s="753" t="s">
        <v>51748</v>
      </c>
      <c r="E276" s="752" t="s">
        <v>51747</v>
      </c>
      <c r="F276" s="751">
        <v>4385</v>
      </c>
    </row>
    <row r="277" spans="1:6">
      <c r="A277" s="753"/>
      <c r="B277" s="753"/>
      <c r="C277" s="752" t="s">
        <v>51751</v>
      </c>
      <c r="D277" s="753" t="s">
        <v>51748</v>
      </c>
      <c r="E277" s="752" t="s">
        <v>42926</v>
      </c>
      <c r="F277" s="751">
        <v>3625</v>
      </c>
    </row>
    <row r="278" spans="1:6">
      <c r="A278" s="753"/>
      <c r="B278" s="753"/>
      <c r="C278" s="752" t="s">
        <v>51750</v>
      </c>
      <c r="D278" s="753" t="s">
        <v>51748</v>
      </c>
      <c r="E278" s="752" t="s">
        <v>42903</v>
      </c>
      <c r="F278" s="751">
        <v>3125</v>
      </c>
    </row>
    <row r="279" spans="1:6">
      <c r="A279" s="753"/>
      <c r="B279" s="753"/>
      <c r="C279" s="752" t="s">
        <v>51749</v>
      </c>
      <c r="D279" s="753" t="s">
        <v>51748</v>
      </c>
      <c r="E279" s="752" t="s">
        <v>51747</v>
      </c>
      <c r="F279" s="751">
        <v>4385</v>
      </c>
    </row>
    <row r="280" spans="1:6">
      <c r="A280" s="753"/>
      <c r="B280" s="753"/>
      <c r="C280" s="752" t="s">
        <v>51746</v>
      </c>
      <c r="D280" s="753" t="s">
        <v>51731</v>
      </c>
      <c r="E280" s="752" t="s">
        <v>42926</v>
      </c>
      <c r="F280" s="751">
        <v>2875</v>
      </c>
    </row>
    <row r="281" spans="1:6">
      <c r="A281" s="753"/>
      <c r="B281" s="753"/>
      <c r="C281" s="752" t="s">
        <v>51745</v>
      </c>
      <c r="D281" s="753" t="s">
        <v>51731</v>
      </c>
      <c r="E281" s="752" t="s">
        <v>42893</v>
      </c>
      <c r="F281" s="751">
        <v>2375</v>
      </c>
    </row>
    <row r="282" spans="1:6">
      <c r="A282" s="753"/>
      <c r="B282" s="753"/>
      <c r="C282" s="752" t="s">
        <v>51744</v>
      </c>
      <c r="D282" s="753" t="s">
        <v>51731</v>
      </c>
      <c r="E282" s="752" t="s">
        <v>42903</v>
      </c>
      <c r="F282" s="751">
        <v>2375</v>
      </c>
    </row>
    <row r="283" spans="1:6">
      <c r="A283" s="753"/>
      <c r="B283" s="753"/>
      <c r="C283" s="752" t="s">
        <v>51743</v>
      </c>
      <c r="D283" s="753" t="s">
        <v>51731</v>
      </c>
      <c r="E283" s="752" t="s">
        <v>43006</v>
      </c>
      <c r="F283" s="751">
        <v>3135</v>
      </c>
    </row>
    <row r="284" spans="1:6">
      <c r="A284" s="753"/>
      <c r="B284" s="753"/>
      <c r="C284" s="752" t="s">
        <v>51742</v>
      </c>
      <c r="D284" s="753" t="s">
        <v>51731</v>
      </c>
      <c r="E284" s="752" t="s">
        <v>42903</v>
      </c>
      <c r="F284" s="751">
        <v>2375</v>
      </c>
    </row>
    <row r="285" spans="1:6">
      <c r="A285" s="753"/>
      <c r="B285" s="753"/>
      <c r="C285" s="752" t="s">
        <v>51741</v>
      </c>
      <c r="D285" s="753" t="s">
        <v>51731</v>
      </c>
      <c r="E285" s="752" t="s">
        <v>50103</v>
      </c>
      <c r="F285" s="751">
        <v>3255</v>
      </c>
    </row>
    <row r="286" spans="1:6">
      <c r="A286" s="753"/>
      <c r="B286" s="753"/>
      <c r="C286" s="752" t="s">
        <v>51740</v>
      </c>
      <c r="D286" s="753" t="s">
        <v>51731</v>
      </c>
      <c r="E286" s="752" t="s">
        <v>42885</v>
      </c>
      <c r="F286" s="751">
        <v>2375</v>
      </c>
    </row>
    <row r="287" spans="1:6">
      <c r="A287" s="753"/>
      <c r="B287" s="753"/>
      <c r="C287" s="752" t="s">
        <v>51739</v>
      </c>
      <c r="D287" s="753" t="s">
        <v>51731</v>
      </c>
      <c r="E287" s="752" t="s">
        <v>51738</v>
      </c>
      <c r="F287" s="751">
        <v>3135</v>
      </c>
    </row>
    <row r="288" spans="1:6">
      <c r="A288" s="753"/>
      <c r="B288" s="753"/>
      <c r="C288" s="752" t="s">
        <v>51737</v>
      </c>
      <c r="D288" s="753" t="s">
        <v>51736</v>
      </c>
      <c r="E288" s="752" t="s">
        <v>51735</v>
      </c>
      <c r="F288" s="751">
        <v>3135</v>
      </c>
    </row>
    <row r="289" spans="1:6">
      <c r="A289" s="753"/>
      <c r="B289" s="753"/>
      <c r="C289" s="752" t="s">
        <v>51734</v>
      </c>
      <c r="D289" s="753" t="s">
        <v>51731</v>
      </c>
      <c r="E289" s="752" t="s">
        <v>51733</v>
      </c>
      <c r="F289" s="751">
        <v>2875</v>
      </c>
    </row>
    <row r="290" spans="1:6">
      <c r="A290" s="753"/>
      <c r="B290" s="753"/>
      <c r="C290" s="752" t="s">
        <v>51732</v>
      </c>
      <c r="D290" s="753" t="s">
        <v>51731</v>
      </c>
      <c r="E290" s="752" t="s">
        <v>51730</v>
      </c>
      <c r="F290" s="751">
        <v>2375</v>
      </c>
    </row>
    <row r="291" spans="1:6">
      <c r="A291" s="753"/>
      <c r="B291" s="753"/>
      <c r="C291" s="752" t="s">
        <v>51729</v>
      </c>
      <c r="D291" s="753" t="s">
        <v>51709</v>
      </c>
      <c r="E291" s="752" t="s">
        <v>42876</v>
      </c>
      <c r="F291" s="751">
        <v>3675</v>
      </c>
    </row>
    <row r="292" spans="1:6">
      <c r="A292" s="753"/>
      <c r="B292" s="753"/>
      <c r="C292" s="752" t="s">
        <v>51728</v>
      </c>
      <c r="D292" s="753" t="s">
        <v>51709</v>
      </c>
      <c r="E292" s="752" t="s">
        <v>42988</v>
      </c>
      <c r="F292" s="751">
        <v>3675</v>
      </c>
    </row>
    <row r="293" spans="1:6">
      <c r="A293" s="753"/>
      <c r="B293" s="753"/>
      <c r="C293" s="752" t="s">
        <v>51727</v>
      </c>
      <c r="D293" s="753" t="s">
        <v>51709</v>
      </c>
      <c r="E293" s="752" t="s">
        <v>42926</v>
      </c>
      <c r="F293" s="751">
        <v>3425</v>
      </c>
    </row>
    <row r="294" spans="1:6">
      <c r="A294" s="753"/>
      <c r="B294" s="753"/>
      <c r="C294" s="752" t="s">
        <v>51726</v>
      </c>
      <c r="D294" s="753" t="s">
        <v>51709</v>
      </c>
      <c r="E294" s="752" t="s">
        <v>42941</v>
      </c>
      <c r="F294" s="751">
        <v>3425</v>
      </c>
    </row>
    <row r="295" spans="1:6">
      <c r="A295" s="753"/>
      <c r="B295" s="753"/>
      <c r="C295" s="752" t="s">
        <v>51725</v>
      </c>
      <c r="D295" s="753" t="s">
        <v>51709</v>
      </c>
      <c r="E295" s="752" t="s">
        <v>48481</v>
      </c>
      <c r="F295" s="751">
        <v>4185</v>
      </c>
    </row>
    <row r="296" spans="1:6">
      <c r="A296" s="753"/>
      <c r="B296" s="753"/>
      <c r="C296" s="752" t="s">
        <v>51724</v>
      </c>
      <c r="D296" s="753" t="s">
        <v>51709</v>
      </c>
      <c r="E296" s="752" t="s">
        <v>42893</v>
      </c>
      <c r="F296" s="751">
        <v>2925</v>
      </c>
    </row>
    <row r="297" spans="1:6">
      <c r="A297" s="753"/>
      <c r="B297" s="753"/>
      <c r="C297" s="752" t="s">
        <v>51723</v>
      </c>
      <c r="D297" s="753" t="s">
        <v>51709</v>
      </c>
      <c r="E297" s="752" t="s">
        <v>42876</v>
      </c>
      <c r="F297" s="751">
        <v>3675</v>
      </c>
    </row>
    <row r="298" spans="1:6">
      <c r="A298" s="753"/>
      <c r="B298" s="753"/>
      <c r="C298" s="752" t="s">
        <v>51722</v>
      </c>
      <c r="D298" s="753" t="s">
        <v>51709</v>
      </c>
      <c r="E298" s="752" t="s">
        <v>51721</v>
      </c>
      <c r="F298" s="751">
        <v>4435</v>
      </c>
    </row>
    <row r="299" spans="1:6">
      <c r="A299" s="753"/>
      <c r="B299" s="753"/>
      <c r="C299" s="752" t="s">
        <v>51720</v>
      </c>
      <c r="D299" s="753" t="s">
        <v>51709</v>
      </c>
      <c r="E299" s="752" t="s">
        <v>42926</v>
      </c>
      <c r="F299" s="751">
        <v>3425</v>
      </c>
    </row>
    <row r="300" spans="1:6">
      <c r="A300" s="753"/>
      <c r="B300" s="753"/>
      <c r="C300" s="752" t="s">
        <v>51719</v>
      </c>
      <c r="D300" s="753" t="s">
        <v>51709</v>
      </c>
      <c r="E300" s="752" t="s">
        <v>42903</v>
      </c>
      <c r="F300" s="751">
        <v>2925</v>
      </c>
    </row>
    <row r="301" spans="1:6">
      <c r="A301" s="753"/>
      <c r="B301" s="753"/>
      <c r="C301" s="752" t="s">
        <v>51718</v>
      </c>
      <c r="D301" s="753" t="s">
        <v>51709</v>
      </c>
      <c r="E301" s="752" t="s">
        <v>42876</v>
      </c>
      <c r="F301" s="751">
        <v>3675</v>
      </c>
    </row>
    <row r="302" spans="1:6">
      <c r="A302" s="753"/>
      <c r="B302" s="753"/>
      <c r="C302" s="752" t="s">
        <v>51717</v>
      </c>
      <c r="D302" s="753" t="s">
        <v>51709</v>
      </c>
      <c r="E302" s="752" t="s">
        <v>42926</v>
      </c>
      <c r="F302" s="751">
        <v>3425</v>
      </c>
    </row>
    <row r="303" spans="1:6">
      <c r="A303" s="753"/>
      <c r="B303" s="753"/>
      <c r="C303" s="752" t="s">
        <v>51716</v>
      </c>
      <c r="D303" s="753" t="s">
        <v>51709</v>
      </c>
      <c r="E303" s="752" t="s">
        <v>42903</v>
      </c>
      <c r="F303" s="751">
        <v>2925</v>
      </c>
    </row>
    <row r="304" spans="1:6">
      <c r="A304" s="753"/>
      <c r="B304" s="753"/>
      <c r="C304" s="752" t="s">
        <v>51715</v>
      </c>
      <c r="D304" s="753" t="s">
        <v>51709</v>
      </c>
      <c r="E304" s="752" t="s">
        <v>42891</v>
      </c>
      <c r="F304" s="751">
        <v>3675</v>
      </c>
    </row>
    <row r="305" spans="1:6">
      <c r="A305" s="753"/>
      <c r="B305" s="753"/>
      <c r="C305" s="752" t="s">
        <v>51714</v>
      </c>
      <c r="D305" s="753" t="s">
        <v>51709</v>
      </c>
      <c r="E305" s="752" t="s">
        <v>51713</v>
      </c>
      <c r="F305" s="751">
        <v>3425</v>
      </c>
    </row>
    <row r="306" spans="1:6">
      <c r="A306" s="753"/>
      <c r="B306" s="753"/>
      <c r="C306" s="752" t="s">
        <v>51712</v>
      </c>
      <c r="D306" s="753" t="s">
        <v>51709</v>
      </c>
      <c r="E306" s="752" t="s">
        <v>42871</v>
      </c>
      <c r="F306" s="751">
        <v>3805</v>
      </c>
    </row>
    <row r="307" spans="1:6">
      <c r="A307" s="753"/>
      <c r="B307" s="753"/>
      <c r="C307" s="752" t="s">
        <v>51711</v>
      </c>
      <c r="D307" s="753" t="s">
        <v>51709</v>
      </c>
      <c r="E307" s="752" t="s">
        <v>42885</v>
      </c>
      <c r="F307" s="751">
        <v>2925</v>
      </c>
    </row>
    <row r="308" spans="1:6">
      <c r="A308" s="753"/>
      <c r="B308" s="753"/>
      <c r="C308" s="752" t="s">
        <v>51710</v>
      </c>
      <c r="D308" s="753" t="s">
        <v>51709</v>
      </c>
      <c r="E308" s="752" t="s">
        <v>51689</v>
      </c>
      <c r="F308" s="751">
        <v>3575</v>
      </c>
    </row>
    <row r="309" spans="1:6">
      <c r="A309" s="753"/>
      <c r="B309" s="753"/>
      <c r="C309" s="752" t="s">
        <v>51708</v>
      </c>
      <c r="D309" s="753" t="s">
        <v>51690</v>
      </c>
      <c r="E309" s="752" t="s">
        <v>42876</v>
      </c>
      <c r="F309" s="751">
        <v>3675</v>
      </c>
    </row>
    <row r="310" spans="1:6">
      <c r="A310" s="753"/>
      <c r="B310" s="753"/>
      <c r="C310" s="752" t="s">
        <v>51707</v>
      </c>
      <c r="D310" s="753" t="s">
        <v>51690</v>
      </c>
      <c r="E310" s="752" t="s">
        <v>42988</v>
      </c>
      <c r="F310" s="751">
        <v>3675</v>
      </c>
    </row>
    <row r="311" spans="1:6">
      <c r="A311" s="753"/>
      <c r="B311" s="753"/>
      <c r="C311" s="752" t="s">
        <v>51706</v>
      </c>
      <c r="D311" s="753" t="s">
        <v>51690</v>
      </c>
      <c r="E311" s="752" t="s">
        <v>42926</v>
      </c>
      <c r="F311" s="751">
        <v>3425</v>
      </c>
    </row>
    <row r="312" spans="1:6">
      <c r="A312" s="753"/>
      <c r="B312" s="753"/>
      <c r="C312" s="752" t="s">
        <v>51705</v>
      </c>
      <c r="D312" s="753" t="s">
        <v>51690</v>
      </c>
      <c r="E312" s="752" t="s">
        <v>42941</v>
      </c>
      <c r="F312" s="751">
        <v>3425</v>
      </c>
    </row>
    <row r="313" spans="1:6">
      <c r="A313" s="753"/>
      <c r="B313" s="753"/>
      <c r="C313" s="752" t="s">
        <v>51704</v>
      </c>
      <c r="D313" s="753" t="s">
        <v>51690</v>
      </c>
      <c r="E313" s="752" t="s">
        <v>42893</v>
      </c>
      <c r="F313" s="751">
        <v>2925</v>
      </c>
    </row>
    <row r="314" spans="1:6">
      <c r="A314" s="753"/>
      <c r="B314" s="753"/>
      <c r="C314" s="752" t="s">
        <v>51703</v>
      </c>
      <c r="D314" s="753" t="s">
        <v>51690</v>
      </c>
      <c r="E314" s="752" t="s">
        <v>42876</v>
      </c>
      <c r="F314" s="751">
        <v>3675</v>
      </c>
    </row>
    <row r="315" spans="1:6">
      <c r="A315" s="753"/>
      <c r="B315" s="753"/>
      <c r="C315" s="752" t="s">
        <v>51702</v>
      </c>
      <c r="D315" s="753" t="s">
        <v>51690</v>
      </c>
      <c r="E315" s="752" t="s">
        <v>42926</v>
      </c>
      <c r="F315" s="751">
        <v>3425</v>
      </c>
    </row>
    <row r="316" spans="1:6">
      <c r="A316" s="753"/>
      <c r="B316" s="753"/>
      <c r="C316" s="752" t="s">
        <v>51701</v>
      </c>
      <c r="D316" s="753" t="s">
        <v>51690</v>
      </c>
      <c r="E316" s="752" t="s">
        <v>42924</v>
      </c>
      <c r="F316" s="751">
        <v>4185</v>
      </c>
    </row>
    <row r="317" spans="1:6">
      <c r="A317" s="753"/>
      <c r="B317" s="753"/>
      <c r="C317" s="752" t="s">
        <v>51700</v>
      </c>
      <c r="D317" s="753" t="s">
        <v>51690</v>
      </c>
      <c r="E317" s="752" t="s">
        <v>42903</v>
      </c>
      <c r="F317" s="751">
        <v>2925</v>
      </c>
    </row>
    <row r="318" spans="1:6">
      <c r="A318" s="753"/>
      <c r="B318" s="753"/>
      <c r="C318" s="752" t="s">
        <v>51699</v>
      </c>
      <c r="D318" s="753" t="s">
        <v>51690</v>
      </c>
      <c r="E318" s="752" t="s">
        <v>42876</v>
      </c>
      <c r="F318" s="751">
        <v>3675</v>
      </c>
    </row>
    <row r="319" spans="1:6">
      <c r="A319" s="753"/>
      <c r="B319" s="753"/>
      <c r="C319" s="752" t="s">
        <v>51698</v>
      </c>
      <c r="D319" s="753" t="s">
        <v>51690</v>
      </c>
      <c r="E319" s="752" t="s">
        <v>42926</v>
      </c>
      <c r="F319" s="751">
        <v>3425</v>
      </c>
    </row>
    <row r="320" spans="1:6">
      <c r="A320" s="753"/>
      <c r="B320" s="753"/>
      <c r="C320" s="752" t="s">
        <v>51697</v>
      </c>
      <c r="D320" s="753" t="s">
        <v>51690</v>
      </c>
      <c r="E320" s="752" t="s">
        <v>42903</v>
      </c>
      <c r="F320" s="751">
        <v>2925</v>
      </c>
    </row>
    <row r="321" spans="1:6">
      <c r="A321" s="753"/>
      <c r="B321" s="753"/>
      <c r="C321" s="752" t="s">
        <v>51696</v>
      </c>
      <c r="D321" s="753" t="s">
        <v>51690</v>
      </c>
      <c r="E321" s="752" t="s">
        <v>42876</v>
      </c>
      <c r="F321" s="751">
        <v>3675</v>
      </c>
    </row>
    <row r="322" spans="1:6">
      <c r="A322" s="753"/>
      <c r="B322" s="753"/>
      <c r="C322" s="752" t="s">
        <v>51695</v>
      </c>
      <c r="D322" s="753" t="s">
        <v>51690</v>
      </c>
      <c r="E322" s="752" t="s">
        <v>51694</v>
      </c>
      <c r="F322" s="751">
        <v>4015</v>
      </c>
    </row>
    <row r="323" spans="1:6">
      <c r="A323" s="753"/>
      <c r="B323" s="753"/>
      <c r="C323" s="752" t="s">
        <v>51693</v>
      </c>
      <c r="D323" s="753" t="s">
        <v>51690</v>
      </c>
      <c r="E323" s="752" t="s">
        <v>51692</v>
      </c>
      <c r="F323" s="751">
        <v>4015</v>
      </c>
    </row>
    <row r="324" spans="1:6">
      <c r="A324" s="753"/>
      <c r="B324" s="753"/>
      <c r="C324" s="752" t="s">
        <v>51691</v>
      </c>
      <c r="D324" s="753" t="s">
        <v>51690</v>
      </c>
      <c r="E324" s="752" t="s">
        <v>51689</v>
      </c>
      <c r="F324" s="751">
        <v>3575</v>
      </c>
    </row>
    <row r="325" spans="1:6">
      <c r="A325" s="753"/>
      <c r="B325" s="753"/>
      <c r="C325" s="752" t="s">
        <v>51688</v>
      </c>
      <c r="D325" s="753" t="s">
        <v>51686</v>
      </c>
      <c r="E325" s="752" t="s">
        <v>42903</v>
      </c>
      <c r="F325" s="751">
        <v>2475</v>
      </c>
    </row>
    <row r="326" spans="1:6">
      <c r="A326" s="753"/>
      <c r="B326" s="753"/>
      <c r="C326" s="752" t="s">
        <v>51687</v>
      </c>
      <c r="D326" s="753" t="s">
        <v>51686</v>
      </c>
      <c r="E326" s="752" t="s">
        <v>42903</v>
      </c>
      <c r="F326" s="751">
        <v>2475</v>
      </c>
    </row>
    <row r="327" spans="1:6">
      <c r="A327" s="753"/>
      <c r="B327" s="753"/>
      <c r="C327" s="752" t="s">
        <v>51685</v>
      </c>
      <c r="D327" s="753" t="s">
        <v>51682</v>
      </c>
      <c r="E327" s="752" t="s">
        <v>42876</v>
      </c>
      <c r="F327" s="751">
        <v>3775</v>
      </c>
    </row>
    <row r="328" spans="1:6">
      <c r="A328" s="753"/>
      <c r="B328" s="753"/>
      <c r="C328" s="752" t="s">
        <v>51684</v>
      </c>
      <c r="D328" s="753" t="s">
        <v>51682</v>
      </c>
      <c r="E328" s="752" t="s">
        <v>42883</v>
      </c>
      <c r="F328" s="751">
        <v>3525</v>
      </c>
    </row>
    <row r="329" spans="1:6">
      <c r="A329" s="753"/>
      <c r="B329" s="753"/>
      <c r="C329" s="752" t="s">
        <v>51683</v>
      </c>
      <c r="D329" s="753" t="s">
        <v>51682</v>
      </c>
      <c r="E329" s="752" t="s">
        <v>51681</v>
      </c>
      <c r="F329" s="751">
        <v>4285</v>
      </c>
    </row>
    <row r="330" spans="1:6">
      <c r="A330" s="753"/>
      <c r="B330" s="753"/>
      <c r="C330" s="752" t="s">
        <v>51680</v>
      </c>
      <c r="D330" s="753" t="s">
        <v>51679</v>
      </c>
      <c r="E330" s="752" t="s">
        <v>42876</v>
      </c>
      <c r="F330" s="751">
        <v>3775</v>
      </c>
    </row>
    <row r="331" spans="1:6">
      <c r="A331" s="753"/>
      <c r="B331" s="753" t="s">
        <v>51678</v>
      </c>
      <c r="C331" s="752" t="s">
        <v>51677</v>
      </c>
      <c r="D331" s="753" t="s">
        <v>51666</v>
      </c>
      <c r="E331" s="752" t="s">
        <v>38019</v>
      </c>
      <c r="F331" s="751">
        <v>3675</v>
      </c>
    </row>
    <row r="332" spans="1:6">
      <c r="A332" s="753"/>
      <c r="B332" s="753" t="s">
        <v>51676</v>
      </c>
      <c r="C332" s="752" t="s">
        <v>51675</v>
      </c>
      <c r="D332" s="753" t="s">
        <v>51673</v>
      </c>
      <c r="E332" s="752" t="s">
        <v>38019</v>
      </c>
      <c r="F332" s="751">
        <v>3875</v>
      </c>
    </row>
    <row r="333" spans="1:6">
      <c r="A333" s="753"/>
      <c r="B333" s="753"/>
      <c r="C333" s="752" t="s">
        <v>51674</v>
      </c>
      <c r="D333" s="753" t="s">
        <v>51673</v>
      </c>
      <c r="E333" s="752" t="s">
        <v>38002</v>
      </c>
      <c r="F333" s="751">
        <v>4975</v>
      </c>
    </row>
    <row r="334" spans="1:6">
      <c r="A334" s="753"/>
      <c r="B334" s="753"/>
      <c r="C334" s="752" t="s">
        <v>51672</v>
      </c>
      <c r="D334" s="753" t="s">
        <v>51671</v>
      </c>
      <c r="E334" s="752" t="s">
        <v>38019</v>
      </c>
      <c r="F334" s="751">
        <v>3875</v>
      </c>
    </row>
    <row r="335" spans="1:6">
      <c r="A335" s="753"/>
      <c r="B335" s="753"/>
      <c r="C335" s="752" t="s">
        <v>51670</v>
      </c>
      <c r="D335" s="753" t="s">
        <v>51668</v>
      </c>
      <c r="E335" s="752" t="s">
        <v>38019</v>
      </c>
      <c r="F335" s="751">
        <v>3675</v>
      </c>
    </row>
    <row r="336" spans="1:6">
      <c r="A336" s="753"/>
      <c r="B336" s="753"/>
      <c r="C336" s="752" t="s">
        <v>51669</v>
      </c>
      <c r="D336" s="753" t="s">
        <v>51668</v>
      </c>
      <c r="E336" s="752" t="s">
        <v>38002</v>
      </c>
      <c r="F336" s="751">
        <v>4775</v>
      </c>
    </row>
    <row r="337" spans="1:6">
      <c r="A337" s="753"/>
      <c r="B337" s="753"/>
      <c r="C337" s="752" t="s">
        <v>51667</v>
      </c>
      <c r="D337" s="753" t="s">
        <v>51666</v>
      </c>
      <c r="E337" s="752" t="s">
        <v>38002</v>
      </c>
      <c r="F337" s="751">
        <v>4775</v>
      </c>
    </row>
    <row r="338" spans="1:6">
      <c r="A338" s="753"/>
      <c r="B338" s="753" t="s">
        <v>51665</v>
      </c>
      <c r="C338" s="752" t="s">
        <v>51664</v>
      </c>
      <c r="D338" s="753" t="s">
        <v>51662</v>
      </c>
      <c r="E338" s="752" t="s">
        <v>293</v>
      </c>
      <c r="F338" s="751">
        <v>2625</v>
      </c>
    </row>
    <row r="339" spans="1:6">
      <c r="A339" s="753"/>
      <c r="B339" s="753"/>
      <c r="C339" s="752" t="s">
        <v>51663</v>
      </c>
      <c r="D339" s="753" t="s">
        <v>51662</v>
      </c>
      <c r="E339" s="752" t="s">
        <v>293</v>
      </c>
      <c r="F339" s="751">
        <v>2575</v>
      </c>
    </row>
    <row r="340" spans="1:6">
      <c r="A340" s="753"/>
      <c r="B340" s="753"/>
      <c r="C340" s="752" t="s">
        <v>51661</v>
      </c>
      <c r="D340" s="753" t="s">
        <v>51659</v>
      </c>
      <c r="E340" s="752" t="s">
        <v>293</v>
      </c>
      <c r="F340" s="751">
        <v>3175</v>
      </c>
    </row>
    <row r="341" spans="1:6">
      <c r="A341" s="753"/>
      <c r="B341" s="753"/>
      <c r="C341" s="752" t="s">
        <v>51660</v>
      </c>
      <c r="D341" s="753" t="s">
        <v>51659</v>
      </c>
      <c r="E341" s="752" t="s">
        <v>293</v>
      </c>
      <c r="F341" s="751">
        <v>3125</v>
      </c>
    </row>
    <row r="342" spans="1:6">
      <c r="A342" s="753"/>
      <c r="B342" s="753"/>
      <c r="C342" s="752" t="s">
        <v>51658</v>
      </c>
      <c r="D342" s="753" t="s">
        <v>51656</v>
      </c>
      <c r="E342" s="752" t="s">
        <v>293</v>
      </c>
      <c r="F342" s="751">
        <v>2375</v>
      </c>
    </row>
    <row r="343" spans="1:6">
      <c r="A343" s="753"/>
      <c r="B343" s="753"/>
      <c r="C343" s="752" t="s">
        <v>51657</v>
      </c>
      <c r="D343" s="753" t="s">
        <v>51656</v>
      </c>
      <c r="E343" s="752" t="s">
        <v>293</v>
      </c>
      <c r="F343" s="751">
        <v>2375</v>
      </c>
    </row>
    <row r="344" spans="1:6">
      <c r="A344" s="753"/>
      <c r="B344" s="753"/>
      <c r="C344" s="752" t="s">
        <v>51655</v>
      </c>
      <c r="D344" s="753" t="s">
        <v>51653</v>
      </c>
      <c r="E344" s="752" t="s">
        <v>293</v>
      </c>
      <c r="F344" s="751">
        <v>2925</v>
      </c>
    </row>
    <row r="345" spans="1:6">
      <c r="A345" s="753"/>
      <c r="B345" s="753"/>
      <c r="C345" s="752" t="s">
        <v>51654</v>
      </c>
      <c r="D345" s="753" t="s">
        <v>51653</v>
      </c>
      <c r="E345" s="752" t="s">
        <v>293</v>
      </c>
      <c r="F345" s="751">
        <v>2925</v>
      </c>
    </row>
    <row r="346" spans="1:6">
      <c r="A346" s="753"/>
      <c r="B346" s="753" t="s">
        <v>51652</v>
      </c>
      <c r="C346" s="752" t="s">
        <v>51651</v>
      </c>
      <c r="D346" s="753" t="s">
        <v>51650</v>
      </c>
      <c r="E346" s="752" t="s">
        <v>293</v>
      </c>
      <c r="F346" s="751">
        <v>3665</v>
      </c>
    </row>
    <row r="347" spans="1:6">
      <c r="A347" s="753"/>
      <c r="B347" s="753"/>
      <c r="C347" s="752" t="s">
        <v>51649</v>
      </c>
      <c r="D347" s="753" t="s">
        <v>51648</v>
      </c>
      <c r="E347" s="752" t="s">
        <v>39740</v>
      </c>
      <c r="F347" s="751">
        <v>5025</v>
      </c>
    </row>
    <row r="348" spans="1:6">
      <c r="A348" s="753"/>
      <c r="B348" s="753"/>
      <c r="C348" s="752" t="s">
        <v>51647</v>
      </c>
      <c r="D348" s="753" t="s">
        <v>51646</v>
      </c>
      <c r="E348" s="752" t="s">
        <v>293</v>
      </c>
      <c r="F348" s="751">
        <v>2575</v>
      </c>
    </row>
    <row r="349" spans="1:6">
      <c r="A349" s="753"/>
      <c r="B349" s="753"/>
      <c r="C349" s="752" t="s">
        <v>51645</v>
      </c>
      <c r="D349" s="753" t="s">
        <v>51644</v>
      </c>
      <c r="E349" s="752" t="s">
        <v>293</v>
      </c>
      <c r="F349" s="751">
        <v>2375</v>
      </c>
    </row>
    <row r="350" spans="1:6">
      <c r="A350" s="753"/>
      <c r="B350" s="753"/>
      <c r="C350" s="752" t="s">
        <v>51643</v>
      </c>
      <c r="D350" s="753" t="s">
        <v>51642</v>
      </c>
      <c r="E350" s="752" t="s">
        <v>293</v>
      </c>
      <c r="F350" s="751">
        <v>2925</v>
      </c>
    </row>
    <row r="351" spans="1:6">
      <c r="A351" s="753"/>
      <c r="B351" s="753" t="s">
        <v>51641</v>
      </c>
      <c r="C351" s="752" t="s">
        <v>51640</v>
      </c>
      <c r="D351" s="753" t="s">
        <v>51639</v>
      </c>
      <c r="E351" s="752" t="s">
        <v>293</v>
      </c>
      <c r="F351" s="751">
        <v>2825</v>
      </c>
    </row>
    <row r="352" spans="1:6">
      <c r="A352" s="753"/>
      <c r="B352" s="753" t="s">
        <v>51638</v>
      </c>
      <c r="C352" s="752" t="s">
        <v>51637</v>
      </c>
      <c r="D352" s="753" t="s">
        <v>51636</v>
      </c>
      <c r="E352" s="752" t="s">
        <v>293</v>
      </c>
      <c r="F352" s="751">
        <v>2575</v>
      </c>
    </row>
    <row r="353" spans="1:6">
      <c r="A353" s="753" t="s">
        <v>5216</v>
      </c>
      <c r="B353" s="753" t="s">
        <v>51635</v>
      </c>
      <c r="C353" s="752" t="s">
        <v>51634</v>
      </c>
      <c r="D353" s="753" t="s">
        <v>51633</v>
      </c>
      <c r="E353" s="752" t="s">
        <v>293</v>
      </c>
      <c r="F353" s="751">
        <v>4715</v>
      </c>
    </row>
    <row r="354" spans="1:6">
      <c r="A354" s="753"/>
      <c r="B354" s="753"/>
      <c r="C354" s="752" t="s">
        <v>51632</v>
      </c>
      <c r="D354" s="753" t="s">
        <v>51631</v>
      </c>
      <c r="E354" s="752" t="s">
        <v>39691</v>
      </c>
      <c r="F354" s="751">
        <v>3075</v>
      </c>
    </row>
    <row r="355" spans="1:6">
      <c r="A355" s="753"/>
      <c r="B355" s="753"/>
      <c r="C355" s="752" t="s">
        <v>51630</v>
      </c>
      <c r="D355" s="753" t="s">
        <v>51629</v>
      </c>
      <c r="E355" s="752" t="s">
        <v>39691</v>
      </c>
      <c r="F355" s="751">
        <v>3625</v>
      </c>
    </row>
    <row r="356" spans="1:6">
      <c r="A356" s="753"/>
      <c r="B356" s="753"/>
      <c r="C356" s="752" t="s">
        <v>51628</v>
      </c>
      <c r="D356" s="753" t="s">
        <v>51627</v>
      </c>
      <c r="E356" s="752" t="s">
        <v>39691</v>
      </c>
      <c r="F356" s="751">
        <v>3625</v>
      </c>
    </row>
    <row r="357" spans="1:6">
      <c r="A357" s="753"/>
      <c r="B357" s="753"/>
      <c r="C357" s="752" t="s">
        <v>51626</v>
      </c>
      <c r="D357" s="753" t="s">
        <v>51625</v>
      </c>
      <c r="E357" s="752" t="s">
        <v>39691</v>
      </c>
      <c r="F357" s="751">
        <v>2875</v>
      </c>
    </row>
    <row r="358" spans="1:6">
      <c r="A358" s="753"/>
      <c r="B358" s="753"/>
      <c r="C358" s="752" t="s">
        <v>51624</v>
      </c>
      <c r="D358" s="753" t="s">
        <v>51623</v>
      </c>
      <c r="E358" s="752" t="s">
        <v>39691</v>
      </c>
      <c r="F358" s="751">
        <v>3425</v>
      </c>
    </row>
    <row r="359" spans="1:6">
      <c r="A359" s="753"/>
      <c r="B359" s="753"/>
      <c r="C359" s="752" t="s">
        <v>51622</v>
      </c>
      <c r="D359" s="753" t="s">
        <v>51621</v>
      </c>
      <c r="E359" s="752" t="s">
        <v>39691</v>
      </c>
      <c r="F359" s="751">
        <v>3425</v>
      </c>
    </row>
    <row r="360" spans="1:6">
      <c r="A360" s="753"/>
      <c r="B360" s="753" t="s">
        <v>51620</v>
      </c>
      <c r="C360" s="752" t="s">
        <v>51619</v>
      </c>
      <c r="D360" s="753" t="s">
        <v>51607</v>
      </c>
      <c r="E360" s="752" t="s">
        <v>51618</v>
      </c>
      <c r="F360" s="751">
        <v>3025</v>
      </c>
    </row>
    <row r="361" spans="1:6">
      <c r="A361" s="753"/>
      <c r="B361" s="753" t="s">
        <v>51617</v>
      </c>
      <c r="C361" s="752" t="s">
        <v>51616</v>
      </c>
      <c r="D361" s="753" t="s">
        <v>51615</v>
      </c>
      <c r="E361" s="752" t="s">
        <v>293</v>
      </c>
      <c r="F361" s="751">
        <v>4375</v>
      </c>
    </row>
    <row r="362" spans="1:6">
      <c r="A362" s="753"/>
      <c r="B362" s="753"/>
      <c r="C362" s="752" t="s">
        <v>51614</v>
      </c>
      <c r="D362" s="753" t="s">
        <v>51612</v>
      </c>
      <c r="E362" s="752" t="s">
        <v>293</v>
      </c>
      <c r="F362" s="751">
        <v>5645</v>
      </c>
    </row>
    <row r="363" spans="1:6">
      <c r="A363" s="753"/>
      <c r="B363" s="753"/>
      <c r="C363" s="752" t="s">
        <v>51613</v>
      </c>
      <c r="D363" s="753" t="s">
        <v>51612</v>
      </c>
      <c r="E363" s="752" t="s">
        <v>293</v>
      </c>
      <c r="F363" s="751">
        <v>5495</v>
      </c>
    </row>
    <row r="364" spans="1:6">
      <c r="A364" s="753"/>
      <c r="B364" s="753"/>
      <c r="C364" s="752" t="s">
        <v>51611</v>
      </c>
      <c r="D364" s="753" t="s">
        <v>51610</v>
      </c>
      <c r="E364" s="752" t="s">
        <v>51609</v>
      </c>
      <c r="F364" s="751">
        <v>3025</v>
      </c>
    </row>
    <row r="365" spans="1:6">
      <c r="A365" s="753"/>
      <c r="B365" s="753"/>
      <c r="C365" s="752" t="s">
        <v>51608</v>
      </c>
      <c r="D365" s="753" t="s">
        <v>51607</v>
      </c>
      <c r="E365" s="752" t="s">
        <v>51606</v>
      </c>
      <c r="F365" s="751">
        <v>3375</v>
      </c>
    </row>
    <row r="366" spans="1:6">
      <c r="A366" s="753"/>
      <c r="B366" s="753"/>
      <c r="C366" s="752" t="s">
        <v>51605</v>
      </c>
      <c r="D366" s="753" t="s">
        <v>51601</v>
      </c>
      <c r="E366" s="752" t="s">
        <v>38019</v>
      </c>
      <c r="F366" s="751">
        <v>4175</v>
      </c>
    </row>
    <row r="367" spans="1:6">
      <c r="A367" s="753"/>
      <c r="B367" s="753"/>
      <c r="C367" s="752" t="s">
        <v>51604</v>
      </c>
      <c r="D367" s="753" t="s">
        <v>51601</v>
      </c>
      <c r="E367" s="752" t="s">
        <v>51603</v>
      </c>
      <c r="F367" s="751">
        <v>4935</v>
      </c>
    </row>
    <row r="368" spans="1:6">
      <c r="A368" s="753"/>
      <c r="B368" s="753"/>
      <c r="C368" s="752" t="s">
        <v>51602</v>
      </c>
      <c r="D368" s="753" t="s">
        <v>51601</v>
      </c>
      <c r="E368" s="752" t="s">
        <v>38002</v>
      </c>
      <c r="F368" s="751">
        <v>4975</v>
      </c>
    </row>
    <row r="369" spans="1:6">
      <c r="A369" s="753"/>
      <c r="B369" s="753"/>
      <c r="C369" s="752" t="s">
        <v>51600</v>
      </c>
      <c r="D369" s="753" t="s">
        <v>51599</v>
      </c>
      <c r="E369" s="752" t="s">
        <v>38019</v>
      </c>
      <c r="F369" s="751">
        <v>4175</v>
      </c>
    </row>
    <row r="370" spans="1:6">
      <c r="A370" s="753"/>
      <c r="B370" s="753"/>
      <c r="C370" s="752" t="s">
        <v>51598</v>
      </c>
      <c r="D370" s="753" t="s">
        <v>51597</v>
      </c>
      <c r="E370" s="752" t="s">
        <v>38002</v>
      </c>
      <c r="F370" s="751">
        <v>4975</v>
      </c>
    </row>
    <row r="371" spans="1:6">
      <c r="A371" s="753"/>
      <c r="B371" s="753"/>
      <c r="C371" s="752" t="s">
        <v>51596</v>
      </c>
      <c r="D371" s="753" t="s">
        <v>51595</v>
      </c>
      <c r="E371" s="752" t="s">
        <v>44403</v>
      </c>
      <c r="F371" s="751">
        <v>3175</v>
      </c>
    </row>
    <row r="372" spans="1:6">
      <c r="A372" s="753"/>
      <c r="B372" s="753"/>
      <c r="C372" s="752" t="s">
        <v>51594</v>
      </c>
      <c r="D372" s="753" t="s">
        <v>51592</v>
      </c>
      <c r="E372" s="752" t="s">
        <v>38019</v>
      </c>
      <c r="F372" s="751">
        <v>3975</v>
      </c>
    </row>
    <row r="373" spans="1:6">
      <c r="A373" s="753"/>
      <c r="B373" s="753"/>
      <c r="C373" s="752" t="s">
        <v>51593</v>
      </c>
      <c r="D373" s="753" t="s">
        <v>51592</v>
      </c>
      <c r="E373" s="752" t="s">
        <v>38002</v>
      </c>
      <c r="F373" s="751">
        <v>4775</v>
      </c>
    </row>
    <row r="374" spans="1:6">
      <c r="A374" s="753"/>
      <c r="B374" s="753"/>
      <c r="C374" s="752" t="s">
        <v>51591</v>
      </c>
      <c r="D374" s="753" t="s">
        <v>51590</v>
      </c>
      <c r="E374" s="752" t="s">
        <v>38019</v>
      </c>
      <c r="F374" s="751">
        <v>3975</v>
      </c>
    </row>
    <row r="375" spans="1:6">
      <c r="A375" s="753"/>
      <c r="B375" s="753"/>
      <c r="C375" s="752" t="s">
        <v>51589</v>
      </c>
      <c r="D375" s="753" t="s">
        <v>51588</v>
      </c>
      <c r="E375" s="752" t="s">
        <v>38002</v>
      </c>
      <c r="F375" s="751">
        <v>4775</v>
      </c>
    </row>
    <row r="376" spans="1:6">
      <c r="A376" s="753"/>
      <c r="B376" s="753" t="s">
        <v>51587</v>
      </c>
      <c r="C376" s="752" t="s">
        <v>51586</v>
      </c>
      <c r="D376" s="753" t="s">
        <v>51583</v>
      </c>
      <c r="E376" s="752" t="s">
        <v>293</v>
      </c>
      <c r="F376" s="751">
        <v>3715</v>
      </c>
    </row>
    <row r="377" spans="1:6">
      <c r="A377" s="753"/>
      <c r="B377" s="753"/>
      <c r="C377" s="752" t="s">
        <v>51585</v>
      </c>
      <c r="D377" s="753" t="s">
        <v>51583</v>
      </c>
      <c r="E377" s="752" t="s">
        <v>38919</v>
      </c>
      <c r="F377" s="751">
        <v>4425</v>
      </c>
    </row>
    <row r="378" spans="1:6">
      <c r="A378" s="753"/>
      <c r="B378" s="753"/>
      <c r="C378" s="752" t="s">
        <v>51584</v>
      </c>
      <c r="D378" s="753" t="s">
        <v>51583</v>
      </c>
      <c r="E378" s="752" t="s">
        <v>293</v>
      </c>
      <c r="F378" s="751">
        <v>4215</v>
      </c>
    </row>
    <row r="379" spans="1:6">
      <c r="A379" s="753"/>
      <c r="B379" s="753"/>
      <c r="C379" s="752" t="s">
        <v>51582</v>
      </c>
      <c r="D379" s="753" t="s">
        <v>51578</v>
      </c>
      <c r="E379" s="752" t="s">
        <v>293</v>
      </c>
      <c r="F379" s="751">
        <v>2575</v>
      </c>
    </row>
    <row r="380" spans="1:6">
      <c r="A380" s="753"/>
      <c r="B380" s="753"/>
      <c r="C380" s="752" t="s">
        <v>51581</v>
      </c>
      <c r="D380" s="753" t="s">
        <v>51580</v>
      </c>
      <c r="E380" s="752" t="s">
        <v>38878</v>
      </c>
      <c r="F380" s="751">
        <v>2775</v>
      </c>
    </row>
    <row r="381" spans="1:6">
      <c r="A381" s="753"/>
      <c r="B381" s="753"/>
      <c r="C381" s="752" t="s">
        <v>51579</v>
      </c>
      <c r="D381" s="753" t="s">
        <v>51578</v>
      </c>
      <c r="E381" s="752" t="s">
        <v>37794</v>
      </c>
      <c r="F381" s="751">
        <v>3335</v>
      </c>
    </row>
    <row r="382" spans="1:6">
      <c r="A382" s="753"/>
      <c r="B382" s="753"/>
      <c r="C382" s="752" t="s">
        <v>51577</v>
      </c>
      <c r="D382" s="753" t="s">
        <v>51275</v>
      </c>
      <c r="E382" s="752" t="s">
        <v>293</v>
      </c>
      <c r="F382" s="751">
        <v>3125</v>
      </c>
    </row>
    <row r="383" spans="1:6">
      <c r="A383" s="753"/>
      <c r="B383" s="753"/>
      <c r="C383" s="752" t="s">
        <v>51576</v>
      </c>
      <c r="D383" s="753" t="s">
        <v>51575</v>
      </c>
      <c r="E383" s="752" t="s">
        <v>293</v>
      </c>
      <c r="F383" s="751">
        <v>3125</v>
      </c>
    </row>
    <row r="384" spans="1:6">
      <c r="A384" s="753"/>
      <c r="B384" s="753"/>
      <c r="C384" s="752" t="s">
        <v>51574</v>
      </c>
      <c r="D384" s="753" t="s">
        <v>51573</v>
      </c>
      <c r="E384" s="752" t="s">
        <v>293</v>
      </c>
      <c r="F384" s="751">
        <v>2375</v>
      </c>
    </row>
    <row r="385" spans="1:6">
      <c r="A385" s="753"/>
      <c r="B385" s="753"/>
      <c r="C385" s="752" t="s">
        <v>51572</v>
      </c>
      <c r="D385" s="753" t="s">
        <v>51571</v>
      </c>
      <c r="E385" s="752" t="s">
        <v>38878</v>
      </c>
      <c r="F385" s="751">
        <v>2575</v>
      </c>
    </row>
    <row r="386" spans="1:6">
      <c r="A386" s="753"/>
      <c r="B386" s="753"/>
      <c r="C386" s="752" t="s">
        <v>51570</v>
      </c>
      <c r="D386" s="753" t="s">
        <v>51263</v>
      </c>
      <c r="E386" s="752" t="s">
        <v>39430</v>
      </c>
      <c r="F386" s="751">
        <v>2925</v>
      </c>
    </row>
    <row r="387" spans="1:6">
      <c r="A387" s="753"/>
      <c r="B387" s="753"/>
      <c r="C387" s="752" t="s">
        <v>51569</v>
      </c>
      <c r="D387" s="753" t="s">
        <v>51568</v>
      </c>
      <c r="E387" s="752" t="s">
        <v>293</v>
      </c>
      <c r="F387" s="751">
        <v>2925</v>
      </c>
    </row>
    <row r="388" spans="1:6">
      <c r="A388" s="753"/>
      <c r="B388" s="753"/>
      <c r="C388" s="752" t="s">
        <v>51567</v>
      </c>
      <c r="D388" s="753" t="s">
        <v>51566</v>
      </c>
      <c r="E388" s="752" t="s">
        <v>293</v>
      </c>
      <c r="F388" s="751">
        <v>2375</v>
      </c>
    </row>
    <row r="389" spans="1:6">
      <c r="A389" s="753"/>
      <c r="B389" s="753"/>
      <c r="C389" s="752" t="s">
        <v>51565</v>
      </c>
      <c r="D389" s="753" t="s">
        <v>51564</v>
      </c>
      <c r="E389" s="752" t="s">
        <v>38878</v>
      </c>
      <c r="F389" s="751">
        <v>2675</v>
      </c>
    </row>
    <row r="390" spans="1:6">
      <c r="A390" s="753"/>
      <c r="B390" s="753"/>
      <c r="C390" s="752" t="s">
        <v>51563</v>
      </c>
      <c r="D390" s="753" t="s">
        <v>51561</v>
      </c>
      <c r="E390" s="752" t="s">
        <v>293</v>
      </c>
      <c r="F390" s="751">
        <v>3025</v>
      </c>
    </row>
    <row r="391" spans="1:6">
      <c r="A391" s="753"/>
      <c r="B391" s="753"/>
      <c r="C391" s="752" t="s">
        <v>51562</v>
      </c>
      <c r="D391" s="753" t="s">
        <v>51561</v>
      </c>
      <c r="E391" s="752" t="s">
        <v>293</v>
      </c>
      <c r="F391" s="751">
        <v>3025</v>
      </c>
    </row>
    <row r="392" spans="1:6">
      <c r="A392" s="753"/>
      <c r="B392" s="753" t="s">
        <v>51560</v>
      </c>
      <c r="C392" s="752" t="s">
        <v>51559</v>
      </c>
      <c r="D392" s="753" t="s">
        <v>51557</v>
      </c>
      <c r="E392" s="752" t="s">
        <v>293</v>
      </c>
      <c r="F392" s="751">
        <v>2575</v>
      </c>
    </row>
    <row r="393" spans="1:6">
      <c r="A393" s="753"/>
      <c r="B393" s="753"/>
      <c r="C393" s="752" t="s">
        <v>51558</v>
      </c>
      <c r="D393" s="753" t="s">
        <v>51557</v>
      </c>
      <c r="E393" s="752" t="s">
        <v>41777</v>
      </c>
      <c r="F393" s="751">
        <v>3385</v>
      </c>
    </row>
    <row r="394" spans="1:6">
      <c r="A394" s="753"/>
      <c r="B394" s="753"/>
      <c r="C394" s="752" t="s">
        <v>51556</v>
      </c>
      <c r="D394" s="753" t="s">
        <v>51555</v>
      </c>
      <c r="E394" s="752" t="s">
        <v>293</v>
      </c>
      <c r="F394" s="751">
        <v>2375</v>
      </c>
    </row>
    <row r="395" spans="1:6">
      <c r="A395" s="753"/>
      <c r="B395" s="753"/>
      <c r="C395" s="752" t="s">
        <v>51554</v>
      </c>
      <c r="D395" s="753" t="s">
        <v>51553</v>
      </c>
      <c r="E395" s="752" t="s">
        <v>293</v>
      </c>
      <c r="F395" s="751">
        <v>2475</v>
      </c>
    </row>
    <row r="396" spans="1:6">
      <c r="A396" s="753"/>
      <c r="B396" s="753" t="s">
        <v>51552</v>
      </c>
      <c r="C396" s="752" t="s">
        <v>51551</v>
      </c>
      <c r="D396" s="753" t="s">
        <v>51547</v>
      </c>
      <c r="E396" s="752" t="s">
        <v>39636</v>
      </c>
      <c r="F396" s="751">
        <v>1515</v>
      </c>
    </row>
    <row r="397" spans="1:6">
      <c r="A397" s="753"/>
      <c r="B397" s="753"/>
      <c r="C397" s="752" t="s">
        <v>51550</v>
      </c>
      <c r="D397" s="753" t="s">
        <v>51549</v>
      </c>
      <c r="E397" s="752" t="s">
        <v>293</v>
      </c>
      <c r="F397" s="751">
        <v>2225</v>
      </c>
    </row>
    <row r="398" spans="1:6">
      <c r="A398" s="753"/>
      <c r="B398" s="753"/>
      <c r="C398" s="752" t="s">
        <v>51548</v>
      </c>
      <c r="D398" s="753" t="s">
        <v>51547</v>
      </c>
      <c r="E398" s="752" t="s">
        <v>293</v>
      </c>
      <c r="F398" s="751">
        <v>2025</v>
      </c>
    </row>
    <row r="399" spans="1:6">
      <c r="A399" s="753"/>
      <c r="B399" s="753" t="s">
        <v>51546</v>
      </c>
      <c r="C399" s="752" t="s">
        <v>51545</v>
      </c>
      <c r="D399" s="753" t="s">
        <v>51544</v>
      </c>
      <c r="E399" s="752" t="s">
        <v>37838</v>
      </c>
      <c r="F399" s="751">
        <v>1975</v>
      </c>
    </row>
    <row r="400" spans="1:6">
      <c r="A400" s="753"/>
      <c r="B400" s="753" t="s">
        <v>51543</v>
      </c>
      <c r="C400" s="752" t="s">
        <v>51542</v>
      </c>
      <c r="D400" s="753" t="s">
        <v>51540</v>
      </c>
      <c r="E400" s="752" t="s">
        <v>37838</v>
      </c>
      <c r="F400" s="751">
        <v>2225</v>
      </c>
    </row>
    <row r="401" spans="1:6">
      <c r="A401" s="753"/>
      <c r="B401" s="753"/>
      <c r="C401" s="752" t="s">
        <v>51541</v>
      </c>
      <c r="D401" s="753" t="s">
        <v>51540</v>
      </c>
      <c r="E401" s="752" t="s">
        <v>39088</v>
      </c>
      <c r="F401" s="751">
        <v>1975</v>
      </c>
    </row>
    <row r="402" spans="1:6">
      <c r="A402" s="753"/>
      <c r="B402" s="753"/>
      <c r="C402" s="752" t="s">
        <v>51539</v>
      </c>
      <c r="D402" s="753" t="s">
        <v>51538</v>
      </c>
      <c r="E402" s="752" t="s">
        <v>37838</v>
      </c>
      <c r="F402" s="751">
        <v>2395</v>
      </c>
    </row>
    <row r="403" spans="1:6">
      <c r="A403" s="753"/>
      <c r="B403" s="753" t="s">
        <v>51537</v>
      </c>
      <c r="C403" s="752" t="s">
        <v>51536</v>
      </c>
      <c r="D403" s="753" t="s">
        <v>51535</v>
      </c>
      <c r="E403" s="752" t="s">
        <v>293</v>
      </c>
      <c r="F403" s="751">
        <v>2075</v>
      </c>
    </row>
    <row r="404" spans="1:6">
      <c r="A404" s="753"/>
      <c r="B404" s="753" t="s">
        <v>51534</v>
      </c>
      <c r="C404" s="752" t="s">
        <v>51533</v>
      </c>
      <c r="D404" s="753" t="s">
        <v>51532</v>
      </c>
      <c r="E404" s="752" t="s">
        <v>293</v>
      </c>
      <c r="F404" s="751">
        <v>5645</v>
      </c>
    </row>
    <row r="405" spans="1:6">
      <c r="A405" s="753"/>
      <c r="B405" s="753"/>
      <c r="C405" s="752" t="s">
        <v>51531</v>
      </c>
      <c r="D405" s="753" t="s">
        <v>51530</v>
      </c>
      <c r="E405" s="752" t="s">
        <v>293</v>
      </c>
      <c r="F405" s="751">
        <v>4125</v>
      </c>
    </row>
    <row r="406" spans="1:6">
      <c r="A406" s="753"/>
      <c r="B406" s="753" t="s">
        <v>51529</v>
      </c>
      <c r="C406" s="752" t="s">
        <v>51528</v>
      </c>
      <c r="D406" s="753" t="s">
        <v>51527</v>
      </c>
      <c r="E406" s="752" t="s">
        <v>37838</v>
      </c>
      <c r="F406" s="751">
        <v>1975</v>
      </c>
    </row>
    <row r="407" spans="1:6">
      <c r="A407" s="753"/>
      <c r="B407" s="753" t="s">
        <v>51526</v>
      </c>
      <c r="C407" s="752" t="s">
        <v>51525</v>
      </c>
      <c r="D407" s="753" t="s">
        <v>51524</v>
      </c>
      <c r="E407" s="752" t="s">
        <v>38509</v>
      </c>
      <c r="F407" s="751">
        <v>3620</v>
      </c>
    </row>
    <row r="408" spans="1:6">
      <c r="A408" s="753"/>
      <c r="B408" s="753"/>
      <c r="C408" s="752" t="s">
        <v>51523</v>
      </c>
      <c r="D408" s="753" t="s">
        <v>51520</v>
      </c>
      <c r="E408" s="752" t="s">
        <v>51522</v>
      </c>
      <c r="F408" s="751">
        <v>4670</v>
      </c>
    </row>
    <row r="409" spans="1:6">
      <c r="A409" s="753"/>
      <c r="B409" s="753"/>
      <c r="C409" s="752" t="s">
        <v>51521</v>
      </c>
      <c r="D409" s="753" t="s">
        <v>51520</v>
      </c>
      <c r="E409" s="752" t="s">
        <v>37895</v>
      </c>
      <c r="F409" s="751">
        <v>4420</v>
      </c>
    </row>
    <row r="410" spans="1:6">
      <c r="A410" s="753"/>
      <c r="B410" s="753"/>
      <c r="C410" s="752" t="s">
        <v>51519</v>
      </c>
      <c r="D410" s="753" t="s">
        <v>51518</v>
      </c>
      <c r="E410" s="752" t="s">
        <v>37895</v>
      </c>
      <c r="F410" s="751">
        <v>2225</v>
      </c>
    </row>
    <row r="411" spans="1:6">
      <c r="A411" s="753"/>
      <c r="B411" s="753"/>
      <c r="C411" s="752" t="s">
        <v>51517</v>
      </c>
      <c r="D411" s="753" t="s">
        <v>51509</v>
      </c>
      <c r="E411" s="752" t="s">
        <v>37895</v>
      </c>
      <c r="F411" s="751">
        <v>5215</v>
      </c>
    </row>
    <row r="412" spans="1:6">
      <c r="A412" s="753"/>
      <c r="B412" s="753"/>
      <c r="C412" s="752" t="s">
        <v>51516</v>
      </c>
      <c r="D412" s="753" t="s">
        <v>51515</v>
      </c>
      <c r="E412" s="752" t="s">
        <v>38299</v>
      </c>
      <c r="F412" s="751">
        <v>4220</v>
      </c>
    </row>
    <row r="413" spans="1:6">
      <c r="A413" s="753"/>
      <c r="B413" s="753"/>
      <c r="C413" s="752" t="s">
        <v>51514</v>
      </c>
      <c r="D413" s="753" t="s">
        <v>51512</v>
      </c>
      <c r="E413" s="752" t="s">
        <v>38331</v>
      </c>
      <c r="F413" s="751">
        <v>3970</v>
      </c>
    </row>
    <row r="414" spans="1:6">
      <c r="A414" s="753"/>
      <c r="B414" s="753"/>
      <c r="C414" s="752" t="s">
        <v>51513</v>
      </c>
      <c r="D414" s="753" t="s">
        <v>51512</v>
      </c>
      <c r="E414" s="752" t="s">
        <v>37895</v>
      </c>
      <c r="F414" s="751">
        <v>3720</v>
      </c>
    </row>
    <row r="415" spans="1:6">
      <c r="A415" s="753"/>
      <c r="B415" s="753"/>
      <c r="C415" s="752" t="s">
        <v>51511</v>
      </c>
      <c r="D415" s="753" t="s">
        <v>51509</v>
      </c>
      <c r="E415" s="752" t="s">
        <v>38331</v>
      </c>
      <c r="F415" s="751">
        <v>5715</v>
      </c>
    </row>
    <row r="416" spans="1:6">
      <c r="A416" s="753"/>
      <c r="B416" s="753"/>
      <c r="C416" s="752" t="s">
        <v>51510</v>
      </c>
      <c r="D416" s="753" t="s">
        <v>51509</v>
      </c>
      <c r="E416" s="752" t="s">
        <v>37895</v>
      </c>
      <c r="F416" s="751">
        <v>5215</v>
      </c>
    </row>
    <row r="417" spans="1:6">
      <c r="A417" s="753"/>
      <c r="B417" s="753"/>
      <c r="C417" s="752" t="s">
        <v>51508</v>
      </c>
      <c r="D417" s="753" t="s">
        <v>51507</v>
      </c>
      <c r="E417" s="752" t="s">
        <v>51506</v>
      </c>
      <c r="F417" s="751">
        <v>4475</v>
      </c>
    </row>
    <row r="418" spans="1:6">
      <c r="A418" s="753"/>
      <c r="B418" s="753"/>
      <c r="C418" s="752" t="s">
        <v>51505</v>
      </c>
      <c r="D418" s="753" t="s">
        <v>51503</v>
      </c>
      <c r="E418" s="752" t="s">
        <v>293</v>
      </c>
      <c r="F418" s="751">
        <v>4675</v>
      </c>
    </row>
    <row r="419" spans="1:6">
      <c r="A419" s="753"/>
      <c r="B419" s="753"/>
      <c r="C419" s="752" t="s">
        <v>51504</v>
      </c>
      <c r="D419" s="753" t="s">
        <v>51503</v>
      </c>
      <c r="E419" s="752" t="s">
        <v>51502</v>
      </c>
      <c r="F419" s="751">
        <v>5305</v>
      </c>
    </row>
    <row r="420" spans="1:6">
      <c r="A420" s="753"/>
      <c r="B420" s="753"/>
      <c r="C420" s="752" t="s">
        <v>51501</v>
      </c>
      <c r="D420" s="753" t="s">
        <v>51500</v>
      </c>
      <c r="E420" s="752" t="s">
        <v>44348</v>
      </c>
      <c r="F420" s="751">
        <v>1445</v>
      </c>
    </row>
    <row r="421" spans="1:6">
      <c r="A421" s="753"/>
      <c r="B421" s="753"/>
      <c r="C421" s="752" t="s">
        <v>51499</v>
      </c>
      <c r="D421" s="753" t="s">
        <v>51491</v>
      </c>
      <c r="E421" s="752" t="s">
        <v>51457</v>
      </c>
      <c r="F421" s="751">
        <v>3025</v>
      </c>
    </row>
    <row r="422" spans="1:6">
      <c r="A422" s="753"/>
      <c r="B422" s="753"/>
      <c r="C422" s="752" t="s">
        <v>51498</v>
      </c>
      <c r="D422" s="753" t="s">
        <v>51491</v>
      </c>
      <c r="E422" s="752" t="s">
        <v>44026</v>
      </c>
      <c r="F422" s="751">
        <v>2775</v>
      </c>
    </row>
    <row r="423" spans="1:6">
      <c r="A423" s="753"/>
      <c r="B423" s="753"/>
      <c r="C423" s="752" t="s">
        <v>51497</v>
      </c>
      <c r="D423" s="753" t="s">
        <v>51491</v>
      </c>
      <c r="E423" s="752" t="s">
        <v>51457</v>
      </c>
      <c r="F423" s="751">
        <v>3025</v>
      </c>
    </row>
    <row r="424" spans="1:6">
      <c r="A424" s="753"/>
      <c r="B424" s="753"/>
      <c r="C424" s="752" t="s">
        <v>51496</v>
      </c>
      <c r="D424" s="753" t="s">
        <v>51488</v>
      </c>
      <c r="E424" s="752" t="s">
        <v>38365</v>
      </c>
      <c r="F424" s="751">
        <v>3275</v>
      </c>
    </row>
    <row r="425" spans="1:6">
      <c r="A425" s="753"/>
      <c r="B425" s="753"/>
      <c r="C425" s="752" t="s">
        <v>51495</v>
      </c>
      <c r="D425" s="753" t="s">
        <v>51491</v>
      </c>
      <c r="E425" s="752" t="s">
        <v>51494</v>
      </c>
      <c r="F425" s="751">
        <v>2775</v>
      </c>
    </row>
    <row r="426" spans="1:6">
      <c r="A426" s="753"/>
      <c r="B426" s="753"/>
      <c r="C426" s="752" t="s">
        <v>51493</v>
      </c>
      <c r="D426" s="753" t="s">
        <v>51488</v>
      </c>
      <c r="E426" s="752" t="s">
        <v>38363</v>
      </c>
      <c r="F426" s="751">
        <v>3025</v>
      </c>
    </row>
    <row r="427" spans="1:6">
      <c r="A427" s="753"/>
      <c r="B427" s="753"/>
      <c r="C427" s="752" t="s">
        <v>51492</v>
      </c>
      <c r="D427" s="753" t="s">
        <v>51491</v>
      </c>
      <c r="E427" s="752" t="s">
        <v>44026</v>
      </c>
      <c r="F427" s="751">
        <v>2775</v>
      </c>
    </row>
    <row r="428" spans="1:6">
      <c r="A428" s="753"/>
      <c r="B428" s="753"/>
      <c r="C428" s="752" t="s">
        <v>51490</v>
      </c>
      <c r="D428" s="753" t="s">
        <v>51488</v>
      </c>
      <c r="E428" s="752" t="s">
        <v>38358</v>
      </c>
      <c r="F428" s="751">
        <v>3025</v>
      </c>
    </row>
    <row r="429" spans="1:6">
      <c r="A429" s="753"/>
      <c r="B429" s="753"/>
      <c r="C429" s="752" t="s">
        <v>51489</v>
      </c>
      <c r="D429" s="753" t="s">
        <v>51488</v>
      </c>
      <c r="E429" s="752" t="s">
        <v>51487</v>
      </c>
      <c r="F429" s="751">
        <v>3125</v>
      </c>
    </row>
    <row r="430" spans="1:6">
      <c r="A430" s="753"/>
      <c r="B430" s="753"/>
      <c r="C430" s="752" t="s">
        <v>51486</v>
      </c>
      <c r="D430" s="753" t="s">
        <v>51471</v>
      </c>
      <c r="E430" s="752" t="s">
        <v>293</v>
      </c>
      <c r="F430" s="751">
        <v>4875</v>
      </c>
    </row>
    <row r="431" spans="1:6">
      <c r="A431" s="753"/>
      <c r="B431" s="753"/>
      <c r="C431" s="752" t="s">
        <v>51485</v>
      </c>
      <c r="D431" s="753" t="s">
        <v>51471</v>
      </c>
      <c r="E431" s="752" t="s">
        <v>37892</v>
      </c>
      <c r="F431" s="751">
        <v>4525</v>
      </c>
    </row>
    <row r="432" spans="1:6">
      <c r="A432" s="753"/>
      <c r="B432" s="753"/>
      <c r="C432" s="752" t="s">
        <v>51484</v>
      </c>
      <c r="D432" s="753" t="s">
        <v>51471</v>
      </c>
      <c r="E432" s="752" t="s">
        <v>43989</v>
      </c>
      <c r="F432" s="751">
        <v>4525</v>
      </c>
    </row>
    <row r="433" spans="1:6">
      <c r="A433" s="753"/>
      <c r="B433" s="753"/>
      <c r="C433" s="752" t="s">
        <v>51483</v>
      </c>
      <c r="D433" s="753" t="s">
        <v>51471</v>
      </c>
      <c r="E433" s="752" t="s">
        <v>39923</v>
      </c>
      <c r="F433" s="751">
        <v>4875</v>
      </c>
    </row>
    <row r="434" spans="1:6">
      <c r="A434" s="753"/>
      <c r="B434" s="753"/>
      <c r="C434" s="752" t="s">
        <v>51482</v>
      </c>
      <c r="D434" s="753" t="s">
        <v>51471</v>
      </c>
      <c r="E434" s="752" t="s">
        <v>37892</v>
      </c>
      <c r="F434" s="751">
        <v>4875</v>
      </c>
    </row>
    <row r="435" spans="1:6">
      <c r="A435" s="753"/>
      <c r="B435" s="753"/>
      <c r="C435" s="752" t="s">
        <v>51481</v>
      </c>
      <c r="D435" s="753" t="s">
        <v>51471</v>
      </c>
      <c r="E435" s="752" t="s">
        <v>37892</v>
      </c>
      <c r="F435" s="751">
        <v>3925</v>
      </c>
    </row>
    <row r="436" spans="1:6">
      <c r="A436" s="753"/>
      <c r="B436" s="753"/>
      <c r="C436" s="752" t="s">
        <v>51480</v>
      </c>
      <c r="D436" s="753" t="s">
        <v>51471</v>
      </c>
      <c r="E436" s="752" t="s">
        <v>51479</v>
      </c>
      <c r="F436" s="751">
        <v>5285</v>
      </c>
    </row>
    <row r="437" spans="1:6">
      <c r="A437" s="753"/>
      <c r="B437" s="753"/>
      <c r="C437" s="752" t="s">
        <v>51478</v>
      </c>
      <c r="D437" s="753" t="s">
        <v>51471</v>
      </c>
      <c r="E437" s="752" t="s">
        <v>51477</v>
      </c>
      <c r="F437" s="751">
        <v>4525</v>
      </c>
    </row>
    <row r="438" spans="1:6">
      <c r="A438" s="753"/>
      <c r="B438" s="753"/>
      <c r="C438" s="752" t="s">
        <v>51476</v>
      </c>
      <c r="D438" s="753" t="s">
        <v>51471</v>
      </c>
      <c r="E438" s="752" t="s">
        <v>43989</v>
      </c>
      <c r="F438" s="751">
        <v>4625</v>
      </c>
    </row>
    <row r="439" spans="1:6">
      <c r="A439" s="753"/>
      <c r="B439" s="753"/>
      <c r="C439" s="752" t="s">
        <v>51475</v>
      </c>
      <c r="D439" s="753" t="s">
        <v>51471</v>
      </c>
      <c r="E439" s="752" t="s">
        <v>39923</v>
      </c>
      <c r="F439" s="751">
        <v>4875</v>
      </c>
    </row>
    <row r="440" spans="1:6">
      <c r="A440" s="753"/>
      <c r="B440" s="753"/>
      <c r="C440" s="752" t="s">
        <v>51474</v>
      </c>
      <c r="D440" s="753" t="s">
        <v>51473</v>
      </c>
      <c r="E440" s="752" t="s">
        <v>51378</v>
      </c>
      <c r="F440" s="751">
        <v>3925</v>
      </c>
    </row>
    <row r="441" spans="1:6">
      <c r="A441" s="753"/>
      <c r="B441" s="753"/>
      <c r="C441" s="752" t="s">
        <v>51472</v>
      </c>
      <c r="D441" s="753" t="s">
        <v>51471</v>
      </c>
      <c r="E441" s="752" t="s">
        <v>43989</v>
      </c>
      <c r="F441" s="751">
        <v>4525</v>
      </c>
    </row>
    <row r="442" spans="1:6">
      <c r="A442" s="753"/>
      <c r="B442" s="753"/>
      <c r="C442" s="752" t="s">
        <v>51470</v>
      </c>
      <c r="D442" s="753" t="s">
        <v>51466</v>
      </c>
      <c r="E442" s="752" t="s">
        <v>293</v>
      </c>
      <c r="F442" s="751">
        <v>4875</v>
      </c>
    </row>
    <row r="443" spans="1:6">
      <c r="A443" s="753"/>
      <c r="B443" s="753"/>
      <c r="C443" s="752" t="s">
        <v>51469</v>
      </c>
      <c r="D443" s="753" t="s">
        <v>51466</v>
      </c>
      <c r="E443" s="752" t="s">
        <v>37892</v>
      </c>
      <c r="F443" s="751">
        <v>4525</v>
      </c>
    </row>
    <row r="444" spans="1:6">
      <c r="A444" s="753"/>
      <c r="B444" s="753"/>
      <c r="C444" s="752" t="s">
        <v>51468</v>
      </c>
      <c r="D444" s="753" t="s">
        <v>51460</v>
      </c>
      <c r="E444" s="752" t="s">
        <v>43989</v>
      </c>
      <c r="F444" s="751">
        <v>4525</v>
      </c>
    </row>
    <row r="445" spans="1:6">
      <c r="A445" s="753"/>
      <c r="B445" s="753"/>
      <c r="C445" s="752" t="s">
        <v>51467</v>
      </c>
      <c r="D445" s="753" t="s">
        <v>51466</v>
      </c>
      <c r="E445" s="752" t="s">
        <v>39923</v>
      </c>
      <c r="F445" s="751">
        <v>4875</v>
      </c>
    </row>
    <row r="446" spans="1:6">
      <c r="A446" s="753"/>
      <c r="B446" s="753"/>
      <c r="C446" s="752" t="s">
        <v>51465</v>
      </c>
      <c r="D446" s="753" t="s">
        <v>51462</v>
      </c>
      <c r="E446" s="752" t="s">
        <v>38031</v>
      </c>
      <c r="F446" s="751">
        <v>4875</v>
      </c>
    </row>
    <row r="447" spans="1:6">
      <c r="A447" s="753"/>
      <c r="B447" s="753"/>
      <c r="C447" s="752" t="s">
        <v>51464</v>
      </c>
      <c r="D447" s="753" t="s">
        <v>51460</v>
      </c>
      <c r="E447" s="752" t="s">
        <v>37892</v>
      </c>
      <c r="F447" s="751">
        <v>4525</v>
      </c>
    </row>
    <row r="448" spans="1:6">
      <c r="A448" s="753"/>
      <c r="B448" s="753"/>
      <c r="C448" s="752" t="s">
        <v>51463</v>
      </c>
      <c r="D448" s="753" t="s">
        <v>51462</v>
      </c>
      <c r="E448" s="752" t="s">
        <v>43989</v>
      </c>
      <c r="F448" s="751">
        <v>4525</v>
      </c>
    </row>
    <row r="449" spans="1:6">
      <c r="A449" s="753"/>
      <c r="B449" s="753"/>
      <c r="C449" s="752" t="s">
        <v>51461</v>
      </c>
      <c r="D449" s="753" t="s">
        <v>51460</v>
      </c>
      <c r="E449" s="752" t="s">
        <v>43989</v>
      </c>
      <c r="F449" s="751">
        <v>4875</v>
      </c>
    </row>
    <row r="450" spans="1:6">
      <c r="A450" s="753"/>
      <c r="B450" s="753"/>
      <c r="C450" s="752" t="s">
        <v>51459</v>
      </c>
      <c r="D450" s="753" t="s">
        <v>51449</v>
      </c>
      <c r="E450" s="752" t="s">
        <v>44026</v>
      </c>
      <c r="F450" s="751">
        <v>2575</v>
      </c>
    </row>
    <row r="451" spans="1:6">
      <c r="A451" s="753"/>
      <c r="B451" s="753"/>
      <c r="C451" s="752" t="s">
        <v>51458</v>
      </c>
      <c r="D451" s="753" t="s">
        <v>51449</v>
      </c>
      <c r="E451" s="752" t="s">
        <v>51457</v>
      </c>
      <c r="F451" s="751">
        <v>2825</v>
      </c>
    </row>
    <row r="452" spans="1:6">
      <c r="A452" s="753"/>
      <c r="B452" s="753"/>
      <c r="C452" s="752" t="s">
        <v>51456</v>
      </c>
      <c r="D452" s="753" t="s">
        <v>51449</v>
      </c>
      <c r="E452" s="752" t="s">
        <v>51455</v>
      </c>
      <c r="F452" s="751">
        <v>3425</v>
      </c>
    </row>
    <row r="453" spans="1:6">
      <c r="A453" s="753"/>
      <c r="B453" s="753"/>
      <c r="C453" s="752" t="s">
        <v>51454</v>
      </c>
      <c r="D453" s="753" t="s">
        <v>51385</v>
      </c>
      <c r="E453" s="752" t="s">
        <v>43998</v>
      </c>
      <c r="F453" s="751">
        <v>2575</v>
      </c>
    </row>
    <row r="454" spans="1:6">
      <c r="A454" s="753"/>
      <c r="B454" s="753"/>
      <c r="C454" s="752" t="s">
        <v>51453</v>
      </c>
      <c r="D454" s="753" t="s">
        <v>51385</v>
      </c>
      <c r="E454" s="752" t="s">
        <v>51452</v>
      </c>
      <c r="F454" s="751">
        <v>2575</v>
      </c>
    </row>
    <row r="455" spans="1:6">
      <c r="A455" s="753"/>
      <c r="B455" s="753"/>
      <c r="C455" s="752" t="s">
        <v>51451</v>
      </c>
      <c r="D455" s="753" t="s">
        <v>51385</v>
      </c>
      <c r="E455" s="752" t="s">
        <v>38358</v>
      </c>
      <c r="F455" s="751">
        <v>2825</v>
      </c>
    </row>
    <row r="456" spans="1:6">
      <c r="A456" s="753"/>
      <c r="B456" s="753"/>
      <c r="C456" s="752" t="s">
        <v>51450</v>
      </c>
      <c r="D456" s="753" t="s">
        <v>51449</v>
      </c>
      <c r="E456" s="752" t="s">
        <v>51448</v>
      </c>
      <c r="F456" s="751">
        <v>3175</v>
      </c>
    </row>
    <row r="457" spans="1:6">
      <c r="A457" s="753"/>
      <c r="B457" s="753"/>
      <c r="C457" s="752" t="s">
        <v>51447</v>
      </c>
      <c r="D457" s="753" t="s">
        <v>51432</v>
      </c>
      <c r="E457" s="752" t="s">
        <v>293</v>
      </c>
      <c r="F457" s="751">
        <v>4675</v>
      </c>
    </row>
    <row r="458" spans="1:6">
      <c r="A458" s="753"/>
      <c r="B458" s="753"/>
      <c r="C458" s="752" t="s">
        <v>51446</v>
      </c>
      <c r="D458" s="753" t="s">
        <v>51432</v>
      </c>
      <c r="E458" s="752" t="s">
        <v>37892</v>
      </c>
      <c r="F458" s="751">
        <v>3525</v>
      </c>
    </row>
    <row r="459" spans="1:6">
      <c r="A459" s="753"/>
      <c r="B459" s="753"/>
      <c r="C459" s="752" t="s">
        <v>51445</v>
      </c>
      <c r="D459" s="753" t="s">
        <v>51432</v>
      </c>
      <c r="E459" s="752" t="s">
        <v>43989</v>
      </c>
      <c r="F459" s="751">
        <v>4325</v>
      </c>
    </row>
    <row r="460" spans="1:6">
      <c r="A460" s="753"/>
      <c r="B460" s="753"/>
      <c r="C460" s="752" t="s">
        <v>51444</v>
      </c>
      <c r="D460" s="753" t="s">
        <v>51432</v>
      </c>
      <c r="E460" s="752" t="s">
        <v>39923</v>
      </c>
      <c r="F460" s="751">
        <v>4675</v>
      </c>
    </row>
    <row r="461" spans="1:6">
      <c r="A461" s="753"/>
      <c r="B461" s="753"/>
      <c r="C461" s="752" t="s">
        <v>51443</v>
      </c>
      <c r="D461" s="753" t="s">
        <v>51432</v>
      </c>
      <c r="E461" s="752" t="s">
        <v>293</v>
      </c>
      <c r="F461" s="751">
        <v>4675</v>
      </c>
    </row>
    <row r="462" spans="1:6">
      <c r="A462" s="753"/>
      <c r="B462" s="753"/>
      <c r="C462" s="752" t="s">
        <v>51442</v>
      </c>
      <c r="D462" s="753" t="s">
        <v>51432</v>
      </c>
      <c r="E462" s="752" t="s">
        <v>37794</v>
      </c>
      <c r="F462" s="751">
        <v>5435</v>
      </c>
    </row>
    <row r="463" spans="1:6">
      <c r="A463" s="753"/>
      <c r="B463" s="753"/>
      <c r="C463" s="752" t="s">
        <v>51441</v>
      </c>
      <c r="D463" s="753" t="s">
        <v>51432</v>
      </c>
      <c r="E463" s="752" t="s">
        <v>38019</v>
      </c>
      <c r="F463" s="751">
        <v>3525</v>
      </c>
    </row>
    <row r="464" spans="1:6">
      <c r="A464" s="753"/>
      <c r="B464" s="753"/>
      <c r="C464" s="752" t="s">
        <v>51440</v>
      </c>
      <c r="D464" s="753" t="s">
        <v>51432</v>
      </c>
      <c r="E464" s="752" t="s">
        <v>51418</v>
      </c>
      <c r="F464" s="751">
        <v>4325</v>
      </c>
    </row>
    <row r="465" spans="1:6">
      <c r="A465" s="753"/>
      <c r="B465" s="753"/>
      <c r="C465" s="752" t="s">
        <v>51439</v>
      </c>
      <c r="D465" s="753" t="s">
        <v>51432</v>
      </c>
      <c r="E465" s="752" t="s">
        <v>51392</v>
      </c>
      <c r="F465" s="751">
        <v>4325</v>
      </c>
    </row>
    <row r="466" spans="1:6">
      <c r="A466" s="753"/>
      <c r="B466" s="753"/>
      <c r="C466" s="752" t="s">
        <v>51438</v>
      </c>
      <c r="D466" s="753" t="s">
        <v>51432</v>
      </c>
      <c r="E466" s="752" t="s">
        <v>37892</v>
      </c>
      <c r="F466" s="751">
        <v>4325</v>
      </c>
    </row>
    <row r="467" spans="1:6">
      <c r="A467" s="753"/>
      <c r="B467" s="753"/>
      <c r="C467" s="752" t="s">
        <v>51437</v>
      </c>
      <c r="D467" s="753" t="s">
        <v>51432</v>
      </c>
      <c r="E467" s="752" t="s">
        <v>51436</v>
      </c>
      <c r="F467" s="751">
        <v>4675</v>
      </c>
    </row>
    <row r="468" spans="1:6">
      <c r="A468" s="753"/>
      <c r="B468" s="753"/>
      <c r="C468" s="752" t="s">
        <v>51435</v>
      </c>
      <c r="D468" s="753" t="s">
        <v>51432</v>
      </c>
      <c r="E468" s="752" t="s">
        <v>51434</v>
      </c>
      <c r="F468" s="751">
        <v>4675</v>
      </c>
    </row>
    <row r="469" spans="1:6">
      <c r="A469" s="753"/>
      <c r="B469" s="753"/>
      <c r="C469" s="752" t="s">
        <v>51433</v>
      </c>
      <c r="D469" s="753" t="s">
        <v>51432</v>
      </c>
      <c r="E469" s="752" t="s">
        <v>43989</v>
      </c>
      <c r="F469" s="751">
        <v>5025</v>
      </c>
    </row>
    <row r="470" spans="1:6">
      <c r="A470" s="753"/>
      <c r="B470" s="753"/>
      <c r="C470" s="752" t="s">
        <v>51431</v>
      </c>
      <c r="D470" s="753" t="s">
        <v>51423</v>
      </c>
      <c r="E470" s="752" t="s">
        <v>293</v>
      </c>
      <c r="F470" s="751">
        <v>4675</v>
      </c>
    </row>
    <row r="471" spans="1:6">
      <c r="A471" s="753"/>
      <c r="B471" s="753"/>
      <c r="C471" s="752" t="s">
        <v>51430</v>
      </c>
      <c r="D471" s="753" t="s">
        <v>51423</v>
      </c>
      <c r="E471" s="752" t="s">
        <v>51429</v>
      </c>
      <c r="F471" s="751">
        <v>3775</v>
      </c>
    </row>
    <row r="472" spans="1:6">
      <c r="A472" s="753"/>
      <c r="B472" s="753"/>
      <c r="C472" s="752" t="s">
        <v>51428</v>
      </c>
      <c r="D472" s="753" t="s">
        <v>51423</v>
      </c>
      <c r="E472" s="752" t="s">
        <v>37892</v>
      </c>
      <c r="F472" s="751">
        <v>4325</v>
      </c>
    </row>
    <row r="473" spans="1:6">
      <c r="A473" s="753"/>
      <c r="B473" s="753"/>
      <c r="C473" s="752" t="s">
        <v>51427</v>
      </c>
      <c r="D473" s="753" t="s">
        <v>51423</v>
      </c>
      <c r="E473" s="752" t="s">
        <v>51426</v>
      </c>
      <c r="F473" s="751">
        <v>3425</v>
      </c>
    </row>
    <row r="474" spans="1:6">
      <c r="A474" s="753"/>
      <c r="B474" s="753"/>
      <c r="C474" s="752" t="s">
        <v>51425</v>
      </c>
      <c r="D474" s="753" t="s">
        <v>51411</v>
      </c>
      <c r="E474" s="752" t="s">
        <v>43989</v>
      </c>
      <c r="F474" s="751">
        <v>4325</v>
      </c>
    </row>
    <row r="475" spans="1:6">
      <c r="A475" s="753"/>
      <c r="B475" s="753"/>
      <c r="C475" s="752" t="s">
        <v>51424</v>
      </c>
      <c r="D475" s="753" t="s">
        <v>51423</v>
      </c>
      <c r="E475" s="752" t="s">
        <v>39923</v>
      </c>
      <c r="F475" s="751">
        <v>4675</v>
      </c>
    </row>
    <row r="476" spans="1:6">
      <c r="A476" s="753"/>
      <c r="B476" s="753"/>
      <c r="C476" s="752" t="s">
        <v>51422</v>
      </c>
      <c r="D476" s="753" t="s">
        <v>51414</v>
      </c>
      <c r="E476" s="752" t="s">
        <v>293</v>
      </c>
      <c r="F476" s="751">
        <v>4675</v>
      </c>
    </row>
    <row r="477" spans="1:6">
      <c r="A477" s="753"/>
      <c r="B477" s="753"/>
      <c r="C477" s="752" t="s">
        <v>51421</v>
      </c>
      <c r="D477" s="753" t="s">
        <v>51414</v>
      </c>
      <c r="E477" s="752" t="s">
        <v>293</v>
      </c>
      <c r="F477" s="751">
        <v>4325</v>
      </c>
    </row>
    <row r="478" spans="1:6">
      <c r="A478" s="753"/>
      <c r="B478" s="753"/>
      <c r="C478" s="752" t="s">
        <v>51420</v>
      </c>
      <c r="D478" s="753" t="s">
        <v>51419</v>
      </c>
      <c r="E478" s="752" t="s">
        <v>51418</v>
      </c>
      <c r="F478" s="751">
        <v>4325</v>
      </c>
    </row>
    <row r="479" spans="1:6">
      <c r="A479" s="753"/>
      <c r="B479" s="753"/>
      <c r="C479" s="752" t="s">
        <v>51417</v>
      </c>
      <c r="D479" s="753" t="s">
        <v>51414</v>
      </c>
      <c r="E479" s="752" t="s">
        <v>43984</v>
      </c>
      <c r="F479" s="751">
        <v>4325</v>
      </c>
    </row>
    <row r="480" spans="1:6">
      <c r="A480" s="753"/>
      <c r="B480" s="753"/>
      <c r="C480" s="752" t="s">
        <v>51416</v>
      </c>
      <c r="D480" s="753" t="s">
        <v>51414</v>
      </c>
      <c r="E480" s="752" t="s">
        <v>37892</v>
      </c>
      <c r="F480" s="751">
        <v>4325</v>
      </c>
    </row>
    <row r="481" spans="1:6">
      <c r="A481" s="753"/>
      <c r="B481" s="753"/>
      <c r="C481" s="752" t="s">
        <v>51415</v>
      </c>
      <c r="D481" s="753" t="s">
        <v>51414</v>
      </c>
      <c r="E481" s="752" t="s">
        <v>51413</v>
      </c>
      <c r="F481" s="751">
        <v>4675</v>
      </c>
    </row>
    <row r="482" spans="1:6">
      <c r="A482" s="753"/>
      <c r="B482" s="753"/>
      <c r="C482" s="752" t="s">
        <v>51412</v>
      </c>
      <c r="D482" s="753" t="s">
        <v>51411</v>
      </c>
      <c r="E482" s="752" t="s">
        <v>51410</v>
      </c>
      <c r="F482" s="751">
        <v>5025</v>
      </c>
    </row>
    <row r="483" spans="1:6">
      <c r="A483" s="753"/>
      <c r="B483" s="753"/>
      <c r="C483" s="752" t="s">
        <v>51409</v>
      </c>
      <c r="D483" s="753" t="s">
        <v>51406</v>
      </c>
      <c r="E483" s="752" t="s">
        <v>38365</v>
      </c>
      <c r="F483" s="751">
        <v>3175</v>
      </c>
    </row>
    <row r="484" spans="1:6">
      <c r="A484" s="753"/>
      <c r="B484" s="753"/>
      <c r="C484" s="752" t="s">
        <v>51408</v>
      </c>
      <c r="D484" s="753" t="s">
        <v>51406</v>
      </c>
      <c r="E484" s="752" t="s">
        <v>43998</v>
      </c>
      <c r="F484" s="751">
        <v>2675</v>
      </c>
    </row>
    <row r="485" spans="1:6">
      <c r="A485" s="753"/>
      <c r="B485" s="753"/>
      <c r="C485" s="752" t="s">
        <v>51407</v>
      </c>
      <c r="D485" s="753" t="s">
        <v>51406</v>
      </c>
      <c r="E485" s="752" t="s">
        <v>38358</v>
      </c>
      <c r="F485" s="751">
        <v>2925</v>
      </c>
    </row>
    <row r="486" spans="1:6">
      <c r="A486" s="753"/>
      <c r="B486" s="753"/>
      <c r="C486" s="752" t="s">
        <v>51405</v>
      </c>
      <c r="D486" s="753" t="s">
        <v>51379</v>
      </c>
      <c r="E486" s="752" t="s">
        <v>37892</v>
      </c>
      <c r="F486" s="751">
        <v>4425</v>
      </c>
    </row>
    <row r="487" spans="1:6">
      <c r="A487" s="753"/>
      <c r="B487" s="753"/>
      <c r="C487" s="752" t="s">
        <v>51404</v>
      </c>
      <c r="D487" s="753" t="s">
        <v>51379</v>
      </c>
      <c r="E487" s="752" t="s">
        <v>37892</v>
      </c>
      <c r="F487" s="751">
        <v>4425</v>
      </c>
    </row>
    <row r="488" spans="1:6">
      <c r="A488" s="753"/>
      <c r="B488" s="753"/>
      <c r="C488" s="752" t="s">
        <v>51403</v>
      </c>
      <c r="D488" s="753" t="s">
        <v>51379</v>
      </c>
      <c r="E488" s="752" t="s">
        <v>43989</v>
      </c>
      <c r="F488" s="751">
        <v>4775</v>
      </c>
    </row>
    <row r="489" spans="1:6">
      <c r="A489" s="753"/>
      <c r="B489" s="753"/>
      <c r="C489" s="752" t="s">
        <v>51402</v>
      </c>
      <c r="D489" s="753" t="s">
        <v>51379</v>
      </c>
      <c r="E489" s="752" t="s">
        <v>293</v>
      </c>
      <c r="F489" s="751">
        <v>4775</v>
      </c>
    </row>
    <row r="490" spans="1:6">
      <c r="A490" s="753"/>
      <c r="B490" s="753"/>
      <c r="C490" s="752" t="s">
        <v>51401</v>
      </c>
      <c r="D490" s="753" t="s">
        <v>51379</v>
      </c>
      <c r="E490" s="752" t="s">
        <v>293</v>
      </c>
      <c r="F490" s="751">
        <v>3625</v>
      </c>
    </row>
    <row r="491" spans="1:6">
      <c r="A491" s="753"/>
      <c r="B491" s="753"/>
      <c r="C491" s="752" t="s">
        <v>51400</v>
      </c>
      <c r="D491" s="753" t="s">
        <v>51379</v>
      </c>
      <c r="E491" s="752" t="s">
        <v>293</v>
      </c>
      <c r="F491" s="751">
        <v>4425</v>
      </c>
    </row>
    <row r="492" spans="1:6">
      <c r="A492" s="753"/>
      <c r="B492" s="753"/>
      <c r="C492" s="752" t="s">
        <v>51399</v>
      </c>
      <c r="D492" s="753" t="s">
        <v>51379</v>
      </c>
      <c r="E492" s="752" t="s">
        <v>51392</v>
      </c>
      <c r="F492" s="751">
        <v>4425</v>
      </c>
    </row>
    <row r="493" spans="1:6">
      <c r="A493" s="753"/>
      <c r="B493" s="753"/>
      <c r="C493" s="752" t="s">
        <v>51398</v>
      </c>
      <c r="D493" s="753" t="s">
        <v>51379</v>
      </c>
      <c r="E493" s="752" t="s">
        <v>37892</v>
      </c>
      <c r="F493" s="751">
        <v>4425</v>
      </c>
    </row>
    <row r="494" spans="1:6">
      <c r="A494" s="753"/>
      <c r="B494" s="753"/>
      <c r="C494" s="752" t="s">
        <v>51397</v>
      </c>
      <c r="D494" s="753" t="s">
        <v>51379</v>
      </c>
      <c r="E494" s="752" t="s">
        <v>43989</v>
      </c>
      <c r="F494" s="751">
        <v>4775</v>
      </c>
    </row>
    <row r="495" spans="1:6">
      <c r="A495" s="753"/>
      <c r="B495" s="753"/>
      <c r="C495" s="752" t="s">
        <v>51396</v>
      </c>
      <c r="D495" s="753" t="s">
        <v>51395</v>
      </c>
      <c r="E495" s="752" t="s">
        <v>293</v>
      </c>
      <c r="F495" s="751">
        <v>3875</v>
      </c>
    </row>
    <row r="496" spans="1:6">
      <c r="A496" s="753"/>
      <c r="B496" s="753"/>
      <c r="C496" s="752" t="s">
        <v>51394</v>
      </c>
      <c r="D496" s="753" t="s">
        <v>51388</v>
      </c>
      <c r="E496" s="752" t="s">
        <v>293</v>
      </c>
      <c r="F496" s="751">
        <v>4425</v>
      </c>
    </row>
    <row r="497" spans="1:6">
      <c r="A497" s="753"/>
      <c r="B497" s="753"/>
      <c r="C497" s="752" t="s">
        <v>51393</v>
      </c>
      <c r="D497" s="753" t="s">
        <v>51390</v>
      </c>
      <c r="E497" s="752" t="s">
        <v>51392</v>
      </c>
      <c r="F497" s="751">
        <v>4425</v>
      </c>
    </row>
    <row r="498" spans="1:6">
      <c r="A498" s="753"/>
      <c r="B498" s="753"/>
      <c r="C498" s="752" t="s">
        <v>51391</v>
      </c>
      <c r="D498" s="753" t="s">
        <v>51390</v>
      </c>
      <c r="E498" s="752" t="s">
        <v>37892</v>
      </c>
      <c r="F498" s="751">
        <v>4425</v>
      </c>
    </row>
    <row r="499" spans="1:6">
      <c r="A499" s="753"/>
      <c r="B499" s="753"/>
      <c r="C499" s="752" t="s">
        <v>51389</v>
      </c>
      <c r="D499" s="753" t="s">
        <v>51388</v>
      </c>
      <c r="E499" s="752" t="s">
        <v>43989</v>
      </c>
      <c r="F499" s="751">
        <v>4775</v>
      </c>
    </row>
    <row r="500" spans="1:6">
      <c r="A500" s="753"/>
      <c r="B500" s="753"/>
      <c r="C500" s="752" t="s">
        <v>51387</v>
      </c>
      <c r="D500" s="753" t="s">
        <v>51382</v>
      </c>
      <c r="E500" s="752" t="s">
        <v>51378</v>
      </c>
      <c r="F500" s="751">
        <v>3725</v>
      </c>
    </row>
    <row r="501" spans="1:6">
      <c r="A501" s="753"/>
      <c r="B501" s="753"/>
      <c r="C501" s="752" t="s">
        <v>51386</v>
      </c>
      <c r="D501" s="753" t="s">
        <v>51385</v>
      </c>
      <c r="E501" s="752" t="s">
        <v>51384</v>
      </c>
      <c r="F501" s="751">
        <v>4525</v>
      </c>
    </row>
    <row r="502" spans="1:6">
      <c r="A502" s="753"/>
      <c r="B502" s="753"/>
      <c r="C502" s="752" t="s">
        <v>51383</v>
      </c>
      <c r="D502" s="753" t="s">
        <v>51382</v>
      </c>
      <c r="E502" s="752" t="s">
        <v>51381</v>
      </c>
      <c r="F502" s="751">
        <v>4425</v>
      </c>
    </row>
    <row r="503" spans="1:6">
      <c r="A503" s="753"/>
      <c r="B503" s="753"/>
      <c r="C503" s="752" t="s">
        <v>51380</v>
      </c>
      <c r="D503" s="753" t="s">
        <v>51379</v>
      </c>
      <c r="E503" s="752" t="s">
        <v>51378</v>
      </c>
      <c r="F503" s="751">
        <v>3625</v>
      </c>
    </row>
    <row r="504" spans="1:6">
      <c r="A504" s="753"/>
      <c r="B504" s="753" t="s">
        <v>51377</v>
      </c>
      <c r="C504" s="752" t="s">
        <v>51376</v>
      </c>
      <c r="D504" s="753" t="s">
        <v>51372</v>
      </c>
      <c r="E504" s="752" t="s">
        <v>37838</v>
      </c>
      <c r="F504" s="751">
        <v>1975</v>
      </c>
    </row>
    <row r="505" spans="1:6">
      <c r="A505" s="753"/>
      <c r="B505" s="753"/>
      <c r="C505" s="752" t="s">
        <v>51375</v>
      </c>
      <c r="D505" s="753" t="s">
        <v>51372</v>
      </c>
      <c r="E505" s="752" t="s">
        <v>37838</v>
      </c>
      <c r="F505" s="751">
        <v>1975</v>
      </c>
    </row>
    <row r="506" spans="1:6">
      <c r="A506" s="753"/>
      <c r="B506" s="753"/>
      <c r="C506" s="752" t="s">
        <v>51374</v>
      </c>
      <c r="D506" s="753" t="s">
        <v>51372</v>
      </c>
      <c r="E506" s="752" t="s">
        <v>37838</v>
      </c>
      <c r="F506" s="751">
        <v>1975</v>
      </c>
    </row>
    <row r="507" spans="1:6">
      <c r="A507" s="753"/>
      <c r="B507" s="753"/>
      <c r="C507" s="752" t="s">
        <v>51373</v>
      </c>
      <c r="D507" s="753" t="s">
        <v>51372</v>
      </c>
      <c r="E507" s="752" t="s">
        <v>51371</v>
      </c>
      <c r="F507" s="751">
        <v>1975</v>
      </c>
    </row>
    <row r="508" spans="1:6">
      <c r="A508" s="753"/>
      <c r="B508" s="753" t="s">
        <v>51370</v>
      </c>
      <c r="C508" s="752" t="s">
        <v>51369</v>
      </c>
      <c r="D508" s="753" t="s">
        <v>51368</v>
      </c>
      <c r="E508" s="752" t="s">
        <v>43509</v>
      </c>
      <c r="F508" s="751">
        <v>4845</v>
      </c>
    </row>
    <row r="509" spans="1:6">
      <c r="A509" s="753"/>
      <c r="B509" s="753" t="s">
        <v>51367</v>
      </c>
      <c r="C509" s="752" t="s">
        <v>51366</v>
      </c>
      <c r="D509" s="753" t="s">
        <v>51358</v>
      </c>
      <c r="E509" s="752" t="s">
        <v>39097</v>
      </c>
      <c r="F509" s="751">
        <v>4575</v>
      </c>
    </row>
    <row r="510" spans="1:6">
      <c r="A510" s="753"/>
      <c r="B510" s="753"/>
      <c r="C510" s="752" t="s">
        <v>51365</v>
      </c>
      <c r="D510" s="753" t="s">
        <v>51352</v>
      </c>
      <c r="E510" s="752" t="s">
        <v>293</v>
      </c>
      <c r="F510" s="751">
        <v>3715</v>
      </c>
    </row>
    <row r="511" spans="1:6">
      <c r="A511" s="753"/>
      <c r="B511" s="753"/>
      <c r="C511" s="752" t="s">
        <v>51364</v>
      </c>
      <c r="D511" s="753" t="s">
        <v>51363</v>
      </c>
      <c r="E511" s="752" t="s">
        <v>49885</v>
      </c>
      <c r="F511" s="751">
        <v>4475</v>
      </c>
    </row>
    <row r="512" spans="1:6">
      <c r="A512" s="753"/>
      <c r="B512" s="753"/>
      <c r="C512" s="752" t="s">
        <v>51362</v>
      </c>
      <c r="D512" s="753" t="s">
        <v>51352</v>
      </c>
      <c r="E512" s="752" t="s">
        <v>293</v>
      </c>
      <c r="F512" s="751">
        <v>3715</v>
      </c>
    </row>
    <row r="513" spans="1:6">
      <c r="A513" s="753"/>
      <c r="B513" s="753"/>
      <c r="C513" s="752" t="s">
        <v>51361</v>
      </c>
      <c r="D513" s="753" t="s">
        <v>51352</v>
      </c>
      <c r="E513" s="752" t="s">
        <v>293</v>
      </c>
      <c r="F513" s="751">
        <v>4265</v>
      </c>
    </row>
    <row r="514" spans="1:6">
      <c r="A514" s="753"/>
      <c r="B514" s="753"/>
      <c r="C514" s="752" t="s">
        <v>51360</v>
      </c>
      <c r="D514" s="753" t="s">
        <v>51352</v>
      </c>
      <c r="E514" s="752" t="s">
        <v>39011</v>
      </c>
      <c r="F514" s="751">
        <v>5025</v>
      </c>
    </row>
    <row r="515" spans="1:6">
      <c r="A515" s="753"/>
      <c r="B515" s="753"/>
      <c r="C515" s="752" t="s">
        <v>51359</v>
      </c>
      <c r="D515" s="753" t="s">
        <v>51358</v>
      </c>
      <c r="E515" s="752" t="s">
        <v>293</v>
      </c>
      <c r="F515" s="751">
        <v>5125</v>
      </c>
    </row>
    <row r="516" spans="1:6">
      <c r="A516" s="753"/>
      <c r="B516" s="753"/>
      <c r="C516" s="752" t="s">
        <v>51357</v>
      </c>
      <c r="D516" s="753" t="s">
        <v>51352</v>
      </c>
      <c r="E516" s="752" t="s">
        <v>293</v>
      </c>
      <c r="F516" s="751">
        <v>4265</v>
      </c>
    </row>
    <row r="517" spans="1:6">
      <c r="A517" s="753"/>
      <c r="B517" s="753"/>
      <c r="C517" s="752" t="s">
        <v>51356</v>
      </c>
      <c r="D517" s="753" t="s">
        <v>51352</v>
      </c>
      <c r="E517" s="752" t="s">
        <v>39011</v>
      </c>
      <c r="F517" s="751">
        <v>5025</v>
      </c>
    </row>
    <row r="518" spans="1:6">
      <c r="A518" s="753"/>
      <c r="B518" s="753"/>
      <c r="C518" s="752" t="s">
        <v>51355</v>
      </c>
      <c r="D518" s="753" t="s">
        <v>51350</v>
      </c>
      <c r="E518" s="752" t="s">
        <v>293</v>
      </c>
      <c r="F518" s="751">
        <v>3625</v>
      </c>
    </row>
    <row r="519" spans="1:6">
      <c r="A519" s="753"/>
      <c r="B519" s="753"/>
      <c r="C519" s="752" t="s">
        <v>51354</v>
      </c>
      <c r="D519" s="753" t="s">
        <v>51352</v>
      </c>
      <c r="E519" s="752" t="s">
        <v>38828</v>
      </c>
      <c r="F519" s="751">
        <v>5025</v>
      </c>
    </row>
    <row r="520" spans="1:6">
      <c r="A520" s="753"/>
      <c r="B520" s="753"/>
      <c r="C520" s="752" t="s">
        <v>51353</v>
      </c>
      <c r="D520" s="753" t="s">
        <v>51352</v>
      </c>
      <c r="E520" s="752" t="s">
        <v>39011</v>
      </c>
      <c r="F520" s="751">
        <v>5025</v>
      </c>
    </row>
    <row r="521" spans="1:6">
      <c r="A521" s="753"/>
      <c r="B521" s="753"/>
      <c r="C521" s="752" t="s">
        <v>51351</v>
      </c>
      <c r="D521" s="753" t="s">
        <v>51350</v>
      </c>
      <c r="E521" s="752" t="s">
        <v>38828</v>
      </c>
      <c r="F521" s="751">
        <v>4135</v>
      </c>
    </row>
    <row r="522" spans="1:6">
      <c r="A522" s="753"/>
      <c r="B522" s="753"/>
      <c r="C522" s="752" t="s">
        <v>51349</v>
      </c>
      <c r="D522" s="753" t="s">
        <v>51348</v>
      </c>
      <c r="E522" s="752" t="s">
        <v>293</v>
      </c>
      <c r="F522" s="751">
        <v>3349</v>
      </c>
    </row>
    <row r="523" spans="1:6">
      <c r="A523" s="753"/>
      <c r="B523" s="753"/>
      <c r="C523" s="752" t="s">
        <v>51347</v>
      </c>
      <c r="D523" s="753" t="s">
        <v>51339</v>
      </c>
      <c r="E523" s="752" t="s">
        <v>293</v>
      </c>
      <c r="F523" s="751">
        <v>2375</v>
      </c>
    </row>
    <row r="524" spans="1:6">
      <c r="A524" s="753"/>
      <c r="B524" s="753"/>
      <c r="C524" s="752" t="s">
        <v>51346</v>
      </c>
      <c r="D524" s="753" t="s">
        <v>51339</v>
      </c>
      <c r="E524" s="752" t="s">
        <v>293</v>
      </c>
      <c r="F524" s="751">
        <v>2575</v>
      </c>
    </row>
    <row r="525" spans="1:6">
      <c r="A525" s="753"/>
      <c r="B525" s="753"/>
      <c r="C525" s="752" t="s">
        <v>51345</v>
      </c>
      <c r="D525" s="753" t="s">
        <v>51339</v>
      </c>
      <c r="E525" s="752" t="s">
        <v>39991</v>
      </c>
      <c r="F525" s="751">
        <v>2775</v>
      </c>
    </row>
    <row r="526" spans="1:6">
      <c r="A526" s="753"/>
      <c r="B526" s="753"/>
      <c r="C526" s="752" t="s">
        <v>51344</v>
      </c>
      <c r="D526" s="753" t="s">
        <v>51339</v>
      </c>
      <c r="E526" s="752" t="s">
        <v>37794</v>
      </c>
      <c r="F526" s="751">
        <v>3585</v>
      </c>
    </row>
    <row r="527" spans="1:6">
      <c r="A527" s="753"/>
      <c r="B527" s="753"/>
      <c r="C527" s="752" t="s">
        <v>51343</v>
      </c>
      <c r="D527" s="753" t="s">
        <v>51339</v>
      </c>
      <c r="E527" s="752" t="s">
        <v>41652</v>
      </c>
      <c r="F527" s="751">
        <v>2575</v>
      </c>
    </row>
    <row r="528" spans="1:6">
      <c r="A528" s="753"/>
      <c r="B528" s="753"/>
      <c r="C528" s="752" t="s">
        <v>51342</v>
      </c>
      <c r="D528" s="753" t="s">
        <v>51339</v>
      </c>
      <c r="E528" s="752" t="s">
        <v>293</v>
      </c>
      <c r="F528" s="751">
        <v>2575</v>
      </c>
    </row>
    <row r="529" spans="1:6">
      <c r="A529" s="753"/>
      <c r="B529" s="753"/>
      <c r="C529" s="752" t="s">
        <v>51341</v>
      </c>
      <c r="D529" s="753" t="s">
        <v>51339</v>
      </c>
      <c r="E529" s="752" t="s">
        <v>39991</v>
      </c>
      <c r="F529" s="751">
        <v>2525</v>
      </c>
    </row>
    <row r="530" spans="1:6">
      <c r="A530" s="753"/>
      <c r="B530" s="753"/>
      <c r="C530" s="752" t="s">
        <v>51340</v>
      </c>
      <c r="D530" s="753" t="s">
        <v>51339</v>
      </c>
      <c r="E530" s="752" t="s">
        <v>38670</v>
      </c>
      <c r="F530" s="751">
        <v>3085</v>
      </c>
    </row>
    <row r="531" spans="1:6">
      <c r="A531" s="753"/>
      <c r="B531" s="753"/>
      <c r="C531" s="752" t="s">
        <v>51338</v>
      </c>
      <c r="D531" s="753" t="s">
        <v>51334</v>
      </c>
      <c r="E531" s="752" t="s">
        <v>293</v>
      </c>
      <c r="F531" s="751">
        <v>3125</v>
      </c>
    </row>
    <row r="532" spans="1:6">
      <c r="A532" s="753"/>
      <c r="B532" s="753"/>
      <c r="C532" s="752" t="s">
        <v>51337</v>
      </c>
      <c r="D532" s="753" t="s">
        <v>51334</v>
      </c>
      <c r="E532" s="752" t="s">
        <v>38919</v>
      </c>
      <c r="F532" s="751">
        <v>3885</v>
      </c>
    </row>
    <row r="533" spans="1:6">
      <c r="A533" s="753"/>
      <c r="B533" s="753"/>
      <c r="C533" s="752" t="s">
        <v>51336</v>
      </c>
      <c r="D533" s="753" t="s">
        <v>51334</v>
      </c>
      <c r="E533" s="752" t="s">
        <v>293</v>
      </c>
      <c r="F533" s="751">
        <v>3125</v>
      </c>
    </row>
    <row r="534" spans="1:6">
      <c r="A534" s="753"/>
      <c r="B534" s="753"/>
      <c r="C534" s="752" t="s">
        <v>51335</v>
      </c>
      <c r="D534" s="753" t="s">
        <v>51334</v>
      </c>
      <c r="E534" s="752" t="s">
        <v>39991</v>
      </c>
      <c r="F534" s="751">
        <v>2925</v>
      </c>
    </row>
    <row r="535" spans="1:6">
      <c r="A535" s="753"/>
      <c r="B535" s="753"/>
      <c r="C535" s="752" t="s">
        <v>51333</v>
      </c>
      <c r="D535" s="753" t="s">
        <v>51332</v>
      </c>
      <c r="E535" s="752" t="s">
        <v>293</v>
      </c>
      <c r="F535" s="751">
        <v>2925</v>
      </c>
    </row>
    <row r="536" spans="1:6">
      <c r="A536" s="753"/>
      <c r="B536" s="753"/>
      <c r="C536" s="752" t="s">
        <v>51331</v>
      </c>
      <c r="D536" s="753" t="s">
        <v>51330</v>
      </c>
      <c r="E536" s="752" t="s">
        <v>293</v>
      </c>
      <c r="F536" s="751">
        <v>3125</v>
      </c>
    </row>
    <row r="537" spans="1:6">
      <c r="A537" s="753"/>
      <c r="B537" s="753"/>
      <c r="C537" s="752" t="s">
        <v>51329</v>
      </c>
      <c r="D537" s="753" t="s">
        <v>51328</v>
      </c>
      <c r="E537" s="752" t="s">
        <v>39991</v>
      </c>
      <c r="F537" s="751">
        <v>3175</v>
      </c>
    </row>
    <row r="538" spans="1:6">
      <c r="A538" s="753"/>
      <c r="B538" s="753"/>
      <c r="C538" s="752" t="s">
        <v>51327</v>
      </c>
      <c r="D538" s="753" t="s">
        <v>51323</v>
      </c>
      <c r="E538" s="752" t="s">
        <v>51322</v>
      </c>
      <c r="F538" s="751">
        <v>2675</v>
      </c>
    </row>
    <row r="539" spans="1:6">
      <c r="A539" s="753"/>
      <c r="B539" s="753"/>
      <c r="C539" s="752" t="s">
        <v>51326</v>
      </c>
      <c r="D539" s="753" t="s">
        <v>51317</v>
      </c>
      <c r="E539" s="752" t="s">
        <v>293</v>
      </c>
      <c r="F539" s="751">
        <v>2175</v>
      </c>
    </row>
    <row r="540" spans="1:6">
      <c r="A540" s="753"/>
      <c r="B540" s="753"/>
      <c r="C540" s="752" t="s">
        <v>51325</v>
      </c>
      <c r="D540" s="753" t="s">
        <v>51317</v>
      </c>
      <c r="E540" s="752" t="s">
        <v>293</v>
      </c>
      <c r="F540" s="751">
        <v>2375</v>
      </c>
    </row>
    <row r="541" spans="1:6">
      <c r="A541" s="753"/>
      <c r="B541" s="753"/>
      <c r="C541" s="752" t="s">
        <v>51324</v>
      </c>
      <c r="D541" s="753" t="s">
        <v>51323</v>
      </c>
      <c r="E541" s="752" t="s">
        <v>51322</v>
      </c>
      <c r="F541" s="751">
        <v>2575</v>
      </c>
    </row>
    <row r="542" spans="1:6">
      <c r="A542" s="753"/>
      <c r="B542" s="753"/>
      <c r="C542" s="752" t="s">
        <v>51321</v>
      </c>
      <c r="D542" s="753" t="s">
        <v>51317</v>
      </c>
      <c r="E542" s="752" t="s">
        <v>37794</v>
      </c>
      <c r="F542" s="751">
        <v>3135</v>
      </c>
    </row>
    <row r="543" spans="1:6">
      <c r="A543" s="753"/>
      <c r="B543" s="753"/>
      <c r="C543" s="752" t="s">
        <v>51320</v>
      </c>
      <c r="D543" s="753" t="s">
        <v>51317</v>
      </c>
      <c r="E543" s="752" t="s">
        <v>38919</v>
      </c>
      <c r="F543" s="751">
        <v>3135</v>
      </c>
    </row>
    <row r="544" spans="1:6">
      <c r="A544" s="753"/>
      <c r="B544" s="753"/>
      <c r="C544" s="752" t="s">
        <v>51319</v>
      </c>
      <c r="D544" s="753" t="s">
        <v>51317</v>
      </c>
      <c r="E544" s="752" t="s">
        <v>293</v>
      </c>
      <c r="F544" s="751">
        <v>2375</v>
      </c>
    </row>
    <row r="545" spans="1:6">
      <c r="A545" s="753"/>
      <c r="B545" s="753"/>
      <c r="C545" s="752" t="s">
        <v>51318</v>
      </c>
      <c r="D545" s="753" t="s">
        <v>51317</v>
      </c>
      <c r="E545" s="752" t="s">
        <v>39991</v>
      </c>
      <c r="F545" s="751">
        <v>2325</v>
      </c>
    </row>
    <row r="546" spans="1:6">
      <c r="A546" s="753"/>
      <c r="B546" s="753"/>
      <c r="C546" s="752" t="s">
        <v>51316</v>
      </c>
      <c r="D546" s="753" t="s">
        <v>51311</v>
      </c>
      <c r="E546" s="752" t="s">
        <v>293</v>
      </c>
      <c r="F546" s="751">
        <v>2725</v>
      </c>
    </row>
    <row r="547" spans="1:6">
      <c r="A547" s="753"/>
      <c r="B547" s="753"/>
      <c r="C547" s="752" t="s">
        <v>51315</v>
      </c>
      <c r="D547" s="753" t="s">
        <v>51311</v>
      </c>
      <c r="E547" s="752" t="s">
        <v>293</v>
      </c>
      <c r="F547" s="751">
        <v>2925</v>
      </c>
    </row>
    <row r="548" spans="1:6">
      <c r="A548" s="753"/>
      <c r="B548" s="753"/>
      <c r="C548" s="752" t="s">
        <v>51314</v>
      </c>
      <c r="D548" s="753" t="s">
        <v>51311</v>
      </c>
      <c r="E548" s="752" t="s">
        <v>47432</v>
      </c>
      <c r="F548" s="751">
        <v>3685</v>
      </c>
    </row>
    <row r="549" spans="1:6">
      <c r="A549" s="753"/>
      <c r="B549" s="753"/>
      <c r="C549" s="752" t="s">
        <v>51313</v>
      </c>
      <c r="D549" s="753" t="s">
        <v>51311</v>
      </c>
      <c r="E549" s="752" t="s">
        <v>293</v>
      </c>
      <c r="F549" s="751">
        <v>2925</v>
      </c>
    </row>
    <row r="550" spans="1:6">
      <c r="A550" s="753"/>
      <c r="B550" s="753"/>
      <c r="C550" s="752" t="s">
        <v>51312</v>
      </c>
      <c r="D550" s="753" t="s">
        <v>51311</v>
      </c>
      <c r="E550" s="752" t="s">
        <v>39991</v>
      </c>
      <c r="F550" s="751">
        <v>2725</v>
      </c>
    </row>
    <row r="551" spans="1:6">
      <c r="A551" s="753"/>
      <c r="B551" s="753"/>
      <c r="C551" s="752" t="s">
        <v>51310</v>
      </c>
      <c r="D551" s="753" t="s">
        <v>51309</v>
      </c>
      <c r="E551" s="752" t="s">
        <v>293</v>
      </c>
      <c r="F551" s="751">
        <v>2925</v>
      </c>
    </row>
    <row r="552" spans="1:6">
      <c r="A552" s="753"/>
      <c r="B552" s="753"/>
      <c r="C552" s="752" t="s">
        <v>51308</v>
      </c>
      <c r="D552" s="753" t="s">
        <v>51306</v>
      </c>
      <c r="E552" s="752" t="s">
        <v>293</v>
      </c>
      <c r="F552" s="751">
        <v>2925</v>
      </c>
    </row>
    <row r="553" spans="1:6">
      <c r="A553" s="753"/>
      <c r="B553" s="753"/>
      <c r="C553" s="752" t="s">
        <v>51307</v>
      </c>
      <c r="D553" s="753" t="s">
        <v>51306</v>
      </c>
      <c r="E553" s="752" t="s">
        <v>293</v>
      </c>
      <c r="F553" s="751">
        <v>2925</v>
      </c>
    </row>
    <row r="554" spans="1:6">
      <c r="A554" s="753"/>
      <c r="B554" s="753"/>
      <c r="C554" s="752" t="s">
        <v>51305</v>
      </c>
      <c r="D554" s="753" t="s">
        <v>51304</v>
      </c>
      <c r="E554" s="752" t="s">
        <v>293</v>
      </c>
      <c r="F554" s="751">
        <v>2475</v>
      </c>
    </row>
    <row r="555" spans="1:6">
      <c r="A555" s="753"/>
      <c r="B555" s="753"/>
      <c r="C555" s="752" t="s">
        <v>51303</v>
      </c>
      <c r="D555" s="753" t="s">
        <v>51294</v>
      </c>
      <c r="E555" s="752" t="s">
        <v>39991</v>
      </c>
      <c r="F555" s="751">
        <v>2175</v>
      </c>
    </row>
    <row r="556" spans="1:6">
      <c r="A556" s="753"/>
      <c r="B556" s="753"/>
      <c r="C556" s="752" t="s">
        <v>51302</v>
      </c>
      <c r="D556" s="753" t="s">
        <v>51294</v>
      </c>
      <c r="E556" s="752" t="s">
        <v>39170</v>
      </c>
      <c r="F556" s="751">
        <v>2985</v>
      </c>
    </row>
    <row r="557" spans="1:6">
      <c r="A557" s="753"/>
      <c r="B557" s="753"/>
      <c r="C557" s="752" t="s">
        <v>51301</v>
      </c>
      <c r="D557" s="753" t="s">
        <v>51300</v>
      </c>
      <c r="E557" s="752" t="s">
        <v>39991</v>
      </c>
      <c r="F557" s="751">
        <v>2825</v>
      </c>
    </row>
    <row r="558" spans="1:6">
      <c r="A558" s="753"/>
      <c r="B558" s="753"/>
      <c r="C558" s="752" t="s">
        <v>51299</v>
      </c>
      <c r="D558" s="753" t="s">
        <v>51298</v>
      </c>
      <c r="E558" s="752" t="s">
        <v>47432</v>
      </c>
      <c r="F558" s="751">
        <v>3785</v>
      </c>
    </row>
    <row r="559" spans="1:6">
      <c r="A559" s="753"/>
      <c r="B559" s="753"/>
      <c r="C559" s="752" t="s">
        <v>51297</v>
      </c>
      <c r="D559" s="753" t="s">
        <v>51296</v>
      </c>
      <c r="E559" s="752" t="s">
        <v>293</v>
      </c>
      <c r="F559" s="751">
        <v>3025</v>
      </c>
    </row>
    <row r="560" spans="1:6">
      <c r="A560" s="753"/>
      <c r="B560" s="753"/>
      <c r="C560" s="752" t="s">
        <v>51295</v>
      </c>
      <c r="D560" s="753" t="s">
        <v>51294</v>
      </c>
      <c r="E560" s="752" t="s">
        <v>293</v>
      </c>
      <c r="F560" s="751">
        <v>2475</v>
      </c>
    </row>
    <row r="561" spans="1:6">
      <c r="A561" s="753"/>
      <c r="B561" s="753" t="s">
        <v>51293</v>
      </c>
      <c r="C561" s="752" t="s">
        <v>51292</v>
      </c>
      <c r="D561" s="753" t="s">
        <v>51291</v>
      </c>
      <c r="E561" s="752" t="s">
        <v>37794</v>
      </c>
      <c r="F561" s="751">
        <v>5505</v>
      </c>
    </row>
    <row r="562" spans="1:6">
      <c r="A562" s="753"/>
      <c r="B562" s="753"/>
      <c r="C562" s="752" t="s">
        <v>51290</v>
      </c>
      <c r="D562" s="753" t="s">
        <v>51289</v>
      </c>
      <c r="E562" s="752" t="s">
        <v>51288</v>
      </c>
      <c r="F562" s="751">
        <v>6455</v>
      </c>
    </row>
    <row r="563" spans="1:6">
      <c r="A563" s="753"/>
      <c r="B563" s="753"/>
      <c r="C563" s="752" t="s">
        <v>51287</v>
      </c>
      <c r="D563" s="753" t="s">
        <v>51285</v>
      </c>
      <c r="E563" s="752" t="s">
        <v>51284</v>
      </c>
      <c r="F563" s="751">
        <v>2825</v>
      </c>
    </row>
    <row r="564" spans="1:6">
      <c r="A564" s="753"/>
      <c r="B564" s="753"/>
      <c r="C564" s="752" t="s">
        <v>51286</v>
      </c>
      <c r="D564" s="753" t="s">
        <v>51285</v>
      </c>
      <c r="E564" s="752" t="s">
        <v>51284</v>
      </c>
      <c r="F564" s="751">
        <v>3375</v>
      </c>
    </row>
    <row r="565" spans="1:6">
      <c r="A565" s="753"/>
      <c r="B565" s="753" t="s">
        <v>51283</v>
      </c>
      <c r="C565" s="752" t="s">
        <v>51282</v>
      </c>
      <c r="D565" s="753" t="s">
        <v>51281</v>
      </c>
      <c r="E565" s="752" t="s">
        <v>293</v>
      </c>
      <c r="F565" s="751">
        <v>4365</v>
      </c>
    </row>
    <row r="566" spans="1:6">
      <c r="A566" s="753"/>
      <c r="B566" s="753"/>
      <c r="C566" s="752" t="s">
        <v>51280</v>
      </c>
      <c r="D566" s="753" t="s">
        <v>51279</v>
      </c>
      <c r="E566" s="752" t="s">
        <v>293</v>
      </c>
      <c r="F566" s="751">
        <v>3625</v>
      </c>
    </row>
    <row r="567" spans="1:6">
      <c r="A567" s="753"/>
      <c r="B567" s="753"/>
      <c r="C567" s="752" t="s">
        <v>51278</v>
      </c>
      <c r="D567" s="753" t="s">
        <v>51275</v>
      </c>
      <c r="E567" s="752" t="s">
        <v>293</v>
      </c>
      <c r="F567" s="751">
        <v>3125</v>
      </c>
    </row>
    <row r="568" spans="1:6">
      <c r="A568" s="753"/>
      <c r="B568" s="753"/>
      <c r="C568" s="752" t="s">
        <v>51277</v>
      </c>
      <c r="D568" s="753" t="s">
        <v>51275</v>
      </c>
      <c r="E568" s="752" t="s">
        <v>41708</v>
      </c>
      <c r="F568" s="751">
        <v>3125</v>
      </c>
    </row>
    <row r="569" spans="1:6">
      <c r="A569" s="753"/>
      <c r="B569" s="753"/>
      <c r="C569" s="752" t="s">
        <v>51276</v>
      </c>
      <c r="D569" s="753" t="s">
        <v>51275</v>
      </c>
      <c r="E569" s="752" t="s">
        <v>51274</v>
      </c>
      <c r="F569" s="751">
        <v>3885</v>
      </c>
    </row>
    <row r="570" spans="1:6">
      <c r="A570" s="753"/>
      <c r="B570" s="753"/>
      <c r="C570" s="752" t="s">
        <v>51273</v>
      </c>
      <c r="D570" s="753" t="s">
        <v>51271</v>
      </c>
      <c r="E570" s="752" t="s">
        <v>293</v>
      </c>
      <c r="F570" s="751">
        <v>2925</v>
      </c>
    </row>
    <row r="571" spans="1:6">
      <c r="A571" s="753"/>
      <c r="B571" s="753"/>
      <c r="C571" s="752" t="s">
        <v>51272</v>
      </c>
      <c r="D571" s="753" t="s">
        <v>51271</v>
      </c>
      <c r="E571" s="752" t="s">
        <v>39020</v>
      </c>
      <c r="F571" s="751">
        <v>3885</v>
      </c>
    </row>
    <row r="572" spans="1:6">
      <c r="A572" s="753"/>
      <c r="B572" s="753"/>
      <c r="C572" s="752" t="s">
        <v>51270</v>
      </c>
      <c r="D572" s="753" t="s">
        <v>51268</v>
      </c>
      <c r="E572" s="752" t="s">
        <v>293</v>
      </c>
      <c r="F572" s="751">
        <v>2375</v>
      </c>
    </row>
    <row r="573" spans="1:6">
      <c r="A573" s="753"/>
      <c r="B573" s="753"/>
      <c r="C573" s="752" t="s">
        <v>51269</v>
      </c>
      <c r="D573" s="753" t="s">
        <v>51268</v>
      </c>
      <c r="E573" s="752" t="s">
        <v>293</v>
      </c>
      <c r="F573" s="751">
        <v>2925</v>
      </c>
    </row>
    <row r="574" spans="1:6">
      <c r="A574" s="753"/>
      <c r="B574" s="753"/>
      <c r="C574" s="752" t="s">
        <v>51267</v>
      </c>
      <c r="D574" s="753" t="s">
        <v>51263</v>
      </c>
      <c r="E574" s="752" t="s">
        <v>293</v>
      </c>
      <c r="F574" s="751">
        <v>2925</v>
      </c>
    </row>
    <row r="575" spans="1:6">
      <c r="A575" s="753"/>
      <c r="B575" s="753"/>
      <c r="C575" s="752" t="s">
        <v>51266</v>
      </c>
      <c r="D575" s="753" t="s">
        <v>51263</v>
      </c>
      <c r="E575" s="752" t="s">
        <v>38732</v>
      </c>
      <c r="F575" s="751">
        <v>3125</v>
      </c>
    </row>
    <row r="576" spans="1:6">
      <c r="A576" s="753"/>
      <c r="B576" s="753"/>
      <c r="C576" s="752" t="s">
        <v>51265</v>
      </c>
      <c r="D576" s="753" t="s">
        <v>51263</v>
      </c>
      <c r="E576" s="752" t="s">
        <v>293</v>
      </c>
      <c r="F576" s="751">
        <v>2925</v>
      </c>
    </row>
    <row r="577" spans="1:6">
      <c r="A577" s="753"/>
      <c r="B577" s="753"/>
      <c r="C577" s="752" t="s">
        <v>51264</v>
      </c>
      <c r="D577" s="753" t="s">
        <v>51263</v>
      </c>
      <c r="E577" s="752" t="s">
        <v>293</v>
      </c>
      <c r="F577" s="751">
        <v>2925</v>
      </c>
    </row>
    <row r="578" spans="1:6">
      <c r="A578" s="753"/>
      <c r="B578" s="753" t="s">
        <v>44485</v>
      </c>
      <c r="C578" s="752" t="s">
        <v>51262</v>
      </c>
      <c r="D578" s="753" t="s">
        <v>51261</v>
      </c>
      <c r="E578" s="752" t="s">
        <v>293</v>
      </c>
      <c r="F578" s="751">
        <v>5185</v>
      </c>
    </row>
    <row r="579" spans="1:6">
      <c r="A579" s="753"/>
      <c r="B579" s="753"/>
      <c r="C579" s="752" t="s">
        <v>51260</v>
      </c>
      <c r="D579" s="753" t="s">
        <v>43911</v>
      </c>
      <c r="E579" s="752" t="s">
        <v>39011</v>
      </c>
      <c r="F579" s="751">
        <v>6635</v>
      </c>
    </row>
    <row r="580" spans="1:6">
      <c r="A580" s="753"/>
      <c r="B580" s="753"/>
      <c r="C580" s="752" t="s">
        <v>51259</v>
      </c>
      <c r="D580" s="753" t="s">
        <v>43911</v>
      </c>
      <c r="E580" s="752" t="s">
        <v>293</v>
      </c>
      <c r="F580" s="751">
        <v>6075</v>
      </c>
    </row>
    <row r="581" spans="1:6">
      <c r="A581" s="753"/>
      <c r="B581" s="753"/>
      <c r="C581" s="752" t="s">
        <v>51258</v>
      </c>
      <c r="D581" s="753" t="s">
        <v>44117</v>
      </c>
      <c r="E581" s="752" t="s">
        <v>38010</v>
      </c>
      <c r="F581" s="751">
        <v>3875</v>
      </c>
    </row>
    <row r="582" spans="1:6">
      <c r="A582" s="753"/>
      <c r="B582" s="753"/>
      <c r="C582" s="752" t="s">
        <v>51257</v>
      </c>
      <c r="D582" s="753" t="s">
        <v>44117</v>
      </c>
      <c r="E582" s="752" t="s">
        <v>51255</v>
      </c>
      <c r="F582" s="751">
        <v>4635</v>
      </c>
    </row>
    <row r="583" spans="1:6">
      <c r="A583" s="753"/>
      <c r="B583" s="753"/>
      <c r="C583" s="752" t="s">
        <v>51256</v>
      </c>
      <c r="D583" s="753" t="s">
        <v>44465</v>
      </c>
      <c r="E583" s="752" t="s">
        <v>51255</v>
      </c>
      <c r="F583" s="751">
        <v>4635</v>
      </c>
    </row>
    <row r="584" spans="1:6">
      <c r="A584" s="753"/>
      <c r="B584" s="753"/>
      <c r="C584" s="752" t="s">
        <v>51254</v>
      </c>
      <c r="D584" s="753" t="s">
        <v>44459</v>
      </c>
      <c r="E584" s="752" t="s">
        <v>293</v>
      </c>
      <c r="F584" s="751">
        <v>2875</v>
      </c>
    </row>
    <row r="585" spans="1:6">
      <c r="A585" s="753"/>
      <c r="B585" s="753"/>
      <c r="C585" s="752" t="s">
        <v>51253</v>
      </c>
      <c r="D585" s="753" t="s">
        <v>44112</v>
      </c>
      <c r="E585" s="752" t="s">
        <v>293</v>
      </c>
      <c r="F585" s="751">
        <v>3925</v>
      </c>
    </row>
    <row r="586" spans="1:6">
      <c r="A586" s="753"/>
      <c r="B586" s="753"/>
      <c r="C586" s="752" t="s">
        <v>51252</v>
      </c>
      <c r="D586" s="753" t="s">
        <v>44112</v>
      </c>
      <c r="E586" s="752" t="s">
        <v>38010</v>
      </c>
      <c r="F586" s="751">
        <v>3675</v>
      </c>
    </row>
    <row r="587" spans="1:6">
      <c r="A587" s="753"/>
      <c r="B587" s="753"/>
      <c r="C587" s="752" t="s">
        <v>51251</v>
      </c>
      <c r="D587" s="753" t="s">
        <v>51250</v>
      </c>
      <c r="E587" s="752" t="s">
        <v>38010</v>
      </c>
      <c r="F587" s="751">
        <v>3675</v>
      </c>
    </row>
    <row r="588" spans="1:6">
      <c r="A588" s="753"/>
      <c r="B588" s="753" t="s">
        <v>51249</v>
      </c>
      <c r="C588" s="752" t="s">
        <v>51248</v>
      </c>
      <c r="D588" s="753" t="s">
        <v>51247</v>
      </c>
      <c r="E588" s="752" t="s">
        <v>293</v>
      </c>
      <c r="F588" s="751">
        <v>2575</v>
      </c>
    </row>
    <row r="589" spans="1:6">
      <c r="A589" s="753"/>
      <c r="B589" s="753"/>
      <c r="C589" s="752" t="s">
        <v>51246</v>
      </c>
      <c r="D589" s="753" t="s">
        <v>51245</v>
      </c>
      <c r="E589" s="752" t="s">
        <v>293</v>
      </c>
      <c r="F589" s="751">
        <v>3125</v>
      </c>
    </row>
    <row r="590" spans="1:6">
      <c r="A590" s="753"/>
      <c r="B590" s="753"/>
      <c r="C590" s="752" t="s">
        <v>51244</v>
      </c>
      <c r="D590" s="753" t="s">
        <v>51243</v>
      </c>
      <c r="E590" s="752" t="s">
        <v>293</v>
      </c>
      <c r="F590" s="751">
        <v>2375</v>
      </c>
    </row>
    <row r="591" spans="1:6">
      <c r="A591" s="753"/>
      <c r="B591" s="753"/>
      <c r="C591" s="752" t="s">
        <v>51242</v>
      </c>
      <c r="D591" s="753" t="s">
        <v>51241</v>
      </c>
      <c r="E591" s="752" t="s">
        <v>293</v>
      </c>
      <c r="F591" s="751">
        <v>2925</v>
      </c>
    </row>
    <row r="592" spans="1:6">
      <c r="A592" s="753"/>
      <c r="B592" s="753" t="s">
        <v>51240</v>
      </c>
      <c r="C592" s="752" t="s">
        <v>51239</v>
      </c>
      <c r="D592" s="753" t="s">
        <v>51236</v>
      </c>
      <c r="E592" s="752" t="s">
        <v>51235</v>
      </c>
      <c r="F592" s="751">
        <v>2225</v>
      </c>
    </row>
    <row r="593" spans="1:6">
      <c r="A593" s="753"/>
      <c r="B593" s="753"/>
      <c r="C593" s="752" t="s">
        <v>51238</v>
      </c>
      <c r="D593" s="753" t="s">
        <v>51236</v>
      </c>
      <c r="E593" s="752" t="s">
        <v>42278</v>
      </c>
      <c r="F593" s="751">
        <v>1975</v>
      </c>
    </row>
    <row r="594" spans="1:6">
      <c r="A594" s="753"/>
      <c r="B594" s="753"/>
      <c r="C594" s="752" t="s">
        <v>51237</v>
      </c>
      <c r="D594" s="753" t="s">
        <v>51236</v>
      </c>
      <c r="E594" s="752" t="s">
        <v>51235</v>
      </c>
      <c r="F594" s="751">
        <v>1975</v>
      </c>
    </row>
    <row r="595" spans="1:6">
      <c r="A595" s="753"/>
      <c r="B595" s="753"/>
      <c r="C595" s="752" t="s">
        <v>51234</v>
      </c>
      <c r="D595" s="753" t="s">
        <v>51233</v>
      </c>
      <c r="E595" s="752" t="s">
        <v>51232</v>
      </c>
      <c r="F595" s="751">
        <v>1975</v>
      </c>
    </row>
    <row r="596" spans="1:6">
      <c r="A596" s="753"/>
      <c r="B596" s="753"/>
      <c r="C596" s="752" t="s">
        <v>51231</v>
      </c>
      <c r="D596" s="753" t="s">
        <v>51230</v>
      </c>
      <c r="E596" s="752" t="s">
        <v>51229</v>
      </c>
      <c r="F596" s="751">
        <v>1975</v>
      </c>
    </row>
    <row r="597" spans="1:6">
      <c r="A597" s="753"/>
      <c r="B597" s="753"/>
      <c r="C597" s="752" t="s">
        <v>51228</v>
      </c>
      <c r="D597" s="753" t="s">
        <v>51227</v>
      </c>
      <c r="E597" s="752" t="s">
        <v>37838</v>
      </c>
      <c r="F597" s="751">
        <v>2595</v>
      </c>
    </row>
    <row r="598" spans="1:6">
      <c r="A598" s="753"/>
      <c r="B598" s="753" t="s">
        <v>51226</v>
      </c>
      <c r="C598" s="752" t="s">
        <v>51225</v>
      </c>
      <c r="D598" s="753" t="s">
        <v>51224</v>
      </c>
      <c r="E598" s="752" t="s">
        <v>37838</v>
      </c>
      <c r="F598" s="751">
        <v>1975</v>
      </c>
    </row>
    <row r="599" spans="1:6">
      <c r="A599" s="753"/>
      <c r="B599" s="753" t="s">
        <v>51212</v>
      </c>
      <c r="C599" s="752" t="s">
        <v>51223</v>
      </c>
      <c r="D599" s="753" t="s">
        <v>51212</v>
      </c>
      <c r="E599" s="752" t="s">
        <v>37838</v>
      </c>
      <c r="F599" s="751">
        <v>1975</v>
      </c>
    </row>
    <row r="600" spans="1:6">
      <c r="A600" s="753"/>
      <c r="B600" s="753"/>
      <c r="C600" s="752" t="s">
        <v>51222</v>
      </c>
      <c r="D600" s="753" t="s">
        <v>51212</v>
      </c>
      <c r="E600" s="752" t="s">
        <v>37838</v>
      </c>
      <c r="F600" s="751">
        <v>1975</v>
      </c>
    </row>
    <row r="601" spans="1:6">
      <c r="A601" s="753"/>
      <c r="B601" s="753"/>
      <c r="C601" s="752" t="s">
        <v>51221</v>
      </c>
      <c r="D601" s="753" t="s">
        <v>51212</v>
      </c>
      <c r="E601" s="752" t="s">
        <v>39055</v>
      </c>
      <c r="F601" s="751">
        <v>1975</v>
      </c>
    </row>
    <row r="602" spans="1:6">
      <c r="A602" s="753"/>
      <c r="B602" s="753"/>
      <c r="C602" s="752" t="s">
        <v>51220</v>
      </c>
      <c r="D602" s="753" t="s">
        <v>51212</v>
      </c>
      <c r="E602" s="752" t="s">
        <v>39055</v>
      </c>
      <c r="F602" s="751">
        <v>1975</v>
      </c>
    </row>
    <row r="603" spans="1:6">
      <c r="A603" s="753"/>
      <c r="B603" s="753"/>
      <c r="C603" s="752" t="s">
        <v>51219</v>
      </c>
      <c r="D603" s="753" t="s">
        <v>51212</v>
      </c>
      <c r="E603" s="752" t="s">
        <v>51218</v>
      </c>
      <c r="F603" s="751">
        <v>1975</v>
      </c>
    </row>
    <row r="604" spans="1:6">
      <c r="A604" s="753"/>
      <c r="B604" s="753"/>
      <c r="C604" s="752" t="s">
        <v>51217</v>
      </c>
      <c r="D604" s="753" t="s">
        <v>51212</v>
      </c>
      <c r="E604" s="752" t="s">
        <v>51216</v>
      </c>
      <c r="F604" s="751">
        <v>1975</v>
      </c>
    </row>
    <row r="605" spans="1:6">
      <c r="A605" s="753"/>
      <c r="B605" s="753"/>
      <c r="C605" s="752" t="s">
        <v>51215</v>
      </c>
      <c r="D605" s="753" t="s">
        <v>51214</v>
      </c>
      <c r="E605" s="752" t="s">
        <v>39055</v>
      </c>
      <c r="F605" s="751">
        <v>1975</v>
      </c>
    </row>
    <row r="606" spans="1:6">
      <c r="A606" s="753"/>
      <c r="B606" s="753"/>
      <c r="C606" s="752" t="s">
        <v>51213</v>
      </c>
      <c r="D606" s="753" t="s">
        <v>51212</v>
      </c>
      <c r="E606" s="752" t="s">
        <v>39055</v>
      </c>
      <c r="F606" s="751">
        <v>1975</v>
      </c>
    </row>
    <row r="607" spans="1:6">
      <c r="A607" s="753"/>
      <c r="B607" s="753" t="s">
        <v>51210</v>
      </c>
      <c r="C607" s="752" t="s">
        <v>51211</v>
      </c>
      <c r="D607" s="753" t="s">
        <v>51210</v>
      </c>
      <c r="E607" s="752" t="s">
        <v>37838</v>
      </c>
      <c r="F607" s="751">
        <v>1975</v>
      </c>
    </row>
    <row r="608" spans="1:6">
      <c r="A608" s="753"/>
      <c r="B608" s="753" t="s">
        <v>51209</v>
      </c>
      <c r="C608" s="752" t="s">
        <v>51208</v>
      </c>
      <c r="D608" s="753" t="s">
        <v>51207</v>
      </c>
      <c r="E608" s="752" t="s">
        <v>293</v>
      </c>
      <c r="F608" s="751">
        <v>5195</v>
      </c>
    </row>
    <row r="609" spans="1:6">
      <c r="A609" s="753"/>
      <c r="B609" s="753"/>
      <c r="C609" s="752" t="s">
        <v>51206</v>
      </c>
      <c r="D609" s="753" t="s">
        <v>51204</v>
      </c>
      <c r="E609" s="752" t="s">
        <v>43927</v>
      </c>
      <c r="F609" s="751">
        <v>2575</v>
      </c>
    </row>
    <row r="610" spans="1:6">
      <c r="A610" s="753"/>
      <c r="B610" s="753"/>
      <c r="C610" s="752" t="s">
        <v>51205</v>
      </c>
      <c r="D610" s="753" t="s">
        <v>51204</v>
      </c>
      <c r="E610" s="752" t="s">
        <v>293</v>
      </c>
      <c r="F610" s="751">
        <v>2575</v>
      </c>
    </row>
    <row r="611" spans="1:6">
      <c r="A611" s="753"/>
      <c r="B611" s="753"/>
      <c r="C611" s="752" t="s">
        <v>51203</v>
      </c>
      <c r="D611" s="753" t="s">
        <v>51200</v>
      </c>
      <c r="E611" s="752" t="s">
        <v>43927</v>
      </c>
      <c r="F611" s="751">
        <v>3125</v>
      </c>
    </row>
    <row r="612" spans="1:6">
      <c r="A612" s="753"/>
      <c r="B612" s="753"/>
      <c r="C612" s="752" t="s">
        <v>51202</v>
      </c>
      <c r="D612" s="753" t="s">
        <v>51200</v>
      </c>
      <c r="E612" s="752" t="s">
        <v>293</v>
      </c>
      <c r="F612" s="751">
        <v>3125</v>
      </c>
    </row>
    <row r="613" spans="1:6">
      <c r="A613" s="753"/>
      <c r="B613" s="753"/>
      <c r="C613" s="752" t="s">
        <v>51201</v>
      </c>
      <c r="D613" s="753" t="s">
        <v>51200</v>
      </c>
      <c r="E613" s="752" t="s">
        <v>43927</v>
      </c>
      <c r="F613" s="751">
        <v>3125</v>
      </c>
    </row>
    <row r="614" spans="1:6">
      <c r="A614" s="753"/>
      <c r="B614" s="753"/>
      <c r="C614" s="752" t="s">
        <v>51199</v>
      </c>
      <c r="D614" s="753" t="s">
        <v>51198</v>
      </c>
      <c r="E614" s="752" t="s">
        <v>293</v>
      </c>
      <c r="F614" s="751">
        <v>3125</v>
      </c>
    </row>
    <row r="615" spans="1:6">
      <c r="A615" s="753"/>
      <c r="B615" s="753"/>
      <c r="C615" s="752" t="s">
        <v>51197</v>
      </c>
      <c r="D615" s="753" t="s">
        <v>51194</v>
      </c>
      <c r="E615" s="752" t="s">
        <v>43927</v>
      </c>
      <c r="F615" s="751">
        <v>2375</v>
      </c>
    </row>
    <row r="616" spans="1:6">
      <c r="A616" s="753"/>
      <c r="B616" s="753"/>
      <c r="C616" s="752" t="s">
        <v>51196</v>
      </c>
      <c r="D616" s="753" t="s">
        <v>51194</v>
      </c>
      <c r="E616" s="752" t="s">
        <v>293</v>
      </c>
      <c r="F616" s="751">
        <v>2375</v>
      </c>
    </row>
    <row r="617" spans="1:6">
      <c r="A617" s="753"/>
      <c r="B617" s="753"/>
      <c r="C617" s="752" t="s">
        <v>51195</v>
      </c>
      <c r="D617" s="753" t="s">
        <v>51194</v>
      </c>
      <c r="E617" s="752" t="s">
        <v>43927</v>
      </c>
      <c r="F617" s="751">
        <v>2375</v>
      </c>
    </row>
    <row r="618" spans="1:6">
      <c r="A618" s="753"/>
      <c r="B618" s="753"/>
      <c r="C618" s="752" t="s">
        <v>51193</v>
      </c>
      <c r="D618" s="753" t="s">
        <v>51190</v>
      </c>
      <c r="E618" s="752" t="s">
        <v>43927</v>
      </c>
      <c r="F618" s="751">
        <v>2925</v>
      </c>
    </row>
    <row r="619" spans="1:6">
      <c r="A619" s="753"/>
      <c r="B619" s="753"/>
      <c r="C619" s="752" t="s">
        <v>51192</v>
      </c>
      <c r="D619" s="753" t="s">
        <v>51190</v>
      </c>
      <c r="E619" s="752" t="s">
        <v>293</v>
      </c>
      <c r="F619" s="751">
        <v>2925</v>
      </c>
    </row>
    <row r="620" spans="1:6">
      <c r="A620" s="753"/>
      <c r="B620" s="753"/>
      <c r="C620" s="752" t="s">
        <v>51191</v>
      </c>
      <c r="D620" s="753" t="s">
        <v>51190</v>
      </c>
      <c r="E620" s="752" t="s">
        <v>51189</v>
      </c>
      <c r="F620" s="751">
        <v>2925</v>
      </c>
    </row>
    <row r="621" spans="1:6">
      <c r="A621" s="753"/>
      <c r="B621" s="753"/>
      <c r="C621" s="752" t="s">
        <v>51188</v>
      </c>
      <c r="D621" s="753" t="s">
        <v>51187</v>
      </c>
      <c r="E621" s="752" t="s">
        <v>293</v>
      </c>
      <c r="F621" s="751">
        <v>2425</v>
      </c>
    </row>
    <row r="622" spans="1:6">
      <c r="A622" s="753"/>
      <c r="B622" s="753"/>
      <c r="C622" s="752" t="s">
        <v>51186</v>
      </c>
      <c r="D622" s="753" t="s">
        <v>51185</v>
      </c>
      <c r="E622" s="752" t="s">
        <v>43927</v>
      </c>
      <c r="F622" s="751">
        <v>2925</v>
      </c>
    </row>
    <row r="623" spans="1:6">
      <c r="A623" s="753"/>
      <c r="B623" s="753" t="s">
        <v>51184</v>
      </c>
      <c r="C623" s="752" t="s">
        <v>51183</v>
      </c>
      <c r="D623" s="753" t="s">
        <v>51178</v>
      </c>
      <c r="E623" s="752" t="s">
        <v>51166</v>
      </c>
      <c r="F623" s="751">
        <v>4875</v>
      </c>
    </row>
    <row r="624" spans="1:6">
      <c r="A624" s="753"/>
      <c r="B624" s="753"/>
      <c r="C624" s="752" t="s">
        <v>51182</v>
      </c>
      <c r="D624" s="753" t="s">
        <v>51178</v>
      </c>
      <c r="E624" s="752" t="s">
        <v>38019</v>
      </c>
      <c r="F624" s="751">
        <v>3975</v>
      </c>
    </row>
    <row r="625" spans="1:6">
      <c r="A625" s="753"/>
      <c r="B625" s="753"/>
      <c r="C625" s="752" t="s">
        <v>51181</v>
      </c>
      <c r="D625" s="753" t="s">
        <v>51178</v>
      </c>
      <c r="E625" s="752" t="s">
        <v>51170</v>
      </c>
      <c r="F625" s="751">
        <v>3725</v>
      </c>
    </row>
    <row r="626" spans="1:6">
      <c r="A626" s="753"/>
      <c r="B626" s="753"/>
      <c r="C626" s="752" t="s">
        <v>51180</v>
      </c>
      <c r="D626" s="753" t="s">
        <v>51178</v>
      </c>
      <c r="E626" s="752" t="s">
        <v>51166</v>
      </c>
      <c r="F626" s="751">
        <v>4875</v>
      </c>
    </row>
    <row r="627" spans="1:6">
      <c r="A627" s="753"/>
      <c r="B627" s="753"/>
      <c r="C627" s="752" t="s">
        <v>51179</v>
      </c>
      <c r="D627" s="753" t="s">
        <v>51178</v>
      </c>
      <c r="E627" s="752" t="s">
        <v>38010</v>
      </c>
      <c r="F627" s="751">
        <v>4475</v>
      </c>
    </row>
    <row r="628" spans="1:6">
      <c r="A628" s="753"/>
      <c r="B628" s="753"/>
      <c r="C628" s="752" t="s">
        <v>51177</v>
      </c>
      <c r="D628" s="753" t="s">
        <v>51176</v>
      </c>
      <c r="E628" s="752" t="s">
        <v>38019</v>
      </c>
      <c r="F628" s="751">
        <v>3975</v>
      </c>
    </row>
    <row r="629" spans="1:6">
      <c r="A629" s="753"/>
      <c r="B629" s="753"/>
      <c r="C629" s="752" t="s">
        <v>51175</v>
      </c>
      <c r="D629" s="753" t="s">
        <v>51163</v>
      </c>
      <c r="E629" s="752" t="s">
        <v>51166</v>
      </c>
      <c r="F629" s="751">
        <v>4325</v>
      </c>
    </row>
    <row r="630" spans="1:6">
      <c r="A630" s="753"/>
      <c r="B630" s="753"/>
      <c r="C630" s="752" t="s">
        <v>51174</v>
      </c>
      <c r="D630" s="753" t="s">
        <v>51163</v>
      </c>
      <c r="E630" s="752" t="s">
        <v>38019</v>
      </c>
      <c r="F630" s="751">
        <v>3775</v>
      </c>
    </row>
    <row r="631" spans="1:6">
      <c r="A631" s="753"/>
      <c r="B631" s="753"/>
      <c r="C631" s="752" t="s">
        <v>51173</v>
      </c>
      <c r="D631" s="753" t="s">
        <v>51163</v>
      </c>
      <c r="E631" s="752" t="s">
        <v>38002</v>
      </c>
      <c r="F631" s="751">
        <v>5025</v>
      </c>
    </row>
    <row r="632" spans="1:6">
      <c r="A632" s="753"/>
      <c r="B632" s="753"/>
      <c r="C632" s="752" t="s">
        <v>51172</v>
      </c>
      <c r="D632" s="753" t="s">
        <v>51163</v>
      </c>
      <c r="E632" s="752" t="s">
        <v>38019</v>
      </c>
      <c r="F632" s="751">
        <v>3775</v>
      </c>
    </row>
    <row r="633" spans="1:6">
      <c r="A633" s="753"/>
      <c r="B633" s="753"/>
      <c r="C633" s="752" t="s">
        <v>51171</v>
      </c>
      <c r="D633" s="753" t="s">
        <v>51163</v>
      </c>
      <c r="E633" s="752" t="s">
        <v>51170</v>
      </c>
      <c r="F633" s="751">
        <v>3525</v>
      </c>
    </row>
    <row r="634" spans="1:6">
      <c r="A634" s="753"/>
      <c r="B634" s="753"/>
      <c r="C634" s="752" t="s">
        <v>51169</v>
      </c>
      <c r="D634" s="753" t="s">
        <v>51163</v>
      </c>
      <c r="E634" s="752" t="s">
        <v>51168</v>
      </c>
      <c r="F634" s="751">
        <v>4325</v>
      </c>
    </row>
    <row r="635" spans="1:6">
      <c r="A635" s="753"/>
      <c r="B635" s="753"/>
      <c r="C635" s="752" t="s">
        <v>51167</v>
      </c>
      <c r="D635" s="753" t="s">
        <v>51163</v>
      </c>
      <c r="E635" s="752" t="s">
        <v>51166</v>
      </c>
      <c r="F635" s="751">
        <v>4675</v>
      </c>
    </row>
    <row r="636" spans="1:6">
      <c r="A636" s="753"/>
      <c r="B636" s="753"/>
      <c r="C636" s="752" t="s">
        <v>51165</v>
      </c>
      <c r="D636" s="753" t="s">
        <v>51163</v>
      </c>
      <c r="E636" s="752" t="s">
        <v>38010</v>
      </c>
      <c r="F636" s="751">
        <v>4275</v>
      </c>
    </row>
    <row r="637" spans="1:6">
      <c r="A637" s="753"/>
      <c r="B637" s="753"/>
      <c r="C637" s="752" t="s">
        <v>51164</v>
      </c>
      <c r="D637" s="753" t="s">
        <v>51163</v>
      </c>
      <c r="E637" s="752" t="s">
        <v>38033</v>
      </c>
      <c r="F637" s="751">
        <v>5375</v>
      </c>
    </row>
    <row r="638" spans="1:6">
      <c r="A638" s="753"/>
      <c r="B638" s="753"/>
      <c r="C638" s="752" t="s">
        <v>51162</v>
      </c>
      <c r="D638" s="753" t="s">
        <v>51161</v>
      </c>
      <c r="E638" s="752" t="s">
        <v>38002</v>
      </c>
      <c r="F638" s="751">
        <v>4675</v>
      </c>
    </row>
    <row r="639" spans="1:6">
      <c r="A639" s="753"/>
      <c r="B639" s="753" t="s">
        <v>51160</v>
      </c>
      <c r="C639" s="752" t="s">
        <v>51159</v>
      </c>
      <c r="D639" s="753" t="s">
        <v>51005</v>
      </c>
      <c r="E639" s="752" t="s">
        <v>38294</v>
      </c>
      <c r="F639" s="751">
        <v>5670</v>
      </c>
    </row>
    <row r="640" spans="1:6">
      <c r="A640" s="753"/>
      <c r="B640" s="753"/>
      <c r="C640" s="752" t="s">
        <v>51158</v>
      </c>
      <c r="D640" s="753" t="s">
        <v>51157</v>
      </c>
      <c r="E640" s="752" t="s">
        <v>38294</v>
      </c>
      <c r="F640" s="751">
        <v>3325</v>
      </c>
    </row>
    <row r="641" spans="1:6">
      <c r="A641" s="753"/>
      <c r="B641" s="753"/>
      <c r="C641" s="752" t="s">
        <v>51156</v>
      </c>
      <c r="D641" s="753" t="s">
        <v>51005</v>
      </c>
      <c r="E641" s="752" t="s">
        <v>43739</v>
      </c>
      <c r="F641" s="751">
        <v>5420</v>
      </c>
    </row>
    <row r="642" spans="1:6">
      <c r="A642" s="753"/>
      <c r="B642" s="753"/>
      <c r="C642" s="752" t="s">
        <v>51155</v>
      </c>
      <c r="D642" s="753" t="s">
        <v>51154</v>
      </c>
      <c r="E642" s="752" t="s">
        <v>43739</v>
      </c>
      <c r="F642" s="751">
        <v>5120</v>
      </c>
    </row>
    <row r="643" spans="1:6">
      <c r="A643" s="753"/>
      <c r="B643" s="753"/>
      <c r="C643" s="752" t="s">
        <v>51153</v>
      </c>
      <c r="D643" s="753" t="s">
        <v>51152</v>
      </c>
      <c r="E643" s="752" t="s">
        <v>43739</v>
      </c>
      <c r="F643" s="751">
        <v>5915</v>
      </c>
    </row>
    <row r="644" spans="1:6">
      <c r="A644" s="753"/>
      <c r="B644" s="753"/>
      <c r="C644" s="752" t="s">
        <v>51151</v>
      </c>
      <c r="D644" s="753" t="s">
        <v>50889</v>
      </c>
      <c r="E644" s="752" t="s">
        <v>43893</v>
      </c>
      <c r="F644" s="751">
        <v>4675</v>
      </c>
    </row>
    <row r="645" spans="1:6">
      <c r="A645" s="753"/>
      <c r="B645" s="753"/>
      <c r="C645" s="752" t="s">
        <v>51150</v>
      </c>
      <c r="D645" s="753" t="s">
        <v>50889</v>
      </c>
      <c r="E645" s="752" t="s">
        <v>43891</v>
      </c>
      <c r="F645" s="751">
        <v>4575</v>
      </c>
    </row>
    <row r="646" spans="1:6">
      <c r="A646" s="753"/>
      <c r="B646" s="753"/>
      <c r="C646" s="752" t="s">
        <v>51149</v>
      </c>
      <c r="D646" s="753" t="s">
        <v>43660</v>
      </c>
      <c r="E646" s="752" t="s">
        <v>44932</v>
      </c>
      <c r="F646" s="751">
        <v>10895</v>
      </c>
    </row>
    <row r="647" spans="1:6">
      <c r="A647" s="753"/>
      <c r="B647" s="753"/>
      <c r="C647" s="752" t="s">
        <v>51148</v>
      </c>
      <c r="D647" s="753" t="s">
        <v>44093</v>
      </c>
      <c r="E647" s="752" t="s">
        <v>43659</v>
      </c>
      <c r="F647" s="751">
        <v>10995</v>
      </c>
    </row>
    <row r="648" spans="1:6">
      <c r="A648" s="753"/>
      <c r="B648" s="753"/>
      <c r="C648" s="752" t="s">
        <v>51147</v>
      </c>
      <c r="D648" s="753" t="s">
        <v>44561</v>
      </c>
      <c r="E648" s="752" t="s">
        <v>43873</v>
      </c>
      <c r="F648" s="751">
        <v>10895</v>
      </c>
    </row>
    <row r="649" spans="1:6">
      <c r="A649" s="753"/>
      <c r="B649" s="753"/>
      <c r="C649" s="752" t="s">
        <v>51146</v>
      </c>
      <c r="D649" s="753" t="s">
        <v>43874</v>
      </c>
      <c r="E649" s="752" t="s">
        <v>43873</v>
      </c>
      <c r="F649" s="751">
        <v>13145</v>
      </c>
    </row>
    <row r="650" spans="1:6">
      <c r="A650" s="753"/>
      <c r="B650" s="753"/>
      <c r="C650" s="752" t="s">
        <v>51145</v>
      </c>
      <c r="D650" s="753" t="s">
        <v>51139</v>
      </c>
      <c r="E650" s="752" t="s">
        <v>38035</v>
      </c>
      <c r="F650" s="751">
        <v>4875</v>
      </c>
    </row>
    <row r="651" spans="1:6">
      <c r="A651" s="753"/>
      <c r="B651" s="753"/>
      <c r="C651" s="752" t="s">
        <v>51144</v>
      </c>
      <c r="D651" s="753" t="s">
        <v>51139</v>
      </c>
      <c r="E651" s="752" t="s">
        <v>51143</v>
      </c>
      <c r="F651" s="751">
        <v>4875</v>
      </c>
    </row>
    <row r="652" spans="1:6">
      <c r="A652" s="753"/>
      <c r="B652" s="753"/>
      <c r="C652" s="752" t="s">
        <v>51142</v>
      </c>
      <c r="D652" s="753" t="s">
        <v>51139</v>
      </c>
      <c r="E652" s="752" t="s">
        <v>38258</v>
      </c>
      <c r="F652" s="751">
        <v>4625</v>
      </c>
    </row>
    <row r="653" spans="1:6">
      <c r="A653" s="753"/>
      <c r="B653" s="753"/>
      <c r="C653" s="752" t="s">
        <v>51141</v>
      </c>
      <c r="D653" s="753" t="s">
        <v>51139</v>
      </c>
      <c r="E653" s="752" t="s">
        <v>45185</v>
      </c>
      <c r="F653" s="751">
        <v>5385</v>
      </c>
    </row>
    <row r="654" spans="1:6">
      <c r="A654" s="753"/>
      <c r="B654" s="753"/>
      <c r="C654" s="752" t="s">
        <v>51140</v>
      </c>
      <c r="D654" s="753" t="s">
        <v>51139</v>
      </c>
      <c r="E654" s="752" t="s">
        <v>45031</v>
      </c>
      <c r="F654" s="751">
        <v>5725</v>
      </c>
    </row>
    <row r="655" spans="1:6">
      <c r="A655" s="753"/>
      <c r="B655" s="753"/>
      <c r="C655" s="752" t="s">
        <v>51138</v>
      </c>
      <c r="D655" s="753" t="s">
        <v>51137</v>
      </c>
      <c r="E655" s="752" t="s">
        <v>43260</v>
      </c>
      <c r="F655" s="751">
        <v>12995</v>
      </c>
    </row>
    <row r="656" spans="1:6">
      <c r="A656" s="753"/>
      <c r="B656" s="753"/>
      <c r="C656" s="752" t="s">
        <v>51136</v>
      </c>
      <c r="D656" s="753" t="s">
        <v>43874</v>
      </c>
      <c r="E656" s="752" t="s">
        <v>44932</v>
      </c>
      <c r="F656" s="751">
        <v>13145</v>
      </c>
    </row>
    <row r="657" spans="1:6">
      <c r="A657" s="753"/>
      <c r="B657" s="753"/>
      <c r="C657" s="752" t="s">
        <v>51135</v>
      </c>
      <c r="D657" s="753" t="s">
        <v>51134</v>
      </c>
      <c r="E657" s="752" t="s">
        <v>43659</v>
      </c>
      <c r="F657" s="751">
        <v>10995</v>
      </c>
    </row>
    <row r="658" spans="1:6">
      <c r="A658" s="753"/>
      <c r="B658" s="753"/>
      <c r="C658" s="752" t="s">
        <v>51133</v>
      </c>
      <c r="D658" s="753" t="s">
        <v>50889</v>
      </c>
      <c r="E658" s="752" t="s">
        <v>51132</v>
      </c>
      <c r="F658" s="751">
        <v>4675</v>
      </c>
    </row>
    <row r="659" spans="1:6">
      <c r="A659" s="753"/>
      <c r="B659" s="753"/>
      <c r="C659" s="752" t="s">
        <v>51131</v>
      </c>
      <c r="D659" s="753" t="s">
        <v>51130</v>
      </c>
      <c r="E659" s="752" t="s">
        <v>293</v>
      </c>
      <c r="F659" s="751">
        <v>1445</v>
      </c>
    </row>
    <row r="660" spans="1:6">
      <c r="A660" s="753"/>
      <c r="B660" s="753"/>
      <c r="C660" s="752" t="s">
        <v>51129</v>
      </c>
      <c r="D660" s="753" t="s">
        <v>51128</v>
      </c>
      <c r="E660" s="752" t="s">
        <v>293</v>
      </c>
      <c r="F660" s="751">
        <v>1745</v>
      </c>
    </row>
    <row r="661" spans="1:6">
      <c r="A661" s="753"/>
      <c r="B661" s="753"/>
      <c r="C661" s="752" t="s">
        <v>51127</v>
      </c>
      <c r="D661" s="753" t="s">
        <v>50878</v>
      </c>
      <c r="E661" s="752" t="s">
        <v>45428</v>
      </c>
      <c r="F661" s="751">
        <v>1745</v>
      </c>
    </row>
    <row r="662" spans="1:6">
      <c r="A662" s="753"/>
      <c r="B662" s="753"/>
      <c r="C662" s="752" t="s">
        <v>51126</v>
      </c>
      <c r="D662" s="753" t="s">
        <v>51125</v>
      </c>
      <c r="E662" s="752" t="s">
        <v>51008</v>
      </c>
      <c r="F662" s="751">
        <v>5425</v>
      </c>
    </row>
    <row r="663" spans="1:6">
      <c r="A663" s="753"/>
      <c r="B663" s="753"/>
      <c r="C663" s="752" t="s">
        <v>51124</v>
      </c>
      <c r="D663" s="753" t="s">
        <v>50760</v>
      </c>
      <c r="E663" s="752" t="s">
        <v>47906</v>
      </c>
      <c r="F663" s="751">
        <v>3975</v>
      </c>
    </row>
    <row r="664" spans="1:6">
      <c r="A664" s="753"/>
      <c r="B664" s="753"/>
      <c r="C664" s="752" t="s">
        <v>51123</v>
      </c>
      <c r="D664" s="753" t="s">
        <v>50760</v>
      </c>
      <c r="E664" s="752" t="s">
        <v>44667</v>
      </c>
      <c r="F664" s="751">
        <v>3625</v>
      </c>
    </row>
    <row r="665" spans="1:6">
      <c r="A665" s="753"/>
      <c r="B665" s="753"/>
      <c r="C665" s="752" t="s">
        <v>51122</v>
      </c>
      <c r="D665" s="753" t="s">
        <v>50760</v>
      </c>
      <c r="E665" s="752" t="s">
        <v>50988</v>
      </c>
      <c r="F665" s="751">
        <v>3375</v>
      </c>
    </row>
    <row r="666" spans="1:6">
      <c r="A666" s="753"/>
      <c r="B666" s="753"/>
      <c r="C666" s="752" t="s">
        <v>51121</v>
      </c>
      <c r="D666" s="753" t="s">
        <v>50760</v>
      </c>
      <c r="E666" s="752" t="s">
        <v>43484</v>
      </c>
      <c r="F666" s="751">
        <v>3725</v>
      </c>
    </row>
    <row r="667" spans="1:6">
      <c r="A667" s="753"/>
      <c r="B667" s="753"/>
      <c r="C667" s="752" t="s">
        <v>51120</v>
      </c>
      <c r="D667" s="753" t="s">
        <v>50760</v>
      </c>
      <c r="E667" s="752" t="s">
        <v>51119</v>
      </c>
      <c r="F667" s="751">
        <v>3125</v>
      </c>
    </row>
    <row r="668" spans="1:6">
      <c r="A668" s="753"/>
      <c r="B668" s="753"/>
      <c r="C668" s="752" t="s">
        <v>51118</v>
      </c>
      <c r="D668" s="753" t="s">
        <v>50760</v>
      </c>
      <c r="E668" s="752" t="s">
        <v>51117</v>
      </c>
      <c r="F668" s="751">
        <v>3725</v>
      </c>
    </row>
    <row r="669" spans="1:6">
      <c r="A669" s="753"/>
      <c r="B669" s="753"/>
      <c r="C669" s="752" t="s">
        <v>51116</v>
      </c>
      <c r="D669" s="753" t="s">
        <v>50760</v>
      </c>
      <c r="E669" s="752" t="s">
        <v>39787</v>
      </c>
      <c r="F669" s="751">
        <v>3375</v>
      </c>
    </row>
    <row r="670" spans="1:6">
      <c r="A670" s="753"/>
      <c r="B670" s="753"/>
      <c r="C670" s="752" t="s">
        <v>51115</v>
      </c>
      <c r="D670" s="753" t="s">
        <v>50760</v>
      </c>
      <c r="E670" s="752" t="s">
        <v>43365</v>
      </c>
      <c r="F670" s="751">
        <v>3725</v>
      </c>
    </row>
    <row r="671" spans="1:6">
      <c r="A671" s="753"/>
      <c r="B671" s="753"/>
      <c r="C671" s="752" t="s">
        <v>51114</v>
      </c>
      <c r="D671" s="753" t="s">
        <v>50500</v>
      </c>
      <c r="E671" s="752" t="s">
        <v>43761</v>
      </c>
      <c r="F671" s="751">
        <v>4675</v>
      </c>
    </row>
    <row r="672" spans="1:6">
      <c r="A672" s="753"/>
      <c r="B672" s="753"/>
      <c r="C672" s="752" t="s">
        <v>51113</v>
      </c>
      <c r="D672" s="753" t="s">
        <v>50500</v>
      </c>
      <c r="E672" s="752" t="s">
        <v>43558</v>
      </c>
      <c r="F672" s="751">
        <v>5675</v>
      </c>
    </row>
    <row r="673" spans="1:6">
      <c r="A673" s="753"/>
      <c r="B673" s="753"/>
      <c r="C673" s="752" t="s">
        <v>51112</v>
      </c>
      <c r="D673" s="753" t="s">
        <v>50729</v>
      </c>
      <c r="E673" s="752" t="s">
        <v>43739</v>
      </c>
      <c r="F673" s="751">
        <v>4425</v>
      </c>
    </row>
    <row r="674" spans="1:6">
      <c r="A674" s="753"/>
      <c r="B674" s="753"/>
      <c r="C674" s="752" t="s">
        <v>51111</v>
      </c>
      <c r="D674" s="753" t="s">
        <v>50729</v>
      </c>
      <c r="E674" s="752" t="s">
        <v>51110</v>
      </c>
      <c r="F674" s="751">
        <v>5185</v>
      </c>
    </row>
    <row r="675" spans="1:6">
      <c r="A675" s="753"/>
      <c r="B675" s="753"/>
      <c r="C675" s="752" t="s">
        <v>51109</v>
      </c>
      <c r="D675" s="753" t="s">
        <v>50500</v>
      </c>
      <c r="E675" s="752" t="s">
        <v>51067</v>
      </c>
      <c r="F675" s="751">
        <v>5325</v>
      </c>
    </row>
    <row r="676" spans="1:6">
      <c r="A676" s="753"/>
      <c r="B676" s="753"/>
      <c r="C676" s="752" t="s">
        <v>51108</v>
      </c>
      <c r="D676" s="753" t="s">
        <v>51099</v>
      </c>
      <c r="E676" s="752" t="s">
        <v>51107</v>
      </c>
      <c r="F676" s="751">
        <v>5325</v>
      </c>
    </row>
    <row r="677" spans="1:6">
      <c r="A677" s="753"/>
      <c r="B677" s="753"/>
      <c r="C677" s="752" t="s">
        <v>51106</v>
      </c>
      <c r="D677" s="753" t="s">
        <v>51099</v>
      </c>
      <c r="E677" s="752" t="s">
        <v>51105</v>
      </c>
      <c r="F677" s="751">
        <v>5325</v>
      </c>
    </row>
    <row r="678" spans="1:6">
      <c r="A678" s="753"/>
      <c r="B678" s="753"/>
      <c r="C678" s="752" t="s">
        <v>51104</v>
      </c>
      <c r="D678" s="753" t="s">
        <v>51099</v>
      </c>
      <c r="E678" s="752" t="s">
        <v>51103</v>
      </c>
      <c r="F678" s="751">
        <v>5325</v>
      </c>
    </row>
    <row r="679" spans="1:6">
      <c r="A679" s="753"/>
      <c r="B679" s="753"/>
      <c r="C679" s="752" t="s">
        <v>51102</v>
      </c>
      <c r="D679" s="753" t="s">
        <v>51099</v>
      </c>
      <c r="E679" s="752" t="s">
        <v>51101</v>
      </c>
      <c r="F679" s="751">
        <v>4175</v>
      </c>
    </row>
    <row r="680" spans="1:6">
      <c r="A680" s="753"/>
      <c r="B680" s="753"/>
      <c r="C680" s="752" t="s">
        <v>51100</v>
      </c>
      <c r="D680" s="753" t="s">
        <v>51099</v>
      </c>
      <c r="E680" s="752" t="s">
        <v>51098</v>
      </c>
      <c r="F680" s="751">
        <v>4975</v>
      </c>
    </row>
    <row r="681" spans="1:6">
      <c r="A681" s="753"/>
      <c r="B681" s="753"/>
      <c r="C681" s="752" t="s">
        <v>51097</v>
      </c>
      <c r="D681" s="753" t="s">
        <v>51095</v>
      </c>
      <c r="E681" s="752" t="s">
        <v>43761</v>
      </c>
      <c r="F681" s="751">
        <v>4675</v>
      </c>
    </row>
    <row r="682" spans="1:6">
      <c r="A682" s="753"/>
      <c r="B682" s="753"/>
      <c r="C682" s="752" t="s">
        <v>51096</v>
      </c>
      <c r="D682" s="753" t="s">
        <v>51095</v>
      </c>
      <c r="E682" s="752" t="s">
        <v>43558</v>
      </c>
      <c r="F682" s="751">
        <v>5675</v>
      </c>
    </row>
    <row r="683" spans="1:6">
      <c r="A683" s="753"/>
      <c r="B683" s="753"/>
      <c r="C683" s="752" t="s">
        <v>51094</v>
      </c>
      <c r="D683" s="753" t="s">
        <v>50699</v>
      </c>
      <c r="E683" s="752" t="s">
        <v>43739</v>
      </c>
      <c r="F683" s="751">
        <v>4425</v>
      </c>
    </row>
    <row r="684" spans="1:6">
      <c r="A684" s="753"/>
      <c r="B684" s="753"/>
      <c r="C684" s="752" t="s">
        <v>51093</v>
      </c>
      <c r="D684" s="753" t="s">
        <v>51092</v>
      </c>
      <c r="E684" s="752" t="s">
        <v>51008</v>
      </c>
      <c r="F684" s="751">
        <v>5325</v>
      </c>
    </row>
    <row r="685" spans="1:6">
      <c r="A685" s="753"/>
      <c r="B685" s="753"/>
      <c r="C685" s="752" t="s">
        <v>51091</v>
      </c>
      <c r="D685" s="753" t="s">
        <v>51081</v>
      </c>
      <c r="E685" s="752" t="s">
        <v>51090</v>
      </c>
      <c r="F685" s="751">
        <v>3425</v>
      </c>
    </row>
    <row r="686" spans="1:6">
      <c r="A686" s="753"/>
      <c r="B686" s="753"/>
      <c r="C686" s="752" t="s">
        <v>51089</v>
      </c>
      <c r="D686" s="753" t="s">
        <v>50580</v>
      </c>
      <c r="E686" s="752" t="s">
        <v>43484</v>
      </c>
      <c r="F686" s="751">
        <v>3525</v>
      </c>
    </row>
    <row r="687" spans="1:6">
      <c r="A687" s="753"/>
      <c r="B687" s="753"/>
      <c r="C687" s="752" t="s">
        <v>51088</v>
      </c>
      <c r="D687" s="753" t="s">
        <v>51081</v>
      </c>
      <c r="E687" s="752" t="s">
        <v>51080</v>
      </c>
      <c r="F687" s="751">
        <v>3075</v>
      </c>
    </row>
    <row r="688" spans="1:6">
      <c r="A688" s="753"/>
      <c r="B688" s="753"/>
      <c r="C688" s="752" t="s">
        <v>51087</v>
      </c>
      <c r="D688" s="753" t="s">
        <v>50580</v>
      </c>
      <c r="E688" s="752" t="s">
        <v>51078</v>
      </c>
      <c r="F688" s="751">
        <v>3525</v>
      </c>
    </row>
    <row r="689" spans="1:6">
      <c r="A689" s="753"/>
      <c r="B689" s="753"/>
      <c r="C689" s="752" t="s">
        <v>51086</v>
      </c>
      <c r="D689" s="753" t="s">
        <v>51081</v>
      </c>
      <c r="E689" s="752" t="s">
        <v>51085</v>
      </c>
      <c r="F689" s="751">
        <v>3075</v>
      </c>
    </row>
    <row r="690" spans="1:6">
      <c r="A690" s="753"/>
      <c r="B690" s="753"/>
      <c r="C690" s="752" t="s">
        <v>51084</v>
      </c>
      <c r="D690" s="753" t="s">
        <v>50580</v>
      </c>
      <c r="E690" s="752" t="s">
        <v>51083</v>
      </c>
      <c r="F690" s="751">
        <v>3525</v>
      </c>
    </row>
    <row r="691" spans="1:6">
      <c r="A691" s="753"/>
      <c r="B691" s="753"/>
      <c r="C691" s="752" t="s">
        <v>51082</v>
      </c>
      <c r="D691" s="753" t="s">
        <v>51081</v>
      </c>
      <c r="E691" s="752" t="s">
        <v>51080</v>
      </c>
      <c r="F691" s="751">
        <v>3075</v>
      </c>
    </row>
    <row r="692" spans="1:6">
      <c r="A692" s="753"/>
      <c r="B692" s="753"/>
      <c r="C692" s="752" t="s">
        <v>51079</v>
      </c>
      <c r="D692" s="753" t="s">
        <v>50580</v>
      </c>
      <c r="E692" s="752" t="s">
        <v>51078</v>
      </c>
      <c r="F692" s="751">
        <v>3525</v>
      </c>
    </row>
    <row r="693" spans="1:6">
      <c r="A693" s="753"/>
      <c r="B693" s="753"/>
      <c r="C693" s="752" t="s">
        <v>51077</v>
      </c>
      <c r="D693" s="753" t="s">
        <v>50626</v>
      </c>
      <c r="E693" s="752" t="s">
        <v>51076</v>
      </c>
      <c r="F693" s="751">
        <v>4475</v>
      </c>
    </row>
    <row r="694" spans="1:6">
      <c r="A694" s="753"/>
      <c r="B694" s="753"/>
      <c r="C694" s="752" t="s">
        <v>51075</v>
      </c>
      <c r="D694" s="753" t="s">
        <v>51073</v>
      </c>
      <c r="E694" s="752" t="s">
        <v>51032</v>
      </c>
      <c r="F694" s="751">
        <v>5475</v>
      </c>
    </row>
    <row r="695" spans="1:6">
      <c r="A695" s="753"/>
      <c r="B695" s="753"/>
      <c r="C695" s="752" t="s">
        <v>51074</v>
      </c>
      <c r="D695" s="753" t="s">
        <v>51073</v>
      </c>
      <c r="E695" s="752" t="s">
        <v>43312</v>
      </c>
      <c r="F695" s="751">
        <v>5475</v>
      </c>
    </row>
    <row r="696" spans="1:6">
      <c r="A696" s="753"/>
      <c r="B696" s="753"/>
      <c r="C696" s="752" t="s">
        <v>51072</v>
      </c>
      <c r="D696" s="753" t="s">
        <v>50626</v>
      </c>
      <c r="E696" s="752" t="s">
        <v>43761</v>
      </c>
      <c r="F696" s="751">
        <v>4475</v>
      </c>
    </row>
    <row r="697" spans="1:6">
      <c r="A697" s="753"/>
      <c r="B697" s="753"/>
      <c r="C697" s="752" t="s">
        <v>51071</v>
      </c>
      <c r="D697" s="753" t="s">
        <v>51065</v>
      </c>
      <c r="E697" s="752" t="s">
        <v>43739</v>
      </c>
      <c r="F697" s="751">
        <v>4225</v>
      </c>
    </row>
    <row r="698" spans="1:6">
      <c r="A698" s="753"/>
      <c r="B698" s="753"/>
      <c r="C698" s="752" t="s">
        <v>51070</v>
      </c>
      <c r="D698" s="753" t="s">
        <v>51065</v>
      </c>
      <c r="E698" s="752" t="s">
        <v>51069</v>
      </c>
      <c r="F698" s="751">
        <v>4225</v>
      </c>
    </row>
    <row r="699" spans="1:6">
      <c r="A699" s="753"/>
      <c r="B699" s="753"/>
      <c r="C699" s="752" t="s">
        <v>51068</v>
      </c>
      <c r="D699" s="753" t="s">
        <v>50626</v>
      </c>
      <c r="E699" s="752" t="s">
        <v>51067</v>
      </c>
      <c r="F699" s="751">
        <v>3125</v>
      </c>
    </row>
    <row r="700" spans="1:6">
      <c r="A700" s="753"/>
      <c r="B700" s="753"/>
      <c r="C700" s="752" t="s">
        <v>51066</v>
      </c>
      <c r="D700" s="753" t="s">
        <v>51065</v>
      </c>
      <c r="E700" s="752" t="s">
        <v>43739</v>
      </c>
      <c r="F700" s="751">
        <v>4225</v>
      </c>
    </row>
    <row r="701" spans="1:6">
      <c r="A701" s="753"/>
      <c r="B701" s="753"/>
      <c r="C701" s="752" t="s">
        <v>51064</v>
      </c>
      <c r="D701" s="753" t="s">
        <v>50626</v>
      </c>
      <c r="E701" s="752" t="s">
        <v>51051</v>
      </c>
      <c r="F701" s="751">
        <v>5125</v>
      </c>
    </row>
    <row r="702" spans="1:6">
      <c r="A702" s="753"/>
      <c r="B702" s="753"/>
      <c r="C702" s="752" t="s">
        <v>51063</v>
      </c>
      <c r="D702" s="753" t="s">
        <v>50626</v>
      </c>
      <c r="E702" s="752" t="s">
        <v>51008</v>
      </c>
      <c r="F702" s="751">
        <v>5125</v>
      </c>
    </row>
    <row r="703" spans="1:6">
      <c r="A703" s="753"/>
      <c r="B703" s="753"/>
      <c r="C703" s="752" t="s">
        <v>51062</v>
      </c>
      <c r="D703" s="753" t="s">
        <v>50626</v>
      </c>
      <c r="E703" s="752" t="s">
        <v>51021</v>
      </c>
      <c r="F703" s="751">
        <v>4775</v>
      </c>
    </row>
    <row r="704" spans="1:6">
      <c r="A704" s="753"/>
      <c r="B704" s="753"/>
      <c r="C704" s="752" t="s">
        <v>51061</v>
      </c>
      <c r="D704" s="753" t="s">
        <v>51060</v>
      </c>
      <c r="E704" s="752" t="s">
        <v>51059</v>
      </c>
      <c r="F704" s="751">
        <v>3975</v>
      </c>
    </row>
    <row r="705" spans="1:6">
      <c r="A705" s="753"/>
      <c r="B705" s="753"/>
      <c r="C705" s="752" t="s">
        <v>51058</v>
      </c>
      <c r="D705" s="753" t="s">
        <v>51056</v>
      </c>
      <c r="E705" s="752" t="s">
        <v>51032</v>
      </c>
      <c r="F705" s="751">
        <v>5125</v>
      </c>
    </row>
    <row r="706" spans="1:6">
      <c r="A706" s="753"/>
      <c r="B706" s="753"/>
      <c r="C706" s="752" t="s">
        <v>51057</v>
      </c>
      <c r="D706" s="753" t="s">
        <v>51056</v>
      </c>
      <c r="E706" s="752" t="s">
        <v>43312</v>
      </c>
      <c r="F706" s="751">
        <v>5475</v>
      </c>
    </row>
    <row r="707" spans="1:6">
      <c r="A707" s="753"/>
      <c r="B707" s="753"/>
      <c r="C707" s="752" t="s">
        <v>51055</v>
      </c>
      <c r="D707" s="753" t="s">
        <v>51053</v>
      </c>
      <c r="E707" s="752" t="s">
        <v>43739</v>
      </c>
      <c r="F707" s="751">
        <v>4225</v>
      </c>
    </row>
    <row r="708" spans="1:6">
      <c r="A708" s="753"/>
      <c r="B708" s="753"/>
      <c r="C708" s="752" t="s">
        <v>51054</v>
      </c>
      <c r="D708" s="753" t="s">
        <v>51053</v>
      </c>
      <c r="E708" s="752" t="s">
        <v>43739</v>
      </c>
      <c r="F708" s="751">
        <v>4225</v>
      </c>
    </row>
    <row r="709" spans="1:6">
      <c r="A709" s="753"/>
      <c r="B709" s="753"/>
      <c r="C709" s="752" t="s">
        <v>51052</v>
      </c>
      <c r="D709" s="753" t="s">
        <v>51048</v>
      </c>
      <c r="E709" s="752" t="s">
        <v>51051</v>
      </c>
      <c r="F709" s="751">
        <v>5125</v>
      </c>
    </row>
    <row r="710" spans="1:6">
      <c r="A710" s="753"/>
      <c r="B710" s="753"/>
      <c r="C710" s="752" t="s">
        <v>51050</v>
      </c>
      <c r="D710" s="753" t="s">
        <v>51048</v>
      </c>
      <c r="E710" s="752" t="s">
        <v>51008</v>
      </c>
      <c r="F710" s="751">
        <v>5125</v>
      </c>
    </row>
    <row r="711" spans="1:6">
      <c r="A711" s="753"/>
      <c r="B711" s="753"/>
      <c r="C711" s="752" t="s">
        <v>51049</v>
      </c>
      <c r="D711" s="753" t="s">
        <v>51048</v>
      </c>
      <c r="E711" s="752" t="s">
        <v>51021</v>
      </c>
      <c r="F711" s="751">
        <v>4775</v>
      </c>
    </row>
    <row r="712" spans="1:6">
      <c r="A712" s="753"/>
      <c r="B712" s="753"/>
      <c r="C712" s="752" t="s">
        <v>51047</v>
      </c>
      <c r="D712" s="753" t="s">
        <v>50573</v>
      </c>
      <c r="E712" s="752" t="s">
        <v>51046</v>
      </c>
      <c r="F712" s="751">
        <v>3875</v>
      </c>
    </row>
    <row r="713" spans="1:6">
      <c r="A713" s="753"/>
      <c r="B713" s="753"/>
      <c r="C713" s="752" t="s">
        <v>51045</v>
      </c>
      <c r="D713" s="753" t="s">
        <v>51040</v>
      </c>
      <c r="E713" s="752" t="s">
        <v>51044</v>
      </c>
      <c r="F713" s="751">
        <v>3275</v>
      </c>
    </row>
    <row r="714" spans="1:6">
      <c r="A714" s="753"/>
      <c r="B714" s="753"/>
      <c r="C714" s="752" t="s">
        <v>51043</v>
      </c>
      <c r="D714" s="753" t="s">
        <v>51037</v>
      </c>
      <c r="E714" s="752" t="s">
        <v>51042</v>
      </c>
      <c r="F714" s="751">
        <v>3275</v>
      </c>
    </row>
    <row r="715" spans="1:6">
      <c r="A715" s="753"/>
      <c r="B715" s="753"/>
      <c r="C715" s="752" t="s">
        <v>51041</v>
      </c>
      <c r="D715" s="753" t="s">
        <v>51040</v>
      </c>
      <c r="E715" s="752" t="s">
        <v>51039</v>
      </c>
      <c r="F715" s="751">
        <v>3625</v>
      </c>
    </row>
    <row r="716" spans="1:6">
      <c r="A716" s="753"/>
      <c r="B716" s="753"/>
      <c r="C716" s="752" t="s">
        <v>51038</v>
      </c>
      <c r="D716" s="753" t="s">
        <v>51037</v>
      </c>
      <c r="E716" s="752" t="s">
        <v>51036</v>
      </c>
      <c r="F716" s="751">
        <v>3725</v>
      </c>
    </row>
    <row r="717" spans="1:6">
      <c r="A717" s="753"/>
      <c r="B717" s="753"/>
      <c r="C717" s="752" t="s">
        <v>51035</v>
      </c>
      <c r="D717" s="753" t="s">
        <v>50539</v>
      </c>
      <c r="E717" s="752" t="s">
        <v>43761</v>
      </c>
      <c r="F717" s="751">
        <v>4575</v>
      </c>
    </row>
    <row r="718" spans="1:6">
      <c r="A718" s="753"/>
      <c r="B718" s="753"/>
      <c r="C718" s="752" t="s">
        <v>51034</v>
      </c>
      <c r="D718" s="753" t="s">
        <v>50539</v>
      </c>
      <c r="E718" s="752" t="s">
        <v>43761</v>
      </c>
      <c r="F718" s="751">
        <v>4575</v>
      </c>
    </row>
    <row r="719" spans="1:6">
      <c r="A719" s="753"/>
      <c r="B719" s="753"/>
      <c r="C719" s="752" t="s">
        <v>51033</v>
      </c>
      <c r="D719" s="753" t="s">
        <v>51030</v>
      </c>
      <c r="E719" s="752" t="s">
        <v>51032</v>
      </c>
      <c r="F719" s="751">
        <v>5575</v>
      </c>
    </row>
    <row r="720" spans="1:6">
      <c r="A720" s="753"/>
      <c r="B720" s="753"/>
      <c r="C720" s="752" t="s">
        <v>51031</v>
      </c>
      <c r="D720" s="753" t="s">
        <v>51030</v>
      </c>
      <c r="E720" s="752" t="s">
        <v>43312</v>
      </c>
      <c r="F720" s="751">
        <v>5575</v>
      </c>
    </row>
    <row r="721" spans="1:6">
      <c r="A721" s="753"/>
      <c r="B721" s="753"/>
      <c r="C721" s="752" t="s">
        <v>51029</v>
      </c>
      <c r="D721" s="753" t="s">
        <v>50539</v>
      </c>
      <c r="E721" s="752" t="s">
        <v>43761</v>
      </c>
      <c r="F721" s="751">
        <v>4575</v>
      </c>
    </row>
    <row r="722" spans="1:6">
      <c r="A722" s="753"/>
      <c r="B722" s="753"/>
      <c r="C722" s="752" t="s">
        <v>51028</v>
      </c>
      <c r="D722" s="753" t="s">
        <v>51023</v>
      </c>
      <c r="E722" s="752" t="s">
        <v>43739</v>
      </c>
      <c r="F722" s="751">
        <v>4325</v>
      </c>
    </row>
    <row r="723" spans="1:6">
      <c r="A723" s="753"/>
      <c r="B723" s="753"/>
      <c r="C723" s="752" t="s">
        <v>51027</v>
      </c>
      <c r="D723" s="753" t="s">
        <v>51023</v>
      </c>
      <c r="E723" s="752" t="s">
        <v>51026</v>
      </c>
      <c r="F723" s="751">
        <v>5085</v>
      </c>
    </row>
    <row r="724" spans="1:6">
      <c r="A724" s="753"/>
      <c r="B724" s="753"/>
      <c r="C724" s="752" t="s">
        <v>51025</v>
      </c>
      <c r="D724" s="753" t="s">
        <v>51023</v>
      </c>
      <c r="E724" s="752" t="s">
        <v>51008</v>
      </c>
      <c r="F724" s="751">
        <v>5225</v>
      </c>
    </row>
    <row r="725" spans="1:6">
      <c r="A725" s="753"/>
      <c r="B725" s="753"/>
      <c r="C725" s="752" t="s">
        <v>51024</v>
      </c>
      <c r="D725" s="753" t="s">
        <v>51023</v>
      </c>
      <c r="E725" s="752" t="s">
        <v>51008</v>
      </c>
      <c r="F725" s="751">
        <v>5225</v>
      </c>
    </row>
    <row r="726" spans="1:6">
      <c r="A726" s="753"/>
      <c r="B726" s="753"/>
      <c r="C726" s="752" t="s">
        <v>51022</v>
      </c>
      <c r="D726" s="753" t="s">
        <v>50539</v>
      </c>
      <c r="E726" s="752" t="s">
        <v>51021</v>
      </c>
      <c r="F726" s="751">
        <v>4875</v>
      </c>
    </row>
    <row r="727" spans="1:6">
      <c r="A727" s="753"/>
      <c r="B727" s="753"/>
      <c r="C727" s="752" t="s">
        <v>51020</v>
      </c>
      <c r="D727" s="753" t="s">
        <v>51009</v>
      </c>
      <c r="E727" s="752" t="s">
        <v>51019</v>
      </c>
      <c r="F727" s="751">
        <v>5575</v>
      </c>
    </row>
    <row r="728" spans="1:6">
      <c r="A728" s="753"/>
      <c r="B728" s="753"/>
      <c r="C728" s="752" t="s">
        <v>51018</v>
      </c>
      <c r="D728" s="753" t="s">
        <v>51014</v>
      </c>
      <c r="E728" s="752" t="s">
        <v>45519</v>
      </c>
      <c r="F728" s="751">
        <v>4575</v>
      </c>
    </row>
    <row r="729" spans="1:6">
      <c r="A729" s="753"/>
      <c r="B729" s="753"/>
      <c r="C729" s="752" t="s">
        <v>51017</v>
      </c>
      <c r="D729" s="753" t="s">
        <v>51009</v>
      </c>
      <c r="E729" s="752" t="s">
        <v>51016</v>
      </c>
      <c r="F729" s="751">
        <v>5575</v>
      </c>
    </row>
    <row r="730" spans="1:6">
      <c r="A730" s="753"/>
      <c r="B730" s="753"/>
      <c r="C730" s="752" t="s">
        <v>51015</v>
      </c>
      <c r="D730" s="753" t="s">
        <v>51014</v>
      </c>
      <c r="E730" s="752" t="s">
        <v>43739</v>
      </c>
      <c r="F730" s="751">
        <v>4325</v>
      </c>
    </row>
    <row r="731" spans="1:6">
      <c r="A731" s="753"/>
      <c r="B731" s="753"/>
      <c r="C731" s="752" t="s">
        <v>51013</v>
      </c>
      <c r="D731" s="753" t="s">
        <v>51009</v>
      </c>
      <c r="E731" s="752" t="s">
        <v>51012</v>
      </c>
      <c r="F731" s="751">
        <v>5225</v>
      </c>
    </row>
    <row r="732" spans="1:6">
      <c r="A732" s="753"/>
      <c r="B732" s="753"/>
      <c r="C732" s="752" t="s">
        <v>51011</v>
      </c>
      <c r="D732" s="753" t="s">
        <v>51009</v>
      </c>
      <c r="E732" s="752" t="s">
        <v>51008</v>
      </c>
      <c r="F732" s="751">
        <v>5225</v>
      </c>
    </row>
    <row r="733" spans="1:6">
      <c r="A733" s="753"/>
      <c r="B733" s="753"/>
      <c r="C733" s="752" t="s">
        <v>51010</v>
      </c>
      <c r="D733" s="753" t="s">
        <v>51009</v>
      </c>
      <c r="E733" s="752" t="s">
        <v>51008</v>
      </c>
      <c r="F733" s="751">
        <v>5225</v>
      </c>
    </row>
    <row r="734" spans="1:6">
      <c r="A734" s="753"/>
      <c r="B734" s="753"/>
      <c r="C734" s="752" t="s">
        <v>51007</v>
      </c>
      <c r="D734" s="753" t="s">
        <v>50990</v>
      </c>
      <c r="E734" s="752" t="s">
        <v>50985</v>
      </c>
      <c r="F734" s="751">
        <v>5775</v>
      </c>
    </row>
    <row r="735" spans="1:6">
      <c r="A735" s="753"/>
      <c r="B735" s="753"/>
      <c r="C735" s="752" t="s">
        <v>51006</v>
      </c>
      <c r="D735" s="753" t="s">
        <v>51005</v>
      </c>
      <c r="E735" s="752" t="s">
        <v>38294</v>
      </c>
      <c r="F735" s="751">
        <v>5670</v>
      </c>
    </row>
    <row r="736" spans="1:6">
      <c r="A736" s="753"/>
      <c r="B736" s="753"/>
      <c r="C736" s="752" t="s">
        <v>51004</v>
      </c>
      <c r="D736" s="753" t="s">
        <v>50498</v>
      </c>
      <c r="E736" s="752" t="s">
        <v>43484</v>
      </c>
      <c r="F736" s="751">
        <v>3575</v>
      </c>
    </row>
    <row r="737" spans="1:6">
      <c r="A737" s="753"/>
      <c r="B737" s="753"/>
      <c r="C737" s="752" t="s">
        <v>51003</v>
      </c>
      <c r="D737" s="753" t="s">
        <v>51002</v>
      </c>
      <c r="E737" s="752" t="s">
        <v>44570</v>
      </c>
      <c r="F737" s="751">
        <v>5175</v>
      </c>
    </row>
    <row r="738" spans="1:6">
      <c r="A738" s="753"/>
      <c r="B738" s="753"/>
      <c r="C738" s="752" t="s">
        <v>51001</v>
      </c>
      <c r="D738" s="753" t="s">
        <v>50986</v>
      </c>
      <c r="E738" s="752" t="s">
        <v>50985</v>
      </c>
      <c r="F738" s="751">
        <v>5675</v>
      </c>
    </row>
    <row r="739" spans="1:6">
      <c r="A739" s="753"/>
      <c r="B739" s="753"/>
      <c r="C739" s="752" t="s">
        <v>51000</v>
      </c>
      <c r="D739" s="753" t="s">
        <v>50993</v>
      </c>
      <c r="E739" s="752" t="s">
        <v>44570</v>
      </c>
      <c r="F739" s="751">
        <v>5875</v>
      </c>
    </row>
    <row r="740" spans="1:6">
      <c r="A740" s="753"/>
      <c r="B740" s="753"/>
      <c r="C740" s="752" t="s">
        <v>50999</v>
      </c>
      <c r="D740" s="753" t="s">
        <v>50998</v>
      </c>
      <c r="E740" s="752" t="s">
        <v>50985</v>
      </c>
      <c r="F740" s="751">
        <v>5375</v>
      </c>
    </row>
    <row r="741" spans="1:6">
      <c r="A741" s="753"/>
      <c r="B741" s="753"/>
      <c r="C741" s="752" t="s">
        <v>50997</v>
      </c>
      <c r="D741" s="753" t="s">
        <v>50760</v>
      </c>
      <c r="E741" s="752" t="s">
        <v>50996</v>
      </c>
      <c r="F741" s="751">
        <v>3425</v>
      </c>
    </row>
    <row r="742" spans="1:6">
      <c r="A742" s="753"/>
      <c r="B742" s="753"/>
      <c r="C742" s="752" t="s">
        <v>50995</v>
      </c>
      <c r="D742" s="753" t="s">
        <v>50986</v>
      </c>
      <c r="E742" s="752" t="s">
        <v>44570</v>
      </c>
      <c r="F742" s="751">
        <v>5675</v>
      </c>
    </row>
    <row r="743" spans="1:6">
      <c r="A743" s="753"/>
      <c r="B743" s="753"/>
      <c r="C743" s="752" t="s">
        <v>50994</v>
      </c>
      <c r="D743" s="753" t="s">
        <v>50993</v>
      </c>
      <c r="E743" s="752" t="s">
        <v>50992</v>
      </c>
      <c r="F743" s="751">
        <v>5525</v>
      </c>
    </row>
    <row r="744" spans="1:6">
      <c r="A744" s="753"/>
      <c r="B744" s="753"/>
      <c r="C744" s="752" t="s">
        <v>50991</v>
      </c>
      <c r="D744" s="753" t="s">
        <v>50990</v>
      </c>
      <c r="E744" s="752" t="s">
        <v>44570</v>
      </c>
      <c r="F744" s="751">
        <v>5775</v>
      </c>
    </row>
    <row r="745" spans="1:6">
      <c r="A745" s="753"/>
      <c r="B745" s="753"/>
      <c r="C745" s="752" t="s">
        <v>50989</v>
      </c>
      <c r="D745" s="753" t="s">
        <v>50498</v>
      </c>
      <c r="E745" s="752" t="s">
        <v>50988</v>
      </c>
      <c r="F745" s="751">
        <v>3375</v>
      </c>
    </row>
    <row r="746" spans="1:6">
      <c r="A746" s="753"/>
      <c r="B746" s="753"/>
      <c r="C746" s="752" t="s">
        <v>50987</v>
      </c>
      <c r="D746" s="753" t="s">
        <v>50986</v>
      </c>
      <c r="E746" s="752" t="s">
        <v>50985</v>
      </c>
      <c r="F746" s="751">
        <v>5175</v>
      </c>
    </row>
    <row r="747" spans="1:6">
      <c r="A747" s="753"/>
      <c r="B747" s="753" t="s">
        <v>50984</v>
      </c>
      <c r="C747" s="752" t="s">
        <v>50983</v>
      </c>
      <c r="D747" s="753" t="s">
        <v>50982</v>
      </c>
      <c r="E747" s="752" t="s">
        <v>43246</v>
      </c>
      <c r="F747" s="751">
        <v>4375</v>
      </c>
    </row>
    <row r="748" spans="1:6">
      <c r="A748" s="753"/>
      <c r="B748" s="753"/>
      <c r="C748" s="752" t="s">
        <v>50981</v>
      </c>
      <c r="D748" s="753" t="s">
        <v>50980</v>
      </c>
      <c r="E748" s="752" t="s">
        <v>43246</v>
      </c>
      <c r="F748" s="751">
        <v>4375</v>
      </c>
    </row>
    <row r="749" spans="1:6">
      <c r="A749" s="753"/>
      <c r="B749" s="753"/>
      <c r="C749" s="752" t="s">
        <v>50979</v>
      </c>
      <c r="D749" s="753" t="s">
        <v>50978</v>
      </c>
      <c r="E749" s="752" t="s">
        <v>43246</v>
      </c>
      <c r="F749" s="751">
        <v>4175</v>
      </c>
    </row>
    <row r="750" spans="1:6">
      <c r="A750" s="753"/>
      <c r="B750" s="753"/>
      <c r="C750" s="752" t="s">
        <v>50977</v>
      </c>
      <c r="D750" s="753" t="s">
        <v>50976</v>
      </c>
      <c r="E750" s="752" t="s">
        <v>43246</v>
      </c>
      <c r="F750" s="751">
        <v>4175</v>
      </c>
    </row>
    <row r="751" spans="1:6">
      <c r="A751" s="753"/>
      <c r="B751" s="753"/>
      <c r="C751" s="752" t="s">
        <v>50975</v>
      </c>
      <c r="D751" s="753" t="s">
        <v>50974</v>
      </c>
      <c r="E751" s="752" t="s">
        <v>43246</v>
      </c>
      <c r="F751" s="751">
        <v>4275</v>
      </c>
    </row>
    <row r="752" spans="1:6">
      <c r="A752" s="753"/>
      <c r="B752" s="753"/>
      <c r="C752" s="752" t="s">
        <v>50973</v>
      </c>
      <c r="D752" s="753" t="s">
        <v>50972</v>
      </c>
      <c r="E752" s="752" t="s">
        <v>43246</v>
      </c>
      <c r="F752" s="751">
        <v>4275</v>
      </c>
    </row>
    <row r="753" spans="1:6">
      <c r="A753" s="753"/>
      <c r="B753" s="753" t="s">
        <v>50971</v>
      </c>
      <c r="C753" s="752" t="s">
        <v>50970</v>
      </c>
      <c r="D753" s="753" t="s">
        <v>50502</v>
      </c>
      <c r="E753" s="752" t="s">
        <v>38294</v>
      </c>
      <c r="F753" s="751">
        <v>3325</v>
      </c>
    </row>
    <row r="754" spans="1:6">
      <c r="A754" s="753"/>
      <c r="B754" s="753"/>
      <c r="C754" s="752" t="s">
        <v>50969</v>
      </c>
      <c r="D754" s="753" t="s">
        <v>50955</v>
      </c>
      <c r="E754" s="752" t="s">
        <v>38294</v>
      </c>
      <c r="F754" s="751">
        <v>5370</v>
      </c>
    </row>
    <row r="755" spans="1:6">
      <c r="A755" s="753"/>
      <c r="B755" s="753"/>
      <c r="C755" s="752" t="s">
        <v>50968</v>
      </c>
      <c r="D755" s="753" t="s">
        <v>50962</v>
      </c>
      <c r="E755" s="752" t="s">
        <v>38258</v>
      </c>
      <c r="F755" s="751">
        <v>5420</v>
      </c>
    </row>
    <row r="756" spans="1:6">
      <c r="A756" s="753"/>
      <c r="B756" s="753"/>
      <c r="C756" s="752" t="s">
        <v>50967</v>
      </c>
      <c r="D756" s="753" t="s">
        <v>50502</v>
      </c>
      <c r="E756" s="752" t="s">
        <v>38258</v>
      </c>
      <c r="F756" s="751">
        <v>3075</v>
      </c>
    </row>
    <row r="757" spans="1:6">
      <c r="A757" s="753"/>
      <c r="B757" s="753"/>
      <c r="C757" s="752" t="s">
        <v>50966</v>
      </c>
      <c r="D757" s="753" t="s">
        <v>50955</v>
      </c>
      <c r="E757" s="752" t="s">
        <v>38312</v>
      </c>
      <c r="F757" s="751">
        <v>5120</v>
      </c>
    </row>
    <row r="758" spans="1:6">
      <c r="A758" s="753"/>
      <c r="B758" s="753"/>
      <c r="C758" s="752" t="s">
        <v>50965</v>
      </c>
      <c r="D758" s="753" t="s">
        <v>50962</v>
      </c>
      <c r="E758" s="752" t="s">
        <v>38290</v>
      </c>
      <c r="F758" s="751">
        <v>5170</v>
      </c>
    </row>
    <row r="759" spans="1:6">
      <c r="A759" s="753"/>
      <c r="B759" s="753"/>
      <c r="C759" s="752" t="s">
        <v>50964</v>
      </c>
      <c r="D759" s="753" t="s">
        <v>50955</v>
      </c>
      <c r="E759" s="752" t="s">
        <v>50560</v>
      </c>
      <c r="F759" s="751">
        <v>5370</v>
      </c>
    </row>
    <row r="760" spans="1:6">
      <c r="A760" s="753"/>
      <c r="B760" s="753"/>
      <c r="C760" s="752" t="s">
        <v>50963</v>
      </c>
      <c r="D760" s="753" t="s">
        <v>50962</v>
      </c>
      <c r="E760" s="752" t="s">
        <v>38258</v>
      </c>
      <c r="F760" s="751">
        <v>5420</v>
      </c>
    </row>
    <row r="761" spans="1:6">
      <c r="A761" s="753"/>
      <c r="B761" s="753"/>
      <c r="C761" s="752" t="s">
        <v>50961</v>
      </c>
      <c r="D761" s="753" t="s">
        <v>50502</v>
      </c>
      <c r="E761" s="752" t="s">
        <v>38258</v>
      </c>
      <c r="F761" s="751">
        <v>3075</v>
      </c>
    </row>
    <row r="762" spans="1:6">
      <c r="A762" s="753"/>
      <c r="B762" s="753"/>
      <c r="C762" s="752" t="s">
        <v>50960</v>
      </c>
      <c r="D762" s="753" t="s">
        <v>50955</v>
      </c>
      <c r="E762" s="752" t="s">
        <v>38312</v>
      </c>
      <c r="F762" s="751">
        <v>5120</v>
      </c>
    </row>
    <row r="763" spans="1:6">
      <c r="A763" s="753"/>
      <c r="B763" s="753"/>
      <c r="C763" s="752" t="s">
        <v>50959</v>
      </c>
      <c r="D763" s="753" t="s">
        <v>50958</v>
      </c>
      <c r="E763" s="752" t="s">
        <v>37895</v>
      </c>
      <c r="F763" s="751">
        <v>5170</v>
      </c>
    </row>
    <row r="764" spans="1:6">
      <c r="A764" s="753"/>
      <c r="B764" s="753"/>
      <c r="C764" s="752" t="s">
        <v>50957</v>
      </c>
      <c r="D764" s="753" t="s">
        <v>50502</v>
      </c>
      <c r="E764" s="752" t="s">
        <v>38290</v>
      </c>
      <c r="F764" s="751">
        <v>2625</v>
      </c>
    </row>
    <row r="765" spans="1:6">
      <c r="A765" s="753"/>
      <c r="B765" s="753"/>
      <c r="C765" s="752" t="s">
        <v>50956</v>
      </c>
      <c r="D765" s="753" t="s">
        <v>50955</v>
      </c>
      <c r="E765" s="752" t="s">
        <v>38290</v>
      </c>
      <c r="F765" s="751">
        <v>4870</v>
      </c>
    </row>
    <row r="766" spans="1:6">
      <c r="A766" s="753"/>
      <c r="B766" s="753"/>
      <c r="C766" s="752" t="s">
        <v>50954</v>
      </c>
      <c r="D766" s="753" t="s">
        <v>50950</v>
      </c>
      <c r="E766" s="752" t="s">
        <v>38258</v>
      </c>
      <c r="F766" s="751">
        <v>4220</v>
      </c>
    </row>
    <row r="767" spans="1:6">
      <c r="A767" s="753"/>
      <c r="B767" s="753"/>
      <c r="C767" s="752" t="s">
        <v>50953</v>
      </c>
      <c r="D767" s="753" t="s">
        <v>50950</v>
      </c>
      <c r="E767" s="752" t="s">
        <v>38258</v>
      </c>
      <c r="F767" s="751">
        <v>4170</v>
      </c>
    </row>
    <row r="768" spans="1:6">
      <c r="A768" s="753"/>
      <c r="B768" s="753"/>
      <c r="C768" s="752" t="s">
        <v>50952</v>
      </c>
      <c r="D768" s="753" t="s">
        <v>50950</v>
      </c>
      <c r="E768" s="752" t="s">
        <v>38258</v>
      </c>
      <c r="F768" s="751">
        <v>4420</v>
      </c>
    </row>
    <row r="769" spans="1:6">
      <c r="A769" s="753"/>
      <c r="B769" s="753"/>
      <c r="C769" s="752" t="s">
        <v>50951</v>
      </c>
      <c r="D769" s="753" t="s">
        <v>50950</v>
      </c>
      <c r="E769" s="752" t="s">
        <v>38290</v>
      </c>
      <c r="F769" s="751">
        <v>4170</v>
      </c>
    </row>
    <row r="770" spans="1:6">
      <c r="A770" s="753"/>
      <c r="B770" s="753"/>
      <c r="C770" s="752" t="s">
        <v>50949</v>
      </c>
      <c r="D770" s="753" t="s">
        <v>50946</v>
      </c>
      <c r="E770" s="752" t="s">
        <v>38290</v>
      </c>
      <c r="F770" s="751">
        <v>5665</v>
      </c>
    </row>
    <row r="771" spans="1:6">
      <c r="A771" s="753"/>
      <c r="B771" s="753"/>
      <c r="C771" s="752" t="s">
        <v>50948</v>
      </c>
      <c r="D771" s="753" t="s">
        <v>50946</v>
      </c>
      <c r="E771" s="752" t="s">
        <v>43739</v>
      </c>
      <c r="F771" s="751">
        <v>5915</v>
      </c>
    </row>
    <row r="772" spans="1:6">
      <c r="A772" s="753"/>
      <c r="B772" s="753"/>
      <c r="C772" s="752" t="s">
        <v>50947</v>
      </c>
      <c r="D772" s="753" t="s">
        <v>50946</v>
      </c>
      <c r="E772" s="752" t="s">
        <v>45521</v>
      </c>
      <c r="F772" s="751">
        <v>5665</v>
      </c>
    </row>
    <row r="773" spans="1:6">
      <c r="A773" s="753"/>
      <c r="B773" s="753"/>
      <c r="C773" s="752" t="s">
        <v>50945</v>
      </c>
      <c r="D773" s="753" t="s">
        <v>50943</v>
      </c>
      <c r="E773" s="752" t="s">
        <v>50942</v>
      </c>
      <c r="F773" s="751">
        <v>6355</v>
      </c>
    </row>
    <row r="774" spans="1:6">
      <c r="A774" s="753"/>
      <c r="B774" s="753"/>
      <c r="C774" s="752" t="s">
        <v>50944</v>
      </c>
      <c r="D774" s="753" t="s">
        <v>50943</v>
      </c>
      <c r="E774" s="752" t="s">
        <v>50942</v>
      </c>
      <c r="F774" s="751">
        <v>6355</v>
      </c>
    </row>
    <row r="775" spans="1:6">
      <c r="A775" s="753"/>
      <c r="B775" s="753"/>
      <c r="C775" s="752" t="s">
        <v>50941</v>
      </c>
      <c r="D775" s="753" t="s">
        <v>50889</v>
      </c>
      <c r="E775" s="752" t="s">
        <v>38019</v>
      </c>
      <c r="F775" s="751">
        <v>6325</v>
      </c>
    </row>
    <row r="776" spans="1:6">
      <c r="A776" s="753"/>
      <c r="B776" s="753"/>
      <c r="C776" s="752" t="s">
        <v>50940</v>
      </c>
      <c r="D776" s="753" t="s">
        <v>50891</v>
      </c>
      <c r="E776" s="752" t="s">
        <v>293</v>
      </c>
      <c r="F776" s="751">
        <v>5654</v>
      </c>
    </row>
    <row r="777" spans="1:6">
      <c r="A777" s="753"/>
      <c r="B777" s="753"/>
      <c r="C777" s="752" t="s">
        <v>50939</v>
      </c>
      <c r="D777" s="753" t="s">
        <v>50891</v>
      </c>
      <c r="E777" s="752" t="s">
        <v>293</v>
      </c>
      <c r="F777" s="751">
        <v>5495</v>
      </c>
    </row>
    <row r="778" spans="1:6">
      <c r="A778" s="753"/>
      <c r="B778" s="753"/>
      <c r="C778" s="752" t="s">
        <v>50938</v>
      </c>
      <c r="D778" s="753" t="s">
        <v>50889</v>
      </c>
      <c r="E778" s="752" t="s">
        <v>44964</v>
      </c>
      <c r="F778" s="751">
        <v>4675</v>
      </c>
    </row>
    <row r="779" spans="1:6">
      <c r="A779" s="753"/>
      <c r="B779" s="753"/>
      <c r="C779" s="752" t="s">
        <v>50937</v>
      </c>
      <c r="D779" s="753" t="s">
        <v>50889</v>
      </c>
      <c r="E779" s="752" t="s">
        <v>38283</v>
      </c>
      <c r="F779" s="751">
        <v>4475</v>
      </c>
    </row>
    <row r="780" spans="1:6">
      <c r="A780" s="753"/>
      <c r="B780" s="753"/>
      <c r="C780" s="752" t="s">
        <v>50936</v>
      </c>
      <c r="D780" s="753" t="s">
        <v>50889</v>
      </c>
      <c r="E780" s="752" t="s">
        <v>38281</v>
      </c>
      <c r="F780" s="751">
        <v>4575</v>
      </c>
    </row>
    <row r="781" spans="1:6">
      <c r="A781" s="753"/>
      <c r="B781" s="753"/>
      <c r="C781" s="752" t="s">
        <v>50935</v>
      </c>
      <c r="D781" s="753" t="s">
        <v>50889</v>
      </c>
      <c r="E781" s="752" t="s">
        <v>50934</v>
      </c>
      <c r="F781" s="751">
        <v>4225</v>
      </c>
    </row>
    <row r="782" spans="1:6">
      <c r="A782" s="753"/>
      <c r="B782" s="753"/>
      <c r="C782" s="752" t="s">
        <v>50933</v>
      </c>
      <c r="D782" s="753" t="s">
        <v>43660</v>
      </c>
      <c r="E782" s="752" t="s">
        <v>43659</v>
      </c>
      <c r="F782" s="751">
        <v>10795</v>
      </c>
    </row>
    <row r="783" spans="1:6">
      <c r="A783" s="753"/>
      <c r="B783" s="753"/>
      <c r="C783" s="752" t="s">
        <v>50932</v>
      </c>
      <c r="D783" s="753" t="s">
        <v>44093</v>
      </c>
      <c r="E783" s="752" t="s">
        <v>43659</v>
      </c>
      <c r="F783" s="751">
        <v>10895</v>
      </c>
    </row>
    <row r="784" spans="1:6">
      <c r="A784" s="753"/>
      <c r="B784" s="753"/>
      <c r="C784" s="752" t="s">
        <v>50931</v>
      </c>
      <c r="D784" s="753" t="s">
        <v>44561</v>
      </c>
      <c r="E784" s="752" t="s">
        <v>43873</v>
      </c>
      <c r="F784" s="751">
        <v>10795</v>
      </c>
    </row>
    <row r="785" spans="1:6">
      <c r="A785" s="753"/>
      <c r="B785" s="753"/>
      <c r="C785" s="752" t="s">
        <v>50930</v>
      </c>
      <c r="D785" s="753" t="s">
        <v>50919</v>
      </c>
      <c r="E785" s="752" t="s">
        <v>38035</v>
      </c>
      <c r="F785" s="751">
        <v>5975</v>
      </c>
    </row>
    <row r="786" spans="1:6">
      <c r="A786" s="753"/>
      <c r="B786" s="753"/>
      <c r="C786" s="752" t="s">
        <v>50929</v>
      </c>
      <c r="D786" s="753" t="s">
        <v>50902</v>
      </c>
      <c r="E786" s="752" t="s">
        <v>38010</v>
      </c>
      <c r="F786" s="751">
        <v>5175</v>
      </c>
    </row>
    <row r="787" spans="1:6">
      <c r="A787" s="753"/>
      <c r="B787" s="753"/>
      <c r="C787" s="752" t="s">
        <v>50928</v>
      </c>
      <c r="D787" s="753" t="s">
        <v>50902</v>
      </c>
      <c r="E787" s="752" t="s">
        <v>38035</v>
      </c>
      <c r="F787" s="751">
        <v>6355</v>
      </c>
    </row>
    <row r="788" spans="1:6">
      <c r="A788" s="753"/>
      <c r="B788" s="753"/>
      <c r="C788" s="752" t="s">
        <v>50927</v>
      </c>
      <c r="D788" s="753" t="s">
        <v>50919</v>
      </c>
      <c r="E788" s="752" t="s">
        <v>50926</v>
      </c>
      <c r="F788" s="751">
        <v>4925</v>
      </c>
    </row>
    <row r="789" spans="1:6">
      <c r="A789" s="753"/>
      <c r="B789" s="753"/>
      <c r="C789" s="752" t="s">
        <v>50925</v>
      </c>
      <c r="D789" s="753" t="s">
        <v>50919</v>
      </c>
      <c r="E789" s="752" t="s">
        <v>43401</v>
      </c>
      <c r="F789" s="751">
        <v>5625</v>
      </c>
    </row>
    <row r="790" spans="1:6">
      <c r="A790" s="753"/>
      <c r="B790" s="753"/>
      <c r="C790" s="752" t="s">
        <v>50924</v>
      </c>
      <c r="D790" s="753" t="s">
        <v>50902</v>
      </c>
      <c r="E790" s="752" t="s">
        <v>50923</v>
      </c>
      <c r="F790" s="751">
        <v>4925</v>
      </c>
    </row>
    <row r="791" spans="1:6">
      <c r="A791" s="753"/>
      <c r="B791" s="753"/>
      <c r="C791" s="752" t="s">
        <v>50922</v>
      </c>
      <c r="D791" s="753" t="s">
        <v>50900</v>
      </c>
      <c r="E791" s="752" t="s">
        <v>43401</v>
      </c>
      <c r="F791" s="751">
        <v>6005</v>
      </c>
    </row>
    <row r="792" spans="1:6">
      <c r="A792" s="753"/>
      <c r="B792" s="753"/>
      <c r="C792" s="752" t="s">
        <v>50921</v>
      </c>
      <c r="D792" s="753" t="s">
        <v>50919</v>
      </c>
      <c r="E792" s="752" t="s">
        <v>43243</v>
      </c>
      <c r="F792" s="751">
        <v>4675</v>
      </c>
    </row>
    <row r="793" spans="1:6">
      <c r="A793" s="753"/>
      <c r="B793" s="753"/>
      <c r="C793" s="752" t="s">
        <v>50920</v>
      </c>
      <c r="D793" s="753" t="s">
        <v>50919</v>
      </c>
      <c r="E793" s="752" t="s">
        <v>43527</v>
      </c>
      <c r="F793" s="751">
        <v>5275</v>
      </c>
    </row>
    <row r="794" spans="1:6">
      <c r="A794" s="753"/>
      <c r="B794" s="753"/>
      <c r="C794" s="752" t="s">
        <v>50918</v>
      </c>
      <c r="D794" s="753" t="s">
        <v>50902</v>
      </c>
      <c r="E794" s="752" t="s">
        <v>43645</v>
      </c>
      <c r="F794" s="751">
        <v>4675</v>
      </c>
    </row>
    <row r="795" spans="1:6">
      <c r="A795" s="753"/>
      <c r="B795" s="753"/>
      <c r="C795" s="752" t="s">
        <v>50917</v>
      </c>
      <c r="D795" s="753" t="s">
        <v>50902</v>
      </c>
      <c r="E795" s="752" t="s">
        <v>50910</v>
      </c>
      <c r="F795" s="751">
        <v>5655</v>
      </c>
    </row>
    <row r="796" spans="1:6">
      <c r="A796" s="753"/>
      <c r="B796" s="753"/>
      <c r="C796" s="752" t="s">
        <v>50916</v>
      </c>
      <c r="D796" s="753" t="s">
        <v>43874</v>
      </c>
      <c r="E796" s="752" t="s">
        <v>44932</v>
      </c>
      <c r="F796" s="751">
        <v>13145</v>
      </c>
    </row>
    <row r="797" spans="1:6">
      <c r="A797" s="753"/>
      <c r="B797" s="753"/>
      <c r="C797" s="752" t="s">
        <v>50915</v>
      </c>
      <c r="D797" s="753" t="s">
        <v>50902</v>
      </c>
      <c r="E797" s="752" t="s">
        <v>38258</v>
      </c>
      <c r="F797" s="751">
        <v>4925</v>
      </c>
    </row>
    <row r="798" spans="1:6">
      <c r="A798" s="753"/>
      <c r="B798" s="753"/>
      <c r="C798" s="752" t="s">
        <v>50914</v>
      </c>
      <c r="D798" s="753" t="s">
        <v>50900</v>
      </c>
      <c r="E798" s="752" t="s">
        <v>43391</v>
      </c>
      <c r="F798" s="751">
        <v>6005</v>
      </c>
    </row>
    <row r="799" spans="1:6">
      <c r="A799" s="753"/>
      <c r="B799" s="753"/>
      <c r="C799" s="752" t="s">
        <v>50913</v>
      </c>
      <c r="D799" s="753" t="s">
        <v>50900</v>
      </c>
      <c r="E799" s="752" t="s">
        <v>43401</v>
      </c>
      <c r="F799" s="751">
        <v>6005</v>
      </c>
    </row>
    <row r="800" spans="1:6">
      <c r="A800" s="753"/>
      <c r="B800" s="753"/>
      <c r="C800" s="752" t="s">
        <v>50912</v>
      </c>
      <c r="D800" s="753" t="s">
        <v>50902</v>
      </c>
      <c r="E800" s="752" t="s">
        <v>45478</v>
      </c>
      <c r="F800" s="751">
        <v>4675</v>
      </c>
    </row>
    <row r="801" spans="1:6">
      <c r="A801" s="753"/>
      <c r="B801" s="753"/>
      <c r="C801" s="752" t="s">
        <v>50911</v>
      </c>
      <c r="D801" s="753" t="s">
        <v>50902</v>
      </c>
      <c r="E801" s="752" t="s">
        <v>50910</v>
      </c>
      <c r="F801" s="751">
        <v>5655</v>
      </c>
    </row>
    <row r="802" spans="1:6">
      <c r="A802" s="753"/>
      <c r="B802" s="753"/>
      <c r="C802" s="752" t="s">
        <v>50909</v>
      </c>
      <c r="D802" s="753" t="s">
        <v>50902</v>
      </c>
      <c r="E802" s="752" t="s">
        <v>50908</v>
      </c>
      <c r="F802" s="751">
        <v>5435</v>
      </c>
    </row>
    <row r="803" spans="1:6">
      <c r="A803" s="753"/>
      <c r="B803" s="753"/>
      <c r="C803" s="752" t="s">
        <v>50907</v>
      </c>
      <c r="D803" s="753" t="s">
        <v>50900</v>
      </c>
      <c r="E803" s="752" t="s">
        <v>38299</v>
      </c>
      <c r="F803" s="751">
        <v>5655</v>
      </c>
    </row>
    <row r="804" spans="1:6">
      <c r="A804" s="753"/>
      <c r="B804" s="753"/>
      <c r="C804" s="752" t="s">
        <v>50906</v>
      </c>
      <c r="D804" s="753" t="s">
        <v>43261</v>
      </c>
      <c r="E804" s="752" t="s">
        <v>43260</v>
      </c>
      <c r="F804" s="751">
        <v>12895</v>
      </c>
    </row>
    <row r="805" spans="1:6">
      <c r="A805" s="753"/>
      <c r="B805" s="753"/>
      <c r="C805" s="752" t="s">
        <v>50905</v>
      </c>
      <c r="D805" s="753" t="s">
        <v>43261</v>
      </c>
      <c r="E805" s="752" t="s">
        <v>43260</v>
      </c>
      <c r="F805" s="751">
        <v>12995</v>
      </c>
    </row>
    <row r="806" spans="1:6">
      <c r="A806" s="753"/>
      <c r="B806" s="753"/>
      <c r="C806" s="752" t="s">
        <v>50904</v>
      </c>
      <c r="D806" s="753" t="s">
        <v>43874</v>
      </c>
      <c r="E806" s="752" t="s">
        <v>43873</v>
      </c>
      <c r="F806" s="751">
        <v>13045</v>
      </c>
    </row>
    <row r="807" spans="1:6">
      <c r="A807" s="753"/>
      <c r="B807" s="753"/>
      <c r="C807" s="752" t="s">
        <v>50903</v>
      </c>
      <c r="D807" s="753" t="s">
        <v>50902</v>
      </c>
      <c r="E807" s="752" t="s">
        <v>38258</v>
      </c>
      <c r="F807" s="751">
        <v>4625</v>
      </c>
    </row>
    <row r="808" spans="1:6">
      <c r="A808" s="753"/>
      <c r="B808" s="753"/>
      <c r="C808" s="752" t="s">
        <v>50901</v>
      </c>
      <c r="D808" s="753" t="s">
        <v>50900</v>
      </c>
      <c r="E808" s="752" t="s">
        <v>43401</v>
      </c>
      <c r="F808" s="751">
        <v>6005</v>
      </c>
    </row>
    <row r="809" spans="1:6">
      <c r="A809" s="753"/>
      <c r="B809" s="753"/>
      <c r="C809" s="752" t="s">
        <v>50899</v>
      </c>
      <c r="D809" s="753" t="s">
        <v>50889</v>
      </c>
      <c r="E809" s="752" t="s">
        <v>45460</v>
      </c>
      <c r="F809" s="751">
        <v>6325</v>
      </c>
    </row>
    <row r="810" spans="1:6">
      <c r="A810" s="753"/>
      <c r="B810" s="753"/>
      <c r="C810" s="752" t="s">
        <v>50898</v>
      </c>
      <c r="D810" s="753" t="s">
        <v>50889</v>
      </c>
      <c r="E810" s="752" t="s">
        <v>38483</v>
      </c>
      <c r="F810" s="751">
        <v>6325</v>
      </c>
    </row>
    <row r="811" spans="1:6">
      <c r="A811" s="753"/>
      <c r="B811" s="753"/>
      <c r="C811" s="752" t="s">
        <v>50897</v>
      </c>
      <c r="D811" s="753" t="s">
        <v>50896</v>
      </c>
      <c r="E811" s="752" t="s">
        <v>50895</v>
      </c>
      <c r="F811" s="751">
        <v>6280</v>
      </c>
    </row>
    <row r="812" spans="1:6">
      <c r="A812" s="753"/>
      <c r="B812" s="753"/>
      <c r="C812" s="752" t="s">
        <v>50894</v>
      </c>
      <c r="D812" s="753" t="s">
        <v>43270</v>
      </c>
      <c r="E812" s="752" t="s">
        <v>43269</v>
      </c>
      <c r="F812" s="751">
        <v>10795</v>
      </c>
    </row>
    <row r="813" spans="1:6">
      <c r="A813" s="753"/>
      <c r="B813" s="753"/>
      <c r="C813" s="752" t="s">
        <v>50893</v>
      </c>
      <c r="D813" s="753" t="s">
        <v>43270</v>
      </c>
      <c r="E813" s="752" t="s">
        <v>43659</v>
      </c>
      <c r="F813" s="751">
        <v>10895</v>
      </c>
    </row>
    <row r="814" spans="1:6">
      <c r="A814" s="753"/>
      <c r="B814" s="753"/>
      <c r="C814" s="752" t="s">
        <v>50892</v>
      </c>
      <c r="D814" s="753" t="s">
        <v>50891</v>
      </c>
      <c r="E814" s="752" t="s">
        <v>293</v>
      </c>
      <c r="F814" s="751">
        <v>5195</v>
      </c>
    </row>
    <row r="815" spans="1:6">
      <c r="A815" s="753"/>
      <c r="B815" s="753"/>
      <c r="C815" s="752" t="s">
        <v>50890</v>
      </c>
      <c r="D815" s="753" t="s">
        <v>50889</v>
      </c>
      <c r="E815" s="752" t="s">
        <v>50888</v>
      </c>
      <c r="F815" s="751">
        <v>6325</v>
      </c>
    </row>
    <row r="816" spans="1:6">
      <c r="A816" s="753"/>
      <c r="B816" s="753"/>
      <c r="C816" s="752" t="s">
        <v>50887</v>
      </c>
      <c r="D816" s="753" t="s">
        <v>50878</v>
      </c>
      <c r="E816" s="752" t="s">
        <v>44348</v>
      </c>
      <c r="F816" s="751">
        <v>1445</v>
      </c>
    </row>
    <row r="817" spans="1:6">
      <c r="A817" s="753"/>
      <c r="B817" s="753"/>
      <c r="C817" s="752" t="s">
        <v>50886</v>
      </c>
      <c r="D817" s="753" t="s">
        <v>50878</v>
      </c>
      <c r="E817" s="752" t="s">
        <v>293</v>
      </c>
      <c r="F817" s="751">
        <v>1445</v>
      </c>
    </row>
    <row r="818" spans="1:6">
      <c r="A818" s="753"/>
      <c r="B818" s="753"/>
      <c r="C818" s="752" t="s">
        <v>50885</v>
      </c>
      <c r="D818" s="753" t="s">
        <v>50878</v>
      </c>
      <c r="E818" s="752" t="s">
        <v>293</v>
      </c>
      <c r="F818" s="751">
        <v>1445</v>
      </c>
    </row>
    <row r="819" spans="1:6">
      <c r="A819" s="753"/>
      <c r="B819" s="753"/>
      <c r="C819" s="752" t="s">
        <v>50884</v>
      </c>
      <c r="D819" s="753" t="s">
        <v>50878</v>
      </c>
      <c r="E819" s="752" t="s">
        <v>44348</v>
      </c>
      <c r="F819" s="751">
        <v>1445</v>
      </c>
    </row>
    <row r="820" spans="1:6">
      <c r="A820" s="753"/>
      <c r="B820" s="753"/>
      <c r="C820" s="752" t="s">
        <v>50883</v>
      </c>
      <c r="D820" s="753" t="s">
        <v>50878</v>
      </c>
      <c r="E820" s="752" t="s">
        <v>293</v>
      </c>
      <c r="F820" s="751">
        <v>1745</v>
      </c>
    </row>
    <row r="821" spans="1:6">
      <c r="A821" s="753"/>
      <c r="B821" s="753"/>
      <c r="C821" s="752" t="s">
        <v>50882</v>
      </c>
      <c r="D821" s="753" t="s">
        <v>50878</v>
      </c>
      <c r="E821" s="752" t="s">
        <v>293</v>
      </c>
      <c r="F821" s="751">
        <v>1745</v>
      </c>
    </row>
    <row r="822" spans="1:6">
      <c r="A822" s="753"/>
      <c r="B822" s="753"/>
      <c r="C822" s="752" t="s">
        <v>50881</v>
      </c>
      <c r="D822" s="753" t="s">
        <v>50878</v>
      </c>
      <c r="E822" s="752" t="s">
        <v>44348</v>
      </c>
      <c r="F822" s="751">
        <v>1745</v>
      </c>
    </row>
    <row r="823" spans="1:6">
      <c r="A823" s="753"/>
      <c r="B823" s="753"/>
      <c r="C823" s="752" t="s">
        <v>50880</v>
      </c>
      <c r="D823" s="753" t="s">
        <v>50878</v>
      </c>
      <c r="E823" s="752" t="s">
        <v>45428</v>
      </c>
      <c r="F823" s="751">
        <v>1745</v>
      </c>
    </row>
    <row r="824" spans="1:6">
      <c r="A824" s="753"/>
      <c r="B824" s="753"/>
      <c r="C824" s="752" t="s">
        <v>50879</v>
      </c>
      <c r="D824" s="753" t="s">
        <v>50878</v>
      </c>
      <c r="E824" s="752" t="s">
        <v>50877</v>
      </c>
      <c r="F824" s="751">
        <v>2045</v>
      </c>
    </row>
    <row r="825" spans="1:6">
      <c r="A825" s="753"/>
      <c r="B825" s="753"/>
      <c r="C825" s="752" t="s">
        <v>50876</v>
      </c>
      <c r="D825" s="753" t="s">
        <v>50760</v>
      </c>
      <c r="E825" s="752" t="s">
        <v>50497</v>
      </c>
      <c r="F825" s="751">
        <v>3725</v>
      </c>
    </row>
    <row r="826" spans="1:6">
      <c r="A826" s="753"/>
      <c r="B826" s="753"/>
      <c r="C826" s="752" t="s">
        <v>50875</v>
      </c>
      <c r="D826" s="753" t="s">
        <v>50760</v>
      </c>
      <c r="E826" s="752" t="s">
        <v>50874</v>
      </c>
      <c r="F826" s="751">
        <v>3725</v>
      </c>
    </row>
    <row r="827" spans="1:6">
      <c r="A827" s="753"/>
      <c r="B827" s="753"/>
      <c r="C827" s="752" t="s">
        <v>50873</v>
      </c>
      <c r="D827" s="753" t="s">
        <v>50760</v>
      </c>
      <c r="E827" s="752" t="s">
        <v>47769</v>
      </c>
      <c r="F827" s="751">
        <v>3625</v>
      </c>
    </row>
    <row r="828" spans="1:6">
      <c r="A828" s="753"/>
      <c r="B828" s="753"/>
      <c r="C828" s="752" t="s">
        <v>50872</v>
      </c>
      <c r="D828" s="753" t="s">
        <v>50500</v>
      </c>
      <c r="E828" s="752" t="s">
        <v>43606</v>
      </c>
      <c r="F828" s="751">
        <v>5325</v>
      </c>
    </row>
    <row r="829" spans="1:6">
      <c r="A829" s="753"/>
      <c r="B829" s="753"/>
      <c r="C829" s="752" t="s">
        <v>50871</v>
      </c>
      <c r="D829" s="753" t="s">
        <v>50500</v>
      </c>
      <c r="E829" s="752" t="s">
        <v>50863</v>
      </c>
      <c r="F829" s="751">
        <v>5675</v>
      </c>
    </row>
    <row r="830" spans="1:6">
      <c r="A830" s="753"/>
      <c r="B830" s="753"/>
      <c r="C830" s="752" t="s">
        <v>50870</v>
      </c>
      <c r="D830" s="753" t="s">
        <v>50500</v>
      </c>
      <c r="E830" s="752" t="s">
        <v>38294</v>
      </c>
      <c r="F830" s="751">
        <v>4675</v>
      </c>
    </row>
    <row r="831" spans="1:6">
      <c r="A831" s="753"/>
      <c r="B831" s="753"/>
      <c r="C831" s="752" t="s">
        <v>50869</v>
      </c>
      <c r="D831" s="753" t="s">
        <v>50500</v>
      </c>
      <c r="E831" s="752" t="s">
        <v>50863</v>
      </c>
      <c r="F831" s="751">
        <v>5675</v>
      </c>
    </row>
    <row r="832" spans="1:6">
      <c r="A832" s="753"/>
      <c r="B832" s="753"/>
      <c r="C832" s="752" t="s">
        <v>50868</v>
      </c>
      <c r="D832" s="753" t="s">
        <v>50500</v>
      </c>
      <c r="E832" s="752" t="s">
        <v>38258</v>
      </c>
      <c r="F832" s="751">
        <v>4425</v>
      </c>
    </row>
    <row r="833" spans="1:6">
      <c r="A833" s="753"/>
      <c r="B833" s="753"/>
      <c r="C833" s="752" t="s">
        <v>50867</v>
      </c>
      <c r="D833" s="753" t="s">
        <v>50500</v>
      </c>
      <c r="E833" s="752" t="s">
        <v>43509</v>
      </c>
      <c r="F833" s="751">
        <v>5325</v>
      </c>
    </row>
    <row r="834" spans="1:6">
      <c r="A834" s="753"/>
      <c r="B834" s="753"/>
      <c r="C834" s="752" t="s">
        <v>50866</v>
      </c>
      <c r="D834" s="753" t="s">
        <v>50500</v>
      </c>
      <c r="E834" s="752" t="s">
        <v>38294</v>
      </c>
      <c r="F834" s="751">
        <v>4175</v>
      </c>
    </row>
    <row r="835" spans="1:6">
      <c r="A835" s="753"/>
      <c r="B835" s="753"/>
      <c r="C835" s="752" t="s">
        <v>50865</v>
      </c>
      <c r="D835" s="753" t="s">
        <v>50500</v>
      </c>
      <c r="E835" s="752" t="s">
        <v>50721</v>
      </c>
      <c r="F835" s="751">
        <v>5435</v>
      </c>
    </row>
    <row r="836" spans="1:6">
      <c r="A836" s="753"/>
      <c r="B836" s="753"/>
      <c r="C836" s="752" t="s">
        <v>50864</v>
      </c>
      <c r="D836" s="753" t="s">
        <v>50500</v>
      </c>
      <c r="E836" s="752" t="s">
        <v>50863</v>
      </c>
      <c r="F836" s="751">
        <v>5675</v>
      </c>
    </row>
    <row r="837" spans="1:6">
      <c r="A837" s="753"/>
      <c r="B837" s="753"/>
      <c r="C837" s="752" t="s">
        <v>50862</v>
      </c>
      <c r="D837" s="753" t="s">
        <v>50500</v>
      </c>
      <c r="E837" s="752" t="s">
        <v>38258</v>
      </c>
      <c r="F837" s="751">
        <v>4425</v>
      </c>
    </row>
    <row r="838" spans="1:6">
      <c r="A838" s="753"/>
      <c r="B838" s="753"/>
      <c r="C838" s="752" t="s">
        <v>50861</v>
      </c>
      <c r="D838" s="753" t="s">
        <v>50500</v>
      </c>
      <c r="E838" s="752" t="s">
        <v>50713</v>
      </c>
      <c r="F838" s="751">
        <v>5185</v>
      </c>
    </row>
    <row r="839" spans="1:6">
      <c r="A839" s="753"/>
      <c r="B839" s="753"/>
      <c r="C839" s="752" t="s">
        <v>50860</v>
      </c>
      <c r="D839" s="753" t="s">
        <v>50500</v>
      </c>
      <c r="E839" s="752" t="s">
        <v>43509</v>
      </c>
      <c r="F839" s="751">
        <v>5325</v>
      </c>
    </row>
    <row r="840" spans="1:6">
      <c r="A840" s="753"/>
      <c r="B840" s="753"/>
      <c r="C840" s="752" t="s">
        <v>50859</v>
      </c>
      <c r="D840" s="753" t="s">
        <v>50699</v>
      </c>
      <c r="E840" s="752" t="s">
        <v>38294</v>
      </c>
      <c r="F840" s="751">
        <v>4675</v>
      </c>
    </row>
    <row r="841" spans="1:6">
      <c r="A841" s="753"/>
      <c r="B841" s="753"/>
      <c r="C841" s="752" t="s">
        <v>50858</v>
      </c>
      <c r="D841" s="753" t="s">
        <v>50699</v>
      </c>
      <c r="E841" s="752" t="s">
        <v>38258</v>
      </c>
      <c r="F841" s="751">
        <v>4425</v>
      </c>
    </row>
    <row r="842" spans="1:6">
      <c r="A842" s="753"/>
      <c r="B842" s="753"/>
      <c r="C842" s="752" t="s">
        <v>50857</v>
      </c>
      <c r="D842" s="753" t="s">
        <v>50699</v>
      </c>
      <c r="E842" s="752" t="s">
        <v>38342</v>
      </c>
      <c r="F842" s="751">
        <v>5325</v>
      </c>
    </row>
    <row r="843" spans="1:6">
      <c r="A843" s="753"/>
      <c r="B843" s="753"/>
      <c r="C843" s="752" t="s">
        <v>50856</v>
      </c>
      <c r="D843" s="753" t="s">
        <v>50699</v>
      </c>
      <c r="E843" s="752" t="s">
        <v>38294</v>
      </c>
      <c r="F843" s="751">
        <v>4675</v>
      </c>
    </row>
    <row r="844" spans="1:6">
      <c r="A844" s="753"/>
      <c r="B844" s="753"/>
      <c r="C844" s="752" t="s">
        <v>50855</v>
      </c>
      <c r="D844" s="753" t="s">
        <v>50722</v>
      </c>
      <c r="E844" s="752" t="s">
        <v>50854</v>
      </c>
      <c r="F844" s="751">
        <v>5435</v>
      </c>
    </row>
    <row r="845" spans="1:6">
      <c r="A845" s="753"/>
      <c r="B845" s="753"/>
      <c r="C845" s="752" t="s">
        <v>50853</v>
      </c>
      <c r="D845" s="753" t="s">
        <v>50699</v>
      </c>
      <c r="E845" s="752" t="s">
        <v>50852</v>
      </c>
      <c r="F845" s="751">
        <v>5675</v>
      </c>
    </row>
    <row r="846" spans="1:6">
      <c r="A846" s="753"/>
      <c r="B846" s="753"/>
      <c r="C846" s="752" t="s">
        <v>50851</v>
      </c>
      <c r="D846" s="753" t="s">
        <v>50699</v>
      </c>
      <c r="E846" s="752" t="s">
        <v>38258</v>
      </c>
      <c r="F846" s="751">
        <v>4425</v>
      </c>
    </row>
    <row r="847" spans="1:6">
      <c r="A847" s="753"/>
      <c r="B847" s="753"/>
      <c r="C847" s="752" t="s">
        <v>50850</v>
      </c>
      <c r="D847" s="753" t="s">
        <v>50699</v>
      </c>
      <c r="E847" s="752" t="s">
        <v>38342</v>
      </c>
      <c r="F847" s="751">
        <v>5325</v>
      </c>
    </row>
    <row r="848" spans="1:6">
      <c r="A848" s="753"/>
      <c r="B848" s="753"/>
      <c r="C848" s="752" t="s">
        <v>50849</v>
      </c>
      <c r="D848" s="753" t="s">
        <v>50580</v>
      </c>
      <c r="E848" s="752" t="s">
        <v>50497</v>
      </c>
      <c r="F848" s="751">
        <v>3525</v>
      </c>
    </row>
    <row r="849" spans="1:6">
      <c r="A849" s="753"/>
      <c r="B849" s="753"/>
      <c r="C849" s="752" t="s">
        <v>50848</v>
      </c>
      <c r="D849" s="753" t="s">
        <v>50580</v>
      </c>
      <c r="E849" s="752" t="s">
        <v>44652</v>
      </c>
      <c r="F849" s="751">
        <v>3775</v>
      </c>
    </row>
    <row r="850" spans="1:6">
      <c r="A850" s="753"/>
      <c r="B850" s="753"/>
      <c r="C850" s="752" t="s">
        <v>50847</v>
      </c>
      <c r="D850" s="753" t="s">
        <v>50626</v>
      </c>
      <c r="E850" s="752" t="s">
        <v>43312</v>
      </c>
      <c r="F850" s="751">
        <v>5475</v>
      </c>
    </row>
    <row r="851" spans="1:6">
      <c r="A851" s="753"/>
      <c r="B851" s="753"/>
      <c r="C851" s="752" t="s">
        <v>50846</v>
      </c>
      <c r="D851" s="753" t="s">
        <v>50626</v>
      </c>
      <c r="E851" s="752" t="s">
        <v>43606</v>
      </c>
      <c r="F851" s="751">
        <v>5125</v>
      </c>
    </row>
    <row r="852" spans="1:6">
      <c r="A852" s="753"/>
      <c r="B852" s="753"/>
      <c r="C852" s="752" t="s">
        <v>50845</v>
      </c>
      <c r="D852" s="753" t="s">
        <v>50626</v>
      </c>
      <c r="E852" s="752" t="s">
        <v>38294</v>
      </c>
      <c r="F852" s="751">
        <v>4475</v>
      </c>
    </row>
    <row r="853" spans="1:6">
      <c r="A853" s="753"/>
      <c r="B853" s="753"/>
      <c r="C853" s="752" t="s">
        <v>50844</v>
      </c>
      <c r="D853" s="753" t="s">
        <v>50626</v>
      </c>
      <c r="E853" s="752" t="s">
        <v>38294</v>
      </c>
      <c r="F853" s="751">
        <v>4475</v>
      </c>
    </row>
    <row r="854" spans="1:6">
      <c r="A854" s="753"/>
      <c r="B854" s="753"/>
      <c r="C854" s="752" t="s">
        <v>50843</v>
      </c>
      <c r="D854" s="753" t="s">
        <v>50626</v>
      </c>
      <c r="E854" s="752" t="s">
        <v>43312</v>
      </c>
      <c r="F854" s="751">
        <v>5475</v>
      </c>
    </row>
    <row r="855" spans="1:6">
      <c r="A855" s="753"/>
      <c r="B855" s="753"/>
      <c r="C855" s="752" t="s">
        <v>50842</v>
      </c>
      <c r="D855" s="753" t="s">
        <v>50626</v>
      </c>
      <c r="E855" s="752" t="s">
        <v>38019</v>
      </c>
      <c r="F855" s="751">
        <v>4225</v>
      </c>
    </row>
    <row r="856" spans="1:6">
      <c r="A856" s="753"/>
      <c r="B856" s="753"/>
      <c r="C856" s="752" t="s">
        <v>50841</v>
      </c>
      <c r="D856" s="753" t="s">
        <v>50626</v>
      </c>
      <c r="E856" s="752" t="s">
        <v>43606</v>
      </c>
      <c r="F856" s="751">
        <v>5125</v>
      </c>
    </row>
    <row r="857" spans="1:6">
      <c r="A857" s="753"/>
      <c r="B857" s="753"/>
      <c r="C857" s="752" t="s">
        <v>50840</v>
      </c>
      <c r="D857" s="753" t="s">
        <v>50626</v>
      </c>
      <c r="E857" s="752" t="s">
        <v>50818</v>
      </c>
      <c r="F857" s="751">
        <v>4475</v>
      </c>
    </row>
    <row r="858" spans="1:6">
      <c r="A858" s="753"/>
      <c r="B858" s="753"/>
      <c r="C858" s="752" t="s">
        <v>50839</v>
      </c>
      <c r="D858" s="753" t="s">
        <v>50626</v>
      </c>
      <c r="E858" s="752" t="s">
        <v>50816</v>
      </c>
      <c r="F858" s="751">
        <v>5475</v>
      </c>
    </row>
    <row r="859" spans="1:6">
      <c r="A859" s="753"/>
      <c r="B859" s="753"/>
      <c r="C859" s="752" t="s">
        <v>50838</v>
      </c>
      <c r="D859" s="753" t="s">
        <v>50626</v>
      </c>
      <c r="E859" s="752" t="s">
        <v>50827</v>
      </c>
      <c r="F859" s="751">
        <v>4225</v>
      </c>
    </row>
    <row r="860" spans="1:6">
      <c r="A860" s="753"/>
      <c r="B860" s="753"/>
      <c r="C860" s="752" t="s">
        <v>50837</v>
      </c>
      <c r="D860" s="753" t="s">
        <v>50626</v>
      </c>
      <c r="E860" s="752" t="s">
        <v>45200</v>
      </c>
      <c r="F860" s="751">
        <v>4985</v>
      </c>
    </row>
    <row r="861" spans="1:6">
      <c r="A861" s="753"/>
      <c r="B861" s="753"/>
      <c r="C861" s="752" t="s">
        <v>50836</v>
      </c>
      <c r="D861" s="753" t="s">
        <v>50626</v>
      </c>
      <c r="E861" s="752" t="s">
        <v>50823</v>
      </c>
      <c r="F861" s="751">
        <v>5125</v>
      </c>
    </row>
    <row r="862" spans="1:6">
      <c r="A862" s="753"/>
      <c r="B862" s="753"/>
      <c r="C862" s="752" t="s">
        <v>50835</v>
      </c>
      <c r="D862" s="753" t="s">
        <v>50598</v>
      </c>
      <c r="E862" s="752" t="s">
        <v>38010</v>
      </c>
      <c r="F862" s="751">
        <v>4475</v>
      </c>
    </row>
    <row r="863" spans="1:6">
      <c r="A863" s="753"/>
      <c r="B863" s="753"/>
      <c r="C863" s="752" t="s">
        <v>50834</v>
      </c>
      <c r="D863" s="753" t="s">
        <v>50598</v>
      </c>
      <c r="E863" s="752" t="s">
        <v>50816</v>
      </c>
      <c r="F863" s="751">
        <v>5475</v>
      </c>
    </row>
    <row r="864" spans="1:6">
      <c r="A864" s="753"/>
      <c r="B864" s="753"/>
      <c r="C864" s="752" t="s">
        <v>50833</v>
      </c>
      <c r="D864" s="753" t="s">
        <v>50598</v>
      </c>
      <c r="E864" s="752" t="s">
        <v>38258</v>
      </c>
      <c r="F864" s="751">
        <v>4225</v>
      </c>
    </row>
    <row r="865" spans="1:6">
      <c r="A865" s="753"/>
      <c r="B865" s="753"/>
      <c r="C865" s="752" t="s">
        <v>50832</v>
      </c>
      <c r="D865" s="753" t="s">
        <v>50598</v>
      </c>
      <c r="E865" s="752" t="s">
        <v>50831</v>
      </c>
      <c r="F865" s="751">
        <v>4475</v>
      </c>
    </row>
    <row r="866" spans="1:6">
      <c r="A866" s="753"/>
      <c r="B866" s="753"/>
      <c r="C866" s="752" t="s">
        <v>50830</v>
      </c>
      <c r="D866" s="753" t="s">
        <v>50598</v>
      </c>
      <c r="E866" s="752" t="s">
        <v>50829</v>
      </c>
      <c r="F866" s="751">
        <v>5475</v>
      </c>
    </row>
    <row r="867" spans="1:6">
      <c r="A867" s="753"/>
      <c r="B867" s="753"/>
      <c r="C867" s="752" t="s">
        <v>50828</v>
      </c>
      <c r="D867" s="753" t="s">
        <v>50598</v>
      </c>
      <c r="E867" s="752" t="s">
        <v>50827</v>
      </c>
      <c r="F867" s="751">
        <v>4225</v>
      </c>
    </row>
    <row r="868" spans="1:6">
      <c r="A868" s="753"/>
      <c r="B868" s="753"/>
      <c r="C868" s="752" t="s">
        <v>50826</v>
      </c>
      <c r="D868" s="753" t="s">
        <v>50825</v>
      </c>
      <c r="E868" s="752" t="s">
        <v>45200</v>
      </c>
      <c r="F868" s="751">
        <v>4985</v>
      </c>
    </row>
    <row r="869" spans="1:6">
      <c r="A869" s="753"/>
      <c r="B869" s="753"/>
      <c r="C869" s="752" t="s">
        <v>50824</v>
      </c>
      <c r="D869" s="753" t="s">
        <v>50598</v>
      </c>
      <c r="E869" s="752" t="s">
        <v>50823</v>
      </c>
      <c r="F869" s="751">
        <v>5125</v>
      </c>
    </row>
    <row r="870" spans="1:6">
      <c r="A870" s="753"/>
      <c r="B870" s="753"/>
      <c r="C870" s="752" t="s">
        <v>50822</v>
      </c>
      <c r="D870" s="753" t="s">
        <v>50570</v>
      </c>
      <c r="E870" s="752" t="s">
        <v>47769</v>
      </c>
      <c r="F870" s="751">
        <v>3525</v>
      </c>
    </row>
    <row r="871" spans="1:6">
      <c r="A871" s="753"/>
      <c r="B871" s="753"/>
      <c r="C871" s="752" t="s">
        <v>50821</v>
      </c>
      <c r="D871" s="753" t="s">
        <v>50570</v>
      </c>
      <c r="E871" s="752" t="s">
        <v>50820</v>
      </c>
      <c r="F871" s="751">
        <v>3275</v>
      </c>
    </row>
    <row r="872" spans="1:6">
      <c r="A872" s="753"/>
      <c r="B872" s="753"/>
      <c r="C872" s="752" t="s">
        <v>50819</v>
      </c>
      <c r="D872" s="753" t="s">
        <v>50539</v>
      </c>
      <c r="E872" s="752" t="s">
        <v>50818</v>
      </c>
      <c r="F872" s="751">
        <v>4575</v>
      </c>
    </row>
    <row r="873" spans="1:6">
      <c r="A873" s="753"/>
      <c r="B873" s="753"/>
      <c r="C873" s="752" t="s">
        <v>50817</v>
      </c>
      <c r="D873" s="753" t="s">
        <v>50539</v>
      </c>
      <c r="E873" s="752" t="s">
        <v>50816</v>
      </c>
      <c r="F873" s="751">
        <v>5575</v>
      </c>
    </row>
    <row r="874" spans="1:6">
      <c r="A874" s="753"/>
      <c r="B874" s="753"/>
      <c r="C874" s="752" t="s">
        <v>50815</v>
      </c>
      <c r="D874" s="753" t="s">
        <v>50539</v>
      </c>
      <c r="E874" s="752" t="s">
        <v>50814</v>
      </c>
      <c r="F874" s="751">
        <v>4325</v>
      </c>
    </row>
    <row r="875" spans="1:6">
      <c r="A875" s="753"/>
      <c r="B875" s="753"/>
      <c r="C875" s="752" t="s">
        <v>50813</v>
      </c>
      <c r="D875" s="753" t="s">
        <v>50539</v>
      </c>
      <c r="E875" s="752" t="s">
        <v>43509</v>
      </c>
      <c r="F875" s="751">
        <v>5225</v>
      </c>
    </row>
    <row r="876" spans="1:6">
      <c r="A876" s="753"/>
      <c r="B876" s="753"/>
      <c r="C876" s="752" t="s">
        <v>50812</v>
      </c>
      <c r="D876" s="753" t="s">
        <v>50509</v>
      </c>
      <c r="E876" s="752" t="s">
        <v>43509</v>
      </c>
      <c r="F876" s="751">
        <v>5225</v>
      </c>
    </row>
    <row r="877" spans="1:6">
      <c r="A877" s="753"/>
      <c r="B877" s="753"/>
      <c r="C877" s="752" t="s">
        <v>50811</v>
      </c>
      <c r="D877" s="753" t="s">
        <v>50808</v>
      </c>
      <c r="E877" s="752" t="s">
        <v>50810</v>
      </c>
      <c r="F877" s="751">
        <v>3475</v>
      </c>
    </row>
    <row r="878" spans="1:6">
      <c r="A878" s="753"/>
      <c r="B878" s="753"/>
      <c r="C878" s="752" t="s">
        <v>50809</v>
      </c>
      <c r="D878" s="753" t="s">
        <v>50808</v>
      </c>
      <c r="E878" s="752" t="s">
        <v>50807</v>
      </c>
      <c r="F878" s="751">
        <v>3225</v>
      </c>
    </row>
    <row r="879" spans="1:6">
      <c r="A879" s="753"/>
      <c r="B879" s="753"/>
      <c r="C879" s="752" t="s">
        <v>50806</v>
      </c>
      <c r="D879" s="753" t="s">
        <v>50802</v>
      </c>
      <c r="E879" s="752" t="s">
        <v>43243</v>
      </c>
      <c r="F879" s="751">
        <v>4275</v>
      </c>
    </row>
    <row r="880" spans="1:6">
      <c r="A880" s="753"/>
      <c r="B880" s="753"/>
      <c r="C880" s="752" t="s">
        <v>50805</v>
      </c>
      <c r="D880" s="753" t="s">
        <v>50802</v>
      </c>
      <c r="E880" s="752" t="s">
        <v>50743</v>
      </c>
      <c r="F880" s="751">
        <v>5075</v>
      </c>
    </row>
    <row r="881" spans="1:6">
      <c r="A881" s="753"/>
      <c r="B881" s="753"/>
      <c r="C881" s="752" t="s">
        <v>50804</v>
      </c>
      <c r="D881" s="753" t="s">
        <v>50802</v>
      </c>
      <c r="E881" s="752" t="s">
        <v>43415</v>
      </c>
      <c r="F881" s="751">
        <v>4725</v>
      </c>
    </row>
    <row r="882" spans="1:6">
      <c r="A882" s="753"/>
      <c r="B882" s="753"/>
      <c r="C882" s="752" t="s">
        <v>50803</v>
      </c>
      <c r="D882" s="753" t="s">
        <v>50802</v>
      </c>
      <c r="E882" s="752" t="s">
        <v>50801</v>
      </c>
      <c r="F882" s="751">
        <v>5325</v>
      </c>
    </row>
    <row r="883" spans="1:6">
      <c r="A883" s="753"/>
      <c r="B883" s="753"/>
      <c r="C883" s="752" t="s">
        <v>50800</v>
      </c>
      <c r="D883" s="753" t="s">
        <v>50760</v>
      </c>
      <c r="E883" s="752" t="s">
        <v>45251</v>
      </c>
      <c r="F883" s="751">
        <v>3375</v>
      </c>
    </row>
    <row r="884" spans="1:6">
      <c r="A884" s="753"/>
      <c r="B884" s="753"/>
      <c r="C884" s="752" t="s">
        <v>50799</v>
      </c>
      <c r="D884" s="753" t="s">
        <v>50760</v>
      </c>
      <c r="E884" s="752" t="s">
        <v>47933</v>
      </c>
      <c r="F884" s="751">
        <v>3625</v>
      </c>
    </row>
    <row r="885" spans="1:6">
      <c r="A885" s="753"/>
      <c r="B885" s="753"/>
      <c r="C885" s="752" t="s">
        <v>50798</v>
      </c>
      <c r="D885" s="753" t="s">
        <v>50760</v>
      </c>
      <c r="E885" s="752" t="s">
        <v>47906</v>
      </c>
      <c r="F885" s="751">
        <v>3975</v>
      </c>
    </row>
    <row r="886" spans="1:6">
      <c r="A886" s="753"/>
      <c r="B886" s="753"/>
      <c r="C886" s="752" t="s">
        <v>50797</v>
      </c>
      <c r="D886" s="753" t="s">
        <v>50760</v>
      </c>
      <c r="E886" s="752" t="s">
        <v>47769</v>
      </c>
      <c r="F886" s="751">
        <v>3625</v>
      </c>
    </row>
    <row r="887" spans="1:6">
      <c r="A887" s="753"/>
      <c r="B887" s="753"/>
      <c r="C887" s="752" t="s">
        <v>50796</v>
      </c>
      <c r="D887" s="753" t="s">
        <v>50760</v>
      </c>
      <c r="E887" s="752" t="s">
        <v>44652</v>
      </c>
      <c r="F887" s="751">
        <v>3975</v>
      </c>
    </row>
    <row r="888" spans="1:6">
      <c r="A888" s="753"/>
      <c r="B888" s="753"/>
      <c r="C888" s="752" t="s">
        <v>50795</v>
      </c>
      <c r="D888" s="753" t="s">
        <v>50760</v>
      </c>
      <c r="E888" s="752" t="s">
        <v>43486</v>
      </c>
      <c r="F888" s="751">
        <v>3375</v>
      </c>
    </row>
    <row r="889" spans="1:6">
      <c r="A889" s="753"/>
      <c r="B889" s="753"/>
      <c r="C889" s="752" t="s">
        <v>50794</v>
      </c>
      <c r="D889" s="753" t="s">
        <v>50760</v>
      </c>
      <c r="E889" s="752" t="s">
        <v>43484</v>
      </c>
      <c r="F889" s="751">
        <v>3725</v>
      </c>
    </row>
    <row r="890" spans="1:6">
      <c r="A890" s="753"/>
      <c r="B890" s="753"/>
      <c r="C890" s="752" t="s">
        <v>50793</v>
      </c>
      <c r="D890" s="753" t="s">
        <v>50760</v>
      </c>
      <c r="E890" s="752" t="s">
        <v>38234</v>
      </c>
      <c r="F890" s="751">
        <v>3375</v>
      </c>
    </row>
    <row r="891" spans="1:6">
      <c r="A891" s="753"/>
      <c r="B891" s="753"/>
      <c r="C891" s="752" t="s">
        <v>50792</v>
      </c>
      <c r="D891" s="753" t="s">
        <v>50760</v>
      </c>
      <c r="E891" s="752" t="s">
        <v>38139</v>
      </c>
      <c r="F891" s="751">
        <v>3725</v>
      </c>
    </row>
    <row r="892" spans="1:6">
      <c r="A892" s="753"/>
      <c r="B892" s="753"/>
      <c r="C892" s="752" t="s">
        <v>50791</v>
      </c>
      <c r="D892" s="753" t="s">
        <v>50760</v>
      </c>
      <c r="E892" s="752" t="s">
        <v>43467</v>
      </c>
      <c r="F892" s="751">
        <v>3125</v>
      </c>
    </row>
    <row r="893" spans="1:6">
      <c r="A893" s="753"/>
      <c r="B893" s="753"/>
      <c r="C893" s="752" t="s">
        <v>50790</v>
      </c>
      <c r="D893" s="753" t="s">
        <v>50760</v>
      </c>
      <c r="E893" s="752" t="s">
        <v>43465</v>
      </c>
      <c r="F893" s="751">
        <v>3375</v>
      </c>
    </row>
    <row r="894" spans="1:6">
      <c r="A894" s="753"/>
      <c r="B894" s="753"/>
      <c r="C894" s="752" t="s">
        <v>50789</v>
      </c>
      <c r="D894" s="753" t="s">
        <v>50760</v>
      </c>
      <c r="E894" s="752" t="s">
        <v>50788</v>
      </c>
      <c r="F894" s="751">
        <v>2675</v>
      </c>
    </row>
    <row r="895" spans="1:6">
      <c r="A895" s="753"/>
      <c r="B895" s="753"/>
      <c r="C895" s="752" t="s">
        <v>50787</v>
      </c>
      <c r="D895" s="753" t="s">
        <v>50760</v>
      </c>
      <c r="E895" s="752" t="s">
        <v>43358</v>
      </c>
      <c r="F895" s="751">
        <v>3125</v>
      </c>
    </row>
    <row r="896" spans="1:6">
      <c r="A896" s="753"/>
      <c r="B896" s="753"/>
      <c r="C896" s="752" t="s">
        <v>50786</v>
      </c>
      <c r="D896" s="753" t="s">
        <v>50760</v>
      </c>
      <c r="E896" s="752" t="s">
        <v>43355</v>
      </c>
      <c r="F896" s="751">
        <v>3375</v>
      </c>
    </row>
    <row r="897" spans="1:6">
      <c r="A897" s="753"/>
      <c r="B897" s="753"/>
      <c r="C897" s="752" t="s">
        <v>50785</v>
      </c>
      <c r="D897" s="753" t="s">
        <v>50760</v>
      </c>
      <c r="E897" s="752" t="s">
        <v>50784</v>
      </c>
      <c r="F897" s="751">
        <v>3125</v>
      </c>
    </row>
    <row r="898" spans="1:6">
      <c r="A898" s="753"/>
      <c r="B898" s="753"/>
      <c r="C898" s="752" t="s">
        <v>50783</v>
      </c>
      <c r="D898" s="753" t="s">
        <v>50782</v>
      </c>
      <c r="E898" s="752" t="s">
        <v>50781</v>
      </c>
      <c r="F898" s="751">
        <v>3625</v>
      </c>
    </row>
    <row r="899" spans="1:6">
      <c r="A899" s="753"/>
      <c r="B899" s="753"/>
      <c r="C899" s="752" t="s">
        <v>50780</v>
      </c>
      <c r="D899" s="753" t="s">
        <v>50760</v>
      </c>
      <c r="E899" s="752" t="s">
        <v>50779</v>
      </c>
      <c r="F899" s="751">
        <v>3375</v>
      </c>
    </row>
    <row r="900" spans="1:6">
      <c r="A900" s="753"/>
      <c r="B900" s="753"/>
      <c r="C900" s="752" t="s">
        <v>50778</v>
      </c>
      <c r="D900" s="753" t="s">
        <v>50760</v>
      </c>
      <c r="E900" s="752" t="s">
        <v>50497</v>
      </c>
      <c r="F900" s="751">
        <v>3725</v>
      </c>
    </row>
    <row r="901" spans="1:6">
      <c r="A901" s="753"/>
      <c r="B901" s="753"/>
      <c r="C901" s="752" t="s">
        <v>50777</v>
      </c>
      <c r="D901" s="753" t="s">
        <v>50760</v>
      </c>
      <c r="E901" s="752" t="s">
        <v>50776</v>
      </c>
      <c r="F901" s="751">
        <v>3125</v>
      </c>
    </row>
    <row r="902" spans="1:6">
      <c r="A902" s="753"/>
      <c r="B902" s="753"/>
      <c r="C902" s="752" t="s">
        <v>50775</v>
      </c>
      <c r="D902" s="753" t="s">
        <v>50760</v>
      </c>
      <c r="E902" s="752" t="s">
        <v>50774</v>
      </c>
      <c r="F902" s="751">
        <v>3375</v>
      </c>
    </row>
    <row r="903" spans="1:6">
      <c r="A903" s="753"/>
      <c r="B903" s="753"/>
      <c r="C903" s="752" t="s">
        <v>50773</v>
      </c>
      <c r="D903" s="753" t="s">
        <v>50760</v>
      </c>
      <c r="E903" s="752" t="s">
        <v>43371</v>
      </c>
      <c r="F903" s="751">
        <v>3375</v>
      </c>
    </row>
    <row r="904" spans="1:6">
      <c r="A904" s="753"/>
      <c r="B904" s="753"/>
      <c r="C904" s="752" t="s">
        <v>50772</v>
      </c>
      <c r="D904" s="753" t="s">
        <v>50760</v>
      </c>
      <c r="E904" s="752" t="s">
        <v>50771</v>
      </c>
      <c r="F904" s="751">
        <v>3725</v>
      </c>
    </row>
    <row r="905" spans="1:6">
      <c r="A905" s="753"/>
      <c r="B905" s="753"/>
      <c r="C905" s="752" t="s">
        <v>50770</v>
      </c>
      <c r="D905" s="753" t="s">
        <v>50760</v>
      </c>
      <c r="E905" s="752" t="s">
        <v>50769</v>
      </c>
      <c r="F905" s="751">
        <v>3375</v>
      </c>
    </row>
    <row r="906" spans="1:6">
      <c r="A906" s="753"/>
      <c r="B906" s="753"/>
      <c r="C906" s="752" t="s">
        <v>50768</v>
      </c>
      <c r="D906" s="753" t="s">
        <v>50760</v>
      </c>
      <c r="E906" s="752" t="s">
        <v>43467</v>
      </c>
      <c r="F906" s="751">
        <v>3125</v>
      </c>
    </row>
    <row r="907" spans="1:6">
      <c r="A907" s="753"/>
      <c r="B907" s="753"/>
      <c r="C907" s="752" t="s">
        <v>50767</v>
      </c>
      <c r="D907" s="753" t="s">
        <v>50760</v>
      </c>
      <c r="E907" s="752" t="s">
        <v>43465</v>
      </c>
      <c r="F907" s="751">
        <v>3375</v>
      </c>
    </row>
    <row r="908" spans="1:6">
      <c r="A908" s="753"/>
      <c r="B908" s="753"/>
      <c r="C908" s="752" t="s">
        <v>50766</v>
      </c>
      <c r="D908" s="753" t="s">
        <v>50760</v>
      </c>
      <c r="E908" s="752" t="s">
        <v>50765</v>
      </c>
      <c r="F908" s="751">
        <v>3125</v>
      </c>
    </row>
    <row r="909" spans="1:6">
      <c r="A909" s="753"/>
      <c r="B909" s="753"/>
      <c r="C909" s="752" t="s">
        <v>50764</v>
      </c>
      <c r="D909" s="753" t="s">
        <v>50760</v>
      </c>
      <c r="E909" s="752" t="s">
        <v>43358</v>
      </c>
      <c r="F909" s="751">
        <v>3125</v>
      </c>
    </row>
    <row r="910" spans="1:6">
      <c r="A910" s="753"/>
      <c r="B910" s="753"/>
      <c r="C910" s="752" t="s">
        <v>50763</v>
      </c>
      <c r="D910" s="753" t="s">
        <v>50760</v>
      </c>
      <c r="E910" s="752" t="s">
        <v>43355</v>
      </c>
      <c r="F910" s="751">
        <v>3375</v>
      </c>
    </row>
    <row r="911" spans="1:6">
      <c r="A911" s="753"/>
      <c r="B911" s="753"/>
      <c r="C911" s="752" t="s">
        <v>50762</v>
      </c>
      <c r="D911" s="753" t="s">
        <v>50760</v>
      </c>
      <c r="E911" s="752" t="s">
        <v>50588</v>
      </c>
      <c r="F911" s="751">
        <v>3125</v>
      </c>
    </row>
    <row r="912" spans="1:6">
      <c r="A912" s="753"/>
      <c r="B912" s="753"/>
      <c r="C912" s="752" t="s">
        <v>50761</v>
      </c>
      <c r="D912" s="753" t="s">
        <v>50760</v>
      </c>
      <c r="E912" s="752" t="s">
        <v>50759</v>
      </c>
      <c r="F912" s="751">
        <v>2875</v>
      </c>
    </row>
    <row r="913" spans="1:6">
      <c r="A913" s="753"/>
      <c r="B913" s="753"/>
      <c r="C913" s="752" t="s">
        <v>50758</v>
      </c>
      <c r="D913" s="753" t="s">
        <v>50500</v>
      </c>
      <c r="E913" s="752" t="s">
        <v>43243</v>
      </c>
      <c r="F913" s="751">
        <v>4175</v>
      </c>
    </row>
    <row r="914" spans="1:6">
      <c r="A914" s="753"/>
      <c r="B914" s="753"/>
      <c r="C914" s="752" t="s">
        <v>50757</v>
      </c>
      <c r="D914" s="753" t="s">
        <v>50500</v>
      </c>
      <c r="E914" s="752" t="s">
        <v>50756</v>
      </c>
      <c r="F914" s="751">
        <v>4975</v>
      </c>
    </row>
    <row r="915" spans="1:6">
      <c r="A915" s="753"/>
      <c r="B915" s="753"/>
      <c r="C915" s="752" t="s">
        <v>50755</v>
      </c>
      <c r="D915" s="753" t="s">
        <v>50500</v>
      </c>
      <c r="E915" s="752" t="s">
        <v>38294</v>
      </c>
      <c r="F915" s="751">
        <v>4675</v>
      </c>
    </row>
    <row r="916" spans="1:6">
      <c r="A916" s="753"/>
      <c r="B916" s="753"/>
      <c r="C916" s="752" t="s">
        <v>50754</v>
      </c>
      <c r="D916" s="753" t="s">
        <v>50500</v>
      </c>
      <c r="E916" s="752" t="s">
        <v>50753</v>
      </c>
      <c r="F916" s="751">
        <v>5435</v>
      </c>
    </row>
    <row r="917" spans="1:6">
      <c r="A917" s="753"/>
      <c r="B917" s="753"/>
      <c r="C917" s="752" t="s">
        <v>50752</v>
      </c>
      <c r="D917" s="753" t="s">
        <v>50500</v>
      </c>
      <c r="E917" s="752" t="s">
        <v>43558</v>
      </c>
      <c r="F917" s="751">
        <v>5675</v>
      </c>
    </row>
    <row r="918" spans="1:6">
      <c r="A918" s="753"/>
      <c r="B918" s="753"/>
      <c r="C918" s="752" t="s">
        <v>50751</v>
      </c>
      <c r="D918" s="753" t="s">
        <v>50500</v>
      </c>
      <c r="E918" s="752" t="s">
        <v>50750</v>
      </c>
      <c r="F918" s="751">
        <v>5325</v>
      </c>
    </row>
    <row r="919" spans="1:6">
      <c r="A919" s="753"/>
      <c r="B919" s="753"/>
      <c r="C919" s="752" t="s">
        <v>50749</v>
      </c>
      <c r="D919" s="753" t="s">
        <v>50500</v>
      </c>
      <c r="E919" s="752" t="s">
        <v>43310</v>
      </c>
      <c r="F919" s="751">
        <v>4425</v>
      </c>
    </row>
    <row r="920" spans="1:6">
      <c r="A920" s="753"/>
      <c r="B920" s="753"/>
      <c r="C920" s="752" t="s">
        <v>50748</v>
      </c>
      <c r="D920" s="753" t="s">
        <v>50500</v>
      </c>
      <c r="E920" s="752" t="s">
        <v>43555</v>
      </c>
      <c r="F920" s="751">
        <v>5185</v>
      </c>
    </row>
    <row r="921" spans="1:6">
      <c r="A921" s="753"/>
      <c r="B921" s="753"/>
      <c r="C921" s="752" t="s">
        <v>50747</v>
      </c>
      <c r="D921" s="753" t="s">
        <v>50500</v>
      </c>
      <c r="E921" s="752" t="s">
        <v>43297</v>
      </c>
      <c r="F921" s="751">
        <v>4175</v>
      </c>
    </row>
    <row r="922" spans="1:6">
      <c r="A922" s="753"/>
      <c r="B922" s="753"/>
      <c r="C922" s="752" t="s">
        <v>50746</v>
      </c>
      <c r="D922" s="753" t="s">
        <v>50500</v>
      </c>
      <c r="E922" s="752" t="s">
        <v>50745</v>
      </c>
      <c r="F922" s="751">
        <v>4935</v>
      </c>
    </row>
    <row r="923" spans="1:6">
      <c r="A923" s="753"/>
      <c r="B923" s="753"/>
      <c r="C923" s="752" t="s">
        <v>50744</v>
      </c>
      <c r="D923" s="753" t="s">
        <v>50500</v>
      </c>
      <c r="E923" s="752" t="s">
        <v>50743</v>
      </c>
      <c r="F923" s="751">
        <v>4975</v>
      </c>
    </row>
    <row r="924" spans="1:6">
      <c r="A924" s="753"/>
      <c r="B924" s="753"/>
      <c r="C924" s="752" t="s">
        <v>50742</v>
      </c>
      <c r="D924" s="753" t="s">
        <v>50500</v>
      </c>
      <c r="E924" s="752" t="s">
        <v>43551</v>
      </c>
      <c r="F924" s="751">
        <v>4175</v>
      </c>
    </row>
    <row r="925" spans="1:6">
      <c r="A925" s="753"/>
      <c r="B925" s="753"/>
      <c r="C925" s="752" t="s">
        <v>50741</v>
      </c>
      <c r="D925" s="753" t="s">
        <v>50500</v>
      </c>
      <c r="E925" s="752" t="s">
        <v>50713</v>
      </c>
      <c r="F925" s="751">
        <v>5185</v>
      </c>
    </row>
    <row r="926" spans="1:6">
      <c r="A926" s="753"/>
      <c r="B926" s="753"/>
      <c r="C926" s="752" t="s">
        <v>50740</v>
      </c>
      <c r="D926" s="753" t="s">
        <v>50500</v>
      </c>
      <c r="E926" s="752" t="s">
        <v>50511</v>
      </c>
      <c r="F926" s="751">
        <v>5325</v>
      </c>
    </row>
    <row r="927" spans="1:6">
      <c r="A927" s="753"/>
      <c r="B927" s="753"/>
      <c r="C927" s="752" t="s">
        <v>50739</v>
      </c>
      <c r="D927" s="753" t="s">
        <v>50500</v>
      </c>
      <c r="E927" s="752" t="s">
        <v>50552</v>
      </c>
      <c r="F927" s="751">
        <v>4675</v>
      </c>
    </row>
    <row r="928" spans="1:6">
      <c r="A928" s="753"/>
      <c r="B928" s="753"/>
      <c r="C928" s="752" t="s">
        <v>50738</v>
      </c>
      <c r="D928" s="753" t="s">
        <v>50729</v>
      </c>
      <c r="E928" s="752" t="s">
        <v>43310</v>
      </c>
      <c r="F928" s="751">
        <v>4425</v>
      </c>
    </row>
    <row r="929" spans="1:6">
      <c r="A929" s="753"/>
      <c r="B929" s="753"/>
      <c r="C929" s="752" t="s">
        <v>50737</v>
      </c>
      <c r="D929" s="753" t="s">
        <v>50500</v>
      </c>
      <c r="E929" s="752" t="s">
        <v>43243</v>
      </c>
      <c r="F929" s="751">
        <v>4175</v>
      </c>
    </row>
    <row r="930" spans="1:6">
      <c r="A930" s="753"/>
      <c r="B930" s="753"/>
      <c r="C930" s="752" t="s">
        <v>50736</v>
      </c>
      <c r="D930" s="753" t="s">
        <v>50500</v>
      </c>
      <c r="E930" s="752" t="s">
        <v>43282</v>
      </c>
      <c r="F930" s="751">
        <v>4975</v>
      </c>
    </row>
    <row r="931" spans="1:6">
      <c r="A931" s="753"/>
      <c r="B931" s="753"/>
      <c r="C931" s="752" t="s">
        <v>50735</v>
      </c>
      <c r="D931" s="753" t="s">
        <v>50500</v>
      </c>
      <c r="E931" s="752" t="s">
        <v>50734</v>
      </c>
      <c r="F931" s="751">
        <v>3925</v>
      </c>
    </row>
    <row r="932" spans="1:6">
      <c r="A932" s="753"/>
      <c r="B932" s="753"/>
      <c r="C932" s="752" t="s">
        <v>50733</v>
      </c>
      <c r="D932" s="753" t="s">
        <v>50500</v>
      </c>
      <c r="E932" s="752" t="s">
        <v>50732</v>
      </c>
      <c r="F932" s="751">
        <v>4625</v>
      </c>
    </row>
    <row r="933" spans="1:6">
      <c r="A933" s="753"/>
      <c r="B933" s="753"/>
      <c r="C933" s="752" t="s">
        <v>50731</v>
      </c>
      <c r="D933" s="753" t="s">
        <v>50500</v>
      </c>
      <c r="E933" s="752" t="s">
        <v>50511</v>
      </c>
      <c r="F933" s="751">
        <v>5325</v>
      </c>
    </row>
    <row r="934" spans="1:6">
      <c r="A934" s="753"/>
      <c r="B934" s="753"/>
      <c r="C934" s="752" t="s">
        <v>50730</v>
      </c>
      <c r="D934" s="753" t="s">
        <v>50729</v>
      </c>
      <c r="E934" s="752" t="s">
        <v>50629</v>
      </c>
      <c r="F934" s="751">
        <v>4175</v>
      </c>
    </row>
    <row r="935" spans="1:6">
      <c r="A935" s="753"/>
      <c r="B935" s="753"/>
      <c r="C935" s="752" t="s">
        <v>50728</v>
      </c>
      <c r="D935" s="753" t="s">
        <v>50500</v>
      </c>
      <c r="E935" s="752" t="s">
        <v>50508</v>
      </c>
      <c r="F935" s="751">
        <v>4975</v>
      </c>
    </row>
    <row r="936" spans="1:6">
      <c r="A936" s="753"/>
      <c r="B936" s="753"/>
      <c r="C936" s="752" t="s">
        <v>50727</v>
      </c>
      <c r="D936" s="753" t="s">
        <v>50699</v>
      </c>
      <c r="E936" s="752" t="s">
        <v>43243</v>
      </c>
      <c r="F936" s="751">
        <v>3925</v>
      </c>
    </row>
    <row r="937" spans="1:6">
      <c r="A937" s="753"/>
      <c r="B937" s="753"/>
      <c r="C937" s="752" t="s">
        <v>50726</v>
      </c>
      <c r="D937" s="753" t="s">
        <v>50699</v>
      </c>
      <c r="E937" s="752" t="s">
        <v>50701</v>
      </c>
      <c r="F937" s="751">
        <v>4975</v>
      </c>
    </row>
    <row r="938" spans="1:6">
      <c r="A938" s="753"/>
      <c r="B938" s="753"/>
      <c r="C938" s="752" t="s">
        <v>50725</v>
      </c>
      <c r="D938" s="753" t="s">
        <v>50724</v>
      </c>
      <c r="E938" s="752" t="s">
        <v>50552</v>
      </c>
      <c r="F938" s="751">
        <v>4675</v>
      </c>
    </row>
    <row r="939" spans="1:6">
      <c r="A939" s="753"/>
      <c r="B939" s="753"/>
      <c r="C939" s="752" t="s">
        <v>50723</v>
      </c>
      <c r="D939" s="753" t="s">
        <v>50722</v>
      </c>
      <c r="E939" s="752" t="s">
        <v>50721</v>
      </c>
      <c r="F939" s="751">
        <v>5435</v>
      </c>
    </row>
    <row r="940" spans="1:6">
      <c r="A940" s="753"/>
      <c r="B940" s="753"/>
      <c r="C940" s="752" t="s">
        <v>50720</v>
      </c>
      <c r="D940" s="753" t="s">
        <v>50699</v>
      </c>
      <c r="E940" s="752" t="s">
        <v>43558</v>
      </c>
      <c r="F940" s="751">
        <v>5675</v>
      </c>
    </row>
    <row r="941" spans="1:6">
      <c r="A941" s="753"/>
      <c r="B941" s="753"/>
      <c r="C941" s="752" t="s">
        <v>50719</v>
      </c>
      <c r="D941" s="753" t="s">
        <v>50708</v>
      </c>
      <c r="E941" s="752" t="s">
        <v>43310</v>
      </c>
      <c r="F941" s="751">
        <v>4425</v>
      </c>
    </row>
    <row r="942" spans="1:6">
      <c r="A942" s="753"/>
      <c r="B942" s="753"/>
      <c r="C942" s="752" t="s">
        <v>50718</v>
      </c>
      <c r="D942" s="753" t="s">
        <v>50699</v>
      </c>
      <c r="E942" s="752" t="s">
        <v>43297</v>
      </c>
      <c r="F942" s="751">
        <v>4175</v>
      </c>
    </row>
    <row r="943" spans="1:6">
      <c r="A943" s="753"/>
      <c r="B943" s="753"/>
      <c r="C943" s="752" t="s">
        <v>50717</v>
      </c>
      <c r="D943" s="753" t="s">
        <v>50699</v>
      </c>
      <c r="E943" s="752" t="s">
        <v>50716</v>
      </c>
      <c r="F943" s="751">
        <v>4935</v>
      </c>
    </row>
    <row r="944" spans="1:6">
      <c r="A944" s="753"/>
      <c r="B944" s="753"/>
      <c r="C944" s="752" t="s">
        <v>50715</v>
      </c>
      <c r="D944" s="753" t="s">
        <v>50699</v>
      </c>
      <c r="E944" s="752" t="s">
        <v>50701</v>
      </c>
      <c r="F944" s="751">
        <v>4975</v>
      </c>
    </row>
    <row r="945" spans="1:6">
      <c r="A945" s="753"/>
      <c r="B945" s="753"/>
      <c r="C945" s="752" t="s">
        <v>50714</v>
      </c>
      <c r="D945" s="753" t="s">
        <v>50699</v>
      </c>
      <c r="E945" s="752" t="s">
        <v>50713</v>
      </c>
      <c r="F945" s="751">
        <v>4935</v>
      </c>
    </row>
    <row r="946" spans="1:6">
      <c r="A946" s="753"/>
      <c r="B946" s="753"/>
      <c r="C946" s="752" t="s">
        <v>50712</v>
      </c>
      <c r="D946" s="753" t="s">
        <v>50708</v>
      </c>
      <c r="E946" s="752" t="s">
        <v>50511</v>
      </c>
      <c r="F946" s="751">
        <v>5325</v>
      </c>
    </row>
    <row r="947" spans="1:6">
      <c r="A947" s="753"/>
      <c r="B947" s="753"/>
      <c r="C947" s="752" t="s">
        <v>50711</v>
      </c>
      <c r="D947" s="753" t="s">
        <v>50708</v>
      </c>
      <c r="E947" s="752" t="s">
        <v>50710</v>
      </c>
      <c r="F947" s="751">
        <v>6085</v>
      </c>
    </row>
    <row r="948" spans="1:6">
      <c r="A948" s="753"/>
      <c r="B948" s="753"/>
      <c r="C948" s="752" t="s">
        <v>50709</v>
      </c>
      <c r="D948" s="753" t="s">
        <v>50708</v>
      </c>
      <c r="E948" s="752" t="s">
        <v>50707</v>
      </c>
      <c r="F948" s="751">
        <v>4175</v>
      </c>
    </row>
    <row r="949" spans="1:6">
      <c r="A949" s="753"/>
      <c r="B949" s="753"/>
      <c r="C949" s="752" t="s">
        <v>50706</v>
      </c>
      <c r="D949" s="753" t="s">
        <v>50699</v>
      </c>
      <c r="E949" s="752" t="s">
        <v>43310</v>
      </c>
      <c r="F949" s="751">
        <v>4425</v>
      </c>
    </row>
    <row r="950" spans="1:6">
      <c r="A950" s="753"/>
      <c r="B950" s="753"/>
      <c r="C950" s="752" t="s">
        <v>50705</v>
      </c>
      <c r="D950" s="753" t="s">
        <v>50699</v>
      </c>
      <c r="E950" s="752" t="s">
        <v>50704</v>
      </c>
      <c r="F950" s="751">
        <v>5320</v>
      </c>
    </row>
    <row r="951" spans="1:6">
      <c r="A951" s="753"/>
      <c r="B951" s="753"/>
      <c r="C951" s="752" t="s">
        <v>50703</v>
      </c>
      <c r="D951" s="753" t="s">
        <v>50699</v>
      </c>
      <c r="E951" s="752" t="s">
        <v>43243</v>
      </c>
      <c r="F951" s="751">
        <v>4175</v>
      </c>
    </row>
    <row r="952" spans="1:6">
      <c r="A952" s="753"/>
      <c r="B952" s="753"/>
      <c r="C952" s="752" t="s">
        <v>50702</v>
      </c>
      <c r="D952" s="753" t="s">
        <v>50699</v>
      </c>
      <c r="E952" s="752" t="s">
        <v>50701</v>
      </c>
      <c r="F952" s="751">
        <v>4975</v>
      </c>
    </row>
    <row r="953" spans="1:6">
      <c r="A953" s="753"/>
      <c r="B953" s="753"/>
      <c r="C953" s="752" t="s">
        <v>50700</v>
      </c>
      <c r="D953" s="753" t="s">
        <v>50699</v>
      </c>
      <c r="E953" s="752" t="s">
        <v>50698</v>
      </c>
      <c r="F953" s="751">
        <v>4625</v>
      </c>
    </row>
    <row r="954" spans="1:6">
      <c r="A954" s="753"/>
      <c r="B954" s="753"/>
      <c r="C954" s="752" t="s">
        <v>50697</v>
      </c>
      <c r="D954" s="753" t="s">
        <v>50696</v>
      </c>
      <c r="E954" s="752" t="s">
        <v>50511</v>
      </c>
      <c r="F954" s="751">
        <v>5325</v>
      </c>
    </row>
    <row r="955" spans="1:6">
      <c r="A955" s="753"/>
      <c r="B955" s="753"/>
      <c r="C955" s="752" t="s">
        <v>50695</v>
      </c>
      <c r="D955" s="753" t="s">
        <v>50580</v>
      </c>
      <c r="E955" s="752" t="s">
        <v>47933</v>
      </c>
      <c r="F955" s="751">
        <v>3425</v>
      </c>
    </row>
    <row r="956" spans="1:6">
      <c r="A956" s="753"/>
      <c r="B956" s="753"/>
      <c r="C956" s="752" t="s">
        <v>50694</v>
      </c>
      <c r="D956" s="753" t="s">
        <v>50580</v>
      </c>
      <c r="E956" s="752" t="s">
        <v>47906</v>
      </c>
      <c r="F956" s="751">
        <v>3775</v>
      </c>
    </row>
    <row r="957" spans="1:6">
      <c r="A957" s="753"/>
      <c r="B957" s="753"/>
      <c r="C957" s="752" t="s">
        <v>50693</v>
      </c>
      <c r="D957" s="753" t="s">
        <v>50580</v>
      </c>
      <c r="E957" s="752" t="s">
        <v>47769</v>
      </c>
      <c r="F957" s="751">
        <v>3425</v>
      </c>
    </row>
    <row r="958" spans="1:6">
      <c r="A958" s="753"/>
      <c r="B958" s="753"/>
      <c r="C958" s="752" t="s">
        <v>50692</v>
      </c>
      <c r="D958" s="753" t="s">
        <v>50580</v>
      </c>
      <c r="E958" s="752" t="s">
        <v>44652</v>
      </c>
      <c r="F958" s="751">
        <v>3775</v>
      </c>
    </row>
    <row r="959" spans="1:6">
      <c r="A959" s="753"/>
      <c r="B959" s="753"/>
      <c r="C959" s="752" t="s">
        <v>50691</v>
      </c>
      <c r="D959" s="753" t="s">
        <v>50580</v>
      </c>
      <c r="E959" s="752" t="s">
        <v>43486</v>
      </c>
      <c r="F959" s="751">
        <v>3175</v>
      </c>
    </row>
    <row r="960" spans="1:6">
      <c r="A960" s="753"/>
      <c r="B960" s="753"/>
      <c r="C960" s="752" t="s">
        <v>50690</v>
      </c>
      <c r="D960" s="753" t="s">
        <v>50580</v>
      </c>
      <c r="E960" s="752" t="s">
        <v>43484</v>
      </c>
      <c r="F960" s="751">
        <v>3525</v>
      </c>
    </row>
    <row r="961" spans="1:6">
      <c r="A961" s="753"/>
      <c r="B961" s="753"/>
      <c r="C961" s="752" t="s">
        <v>50689</v>
      </c>
      <c r="D961" s="753" t="s">
        <v>50580</v>
      </c>
      <c r="E961" s="752" t="s">
        <v>43371</v>
      </c>
      <c r="F961" s="751">
        <v>3175</v>
      </c>
    </row>
    <row r="962" spans="1:6">
      <c r="A962" s="753"/>
      <c r="B962" s="753"/>
      <c r="C962" s="752" t="s">
        <v>50688</v>
      </c>
      <c r="D962" s="753" t="s">
        <v>50580</v>
      </c>
      <c r="E962" s="752" t="s">
        <v>43365</v>
      </c>
      <c r="F962" s="751">
        <v>3775</v>
      </c>
    </row>
    <row r="963" spans="1:6">
      <c r="A963" s="753"/>
      <c r="B963" s="753"/>
      <c r="C963" s="752" t="s">
        <v>50687</v>
      </c>
      <c r="D963" s="753" t="s">
        <v>50580</v>
      </c>
      <c r="E963" s="752" t="s">
        <v>43467</v>
      </c>
      <c r="F963" s="751">
        <v>2925</v>
      </c>
    </row>
    <row r="964" spans="1:6">
      <c r="A964" s="753"/>
      <c r="B964" s="753"/>
      <c r="C964" s="752" t="s">
        <v>50686</v>
      </c>
      <c r="D964" s="753" t="s">
        <v>50580</v>
      </c>
      <c r="E964" s="752" t="s">
        <v>43465</v>
      </c>
      <c r="F964" s="751">
        <v>3175</v>
      </c>
    </row>
    <row r="965" spans="1:6">
      <c r="A965" s="753"/>
      <c r="B965" s="753"/>
      <c r="C965" s="752" t="s">
        <v>50685</v>
      </c>
      <c r="D965" s="753" t="s">
        <v>50580</v>
      </c>
      <c r="E965" s="752" t="s">
        <v>43358</v>
      </c>
      <c r="F965" s="751">
        <v>2925</v>
      </c>
    </row>
    <row r="966" spans="1:6">
      <c r="A966" s="753"/>
      <c r="B966" s="753"/>
      <c r="C966" s="752" t="s">
        <v>50684</v>
      </c>
      <c r="D966" s="753" t="s">
        <v>50580</v>
      </c>
      <c r="E966" s="752" t="s">
        <v>43355</v>
      </c>
      <c r="F966" s="751">
        <v>3175</v>
      </c>
    </row>
    <row r="967" spans="1:6">
      <c r="A967" s="753"/>
      <c r="B967" s="753"/>
      <c r="C967" s="752" t="s">
        <v>50683</v>
      </c>
      <c r="D967" s="753" t="s">
        <v>50580</v>
      </c>
      <c r="E967" s="752" t="s">
        <v>43355</v>
      </c>
      <c r="F967" s="751">
        <v>3175</v>
      </c>
    </row>
    <row r="968" spans="1:6">
      <c r="A968" s="753"/>
      <c r="B968" s="753"/>
      <c r="C968" s="752" t="s">
        <v>50682</v>
      </c>
      <c r="D968" s="753" t="s">
        <v>50580</v>
      </c>
      <c r="E968" s="752" t="s">
        <v>50681</v>
      </c>
      <c r="F968" s="751">
        <v>2925</v>
      </c>
    </row>
    <row r="969" spans="1:6">
      <c r="A969" s="753"/>
      <c r="B969" s="753"/>
      <c r="C969" s="752" t="s">
        <v>50680</v>
      </c>
      <c r="D969" s="753" t="s">
        <v>50580</v>
      </c>
      <c r="E969" s="752" t="s">
        <v>47933</v>
      </c>
      <c r="F969" s="751">
        <v>3425</v>
      </c>
    </row>
    <row r="970" spans="1:6">
      <c r="A970" s="753"/>
      <c r="B970" s="753"/>
      <c r="C970" s="752" t="s">
        <v>50679</v>
      </c>
      <c r="D970" s="753" t="s">
        <v>50580</v>
      </c>
      <c r="E970" s="752" t="s">
        <v>43486</v>
      </c>
      <c r="F970" s="751">
        <v>3175</v>
      </c>
    </row>
    <row r="971" spans="1:6">
      <c r="A971" s="753"/>
      <c r="B971" s="753"/>
      <c r="C971" s="752" t="s">
        <v>50678</v>
      </c>
      <c r="D971" s="753" t="s">
        <v>50580</v>
      </c>
      <c r="E971" s="752" t="s">
        <v>50677</v>
      </c>
      <c r="F971" s="751">
        <v>3525</v>
      </c>
    </row>
    <row r="972" spans="1:6">
      <c r="A972" s="753"/>
      <c r="B972" s="753"/>
      <c r="C972" s="752" t="s">
        <v>50676</v>
      </c>
      <c r="D972" s="753" t="s">
        <v>50580</v>
      </c>
      <c r="E972" s="752" t="s">
        <v>43255</v>
      </c>
      <c r="F972" s="751">
        <v>2925</v>
      </c>
    </row>
    <row r="973" spans="1:6">
      <c r="A973" s="753"/>
      <c r="B973" s="753"/>
      <c r="C973" s="752" t="s">
        <v>50675</v>
      </c>
      <c r="D973" s="753" t="s">
        <v>50580</v>
      </c>
      <c r="E973" s="752" t="s">
        <v>43465</v>
      </c>
      <c r="F973" s="751">
        <v>3175</v>
      </c>
    </row>
    <row r="974" spans="1:6">
      <c r="A974" s="753"/>
      <c r="B974" s="753"/>
      <c r="C974" s="752" t="s">
        <v>50674</v>
      </c>
      <c r="D974" s="753" t="s">
        <v>50580</v>
      </c>
      <c r="E974" s="752" t="s">
        <v>43358</v>
      </c>
      <c r="F974" s="751">
        <v>2925</v>
      </c>
    </row>
    <row r="975" spans="1:6">
      <c r="A975" s="753"/>
      <c r="B975" s="753"/>
      <c r="C975" s="752" t="s">
        <v>50673</v>
      </c>
      <c r="D975" s="753" t="s">
        <v>50580</v>
      </c>
      <c r="E975" s="752" t="s">
        <v>43355</v>
      </c>
      <c r="F975" s="751">
        <v>3175</v>
      </c>
    </row>
    <row r="976" spans="1:6">
      <c r="A976" s="753"/>
      <c r="B976" s="753"/>
      <c r="C976" s="752" t="s">
        <v>50672</v>
      </c>
      <c r="D976" s="753" t="s">
        <v>50580</v>
      </c>
      <c r="E976" s="752" t="s">
        <v>43467</v>
      </c>
      <c r="F976" s="751">
        <v>2925</v>
      </c>
    </row>
    <row r="977" spans="1:6">
      <c r="A977" s="753"/>
      <c r="B977" s="753"/>
      <c r="C977" s="752" t="s">
        <v>50671</v>
      </c>
      <c r="D977" s="753" t="s">
        <v>50580</v>
      </c>
      <c r="E977" s="752" t="s">
        <v>43465</v>
      </c>
      <c r="F977" s="751">
        <v>3175</v>
      </c>
    </row>
    <row r="978" spans="1:6">
      <c r="A978" s="753"/>
      <c r="B978" s="753"/>
      <c r="C978" s="752" t="s">
        <v>50670</v>
      </c>
      <c r="D978" s="753" t="s">
        <v>50580</v>
      </c>
      <c r="E978" s="752" t="s">
        <v>50669</v>
      </c>
      <c r="F978" s="751">
        <v>2675</v>
      </c>
    </row>
    <row r="979" spans="1:6">
      <c r="A979" s="753"/>
      <c r="B979" s="753"/>
      <c r="C979" s="752" t="s">
        <v>50668</v>
      </c>
      <c r="D979" s="753" t="s">
        <v>50580</v>
      </c>
      <c r="E979" s="752" t="s">
        <v>50667</v>
      </c>
      <c r="F979" s="751">
        <v>3525</v>
      </c>
    </row>
    <row r="980" spans="1:6">
      <c r="A980" s="753"/>
      <c r="B980" s="753"/>
      <c r="C980" s="752" t="s">
        <v>50666</v>
      </c>
      <c r="D980" s="753" t="s">
        <v>50626</v>
      </c>
      <c r="E980" s="752" t="s">
        <v>43243</v>
      </c>
      <c r="F980" s="751">
        <v>3975</v>
      </c>
    </row>
    <row r="981" spans="1:6">
      <c r="A981" s="753"/>
      <c r="B981" s="753"/>
      <c r="C981" s="752" t="s">
        <v>50665</v>
      </c>
      <c r="D981" s="753" t="s">
        <v>50626</v>
      </c>
      <c r="E981" s="752" t="s">
        <v>43307</v>
      </c>
      <c r="F981" s="751">
        <v>4775</v>
      </c>
    </row>
    <row r="982" spans="1:6">
      <c r="A982" s="753"/>
      <c r="B982" s="753"/>
      <c r="C982" s="752" t="s">
        <v>50664</v>
      </c>
      <c r="D982" s="753" t="s">
        <v>50626</v>
      </c>
      <c r="E982" s="752" t="s">
        <v>38294</v>
      </c>
      <c r="F982" s="751">
        <v>4475</v>
      </c>
    </row>
    <row r="983" spans="1:6">
      <c r="A983" s="753"/>
      <c r="B983" s="753"/>
      <c r="C983" s="752" t="s">
        <v>50663</v>
      </c>
      <c r="D983" s="753" t="s">
        <v>50626</v>
      </c>
      <c r="E983" s="752" t="s">
        <v>50532</v>
      </c>
      <c r="F983" s="751">
        <v>5235</v>
      </c>
    </row>
    <row r="984" spans="1:6">
      <c r="A984" s="753"/>
      <c r="B984" s="753"/>
      <c r="C984" s="752" t="s">
        <v>50662</v>
      </c>
      <c r="D984" s="753" t="s">
        <v>50626</v>
      </c>
      <c r="E984" s="752" t="s">
        <v>50661</v>
      </c>
      <c r="F984" s="751">
        <v>5235</v>
      </c>
    </row>
    <row r="985" spans="1:6">
      <c r="A985" s="753"/>
      <c r="B985" s="753"/>
      <c r="C985" s="752" t="s">
        <v>50660</v>
      </c>
      <c r="D985" s="753" t="s">
        <v>50626</v>
      </c>
      <c r="E985" s="752" t="s">
        <v>43339</v>
      </c>
      <c r="F985" s="751">
        <v>5475</v>
      </c>
    </row>
    <row r="986" spans="1:6">
      <c r="A986" s="753"/>
      <c r="B986" s="753"/>
      <c r="C986" s="752" t="s">
        <v>50659</v>
      </c>
      <c r="D986" s="753" t="s">
        <v>50626</v>
      </c>
      <c r="E986" s="752" t="s">
        <v>43310</v>
      </c>
      <c r="F986" s="751">
        <v>4225</v>
      </c>
    </row>
    <row r="987" spans="1:6">
      <c r="A987" s="753"/>
      <c r="B987" s="753"/>
      <c r="C987" s="752" t="s">
        <v>50658</v>
      </c>
      <c r="D987" s="753" t="s">
        <v>50626</v>
      </c>
      <c r="E987" s="752" t="s">
        <v>43297</v>
      </c>
      <c r="F987" s="751">
        <v>3975</v>
      </c>
    </row>
    <row r="988" spans="1:6">
      <c r="A988" s="753"/>
      <c r="B988" s="753"/>
      <c r="C988" s="752" t="s">
        <v>50657</v>
      </c>
      <c r="D988" s="753" t="s">
        <v>50626</v>
      </c>
      <c r="E988" s="752" t="s">
        <v>50616</v>
      </c>
      <c r="F988" s="751">
        <v>4735</v>
      </c>
    </row>
    <row r="989" spans="1:6">
      <c r="A989" s="753"/>
      <c r="B989" s="753"/>
      <c r="C989" s="752" t="s">
        <v>50656</v>
      </c>
      <c r="D989" s="753" t="s">
        <v>50626</v>
      </c>
      <c r="E989" s="752" t="s">
        <v>43282</v>
      </c>
      <c r="F989" s="751">
        <v>4775</v>
      </c>
    </row>
    <row r="990" spans="1:6">
      <c r="A990" s="753"/>
      <c r="B990" s="753"/>
      <c r="C990" s="752" t="s">
        <v>50655</v>
      </c>
      <c r="D990" s="753" t="s">
        <v>50626</v>
      </c>
      <c r="E990" s="752" t="s">
        <v>50527</v>
      </c>
      <c r="F990" s="751">
        <v>4775</v>
      </c>
    </row>
    <row r="991" spans="1:6">
      <c r="A991" s="753"/>
      <c r="B991" s="753"/>
      <c r="C991" s="752" t="s">
        <v>50654</v>
      </c>
      <c r="D991" s="753" t="s">
        <v>50626</v>
      </c>
      <c r="E991" s="752" t="s">
        <v>50653</v>
      </c>
      <c r="F991" s="751">
        <v>4985</v>
      </c>
    </row>
    <row r="992" spans="1:6">
      <c r="A992" s="753"/>
      <c r="B992" s="753"/>
      <c r="C992" s="752" t="s">
        <v>50652</v>
      </c>
      <c r="D992" s="753" t="s">
        <v>50626</v>
      </c>
      <c r="E992" s="752" t="s">
        <v>50511</v>
      </c>
      <c r="F992" s="751">
        <v>5125</v>
      </c>
    </row>
    <row r="993" spans="1:6">
      <c r="A993" s="753"/>
      <c r="B993" s="753"/>
      <c r="C993" s="752" t="s">
        <v>50651</v>
      </c>
      <c r="D993" s="753" t="s">
        <v>50626</v>
      </c>
      <c r="E993" s="752" t="s">
        <v>50560</v>
      </c>
      <c r="F993" s="751">
        <v>4475</v>
      </c>
    </row>
    <row r="994" spans="1:6">
      <c r="A994" s="753"/>
      <c r="B994" s="753"/>
      <c r="C994" s="752" t="s">
        <v>50650</v>
      </c>
      <c r="D994" s="753" t="s">
        <v>50626</v>
      </c>
      <c r="E994" s="752" t="s">
        <v>43346</v>
      </c>
      <c r="F994" s="751">
        <v>5475</v>
      </c>
    </row>
    <row r="995" spans="1:6">
      <c r="A995" s="753"/>
      <c r="B995" s="753"/>
      <c r="C995" s="752" t="s">
        <v>50649</v>
      </c>
      <c r="D995" s="753" t="s">
        <v>50626</v>
      </c>
      <c r="E995" s="752" t="s">
        <v>50610</v>
      </c>
      <c r="F995" s="751">
        <v>3975</v>
      </c>
    </row>
    <row r="996" spans="1:6">
      <c r="A996" s="753"/>
      <c r="B996" s="753"/>
      <c r="C996" s="752" t="s">
        <v>50648</v>
      </c>
      <c r="D996" s="753" t="s">
        <v>50626</v>
      </c>
      <c r="E996" s="752" t="s">
        <v>43303</v>
      </c>
      <c r="F996" s="751">
        <v>4775</v>
      </c>
    </row>
    <row r="997" spans="1:6">
      <c r="A997" s="753"/>
      <c r="B997" s="753"/>
      <c r="C997" s="752" t="s">
        <v>50647</v>
      </c>
      <c r="D997" s="753" t="s">
        <v>50626</v>
      </c>
      <c r="E997" s="752" t="s">
        <v>43301</v>
      </c>
      <c r="F997" s="751">
        <v>4225</v>
      </c>
    </row>
    <row r="998" spans="1:6">
      <c r="A998" s="753"/>
      <c r="B998" s="753"/>
      <c r="C998" s="752" t="s">
        <v>50646</v>
      </c>
      <c r="D998" s="753" t="s">
        <v>50626</v>
      </c>
      <c r="E998" s="752" t="s">
        <v>50645</v>
      </c>
      <c r="F998" s="751">
        <v>5125</v>
      </c>
    </row>
    <row r="999" spans="1:6">
      <c r="A999" s="753"/>
      <c r="B999" s="753"/>
      <c r="C999" s="752" t="s">
        <v>50644</v>
      </c>
      <c r="D999" s="753" t="s">
        <v>50626</v>
      </c>
      <c r="E999" s="752" t="s">
        <v>50552</v>
      </c>
      <c r="F999" s="751">
        <v>4475</v>
      </c>
    </row>
    <row r="1000" spans="1:6">
      <c r="A1000" s="753"/>
      <c r="B1000" s="753"/>
      <c r="C1000" s="752" t="s">
        <v>50643</v>
      </c>
      <c r="D1000" s="753" t="s">
        <v>50626</v>
      </c>
      <c r="E1000" s="752" t="s">
        <v>43339</v>
      </c>
      <c r="F1000" s="751">
        <v>5475</v>
      </c>
    </row>
    <row r="1001" spans="1:6">
      <c r="A1001" s="753"/>
      <c r="B1001" s="753"/>
      <c r="C1001" s="752" t="s">
        <v>50642</v>
      </c>
      <c r="D1001" s="753" t="s">
        <v>50630</v>
      </c>
      <c r="E1001" s="752" t="s">
        <v>43310</v>
      </c>
      <c r="F1001" s="751">
        <v>4225</v>
      </c>
    </row>
    <row r="1002" spans="1:6">
      <c r="A1002" s="753"/>
      <c r="B1002" s="753"/>
      <c r="C1002" s="752" t="s">
        <v>50641</v>
      </c>
      <c r="D1002" s="753" t="s">
        <v>50626</v>
      </c>
      <c r="E1002" s="752" t="s">
        <v>43297</v>
      </c>
      <c r="F1002" s="751">
        <v>3975</v>
      </c>
    </row>
    <row r="1003" spans="1:6">
      <c r="A1003" s="753"/>
      <c r="B1003" s="753"/>
      <c r="C1003" s="752" t="s">
        <v>50640</v>
      </c>
      <c r="D1003" s="753" t="s">
        <v>50626</v>
      </c>
      <c r="E1003" s="752" t="s">
        <v>43328</v>
      </c>
      <c r="F1003" s="751">
        <v>3725</v>
      </c>
    </row>
    <row r="1004" spans="1:6">
      <c r="A1004" s="753"/>
      <c r="B1004" s="753"/>
      <c r="C1004" s="752" t="s">
        <v>50639</v>
      </c>
      <c r="D1004" s="753" t="s">
        <v>50626</v>
      </c>
      <c r="E1004" s="752" t="s">
        <v>50638</v>
      </c>
      <c r="F1004" s="751">
        <v>3975</v>
      </c>
    </row>
    <row r="1005" spans="1:6">
      <c r="A1005" s="753"/>
      <c r="B1005" s="753"/>
      <c r="C1005" s="752" t="s">
        <v>50637</v>
      </c>
      <c r="D1005" s="753" t="s">
        <v>50626</v>
      </c>
      <c r="E1005" s="752" t="s">
        <v>43282</v>
      </c>
      <c r="F1005" s="751">
        <v>4775</v>
      </c>
    </row>
    <row r="1006" spans="1:6">
      <c r="A1006" s="753"/>
      <c r="B1006" s="753"/>
      <c r="C1006" s="752" t="s">
        <v>50636</v>
      </c>
      <c r="D1006" s="753" t="s">
        <v>50626</v>
      </c>
      <c r="E1006" s="752" t="s">
        <v>50635</v>
      </c>
      <c r="F1006" s="751">
        <v>3975</v>
      </c>
    </row>
    <row r="1007" spans="1:6">
      <c r="A1007" s="753"/>
      <c r="B1007" s="753"/>
      <c r="C1007" s="752" t="s">
        <v>50634</v>
      </c>
      <c r="D1007" s="753" t="s">
        <v>50630</v>
      </c>
      <c r="E1007" s="752" t="s">
        <v>50633</v>
      </c>
      <c r="F1007" s="751">
        <v>3975</v>
      </c>
    </row>
    <row r="1008" spans="1:6">
      <c r="A1008" s="753"/>
      <c r="B1008" s="753"/>
      <c r="C1008" s="752" t="s">
        <v>50632</v>
      </c>
      <c r="D1008" s="753" t="s">
        <v>50626</v>
      </c>
      <c r="E1008" s="752" t="s">
        <v>50511</v>
      </c>
      <c r="F1008" s="751">
        <v>5125</v>
      </c>
    </row>
    <row r="1009" spans="1:6">
      <c r="A1009" s="753"/>
      <c r="B1009" s="753"/>
      <c r="C1009" s="752" t="s">
        <v>50631</v>
      </c>
      <c r="D1009" s="753" t="s">
        <v>50630</v>
      </c>
      <c r="E1009" s="752" t="s">
        <v>50629</v>
      </c>
      <c r="F1009" s="751">
        <v>3975</v>
      </c>
    </row>
    <row r="1010" spans="1:6">
      <c r="A1010" s="753"/>
      <c r="B1010" s="753"/>
      <c r="C1010" s="752" t="s">
        <v>50628</v>
      </c>
      <c r="D1010" s="753" t="s">
        <v>50626</v>
      </c>
      <c r="E1010" s="752" t="s">
        <v>50508</v>
      </c>
      <c r="F1010" s="751">
        <v>4775</v>
      </c>
    </row>
    <row r="1011" spans="1:6">
      <c r="A1011" s="753"/>
      <c r="B1011" s="753"/>
      <c r="C1011" s="752" t="s">
        <v>50627</v>
      </c>
      <c r="D1011" s="753" t="s">
        <v>50626</v>
      </c>
      <c r="E1011" s="752" t="s">
        <v>50625</v>
      </c>
      <c r="F1011" s="751">
        <v>5125</v>
      </c>
    </row>
    <row r="1012" spans="1:6">
      <c r="A1012" s="753"/>
      <c r="B1012" s="753"/>
      <c r="C1012" s="752" t="s">
        <v>50624</v>
      </c>
      <c r="D1012" s="753" t="s">
        <v>50598</v>
      </c>
      <c r="E1012" s="752" t="s">
        <v>43243</v>
      </c>
      <c r="F1012" s="751">
        <v>3725</v>
      </c>
    </row>
    <row r="1013" spans="1:6">
      <c r="A1013" s="753"/>
      <c r="B1013" s="753"/>
      <c r="C1013" s="752" t="s">
        <v>50623</v>
      </c>
      <c r="D1013" s="753" t="s">
        <v>50598</v>
      </c>
      <c r="E1013" s="752" t="s">
        <v>43307</v>
      </c>
      <c r="F1013" s="751">
        <v>4775</v>
      </c>
    </row>
    <row r="1014" spans="1:6">
      <c r="A1014" s="753"/>
      <c r="B1014" s="753"/>
      <c r="C1014" s="752" t="s">
        <v>50622</v>
      </c>
      <c r="D1014" s="753" t="s">
        <v>50598</v>
      </c>
      <c r="E1014" s="752" t="s">
        <v>38294</v>
      </c>
      <c r="F1014" s="751">
        <v>4475</v>
      </c>
    </row>
    <row r="1015" spans="1:6">
      <c r="A1015" s="753"/>
      <c r="B1015" s="753"/>
      <c r="C1015" s="752" t="s">
        <v>50621</v>
      </c>
      <c r="D1015" s="753" t="s">
        <v>50598</v>
      </c>
      <c r="E1015" s="752" t="s">
        <v>43339</v>
      </c>
      <c r="F1015" s="751">
        <v>5475</v>
      </c>
    </row>
    <row r="1016" spans="1:6">
      <c r="A1016" s="753"/>
      <c r="B1016" s="753"/>
      <c r="C1016" s="752" t="s">
        <v>50620</v>
      </c>
      <c r="D1016" s="753" t="s">
        <v>50598</v>
      </c>
      <c r="E1016" s="752" t="s">
        <v>43310</v>
      </c>
      <c r="F1016" s="751">
        <v>4225</v>
      </c>
    </row>
    <row r="1017" spans="1:6">
      <c r="A1017" s="753"/>
      <c r="B1017" s="753"/>
      <c r="C1017" s="752" t="s">
        <v>50619</v>
      </c>
      <c r="D1017" s="753" t="s">
        <v>50598</v>
      </c>
      <c r="E1017" s="752" t="s">
        <v>43297</v>
      </c>
      <c r="F1017" s="751">
        <v>3975</v>
      </c>
    </row>
    <row r="1018" spans="1:6">
      <c r="A1018" s="753"/>
      <c r="B1018" s="753"/>
      <c r="C1018" s="752" t="s">
        <v>50618</v>
      </c>
      <c r="D1018" s="753" t="s">
        <v>50617</v>
      </c>
      <c r="E1018" s="752" t="s">
        <v>50616</v>
      </c>
      <c r="F1018" s="751">
        <v>4735</v>
      </c>
    </row>
    <row r="1019" spans="1:6">
      <c r="A1019" s="753"/>
      <c r="B1019" s="753"/>
      <c r="C1019" s="752" t="s">
        <v>50615</v>
      </c>
      <c r="D1019" s="753" t="s">
        <v>50598</v>
      </c>
      <c r="E1019" s="752" t="s">
        <v>43282</v>
      </c>
      <c r="F1019" s="751">
        <v>4775</v>
      </c>
    </row>
    <row r="1020" spans="1:6">
      <c r="A1020" s="753"/>
      <c r="B1020" s="753"/>
      <c r="C1020" s="752" t="s">
        <v>50614</v>
      </c>
      <c r="D1020" s="753" t="s">
        <v>50598</v>
      </c>
      <c r="E1020" s="752" t="s">
        <v>50511</v>
      </c>
      <c r="F1020" s="751">
        <v>5125</v>
      </c>
    </row>
    <row r="1021" spans="1:6">
      <c r="A1021" s="753"/>
      <c r="B1021" s="753"/>
      <c r="C1021" s="752" t="s">
        <v>50613</v>
      </c>
      <c r="D1021" s="753" t="s">
        <v>50598</v>
      </c>
      <c r="E1021" s="752" t="s">
        <v>50612</v>
      </c>
      <c r="F1021" s="751">
        <v>3975</v>
      </c>
    </row>
    <row r="1022" spans="1:6">
      <c r="A1022" s="753"/>
      <c r="B1022" s="753"/>
      <c r="C1022" s="752" t="s">
        <v>50611</v>
      </c>
      <c r="D1022" s="753" t="s">
        <v>50598</v>
      </c>
      <c r="E1022" s="752" t="s">
        <v>50610</v>
      </c>
      <c r="F1022" s="751">
        <v>3975</v>
      </c>
    </row>
    <row r="1023" spans="1:6">
      <c r="A1023" s="753"/>
      <c r="B1023" s="753"/>
      <c r="C1023" s="752" t="s">
        <v>50609</v>
      </c>
      <c r="D1023" s="753" t="s">
        <v>50598</v>
      </c>
      <c r="E1023" s="752" t="s">
        <v>43303</v>
      </c>
      <c r="F1023" s="751">
        <v>4775</v>
      </c>
    </row>
    <row r="1024" spans="1:6">
      <c r="A1024" s="753"/>
      <c r="B1024" s="753"/>
      <c r="C1024" s="752" t="s">
        <v>50608</v>
      </c>
      <c r="D1024" s="753" t="s">
        <v>50598</v>
      </c>
      <c r="E1024" s="752" t="s">
        <v>50607</v>
      </c>
      <c r="F1024" s="751">
        <v>4225</v>
      </c>
    </row>
    <row r="1025" spans="1:6">
      <c r="A1025" s="753"/>
      <c r="B1025" s="753"/>
      <c r="C1025" s="752" t="s">
        <v>50606</v>
      </c>
      <c r="D1025" s="753" t="s">
        <v>50598</v>
      </c>
      <c r="E1025" s="752" t="s">
        <v>50605</v>
      </c>
      <c r="F1025" s="751">
        <v>5125</v>
      </c>
    </row>
    <row r="1026" spans="1:6">
      <c r="A1026" s="753"/>
      <c r="B1026" s="753"/>
      <c r="C1026" s="752" t="s">
        <v>50604</v>
      </c>
      <c r="D1026" s="753" t="s">
        <v>50603</v>
      </c>
      <c r="E1026" s="752" t="s">
        <v>43310</v>
      </c>
      <c r="F1026" s="751">
        <v>4225</v>
      </c>
    </row>
    <row r="1027" spans="1:6">
      <c r="A1027" s="753"/>
      <c r="B1027" s="753"/>
      <c r="C1027" s="752" t="s">
        <v>50602</v>
      </c>
      <c r="D1027" s="753" t="s">
        <v>50598</v>
      </c>
      <c r="E1027" s="752" t="s">
        <v>43297</v>
      </c>
      <c r="F1027" s="751">
        <v>3975</v>
      </c>
    </row>
    <row r="1028" spans="1:6">
      <c r="A1028" s="753"/>
      <c r="B1028" s="753"/>
      <c r="C1028" s="752" t="s">
        <v>50601</v>
      </c>
      <c r="D1028" s="753" t="s">
        <v>50598</v>
      </c>
      <c r="E1028" s="752" t="s">
        <v>43282</v>
      </c>
      <c r="F1028" s="751">
        <v>4775</v>
      </c>
    </row>
    <row r="1029" spans="1:6">
      <c r="A1029" s="753"/>
      <c r="B1029" s="753"/>
      <c r="C1029" s="752" t="s">
        <v>50600</v>
      </c>
      <c r="D1029" s="753" t="s">
        <v>50598</v>
      </c>
      <c r="E1029" s="752" t="s">
        <v>43551</v>
      </c>
      <c r="F1029" s="751">
        <v>3725</v>
      </c>
    </row>
    <row r="1030" spans="1:6">
      <c r="A1030" s="753"/>
      <c r="B1030" s="753"/>
      <c r="C1030" s="752" t="s">
        <v>50599</v>
      </c>
      <c r="D1030" s="753" t="s">
        <v>50598</v>
      </c>
      <c r="E1030" s="752" t="s">
        <v>43606</v>
      </c>
      <c r="F1030" s="751">
        <v>5125</v>
      </c>
    </row>
    <row r="1031" spans="1:6">
      <c r="A1031" s="753"/>
      <c r="B1031" s="753"/>
      <c r="C1031" s="752" t="s">
        <v>50597</v>
      </c>
      <c r="D1031" s="753" t="s">
        <v>50570</v>
      </c>
      <c r="E1031" s="752" t="s">
        <v>47933</v>
      </c>
      <c r="F1031" s="751">
        <v>3525</v>
      </c>
    </row>
    <row r="1032" spans="1:6">
      <c r="A1032" s="753"/>
      <c r="B1032" s="753"/>
      <c r="C1032" s="752" t="s">
        <v>50596</v>
      </c>
      <c r="D1032" s="753" t="s">
        <v>50573</v>
      </c>
      <c r="E1032" s="752" t="s">
        <v>43484</v>
      </c>
      <c r="F1032" s="751">
        <v>3625</v>
      </c>
    </row>
    <row r="1033" spans="1:6">
      <c r="A1033" s="753"/>
      <c r="B1033" s="753"/>
      <c r="C1033" s="752" t="s">
        <v>50595</v>
      </c>
      <c r="D1033" s="753" t="s">
        <v>50570</v>
      </c>
      <c r="E1033" s="752" t="s">
        <v>43371</v>
      </c>
      <c r="F1033" s="751">
        <v>3275</v>
      </c>
    </row>
    <row r="1034" spans="1:6">
      <c r="A1034" s="753"/>
      <c r="B1034" s="753"/>
      <c r="C1034" s="752" t="s">
        <v>50594</v>
      </c>
      <c r="D1034" s="753" t="s">
        <v>50570</v>
      </c>
      <c r="E1034" s="752" t="s">
        <v>43365</v>
      </c>
      <c r="F1034" s="751">
        <v>3625</v>
      </c>
    </row>
    <row r="1035" spans="1:6">
      <c r="A1035" s="753"/>
      <c r="B1035" s="753"/>
      <c r="C1035" s="752" t="s">
        <v>50593</v>
      </c>
      <c r="D1035" s="753" t="s">
        <v>50570</v>
      </c>
      <c r="E1035" s="752" t="s">
        <v>43360</v>
      </c>
      <c r="F1035" s="751">
        <v>3275</v>
      </c>
    </row>
    <row r="1036" spans="1:6">
      <c r="A1036" s="753"/>
      <c r="B1036" s="753"/>
      <c r="C1036" s="752" t="s">
        <v>50592</v>
      </c>
      <c r="D1036" s="753" t="s">
        <v>50570</v>
      </c>
      <c r="E1036" s="752" t="s">
        <v>43355</v>
      </c>
      <c r="F1036" s="751">
        <v>3275</v>
      </c>
    </row>
    <row r="1037" spans="1:6">
      <c r="A1037" s="753"/>
      <c r="B1037" s="753"/>
      <c r="C1037" s="752" t="s">
        <v>50591</v>
      </c>
      <c r="D1037" s="753" t="s">
        <v>50590</v>
      </c>
      <c r="E1037" s="752" t="s">
        <v>43358</v>
      </c>
      <c r="F1037" s="751">
        <v>3025</v>
      </c>
    </row>
    <row r="1038" spans="1:6">
      <c r="A1038" s="753"/>
      <c r="B1038" s="753"/>
      <c r="C1038" s="752" t="s">
        <v>50589</v>
      </c>
      <c r="D1038" s="753" t="s">
        <v>50570</v>
      </c>
      <c r="E1038" s="752" t="s">
        <v>50588</v>
      </c>
      <c r="F1038" s="751">
        <v>3025</v>
      </c>
    </row>
    <row r="1039" spans="1:6">
      <c r="A1039" s="753"/>
      <c r="B1039" s="753"/>
      <c r="C1039" s="752" t="s">
        <v>50587</v>
      </c>
      <c r="D1039" s="753" t="s">
        <v>50570</v>
      </c>
      <c r="E1039" s="752" t="s">
        <v>43578</v>
      </c>
      <c r="F1039" s="751">
        <v>3275</v>
      </c>
    </row>
    <row r="1040" spans="1:6">
      <c r="A1040" s="753"/>
      <c r="B1040" s="753"/>
      <c r="C1040" s="752" t="s">
        <v>50586</v>
      </c>
      <c r="D1040" s="753" t="s">
        <v>50570</v>
      </c>
      <c r="E1040" s="752" t="s">
        <v>43371</v>
      </c>
      <c r="F1040" s="751">
        <v>3275</v>
      </c>
    </row>
    <row r="1041" spans="1:6">
      <c r="A1041" s="753"/>
      <c r="B1041" s="753"/>
      <c r="C1041" s="752" t="s">
        <v>50585</v>
      </c>
      <c r="D1041" s="753" t="s">
        <v>50570</v>
      </c>
      <c r="E1041" s="752" t="s">
        <v>50584</v>
      </c>
      <c r="F1041" s="751">
        <v>3275</v>
      </c>
    </row>
    <row r="1042" spans="1:6">
      <c r="A1042" s="753"/>
      <c r="B1042" s="753"/>
      <c r="C1042" s="752" t="s">
        <v>50583</v>
      </c>
      <c r="D1042" s="753" t="s">
        <v>50570</v>
      </c>
      <c r="E1042" s="752" t="s">
        <v>39787</v>
      </c>
      <c r="F1042" s="751">
        <v>3275</v>
      </c>
    </row>
    <row r="1043" spans="1:6">
      <c r="A1043" s="753"/>
      <c r="B1043" s="753"/>
      <c r="C1043" s="752" t="s">
        <v>50582</v>
      </c>
      <c r="D1043" s="753" t="s">
        <v>50570</v>
      </c>
      <c r="E1043" s="752" t="s">
        <v>43365</v>
      </c>
      <c r="F1043" s="751">
        <v>3275</v>
      </c>
    </row>
    <row r="1044" spans="1:6">
      <c r="A1044" s="753"/>
      <c r="B1044" s="753"/>
      <c r="C1044" s="752" t="s">
        <v>50581</v>
      </c>
      <c r="D1044" s="753" t="s">
        <v>50580</v>
      </c>
      <c r="E1044" s="752" t="s">
        <v>43467</v>
      </c>
      <c r="F1044" s="751">
        <v>3025</v>
      </c>
    </row>
    <row r="1045" spans="1:6">
      <c r="A1045" s="753"/>
      <c r="B1045" s="753"/>
      <c r="C1045" s="752" t="s">
        <v>50579</v>
      </c>
      <c r="D1045" s="753" t="s">
        <v>50570</v>
      </c>
      <c r="E1045" s="752" t="s">
        <v>43479</v>
      </c>
      <c r="F1045" s="751">
        <v>3275</v>
      </c>
    </row>
    <row r="1046" spans="1:6">
      <c r="A1046" s="753"/>
      <c r="B1046" s="753"/>
      <c r="C1046" s="752" t="s">
        <v>50578</v>
      </c>
      <c r="D1046" s="753" t="s">
        <v>50577</v>
      </c>
      <c r="E1046" s="752" t="s">
        <v>43358</v>
      </c>
      <c r="F1046" s="751">
        <v>3025</v>
      </c>
    </row>
    <row r="1047" spans="1:6">
      <c r="A1047" s="753"/>
      <c r="B1047" s="753"/>
      <c r="C1047" s="752" t="s">
        <v>50576</v>
      </c>
      <c r="D1047" s="753" t="s">
        <v>50570</v>
      </c>
      <c r="E1047" s="752" t="s">
        <v>43355</v>
      </c>
      <c r="F1047" s="751">
        <v>3275</v>
      </c>
    </row>
    <row r="1048" spans="1:6">
      <c r="A1048" s="753"/>
      <c r="B1048" s="753"/>
      <c r="C1048" s="752" t="s">
        <v>50575</v>
      </c>
      <c r="D1048" s="753" t="s">
        <v>50573</v>
      </c>
      <c r="E1048" s="752" t="s">
        <v>50572</v>
      </c>
      <c r="F1048" s="751">
        <v>3025</v>
      </c>
    </row>
    <row r="1049" spans="1:6">
      <c r="A1049" s="753"/>
      <c r="B1049" s="753"/>
      <c r="C1049" s="752" t="s">
        <v>50574</v>
      </c>
      <c r="D1049" s="753" t="s">
        <v>50573</v>
      </c>
      <c r="E1049" s="752" t="s">
        <v>50572</v>
      </c>
      <c r="F1049" s="751">
        <v>2755</v>
      </c>
    </row>
    <row r="1050" spans="1:6">
      <c r="A1050" s="753"/>
      <c r="B1050" s="753"/>
      <c r="C1050" s="752" t="s">
        <v>50571</v>
      </c>
      <c r="D1050" s="753" t="s">
        <v>50570</v>
      </c>
      <c r="E1050" s="752" t="s">
        <v>50569</v>
      </c>
      <c r="F1050" s="751">
        <v>3625</v>
      </c>
    </row>
    <row r="1051" spans="1:6">
      <c r="A1051" s="753"/>
      <c r="B1051" s="753"/>
      <c r="C1051" s="752" t="s">
        <v>50568</v>
      </c>
      <c r="D1051" s="753" t="s">
        <v>50539</v>
      </c>
      <c r="E1051" s="752" t="s">
        <v>38294</v>
      </c>
      <c r="F1051" s="751">
        <v>4575</v>
      </c>
    </row>
    <row r="1052" spans="1:6">
      <c r="A1052" s="753"/>
      <c r="B1052" s="753"/>
      <c r="C1052" s="752" t="s">
        <v>50567</v>
      </c>
      <c r="D1052" s="753" t="s">
        <v>50539</v>
      </c>
      <c r="E1052" s="752" t="s">
        <v>43339</v>
      </c>
      <c r="F1052" s="751">
        <v>5575</v>
      </c>
    </row>
    <row r="1053" spans="1:6">
      <c r="A1053" s="753"/>
      <c r="B1053" s="753"/>
      <c r="C1053" s="752" t="s">
        <v>50566</v>
      </c>
      <c r="D1053" s="753" t="s">
        <v>50539</v>
      </c>
      <c r="E1053" s="752" t="s">
        <v>43310</v>
      </c>
      <c r="F1053" s="751">
        <v>4325</v>
      </c>
    </row>
    <row r="1054" spans="1:6">
      <c r="A1054" s="753"/>
      <c r="B1054" s="753"/>
      <c r="C1054" s="752" t="s">
        <v>50565</v>
      </c>
      <c r="D1054" s="753" t="s">
        <v>50539</v>
      </c>
      <c r="E1054" s="752" t="s">
        <v>43297</v>
      </c>
      <c r="F1054" s="751">
        <v>4075</v>
      </c>
    </row>
    <row r="1055" spans="1:6">
      <c r="A1055" s="753"/>
      <c r="B1055" s="753"/>
      <c r="C1055" s="752" t="s">
        <v>50564</v>
      </c>
      <c r="D1055" s="753" t="s">
        <v>50539</v>
      </c>
      <c r="E1055" s="752" t="s">
        <v>43282</v>
      </c>
      <c r="F1055" s="751">
        <v>4875</v>
      </c>
    </row>
    <row r="1056" spans="1:6">
      <c r="A1056" s="753"/>
      <c r="B1056" s="753"/>
      <c r="C1056" s="752" t="s">
        <v>50563</v>
      </c>
      <c r="D1056" s="753" t="s">
        <v>50539</v>
      </c>
      <c r="E1056" s="752" t="s">
        <v>50527</v>
      </c>
      <c r="F1056" s="751">
        <v>4875</v>
      </c>
    </row>
    <row r="1057" spans="1:6">
      <c r="A1057" s="753"/>
      <c r="B1057" s="753"/>
      <c r="C1057" s="752" t="s">
        <v>50562</v>
      </c>
      <c r="D1057" s="753" t="s">
        <v>50539</v>
      </c>
      <c r="E1057" s="752" t="s">
        <v>43305</v>
      </c>
      <c r="F1057" s="751">
        <v>5225</v>
      </c>
    </row>
    <row r="1058" spans="1:6">
      <c r="A1058" s="753"/>
      <c r="B1058" s="753"/>
      <c r="C1058" s="752" t="s">
        <v>50561</v>
      </c>
      <c r="D1058" s="753" t="s">
        <v>50539</v>
      </c>
      <c r="E1058" s="752" t="s">
        <v>50560</v>
      </c>
      <c r="F1058" s="751">
        <v>4575</v>
      </c>
    </row>
    <row r="1059" spans="1:6">
      <c r="A1059" s="753"/>
      <c r="B1059" s="753"/>
      <c r="C1059" s="752" t="s">
        <v>50559</v>
      </c>
      <c r="D1059" s="753" t="s">
        <v>50539</v>
      </c>
      <c r="E1059" s="752" t="s">
        <v>43346</v>
      </c>
      <c r="F1059" s="751">
        <v>5575</v>
      </c>
    </row>
    <row r="1060" spans="1:6">
      <c r="A1060" s="753"/>
      <c r="B1060" s="753"/>
      <c r="C1060" s="752" t="s">
        <v>50558</v>
      </c>
      <c r="D1060" s="753" t="s">
        <v>50539</v>
      </c>
      <c r="E1060" s="752" t="s">
        <v>50557</v>
      </c>
      <c r="F1060" s="751">
        <v>4075</v>
      </c>
    </row>
    <row r="1061" spans="1:6">
      <c r="A1061" s="753"/>
      <c r="B1061" s="753"/>
      <c r="C1061" s="752" t="s">
        <v>50556</v>
      </c>
      <c r="D1061" s="753" t="s">
        <v>50539</v>
      </c>
      <c r="E1061" s="752" t="s">
        <v>43303</v>
      </c>
      <c r="F1061" s="751">
        <v>4875</v>
      </c>
    </row>
    <row r="1062" spans="1:6">
      <c r="A1062" s="753"/>
      <c r="B1062" s="753"/>
      <c r="C1062" s="752" t="s">
        <v>50555</v>
      </c>
      <c r="D1062" s="753" t="s">
        <v>50539</v>
      </c>
      <c r="E1062" s="752" t="s">
        <v>43301</v>
      </c>
      <c r="F1062" s="751">
        <v>4275</v>
      </c>
    </row>
    <row r="1063" spans="1:6">
      <c r="A1063" s="753"/>
      <c r="B1063" s="753"/>
      <c r="C1063" s="752" t="s">
        <v>50554</v>
      </c>
      <c r="D1063" s="753" t="s">
        <v>50539</v>
      </c>
      <c r="E1063" s="752" t="s">
        <v>50522</v>
      </c>
      <c r="F1063" s="751">
        <v>5225</v>
      </c>
    </row>
    <row r="1064" spans="1:6">
      <c r="A1064" s="753"/>
      <c r="B1064" s="753"/>
      <c r="C1064" s="752" t="s">
        <v>50553</v>
      </c>
      <c r="D1064" s="753" t="s">
        <v>50539</v>
      </c>
      <c r="E1064" s="752" t="s">
        <v>50552</v>
      </c>
      <c r="F1064" s="751">
        <v>4575</v>
      </c>
    </row>
    <row r="1065" spans="1:6">
      <c r="A1065" s="753"/>
      <c r="B1065" s="753"/>
      <c r="C1065" s="752" t="s">
        <v>50551</v>
      </c>
      <c r="D1065" s="753" t="s">
        <v>50539</v>
      </c>
      <c r="E1065" s="752" t="s">
        <v>43339</v>
      </c>
      <c r="F1065" s="751">
        <v>5575</v>
      </c>
    </row>
    <row r="1066" spans="1:6">
      <c r="A1066" s="753"/>
      <c r="B1066" s="753"/>
      <c r="C1066" s="752" t="s">
        <v>50550</v>
      </c>
      <c r="D1066" s="753" t="s">
        <v>50539</v>
      </c>
      <c r="E1066" s="752" t="s">
        <v>43310</v>
      </c>
      <c r="F1066" s="751">
        <v>4325</v>
      </c>
    </row>
    <row r="1067" spans="1:6">
      <c r="A1067" s="753"/>
      <c r="B1067" s="753"/>
      <c r="C1067" s="752" t="s">
        <v>50549</v>
      </c>
      <c r="D1067" s="753" t="s">
        <v>50539</v>
      </c>
      <c r="E1067" s="752" t="s">
        <v>43297</v>
      </c>
      <c r="F1067" s="751">
        <v>4075</v>
      </c>
    </row>
    <row r="1068" spans="1:6">
      <c r="A1068" s="753"/>
      <c r="B1068" s="753"/>
      <c r="C1068" s="752" t="s">
        <v>50548</v>
      </c>
      <c r="D1068" s="753" t="s">
        <v>50539</v>
      </c>
      <c r="E1068" s="752" t="s">
        <v>43282</v>
      </c>
      <c r="F1068" s="751">
        <v>4875</v>
      </c>
    </row>
    <row r="1069" spans="1:6">
      <c r="A1069" s="753"/>
      <c r="B1069" s="753"/>
      <c r="C1069" s="752" t="s">
        <v>50547</v>
      </c>
      <c r="D1069" s="753" t="s">
        <v>50536</v>
      </c>
      <c r="E1069" s="752" t="s">
        <v>43282</v>
      </c>
      <c r="F1069" s="751">
        <v>4525</v>
      </c>
    </row>
    <row r="1070" spans="1:6">
      <c r="A1070" s="753"/>
      <c r="B1070" s="753"/>
      <c r="C1070" s="752" t="s">
        <v>50546</v>
      </c>
      <c r="D1070" s="753" t="s">
        <v>50539</v>
      </c>
      <c r="E1070" s="752" t="s">
        <v>43282</v>
      </c>
      <c r="F1070" s="751">
        <v>4875</v>
      </c>
    </row>
    <row r="1071" spans="1:6">
      <c r="A1071" s="753"/>
      <c r="B1071" s="753"/>
      <c r="C1071" s="752" t="s">
        <v>50545</v>
      </c>
      <c r="D1071" s="753" t="s">
        <v>50536</v>
      </c>
      <c r="E1071" s="752" t="s">
        <v>43527</v>
      </c>
      <c r="F1071" s="751">
        <v>3825</v>
      </c>
    </row>
    <row r="1072" spans="1:6">
      <c r="A1072" s="753"/>
      <c r="B1072" s="753"/>
      <c r="C1072" s="752" t="s">
        <v>50544</v>
      </c>
      <c r="D1072" s="753" t="s">
        <v>50536</v>
      </c>
      <c r="E1072" s="752" t="s">
        <v>50543</v>
      </c>
      <c r="F1072" s="751">
        <v>4525</v>
      </c>
    </row>
    <row r="1073" spans="1:6">
      <c r="A1073" s="753"/>
      <c r="B1073" s="753"/>
      <c r="C1073" s="752" t="s">
        <v>50542</v>
      </c>
      <c r="D1073" s="753" t="s">
        <v>50539</v>
      </c>
      <c r="E1073" s="752" t="s">
        <v>293</v>
      </c>
      <c r="F1073" s="751">
        <v>5225</v>
      </c>
    </row>
    <row r="1074" spans="1:6">
      <c r="A1074" s="753"/>
      <c r="B1074" s="753"/>
      <c r="C1074" s="752" t="s">
        <v>50541</v>
      </c>
      <c r="D1074" s="753" t="s">
        <v>50539</v>
      </c>
      <c r="E1074" s="752" t="s">
        <v>50511</v>
      </c>
      <c r="F1074" s="751">
        <v>5225</v>
      </c>
    </row>
    <row r="1075" spans="1:6">
      <c r="A1075" s="753"/>
      <c r="B1075" s="753"/>
      <c r="C1075" s="752" t="s">
        <v>50540</v>
      </c>
      <c r="D1075" s="753" t="s">
        <v>50539</v>
      </c>
      <c r="E1075" s="752" t="s">
        <v>50538</v>
      </c>
      <c r="F1075" s="751">
        <v>4075</v>
      </c>
    </row>
    <row r="1076" spans="1:6">
      <c r="A1076" s="753"/>
      <c r="B1076" s="753"/>
      <c r="C1076" s="752" t="s">
        <v>50537</v>
      </c>
      <c r="D1076" s="753" t="s">
        <v>50536</v>
      </c>
      <c r="E1076" s="752" t="s">
        <v>50535</v>
      </c>
      <c r="F1076" s="751">
        <v>4875</v>
      </c>
    </row>
    <row r="1077" spans="1:6">
      <c r="A1077" s="753"/>
      <c r="B1077" s="753"/>
      <c r="C1077" s="752" t="s">
        <v>50534</v>
      </c>
      <c r="D1077" s="753" t="s">
        <v>50514</v>
      </c>
      <c r="E1077" s="752" t="s">
        <v>38294</v>
      </c>
      <c r="F1077" s="751">
        <v>4575</v>
      </c>
    </row>
    <row r="1078" spans="1:6">
      <c r="A1078" s="753"/>
      <c r="B1078" s="753"/>
      <c r="C1078" s="752" t="s">
        <v>50533</v>
      </c>
      <c r="D1078" s="753" t="s">
        <v>50514</v>
      </c>
      <c r="E1078" s="752" t="s">
        <v>50532</v>
      </c>
      <c r="F1078" s="751">
        <v>5335</v>
      </c>
    </row>
    <row r="1079" spans="1:6">
      <c r="A1079" s="753"/>
      <c r="B1079" s="753"/>
      <c r="C1079" s="752" t="s">
        <v>50531</v>
      </c>
      <c r="D1079" s="753" t="s">
        <v>50506</v>
      </c>
      <c r="E1079" s="752" t="s">
        <v>43310</v>
      </c>
      <c r="F1079" s="751">
        <v>4325</v>
      </c>
    </row>
    <row r="1080" spans="1:6">
      <c r="A1080" s="753"/>
      <c r="B1080" s="753"/>
      <c r="C1080" s="752" t="s">
        <v>50530</v>
      </c>
      <c r="D1080" s="753" t="s">
        <v>50509</v>
      </c>
      <c r="E1080" s="752" t="s">
        <v>43297</v>
      </c>
      <c r="F1080" s="751">
        <v>4075</v>
      </c>
    </row>
    <row r="1081" spans="1:6">
      <c r="A1081" s="753"/>
      <c r="B1081" s="753"/>
      <c r="C1081" s="752" t="s">
        <v>50529</v>
      </c>
      <c r="D1081" s="753" t="s">
        <v>50506</v>
      </c>
      <c r="E1081" s="752" t="s">
        <v>43282</v>
      </c>
      <c r="F1081" s="751">
        <v>4875</v>
      </c>
    </row>
    <row r="1082" spans="1:6">
      <c r="A1082" s="753"/>
      <c r="B1082" s="753"/>
      <c r="C1082" s="752" t="s">
        <v>50528</v>
      </c>
      <c r="D1082" s="753" t="s">
        <v>50514</v>
      </c>
      <c r="E1082" s="752" t="s">
        <v>50527</v>
      </c>
      <c r="F1082" s="751">
        <v>4875</v>
      </c>
    </row>
    <row r="1083" spans="1:6">
      <c r="A1083" s="753"/>
      <c r="B1083" s="753"/>
      <c r="C1083" s="752" t="s">
        <v>50526</v>
      </c>
      <c r="D1083" s="753" t="s">
        <v>50506</v>
      </c>
      <c r="E1083" s="752" t="s">
        <v>43305</v>
      </c>
      <c r="F1083" s="751">
        <v>5225</v>
      </c>
    </row>
    <row r="1084" spans="1:6">
      <c r="A1084" s="753"/>
      <c r="B1084" s="753"/>
      <c r="C1084" s="752" t="s">
        <v>50525</v>
      </c>
      <c r="D1084" s="753" t="s">
        <v>50506</v>
      </c>
      <c r="E1084" s="752" t="s">
        <v>43346</v>
      </c>
      <c r="F1084" s="751">
        <v>5575</v>
      </c>
    </row>
    <row r="1085" spans="1:6">
      <c r="A1085" s="753"/>
      <c r="B1085" s="753"/>
      <c r="C1085" s="752" t="s">
        <v>50524</v>
      </c>
      <c r="D1085" s="753" t="s">
        <v>50506</v>
      </c>
      <c r="E1085" s="752" t="s">
        <v>43301</v>
      </c>
      <c r="F1085" s="751">
        <v>4325</v>
      </c>
    </row>
    <row r="1086" spans="1:6">
      <c r="A1086" s="753"/>
      <c r="B1086" s="753"/>
      <c r="C1086" s="752" t="s">
        <v>50523</v>
      </c>
      <c r="D1086" s="753" t="s">
        <v>50506</v>
      </c>
      <c r="E1086" s="752" t="s">
        <v>50522</v>
      </c>
      <c r="F1086" s="751">
        <v>5225</v>
      </c>
    </row>
    <row r="1087" spans="1:6">
      <c r="A1087" s="753"/>
      <c r="B1087" s="753"/>
      <c r="C1087" s="752" t="s">
        <v>50521</v>
      </c>
      <c r="D1087" s="753" t="s">
        <v>50509</v>
      </c>
      <c r="E1087" s="752" t="s">
        <v>43339</v>
      </c>
      <c r="F1087" s="751">
        <v>5575</v>
      </c>
    </row>
    <row r="1088" spans="1:6">
      <c r="A1088" s="753"/>
      <c r="B1088" s="753"/>
      <c r="C1088" s="752" t="s">
        <v>50520</v>
      </c>
      <c r="D1088" s="753" t="s">
        <v>50509</v>
      </c>
      <c r="E1088" s="752" t="s">
        <v>43310</v>
      </c>
      <c r="F1088" s="751">
        <v>4325</v>
      </c>
    </row>
    <row r="1089" spans="1:6">
      <c r="A1089" s="753"/>
      <c r="B1089" s="753"/>
      <c r="C1089" s="752" t="s">
        <v>50519</v>
      </c>
      <c r="D1089" s="753" t="s">
        <v>50509</v>
      </c>
      <c r="E1089" s="752" t="s">
        <v>43297</v>
      </c>
      <c r="F1089" s="751">
        <v>4075</v>
      </c>
    </row>
    <row r="1090" spans="1:6">
      <c r="A1090" s="753"/>
      <c r="B1090" s="753"/>
      <c r="C1090" s="752" t="s">
        <v>50518</v>
      </c>
      <c r="D1090" s="753" t="s">
        <v>50514</v>
      </c>
      <c r="E1090" s="752" t="s">
        <v>50517</v>
      </c>
      <c r="F1090" s="751">
        <v>4875</v>
      </c>
    </row>
    <row r="1091" spans="1:6">
      <c r="A1091" s="753"/>
      <c r="B1091" s="753"/>
      <c r="C1091" s="752" t="s">
        <v>50516</v>
      </c>
      <c r="D1091" s="753" t="s">
        <v>50514</v>
      </c>
      <c r="E1091" s="752" t="s">
        <v>43282</v>
      </c>
      <c r="F1091" s="751">
        <v>4875</v>
      </c>
    </row>
    <row r="1092" spans="1:6">
      <c r="A1092" s="753"/>
      <c r="B1092" s="753"/>
      <c r="C1092" s="752" t="s">
        <v>50515</v>
      </c>
      <c r="D1092" s="753" t="s">
        <v>50514</v>
      </c>
      <c r="E1092" s="752" t="s">
        <v>50513</v>
      </c>
      <c r="F1092" s="751">
        <v>4525</v>
      </c>
    </row>
    <row r="1093" spans="1:6">
      <c r="A1093" s="753"/>
      <c r="B1093" s="753"/>
      <c r="C1093" s="752" t="s">
        <v>50512</v>
      </c>
      <c r="D1093" s="753" t="s">
        <v>50509</v>
      </c>
      <c r="E1093" s="752" t="s">
        <v>50511</v>
      </c>
      <c r="F1093" s="751">
        <v>5225</v>
      </c>
    </row>
    <row r="1094" spans="1:6">
      <c r="A1094" s="753"/>
      <c r="B1094" s="753"/>
      <c r="C1094" s="752" t="s">
        <v>50510</v>
      </c>
      <c r="D1094" s="753" t="s">
        <v>50509</v>
      </c>
      <c r="E1094" s="752" t="s">
        <v>50508</v>
      </c>
      <c r="F1094" s="751">
        <v>5225</v>
      </c>
    </row>
    <row r="1095" spans="1:6">
      <c r="A1095" s="753"/>
      <c r="B1095" s="753"/>
      <c r="C1095" s="752" t="s">
        <v>50507</v>
      </c>
      <c r="D1095" s="753" t="s">
        <v>50506</v>
      </c>
      <c r="E1095" s="752" t="s">
        <v>50505</v>
      </c>
      <c r="F1095" s="751">
        <v>5575</v>
      </c>
    </row>
    <row r="1096" spans="1:6">
      <c r="A1096" s="753"/>
      <c r="B1096" s="753"/>
      <c r="C1096" s="752" t="s">
        <v>50504</v>
      </c>
      <c r="D1096" s="753" t="s">
        <v>43660</v>
      </c>
      <c r="E1096" s="752" t="s">
        <v>43269</v>
      </c>
      <c r="F1096" s="751">
        <v>10695</v>
      </c>
    </row>
    <row r="1097" spans="1:6">
      <c r="A1097" s="753"/>
      <c r="B1097" s="753"/>
      <c r="C1097" s="752" t="s">
        <v>50503</v>
      </c>
      <c r="D1097" s="753" t="s">
        <v>50502</v>
      </c>
      <c r="E1097" s="752" t="s">
        <v>38290</v>
      </c>
      <c r="F1097" s="751">
        <v>2825</v>
      </c>
    </row>
    <row r="1098" spans="1:6">
      <c r="A1098" s="753"/>
      <c r="B1098" s="753"/>
      <c r="C1098" s="752" t="s">
        <v>50501</v>
      </c>
      <c r="D1098" s="753" t="s">
        <v>50500</v>
      </c>
      <c r="E1098" s="752" t="s">
        <v>43339</v>
      </c>
      <c r="F1098" s="751">
        <v>5675</v>
      </c>
    </row>
    <row r="1099" spans="1:6">
      <c r="A1099" s="753"/>
      <c r="B1099" s="753"/>
      <c r="C1099" s="752" t="s">
        <v>50499</v>
      </c>
      <c r="D1099" s="753" t="s">
        <v>50498</v>
      </c>
      <c r="E1099" s="752" t="s">
        <v>50497</v>
      </c>
      <c r="F1099" s="751">
        <v>3575</v>
      </c>
    </row>
    <row r="1100" spans="1:6">
      <c r="A1100" s="753"/>
      <c r="B1100" s="753" t="s">
        <v>50496</v>
      </c>
      <c r="C1100" s="752" t="s">
        <v>50495</v>
      </c>
      <c r="D1100" s="753" t="s">
        <v>50493</v>
      </c>
      <c r="E1100" s="752" t="s">
        <v>38019</v>
      </c>
      <c r="F1100" s="751">
        <v>4425</v>
      </c>
    </row>
    <row r="1101" spans="1:6">
      <c r="A1101" s="753"/>
      <c r="B1101" s="753"/>
      <c r="C1101" s="752" t="s">
        <v>50494</v>
      </c>
      <c r="D1101" s="753" t="s">
        <v>50493</v>
      </c>
      <c r="E1101" s="752" t="s">
        <v>50492</v>
      </c>
      <c r="F1101" s="751">
        <v>5325</v>
      </c>
    </row>
    <row r="1102" spans="1:6">
      <c r="A1102" s="753"/>
      <c r="B1102" s="753"/>
      <c r="C1102" s="752" t="s">
        <v>50491</v>
      </c>
      <c r="D1102" s="753" t="s">
        <v>50489</v>
      </c>
      <c r="E1102" s="752" t="s">
        <v>38019</v>
      </c>
      <c r="F1102" s="751">
        <v>4225</v>
      </c>
    </row>
    <row r="1103" spans="1:6">
      <c r="A1103" s="753"/>
      <c r="B1103" s="753"/>
      <c r="C1103" s="752" t="s">
        <v>50490</v>
      </c>
      <c r="D1103" s="753" t="s">
        <v>50489</v>
      </c>
      <c r="E1103" s="752" t="s">
        <v>38002</v>
      </c>
      <c r="F1103" s="751">
        <v>5125</v>
      </c>
    </row>
    <row r="1104" spans="1:6">
      <c r="A1104" s="753"/>
      <c r="B1104" s="753" t="s">
        <v>50488</v>
      </c>
      <c r="C1104" s="752" t="s">
        <v>50487</v>
      </c>
      <c r="D1104" s="753" t="s">
        <v>50486</v>
      </c>
      <c r="E1104" s="752" t="s">
        <v>39055</v>
      </c>
      <c r="F1104" s="751">
        <v>2075</v>
      </c>
    </row>
    <row r="1105" spans="1:6">
      <c r="A1105" s="753"/>
      <c r="B1105" s="753" t="s">
        <v>43234</v>
      </c>
      <c r="C1105" s="752" t="s">
        <v>50485</v>
      </c>
      <c r="D1105" s="753" t="s">
        <v>50484</v>
      </c>
      <c r="E1105" s="752" t="s">
        <v>293</v>
      </c>
      <c r="F1105" s="751">
        <v>5170</v>
      </c>
    </row>
    <row r="1106" spans="1:6">
      <c r="A1106" s="753"/>
      <c r="B1106" s="753"/>
      <c r="C1106" s="752" t="s">
        <v>50483</v>
      </c>
      <c r="D1106" s="753" t="s">
        <v>50376</v>
      </c>
      <c r="E1106" s="752" t="s">
        <v>46774</v>
      </c>
      <c r="F1106" s="751">
        <v>4375</v>
      </c>
    </row>
    <row r="1107" spans="1:6">
      <c r="A1107" s="753"/>
      <c r="B1107" s="753"/>
      <c r="C1107" s="752" t="s">
        <v>50482</v>
      </c>
      <c r="D1107" s="753" t="s">
        <v>50376</v>
      </c>
      <c r="E1107" s="752" t="s">
        <v>50481</v>
      </c>
      <c r="F1107" s="751">
        <v>5135</v>
      </c>
    </row>
    <row r="1108" spans="1:6">
      <c r="A1108" s="753"/>
      <c r="B1108" s="753"/>
      <c r="C1108" s="752" t="s">
        <v>50480</v>
      </c>
      <c r="D1108" s="753" t="s">
        <v>50479</v>
      </c>
      <c r="E1108" s="752" t="s">
        <v>50478</v>
      </c>
      <c r="F1108" s="751">
        <v>5815</v>
      </c>
    </row>
    <row r="1109" spans="1:6">
      <c r="A1109" s="753"/>
      <c r="B1109" s="753"/>
      <c r="C1109" s="752" t="s">
        <v>50477</v>
      </c>
      <c r="D1109" s="753" t="s">
        <v>50432</v>
      </c>
      <c r="E1109" s="752" t="s">
        <v>293</v>
      </c>
      <c r="F1109" s="751">
        <v>4265</v>
      </c>
    </row>
    <row r="1110" spans="1:6">
      <c r="A1110" s="753"/>
      <c r="B1110" s="753"/>
      <c r="C1110" s="752" t="s">
        <v>50476</v>
      </c>
      <c r="D1110" s="753" t="s">
        <v>50438</v>
      </c>
      <c r="E1110" s="752" t="s">
        <v>50475</v>
      </c>
      <c r="F1110" s="751">
        <v>3715</v>
      </c>
    </row>
    <row r="1111" spans="1:6">
      <c r="A1111" s="753"/>
      <c r="B1111" s="753"/>
      <c r="C1111" s="752" t="s">
        <v>50474</v>
      </c>
      <c r="D1111" s="753" t="s">
        <v>50432</v>
      </c>
      <c r="E1111" s="752" t="s">
        <v>50460</v>
      </c>
      <c r="F1111" s="751">
        <v>4615</v>
      </c>
    </row>
    <row r="1112" spans="1:6">
      <c r="A1112" s="753"/>
      <c r="B1112" s="753"/>
      <c r="C1112" s="752" t="s">
        <v>50473</v>
      </c>
      <c r="D1112" s="753" t="s">
        <v>50432</v>
      </c>
      <c r="E1112" s="752" t="s">
        <v>50458</v>
      </c>
      <c r="F1112" s="751">
        <v>5375</v>
      </c>
    </row>
    <row r="1113" spans="1:6">
      <c r="A1113" s="753"/>
      <c r="B1113" s="753"/>
      <c r="C1113" s="752" t="s">
        <v>50472</v>
      </c>
      <c r="D1113" s="753" t="s">
        <v>50438</v>
      </c>
      <c r="E1113" s="752" t="s">
        <v>293</v>
      </c>
      <c r="F1113" s="751">
        <v>4765</v>
      </c>
    </row>
    <row r="1114" spans="1:6">
      <c r="A1114" s="753"/>
      <c r="B1114" s="753"/>
      <c r="C1114" s="752" t="s">
        <v>50471</v>
      </c>
      <c r="D1114" s="753" t="s">
        <v>50438</v>
      </c>
      <c r="E1114" s="752" t="s">
        <v>38577</v>
      </c>
      <c r="F1114" s="751">
        <v>5525</v>
      </c>
    </row>
    <row r="1115" spans="1:6">
      <c r="A1115" s="753"/>
      <c r="B1115" s="753"/>
      <c r="C1115" s="752" t="s">
        <v>50470</v>
      </c>
      <c r="D1115" s="753" t="s">
        <v>50430</v>
      </c>
      <c r="E1115" s="752" t="s">
        <v>293</v>
      </c>
      <c r="F1115" s="751">
        <v>3875</v>
      </c>
    </row>
    <row r="1116" spans="1:6">
      <c r="A1116" s="753"/>
      <c r="B1116" s="753"/>
      <c r="C1116" s="752" t="s">
        <v>50469</v>
      </c>
      <c r="D1116" s="753" t="s">
        <v>50430</v>
      </c>
      <c r="E1116" s="752" t="s">
        <v>42816</v>
      </c>
      <c r="F1116" s="751">
        <v>3875</v>
      </c>
    </row>
    <row r="1117" spans="1:6">
      <c r="A1117" s="753"/>
      <c r="B1117" s="753"/>
      <c r="C1117" s="752" t="s">
        <v>50468</v>
      </c>
      <c r="D1117" s="753" t="s">
        <v>50430</v>
      </c>
      <c r="E1117" s="752" t="s">
        <v>38577</v>
      </c>
      <c r="F1117" s="751">
        <v>4635</v>
      </c>
    </row>
    <row r="1118" spans="1:6">
      <c r="A1118" s="753"/>
      <c r="B1118" s="753"/>
      <c r="C1118" s="752" t="s">
        <v>50467</v>
      </c>
      <c r="D1118" s="753" t="s">
        <v>50432</v>
      </c>
      <c r="E1118" s="752" t="s">
        <v>50460</v>
      </c>
      <c r="F1118" s="751">
        <v>4615</v>
      </c>
    </row>
    <row r="1119" spans="1:6">
      <c r="A1119" s="753"/>
      <c r="B1119" s="753"/>
      <c r="C1119" s="752" t="s">
        <v>50466</v>
      </c>
      <c r="D1119" s="753" t="s">
        <v>50432</v>
      </c>
      <c r="E1119" s="752" t="s">
        <v>50458</v>
      </c>
      <c r="F1119" s="751">
        <v>5375</v>
      </c>
    </row>
    <row r="1120" spans="1:6">
      <c r="A1120" s="753"/>
      <c r="B1120" s="753"/>
      <c r="C1120" s="752" t="s">
        <v>50465</v>
      </c>
      <c r="D1120" s="753" t="s">
        <v>50438</v>
      </c>
      <c r="E1120" s="752" t="s">
        <v>293</v>
      </c>
      <c r="F1120" s="751">
        <v>4765</v>
      </c>
    </row>
    <row r="1121" spans="1:6">
      <c r="A1121" s="753"/>
      <c r="B1121" s="753"/>
      <c r="C1121" s="752" t="s">
        <v>50464</v>
      </c>
      <c r="D1121" s="753" t="s">
        <v>50438</v>
      </c>
      <c r="E1121" s="752" t="s">
        <v>42751</v>
      </c>
      <c r="F1121" s="751">
        <v>5525</v>
      </c>
    </row>
    <row r="1122" spans="1:6">
      <c r="A1122" s="753"/>
      <c r="B1122" s="753"/>
      <c r="C1122" s="752" t="s">
        <v>50463</v>
      </c>
      <c r="D1122" s="753" t="s">
        <v>50430</v>
      </c>
      <c r="E1122" s="752" t="s">
        <v>293</v>
      </c>
      <c r="F1122" s="751">
        <v>4125</v>
      </c>
    </row>
    <row r="1123" spans="1:6">
      <c r="A1123" s="753"/>
      <c r="B1123" s="753"/>
      <c r="C1123" s="752" t="s">
        <v>50462</v>
      </c>
      <c r="D1123" s="753" t="s">
        <v>50430</v>
      </c>
      <c r="E1123" s="752" t="s">
        <v>38577</v>
      </c>
      <c r="F1123" s="751">
        <v>4885</v>
      </c>
    </row>
    <row r="1124" spans="1:6">
      <c r="A1124" s="753"/>
      <c r="B1124" s="753"/>
      <c r="C1124" s="752" t="s">
        <v>50461</v>
      </c>
      <c r="D1124" s="753" t="s">
        <v>50432</v>
      </c>
      <c r="E1124" s="752" t="s">
        <v>50460</v>
      </c>
      <c r="F1124" s="751">
        <v>4865</v>
      </c>
    </row>
    <row r="1125" spans="1:6">
      <c r="A1125" s="753"/>
      <c r="B1125" s="753"/>
      <c r="C1125" s="752" t="s">
        <v>50459</v>
      </c>
      <c r="D1125" s="753" t="s">
        <v>50432</v>
      </c>
      <c r="E1125" s="752" t="s">
        <v>50458</v>
      </c>
      <c r="F1125" s="751">
        <v>5625</v>
      </c>
    </row>
    <row r="1126" spans="1:6">
      <c r="A1126" s="753"/>
      <c r="B1126" s="753"/>
      <c r="C1126" s="752" t="s">
        <v>50457</v>
      </c>
      <c r="D1126" s="753" t="s">
        <v>50438</v>
      </c>
      <c r="E1126" s="752" t="s">
        <v>293</v>
      </c>
      <c r="F1126" s="751">
        <v>4765</v>
      </c>
    </row>
    <row r="1127" spans="1:6">
      <c r="A1127" s="753"/>
      <c r="B1127" s="753"/>
      <c r="C1127" s="752" t="s">
        <v>50456</v>
      </c>
      <c r="D1127" s="753" t="s">
        <v>50438</v>
      </c>
      <c r="E1127" s="752" t="s">
        <v>42751</v>
      </c>
      <c r="F1127" s="751">
        <v>5525</v>
      </c>
    </row>
    <row r="1128" spans="1:6">
      <c r="A1128" s="753"/>
      <c r="B1128" s="753"/>
      <c r="C1128" s="752" t="s">
        <v>50455</v>
      </c>
      <c r="D1128" s="753" t="s">
        <v>50430</v>
      </c>
      <c r="E1128" s="752" t="s">
        <v>293</v>
      </c>
      <c r="F1128" s="751">
        <v>4125</v>
      </c>
    </row>
    <row r="1129" spans="1:6">
      <c r="A1129" s="753"/>
      <c r="B1129" s="753"/>
      <c r="C1129" s="752" t="s">
        <v>50454</v>
      </c>
      <c r="D1129" s="753" t="s">
        <v>50430</v>
      </c>
      <c r="E1129" s="752" t="s">
        <v>38577</v>
      </c>
      <c r="F1129" s="751">
        <v>4885</v>
      </c>
    </row>
    <row r="1130" spans="1:6">
      <c r="A1130" s="753"/>
      <c r="B1130" s="753"/>
      <c r="C1130" s="752" t="s">
        <v>50453</v>
      </c>
      <c r="D1130" s="753" t="s">
        <v>50432</v>
      </c>
      <c r="E1130" s="752" t="s">
        <v>39097</v>
      </c>
      <c r="F1130" s="751">
        <v>4865</v>
      </c>
    </row>
    <row r="1131" spans="1:6">
      <c r="A1131" s="753"/>
      <c r="B1131" s="753"/>
      <c r="C1131" s="752" t="s">
        <v>50452</v>
      </c>
      <c r="D1131" s="753" t="s">
        <v>50432</v>
      </c>
      <c r="E1131" s="752" t="s">
        <v>49818</v>
      </c>
      <c r="F1131" s="751">
        <v>5625</v>
      </c>
    </row>
    <row r="1132" spans="1:6">
      <c r="A1132" s="753"/>
      <c r="B1132" s="753"/>
      <c r="C1132" s="752" t="s">
        <v>50451</v>
      </c>
      <c r="D1132" s="753" t="s">
        <v>50438</v>
      </c>
      <c r="E1132" s="752" t="s">
        <v>39097</v>
      </c>
      <c r="F1132" s="751">
        <v>5015</v>
      </c>
    </row>
    <row r="1133" spans="1:6">
      <c r="A1133" s="753"/>
      <c r="B1133" s="753"/>
      <c r="C1133" s="752" t="s">
        <v>50450</v>
      </c>
      <c r="D1133" s="753" t="s">
        <v>50438</v>
      </c>
      <c r="E1133" s="752" t="s">
        <v>42734</v>
      </c>
      <c r="F1133" s="751">
        <v>5015</v>
      </c>
    </row>
    <row r="1134" spans="1:6">
      <c r="A1134" s="753"/>
      <c r="B1134" s="753"/>
      <c r="C1134" s="752" t="s">
        <v>50449</v>
      </c>
      <c r="D1134" s="753" t="s">
        <v>50438</v>
      </c>
      <c r="E1134" s="752" t="s">
        <v>50448</v>
      </c>
      <c r="F1134" s="751">
        <v>4715</v>
      </c>
    </row>
    <row r="1135" spans="1:6">
      <c r="A1135" s="753"/>
      <c r="B1135" s="753"/>
      <c r="C1135" s="752" t="s">
        <v>50447</v>
      </c>
      <c r="D1135" s="753" t="s">
        <v>50438</v>
      </c>
      <c r="E1135" s="752" t="s">
        <v>49224</v>
      </c>
      <c r="F1135" s="751">
        <v>5525</v>
      </c>
    </row>
    <row r="1136" spans="1:6">
      <c r="A1136" s="753"/>
      <c r="B1136" s="753"/>
      <c r="C1136" s="752" t="s">
        <v>50446</v>
      </c>
      <c r="D1136" s="753" t="s">
        <v>50430</v>
      </c>
      <c r="E1136" s="752" t="s">
        <v>39097</v>
      </c>
      <c r="F1136" s="751">
        <v>4125</v>
      </c>
    </row>
    <row r="1137" spans="1:6">
      <c r="A1137" s="753"/>
      <c r="B1137" s="753"/>
      <c r="C1137" s="752" t="s">
        <v>50445</v>
      </c>
      <c r="D1137" s="753" t="s">
        <v>50430</v>
      </c>
      <c r="E1137" s="752" t="s">
        <v>49203</v>
      </c>
      <c r="F1137" s="751">
        <v>4885</v>
      </c>
    </row>
    <row r="1138" spans="1:6">
      <c r="A1138" s="753"/>
      <c r="B1138" s="753"/>
      <c r="C1138" s="752" t="s">
        <v>50444</v>
      </c>
      <c r="D1138" s="753" t="s">
        <v>50430</v>
      </c>
      <c r="E1138" s="752" t="s">
        <v>49818</v>
      </c>
      <c r="F1138" s="751">
        <v>4885</v>
      </c>
    </row>
    <row r="1139" spans="1:6">
      <c r="A1139" s="753"/>
      <c r="B1139" s="753"/>
      <c r="C1139" s="752" t="s">
        <v>50443</v>
      </c>
      <c r="D1139" s="753" t="s">
        <v>50432</v>
      </c>
      <c r="E1139" s="752" t="s">
        <v>293</v>
      </c>
      <c r="F1139" s="751">
        <v>4815</v>
      </c>
    </row>
    <row r="1140" spans="1:6">
      <c r="A1140" s="753"/>
      <c r="B1140" s="753"/>
      <c r="C1140" s="752" t="s">
        <v>50442</v>
      </c>
      <c r="D1140" s="753" t="s">
        <v>50438</v>
      </c>
      <c r="E1140" s="752" t="s">
        <v>37758</v>
      </c>
      <c r="F1140" s="751">
        <v>4765</v>
      </c>
    </row>
    <row r="1141" spans="1:6">
      <c r="A1141" s="753"/>
      <c r="B1141" s="753"/>
      <c r="C1141" s="752" t="s">
        <v>50441</v>
      </c>
      <c r="D1141" s="753" t="s">
        <v>50438</v>
      </c>
      <c r="E1141" s="752" t="s">
        <v>38670</v>
      </c>
      <c r="F1141" s="751">
        <v>5525</v>
      </c>
    </row>
    <row r="1142" spans="1:6">
      <c r="A1142" s="753"/>
      <c r="B1142" s="753"/>
      <c r="C1142" s="752" t="s">
        <v>50440</v>
      </c>
      <c r="D1142" s="753" t="s">
        <v>50438</v>
      </c>
      <c r="E1142" s="752" t="s">
        <v>38581</v>
      </c>
      <c r="F1142" s="751">
        <v>4770</v>
      </c>
    </row>
    <row r="1143" spans="1:6">
      <c r="A1143" s="753"/>
      <c r="B1143" s="753"/>
      <c r="C1143" s="752" t="s">
        <v>50439</v>
      </c>
      <c r="D1143" s="753" t="s">
        <v>50438</v>
      </c>
      <c r="E1143" s="752" t="s">
        <v>49747</v>
      </c>
      <c r="F1143" s="751">
        <v>5475</v>
      </c>
    </row>
    <row r="1144" spans="1:6">
      <c r="A1144" s="753"/>
      <c r="B1144" s="753"/>
      <c r="C1144" s="752" t="s">
        <v>50437</v>
      </c>
      <c r="D1144" s="753" t="s">
        <v>50430</v>
      </c>
      <c r="E1144" s="752" t="s">
        <v>37758</v>
      </c>
      <c r="F1144" s="751">
        <v>4125</v>
      </c>
    </row>
    <row r="1145" spans="1:6">
      <c r="A1145" s="753"/>
      <c r="B1145" s="753"/>
      <c r="C1145" s="752" t="s">
        <v>50436</v>
      </c>
      <c r="D1145" s="753" t="s">
        <v>50430</v>
      </c>
      <c r="E1145" s="752" t="s">
        <v>38584</v>
      </c>
      <c r="F1145" s="751">
        <v>4125</v>
      </c>
    </row>
    <row r="1146" spans="1:6">
      <c r="A1146" s="753"/>
      <c r="B1146" s="753"/>
      <c r="C1146" s="752" t="s">
        <v>50435</v>
      </c>
      <c r="D1146" s="753" t="s">
        <v>50430</v>
      </c>
      <c r="E1146" s="752" t="s">
        <v>50434</v>
      </c>
      <c r="F1146" s="751">
        <v>4885</v>
      </c>
    </row>
    <row r="1147" spans="1:6">
      <c r="A1147" s="753"/>
      <c r="B1147" s="753"/>
      <c r="C1147" s="752" t="s">
        <v>50433</v>
      </c>
      <c r="D1147" s="753" t="s">
        <v>50432</v>
      </c>
      <c r="E1147" s="752" t="s">
        <v>39097</v>
      </c>
      <c r="F1147" s="751">
        <v>4865</v>
      </c>
    </row>
    <row r="1148" spans="1:6">
      <c r="A1148" s="753"/>
      <c r="B1148" s="753"/>
      <c r="C1148" s="752" t="s">
        <v>50431</v>
      </c>
      <c r="D1148" s="753" t="s">
        <v>50430</v>
      </c>
      <c r="E1148" s="752" t="s">
        <v>293</v>
      </c>
      <c r="F1148" s="751">
        <v>4375</v>
      </c>
    </row>
    <row r="1149" spans="1:6">
      <c r="A1149" s="753"/>
      <c r="B1149" s="753"/>
      <c r="C1149" s="752" t="s">
        <v>50429</v>
      </c>
      <c r="D1149" s="753" t="s">
        <v>50376</v>
      </c>
      <c r="E1149" s="752" t="s">
        <v>43132</v>
      </c>
      <c r="F1149" s="751">
        <v>6125</v>
      </c>
    </row>
    <row r="1150" spans="1:6">
      <c r="A1150" s="753"/>
      <c r="B1150" s="753"/>
      <c r="C1150" s="752" t="s">
        <v>50428</v>
      </c>
      <c r="D1150" s="753" t="s">
        <v>50422</v>
      </c>
      <c r="E1150" s="752" t="s">
        <v>293</v>
      </c>
      <c r="F1150" s="751">
        <v>4445</v>
      </c>
    </row>
    <row r="1151" spans="1:6">
      <c r="A1151" s="753"/>
      <c r="B1151" s="753"/>
      <c r="C1151" s="752" t="s">
        <v>50427</v>
      </c>
      <c r="D1151" s="753" t="s">
        <v>50422</v>
      </c>
      <c r="E1151" s="752" t="s">
        <v>38577</v>
      </c>
      <c r="F1151" s="751">
        <v>5205</v>
      </c>
    </row>
    <row r="1152" spans="1:6">
      <c r="A1152" s="753"/>
      <c r="B1152" s="753"/>
      <c r="C1152" s="752" t="s">
        <v>50426</v>
      </c>
      <c r="D1152" s="753" t="s">
        <v>50376</v>
      </c>
      <c r="E1152" s="752" t="s">
        <v>43132</v>
      </c>
      <c r="F1152" s="751">
        <v>6125</v>
      </c>
    </row>
    <row r="1153" spans="1:6">
      <c r="A1153" s="753"/>
      <c r="B1153" s="753"/>
      <c r="C1153" s="752" t="s">
        <v>50425</v>
      </c>
      <c r="D1153" s="753" t="s">
        <v>50376</v>
      </c>
      <c r="E1153" s="752" t="s">
        <v>43132</v>
      </c>
      <c r="F1153" s="751">
        <v>6125</v>
      </c>
    </row>
    <row r="1154" spans="1:6">
      <c r="A1154" s="753"/>
      <c r="B1154" s="753"/>
      <c r="C1154" s="752" t="s">
        <v>50424</v>
      </c>
      <c r="D1154" s="753" t="s">
        <v>50422</v>
      </c>
      <c r="E1154" s="752" t="s">
        <v>293</v>
      </c>
      <c r="F1154" s="751">
        <v>4445</v>
      </c>
    </row>
    <row r="1155" spans="1:6">
      <c r="A1155" s="753"/>
      <c r="B1155" s="753"/>
      <c r="C1155" s="752" t="s">
        <v>50423</v>
      </c>
      <c r="D1155" s="753" t="s">
        <v>50422</v>
      </c>
      <c r="E1155" s="752" t="s">
        <v>39097</v>
      </c>
      <c r="F1155" s="751">
        <v>4445</v>
      </c>
    </row>
    <row r="1156" spans="1:6">
      <c r="A1156" s="753"/>
      <c r="B1156" s="753"/>
      <c r="C1156" s="752" t="s">
        <v>50421</v>
      </c>
      <c r="D1156" s="753" t="s">
        <v>50373</v>
      </c>
      <c r="E1156" s="752" t="s">
        <v>48342</v>
      </c>
      <c r="F1156" s="751">
        <v>4745</v>
      </c>
    </row>
    <row r="1157" spans="1:6">
      <c r="A1157" s="753"/>
      <c r="B1157" s="753"/>
      <c r="C1157" s="752" t="s">
        <v>50420</v>
      </c>
      <c r="D1157" s="753" t="s">
        <v>50395</v>
      </c>
      <c r="E1157" s="752" t="s">
        <v>293</v>
      </c>
      <c r="F1157" s="751">
        <v>5195</v>
      </c>
    </row>
    <row r="1158" spans="1:6">
      <c r="A1158" s="753"/>
      <c r="B1158" s="753"/>
      <c r="C1158" s="752" t="s">
        <v>50419</v>
      </c>
      <c r="D1158" s="753" t="s">
        <v>50395</v>
      </c>
      <c r="E1158" s="752" t="s">
        <v>38577</v>
      </c>
      <c r="F1158" s="751">
        <v>5955</v>
      </c>
    </row>
    <row r="1159" spans="1:6">
      <c r="A1159" s="753"/>
      <c r="B1159" s="753"/>
      <c r="C1159" s="752" t="s">
        <v>50418</v>
      </c>
      <c r="D1159" s="753" t="s">
        <v>50373</v>
      </c>
      <c r="E1159" s="752" t="s">
        <v>48342</v>
      </c>
      <c r="F1159" s="751">
        <v>4745</v>
      </c>
    </row>
    <row r="1160" spans="1:6">
      <c r="A1160" s="753"/>
      <c r="B1160" s="753"/>
      <c r="C1160" s="752" t="s">
        <v>50417</v>
      </c>
      <c r="D1160" s="753" t="s">
        <v>50395</v>
      </c>
      <c r="E1160" s="752" t="s">
        <v>293</v>
      </c>
      <c r="F1160" s="751">
        <v>5195</v>
      </c>
    </row>
    <row r="1161" spans="1:6">
      <c r="A1161" s="753"/>
      <c r="B1161" s="753"/>
      <c r="C1161" s="752" t="s">
        <v>50416</v>
      </c>
      <c r="D1161" s="753" t="s">
        <v>50373</v>
      </c>
      <c r="E1161" s="752" t="s">
        <v>48342</v>
      </c>
      <c r="F1161" s="751">
        <v>4745</v>
      </c>
    </row>
    <row r="1162" spans="1:6">
      <c r="A1162" s="753"/>
      <c r="B1162" s="753"/>
      <c r="C1162" s="752" t="s">
        <v>50415</v>
      </c>
      <c r="D1162" s="753" t="s">
        <v>50373</v>
      </c>
      <c r="E1162" s="752" t="s">
        <v>39097</v>
      </c>
      <c r="F1162" s="751">
        <v>4945</v>
      </c>
    </row>
    <row r="1163" spans="1:6">
      <c r="A1163" s="753"/>
      <c r="B1163" s="753"/>
      <c r="C1163" s="752" t="s">
        <v>50414</v>
      </c>
      <c r="D1163" s="753" t="s">
        <v>50393</v>
      </c>
      <c r="E1163" s="752" t="s">
        <v>39011</v>
      </c>
      <c r="F1163" s="751">
        <v>5955</v>
      </c>
    </row>
    <row r="1164" spans="1:6">
      <c r="A1164" s="753"/>
      <c r="B1164" s="753"/>
      <c r="C1164" s="752" t="s">
        <v>50413</v>
      </c>
      <c r="D1164" s="753" t="s">
        <v>50393</v>
      </c>
      <c r="E1164" s="752" t="s">
        <v>38570</v>
      </c>
      <c r="F1164" s="751">
        <v>5345</v>
      </c>
    </row>
    <row r="1165" spans="1:6">
      <c r="A1165" s="753"/>
      <c r="B1165" s="753"/>
      <c r="C1165" s="752" t="s">
        <v>50412</v>
      </c>
      <c r="D1165" s="753" t="s">
        <v>50373</v>
      </c>
      <c r="E1165" s="752" t="s">
        <v>38584</v>
      </c>
      <c r="F1165" s="751">
        <v>4745</v>
      </c>
    </row>
    <row r="1166" spans="1:6">
      <c r="A1166" s="753"/>
      <c r="B1166" s="753"/>
      <c r="C1166" s="752" t="s">
        <v>50411</v>
      </c>
      <c r="D1166" s="753" t="s">
        <v>50395</v>
      </c>
      <c r="E1166" s="752" t="s">
        <v>293</v>
      </c>
      <c r="F1166" s="751">
        <v>5195</v>
      </c>
    </row>
    <row r="1167" spans="1:6">
      <c r="A1167" s="753"/>
      <c r="B1167" s="753"/>
      <c r="C1167" s="752" t="s">
        <v>50410</v>
      </c>
      <c r="D1167" s="753" t="s">
        <v>50395</v>
      </c>
      <c r="E1167" s="752" t="s">
        <v>293</v>
      </c>
      <c r="F1167" s="751">
        <v>5495</v>
      </c>
    </row>
    <row r="1168" spans="1:6">
      <c r="A1168" s="753"/>
      <c r="B1168" s="753"/>
      <c r="C1168" s="752" t="s">
        <v>50409</v>
      </c>
      <c r="D1168" s="753" t="s">
        <v>50395</v>
      </c>
      <c r="E1168" s="752" t="s">
        <v>38577</v>
      </c>
      <c r="F1168" s="751">
        <v>6255</v>
      </c>
    </row>
    <row r="1169" spans="1:6">
      <c r="A1169" s="753"/>
      <c r="B1169" s="753"/>
      <c r="C1169" s="752" t="s">
        <v>50408</v>
      </c>
      <c r="D1169" s="753" t="s">
        <v>50393</v>
      </c>
      <c r="E1169" s="752" t="s">
        <v>293</v>
      </c>
      <c r="F1169" s="751">
        <v>5495</v>
      </c>
    </row>
    <row r="1170" spans="1:6">
      <c r="A1170" s="753"/>
      <c r="B1170" s="753"/>
      <c r="C1170" s="752" t="s">
        <v>50407</v>
      </c>
      <c r="D1170" s="753" t="s">
        <v>50395</v>
      </c>
      <c r="E1170" s="752" t="s">
        <v>293</v>
      </c>
      <c r="F1170" s="751">
        <v>5495</v>
      </c>
    </row>
    <row r="1171" spans="1:6">
      <c r="A1171" s="753"/>
      <c r="B1171" s="753"/>
      <c r="C1171" s="752" t="s">
        <v>50406</v>
      </c>
      <c r="D1171" s="753" t="s">
        <v>50393</v>
      </c>
      <c r="E1171" s="752" t="s">
        <v>293</v>
      </c>
      <c r="F1171" s="751">
        <v>5495</v>
      </c>
    </row>
    <row r="1172" spans="1:6">
      <c r="A1172" s="753"/>
      <c r="B1172" s="753"/>
      <c r="C1172" s="752" t="s">
        <v>50405</v>
      </c>
      <c r="D1172" s="753" t="s">
        <v>50395</v>
      </c>
      <c r="E1172" s="752" t="s">
        <v>39097</v>
      </c>
      <c r="F1172" s="751">
        <v>5645</v>
      </c>
    </row>
    <row r="1173" spans="1:6">
      <c r="A1173" s="753"/>
      <c r="B1173" s="753"/>
      <c r="C1173" s="752" t="s">
        <v>50404</v>
      </c>
      <c r="D1173" s="753" t="s">
        <v>50395</v>
      </c>
      <c r="E1173" s="752" t="s">
        <v>49149</v>
      </c>
      <c r="F1173" s="751">
        <v>6405</v>
      </c>
    </row>
    <row r="1174" spans="1:6">
      <c r="A1174" s="753"/>
      <c r="B1174" s="753"/>
      <c r="C1174" s="752" t="s">
        <v>50403</v>
      </c>
      <c r="D1174" s="753" t="s">
        <v>50395</v>
      </c>
      <c r="E1174" s="752" t="s">
        <v>50402</v>
      </c>
      <c r="F1174" s="751">
        <v>6405</v>
      </c>
    </row>
    <row r="1175" spans="1:6">
      <c r="A1175" s="753"/>
      <c r="B1175" s="753"/>
      <c r="C1175" s="752" t="s">
        <v>50401</v>
      </c>
      <c r="D1175" s="753" t="s">
        <v>50393</v>
      </c>
      <c r="E1175" s="752" t="s">
        <v>293</v>
      </c>
      <c r="F1175" s="751">
        <v>5495</v>
      </c>
    </row>
    <row r="1176" spans="1:6">
      <c r="A1176" s="753"/>
      <c r="B1176" s="753"/>
      <c r="C1176" s="752" t="s">
        <v>50400</v>
      </c>
      <c r="D1176" s="753" t="s">
        <v>50393</v>
      </c>
      <c r="E1176" s="752" t="s">
        <v>39011</v>
      </c>
      <c r="F1176" s="751">
        <v>6255</v>
      </c>
    </row>
    <row r="1177" spans="1:6">
      <c r="A1177" s="753"/>
      <c r="B1177" s="753"/>
      <c r="C1177" s="752" t="s">
        <v>50399</v>
      </c>
      <c r="D1177" s="753" t="s">
        <v>50393</v>
      </c>
      <c r="E1177" s="752" t="s">
        <v>38570</v>
      </c>
      <c r="F1177" s="751">
        <v>5645</v>
      </c>
    </row>
    <row r="1178" spans="1:6">
      <c r="A1178" s="753"/>
      <c r="B1178" s="753"/>
      <c r="C1178" s="752" t="s">
        <v>50398</v>
      </c>
      <c r="D1178" s="753" t="s">
        <v>50393</v>
      </c>
      <c r="E1178" s="752" t="s">
        <v>38584</v>
      </c>
      <c r="F1178" s="751">
        <v>5645</v>
      </c>
    </row>
    <row r="1179" spans="1:6">
      <c r="A1179" s="753"/>
      <c r="B1179" s="753"/>
      <c r="C1179" s="752" t="s">
        <v>50397</v>
      </c>
      <c r="D1179" s="753" t="s">
        <v>50393</v>
      </c>
      <c r="E1179" s="752" t="s">
        <v>38783</v>
      </c>
      <c r="F1179" s="751">
        <v>5495</v>
      </c>
    </row>
    <row r="1180" spans="1:6">
      <c r="A1180" s="753"/>
      <c r="B1180" s="753"/>
      <c r="C1180" s="752" t="s">
        <v>50396</v>
      </c>
      <c r="D1180" s="753" t="s">
        <v>50395</v>
      </c>
      <c r="E1180" s="752" t="s">
        <v>293</v>
      </c>
      <c r="F1180" s="751">
        <v>5495</v>
      </c>
    </row>
    <row r="1181" spans="1:6">
      <c r="A1181" s="753"/>
      <c r="B1181" s="753"/>
      <c r="C1181" s="752" t="s">
        <v>50394</v>
      </c>
      <c r="D1181" s="753" t="s">
        <v>50393</v>
      </c>
      <c r="E1181" s="752" t="s">
        <v>293</v>
      </c>
      <c r="F1181" s="751">
        <v>5495</v>
      </c>
    </row>
    <row r="1182" spans="1:6">
      <c r="A1182" s="753"/>
      <c r="B1182" s="753"/>
      <c r="C1182" s="752" t="s">
        <v>50392</v>
      </c>
      <c r="D1182" s="753" t="s">
        <v>50391</v>
      </c>
      <c r="E1182" s="752" t="s">
        <v>50390</v>
      </c>
      <c r="F1182" s="751">
        <v>7255</v>
      </c>
    </row>
    <row r="1183" spans="1:6">
      <c r="A1183" s="753"/>
      <c r="B1183" s="753"/>
      <c r="C1183" s="752" t="s">
        <v>50389</v>
      </c>
      <c r="D1183" s="753" t="s">
        <v>50387</v>
      </c>
      <c r="E1183" s="752" t="s">
        <v>293</v>
      </c>
      <c r="F1183" s="751">
        <v>7945</v>
      </c>
    </row>
    <row r="1184" spans="1:6">
      <c r="A1184" s="753"/>
      <c r="B1184" s="753"/>
      <c r="C1184" s="752" t="s">
        <v>50388</v>
      </c>
      <c r="D1184" s="753" t="s">
        <v>50387</v>
      </c>
      <c r="E1184" s="752" t="s">
        <v>293</v>
      </c>
      <c r="F1184" s="751">
        <v>7255</v>
      </c>
    </row>
    <row r="1185" spans="1:6">
      <c r="A1185" s="753"/>
      <c r="B1185" s="753"/>
      <c r="C1185" s="752" t="s">
        <v>50386</v>
      </c>
      <c r="D1185" s="753" t="s">
        <v>50385</v>
      </c>
      <c r="E1185" s="752" t="s">
        <v>42876</v>
      </c>
      <c r="F1185" s="751">
        <v>7255</v>
      </c>
    </row>
    <row r="1186" spans="1:6">
      <c r="A1186" s="753"/>
      <c r="B1186" s="753"/>
      <c r="C1186" s="752" t="s">
        <v>50384</v>
      </c>
      <c r="D1186" s="753" t="s">
        <v>50381</v>
      </c>
      <c r="E1186" s="752" t="s">
        <v>293</v>
      </c>
      <c r="F1186" s="751">
        <v>8635</v>
      </c>
    </row>
    <row r="1187" spans="1:6">
      <c r="A1187" s="753"/>
      <c r="B1187" s="753"/>
      <c r="C1187" s="752" t="s">
        <v>50383</v>
      </c>
      <c r="D1187" s="753" t="s">
        <v>50381</v>
      </c>
      <c r="E1187" s="752" t="s">
        <v>293</v>
      </c>
      <c r="F1187" s="751">
        <v>8635</v>
      </c>
    </row>
    <row r="1188" spans="1:6">
      <c r="A1188" s="753"/>
      <c r="B1188" s="753"/>
      <c r="C1188" s="752" t="s">
        <v>50382</v>
      </c>
      <c r="D1188" s="753" t="s">
        <v>50381</v>
      </c>
      <c r="E1188" s="752" t="s">
        <v>293</v>
      </c>
      <c r="F1188" s="751">
        <v>8635</v>
      </c>
    </row>
    <row r="1189" spans="1:6">
      <c r="A1189" s="753"/>
      <c r="B1189" s="753"/>
      <c r="C1189" s="752" t="s">
        <v>50380</v>
      </c>
      <c r="D1189" s="753" t="s">
        <v>50376</v>
      </c>
      <c r="E1189" s="752" t="s">
        <v>43116</v>
      </c>
      <c r="F1189" s="751">
        <v>4375</v>
      </c>
    </row>
    <row r="1190" spans="1:6">
      <c r="A1190" s="753"/>
      <c r="B1190" s="753"/>
      <c r="C1190" s="752" t="s">
        <v>50379</v>
      </c>
      <c r="D1190" s="753" t="s">
        <v>50376</v>
      </c>
      <c r="E1190" s="752" t="s">
        <v>50378</v>
      </c>
      <c r="F1190" s="751">
        <v>4375</v>
      </c>
    </row>
    <row r="1191" spans="1:6">
      <c r="A1191" s="753"/>
      <c r="B1191" s="753"/>
      <c r="C1191" s="752" t="s">
        <v>50377</v>
      </c>
      <c r="D1191" s="753" t="s">
        <v>50376</v>
      </c>
      <c r="E1191" s="752" t="s">
        <v>50375</v>
      </c>
      <c r="F1191" s="751">
        <v>4325</v>
      </c>
    </row>
    <row r="1192" spans="1:6">
      <c r="A1192" s="753"/>
      <c r="B1192" s="753"/>
      <c r="C1192" s="752" t="s">
        <v>50374</v>
      </c>
      <c r="D1192" s="753" t="s">
        <v>50373</v>
      </c>
      <c r="E1192" s="752" t="s">
        <v>39097</v>
      </c>
      <c r="F1192" s="751">
        <v>4745</v>
      </c>
    </row>
    <row r="1193" spans="1:6">
      <c r="A1193" s="753"/>
      <c r="B1193" s="753"/>
      <c r="C1193" s="752" t="s">
        <v>50372</v>
      </c>
      <c r="D1193" s="753" t="s">
        <v>50367</v>
      </c>
      <c r="E1193" s="752" t="s">
        <v>39097</v>
      </c>
      <c r="F1193" s="751">
        <v>2925</v>
      </c>
    </row>
    <row r="1194" spans="1:6">
      <c r="A1194" s="753"/>
      <c r="B1194" s="753"/>
      <c r="C1194" s="752" t="s">
        <v>50371</v>
      </c>
      <c r="D1194" s="753" t="s">
        <v>50367</v>
      </c>
      <c r="E1194" s="752" t="s">
        <v>50366</v>
      </c>
      <c r="F1194" s="751">
        <v>2925</v>
      </c>
    </row>
    <row r="1195" spans="1:6">
      <c r="A1195" s="753"/>
      <c r="B1195" s="753"/>
      <c r="C1195" s="752" t="s">
        <v>50370</v>
      </c>
      <c r="D1195" s="753" t="s">
        <v>50367</v>
      </c>
      <c r="E1195" s="752" t="s">
        <v>50369</v>
      </c>
      <c r="F1195" s="751">
        <v>2925</v>
      </c>
    </row>
    <row r="1196" spans="1:6">
      <c r="A1196" s="753"/>
      <c r="B1196" s="753"/>
      <c r="C1196" s="752" t="s">
        <v>50368</v>
      </c>
      <c r="D1196" s="753" t="s">
        <v>50367</v>
      </c>
      <c r="E1196" s="752" t="s">
        <v>50366</v>
      </c>
      <c r="F1196" s="751">
        <v>2925</v>
      </c>
    </row>
    <row r="1197" spans="1:6">
      <c r="A1197" s="753"/>
      <c r="B1197" s="753"/>
      <c r="C1197" s="752" t="s">
        <v>50365</v>
      </c>
      <c r="D1197" s="753" t="s">
        <v>50363</v>
      </c>
      <c r="E1197" s="752" t="s">
        <v>293</v>
      </c>
      <c r="F1197" s="751">
        <v>4130</v>
      </c>
    </row>
    <row r="1198" spans="1:6">
      <c r="A1198" s="753"/>
      <c r="B1198" s="753"/>
      <c r="C1198" s="752" t="s">
        <v>50364</v>
      </c>
      <c r="D1198" s="753" t="s">
        <v>50363</v>
      </c>
      <c r="E1198" s="752" t="s">
        <v>293</v>
      </c>
      <c r="F1198" s="751">
        <v>4130</v>
      </c>
    </row>
    <row r="1199" spans="1:6">
      <c r="A1199" s="753"/>
      <c r="B1199" s="753"/>
      <c r="C1199" s="752" t="s">
        <v>50362</v>
      </c>
      <c r="D1199" s="753" t="s">
        <v>50356</v>
      </c>
      <c r="E1199" s="752" t="s">
        <v>38584</v>
      </c>
      <c r="F1199" s="751">
        <v>5995</v>
      </c>
    </row>
    <row r="1200" spans="1:6">
      <c r="A1200" s="753"/>
      <c r="B1200" s="753"/>
      <c r="C1200" s="752" t="s">
        <v>50361</v>
      </c>
      <c r="D1200" s="753" t="s">
        <v>50352</v>
      </c>
      <c r="E1200" s="752" t="s">
        <v>38584</v>
      </c>
      <c r="F1200" s="751">
        <v>5925</v>
      </c>
    </row>
    <row r="1201" spans="1:6">
      <c r="A1201" s="753"/>
      <c r="B1201" s="753"/>
      <c r="C1201" s="752" t="s">
        <v>50360</v>
      </c>
      <c r="D1201" s="753" t="s">
        <v>50352</v>
      </c>
      <c r="E1201" s="752" t="s">
        <v>39097</v>
      </c>
      <c r="F1201" s="751">
        <v>5975</v>
      </c>
    </row>
    <row r="1202" spans="1:6">
      <c r="A1202" s="753"/>
      <c r="B1202" s="753"/>
      <c r="C1202" s="752" t="s">
        <v>50359</v>
      </c>
      <c r="D1202" s="753" t="s">
        <v>50358</v>
      </c>
      <c r="E1202" s="752" t="s">
        <v>38570</v>
      </c>
      <c r="F1202" s="751">
        <v>3925</v>
      </c>
    </row>
    <row r="1203" spans="1:6">
      <c r="A1203" s="753"/>
      <c r="B1203" s="753"/>
      <c r="C1203" s="752" t="s">
        <v>50357</v>
      </c>
      <c r="D1203" s="753" t="s">
        <v>50356</v>
      </c>
      <c r="E1203" s="752" t="s">
        <v>38584</v>
      </c>
      <c r="F1203" s="751">
        <v>5995</v>
      </c>
    </row>
    <row r="1204" spans="1:6">
      <c r="A1204" s="753"/>
      <c r="B1204" s="753"/>
      <c r="C1204" s="752" t="s">
        <v>50355</v>
      </c>
      <c r="D1204" s="753" t="s">
        <v>50354</v>
      </c>
      <c r="E1204" s="752" t="s">
        <v>38584</v>
      </c>
      <c r="F1204" s="751">
        <v>8655</v>
      </c>
    </row>
    <row r="1205" spans="1:6">
      <c r="A1205" s="753"/>
      <c r="B1205" s="753"/>
      <c r="C1205" s="752" t="s">
        <v>50353</v>
      </c>
      <c r="D1205" s="753" t="s">
        <v>50352</v>
      </c>
      <c r="E1205" s="752" t="s">
        <v>38584</v>
      </c>
      <c r="F1205" s="751">
        <v>5975</v>
      </c>
    </row>
    <row r="1206" spans="1:6">
      <c r="A1206" s="753"/>
      <c r="B1206" s="753"/>
      <c r="C1206" s="752" t="s">
        <v>50351</v>
      </c>
      <c r="D1206" s="753" t="s">
        <v>50350</v>
      </c>
      <c r="E1206" s="752" t="s">
        <v>49604</v>
      </c>
      <c r="F1206" s="751">
        <v>9045</v>
      </c>
    </row>
    <row r="1207" spans="1:6">
      <c r="A1207" s="753"/>
      <c r="B1207" s="753"/>
      <c r="C1207" s="752" t="s">
        <v>50349</v>
      </c>
      <c r="D1207" s="753" t="s">
        <v>50335</v>
      </c>
      <c r="E1207" s="752" t="s">
        <v>293</v>
      </c>
      <c r="F1207" s="751">
        <v>2949</v>
      </c>
    </row>
    <row r="1208" spans="1:6">
      <c r="A1208" s="753"/>
      <c r="B1208" s="753"/>
      <c r="C1208" s="752" t="s">
        <v>50348</v>
      </c>
      <c r="D1208" s="753" t="s">
        <v>50335</v>
      </c>
      <c r="E1208" s="752" t="s">
        <v>293</v>
      </c>
      <c r="F1208" s="751">
        <v>2949</v>
      </c>
    </row>
    <row r="1209" spans="1:6">
      <c r="A1209" s="753"/>
      <c r="B1209" s="753"/>
      <c r="C1209" s="752" t="s">
        <v>50347</v>
      </c>
      <c r="D1209" s="753" t="s">
        <v>50333</v>
      </c>
      <c r="E1209" s="752" t="s">
        <v>293</v>
      </c>
      <c r="F1209" s="751">
        <v>4049</v>
      </c>
    </row>
    <row r="1210" spans="1:6">
      <c r="A1210" s="753"/>
      <c r="B1210" s="753"/>
      <c r="C1210" s="752" t="s">
        <v>50346</v>
      </c>
      <c r="D1210" s="753" t="s">
        <v>50337</v>
      </c>
      <c r="E1210" s="752" t="s">
        <v>293</v>
      </c>
      <c r="F1210" s="751">
        <v>4099</v>
      </c>
    </row>
    <row r="1211" spans="1:6">
      <c r="A1211" s="753"/>
      <c r="B1211" s="753"/>
      <c r="C1211" s="752" t="s">
        <v>50345</v>
      </c>
      <c r="D1211" s="753" t="s">
        <v>50331</v>
      </c>
      <c r="E1211" s="752" t="s">
        <v>293</v>
      </c>
      <c r="F1211" s="751">
        <v>3649</v>
      </c>
    </row>
    <row r="1212" spans="1:6">
      <c r="A1212" s="753"/>
      <c r="B1212" s="753"/>
      <c r="C1212" s="752" t="s">
        <v>50344</v>
      </c>
      <c r="D1212" s="753" t="s">
        <v>50335</v>
      </c>
      <c r="E1212" s="752" t="s">
        <v>39097</v>
      </c>
      <c r="F1212" s="751">
        <v>2949</v>
      </c>
    </row>
    <row r="1213" spans="1:6">
      <c r="A1213" s="753"/>
      <c r="B1213" s="753"/>
      <c r="C1213" s="752" t="s">
        <v>50343</v>
      </c>
      <c r="D1213" s="753" t="s">
        <v>50333</v>
      </c>
      <c r="E1213" s="752" t="s">
        <v>39097</v>
      </c>
      <c r="F1213" s="751">
        <v>4000</v>
      </c>
    </row>
    <row r="1214" spans="1:6">
      <c r="A1214" s="753"/>
      <c r="B1214" s="753"/>
      <c r="C1214" s="752" t="s">
        <v>50342</v>
      </c>
      <c r="D1214" s="753" t="s">
        <v>50333</v>
      </c>
      <c r="E1214" s="752" t="s">
        <v>49149</v>
      </c>
      <c r="F1214" s="751">
        <v>4760</v>
      </c>
    </row>
    <row r="1215" spans="1:6">
      <c r="A1215" s="753"/>
      <c r="B1215" s="753"/>
      <c r="C1215" s="752" t="s">
        <v>50341</v>
      </c>
      <c r="D1215" s="753" t="s">
        <v>50337</v>
      </c>
      <c r="E1215" s="752" t="s">
        <v>39097</v>
      </c>
      <c r="F1215" s="751">
        <v>4099</v>
      </c>
    </row>
    <row r="1216" spans="1:6">
      <c r="A1216" s="753"/>
      <c r="B1216" s="753"/>
      <c r="C1216" s="752" t="s">
        <v>50340</v>
      </c>
      <c r="D1216" s="753" t="s">
        <v>50331</v>
      </c>
      <c r="E1216" s="752" t="s">
        <v>39097</v>
      </c>
      <c r="F1216" s="751">
        <v>3649</v>
      </c>
    </row>
    <row r="1217" spans="1:6">
      <c r="A1217" s="753"/>
      <c r="B1217" s="753"/>
      <c r="C1217" s="752" t="s">
        <v>50339</v>
      </c>
      <c r="D1217" s="753" t="s">
        <v>50335</v>
      </c>
      <c r="E1217" s="752" t="s">
        <v>38584</v>
      </c>
      <c r="F1217" s="751">
        <v>2949</v>
      </c>
    </row>
    <row r="1218" spans="1:6">
      <c r="A1218" s="753"/>
      <c r="B1218" s="753"/>
      <c r="C1218" s="752" t="s">
        <v>50338</v>
      </c>
      <c r="D1218" s="753" t="s">
        <v>50337</v>
      </c>
      <c r="E1218" s="752" t="s">
        <v>38584</v>
      </c>
      <c r="F1218" s="751">
        <v>4099</v>
      </c>
    </row>
    <row r="1219" spans="1:6">
      <c r="A1219" s="753"/>
      <c r="B1219" s="753"/>
      <c r="C1219" s="752" t="s">
        <v>50336</v>
      </c>
      <c r="D1219" s="753" t="s">
        <v>50335</v>
      </c>
      <c r="E1219" s="752" t="s">
        <v>38539</v>
      </c>
      <c r="F1219" s="751">
        <v>4249</v>
      </c>
    </row>
    <row r="1220" spans="1:6">
      <c r="A1220" s="753"/>
      <c r="B1220" s="753"/>
      <c r="C1220" s="752" t="s">
        <v>50334</v>
      </c>
      <c r="D1220" s="753" t="s">
        <v>50333</v>
      </c>
      <c r="E1220" s="752" t="s">
        <v>38539</v>
      </c>
      <c r="F1220" s="751">
        <v>4000</v>
      </c>
    </row>
    <row r="1221" spans="1:6">
      <c r="A1221" s="753"/>
      <c r="B1221" s="753"/>
      <c r="C1221" s="752" t="s">
        <v>50332</v>
      </c>
      <c r="D1221" s="753" t="s">
        <v>50331</v>
      </c>
      <c r="E1221" s="752" t="s">
        <v>293</v>
      </c>
      <c r="F1221" s="751">
        <v>3649</v>
      </c>
    </row>
    <row r="1222" spans="1:6">
      <c r="A1222" s="753"/>
      <c r="B1222" s="753"/>
      <c r="C1222" s="752" t="s">
        <v>50330</v>
      </c>
      <c r="D1222" s="753" t="s">
        <v>50324</v>
      </c>
      <c r="E1222" s="752" t="s">
        <v>293</v>
      </c>
      <c r="F1222" s="751">
        <v>3249</v>
      </c>
    </row>
    <row r="1223" spans="1:6">
      <c r="A1223" s="753"/>
      <c r="B1223" s="753"/>
      <c r="C1223" s="752" t="s">
        <v>50329</v>
      </c>
      <c r="D1223" s="753" t="s">
        <v>50326</v>
      </c>
      <c r="E1223" s="752" t="s">
        <v>293</v>
      </c>
      <c r="F1223" s="751">
        <v>3349</v>
      </c>
    </row>
    <row r="1224" spans="1:6">
      <c r="A1224" s="753"/>
      <c r="B1224" s="753"/>
      <c r="C1224" s="752" t="s">
        <v>50328</v>
      </c>
      <c r="D1224" s="753" t="s">
        <v>50324</v>
      </c>
      <c r="E1224" s="752" t="s">
        <v>39097</v>
      </c>
      <c r="F1224" s="751">
        <v>3249</v>
      </c>
    </row>
    <row r="1225" spans="1:6">
      <c r="A1225" s="753"/>
      <c r="B1225" s="753"/>
      <c r="C1225" s="752" t="s">
        <v>50327</v>
      </c>
      <c r="D1225" s="753" t="s">
        <v>50326</v>
      </c>
      <c r="E1225" s="752" t="s">
        <v>39097</v>
      </c>
      <c r="F1225" s="751">
        <v>3349</v>
      </c>
    </row>
    <row r="1226" spans="1:6">
      <c r="A1226" s="753"/>
      <c r="B1226" s="753"/>
      <c r="C1226" s="752" t="s">
        <v>50325</v>
      </c>
      <c r="D1226" s="753" t="s">
        <v>50324</v>
      </c>
      <c r="E1226" s="752" t="s">
        <v>38584</v>
      </c>
      <c r="F1226" s="751">
        <v>3199</v>
      </c>
    </row>
    <row r="1227" spans="1:6">
      <c r="A1227" s="753"/>
      <c r="B1227" s="753"/>
      <c r="C1227" s="752" t="s">
        <v>50323</v>
      </c>
      <c r="D1227" s="753" t="s">
        <v>50321</v>
      </c>
      <c r="E1227" s="752" t="s">
        <v>293</v>
      </c>
      <c r="F1227" s="751">
        <v>3849</v>
      </c>
    </row>
    <row r="1228" spans="1:6">
      <c r="A1228" s="753"/>
      <c r="B1228" s="753"/>
      <c r="C1228" s="752" t="s">
        <v>50322</v>
      </c>
      <c r="D1228" s="753" t="s">
        <v>50321</v>
      </c>
      <c r="E1228" s="752" t="s">
        <v>39097</v>
      </c>
      <c r="F1228" s="751">
        <v>3849</v>
      </c>
    </row>
    <row r="1229" spans="1:6">
      <c r="A1229" s="753"/>
      <c r="B1229" s="753"/>
      <c r="C1229" s="752" t="s">
        <v>50320</v>
      </c>
      <c r="D1229" s="753" t="s">
        <v>50317</v>
      </c>
      <c r="E1229" s="752" t="s">
        <v>293</v>
      </c>
      <c r="F1229" s="751">
        <v>4099</v>
      </c>
    </row>
    <row r="1230" spans="1:6">
      <c r="A1230" s="753"/>
      <c r="B1230" s="753"/>
      <c r="C1230" s="752" t="s">
        <v>50319</v>
      </c>
      <c r="D1230" s="753" t="s">
        <v>50317</v>
      </c>
      <c r="E1230" s="752" t="s">
        <v>39097</v>
      </c>
      <c r="F1230" s="751">
        <v>4099</v>
      </c>
    </row>
    <row r="1231" spans="1:6">
      <c r="A1231" s="753"/>
      <c r="B1231" s="753"/>
      <c r="C1231" s="752" t="s">
        <v>50318</v>
      </c>
      <c r="D1231" s="753" t="s">
        <v>50317</v>
      </c>
      <c r="E1231" s="752" t="s">
        <v>39097</v>
      </c>
      <c r="F1231" s="751">
        <v>4049</v>
      </c>
    </row>
    <row r="1232" spans="1:6">
      <c r="A1232" s="753"/>
      <c r="B1232" s="753"/>
      <c r="C1232" s="752" t="s">
        <v>50316</v>
      </c>
      <c r="D1232" s="753" t="s">
        <v>43230</v>
      </c>
      <c r="E1232" s="752" t="s">
        <v>43103</v>
      </c>
      <c r="F1232" s="751">
        <v>3075</v>
      </c>
    </row>
    <row r="1233" spans="1:6">
      <c r="A1233" s="753"/>
      <c r="B1233" s="753"/>
      <c r="C1233" s="752" t="s">
        <v>50315</v>
      </c>
      <c r="D1233" s="753" t="s">
        <v>43230</v>
      </c>
      <c r="E1233" s="752" t="s">
        <v>42893</v>
      </c>
      <c r="F1233" s="751">
        <v>2575</v>
      </c>
    </row>
    <row r="1234" spans="1:6">
      <c r="A1234" s="753"/>
      <c r="B1234" s="753"/>
      <c r="C1234" s="752" t="s">
        <v>50314</v>
      </c>
      <c r="D1234" s="753" t="s">
        <v>43230</v>
      </c>
      <c r="E1234" s="752" t="s">
        <v>50313</v>
      </c>
      <c r="F1234" s="751">
        <v>3335</v>
      </c>
    </row>
    <row r="1235" spans="1:6">
      <c r="A1235" s="753"/>
      <c r="B1235" s="753"/>
      <c r="C1235" s="752" t="s">
        <v>50312</v>
      </c>
      <c r="D1235" s="753" t="s">
        <v>43230</v>
      </c>
      <c r="E1235" s="752" t="s">
        <v>43094</v>
      </c>
      <c r="F1235" s="751">
        <v>3335</v>
      </c>
    </row>
    <row r="1236" spans="1:6">
      <c r="A1236" s="753"/>
      <c r="B1236" s="753"/>
      <c r="C1236" s="752" t="s">
        <v>50311</v>
      </c>
      <c r="D1236" s="753" t="s">
        <v>43230</v>
      </c>
      <c r="E1236" s="752" t="s">
        <v>43103</v>
      </c>
      <c r="F1236" s="751">
        <v>3075</v>
      </c>
    </row>
    <row r="1237" spans="1:6">
      <c r="A1237" s="753"/>
      <c r="B1237" s="753"/>
      <c r="C1237" s="752" t="s">
        <v>50310</v>
      </c>
      <c r="D1237" s="753" t="s">
        <v>43230</v>
      </c>
      <c r="E1237" s="752" t="s">
        <v>50305</v>
      </c>
      <c r="F1237" s="751">
        <v>3075</v>
      </c>
    </row>
    <row r="1238" spans="1:6">
      <c r="A1238" s="753"/>
      <c r="B1238" s="753"/>
      <c r="C1238" s="752" t="s">
        <v>50309</v>
      </c>
      <c r="D1238" s="753" t="s">
        <v>43230</v>
      </c>
      <c r="E1238" s="752" t="s">
        <v>50308</v>
      </c>
      <c r="F1238" s="751">
        <v>3835</v>
      </c>
    </row>
    <row r="1239" spans="1:6">
      <c r="A1239" s="753"/>
      <c r="B1239" s="753"/>
      <c r="C1239" s="752" t="s">
        <v>50307</v>
      </c>
      <c r="D1239" s="753" t="s">
        <v>43230</v>
      </c>
      <c r="E1239" s="752" t="s">
        <v>42903</v>
      </c>
      <c r="F1239" s="751">
        <v>2575</v>
      </c>
    </row>
    <row r="1240" spans="1:6">
      <c r="A1240" s="753"/>
      <c r="B1240" s="753"/>
      <c r="C1240" s="752" t="s">
        <v>50306</v>
      </c>
      <c r="D1240" s="753" t="s">
        <v>43230</v>
      </c>
      <c r="E1240" s="752" t="s">
        <v>50305</v>
      </c>
      <c r="F1240" s="751">
        <v>2575</v>
      </c>
    </row>
    <row r="1241" spans="1:6">
      <c r="A1241" s="753"/>
      <c r="B1241" s="753"/>
      <c r="C1241" s="752" t="s">
        <v>50304</v>
      </c>
      <c r="D1241" s="753" t="s">
        <v>43230</v>
      </c>
      <c r="E1241" s="752" t="s">
        <v>42901</v>
      </c>
      <c r="F1241" s="751">
        <v>3335</v>
      </c>
    </row>
    <row r="1242" spans="1:6">
      <c r="A1242" s="753"/>
      <c r="B1242" s="753"/>
      <c r="C1242" s="752" t="s">
        <v>50303</v>
      </c>
      <c r="D1242" s="753" t="s">
        <v>43230</v>
      </c>
      <c r="E1242" s="752" t="s">
        <v>43094</v>
      </c>
      <c r="F1242" s="751">
        <v>3335</v>
      </c>
    </row>
    <row r="1243" spans="1:6">
      <c r="A1243" s="753"/>
      <c r="B1243" s="753"/>
      <c r="C1243" s="752" t="s">
        <v>50302</v>
      </c>
      <c r="D1243" s="753" t="s">
        <v>50291</v>
      </c>
      <c r="E1243" s="752" t="s">
        <v>50301</v>
      </c>
      <c r="F1243" s="751">
        <v>2925</v>
      </c>
    </row>
    <row r="1244" spans="1:6">
      <c r="A1244" s="753"/>
      <c r="B1244" s="753"/>
      <c r="C1244" s="752" t="s">
        <v>50300</v>
      </c>
      <c r="D1244" s="753" t="s">
        <v>43230</v>
      </c>
      <c r="E1244" s="752" t="s">
        <v>43103</v>
      </c>
      <c r="F1244" s="751">
        <v>3075</v>
      </c>
    </row>
    <row r="1245" spans="1:6">
      <c r="A1245" s="753"/>
      <c r="B1245" s="753"/>
      <c r="C1245" s="752" t="s">
        <v>50299</v>
      </c>
      <c r="D1245" s="753" t="s">
        <v>43230</v>
      </c>
      <c r="E1245" s="752" t="s">
        <v>42903</v>
      </c>
      <c r="F1245" s="751">
        <v>2575</v>
      </c>
    </row>
    <row r="1246" spans="1:6">
      <c r="A1246" s="753"/>
      <c r="B1246" s="753"/>
      <c r="C1246" s="752" t="s">
        <v>50298</v>
      </c>
      <c r="D1246" s="753" t="s">
        <v>43230</v>
      </c>
      <c r="E1246" s="752" t="s">
        <v>43094</v>
      </c>
      <c r="F1246" s="751">
        <v>3335</v>
      </c>
    </row>
    <row r="1247" spans="1:6">
      <c r="A1247" s="753"/>
      <c r="B1247" s="753"/>
      <c r="C1247" s="752" t="s">
        <v>50297</v>
      </c>
      <c r="D1247" s="753" t="s">
        <v>43230</v>
      </c>
      <c r="E1247" s="752" t="s">
        <v>50296</v>
      </c>
      <c r="F1247" s="751">
        <v>2925</v>
      </c>
    </row>
    <row r="1248" spans="1:6">
      <c r="A1248" s="753"/>
      <c r="B1248" s="753"/>
      <c r="C1248" s="752" t="s">
        <v>50295</v>
      </c>
      <c r="D1248" s="753" t="s">
        <v>43230</v>
      </c>
      <c r="E1248" s="752" t="s">
        <v>42887</v>
      </c>
      <c r="F1248" s="751">
        <v>3075</v>
      </c>
    </row>
    <row r="1249" spans="1:6">
      <c r="A1249" s="753"/>
      <c r="B1249" s="753"/>
      <c r="C1249" s="752" t="s">
        <v>50294</v>
      </c>
      <c r="D1249" s="753" t="s">
        <v>43230</v>
      </c>
      <c r="E1249" s="752" t="s">
        <v>50293</v>
      </c>
      <c r="F1249" s="751">
        <v>3455</v>
      </c>
    </row>
    <row r="1250" spans="1:6">
      <c r="A1250" s="753"/>
      <c r="B1250" s="753"/>
      <c r="C1250" s="752" t="s">
        <v>50292</v>
      </c>
      <c r="D1250" s="753" t="s">
        <v>50291</v>
      </c>
      <c r="E1250" s="752" t="s">
        <v>50290</v>
      </c>
      <c r="F1250" s="751">
        <v>2675</v>
      </c>
    </row>
    <row r="1251" spans="1:6">
      <c r="A1251" s="753"/>
      <c r="B1251" s="753"/>
      <c r="C1251" s="752" t="s">
        <v>50289</v>
      </c>
      <c r="D1251" s="753" t="s">
        <v>43230</v>
      </c>
      <c r="E1251" s="752" t="s">
        <v>50288</v>
      </c>
      <c r="F1251" s="751">
        <v>3835</v>
      </c>
    </row>
    <row r="1252" spans="1:6">
      <c r="A1252" s="753"/>
      <c r="B1252" s="753"/>
      <c r="C1252" s="752" t="s">
        <v>50287</v>
      </c>
      <c r="D1252" s="753" t="s">
        <v>43230</v>
      </c>
      <c r="E1252" s="752" t="s">
        <v>42885</v>
      </c>
      <c r="F1252" s="751">
        <v>2575</v>
      </c>
    </row>
    <row r="1253" spans="1:6">
      <c r="A1253" s="753"/>
      <c r="B1253" s="753"/>
      <c r="C1253" s="752" t="s">
        <v>50286</v>
      </c>
      <c r="D1253" s="753" t="s">
        <v>43230</v>
      </c>
      <c r="E1253" s="752" t="s">
        <v>50285</v>
      </c>
      <c r="F1253" s="751">
        <v>3335</v>
      </c>
    </row>
    <row r="1254" spans="1:6">
      <c r="A1254" s="753"/>
      <c r="B1254" s="753"/>
      <c r="C1254" s="752" t="s">
        <v>50284</v>
      </c>
      <c r="D1254" s="753" t="s">
        <v>43230</v>
      </c>
      <c r="E1254" s="752" t="s">
        <v>50213</v>
      </c>
      <c r="F1254" s="751">
        <v>2575</v>
      </c>
    </row>
    <row r="1255" spans="1:6">
      <c r="A1255" s="753"/>
      <c r="B1255" s="753"/>
      <c r="C1255" s="752" t="s">
        <v>50283</v>
      </c>
      <c r="D1255" s="753" t="s">
        <v>43230</v>
      </c>
      <c r="E1255" s="752" t="s">
        <v>50282</v>
      </c>
      <c r="F1255" s="751">
        <v>3665</v>
      </c>
    </row>
    <row r="1256" spans="1:6">
      <c r="A1256" s="753"/>
      <c r="B1256" s="753"/>
      <c r="C1256" s="752" t="s">
        <v>50281</v>
      </c>
      <c r="D1256" s="753" t="s">
        <v>43230</v>
      </c>
      <c r="E1256" s="752" t="s">
        <v>50280</v>
      </c>
      <c r="F1256" s="751">
        <v>3075</v>
      </c>
    </row>
    <row r="1257" spans="1:6">
      <c r="A1257" s="753"/>
      <c r="B1257" s="753"/>
      <c r="C1257" s="752" t="s">
        <v>50279</v>
      </c>
      <c r="D1257" s="753" t="s">
        <v>43230</v>
      </c>
      <c r="E1257" s="752" t="s">
        <v>50278</v>
      </c>
      <c r="F1257" s="751">
        <v>3075</v>
      </c>
    </row>
    <row r="1258" spans="1:6">
      <c r="A1258" s="753"/>
      <c r="B1258" s="753"/>
      <c r="C1258" s="752" t="s">
        <v>50277</v>
      </c>
      <c r="D1258" s="753" t="s">
        <v>43230</v>
      </c>
      <c r="E1258" s="752" t="s">
        <v>50276</v>
      </c>
      <c r="F1258" s="751">
        <v>3075</v>
      </c>
    </row>
    <row r="1259" spans="1:6">
      <c r="A1259" s="753"/>
      <c r="B1259" s="753"/>
      <c r="C1259" s="752" t="s">
        <v>50275</v>
      </c>
      <c r="D1259" s="753" t="s">
        <v>43230</v>
      </c>
      <c r="E1259" s="752" t="s">
        <v>50274</v>
      </c>
      <c r="F1259" s="751">
        <v>3835</v>
      </c>
    </row>
    <row r="1260" spans="1:6">
      <c r="A1260" s="753"/>
      <c r="B1260" s="753"/>
      <c r="C1260" s="752" t="s">
        <v>50273</v>
      </c>
      <c r="D1260" s="753" t="s">
        <v>43230</v>
      </c>
      <c r="E1260" s="752" t="s">
        <v>49978</v>
      </c>
      <c r="F1260" s="751">
        <v>3075</v>
      </c>
    </row>
    <row r="1261" spans="1:6">
      <c r="A1261" s="753"/>
      <c r="B1261" s="753"/>
      <c r="C1261" s="752" t="s">
        <v>50272</v>
      </c>
      <c r="D1261" s="753" t="s">
        <v>43230</v>
      </c>
      <c r="E1261" s="752" t="s">
        <v>49905</v>
      </c>
      <c r="F1261" s="751">
        <v>2575</v>
      </c>
    </row>
    <row r="1262" spans="1:6">
      <c r="A1262" s="753"/>
      <c r="B1262" s="753"/>
      <c r="C1262" s="752" t="s">
        <v>50271</v>
      </c>
      <c r="D1262" s="753" t="s">
        <v>43230</v>
      </c>
      <c r="E1262" s="752" t="s">
        <v>50270</v>
      </c>
      <c r="F1262" s="751">
        <v>3335</v>
      </c>
    </row>
    <row r="1263" spans="1:6">
      <c r="A1263" s="753"/>
      <c r="B1263" s="753"/>
      <c r="C1263" s="752" t="s">
        <v>50269</v>
      </c>
      <c r="D1263" s="753" t="s">
        <v>43230</v>
      </c>
      <c r="E1263" s="752" t="s">
        <v>50268</v>
      </c>
      <c r="F1263" s="751">
        <v>3335</v>
      </c>
    </row>
    <row r="1264" spans="1:6">
      <c r="A1264" s="753"/>
      <c r="B1264" s="753"/>
      <c r="C1264" s="752" t="s">
        <v>50267</v>
      </c>
      <c r="D1264" s="753" t="s">
        <v>43230</v>
      </c>
      <c r="E1264" s="752" t="s">
        <v>42893</v>
      </c>
      <c r="F1264" s="751">
        <v>2575</v>
      </c>
    </row>
    <row r="1265" spans="1:6">
      <c r="A1265" s="753"/>
      <c r="B1265" s="753"/>
      <c r="C1265" s="752" t="s">
        <v>50266</v>
      </c>
      <c r="D1265" s="753" t="s">
        <v>43223</v>
      </c>
      <c r="E1265" s="752" t="s">
        <v>42876</v>
      </c>
      <c r="F1265" s="751">
        <v>3875</v>
      </c>
    </row>
    <row r="1266" spans="1:6">
      <c r="A1266" s="753"/>
      <c r="B1266" s="753"/>
      <c r="C1266" s="752" t="s">
        <v>50265</v>
      </c>
      <c r="D1266" s="753" t="s">
        <v>43223</v>
      </c>
      <c r="E1266" s="752" t="s">
        <v>42988</v>
      </c>
      <c r="F1266" s="751">
        <v>3875</v>
      </c>
    </row>
    <row r="1267" spans="1:6">
      <c r="A1267" s="753"/>
      <c r="B1267" s="753"/>
      <c r="C1267" s="752" t="s">
        <v>50264</v>
      </c>
      <c r="D1267" s="753" t="s">
        <v>43223</v>
      </c>
      <c r="E1267" s="752" t="s">
        <v>50263</v>
      </c>
      <c r="F1267" s="751">
        <v>4635</v>
      </c>
    </row>
    <row r="1268" spans="1:6">
      <c r="A1268" s="753"/>
      <c r="B1268" s="753"/>
      <c r="C1268" s="752" t="s">
        <v>50262</v>
      </c>
      <c r="D1268" s="753" t="s">
        <v>43223</v>
      </c>
      <c r="E1268" s="752" t="s">
        <v>43045</v>
      </c>
      <c r="F1268" s="751">
        <v>3625</v>
      </c>
    </row>
    <row r="1269" spans="1:6">
      <c r="A1269" s="753"/>
      <c r="B1269" s="753"/>
      <c r="C1269" s="752" t="s">
        <v>50261</v>
      </c>
      <c r="D1269" s="753" t="s">
        <v>43223</v>
      </c>
      <c r="E1269" s="752" t="s">
        <v>43043</v>
      </c>
      <c r="F1269" s="751">
        <v>3625</v>
      </c>
    </row>
    <row r="1270" spans="1:6">
      <c r="A1270" s="753"/>
      <c r="B1270" s="753"/>
      <c r="C1270" s="752" t="s">
        <v>50260</v>
      </c>
      <c r="D1270" s="753" t="s">
        <v>43223</v>
      </c>
      <c r="E1270" s="752" t="s">
        <v>42946</v>
      </c>
      <c r="F1270" s="751">
        <v>4635</v>
      </c>
    </row>
    <row r="1271" spans="1:6">
      <c r="A1271" s="753"/>
      <c r="B1271" s="753"/>
      <c r="C1271" s="752" t="s">
        <v>50259</v>
      </c>
      <c r="D1271" s="753" t="s">
        <v>43223</v>
      </c>
      <c r="E1271" s="752" t="s">
        <v>50178</v>
      </c>
      <c r="F1271" s="751">
        <v>3625</v>
      </c>
    </row>
    <row r="1272" spans="1:6">
      <c r="A1272" s="753"/>
      <c r="B1272" s="753"/>
      <c r="C1272" s="752" t="s">
        <v>50258</v>
      </c>
      <c r="D1272" s="753" t="s">
        <v>43223</v>
      </c>
      <c r="E1272" s="752" t="s">
        <v>50257</v>
      </c>
      <c r="F1272" s="751">
        <v>3625</v>
      </c>
    </row>
    <row r="1273" spans="1:6">
      <c r="A1273" s="753"/>
      <c r="B1273" s="753"/>
      <c r="C1273" s="752" t="s">
        <v>50256</v>
      </c>
      <c r="D1273" s="753" t="s">
        <v>43223</v>
      </c>
      <c r="E1273" s="752" t="s">
        <v>42926</v>
      </c>
      <c r="F1273" s="751">
        <v>3625</v>
      </c>
    </row>
    <row r="1274" spans="1:6">
      <c r="A1274" s="753"/>
      <c r="B1274" s="753"/>
      <c r="C1274" s="752" t="s">
        <v>50255</v>
      </c>
      <c r="D1274" s="753" t="s">
        <v>43223</v>
      </c>
      <c r="E1274" s="752" t="s">
        <v>50067</v>
      </c>
      <c r="F1274" s="751">
        <v>3625</v>
      </c>
    </row>
    <row r="1275" spans="1:6">
      <c r="A1275" s="753"/>
      <c r="B1275" s="753"/>
      <c r="C1275" s="752" t="s">
        <v>50254</v>
      </c>
      <c r="D1275" s="753" t="s">
        <v>43223</v>
      </c>
      <c r="E1275" s="752" t="s">
        <v>42941</v>
      </c>
      <c r="F1275" s="751">
        <v>3625</v>
      </c>
    </row>
    <row r="1276" spans="1:6">
      <c r="A1276" s="753"/>
      <c r="B1276" s="753"/>
      <c r="C1276" s="752" t="s">
        <v>50253</v>
      </c>
      <c r="D1276" s="753" t="s">
        <v>43223</v>
      </c>
      <c r="E1276" s="752" t="s">
        <v>43038</v>
      </c>
      <c r="F1276" s="751">
        <v>4385</v>
      </c>
    </row>
    <row r="1277" spans="1:6">
      <c r="A1277" s="753"/>
      <c r="B1277" s="753"/>
      <c r="C1277" s="752" t="s">
        <v>50252</v>
      </c>
      <c r="D1277" s="753" t="s">
        <v>43223</v>
      </c>
      <c r="E1277" s="752" t="s">
        <v>42893</v>
      </c>
      <c r="F1277" s="751">
        <v>3125</v>
      </c>
    </row>
    <row r="1278" spans="1:6">
      <c r="A1278" s="753"/>
      <c r="B1278" s="753"/>
      <c r="C1278" s="752" t="s">
        <v>50251</v>
      </c>
      <c r="D1278" s="753" t="s">
        <v>43223</v>
      </c>
      <c r="E1278" s="752" t="s">
        <v>42876</v>
      </c>
      <c r="F1278" s="751">
        <v>3875</v>
      </c>
    </row>
    <row r="1279" spans="1:6">
      <c r="A1279" s="753"/>
      <c r="B1279" s="753"/>
      <c r="C1279" s="752" t="s">
        <v>50250</v>
      </c>
      <c r="D1279" s="753" t="s">
        <v>43223</v>
      </c>
      <c r="E1279" s="752" t="s">
        <v>50075</v>
      </c>
      <c r="F1279" s="751">
        <v>3875</v>
      </c>
    </row>
    <row r="1280" spans="1:6">
      <c r="A1280" s="753"/>
      <c r="B1280" s="753"/>
      <c r="C1280" s="752" t="s">
        <v>50249</v>
      </c>
      <c r="D1280" s="753" t="s">
        <v>43223</v>
      </c>
      <c r="E1280" s="752" t="s">
        <v>42918</v>
      </c>
      <c r="F1280" s="751">
        <v>4385</v>
      </c>
    </row>
    <row r="1281" spans="1:6">
      <c r="A1281" s="753"/>
      <c r="B1281" s="753"/>
      <c r="C1281" s="752" t="s">
        <v>50248</v>
      </c>
      <c r="D1281" s="753" t="s">
        <v>43223</v>
      </c>
      <c r="E1281" s="752" t="s">
        <v>43045</v>
      </c>
      <c r="F1281" s="751">
        <v>3625</v>
      </c>
    </row>
    <row r="1282" spans="1:6">
      <c r="A1282" s="753"/>
      <c r="B1282" s="753"/>
      <c r="C1282" s="752" t="s">
        <v>50247</v>
      </c>
      <c r="D1282" s="753" t="s">
        <v>50232</v>
      </c>
      <c r="E1282" s="752" t="s">
        <v>50231</v>
      </c>
      <c r="F1282" s="751">
        <v>4385</v>
      </c>
    </row>
    <row r="1283" spans="1:6">
      <c r="A1283" s="753"/>
      <c r="B1283" s="753"/>
      <c r="C1283" s="752" t="s">
        <v>50246</v>
      </c>
      <c r="D1283" s="753" t="s">
        <v>43223</v>
      </c>
      <c r="E1283" s="752" t="s">
        <v>50245</v>
      </c>
      <c r="F1283" s="751">
        <v>3625</v>
      </c>
    </row>
    <row r="1284" spans="1:6">
      <c r="A1284" s="753"/>
      <c r="B1284" s="753"/>
      <c r="C1284" s="752" t="s">
        <v>50244</v>
      </c>
      <c r="D1284" s="753" t="s">
        <v>43223</v>
      </c>
      <c r="E1284" s="752" t="s">
        <v>42946</v>
      </c>
      <c r="F1284" s="751">
        <v>4385</v>
      </c>
    </row>
    <row r="1285" spans="1:6">
      <c r="A1285" s="753"/>
      <c r="B1285" s="753"/>
      <c r="C1285" s="752" t="s">
        <v>50243</v>
      </c>
      <c r="D1285" s="753" t="s">
        <v>43223</v>
      </c>
      <c r="E1285" s="752" t="s">
        <v>47252</v>
      </c>
      <c r="F1285" s="751">
        <v>4635</v>
      </c>
    </row>
    <row r="1286" spans="1:6">
      <c r="A1286" s="753"/>
      <c r="B1286" s="753"/>
      <c r="C1286" s="752" t="s">
        <v>50242</v>
      </c>
      <c r="D1286" s="753" t="s">
        <v>43223</v>
      </c>
      <c r="E1286" s="752" t="s">
        <v>42926</v>
      </c>
      <c r="F1286" s="751">
        <v>3625</v>
      </c>
    </row>
    <row r="1287" spans="1:6">
      <c r="A1287" s="753"/>
      <c r="B1287" s="753"/>
      <c r="C1287" s="752" t="s">
        <v>50241</v>
      </c>
      <c r="D1287" s="753" t="s">
        <v>43223</v>
      </c>
      <c r="E1287" s="752" t="s">
        <v>50067</v>
      </c>
      <c r="F1287" s="751">
        <v>3625</v>
      </c>
    </row>
    <row r="1288" spans="1:6">
      <c r="A1288" s="753"/>
      <c r="B1288" s="753"/>
      <c r="C1288" s="752" t="s">
        <v>50240</v>
      </c>
      <c r="D1288" s="753" t="s">
        <v>43223</v>
      </c>
      <c r="E1288" s="752" t="s">
        <v>50239</v>
      </c>
      <c r="F1288" s="751">
        <v>4385</v>
      </c>
    </row>
    <row r="1289" spans="1:6">
      <c r="A1289" s="753"/>
      <c r="B1289" s="753"/>
      <c r="C1289" s="752" t="s">
        <v>50238</v>
      </c>
      <c r="D1289" s="753" t="s">
        <v>43223</v>
      </c>
      <c r="E1289" s="752" t="s">
        <v>50151</v>
      </c>
      <c r="F1289" s="751">
        <v>4385</v>
      </c>
    </row>
    <row r="1290" spans="1:6">
      <c r="A1290" s="753"/>
      <c r="B1290" s="753"/>
      <c r="C1290" s="752" t="s">
        <v>50237</v>
      </c>
      <c r="D1290" s="753" t="s">
        <v>43223</v>
      </c>
      <c r="E1290" s="752" t="s">
        <v>42903</v>
      </c>
      <c r="F1290" s="751">
        <v>3125</v>
      </c>
    </row>
    <row r="1291" spans="1:6">
      <c r="A1291" s="753"/>
      <c r="B1291" s="753"/>
      <c r="C1291" s="752" t="s">
        <v>50236</v>
      </c>
      <c r="D1291" s="753" t="s">
        <v>43223</v>
      </c>
      <c r="E1291" s="752" t="s">
        <v>49296</v>
      </c>
      <c r="F1291" s="751">
        <v>3125</v>
      </c>
    </row>
    <row r="1292" spans="1:6">
      <c r="A1292" s="753"/>
      <c r="B1292" s="753"/>
      <c r="C1292" s="752" t="s">
        <v>50235</v>
      </c>
      <c r="D1292" s="753" t="s">
        <v>43223</v>
      </c>
      <c r="E1292" s="752" t="s">
        <v>42876</v>
      </c>
      <c r="F1292" s="751">
        <v>3875</v>
      </c>
    </row>
    <row r="1293" spans="1:6">
      <c r="A1293" s="753"/>
      <c r="B1293" s="753"/>
      <c r="C1293" s="752" t="s">
        <v>50234</v>
      </c>
      <c r="D1293" s="753" t="s">
        <v>43223</v>
      </c>
      <c r="E1293" s="752" t="s">
        <v>43045</v>
      </c>
      <c r="F1293" s="751">
        <v>3625</v>
      </c>
    </row>
    <row r="1294" spans="1:6">
      <c r="A1294" s="753"/>
      <c r="B1294" s="753"/>
      <c r="C1294" s="752" t="s">
        <v>50233</v>
      </c>
      <c r="D1294" s="753" t="s">
        <v>50232</v>
      </c>
      <c r="E1294" s="752" t="s">
        <v>50231</v>
      </c>
      <c r="F1294" s="751">
        <v>4385</v>
      </c>
    </row>
    <row r="1295" spans="1:6">
      <c r="A1295" s="753"/>
      <c r="B1295" s="753"/>
      <c r="C1295" s="752" t="s">
        <v>50230</v>
      </c>
      <c r="D1295" s="753" t="s">
        <v>43223</v>
      </c>
      <c r="E1295" s="752" t="s">
        <v>42946</v>
      </c>
      <c r="F1295" s="751">
        <v>4385</v>
      </c>
    </row>
    <row r="1296" spans="1:6">
      <c r="A1296" s="753"/>
      <c r="B1296" s="753"/>
      <c r="C1296" s="752" t="s">
        <v>50229</v>
      </c>
      <c r="D1296" s="753" t="s">
        <v>43223</v>
      </c>
      <c r="E1296" s="752" t="s">
        <v>42926</v>
      </c>
      <c r="F1296" s="751">
        <v>3625</v>
      </c>
    </row>
    <row r="1297" spans="1:6">
      <c r="A1297" s="753"/>
      <c r="B1297" s="753"/>
      <c r="C1297" s="752" t="s">
        <v>50228</v>
      </c>
      <c r="D1297" s="753" t="s">
        <v>43223</v>
      </c>
      <c r="E1297" s="752" t="s">
        <v>42903</v>
      </c>
      <c r="F1297" s="751">
        <v>3125</v>
      </c>
    </row>
    <row r="1298" spans="1:6">
      <c r="A1298" s="753"/>
      <c r="B1298" s="753"/>
      <c r="C1298" s="752" t="s">
        <v>50227</v>
      </c>
      <c r="D1298" s="753" t="s">
        <v>43223</v>
      </c>
      <c r="E1298" s="752" t="s">
        <v>50085</v>
      </c>
      <c r="F1298" s="751">
        <v>3885</v>
      </c>
    </row>
    <row r="1299" spans="1:6">
      <c r="A1299" s="753"/>
      <c r="B1299" s="753"/>
      <c r="C1299" s="752" t="s">
        <v>50226</v>
      </c>
      <c r="D1299" s="753" t="s">
        <v>43223</v>
      </c>
      <c r="E1299" s="752" t="s">
        <v>42891</v>
      </c>
      <c r="F1299" s="751">
        <v>3875</v>
      </c>
    </row>
    <row r="1300" spans="1:6">
      <c r="A1300" s="753"/>
      <c r="B1300" s="753"/>
      <c r="C1300" s="752" t="s">
        <v>50225</v>
      </c>
      <c r="D1300" s="753" t="s">
        <v>43223</v>
      </c>
      <c r="E1300" s="752" t="s">
        <v>43062</v>
      </c>
      <c r="F1300" s="751">
        <v>4005</v>
      </c>
    </row>
    <row r="1301" spans="1:6">
      <c r="A1301" s="753"/>
      <c r="B1301" s="753"/>
      <c r="C1301" s="752" t="s">
        <v>50224</v>
      </c>
      <c r="D1301" s="753" t="s">
        <v>43223</v>
      </c>
      <c r="E1301" s="752" t="s">
        <v>50146</v>
      </c>
      <c r="F1301" s="751">
        <v>4385</v>
      </c>
    </row>
    <row r="1302" spans="1:6">
      <c r="A1302" s="753"/>
      <c r="B1302" s="753"/>
      <c r="C1302" s="752" t="s">
        <v>50223</v>
      </c>
      <c r="D1302" s="753" t="s">
        <v>43223</v>
      </c>
      <c r="E1302" s="752" t="s">
        <v>50222</v>
      </c>
      <c r="F1302" s="751">
        <v>3625</v>
      </c>
    </row>
    <row r="1303" spans="1:6">
      <c r="A1303" s="753"/>
      <c r="B1303" s="753"/>
      <c r="C1303" s="752" t="s">
        <v>50221</v>
      </c>
      <c r="D1303" s="753" t="s">
        <v>43223</v>
      </c>
      <c r="E1303" s="752" t="s">
        <v>42946</v>
      </c>
      <c r="F1303" s="751">
        <v>4385</v>
      </c>
    </row>
    <row r="1304" spans="1:6">
      <c r="A1304" s="753"/>
      <c r="B1304" s="753"/>
      <c r="C1304" s="752" t="s">
        <v>50220</v>
      </c>
      <c r="D1304" s="753" t="s">
        <v>43223</v>
      </c>
      <c r="E1304" s="752" t="s">
        <v>49909</v>
      </c>
      <c r="F1304" s="751">
        <v>4965</v>
      </c>
    </row>
    <row r="1305" spans="1:6">
      <c r="A1305" s="753"/>
      <c r="B1305" s="753"/>
      <c r="C1305" s="752" t="s">
        <v>50219</v>
      </c>
      <c r="D1305" s="753" t="s">
        <v>43223</v>
      </c>
      <c r="E1305" s="752" t="s">
        <v>42887</v>
      </c>
      <c r="F1305" s="751">
        <v>3625</v>
      </c>
    </row>
    <row r="1306" spans="1:6">
      <c r="A1306" s="753"/>
      <c r="B1306" s="753"/>
      <c r="C1306" s="752" t="s">
        <v>50218</v>
      </c>
      <c r="D1306" s="753" t="s">
        <v>43223</v>
      </c>
      <c r="E1306" s="752" t="s">
        <v>42871</v>
      </c>
      <c r="F1306" s="751">
        <v>4005</v>
      </c>
    </row>
    <row r="1307" spans="1:6">
      <c r="A1307" s="753"/>
      <c r="B1307" s="753"/>
      <c r="C1307" s="752" t="s">
        <v>50217</v>
      </c>
      <c r="D1307" s="753" t="s">
        <v>43223</v>
      </c>
      <c r="E1307" s="752" t="s">
        <v>50216</v>
      </c>
      <c r="F1307" s="751">
        <v>4385</v>
      </c>
    </row>
    <row r="1308" spans="1:6">
      <c r="A1308" s="753"/>
      <c r="B1308" s="753"/>
      <c r="C1308" s="752" t="s">
        <v>50215</v>
      </c>
      <c r="D1308" s="753" t="s">
        <v>43223</v>
      </c>
      <c r="E1308" s="752" t="s">
        <v>42885</v>
      </c>
      <c r="F1308" s="751">
        <v>3125</v>
      </c>
    </row>
    <row r="1309" spans="1:6">
      <c r="A1309" s="753"/>
      <c r="B1309" s="753"/>
      <c r="C1309" s="752" t="s">
        <v>50214</v>
      </c>
      <c r="D1309" s="753" t="s">
        <v>43223</v>
      </c>
      <c r="E1309" s="752" t="s">
        <v>50213</v>
      </c>
      <c r="F1309" s="751">
        <v>3125</v>
      </c>
    </row>
    <row r="1310" spans="1:6">
      <c r="A1310" s="753"/>
      <c r="B1310" s="753"/>
      <c r="C1310" s="752" t="s">
        <v>50212</v>
      </c>
      <c r="D1310" s="753" t="s">
        <v>43223</v>
      </c>
      <c r="E1310" s="752" t="s">
        <v>42957</v>
      </c>
      <c r="F1310" s="751">
        <v>3625</v>
      </c>
    </row>
    <row r="1311" spans="1:6">
      <c r="A1311" s="753"/>
      <c r="B1311" s="753"/>
      <c r="C1311" s="752" t="s">
        <v>50211</v>
      </c>
      <c r="D1311" s="753" t="s">
        <v>43223</v>
      </c>
      <c r="E1311" s="752" t="s">
        <v>50210</v>
      </c>
      <c r="F1311" s="751">
        <v>4040</v>
      </c>
    </row>
    <row r="1312" spans="1:6">
      <c r="A1312" s="753"/>
      <c r="B1312" s="753"/>
      <c r="C1312" s="752" t="s">
        <v>50209</v>
      </c>
      <c r="D1312" s="753" t="s">
        <v>43223</v>
      </c>
      <c r="E1312" s="752" t="s">
        <v>50208</v>
      </c>
      <c r="F1312" s="751">
        <v>5695</v>
      </c>
    </row>
    <row r="1313" spans="1:6">
      <c r="A1313" s="753"/>
      <c r="B1313" s="753"/>
      <c r="C1313" s="752" t="s">
        <v>50207</v>
      </c>
      <c r="D1313" s="753" t="s">
        <v>43223</v>
      </c>
      <c r="E1313" s="752" t="s">
        <v>50206</v>
      </c>
      <c r="F1313" s="751">
        <v>4935</v>
      </c>
    </row>
    <row r="1314" spans="1:6">
      <c r="A1314" s="753"/>
      <c r="B1314" s="753"/>
      <c r="C1314" s="752" t="s">
        <v>50205</v>
      </c>
      <c r="D1314" s="753" t="s">
        <v>43223</v>
      </c>
      <c r="E1314" s="752" t="s">
        <v>42867</v>
      </c>
      <c r="F1314" s="751">
        <v>3625</v>
      </c>
    </row>
    <row r="1315" spans="1:6">
      <c r="A1315" s="753"/>
      <c r="B1315" s="753"/>
      <c r="C1315" s="752" t="s">
        <v>50204</v>
      </c>
      <c r="D1315" s="753" t="s">
        <v>43223</v>
      </c>
      <c r="E1315" s="752" t="s">
        <v>50203</v>
      </c>
      <c r="F1315" s="751">
        <v>4385</v>
      </c>
    </row>
    <row r="1316" spans="1:6">
      <c r="A1316" s="753"/>
      <c r="B1316" s="753"/>
      <c r="C1316" s="752" t="s">
        <v>50202</v>
      </c>
      <c r="D1316" s="753" t="s">
        <v>43223</v>
      </c>
      <c r="E1316" s="752" t="s">
        <v>50201</v>
      </c>
      <c r="F1316" s="751">
        <v>4385</v>
      </c>
    </row>
    <row r="1317" spans="1:6">
      <c r="A1317" s="753"/>
      <c r="B1317" s="753"/>
      <c r="C1317" s="752" t="s">
        <v>50200</v>
      </c>
      <c r="D1317" s="753" t="s">
        <v>43230</v>
      </c>
      <c r="E1317" s="752" t="s">
        <v>49948</v>
      </c>
      <c r="F1317" s="751">
        <v>3625</v>
      </c>
    </row>
    <row r="1318" spans="1:6">
      <c r="A1318" s="753"/>
      <c r="B1318" s="753"/>
      <c r="C1318" s="752" t="s">
        <v>50199</v>
      </c>
      <c r="D1318" s="753" t="s">
        <v>43230</v>
      </c>
      <c r="E1318" s="752" t="s">
        <v>49903</v>
      </c>
      <c r="F1318" s="751">
        <v>3625</v>
      </c>
    </row>
    <row r="1319" spans="1:6">
      <c r="A1319" s="753"/>
      <c r="B1319" s="753"/>
      <c r="C1319" s="752" t="s">
        <v>50198</v>
      </c>
      <c r="D1319" s="753" t="s">
        <v>43230</v>
      </c>
      <c r="E1319" s="752" t="s">
        <v>50197</v>
      </c>
      <c r="F1319" s="751">
        <v>4385</v>
      </c>
    </row>
    <row r="1320" spans="1:6">
      <c r="A1320" s="753"/>
      <c r="B1320" s="753"/>
      <c r="C1320" s="752" t="s">
        <v>50196</v>
      </c>
      <c r="D1320" s="753" t="s">
        <v>43230</v>
      </c>
      <c r="E1320" s="752" t="s">
        <v>49943</v>
      </c>
      <c r="F1320" s="751">
        <v>4385</v>
      </c>
    </row>
    <row r="1321" spans="1:6">
      <c r="A1321" s="753"/>
      <c r="B1321" s="753"/>
      <c r="C1321" s="752" t="s">
        <v>50195</v>
      </c>
      <c r="D1321" s="753" t="s">
        <v>43223</v>
      </c>
      <c r="E1321" s="752" t="s">
        <v>38570</v>
      </c>
      <c r="F1321" s="751">
        <v>3425</v>
      </c>
    </row>
    <row r="1322" spans="1:6">
      <c r="A1322" s="753"/>
      <c r="B1322" s="753"/>
      <c r="C1322" s="752" t="s">
        <v>50194</v>
      </c>
      <c r="D1322" s="753" t="s">
        <v>43223</v>
      </c>
      <c r="E1322" s="752" t="s">
        <v>49905</v>
      </c>
      <c r="F1322" s="751">
        <v>2945</v>
      </c>
    </row>
    <row r="1323" spans="1:6">
      <c r="A1323" s="753"/>
      <c r="B1323" s="753"/>
      <c r="C1323" s="752" t="s">
        <v>50193</v>
      </c>
      <c r="D1323" s="753" t="s">
        <v>43223</v>
      </c>
      <c r="E1323" s="752" t="s">
        <v>50192</v>
      </c>
      <c r="F1323" s="751">
        <v>3885</v>
      </c>
    </row>
    <row r="1324" spans="1:6">
      <c r="A1324" s="753"/>
      <c r="B1324" s="753"/>
      <c r="C1324" s="752" t="s">
        <v>50191</v>
      </c>
      <c r="D1324" s="753" t="s">
        <v>43223</v>
      </c>
      <c r="E1324" s="752" t="s">
        <v>42876</v>
      </c>
      <c r="F1324" s="751">
        <v>3875</v>
      </c>
    </row>
    <row r="1325" spans="1:6">
      <c r="A1325" s="753"/>
      <c r="B1325" s="753"/>
      <c r="C1325" s="752" t="s">
        <v>50190</v>
      </c>
      <c r="D1325" s="753" t="s">
        <v>43223</v>
      </c>
      <c r="E1325" s="752" t="s">
        <v>50189</v>
      </c>
      <c r="F1325" s="751">
        <v>3625</v>
      </c>
    </row>
    <row r="1326" spans="1:6">
      <c r="A1326" s="753"/>
      <c r="B1326" s="753"/>
      <c r="C1326" s="752" t="s">
        <v>50188</v>
      </c>
      <c r="D1326" s="753" t="s">
        <v>43223</v>
      </c>
      <c r="E1326" s="752" t="s">
        <v>42946</v>
      </c>
      <c r="F1326" s="751">
        <v>4635</v>
      </c>
    </row>
    <row r="1327" spans="1:6">
      <c r="A1327" s="753"/>
      <c r="B1327" s="753"/>
      <c r="C1327" s="752" t="s">
        <v>50187</v>
      </c>
      <c r="D1327" s="753" t="s">
        <v>43223</v>
      </c>
      <c r="E1327" s="752" t="s">
        <v>42926</v>
      </c>
      <c r="F1327" s="751">
        <v>3625</v>
      </c>
    </row>
    <row r="1328" spans="1:6">
      <c r="A1328" s="753"/>
      <c r="B1328" s="753"/>
      <c r="C1328" s="752" t="s">
        <v>50186</v>
      </c>
      <c r="D1328" s="753" t="s">
        <v>43223</v>
      </c>
      <c r="E1328" s="752" t="s">
        <v>42893</v>
      </c>
      <c r="F1328" s="751">
        <v>3125</v>
      </c>
    </row>
    <row r="1329" spans="1:6">
      <c r="A1329" s="753"/>
      <c r="B1329" s="753"/>
      <c r="C1329" s="752" t="s">
        <v>50185</v>
      </c>
      <c r="D1329" s="753" t="s">
        <v>43219</v>
      </c>
      <c r="E1329" s="752" t="s">
        <v>42876</v>
      </c>
      <c r="F1329" s="751">
        <v>3875</v>
      </c>
    </row>
    <row r="1330" spans="1:6">
      <c r="A1330" s="753"/>
      <c r="B1330" s="753"/>
      <c r="C1330" s="752" t="s">
        <v>50184</v>
      </c>
      <c r="D1330" s="753" t="s">
        <v>43219</v>
      </c>
      <c r="E1330" s="752" t="s">
        <v>43025</v>
      </c>
      <c r="F1330" s="751">
        <v>4385</v>
      </c>
    </row>
    <row r="1331" spans="1:6">
      <c r="A1331" s="753"/>
      <c r="B1331" s="753"/>
      <c r="C1331" s="752" t="s">
        <v>50183</v>
      </c>
      <c r="D1331" s="753" t="s">
        <v>43219</v>
      </c>
      <c r="E1331" s="752" t="s">
        <v>42988</v>
      </c>
      <c r="F1331" s="751">
        <v>3875</v>
      </c>
    </row>
    <row r="1332" spans="1:6">
      <c r="A1332" s="753"/>
      <c r="B1332" s="753"/>
      <c r="C1332" s="752" t="s">
        <v>50182</v>
      </c>
      <c r="D1332" s="753" t="s">
        <v>43219</v>
      </c>
      <c r="E1332" s="752" t="s">
        <v>43045</v>
      </c>
      <c r="F1332" s="751">
        <v>3625</v>
      </c>
    </row>
    <row r="1333" spans="1:6">
      <c r="A1333" s="753"/>
      <c r="B1333" s="753"/>
      <c r="C1333" s="752" t="s">
        <v>50181</v>
      </c>
      <c r="D1333" s="753" t="s">
        <v>43219</v>
      </c>
      <c r="E1333" s="752" t="s">
        <v>43043</v>
      </c>
      <c r="F1333" s="751">
        <v>3625</v>
      </c>
    </row>
    <row r="1334" spans="1:6">
      <c r="A1334" s="753"/>
      <c r="B1334" s="753"/>
      <c r="C1334" s="752" t="s">
        <v>50180</v>
      </c>
      <c r="D1334" s="753" t="s">
        <v>43219</v>
      </c>
      <c r="E1334" s="752" t="s">
        <v>42946</v>
      </c>
      <c r="F1334" s="751">
        <v>4635</v>
      </c>
    </row>
    <row r="1335" spans="1:6">
      <c r="A1335" s="753"/>
      <c r="B1335" s="753"/>
      <c r="C1335" s="752" t="s">
        <v>50179</v>
      </c>
      <c r="D1335" s="753" t="s">
        <v>43219</v>
      </c>
      <c r="E1335" s="752" t="s">
        <v>50178</v>
      </c>
      <c r="F1335" s="751">
        <v>3625</v>
      </c>
    </row>
    <row r="1336" spans="1:6">
      <c r="A1336" s="753"/>
      <c r="B1336" s="753"/>
      <c r="C1336" s="752" t="s">
        <v>50177</v>
      </c>
      <c r="D1336" s="753" t="s">
        <v>43219</v>
      </c>
      <c r="E1336" s="752" t="s">
        <v>50176</v>
      </c>
      <c r="F1336" s="751">
        <v>3625</v>
      </c>
    </row>
    <row r="1337" spans="1:6">
      <c r="A1337" s="753"/>
      <c r="B1337" s="753"/>
      <c r="C1337" s="752" t="s">
        <v>50175</v>
      </c>
      <c r="D1337" s="753" t="s">
        <v>43219</v>
      </c>
      <c r="E1337" s="752" t="s">
        <v>42926</v>
      </c>
      <c r="F1337" s="751">
        <v>3625</v>
      </c>
    </row>
    <row r="1338" spans="1:6">
      <c r="A1338" s="753"/>
      <c r="B1338" s="753"/>
      <c r="C1338" s="752" t="s">
        <v>50174</v>
      </c>
      <c r="D1338" s="753" t="s">
        <v>43219</v>
      </c>
      <c r="E1338" s="752" t="s">
        <v>42941</v>
      </c>
      <c r="F1338" s="751">
        <v>3625</v>
      </c>
    </row>
    <row r="1339" spans="1:6">
      <c r="A1339" s="753"/>
      <c r="B1339" s="753"/>
      <c r="C1339" s="752" t="s">
        <v>50173</v>
      </c>
      <c r="D1339" s="753" t="s">
        <v>43219</v>
      </c>
      <c r="E1339" s="752" t="s">
        <v>42924</v>
      </c>
      <c r="F1339" s="751">
        <v>4385</v>
      </c>
    </row>
    <row r="1340" spans="1:6">
      <c r="A1340" s="753"/>
      <c r="B1340" s="753"/>
      <c r="C1340" s="752" t="s">
        <v>50172</v>
      </c>
      <c r="D1340" s="753" t="s">
        <v>43219</v>
      </c>
      <c r="E1340" s="752" t="s">
        <v>42893</v>
      </c>
      <c r="F1340" s="751">
        <v>3125</v>
      </c>
    </row>
    <row r="1341" spans="1:6">
      <c r="A1341" s="753"/>
      <c r="B1341" s="753"/>
      <c r="C1341" s="752" t="s">
        <v>50171</v>
      </c>
      <c r="D1341" s="753" t="s">
        <v>43219</v>
      </c>
      <c r="E1341" s="752" t="s">
        <v>42876</v>
      </c>
      <c r="F1341" s="751">
        <v>3875</v>
      </c>
    </row>
    <row r="1342" spans="1:6">
      <c r="A1342" s="753"/>
      <c r="B1342" s="753"/>
      <c r="C1342" s="752" t="s">
        <v>50170</v>
      </c>
      <c r="D1342" s="753" t="s">
        <v>43219</v>
      </c>
      <c r="E1342" s="752" t="s">
        <v>50156</v>
      </c>
      <c r="F1342" s="751">
        <v>4385</v>
      </c>
    </row>
    <row r="1343" spans="1:6">
      <c r="A1343" s="753"/>
      <c r="B1343" s="753"/>
      <c r="C1343" s="752" t="s">
        <v>50169</v>
      </c>
      <c r="D1343" s="753" t="s">
        <v>43219</v>
      </c>
      <c r="E1343" s="752" t="s">
        <v>50168</v>
      </c>
      <c r="F1343" s="751">
        <v>4385</v>
      </c>
    </row>
    <row r="1344" spans="1:6">
      <c r="A1344" s="753"/>
      <c r="B1344" s="753"/>
      <c r="C1344" s="752" t="s">
        <v>50167</v>
      </c>
      <c r="D1344" s="753" t="s">
        <v>43219</v>
      </c>
      <c r="E1344" s="752" t="s">
        <v>50154</v>
      </c>
      <c r="F1344" s="751">
        <v>4385</v>
      </c>
    </row>
    <row r="1345" spans="1:6">
      <c r="A1345" s="753"/>
      <c r="B1345" s="753"/>
      <c r="C1345" s="752" t="s">
        <v>50166</v>
      </c>
      <c r="D1345" s="753" t="s">
        <v>43219</v>
      </c>
      <c r="E1345" s="752" t="s">
        <v>42926</v>
      </c>
      <c r="F1345" s="751">
        <v>3625</v>
      </c>
    </row>
    <row r="1346" spans="1:6">
      <c r="A1346" s="753"/>
      <c r="B1346" s="753"/>
      <c r="C1346" s="752" t="s">
        <v>50165</v>
      </c>
      <c r="D1346" s="753" t="s">
        <v>43219</v>
      </c>
      <c r="E1346" s="752" t="s">
        <v>50151</v>
      </c>
      <c r="F1346" s="751">
        <v>4385</v>
      </c>
    </row>
    <row r="1347" spans="1:6">
      <c r="A1347" s="753"/>
      <c r="B1347" s="753"/>
      <c r="C1347" s="752" t="s">
        <v>50164</v>
      </c>
      <c r="D1347" s="753" t="s">
        <v>43219</v>
      </c>
      <c r="E1347" s="752" t="s">
        <v>42903</v>
      </c>
      <c r="F1347" s="751">
        <v>3125</v>
      </c>
    </row>
    <row r="1348" spans="1:6">
      <c r="A1348" s="753"/>
      <c r="B1348" s="753"/>
      <c r="C1348" s="752" t="s">
        <v>50163</v>
      </c>
      <c r="D1348" s="753" t="s">
        <v>43219</v>
      </c>
      <c r="E1348" s="752" t="s">
        <v>50162</v>
      </c>
      <c r="F1348" s="751">
        <v>3885</v>
      </c>
    </row>
    <row r="1349" spans="1:6">
      <c r="A1349" s="753"/>
      <c r="B1349" s="753"/>
      <c r="C1349" s="752" t="s">
        <v>50161</v>
      </c>
      <c r="D1349" s="753" t="s">
        <v>43219</v>
      </c>
      <c r="E1349" s="752" t="s">
        <v>50085</v>
      </c>
      <c r="F1349" s="751">
        <v>3885</v>
      </c>
    </row>
    <row r="1350" spans="1:6">
      <c r="A1350" s="753"/>
      <c r="B1350" s="753"/>
      <c r="C1350" s="752" t="s">
        <v>50160</v>
      </c>
      <c r="D1350" s="753" t="s">
        <v>43219</v>
      </c>
      <c r="E1350" s="752" t="s">
        <v>42876</v>
      </c>
      <c r="F1350" s="751">
        <v>3875</v>
      </c>
    </row>
    <row r="1351" spans="1:6">
      <c r="A1351" s="753"/>
      <c r="B1351" s="753"/>
      <c r="C1351" s="752" t="s">
        <v>50159</v>
      </c>
      <c r="D1351" s="753" t="s">
        <v>43219</v>
      </c>
      <c r="E1351" s="752" t="s">
        <v>50158</v>
      </c>
      <c r="F1351" s="751">
        <v>3625</v>
      </c>
    </row>
    <row r="1352" spans="1:6">
      <c r="A1352" s="753"/>
      <c r="B1352" s="753"/>
      <c r="C1352" s="752" t="s">
        <v>50157</v>
      </c>
      <c r="D1352" s="753" t="s">
        <v>43219</v>
      </c>
      <c r="E1352" s="752" t="s">
        <v>50156</v>
      </c>
      <c r="F1352" s="751">
        <v>4385</v>
      </c>
    </row>
    <row r="1353" spans="1:6">
      <c r="A1353" s="753"/>
      <c r="B1353" s="753"/>
      <c r="C1353" s="752" t="s">
        <v>50155</v>
      </c>
      <c r="D1353" s="753" t="s">
        <v>43219</v>
      </c>
      <c r="E1353" s="752" t="s">
        <v>50154</v>
      </c>
      <c r="F1353" s="751">
        <v>4385</v>
      </c>
    </row>
    <row r="1354" spans="1:6">
      <c r="A1354" s="753"/>
      <c r="B1354" s="753"/>
      <c r="C1354" s="752" t="s">
        <v>50153</v>
      </c>
      <c r="D1354" s="753" t="s">
        <v>43219</v>
      </c>
      <c r="E1354" s="752" t="s">
        <v>42926</v>
      </c>
      <c r="F1354" s="751">
        <v>3625</v>
      </c>
    </row>
    <row r="1355" spans="1:6">
      <c r="A1355" s="753"/>
      <c r="B1355" s="753"/>
      <c r="C1355" s="752" t="s">
        <v>50152</v>
      </c>
      <c r="D1355" s="753" t="s">
        <v>43219</v>
      </c>
      <c r="E1355" s="752" t="s">
        <v>50151</v>
      </c>
      <c r="F1355" s="751">
        <v>4385</v>
      </c>
    </row>
    <row r="1356" spans="1:6">
      <c r="A1356" s="753"/>
      <c r="B1356" s="753"/>
      <c r="C1356" s="752" t="s">
        <v>50150</v>
      </c>
      <c r="D1356" s="753" t="s">
        <v>43219</v>
      </c>
      <c r="E1356" s="752" t="s">
        <v>42903</v>
      </c>
      <c r="F1356" s="751">
        <v>3125</v>
      </c>
    </row>
    <row r="1357" spans="1:6">
      <c r="A1357" s="753"/>
      <c r="B1357" s="753"/>
      <c r="C1357" s="752" t="s">
        <v>50149</v>
      </c>
      <c r="D1357" s="753" t="s">
        <v>43219</v>
      </c>
      <c r="E1357" s="752" t="s">
        <v>42891</v>
      </c>
      <c r="F1357" s="751">
        <v>3875</v>
      </c>
    </row>
    <row r="1358" spans="1:6">
      <c r="A1358" s="753"/>
      <c r="B1358" s="753"/>
      <c r="C1358" s="752" t="s">
        <v>50148</v>
      </c>
      <c r="D1358" s="753" t="s">
        <v>43219</v>
      </c>
      <c r="E1358" s="752" t="s">
        <v>43062</v>
      </c>
      <c r="F1358" s="751">
        <v>4005</v>
      </c>
    </row>
    <row r="1359" spans="1:6">
      <c r="A1359" s="753"/>
      <c r="B1359" s="753"/>
      <c r="C1359" s="752" t="s">
        <v>50147</v>
      </c>
      <c r="D1359" s="753" t="s">
        <v>50126</v>
      </c>
      <c r="E1359" s="752" t="s">
        <v>50146</v>
      </c>
      <c r="F1359" s="751">
        <v>4385</v>
      </c>
    </row>
    <row r="1360" spans="1:6">
      <c r="A1360" s="753"/>
      <c r="B1360" s="753"/>
      <c r="C1360" s="752" t="s">
        <v>50145</v>
      </c>
      <c r="D1360" s="753" t="s">
        <v>43223</v>
      </c>
      <c r="E1360" s="752" t="s">
        <v>50008</v>
      </c>
      <c r="F1360" s="751">
        <v>3625</v>
      </c>
    </row>
    <row r="1361" spans="1:6">
      <c r="A1361" s="753"/>
      <c r="B1361" s="753"/>
      <c r="C1361" s="752" t="s">
        <v>50144</v>
      </c>
      <c r="D1361" s="753" t="s">
        <v>43219</v>
      </c>
      <c r="E1361" s="752" t="s">
        <v>42887</v>
      </c>
      <c r="F1361" s="751">
        <v>3625</v>
      </c>
    </row>
    <row r="1362" spans="1:6">
      <c r="A1362" s="753"/>
      <c r="B1362" s="753"/>
      <c r="C1362" s="752" t="s">
        <v>50143</v>
      </c>
      <c r="D1362" s="753" t="s">
        <v>43219</v>
      </c>
      <c r="E1362" s="752" t="s">
        <v>42871</v>
      </c>
      <c r="F1362" s="751">
        <v>4005</v>
      </c>
    </row>
    <row r="1363" spans="1:6">
      <c r="A1363" s="753"/>
      <c r="B1363" s="753"/>
      <c r="C1363" s="752" t="s">
        <v>50142</v>
      </c>
      <c r="D1363" s="753" t="s">
        <v>43219</v>
      </c>
      <c r="E1363" s="752" t="s">
        <v>42885</v>
      </c>
      <c r="F1363" s="751">
        <v>3125</v>
      </c>
    </row>
    <row r="1364" spans="1:6">
      <c r="A1364" s="753"/>
      <c r="B1364" s="753"/>
      <c r="C1364" s="752" t="s">
        <v>50141</v>
      </c>
      <c r="D1364" s="753" t="s">
        <v>43219</v>
      </c>
      <c r="E1364" s="752" t="s">
        <v>42883</v>
      </c>
      <c r="F1364" s="751">
        <v>3625</v>
      </c>
    </row>
    <row r="1365" spans="1:6">
      <c r="A1365" s="753"/>
      <c r="B1365" s="753"/>
      <c r="C1365" s="752" t="s">
        <v>50140</v>
      </c>
      <c r="D1365" s="753" t="s">
        <v>43219</v>
      </c>
      <c r="E1365" s="752" t="s">
        <v>50139</v>
      </c>
      <c r="F1365" s="751">
        <v>3625</v>
      </c>
    </row>
    <row r="1366" spans="1:6">
      <c r="A1366" s="753"/>
      <c r="B1366" s="753"/>
      <c r="C1366" s="752" t="s">
        <v>50138</v>
      </c>
      <c r="D1366" s="753" t="s">
        <v>43219</v>
      </c>
      <c r="E1366" s="752" t="s">
        <v>50041</v>
      </c>
      <c r="F1366" s="751">
        <v>4935</v>
      </c>
    </row>
    <row r="1367" spans="1:6">
      <c r="A1367" s="753"/>
      <c r="B1367" s="753"/>
      <c r="C1367" s="752" t="s">
        <v>50137</v>
      </c>
      <c r="D1367" s="753" t="s">
        <v>43219</v>
      </c>
      <c r="E1367" s="752" t="s">
        <v>42867</v>
      </c>
      <c r="F1367" s="751">
        <v>3625</v>
      </c>
    </row>
    <row r="1368" spans="1:6">
      <c r="A1368" s="753"/>
      <c r="B1368" s="753"/>
      <c r="C1368" s="752" t="s">
        <v>50136</v>
      </c>
      <c r="D1368" s="753" t="s">
        <v>43219</v>
      </c>
      <c r="E1368" s="752" t="s">
        <v>50135</v>
      </c>
      <c r="F1368" s="751">
        <v>4385</v>
      </c>
    </row>
    <row r="1369" spans="1:6">
      <c r="A1369" s="753"/>
      <c r="B1369" s="753"/>
      <c r="C1369" s="752" t="s">
        <v>50134</v>
      </c>
      <c r="D1369" s="753" t="s">
        <v>43219</v>
      </c>
      <c r="E1369" s="752" t="s">
        <v>42910</v>
      </c>
      <c r="F1369" s="751">
        <v>4935</v>
      </c>
    </row>
    <row r="1370" spans="1:6">
      <c r="A1370" s="753"/>
      <c r="B1370" s="753"/>
      <c r="C1370" s="752" t="s">
        <v>50133</v>
      </c>
      <c r="D1370" s="753" t="s">
        <v>43219</v>
      </c>
      <c r="E1370" s="752" t="s">
        <v>49948</v>
      </c>
      <c r="F1370" s="751">
        <v>3625</v>
      </c>
    </row>
    <row r="1371" spans="1:6">
      <c r="A1371" s="753"/>
      <c r="B1371" s="753"/>
      <c r="C1371" s="752" t="s">
        <v>50132</v>
      </c>
      <c r="D1371" s="753" t="s">
        <v>43219</v>
      </c>
      <c r="E1371" s="752" t="s">
        <v>49903</v>
      </c>
      <c r="F1371" s="751">
        <v>4935</v>
      </c>
    </row>
    <row r="1372" spans="1:6">
      <c r="A1372" s="753"/>
      <c r="B1372" s="753"/>
      <c r="C1372" s="752" t="s">
        <v>50131</v>
      </c>
      <c r="D1372" s="753" t="s">
        <v>43219</v>
      </c>
      <c r="E1372" s="752" t="s">
        <v>50130</v>
      </c>
      <c r="F1372" s="751">
        <v>4385</v>
      </c>
    </row>
    <row r="1373" spans="1:6">
      <c r="A1373" s="753"/>
      <c r="B1373" s="753"/>
      <c r="C1373" s="752" t="s">
        <v>50129</v>
      </c>
      <c r="D1373" s="753" t="s">
        <v>50128</v>
      </c>
      <c r="E1373" s="752" t="s">
        <v>46959</v>
      </c>
      <c r="F1373" s="751">
        <v>4935</v>
      </c>
    </row>
    <row r="1374" spans="1:6">
      <c r="A1374" s="753"/>
      <c r="B1374" s="753"/>
      <c r="C1374" s="752" t="s">
        <v>50127</v>
      </c>
      <c r="D1374" s="753" t="s">
        <v>50126</v>
      </c>
      <c r="E1374" s="752" t="s">
        <v>49905</v>
      </c>
      <c r="F1374" s="751">
        <v>3885</v>
      </c>
    </row>
    <row r="1375" spans="1:6">
      <c r="A1375" s="753"/>
      <c r="B1375" s="753"/>
      <c r="C1375" s="752" t="s">
        <v>50125</v>
      </c>
      <c r="D1375" s="753" t="s">
        <v>43219</v>
      </c>
      <c r="E1375" s="752" t="s">
        <v>42876</v>
      </c>
      <c r="F1375" s="751">
        <v>3875</v>
      </c>
    </row>
    <row r="1376" spans="1:6">
      <c r="A1376" s="753"/>
      <c r="B1376" s="753"/>
      <c r="C1376" s="752" t="s">
        <v>50124</v>
      </c>
      <c r="D1376" s="753" t="s">
        <v>43219</v>
      </c>
      <c r="E1376" s="752" t="s">
        <v>42946</v>
      </c>
      <c r="F1376" s="751">
        <v>4635</v>
      </c>
    </row>
    <row r="1377" spans="1:6">
      <c r="A1377" s="753"/>
      <c r="B1377" s="753"/>
      <c r="C1377" s="752" t="s">
        <v>50123</v>
      </c>
      <c r="D1377" s="753" t="s">
        <v>43219</v>
      </c>
      <c r="E1377" s="752" t="s">
        <v>42926</v>
      </c>
      <c r="F1377" s="751">
        <v>3625</v>
      </c>
    </row>
    <row r="1378" spans="1:6">
      <c r="A1378" s="753"/>
      <c r="B1378" s="753"/>
      <c r="C1378" s="752" t="s">
        <v>50122</v>
      </c>
      <c r="D1378" s="753" t="s">
        <v>50121</v>
      </c>
      <c r="E1378" s="752" t="s">
        <v>42867</v>
      </c>
      <c r="F1378" s="751">
        <v>2725</v>
      </c>
    </row>
    <row r="1379" spans="1:6">
      <c r="A1379" s="753"/>
      <c r="B1379" s="753"/>
      <c r="C1379" s="752" t="s">
        <v>50120</v>
      </c>
      <c r="D1379" s="753" t="s">
        <v>43215</v>
      </c>
      <c r="E1379" s="752" t="s">
        <v>42926</v>
      </c>
      <c r="F1379" s="751">
        <v>2875</v>
      </c>
    </row>
    <row r="1380" spans="1:6">
      <c r="A1380" s="753"/>
      <c r="B1380" s="753"/>
      <c r="C1380" s="752" t="s">
        <v>50119</v>
      </c>
      <c r="D1380" s="753" t="s">
        <v>43215</v>
      </c>
      <c r="E1380" s="752" t="s">
        <v>42941</v>
      </c>
      <c r="F1380" s="751">
        <v>2875</v>
      </c>
    </row>
    <row r="1381" spans="1:6">
      <c r="A1381" s="753"/>
      <c r="B1381" s="753"/>
      <c r="C1381" s="752" t="s">
        <v>50118</v>
      </c>
      <c r="D1381" s="753" t="s">
        <v>43215</v>
      </c>
      <c r="E1381" s="752" t="s">
        <v>42893</v>
      </c>
      <c r="F1381" s="751">
        <v>2375</v>
      </c>
    </row>
    <row r="1382" spans="1:6">
      <c r="A1382" s="753"/>
      <c r="B1382" s="753"/>
      <c r="C1382" s="752" t="s">
        <v>50117</v>
      </c>
      <c r="D1382" s="753" t="s">
        <v>43215</v>
      </c>
      <c r="E1382" s="752" t="s">
        <v>43094</v>
      </c>
      <c r="F1382" s="751">
        <v>3135</v>
      </c>
    </row>
    <row r="1383" spans="1:6">
      <c r="A1383" s="753"/>
      <c r="B1383" s="753"/>
      <c r="C1383" s="752" t="s">
        <v>50116</v>
      </c>
      <c r="D1383" s="753" t="s">
        <v>43215</v>
      </c>
      <c r="E1383" s="752" t="s">
        <v>42926</v>
      </c>
      <c r="F1383" s="751">
        <v>2875</v>
      </c>
    </row>
    <row r="1384" spans="1:6">
      <c r="A1384" s="753"/>
      <c r="B1384" s="753"/>
      <c r="C1384" s="752" t="s">
        <v>50115</v>
      </c>
      <c r="D1384" s="753" t="s">
        <v>43215</v>
      </c>
      <c r="E1384" s="752" t="s">
        <v>50114</v>
      </c>
      <c r="F1384" s="751">
        <v>3635</v>
      </c>
    </row>
    <row r="1385" spans="1:6">
      <c r="A1385" s="753"/>
      <c r="B1385" s="753"/>
      <c r="C1385" s="752" t="s">
        <v>50113</v>
      </c>
      <c r="D1385" s="753" t="s">
        <v>43215</v>
      </c>
      <c r="E1385" s="752" t="s">
        <v>42903</v>
      </c>
      <c r="F1385" s="751">
        <v>2375</v>
      </c>
    </row>
    <row r="1386" spans="1:6">
      <c r="A1386" s="753"/>
      <c r="B1386" s="753"/>
      <c r="C1386" s="752" t="s">
        <v>50112</v>
      </c>
      <c r="D1386" s="753" t="s">
        <v>43215</v>
      </c>
      <c r="E1386" s="752" t="s">
        <v>43006</v>
      </c>
      <c r="F1386" s="751">
        <v>3135</v>
      </c>
    </row>
    <row r="1387" spans="1:6">
      <c r="A1387" s="753"/>
      <c r="B1387" s="753"/>
      <c r="C1387" s="752" t="s">
        <v>50111</v>
      </c>
      <c r="D1387" s="753" t="s">
        <v>43215</v>
      </c>
      <c r="E1387" s="752" t="s">
        <v>42926</v>
      </c>
      <c r="F1387" s="751">
        <v>2875</v>
      </c>
    </row>
    <row r="1388" spans="1:6">
      <c r="A1388" s="753"/>
      <c r="B1388" s="753"/>
      <c r="C1388" s="752" t="s">
        <v>50110</v>
      </c>
      <c r="D1388" s="753" t="s">
        <v>43215</v>
      </c>
      <c r="E1388" s="752" t="s">
        <v>42903</v>
      </c>
      <c r="F1388" s="751">
        <v>2375</v>
      </c>
    </row>
    <row r="1389" spans="1:6">
      <c r="A1389" s="753"/>
      <c r="B1389" s="753"/>
      <c r="C1389" s="752" t="s">
        <v>50109</v>
      </c>
      <c r="D1389" s="753" t="s">
        <v>43215</v>
      </c>
      <c r="E1389" s="752" t="s">
        <v>43006</v>
      </c>
      <c r="F1389" s="751">
        <v>3135</v>
      </c>
    </row>
    <row r="1390" spans="1:6">
      <c r="A1390" s="753"/>
      <c r="B1390" s="753"/>
      <c r="C1390" s="752" t="s">
        <v>50108</v>
      </c>
      <c r="D1390" s="753" t="s">
        <v>50107</v>
      </c>
      <c r="E1390" s="752" t="s">
        <v>42920</v>
      </c>
      <c r="F1390" s="751">
        <v>2855</v>
      </c>
    </row>
    <row r="1391" spans="1:6">
      <c r="A1391" s="753"/>
      <c r="B1391" s="753"/>
      <c r="C1391" s="752" t="s">
        <v>50106</v>
      </c>
      <c r="D1391" s="753" t="s">
        <v>43215</v>
      </c>
      <c r="E1391" s="752" t="s">
        <v>50105</v>
      </c>
      <c r="F1391" s="751">
        <v>2875</v>
      </c>
    </row>
    <row r="1392" spans="1:6">
      <c r="A1392" s="753"/>
      <c r="B1392" s="753"/>
      <c r="C1392" s="752" t="s">
        <v>50104</v>
      </c>
      <c r="D1392" s="753" t="s">
        <v>43215</v>
      </c>
      <c r="E1392" s="752" t="s">
        <v>50103</v>
      </c>
      <c r="F1392" s="751">
        <v>3255</v>
      </c>
    </row>
    <row r="1393" spans="1:6">
      <c r="A1393" s="753"/>
      <c r="B1393" s="753"/>
      <c r="C1393" s="752" t="s">
        <v>50102</v>
      </c>
      <c r="D1393" s="753" t="s">
        <v>43215</v>
      </c>
      <c r="E1393" s="752" t="s">
        <v>42885</v>
      </c>
      <c r="F1393" s="751">
        <v>2375</v>
      </c>
    </row>
    <row r="1394" spans="1:6">
      <c r="A1394" s="753"/>
      <c r="B1394" s="753"/>
      <c r="C1394" s="752" t="s">
        <v>50101</v>
      </c>
      <c r="D1394" s="753" t="s">
        <v>43215</v>
      </c>
      <c r="E1394" s="752" t="s">
        <v>50100</v>
      </c>
      <c r="F1394" s="751">
        <v>3135</v>
      </c>
    </row>
    <row r="1395" spans="1:6">
      <c r="A1395" s="753"/>
      <c r="B1395" s="753"/>
      <c r="C1395" s="752" t="s">
        <v>50099</v>
      </c>
      <c r="D1395" s="753" t="s">
        <v>43215</v>
      </c>
      <c r="E1395" s="752" t="s">
        <v>50098</v>
      </c>
      <c r="F1395" s="751">
        <v>2375</v>
      </c>
    </row>
    <row r="1396" spans="1:6">
      <c r="A1396" s="753"/>
      <c r="B1396" s="753"/>
      <c r="C1396" s="752" t="s">
        <v>50097</v>
      </c>
      <c r="D1396" s="753" t="s">
        <v>43215</v>
      </c>
      <c r="E1396" s="752" t="s">
        <v>50085</v>
      </c>
      <c r="F1396" s="751">
        <v>3135</v>
      </c>
    </row>
    <row r="1397" spans="1:6">
      <c r="A1397" s="753"/>
      <c r="B1397" s="753"/>
      <c r="C1397" s="752" t="s">
        <v>50096</v>
      </c>
      <c r="D1397" s="753" t="s">
        <v>43215</v>
      </c>
      <c r="E1397" s="752" t="s">
        <v>50095</v>
      </c>
      <c r="F1397" s="751">
        <v>3465</v>
      </c>
    </row>
    <row r="1398" spans="1:6">
      <c r="A1398" s="753"/>
      <c r="B1398" s="753"/>
      <c r="C1398" s="752" t="s">
        <v>50094</v>
      </c>
      <c r="D1398" s="753" t="s">
        <v>50093</v>
      </c>
      <c r="E1398" s="752" t="s">
        <v>50092</v>
      </c>
      <c r="F1398" s="751">
        <v>2725</v>
      </c>
    </row>
    <row r="1399" spans="1:6">
      <c r="A1399" s="753"/>
      <c r="B1399" s="753"/>
      <c r="C1399" s="752" t="s">
        <v>50091</v>
      </c>
      <c r="D1399" s="753" t="s">
        <v>43215</v>
      </c>
      <c r="E1399" s="752" t="s">
        <v>50090</v>
      </c>
      <c r="F1399" s="751">
        <v>2875</v>
      </c>
    </row>
    <row r="1400" spans="1:6">
      <c r="A1400" s="753"/>
      <c r="B1400" s="753"/>
      <c r="C1400" s="752" t="s">
        <v>50089</v>
      </c>
      <c r="D1400" s="753" t="s">
        <v>43215</v>
      </c>
      <c r="E1400" s="752" t="s">
        <v>42880</v>
      </c>
      <c r="F1400" s="751">
        <v>2375</v>
      </c>
    </row>
    <row r="1401" spans="1:6">
      <c r="A1401" s="753"/>
      <c r="B1401" s="753"/>
      <c r="C1401" s="752" t="s">
        <v>50088</v>
      </c>
      <c r="D1401" s="753" t="s">
        <v>43215</v>
      </c>
      <c r="E1401" s="752" t="s">
        <v>42895</v>
      </c>
      <c r="F1401" s="751">
        <v>3135</v>
      </c>
    </row>
    <row r="1402" spans="1:6">
      <c r="A1402" s="753"/>
      <c r="B1402" s="753"/>
      <c r="C1402" s="752" t="s">
        <v>50087</v>
      </c>
      <c r="D1402" s="753" t="s">
        <v>43215</v>
      </c>
      <c r="E1402" s="752" t="s">
        <v>42893</v>
      </c>
      <c r="F1402" s="751">
        <v>2375</v>
      </c>
    </row>
    <row r="1403" spans="1:6">
      <c r="A1403" s="753"/>
      <c r="B1403" s="753"/>
      <c r="C1403" s="752" t="s">
        <v>50086</v>
      </c>
      <c r="D1403" s="753" t="s">
        <v>43215</v>
      </c>
      <c r="E1403" s="752" t="s">
        <v>50085</v>
      </c>
      <c r="F1403" s="751">
        <v>3135</v>
      </c>
    </row>
    <row r="1404" spans="1:6">
      <c r="A1404" s="753"/>
      <c r="B1404" s="753"/>
      <c r="C1404" s="752" t="s">
        <v>50084</v>
      </c>
      <c r="D1404" s="753" t="s">
        <v>43208</v>
      </c>
      <c r="E1404" s="752" t="s">
        <v>42876</v>
      </c>
      <c r="F1404" s="751">
        <v>3675</v>
      </c>
    </row>
    <row r="1405" spans="1:6">
      <c r="A1405" s="753"/>
      <c r="B1405" s="753"/>
      <c r="C1405" s="752" t="s">
        <v>50083</v>
      </c>
      <c r="D1405" s="753" t="s">
        <v>43208</v>
      </c>
      <c r="E1405" s="752" t="s">
        <v>42988</v>
      </c>
      <c r="F1405" s="751">
        <v>3675</v>
      </c>
    </row>
    <row r="1406" spans="1:6">
      <c r="A1406" s="753"/>
      <c r="B1406" s="753"/>
      <c r="C1406" s="752" t="s">
        <v>50082</v>
      </c>
      <c r="D1406" s="753" t="s">
        <v>43208</v>
      </c>
      <c r="E1406" s="752" t="s">
        <v>42946</v>
      </c>
      <c r="F1406" s="751">
        <v>4435</v>
      </c>
    </row>
    <row r="1407" spans="1:6">
      <c r="A1407" s="753"/>
      <c r="B1407" s="753"/>
      <c r="C1407" s="752" t="s">
        <v>50081</v>
      </c>
      <c r="D1407" s="753" t="s">
        <v>43208</v>
      </c>
      <c r="E1407" s="752" t="s">
        <v>42926</v>
      </c>
      <c r="F1407" s="751">
        <v>3425</v>
      </c>
    </row>
    <row r="1408" spans="1:6">
      <c r="A1408" s="753"/>
      <c r="B1408" s="753"/>
      <c r="C1408" s="752" t="s">
        <v>50080</v>
      </c>
      <c r="D1408" s="753" t="s">
        <v>43208</v>
      </c>
      <c r="E1408" s="752" t="s">
        <v>42941</v>
      </c>
      <c r="F1408" s="751">
        <v>3425</v>
      </c>
    </row>
    <row r="1409" spans="1:6">
      <c r="A1409" s="753"/>
      <c r="B1409" s="753"/>
      <c r="C1409" s="752" t="s">
        <v>50079</v>
      </c>
      <c r="D1409" s="753" t="s">
        <v>43208</v>
      </c>
      <c r="E1409" s="752" t="s">
        <v>42924</v>
      </c>
      <c r="F1409" s="751">
        <v>4185</v>
      </c>
    </row>
    <row r="1410" spans="1:6">
      <c r="A1410" s="753"/>
      <c r="B1410" s="753"/>
      <c r="C1410" s="752" t="s">
        <v>50078</v>
      </c>
      <c r="D1410" s="753" t="s">
        <v>43208</v>
      </c>
      <c r="E1410" s="752" t="s">
        <v>42893</v>
      </c>
      <c r="F1410" s="751">
        <v>2925</v>
      </c>
    </row>
    <row r="1411" spans="1:6">
      <c r="A1411" s="753"/>
      <c r="B1411" s="753"/>
      <c r="C1411" s="752" t="s">
        <v>50077</v>
      </c>
      <c r="D1411" s="753" t="s">
        <v>43208</v>
      </c>
      <c r="E1411" s="752" t="s">
        <v>42876</v>
      </c>
      <c r="F1411" s="751">
        <v>3675</v>
      </c>
    </row>
    <row r="1412" spans="1:6">
      <c r="A1412" s="753"/>
      <c r="B1412" s="753"/>
      <c r="C1412" s="752" t="s">
        <v>50076</v>
      </c>
      <c r="D1412" s="753" t="s">
        <v>43208</v>
      </c>
      <c r="E1412" s="752" t="s">
        <v>50075</v>
      </c>
      <c r="F1412" s="751">
        <v>3675</v>
      </c>
    </row>
    <row r="1413" spans="1:6">
      <c r="A1413" s="753"/>
      <c r="B1413" s="753"/>
      <c r="C1413" s="752" t="s">
        <v>50074</v>
      </c>
      <c r="D1413" s="753" t="s">
        <v>43208</v>
      </c>
      <c r="E1413" s="752" t="s">
        <v>50059</v>
      </c>
      <c r="F1413" s="751">
        <v>3425</v>
      </c>
    </row>
    <row r="1414" spans="1:6">
      <c r="A1414" s="753"/>
      <c r="B1414" s="753"/>
      <c r="C1414" s="752" t="s">
        <v>50073</v>
      </c>
      <c r="D1414" s="753" t="s">
        <v>43208</v>
      </c>
      <c r="E1414" s="752" t="s">
        <v>50072</v>
      </c>
      <c r="F1414" s="751">
        <v>4185</v>
      </c>
    </row>
    <row r="1415" spans="1:6">
      <c r="A1415" s="753"/>
      <c r="B1415" s="753"/>
      <c r="C1415" s="752" t="s">
        <v>50071</v>
      </c>
      <c r="D1415" s="753" t="s">
        <v>43208</v>
      </c>
      <c r="E1415" s="752" t="s">
        <v>42946</v>
      </c>
      <c r="F1415" s="751">
        <v>4435</v>
      </c>
    </row>
    <row r="1416" spans="1:6">
      <c r="A1416" s="753"/>
      <c r="B1416" s="753"/>
      <c r="C1416" s="752" t="s">
        <v>50070</v>
      </c>
      <c r="D1416" s="753" t="s">
        <v>43208</v>
      </c>
      <c r="E1416" s="752" t="s">
        <v>38342</v>
      </c>
      <c r="F1416" s="751">
        <v>3675</v>
      </c>
    </row>
    <row r="1417" spans="1:6">
      <c r="A1417" s="753"/>
      <c r="B1417" s="753"/>
      <c r="C1417" s="752" t="s">
        <v>50069</v>
      </c>
      <c r="D1417" s="753" t="s">
        <v>43208</v>
      </c>
      <c r="E1417" s="752" t="s">
        <v>42926</v>
      </c>
      <c r="F1417" s="751">
        <v>3425</v>
      </c>
    </row>
    <row r="1418" spans="1:6">
      <c r="A1418" s="753"/>
      <c r="B1418" s="753"/>
      <c r="C1418" s="752" t="s">
        <v>50068</v>
      </c>
      <c r="D1418" s="753" t="s">
        <v>43208</v>
      </c>
      <c r="E1418" s="752" t="s">
        <v>50067</v>
      </c>
      <c r="F1418" s="751">
        <v>3425</v>
      </c>
    </row>
    <row r="1419" spans="1:6">
      <c r="A1419" s="753"/>
      <c r="B1419" s="753"/>
      <c r="C1419" s="752" t="s">
        <v>50066</v>
      </c>
      <c r="D1419" s="753" t="s">
        <v>43208</v>
      </c>
      <c r="E1419" s="752" t="s">
        <v>42924</v>
      </c>
      <c r="F1419" s="751">
        <v>4185</v>
      </c>
    </row>
    <row r="1420" spans="1:6">
      <c r="A1420" s="753"/>
      <c r="B1420" s="753"/>
      <c r="C1420" s="752" t="s">
        <v>50065</v>
      </c>
      <c r="D1420" s="753" t="s">
        <v>43208</v>
      </c>
      <c r="E1420" s="752" t="s">
        <v>42903</v>
      </c>
      <c r="F1420" s="751">
        <v>2925</v>
      </c>
    </row>
    <row r="1421" spans="1:6">
      <c r="A1421" s="753"/>
      <c r="B1421" s="753"/>
      <c r="C1421" s="752" t="s">
        <v>50064</v>
      </c>
      <c r="D1421" s="753" t="s">
        <v>43208</v>
      </c>
      <c r="E1421" s="752" t="s">
        <v>49296</v>
      </c>
      <c r="F1421" s="751">
        <v>2925</v>
      </c>
    </row>
    <row r="1422" spans="1:6">
      <c r="A1422" s="753"/>
      <c r="B1422" s="753"/>
      <c r="C1422" s="752" t="s">
        <v>50063</v>
      </c>
      <c r="D1422" s="753" t="s">
        <v>43208</v>
      </c>
      <c r="E1422" s="752" t="s">
        <v>42972</v>
      </c>
      <c r="F1422" s="751">
        <v>3685</v>
      </c>
    </row>
    <row r="1423" spans="1:6">
      <c r="A1423" s="753"/>
      <c r="B1423" s="753"/>
      <c r="C1423" s="752" t="s">
        <v>50062</v>
      </c>
      <c r="D1423" s="753" t="s">
        <v>43208</v>
      </c>
      <c r="E1423" s="752" t="s">
        <v>42876</v>
      </c>
      <c r="F1423" s="751">
        <v>3675</v>
      </c>
    </row>
    <row r="1424" spans="1:6">
      <c r="A1424" s="753"/>
      <c r="B1424" s="753"/>
      <c r="C1424" s="752" t="s">
        <v>50061</v>
      </c>
      <c r="D1424" s="753" t="s">
        <v>43208</v>
      </c>
      <c r="E1424" s="752" t="s">
        <v>49963</v>
      </c>
      <c r="F1424" s="751">
        <v>4185</v>
      </c>
    </row>
    <row r="1425" spans="1:6">
      <c r="A1425" s="753"/>
      <c r="B1425" s="753"/>
      <c r="C1425" s="752" t="s">
        <v>50060</v>
      </c>
      <c r="D1425" s="753" t="s">
        <v>43208</v>
      </c>
      <c r="E1425" s="752" t="s">
        <v>50059</v>
      </c>
      <c r="F1425" s="751">
        <v>3425</v>
      </c>
    </row>
    <row r="1426" spans="1:6">
      <c r="A1426" s="753"/>
      <c r="B1426" s="753"/>
      <c r="C1426" s="752" t="s">
        <v>50058</v>
      </c>
      <c r="D1426" s="753" t="s">
        <v>43208</v>
      </c>
      <c r="E1426" s="752" t="s">
        <v>42946</v>
      </c>
      <c r="F1426" s="751">
        <v>4435</v>
      </c>
    </row>
    <row r="1427" spans="1:6">
      <c r="A1427" s="753"/>
      <c r="B1427" s="753"/>
      <c r="C1427" s="752" t="s">
        <v>50057</v>
      </c>
      <c r="D1427" s="753" t="s">
        <v>43208</v>
      </c>
      <c r="E1427" s="752" t="s">
        <v>42926</v>
      </c>
      <c r="F1427" s="751">
        <v>3425</v>
      </c>
    </row>
    <row r="1428" spans="1:6">
      <c r="A1428" s="753"/>
      <c r="B1428" s="753"/>
      <c r="C1428" s="752" t="s">
        <v>50056</v>
      </c>
      <c r="D1428" s="753" t="s">
        <v>43208</v>
      </c>
      <c r="E1428" s="752" t="s">
        <v>42903</v>
      </c>
      <c r="F1428" s="751">
        <v>2925</v>
      </c>
    </row>
    <row r="1429" spans="1:6">
      <c r="A1429" s="753"/>
      <c r="B1429" s="753"/>
      <c r="C1429" s="752" t="s">
        <v>50055</v>
      </c>
      <c r="D1429" s="753" t="s">
        <v>43208</v>
      </c>
      <c r="E1429" s="752" t="s">
        <v>42891</v>
      </c>
      <c r="F1429" s="751">
        <v>3425</v>
      </c>
    </row>
    <row r="1430" spans="1:6">
      <c r="A1430" s="753"/>
      <c r="B1430" s="753"/>
      <c r="C1430" s="752" t="s">
        <v>50054</v>
      </c>
      <c r="D1430" s="753" t="s">
        <v>43208</v>
      </c>
      <c r="E1430" s="752" t="s">
        <v>42920</v>
      </c>
      <c r="F1430" s="751">
        <v>3805</v>
      </c>
    </row>
    <row r="1431" spans="1:6">
      <c r="A1431" s="753"/>
      <c r="B1431" s="753"/>
      <c r="C1431" s="752" t="s">
        <v>50053</v>
      </c>
      <c r="D1431" s="753" t="s">
        <v>43208</v>
      </c>
      <c r="E1431" s="752" t="s">
        <v>42874</v>
      </c>
      <c r="F1431" s="751">
        <v>4185</v>
      </c>
    </row>
    <row r="1432" spans="1:6">
      <c r="A1432" s="753"/>
      <c r="B1432" s="753"/>
      <c r="C1432" s="752" t="s">
        <v>50052</v>
      </c>
      <c r="D1432" s="753" t="s">
        <v>43208</v>
      </c>
      <c r="E1432" s="752" t="s">
        <v>50008</v>
      </c>
      <c r="F1432" s="751">
        <v>3425</v>
      </c>
    </row>
    <row r="1433" spans="1:6">
      <c r="A1433" s="753"/>
      <c r="B1433" s="753"/>
      <c r="C1433" s="752" t="s">
        <v>50051</v>
      </c>
      <c r="D1433" s="753" t="s">
        <v>43208</v>
      </c>
      <c r="E1433" s="752" t="s">
        <v>50050</v>
      </c>
      <c r="F1433" s="751">
        <v>4185</v>
      </c>
    </row>
    <row r="1434" spans="1:6">
      <c r="A1434" s="753"/>
      <c r="B1434" s="753"/>
      <c r="C1434" s="752" t="s">
        <v>50049</v>
      </c>
      <c r="D1434" s="753" t="s">
        <v>43208</v>
      </c>
      <c r="E1434" s="752" t="s">
        <v>42887</v>
      </c>
      <c r="F1434" s="751">
        <v>3425</v>
      </c>
    </row>
    <row r="1435" spans="1:6">
      <c r="A1435" s="753"/>
      <c r="B1435" s="753"/>
      <c r="C1435" s="752" t="s">
        <v>50048</v>
      </c>
      <c r="D1435" s="753" t="s">
        <v>43208</v>
      </c>
      <c r="E1435" s="752" t="s">
        <v>42871</v>
      </c>
      <c r="F1435" s="751">
        <v>3805</v>
      </c>
    </row>
    <row r="1436" spans="1:6">
      <c r="A1436" s="753"/>
      <c r="B1436" s="753"/>
      <c r="C1436" s="752" t="s">
        <v>50047</v>
      </c>
      <c r="D1436" s="753" t="s">
        <v>43208</v>
      </c>
      <c r="E1436" s="752" t="s">
        <v>49957</v>
      </c>
      <c r="F1436" s="751">
        <v>4185</v>
      </c>
    </row>
    <row r="1437" spans="1:6">
      <c r="A1437" s="753"/>
      <c r="B1437" s="753"/>
      <c r="C1437" s="752" t="s">
        <v>50046</v>
      </c>
      <c r="D1437" s="753" t="s">
        <v>43208</v>
      </c>
      <c r="E1437" s="752" t="s">
        <v>42924</v>
      </c>
      <c r="F1437" s="751">
        <v>4185</v>
      </c>
    </row>
    <row r="1438" spans="1:6">
      <c r="A1438" s="753"/>
      <c r="B1438" s="753"/>
      <c r="C1438" s="752" t="s">
        <v>50045</v>
      </c>
      <c r="D1438" s="753" t="s">
        <v>43208</v>
      </c>
      <c r="E1438" s="752" t="s">
        <v>42885</v>
      </c>
      <c r="F1438" s="751">
        <v>2925</v>
      </c>
    </row>
    <row r="1439" spans="1:6">
      <c r="A1439" s="753"/>
      <c r="B1439" s="753"/>
      <c r="C1439" s="752" t="s">
        <v>50044</v>
      </c>
      <c r="D1439" s="753" t="s">
        <v>43208</v>
      </c>
      <c r="E1439" s="752" t="s">
        <v>42885</v>
      </c>
      <c r="F1439" s="751">
        <v>3685</v>
      </c>
    </row>
    <row r="1440" spans="1:6">
      <c r="A1440" s="753"/>
      <c r="B1440" s="753"/>
      <c r="C1440" s="752" t="s">
        <v>50043</v>
      </c>
      <c r="D1440" s="753" t="s">
        <v>43208</v>
      </c>
      <c r="E1440" s="752" t="s">
        <v>42883</v>
      </c>
      <c r="F1440" s="751">
        <v>3425</v>
      </c>
    </row>
    <row r="1441" spans="1:6">
      <c r="A1441" s="753"/>
      <c r="B1441" s="753"/>
      <c r="C1441" s="752" t="s">
        <v>50042</v>
      </c>
      <c r="D1441" s="753" t="s">
        <v>43208</v>
      </c>
      <c r="E1441" s="752" t="s">
        <v>50041</v>
      </c>
      <c r="F1441" s="751">
        <v>4735</v>
      </c>
    </row>
    <row r="1442" spans="1:6">
      <c r="A1442" s="753"/>
      <c r="B1442" s="753"/>
      <c r="C1442" s="752" t="s">
        <v>50040</v>
      </c>
      <c r="D1442" s="753" t="s">
        <v>43208</v>
      </c>
      <c r="E1442" s="752" t="s">
        <v>42867</v>
      </c>
      <c r="F1442" s="751">
        <v>3425</v>
      </c>
    </row>
    <row r="1443" spans="1:6">
      <c r="A1443" s="753"/>
      <c r="B1443" s="753"/>
      <c r="C1443" s="752" t="s">
        <v>50039</v>
      </c>
      <c r="D1443" s="753" t="s">
        <v>43208</v>
      </c>
      <c r="E1443" s="752" t="s">
        <v>49903</v>
      </c>
      <c r="F1443" s="751">
        <v>3425</v>
      </c>
    </row>
    <row r="1444" spans="1:6">
      <c r="A1444" s="753"/>
      <c r="B1444" s="753"/>
      <c r="C1444" s="752" t="s">
        <v>50038</v>
      </c>
      <c r="D1444" s="753" t="s">
        <v>43208</v>
      </c>
      <c r="E1444" s="752" t="s">
        <v>42876</v>
      </c>
      <c r="F1444" s="751">
        <v>3675</v>
      </c>
    </row>
    <row r="1445" spans="1:6">
      <c r="A1445" s="753"/>
      <c r="B1445" s="753"/>
      <c r="C1445" s="752" t="s">
        <v>50037</v>
      </c>
      <c r="D1445" s="753" t="s">
        <v>43208</v>
      </c>
      <c r="E1445" s="752" t="s">
        <v>42946</v>
      </c>
      <c r="F1445" s="751">
        <v>4435</v>
      </c>
    </row>
    <row r="1446" spans="1:6">
      <c r="A1446" s="753"/>
      <c r="B1446" s="753"/>
      <c r="C1446" s="752" t="s">
        <v>50036</v>
      </c>
      <c r="D1446" s="753" t="s">
        <v>43208</v>
      </c>
      <c r="E1446" s="752" t="s">
        <v>42926</v>
      </c>
      <c r="F1446" s="751">
        <v>3425</v>
      </c>
    </row>
    <row r="1447" spans="1:6">
      <c r="A1447" s="753"/>
      <c r="B1447" s="753"/>
      <c r="C1447" s="752" t="s">
        <v>50035</v>
      </c>
      <c r="D1447" s="753" t="s">
        <v>43208</v>
      </c>
      <c r="E1447" s="752" t="s">
        <v>42924</v>
      </c>
      <c r="F1447" s="751">
        <v>4185</v>
      </c>
    </row>
    <row r="1448" spans="1:6">
      <c r="A1448" s="753"/>
      <c r="B1448" s="753"/>
      <c r="C1448" s="752" t="s">
        <v>50034</v>
      </c>
      <c r="D1448" s="753" t="s">
        <v>43208</v>
      </c>
      <c r="E1448" s="752" t="s">
        <v>42893</v>
      </c>
      <c r="F1448" s="751">
        <v>2925</v>
      </c>
    </row>
    <row r="1449" spans="1:6">
      <c r="A1449" s="753"/>
      <c r="B1449" s="753"/>
      <c r="C1449" s="752" t="s">
        <v>50033</v>
      </c>
      <c r="D1449" s="753" t="s">
        <v>43201</v>
      </c>
      <c r="E1449" s="752" t="s">
        <v>42876</v>
      </c>
      <c r="F1449" s="751">
        <v>3675</v>
      </c>
    </row>
    <row r="1450" spans="1:6">
      <c r="A1450" s="753"/>
      <c r="B1450" s="753"/>
      <c r="C1450" s="752" t="s">
        <v>50032</v>
      </c>
      <c r="D1450" s="753" t="s">
        <v>43201</v>
      </c>
      <c r="E1450" s="752" t="s">
        <v>42988</v>
      </c>
      <c r="F1450" s="751">
        <v>3675</v>
      </c>
    </row>
    <row r="1451" spans="1:6">
      <c r="A1451" s="753"/>
      <c r="B1451" s="753"/>
      <c r="C1451" s="752" t="s">
        <v>50031</v>
      </c>
      <c r="D1451" s="753" t="s">
        <v>43201</v>
      </c>
      <c r="E1451" s="752" t="s">
        <v>42946</v>
      </c>
      <c r="F1451" s="751">
        <v>4435</v>
      </c>
    </row>
    <row r="1452" spans="1:6">
      <c r="A1452" s="753"/>
      <c r="B1452" s="753"/>
      <c r="C1452" s="752" t="s">
        <v>50030</v>
      </c>
      <c r="D1452" s="753" t="s">
        <v>43201</v>
      </c>
      <c r="E1452" s="752" t="s">
        <v>42926</v>
      </c>
      <c r="F1452" s="751">
        <v>3425</v>
      </c>
    </row>
    <row r="1453" spans="1:6">
      <c r="A1453" s="753"/>
      <c r="B1453" s="753"/>
      <c r="C1453" s="752" t="s">
        <v>50029</v>
      </c>
      <c r="D1453" s="753" t="s">
        <v>43201</v>
      </c>
      <c r="E1453" s="752" t="s">
        <v>42941</v>
      </c>
      <c r="F1453" s="751">
        <v>3425</v>
      </c>
    </row>
    <row r="1454" spans="1:6">
      <c r="A1454" s="753"/>
      <c r="B1454" s="753"/>
      <c r="C1454" s="752" t="s">
        <v>50028</v>
      </c>
      <c r="D1454" s="753" t="s">
        <v>43201</v>
      </c>
      <c r="E1454" s="752" t="s">
        <v>42054</v>
      </c>
      <c r="F1454" s="751">
        <v>4185</v>
      </c>
    </row>
    <row r="1455" spans="1:6">
      <c r="A1455" s="753"/>
      <c r="B1455" s="753"/>
      <c r="C1455" s="752" t="s">
        <v>50027</v>
      </c>
      <c r="D1455" s="753" t="s">
        <v>43201</v>
      </c>
      <c r="E1455" s="752" t="s">
        <v>42893</v>
      </c>
      <c r="F1455" s="751">
        <v>2925</v>
      </c>
    </row>
    <row r="1456" spans="1:6">
      <c r="A1456" s="753"/>
      <c r="B1456" s="753"/>
      <c r="C1456" s="752" t="s">
        <v>50026</v>
      </c>
      <c r="D1456" s="753" t="s">
        <v>43201</v>
      </c>
      <c r="E1456" s="752" t="s">
        <v>50025</v>
      </c>
      <c r="F1456" s="751">
        <v>3685</v>
      </c>
    </row>
    <row r="1457" spans="1:6">
      <c r="A1457" s="753"/>
      <c r="B1457" s="753"/>
      <c r="C1457" s="752" t="s">
        <v>50024</v>
      </c>
      <c r="D1457" s="753" t="s">
        <v>43201</v>
      </c>
      <c r="E1457" s="752" t="s">
        <v>42876</v>
      </c>
      <c r="F1457" s="751">
        <v>3675</v>
      </c>
    </row>
    <row r="1458" spans="1:6">
      <c r="A1458" s="753"/>
      <c r="B1458" s="753"/>
      <c r="C1458" s="752" t="s">
        <v>50023</v>
      </c>
      <c r="D1458" s="753" t="s">
        <v>43201</v>
      </c>
      <c r="E1458" s="752" t="s">
        <v>42946</v>
      </c>
      <c r="F1458" s="751">
        <v>4435</v>
      </c>
    </row>
    <row r="1459" spans="1:6">
      <c r="A1459" s="753"/>
      <c r="B1459" s="753"/>
      <c r="C1459" s="752" t="s">
        <v>50022</v>
      </c>
      <c r="D1459" s="753" t="s">
        <v>43201</v>
      </c>
      <c r="E1459" s="752" t="s">
        <v>42926</v>
      </c>
      <c r="F1459" s="751">
        <v>3425</v>
      </c>
    </row>
    <row r="1460" spans="1:6">
      <c r="A1460" s="753"/>
      <c r="B1460" s="753"/>
      <c r="C1460" s="752" t="s">
        <v>50021</v>
      </c>
      <c r="D1460" s="753" t="s">
        <v>43201</v>
      </c>
      <c r="E1460" s="752" t="s">
        <v>42924</v>
      </c>
      <c r="F1460" s="751">
        <v>4185</v>
      </c>
    </row>
    <row r="1461" spans="1:6">
      <c r="A1461" s="753"/>
      <c r="B1461" s="753"/>
      <c r="C1461" s="752" t="s">
        <v>50020</v>
      </c>
      <c r="D1461" s="753" t="s">
        <v>43201</v>
      </c>
      <c r="E1461" s="752" t="s">
        <v>42903</v>
      </c>
      <c r="F1461" s="751">
        <v>2925</v>
      </c>
    </row>
    <row r="1462" spans="1:6">
      <c r="A1462" s="753"/>
      <c r="B1462" s="753"/>
      <c r="C1462" s="752" t="s">
        <v>50019</v>
      </c>
      <c r="D1462" s="753" t="s">
        <v>50018</v>
      </c>
      <c r="E1462" s="752" t="s">
        <v>42972</v>
      </c>
      <c r="F1462" s="751">
        <v>3685</v>
      </c>
    </row>
    <row r="1463" spans="1:6">
      <c r="A1463" s="753"/>
      <c r="B1463" s="753"/>
      <c r="C1463" s="752" t="s">
        <v>50017</v>
      </c>
      <c r="D1463" s="753" t="s">
        <v>43201</v>
      </c>
      <c r="E1463" s="752" t="s">
        <v>42876</v>
      </c>
      <c r="F1463" s="751">
        <v>3675</v>
      </c>
    </row>
    <row r="1464" spans="1:6">
      <c r="A1464" s="753"/>
      <c r="B1464" s="753"/>
      <c r="C1464" s="752" t="s">
        <v>50016</v>
      </c>
      <c r="D1464" s="753" t="s">
        <v>43201</v>
      </c>
      <c r="E1464" s="752" t="s">
        <v>50015</v>
      </c>
      <c r="F1464" s="751">
        <v>3675</v>
      </c>
    </row>
    <row r="1465" spans="1:6">
      <c r="A1465" s="753"/>
      <c r="B1465" s="753"/>
      <c r="C1465" s="752" t="s">
        <v>50014</v>
      </c>
      <c r="D1465" s="753" t="s">
        <v>43201</v>
      </c>
      <c r="E1465" s="752" t="s">
        <v>42946</v>
      </c>
      <c r="F1465" s="751">
        <v>4435</v>
      </c>
    </row>
    <row r="1466" spans="1:6">
      <c r="A1466" s="753"/>
      <c r="B1466" s="753"/>
      <c r="C1466" s="752" t="s">
        <v>50013</v>
      </c>
      <c r="D1466" s="753" t="s">
        <v>43201</v>
      </c>
      <c r="E1466" s="752" t="s">
        <v>42926</v>
      </c>
      <c r="F1466" s="751">
        <v>3425</v>
      </c>
    </row>
    <row r="1467" spans="1:6">
      <c r="A1467" s="753"/>
      <c r="B1467" s="753"/>
      <c r="C1467" s="752" t="s">
        <v>50012</v>
      </c>
      <c r="D1467" s="753" t="s">
        <v>43201</v>
      </c>
      <c r="E1467" s="752" t="s">
        <v>42903</v>
      </c>
      <c r="F1467" s="751">
        <v>2925</v>
      </c>
    </row>
    <row r="1468" spans="1:6">
      <c r="A1468" s="753"/>
      <c r="B1468" s="753"/>
      <c r="C1468" s="752" t="s">
        <v>50011</v>
      </c>
      <c r="D1468" s="753" t="s">
        <v>49994</v>
      </c>
      <c r="E1468" s="752" t="s">
        <v>42891</v>
      </c>
      <c r="F1468" s="751">
        <v>3675</v>
      </c>
    </row>
    <row r="1469" spans="1:6">
      <c r="A1469" s="753"/>
      <c r="B1469" s="753"/>
      <c r="C1469" s="752" t="s">
        <v>50010</v>
      </c>
      <c r="D1469" s="753" t="s">
        <v>49994</v>
      </c>
      <c r="E1469" s="752" t="s">
        <v>42920</v>
      </c>
      <c r="F1469" s="751">
        <v>3805</v>
      </c>
    </row>
    <row r="1470" spans="1:6">
      <c r="A1470" s="753"/>
      <c r="B1470" s="753"/>
      <c r="C1470" s="752" t="s">
        <v>50009</v>
      </c>
      <c r="D1470" s="753" t="s">
        <v>43201</v>
      </c>
      <c r="E1470" s="752" t="s">
        <v>50008</v>
      </c>
      <c r="F1470" s="751">
        <v>3425</v>
      </c>
    </row>
    <row r="1471" spans="1:6">
      <c r="A1471" s="753"/>
      <c r="B1471" s="753"/>
      <c r="C1471" s="752" t="s">
        <v>50007</v>
      </c>
      <c r="D1471" s="753" t="s">
        <v>43201</v>
      </c>
      <c r="E1471" s="752" t="s">
        <v>42887</v>
      </c>
      <c r="F1471" s="751">
        <v>3425</v>
      </c>
    </row>
    <row r="1472" spans="1:6">
      <c r="A1472" s="753"/>
      <c r="B1472" s="753"/>
      <c r="C1472" s="752" t="s">
        <v>50006</v>
      </c>
      <c r="D1472" s="753" t="s">
        <v>43201</v>
      </c>
      <c r="E1472" s="752" t="s">
        <v>42871</v>
      </c>
      <c r="F1472" s="751">
        <v>3805</v>
      </c>
    </row>
    <row r="1473" spans="1:6">
      <c r="A1473" s="753"/>
      <c r="B1473" s="753"/>
      <c r="C1473" s="752" t="s">
        <v>50005</v>
      </c>
      <c r="D1473" s="753" t="s">
        <v>43201</v>
      </c>
      <c r="E1473" s="752" t="s">
        <v>42885</v>
      </c>
      <c r="F1473" s="751">
        <v>2925</v>
      </c>
    </row>
    <row r="1474" spans="1:6">
      <c r="A1474" s="753"/>
      <c r="B1474" s="753"/>
      <c r="C1474" s="752" t="s">
        <v>50004</v>
      </c>
      <c r="D1474" s="753" t="s">
        <v>43201</v>
      </c>
      <c r="E1474" s="752" t="s">
        <v>50003</v>
      </c>
      <c r="F1474" s="751">
        <v>3685</v>
      </c>
    </row>
    <row r="1475" spans="1:6">
      <c r="A1475" s="753"/>
      <c r="B1475" s="753"/>
      <c r="C1475" s="752" t="s">
        <v>50002</v>
      </c>
      <c r="D1475" s="753" t="s">
        <v>49994</v>
      </c>
      <c r="E1475" s="752" t="s">
        <v>42883</v>
      </c>
      <c r="F1475" s="751">
        <v>3675</v>
      </c>
    </row>
    <row r="1476" spans="1:6">
      <c r="A1476" s="753"/>
      <c r="B1476" s="753"/>
      <c r="C1476" s="752" t="s">
        <v>50001</v>
      </c>
      <c r="D1476" s="753" t="s">
        <v>49994</v>
      </c>
      <c r="E1476" s="752" t="s">
        <v>50000</v>
      </c>
      <c r="F1476" s="751">
        <v>4185</v>
      </c>
    </row>
    <row r="1477" spans="1:6">
      <c r="A1477" s="753"/>
      <c r="B1477" s="753"/>
      <c r="C1477" s="752" t="s">
        <v>49999</v>
      </c>
      <c r="D1477" s="753" t="s">
        <v>49994</v>
      </c>
      <c r="E1477" s="752" t="s">
        <v>42867</v>
      </c>
      <c r="F1477" s="751">
        <v>3675</v>
      </c>
    </row>
    <row r="1478" spans="1:6">
      <c r="A1478" s="753"/>
      <c r="B1478" s="753"/>
      <c r="C1478" s="752" t="s">
        <v>49998</v>
      </c>
      <c r="D1478" s="753" t="s">
        <v>49994</v>
      </c>
      <c r="E1478" s="752" t="s">
        <v>42910</v>
      </c>
      <c r="F1478" s="751">
        <v>4735</v>
      </c>
    </row>
    <row r="1479" spans="1:6">
      <c r="A1479" s="753"/>
      <c r="B1479" s="753"/>
      <c r="C1479" s="752" t="s">
        <v>49997</v>
      </c>
      <c r="D1479" s="753" t="s">
        <v>49994</v>
      </c>
      <c r="E1479" s="752" t="s">
        <v>49948</v>
      </c>
      <c r="F1479" s="751">
        <v>3425</v>
      </c>
    </row>
    <row r="1480" spans="1:6">
      <c r="A1480" s="753"/>
      <c r="B1480" s="753"/>
      <c r="C1480" s="752" t="s">
        <v>49996</v>
      </c>
      <c r="D1480" s="753" t="s">
        <v>49994</v>
      </c>
      <c r="E1480" s="752" t="s">
        <v>42880</v>
      </c>
      <c r="F1480" s="751">
        <v>2925</v>
      </c>
    </row>
    <row r="1481" spans="1:6">
      <c r="A1481" s="753"/>
      <c r="B1481" s="753"/>
      <c r="C1481" s="752" t="s">
        <v>49995</v>
      </c>
      <c r="D1481" s="753" t="s">
        <v>49994</v>
      </c>
      <c r="E1481" s="752" t="s">
        <v>49907</v>
      </c>
      <c r="F1481" s="751">
        <v>3685</v>
      </c>
    </row>
    <row r="1482" spans="1:6">
      <c r="A1482" s="753"/>
      <c r="B1482" s="753"/>
      <c r="C1482" s="752" t="s">
        <v>49993</v>
      </c>
      <c r="D1482" s="753" t="s">
        <v>43201</v>
      </c>
      <c r="E1482" s="752" t="s">
        <v>42876</v>
      </c>
      <c r="F1482" s="751">
        <v>3675</v>
      </c>
    </row>
    <row r="1483" spans="1:6">
      <c r="A1483" s="753"/>
      <c r="B1483" s="753"/>
      <c r="C1483" s="752" t="s">
        <v>49992</v>
      </c>
      <c r="D1483" s="753" t="s">
        <v>43201</v>
      </c>
      <c r="E1483" s="752" t="s">
        <v>42926</v>
      </c>
      <c r="F1483" s="751">
        <v>3425</v>
      </c>
    </row>
    <row r="1484" spans="1:6">
      <c r="A1484" s="753"/>
      <c r="B1484" s="753"/>
      <c r="C1484" s="752" t="s">
        <v>49991</v>
      </c>
      <c r="D1484" s="753" t="s">
        <v>43201</v>
      </c>
      <c r="E1484" s="752" t="s">
        <v>42893</v>
      </c>
      <c r="F1484" s="751">
        <v>2925</v>
      </c>
    </row>
    <row r="1485" spans="1:6">
      <c r="A1485" s="753"/>
      <c r="B1485" s="753"/>
      <c r="C1485" s="752" t="s">
        <v>49990</v>
      </c>
      <c r="D1485" s="753" t="s">
        <v>49974</v>
      </c>
      <c r="E1485" s="752" t="s">
        <v>42893</v>
      </c>
      <c r="F1485" s="751">
        <v>2475</v>
      </c>
    </row>
    <row r="1486" spans="1:6">
      <c r="A1486" s="753"/>
      <c r="B1486" s="753"/>
      <c r="C1486" s="752" t="s">
        <v>49989</v>
      </c>
      <c r="D1486" s="753" t="s">
        <v>49974</v>
      </c>
      <c r="E1486" s="752" t="s">
        <v>49988</v>
      </c>
      <c r="F1486" s="751">
        <v>3235</v>
      </c>
    </row>
    <row r="1487" spans="1:6">
      <c r="A1487" s="753"/>
      <c r="B1487" s="753"/>
      <c r="C1487" s="752" t="s">
        <v>49987</v>
      </c>
      <c r="D1487" s="753" t="s">
        <v>49974</v>
      </c>
      <c r="E1487" s="752" t="s">
        <v>42952</v>
      </c>
      <c r="F1487" s="751">
        <v>3235</v>
      </c>
    </row>
    <row r="1488" spans="1:6">
      <c r="A1488" s="753"/>
      <c r="B1488" s="753"/>
      <c r="C1488" s="752" t="s">
        <v>49986</v>
      </c>
      <c r="D1488" s="753" t="s">
        <v>49974</v>
      </c>
      <c r="E1488" s="752" t="s">
        <v>42903</v>
      </c>
      <c r="F1488" s="751">
        <v>2475</v>
      </c>
    </row>
    <row r="1489" spans="1:6">
      <c r="A1489" s="753"/>
      <c r="B1489" s="753"/>
      <c r="C1489" s="752" t="s">
        <v>49985</v>
      </c>
      <c r="D1489" s="753" t="s">
        <v>49974</v>
      </c>
      <c r="E1489" s="752" t="s">
        <v>49984</v>
      </c>
      <c r="F1489" s="751">
        <v>2985</v>
      </c>
    </row>
    <row r="1490" spans="1:6">
      <c r="A1490" s="753"/>
      <c r="B1490" s="753"/>
      <c r="C1490" s="752" t="s">
        <v>49983</v>
      </c>
      <c r="D1490" s="753" t="s">
        <v>49974</v>
      </c>
      <c r="E1490" s="752" t="s">
        <v>42903</v>
      </c>
      <c r="F1490" s="751">
        <v>2475</v>
      </c>
    </row>
    <row r="1491" spans="1:6">
      <c r="A1491" s="753"/>
      <c r="B1491" s="753"/>
      <c r="C1491" s="752" t="s">
        <v>49982</v>
      </c>
      <c r="D1491" s="753" t="s">
        <v>49974</v>
      </c>
      <c r="E1491" s="752" t="s">
        <v>42954</v>
      </c>
      <c r="F1491" s="751">
        <v>3235</v>
      </c>
    </row>
    <row r="1492" spans="1:6">
      <c r="A1492" s="753"/>
      <c r="B1492" s="753"/>
      <c r="C1492" s="752" t="s">
        <v>49981</v>
      </c>
      <c r="D1492" s="753" t="s">
        <v>43215</v>
      </c>
      <c r="E1492" s="752" t="s">
        <v>49980</v>
      </c>
      <c r="F1492" s="751">
        <v>2975</v>
      </c>
    </row>
    <row r="1493" spans="1:6">
      <c r="A1493" s="753"/>
      <c r="B1493" s="753"/>
      <c r="C1493" s="752" t="s">
        <v>49979</v>
      </c>
      <c r="D1493" s="753" t="s">
        <v>49974</v>
      </c>
      <c r="E1493" s="752" t="s">
        <v>49978</v>
      </c>
      <c r="F1493" s="751">
        <v>2975</v>
      </c>
    </row>
    <row r="1494" spans="1:6">
      <c r="A1494" s="753"/>
      <c r="B1494" s="753"/>
      <c r="C1494" s="752" t="s">
        <v>49977</v>
      </c>
      <c r="D1494" s="753" t="s">
        <v>49974</v>
      </c>
      <c r="E1494" s="752" t="s">
        <v>49976</v>
      </c>
      <c r="F1494" s="751">
        <v>2475</v>
      </c>
    </row>
    <row r="1495" spans="1:6">
      <c r="A1495" s="753"/>
      <c r="B1495" s="753"/>
      <c r="C1495" s="752" t="s">
        <v>49975</v>
      </c>
      <c r="D1495" s="753" t="s">
        <v>49974</v>
      </c>
      <c r="E1495" s="752" t="s">
        <v>42895</v>
      </c>
      <c r="F1495" s="751">
        <v>3235</v>
      </c>
    </row>
    <row r="1496" spans="1:6">
      <c r="A1496" s="753"/>
      <c r="B1496" s="753"/>
      <c r="C1496" s="752" t="s">
        <v>49973</v>
      </c>
      <c r="D1496" s="753" t="s">
        <v>49946</v>
      </c>
      <c r="E1496" s="752" t="s">
        <v>42876</v>
      </c>
      <c r="F1496" s="751">
        <v>3775</v>
      </c>
    </row>
    <row r="1497" spans="1:6">
      <c r="A1497" s="753"/>
      <c r="B1497" s="753"/>
      <c r="C1497" s="752" t="s">
        <v>49972</v>
      </c>
      <c r="D1497" s="753" t="s">
        <v>49946</v>
      </c>
      <c r="E1497" s="752" t="s">
        <v>43072</v>
      </c>
      <c r="F1497" s="751">
        <v>4535</v>
      </c>
    </row>
    <row r="1498" spans="1:6">
      <c r="A1498" s="753"/>
      <c r="B1498" s="753"/>
      <c r="C1498" s="752" t="s">
        <v>49971</v>
      </c>
      <c r="D1498" s="753" t="s">
        <v>49946</v>
      </c>
      <c r="E1498" s="752" t="s">
        <v>42876</v>
      </c>
      <c r="F1498" s="751">
        <v>3775</v>
      </c>
    </row>
    <row r="1499" spans="1:6">
      <c r="A1499" s="753"/>
      <c r="B1499" s="753"/>
      <c r="C1499" s="752" t="s">
        <v>49970</v>
      </c>
      <c r="D1499" s="753" t="s">
        <v>49946</v>
      </c>
      <c r="E1499" s="752" t="s">
        <v>43072</v>
      </c>
      <c r="F1499" s="751">
        <v>4285</v>
      </c>
    </row>
    <row r="1500" spans="1:6">
      <c r="A1500" s="753"/>
      <c r="B1500" s="753"/>
      <c r="C1500" s="752" t="s">
        <v>49969</v>
      </c>
      <c r="D1500" s="753" t="s">
        <v>49946</v>
      </c>
      <c r="E1500" s="752" t="s">
        <v>49968</v>
      </c>
      <c r="F1500" s="751">
        <v>5595</v>
      </c>
    </row>
    <row r="1501" spans="1:6">
      <c r="A1501" s="753"/>
      <c r="B1501" s="753"/>
      <c r="C1501" s="752" t="s">
        <v>49967</v>
      </c>
      <c r="D1501" s="753" t="s">
        <v>49946</v>
      </c>
      <c r="E1501" s="752" t="s">
        <v>49966</v>
      </c>
      <c r="F1501" s="751">
        <v>5595</v>
      </c>
    </row>
    <row r="1502" spans="1:6">
      <c r="A1502" s="753"/>
      <c r="B1502" s="753"/>
      <c r="C1502" s="752" t="s">
        <v>49965</v>
      </c>
      <c r="D1502" s="753" t="s">
        <v>49946</v>
      </c>
      <c r="E1502" s="752" t="s">
        <v>42903</v>
      </c>
      <c r="F1502" s="751">
        <v>3025</v>
      </c>
    </row>
    <row r="1503" spans="1:6">
      <c r="A1503" s="753"/>
      <c r="B1503" s="753"/>
      <c r="C1503" s="752" t="s">
        <v>49964</v>
      </c>
      <c r="D1503" s="753" t="s">
        <v>49946</v>
      </c>
      <c r="E1503" s="752" t="s">
        <v>49963</v>
      </c>
      <c r="F1503" s="751">
        <v>4285</v>
      </c>
    </row>
    <row r="1504" spans="1:6">
      <c r="A1504" s="753"/>
      <c r="B1504" s="753"/>
      <c r="C1504" s="752" t="s">
        <v>49962</v>
      </c>
      <c r="D1504" s="753" t="s">
        <v>49946</v>
      </c>
      <c r="E1504" s="752" t="s">
        <v>42876</v>
      </c>
      <c r="F1504" s="751">
        <v>3525</v>
      </c>
    </row>
    <row r="1505" spans="1:6">
      <c r="A1505" s="753"/>
      <c r="B1505" s="753"/>
      <c r="C1505" s="752" t="s">
        <v>49961</v>
      </c>
      <c r="D1505" s="753" t="s">
        <v>49946</v>
      </c>
      <c r="E1505" s="752" t="s">
        <v>43072</v>
      </c>
      <c r="F1505" s="751">
        <v>4285</v>
      </c>
    </row>
    <row r="1506" spans="1:6">
      <c r="A1506" s="753"/>
      <c r="B1506" s="753"/>
      <c r="C1506" s="752" t="s">
        <v>49960</v>
      </c>
      <c r="D1506" s="753" t="s">
        <v>49946</v>
      </c>
      <c r="E1506" s="752" t="s">
        <v>42887</v>
      </c>
      <c r="F1506" s="751">
        <v>3525</v>
      </c>
    </row>
    <row r="1507" spans="1:6">
      <c r="A1507" s="753"/>
      <c r="B1507" s="753"/>
      <c r="C1507" s="752" t="s">
        <v>49959</v>
      </c>
      <c r="D1507" s="753" t="s">
        <v>49946</v>
      </c>
      <c r="E1507" s="752" t="s">
        <v>42871</v>
      </c>
      <c r="F1507" s="751">
        <v>3905</v>
      </c>
    </row>
    <row r="1508" spans="1:6">
      <c r="A1508" s="753"/>
      <c r="B1508" s="753"/>
      <c r="C1508" s="752" t="s">
        <v>49958</v>
      </c>
      <c r="D1508" s="753" t="s">
        <v>49946</v>
      </c>
      <c r="E1508" s="752" t="s">
        <v>49957</v>
      </c>
      <c r="F1508" s="751">
        <v>4285</v>
      </c>
    </row>
    <row r="1509" spans="1:6">
      <c r="A1509" s="753"/>
      <c r="B1509" s="753"/>
      <c r="C1509" s="752" t="s">
        <v>49956</v>
      </c>
      <c r="D1509" s="753" t="s">
        <v>49946</v>
      </c>
      <c r="E1509" s="752" t="s">
        <v>42885</v>
      </c>
      <c r="F1509" s="751">
        <v>3025</v>
      </c>
    </row>
    <row r="1510" spans="1:6">
      <c r="A1510" s="753"/>
      <c r="B1510" s="753"/>
      <c r="C1510" s="752" t="s">
        <v>49955</v>
      </c>
      <c r="D1510" s="753" t="s">
        <v>49946</v>
      </c>
      <c r="E1510" s="752" t="s">
        <v>42869</v>
      </c>
      <c r="F1510" s="751">
        <v>3525</v>
      </c>
    </row>
    <row r="1511" spans="1:6">
      <c r="A1511" s="753"/>
      <c r="B1511" s="753"/>
      <c r="C1511" s="752" t="s">
        <v>49954</v>
      </c>
      <c r="D1511" s="753" t="s">
        <v>49946</v>
      </c>
      <c r="E1511" s="752" t="s">
        <v>49953</v>
      </c>
      <c r="F1511" s="751">
        <v>4285</v>
      </c>
    </row>
    <row r="1512" spans="1:6">
      <c r="A1512" s="753"/>
      <c r="B1512" s="753"/>
      <c r="C1512" s="752" t="s">
        <v>49952</v>
      </c>
      <c r="D1512" s="753" t="s">
        <v>49946</v>
      </c>
      <c r="E1512" s="752" t="s">
        <v>42867</v>
      </c>
      <c r="F1512" s="751">
        <v>3525</v>
      </c>
    </row>
    <row r="1513" spans="1:6">
      <c r="A1513" s="753"/>
      <c r="B1513" s="753"/>
      <c r="C1513" s="752" t="s">
        <v>49951</v>
      </c>
      <c r="D1513" s="753" t="s">
        <v>49946</v>
      </c>
      <c r="E1513" s="752" t="s">
        <v>49950</v>
      </c>
      <c r="F1513" s="751">
        <v>4285</v>
      </c>
    </row>
    <row r="1514" spans="1:6">
      <c r="A1514" s="753"/>
      <c r="B1514" s="753"/>
      <c r="C1514" s="752" t="s">
        <v>49949</v>
      </c>
      <c r="D1514" s="753" t="s">
        <v>49946</v>
      </c>
      <c r="E1514" s="752" t="s">
        <v>49948</v>
      </c>
      <c r="F1514" s="751">
        <v>3525</v>
      </c>
    </row>
    <row r="1515" spans="1:6">
      <c r="A1515" s="753"/>
      <c r="B1515" s="753"/>
      <c r="C1515" s="752" t="s">
        <v>49947</v>
      </c>
      <c r="D1515" s="753" t="s">
        <v>49946</v>
      </c>
      <c r="E1515" s="752" t="s">
        <v>49945</v>
      </c>
      <c r="F1515" s="751">
        <v>4285</v>
      </c>
    </row>
    <row r="1516" spans="1:6">
      <c r="A1516" s="753"/>
      <c r="B1516" s="753"/>
      <c r="C1516" s="752" t="s">
        <v>49944</v>
      </c>
      <c r="D1516" s="753" t="s">
        <v>43223</v>
      </c>
      <c r="E1516" s="752" t="s">
        <v>49943</v>
      </c>
      <c r="F1516" s="751">
        <v>4235</v>
      </c>
    </row>
    <row r="1517" spans="1:6">
      <c r="A1517" s="753"/>
      <c r="B1517" s="753"/>
      <c r="C1517" s="752" t="s">
        <v>49942</v>
      </c>
      <c r="D1517" s="753" t="s">
        <v>49941</v>
      </c>
      <c r="E1517" s="752" t="s">
        <v>42880</v>
      </c>
      <c r="F1517" s="751">
        <v>3785</v>
      </c>
    </row>
    <row r="1518" spans="1:6">
      <c r="A1518" s="753"/>
      <c r="B1518" s="753"/>
      <c r="C1518" s="752" t="s">
        <v>49940</v>
      </c>
      <c r="D1518" s="753" t="s">
        <v>49912</v>
      </c>
      <c r="E1518" s="752" t="s">
        <v>42926</v>
      </c>
      <c r="F1518" s="751">
        <v>3525</v>
      </c>
    </row>
    <row r="1519" spans="1:6">
      <c r="A1519" s="753"/>
      <c r="B1519" s="753"/>
      <c r="C1519" s="752" t="s">
        <v>49939</v>
      </c>
      <c r="D1519" s="753" t="s">
        <v>49916</v>
      </c>
      <c r="E1519" s="752" t="s">
        <v>42876</v>
      </c>
      <c r="F1519" s="751">
        <v>3775</v>
      </c>
    </row>
    <row r="1520" spans="1:6">
      <c r="A1520" s="753"/>
      <c r="B1520" s="753"/>
      <c r="C1520" s="752" t="s">
        <v>49938</v>
      </c>
      <c r="D1520" s="753" t="s">
        <v>49912</v>
      </c>
      <c r="E1520" s="752" t="s">
        <v>42926</v>
      </c>
      <c r="F1520" s="751">
        <v>3525</v>
      </c>
    </row>
    <row r="1521" spans="1:6">
      <c r="A1521" s="753"/>
      <c r="B1521" s="753"/>
      <c r="C1521" s="752" t="s">
        <v>49937</v>
      </c>
      <c r="D1521" s="753" t="s">
        <v>49912</v>
      </c>
      <c r="E1521" s="752" t="s">
        <v>42874</v>
      </c>
      <c r="F1521" s="751">
        <v>4285</v>
      </c>
    </row>
    <row r="1522" spans="1:6">
      <c r="A1522" s="753"/>
      <c r="B1522" s="753"/>
      <c r="C1522" s="752" t="s">
        <v>49936</v>
      </c>
      <c r="D1522" s="753" t="s">
        <v>49912</v>
      </c>
      <c r="E1522" s="752" t="s">
        <v>42874</v>
      </c>
      <c r="F1522" s="751">
        <v>4285</v>
      </c>
    </row>
    <row r="1523" spans="1:6">
      <c r="A1523" s="753"/>
      <c r="B1523" s="753"/>
      <c r="C1523" s="752" t="s">
        <v>49935</v>
      </c>
      <c r="D1523" s="753" t="s">
        <v>49912</v>
      </c>
      <c r="E1523" s="752" t="s">
        <v>49934</v>
      </c>
      <c r="F1523" s="751">
        <v>4185</v>
      </c>
    </row>
    <row r="1524" spans="1:6">
      <c r="A1524" s="753"/>
      <c r="B1524" s="753"/>
      <c r="C1524" s="752" t="s">
        <v>49933</v>
      </c>
      <c r="D1524" s="753" t="s">
        <v>49932</v>
      </c>
      <c r="E1524" s="752" t="s">
        <v>42871</v>
      </c>
      <c r="F1524" s="751">
        <v>3905</v>
      </c>
    </row>
    <row r="1525" spans="1:6">
      <c r="A1525" s="753"/>
      <c r="B1525" s="753"/>
      <c r="C1525" s="752" t="s">
        <v>49931</v>
      </c>
      <c r="D1525" s="753" t="s">
        <v>49912</v>
      </c>
      <c r="E1525" s="752" t="s">
        <v>49930</v>
      </c>
      <c r="F1525" s="751">
        <v>3785</v>
      </c>
    </row>
    <row r="1526" spans="1:6">
      <c r="A1526" s="753"/>
      <c r="B1526" s="753"/>
      <c r="C1526" s="752" t="s">
        <v>49929</v>
      </c>
      <c r="D1526" s="753" t="s">
        <v>49919</v>
      </c>
      <c r="E1526" s="752" t="s">
        <v>42869</v>
      </c>
      <c r="F1526" s="751">
        <v>3525</v>
      </c>
    </row>
    <row r="1527" spans="1:6">
      <c r="A1527" s="753"/>
      <c r="B1527" s="753"/>
      <c r="C1527" s="752" t="s">
        <v>49928</v>
      </c>
      <c r="D1527" s="753" t="s">
        <v>49919</v>
      </c>
      <c r="E1527" s="752" t="s">
        <v>49927</v>
      </c>
      <c r="F1527" s="751">
        <v>4285</v>
      </c>
    </row>
    <row r="1528" spans="1:6">
      <c r="A1528" s="753"/>
      <c r="B1528" s="753"/>
      <c r="C1528" s="752" t="s">
        <v>49926</v>
      </c>
      <c r="D1528" s="753" t="s">
        <v>49919</v>
      </c>
      <c r="E1528" s="752" t="s">
        <v>49925</v>
      </c>
      <c r="F1528" s="751">
        <v>4835</v>
      </c>
    </row>
    <row r="1529" spans="1:6">
      <c r="A1529" s="753"/>
      <c r="B1529" s="753"/>
      <c r="C1529" s="752" t="s">
        <v>49924</v>
      </c>
      <c r="D1529" s="753" t="s">
        <v>49919</v>
      </c>
      <c r="E1529" s="752" t="s">
        <v>49923</v>
      </c>
      <c r="F1529" s="751">
        <v>3525</v>
      </c>
    </row>
    <row r="1530" spans="1:6">
      <c r="A1530" s="753"/>
      <c r="B1530" s="753"/>
      <c r="C1530" s="752" t="s">
        <v>49922</v>
      </c>
      <c r="D1530" s="753" t="s">
        <v>49919</v>
      </c>
      <c r="E1530" s="752" t="s">
        <v>49921</v>
      </c>
      <c r="F1530" s="751">
        <v>4835</v>
      </c>
    </row>
    <row r="1531" spans="1:6">
      <c r="A1531" s="753"/>
      <c r="B1531" s="753"/>
      <c r="C1531" s="752" t="s">
        <v>49920</v>
      </c>
      <c r="D1531" s="753" t="s">
        <v>49919</v>
      </c>
      <c r="E1531" s="752" t="s">
        <v>49918</v>
      </c>
      <c r="F1531" s="751">
        <v>3525</v>
      </c>
    </row>
    <row r="1532" spans="1:6">
      <c r="A1532" s="753"/>
      <c r="B1532" s="753"/>
      <c r="C1532" s="752" t="s">
        <v>49917</v>
      </c>
      <c r="D1532" s="753" t="s">
        <v>49916</v>
      </c>
      <c r="E1532" s="752" t="s">
        <v>42880</v>
      </c>
      <c r="F1532" s="751">
        <v>3025</v>
      </c>
    </row>
    <row r="1533" spans="1:6">
      <c r="A1533" s="753"/>
      <c r="B1533" s="753"/>
      <c r="C1533" s="752" t="s">
        <v>49915</v>
      </c>
      <c r="D1533" s="753" t="s">
        <v>49914</v>
      </c>
      <c r="E1533" s="752" t="s">
        <v>42880</v>
      </c>
      <c r="F1533" s="751">
        <v>3785</v>
      </c>
    </row>
    <row r="1534" spans="1:6">
      <c r="A1534" s="753"/>
      <c r="B1534" s="753"/>
      <c r="C1534" s="752" t="s">
        <v>49913</v>
      </c>
      <c r="D1534" s="753" t="s">
        <v>49912</v>
      </c>
      <c r="E1534" s="752" t="s">
        <v>49911</v>
      </c>
      <c r="F1534" s="751">
        <v>4535</v>
      </c>
    </row>
    <row r="1535" spans="1:6">
      <c r="A1535" s="753"/>
      <c r="B1535" s="753"/>
      <c r="C1535" s="752" t="s">
        <v>49910</v>
      </c>
      <c r="D1535" s="753" t="s">
        <v>43208</v>
      </c>
      <c r="E1535" s="752" t="s">
        <v>49909</v>
      </c>
      <c r="F1535" s="751">
        <v>4985</v>
      </c>
    </row>
    <row r="1536" spans="1:6">
      <c r="A1536" s="753"/>
      <c r="B1536" s="753"/>
      <c r="C1536" s="752" t="s">
        <v>49908</v>
      </c>
      <c r="D1536" s="753" t="s">
        <v>43208</v>
      </c>
      <c r="E1536" s="752" t="s">
        <v>49907</v>
      </c>
      <c r="F1536" s="751">
        <v>3685</v>
      </c>
    </row>
    <row r="1537" spans="1:6">
      <c r="A1537" s="753"/>
      <c r="B1537" s="753"/>
      <c r="C1537" s="752" t="s">
        <v>49906</v>
      </c>
      <c r="D1537" s="753" t="s">
        <v>43208</v>
      </c>
      <c r="E1537" s="752" t="s">
        <v>49905</v>
      </c>
      <c r="F1537" s="751">
        <v>2925</v>
      </c>
    </row>
    <row r="1538" spans="1:6">
      <c r="A1538" s="753"/>
      <c r="B1538" s="753"/>
      <c r="C1538" s="752" t="s">
        <v>49904</v>
      </c>
      <c r="D1538" s="753" t="s">
        <v>43215</v>
      </c>
      <c r="E1538" s="752" t="s">
        <v>49903</v>
      </c>
      <c r="F1538" s="751">
        <v>2875</v>
      </c>
    </row>
    <row r="1539" spans="1:6">
      <c r="A1539" s="753"/>
      <c r="B1539" s="753" t="s">
        <v>49902</v>
      </c>
      <c r="C1539" s="752" t="s">
        <v>49901</v>
      </c>
      <c r="D1539" s="753" t="s">
        <v>49879</v>
      </c>
      <c r="E1539" s="752" t="s">
        <v>49885</v>
      </c>
      <c r="F1539" s="751">
        <v>3965</v>
      </c>
    </row>
    <row r="1540" spans="1:6">
      <c r="A1540" s="753"/>
      <c r="B1540" s="753"/>
      <c r="C1540" s="752" t="s">
        <v>49900</v>
      </c>
      <c r="D1540" s="753" t="s">
        <v>49879</v>
      </c>
      <c r="E1540" s="752" t="s">
        <v>49885</v>
      </c>
      <c r="F1540" s="751">
        <v>3965</v>
      </c>
    </row>
    <row r="1541" spans="1:6">
      <c r="A1541" s="753"/>
      <c r="B1541" s="753"/>
      <c r="C1541" s="752" t="s">
        <v>49899</v>
      </c>
      <c r="D1541" s="753" t="s">
        <v>49879</v>
      </c>
      <c r="E1541" s="752" t="s">
        <v>49892</v>
      </c>
      <c r="F1541" s="751">
        <v>3715</v>
      </c>
    </row>
    <row r="1542" spans="1:6">
      <c r="A1542" s="753"/>
      <c r="B1542" s="753"/>
      <c r="C1542" s="752" t="s">
        <v>49898</v>
      </c>
      <c r="D1542" s="753" t="s">
        <v>49764</v>
      </c>
      <c r="E1542" s="752" t="s">
        <v>39097</v>
      </c>
      <c r="F1542" s="751">
        <v>4065</v>
      </c>
    </row>
    <row r="1543" spans="1:6">
      <c r="A1543" s="753"/>
      <c r="B1543" s="753"/>
      <c r="C1543" s="752" t="s">
        <v>49897</v>
      </c>
      <c r="D1543" s="753" t="s">
        <v>49879</v>
      </c>
      <c r="E1543" s="752" t="s">
        <v>49885</v>
      </c>
      <c r="F1543" s="751">
        <v>3965</v>
      </c>
    </row>
    <row r="1544" spans="1:6">
      <c r="A1544" s="753"/>
      <c r="B1544" s="753"/>
      <c r="C1544" s="752" t="s">
        <v>49896</v>
      </c>
      <c r="D1544" s="753" t="s">
        <v>49879</v>
      </c>
      <c r="E1544" s="752" t="s">
        <v>37794</v>
      </c>
      <c r="F1544" s="751">
        <v>4725</v>
      </c>
    </row>
    <row r="1545" spans="1:6">
      <c r="A1545" s="753"/>
      <c r="B1545" s="753"/>
      <c r="C1545" s="752" t="s">
        <v>49895</v>
      </c>
      <c r="D1545" s="753" t="s">
        <v>49879</v>
      </c>
      <c r="E1545" s="752" t="s">
        <v>49894</v>
      </c>
      <c r="F1545" s="751">
        <v>4425</v>
      </c>
    </row>
    <row r="1546" spans="1:6">
      <c r="A1546" s="753"/>
      <c r="B1546" s="753"/>
      <c r="C1546" s="752" t="s">
        <v>49893</v>
      </c>
      <c r="D1546" s="753" t="s">
        <v>49879</v>
      </c>
      <c r="E1546" s="752" t="s">
        <v>49892</v>
      </c>
      <c r="F1546" s="751">
        <v>3715</v>
      </c>
    </row>
    <row r="1547" spans="1:6">
      <c r="A1547" s="753"/>
      <c r="B1547" s="753"/>
      <c r="C1547" s="752" t="s">
        <v>49891</v>
      </c>
      <c r="D1547" s="753" t="s">
        <v>49889</v>
      </c>
      <c r="E1547" s="752" t="s">
        <v>38783</v>
      </c>
      <c r="F1547" s="751">
        <v>4015</v>
      </c>
    </row>
    <row r="1548" spans="1:6">
      <c r="A1548" s="753"/>
      <c r="B1548" s="753"/>
      <c r="C1548" s="752" t="s">
        <v>49890</v>
      </c>
      <c r="D1548" s="753" t="s">
        <v>49889</v>
      </c>
      <c r="E1548" s="752" t="s">
        <v>49888</v>
      </c>
      <c r="F1548" s="751">
        <v>4965</v>
      </c>
    </row>
    <row r="1549" spans="1:6">
      <c r="A1549" s="753"/>
      <c r="B1549" s="753"/>
      <c r="C1549" s="752" t="s">
        <v>49887</v>
      </c>
      <c r="D1549" s="753" t="s">
        <v>49879</v>
      </c>
      <c r="E1549" s="752" t="s">
        <v>49885</v>
      </c>
      <c r="F1549" s="751">
        <v>3415</v>
      </c>
    </row>
    <row r="1550" spans="1:6">
      <c r="A1550" s="753"/>
      <c r="B1550" s="753"/>
      <c r="C1550" s="752" t="s">
        <v>49886</v>
      </c>
      <c r="D1550" s="753" t="s">
        <v>49879</v>
      </c>
      <c r="E1550" s="752" t="s">
        <v>49885</v>
      </c>
      <c r="F1550" s="751">
        <v>3965</v>
      </c>
    </row>
    <row r="1551" spans="1:6">
      <c r="A1551" s="753"/>
      <c r="B1551" s="753"/>
      <c r="C1551" s="752" t="s">
        <v>49884</v>
      </c>
      <c r="D1551" s="753" t="s">
        <v>49879</v>
      </c>
      <c r="E1551" s="752" t="s">
        <v>49883</v>
      </c>
      <c r="F1551" s="751">
        <v>3965</v>
      </c>
    </row>
    <row r="1552" spans="1:6">
      <c r="A1552" s="753"/>
      <c r="B1552" s="753"/>
      <c r="C1552" s="752" t="s">
        <v>49882</v>
      </c>
      <c r="D1552" s="753" t="s">
        <v>49879</v>
      </c>
      <c r="E1552" s="752" t="s">
        <v>42683</v>
      </c>
      <c r="F1552" s="751">
        <v>3915</v>
      </c>
    </row>
    <row r="1553" spans="1:6">
      <c r="A1553" s="753"/>
      <c r="B1553" s="753"/>
      <c r="C1553" s="752" t="s">
        <v>49881</v>
      </c>
      <c r="D1553" s="753" t="s">
        <v>49879</v>
      </c>
      <c r="E1553" s="752" t="s">
        <v>49269</v>
      </c>
      <c r="F1553" s="751">
        <v>3715</v>
      </c>
    </row>
    <row r="1554" spans="1:6">
      <c r="A1554" s="753"/>
      <c r="B1554" s="753"/>
      <c r="C1554" s="752" t="s">
        <v>49880</v>
      </c>
      <c r="D1554" s="753" t="s">
        <v>49879</v>
      </c>
      <c r="E1554" s="752" t="s">
        <v>49878</v>
      </c>
      <c r="F1554" s="751">
        <v>3965</v>
      </c>
    </row>
    <row r="1555" spans="1:6">
      <c r="A1555" s="753"/>
      <c r="B1555" s="753"/>
      <c r="C1555" s="752" t="s">
        <v>49877</v>
      </c>
      <c r="D1555" s="753" t="s">
        <v>49381</v>
      </c>
      <c r="E1555" s="752" t="s">
        <v>49876</v>
      </c>
      <c r="F1555" s="751">
        <v>4535</v>
      </c>
    </row>
    <row r="1556" spans="1:6">
      <c r="A1556" s="753"/>
      <c r="B1556" s="753"/>
      <c r="C1556" s="752" t="s">
        <v>49875</v>
      </c>
      <c r="D1556" s="753" t="s">
        <v>49874</v>
      </c>
      <c r="E1556" s="752" t="s">
        <v>49873</v>
      </c>
      <c r="F1556" s="751">
        <v>2875</v>
      </c>
    </row>
    <row r="1557" spans="1:6">
      <c r="A1557" s="753"/>
      <c r="B1557" s="753"/>
      <c r="C1557" s="752" t="s">
        <v>49872</v>
      </c>
      <c r="D1557" s="753" t="s">
        <v>49381</v>
      </c>
      <c r="E1557" s="752" t="s">
        <v>49871</v>
      </c>
      <c r="F1557" s="751">
        <v>5065</v>
      </c>
    </row>
    <row r="1558" spans="1:6">
      <c r="A1558" s="753"/>
      <c r="B1558" s="753"/>
      <c r="C1558" s="752" t="s">
        <v>49870</v>
      </c>
      <c r="D1558" s="753" t="s">
        <v>49764</v>
      </c>
      <c r="E1558" s="752" t="s">
        <v>293</v>
      </c>
      <c r="F1558" s="751">
        <v>4615</v>
      </c>
    </row>
    <row r="1559" spans="1:6">
      <c r="A1559" s="753"/>
      <c r="B1559" s="753"/>
      <c r="C1559" s="752" t="s">
        <v>49869</v>
      </c>
      <c r="D1559" s="753" t="s">
        <v>49764</v>
      </c>
      <c r="E1559" s="752" t="s">
        <v>38577</v>
      </c>
      <c r="F1559" s="751">
        <v>5375</v>
      </c>
    </row>
    <row r="1560" spans="1:6">
      <c r="A1560" s="753"/>
      <c r="B1560" s="753"/>
      <c r="C1560" s="752" t="s">
        <v>49868</v>
      </c>
      <c r="D1560" s="753" t="s">
        <v>49761</v>
      </c>
      <c r="E1560" s="752" t="s">
        <v>293</v>
      </c>
      <c r="F1560" s="751">
        <v>4515</v>
      </c>
    </row>
    <row r="1561" spans="1:6">
      <c r="A1561" s="753"/>
      <c r="B1561" s="753"/>
      <c r="C1561" s="752" t="s">
        <v>49867</v>
      </c>
      <c r="D1561" s="753" t="s">
        <v>49759</v>
      </c>
      <c r="E1561" s="752" t="s">
        <v>293</v>
      </c>
      <c r="F1561" s="751">
        <v>3875</v>
      </c>
    </row>
    <row r="1562" spans="1:6">
      <c r="A1562" s="753"/>
      <c r="B1562" s="753"/>
      <c r="C1562" s="752" t="s">
        <v>49866</v>
      </c>
      <c r="D1562" s="753" t="s">
        <v>49759</v>
      </c>
      <c r="E1562" s="752" t="s">
        <v>37794</v>
      </c>
      <c r="F1562" s="751">
        <v>4635</v>
      </c>
    </row>
    <row r="1563" spans="1:6">
      <c r="A1563" s="753"/>
      <c r="B1563" s="753"/>
      <c r="C1563" s="752" t="s">
        <v>49865</v>
      </c>
      <c r="D1563" s="753" t="s">
        <v>49759</v>
      </c>
      <c r="E1563" s="752" t="s">
        <v>39996</v>
      </c>
      <c r="F1563" s="751">
        <v>3875</v>
      </c>
    </row>
    <row r="1564" spans="1:6">
      <c r="A1564" s="753"/>
      <c r="B1564" s="753"/>
      <c r="C1564" s="752" t="s">
        <v>49864</v>
      </c>
      <c r="D1564" s="753" t="s">
        <v>49764</v>
      </c>
      <c r="E1564" s="752" t="s">
        <v>293</v>
      </c>
      <c r="F1564" s="751">
        <v>4615</v>
      </c>
    </row>
    <row r="1565" spans="1:6">
      <c r="A1565" s="753"/>
      <c r="B1565" s="753"/>
      <c r="C1565" s="752" t="s">
        <v>49863</v>
      </c>
      <c r="D1565" s="753" t="s">
        <v>49764</v>
      </c>
      <c r="E1565" s="752" t="s">
        <v>46682</v>
      </c>
      <c r="F1565" s="751">
        <v>5375</v>
      </c>
    </row>
    <row r="1566" spans="1:6">
      <c r="A1566" s="753"/>
      <c r="B1566" s="753"/>
      <c r="C1566" s="752" t="s">
        <v>49862</v>
      </c>
      <c r="D1566" s="753" t="s">
        <v>49764</v>
      </c>
      <c r="E1566" s="752" t="s">
        <v>49861</v>
      </c>
      <c r="F1566" s="751">
        <v>4615</v>
      </c>
    </row>
    <row r="1567" spans="1:6">
      <c r="A1567" s="753"/>
      <c r="B1567" s="753"/>
      <c r="C1567" s="752" t="s">
        <v>49860</v>
      </c>
      <c r="D1567" s="753" t="s">
        <v>49764</v>
      </c>
      <c r="E1567" s="752" t="s">
        <v>38577</v>
      </c>
      <c r="F1567" s="751">
        <v>5375</v>
      </c>
    </row>
    <row r="1568" spans="1:6">
      <c r="A1568" s="753"/>
      <c r="B1568" s="753"/>
      <c r="C1568" s="752" t="s">
        <v>49859</v>
      </c>
      <c r="D1568" s="753" t="s">
        <v>49761</v>
      </c>
      <c r="E1568" s="752" t="s">
        <v>293</v>
      </c>
      <c r="F1568" s="751">
        <v>4515</v>
      </c>
    </row>
    <row r="1569" spans="1:6">
      <c r="A1569" s="753"/>
      <c r="B1569" s="753"/>
      <c r="C1569" s="752" t="s">
        <v>49858</v>
      </c>
      <c r="D1569" s="753" t="s">
        <v>49761</v>
      </c>
      <c r="E1569" s="752" t="s">
        <v>41652</v>
      </c>
      <c r="F1569" s="751">
        <v>4265</v>
      </c>
    </row>
    <row r="1570" spans="1:6">
      <c r="A1570" s="753"/>
      <c r="B1570" s="753"/>
      <c r="C1570" s="752" t="s">
        <v>49857</v>
      </c>
      <c r="D1570" s="753" t="s">
        <v>49761</v>
      </c>
      <c r="E1570" s="752" t="s">
        <v>49856</v>
      </c>
      <c r="F1570" s="751">
        <v>5025</v>
      </c>
    </row>
    <row r="1571" spans="1:6">
      <c r="A1571" s="753"/>
      <c r="B1571" s="753"/>
      <c r="C1571" s="752" t="s">
        <v>49855</v>
      </c>
      <c r="D1571" s="753" t="s">
        <v>49761</v>
      </c>
      <c r="E1571" s="752" t="s">
        <v>38577</v>
      </c>
      <c r="F1571" s="751">
        <v>5275</v>
      </c>
    </row>
    <row r="1572" spans="1:6">
      <c r="A1572" s="753"/>
      <c r="B1572" s="753"/>
      <c r="C1572" s="752" t="s">
        <v>49854</v>
      </c>
      <c r="D1572" s="753" t="s">
        <v>49759</v>
      </c>
      <c r="E1572" s="752" t="s">
        <v>293</v>
      </c>
      <c r="F1572" s="751">
        <v>3875</v>
      </c>
    </row>
    <row r="1573" spans="1:6">
      <c r="A1573" s="753"/>
      <c r="B1573" s="753"/>
      <c r="C1573" s="752" t="s">
        <v>49853</v>
      </c>
      <c r="D1573" s="753" t="s">
        <v>49759</v>
      </c>
      <c r="E1573" s="752" t="s">
        <v>37794</v>
      </c>
      <c r="F1573" s="751">
        <v>4825</v>
      </c>
    </row>
    <row r="1574" spans="1:6">
      <c r="A1574" s="753"/>
      <c r="B1574" s="753"/>
      <c r="C1574" s="752" t="s">
        <v>49852</v>
      </c>
      <c r="D1574" s="753" t="s">
        <v>49759</v>
      </c>
      <c r="E1574" s="752" t="s">
        <v>39996</v>
      </c>
      <c r="F1574" s="751">
        <v>3625</v>
      </c>
    </row>
    <row r="1575" spans="1:6">
      <c r="A1575" s="753"/>
      <c r="B1575" s="753"/>
      <c r="C1575" s="752" t="s">
        <v>49851</v>
      </c>
      <c r="D1575" s="753" t="s">
        <v>49759</v>
      </c>
      <c r="E1575" s="752" t="s">
        <v>49843</v>
      </c>
      <c r="F1575" s="751">
        <v>4635</v>
      </c>
    </row>
    <row r="1576" spans="1:6">
      <c r="A1576" s="753"/>
      <c r="B1576" s="753"/>
      <c r="C1576" s="752" t="s">
        <v>49850</v>
      </c>
      <c r="D1576" s="753" t="s">
        <v>49759</v>
      </c>
      <c r="E1576" s="752" t="s">
        <v>39028</v>
      </c>
      <c r="F1576" s="751">
        <v>4635</v>
      </c>
    </row>
    <row r="1577" spans="1:6">
      <c r="A1577" s="753"/>
      <c r="B1577" s="753"/>
      <c r="C1577" s="752" t="s">
        <v>49849</v>
      </c>
      <c r="D1577" s="753" t="s">
        <v>49764</v>
      </c>
      <c r="E1577" s="752" t="s">
        <v>293</v>
      </c>
      <c r="F1577" s="751">
        <v>4615</v>
      </c>
    </row>
    <row r="1578" spans="1:6">
      <c r="A1578" s="753"/>
      <c r="B1578" s="753"/>
      <c r="C1578" s="752" t="s">
        <v>49848</v>
      </c>
      <c r="D1578" s="753" t="s">
        <v>49764</v>
      </c>
      <c r="E1578" s="752" t="s">
        <v>41652</v>
      </c>
      <c r="F1578" s="751">
        <v>4615</v>
      </c>
    </row>
    <row r="1579" spans="1:6">
      <c r="A1579" s="753"/>
      <c r="B1579" s="753"/>
      <c r="C1579" s="752" t="s">
        <v>49847</v>
      </c>
      <c r="D1579" s="753" t="s">
        <v>49764</v>
      </c>
      <c r="E1579" s="752" t="s">
        <v>38577</v>
      </c>
      <c r="F1579" s="751">
        <v>5375</v>
      </c>
    </row>
    <row r="1580" spans="1:6">
      <c r="A1580" s="753"/>
      <c r="B1580" s="753"/>
      <c r="C1580" s="752" t="s">
        <v>49846</v>
      </c>
      <c r="D1580" s="753" t="s">
        <v>49759</v>
      </c>
      <c r="E1580" s="752" t="s">
        <v>293</v>
      </c>
      <c r="F1580" s="751">
        <v>3875</v>
      </c>
    </row>
    <row r="1581" spans="1:6">
      <c r="A1581" s="753"/>
      <c r="B1581" s="753"/>
      <c r="C1581" s="752" t="s">
        <v>49845</v>
      </c>
      <c r="D1581" s="753" t="s">
        <v>49759</v>
      </c>
      <c r="E1581" s="752" t="s">
        <v>39996</v>
      </c>
      <c r="F1581" s="751">
        <v>3625</v>
      </c>
    </row>
    <row r="1582" spans="1:6">
      <c r="A1582" s="753"/>
      <c r="B1582" s="753"/>
      <c r="C1582" s="752" t="s">
        <v>49844</v>
      </c>
      <c r="D1582" s="753" t="s">
        <v>49759</v>
      </c>
      <c r="E1582" s="752" t="s">
        <v>49843</v>
      </c>
      <c r="F1582" s="751">
        <v>4635</v>
      </c>
    </row>
    <row r="1583" spans="1:6">
      <c r="A1583" s="753"/>
      <c r="B1583" s="753"/>
      <c r="C1583" s="752" t="s">
        <v>49842</v>
      </c>
      <c r="D1583" s="753" t="s">
        <v>49759</v>
      </c>
      <c r="E1583" s="752" t="s">
        <v>39028</v>
      </c>
      <c r="F1583" s="751">
        <v>4635</v>
      </c>
    </row>
    <row r="1584" spans="1:6">
      <c r="A1584" s="753"/>
      <c r="B1584" s="753"/>
      <c r="C1584" s="752" t="s">
        <v>49841</v>
      </c>
      <c r="D1584" s="753" t="s">
        <v>49764</v>
      </c>
      <c r="E1584" s="752" t="s">
        <v>39097</v>
      </c>
      <c r="F1584" s="751">
        <v>4615</v>
      </c>
    </row>
    <row r="1585" spans="1:6">
      <c r="A1585" s="753"/>
      <c r="B1585" s="753"/>
      <c r="C1585" s="752" t="s">
        <v>49840</v>
      </c>
      <c r="D1585" s="753" t="s">
        <v>49764</v>
      </c>
      <c r="E1585" s="752" t="s">
        <v>37794</v>
      </c>
      <c r="F1585" s="751">
        <v>5375</v>
      </c>
    </row>
    <row r="1586" spans="1:6">
      <c r="A1586" s="753"/>
      <c r="B1586" s="753"/>
      <c r="C1586" s="752" t="s">
        <v>49839</v>
      </c>
      <c r="D1586" s="753" t="s">
        <v>49764</v>
      </c>
      <c r="E1586" s="752" t="s">
        <v>49838</v>
      </c>
      <c r="F1586" s="751">
        <v>5375</v>
      </c>
    </row>
    <row r="1587" spans="1:6">
      <c r="A1587" s="753"/>
      <c r="B1587" s="753"/>
      <c r="C1587" s="752" t="s">
        <v>49837</v>
      </c>
      <c r="D1587" s="753" t="s">
        <v>49764</v>
      </c>
      <c r="E1587" s="752" t="s">
        <v>49824</v>
      </c>
      <c r="F1587" s="751">
        <v>4615</v>
      </c>
    </row>
    <row r="1588" spans="1:6">
      <c r="A1588" s="753"/>
      <c r="B1588" s="753"/>
      <c r="C1588" s="752" t="s">
        <v>49836</v>
      </c>
      <c r="D1588" s="753" t="s">
        <v>49764</v>
      </c>
      <c r="E1588" s="752" t="s">
        <v>49835</v>
      </c>
      <c r="F1588" s="751">
        <v>5125</v>
      </c>
    </row>
    <row r="1589" spans="1:6">
      <c r="A1589" s="753"/>
      <c r="B1589" s="753"/>
      <c r="C1589" s="752" t="s">
        <v>49834</v>
      </c>
      <c r="D1589" s="753" t="s">
        <v>49764</v>
      </c>
      <c r="E1589" s="752" t="s">
        <v>49833</v>
      </c>
      <c r="F1589" s="751">
        <v>5375</v>
      </c>
    </row>
    <row r="1590" spans="1:6">
      <c r="A1590" s="753"/>
      <c r="B1590" s="753"/>
      <c r="C1590" s="752" t="s">
        <v>49832</v>
      </c>
      <c r="D1590" s="753" t="s">
        <v>49764</v>
      </c>
      <c r="E1590" s="752" t="s">
        <v>49818</v>
      </c>
      <c r="F1590" s="751">
        <v>5375</v>
      </c>
    </row>
    <row r="1591" spans="1:6">
      <c r="A1591" s="753"/>
      <c r="B1591" s="753"/>
      <c r="C1591" s="752" t="s">
        <v>49831</v>
      </c>
      <c r="D1591" s="753" t="s">
        <v>49761</v>
      </c>
      <c r="E1591" s="752" t="s">
        <v>39097</v>
      </c>
      <c r="F1591" s="751">
        <v>4515</v>
      </c>
    </row>
    <row r="1592" spans="1:6">
      <c r="A1592" s="753"/>
      <c r="B1592" s="753"/>
      <c r="C1592" s="752" t="s">
        <v>49830</v>
      </c>
      <c r="D1592" s="753" t="s">
        <v>49761</v>
      </c>
      <c r="E1592" s="752" t="s">
        <v>38570</v>
      </c>
      <c r="F1592" s="751">
        <v>4345</v>
      </c>
    </row>
    <row r="1593" spans="1:6">
      <c r="A1593" s="753"/>
      <c r="B1593" s="753"/>
      <c r="C1593" s="752" t="s">
        <v>49829</v>
      </c>
      <c r="D1593" s="753" t="s">
        <v>49761</v>
      </c>
      <c r="E1593" s="752" t="s">
        <v>49828</v>
      </c>
      <c r="F1593" s="751">
        <v>5500</v>
      </c>
    </row>
    <row r="1594" spans="1:6">
      <c r="A1594" s="753"/>
      <c r="B1594" s="753"/>
      <c r="C1594" s="752" t="s">
        <v>49827</v>
      </c>
      <c r="D1594" s="753" t="s">
        <v>49761</v>
      </c>
      <c r="E1594" s="752" t="s">
        <v>49826</v>
      </c>
      <c r="F1594" s="751">
        <v>5275</v>
      </c>
    </row>
    <row r="1595" spans="1:6">
      <c r="A1595" s="753"/>
      <c r="B1595" s="753"/>
      <c r="C1595" s="752" t="s">
        <v>49825</v>
      </c>
      <c r="D1595" s="753" t="s">
        <v>49761</v>
      </c>
      <c r="E1595" s="752" t="s">
        <v>49824</v>
      </c>
      <c r="F1595" s="751">
        <v>4265</v>
      </c>
    </row>
    <row r="1596" spans="1:6">
      <c r="A1596" s="753"/>
      <c r="B1596" s="753"/>
      <c r="C1596" s="752" t="s">
        <v>49823</v>
      </c>
      <c r="D1596" s="753" t="s">
        <v>49761</v>
      </c>
      <c r="E1596" s="752" t="s">
        <v>49822</v>
      </c>
      <c r="F1596" s="751">
        <v>5025</v>
      </c>
    </row>
    <row r="1597" spans="1:6">
      <c r="A1597" s="753"/>
      <c r="B1597" s="753"/>
      <c r="C1597" s="752" t="s">
        <v>49821</v>
      </c>
      <c r="D1597" s="753" t="s">
        <v>49761</v>
      </c>
      <c r="E1597" s="752" t="s">
        <v>49820</v>
      </c>
      <c r="F1597" s="751">
        <v>5025</v>
      </c>
    </row>
    <row r="1598" spans="1:6">
      <c r="A1598" s="753"/>
      <c r="B1598" s="753"/>
      <c r="C1598" s="752" t="s">
        <v>49819</v>
      </c>
      <c r="D1598" s="753" t="s">
        <v>49761</v>
      </c>
      <c r="E1598" s="752" t="s">
        <v>49818</v>
      </c>
      <c r="F1598" s="751">
        <v>5275</v>
      </c>
    </row>
    <row r="1599" spans="1:6">
      <c r="A1599" s="753"/>
      <c r="B1599" s="753"/>
      <c r="C1599" s="752" t="s">
        <v>49817</v>
      </c>
      <c r="D1599" s="753" t="s">
        <v>49759</v>
      </c>
      <c r="E1599" s="752" t="s">
        <v>39097</v>
      </c>
      <c r="F1599" s="751">
        <v>3875</v>
      </c>
    </row>
    <row r="1600" spans="1:6">
      <c r="A1600" s="753"/>
      <c r="B1600" s="753"/>
      <c r="C1600" s="752" t="s">
        <v>49816</v>
      </c>
      <c r="D1600" s="753" t="s">
        <v>49759</v>
      </c>
      <c r="E1600" s="752" t="s">
        <v>49815</v>
      </c>
      <c r="F1600" s="751">
        <v>4005</v>
      </c>
    </row>
    <row r="1601" spans="1:6">
      <c r="A1601" s="753"/>
      <c r="B1601" s="753"/>
      <c r="C1601" s="752" t="s">
        <v>49814</v>
      </c>
      <c r="D1601" s="753" t="s">
        <v>49759</v>
      </c>
      <c r="E1601" s="752" t="s">
        <v>49813</v>
      </c>
      <c r="F1601" s="751">
        <v>4635</v>
      </c>
    </row>
    <row r="1602" spans="1:6">
      <c r="A1602" s="753"/>
      <c r="B1602" s="753"/>
      <c r="C1602" s="752" t="s">
        <v>49812</v>
      </c>
      <c r="D1602" s="753" t="s">
        <v>49759</v>
      </c>
      <c r="E1602" s="752" t="s">
        <v>49811</v>
      </c>
      <c r="F1602" s="751">
        <v>3625</v>
      </c>
    </row>
    <row r="1603" spans="1:6">
      <c r="A1603" s="753"/>
      <c r="B1603" s="753"/>
      <c r="C1603" s="752" t="s">
        <v>49810</v>
      </c>
      <c r="D1603" s="753" t="s">
        <v>49759</v>
      </c>
      <c r="E1603" s="752" t="s">
        <v>49451</v>
      </c>
      <c r="F1603" s="751">
        <v>4385</v>
      </c>
    </row>
    <row r="1604" spans="1:6">
      <c r="A1604" s="753"/>
      <c r="B1604" s="753"/>
      <c r="C1604" s="752" t="s">
        <v>49809</v>
      </c>
      <c r="D1604" s="753" t="s">
        <v>49759</v>
      </c>
      <c r="E1604" s="752" t="s">
        <v>49808</v>
      </c>
      <c r="F1604" s="751">
        <v>4635</v>
      </c>
    </row>
    <row r="1605" spans="1:6">
      <c r="A1605" s="753"/>
      <c r="B1605" s="753"/>
      <c r="C1605" s="752" t="s">
        <v>49807</v>
      </c>
      <c r="D1605" s="753" t="s">
        <v>49759</v>
      </c>
      <c r="E1605" s="752" t="s">
        <v>49806</v>
      </c>
      <c r="F1605" s="751">
        <v>4965</v>
      </c>
    </row>
    <row r="1606" spans="1:6">
      <c r="A1606" s="753"/>
      <c r="B1606" s="753"/>
      <c r="C1606" s="752" t="s">
        <v>49805</v>
      </c>
      <c r="D1606" s="753" t="s">
        <v>49764</v>
      </c>
      <c r="E1606" s="752" t="s">
        <v>38570</v>
      </c>
      <c r="F1606" s="751">
        <v>4465</v>
      </c>
    </row>
    <row r="1607" spans="1:6">
      <c r="A1607" s="753"/>
      <c r="B1607" s="753"/>
      <c r="C1607" s="752" t="s">
        <v>49804</v>
      </c>
      <c r="D1607" s="753" t="s">
        <v>49764</v>
      </c>
      <c r="E1607" s="752" t="s">
        <v>38584</v>
      </c>
      <c r="F1607" s="751">
        <v>4615</v>
      </c>
    </row>
    <row r="1608" spans="1:6">
      <c r="A1608" s="753"/>
      <c r="B1608" s="753"/>
      <c r="C1608" s="752" t="s">
        <v>49803</v>
      </c>
      <c r="D1608" s="753" t="s">
        <v>49764</v>
      </c>
      <c r="E1608" s="752" t="s">
        <v>49802</v>
      </c>
      <c r="F1608" s="751">
        <v>5375</v>
      </c>
    </row>
    <row r="1609" spans="1:6">
      <c r="A1609" s="753"/>
      <c r="B1609" s="753"/>
      <c r="C1609" s="752" t="s">
        <v>49801</v>
      </c>
      <c r="D1609" s="753" t="s">
        <v>49764</v>
      </c>
      <c r="E1609" s="752" t="s">
        <v>49786</v>
      </c>
      <c r="F1609" s="751">
        <v>5375</v>
      </c>
    </row>
    <row r="1610" spans="1:6">
      <c r="A1610" s="753"/>
      <c r="B1610" s="753"/>
      <c r="C1610" s="752" t="s">
        <v>49800</v>
      </c>
      <c r="D1610" s="753" t="s">
        <v>49764</v>
      </c>
      <c r="E1610" s="752" t="s">
        <v>49137</v>
      </c>
      <c r="F1610" s="751">
        <v>4615</v>
      </c>
    </row>
    <row r="1611" spans="1:6">
      <c r="A1611" s="753"/>
      <c r="B1611" s="753"/>
      <c r="C1611" s="752" t="s">
        <v>49799</v>
      </c>
      <c r="D1611" s="753" t="s">
        <v>49764</v>
      </c>
      <c r="E1611" s="752" t="s">
        <v>49798</v>
      </c>
      <c r="F1611" s="751">
        <v>5565</v>
      </c>
    </row>
    <row r="1612" spans="1:6">
      <c r="A1612" s="753"/>
      <c r="B1612" s="753"/>
      <c r="C1612" s="752" t="s">
        <v>49797</v>
      </c>
      <c r="D1612" s="753" t="s">
        <v>49761</v>
      </c>
      <c r="E1612" s="752" t="s">
        <v>49796</v>
      </c>
      <c r="F1612" s="751">
        <v>4515</v>
      </c>
    </row>
    <row r="1613" spans="1:6">
      <c r="A1613" s="753"/>
      <c r="B1613" s="753"/>
      <c r="C1613" s="752" t="s">
        <v>49795</v>
      </c>
      <c r="D1613" s="753" t="s">
        <v>49761</v>
      </c>
      <c r="E1613" s="752" t="s">
        <v>38584</v>
      </c>
      <c r="F1613" s="751">
        <v>4515</v>
      </c>
    </row>
    <row r="1614" spans="1:6">
      <c r="A1614" s="753"/>
      <c r="B1614" s="753"/>
      <c r="C1614" s="752" t="s">
        <v>49794</v>
      </c>
      <c r="D1614" s="753" t="s">
        <v>49793</v>
      </c>
      <c r="E1614" s="752" t="s">
        <v>49792</v>
      </c>
      <c r="F1614" s="751">
        <v>4425</v>
      </c>
    </row>
    <row r="1615" spans="1:6">
      <c r="A1615" s="753"/>
      <c r="B1615" s="753"/>
      <c r="C1615" s="752" t="s">
        <v>49791</v>
      </c>
      <c r="D1615" s="753" t="s">
        <v>49761</v>
      </c>
      <c r="E1615" s="752" t="s">
        <v>38810</v>
      </c>
      <c r="F1615" s="751">
        <v>5225</v>
      </c>
    </row>
    <row r="1616" spans="1:6">
      <c r="A1616" s="753"/>
      <c r="B1616" s="753"/>
      <c r="C1616" s="752" t="s">
        <v>49790</v>
      </c>
      <c r="D1616" s="753" t="s">
        <v>49761</v>
      </c>
      <c r="E1616" s="752" t="s">
        <v>49433</v>
      </c>
      <c r="F1616" s="751">
        <v>4975</v>
      </c>
    </row>
    <row r="1617" spans="1:6">
      <c r="A1617" s="753"/>
      <c r="B1617" s="753"/>
      <c r="C1617" s="752" t="s">
        <v>49789</v>
      </c>
      <c r="D1617" s="753" t="s">
        <v>49761</v>
      </c>
      <c r="E1617" s="752" t="s">
        <v>49435</v>
      </c>
      <c r="F1617" s="751">
        <v>4215</v>
      </c>
    </row>
    <row r="1618" spans="1:6">
      <c r="A1618" s="753"/>
      <c r="B1618" s="753"/>
      <c r="C1618" s="752" t="s">
        <v>49788</v>
      </c>
      <c r="D1618" s="753" t="s">
        <v>49761</v>
      </c>
      <c r="E1618" s="752" t="s">
        <v>49137</v>
      </c>
      <c r="F1618" s="751">
        <v>4515</v>
      </c>
    </row>
    <row r="1619" spans="1:6">
      <c r="A1619" s="753"/>
      <c r="B1619" s="753"/>
      <c r="C1619" s="752" t="s">
        <v>49787</v>
      </c>
      <c r="D1619" s="753" t="s">
        <v>49761</v>
      </c>
      <c r="E1619" s="752" t="s">
        <v>49786</v>
      </c>
      <c r="F1619" s="751">
        <v>4870</v>
      </c>
    </row>
    <row r="1620" spans="1:6">
      <c r="A1620" s="753"/>
      <c r="B1620" s="753"/>
      <c r="C1620" s="752" t="s">
        <v>49785</v>
      </c>
      <c r="D1620" s="753" t="s">
        <v>49784</v>
      </c>
      <c r="E1620" s="752" t="s">
        <v>49783</v>
      </c>
      <c r="F1620" s="751">
        <v>4445</v>
      </c>
    </row>
    <row r="1621" spans="1:6">
      <c r="A1621" s="753"/>
      <c r="B1621" s="753"/>
      <c r="C1621" s="752" t="s">
        <v>49782</v>
      </c>
      <c r="D1621" s="753" t="s">
        <v>49759</v>
      </c>
      <c r="E1621" s="752" t="s">
        <v>38570</v>
      </c>
      <c r="F1621" s="751">
        <v>3875</v>
      </c>
    </row>
    <row r="1622" spans="1:6">
      <c r="A1622" s="753"/>
      <c r="B1622" s="753"/>
      <c r="C1622" s="752" t="s">
        <v>49781</v>
      </c>
      <c r="D1622" s="753" t="s">
        <v>49759</v>
      </c>
      <c r="E1622" s="752" t="s">
        <v>49780</v>
      </c>
      <c r="F1622" s="751">
        <v>4825</v>
      </c>
    </row>
    <row r="1623" spans="1:6">
      <c r="A1623" s="753"/>
      <c r="B1623" s="753"/>
      <c r="C1623" s="752" t="s">
        <v>49779</v>
      </c>
      <c r="D1623" s="753" t="s">
        <v>49759</v>
      </c>
      <c r="E1623" s="752" t="s">
        <v>38584</v>
      </c>
      <c r="F1623" s="751">
        <v>3875</v>
      </c>
    </row>
    <row r="1624" spans="1:6">
      <c r="A1624" s="753"/>
      <c r="B1624" s="753"/>
      <c r="C1624" s="752" t="s">
        <v>49778</v>
      </c>
      <c r="D1624" s="753" t="s">
        <v>49759</v>
      </c>
      <c r="E1624" s="752" t="s">
        <v>49265</v>
      </c>
      <c r="F1624" s="751">
        <v>4825</v>
      </c>
    </row>
    <row r="1625" spans="1:6">
      <c r="A1625" s="753"/>
      <c r="B1625" s="753"/>
      <c r="C1625" s="752" t="s">
        <v>49777</v>
      </c>
      <c r="D1625" s="753" t="s">
        <v>49759</v>
      </c>
      <c r="E1625" s="752" t="s">
        <v>49776</v>
      </c>
      <c r="F1625" s="751">
        <v>4420</v>
      </c>
    </row>
    <row r="1626" spans="1:6">
      <c r="A1626" s="753"/>
      <c r="B1626" s="753"/>
      <c r="C1626" s="752" t="s">
        <v>49775</v>
      </c>
      <c r="D1626" s="753" t="s">
        <v>49759</v>
      </c>
      <c r="E1626" s="752" t="s">
        <v>49774</v>
      </c>
      <c r="F1626" s="751">
        <v>3625</v>
      </c>
    </row>
    <row r="1627" spans="1:6">
      <c r="A1627" s="753"/>
      <c r="B1627" s="753"/>
      <c r="C1627" s="752" t="s">
        <v>49773</v>
      </c>
      <c r="D1627" s="753" t="s">
        <v>49759</v>
      </c>
      <c r="E1627" s="752" t="s">
        <v>49772</v>
      </c>
      <c r="F1627" s="751">
        <v>3825</v>
      </c>
    </row>
    <row r="1628" spans="1:6">
      <c r="A1628" s="753"/>
      <c r="B1628" s="753"/>
      <c r="C1628" s="752" t="s">
        <v>49771</v>
      </c>
      <c r="D1628" s="753" t="s">
        <v>49759</v>
      </c>
      <c r="E1628" s="752" t="s">
        <v>49770</v>
      </c>
      <c r="F1628" s="751">
        <v>4635</v>
      </c>
    </row>
    <row r="1629" spans="1:6">
      <c r="A1629" s="753"/>
      <c r="B1629" s="753"/>
      <c r="C1629" s="752" t="s">
        <v>49769</v>
      </c>
      <c r="D1629" s="753" t="s">
        <v>49759</v>
      </c>
      <c r="E1629" s="752" t="s">
        <v>49768</v>
      </c>
      <c r="F1629" s="751">
        <v>5155</v>
      </c>
    </row>
    <row r="1630" spans="1:6">
      <c r="A1630" s="753"/>
      <c r="B1630" s="753"/>
      <c r="C1630" s="752" t="s">
        <v>49767</v>
      </c>
      <c r="D1630" s="753" t="s">
        <v>49761</v>
      </c>
      <c r="E1630" s="752" t="s">
        <v>293</v>
      </c>
      <c r="F1630" s="751">
        <v>4515</v>
      </c>
    </row>
    <row r="1631" spans="1:6">
      <c r="A1631" s="753"/>
      <c r="B1631" s="753"/>
      <c r="C1631" s="752" t="s">
        <v>49766</v>
      </c>
      <c r="D1631" s="753" t="s">
        <v>49759</v>
      </c>
      <c r="E1631" s="752" t="s">
        <v>293</v>
      </c>
      <c r="F1631" s="751">
        <v>3875</v>
      </c>
    </row>
    <row r="1632" spans="1:6">
      <c r="A1632" s="753"/>
      <c r="B1632" s="753"/>
      <c r="C1632" s="752" t="s">
        <v>49765</v>
      </c>
      <c r="D1632" s="753" t="s">
        <v>49764</v>
      </c>
      <c r="E1632" s="752" t="s">
        <v>293</v>
      </c>
      <c r="F1632" s="751">
        <v>4615</v>
      </c>
    </row>
    <row r="1633" spans="1:6">
      <c r="A1633" s="753"/>
      <c r="B1633" s="753"/>
      <c r="C1633" s="752" t="s">
        <v>49763</v>
      </c>
      <c r="D1633" s="753" t="s">
        <v>49761</v>
      </c>
      <c r="E1633" s="752" t="s">
        <v>293</v>
      </c>
      <c r="F1633" s="751">
        <v>4515</v>
      </c>
    </row>
    <row r="1634" spans="1:6">
      <c r="A1634" s="753"/>
      <c r="B1634" s="753"/>
      <c r="C1634" s="752" t="s">
        <v>49762</v>
      </c>
      <c r="D1634" s="753" t="s">
        <v>49761</v>
      </c>
      <c r="E1634" s="752" t="s">
        <v>39996</v>
      </c>
      <c r="F1634" s="751">
        <v>4515</v>
      </c>
    </row>
    <row r="1635" spans="1:6">
      <c r="A1635" s="753"/>
      <c r="B1635" s="753"/>
      <c r="C1635" s="752" t="s">
        <v>49760</v>
      </c>
      <c r="D1635" s="753" t="s">
        <v>49759</v>
      </c>
      <c r="E1635" s="752" t="s">
        <v>293</v>
      </c>
      <c r="F1635" s="751">
        <v>3875</v>
      </c>
    </row>
    <row r="1636" spans="1:6">
      <c r="A1636" s="753"/>
      <c r="B1636" s="753"/>
      <c r="C1636" s="752" t="s">
        <v>49758</v>
      </c>
      <c r="D1636" s="753" t="s">
        <v>49745</v>
      </c>
      <c r="E1636" s="752" t="s">
        <v>42845</v>
      </c>
      <c r="F1636" s="751">
        <v>4595</v>
      </c>
    </row>
    <row r="1637" spans="1:6">
      <c r="A1637" s="753"/>
      <c r="B1637" s="753"/>
      <c r="C1637" s="752" t="s">
        <v>49757</v>
      </c>
      <c r="D1637" s="753" t="s">
        <v>49745</v>
      </c>
      <c r="E1637" s="752" t="s">
        <v>42845</v>
      </c>
      <c r="F1637" s="751">
        <v>4445</v>
      </c>
    </row>
    <row r="1638" spans="1:6">
      <c r="A1638" s="753"/>
      <c r="B1638" s="753"/>
      <c r="C1638" s="752" t="s">
        <v>49756</v>
      </c>
      <c r="D1638" s="753" t="s">
        <v>49745</v>
      </c>
      <c r="E1638" s="752" t="s">
        <v>49753</v>
      </c>
      <c r="F1638" s="751">
        <v>4595</v>
      </c>
    </row>
    <row r="1639" spans="1:6">
      <c r="A1639" s="753"/>
      <c r="B1639" s="753"/>
      <c r="C1639" s="752" t="s">
        <v>49755</v>
      </c>
      <c r="D1639" s="753" t="s">
        <v>49754</v>
      </c>
      <c r="E1639" s="752" t="s">
        <v>49753</v>
      </c>
      <c r="F1639" s="751">
        <v>4595</v>
      </c>
    </row>
    <row r="1640" spans="1:6">
      <c r="A1640" s="753"/>
      <c r="B1640" s="753"/>
      <c r="C1640" s="752" t="s">
        <v>49752</v>
      </c>
      <c r="D1640" s="753" t="s">
        <v>49681</v>
      </c>
      <c r="E1640" s="752" t="s">
        <v>38670</v>
      </c>
      <c r="F1640" s="751">
        <v>5805</v>
      </c>
    </row>
    <row r="1641" spans="1:6">
      <c r="A1641" s="753"/>
      <c r="B1641" s="753"/>
      <c r="C1641" s="752" t="s">
        <v>49751</v>
      </c>
      <c r="D1641" s="753" t="s">
        <v>49681</v>
      </c>
      <c r="E1641" s="752" t="s">
        <v>49750</v>
      </c>
      <c r="F1641" s="751">
        <v>5805</v>
      </c>
    </row>
    <row r="1642" spans="1:6">
      <c r="A1642" s="753"/>
      <c r="B1642" s="753"/>
      <c r="C1642" s="752" t="s">
        <v>49749</v>
      </c>
      <c r="D1642" s="753" t="s">
        <v>49745</v>
      </c>
      <c r="E1642" s="752" t="s">
        <v>38584</v>
      </c>
      <c r="F1642" s="751">
        <v>4595</v>
      </c>
    </row>
    <row r="1643" spans="1:6">
      <c r="A1643" s="753"/>
      <c r="B1643" s="753"/>
      <c r="C1643" s="752" t="s">
        <v>49748</v>
      </c>
      <c r="D1643" s="753" t="s">
        <v>49130</v>
      </c>
      <c r="E1643" s="752" t="s">
        <v>49747</v>
      </c>
      <c r="F1643" s="751">
        <v>4445</v>
      </c>
    </row>
    <row r="1644" spans="1:6">
      <c r="A1644" s="753"/>
      <c r="B1644" s="753"/>
      <c r="C1644" s="752" t="s">
        <v>49746</v>
      </c>
      <c r="D1644" s="753" t="s">
        <v>49745</v>
      </c>
      <c r="E1644" s="752" t="s">
        <v>42845</v>
      </c>
      <c r="F1644" s="751">
        <v>4595</v>
      </c>
    </row>
    <row r="1645" spans="1:6">
      <c r="A1645" s="753"/>
      <c r="B1645" s="753"/>
      <c r="C1645" s="752" t="s">
        <v>49744</v>
      </c>
      <c r="D1645" s="753" t="s">
        <v>49122</v>
      </c>
      <c r="E1645" s="752" t="s">
        <v>39020</v>
      </c>
      <c r="F1645" s="751">
        <v>5505</v>
      </c>
    </row>
    <row r="1646" spans="1:6">
      <c r="A1646" s="753"/>
      <c r="B1646" s="753"/>
      <c r="C1646" s="752" t="s">
        <v>49743</v>
      </c>
      <c r="D1646" s="753" t="s">
        <v>49684</v>
      </c>
      <c r="E1646" s="752" t="s">
        <v>293</v>
      </c>
      <c r="F1646" s="751">
        <v>5195</v>
      </c>
    </row>
    <row r="1647" spans="1:6">
      <c r="A1647" s="753"/>
      <c r="B1647" s="753"/>
      <c r="C1647" s="752" t="s">
        <v>49742</v>
      </c>
      <c r="D1647" s="753" t="s">
        <v>49681</v>
      </c>
      <c r="E1647" s="752" t="s">
        <v>293</v>
      </c>
      <c r="F1647" s="751">
        <v>5195</v>
      </c>
    </row>
    <row r="1648" spans="1:6">
      <c r="A1648" s="753"/>
      <c r="B1648" s="753"/>
      <c r="C1648" s="752" t="s">
        <v>49741</v>
      </c>
      <c r="D1648" s="753" t="s">
        <v>49681</v>
      </c>
      <c r="E1648" s="752" t="s">
        <v>41652</v>
      </c>
      <c r="F1648" s="751">
        <v>5195</v>
      </c>
    </row>
    <row r="1649" spans="1:6">
      <c r="A1649" s="753"/>
      <c r="B1649" s="753"/>
      <c r="C1649" s="752" t="s">
        <v>49740</v>
      </c>
      <c r="D1649" s="753" t="s">
        <v>49681</v>
      </c>
      <c r="E1649" s="752" t="s">
        <v>39028</v>
      </c>
      <c r="F1649" s="751">
        <v>5955</v>
      </c>
    </row>
    <row r="1650" spans="1:6">
      <c r="A1650" s="753"/>
      <c r="B1650" s="753"/>
      <c r="C1650" s="752" t="s">
        <v>49739</v>
      </c>
      <c r="D1650" s="753" t="s">
        <v>49122</v>
      </c>
      <c r="E1650" s="752" t="s">
        <v>293</v>
      </c>
      <c r="F1650" s="751">
        <v>4745</v>
      </c>
    </row>
    <row r="1651" spans="1:6">
      <c r="A1651" s="753"/>
      <c r="B1651" s="753"/>
      <c r="C1651" s="752" t="s">
        <v>49738</v>
      </c>
      <c r="D1651" s="753" t="s">
        <v>49122</v>
      </c>
      <c r="E1651" s="752" t="s">
        <v>39020</v>
      </c>
      <c r="F1651" s="751">
        <v>5505</v>
      </c>
    </row>
    <row r="1652" spans="1:6">
      <c r="A1652" s="753"/>
      <c r="B1652" s="753"/>
      <c r="C1652" s="752" t="s">
        <v>49737</v>
      </c>
      <c r="D1652" s="753" t="s">
        <v>49681</v>
      </c>
      <c r="E1652" s="752" t="s">
        <v>41652</v>
      </c>
      <c r="F1652" s="751">
        <v>5195</v>
      </c>
    </row>
    <row r="1653" spans="1:6">
      <c r="A1653" s="753"/>
      <c r="B1653" s="753"/>
      <c r="C1653" s="752" t="s">
        <v>49736</v>
      </c>
      <c r="D1653" s="753" t="s">
        <v>49681</v>
      </c>
      <c r="E1653" s="752" t="s">
        <v>39028</v>
      </c>
      <c r="F1653" s="751">
        <v>5955</v>
      </c>
    </row>
    <row r="1654" spans="1:6">
      <c r="A1654" s="753"/>
      <c r="B1654" s="753"/>
      <c r="C1654" s="752" t="s">
        <v>49735</v>
      </c>
      <c r="D1654" s="753" t="s">
        <v>49122</v>
      </c>
      <c r="E1654" s="752" t="s">
        <v>293</v>
      </c>
      <c r="F1654" s="751">
        <v>4745</v>
      </c>
    </row>
    <row r="1655" spans="1:6">
      <c r="A1655" s="753"/>
      <c r="B1655" s="753"/>
      <c r="C1655" s="752" t="s">
        <v>49734</v>
      </c>
      <c r="D1655" s="753" t="s">
        <v>49122</v>
      </c>
      <c r="E1655" s="752" t="s">
        <v>49733</v>
      </c>
      <c r="F1655" s="751">
        <v>5505</v>
      </c>
    </row>
    <row r="1656" spans="1:6">
      <c r="A1656" s="753"/>
      <c r="B1656" s="753"/>
      <c r="C1656" s="752" t="s">
        <v>49732</v>
      </c>
      <c r="D1656" s="753" t="s">
        <v>49122</v>
      </c>
      <c r="E1656" s="752" t="s">
        <v>39097</v>
      </c>
      <c r="F1656" s="751">
        <v>4745</v>
      </c>
    </row>
    <row r="1657" spans="1:6">
      <c r="A1657" s="753"/>
      <c r="B1657" s="753"/>
      <c r="C1657" s="752" t="s">
        <v>49731</v>
      </c>
      <c r="D1657" s="753" t="s">
        <v>49122</v>
      </c>
      <c r="E1657" s="752" t="s">
        <v>37794</v>
      </c>
      <c r="F1657" s="751">
        <v>5755</v>
      </c>
    </row>
    <row r="1658" spans="1:6">
      <c r="A1658" s="753"/>
      <c r="B1658" s="753"/>
      <c r="C1658" s="752" t="s">
        <v>49730</v>
      </c>
      <c r="D1658" s="753" t="s">
        <v>49122</v>
      </c>
      <c r="E1658" s="752" t="s">
        <v>49147</v>
      </c>
      <c r="F1658" s="751">
        <v>4745</v>
      </c>
    </row>
    <row r="1659" spans="1:6">
      <c r="A1659" s="753"/>
      <c r="B1659" s="753"/>
      <c r="C1659" s="752" t="s">
        <v>49729</v>
      </c>
      <c r="D1659" s="753" t="s">
        <v>49122</v>
      </c>
      <c r="E1659" s="752" t="s">
        <v>49728</v>
      </c>
      <c r="F1659" s="751">
        <v>5505</v>
      </c>
    </row>
    <row r="1660" spans="1:6">
      <c r="A1660" s="753"/>
      <c r="B1660" s="753"/>
      <c r="C1660" s="752" t="s">
        <v>49727</v>
      </c>
      <c r="D1660" s="753" t="s">
        <v>49684</v>
      </c>
      <c r="E1660" s="752" t="s">
        <v>293</v>
      </c>
      <c r="F1660" s="751">
        <v>5195</v>
      </c>
    </row>
    <row r="1661" spans="1:6">
      <c r="A1661" s="753"/>
      <c r="B1661" s="753"/>
      <c r="C1661" s="752" t="s">
        <v>49726</v>
      </c>
      <c r="D1661" s="753" t="s">
        <v>49725</v>
      </c>
      <c r="E1661" s="752" t="s">
        <v>39011</v>
      </c>
      <c r="F1661" s="751">
        <v>5955</v>
      </c>
    </row>
    <row r="1662" spans="1:6">
      <c r="A1662" s="753"/>
      <c r="B1662" s="753"/>
      <c r="C1662" s="752" t="s">
        <v>49724</v>
      </c>
      <c r="D1662" s="753" t="s">
        <v>49681</v>
      </c>
      <c r="E1662" s="752" t="s">
        <v>38539</v>
      </c>
      <c r="F1662" s="751">
        <v>5345</v>
      </c>
    </row>
    <row r="1663" spans="1:6">
      <c r="A1663" s="753"/>
      <c r="B1663" s="753"/>
      <c r="C1663" s="752" t="s">
        <v>49723</v>
      </c>
      <c r="D1663" s="753" t="s">
        <v>49681</v>
      </c>
      <c r="E1663" s="752" t="s">
        <v>38783</v>
      </c>
      <c r="F1663" s="751">
        <v>5345</v>
      </c>
    </row>
    <row r="1664" spans="1:6">
      <c r="A1664" s="753"/>
      <c r="B1664" s="753"/>
      <c r="C1664" s="752" t="s">
        <v>49722</v>
      </c>
      <c r="D1664" s="753" t="s">
        <v>49381</v>
      </c>
      <c r="E1664" s="752" t="s">
        <v>49721</v>
      </c>
      <c r="F1664" s="751">
        <v>5960</v>
      </c>
    </row>
    <row r="1665" spans="1:6">
      <c r="A1665" s="753"/>
      <c r="B1665" s="753"/>
      <c r="C1665" s="752" t="s">
        <v>49720</v>
      </c>
      <c r="D1665" s="753" t="s">
        <v>49381</v>
      </c>
      <c r="E1665" s="752" t="s">
        <v>49719</v>
      </c>
      <c r="F1665" s="751">
        <v>5960</v>
      </c>
    </row>
    <row r="1666" spans="1:6">
      <c r="A1666" s="753"/>
      <c r="B1666" s="753"/>
      <c r="C1666" s="752" t="s">
        <v>49718</v>
      </c>
      <c r="D1666" s="753" t="s">
        <v>49122</v>
      </c>
      <c r="E1666" s="752" t="s">
        <v>38570</v>
      </c>
      <c r="F1666" s="751">
        <v>4745</v>
      </c>
    </row>
    <row r="1667" spans="1:6">
      <c r="A1667" s="753"/>
      <c r="B1667" s="753"/>
      <c r="C1667" s="752" t="s">
        <v>49717</v>
      </c>
      <c r="D1667" s="753" t="s">
        <v>49122</v>
      </c>
      <c r="E1667" s="752" t="s">
        <v>38584</v>
      </c>
      <c r="F1667" s="751">
        <v>4745</v>
      </c>
    </row>
    <row r="1668" spans="1:6">
      <c r="A1668" s="753"/>
      <c r="B1668" s="753"/>
      <c r="C1668" s="752" t="s">
        <v>49716</v>
      </c>
      <c r="D1668" s="753" t="s">
        <v>49122</v>
      </c>
      <c r="E1668" s="752" t="s">
        <v>49715</v>
      </c>
      <c r="F1668" s="751">
        <v>5505</v>
      </c>
    </row>
    <row r="1669" spans="1:6">
      <c r="A1669" s="753"/>
      <c r="B1669" s="753"/>
      <c r="C1669" s="752" t="s">
        <v>49714</v>
      </c>
      <c r="D1669" s="753" t="s">
        <v>49122</v>
      </c>
      <c r="E1669" s="752" t="s">
        <v>49713</v>
      </c>
      <c r="F1669" s="751">
        <v>5505</v>
      </c>
    </row>
    <row r="1670" spans="1:6">
      <c r="A1670" s="753"/>
      <c r="B1670" s="753"/>
      <c r="C1670" s="752" t="s">
        <v>49712</v>
      </c>
      <c r="D1670" s="753" t="s">
        <v>49681</v>
      </c>
      <c r="E1670" s="752" t="s">
        <v>49711</v>
      </c>
      <c r="F1670" s="751">
        <v>6185</v>
      </c>
    </row>
    <row r="1671" spans="1:6">
      <c r="A1671" s="753"/>
      <c r="B1671" s="753"/>
      <c r="C1671" s="752" t="s">
        <v>49710</v>
      </c>
      <c r="D1671" s="753" t="s">
        <v>49681</v>
      </c>
      <c r="E1671" s="752" t="s">
        <v>293</v>
      </c>
      <c r="F1671" s="751">
        <v>5195</v>
      </c>
    </row>
    <row r="1672" spans="1:6">
      <c r="A1672" s="753"/>
      <c r="B1672" s="753"/>
      <c r="C1672" s="752" t="s">
        <v>49709</v>
      </c>
      <c r="D1672" s="753" t="s">
        <v>49681</v>
      </c>
      <c r="E1672" s="752" t="s">
        <v>39028</v>
      </c>
      <c r="F1672" s="751">
        <v>5955</v>
      </c>
    </row>
    <row r="1673" spans="1:6">
      <c r="A1673" s="753"/>
      <c r="B1673" s="753"/>
      <c r="C1673" s="752" t="s">
        <v>49708</v>
      </c>
      <c r="D1673" s="753" t="s">
        <v>49122</v>
      </c>
      <c r="E1673" s="752" t="s">
        <v>293</v>
      </c>
      <c r="F1673" s="751">
        <v>4745</v>
      </c>
    </row>
    <row r="1674" spans="1:6">
      <c r="A1674" s="753"/>
      <c r="B1674" s="753"/>
      <c r="C1674" s="752" t="s">
        <v>49707</v>
      </c>
      <c r="D1674" s="753" t="s">
        <v>49684</v>
      </c>
      <c r="E1674" s="752" t="s">
        <v>293</v>
      </c>
      <c r="F1674" s="751">
        <v>5495</v>
      </c>
    </row>
    <row r="1675" spans="1:6">
      <c r="A1675" s="753"/>
      <c r="B1675" s="753"/>
      <c r="C1675" s="752" t="s">
        <v>49706</v>
      </c>
      <c r="D1675" s="753" t="s">
        <v>49681</v>
      </c>
      <c r="E1675" s="752" t="s">
        <v>293</v>
      </c>
      <c r="F1675" s="751">
        <v>5495</v>
      </c>
    </row>
    <row r="1676" spans="1:6">
      <c r="A1676" s="753"/>
      <c r="B1676" s="753"/>
      <c r="C1676" s="752" t="s">
        <v>49705</v>
      </c>
      <c r="D1676" s="753" t="s">
        <v>49681</v>
      </c>
      <c r="E1676" s="752" t="s">
        <v>41652</v>
      </c>
      <c r="F1676" s="751">
        <v>5495</v>
      </c>
    </row>
    <row r="1677" spans="1:6">
      <c r="A1677" s="753"/>
      <c r="B1677" s="753"/>
      <c r="C1677" s="752" t="s">
        <v>49704</v>
      </c>
      <c r="D1677" s="753" t="s">
        <v>49681</v>
      </c>
      <c r="E1677" s="752" t="s">
        <v>39028</v>
      </c>
      <c r="F1677" s="751">
        <v>6255</v>
      </c>
    </row>
    <row r="1678" spans="1:6">
      <c r="A1678" s="753"/>
      <c r="B1678" s="753"/>
      <c r="C1678" s="752" t="s">
        <v>49703</v>
      </c>
      <c r="D1678" s="753" t="s">
        <v>49684</v>
      </c>
      <c r="E1678" s="752" t="s">
        <v>293</v>
      </c>
      <c r="F1678" s="751">
        <v>5495</v>
      </c>
    </row>
    <row r="1679" spans="1:6">
      <c r="A1679" s="753"/>
      <c r="B1679" s="753"/>
      <c r="C1679" s="752" t="s">
        <v>49702</v>
      </c>
      <c r="D1679" s="753" t="s">
        <v>49684</v>
      </c>
      <c r="E1679" s="752" t="s">
        <v>39011</v>
      </c>
      <c r="F1679" s="751">
        <v>6255</v>
      </c>
    </row>
    <row r="1680" spans="1:6">
      <c r="A1680" s="753"/>
      <c r="B1680" s="753"/>
      <c r="C1680" s="752" t="s">
        <v>49701</v>
      </c>
      <c r="D1680" s="753" t="s">
        <v>49681</v>
      </c>
      <c r="E1680" s="752" t="s">
        <v>293</v>
      </c>
      <c r="F1680" s="751">
        <v>5495</v>
      </c>
    </row>
    <row r="1681" spans="1:6">
      <c r="A1681" s="753"/>
      <c r="B1681" s="753"/>
      <c r="C1681" s="752" t="s">
        <v>49700</v>
      </c>
      <c r="D1681" s="753" t="s">
        <v>49681</v>
      </c>
      <c r="E1681" s="752" t="s">
        <v>41652</v>
      </c>
      <c r="F1681" s="751">
        <v>5495</v>
      </c>
    </row>
    <row r="1682" spans="1:6">
      <c r="A1682" s="753"/>
      <c r="B1682" s="753"/>
      <c r="C1682" s="752" t="s">
        <v>49699</v>
      </c>
      <c r="D1682" s="753" t="s">
        <v>49681</v>
      </c>
      <c r="E1682" s="752" t="s">
        <v>39028</v>
      </c>
      <c r="F1682" s="751">
        <v>6255</v>
      </c>
    </row>
    <row r="1683" spans="1:6">
      <c r="A1683" s="753"/>
      <c r="B1683" s="753"/>
      <c r="C1683" s="752" t="s">
        <v>49698</v>
      </c>
      <c r="D1683" s="753" t="s">
        <v>49681</v>
      </c>
      <c r="E1683" s="752" t="s">
        <v>49697</v>
      </c>
      <c r="F1683" s="751">
        <v>6255</v>
      </c>
    </row>
    <row r="1684" spans="1:6">
      <c r="A1684" s="753"/>
      <c r="B1684" s="753"/>
      <c r="C1684" s="752" t="s">
        <v>49696</v>
      </c>
      <c r="D1684" s="753" t="s">
        <v>49684</v>
      </c>
      <c r="E1684" s="752" t="s">
        <v>293</v>
      </c>
      <c r="F1684" s="751">
        <v>5495</v>
      </c>
    </row>
    <row r="1685" spans="1:6">
      <c r="A1685" s="753"/>
      <c r="B1685" s="753"/>
      <c r="C1685" s="752" t="s">
        <v>49695</v>
      </c>
      <c r="D1685" s="753" t="s">
        <v>49684</v>
      </c>
      <c r="E1685" s="752" t="s">
        <v>39011</v>
      </c>
      <c r="F1685" s="751">
        <v>6255</v>
      </c>
    </row>
    <row r="1686" spans="1:6">
      <c r="A1686" s="753"/>
      <c r="B1686" s="753"/>
      <c r="C1686" s="752" t="s">
        <v>49694</v>
      </c>
      <c r="D1686" s="753" t="s">
        <v>49681</v>
      </c>
      <c r="E1686" s="752" t="s">
        <v>39097</v>
      </c>
      <c r="F1686" s="751">
        <v>5495</v>
      </c>
    </row>
    <row r="1687" spans="1:6">
      <c r="A1687" s="753"/>
      <c r="B1687" s="753"/>
      <c r="C1687" s="752" t="s">
        <v>49693</v>
      </c>
      <c r="D1687" s="753" t="s">
        <v>49681</v>
      </c>
      <c r="E1687" s="752" t="s">
        <v>49149</v>
      </c>
      <c r="F1687" s="751">
        <v>6405</v>
      </c>
    </row>
    <row r="1688" spans="1:6">
      <c r="A1688" s="753"/>
      <c r="B1688" s="753"/>
      <c r="C1688" s="752" t="s">
        <v>49692</v>
      </c>
      <c r="D1688" s="753" t="s">
        <v>49681</v>
      </c>
      <c r="E1688" s="752" t="s">
        <v>39028</v>
      </c>
      <c r="F1688" s="751">
        <v>6405</v>
      </c>
    </row>
    <row r="1689" spans="1:6">
      <c r="A1689" s="753"/>
      <c r="B1689" s="753"/>
      <c r="C1689" s="752" t="s">
        <v>49691</v>
      </c>
      <c r="D1689" s="753" t="s">
        <v>49681</v>
      </c>
      <c r="E1689" s="752" t="s">
        <v>39028</v>
      </c>
      <c r="F1689" s="751">
        <v>6405</v>
      </c>
    </row>
    <row r="1690" spans="1:6">
      <c r="A1690" s="753"/>
      <c r="B1690" s="753"/>
      <c r="C1690" s="752" t="s">
        <v>49690</v>
      </c>
      <c r="D1690" s="753" t="s">
        <v>49684</v>
      </c>
      <c r="E1690" s="752" t="s">
        <v>39097</v>
      </c>
      <c r="F1690" s="751">
        <v>5495</v>
      </c>
    </row>
    <row r="1691" spans="1:6">
      <c r="A1691" s="753"/>
      <c r="B1691" s="753"/>
      <c r="C1691" s="752" t="s">
        <v>49689</v>
      </c>
      <c r="D1691" s="753" t="s">
        <v>49684</v>
      </c>
      <c r="E1691" s="752" t="s">
        <v>39011</v>
      </c>
      <c r="F1691" s="751">
        <v>6255</v>
      </c>
    </row>
    <row r="1692" spans="1:6">
      <c r="A1692" s="753"/>
      <c r="B1692" s="753"/>
      <c r="C1692" s="752" t="s">
        <v>49688</v>
      </c>
      <c r="D1692" s="753" t="s">
        <v>49681</v>
      </c>
      <c r="E1692" s="752" t="s">
        <v>38584</v>
      </c>
      <c r="F1692" s="751">
        <v>5645</v>
      </c>
    </row>
    <row r="1693" spans="1:6">
      <c r="A1693" s="753"/>
      <c r="B1693" s="753"/>
      <c r="C1693" s="752" t="s">
        <v>49687</v>
      </c>
      <c r="D1693" s="753" t="s">
        <v>49681</v>
      </c>
      <c r="E1693" s="752" t="s">
        <v>49139</v>
      </c>
      <c r="F1693" s="751">
        <v>5645</v>
      </c>
    </row>
    <row r="1694" spans="1:6">
      <c r="A1694" s="753"/>
      <c r="B1694" s="753"/>
      <c r="C1694" s="752" t="s">
        <v>49686</v>
      </c>
      <c r="D1694" s="753" t="s">
        <v>49684</v>
      </c>
      <c r="E1694" s="752" t="s">
        <v>38570</v>
      </c>
      <c r="F1694" s="751">
        <v>5495</v>
      </c>
    </row>
    <row r="1695" spans="1:6">
      <c r="A1695" s="753"/>
      <c r="B1695" s="753"/>
      <c r="C1695" s="752" t="s">
        <v>49685</v>
      </c>
      <c r="D1695" s="753" t="s">
        <v>49684</v>
      </c>
      <c r="E1695" s="752" t="s">
        <v>293</v>
      </c>
      <c r="F1695" s="751">
        <v>5495</v>
      </c>
    </row>
    <row r="1696" spans="1:6">
      <c r="A1696" s="753"/>
      <c r="B1696" s="753"/>
      <c r="C1696" s="752" t="s">
        <v>49683</v>
      </c>
      <c r="D1696" s="753" t="s">
        <v>49681</v>
      </c>
      <c r="E1696" s="752" t="s">
        <v>293</v>
      </c>
      <c r="F1696" s="751">
        <v>5495</v>
      </c>
    </row>
    <row r="1697" spans="1:6">
      <c r="A1697" s="753"/>
      <c r="B1697" s="753"/>
      <c r="C1697" s="752" t="s">
        <v>49682</v>
      </c>
      <c r="D1697" s="753" t="s">
        <v>49681</v>
      </c>
      <c r="E1697" s="752" t="s">
        <v>39028</v>
      </c>
      <c r="F1697" s="751">
        <v>6255</v>
      </c>
    </row>
    <row r="1698" spans="1:6">
      <c r="A1698" s="753"/>
      <c r="B1698" s="753"/>
      <c r="C1698" s="752" t="s">
        <v>49680</v>
      </c>
      <c r="D1698" s="753" t="s">
        <v>49679</v>
      </c>
      <c r="E1698" s="752" t="s">
        <v>49678</v>
      </c>
      <c r="F1698" s="751">
        <v>4935</v>
      </c>
    </row>
    <row r="1699" spans="1:6">
      <c r="A1699" s="753"/>
      <c r="B1699" s="753"/>
      <c r="C1699" s="752" t="s">
        <v>49677</v>
      </c>
      <c r="D1699" s="753" t="s">
        <v>49675</v>
      </c>
      <c r="E1699" s="752" t="s">
        <v>39097</v>
      </c>
      <c r="F1699" s="751">
        <v>2925</v>
      </c>
    </row>
    <row r="1700" spans="1:6">
      <c r="A1700" s="753"/>
      <c r="B1700" s="753"/>
      <c r="C1700" s="752" t="s">
        <v>49676</v>
      </c>
      <c r="D1700" s="753" t="s">
        <v>49675</v>
      </c>
      <c r="E1700" s="752" t="s">
        <v>38584</v>
      </c>
      <c r="F1700" s="751">
        <v>2925</v>
      </c>
    </row>
    <row r="1701" spans="1:6">
      <c r="A1701" s="753"/>
      <c r="B1701" s="753"/>
      <c r="C1701" s="752" t="s">
        <v>49674</v>
      </c>
      <c r="D1701" s="753" t="s">
        <v>49671</v>
      </c>
      <c r="E1701" s="752" t="s">
        <v>39097</v>
      </c>
      <c r="F1701" s="751">
        <v>3425</v>
      </c>
    </row>
    <row r="1702" spans="1:6">
      <c r="A1702" s="753"/>
      <c r="B1702" s="753"/>
      <c r="C1702" s="752" t="s">
        <v>49673</v>
      </c>
      <c r="D1702" s="753" t="s">
        <v>49669</v>
      </c>
      <c r="E1702" s="752" t="s">
        <v>39097</v>
      </c>
      <c r="F1702" s="751">
        <v>3975</v>
      </c>
    </row>
    <row r="1703" spans="1:6">
      <c r="A1703" s="753"/>
      <c r="B1703" s="753"/>
      <c r="C1703" s="752" t="s">
        <v>49672</v>
      </c>
      <c r="D1703" s="753" t="s">
        <v>49671</v>
      </c>
      <c r="E1703" s="752" t="s">
        <v>49668</v>
      </c>
      <c r="F1703" s="751">
        <v>3425</v>
      </c>
    </row>
    <row r="1704" spans="1:6">
      <c r="A1704" s="753"/>
      <c r="B1704" s="753"/>
      <c r="C1704" s="752" t="s">
        <v>49670</v>
      </c>
      <c r="D1704" s="753" t="s">
        <v>49669</v>
      </c>
      <c r="E1704" s="752" t="s">
        <v>49668</v>
      </c>
      <c r="F1704" s="751">
        <v>3975</v>
      </c>
    </row>
    <row r="1705" spans="1:6">
      <c r="A1705" s="753"/>
      <c r="B1705" s="753"/>
      <c r="C1705" s="752" t="s">
        <v>49667</v>
      </c>
      <c r="D1705" s="753" t="s">
        <v>48585</v>
      </c>
      <c r="E1705" s="752" t="s">
        <v>293</v>
      </c>
      <c r="F1705" s="751">
        <v>4130</v>
      </c>
    </row>
    <row r="1706" spans="1:6">
      <c r="A1706" s="753"/>
      <c r="B1706" s="753"/>
      <c r="C1706" s="752" t="s">
        <v>49666</v>
      </c>
      <c r="D1706" s="753" t="s">
        <v>48585</v>
      </c>
      <c r="E1706" s="752" t="s">
        <v>293</v>
      </c>
      <c r="F1706" s="751">
        <v>4130</v>
      </c>
    </row>
    <row r="1707" spans="1:6">
      <c r="A1707" s="753"/>
      <c r="B1707" s="753"/>
      <c r="C1707" s="752" t="s">
        <v>49665</v>
      </c>
      <c r="D1707" s="753" t="s">
        <v>49639</v>
      </c>
      <c r="E1707" s="752" t="s">
        <v>38581</v>
      </c>
      <c r="F1707" s="751">
        <v>5995</v>
      </c>
    </row>
    <row r="1708" spans="1:6">
      <c r="A1708" s="753"/>
      <c r="B1708" s="753"/>
      <c r="C1708" s="752" t="s">
        <v>49664</v>
      </c>
      <c r="D1708" s="753" t="s">
        <v>49119</v>
      </c>
      <c r="E1708" s="752" t="s">
        <v>38584</v>
      </c>
      <c r="F1708" s="751">
        <v>5995</v>
      </c>
    </row>
    <row r="1709" spans="1:6">
      <c r="A1709" s="753"/>
      <c r="B1709" s="753"/>
      <c r="C1709" s="752" t="s">
        <v>49663</v>
      </c>
      <c r="D1709" s="753" t="s">
        <v>49639</v>
      </c>
      <c r="E1709" s="752" t="s">
        <v>293</v>
      </c>
      <c r="F1709" s="751">
        <v>5995</v>
      </c>
    </row>
    <row r="1710" spans="1:6">
      <c r="A1710" s="753"/>
      <c r="B1710" s="753"/>
      <c r="C1710" s="752" t="s">
        <v>49662</v>
      </c>
      <c r="D1710" s="753" t="s">
        <v>49637</v>
      </c>
      <c r="E1710" s="752" t="s">
        <v>38670</v>
      </c>
      <c r="F1710" s="751">
        <v>5925</v>
      </c>
    </row>
    <row r="1711" spans="1:6">
      <c r="A1711" s="753"/>
      <c r="B1711" s="753"/>
      <c r="C1711" s="752" t="s">
        <v>49661</v>
      </c>
      <c r="D1711" s="753" t="s">
        <v>49119</v>
      </c>
      <c r="E1711" s="752" t="s">
        <v>38584</v>
      </c>
      <c r="F1711" s="751">
        <v>5995</v>
      </c>
    </row>
    <row r="1712" spans="1:6">
      <c r="A1712" s="753"/>
      <c r="B1712" s="753"/>
      <c r="C1712" s="752" t="s">
        <v>49660</v>
      </c>
      <c r="D1712" s="753" t="s">
        <v>49637</v>
      </c>
      <c r="E1712" s="752" t="s">
        <v>38570</v>
      </c>
      <c r="F1712" s="751">
        <v>5945</v>
      </c>
    </row>
    <row r="1713" spans="1:6">
      <c r="A1713" s="753"/>
      <c r="B1713" s="753"/>
      <c r="C1713" s="752" t="s">
        <v>49659</v>
      </c>
      <c r="D1713" s="753" t="s">
        <v>49119</v>
      </c>
      <c r="E1713" s="752" t="s">
        <v>293</v>
      </c>
      <c r="F1713" s="751">
        <v>5995</v>
      </c>
    </row>
    <row r="1714" spans="1:6">
      <c r="A1714" s="753"/>
      <c r="B1714" s="753"/>
      <c r="C1714" s="752" t="s">
        <v>49658</v>
      </c>
      <c r="D1714" s="753" t="s">
        <v>49639</v>
      </c>
      <c r="E1714" s="752" t="s">
        <v>293</v>
      </c>
      <c r="F1714" s="751">
        <v>5995</v>
      </c>
    </row>
    <row r="1715" spans="1:6">
      <c r="A1715" s="753"/>
      <c r="B1715" s="753"/>
      <c r="C1715" s="752" t="s">
        <v>49657</v>
      </c>
      <c r="D1715" s="753" t="s">
        <v>49637</v>
      </c>
      <c r="E1715" s="752" t="s">
        <v>38584</v>
      </c>
      <c r="F1715" s="751">
        <v>5945</v>
      </c>
    </row>
    <row r="1716" spans="1:6">
      <c r="A1716" s="753"/>
      <c r="B1716" s="753"/>
      <c r="C1716" s="752" t="s">
        <v>49656</v>
      </c>
      <c r="D1716" s="753" t="s">
        <v>49119</v>
      </c>
      <c r="E1716" s="752" t="s">
        <v>39996</v>
      </c>
      <c r="F1716" s="751">
        <v>5995</v>
      </c>
    </row>
    <row r="1717" spans="1:6">
      <c r="A1717" s="753"/>
      <c r="B1717" s="753"/>
      <c r="C1717" s="752" t="s">
        <v>49655</v>
      </c>
      <c r="D1717" s="753" t="s">
        <v>49639</v>
      </c>
      <c r="E1717" s="752" t="s">
        <v>39996</v>
      </c>
      <c r="F1717" s="751">
        <v>5995</v>
      </c>
    </row>
    <row r="1718" spans="1:6">
      <c r="A1718" s="753"/>
      <c r="B1718" s="753"/>
      <c r="C1718" s="752" t="s">
        <v>49654</v>
      </c>
      <c r="D1718" s="753" t="s">
        <v>49637</v>
      </c>
      <c r="E1718" s="752" t="s">
        <v>38570</v>
      </c>
      <c r="F1718" s="751">
        <v>5925</v>
      </c>
    </row>
    <row r="1719" spans="1:6">
      <c r="A1719" s="753"/>
      <c r="B1719" s="753"/>
      <c r="C1719" s="752" t="s">
        <v>49653</v>
      </c>
      <c r="D1719" s="753" t="s">
        <v>49645</v>
      </c>
      <c r="E1719" s="752" t="s">
        <v>39097</v>
      </c>
      <c r="F1719" s="751">
        <v>8655</v>
      </c>
    </row>
    <row r="1720" spans="1:6">
      <c r="A1720" s="753"/>
      <c r="B1720" s="753"/>
      <c r="C1720" s="752" t="s">
        <v>49652</v>
      </c>
      <c r="D1720" s="753" t="s">
        <v>49637</v>
      </c>
      <c r="E1720" s="752" t="s">
        <v>39097</v>
      </c>
      <c r="F1720" s="751">
        <v>5975</v>
      </c>
    </row>
    <row r="1721" spans="1:6">
      <c r="A1721" s="753"/>
      <c r="B1721" s="753"/>
      <c r="C1721" s="752" t="s">
        <v>49651</v>
      </c>
      <c r="D1721" s="753" t="s">
        <v>49637</v>
      </c>
      <c r="E1721" s="752" t="s">
        <v>49650</v>
      </c>
      <c r="F1721" s="751">
        <v>5975</v>
      </c>
    </row>
    <row r="1722" spans="1:6">
      <c r="A1722" s="753"/>
      <c r="B1722" s="753"/>
      <c r="C1722" s="752" t="s">
        <v>49649</v>
      </c>
      <c r="D1722" s="753" t="s">
        <v>49637</v>
      </c>
      <c r="E1722" s="752" t="s">
        <v>38570</v>
      </c>
      <c r="F1722" s="751">
        <v>5975</v>
      </c>
    </row>
    <row r="1723" spans="1:6">
      <c r="A1723" s="753"/>
      <c r="B1723" s="753"/>
      <c r="C1723" s="752" t="s">
        <v>49648</v>
      </c>
      <c r="D1723" s="753" t="s">
        <v>49119</v>
      </c>
      <c r="E1723" s="752" t="s">
        <v>293</v>
      </c>
      <c r="F1723" s="751">
        <v>6545</v>
      </c>
    </row>
    <row r="1724" spans="1:6">
      <c r="A1724" s="753"/>
      <c r="B1724" s="753"/>
      <c r="C1724" s="752" t="s">
        <v>49647</v>
      </c>
      <c r="D1724" s="753" t="s">
        <v>49639</v>
      </c>
      <c r="E1724" s="752" t="s">
        <v>293</v>
      </c>
      <c r="F1724" s="751">
        <v>6545</v>
      </c>
    </row>
    <row r="1725" spans="1:6">
      <c r="A1725" s="753"/>
      <c r="B1725" s="753"/>
      <c r="C1725" s="752" t="s">
        <v>49646</v>
      </c>
      <c r="D1725" s="753" t="s">
        <v>49645</v>
      </c>
      <c r="E1725" s="752" t="s">
        <v>38584</v>
      </c>
      <c r="F1725" s="751">
        <v>8655</v>
      </c>
    </row>
    <row r="1726" spans="1:6">
      <c r="A1726" s="753"/>
      <c r="B1726" s="753"/>
      <c r="C1726" s="752" t="s">
        <v>49644</v>
      </c>
      <c r="D1726" s="753" t="s">
        <v>49637</v>
      </c>
      <c r="E1726" s="752" t="s">
        <v>38584</v>
      </c>
      <c r="F1726" s="751">
        <v>5975</v>
      </c>
    </row>
    <row r="1727" spans="1:6">
      <c r="A1727" s="753"/>
      <c r="B1727" s="753"/>
      <c r="C1727" s="752" t="s">
        <v>49643</v>
      </c>
      <c r="D1727" s="753" t="s">
        <v>49637</v>
      </c>
      <c r="E1727" s="752" t="s">
        <v>49139</v>
      </c>
      <c r="F1727" s="751">
        <v>5925</v>
      </c>
    </row>
    <row r="1728" spans="1:6">
      <c r="A1728" s="753"/>
      <c r="B1728" s="753"/>
      <c r="C1728" s="752" t="s">
        <v>49642</v>
      </c>
      <c r="D1728" s="753" t="s">
        <v>49119</v>
      </c>
      <c r="E1728" s="752" t="s">
        <v>49641</v>
      </c>
      <c r="F1728" s="751">
        <v>6545</v>
      </c>
    </row>
    <row r="1729" spans="1:6">
      <c r="A1729" s="753"/>
      <c r="B1729" s="753"/>
      <c r="C1729" s="752" t="s">
        <v>49640</v>
      </c>
      <c r="D1729" s="753" t="s">
        <v>49639</v>
      </c>
      <c r="E1729" s="752" t="s">
        <v>293</v>
      </c>
      <c r="F1729" s="751">
        <v>6545</v>
      </c>
    </row>
    <row r="1730" spans="1:6">
      <c r="A1730" s="753"/>
      <c r="B1730" s="753"/>
      <c r="C1730" s="752" t="s">
        <v>49638</v>
      </c>
      <c r="D1730" s="753" t="s">
        <v>49637</v>
      </c>
      <c r="E1730" s="752" t="s">
        <v>49636</v>
      </c>
      <c r="F1730" s="751">
        <v>5975</v>
      </c>
    </row>
    <row r="1731" spans="1:6">
      <c r="A1731" s="753"/>
      <c r="B1731" s="753"/>
      <c r="C1731" s="752" t="s">
        <v>49635</v>
      </c>
      <c r="D1731" s="753" t="s">
        <v>49629</v>
      </c>
      <c r="E1731" s="752" t="s">
        <v>39097</v>
      </c>
      <c r="F1731" s="751">
        <v>8895</v>
      </c>
    </row>
    <row r="1732" spans="1:6">
      <c r="A1732" s="753"/>
      <c r="B1732" s="753"/>
      <c r="C1732" s="752" t="s">
        <v>49634</v>
      </c>
      <c r="D1732" s="753" t="s">
        <v>49627</v>
      </c>
      <c r="E1732" s="752" t="s">
        <v>39097</v>
      </c>
      <c r="F1732" s="751">
        <v>9095</v>
      </c>
    </row>
    <row r="1733" spans="1:6">
      <c r="A1733" s="753"/>
      <c r="B1733" s="753"/>
      <c r="C1733" s="752" t="s">
        <v>49633</v>
      </c>
      <c r="D1733" s="753" t="s">
        <v>49627</v>
      </c>
      <c r="E1733" s="752" t="s">
        <v>49265</v>
      </c>
      <c r="F1733" s="751">
        <v>9095</v>
      </c>
    </row>
    <row r="1734" spans="1:6">
      <c r="A1734" s="753"/>
      <c r="B1734" s="753"/>
      <c r="C1734" s="752" t="s">
        <v>49632</v>
      </c>
      <c r="D1734" s="753" t="s">
        <v>49629</v>
      </c>
      <c r="E1734" s="752" t="s">
        <v>38570</v>
      </c>
      <c r="F1734" s="751">
        <v>8895</v>
      </c>
    </row>
    <row r="1735" spans="1:6">
      <c r="A1735" s="753"/>
      <c r="B1735" s="753"/>
      <c r="C1735" s="752" t="s">
        <v>49631</v>
      </c>
      <c r="D1735" s="753" t="s">
        <v>49627</v>
      </c>
      <c r="E1735" s="752" t="s">
        <v>38570</v>
      </c>
      <c r="F1735" s="751">
        <v>9095</v>
      </c>
    </row>
    <row r="1736" spans="1:6">
      <c r="A1736" s="753"/>
      <c r="B1736" s="753"/>
      <c r="C1736" s="752" t="s">
        <v>49630</v>
      </c>
      <c r="D1736" s="753" t="s">
        <v>49629</v>
      </c>
      <c r="E1736" s="752" t="s">
        <v>38584</v>
      </c>
      <c r="F1736" s="751">
        <v>8895</v>
      </c>
    </row>
    <row r="1737" spans="1:6">
      <c r="A1737" s="753"/>
      <c r="B1737" s="753"/>
      <c r="C1737" s="752" t="s">
        <v>49628</v>
      </c>
      <c r="D1737" s="753" t="s">
        <v>49627</v>
      </c>
      <c r="E1737" s="752" t="s">
        <v>38584</v>
      </c>
      <c r="F1737" s="751">
        <v>9095</v>
      </c>
    </row>
    <row r="1738" spans="1:6">
      <c r="A1738" s="753"/>
      <c r="B1738" s="753"/>
      <c r="C1738" s="752" t="s">
        <v>49626</v>
      </c>
      <c r="D1738" s="753" t="s">
        <v>49625</v>
      </c>
      <c r="E1738" s="752" t="s">
        <v>293</v>
      </c>
      <c r="F1738" s="751">
        <v>2900</v>
      </c>
    </row>
    <row r="1739" spans="1:6">
      <c r="A1739" s="753"/>
      <c r="B1739" s="753"/>
      <c r="C1739" s="752" t="s">
        <v>49624</v>
      </c>
      <c r="D1739" s="753" t="s">
        <v>48883</v>
      </c>
      <c r="E1739" s="752" t="s">
        <v>293</v>
      </c>
      <c r="F1739" s="751">
        <v>2949</v>
      </c>
    </row>
    <row r="1740" spans="1:6">
      <c r="A1740" s="753"/>
      <c r="B1740" s="753"/>
      <c r="C1740" s="752" t="s">
        <v>49623</v>
      </c>
      <c r="D1740" s="753" t="s">
        <v>49611</v>
      </c>
      <c r="E1740" s="752" t="s">
        <v>293</v>
      </c>
      <c r="F1740" s="751">
        <v>4000</v>
      </c>
    </row>
    <row r="1741" spans="1:6">
      <c r="A1741" s="753"/>
      <c r="B1741" s="753"/>
      <c r="C1741" s="752" t="s">
        <v>49622</v>
      </c>
      <c r="D1741" s="753" t="s">
        <v>49611</v>
      </c>
      <c r="E1741" s="752" t="s">
        <v>49621</v>
      </c>
      <c r="F1741" s="751">
        <v>4000</v>
      </c>
    </row>
    <row r="1742" spans="1:6">
      <c r="A1742" s="753"/>
      <c r="B1742" s="753"/>
      <c r="C1742" s="752" t="s">
        <v>49620</v>
      </c>
      <c r="D1742" s="753" t="s">
        <v>49608</v>
      </c>
      <c r="E1742" s="752" t="s">
        <v>293</v>
      </c>
      <c r="F1742" s="751">
        <v>4099</v>
      </c>
    </row>
    <row r="1743" spans="1:6">
      <c r="A1743" s="753"/>
      <c r="B1743" s="753"/>
      <c r="C1743" s="752" t="s">
        <v>49619</v>
      </c>
      <c r="D1743" s="753" t="s">
        <v>49605</v>
      </c>
      <c r="E1743" s="752" t="s">
        <v>293</v>
      </c>
      <c r="F1743" s="751">
        <v>3649</v>
      </c>
    </row>
    <row r="1744" spans="1:6">
      <c r="A1744" s="753"/>
      <c r="B1744" s="753"/>
      <c r="C1744" s="752" t="s">
        <v>49618</v>
      </c>
      <c r="D1744" s="753" t="s">
        <v>48883</v>
      </c>
      <c r="E1744" s="752" t="s">
        <v>39097</v>
      </c>
      <c r="F1744" s="751">
        <v>2949</v>
      </c>
    </row>
    <row r="1745" spans="1:6">
      <c r="A1745" s="753"/>
      <c r="B1745" s="753"/>
      <c r="C1745" s="752" t="s">
        <v>49617</v>
      </c>
      <c r="D1745" s="753" t="s">
        <v>49611</v>
      </c>
      <c r="E1745" s="752" t="s">
        <v>39097</v>
      </c>
      <c r="F1745" s="751">
        <v>4000</v>
      </c>
    </row>
    <row r="1746" spans="1:6">
      <c r="A1746" s="753"/>
      <c r="B1746" s="753"/>
      <c r="C1746" s="752" t="s">
        <v>49616</v>
      </c>
      <c r="D1746" s="753" t="s">
        <v>49608</v>
      </c>
      <c r="E1746" s="752" t="s">
        <v>39097</v>
      </c>
      <c r="F1746" s="751">
        <v>4099</v>
      </c>
    </row>
    <row r="1747" spans="1:6">
      <c r="A1747" s="753"/>
      <c r="B1747" s="753"/>
      <c r="C1747" s="752" t="s">
        <v>49615</v>
      </c>
      <c r="D1747" s="753" t="s">
        <v>49605</v>
      </c>
      <c r="E1747" s="752" t="s">
        <v>39097</v>
      </c>
      <c r="F1747" s="751">
        <v>3649</v>
      </c>
    </row>
    <row r="1748" spans="1:6">
      <c r="A1748" s="753"/>
      <c r="B1748" s="753"/>
      <c r="C1748" s="752" t="s">
        <v>49614</v>
      </c>
      <c r="D1748" s="753" t="s">
        <v>48883</v>
      </c>
      <c r="E1748" s="752" t="s">
        <v>38584</v>
      </c>
      <c r="F1748" s="751">
        <v>2949</v>
      </c>
    </row>
    <row r="1749" spans="1:6">
      <c r="A1749" s="753"/>
      <c r="B1749" s="753"/>
      <c r="C1749" s="752" t="s">
        <v>49613</v>
      </c>
      <c r="D1749" s="753" t="s">
        <v>49611</v>
      </c>
      <c r="E1749" s="752" t="s">
        <v>38570</v>
      </c>
      <c r="F1749" s="751">
        <v>4000</v>
      </c>
    </row>
    <row r="1750" spans="1:6">
      <c r="A1750" s="753"/>
      <c r="B1750" s="753"/>
      <c r="C1750" s="752" t="s">
        <v>49612</v>
      </c>
      <c r="D1750" s="753" t="s">
        <v>49611</v>
      </c>
      <c r="E1750" s="752" t="s">
        <v>38584</v>
      </c>
      <c r="F1750" s="751">
        <v>4000</v>
      </c>
    </row>
    <row r="1751" spans="1:6">
      <c r="A1751" s="753"/>
      <c r="B1751" s="753"/>
      <c r="C1751" s="752" t="s">
        <v>49610</v>
      </c>
      <c r="D1751" s="753" t="s">
        <v>48883</v>
      </c>
      <c r="E1751" s="752" t="s">
        <v>38584</v>
      </c>
      <c r="F1751" s="751">
        <v>2949</v>
      </c>
    </row>
    <row r="1752" spans="1:6">
      <c r="A1752" s="753"/>
      <c r="B1752" s="753"/>
      <c r="C1752" s="752" t="s">
        <v>49609</v>
      </c>
      <c r="D1752" s="753" t="s">
        <v>49608</v>
      </c>
      <c r="E1752" s="752" t="s">
        <v>38584</v>
      </c>
      <c r="F1752" s="751">
        <v>4099</v>
      </c>
    </row>
    <row r="1753" spans="1:6">
      <c r="A1753" s="753"/>
      <c r="B1753" s="753"/>
      <c r="C1753" s="752" t="s">
        <v>49607</v>
      </c>
      <c r="D1753" s="753" t="s">
        <v>49605</v>
      </c>
      <c r="E1753" s="752" t="s">
        <v>39097</v>
      </c>
      <c r="F1753" s="751">
        <v>3649</v>
      </c>
    </row>
    <row r="1754" spans="1:6">
      <c r="A1754" s="753"/>
      <c r="B1754" s="753"/>
      <c r="C1754" s="752" t="s">
        <v>49606</v>
      </c>
      <c r="D1754" s="753" t="s">
        <v>49605</v>
      </c>
      <c r="E1754" s="752" t="s">
        <v>49604</v>
      </c>
      <c r="F1754" s="751">
        <v>4360</v>
      </c>
    </row>
    <row r="1755" spans="1:6">
      <c r="A1755" s="753"/>
      <c r="B1755" s="753"/>
      <c r="C1755" s="752" t="s">
        <v>49603</v>
      </c>
      <c r="D1755" s="753" t="s">
        <v>48883</v>
      </c>
      <c r="E1755" s="752" t="s">
        <v>38570</v>
      </c>
      <c r="F1755" s="751">
        <v>2949</v>
      </c>
    </row>
    <row r="1756" spans="1:6">
      <c r="A1756" s="753"/>
      <c r="B1756" s="753"/>
      <c r="C1756" s="752" t="s">
        <v>49602</v>
      </c>
      <c r="D1756" s="753" t="s">
        <v>48885</v>
      </c>
      <c r="E1756" s="752" t="s">
        <v>293</v>
      </c>
      <c r="F1756" s="751">
        <v>3349</v>
      </c>
    </row>
    <row r="1757" spans="1:6">
      <c r="A1757" s="753"/>
      <c r="B1757" s="753"/>
      <c r="C1757" s="752" t="s">
        <v>49601</v>
      </c>
      <c r="D1757" s="753" t="s">
        <v>49592</v>
      </c>
      <c r="E1757" s="752" t="s">
        <v>293</v>
      </c>
      <c r="F1757" s="751">
        <v>3249</v>
      </c>
    </row>
    <row r="1758" spans="1:6">
      <c r="A1758" s="753"/>
      <c r="B1758" s="753"/>
      <c r="C1758" s="752" t="s">
        <v>49600</v>
      </c>
      <c r="D1758" s="753" t="s">
        <v>48885</v>
      </c>
      <c r="E1758" s="752" t="s">
        <v>293</v>
      </c>
      <c r="F1758" s="751">
        <v>3349</v>
      </c>
    </row>
    <row r="1759" spans="1:6">
      <c r="A1759" s="753"/>
      <c r="B1759" s="753"/>
      <c r="C1759" s="752" t="s">
        <v>49599</v>
      </c>
      <c r="D1759" s="753" t="s">
        <v>48885</v>
      </c>
      <c r="E1759" s="752" t="s">
        <v>38783</v>
      </c>
      <c r="F1759" s="751">
        <v>3349</v>
      </c>
    </row>
    <row r="1760" spans="1:6">
      <c r="A1760" s="753"/>
      <c r="B1760" s="753"/>
      <c r="C1760" s="752" t="s">
        <v>49598</v>
      </c>
      <c r="D1760" s="753" t="s">
        <v>49592</v>
      </c>
      <c r="E1760" s="752" t="s">
        <v>39097</v>
      </c>
      <c r="F1760" s="751">
        <v>3200</v>
      </c>
    </row>
    <row r="1761" spans="1:6">
      <c r="A1761" s="753"/>
      <c r="B1761" s="753"/>
      <c r="C1761" s="752" t="s">
        <v>49597</v>
      </c>
      <c r="D1761" s="753" t="s">
        <v>48885</v>
      </c>
      <c r="E1761" s="752" t="s">
        <v>39097</v>
      </c>
      <c r="F1761" s="751">
        <v>3349</v>
      </c>
    </row>
    <row r="1762" spans="1:6">
      <c r="A1762" s="753"/>
      <c r="B1762" s="753"/>
      <c r="C1762" s="752" t="s">
        <v>49596</v>
      </c>
      <c r="D1762" s="753" t="s">
        <v>48885</v>
      </c>
      <c r="E1762" s="752" t="s">
        <v>38783</v>
      </c>
      <c r="F1762" s="751">
        <v>3349</v>
      </c>
    </row>
    <row r="1763" spans="1:6">
      <c r="A1763" s="753"/>
      <c r="B1763" s="753"/>
      <c r="C1763" s="752" t="s">
        <v>49595</v>
      </c>
      <c r="D1763" s="753" t="s">
        <v>48885</v>
      </c>
      <c r="E1763" s="752" t="s">
        <v>49594</v>
      </c>
      <c r="F1763" s="751">
        <v>3349</v>
      </c>
    </row>
    <row r="1764" spans="1:6">
      <c r="A1764" s="753"/>
      <c r="B1764" s="753"/>
      <c r="C1764" s="752" t="s">
        <v>49593</v>
      </c>
      <c r="D1764" s="753" t="s">
        <v>49592</v>
      </c>
      <c r="E1764" s="752" t="s">
        <v>38783</v>
      </c>
      <c r="F1764" s="751">
        <v>3249</v>
      </c>
    </row>
    <row r="1765" spans="1:6">
      <c r="A1765" s="753"/>
      <c r="B1765" s="753"/>
      <c r="C1765" s="752" t="s">
        <v>49591</v>
      </c>
      <c r="D1765" s="753" t="s">
        <v>49585</v>
      </c>
      <c r="E1765" s="752" t="s">
        <v>38584</v>
      </c>
      <c r="F1765" s="751">
        <v>3800</v>
      </c>
    </row>
    <row r="1766" spans="1:6">
      <c r="A1766" s="753"/>
      <c r="B1766" s="753"/>
      <c r="C1766" s="752" t="s">
        <v>49590</v>
      </c>
      <c r="D1766" s="753" t="s">
        <v>49585</v>
      </c>
      <c r="E1766" s="752" t="s">
        <v>293</v>
      </c>
      <c r="F1766" s="751">
        <v>3849</v>
      </c>
    </row>
    <row r="1767" spans="1:6">
      <c r="A1767" s="753"/>
      <c r="B1767" s="753"/>
      <c r="C1767" s="752" t="s">
        <v>49589</v>
      </c>
      <c r="D1767" s="753" t="s">
        <v>49585</v>
      </c>
      <c r="E1767" s="752" t="s">
        <v>39097</v>
      </c>
      <c r="F1767" s="751">
        <v>3849</v>
      </c>
    </row>
    <row r="1768" spans="1:6">
      <c r="A1768" s="753"/>
      <c r="B1768" s="753"/>
      <c r="C1768" s="752" t="s">
        <v>49588</v>
      </c>
      <c r="D1768" s="753" t="s">
        <v>49585</v>
      </c>
      <c r="E1768" s="752" t="s">
        <v>49203</v>
      </c>
      <c r="F1768" s="751">
        <v>4609</v>
      </c>
    </row>
    <row r="1769" spans="1:6">
      <c r="A1769" s="753"/>
      <c r="B1769" s="753"/>
      <c r="C1769" s="752" t="s">
        <v>49587</v>
      </c>
      <c r="D1769" s="753" t="s">
        <v>49585</v>
      </c>
      <c r="E1769" s="752" t="s">
        <v>38584</v>
      </c>
      <c r="F1769" s="751">
        <v>3849</v>
      </c>
    </row>
    <row r="1770" spans="1:6">
      <c r="A1770" s="753"/>
      <c r="B1770" s="753"/>
      <c r="C1770" s="752" t="s">
        <v>49586</v>
      </c>
      <c r="D1770" s="753" t="s">
        <v>49585</v>
      </c>
      <c r="E1770" s="752" t="s">
        <v>49219</v>
      </c>
      <c r="F1770" s="751">
        <v>4609</v>
      </c>
    </row>
    <row r="1771" spans="1:6">
      <c r="A1771" s="753"/>
      <c r="B1771" s="753"/>
      <c r="C1771" s="752" t="s">
        <v>49584</v>
      </c>
      <c r="D1771" s="753" t="s">
        <v>49117</v>
      </c>
      <c r="E1771" s="752" t="s">
        <v>293</v>
      </c>
      <c r="F1771" s="751">
        <v>4099</v>
      </c>
    </row>
    <row r="1772" spans="1:6">
      <c r="A1772" s="753"/>
      <c r="B1772" s="753"/>
      <c r="C1772" s="752" t="s">
        <v>49583</v>
      </c>
      <c r="D1772" s="753" t="s">
        <v>49117</v>
      </c>
      <c r="E1772" s="752" t="s">
        <v>293</v>
      </c>
      <c r="F1772" s="751">
        <v>4099</v>
      </c>
    </row>
    <row r="1773" spans="1:6">
      <c r="A1773" s="753"/>
      <c r="B1773" s="753"/>
      <c r="C1773" s="752" t="s">
        <v>49582</v>
      </c>
      <c r="D1773" s="753" t="s">
        <v>49117</v>
      </c>
      <c r="E1773" s="752" t="s">
        <v>39097</v>
      </c>
      <c r="F1773" s="751">
        <v>4099</v>
      </c>
    </row>
    <row r="1774" spans="1:6">
      <c r="A1774" s="753"/>
      <c r="B1774" s="753"/>
      <c r="C1774" s="752" t="s">
        <v>49581</v>
      </c>
      <c r="D1774" s="753" t="s">
        <v>49117</v>
      </c>
      <c r="E1774" s="752" t="s">
        <v>49149</v>
      </c>
      <c r="F1774" s="751">
        <v>4859</v>
      </c>
    </row>
    <row r="1775" spans="1:6">
      <c r="A1775" s="753"/>
      <c r="B1775" s="753"/>
      <c r="C1775" s="752" t="s">
        <v>49580</v>
      </c>
      <c r="D1775" s="753" t="s">
        <v>49117</v>
      </c>
      <c r="E1775" s="752" t="s">
        <v>39097</v>
      </c>
      <c r="F1775" s="751">
        <v>4099</v>
      </c>
    </row>
    <row r="1776" spans="1:6">
      <c r="A1776" s="753"/>
      <c r="B1776" s="753"/>
      <c r="C1776" s="752" t="s">
        <v>49579</v>
      </c>
      <c r="D1776" s="753" t="s">
        <v>49576</v>
      </c>
      <c r="E1776" s="752" t="s">
        <v>38584</v>
      </c>
      <c r="F1776" s="751">
        <v>2925</v>
      </c>
    </row>
    <row r="1777" spans="1:6">
      <c r="A1777" s="753"/>
      <c r="B1777" s="753"/>
      <c r="C1777" s="752" t="s">
        <v>49578</v>
      </c>
      <c r="D1777" s="753" t="s">
        <v>49576</v>
      </c>
      <c r="E1777" s="752" t="s">
        <v>49139</v>
      </c>
      <c r="F1777" s="751">
        <v>2675</v>
      </c>
    </row>
    <row r="1778" spans="1:6">
      <c r="A1778" s="753"/>
      <c r="B1778" s="753"/>
      <c r="C1778" s="752" t="s">
        <v>49577</v>
      </c>
      <c r="D1778" s="753" t="s">
        <v>49576</v>
      </c>
      <c r="E1778" s="752" t="s">
        <v>47102</v>
      </c>
      <c r="F1778" s="751">
        <v>2825</v>
      </c>
    </row>
    <row r="1779" spans="1:6">
      <c r="A1779" s="753"/>
      <c r="B1779" s="753"/>
      <c r="C1779" s="752" t="s">
        <v>49575</v>
      </c>
      <c r="D1779" s="753" t="s">
        <v>49574</v>
      </c>
      <c r="E1779" s="752" t="s">
        <v>49137</v>
      </c>
      <c r="F1779" s="751">
        <v>3475</v>
      </c>
    </row>
    <row r="1780" spans="1:6">
      <c r="A1780" s="753"/>
      <c r="B1780" s="753"/>
      <c r="C1780" s="752" t="s">
        <v>49573</v>
      </c>
      <c r="D1780" s="753" t="s">
        <v>49571</v>
      </c>
      <c r="E1780" s="752" t="s">
        <v>38584</v>
      </c>
      <c r="F1780" s="751">
        <v>3475</v>
      </c>
    </row>
    <row r="1781" spans="1:6">
      <c r="A1781" s="753"/>
      <c r="B1781" s="753"/>
      <c r="C1781" s="752" t="s">
        <v>49572</v>
      </c>
      <c r="D1781" s="753" t="s">
        <v>49571</v>
      </c>
      <c r="E1781" s="752" t="s">
        <v>49424</v>
      </c>
      <c r="F1781" s="751">
        <v>4565</v>
      </c>
    </row>
    <row r="1782" spans="1:6">
      <c r="A1782" s="753"/>
      <c r="B1782" s="753"/>
      <c r="C1782" s="752" t="s">
        <v>49570</v>
      </c>
      <c r="D1782" s="753" t="s">
        <v>49114</v>
      </c>
      <c r="E1782" s="752" t="s">
        <v>293</v>
      </c>
      <c r="F1782" s="751">
        <v>2825</v>
      </c>
    </row>
    <row r="1783" spans="1:6">
      <c r="A1783" s="753"/>
      <c r="B1783" s="753"/>
      <c r="C1783" s="752" t="s">
        <v>49569</v>
      </c>
      <c r="D1783" s="753" t="s">
        <v>49114</v>
      </c>
      <c r="E1783" s="752" t="s">
        <v>42816</v>
      </c>
      <c r="F1783" s="751">
        <v>2825</v>
      </c>
    </row>
    <row r="1784" spans="1:6">
      <c r="A1784" s="753"/>
      <c r="B1784" s="753"/>
      <c r="C1784" s="752" t="s">
        <v>49568</v>
      </c>
      <c r="D1784" s="753" t="s">
        <v>49114</v>
      </c>
      <c r="E1784" s="752" t="s">
        <v>49252</v>
      </c>
      <c r="F1784" s="751">
        <v>3585</v>
      </c>
    </row>
    <row r="1785" spans="1:6">
      <c r="A1785" s="753"/>
      <c r="B1785" s="753"/>
      <c r="C1785" s="752" t="s">
        <v>49567</v>
      </c>
      <c r="D1785" s="753" t="s">
        <v>49114</v>
      </c>
      <c r="E1785" s="752" t="s">
        <v>39996</v>
      </c>
      <c r="F1785" s="751">
        <v>2825</v>
      </c>
    </row>
    <row r="1786" spans="1:6">
      <c r="A1786" s="753"/>
      <c r="B1786" s="753"/>
      <c r="C1786" s="752" t="s">
        <v>49566</v>
      </c>
      <c r="D1786" s="753" t="s">
        <v>49114</v>
      </c>
      <c r="E1786" s="752" t="s">
        <v>49249</v>
      </c>
      <c r="F1786" s="751">
        <v>2825</v>
      </c>
    </row>
    <row r="1787" spans="1:6">
      <c r="A1787" s="753"/>
      <c r="B1787" s="753"/>
      <c r="C1787" s="752" t="s">
        <v>49565</v>
      </c>
      <c r="D1787" s="753" t="s">
        <v>49114</v>
      </c>
      <c r="E1787" s="752" t="s">
        <v>38577</v>
      </c>
      <c r="F1787" s="751">
        <v>3585</v>
      </c>
    </row>
    <row r="1788" spans="1:6">
      <c r="A1788" s="753"/>
      <c r="B1788" s="753"/>
      <c r="C1788" s="752" t="s">
        <v>49564</v>
      </c>
      <c r="D1788" s="753" t="s">
        <v>49114</v>
      </c>
      <c r="E1788" s="752" t="s">
        <v>293</v>
      </c>
      <c r="F1788" s="751">
        <v>2825</v>
      </c>
    </row>
    <row r="1789" spans="1:6">
      <c r="A1789" s="753"/>
      <c r="B1789" s="753"/>
      <c r="C1789" s="752" t="s">
        <v>49563</v>
      </c>
      <c r="D1789" s="753" t="s">
        <v>49114</v>
      </c>
      <c r="E1789" s="752" t="s">
        <v>49296</v>
      </c>
      <c r="F1789" s="751">
        <v>2825</v>
      </c>
    </row>
    <row r="1790" spans="1:6">
      <c r="A1790" s="753"/>
      <c r="B1790" s="753"/>
      <c r="C1790" s="752" t="s">
        <v>49562</v>
      </c>
      <c r="D1790" s="753" t="s">
        <v>49114</v>
      </c>
      <c r="E1790" s="752" t="s">
        <v>39996</v>
      </c>
      <c r="F1790" s="751">
        <v>2575</v>
      </c>
    </row>
    <row r="1791" spans="1:6">
      <c r="A1791" s="753"/>
      <c r="B1791" s="753"/>
      <c r="C1791" s="752" t="s">
        <v>49561</v>
      </c>
      <c r="D1791" s="753" t="s">
        <v>49114</v>
      </c>
      <c r="E1791" s="752" t="s">
        <v>49554</v>
      </c>
      <c r="F1791" s="751">
        <v>3335</v>
      </c>
    </row>
    <row r="1792" spans="1:6">
      <c r="A1792" s="753"/>
      <c r="B1792" s="753"/>
      <c r="C1792" s="752" t="s">
        <v>49560</v>
      </c>
      <c r="D1792" s="753" t="s">
        <v>49114</v>
      </c>
      <c r="E1792" s="752" t="s">
        <v>38577</v>
      </c>
      <c r="F1792" s="751">
        <v>3585</v>
      </c>
    </row>
    <row r="1793" spans="1:6">
      <c r="A1793" s="753"/>
      <c r="B1793" s="753"/>
      <c r="C1793" s="752" t="s">
        <v>49559</v>
      </c>
      <c r="D1793" s="753" t="s">
        <v>49114</v>
      </c>
      <c r="E1793" s="752" t="s">
        <v>293</v>
      </c>
      <c r="F1793" s="751">
        <v>2825</v>
      </c>
    </row>
    <row r="1794" spans="1:6">
      <c r="A1794" s="753"/>
      <c r="B1794" s="753"/>
      <c r="C1794" s="752" t="s">
        <v>49558</v>
      </c>
      <c r="D1794" s="753" t="s">
        <v>49114</v>
      </c>
      <c r="E1794" s="752" t="s">
        <v>293</v>
      </c>
      <c r="F1794" s="751">
        <v>2825</v>
      </c>
    </row>
    <row r="1795" spans="1:6">
      <c r="A1795" s="753"/>
      <c r="B1795" s="753"/>
      <c r="C1795" s="752" t="s">
        <v>49557</v>
      </c>
      <c r="D1795" s="753" t="s">
        <v>49114</v>
      </c>
      <c r="E1795" s="752" t="s">
        <v>37794</v>
      </c>
      <c r="F1795" s="751">
        <v>3585</v>
      </c>
    </row>
    <row r="1796" spans="1:6">
      <c r="A1796" s="753"/>
      <c r="B1796" s="753"/>
      <c r="C1796" s="752" t="s">
        <v>49556</v>
      </c>
      <c r="D1796" s="753" t="s">
        <v>49114</v>
      </c>
      <c r="E1796" s="752" t="s">
        <v>39996</v>
      </c>
      <c r="F1796" s="751">
        <v>2575</v>
      </c>
    </row>
    <row r="1797" spans="1:6">
      <c r="A1797" s="753"/>
      <c r="B1797" s="753"/>
      <c r="C1797" s="752" t="s">
        <v>49555</v>
      </c>
      <c r="D1797" s="753" t="s">
        <v>49114</v>
      </c>
      <c r="E1797" s="752" t="s">
        <v>49554</v>
      </c>
      <c r="F1797" s="751">
        <v>3335</v>
      </c>
    </row>
    <row r="1798" spans="1:6">
      <c r="A1798" s="753"/>
      <c r="B1798" s="753"/>
      <c r="C1798" s="752" t="s">
        <v>49553</v>
      </c>
      <c r="D1798" s="753" t="s">
        <v>49114</v>
      </c>
      <c r="E1798" s="752" t="s">
        <v>38577</v>
      </c>
      <c r="F1798" s="751">
        <v>3585</v>
      </c>
    </row>
    <row r="1799" spans="1:6">
      <c r="A1799" s="753"/>
      <c r="B1799" s="753"/>
      <c r="C1799" s="752" t="s">
        <v>49552</v>
      </c>
      <c r="D1799" s="753" t="s">
        <v>49114</v>
      </c>
      <c r="E1799" s="752" t="s">
        <v>49551</v>
      </c>
      <c r="F1799" s="751">
        <v>2825</v>
      </c>
    </row>
    <row r="1800" spans="1:6">
      <c r="A1800" s="753"/>
      <c r="B1800" s="753"/>
      <c r="C1800" s="752" t="s">
        <v>49550</v>
      </c>
      <c r="D1800" s="753" t="s">
        <v>49114</v>
      </c>
      <c r="E1800" s="752" t="s">
        <v>39097</v>
      </c>
      <c r="F1800" s="751">
        <v>2825</v>
      </c>
    </row>
    <row r="1801" spans="1:6">
      <c r="A1801" s="753"/>
      <c r="B1801" s="753"/>
      <c r="C1801" s="752" t="s">
        <v>49549</v>
      </c>
      <c r="D1801" s="753" t="s">
        <v>49114</v>
      </c>
      <c r="E1801" s="752" t="s">
        <v>42775</v>
      </c>
      <c r="F1801" s="751">
        <v>2955</v>
      </c>
    </row>
    <row r="1802" spans="1:6">
      <c r="A1802" s="753"/>
      <c r="B1802" s="753"/>
      <c r="C1802" s="752" t="s">
        <v>49548</v>
      </c>
      <c r="D1802" s="753" t="s">
        <v>49114</v>
      </c>
      <c r="E1802" s="752" t="s">
        <v>42734</v>
      </c>
      <c r="F1802" s="751">
        <v>2825</v>
      </c>
    </row>
    <row r="1803" spans="1:6">
      <c r="A1803" s="753"/>
      <c r="B1803" s="753"/>
      <c r="C1803" s="752" t="s">
        <v>49547</v>
      </c>
      <c r="D1803" s="753" t="s">
        <v>49546</v>
      </c>
      <c r="E1803" s="752" t="s">
        <v>42734</v>
      </c>
      <c r="F1803" s="751">
        <v>3585</v>
      </c>
    </row>
    <row r="1804" spans="1:6">
      <c r="A1804" s="753"/>
      <c r="B1804" s="753"/>
      <c r="C1804" s="752" t="s">
        <v>49545</v>
      </c>
      <c r="D1804" s="753" t="s">
        <v>49501</v>
      </c>
      <c r="E1804" s="752" t="s">
        <v>49544</v>
      </c>
      <c r="F1804" s="751">
        <v>2575</v>
      </c>
    </row>
    <row r="1805" spans="1:6">
      <c r="A1805" s="753"/>
      <c r="B1805" s="753"/>
      <c r="C1805" s="752" t="s">
        <v>49543</v>
      </c>
      <c r="D1805" s="753" t="s">
        <v>49114</v>
      </c>
      <c r="E1805" s="752" t="s">
        <v>38878</v>
      </c>
      <c r="F1805" s="751">
        <v>2525</v>
      </c>
    </row>
    <row r="1806" spans="1:6">
      <c r="A1806" s="753"/>
      <c r="B1806" s="753"/>
      <c r="C1806" s="752" t="s">
        <v>49542</v>
      </c>
      <c r="D1806" s="753" t="s">
        <v>49114</v>
      </c>
      <c r="E1806" s="752" t="s">
        <v>49205</v>
      </c>
      <c r="F1806" s="751">
        <v>2425</v>
      </c>
    </row>
    <row r="1807" spans="1:6">
      <c r="A1807" s="753"/>
      <c r="B1807" s="753"/>
      <c r="C1807" s="752" t="s">
        <v>49541</v>
      </c>
      <c r="D1807" s="753" t="s">
        <v>49114</v>
      </c>
      <c r="E1807" s="752" t="s">
        <v>49540</v>
      </c>
      <c r="F1807" s="751">
        <v>3585</v>
      </c>
    </row>
    <row r="1808" spans="1:6">
      <c r="A1808" s="753"/>
      <c r="B1808" s="753"/>
      <c r="C1808" s="752" t="s">
        <v>49539</v>
      </c>
      <c r="D1808" s="753" t="s">
        <v>49114</v>
      </c>
      <c r="E1808" s="752" t="s">
        <v>49538</v>
      </c>
      <c r="F1808" s="751">
        <v>4505</v>
      </c>
    </row>
    <row r="1809" spans="1:6">
      <c r="A1809" s="753"/>
      <c r="B1809" s="753"/>
      <c r="C1809" s="752" t="s">
        <v>49537</v>
      </c>
      <c r="D1809" s="753" t="s">
        <v>49114</v>
      </c>
      <c r="E1809" s="752" t="s">
        <v>49147</v>
      </c>
      <c r="F1809" s="751">
        <v>2575</v>
      </c>
    </row>
    <row r="1810" spans="1:6">
      <c r="A1810" s="753"/>
      <c r="B1810" s="753"/>
      <c r="C1810" s="752" t="s">
        <v>49536</v>
      </c>
      <c r="D1810" s="753" t="s">
        <v>49114</v>
      </c>
      <c r="E1810" s="752" t="s">
        <v>49205</v>
      </c>
      <c r="F1810" s="751">
        <v>2175</v>
      </c>
    </row>
    <row r="1811" spans="1:6">
      <c r="A1811" s="753"/>
      <c r="B1811" s="753"/>
      <c r="C1811" s="752" t="s">
        <v>49535</v>
      </c>
      <c r="D1811" s="753" t="s">
        <v>49114</v>
      </c>
      <c r="E1811" s="752" t="s">
        <v>49200</v>
      </c>
      <c r="F1811" s="751">
        <v>3335</v>
      </c>
    </row>
    <row r="1812" spans="1:6">
      <c r="A1812" s="753"/>
      <c r="B1812" s="753"/>
      <c r="C1812" s="752" t="s">
        <v>49534</v>
      </c>
      <c r="D1812" s="753" t="s">
        <v>49114</v>
      </c>
      <c r="E1812" s="752" t="s">
        <v>49326</v>
      </c>
      <c r="F1812" s="751">
        <v>3665</v>
      </c>
    </row>
    <row r="1813" spans="1:6">
      <c r="A1813" s="753"/>
      <c r="B1813" s="753"/>
      <c r="C1813" s="752" t="s">
        <v>49533</v>
      </c>
      <c r="D1813" s="753" t="s">
        <v>49114</v>
      </c>
      <c r="E1813" s="752" t="s">
        <v>49224</v>
      </c>
      <c r="F1813" s="751">
        <v>3585</v>
      </c>
    </row>
    <row r="1814" spans="1:6">
      <c r="A1814" s="753"/>
      <c r="B1814" s="753"/>
      <c r="C1814" s="752" t="s">
        <v>49532</v>
      </c>
      <c r="D1814" s="753" t="s">
        <v>49114</v>
      </c>
      <c r="E1814" s="752" t="s">
        <v>49531</v>
      </c>
      <c r="F1814" s="751">
        <v>3915</v>
      </c>
    </row>
    <row r="1815" spans="1:6">
      <c r="A1815" s="753"/>
      <c r="B1815" s="753"/>
      <c r="C1815" s="752" t="s">
        <v>49530</v>
      </c>
      <c r="D1815" s="753" t="s">
        <v>49114</v>
      </c>
      <c r="E1815" s="752" t="s">
        <v>49526</v>
      </c>
      <c r="F1815" s="751">
        <v>2825</v>
      </c>
    </row>
    <row r="1816" spans="1:6">
      <c r="A1816" s="753"/>
      <c r="B1816" s="753"/>
      <c r="C1816" s="752" t="s">
        <v>49529</v>
      </c>
      <c r="D1816" s="753" t="s">
        <v>49528</v>
      </c>
      <c r="E1816" s="752" t="s">
        <v>49526</v>
      </c>
      <c r="F1816" s="751">
        <v>2925</v>
      </c>
    </row>
    <row r="1817" spans="1:6">
      <c r="A1817" s="753"/>
      <c r="B1817" s="753"/>
      <c r="C1817" s="752" t="s">
        <v>49527</v>
      </c>
      <c r="D1817" s="753" t="s">
        <v>49522</v>
      </c>
      <c r="E1817" s="752" t="s">
        <v>49526</v>
      </c>
      <c r="F1817" s="751">
        <v>2825</v>
      </c>
    </row>
    <row r="1818" spans="1:6">
      <c r="A1818" s="753"/>
      <c r="B1818" s="753"/>
      <c r="C1818" s="752" t="s">
        <v>49525</v>
      </c>
      <c r="D1818" s="753" t="s">
        <v>49522</v>
      </c>
      <c r="E1818" s="752" t="s">
        <v>49524</v>
      </c>
      <c r="F1818" s="751">
        <v>3585</v>
      </c>
    </row>
    <row r="1819" spans="1:6">
      <c r="A1819" s="753"/>
      <c r="B1819" s="753"/>
      <c r="C1819" s="752" t="s">
        <v>49523</v>
      </c>
      <c r="D1819" s="753" t="s">
        <v>49522</v>
      </c>
      <c r="E1819" s="752" t="s">
        <v>49520</v>
      </c>
      <c r="F1819" s="751">
        <v>3475</v>
      </c>
    </row>
    <row r="1820" spans="1:6">
      <c r="A1820" s="753"/>
      <c r="B1820" s="753"/>
      <c r="C1820" s="752" t="s">
        <v>49521</v>
      </c>
      <c r="D1820" s="753" t="s">
        <v>49114</v>
      </c>
      <c r="E1820" s="752" t="s">
        <v>49520</v>
      </c>
      <c r="F1820" s="751">
        <v>3320</v>
      </c>
    </row>
    <row r="1821" spans="1:6">
      <c r="A1821" s="753"/>
      <c r="B1821" s="753"/>
      <c r="C1821" s="752" t="s">
        <v>49519</v>
      </c>
      <c r="D1821" s="753" t="s">
        <v>49114</v>
      </c>
      <c r="E1821" s="752" t="s">
        <v>38570</v>
      </c>
      <c r="F1821" s="751">
        <v>2825</v>
      </c>
    </row>
    <row r="1822" spans="1:6">
      <c r="A1822" s="753"/>
      <c r="B1822" s="753"/>
      <c r="C1822" s="752" t="s">
        <v>49518</v>
      </c>
      <c r="D1822" s="753" t="s">
        <v>49517</v>
      </c>
      <c r="E1822" s="752" t="s">
        <v>38570</v>
      </c>
      <c r="F1822" s="751">
        <v>2825</v>
      </c>
    </row>
    <row r="1823" spans="1:6">
      <c r="A1823" s="753"/>
      <c r="B1823" s="753"/>
      <c r="C1823" s="752" t="s">
        <v>49516</v>
      </c>
      <c r="D1823" s="753" t="s">
        <v>49114</v>
      </c>
      <c r="E1823" s="752" t="s">
        <v>39525</v>
      </c>
      <c r="F1823" s="751">
        <v>3585</v>
      </c>
    </row>
    <row r="1824" spans="1:6">
      <c r="A1824" s="753"/>
      <c r="B1824" s="753"/>
      <c r="C1824" s="752" t="s">
        <v>49515</v>
      </c>
      <c r="D1824" s="753" t="s">
        <v>49114</v>
      </c>
      <c r="E1824" s="752" t="s">
        <v>38584</v>
      </c>
      <c r="F1824" s="751">
        <v>2825</v>
      </c>
    </row>
    <row r="1825" spans="1:6">
      <c r="A1825" s="753"/>
      <c r="B1825" s="753"/>
      <c r="C1825" s="752" t="s">
        <v>49514</v>
      </c>
      <c r="D1825" s="753" t="s">
        <v>49114</v>
      </c>
      <c r="E1825" s="752" t="s">
        <v>42734</v>
      </c>
      <c r="F1825" s="751">
        <v>2825</v>
      </c>
    </row>
    <row r="1826" spans="1:6">
      <c r="A1826" s="753"/>
      <c r="B1826" s="753"/>
      <c r="C1826" s="752" t="s">
        <v>49513</v>
      </c>
      <c r="D1826" s="753" t="s">
        <v>49501</v>
      </c>
      <c r="E1826" s="752" t="s">
        <v>49512</v>
      </c>
      <c r="F1826" s="751">
        <v>2825</v>
      </c>
    </row>
    <row r="1827" spans="1:6">
      <c r="A1827" s="753"/>
      <c r="B1827" s="753"/>
      <c r="C1827" s="752" t="s">
        <v>49511</v>
      </c>
      <c r="D1827" s="753" t="s">
        <v>49501</v>
      </c>
      <c r="E1827" s="752" t="s">
        <v>49510</v>
      </c>
      <c r="F1827" s="751">
        <v>3375</v>
      </c>
    </row>
    <row r="1828" spans="1:6">
      <c r="A1828" s="753"/>
      <c r="B1828" s="753"/>
      <c r="C1828" s="752" t="s">
        <v>49509</v>
      </c>
      <c r="D1828" s="753" t="s">
        <v>49114</v>
      </c>
      <c r="E1828" s="752" t="s">
        <v>40211</v>
      </c>
      <c r="F1828" s="751">
        <v>3585</v>
      </c>
    </row>
    <row r="1829" spans="1:6">
      <c r="A1829" s="753"/>
      <c r="B1829" s="753"/>
      <c r="C1829" s="752" t="s">
        <v>49508</v>
      </c>
      <c r="D1829" s="753" t="s">
        <v>49114</v>
      </c>
      <c r="E1829" s="752" t="s">
        <v>49507</v>
      </c>
      <c r="F1829" s="751">
        <v>4675</v>
      </c>
    </row>
    <row r="1830" spans="1:6">
      <c r="A1830" s="753"/>
      <c r="B1830" s="753"/>
      <c r="C1830" s="752" t="s">
        <v>49506</v>
      </c>
      <c r="D1830" s="753" t="s">
        <v>49114</v>
      </c>
      <c r="E1830" s="752" t="s">
        <v>49139</v>
      </c>
      <c r="F1830" s="751">
        <v>2825</v>
      </c>
    </row>
    <row r="1831" spans="1:6">
      <c r="A1831" s="753"/>
      <c r="B1831" s="753"/>
      <c r="C1831" s="752" t="s">
        <v>49505</v>
      </c>
      <c r="D1831" s="753" t="s">
        <v>49114</v>
      </c>
      <c r="E1831" s="752" t="s">
        <v>49504</v>
      </c>
      <c r="F1831" s="751">
        <v>3495</v>
      </c>
    </row>
    <row r="1832" spans="1:6">
      <c r="A1832" s="753"/>
      <c r="B1832" s="753"/>
      <c r="C1832" s="752" t="s">
        <v>49503</v>
      </c>
      <c r="D1832" s="753" t="s">
        <v>49114</v>
      </c>
      <c r="E1832" s="752" t="s">
        <v>49137</v>
      </c>
      <c r="F1832" s="751">
        <v>2825</v>
      </c>
    </row>
    <row r="1833" spans="1:6">
      <c r="A1833" s="753"/>
      <c r="B1833" s="753"/>
      <c r="C1833" s="752" t="s">
        <v>49502</v>
      </c>
      <c r="D1833" s="753" t="s">
        <v>49501</v>
      </c>
      <c r="E1833" s="752" t="s">
        <v>49500</v>
      </c>
      <c r="F1833" s="751">
        <v>2425</v>
      </c>
    </row>
    <row r="1834" spans="1:6">
      <c r="A1834" s="753"/>
      <c r="B1834" s="753"/>
      <c r="C1834" s="752" t="s">
        <v>49499</v>
      </c>
      <c r="D1834" s="753" t="s">
        <v>49114</v>
      </c>
      <c r="E1834" s="752" t="s">
        <v>49498</v>
      </c>
      <c r="F1834" s="751">
        <v>3335</v>
      </c>
    </row>
    <row r="1835" spans="1:6">
      <c r="A1835" s="753"/>
      <c r="B1835" s="753"/>
      <c r="C1835" s="752" t="s">
        <v>49497</v>
      </c>
      <c r="D1835" s="753" t="s">
        <v>49114</v>
      </c>
      <c r="E1835" s="752" t="s">
        <v>49496</v>
      </c>
      <c r="F1835" s="751">
        <v>4675</v>
      </c>
    </row>
    <row r="1836" spans="1:6">
      <c r="A1836" s="753"/>
      <c r="B1836" s="753"/>
      <c r="C1836" s="752" t="s">
        <v>49495</v>
      </c>
      <c r="D1836" s="753" t="s">
        <v>49114</v>
      </c>
      <c r="E1836" s="752" t="s">
        <v>49326</v>
      </c>
      <c r="F1836" s="751">
        <v>3915</v>
      </c>
    </row>
    <row r="1837" spans="1:6">
      <c r="A1837" s="753"/>
      <c r="B1837" s="753"/>
      <c r="C1837" s="752" t="s">
        <v>49494</v>
      </c>
      <c r="D1837" s="753" t="s">
        <v>49114</v>
      </c>
      <c r="E1837" s="752" t="s">
        <v>49493</v>
      </c>
      <c r="F1837" s="751">
        <v>3585</v>
      </c>
    </row>
    <row r="1838" spans="1:6">
      <c r="A1838" s="753"/>
      <c r="B1838" s="753"/>
      <c r="C1838" s="752" t="s">
        <v>49492</v>
      </c>
      <c r="D1838" s="753" t="s">
        <v>49488</v>
      </c>
      <c r="E1838" s="752" t="s">
        <v>38584</v>
      </c>
      <c r="F1838" s="751">
        <v>3475</v>
      </c>
    </row>
    <row r="1839" spans="1:6">
      <c r="A1839" s="753"/>
      <c r="B1839" s="753"/>
      <c r="C1839" s="752" t="s">
        <v>49491</v>
      </c>
      <c r="D1839" s="753" t="s">
        <v>49488</v>
      </c>
      <c r="E1839" s="752" t="s">
        <v>49490</v>
      </c>
      <c r="F1839" s="751">
        <v>3225</v>
      </c>
    </row>
    <row r="1840" spans="1:6">
      <c r="A1840" s="753"/>
      <c r="B1840" s="753"/>
      <c r="C1840" s="752" t="s">
        <v>49489</v>
      </c>
      <c r="D1840" s="753" t="s">
        <v>49488</v>
      </c>
      <c r="E1840" s="752" t="s">
        <v>49487</v>
      </c>
      <c r="F1840" s="751">
        <v>3775</v>
      </c>
    </row>
    <row r="1841" spans="1:6">
      <c r="A1841" s="753"/>
      <c r="B1841" s="753"/>
      <c r="C1841" s="752" t="s">
        <v>49486</v>
      </c>
      <c r="D1841" s="753" t="s">
        <v>49114</v>
      </c>
      <c r="E1841" s="752" t="s">
        <v>49485</v>
      </c>
      <c r="F1841" s="751">
        <v>3915</v>
      </c>
    </row>
    <row r="1842" spans="1:6">
      <c r="A1842" s="753"/>
      <c r="B1842" s="753"/>
      <c r="C1842" s="752" t="s">
        <v>49484</v>
      </c>
      <c r="D1842" s="753" t="s">
        <v>49114</v>
      </c>
      <c r="E1842" s="752" t="s">
        <v>38962</v>
      </c>
      <c r="F1842" s="751">
        <v>2325</v>
      </c>
    </row>
    <row r="1843" spans="1:6">
      <c r="A1843" s="753"/>
      <c r="B1843" s="753"/>
      <c r="C1843" s="752" t="s">
        <v>49483</v>
      </c>
      <c r="D1843" s="753" t="s">
        <v>49114</v>
      </c>
      <c r="E1843" s="752" t="s">
        <v>293</v>
      </c>
      <c r="F1843" s="751">
        <v>2825</v>
      </c>
    </row>
    <row r="1844" spans="1:6">
      <c r="A1844" s="753"/>
      <c r="B1844" s="753"/>
      <c r="C1844" s="752" t="s">
        <v>49482</v>
      </c>
      <c r="D1844" s="753" t="s">
        <v>49114</v>
      </c>
      <c r="E1844" s="752" t="s">
        <v>293</v>
      </c>
      <c r="F1844" s="751">
        <v>2825</v>
      </c>
    </row>
    <row r="1845" spans="1:6">
      <c r="A1845" s="753"/>
      <c r="B1845" s="753"/>
      <c r="C1845" s="752" t="s">
        <v>49481</v>
      </c>
      <c r="D1845" s="753" t="s">
        <v>49125</v>
      </c>
      <c r="E1845" s="752" t="s">
        <v>293</v>
      </c>
      <c r="F1845" s="751">
        <v>3375</v>
      </c>
    </row>
    <row r="1846" spans="1:6">
      <c r="A1846" s="753"/>
      <c r="B1846" s="753"/>
      <c r="C1846" s="752" t="s">
        <v>49480</v>
      </c>
      <c r="D1846" s="753" t="s">
        <v>49125</v>
      </c>
      <c r="E1846" s="752" t="s">
        <v>42816</v>
      </c>
      <c r="F1846" s="751">
        <v>3375</v>
      </c>
    </row>
    <row r="1847" spans="1:6">
      <c r="A1847" s="753"/>
      <c r="B1847" s="753"/>
      <c r="C1847" s="752" t="s">
        <v>49479</v>
      </c>
      <c r="D1847" s="753" t="s">
        <v>49125</v>
      </c>
      <c r="E1847" s="752" t="s">
        <v>49252</v>
      </c>
      <c r="F1847" s="751">
        <v>4135</v>
      </c>
    </row>
    <row r="1848" spans="1:6">
      <c r="A1848" s="753"/>
      <c r="B1848" s="753"/>
      <c r="C1848" s="752" t="s">
        <v>49478</v>
      </c>
      <c r="D1848" s="753" t="s">
        <v>49125</v>
      </c>
      <c r="E1848" s="752" t="s">
        <v>49469</v>
      </c>
      <c r="F1848" s="751">
        <v>3375</v>
      </c>
    </row>
    <row r="1849" spans="1:6">
      <c r="A1849" s="753"/>
      <c r="B1849" s="753"/>
      <c r="C1849" s="752" t="s">
        <v>49477</v>
      </c>
      <c r="D1849" s="753" t="s">
        <v>49125</v>
      </c>
      <c r="E1849" s="752" t="s">
        <v>39996</v>
      </c>
      <c r="F1849" s="751">
        <v>3375</v>
      </c>
    </row>
    <row r="1850" spans="1:6">
      <c r="A1850" s="753"/>
      <c r="B1850" s="753"/>
      <c r="C1850" s="752" t="s">
        <v>49476</v>
      </c>
      <c r="D1850" s="753" t="s">
        <v>49125</v>
      </c>
      <c r="E1850" s="752" t="s">
        <v>49249</v>
      </c>
      <c r="F1850" s="751">
        <v>3375</v>
      </c>
    </row>
    <row r="1851" spans="1:6">
      <c r="A1851" s="753"/>
      <c r="B1851" s="753"/>
      <c r="C1851" s="752" t="s">
        <v>49475</v>
      </c>
      <c r="D1851" s="753" t="s">
        <v>49125</v>
      </c>
      <c r="E1851" s="752" t="s">
        <v>38577</v>
      </c>
      <c r="F1851" s="751">
        <v>4135</v>
      </c>
    </row>
    <row r="1852" spans="1:6">
      <c r="A1852" s="753"/>
      <c r="B1852" s="753"/>
      <c r="C1852" s="752" t="s">
        <v>49474</v>
      </c>
      <c r="D1852" s="753" t="s">
        <v>49125</v>
      </c>
      <c r="E1852" s="752" t="s">
        <v>42792</v>
      </c>
      <c r="F1852" s="751">
        <v>3375</v>
      </c>
    </row>
    <row r="1853" spans="1:6">
      <c r="A1853" s="753"/>
      <c r="B1853" s="753"/>
      <c r="C1853" s="752" t="s">
        <v>49473</v>
      </c>
      <c r="D1853" s="753" t="s">
        <v>49125</v>
      </c>
      <c r="E1853" s="752" t="s">
        <v>293</v>
      </c>
      <c r="F1853" s="751">
        <v>3375</v>
      </c>
    </row>
    <row r="1854" spans="1:6">
      <c r="A1854" s="753"/>
      <c r="B1854" s="753"/>
      <c r="C1854" s="752" t="s">
        <v>49472</v>
      </c>
      <c r="D1854" s="753" t="s">
        <v>49125</v>
      </c>
      <c r="E1854" s="752" t="s">
        <v>49296</v>
      </c>
      <c r="F1854" s="751">
        <v>3125</v>
      </c>
    </row>
    <row r="1855" spans="1:6">
      <c r="A1855" s="753"/>
      <c r="B1855" s="753"/>
      <c r="C1855" s="752" t="s">
        <v>49471</v>
      </c>
      <c r="D1855" s="753" t="s">
        <v>49125</v>
      </c>
      <c r="E1855" s="752" t="s">
        <v>38670</v>
      </c>
      <c r="F1855" s="751">
        <v>4135</v>
      </c>
    </row>
    <row r="1856" spans="1:6">
      <c r="A1856" s="753"/>
      <c r="B1856" s="753"/>
      <c r="C1856" s="752" t="s">
        <v>49470</v>
      </c>
      <c r="D1856" s="753" t="s">
        <v>49125</v>
      </c>
      <c r="E1856" s="752" t="s">
        <v>49469</v>
      </c>
      <c r="F1856" s="751">
        <v>3125</v>
      </c>
    </row>
    <row r="1857" spans="1:6">
      <c r="A1857" s="753"/>
      <c r="B1857" s="753"/>
      <c r="C1857" s="752" t="s">
        <v>49468</v>
      </c>
      <c r="D1857" s="753" t="s">
        <v>49125</v>
      </c>
      <c r="E1857" s="752" t="s">
        <v>39996</v>
      </c>
      <c r="F1857" s="751">
        <v>3125</v>
      </c>
    </row>
    <row r="1858" spans="1:6">
      <c r="A1858" s="753"/>
      <c r="B1858" s="753"/>
      <c r="C1858" s="752" t="s">
        <v>49467</v>
      </c>
      <c r="D1858" s="753" t="s">
        <v>49125</v>
      </c>
      <c r="E1858" s="752" t="s">
        <v>46881</v>
      </c>
      <c r="F1858" s="751">
        <v>3885</v>
      </c>
    </row>
    <row r="1859" spans="1:6">
      <c r="A1859" s="753"/>
      <c r="B1859" s="753"/>
      <c r="C1859" s="752" t="s">
        <v>49466</v>
      </c>
      <c r="D1859" s="753" t="s">
        <v>49125</v>
      </c>
      <c r="E1859" s="752" t="s">
        <v>38577</v>
      </c>
      <c r="F1859" s="751">
        <v>4135</v>
      </c>
    </row>
    <row r="1860" spans="1:6">
      <c r="A1860" s="753"/>
      <c r="B1860" s="753"/>
      <c r="C1860" s="752" t="s">
        <v>49465</v>
      </c>
      <c r="D1860" s="753" t="s">
        <v>49125</v>
      </c>
      <c r="E1860" s="752" t="s">
        <v>293</v>
      </c>
      <c r="F1860" s="751">
        <v>3375</v>
      </c>
    </row>
    <row r="1861" spans="1:6">
      <c r="A1861" s="753"/>
      <c r="B1861" s="753"/>
      <c r="C1861" s="752" t="s">
        <v>49464</v>
      </c>
      <c r="D1861" s="753" t="s">
        <v>49125</v>
      </c>
      <c r="E1861" s="752" t="s">
        <v>37794</v>
      </c>
      <c r="F1861" s="751">
        <v>4135</v>
      </c>
    </row>
    <row r="1862" spans="1:6">
      <c r="A1862" s="753"/>
      <c r="B1862" s="753"/>
      <c r="C1862" s="752" t="s">
        <v>49463</v>
      </c>
      <c r="D1862" s="753" t="s">
        <v>49125</v>
      </c>
      <c r="E1862" s="752" t="s">
        <v>39996</v>
      </c>
      <c r="F1862" s="751">
        <v>3125</v>
      </c>
    </row>
    <row r="1863" spans="1:6">
      <c r="A1863" s="753"/>
      <c r="B1863" s="753"/>
      <c r="C1863" s="752" t="s">
        <v>49462</v>
      </c>
      <c r="D1863" s="753" t="s">
        <v>49125</v>
      </c>
      <c r="E1863" s="752" t="s">
        <v>46324</v>
      </c>
      <c r="F1863" s="751">
        <v>4135</v>
      </c>
    </row>
    <row r="1864" spans="1:6">
      <c r="A1864" s="753"/>
      <c r="B1864" s="753"/>
      <c r="C1864" s="752" t="s">
        <v>49461</v>
      </c>
      <c r="D1864" s="753" t="s">
        <v>49125</v>
      </c>
      <c r="E1864" s="752" t="s">
        <v>46881</v>
      </c>
      <c r="F1864" s="751">
        <v>3885</v>
      </c>
    </row>
    <row r="1865" spans="1:6">
      <c r="A1865" s="753"/>
      <c r="B1865" s="753"/>
      <c r="C1865" s="752" t="s">
        <v>49460</v>
      </c>
      <c r="D1865" s="753" t="s">
        <v>49125</v>
      </c>
      <c r="E1865" s="752" t="s">
        <v>38577</v>
      </c>
      <c r="F1865" s="751">
        <v>4135</v>
      </c>
    </row>
    <row r="1866" spans="1:6">
      <c r="A1866" s="753"/>
      <c r="B1866" s="753"/>
      <c r="C1866" s="752" t="s">
        <v>49459</v>
      </c>
      <c r="D1866" s="753" t="s">
        <v>49125</v>
      </c>
      <c r="E1866" s="752" t="s">
        <v>39097</v>
      </c>
      <c r="F1866" s="751">
        <v>3375</v>
      </c>
    </row>
    <row r="1867" spans="1:6">
      <c r="A1867" s="753"/>
      <c r="B1867" s="753"/>
      <c r="C1867" s="752" t="s">
        <v>49458</v>
      </c>
      <c r="D1867" s="753" t="s">
        <v>49125</v>
      </c>
      <c r="E1867" s="752" t="s">
        <v>42775</v>
      </c>
      <c r="F1867" s="751">
        <v>3505</v>
      </c>
    </row>
    <row r="1868" spans="1:6">
      <c r="A1868" s="753"/>
      <c r="B1868" s="753"/>
      <c r="C1868" s="752" t="s">
        <v>49457</v>
      </c>
      <c r="D1868" s="753" t="s">
        <v>49456</v>
      </c>
      <c r="E1868" s="752" t="s">
        <v>49147</v>
      </c>
      <c r="F1868" s="751">
        <v>3125</v>
      </c>
    </row>
    <row r="1869" spans="1:6">
      <c r="A1869" s="753"/>
      <c r="B1869" s="753"/>
      <c r="C1869" s="752" t="s">
        <v>49455</v>
      </c>
      <c r="D1869" s="753" t="s">
        <v>49125</v>
      </c>
      <c r="E1869" s="752" t="s">
        <v>49454</v>
      </c>
      <c r="F1869" s="751">
        <v>4135</v>
      </c>
    </row>
    <row r="1870" spans="1:6">
      <c r="A1870" s="753"/>
      <c r="B1870" s="753"/>
      <c r="C1870" s="752" t="s">
        <v>49453</v>
      </c>
      <c r="D1870" s="753" t="s">
        <v>49125</v>
      </c>
      <c r="E1870" s="752" t="s">
        <v>49147</v>
      </c>
      <c r="F1870" s="751">
        <v>3125</v>
      </c>
    </row>
    <row r="1871" spans="1:6">
      <c r="A1871" s="753"/>
      <c r="B1871" s="753"/>
      <c r="C1871" s="752" t="s">
        <v>49452</v>
      </c>
      <c r="D1871" s="753" t="s">
        <v>49125</v>
      </c>
      <c r="E1871" s="752" t="s">
        <v>49451</v>
      </c>
      <c r="F1871" s="751">
        <v>3885</v>
      </c>
    </row>
    <row r="1872" spans="1:6">
      <c r="A1872" s="753"/>
      <c r="B1872" s="753"/>
      <c r="C1872" s="752" t="s">
        <v>49450</v>
      </c>
      <c r="D1872" s="753" t="s">
        <v>49125</v>
      </c>
      <c r="E1872" s="752" t="s">
        <v>49394</v>
      </c>
      <c r="F1872" s="751">
        <v>3885</v>
      </c>
    </row>
    <row r="1873" spans="1:6">
      <c r="A1873" s="753"/>
      <c r="B1873" s="753"/>
      <c r="C1873" s="752" t="s">
        <v>49449</v>
      </c>
      <c r="D1873" s="753" t="s">
        <v>49125</v>
      </c>
      <c r="E1873" s="752" t="s">
        <v>49448</v>
      </c>
      <c r="F1873" s="751">
        <v>4045</v>
      </c>
    </row>
    <row r="1874" spans="1:6">
      <c r="A1874" s="753"/>
      <c r="B1874" s="753"/>
      <c r="C1874" s="752" t="s">
        <v>49447</v>
      </c>
      <c r="D1874" s="753" t="s">
        <v>49125</v>
      </c>
      <c r="E1874" s="752" t="s">
        <v>49224</v>
      </c>
      <c r="F1874" s="751">
        <v>3885</v>
      </c>
    </row>
    <row r="1875" spans="1:6">
      <c r="A1875" s="753"/>
      <c r="B1875" s="753"/>
      <c r="C1875" s="752" t="s">
        <v>49446</v>
      </c>
      <c r="D1875" s="753" t="s">
        <v>49125</v>
      </c>
      <c r="E1875" s="752" t="s">
        <v>38584</v>
      </c>
      <c r="F1875" s="751">
        <v>3375</v>
      </c>
    </row>
    <row r="1876" spans="1:6">
      <c r="A1876" s="753"/>
      <c r="B1876" s="753"/>
      <c r="C1876" s="752" t="s">
        <v>49445</v>
      </c>
      <c r="D1876" s="753" t="s">
        <v>49125</v>
      </c>
      <c r="E1876" s="752" t="s">
        <v>48559</v>
      </c>
      <c r="F1876" s="751">
        <v>3675</v>
      </c>
    </row>
    <row r="1877" spans="1:6">
      <c r="A1877" s="753"/>
      <c r="B1877" s="753"/>
      <c r="C1877" s="752" t="s">
        <v>49444</v>
      </c>
      <c r="D1877" s="753" t="s">
        <v>49125</v>
      </c>
      <c r="E1877" s="752" t="s">
        <v>38570</v>
      </c>
      <c r="F1877" s="751">
        <v>3375</v>
      </c>
    </row>
    <row r="1878" spans="1:6">
      <c r="A1878" s="753"/>
      <c r="B1878" s="753"/>
      <c r="C1878" s="752" t="s">
        <v>49443</v>
      </c>
      <c r="D1878" s="753" t="s">
        <v>49125</v>
      </c>
      <c r="E1878" s="752" t="s">
        <v>39525</v>
      </c>
      <c r="F1878" s="751">
        <v>4135</v>
      </c>
    </row>
    <row r="1879" spans="1:6">
      <c r="A1879" s="753"/>
      <c r="B1879" s="753"/>
      <c r="C1879" s="752" t="s">
        <v>49442</v>
      </c>
      <c r="D1879" s="753" t="s">
        <v>49125</v>
      </c>
      <c r="E1879" s="752" t="s">
        <v>49441</v>
      </c>
      <c r="F1879" s="751">
        <v>4135</v>
      </c>
    </row>
    <row r="1880" spans="1:6">
      <c r="A1880" s="753"/>
      <c r="B1880" s="753"/>
      <c r="C1880" s="752" t="s">
        <v>49440</v>
      </c>
      <c r="D1880" s="753" t="s">
        <v>49125</v>
      </c>
      <c r="E1880" s="752" t="s">
        <v>38584</v>
      </c>
      <c r="F1880" s="751">
        <v>3375</v>
      </c>
    </row>
    <row r="1881" spans="1:6">
      <c r="A1881" s="753"/>
      <c r="B1881" s="753"/>
      <c r="C1881" s="752" t="s">
        <v>49439</v>
      </c>
      <c r="D1881" s="753" t="s">
        <v>49125</v>
      </c>
      <c r="E1881" s="752" t="s">
        <v>49438</v>
      </c>
      <c r="F1881" s="751">
        <v>4040</v>
      </c>
    </row>
    <row r="1882" spans="1:6">
      <c r="A1882" s="753"/>
      <c r="B1882" s="753"/>
      <c r="C1882" s="752" t="s">
        <v>49437</v>
      </c>
      <c r="D1882" s="753" t="s">
        <v>49125</v>
      </c>
      <c r="E1882" s="752" t="s">
        <v>49219</v>
      </c>
      <c r="F1882" s="751">
        <v>4135</v>
      </c>
    </row>
    <row r="1883" spans="1:6">
      <c r="A1883" s="753"/>
      <c r="B1883" s="753"/>
      <c r="C1883" s="752" t="s">
        <v>49436</v>
      </c>
      <c r="D1883" s="753" t="s">
        <v>49125</v>
      </c>
      <c r="E1883" s="752" t="s">
        <v>49435</v>
      </c>
      <c r="F1883" s="751">
        <v>3125</v>
      </c>
    </row>
    <row r="1884" spans="1:6">
      <c r="A1884" s="753"/>
      <c r="B1884" s="753"/>
      <c r="C1884" s="752" t="s">
        <v>49434</v>
      </c>
      <c r="D1884" s="753" t="s">
        <v>49125</v>
      </c>
      <c r="E1884" s="752" t="s">
        <v>49433</v>
      </c>
      <c r="F1884" s="751">
        <v>3885</v>
      </c>
    </row>
    <row r="1885" spans="1:6">
      <c r="A1885" s="753"/>
      <c r="B1885" s="753"/>
      <c r="C1885" s="752" t="s">
        <v>49432</v>
      </c>
      <c r="D1885" s="753" t="s">
        <v>49125</v>
      </c>
      <c r="E1885" s="752" t="s">
        <v>49137</v>
      </c>
      <c r="F1885" s="751">
        <v>3375</v>
      </c>
    </row>
    <row r="1886" spans="1:6">
      <c r="A1886" s="753"/>
      <c r="B1886" s="753"/>
      <c r="C1886" s="752" t="s">
        <v>49431</v>
      </c>
      <c r="D1886" s="753" t="s">
        <v>49430</v>
      </c>
      <c r="E1886" s="752" t="s">
        <v>49137</v>
      </c>
      <c r="F1886" s="751">
        <v>4135</v>
      </c>
    </row>
    <row r="1887" spans="1:6">
      <c r="A1887" s="753"/>
      <c r="B1887" s="753"/>
      <c r="C1887" s="752" t="s">
        <v>49429</v>
      </c>
      <c r="D1887" s="753" t="s">
        <v>49125</v>
      </c>
      <c r="E1887" s="752" t="s">
        <v>49428</v>
      </c>
      <c r="F1887" s="751">
        <v>4135</v>
      </c>
    </row>
    <row r="1888" spans="1:6">
      <c r="A1888" s="753"/>
      <c r="B1888" s="753"/>
      <c r="C1888" s="752" t="s">
        <v>49427</v>
      </c>
      <c r="D1888" s="753" t="s">
        <v>49125</v>
      </c>
      <c r="E1888" s="752" t="s">
        <v>49426</v>
      </c>
      <c r="F1888" s="751">
        <v>4135</v>
      </c>
    </row>
    <row r="1889" spans="1:6">
      <c r="A1889" s="753"/>
      <c r="B1889" s="753"/>
      <c r="C1889" s="752" t="s">
        <v>49425</v>
      </c>
      <c r="D1889" s="753" t="s">
        <v>49125</v>
      </c>
      <c r="E1889" s="752" t="s">
        <v>49424</v>
      </c>
      <c r="F1889" s="751">
        <v>4465</v>
      </c>
    </row>
    <row r="1890" spans="1:6">
      <c r="A1890" s="753"/>
      <c r="B1890" s="753"/>
      <c r="C1890" s="752" t="s">
        <v>49423</v>
      </c>
      <c r="D1890" s="753" t="s">
        <v>49125</v>
      </c>
      <c r="E1890" s="752" t="s">
        <v>293</v>
      </c>
      <c r="F1890" s="751">
        <v>3375</v>
      </c>
    </row>
    <row r="1891" spans="1:6">
      <c r="A1891" s="753"/>
      <c r="B1891" s="753"/>
      <c r="C1891" s="752" t="s">
        <v>49422</v>
      </c>
      <c r="D1891" s="753" t="s">
        <v>49125</v>
      </c>
      <c r="E1891" s="752" t="s">
        <v>39996</v>
      </c>
      <c r="F1891" s="751">
        <v>3375</v>
      </c>
    </row>
    <row r="1892" spans="1:6">
      <c r="A1892" s="753"/>
      <c r="B1892" s="753"/>
      <c r="C1892" s="752" t="s">
        <v>49421</v>
      </c>
      <c r="D1892" s="753" t="s">
        <v>49125</v>
      </c>
      <c r="E1892" s="752" t="s">
        <v>293</v>
      </c>
      <c r="F1892" s="751">
        <v>3375</v>
      </c>
    </row>
    <row r="1893" spans="1:6">
      <c r="A1893" s="753"/>
      <c r="B1893" s="753"/>
      <c r="C1893" s="752" t="s">
        <v>49420</v>
      </c>
      <c r="D1893" s="753" t="s">
        <v>49125</v>
      </c>
      <c r="E1893" s="752" t="s">
        <v>39011</v>
      </c>
      <c r="F1893" s="751">
        <v>4135</v>
      </c>
    </row>
    <row r="1894" spans="1:6">
      <c r="A1894" s="753"/>
      <c r="B1894" s="753"/>
      <c r="C1894" s="752" t="s">
        <v>49419</v>
      </c>
      <c r="D1894" s="753" t="s">
        <v>49371</v>
      </c>
      <c r="E1894" s="752" t="s">
        <v>293</v>
      </c>
      <c r="F1894" s="751">
        <v>3375</v>
      </c>
    </row>
    <row r="1895" spans="1:6">
      <c r="A1895" s="753"/>
      <c r="B1895" s="753"/>
      <c r="C1895" s="752" t="s">
        <v>49418</v>
      </c>
      <c r="D1895" s="753" t="s">
        <v>49371</v>
      </c>
      <c r="E1895" s="752" t="s">
        <v>42816</v>
      </c>
      <c r="F1895" s="751">
        <v>3375</v>
      </c>
    </row>
    <row r="1896" spans="1:6">
      <c r="A1896" s="753"/>
      <c r="B1896" s="753"/>
      <c r="C1896" s="752" t="s">
        <v>49417</v>
      </c>
      <c r="D1896" s="753" t="s">
        <v>49371</v>
      </c>
      <c r="E1896" s="752" t="s">
        <v>49252</v>
      </c>
      <c r="F1896" s="751">
        <v>4135</v>
      </c>
    </row>
    <row r="1897" spans="1:6">
      <c r="A1897" s="753"/>
      <c r="B1897" s="753"/>
      <c r="C1897" s="752" t="s">
        <v>49416</v>
      </c>
      <c r="D1897" s="753" t="s">
        <v>49371</v>
      </c>
      <c r="E1897" s="752" t="s">
        <v>39996</v>
      </c>
      <c r="F1897" s="751">
        <v>3375</v>
      </c>
    </row>
    <row r="1898" spans="1:6">
      <c r="A1898" s="753"/>
      <c r="B1898" s="753"/>
      <c r="C1898" s="752" t="s">
        <v>49415</v>
      </c>
      <c r="D1898" s="753" t="s">
        <v>49371</v>
      </c>
      <c r="E1898" s="752" t="s">
        <v>49249</v>
      </c>
      <c r="F1898" s="751">
        <v>3375</v>
      </c>
    </row>
    <row r="1899" spans="1:6">
      <c r="A1899" s="753"/>
      <c r="B1899" s="753"/>
      <c r="C1899" s="752" t="s">
        <v>49414</v>
      </c>
      <c r="D1899" s="753" t="s">
        <v>49371</v>
      </c>
      <c r="E1899" s="752" t="s">
        <v>38577</v>
      </c>
      <c r="F1899" s="751">
        <v>4135</v>
      </c>
    </row>
    <row r="1900" spans="1:6">
      <c r="A1900" s="753"/>
      <c r="B1900" s="753"/>
      <c r="C1900" s="752" t="s">
        <v>49413</v>
      </c>
      <c r="D1900" s="753" t="s">
        <v>49371</v>
      </c>
      <c r="E1900" s="752" t="s">
        <v>49412</v>
      </c>
      <c r="F1900" s="751">
        <v>3375</v>
      </c>
    </row>
    <row r="1901" spans="1:6">
      <c r="A1901" s="753"/>
      <c r="B1901" s="753"/>
      <c r="C1901" s="752" t="s">
        <v>49411</v>
      </c>
      <c r="D1901" s="753" t="s">
        <v>49371</v>
      </c>
      <c r="E1901" s="752" t="s">
        <v>293</v>
      </c>
      <c r="F1901" s="751">
        <v>3375</v>
      </c>
    </row>
    <row r="1902" spans="1:6">
      <c r="A1902" s="753"/>
      <c r="B1902" s="753"/>
      <c r="C1902" s="752" t="s">
        <v>49410</v>
      </c>
      <c r="D1902" s="753" t="s">
        <v>49371</v>
      </c>
      <c r="E1902" s="752" t="s">
        <v>41652</v>
      </c>
      <c r="F1902" s="751">
        <v>3125</v>
      </c>
    </row>
    <row r="1903" spans="1:6">
      <c r="A1903" s="753"/>
      <c r="B1903" s="753"/>
      <c r="C1903" s="752" t="s">
        <v>49409</v>
      </c>
      <c r="D1903" s="753" t="s">
        <v>49371</v>
      </c>
      <c r="E1903" s="752" t="s">
        <v>38577</v>
      </c>
      <c r="F1903" s="751">
        <v>3885</v>
      </c>
    </row>
    <row r="1904" spans="1:6">
      <c r="A1904" s="753"/>
      <c r="B1904" s="753"/>
      <c r="C1904" s="752" t="s">
        <v>49408</v>
      </c>
      <c r="D1904" s="753" t="s">
        <v>49371</v>
      </c>
      <c r="E1904" s="752" t="s">
        <v>293</v>
      </c>
      <c r="F1904" s="751">
        <v>3375</v>
      </c>
    </row>
    <row r="1905" spans="1:6">
      <c r="A1905" s="753"/>
      <c r="B1905" s="753"/>
      <c r="C1905" s="752" t="s">
        <v>49407</v>
      </c>
      <c r="D1905" s="753" t="s">
        <v>49371</v>
      </c>
      <c r="E1905" s="752" t="s">
        <v>46682</v>
      </c>
      <c r="F1905" s="751">
        <v>3885</v>
      </c>
    </row>
    <row r="1906" spans="1:6">
      <c r="A1906" s="753"/>
      <c r="B1906" s="753"/>
      <c r="C1906" s="752" t="s">
        <v>49406</v>
      </c>
      <c r="D1906" s="753" t="s">
        <v>49371</v>
      </c>
      <c r="E1906" s="752" t="s">
        <v>41652</v>
      </c>
      <c r="F1906" s="751">
        <v>3125</v>
      </c>
    </row>
    <row r="1907" spans="1:6">
      <c r="A1907" s="753"/>
      <c r="B1907" s="753"/>
      <c r="C1907" s="752" t="s">
        <v>49405</v>
      </c>
      <c r="D1907" s="753" t="s">
        <v>49404</v>
      </c>
      <c r="E1907" s="752" t="s">
        <v>46324</v>
      </c>
      <c r="F1907" s="751">
        <v>4135</v>
      </c>
    </row>
    <row r="1908" spans="1:6">
      <c r="A1908" s="753"/>
      <c r="B1908" s="753"/>
      <c r="C1908" s="752" t="s">
        <v>49403</v>
      </c>
      <c r="D1908" s="753" t="s">
        <v>49371</v>
      </c>
      <c r="E1908" s="752" t="s">
        <v>46881</v>
      </c>
      <c r="F1908" s="751">
        <v>3885</v>
      </c>
    </row>
    <row r="1909" spans="1:6">
      <c r="A1909" s="753"/>
      <c r="B1909" s="753"/>
      <c r="C1909" s="752" t="s">
        <v>49402</v>
      </c>
      <c r="D1909" s="753" t="s">
        <v>49371</v>
      </c>
      <c r="E1909" s="752" t="s">
        <v>38919</v>
      </c>
      <c r="F1909" s="751">
        <v>4135</v>
      </c>
    </row>
    <row r="1910" spans="1:6">
      <c r="A1910" s="753"/>
      <c r="B1910" s="753"/>
      <c r="C1910" s="752" t="s">
        <v>49401</v>
      </c>
      <c r="D1910" s="753" t="s">
        <v>49371</v>
      </c>
      <c r="E1910" s="752" t="s">
        <v>39097</v>
      </c>
      <c r="F1910" s="751">
        <v>3375</v>
      </c>
    </row>
    <row r="1911" spans="1:6">
      <c r="A1911" s="753"/>
      <c r="B1911" s="753"/>
      <c r="C1911" s="752" t="s">
        <v>49400</v>
      </c>
      <c r="D1911" s="753" t="s">
        <v>49371</v>
      </c>
      <c r="E1911" s="752" t="s">
        <v>42775</v>
      </c>
      <c r="F1911" s="751">
        <v>3505</v>
      </c>
    </row>
    <row r="1912" spans="1:6">
      <c r="A1912" s="753"/>
      <c r="B1912" s="753"/>
      <c r="C1912" s="752" t="s">
        <v>49399</v>
      </c>
      <c r="D1912" s="753" t="s">
        <v>49371</v>
      </c>
      <c r="E1912" s="752" t="s">
        <v>37794</v>
      </c>
      <c r="F1912" s="751">
        <v>4135</v>
      </c>
    </row>
    <row r="1913" spans="1:6">
      <c r="A1913" s="753"/>
      <c r="B1913" s="753"/>
      <c r="C1913" s="752" t="s">
        <v>49398</v>
      </c>
      <c r="D1913" s="753" t="s">
        <v>49371</v>
      </c>
      <c r="E1913" s="752" t="s">
        <v>49147</v>
      </c>
      <c r="F1913" s="751">
        <v>3125</v>
      </c>
    </row>
    <row r="1914" spans="1:6">
      <c r="A1914" s="753"/>
      <c r="B1914" s="753"/>
      <c r="C1914" s="752" t="s">
        <v>49397</v>
      </c>
      <c r="D1914" s="753" t="s">
        <v>49371</v>
      </c>
      <c r="E1914" s="752" t="s">
        <v>49396</v>
      </c>
      <c r="F1914" s="751">
        <v>3885</v>
      </c>
    </row>
    <row r="1915" spans="1:6">
      <c r="A1915" s="753"/>
      <c r="B1915" s="753"/>
      <c r="C1915" s="752" t="s">
        <v>49395</v>
      </c>
      <c r="D1915" s="753" t="s">
        <v>49389</v>
      </c>
      <c r="E1915" s="752" t="s">
        <v>49394</v>
      </c>
      <c r="F1915" s="751">
        <v>3885</v>
      </c>
    </row>
    <row r="1916" spans="1:6">
      <c r="A1916" s="753"/>
      <c r="B1916" s="753"/>
      <c r="C1916" s="752" t="s">
        <v>49393</v>
      </c>
      <c r="D1916" s="753" t="s">
        <v>49371</v>
      </c>
      <c r="E1916" s="752" t="s">
        <v>49392</v>
      </c>
      <c r="F1916" s="751">
        <v>4215</v>
      </c>
    </row>
    <row r="1917" spans="1:6">
      <c r="A1917" s="753"/>
      <c r="B1917" s="753"/>
      <c r="C1917" s="752" t="s">
        <v>49391</v>
      </c>
      <c r="D1917" s="753" t="s">
        <v>49371</v>
      </c>
      <c r="E1917" s="752" t="s">
        <v>49224</v>
      </c>
      <c r="F1917" s="751">
        <v>4135</v>
      </c>
    </row>
    <row r="1918" spans="1:6">
      <c r="A1918" s="753"/>
      <c r="B1918" s="753"/>
      <c r="C1918" s="752" t="s">
        <v>49390</v>
      </c>
      <c r="D1918" s="753" t="s">
        <v>49389</v>
      </c>
      <c r="E1918" s="752" t="s">
        <v>38570</v>
      </c>
      <c r="F1918" s="751">
        <v>3375</v>
      </c>
    </row>
    <row r="1919" spans="1:6">
      <c r="A1919" s="753"/>
      <c r="B1919" s="753"/>
      <c r="C1919" s="752" t="s">
        <v>49388</v>
      </c>
      <c r="D1919" s="753" t="s">
        <v>49375</v>
      </c>
      <c r="E1919" s="752" t="s">
        <v>38584</v>
      </c>
      <c r="F1919" s="751">
        <v>3375</v>
      </c>
    </row>
    <row r="1920" spans="1:6">
      <c r="A1920" s="753"/>
      <c r="B1920" s="753"/>
      <c r="C1920" s="752" t="s">
        <v>49387</v>
      </c>
      <c r="D1920" s="753" t="s">
        <v>49375</v>
      </c>
      <c r="E1920" s="752" t="s">
        <v>49219</v>
      </c>
      <c r="F1920" s="751">
        <v>4135</v>
      </c>
    </row>
    <row r="1921" spans="1:6">
      <c r="A1921" s="753"/>
      <c r="B1921" s="753"/>
      <c r="C1921" s="752" t="s">
        <v>49386</v>
      </c>
      <c r="D1921" s="753" t="s">
        <v>49375</v>
      </c>
      <c r="E1921" s="752" t="s">
        <v>49385</v>
      </c>
      <c r="F1921" s="751">
        <v>4895</v>
      </c>
    </row>
    <row r="1922" spans="1:6">
      <c r="A1922" s="753"/>
      <c r="B1922" s="753"/>
      <c r="C1922" s="752" t="s">
        <v>49384</v>
      </c>
      <c r="D1922" s="753" t="s">
        <v>49375</v>
      </c>
      <c r="E1922" s="752" t="s">
        <v>49139</v>
      </c>
      <c r="F1922" s="751">
        <v>3125</v>
      </c>
    </row>
    <row r="1923" spans="1:6">
      <c r="A1923" s="753"/>
      <c r="B1923" s="753"/>
      <c r="C1923" s="752" t="s">
        <v>49383</v>
      </c>
      <c r="D1923" s="753" t="s">
        <v>49375</v>
      </c>
      <c r="E1923" s="752" t="s">
        <v>49137</v>
      </c>
      <c r="F1923" s="751">
        <v>3375</v>
      </c>
    </row>
    <row r="1924" spans="1:6">
      <c r="A1924" s="753"/>
      <c r="B1924" s="753"/>
      <c r="C1924" s="752" t="s">
        <v>49382</v>
      </c>
      <c r="D1924" s="753" t="s">
        <v>49381</v>
      </c>
      <c r="E1924" s="752" t="s">
        <v>49380</v>
      </c>
      <c r="F1924" s="751">
        <v>3240</v>
      </c>
    </row>
    <row r="1925" spans="1:6">
      <c r="A1925" s="753"/>
      <c r="B1925" s="753"/>
      <c r="C1925" s="752" t="s">
        <v>49379</v>
      </c>
      <c r="D1925" s="753" t="s">
        <v>49375</v>
      </c>
      <c r="E1925" s="752" t="s">
        <v>49135</v>
      </c>
      <c r="F1925" s="751">
        <v>4135</v>
      </c>
    </row>
    <row r="1926" spans="1:6">
      <c r="A1926" s="753"/>
      <c r="B1926" s="753"/>
      <c r="C1926" s="752" t="s">
        <v>49378</v>
      </c>
      <c r="D1926" s="753" t="s">
        <v>49375</v>
      </c>
      <c r="E1926" s="752" t="s">
        <v>49377</v>
      </c>
      <c r="F1926" s="751">
        <v>4515</v>
      </c>
    </row>
    <row r="1927" spans="1:6">
      <c r="A1927" s="753"/>
      <c r="B1927" s="753"/>
      <c r="C1927" s="752" t="s">
        <v>49376</v>
      </c>
      <c r="D1927" s="753" t="s">
        <v>49375</v>
      </c>
      <c r="E1927" s="752" t="s">
        <v>49124</v>
      </c>
      <c r="F1927" s="751">
        <v>4375</v>
      </c>
    </row>
    <row r="1928" spans="1:6">
      <c r="A1928" s="753"/>
      <c r="B1928" s="753"/>
      <c r="C1928" s="752" t="s">
        <v>49374</v>
      </c>
      <c r="D1928" s="753" t="s">
        <v>49371</v>
      </c>
      <c r="E1928" s="752" t="s">
        <v>293</v>
      </c>
      <c r="F1928" s="751">
        <v>3375</v>
      </c>
    </row>
    <row r="1929" spans="1:6">
      <c r="A1929" s="753"/>
      <c r="B1929" s="753"/>
      <c r="C1929" s="752" t="s">
        <v>49373</v>
      </c>
      <c r="D1929" s="753" t="s">
        <v>49371</v>
      </c>
      <c r="E1929" s="752" t="s">
        <v>49256</v>
      </c>
      <c r="F1929" s="751">
        <v>3125</v>
      </c>
    </row>
    <row r="1930" spans="1:6">
      <c r="A1930" s="753"/>
      <c r="B1930" s="753"/>
      <c r="C1930" s="752" t="s">
        <v>49372</v>
      </c>
      <c r="D1930" s="753" t="s">
        <v>49371</v>
      </c>
      <c r="E1930" s="752" t="s">
        <v>293</v>
      </c>
      <c r="F1930" s="751">
        <v>3375</v>
      </c>
    </row>
    <row r="1931" spans="1:6">
      <c r="A1931" s="753"/>
      <c r="B1931" s="753"/>
      <c r="C1931" s="752" t="s">
        <v>49370</v>
      </c>
      <c r="D1931" s="753" t="s">
        <v>49369</v>
      </c>
      <c r="E1931" s="752" t="s">
        <v>293</v>
      </c>
      <c r="F1931" s="751">
        <v>2825</v>
      </c>
    </row>
    <row r="1932" spans="1:6">
      <c r="A1932" s="753"/>
      <c r="B1932" s="753"/>
      <c r="C1932" s="752" t="s">
        <v>49368</v>
      </c>
      <c r="D1932" s="753" t="s">
        <v>49304</v>
      </c>
      <c r="E1932" s="752" t="s">
        <v>293</v>
      </c>
      <c r="F1932" s="751">
        <v>2625</v>
      </c>
    </row>
    <row r="1933" spans="1:6">
      <c r="A1933" s="753"/>
      <c r="B1933" s="753"/>
      <c r="C1933" s="752" t="s">
        <v>49367</v>
      </c>
      <c r="D1933" s="753" t="s">
        <v>49304</v>
      </c>
      <c r="E1933" s="752" t="s">
        <v>42816</v>
      </c>
      <c r="F1933" s="751">
        <v>2625</v>
      </c>
    </row>
    <row r="1934" spans="1:6">
      <c r="A1934" s="753"/>
      <c r="B1934" s="753"/>
      <c r="C1934" s="752" t="s">
        <v>49366</v>
      </c>
      <c r="D1934" s="753" t="s">
        <v>49304</v>
      </c>
      <c r="E1934" s="752" t="s">
        <v>49252</v>
      </c>
      <c r="F1934" s="751">
        <v>3385</v>
      </c>
    </row>
    <row r="1935" spans="1:6">
      <c r="A1935" s="753"/>
      <c r="B1935" s="753"/>
      <c r="C1935" s="752" t="s">
        <v>49365</v>
      </c>
      <c r="D1935" s="753" t="s">
        <v>49304</v>
      </c>
      <c r="E1935" s="752" t="s">
        <v>39996</v>
      </c>
      <c r="F1935" s="751">
        <v>2625</v>
      </c>
    </row>
    <row r="1936" spans="1:6">
      <c r="A1936" s="753"/>
      <c r="B1936" s="753"/>
      <c r="C1936" s="752" t="s">
        <v>49364</v>
      </c>
      <c r="D1936" s="753" t="s">
        <v>49304</v>
      </c>
      <c r="E1936" s="752" t="s">
        <v>49249</v>
      </c>
      <c r="F1936" s="751">
        <v>2625</v>
      </c>
    </row>
    <row r="1937" spans="1:6">
      <c r="A1937" s="753"/>
      <c r="B1937" s="753"/>
      <c r="C1937" s="752" t="s">
        <v>49363</v>
      </c>
      <c r="D1937" s="753" t="s">
        <v>49304</v>
      </c>
      <c r="E1937" s="752" t="s">
        <v>38577</v>
      </c>
      <c r="F1937" s="751">
        <v>3385</v>
      </c>
    </row>
    <row r="1938" spans="1:6">
      <c r="A1938" s="753"/>
      <c r="B1938" s="753"/>
      <c r="C1938" s="752" t="s">
        <v>49362</v>
      </c>
      <c r="D1938" s="753" t="s">
        <v>49304</v>
      </c>
      <c r="E1938" s="752" t="s">
        <v>42756</v>
      </c>
      <c r="F1938" s="751">
        <v>2625</v>
      </c>
    </row>
    <row r="1939" spans="1:6">
      <c r="A1939" s="753"/>
      <c r="B1939" s="753"/>
      <c r="C1939" s="752" t="s">
        <v>49361</v>
      </c>
      <c r="D1939" s="753" t="s">
        <v>49304</v>
      </c>
      <c r="E1939" s="752" t="s">
        <v>293</v>
      </c>
      <c r="F1939" s="751">
        <v>2625</v>
      </c>
    </row>
    <row r="1940" spans="1:6">
      <c r="A1940" s="753"/>
      <c r="B1940" s="753"/>
      <c r="C1940" s="752" t="s">
        <v>49360</v>
      </c>
      <c r="D1940" s="753" t="s">
        <v>49304</v>
      </c>
      <c r="E1940" s="752" t="s">
        <v>49296</v>
      </c>
      <c r="F1940" s="751">
        <v>2625</v>
      </c>
    </row>
    <row r="1941" spans="1:6">
      <c r="A1941" s="753"/>
      <c r="B1941" s="753"/>
      <c r="C1941" s="752" t="s">
        <v>49359</v>
      </c>
      <c r="D1941" s="753" t="s">
        <v>49304</v>
      </c>
      <c r="E1941" s="752" t="s">
        <v>49358</v>
      </c>
      <c r="F1941" s="751">
        <v>2625</v>
      </c>
    </row>
    <row r="1942" spans="1:6">
      <c r="A1942" s="753"/>
      <c r="B1942" s="753"/>
      <c r="C1942" s="752" t="s">
        <v>49357</v>
      </c>
      <c r="D1942" s="753" t="s">
        <v>49304</v>
      </c>
      <c r="E1942" s="752" t="s">
        <v>39996</v>
      </c>
      <c r="F1942" s="751">
        <v>2625</v>
      </c>
    </row>
    <row r="1943" spans="1:6">
      <c r="A1943" s="753"/>
      <c r="B1943" s="753"/>
      <c r="C1943" s="752" t="s">
        <v>49356</v>
      </c>
      <c r="D1943" s="753" t="s">
        <v>49304</v>
      </c>
      <c r="E1943" s="752" t="s">
        <v>49355</v>
      </c>
      <c r="F1943" s="751">
        <v>2625</v>
      </c>
    </row>
    <row r="1944" spans="1:6">
      <c r="A1944" s="753"/>
      <c r="B1944" s="753"/>
      <c r="C1944" s="752" t="s">
        <v>49354</v>
      </c>
      <c r="D1944" s="753" t="s">
        <v>49304</v>
      </c>
      <c r="E1944" s="752" t="s">
        <v>39011</v>
      </c>
      <c r="F1944" s="751">
        <v>3385</v>
      </c>
    </row>
    <row r="1945" spans="1:6">
      <c r="A1945" s="753"/>
      <c r="B1945" s="753"/>
      <c r="C1945" s="752" t="s">
        <v>49353</v>
      </c>
      <c r="D1945" s="753" t="s">
        <v>49304</v>
      </c>
      <c r="E1945" s="752" t="s">
        <v>293</v>
      </c>
      <c r="F1945" s="751">
        <v>2625</v>
      </c>
    </row>
    <row r="1946" spans="1:6">
      <c r="A1946" s="753"/>
      <c r="B1946" s="753"/>
      <c r="C1946" s="752" t="s">
        <v>49352</v>
      </c>
      <c r="D1946" s="753" t="s">
        <v>49304</v>
      </c>
      <c r="E1946" s="752" t="s">
        <v>46682</v>
      </c>
      <c r="F1946" s="751">
        <v>3385</v>
      </c>
    </row>
    <row r="1947" spans="1:6">
      <c r="A1947" s="753"/>
      <c r="B1947" s="753"/>
      <c r="C1947" s="752" t="s">
        <v>49351</v>
      </c>
      <c r="D1947" s="753" t="s">
        <v>49304</v>
      </c>
      <c r="E1947" s="752" t="s">
        <v>39996</v>
      </c>
      <c r="F1947" s="751">
        <v>2625</v>
      </c>
    </row>
    <row r="1948" spans="1:6">
      <c r="A1948" s="753"/>
      <c r="B1948" s="753"/>
      <c r="C1948" s="752" t="s">
        <v>49350</v>
      </c>
      <c r="D1948" s="753" t="s">
        <v>49304</v>
      </c>
      <c r="E1948" s="752" t="s">
        <v>49328</v>
      </c>
      <c r="F1948" s="751">
        <v>3385</v>
      </c>
    </row>
    <row r="1949" spans="1:6">
      <c r="A1949" s="753"/>
      <c r="B1949" s="753"/>
      <c r="C1949" s="752" t="s">
        <v>49349</v>
      </c>
      <c r="D1949" s="753" t="s">
        <v>49304</v>
      </c>
      <c r="E1949" s="752" t="s">
        <v>39011</v>
      </c>
      <c r="F1949" s="751">
        <v>3385</v>
      </c>
    </row>
    <row r="1950" spans="1:6">
      <c r="A1950" s="753"/>
      <c r="B1950" s="753"/>
      <c r="C1950" s="752" t="s">
        <v>49348</v>
      </c>
      <c r="D1950" s="753" t="s">
        <v>49304</v>
      </c>
      <c r="E1950" s="752" t="s">
        <v>39097</v>
      </c>
      <c r="F1950" s="751">
        <v>2625</v>
      </c>
    </row>
    <row r="1951" spans="1:6">
      <c r="A1951" s="753"/>
      <c r="B1951" s="753"/>
      <c r="C1951" s="752" t="s">
        <v>49347</v>
      </c>
      <c r="D1951" s="753" t="s">
        <v>49304</v>
      </c>
      <c r="E1951" s="752" t="s">
        <v>42698</v>
      </c>
      <c r="F1951" s="751">
        <v>3005</v>
      </c>
    </row>
    <row r="1952" spans="1:6">
      <c r="A1952" s="753"/>
      <c r="B1952" s="753"/>
      <c r="C1952" s="752" t="s">
        <v>49346</v>
      </c>
      <c r="D1952" s="753" t="s">
        <v>49304</v>
      </c>
      <c r="E1952" s="752" t="s">
        <v>42734</v>
      </c>
      <c r="F1952" s="751">
        <v>2625</v>
      </c>
    </row>
    <row r="1953" spans="1:6">
      <c r="A1953" s="753"/>
      <c r="B1953" s="753"/>
      <c r="C1953" s="752" t="s">
        <v>49345</v>
      </c>
      <c r="D1953" s="753" t="s">
        <v>49344</v>
      </c>
      <c r="E1953" s="752" t="s">
        <v>42734</v>
      </c>
      <c r="F1953" s="751">
        <v>3385</v>
      </c>
    </row>
    <row r="1954" spans="1:6">
      <c r="A1954" s="753"/>
      <c r="B1954" s="753"/>
      <c r="C1954" s="752" t="s">
        <v>49343</v>
      </c>
      <c r="D1954" s="753" t="s">
        <v>49342</v>
      </c>
      <c r="E1954" s="752" t="s">
        <v>42698</v>
      </c>
      <c r="F1954" s="751">
        <v>3005</v>
      </c>
    </row>
    <row r="1955" spans="1:6">
      <c r="A1955" s="753"/>
      <c r="B1955" s="753"/>
      <c r="C1955" s="752" t="s">
        <v>49341</v>
      </c>
      <c r="D1955" s="753" t="s">
        <v>49340</v>
      </c>
      <c r="E1955" s="752" t="s">
        <v>39097</v>
      </c>
      <c r="F1955" s="751">
        <v>2325</v>
      </c>
    </row>
    <row r="1956" spans="1:6">
      <c r="A1956" s="753"/>
      <c r="B1956" s="753"/>
      <c r="C1956" s="752" t="s">
        <v>49339</v>
      </c>
      <c r="D1956" s="753" t="s">
        <v>49304</v>
      </c>
      <c r="E1956" s="752" t="s">
        <v>42698</v>
      </c>
      <c r="F1956" s="751">
        <v>3005</v>
      </c>
    </row>
    <row r="1957" spans="1:6">
      <c r="A1957" s="753"/>
      <c r="B1957" s="753"/>
      <c r="C1957" s="752" t="s">
        <v>49338</v>
      </c>
      <c r="D1957" s="753" t="s">
        <v>49304</v>
      </c>
      <c r="E1957" s="752" t="s">
        <v>49337</v>
      </c>
      <c r="F1957" s="751">
        <v>3385</v>
      </c>
    </row>
    <row r="1958" spans="1:6">
      <c r="A1958" s="753"/>
      <c r="B1958" s="753"/>
      <c r="C1958" s="752" t="s">
        <v>49336</v>
      </c>
      <c r="D1958" s="753" t="s">
        <v>49304</v>
      </c>
      <c r="E1958" s="752" t="s">
        <v>49335</v>
      </c>
      <c r="F1958" s="751">
        <v>4305</v>
      </c>
    </row>
    <row r="1959" spans="1:6">
      <c r="A1959" s="753"/>
      <c r="B1959" s="753"/>
      <c r="C1959" s="752" t="s">
        <v>49334</v>
      </c>
      <c r="D1959" s="753" t="s">
        <v>49304</v>
      </c>
      <c r="E1959" s="752" t="s">
        <v>49147</v>
      </c>
      <c r="F1959" s="751">
        <v>2625</v>
      </c>
    </row>
    <row r="1960" spans="1:6">
      <c r="A1960" s="753"/>
      <c r="B1960" s="753"/>
      <c r="C1960" s="752" t="s">
        <v>49333</v>
      </c>
      <c r="D1960" s="753" t="s">
        <v>49332</v>
      </c>
      <c r="E1960" s="752" t="s">
        <v>49147</v>
      </c>
      <c r="F1960" s="751">
        <v>2325</v>
      </c>
    </row>
    <row r="1961" spans="1:6">
      <c r="A1961" s="753"/>
      <c r="B1961" s="753"/>
      <c r="C1961" s="752" t="s">
        <v>49331</v>
      </c>
      <c r="D1961" s="753" t="s">
        <v>49304</v>
      </c>
      <c r="E1961" s="752" t="s">
        <v>49330</v>
      </c>
      <c r="F1961" s="751">
        <v>3135</v>
      </c>
    </row>
    <row r="1962" spans="1:6">
      <c r="A1962" s="753"/>
      <c r="B1962" s="753"/>
      <c r="C1962" s="752" t="s">
        <v>49329</v>
      </c>
      <c r="D1962" s="753" t="s">
        <v>49304</v>
      </c>
      <c r="E1962" s="752" t="s">
        <v>49328</v>
      </c>
      <c r="F1962" s="751">
        <v>3135</v>
      </c>
    </row>
    <row r="1963" spans="1:6">
      <c r="A1963" s="753"/>
      <c r="B1963" s="753"/>
      <c r="C1963" s="752" t="s">
        <v>49327</v>
      </c>
      <c r="D1963" s="753" t="s">
        <v>49304</v>
      </c>
      <c r="E1963" s="752" t="s">
        <v>49326</v>
      </c>
      <c r="F1963" s="751">
        <v>3715</v>
      </c>
    </row>
    <row r="1964" spans="1:6">
      <c r="A1964" s="753"/>
      <c r="B1964" s="753"/>
      <c r="C1964" s="752" t="s">
        <v>49325</v>
      </c>
      <c r="D1964" s="753" t="s">
        <v>49304</v>
      </c>
      <c r="E1964" s="752" t="s">
        <v>49224</v>
      </c>
      <c r="F1964" s="751">
        <v>3385</v>
      </c>
    </row>
    <row r="1965" spans="1:6">
      <c r="A1965" s="753"/>
      <c r="B1965" s="753"/>
      <c r="C1965" s="752" t="s">
        <v>49324</v>
      </c>
      <c r="D1965" s="753" t="s">
        <v>49323</v>
      </c>
      <c r="E1965" s="752" t="s">
        <v>42698</v>
      </c>
      <c r="F1965" s="751">
        <v>3765</v>
      </c>
    </row>
    <row r="1966" spans="1:6">
      <c r="A1966" s="753"/>
      <c r="B1966" s="753"/>
      <c r="C1966" s="752" t="s">
        <v>49322</v>
      </c>
      <c r="D1966" s="753" t="s">
        <v>49304</v>
      </c>
      <c r="E1966" s="752" t="s">
        <v>49321</v>
      </c>
      <c r="F1966" s="751">
        <v>3715</v>
      </c>
    </row>
    <row r="1967" spans="1:6">
      <c r="A1967" s="753"/>
      <c r="B1967" s="753"/>
      <c r="C1967" s="752" t="s">
        <v>49320</v>
      </c>
      <c r="D1967" s="753" t="s">
        <v>49304</v>
      </c>
      <c r="E1967" s="752" t="s">
        <v>49197</v>
      </c>
      <c r="F1967" s="751">
        <v>2625</v>
      </c>
    </row>
    <row r="1968" spans="1:6">
      <c r="A1968" s="753"/>
      <c r="B1968" s="753"/>
      <c r="C1968" s="752" t="s">
        <v>49319</v>
      </c>
      <c r="D1968" s="753" t="s">
        <v>49304</v>
      </c>
      <c r="E1968" s="752" t="s">
        <v>38570</v>
      </c>
      <c r="F1968" s="751">
        <v>2625</v>
      </c>
    </row>
    <row r="1969" spans="1:6">
      <c r="A1969" s="753"/>
      <c r="B1969" s="753"/>
      <c r="C1969" s="752" t="s">
        <v>49318</v>
      </c>
      <c r="D1969" s="753" t="s">
        <v>49304</v>
      </c>
      <c r="E1969" s="752" t="s">
        <v>39525</v>
      </c>
      <c r="F1969" s="751">
        <v>3385</v>
      </c>
    </row>
    <row r="1970" spans="1:6">
      <c r="A1970" s="753"/>
      <c r="B1970" s="753"/>
      <c r="C1970" s="752" t="s">
        <v>49317</v>
      </c>
      <c r="D1970" s="753" t="s">
        <v>49304</v>
      </c>
      <c r="E1970" s="752" t="s">
        <v>38584</v>
      </c>
      <c r="F1970" s="751">
        <v>2625</v>
      </c>
    </row>
    <row r="1971" spans="1:6">
      <c r="A1971" s="753"/>
      <c r="B1971" s="753"/>
      <c r="C1971" s="752" t="s">
        <v>49316</v>
      </c>
      <c r="D1971" s="753" t="s">
        <v>49304</v>
      </c>
      <c r="E1971" s="752" t="s">
        <v>49315</v>
      </c>
      <c r="F1971" s="751">
        <v>2225</v>
      </c>
    </row>
    <row r="1972" spans="1:6">
      <c r="A1972" s="753"/>
      <c r="B1972" s="753"/>
      <c r="C1972" s="752" t="s">
        <v>49314</v>
      </c>
      <c r="D1972" s="753" t="s">
        <v>49304</v>
      </c>
      <c r="E1972" s="752" t="s">
        <v>38810</v>
      </c>
      <c r="F1972" s="751">
        <v>3385</v>
      </c>
    </row>
    <row r="1973" spans="1:6">
      <c r="A1973" s="753"/>
      <c r="B1973" s="753"/>
      <c r="C1973" s="752" t="s">
        <v>49313</v>
      </c>
      <c r="D1973" s="753" t="s">
        <v>49304</v>
      </c>
      <c r="E1973" s="752" t="s">
        <v>38584</v>
      </c>
      <c r="F1973" s="751">
        <v>2375</v>
      </c>
    </row>
    <row r="1974" spans="1:6">
      <c r="A1974" s="753"/>
      <c r="B1974" s="753"/>
      <c r="C1974" s="752" t="s">
        <v>49312</v>
      </c>
      <c r="D1974" s="753" t="s">
        <v>49304</v>
      </c>
      <c r="E1974" s="752" t="s">
        <v>49137</v>
      </c>
      <c r="F1974" s="751">
        <v>2625</v>
      </c>
    </row>
    <row r="1975" spans="1:6">
      <c r="A1975" s="753"/>
      <c r="B1975" s="753"/>
      <c r="C1975" s="752" t="s">
        <v>49311</v>
      </c>
      <c r="D1975" s="753" t="s">
        <v>49304</v>
      </c>
      <c r="E1975" s="752" t="s">
        <v>49137</v>
      </c>
      <c r="F1975" s="751">
        <v>3970</v>
      </c>
    </row>
    <row r="1976" spans="1:6">
      <c r="A1976" s="753"/>
      <c r="B1976" s="753"/>
      <c r="C1976" s="752" t="s">
        <v>49310</v>
      </c>
      <c r="D1976" s="753" t="s">
        <v>49304</v>
      </c>
      <c r="E1976" s="752" t="s">
        <v>49309</v>
      </c>
      <c r="F1976" s="751">
        <v>3385</v>
      </c>
    </row>
    <row r="1977" spans="1:6">
      <c r="A1977" s="753"/>
      <c r="B1977" s="753"/>
      <c r="C1977" s="752" t="s">
        <v>49308</v>
      </c>
      <c r="D1977" s="753" t="s">
        <v>49304</v>
      </c>
      <c r="E1977" s="752" t="s">
        <v>39499</v>
      </c>
      <c r="F1977" s="751">
        <v>2125</v>
      </c>
    </row>
    <row r="1978" spans="1:6">
      <c r="A1978" s="753"/>
      <c r="B1978" s="753"/>
      <c r="C1978" s="752" t="s">
        <v>49307</v>
      </c>
      <c r="D1978" s="753" t="s">
        <v>49304</v>
      </c>
      <c r="E1978" s="752" t="s">
        <v>293</v>
      </c>
      <c r="F1978" s="751">
        <v>2625</v>
      </c>
    </row>
    <row r="1979" spans="1:6">
      <c r="A1979" s="753"/>
      <c r="B1979" s="753"/>
      <c r="C1979" s="752" t="s">
        <v>49306</v>
      </c>
      <c r="D1979" s="753" t="s">
        <v>49304</v>
      </c>
      <c r="E1979" s="752" t="s">
        <v>293</v>
      </c>
      <c r="F1979" s="751">
        <v>2625</v>
      </c>
    </row>
    <row r="1980" spans="1:6">
      <c r="A1980" s="753"/>
      <c r="B1980" s="753"/>
      <c r="C1980" s="752" t="s">
        <v>49305</v>
      </c>
      <c r="D1980" s="753" t="s">
        <v>49304</v>
      </c>
      <c r="E1980" s="752" t="s">
        <v>39996</v>
      </c>
      <c r="F1980" s="751">
        <v>2625</v>
      </c>
    </row>
    <row r="1981" spans="1:6">
      <c r="A1981" s="753"/>
      <c r="B1981" s="753"/>
      <c r="C1981" s="752" t="s">
        <v>49303</v>
      </c>
      <c r="D1981" s="753" t="s">
        <v>49260</v>
      </c>
      <c r="E1981" s="752" t="s">
        <v>293</v>
      </c>
      <c r="F1981" s="751">
        <v>3175</v>
      </c>
    </row>
    <row r="1982" spans="1:6">
      <c r="A1982" s="753"/>
      <c r="B1982" s="753"/>
      <c r="C1982" s="752" t="s">
        <v>49302</v>
      </c>
      <c r="D1982" s="753" t="s">
        <v>49260</v>
      </c>
      <c r="E1982" s="752" t="s">
        <v>42816</v>
      </c>
      <c r="F1982" s="751">
        <v>3175</v>
      </c>
    </row>
    <row r="1983" spans="1:6">
      <c r="A1983" s="753"/>
      <c r="B1983" s="753"/>
      <c r="C1983" s="752" t="s">
        <v>49301</v>
      </c>
      <c r="D1983" s="753" t="s">
        <v>49260</v>
      </c>
      <c r="E1983" s="752" t="s">
        <v>39996</v>
      </c>
      <c r="F1983" s="751">
        <v>3175</v>
      </c>
    </row>
    <row r="1984" spans="1:6">
      <c r="A1984" s="753"/>
      <c r="B1984" s="753"/>
      <c r="C1984" s="752" t="s">
        <v>49300</v>
      </c>
      <c r="D1984" s="753" t="s">
        <v>49260</v>
      </c>
      <c r="E1984" s="752" t="s">
        <v>49249</v>
      </c>
      <c r="F1984" s="751">
        <v>3175</v>
      </c>
    </row>
    <row r="1985" spans="1:6">
      <c r="A1985" s="753"/>
      <c r="B1985" s="753"/>
      <c r="C1985" s="752" t="s">
        <v>49299</v>
      </c>
      <c r="D1985" s="753" t="s">
        <v>49260</v>
      </c>
      <c r="E1985" s="752" t="s">
        <v>38577</v>
      </c>
      <c r="F1985" s="751">
        <v>3935</v>
      </c>
    </row>
    <row r="1986" spans="1:6">
      <c r="A1986" s="753"/>
      <c r="B1986" s="753"/>
      <c r="C1986" s="752" t="s">
        <v>49298</v>
      </c>
      <c r="D1986" s="753" t="s">
        <v>49260</v>
      </c>
      <c r="E1986" s="752" t="s">
        <v>293</v>
      </c>
      <c r="F1986" s="751">
        <v>3175</v>
      </c>
    </row>
    <row r="1987" spans="1:6">
      <c r="A1987" s="753"/>
      <c r="B1987" s="753"/>
      <c r="C1987" s="752" t="s">
        <v>49297</v>
      </c>
      <c r="D1987" s="753" t="s">
        <v>49260</v>
      </c>
      <c r="E1987" s="752" t="s">
        <v>49296</v>
      </c>
      <c r="F1987" s="751">
        <v>3175</v>
      </c>
    </row>
    <row r="1988" spans="1:6">
      <c r="A1988" s="753"/>
      <c r="B1988" s="753"/>
      <c r="C1988" s="752" t="s">
        <v>49295</v>
      </c>
      <c r="D1988" s="753" t="s">
        <v>49260</v>
      </c>
      <c r="E1988" s="752" t="s">
        <v>49289</v>
      </c>
      <c r="F1988" s="751">
        <v>3175</v>
      </c>
    </row>
    <row r="1989" spans="1:6">
      <c r="A1989" s="753"/>
      <c r="B1989" s="753"/>
      <c r="C1989" s="752" t="s">
        <v>49294</v>
      </c>
      <c r="D1989" s="753" t="s">
        <v>49260</v>
      </c>
      <c r="E1989" s="752" t="s">
        <v>49293</v>
      </c>
      <c r="F1989" s="751">
        <v>3685</v>
      </c>
    </row>
    <row r="1990" spans="1:6">
      <c r="A1990" s="753"/>
      <c r="B1990" s="753"/>
      <c r="C1990" s="752" t="s">
        <v>49292</v>
      </c>
      <c r="D1990" s="753" t="s">
        <v>49260</v>
      </c>
      <c r="E1990" s="752" t="s">
        <v>39996</v>
      </c>
      <c r="F1990" s="751">
        <v>3175</v>
      </c>
    </row>
    <row r="1991" spans="1:6">
      <c r="A1991" s="753"/>
      <c r="B1991" s="753"/>
      <c r="C1991" s="752" t="s">
        <v>49291</v>
      </c>
      <c r="D1991" s="753" t="s">
        <v>49290</v>
      </c>
      <c r="E1991" s="752" t="s">
        <v>49289</v>
      </c>
      <c r="F1991" s="751">
        <v>2925</v>
      </c>
    </row>
    <row r="1992" spans="1:6">
      <c r="A1992" s="753"/>
      <c r="B1992" s="753"/>
      <c r="C1992" s="752" t="s">
        <v>49288</v>
      </c>
      <c r="D1992" s="753" t="s">
        <v>49260</v>
      </c>
      <c r="E1992" s="752" t="s">
        <v>39028</v>
      </c>
      <c r="F1992" s="751">
        <v>3935</v>
      </c>
    </row>
    <row r="1993" spans="1:6">
      <c r="A1993" s="753"/>
      <c r="B1993" s="753"/>
      <c r="C1993" s="752" t="s">
        <v>49287</v>
      </c>
      <c r="D1993" s="753" t="s">
        <v>49260</v>
      </c>
      <c r="E1993" s="752" t="s">
        <v>293</v>
      </c>
      <c r="F1993" s="751">
        <v>3175</v>
      </c>
    </row>
    <row r="1994" spans="1:6">
      <c r="A1994" s="753"/>
      <c r="B1994" s="753"/>
      <c r="C1994" s="752" t="s">
        <v>49286</v>
      </c>
      <c r="D1994" s="753" t="s">
        <v>49260</v>
      </c>
      <c r="E1994" s="752" t="s">
        <v>49230</v>
      </c>
      <c r="F1994" s="751">
        <v>3935</v>
      </c>
    </row>
    <row r="1995" spans="1:6">
      <c r="A1995" s="753"/>
      <c r="B1995" s="753"/>
      <c r="C1995" s="752" t="s">
        <v>49285</v>
      </c>
      <c r="D1995" s="753" t="s">
        <v>49260</v>
      </c>
      <c r="E1995" s="752" t="s">
        <v>39996</v>
      </c>
      <c r="F1995" s="751">
        <v>3175</v>
      </c>
    </row>
    <row r="1996" spans="1:6">
      <c r="A1996" s="753"/>
      <c r="B1996" s="753"/>
      <c r="C1996" s="752" t="s">
        <v>49284</v>
      </c>
      <c r="D1996" s="753" t="s">
        <v>49260</v>
      </c>
      <c r="E1996" s="752" t="s">
        <v>39028</v>
      </c>
      <c r="F1996" s="751">
        <v>3935</v>
      </c>
    </row>
    <row r="1997" spans="1:6">
      <c r="A1997" s="753"/>
      <c r="B1997" s="753"/>
      <c r="C1997" s="752" t="s">
        <v>49283</v>
      </c>
      <c r="D1997" s="753" t="s">
        <v>49260</v>
      </c>
      <c r="E1997" s="752" t="s">
        <v>39097</v>
      </c>
      <c r="F1997" s="751">
        <v>3175</v>
      </c>
    </row>
    <row r="1998" spans="1:6">
      <c r="A1998" s="753"/>
      <c r="B1998" s="753"/>
      <c r="C1998" s="752" t="s">
        <v>49282</v>
      </c>
      <c r="D1998" s="753" t="s">
        <v>49260</v>
      </c>
      <c r="E1998" s="752" t="s">
        <v>42698</v>
      </c>
      <c r="F1998" s="751">
        <v>3555</v>
      </c>
    </row>
    <row r="1999" spans="1:6">
      <c r="A1999" s="753"/>
      <c r="B1999" s="753"/>
      <c r="C1999" s="752" t="s">
        <v>49281</v>
      </c>
      <c r="D1999" s="753" t="s">
        <v>49280</v>
      </c>
      <c r="E1999" s="752" t="s">
        <v>42734</v>
      </c>
      <c r="F1999" s="751">
        <v>3175</v>
      </c>
    </row>
    <row r="2000" spans="1:6">
      <c r="A2000" s="753"/>
      <c r="B2000" s="753"/>
      <c r="C2000" s="752" t="s">
        <v>49279</v>
      </c>
      <c r="D2000" s="753" t="s">
        <v>49260</v>
      </c>
      <c r="E2000" s="752" t="s">
        <v>49230</v>
      </c>
      <c r="F2000" s="751">
        <v>3935</v>
      </c>
    </row>
    <row r="2001" spans="1:6">
      <c r="A2001" s="753"/>
      <c r="B2001" s="753"/>
      <c r="C2001" s="752" t="s">
        <v>49278</v>
      </c>
      <c r="D2001" s="753" t="s">
        <v>49260</v>
      </c>
      <c r="E2001" s="752" t="s">
        <v>49147</v>
      </c>
      <c r="F2001" s="751">
        <v>3175</v>
      </c>
    </row>
    <row r="2002" spans="1:6">
      <c r="A2002" s="753"/>
      <c r="B2002" s="753"/>
      <c r="C2002" s="752" t="s">
        <v>49277</v>
      </c>
      <c r="D2002" s="753" t="s">
        <v>49260</v>
      </c>
      <c r="E2002" s="752" t="s">
        <v>49165</v>
      </c>
      <c r="F2002" s="751">
        <v>3935</v>
      </c>
    </row>
    <row r="2003" spans="1:6">
      <c r="A2003" s="753"/>
      <c r="B2003" s="753"/>
      <c r="C2003" s="752" t="s">
        <v>49276</v>
      </c>
      <c r="D2003" s="753" t="s">
        <v>49260</v>
      </c>
      <c r="E2003" s="752" t="s">
        <v>49224</v>
      </c>
      <c r="F2003" s="751">
        <v>3935</v>
      </c>
    </row>
    <row r="2004" spans="1:6">
      <c r="A2004" s="753"/>
      <c r="B2004" s="753"/>
      <c r="C2004" s="752" t="s">
        <v>49275</v>
      </c>
      <c r="D2004" s="753" t="s">
        <v>49260</v>
      </c>
      <c r="E2004" s="752" t="s">
        <v>38570</v>
      </c>
      <c r="F2004" s="751">
        <v>3175</v>
      </c>
    </row>
    <row r="2005" spans="1:6">
      <c r="A2005" s="753"/>
      <c r="B2005" s="753"/>
      <c r="C2005" s="752" t="s">
        <v>49274</v>
      </c>
      <c r="D2005" s="753" t="s">
        <v>49260</v>
      </c>
      <c r="E2005" s="752" t="s">
        <v>39525</v>
      </c>
      <c r="F2005" s="751">
        <v>3935</v>
      </c>
    </row>
    <row r="2006" spans="1:6">
      <c r="A2006" s="753"/>
      <c r="B2006" s="753"/>
      <c r="C2006" s="752" t="s">
        <v>49273</v>
      </c>
      <c r="D2006" s="753" t="s">
        <v>49260</v>
      </c>
      <c r="E2006" s="752" t="s">
        <v>42694</v>
      </c>
      <c r="F2006" s="751">
        <v>3935</v>
      </c>
    </row>
    <row r="2007" spans="1:6">
      <c r="A2007" s="753"/>
      <c r="B2007" s="753"/>
      <c r="C2007" s="752" t="s">
        <v>49272</v>
      </c>
      <c r="D2007" s="753" t="s">
        <v>49260</v>
      </c>
      <c r="E2007" s="752" t="s">
        <v>38584</v>
      </c>
      <c r="F2007" s="751">
        <v>3175</v>
      </c>
    </row>
    <row r="2008" spans="1:6">
      <c r="A2008" s="753"/>
      <c r="B2008" s="753"/>
      <c r="C2008" s="752" t="s">
        <v>49271</v>
      </c>
      <c r="D2008" s="753" t="s">
        <v>49260</v>
      </c>
      <c r="E2008" s="752" t="s">
        <v>49265</v>
      </c>
      <c r="F2008" s="751">
        <v>3935</v>
      </c>
    </row>
    <row r="2009" spans="1:6">
      <c r="A2009" s="753"/>
      <c r="B2009" s="753"/>
      <c r="C2009" s="752" t="s">
        <v>49270</v>
      </c>
      <c r="D2009" s="753" t="s">
        <v>49260</v>
      </c>
      <c r="E2009" s="752" t="s">
        <v>49269</v>
      </c>
      <c r="F2009" s="751">
        <v>2925</v>
      </c>
    </row>
    <row r="2010" spans="1:6">
      <c r="A2010" s="753"/>
      <c r="B2010" s="753"/>
      <c r="C2010" s="752" t="s">
        <v>49268</v>
      </c>
      <c r="D2010" s="753" t="s">
        <v>49260</v>
      </c>
      <c r="E2010" s="752" t="s">
        <v>49137</v>
      </c>
      <c r="F2010" s="751">
        <v>3175</v>
      </c>
    </row>
    <row r="2011" spans="1:6">
      <c r="A2011" s="753"/>
      <c r="B2011" s="753"/>
      <c r="C2011" s="752" t="s">
        <v>49267</v>
      </c>
      <c r="D2011" s="753" t="s">
        <v>49266</v>
      </c>
      <c r="E2011" s="752" t="s">
        <v>49265</v>
      </c>
      <c r="F2011" s="751">
        <v>3935</v>
      </c>
    </row>
    <row r="2012" spans="1:6">
      <c r="A2012" s="753"/>
      <c r="B2012" s="753"/>
      <c r="C2012" s="752" t="s">
        <v>49264</v>
      </c>
      <c r="D2012" s="753" t="s">
        <v>49260</v>
      </c>
      <c r="E2012" s="752" t="s">
        <v>293</v>
      </c>
      <c r="F2012" s="751">
        <v>3175</v>
      </c>
    </row>
    <row r="2013" spans="1:6">
      <c r="A2013" s="753"/>
      <c r="B2013" s="753"/>
      <c r="C2013" s="752" t="s">
        <v>49263</v>
      </c>
      <c r="D2013" s="753" t="s">
        <v>49260</v>
      </c>
      <c r="E2013" s="752" t="s">
        <v>38919</v>
      </c>
      <c r="F2013" s="751">
        <v>3935</v>
      </c>
    </row>
    <row r="2014" spans="1:6">
      <c r="A2014" s="753"/>
      <c r="B2014" s="753"/>
      <c r="C2014" s="752" t="s">
        <v>49262</v>
      </c>
      <c r="D2014" s="753" t="s">
        <v>49260</v>
      </c>
      <c r="E2014" s="752" t="s">
        <v>293</v>
      </c>
      <c r="F2014" s="751">
        <v>3175</v>
      </c>
    </row>
    <row r="2015" spans="1:6">
      <c r="A2015" s="753"/>
      <c r="B2015" s="753"/>
      <c r="C2015" s="752" t="s">
        <v>49261</v>
      </c>
      <c r="D2015" s="753" t="s">
        <v>49260</v>
      </c>
      <c r="E2015" s="752" t="s">
        <v>37794</v>
      </c>
      <c r="F2015" s="751">
        <v>3935</v>
      </c>
    </row>
    <row r="2016" spans="1:6">
      <c r="A2016" s="753"/>
      <c r="B2016" s="753"/>
      <c r="C2016" s="752" t="s">
        <v>49259</v>
      </c>
      <c r="D2016" s="753" t="s">
        <v>49257</v>
      </c>
      <c r="E2016" s="752" t="s">
        <v>49256</v>
      </c>
      <c r="F2016" s="751">
        <v>2375</v>
      </c>
    </row>
    <row r="2017" spans="1:6">
      <c r="A2017" s="753"/>
      <c r="B2017" s="753"/>
      <c r="C2017" s="752" t="s">
        <v>49258</v>
      </c>
      <c r="D2017" s="753" t="s">
        <v>49257</v>
      </c>
      <c r="E2017" s="752" t="s">
        <v>49256</v>
      </c>
      <c r="F2017" s="751">
        <v>2375</v>
      </c>
    </row>
    <row r="2018" spans="1:6">
      <c r="A2018" s="753"/>
      <c r="B2018" s="753"/>
      <c r="C2018" s="752" t="s">
        <v>49255</v>
      </c>
      <c r="D2018" s="753" t="s">
        <v>49214</v>
      </c>
      <c r="E2018" s="752" t="s">
        <v>293</v>
      </c>
      <c r="F2018" s="751">
        <v>3175</v>
      </c>
    </row>
    <row r="2019" spans="1:6">
      <c r="A2019" s="753"/>
      <c r="B2019" s="753"/>
      <c r="C2019" s="752" t="s">
        <v>49254</v>
      </c>
      <c r="D2019" s="753" t="s">
        <v>49214</v>
      </c>
      <c r="E2019" s="752" t="s">
        <v>42816</v>
      </c>
      <c r="F2019" s="751">
        <v>3175</v>
      </c>
    </row>
    <row r="2020" spans="1:6">
      <c r="A2020" s="753"/>
      <c r="B2020" s="753"/>
      <c r="C2020" s="752" t="s">
        <v>49253</v>
      </c>
      <c r="D2020" s="753" t="s">
        <v>49214</v>
      </c>
      <c r="E2020" s="752" t="s">
        <v>49252</v>
      </c>
      <c r="F2020" s="751">
        <v>3935</v>
      </c>
    </row>
    <row r="2021" spans="1:6">
      <c r="A2021" s="753"/>
      <c r="B2021" s="753"/>
      <c r="C2021" s="752" t="s">
        <v>49251</v>
      </c>
      <c r="D2021" s="753" t="s">
        <v>49214</v>
      </c>
      <c r="E2021" s="752" t="s">
        <v>39996</v>
      </c>
      <c r="F2021" s="751">
        <v>3175</v>
      </c>
    </row>
    <row r="2022" spans="1:6">
      <c r="A2022" s="753"/>
      <c r="B2022" s="753"/>
      <c r="C2022" s="752" t="s">
        <v>49250</v>
      </c>
      <c r="D2022" s="753" t="s">
        <v>49214</v>
      </c>
      <c r="E2022" s="752" t="s">
        <v>49249</v>
      </c>
      <c r="F2022" s="751">
        <v>3175</v>
      </c>
    </row>
    <row r="2023" spans="1:6">
      <c r="A2023" s="753"/>
      <c r="B2023" s="753"/>
      <c r="C2023" s="752" t="s">
        <v>49248</v>
      </c>
      <c r="D2023" s="753" t="s">
        <v>49214</v>
      </c>
      <c r="E2023" s="752" t="s">
        <v>38577</v>
      </c>
      <c r="F2023" s="751">
        <v>3935</v>
      </c>
    </row>
    <row r="2024" spans="1:6">
      <c r="A2024" s="753"/>
      <c r="B2024" s="753"/>
      <c r="C2024" s="752" t="s">
        <v>49247</v>
      </c>
      <c r="D2024" s="753" t="s">
        <v>49214</v>
      </c>
      <c r="E2024" s="752" t="s">
        <v>49246</v>
      </c>
      <c r="F2024" s="751">
        <v>3175</v>
      </c>
    </row>
    <row r="2025" spans="1:6">
      <c r="A2025" s="753"/>
      <c r="B2025" s="753"/>
      <c r="C2025" s="752" t="s">
        <v>49245</v>
      </c>
      <c r="D2025" s="753" t="s">
        <v>49214</v>
      </c>
      <c r="E2025" s="752" t="s">
        <v>293</v>
      </c>
      <c r="F2025" s="751">
        <v>3175</v>
      </c>
    </row>
    <row r="2026" spans="1:6">
      <c r="A2026" s="753"/>
      <c r="B2026" s="753"/>
      <c r="C2026" s="752" t="s">
        <v>49244</v>
      </c>
      <c r="D2026" s="753" t="s">
        <v>49214</v>
      </c>
      <c r="E2026" s="752" t="s">
        <v>49243</v>
      </c>
      <c r="F2026" s="751">
        <v>3175</v>
      </c>
    </row>
    <row r="2027" spans="1:6">
      <c r="A2027" s="753"/>
      <c r="B2027" s="753"/>
      <c r="C2027" s="752" t="s">
        <v>49242</v>
      </c>
      <c r="D2027" s="753" t="s">
        <v>49214</v>
      </c>
      <c r="E2027" s="752" t="s">
        <v>39996</v>
      </c>
      <c r="F2027" s="751">
        <v>3175</v>
      </c>
    </row>
    <row r="2028" spans="1:6">
      <c r="A2028" s="753"/>
      <c r="B2028" s="753"/>
      <c r="C2028" s="752" t="s">
        <v>49241</v>
      </c>
      <c r="D2028" s="753" t="s">
        <v>49214</v>
      </c>
      <c r="E2028" s="752" t="s">
        <v>46942</v>
      </c>
      <c r="F2028" s="751">
        <v>3685</v>
      </c>
    </row>
    <row r="2029" spans="1:6">
      <c r="A2029" s="753"/>
      <c r="B2029" s="753"/>
      <c r="C2029" s="752" t="s">
        <v>49240</v>
      </c>
      <c r="D2029" s="753" t="s">
        <v>49214</v>
      </c>
      <c r="E2029" s="752" t="s">
        <v>38577</v>
      </c>
      <c r="F2029" s="751">
        <v>3935</v>
      </c>
    </row>
    <row r="2030" spans="1:6">
      <c r="A2030" s="753"/>
      <c r="B2030" s="753"/>
      <c r="C2030" s="752" t="s">
        <v>49239</v>
      </c>
      <c r="D2030" s="753" t="s">
        <v>49214</v>
      </c>
      <c r="E2030" s="752" t="s">
        <v>293</v>
      </c>
      <c r="F2030" s="751">
        <v>3175</v>
      </c>
    </row>
    <row r="2031" spans="1:6">
      <c r="A2031" s="753"/>
      <c r="B2031" s="753"/>
      <c r="C2031" s="752" t="s">
        <v>49238</v>
      </c>
      <c r="D2031" s="753" t="s">
        <v>49214</v>
      </c>
      <c r="E2031" s="752" t="s">
        <v>39996</v>
      </c>
      <c r="F2031" s="751">
        <v>3175</v>
      </c>
    </row>
    <row r="2032" spans="1:6">
      <c r="A2032" s="753"/>
      <c r="B2032" s="753"/>
      <c r="C2032" s="752" t="s">
        <v>49237</v>
      </c>
      <c r="D2032" s="753" t="s">
        <v>49214</v>
      </c>
      <c r="E2032" s="752" t="s">
        <v>46942</v>
      </c>
      <c r="F2032" s="751">
        <v>3685</v>
      </c>
    </row>
    <row r="2033" spans="1:6">
      <c r="A2033" s="753"/>
      <c r="B2033" s="753"/>
      <c r="C2033" s="752" t="s">
        <v>49236</v>
      </c>
      <c r="D2033" s="753" t="s">
        <v>49214</v>
      </c>
      <c r="E2033" s="752" t="s">
        <v>38577</v>
      </c>
      <c r="F2033" s="751">
        <v>3935</v>
      </c>
    </row>
    <row r="2034" spans="1:6">
      <c r="A2034" s="753"/>
      <c r="B2034" s="753"/>
      <c r="C2034" s="752" t="s">
        <v>49235</v>
      </c>
      <c r="D2034" s="753" t="s">
        <v>49214</v>
      </c>
      <c r="E2034" s="752" t="s">
        <v>39097</v>
      </c>
      <c r="F2034" s="751">
        <v>3175</v>
      </c>
    </row>
    <row r="2035" spans="1:6">
      <c r="A2035" s="753"/>
      <c r="B2035" s="753"/>
      <c r="C2035" s="752" t="s">
        <v>49234</v>
      </c>
      <c r="D2035" s="753" t="s">
        <v>49214</v>
      </c>
      <c r="E2035" s="752" t="s">
        <v>42698</v>
      </c>
      <c r="F2035" s="751">
        <v>3305</v>
      </c>
    </row>
    <row r="2036" spans="1:6">
      <c r="A2036" s="753"/>
      <c r="B2036" s="753"/>
      <c r="C2036" s="752" t="s">
        <v>49233</v>
      </c>
      <c r="D2036" s="753" t="s">
        <v>49214</v>
      </c>
      <c r="E2036" s="752" t="s">
        <v>42734</v>
      </c>
      <c r="F2036" s="751">
        <v>3175</v>
      </c>
    </row>
    <row r="2037" spans="1:6">
      <c r="A2037" s="753"/>
      <c r="B2037" s="753"/>
      <c r="C2037" s="752" t="s">
        <v>49232</v>
      </c>
      <c r="D2037" s="753" t="s">
        <v>49231</v>
      </c>
      <c r="E2037" s="752" t="s">
        <v>49230</v>
      </c>
      <c r="F2037" s="751">
        <v>3935</v>
      </c>
    </row>
    <row r="2038" spans="1:6">
      <c r="A2038" s="753"/>
      <c r="B2038" s="753"/>
      <c r="C2038" s="752" t="s">
        <v>49229</v>
      </c>
      <c r="D2038" s="753" t="s">
        <v>49214</v>
      </c>
      <c r="E2038" s="752" t="s">
        <v>49147</v>
      </c>
      <c r="F2038" s="751">
        <v>3175</v>
      </c>
    </row>
    <row r="2039" spans="1:6">
      <c r="A2039" s="753"/>
      <c r="B2039" s="753"/>
      <c r="C2039" s="752" t="s">
        <v>49228</v>
      </c>
      <c r="D2039" s="753" t="s">
        <v>49227</v>
      </c>
      <c r="E2039" s="752" t="s">
        <v>49226</v>
      </c>
      <c r="F2039" s="751">
        <v>2725</v>
      </c>
    </row>
    <row r="2040" spans="1:6">
      <c r="A2040" s="753"/>
      <c r="B2040" s="753"/>
      <c r="C2040" s="752" t="s">
        <v>49225</v>
      </c>
      <c r="D2040" s="753" t="s">
        <v>49214</v>
      </c>
      <c r="E2040" s="752" t="s">
        <v>49224</v>
      </c>
      <c r="F2040" s="751">
        <v>3935</v>
      </c>
    </row>
    <row r="2041" spans="1:6">
      <c r="A2041" s="753"/>
      <c r="B2041" s="753"/>
      <c r="C2041" s="752" t="s">
        <v>49223</v>
      </c>
      <c r="D2041" s="753" t="s">
        <v>49217</v>
      </c>
      <c r="E2041" s="752" t="s">
        <v>38570</v>
      </c>
      <c r="F2041" s="751">
        <v>3175</v>
      </c>
    </row>
    <row r="2042" spans="1:6">
      <c r="A2042" s="753"/>
      <c r="B2042" s="753"/>
      <c r="C2042" s="752" t="s">
        <v>49222</v>
      </c>
      <c r="D2042" s="753" t="s">
        <v>49217</v>
      </c>
      <c r="E2042" s="752" t="s">
        <v>39525</v>
      </c>
      <c r="F2042" s="751">
        <v>3935</v>
      </c>
    </row>
    <row r="2043" spans="1:6">
      <c r="A2043" s="753"/>
      <c r="B2043" s="753"/>
      <c r="C2043" s="752" t="s">
        <v>49221</v>
      </c>
      <c r="D2043" s="753" t="s">
        <v>49217</v>
      </c>
      <c r="E2043" s="752" t="s">
        <v>38584</v>
      </c>
      <c r="F2043" s="751">
        <v>3175</v>
      </c>
    </row>
    <row r="2044" spans="1:6">
      <c r="A2044" s="753"/>
      <c r="B2044" s="753"/>
      <c r="C2044" s="752" t="s">
        <v>49220</v>
      </c>
      <c r="D2044" s="753" t="s">
        <v>49217</v>
      </c>
      <c r="E2044" s="752" t="s">
        <v>49219</v>
      </c>
      <c r="F2044" s="751">
        <v>3935</v>
      </c>
    </row>
    <row r="2045" spans="1:6">
      <c r="A2045" s="753"/>
      <c r="B2045" s="753"/>
      <c r="C2045" s="752" t="s">
        <v>49218</v>
      </c>
      <c r="D2045" s="753" t="s">
        <v>49217</v>
      </c>
      <c r="E2045" s="752" t="s">
        <v>49137</v>
      </c>
      <c r="F2045" s="751">
        <v>3175</v>
      </c>
    </row>
    <row r="2046" spans="1:6">
      <c r="A2046" s="753"/>
      <c r="B2046" s="753"/>
      <c r="C2046" s="752" t="s">
        <v>49216</v>
      </c>
      <c r="D2046" s="753" t="s">
        <v>49214</v>
      </c>
      <c r="E2046" s="752" t="s">
        <v>293</v>
      </c>
      <c r="F2046" s="751">
        <v>3175</v>
      </c>
    </row>
    <row r="2047" spans="1:6">
      <c r="A2047" s="753"/>
      <c r="B2047" s="753"/>
      <c r="C2047" s="752" t="s">
        <v>49215</v>
      </c>
      <c r="D2047" s="753" t="s">
        <v>49214</v>
      </c>
      <c r="E2047" s="752" t="s">
        <v>293</v>
      </c>
      <c r="F2047" s="751">
        <v>3175</v>
      </c>
    </row>
    <row r="2048" spans="1:6">
      <c r="A2048" s="753"/>
      <c r="B2048" s="753"/>
      <c r="C2048" s="752" t="s">
        <v>49213</v>
      </c>
      <c r="D2048" s="753" t="s">
        <v>49211</v>
      </c>
      <c r="E2048" s="752" t="s">
        <v>293</v>
      </c>
      <c r="F2048" s="751">
        <v>2625</v>
      </c>
    </row>
    <row r="2049" spans="1:6">
      <c r="A2049" s="753"/>
      <c r="B2049" s="753"/>
      <c r="C2049" s="752" t="s">
        <v>49212</v>
      </c>
      <c r="D2049" s="753" t="s">
        <v>49211</v>
      </c>
      <c r="E2049" s="752" t="s">
        <v>293</v>
      </c>
      <c r="F2049" s="751">
        <v>2625</v>
      </c>
    </row>
    <row r="2050" spans="1:6">
      <c r="A2050" s="753"/>
      <c r="B2050" s="753"/>
      <c r="C2050" s="752" t="s">
        <v>49210</v>
      </c>
      <c r="D2050" s="753" t="s">
        <v>49176</v>
      </c>
      <c r="E2050" s="752" t="s">
        <v>38783</v>
      </c>
      <c r="F2050" s="751">
        <v>2725</v>
      </c>
    </row>
    <row r="2051" spans="1:6">
      <c r="A2051" s="753"/>
      <c r="B2051" s="753"/>
      <c r="C2051" s="752" t="s">
        <v>49209</v>
      </c>
      <c r="D2051" s="753" t="s">
        <v>49176</v>
      </c>
      <c r="E2051" s="752" t="s">
        <v>38783</v>
      </c>
      <c r="F2051" s="751">
        <v>2725</v>
      </c>
    </row>
    <row r="2052" spans="1:6">
      <c r="A2052" s="753"/>
      <c r="B2052" s="753"/>
      <c r="C2052" s="752" t="s">
        <v>49208</v>
      </c>
      <c r="D2052" s="753" t="s">
        <v>49176</v>
      </c>
      <c r="E2052" s="752" t="s">
        <v>39097</v>
      </c>
      <c r="F2052" s="751">
        <v>2725</v>
      </c>
    </row>
    <row r="2053" spans="1:6">
      <c r="A2053" s="753"/>
      <c r="B2053" s="753"/>
      <c r="C2053" s="752" t="s">
        <v>49207</v>
      </c>
      <c r="D2053" s="753" t="s">
        <v>49176</v>
      </c>
      <c r="E2053" s="752" t="s">
        <v>42698</v>
      </c>
      <c r="F2053" s="751">
        <v>3105</v>
      </c>
    </row>
    <row r="2054" spans="1:6">
      <c r="A2054" s="753"/>
      <c r="B2054" s="753"/>
      <c r="C2054" s="752" t="s">
        <v>49206</v>
      </c>
      <c r="D2054" s="753" t="s">
        <v>49176</v>
      </c>
      <c r="E2054" s="752" t="s">
        <v>49205</v>
      </c>
      <c r="F2054" s="751">
        <v>2325</v>
      </c>
    </row>
    <row r="2055" spans="1:6">
      <c r="A2055" s="753"/>
      <c r="B2055" s="753"/>
      <c r="C2055" s="752" t="s">
        <v>49204</v>
      </c>
      <c r="D2055" s="753" t="s">
        <v>49176</v>
      </c>
      <c r="E2055" s="752" t="s">
        <v>49203</v>
      </c>
      <c r="F2055" s="751">
        <v>3485</v>
      </c>
    </row>
    <row r="2056" spans="1:6">
      <c r="A2056" s="753"/>
      <c r="B2056" s="753"/>
      <c r="C2056" s="752" t="s">
        <v>49202</v>
      </c>
      <c r="D2056" s="753" t="s">
        <v>49176</v>
      </c>
      <c r="E2056" s="752" t="s">
        <v>49147</v>
      </c>
      <c r="F2056" s="751">
        <v>2475</v>
      </c>
    </row>
    <row r="2057" spans="1:6">
      <c r="A2057" s="753"/>
      <c r="B2057" s="753"/>
      <c r="C2057" s="752" t="s">
        <v>49201</v>
      </c>
      <c r="D2057" s="753" t="s">
        <v>49176</v>
      </c>
      <c r="E2057" s="752" t="s">
        <v>49200</v>
      </c>
      <c r="F2057" s="751">
        <v>3235</v>
      </c>
    </row>
    <row r="2058" spans="1:6">
      <c r="A2058" s="753"/>
      <c r="B2058" s="753"/>
      <c r="C2058" s="752" t="s">
        <v>49199</v>
      </c>
      <c r="D2058" s="753" t="s">
        <v>49176</v>
      </c>
      <c r="E2058" s="752" t="s">
        <v>39097</v>
      </c>
      <c r="F2058" s="751">
        <v>2280</v>
      </c>
    </row>
    <row r="2059" spans="1:6">
      <c r="A2059" s="753"/>
      <c r="B2059" s="753"/>
      <c r="C2059" s="752" t="s">
        <v>49198</v>
      </c>
      <c r="D2059" s="753" t="s">
        <v>49176</v>
      </c>
      <c r="E2059" s="752" t="s">
        <v>49197</v>
      </c>
      <c r="F2059" s="751">
        <v>2725</v>
      </c>
    </row>
    <row r="2060" spans="1:6">
      <c r="A2060" s="753"/>
      <c r="B2060" s="753"/>
      <c r="C2060" s="752" t="s">
        <v>49196</v>
      </c>
      <c r="D2060" s="753" t="s">
        <v>49176</v>
      </c>
      <c r="E2060" s="752" t="s">
        <v>49195</v>
      </c>
      <c r="F2060" s="751">
        <v>2725</v>
      </c>
    </row>
    <row r="2061" spans="1:6">
      <c r="A2061" s="753"/>
      <c r="B2061" s="753"/>
      <c r="C2061" s="752" t="s">
        <v>49194</v>
      </c>
      <c r="D2061" s="753" t="s">
        <v>49176</v>
      </c>
      <c r="E2061" s="752" t="s">
        <v>38570</v>
      </c>
      <c r="F2061" s="751">
        <v>2725</v>
      </c>
    </row>
    <row r="2062" spans="1:6">
      <c r="A2062" s="753"/>
      <c r="B2062" s="753"/>
      <c r="C2062" s="752" t="s">
        <v>49193</v>
      </c>
      <c r="D2062" s="753" t="s">
        <v>49176</v>
      </c>
      <c r="E2062" s="752" t="s">
        <v>39525</v>
      </c>
      <c r="F2062" s="751">
        <v>3485</v>
      </c>
    </row>
    <row r="2063" spans="1:6">
      <c r="A2063" s="753"/>
      <c r="B2063" s="753"/>
      <c r="C2063" s="752" t="s">
        <v>49192</v>
      </c>
      <c r="D2063" s="753" t="s">
        <v>49176</v>
      </c>
      <c r="E2063" s="752" t="s">
        <v>38584</v>
      </c>
      <c r="F2063" s="751">
        <v>2725</v>
      </c>
    </row>
    <row r="2064" spans="1:6">
      <c r="A2064" s="753"/>
      <c r="B2064" s="753"/>
      <c r="C2064" s="752" t="s">
        <v>49191</v>
      </c>
      <c r="D2064" s="753" t="s">
        <v>49176</v>
      </c>
      <c r="E2064" s="752" t="s">
        <v>40211</v>
      </c>
      <c r="F2064" s="751">
        <v>3485</v>
      </c>
    </row>
    <row r="2065" spans="1:6">
      <c r="A2065" s="753"/>
      <c r="B2065" s="753"/>
      <c r="C2065" s="752" t="s">
        <v>49190</v>
      </c>
      <c r="D2065" s="753" t="s">
        <v>49176</v>
      </c>
      <c r="E2065" s="752" t="s">
        <v>49189</v>
      </c>
      <c r="F2065" s="751">
        <v>3335</v>
      </c>
    </row>
    <row r="2066" spans="1:6">
      <c r="A2066" s="753"/>
      <c r="B2066" s="753"/>
      <c r="C2066" s="752" t="s">
        <v>49188</v>
      </c>
      <c r="D2066" s="753" t="s">
        <v>49187</v>
      </c>
      <c r="E2066" s="752" t="s">
        <v>49139</v>
      </c>
      <c r="F2066" s="751">
        <v>2475</v>
      </c>
    </row>
    <row r="2067" spans="1:6">
      <c r="A2067" s="753"/>
      <c r="B2067" s="753"/>
      <c r="C2067" s="752" t="s">
        <v>49186</v>
      </c>
      <c r="D2067" s="753" t="s">
        <v>49176</v>
      </c>
      <c r="E2067" s="752" t="s">
        <v>49137</v>
      </c>
      <c r="F2067" s="751">
        <v>2725</v>
      </c>
    </row>
    <row r="2068" spans="1:6">
      <c r="A2068" s="753"/>
      <c r="B2068" s="753"/>
      <c r="C2068" s="752" t="s">
        <v>49185</v>
      </c>
      <c r="D2068" s="753" t="s">
        <v>49176</v>
      </c>
      <c r="E2068" s="752" t="s">
        <v>49184</v>
      </c>
      <c r="F2068" s="751">
        <v>3485</v>
      </c>
    </row>
    <row r="2069" spans="1:6">
      <c r="A2069" s="753"/>
      <c r="B2069" s="753"/>
      <c r="C2069" s="752" t="s">
        <v>49183</v>
      </c>
      <c r="D2069" s="753" t="s">
        <v>49176</v>
      </c>
      <c r="E2069" s="752" t="s">
        <v>49182</v>
      </c>
      <c r="F2069" s="751">
        <v>3375</v>
      </c>
    </row>
    <row r="2070" spans="1:6">
      <c r="A2070" s="753"/>
      <c r="B2070" s="753"/>
      <c r="C2070" s="752" t="s">
        <v>49181</v>
      </c>
      <c r="D2070" s="753" t="s">
        <v>49176</v>
      </c>
      <c r="E2070" s="752" t="s">
        <v>49180</v>
      </c>
      <c r="F2070" s="751">
        <v>3675</v>
      </c>
    </row>
    <row r="2071" spans="1:6">
      <c r="A2071" s="753"/>
      <c r="B2071" s="753"/>
      <c r="C2071" s="752" t="s">
        <v>49179</v>
      </c>
      <c r="D2071" s="753" t="s">
        <v>49176</v>
      </c>
      <c r="E2071" s="752" t="s">
        <v>49178</v>
      </c>
      <c r="F2071" s="751">
        <v>3815</v>
      </c>
    </row>
    <row r="2072" spans="1:6">
      <c r="A2072" s="753"/>
      <c r="B2072" s="753"/>
      <c r="C2072" s="752" t="s">
        <v>49177</v>
      </c>
      <c r="D2072" s="753" t="s">
        <v>49176</v>
      </c>
      <c r="E2072" s="752" t="s">
        <v>38536</v>
      </c>
      <c r="F2072" s="751">
        <v>2225</v>
      </c>
    </row>
    <row r="2073" spans="1:6">
      <c r="A2073" s="753"/>
      <c r="B2073" s="753"/>
      <c r="C2073" s="752" t="s">
        <v>49175</v>
      </c>
      <c r="D2073" s="753" t="s">
        <v>49155</v>
      </c>
      <c r="E2073" s="752" t="s">
        <v>293</v>
      </c>
      <c r="F2073" s="751">
        <v>3275</v>
      </c>
    </row>
    <row r="2074" spans="1:6">
      <c r="A2074" s="753"/>
      <c r="B2074" s="753"/>
      <c r="C2074" s="752" t="s">
        <v>49174</v>
      </c>
      <c r="D2074" s="753" t="s">
        <v>49155</v>
      </c>
      <c r="E2074" s="752" t="s">
        <v>38783</v>
      </c>
      <c r="F2074" s="751">
        <v>3275</v>
      </c>
    </row>
    <row r="2075" spans="1:6">
      <c r="A2075" s="753"/>
      <c r="B2075" s="753"/>
      <c r="C2075" s="752" t="s">
        <v>49173</v>
      </c>
      <c r="D2075" s="753" t="s">
        <v>49155</v>
      </c>
      <c r="E2075" s="752" t="s">
        <v>49172</v>
      </c>
      <c r="F2075" s="751">
        <v>4035</v>
      </c>
    </row>
    <row r="2076" spans="1:6">
      <c r="A2076" s="753"/>
      <c r="B2076" s="753"/>
      <c r="C2076" s="752" t="s">
        <v>49171</v>
      </c>
      <c r="D2076" s="753" t="s">
        <v>49155</v>
      </c>
      <c r="E2076" s="752" t="s">
        <v>39097</v>
      </c>
      <c r="F2076" s="751">
        <v>3275</v>
      </c>
    </row>
    <row r="2077" spans="1:6">
      <c r="A2077" s="753"/>
      <c r="B2077" s="753"/>
      <c r="C2077" s="752" t="s">
        <v>49170</v>
      </c>
      <c r="D2077" s="753" t="s">
        <v>49155</v>
      </c>
      <c r="E2077" s="752" t="s">
        <v>39097</v>
      </c>
      <c r="F2077" s="751">
        <v>3275</v>
      </c>
    </row>
    <row r="2078" spans="1:6">
      <c r="A2078" s="753"/>
      <c r="B2078" s="753"/>
      <c r="C2078" s="752" t="s">
        <v>49169</v>
      </c>
      <c r="D2078" s="753" t="s">
        <v>49155</v>
      </c>
      <c r="E2078" s="752" t="s">
        <v>42698</v>
      </c>
      <c r="F2078" s="751">
        <v>3655</v>
      </c>
    </row>
    <row r="2079" spans="1:6">
      <c r="A2079" s="753"/>
      <c r="B2079" s="753"/>
      <c r="C2079" s="752" t="s">
        <v>49168</v>
      </c>
      <c r="D2079" s="753" t="s">
        <v>49155</v>
      </c>
      <c r="E2079" s="752" t="s">
        <v>49149</v>
      </c>
      <c r="F2079" s="751">
        <v>4035</v>
      </c>
    </row>
    <row r="2080" spans="1:6">
      <c r="A2080" s="753"/>
      <c r="B2080" s="753"/>
      <c r="C2080" s="752" t="s">
        <v>49167</v>
      </c>
      <c r="D2080" s="753" t="s">
        <v>49155</v>
      </c>
      <c r="E2080" s="752" t="s">
        <v>49147</v>
      </c>
      <c r="F2080" s="751">
        <v>3025</v>
      </c>
    </row>
    <row r="2081" spans="1:6">
      <c r="A2081" s="753"/>
      <c r="B2081" s="753"/>
      <c r="C2081" s="752" t="s">
        <v>49166</v>
      </c>
      <c r="D2081" s="753" t="s">
        <v>49155</v>
      </c>
      <c r="E2081" s="752" t="s">
        <v>49165</v>
      </c>
      <c r="F2081" s="751">
        <v>3785</v>
      </c>
    </row>
    <row r="2082" spans="1:6">
      <c r="A2082" s="753"/>
      <c r="B2082" s="753"/>
      <c r="C2082" s="752" t="s">
        <v>49164</v>
      </c>
      <c r="D2082" s="753" t="s">
        <v>49155</v>
      </c>
      <c r="E2082" s="752" t="s">
        <v>38570</v>
      </c>
      <c r="F2082" s="751">
        <v>3275</v>
      </c>
    </row>
    <row r="2083" spans="1:6">
      <c r="A2083" s="753"/>
      <c r="B2083" s="753"/>
      <c r="C2083" s="752" t="s">
        <v>49163</v>
      </c>
      <c r="D2083" s="753" t="s">
        <v>49155</v>
      </c>
      <c r="E2083" s="752" t="s">
        <v>49162</v>
      </c>
      <c r="F2083" s="751">
        <v>4035</v>
      </c>
    </row>
    <row r="2084" spans="1:6">
      <c r="A2084" s="753"/>
      <c r="B2084" s="753"/>
      <c r="C2084" s="752" t="s">
        <v>49161</v>
      </c>
      <c r="D2084" s="753" t="s">
        <v>49155</v>
      </c>
      <c r="E2084" s="752" t="s">
        <v>49160</v>
      </c>
      <c r="F2084" s="751">
        <v>5125</v>
      </c>
    </row>
    <row r="2085" spans="1:6">
      <c r="A2085" s="753"/>
      <c r="B2085" s="753"/>
      <c r="C2085" s="752" t="s">
        <v>49159</v>
      </c>
      <c r="D2085" s="753" t="s">
        <v>49155</v>
      </c>
      <c r="E2085" s="752" t="s">
        <v>38584</v>
      </c>
      <c r="F2085" s="751">
        <v>3275</v>
      </c>
    </row>
    <row r="2086" spans="1:6">
      <c r="A2086" s="753"/>
      <c r="B2086" s="753"/>
      <c r="C2086" s="752" t="s">
        <v>49158</v>
      </c>
      <c r="D2086" s="753" t="s">
        <v>49155</v>
      </c>
      <c r="E2086" s="752" t="s">
        <v>38810</v>
      </c>
      <c r="F2086" s="751">
        <v>4035</v>
      </c>
    </row>
    <row r="2087" spans="1:6">
      <c r="A2087" s="753"/>
      <c r="B2087" s="753"/>
      <c r="C2087" s="752" t="s">
        <v>49157</v>
      </c>
      <c r="D2087" s="753" t="s">
        <v>49155</v>
      </c>
      <c r="E2087" s="752" t="s">
        <v>49139</v>
      </c>
      <c r="F2087" s="751">
        <v>3025</v>
      </c>
    </row>
    <row r="2088" spans="1:6">
      <c r="A2088" s="753"/>
      <c r="B2088" s="753"/>
      <c r="C2088" s="752" t="s">
        <v>49156</v>
      </c>
      <c r="D2088" s="753" t="s">
        <v>49155</v>
      </c>
      <c r="E2088" s="752" t="s">
        <v>49137</v>
      </c>
      <c r="F2088" s="751">
        <v>3275</v>
      </c>
    </row>
    <row r="2089" spans="1:6">
      <c r="A2089" s="753"/>
      <c r="B2089" s="753"/>
      <c r="C2089" s="752" t="s">
        <v>49154</v>
      </c>
      <c r="D2089" s="753" t="s">
        <v>49133</v>
      </c>
      <c r="E2089" s="752" t="s">
        <v>293</v>
      </c>
      <c r="F2089" s="751">
        <v>3275</v>
      </c>
    </row>
    <row r="2090" spans="1:6">
      <c r="A2090" s="753"/>
      <c r="B2090" s="753"/>
      <c r="C2090" s="752" t="s">
        <v>49153</v>
      </c>
      <c r="D2090" s="753" t="s">
        <v>49133</v>
      </c>
      <c r="E2090" s="752" t="s">
        <v>38919</v>
      </c>
      <c r="F2090" s="751">
        <v>4035</v>
      </c>
    </row>
    <row r="2091" spans="1:6">
      <c r="A2091" s="753"/>
      <c r="B2091" s="753"/>
      <c r="C2091" s="752" t="s">
        <v>49152</v>
      </c>
      <c r="D2091" s="753" t="s">
        <v>49133</v>
      </c>
      <c r="E2091" s="752" t="s">
        <v>39097</v>
      </c>
      <c r="F2091" s="751">
        <v>3275</v>
      </c>
    </row>
    <row r="2092" spans="1:6">
      <c r="A2092" s="753"/>
      <c r="B2092" s="753"/>
      <c r="C2092" s="752" t="s">
        <v>49151</v>
      </c>
      <c r="D2092" s="753" t="s">
        <v>49133</v>
      </c>
      <c r="E2092" s="752" t="s">
        <v>42698</v>
      </c>
      <c r="F2092" s="751">
        <v>3655</v>
      </c>
    </row>
    <row r="2093" spans="1:6">
      <c r="A2093" s="753"/>
      <c r="B2093" s="753"/>
      <c r="C2093" s="752" t="s">
        <v>49150</v>
      </c>
      <c r="D2093" s="753" t="s">
        <v>49133</v>
      </c>
      <c r="E2093" s="752" t="s">
        <v>49149</v>
      </c>
      <c r="F2093" s="751">
        <v>4035</v>
      </c>
    </row>
    <row r="2094" spans="1:6">
      <c r="A2094" s="753"/>
      <c r="B2094" s="753"/>
      <c r="C2094" s="752" t="s">
        <v>49148</v>
      </c>
      <c r="D2094" s="753" t="s">
        <v>49133</v>
      </c>
      <c r="E2094" s="752" t="s">
        <v>49147</v>
      </c>
      <c r="F2094" s="751">
        <v>3025</v>
      </c>
    </row>
    <row r="2095" spans="1:6">
      <c r="A2095" s="753"/>
      <c r="B2095" s="753"/>
      <c r="C2095" s="752" t="s">
        <v>49146</v>
      </c>
      <c r="D2095" s="753" t="s">
        <v>49133</v>
      </c>
      <c r="E2095" s="752" t="s">
        <v>49145</v>
      </c>
      <c r="F2095" s="751">
        <v>3785</v>
      </c>
    </row>
    <row r="2096" spans="1:6">
      <c r="A2096" s="753"/>
      <c r="B2096" s="753"/>
      <c r="C2096" s="752" t="s">
        <v>49144</v>
      </c>
      <c r="D2096" s="753" t="s">
        <v>49133</v>
      </c>
      <c r="E2096" s="752" t="s">
        <v>38570</v>
      </c>
      <c r="F2096" s="751">
        <v>3275</v>
      </c>
    </row>
    <row r="2097" spans="1:6">
      <c r="A2097" s="753"/>
      <c r="B2097" s="753"/>
      <c r="C2097" s="752" t="s">
        <v>49143</v>
      </c>
      <c r="D2097" s="753" t="s">
        <v>49133</v>
      </c>
      <c r="E2097" s="752" t="s">
        <v>40200</v>
      </c>
      <c r="F2097" s="751">
        <v>4035</v>
      </c>
    </row>
    <row r="2098" spans="1:6">
      <c r="A2098" s="753"/>
      <c r="B2098" s="753"/>
      <c r="C2098" s="752" t="s">
        <v>49142</v>
      </c>
      <c r="D2098" s="753" t="s">
        <v>49111</v>
      </c>
      <c r="E2098" s="752" t="s">
        <v>38584</v>
      </c>
      <c r="F2098" s="751">
        <v>3275</v>
      </c>
    </row>
    <row r="2099" spans="1:6">
      <c r="A2099" s="753"/>
      <c r="B2099" s="753"/>
      <c r="C2099" s="752" t="s">
        <v>49141</v>
      </c>
      <c r="D2099" s="753" t="s">
        <v>49133</v>
      </c>
      <c r="E2099" s="752" t="s">
        <v>38810</v>
      </c>
      <c r="F2099" s="751">
        <v>3835</v>
      </c>
    </row>
    <row r="2100" spans="1:6">
      <c r="A2100" s="753"/>
      <c r="B2100" s="753"/>
      <c r="C2100" s="752" t="s">
        <v>49140</v>
      </c>
      <c r="D2100" s="753" t="s">
        <v>49133</v>
      </c>
      <c r="E2100" s="752" t="s">
        <v>49139</v>
      </c>
      <c r="F2100" s="751">
        <v>3025</v>
      </c>
    </row>
    <row r="2101" spans="1:6">
      <c r="A2101" s="753"/>
      <c r="B2101" s="753"/>
      <c r="C2101" s="752" t="s">
        <v>49138</v>
      </c>
      <c r="D2101" s="753" t="s">
        <v>49133</v>
      </c>
      <c r="E2101" s="752" t="s">
        <v>49137</v>
      </c>
      <c r="F2101" s="751">
        <v>3275</v>
      </c>
    </row>
    <row r="2102" spans="1:6">
      <c r="A2102" s="753"/>
      <c r="B2102" s="753"/>
      <c r="C2102" s="752" t="s">
        <v>49136</v>
      </c>
      <c r="D2102" s="753" t="s">
        <v>49133</v>
      </c>
      <c r="E2102" s="752" t="s">
        <v>49135</v>
      </c>
      <c r="F2102" s="751">
        <v>4035</v>
      </c>
    </row>
    <row r="2103" spans="1:6">
      <c r="A2103" s="753"/>
      <c r="B2103" s="753"/>
      <c r="C2103" s="752" t="s">
        <v>49134</v>
      </c>
      <c r="D2103" s="753" t="s">
        <v>49133</v>
      </c>
      <c r="E2103" s="752" t="s">
        <v>49132</v>
      </c>
      <c r="F2103" s="751">
        <v>5125</v>
      </c>
    </row>
    <row r="2104" spans="1:6">
      <c r="A2104" s="753"/>
      <c r="B2104" s="753"/>
      <c r="C2104" s="752" t="s">
        <v>49131</v>
      </c>
      <c r="D2104" s="753" t="s">
        <v>49130</v>
      </c>
      <c r="E2104" s="752" t="s">
        <v>49129</v>
      </c>
      <c r="F2104" s="751">
        <v>4445</v>
      </c>
    </row>
    <row r="2105" spans="1:6">
      <c r="A2105" s="753"/>
      <c r="B2105" s="753"/>
      <c r="C2105" s="752" t="s">
        <v>49128</v>
      </c>
      <c r="D2105" s="753" t="s">
        <v>49111</v>
      </c>
      <c r="E2105" s="752" t="s">
        <v>49127</v>
      </c>
      <c r="F2105" s="751">
        <v>4325</v>
      </c>
    </row>
    <row r="2106" spans="1:6">
      <c r="A2106" s="753"/>
      <c r="B2106" s="753"/>
      <c r="C2106" s="752" t="s">
        <v>49126</v>
      </c>
      <c r="D2106" s="753" t="s">
        <v>49125</v>
      </c>
      <c r="E2106" s="752" t="s">
        <v>49124</v>
      </c>
      <c r="F2106" s="751">
        <v>4325</v>
      </c>
    </row>
    <row r="2107" spans="1:6">
      <c r="A2107" s="753"/>
      <c r="B2107" s="753"/>
      <c r="C2107" s="752" t="s">
        <v>49123</v>
      </c>
      <c r="D2107" s="753" t="s">
        <v>49122</v>
      </c>
      <c r="E2107" s="752" t="s">
        <v>49121</v>
      </c>
      <c r="F2107" s="751">
        <v>4745</v>
      </c>
    </row>
    <row r="2108" spans="1:6">
      <c r="A2108" s="753"/>
      <c r="B2108" s="753"/>
      <c r="C2108" s="752" t="s">
        <v>49120</v>
      </c>
      <c r="D2108" s="753" t="s">
        <v>49119</v>
      </c>
      <c r="E2108" s="752" t="s">
        <v>38570</v>
      </c>
      <c r="F2108" s="751">
        <v>5995</v>
      </c>
    </row>
    <row r="2109" spans="1:6">
      <c r="A2109" s="753"/>
      <c r="B2109" s="753"/>
      <c r="C2109" s="752" t="s">
        <v>49118</v>
      </c>
      <c r="D2109" s="753" t="s">
        <v>49117</v>
      </c>
      <c r="E2109" s="752" t="s">
        <v>49116</v>
      </c>
      <c r="F2109" s="751">
        <v>4100</v>
      </c>
    </row>
    <row r="2110" spans="1:6">
      <c r="A2110" s="753"/>
      <c r="B2110" s="753"/>
      <c r="C2110" s="752" t="s">
        <v>49115</v>
      </c>
      <c r="D2110" s="753" t="s">
        <v>49114</v>
      </c>
      <c r="E2110" s="752" t="s">
        <v>49113</v>
      </c>
      <c r="F2110" s="751">
        <v>2325</v>
      </c>
    </row>
    <row r="2111" spans="1:6">
      <c r="A2111" s="753"/>
      <c r="B2111" s="753"/>
      <c r="C2111" s="752" t="s">
        <v>49112</v>
      </c>
      <c r="D2111" s="753" t="s">
        <v>49111</v>
      </c>
      <c r="E2111" s="752" t="s">
        <v>49110</v>
      </c>
      <c r="F2111" s="751">
        <v>4325</v>
      </c>
    </row>
    <row r="2112" spans="1:6">
      <c r="A2112" s="753"/>
      <c r="B2112" s="753" t="s">
        <v>49109</v>
      </c>
      <c r="C2112" s="752" t="s">
        <v>49108</v>
      </c>
      <c r="D2112" s="753" t="s">
        <v>49107</v>
      </c>
      <c r="E2112" s="752" t="s">
        <v>293</v>
      </c>
      <c r="F2112" s="751">
        <v>4365</v>
      </c>
    </row>
    <row r="2113" spans="1:6">
      <c r="A2113" s="753"/>
      <c r="B2113" s="753"/>
      <c r="C2113" s="752" t="s">
        <v>49106</v>
      </c>
      <c r="D2113" s="753" t="s">
        <v>49105</v>
      </c>
      <c r="E2113" s="752" t="s">
        <v>293</v>
      </c>
      <c r="F2113" s="751">
        <v>4265</v>
      </c>
    </row>
    <row r="2114" spans="1:6">
      <c r="A2114" s="753"/>
      <c r="B2114" s="753"/>
      <c r="C2114" s="752" t="s">
        <v>49104</v>
      </c>
      <c r="D2114" s="753" t="s">
        <v>49102</v>
      </c>
      <c r="E2114" s="752" t="s">
        <v>293</v>
      </c>
      <c r="F2114" s="751">
        <v>3625</v>
      </c>
    </row>
    <row r="2115" spans="1:6">
      <c r="A2115" s="753"/>
      <c r="B2115" s="753"/>
      <c r="C2115" s="752" t="s">
        <v>49103</v>
      </c>
      <c r="D2115" s="753" t="s">
        <v>49102</v>
      </c>
      <c r="E2115" s="752" t="s">
        <v>38577</v>
      </c>
      <c r="F2115" s="751">
        <v>4385</v>
      </c>
    </row>
    <row r="2116" spans="1:6">
      <c r="A2116" s="753"/>
      <c r="B2116" s="753"/>
      <c r="C2116" s="752" t="s">
        <v>49101</v>
      </c>
      <c r="D2116" s="753" t="s">
        <v>49100</v>
      </c>
      <c r="E2116" s="752" t="s">
        <v>293</v>
      </c>
      <c r="F2116" s="751">
        <v>4595</v>
      </c>
    </row>
    <row r="2117" spans="1:6">
      <c r="A2117" s="753"/>
      <c r="B2117" s="753"/>
      <c r="C2117" s="752" t="s">
        <v>49099</v>
      </c>
      <c r="D2117" s="753" t="s">
        <v>49098</v>
      </c>
      <c r="E2117" s="752" t="s">
        <v>293</v>
      </c>
      <c r="F2117" s="751">
        <v>5195</v>
      </c>
    </row>
    <row r="2118" spans="1:6">
      <c r="A2118" s="753"/>
      <c r="B2118" s="753"/>
      <c r="C2118" s="752" t="s">
        <v>49097</v>
      </c>
      <c r="D2118" s="753" t="s">
        <v>49096</v>
      </c>
      <c r="E2118" s="752" t="s">
        <v>38584</v>
      </c>
      <c r="F2118" s="751">
        <v>2949</v>
      </c>
    </row>
    <row r="2119" spans="1:6">
      <c r="A2119" s="753"/>
      <c r="B2119" s="753"/>
      <c r="C2119" s="752" t="s">
        <v>49095</v>
      </c>
      <c r="D2119" s="753" t="s">
        <v>49090</v>
      </c>
      <c r="E2119" s="752" t="s">
        <v>293</v>
      </c>
      <c r="F2119" s="751">
        <v>2575</v>
      </c>
    </row>
    <row r="2120" spans="1:6">
      <c r="A2120" s="753"/>
      <c r="B2120" s="753"/>
      <c r="C2120" s="752" t="s">
        <v>49094</v>
      </c>
      <c r="D2120" s="753" t="s">
        <v>49090</v>
      </c>
      <c r="E2120" s="752" t="s">
        <v>41652</v>
      </c>
      <c r="F2120" s="751">
        <v>2575</v>
      </c>
    </row>
    <row r="2121" spans="1:6">
      <c r="A2121" s="753"/>
      <c r="B2121" s="753"/>
      <c r="C2121" s="752" t="s">
        <v>49093</v>
      </c>
      <c r="D2121" s="753" t="s">
        <v>49090</v>
      </c>
      <c r="E2121" s="752" t="s">
        <v>38919</v>
      </c>
      <c r="F2121" s="751">
        <v>3335</v>
      </c>
    </row>
    <row r="2122" spans="1:6">
      <c r="A2122" s="753"/>
      <c r="B2122" s="753"/>
      <c r="C2122" s="752" t="s">
        <v>49092</v>
      </c>
      <c r="D2122" s="753" t="s">
        <v>49090</v>
      </c>
      <c r="E2122" s="752" t="s">
        <v>38607</v>
      </c>
      <c r="F2122" s="751">
        <v>2825</v>
      </c>
    </row>
    <row r="2123" spans="1:6">
      <c r="A2123" s="753"/>
      <c r="B2123" s="753"/>
      <c r="C2123" s="752" t="s">
        <v>49091</v>
      </c>
      <c r="D2123" s="753" t="s">
        <v>49090</v>
      </c>
      <c r="E2123" s="752" t="s">
        <v>39430</v>
      </c>
      <c r="F2123" s="751">
        <v>2325</v>
      </c>
    </row>
    <row r="2124" spans="1:6">
      <c r="A2124" s="753"/>
      <c r="B2124" s="753"/>
      <c r="C2124" s="752" t="s">
        <v>49089</v>
      </c>
      <c r="D2124" s="753" t="s">
        <v>49086</v>
      </c>
      <c r="E2124" s="752" t="s">
        <v>293</v>
      </c>
      <c r="F2124" s="751">
        <v>3125</v>
      </c>
    </row>
    <row r="2125" spans="1:6">
      <c r="A2125" s="753"/>
      <c r="B2125" s="753"/>
      <c r="C2125" s="752" t="s">
        <v>49088</v>
      </c>
      <c r="D2125" s="753" t="s">
        <v>49086</v>
      </c>
      <c r="E2125" s="752" t="s">
        <v>38577</v>
      </c>
      <c r="F2125" s="751">
        <v>3885</v>
      </c>
    </row>
    <row r="2126" spans="1:6">
      <c r="A2126" s="753"/>
      <c r="B2126" s="753"/>
      <c r="C2126" s="752" t="s">
        <v>49087</v>
      </c>
      <c r="D2126" s="753" t="s">
        <v>49086</v>
      </c>
      <c r="E2126" s="752" t="s">
        <v>39430</v>
      </c>
      <c r="F2126" s="751">
        <v>2875</v>
      </c>
    </row>
    <row r="2127" spans="1:6">
      <c r="A2127" s="753"/>
      <c r="B2127" s="753"/>
      <c r="C2127" s="752" t="s">
        <v>49085</v>
      </c>
      <c r="D2127" s="753" t="s">
        <v>49083</v>
      </c>
      <c r="E2127" s="752" t="s">
        <v>293</v>
      </c>
      <c r="F2127" s="751">
        <v>3125</v>
      </c>
    </row>
    <row r="2128" spans="1:6">
      <c r="A2128" s="753"/>
      <c r="B2128" s="753"/>
      <c r="C2128" s="752" t="s">
        <v>49084</v>
      </c>
      <c r="D2128" s="753" t="s">
        <v>49083</v>
      </c>
      <c r="E2128" s="752" t="s">
        <v>39011</v>
      </c>
      <c r="F2128" s="751">
        <v>3885</v>
      </c>
    </row>
    <row r="2129" spans="1:6">
      <c r="A2129" s="753"/>
      <c r="B2129" s="753"/>
      <c r="C2129" s="752" t="s">
        <v>49082</v>
      </c>
      <c r="D2129" s="753" t="s">
        <v>49079</v>
      </c>
      <c r="E2129" s="752" t="s">
        <v>293</v>
      </c>
      <c r="F2129" s="751">
        <v>2375</v>
      </c>
    </row>
    <row r="2130" spans="1:6">
      <c r="A2130" s="753"/>
      <c r="B2130" s="753"/>
      <c r="C2130" s="752" t="s">
        <v>49081</v>
      </c>
      <c r="D2130" s="753" t="s">
        <v>49079</v>
      </c>
      <c r="E2130" s="752" t="s">
        <v>49074</v>
      </c>
      <c r="F2130" s="751">
        <v>2375</v>
      </c>
    </row>
    <row r="2131" spans="1:6">
      <c r="A2131" s="753"/>
      <c r="B2131" s="753"/>
      <c r="C2131" s="752" t="s">
        <v>49080</v>
      </c>
      <c r="D2131" s="753" t="s">
        <v>49079</v>
      </c>
      <c r="E2131" s="752" t="s">
        <v>38577</v>
      </c>
      <c r="F2131" s="751">
        <v>3135</v>
      </c>
    </row>
    <row r="2132" spans="1:6">
      <c r="A2132" s="753"/>
      <c r="B2132" s="753"/>
      <c r="C2132" s="752" t="s">
        <v>49078</v>
      </c>
      <c r="D2132" s="753" t="s">
        <v>49077</v>
      </c>
      <c r="E2132" s="752" t="s">
        <v>39430</v>
      </c>
      <c r="F2132" s="751">
        <v>2125</v>
      </c>
    </row>
    <row r="2133" spans="1:6">
      <c r="A2133" s="753"/>
      <c r="B2133" s="753"/>
      <c r="C2133" s="752" t="s">
        <v>49076</v>
      </c>
      <c r="D2133" s="753" t="s">
        <v>49072</v>
      </c>
      <c r="E2133" s="752" t="s">
        <v>293</v>
      </c>
      <c r="F2133" s="751">
        <v>2925</v>
      </c>
    </row>
    <row r="2134" spans="1:6">
      <c r="A2134" s="753"/>
      <c r="B2134" s="753"/>
      <c r="C2134" s="752" t="s">
        <v>49075</v>
      </c>
      <c r="D2134" s="753" t="s">
        <v>49072</v>
      </c>
      <c r="E2134" s="752" t="s">
        <v>49074</v>
      </c>
      <c r="F2134" s="751">
        <v>2925</v>
      </c>
    </row>
    <row r="2135" spans="1:6">
      <c r="A2135" s="753"/>
      <c r="B2135" s="753"/>
      <c r="C2135" s="752" t="s">
        <v>49073</v>
      </c>
      <c r="D2135" s="753" t="s">
        <v>49072</v>
      </c>
      <c r="E2135" s="752" t="s">
        <v>42054</v>
      </c>
      <c r="F2135" s="751">
        <v>3685</v>
      </c>
    </row>
    <row r="2136" spans="1:6">
      <c r="A2136" s="753"/>
      <c r="B2136" s="753"/>
      <c r="C2136" s="752" t="s">
        <v>49071</v>
      </c>
      <c r="D2136" s="753" t="s">
        <v>49069</v>
      </c>
      <c r="E2136" s="752" t="s">
        <v>39430</v>
      </c>
      <c r="F2136" s="751">
        <v>2675</v>
      </c>
    </row>
    <row r="2137" spans="1:6">
      <c r="A2137" s="753"/>
      <c r="B2137" s="753"/>
      <c r="C2137" s="752" t="s">
        <v>49070</v>
      </c>
      <c r="D2137" s="753" t="s">
        <v>49069</v>
      </c>
      <c r="E2137" s="752" t="s">
        <v>49068</v>
      </c>
      <c r="F2137" s="751">
        <v>3325</v>
      </c>
    </row>
    <row r="2138" spans="1:6">
      <c r="A2138" s="753"/>
      <c r="B2138" s="753"/>
      <c r="C2138" s="752" t="s">
        <v>49067</v>
      </c>
      <c r="D2138" s="753" t="s">
        <v>49066</v>
      </c>
      <c r="E2138" s="752" t="s">
        <v>293</v>
      </c>
      <c r="F2138" s="751">
        <v>2925</v>
      </c>
    </row>
    <row r="2139" spans="1:6">
      <c r="A2139" s="753"/>
      <c r="B2139" s="753"/>
      <c r="C2139" s="752" t="s">
        <v>49065</v>
      </c>
      <c r="D2139" s="753" t="s">
        <v>49064</v>
      </c>
      <c r="E2139" s="752" t="s">
        <v>39430</v>
      </c>
      <c r="F2139" s="751">
        <v>2225</v>
      </c>
    </row>
    <row r="2140" spans="1:6">
      <c r="A2140" s="753"/>
      <c r="B2140" s="753"/>
      <c r="C2140" s="752" t="s">
        <v>49063</v>
      </c>
      <c r="D2140" s="753" t="s">
        <v>49062</v>
      </c>
      <c r="E2140" s="752" t="s">
        <v>39430</v>
      </c>
      <c r="F2140" s="751">
        <v>2775</v>
      </c>
    </row>
    <row r="2141" spans="1:6">
      <c r="A2141" s="753"/>
      <c r="B2141" s="753" t="s">
        <v>49061</v>
      </c>
      <c r="C2141" s="752" t="s">
        <v>49060</v>
      </c>
      <c r="D2141" s="753" t="s">
        <v>49059</v>
      </c>
      <c r="E2141" s="752" t="s">
        <v>293</v>
      </c>
      <c r="F2141" s="751">
        <v>4265</v>
      </c>
    </row>
    <row r="2142" spans="1:6">
      <c r="A2142" s="753"/>
      <c r="B2142" s="753"/>
      <c r="C2142" s="752" t="s">
        <v>49058</v>
      </c>
      <c r="D2142" s="753" t="s">
        <v>49057</v>
      </c>
      <c r="E2142" s="752" t="s">
        <v>41347</v>
      </c>
      <c r="F2142" s="751">
        <v>2825</v>
      </c>
    </row>
    <row r="2143" spans="1:6">
      <c r="A2143" s="753"/>
      <c r="B2143" s="753"/>
      <c r="C2143" s="752" t="s">
        <v>49056</v>
      </c>
      <c r="D2143" s="753" t="s">
        <v>49054</v>
      </c>
      <c r="E2143" s="752" t="s">
        <v>41347</v>
      </c>
      <c r="F2143" s="751">
        <v>3375</v>
      </c>
    </row>
    <row r="2144" spans="1:6">
      <c r="A2144" s="753"/>
      <c r="B2144" s="753"/>
      <c r="C2144" s="752" t="s">
        <v>49055</v>
      </c>
      <c r="D2144" s="753" t="s">
        <v>49054</v>
      </c>
      <c r="E2144" s="752" t="s">
        <v>41395</v>
      </c>
      <c r="F2144" s="751">
        <v>4135</v>
      </c>
    </row>
    <row r="2145" spans="1:6">
      <c r="A2145" s="753"/>
      <c r="B2145" s="753"/>
      <c r="C2145" s="752" t="s">
        <v>49053</v>
      </c>
      <c r="D2145" s="753" t="s">
        <v>49052</v>
      </c>
      <c r="E2145" s="752" t="s">
        <v>41347</v>
      </c>
      <c r="F2145" s="751">
        <v>3375</v>
      </c>
    </row>
    <row r="2146" spans="1:6">
      <c r="A2146" s="753"/>
      <c r="B2146" s="753"/>
      <c r="C2146" s="752" t="s">
        <v>49051</v>
      </c>
      <c r="D2146" s="753" t="s">
        <v>49050</v>
      </c>
      <c r="E2146" s="752" t="s">
        <v>41347</v>
      </c>
      <c r="F2146" s="751">
        <v>2625</v>
      </c>
    </row>
    <row r="2147" spans="1:6">
      <c r="A2147" s="753"/>
      <c r="B2147" s="753"/>
      <c r="C2147" s="752" t="s">
        <v>49049</v>
      </c>
      <c r="D2147" s="753" t="s">
        <v>49048</v>
      </c>
      <c r="E2147" s="752" t="s">
        <v>41347</v>
      </c>
      <c r="F2147" s="751">
        <v>3175</v>
      </c>
    </row>
    <row r="2148" spans="1:6">
      <c r="A2148" s="753"/>
      <c r="B2148" s="753" t="s">
        <v>49047</v>
      </c>
      <c r="C2148" s="752" t="s">
        <v>49046</v>
      </c>
      <c r="D2148" s="753" t="s">
        <v>49045</v>
      </c>
      <c r="E2148" s="752" t="s">
        <v>39276</v>
      </c>
      <c r="F2148" s="751">
        <v>3965</v>
      </c>
    </row>
    <row r="2149" spans="1:6">
      <c r="A2149" s="753"/>
      <c r="B2149" s="753"/>
      <c r="C2149" s="752" t="s">
        <v>49044</v>
      </c>
      <c r="D2149" s="753" t="s">
        <v>49038</v>
      </c>
      <c r="E2149" s="752" t="s">
        <v>293</v>
      </c>
      <c r="F2149" s="751">
        <v>4515</v>
      </c>
    </row>
    <row r="2150" spans="1:6">
      <c r="A2150" s="753"/>
      <c r="B2150" s="753"/>
      <c r="C2150" s="752" t="s">
        <v>49043</v>
      </c>
      <c r="D2150" s="753" t="s">
        <v>49036</v>
      </c>
      <c r="E2150" s="752" t="s">
        <v>293</v>
      </c>
      <c r="F2150" s="751">
        <v>3875</v>
      </c>
    </row>
    <row r="2151" spans="1:6">
      <c r="A2151" s="753"/>
      <c r="B2151" s="753"/>
      <c r="C2151" s="752" t="s">
        <v>49042</v>
      </c>
      <c r="D2151" s="753" t="s">
        <v>49041</v>
      </c>
      <c r="E2151" s="752" t="s">
        <v>293</v>
      </c>
      <c r="F2151" s="751">
        <v>4615</v>
      </c>
    </row>
    <row r="2152" spans="1:6">
      <c r="A2152" s="753"/>
      <c r="B2152" s="753"/>
      <c r="C2152" s="752" t="s">
        <v>49040</v>
      </c>
      <c r="D2152" s="753" t="s">
        <v>49038</v>
      </c>
      <c r="E2152" s="752" t="s">
        <v>293</v>
      </c>
      <c r="F2152" s="751">
        <v>4515</v>
      </c>
    </row>
    <row r="2153" spans="1:6">
      <c r="A2153" s="753"/>
      <c r="B2153" s="753"/>
      <c r="C2153" s="752" t="s">
        <v>49039</v>
      </c>
      <c r="D2153" s="753" t="s">
        <v>49038</v>
      </c>
      <c r="E2153" s="752" t="s">
        <v>38670</v>
      </c>
      <c r="F2153" s="751">
        <v>5275</v>
      </c>
    </row>
    <row r="2154" spans="1:6">
      <c r="A2154" s="753"/>
      <c r="B2154" s="753"/>
      <c r="C2154" s="752" t="s">
        <v>49037</v>
      </c>
      <c r="D2154" s="753" t="s">
        <v>49036</v>
      </c>
      <c r="E2154" s="752" t="s">
        <v>293</v>
      </c>
      <c r="F2154" s="751">
        <v>3875</v>
      </c>
    </row>
    <row r="2155" spans="1:6">
      <c r="A2155" s="753"/>
      <c r="B2155" s="753"/>
      <c r="C2155" s="752" t="s">
        <v>49035</v>
      </c>
      <c r="D2155" s="753" t="s">
        <v>49034</v>
      </c>
      <c r="E2155" s="752" t="s">
        <v>293</v>
      </c>
      <c r="F2155" s="751">
        <v>5195</v>
      </c>
    </row>
    <row r="2156" spans="1:6">
      <c r="A2156" s="753"/>
      <c r="B2156" s="753"/>
      <c r="C2156" s="752" t="s">
        <v>49033</v>
      </c>
      <c r="D2156" s="753" t="s">
        <v>49032</v>
      </c>
      <c r="E2156" s="752" t="s">
        <v>293</v>
      </c>
      <c r="F2156" s="751">
        <v>5195</v>
      </c>
    </row>
    <row r="2157" spans="1:6">
      <c r="A2157" s="753"/>
      <c r="B2157" s="753"/>
      <c r="C2157" s="752" t="s">
        <v>49031</v>
      </c>
      <c r="D2157" s="753" t="s">
        <v>49030</v>
      </c>
      <c r="E2157" s="752" t="s">
        <v>38570</v>
      </c>
      <c r="F2157" s="751">
        <v>4745</v>
      </c>
    </row>
    <row r="2158" spans="1:6">
      <c r="A2158" s="753"/>
      <c r="B2158" s="753"/>
      <c r="C2158" s="752" t="s">
        <v>49029</v>
      </c>
      <c r="D2158" s="753" t="s">
        <v>49028</v>
      </c>
      <c r="E2158" s="752" t="s">
        <v>41347</v>
      </c>
      <c r="F2158" s="751">
        <v>4275</v>
      </c>
    </row>
    <row r="2159" spans="1:6">
      <c r="A2159" s="753"/>
      <c r="B2159" s="753"/>
      <c r="C2159" s="752" t="s">
        <v>49027</v>
      </c>
      <c r="D2159" s="753" t="s">
        <v>49026</v>
      </c>
      <c r="E2159" s="752" t="s">
        <v>38570</v>
      </c>
      <c r="F2159" s="751">
        <v>8995</v>
      </c>
    </row>
    <row r="2160" spans="1:6">
      <c r="A2160" s="753"/>
      <c r="B2160" s="753"/>
      <c r="C2160" s="752" t="s">
        <v>49025</v>
      </c>
      <c r="D2160" s="753" t="s">
        <v>49024</v>
      </c>
      <c r="E2160" s="752" t="s">
        <v>38570</v>
      </c>
      <c r="F2160" s="751">
        <v>5975</v>
      </c>
    </row>
    <row r="2161" spans="1:6">
      <c r="A2161" s="753"/>
      <c r="B2161" s="753"/>
      <c r="C2161" s="752" t="s">
        <v>49023</v>
      </c>
      <c r="D2161" s="753" t="s">
        <v>49022</v>
      </c>
      <c r="E2161" s="752" t="s">
        <v>38570</v>
      </c>
      <c r="F2161" s="751">
        <v>2899</v>
      </c>
    </row>
    <row r="2162" spans="1:6">
      <c r="A2162" s="753"/>
      <c r="B2162" s="753"/>
      <c r="C2162" s="752" t="s">
        <v>49021</v>
      </c>
      <c r="D2162" s="753" t="s">
        <v>49020</v>
      </c>
      <c r="E2162" s="752" t="s">
        <v>38570</v>
      </c>
      <c r="F2162" s="751">
        <v>3649</v>
      </c>
    </row>
    <row r="2163" spans="1:6">
      <c r="A2163" s="753"/>
      <c r="B2163" s="753"/>
      <c r="C2163" s="752" t="s">
        <v>49019</v>
      </c>
      <c r="D2163" s="753" t="s">
        <v>49018</v>
      </c>
      <c r="E2163" s="752" t="s">
        <v>293</v>
      </c>
      <c r="F2163" s="751">
        <v>3349</v>
      </c>
    </row>
    <row r="2164" spans="1:6">
      <c r="A2164" s="753"/>
      <c r="B2164" s="753"/>
      <c r="C2164" s="752" t="s">
        <v>49017</v>
      </c>
      <c r="D2164" s="753" t="s">
        <v>48946</v>
      </c>
      <c r="E2164" s="752" t="s">
        <v>40728</v>
      </c>
      <c r="F2164" s="751">
        <v>2825</v>
      </c>
    </row>
    <row r="2165" spans="1:6">
      <c r="A2165" s="753"/>
      <c r="B2165" s="753"/>
      <c r="C2165" s="752" t="s">
        <v>49016</v>
      </c>
      <c r="D2165" s="753" t="s">
        <v>48946</v>
      </c>
      <c r="E2165" s="752" t="s">
        <v>38962</v>
      </c>
      <c r="F2165" s="751">
        <v>2325</v>
      </c>
    </row>
    <row r="2166" spans="1:6">
      <c r="A2166" s="753"/>
      <c r="B2166" s="753"/>
      <c r="C2166" s="752" t="s">
        <v>49015</v>
      </c>
      <c r="D2166" s="753" t="s">
        <v>48946</v>
      </c>
      <c r="E2166" s="752" t="s">
        <v>40728</v>
      </c>
      <c r="F2166" s="751">
        <v>2825</v>
      </c>
    </row>
    <row r="2167" spans="1:6">
      <c r="A2167" s="753"/>
      <c r="B2167" s="753"/>
      <c r="C2167" s="752" t="s">
        <v>49014</v>
      </c>
      <c r="D2167" s="753" t="s">
        <v>48946</v>
      </c>
      <c r="E2167" s="752" t="s">
        <v>42530</v>
      </c>
      <c r="F2167" s="751">
        <v>3585</v>
      </c>
    </row>
    <row r="2168" spans="1:6">
      <c r="A2168" s="753"/>
      <c r="B2168" s="753"/>
      <c r="C2168" s="752" t="s">
        <v>49013</v>
      </c>
      <c r="D2168" s="753" t="s">
        <v>48946</v>
      </c>
      <c r="E2168" s="752" t="s">
        <v>48953</v>
      </c>
      <c r="F2168" s="751">
        <v>2775</v>
      </c>
    </row>
    <row r="2169" spans="1:6">
      <c r="A2169" s="753"/>
      <c r="B2169" s="753"/>
      <c r="C2169" s="752" t="s">
        <v>49012</v>
      </c>
      <c r="D2169" s="753" t="s">
        <v>48946</v>
      </c>
      <c r="E2169" s="752" t="s">
        <v>48969</v>
      </c>
      <c r="F2169" s="751">
        <v>3175</v>
      </c>
    </row>
    <row r="2170" spans="1:6">
      <c r="A2170" s="753"/>
      <c r="B2170" s="753"/>
      <c r="C2170" s="752" t="s">
        <v>49011</v>
      </c>
      <c r="D2170" s="753" t="s">
        <v>48946</v>
      </c>
      <c r="E2170" s="752" t="s">
        <v>49010</v>
      </c>
      <c r="F2170" s="751">
        <v>3915</v>
      </c>
    </row>
    <row r="2171" spans="1:6">
      <c r="A2171" s="753"/>
      <c r="B2171" s="753"/>
      <c r="C2171" s="752" t="s">
        <v>49009</v>
      </c>
      <c r="D2171" s="753" t="s">
        <v>48946</v>
      </c>
      <c r="E2171" s="752" t="s">
        <v>40390</v>
      </c>
      <c r="F2171" s="751">
        <v>2325</v>
      </c>
    </row>
    <row r="2172" spans="1:6">
      <c r="A2172" s="753"/>
      <c r="B2172" s="753"/>
      <c r="C2172" s="752" t="s">
        <v>49008</v>
      </c>
      <c r="D2172" s="753" t="s">
        <v>48946</v>
      </c>
      <c r="E2172" s="752" t="s">
        <v>40728</v>
      </c>
      <c r="F2172" s="751">
        <v>2825</v>
      </c>
    </row>
    <row r="2173" spans="1:6">
      <c r="A2173" s="753"/>
      <c r="B2173" s="753"/>
      <c r="C2173" s="752" t="s">
        <v>49007</v>
      </c>
      <c r="D2173" s="753" t="s">
        <v>48946</v>
      </c>
      <c r="E2173" s="752" t="s">
        <v>48953</v>
      </c>
      <c r="F2173" s="751">
        <v>2775</v>
      </c>
    </row>
    <row r="2174" spans="1:6">
      <c r="A2174" s="753"/>
      <c r="B2174" s="753"/>
      <c r="C2174" s="752" t="s">
        <v>49006</v>
      </c>
      <c r="D2174" s="753" t="s">
        <v>49001</v>
      </c>
      <c r="E2174" s="752" t="s">
        <v>40728</v>
      </c>
      <c r="F2174" s="751">
        <v>3375</v>
      </c>
    </row>
    <row r="2175" spans="1:6">
      <c r="A2175" s="753"/>
      <c r="B2175" s="753"/>
      <c r="C2175" s="752" t="s">
        <v>49005</v>
      </c>
      <c r="D2175" s="753" t="s">
        <v>49001</v>
      </c>
      <c r="E2175" s="752" t="s">
        <v>42530</v>
      </c>
      <c r="F2175" s="751">
        <v>4135</v>
      </c>
    </row>
    <row r="2176" spans="1:6">
      <c r="A2176" s="753"/>
      <c r="B2176" s="753"/>
      <c r="C2176" s="752" t="s">
        <v>49004</v>
      </c>
      <c r="D2176" s="753" t="s">
        <v>49001</v>
      </c>
      <c r="E2176" s="752" t="s">
        <v>40728</v>
      </c>
      <c r="F2176" s="751">
        <v>3375</v>
      </c>
    </row>
    <row r="2177" spans="1:6">
      <c r="A2177" s="753"/>
      <c r="B2177" s="753"/>
      <c r="C2177" s="752" t="s">
        <v>49003</v>
      </c>
      <c r="D2177" s="753" t="s">
        <v>49001</v>
      </c>
      <c r="E2177" s="752" t="s">
        <v>42530</v>
      </c>
      <c r="F2177" s="751">
        <v>4135</v>
      </c>
    </row>
    <row r="2178" spans="1:6">
      <c r="A2178" s="753"/>
      <c r="B2178" s="753"/>
      <c r="C2178" s="752" t="s">
        <v>49002</v>
      </c>
      <c r="D2178" s="753" t="s">
        <v>49001</v>
      </c>
      <c r="E2178" s="752" t="s">
        <v>40728</v>
      </c>
      <c r="F2178" s="751">
        <v>3375</v>
      </c>
    </row>
    <row r="2179" spans="1:6">
      <c r="A2179" s="753"/>
      <c r="B2179" s="753"/>
      <c r="C2179" s="752" t="s">
        <v>49000</v>
      </c>
      <c r="D2179" s="753" t="s">
        <v>48998</v>
      </c>
      <c r="E2179" s="752" t="s">
        <v>40728</v>
      </c>
      <c r="F2179" s="751">
        <v>3375</v>
      </c>
    </row>
    <row r="2180" spans="1:6">
      <c r="A2180" s="753"/>
      <c r="B2180" s="753"/>
      <c r="C2180" s="752" t="s">
        <v>48999</v>
      </c>
      <c r="D2180" s="753" t="s">
        <v>48998</v>
      </c>
      <c r="E2180" s="752" t="s">
        <v>40728</v>
      </c>
      <c r="F2180" s="751">
        <v>3375</v>
      </c>
    </row>
    <row r="2181" spans="1:6">
      <c r="A2181" s="753"/>
      <c r="B2181" s="753"/>
      <c r="C2181" s="752" t="s">
        <v>48997</v>
      </c>
      <c r="D2181" s="753" t="s">
        <v>48996</v>
      </c>
      <c r="E2181" s="752" t="s">
        <v>48953</v>
      </c>
      <c r="F2181" s="751">
        <v>3175</v>
      </c>
    </row>
    <row r="2182" spans="1:6">
      <c r="A2182" s="753"/>
      <c r="B2182" s="753"/>
      <c r="C2182" s="752" t="s">
        <v>48995</v>
      </c>
      <c r="D2182" s="753" t="s">
        <v>48994</v>
      </c>
      <c r="E2182" s="752" t="s">
        <v>40728</v>
      </c>
      <c r="F2182" s="751">
        <v>3375</v>
      </c>
    </row>
    <row r="2183" spans="1:6">
      <c r="A2183" s="753"/>
      <c r="B2183" s="753"/>
      <c r="C2183" s="752" t="s">
        <v>48993</v>
      </c>
      <c r="D2183" s="753" t="s">
        <v>48951</v>
      </c>
      <c r="E2183" s="752" t="s">
        <v>40728</v>
      </c>
      <c r="F2183" s="751">
        <v>2625</v>
      </c>
    </row>
    <row r="2184" spans="1:6">
      <c r="A2184" s="753"/>
      <c r="B2184" s="753"/>
      <c r="C2184" s="752" t="s">
        <v>48992</v>
      </c>
      <c r="D2184" s="753" t="s">
        <v>48951</v>
      </c>
      <c r="E2184" s="752" t="s">
        <v>40728</v>
      </c>
      <c r="F2184" s="751">
        <v>2625</v>
      </c>
    </row>
    <row r="2185" spans="1:6">
      <c r="A2185" s="753"/>
      <c r="B2185" s="753"/>
      <c r="C2185" s="752" t="s">
        <v>48991</v>
      </c>
      <c r="D2185" s="753" t="s">
        <v>48951</v>
      </c>
      <c r="E2185" s="752" t="s">
        <v>48983</v>
      </c>
      <c r="F2185" s="751">
        <v>2625</v>
      </c>
    </row>
    <row r="2186" spans="1:6">
      <c r="A2186" s="753"/>
      <c r="B2186" s="753"/>
      <c r="C2186" s="752" t="s">
        <v>48990</v>
      </c>
      <c r="D2186" s="753" t="s">
        <v>48951</v>
      </c>
      <c r="E2186" s="752" t="s">
        <v>48953</v>
      </c>
      <c r="F2186" s="751">
        <v>2575</v>
      </c>
    </row>
    <row r="2187" spans="1:6">
      <c r="A2187" s="753"/>
      <c r="B2187" s="753"/>
      <c r="C2187" s="752" t="s">
        <v>48989</v>
      </c>
      <c r="D2187" s="753" t="s">
        <v>48951</v>
      </c>
      <c r="E2187" s="752" t="s">
        <v>48953</v>
      </c>
      <c r="F2187" s="751">
        <v>3225</v>
      </c>
    </row>
    <row r="2188" spans="1:6">
      <c r="A2188" s="753"/>
      <c r="B2188" s="753"/>
      <c r="C2188" s="752" t="s">
        <v>48988</v>
      </c>
      <c r="D2188" s="753" t="s">
        <v>48951</v>
      </c>
      <c r="E2188" s="752" t="s">
        <v>40728</v>
      </c>
      <c r="F2188" s="751">
        <v>2625</v>
      </c>
    </row>
    <row r="2189" spans="1:6">
      <c r="A2189" s="753"/>
      <c r="B2189" s="753"/>
      <c r="C2189" s="752" t="s">
        <v>48987</v>
      </c>
      <c r="D2189" s="753" t="s">
        <v>48951</v>
      </c>
      <c r="E2189" s="752" t="s">
        <v>48953</v>
      </c>
      <c r="F2189" s="751">
        <v>2975</v>
      </c>
    </row>
    <row r="2190" spans="1:6">
      <c r="A2190" s="753"/>
      <c r="B2190" s="753"/>
      <c r="C2190" s="752" t="s">
        <v>48986</v>
      </c>
      <c r="D2190" s="753" t="s">
        <v>48981</v>
      </c>
      <c r="E2190" s="752" t="s">
        <v>40728</v>
      </c>
      <c r="F2190" s="751">
        <v>3175</v>
      </c>
    </row>
    <row r="2191" spans="1:6">
      <c r="A2191" s="753"/>
      <c r="B2191" s="753"/>
      <c r="C2191" s="752" t="s">
        <v>48985</v>
      </c>
      <c r="D2191" s="753" t="s">
        <v>48981</v>
      </c>
      <c r="E2191" s="752" t="s">
        <v>40728</v>
      </c>
      <c r="F2191" s="751">
        <v>3175</v>
      </c>
    </row>
    <row r="2192" spans="1:6">
      <c r="A2192" s="753"/>
      <c r="B2192" s="753"/>
      <c r="C2192" s="752" t="s">
        <v>48984</v>
      </c>
      <c r="D2192" s="753" t="s">
        <v>48981</v>
      </c>
      <c r="E2192" s="752" t="s">
        <v>48983</v>
      </c>
      <c r="F2192" s="751">
        <v>3935</v>
      </c>
    </row>
    <row r="2193" spans="1:6">
      <c r="A2193" s="753"/>
      <c r="B2193" s="753"/>
      <c r="C2193" s="752" t="s">
        <v>48982</v>
      </c>
      <c r="D2193" s="753" t="s">
        <v>48981</v>
      </c>
      <c r="E2193" s="752" t="s">
        <v>40728</v>
      </c>
      <c r="F2193" s="751">
        <v>3175</v>
      </c>
    </row>
    <row r="2194" spans="1:6">
      <c r="A2194" s="753"/>
      <c r="B2194" s="753"/>
      <c r="C2194" s="752" t="s">
        <v>48980</v>
      </c>
      <c r="D2194" s="753" t="s">
        <v>48978</v>
      </c>
      <c r="E2194" s="752" t="s">
        <v>40728</v>
      </c>
      <c r="F2194" s="751">
        <v>3175</v>
      </c>
    </row>
    <row r="2195" spans="1:6">
      <c r="A2195" s="753"/>
      <c r="B2195" s="753"/>
      <c r="C2195" s="752" t="s">
        <v>48979</v>
      </c>
      <c r="D2195" s="753" t="s">
        <v>48978</v>
      </c>
      <c r="E2195" s="752" t="s">
        <v>48977</v>
      </c>
      <c r="F2195" s="751">
        <v>3935</v>
      </c>
    </row>
    <row r="2196" spans="1:6">
      <c r="A2196" s="753"/>
      <c r="B2196" s="753"/>
      <c r="C2196" s="752" t="s">
        <v>48976</v>
      </c>
      <c r="D2196" s="753" t="s">
        <v>48975</v>
      </c>
      <c r="E2196" s="752" t="s">
        <v>40728</v>
      </c>
      <c r="F2196" s="751">
        <v>3175</v>
      </c>
    </row>
    <row r="2197" spans="1:6">
      <c r="A2197" s="753"/>
      <c r="B2197" s="753"/>
      <c r="C2197" s="752" t="s">
        <v>48974</v>
      </c>
      <c r="D2197" s="753" t="s">
        <v>48949</v>
      </c>
      <c r="E2197" s="752" t="s">
        <v>40728</v>
      </c>
      <c r="F2197" s="751">
        <v>2725</v>
      </c>
    </row>
    <row r="2198" spans="1:6">
      <c r="A2198" s="753"/>
      <c r="B2198" s="753"/>
      <c r="C2198" s="752" t="s">
        <v>48973</v>
      </c>
      <c r="D2198" s="753" t="s">
        <v>48949</v>
      </c>
      <c r="E2198" s="752" t="s">
        <v>40728</v>
      </c>
      <c r="F2198" s="751">
        <v>2725</v>
      </c>
    </row>
    <row r="2199" spans="1:6">
      <c r="A2199" s="753"/>
      <c r="B2199" s="753"/>
      <c r="C2199" s="752" t="s">
        <v>48972</v>
      </c>
      <c r="D2199" s="753" t="s">
        <v>48949</v>
      </c>
      <c r="E2199" s="752" t="s">
        <v>42530</v>
      </c>
      <c r="F2199" s="751">
        <v>3485</v>
      </c>
    </row>
    <row r="2200" spans="1:6">
      <c r="A2200" s="753"/>
      <c r="B2200" s="753"/>
      <c r="C2200" s="752" t="s">
        <v>48971</v>
      </c>
      <c r="D2200" s="753" t="s">
        <v>48949</v>
      </c>
      <c r="E2200" s="752" t="s">
        <v>48953</v>
      </c>
      <c r="F2200" s="751">
        <v>2675</v>
      </c>
    </row>
    <row r="2201" spans="1:6">
      <c r="A2201" s="753"/>
      <c r="B2201" s="753"/>
      <c r="C2201" s="752" t="s">
        <v>48970</v>
      </c>
      <c r="D2201" s="753" t="s">
        <v>48949</v>
      </c>
      <c r="E2201" s="752" t="s">
        <v>48969</v>
      </c>
      <c r="F2201" s="751">
        <v>3125</v>
      </c>
    </row>
    <row r="2202" spans="1:6">
      <c r="A2202" s="753"/>
      <c r="B2202" s="753"/>
      <c r="C2202" s="752" t="s">
        <v>48968</v>
      </c>
      <c r="D2202" s="753" t="s">
        <v>48949</v>
      </c>
      <c r="E2202" s="752" t="s">
        <v>37750</v>
      </c>
      <c r="F2202" s="751">
        <v>2225</v>
      </c>
    </row>
    <row r="2203" spans="1:6">
      <c r="A2203" s="753"/>
      <c r="B2203" s="753"/>
      <c r="C2203" s="752" t="s">
        <v>48967</v>
      </c>
      <c r="D2203" s="753" t="s">
        <v>48949</v>
      </c>
      <c r="E2203" s="752" t="s">
        <v>40728</v>
      </c>
      <c r="F2203" s="751">
        <v>2725</v>
      </c>
    </row>
    <row r="2204" spans="1:6">
      <c r="A2204" s="753"/>
      <c r="B2204" s="753"/>
      <c r="C2204" s="752" t="s">
        <v>48966</v>
      </c>
      <c r="D2204" s="753" t="s">
        <v>48949</v>
      </c>
      <c r="E2204" s="752" t="s">
        <v>48953</v>
      </c>
      <c r="F2204" s="751">
        <v>2675</v>
      </c>
    </row>
    <row r="2205" spans="1:6">
      <c r="A2205" s="753"/>
      <c r="B2205" s="753"/>
      <c r="C2205" s="752" t="s">
        <v>48965</v>
      </c>
      <c r="D2205" s="753" t="s">
        <v>48963</v>
      </c>
      <c r="E2205" s="752" t="s">
        <v>40728</v>
      </c>
      <c r="F2205" s="751">
        <v>3275</v>
      </c>
    </row>
    <row r="2206" spans="1:6">
      <c r="A2206" s="753"/>
      <c r="B2206" s="753"/>
      <c r="C2206" s="752" t="s">
        <v>48964</v>
      </c>
      <c r="D2206" s="753" t="s">
        <v>48963</v>
      </c>
      <c r="E2206" s="752" t="s">
        <v>40728</v>
      </c>
      <c r="F2206" s="751">
        <v>3275</v>
      </c>
    </row>
    <row r="2207" spans="1:6">
      <c r="A2207" s="753"/>
      <c r="B2207" s="753"/>
      <c r="C2207" s="752" t="s">
        <v>48962</v>
      </c>
      <c r="D2207" s="753" t="s">
        <v>48960</v>
      </c>
      <c r="E2207" s="752" t="s">
        <v>40728</v>
      </c>
      <c r="F2207" s="751">
        <v>3275</v>
      </c>
    </row>
    <row r="2208" spans="1:6">
      <c r="A2208" s="753"/>
      <c r="B2208" s="753"/>
      <c r="C2208" s="752" t="s">
        <v>48961</v>
      </c>
      <c r="D2208" s="753" t="s">
        <v>48960</v>
      </c>
      <c r="E2208" s="752" t="s">
        <v>48959</v>
      </c>
      <c r="F2208" s="751">
        <v>4035</v>
      </c>
    </row>
    <row r="2209" spans="1:6">
      <c r="A2209" s="753"/>
      <c r="B2209" s="753"/>
      <c r="C2209" s="752" t="s">
        <v>48958</v>
      </c>
      <c r="D2209" s="753" t="s">
        <v>48957</v>
      </c>
      <c r="E2209" s="752" t="s">
        <v>293</v>
      </c>
      <c r="F2209" s="751">
        <v>4130</v>
      </c>
    </row>
    <row r="2210" spans="1:6">
      <c r="A2210" s="753"/>
      <c r="B2210" s="753"/>
      <c r="C2210" s="752" t="s">
        <v>48956</v>
      </c>
      <c r="D2210" s="753" t="s">
        <v>48955</v>
      </c>
      <c r="E2210" s="752" t="s">
        <v>40176</v>
      </c>
      <c r="F2210" s="751">
        <v>6310</v>
      </c>
    </row>
    <row r="2211" spans="1:6">
      <c r="A2211" s="753"/>
      <c r="B2211" s="753"/>
      <c r="C2211" s="752" t="s">
        <v>48954</v>
      </c>
      <c r="D2211" s="753" t="s">
        <v>48951</v>
      </c>
      <c r="E2211" s="752" t="s">
        <v>48953</v>
      </c>
      <c r="F2211" s="751">
        <v>2475</v>
      </c>
    </row>
    <row r="2212" spans="1:6">
      <c r="A2212" s="753"/>
      <c r="B2212" s="753"/>
      <c r="C2212" s="752" t="s">
        <v>48952</v>
      </c>
      <c r="D2212" s="753" t="s">
        <v>48951</v>
      </c>
      <c r="E2212" s="752" t="s">
        <v>48948</v>
      </c>
      <c r="F2212" s="751">
        <v>2125</v>
      </c>
    </row>
    <row r="2213" spans="1:6">
      <c r="A2213" s="753"/>
      <c r="B2213" s="753"/>
      <c r="C2213" s="752" t="s">
        <v>48950</v>
      </c>
      <c r="D2213" s="753" t="s">
        <v>48949</v>
      </c>
      <c r="E2213" s="752" t="s">
        <v>48948</v>
      </c>
      <c r="F2213" s="751">
        <v>2225</v>
      </c>
    </row>
    <row r="2214" spans="1:6">
      <c r="A2214" s="753"/>
      <c r="B2214" s="753"/>
      <c r="C2214" s="752" t="s">
        <v>48947</v>
      </c>
      <c r="D2214" s="753" t="s">
        <v>48946</v>
      </c>
      <c r="E2214" s="752" t="s">
        <v>40728</v>
      </c>
      <c r="F2214" s="751">
        <v>2325</v>
      </c>
    </row>
    <row r="2215" spans="1:6">
      <c r="A2215" s="753"/>
      <c r="B2215" s="753" t="s">
        <v>48945</v>
      </c>
      <c r="C2215" s="752" t="s">
        <v>48944</v>
      </c>
      <c r="D2215" s="753" t="s">
        <v>48943</v>
      </c>
      <c r="E2215" s="752" t="s">
        <v>293</v>
      </c>
      <c r="F2215" s="751">
        <v>2125</v>
      </c>
    </row>
    <row r="2216" spans="1:6">
      <c r="A2216" s="753"/>
      <c r="B2216" s="753"/>
      <c r="C2216" s="752" t="s">
        <v>48942</v>
      </c>
      <c r="D2216" s="753" t="s">
        <v>48941</v>
      </c>
      <c r="E2216" s="752" t="s">
        <v>293</v>
      </c>
      <c r="F2216" s="751">
        <v>2675</v>
      </c>
    </row>
    <row r="2217" spans="1:6">
      <c r="A2217" s="753"/>
      <c r="B2217" s="753"/>
      <c r="C2217" s="752" t="s">
        <v>48940</v>
      </c>
      <c r="D2217" s="753" t="s">
        <v>48939</v>
      </c>
      <c r="E2217" s="752" t="s">
        <v>293</v>
      </c>
      <c r="F2217" s="751">
        <v>1925</v>
      </c>
    </row>
    <row r="2218" spans="1:6">
      <c r="A2218" s="753"/>
      <c r="B2218" s="753"/>
      <c r="C2218" s="752" t="s">
        <v>48938</v>
      </c>
      <c r="D2218" s="753" t="s">
        <v>48937</v>
      </c>
      <c r="E2218" s="752" t="s">
        <v>293</v>
      </c>
      <c r="F2218" s="751">
        <v>2475</v>
      </c>
    </row>
    <row r="2219" spans="1:6">
      <c r="A2219" s="753"/>
      <c r="B2219" s="753"/>
      <c r="C2219" s="752" t="s">
        <v>48936</v>
      </c>
      <c r="D2219" s="753" t="s">
        <v>48934</v>
      </c>
      <c r="E2219" s="752" t="s">
        <v>293</v>
      </c>
      <c r="F2219" s="751">
        <v>2575</v>
      </c>
    </row>
    <row r="2220" spans="1:6">
      <c r="A2220" s="753"/>
      <c r="B2220" s="753"/>
      <c r="C2220" s="752" t="s">
        <v>48935</v>
      </c>
      <c r="D2220" s="753" t="s">
        <v>48934</v>
      </c>
      <c r="E2220" s="752" t="s">
        <v>37794</v>
      </c>
      <c r="F2220" s="751">
        <v>3335</v>
      </c>
    </row>
    <row r="2221" spans="1:6">
      <c r="A2221" s="753"/>
      <c r="B2221" s="753" t="s">
        <v>48933</v>
      </c>
      <c r="C2221" s="752" t="s">
        <v>48932</v>
      </c>
      <c r="D2221" s="753" t="s">
        <v>48930</v>
      </c>
      <c r="E2221" s="752" t="s">
        <v>293</v>
      </c>
      <c r="F2221" s="751">
        <v>4765</v>
      </c>
    </row>
    <row r="2222" spans="1:6">
      <c r="A2222" s="753"/>
      <c r="B2222" s="753"/>
      <c r="C2222" s="752" t="s">
        <v>48931</v>
      </c>
      <c r="D2222" s="753" t="s">
        <v>48930</v>
      </c>
      <c r="E2222" s="752" t="s">
        <v>48328</v>
      </c>
      <c r="F2222" s="751">
        <v>5525</v>
      </c>
    </row>
    <row r="2223" spans="1:6">
      <c r="A2223" s="753"/>
      <c r="B2223" s="753"/>
      <c r="C2223" s="752" t="s">
        <v>48929</v>
      </c>
      <c r="D2223" s="753" t="s">
        <v>48928</v>
      </c>
      <c r="E2223" s="752" t="s">
        <v>48328</v>
      </c>
      <c r="F2223" s="751">
        <v>4885</v>
      </c>
    </row>
    <row r="2224" spans="1:6">
      <c r="A2224" s="753"/>
      <c r="B2224" s="753"/>
      <c r="C2224" s="752" t="s">
        <v>48927</v>
      </c>
      <c r="D2224" s="753" t="s">
        <v>48926</v>
      </c>
      <c r="E2224" s="752" t="s">
        <v>293</v>
      </c>
      <c r="F2224" s="751">
        <v>4365</v>
      </c>
    </row>
    <row r="2225" spans="1:6">
      <c r="A2225" s="753"/>
      <c r="B2225" s="753"/>
      <c r="C2225" s="752" t="s">
        <v>48925</v>
      </c>
      <c r="D2225" s="753" t="s">
        <v>48921</v>
      </c>
      <c r="E2225" s="752" t="s">
        <v>293</v>
      </c>
      <c r="F2225" s="751">
        <v>5195</v>
      </c>
    </row>
    <row r="2226" spans="1:6">
      <c r="A2226" s="753"/>
      <c r="B2226" s="753"/>
      <c r="C2226" s="752" t="s">
        <v>48924</v>
      </c>
      <c r="D2226" s="753" t="s">
        <v>48923</v>
      </c>
      <c r="E2226" s="752" t="s">
        <v>293</v>
      </c>
      <c r="F2226" s="751">
        <v>4745</v>
      </c>
    </row>
    <row r="2227" spans="1:6">
      <c r="A2227" s="753"/>
      <c r="B2227" s="753"/>
      <c r="C2227" s="752" t="s">
        <v>48922</v>
      </c>
      <c r="D2227" s="753" t="s">
        <v>48921</v>
      </c>
      <c r="E2227" s="752" t="s">
        <v>293</v>
      </c>
      <c r="F2227" s="751">
        <v>5195</v>
      </c>
    </row>
    <row r="2228" spans="1:6">
      <c r="A2228" s="753"/>
      <c r="B2228" s="753"/>
      <c r="C2228" s="752" t="s">
        <v>48920</v>
      </c>
      <c r="D2228" s="753" t="s">
        <v>48918</v>
      </c>
      <c r="E2228" s="752" t="s">
        <v>39691</v>
      </c>
      <c r="F2228" s="751">
        <v>3075</v>
      </c>
    </row>
    <row r="2229" spans="1:6">
      <c r="A2229" s="753"/>
      <c r="B2229" s="753"/>
      <c r="C2229" s="752" t="s">
        <v>48919</v>
      </c>
      <c r="D2229" s="753" t="s">
        <v>48918</v>
      </c>
      <c r="E2229" s="752" t="s">
        <v>48328</v>
      </c>
      <c r="F2229" s="751">
        <v>3835</v>
      </c>
    </row>
    <row r="2230" spans="1:6">
      <c r="A2230" s="753"/>
      <c r="B2230" s="753"/>
      <c r="C2230" s="752" t="s">
        <v>48917</v>
      </c>
      <c r="D2230" s="753" t="s">
        <v>48914</v>
      </c>
      <c r="E2230" s="752" t="s">
        <v>39691</v>
      </c>
      <c r="F2230" s="751">
        <v>3625</v>
      </c>
    </row>
    <row r="2231" spans="1:6">
      <c r="A2231" s="753"/>
      <c r="B2231" s="753"/>
      <c r="C2231" s="752" t="s">
        <v>48916</v>
      </c>
      <c r="D2231" s="753" t="s">
        <v>48914</v>
      </c>
      <c r="E2231" s="752" t="s">
        <v>48328</v>
      </c>
      <c r="F2231" s="751">
        <v>4385</v>
      </c>
    </row>
    <row r="2232" spans="1:6">
      <c r="A2232" s="753"/>
      <c r="B2232" s="753"/>
      <c r="C2232" s="752" t="s">
        <v>48915</v>
      </c>
      <c r="D2232" s="753" t="s">
        <v>48914</v>
      </c>
      <c r="E2232" s="752" t="s">
        <v>39681</v>
      </c>
      <c r="F2232" s="751">
        <v>3125</v>
      </c>
    </row>
    <row r="2233" spans="1:6">
      <c r="A2233" s="753"/>
      <c r="B2233" s="753"/>
      <c r="C2233" s="752" t="s">
        <v>48913</v>
      </c>
      <c r="D2233" s="753" t="s">
        <v>48912</v>
      </c>
      <c r="E2233" s="752" t="s">
        <v>39691</v>
      </c>
      <c r="F2233" s="751">
        <v>3625</v>
      </c>
    </row>
    <row r="2234" spans="1:6">
      <c r="A2234" s="753"/>
      <c r="B2234" s="753"/>
      <c r="C2234" s="752" t="s">
        <v>48911</v>
      </c>
      <c r="D2234" s="753" t="s">
        <v>48910</v>
      </c>
      <c r="E2234" s="752" t="s">
        <v>39691</v>
      </c>
      <c r="F2234" s="751">
        <v>2875</v>
      </c>
    </row>
    <row r="2235" spans="1:6">
      <c r="A2235" s="753"/>
      <c r="B2235" s="753"/>
      <c r="C2235" s="752" t="s">
        <v>48909</v>
      </c>
      <c r="D2235" s="753" t="s">
        <v>48907</v>
      </c>
      <c r="E2235" s="752" t="s">
        <v>39691</v>
      </c>
      <c r="F2235" s="751">
        <v>3425</v>
      </c>
    </row>
    <row r="2236" spans="1:6">
      <c r="A2236" s="753"/>
      <c r="B2236" s="753"/>
      <c r="C2236" s="752" t="s">
        <v>48908</v>
      </c>
      <c r="D2236" s="753" t="s">
        <v>48907</v>
      </c>
      <c r="E2236" s="752" t="s">
        <v>39681</v>
      </c>
      <c r="F2236" s="751">
        <v>3425</v>
      </c>
    </row>
    <row r="2237" spans="1:6">
      <c r="A2237" s="753"/>
      <c r="B2237" s="753" t="s">
        <v>48906</v>
      </c>
      <c r="C2237" s="752" t="s">
        <v>48905</v>
      </c>
      <c r="D2237" s="753" t="s">
        <v>48903</v>
      </c>
      <c r="E2237" s="752" t="s">
        <v>39691</v>
      </c>
      <c r="F2237" s="751">
        <v>2825</v>
      </c>
    </row>
    <row r="2238" spans="1:6">
      <c r="A2238" s="753"/>
      <c r="B2238" s="753"/>
      <c r="C2238" s="752" t="s">
        <v>48904</v>
      </c>
      <c r="D2238" s="753" t="s">
        <v>48903</v>
      </c>
      <c r="E2238" s="752" t="s">
        <v>39681</v>
      </c>
      <c r="F2238" s="751">
        <v>2825</v>
      </c>
    </row>
    <row r="2239" spans="1:6">
      <c r="A2239" s="753"/>
      <c r="B2239" s="753"/>
      <c r="C2239" s="752" t="s">
        <v>48902</v>
      </c>
      <c r="D2239" s="753" t="s">
        <v>48900</v>
      </c>
      <c r="E2239" s="752" t="s">
        <v>39691</v>
      </c>
      <c r="F2239" s="751">
        <v>3375</v>
      </c>
    </row>
    <row r="2240" spans="1:6">
      <c r="A2240" s="753"/>
      <c r="B2240" s="753"/>
      <c r="C2240" s="752" t="s">
        <v>48901</v>
      </c>
      <c r="D2240" s="753" t="s">
        <v>48900</v>
      </c>
      <c r="E2240" s="752" t="s">
        <v>39681</v>
      </c>
      <c r="F2240" s="751">
        <v>3375</v>
      </c>
    </row>
    <row r="2241" spans="1:6">
      <c r="A2241" s="753"/>
      <c r="B2241" s="753"/>
      <c r="C2241" s="752" t="s">
        <v>48899</v>
      </c>
      <c r="D2241" s="753" t="s">
        <v>48897</v>
      </c>
      <c r="E2241" s="752" t="s">
        <v>39691</v>
      </c>
      <c r="F2241" s="751">
        <v>2625</v>
      </c>
    </row>
    <row r="2242" spans="1:6">
      <c r="A2242" s="753"/>
      <c r="B2242" s="753"/>
      <c r="C2242" s="752" t="s">
        <v>48898</v>
      </c>
      <c r="D2242" s="753" t="s">
        <v>48897</v>
      </c>
      <c r="E2242" s="752" t="s">
        <v>39681</v>
      </c>
      <c r="F2242" s="751">
        <v>2625</v>
      </c>
    </row>
    <row r="2243" spans="1:6">
      <c r="A2243" s="753"/>
      <c r="B2243" s="753"/>
      <c r="C2243" s="752" t="s">
        <v>48896</v>
      </c>
      <c r="D2243" s="753" t="s">
        <v>48891</v>
      </c>
      <c r="E2243" s="752" t="s">
        <v>39691</v>
      </c>
      <c r="F2243" s="751">
        <v>3175</v>
      </c>
    </row>
    <row r="2244" spans="1:6">
      <c r="A2244" s="753"/>
      <c r="B2244" s="753"/>
      <c r="C2244" s="752" t="s">
        <v>48895</v>
      </c>
      <c r="D2244" s="753" t="s">
        <v>48891</v>
      </c>
      <c r="E2244" s="752" t="s">
        <v>39681</v>
      </c>
      <c r="F2244" s="751">
        <v>3175</v>
      </c>
    </row>
    <row r="2245" spans="1:6">
      <c r="A2245" s="753"/>
      <c r="B2245" s="753"/>
      <c r="C2245" s="752" t="s">
        <v>48894</v>
      </c>
      <c r="D2245" s="753" t="s">
        <v>48891</v>
      </c>
      <c r="E2245" s="752" t="s">
        <v>48893</v>
      </c>
      <c r="F2245" s="751">
        <v>3935</v>
      </c>
    </row>
    <row r="2246" spans="1:6">
      <c r="A2246" s="753"/>
      <c r="B2246" s="753"/>
      <c r="C2246" s="752" t="s">
        <v>48892</v>
      </c>
      <c r="D2246" s="753" t="s">
        <v>48891</v>
      </c>
      <c r="E2246" s="752" t="s">
        <v>39681</v>
      </c>
      <c r="F2246" s="751">
        <v>3425</v>
      </c>
    </row>
    <row r="2247" spans="1:6">
      <c r="A2247" s="753"/>
      <c r="B2247" s="753" t="s">
        <v>48890</v>
      </c>
      <c r="C2247" s="752" t="s">
        <v>48889</v>
      </c>
      <c r="D2247" s="753" t="s">
        <v>48888</v>
      </c>
      <c r="E2247" s="752" t="s">
        <v>293</v>
      </c>
      <c r="F2247" s="751">
        <v>2625</v>
      </c>
    </row>
    <row r="2248" spans="1:6">
      <c r="A2248" s="753"/>
      <c r="B2248" s="753" t="s">
        <v>48887</v>
      </c>
      <c r="C2248" s="752" t="s">
        <v>48886</v>
      </c>
      <c r="D2248" s="753" t="s">
        <v>48885</v>
      </c>
      <c r="E2248" s="752" t="s">
        <v>39097</v>
      </c>
      <c r="F2248" s="751">
        <v>3349</v>
      </c>
    </row>
    <row r="2249" spans="1:6">
      <c r="A2249" s="753"/>
      <c r="B2249" s="753"/>
      <c r="C2249" s="752" t="s">
        <v>48884</v>
      </c>
      <c r="D2249" s="753" t="s">
        <v>48883</v>
      </c>
      <c r="E2249" s="752" t="s">
        <v>293</v>
      </c>
      <c r="F2249" s="751">
        <v>2949</v>
      </c>
    </row>
    <row r="2250" spans="1:6">
      <c r="A2250" s="753" t="s">
        <v>48882</v>
      </c>
      <c r="B2250" s="753">
        <v>200</v>
      </c>
      <c r="C2250" s="752" t="s">
        <v>48881</v>
      </c>
      <c r="D2250" s="753" t="s">
        <v>48877</v>
      </c>
      <c r="E2250" s="752" t="s">
        <v>37838</v>
      </c>
      <c r="F2250" s="751">
        <v>1975</v>
      </c>
    </row>
    <row r="2251" spans="1:6">
      <c r="A2251" s="753"/>
      <c r="B2251" s="753"/>
      <c r="C2251" s="752" t="s">
        <v>48880</v>
      </c>
      <c r="D2251" s="753" t="s">
        <v>48877</v>
      </c>
      <c r="E2251" s="752" t="s">
        <v>37838</v>
      </c>
      <c r="F2251" s="751">
        <v>1975</v>
      </c>
    </row>
    <row r="2252" spans="1:6">
      <c r="A2252" s="753"/>
      <c r="B2252" s="753"/>
      <c r="C2252" s="752" t="s">
        <v>48879</v>
      </c>
      <c r="D2252" s="753" t="s">
        <v>48877</v>
      </c>
      <c r="E2252" s="752" t="s">
        <v>37838</v>
      </c>
      <c r="F2252" s="751">
        <v>1975</v>
      </c>
    </row>
    <row r="2253" spans="1:6">
      <c r="A2253" s="753"/>
      <c r="B2253" s="753"/>
      <c r="C2253" s="752" t="s">
        <v>48878</v>
      </c>
      <c r="D2253" s="753" t="s">
        <v>48877</v>
      </c>
      <c r="E2253" s="752" t="s">
        <v>39055</v>
      </c>
      <c r="F2253" s="751">
        <v>1975</v>
      </c>
    </row>
    <row r="2254" spans="1:6">
      <c r="A2254" s="753"/>
      <c r="B2254" s="753">
        <v>300</v>
      </c>
      <c r="C2254" s="752" t="s">
        <v>48876</v>
      </c>
      <c r="D2254" s="753" t="s">
        <v>48874</v>
      </c>
      <c r="E2254" s="752" t="s">
        <v>37838</v>
      </c>
      <c r="F2254" s="751">
        <v>1975</v>
      </c>
    </row>
    <row r="2255" spans="1:6">
      <c r="A2255" s="753"/>
      <c r="B2255" s="753"/>
      <c r="C2255" s="752" t="s">
        <v>48875</v>
      </c>
      <c r="D2255" s="753" t="s">
        <v>48874</v>
      </c>
      <c r="E2255" s="752" t="s">
        <v>37838</v>
      </c>
      <c r="F2255" s="751">
        <v>1975</v>
      </c>
    </row>
    <row r="2256" spans="1:6">
      <c r="A2256" s="753"/>
      <c r="B2256" s="753" t="s">
        <v>48873</v>
      </c>
      <c r="C2256" s="752" t="s">
        <v>48872</v>
      </c>
      <c r="D2256" s="753" t="s">
        <v>48871</v>
      </c>
      <c r="E2256" s="752" t="s">
        <v>293</v>
      </c>
      <c r="F2256" s="751">
        <v>2825</v>
      </c>
    </row>
    <row r="2257" spans="1:6">
      <c r="A2257" s="753"/>
      <c r="B2257" s="753"/>
      <c r="C2257" s="752" t="s">
        <v>48870</v>
      </c>
      <c r="D2257" s="753" t="s">
        <v>48868</v>
      </c>
      <c r="E2257" s="752" t="s">
        <v>293</v>
      </c>
      <c r="F2257" s="751">
        <v>3375</v>
      </c>
    </row>
    <row r="2258" spans="1:6">
      <c r="A2258" s="753"/>
      <c r="B2258" s="753"/>
      <c r="C2258" s="752" t="s">
        <v>48869</v>
      </c>
      <c r="D2258" s="753" t="s">
        <v>48868</v>
      </c>
      <c r="E2258" s="752" t="s">
        <v>38577</v>
      </c>
      <c r="F2258" s="751">
        <v>4135</v>
      </c>
    </row>
    <row r="2259" spans="1:6">
      <c r="A2259" s="753"/>
      <c r="B2259" s="753"/>
      <c r="C2259" s="752" t="s">
        <v>48867</v>
      </c>
      <c r="D2259" s="753" t="s">
        <v>48866</v>
      </c>
      <c r="E2259" s="752" t="s">
        <v>293</v>
      </c>
      <c r="F2259" s="751">
        <v>2625</v>
      </c>
    </row>
    <row r="2260" spans="1:6">
      <c r="A2260" s="753"/>
      <c r="B2260" s="753"/>
      <c r="C2260" s="752" t="s">
        <v>48865</v>
      </c>
      <c r="D2260" s="753" t="s">
        <v>48864</v>
      </c>
      <c r="E2260" s="752" t="s">
        <v>293</v>
      </c>
      <c r="F2260" s="751">
        <v>3175</v>
      </c>
    </row>
    <row r="2261" spans="1:6">
      <c r="A2261" s="753"/>
      <c r="B2261" s="753" t="s">
        <v>48863</v>
      </c>
      <c r="C2261" s="752" t="s">
        <v>48862</v>
      </c>
      <c r="D2261" s="753" t="s">
        <v>48293</v>
      </c>
      <c r="E2261" s="752" t="s">
        <v>37838</v>
      </c>
      <c r="F2261" s="751">
        <v>2075</v>
      </c>
    </row>
    <row r="2262" spans="1:6">
      <c r="A2262" s="753"/>
      <c r="B2262" s="753" t="s">
        <v>48861</v>
      </c>
      <c r="C2262" s="752" t="s">
        <v>48860</v>
      </c>
      <c r="D2262" s="753" t="s">
        <v>48859</v>
      </c>
      <c r="E2262" s="752" t="s">
        <v>38570</v>
      </c>
      <c r="F2262" s="751">
        <v>5925</v>
      </c>
    </row>
    <row r="2263" spans="1:6">
      <c r="A2263" s="753"/>
      <c r="B2263" s="753"/>
      <c r="C2263" s="752" t="s">
        <v>48858</v>
      </c>
      <c r="D2263" s="753" t="s">
        <v>48857</v>
      </c>
      <c r="E2263" s="752" t="s">
        <v>293</v>
      </c>
      <c r="F2263" s="751">
        <v>4215</v>
      </c>
    </row>
    <row r="2264" spans="1:6">
      <c r="A2264" s="753"/>
      <c r="B2264" s="753"/>
      <c r="C2264" s="752" t="s">
        <v>48856</v>
      </c>
      <c r="D2264" s="753" t="s">
        <v>48854</v>
      </c>
      <c r="E2264" s="752" t="s">
        <v>293</v>
      </c>
      <c r="F2264" s="751">
        <v>4365</v>
      </c>
    </row>
    <row r="2265" spans="1:6">
      <c r="A2265" s="753"/>
      <c r="B2265" s="753"/>
      <c r="C2265" s="752" t="s">
        <v>48855</v>
      </c>
      <c r="D2265" s="753" t="s">
        <v>48854</v>
      </c>
      <c r="E2265" s="752" t="s">
        <v>293</v>
      </c>
      <c r="F2265" s="751">
        <v>4815</v>
      </c>
    </row>
    <row r="2266" spans="1:6">
      <c r="A2266" s="753"/>
      <c r="B2266" s="753"/>
      <c r="C2266" s="752" t="s">
        <v>48853</v>
      </c>
      <c r="D2266" s="753" t="s">
        <v>48852</v>
      </c>
      <c r="E2266" s="752" t="s">
        <v>293</v>
      </c>
      <c r="F2266" s="751">
        <v>4215</v>
      </c>
    </row>
    <row r="2267" spans="1:6">
      <c r="A2267" s="753"/>
      <c r="B2267" s="753"/>
      <c r="C2267" s="752" t="s">
        <v>48851</v>
      </c>
      <c r="D2267" s="753" t="s">
        <v>48850</v>
      </c>
      <c r="E2267" s="752" t="s">
        <v>293</v>
      </c>
      <c r="F2267" s="751">
        <v>5145</v>
      </c>
    </row>
    <row r="2268" spans="1:6">
      <c r="A2268" s="753"/>
      <c r="B2268" s="753"/>
      <c r="C2268" s="752" t="s">
        <v>48849</v>
      </c>
      <c r="D2268" s="753" t="s">
        <v>48848</v>
      </c>
      <c r="E2268" s="752" t="s">
        <v>48847</v>
      </c>
      <c r="F2268" s="751">
        <v>2060</v>
      </c>
    </row>
    <row r="2269" spans="1:6">
      <c r="A2269" s="753"/>
      <c r="B2269" s="753"/>
      <c r="C2269" s="752" t="s">
        <v>48846</v>
      </c>
      <c r="D2269" s="753" t="s">
        <v>48842</v>
      </c>
      <c r="E2269" s="752" t="s">
        <v>293</v>
      </c>
      <c r="F2269" s="751">
        <v>2575</v>
      </c>
    </row>
    <row r="2270" spans="1:6">
      <c r="A2270" s="753"/>
      <c r="B2270" s="753"/>
      <c r="C2270" s="752" t="s">
        <v>48845</v>
      </c>
      <c r="D2270" s="753" t="s">
        <v>48842</v>
      </c>
      <c r="E2270" s="752" t="s">
        <v>38577</v>
      </c>
      <c r="F2270" s="751">
        <v>3335</v>
      </c>
    </row>
    <row r="2271" spans="1:6">
      <c r="A2271" s="753"/>
      <c r="B2271" s="753"/>
      <c r="C2271" s="752" t="s">
        <v>48844</v>
      </c>
      <c r="D2271" s="753" t="s">
        <v>48842</v>
      </c>
      <c r="E2271" s="752" t="s">
        <v>293</v>
      </c>
      <c r="F2271" s="751">
        <v>3075</v>
      </c>
    </row>
    <row r="2272" spans="1:6">
      <c r="A2272" s="753"/>
      <c r="B2272" s="753"/>
      <c r="C2272" s="752" t="s">
        <v>48843</v>
      </c>
      <c r="D2272" s="753" t="s">
        <v>48842</v>
      </c>
      <c r="E2272" s="752" t="s">
        <v>48687</v>
      </c>
      <c r="F2272" s="751">
        <v>2675</v>
      </c>
    </row>
    <row r="2273" spans="1:6">
      <c r="A2273" s="753"/>
      <c r="B2273" s="753"/>
      <c r="C2273" s="752" t="s">
        <v>48841</v>
      </c>
      <c r="D2273" s="753" t="s">
        <v>48839</v>
      </c>
      <c r="E2273" s="752" t="s">
        <v>293</v>
      </c>
      <c r="F2273" s="751">
        <v>3125</v>
      </c>
    </row>
    <row r="2274" spans="1:6">
      <c r="A2274" s="753"/>
      <c r="B2274" s="753"/>
      <c r="C2274" s="752" t="s">
        <v>48840</v>
      </c>
      <c r="D2274" s="753" t="s">
        <v>48839</v>
      </c>
      <c r="E2274" s="752" t="s">
        <v>293</v>
      </c>
      <c r="F2274" s="751">
        <v>3625</v>
      </c>
    </row>
    <row r="2275" spans="1:6">
      <c r="A2275" s="753"/>
      <c r="B2275" s="753"/>
      <c r="C2275" s="752" t="s">
        <v>48838</v>
      </c>
      <c r="D2275" s="753" t="s">
        <v>48836</v>
      </c>
      <c r="E2275" s="752" t="s">
        <v>293</v>
      </c>
      <c r="F2275" s="751">
        <v>3125</v>
      </c>
    </row>
    <row r="2276" spans="1:6">
      <c r="A2276" s="753"/>
      <c r="B2276" s="753"/>
      <c r="C2276" s="752" t="s">
        <v>48837</v>
      </c>
      <c r="D2276" s="753" t="s">
        <v>48836</v>
      </c>
      <c r="E2276" s="752" t="s">
        <v>37758</v>
      </c>
      <c r="F2276" s="751">
        <v>3625</v>
      </c>
    </row>
    <row r="2277" spans="1:6">
      <c r="A2277" s="753"/>
      <c r="B2277" s="753"/>
      <c r="C2277" s="752" t="s">
        <v>48835</v>
      </c>
      <c r="D2277" s="753" t="s">
        <v>48314</v>
      </c>
      <c r="E2277" s="752" t="s">
        <v>48313</v>
      </c>
      <c r="F2277" s="751">
        <v>2055</v>
      </c>
    </row>
    <row r="2278" spans="1:6">
      <c r="A2278" s="753"/>
      <c r="B2278" s="753"/>
      <c r="C2278" s="752" t="s">
        <v>48834</v>
      </c>
      <c r="D2278" s="753" t="s">
        <v>48833</v>
      </c>
      <c r="E2278" s="752" t="s">
        <v>39430</v>
      </c>
      <c r="F2278" s="751">
        <v>4265</v>
      </c>
    </row>
    <row r="2279" spans="1:6">
      <c r="A2279" s="753"/>
      <c r="B2279" s="753"/>
      <c r="C2279" s="752" t="s">
        <v>48832</v>
      </c>
      <c r="D2279" s="753" t="s">
        <v>48829</v>
      </c>
      <c r="E2279" s="752" t="s">
        <v>293</v>
      </c>
      <c r="F2279" s="751">
        <v>2375</v>
      </c>
    </row>
    <row r="2280" spans="1:6">
      <c r="A2280" s="753"/>
      <c r="B2280" s="753"/>
      <c r="C2280" s="752" t="s">
        <v>48831</v>
      </c>
      <c r="D2280" s="753" t="s">
        <v>48829</v>
      </c>
      <c r="E2280" s="752" t="s">
        <v>37758</v>
      </c>
      <c r="F2280" s="751">
        <v>2875</v>
      </c>
    </row>
    <row r="2281" spans="1:6">
      <c r="A2281" s="753"/>
      <c r="B2281" s="753"/>
      <c r="C2281" s="752" t="s">
        <v>48830</v>
      </c>
      <c r="D2281" s="753" t="s">
        <v>48829</v>
      </c>
      <c r="E2281" s="752" t="s">
        <v>48828</v>
      </c>
      <c r="F2281" s="751">
        <v>2475</v>
      </c>
    </row>
    <row r="2282" spans="1:6">
      <c r="A2282" s="753"/>
      <c r="B2282" s="753"/>
      <c r="C2282" s="752" t="s">
        <v>48827</v>
      </c>
      <c r="D2282" s="753" t="s">
        <v>48825</v>
      </c>
      <c r="E2282" s="752" t="s">
        <v>293</v>
      </c>
      <c r="F2282" s="751">
        <v>2925</v>
      </c>
    </row>
    <row r="2283" spans="1:6">
      <c r="A2283" s="753"/>
      <c r="B2283" s="753"/>
      <c r="C2283" s="752" t="s">
        <v>48826</v>
      </c>
      <c r="D2283" s="753" t="s">
        <v>48825</v>
      </c>
      <c r="E2283" s="752" t="s">
        <v>37758</v>
      </c>
      <c r="F2283" s="751">
        <v>3425</v>
      </c>
    </row>
    <row r="2284" spans="1:6">
      <c r="A2284" s="753"/>
      <c r="B2284" s="753"/>
      <c r="C2284" s="752" t="s">
        <v>48824</v>
      </c>
      <c r="D2284" s="753" t="s">
        <v>48823</v>
      </c>
      <c r="E2284" s="752" t="s">
        <v>38874</v>
      </c>
      <c r="F2284" s="751">
        <v>3935</v>
      </c>
    </row>
    <row r="2285" spans="1:6">
      <c r="A2285" s="753"/>
      <c r="B2285" s="753"/>
      <c r="C2285" s="752" t="s">
        <v>48822</v>
      </c>
      <c r="D2285" s="753" t="s">
        <v>48821</v>
      </c>
      <c r="E2285" s="752" t="s">
        <v>293</v>
      </c>
      <c r="F2285" s="751">
        <v>2975</v>
      </c>
    </row>
    <row r="2286" spans="1:6">
      <c r="A2286" s="753"/>
      <c r="B2286" s="753" t="s">
        <v>48820</v>
      </c>
      <c r="C2286" s="752" t="s">
        <v>48819</v>
      </c>
      <c r="D2286" s="753" t="s">
        <v>48818</v>
      </c>
      <c r="E2286" s="752" t="s">
        <v>293</v>
      </c>
      <c r="F2286" s="751">
        <v>2375</v>
      </c>
    </row>
    <row r="2287" spans="1:6">
      <c r="A2287" s="753"/>
      <c r="B2287" s="753"/>
      <c r="C2287" s="752" t="s">
        <v>48817</v>
      </c>
      <c r="D2287" s="753" t="s">
        <v>48816</v>
      </c>
      <c r="E2287" s="752" t="s">
        <v>293</v>
      </c>
      <c r="F2287" s="751">
        <v>2925</v>
      </c>
    </row>
    <row r="2288" spans="1:6">
      <c r="A2288" s="753"/>
      <c r="B2288" s="753"/>
      <c r="C2288" s="752" t="s">
        <v>48815</v>
      </c>
      <c r="D2288" s="753" t="s">
        <v>48814</v>
      </c>
      <c r="E2288" s="752" t="s">
        <v>293</v>
      </c>
      <c r="F2288" s="751">
        <v>2125</v>
      </c>
    </row>
    <row r="2289" spans="1:6">
      <c r="A2289" s="753"/>
      <c r="B2289" s="753"/>
      <c r="C2289" s="752" t="s">
        <v>48813</v>
      </c>
      <c r="D2289" s="753" t="s">
        <v>48812</v>
      </c>
      <c r="E2289" s="752" t="s">
        <v>293</v>
      </c>
      <c r="F2289" s="751">
        <v>2675</v>
      </c>
    </row>
    <row r="2290" spans="1:6">
      <c r="A2290" s="753"/>
      <c r="B2290" s="753" t="s">
        <v>48811</v>
      </c>
      <c r="C2290" s="752" t="s">
        <v>48810</v>
      </c>
      <c r="D2290" s="753" t="s">
        <v>48806</v>
      </c>
      <c r="E2290" s="752" t="s">
        <v>39691</v>
      </c>
      <c r="F2290" s="751">
        <v>2825</v>
      </c>
    </row>
    <row r="2291" spans="1:6">
      <c r="A2291" s="753"/>
      <c r="B2291" s="753"/>
      <c r="C2291" s="752" t="s">
        <v>48809</v>
      </c>
      <c r="D2291" s="753" t="s">
        <v>48806</v>
      </c>
      <c r="E2291" s="752" t="s">
        <v>293</v>
      </c>
      <c r="F2291" s="751">
        <v>2825</v>
      </c>
    </row>
    <row r="2292" spans="1:6">
      <c r="A2292" s="753"/>
      <c r="B2292" s="753"/>
      <c r="C2292" s="752" t="s">
        <v>48808</v>
      </c>
      <c r="D2292" s="753" t="s">
        <v>48806</v>
      </c>
      <c r="E2292" s="752" t="s">
        <v>39691</v>
      </c>
      <c r="F2292" s="751">
        <v>2825</v>
      </c>
    </row>
    <row r="2293" spans="1:6">
      <c r="A2293" s="753"/>
      <c r="B2293" s="753"/>
      <c r="C2293" s="752" t="s">
        <v>48807</v>
      </c>
      <c r="D2293" s="753" t="s">
        <v>48806</v>
      </c>
      <c r="E2293" s="752" t="s">
        <v>39681</v>
      </c>
      <c r="F2293" s="751">
        <v>2825</v>
      </c>
    </row>
    <row r="2294" spans="1:6">
      <c r="A2294" s="753"/>
      <c r="B2294" s="753"/>
      <c r="C2294" s="752" t="s">
        <v>48805</v>
      </c>
      <c r="D2294" s="753" t="s">
        <v>48803</v>
      </c>
      <c r="E2294" s="752" t="s">
        <v>39691</v>
      </c>
      <c r="F2294" s="751">
        <v>3375</v>
      </c>
    </row>
    <row r="2295" spans="1:6">
      <c r="A2295" s="753"/>
      <c r="B2295" s="753"/>
      <c r="C2295" s="752" t="s">
        <v>48804</v>
      </c>
      <c r="D2295" s="753" t="s">
        <v>48803</v>
      </c>
      <c r="E2295" s="752" t="s">
        <v>39681</v>
      </c>
      <c r="F2295" s="751">
        <v>3375</v>
      </c>
    </row>
    <row r="2296" spans="1:6">
      <c r="A2296" s="753"/>
      <c r="B2296" s="753"/>
      <c r="C2296" s="752" t="s">
        <v>48802</v>
      </c>
      <c r="D2296" s="753" t="s">
        <v>48314</v>
      </c>
      <c r="E2296" s="752" t="s">
        <v>48313</v>
      </c>
      <c r="F2296" s="751">
        <v>1835</v>
      </c>
    </row>
    <row r="2297" spans="1:6">
      <c r="A2297" s="753"/>
      <c r="B2297" s="753"/>
      <c r="C2297" s="752" t="s">
        <v>48801</v>
      </c>
      <c r="D2297" s="753" t="s">
        <v>48797</v>
      </c>
      <c r="E2297" s="752" t="s">
        <v>293</v>
      </c>
      <c r="F2297" s="751">
        <v>2625</v>
      </c>
    </row>
    <row r="2298" spans="1:6">
      <c r="A2298" s="753"/>
      <c r="B2298" s="753"/>
      <c r="C2298" s="752" t="s">
        <v>48800</v>
      </c>
      <c r="D2298" s="753" t="s">
        <v>48797</v>
      </c>
      <c r="E2298" s="752" t="s">
        <v>39691</v>
      </c>
      <c r="F2298" s="751">
        <v>2625</v>
      </c>
    </row>
    <row r="2299" spans="1:6">
      <c r="A2299" s="753"/>
      <c r="B2299" s="753"/>
      <c r="C2299" s="752" t="s">
        <v>48799</v>
      </c>
      <c r="D2299" s="753" t="s">
        <v>48797</v>
      </c>
      <c r="E2299" s="752" t="s">
        <v>39681</v>
      </c>
      <c r="F2299" s="751">
        <v>2625</v>
      </c>
    </row>
    <row r="2300" spans="1:6">
      <c r="A2300" s="753"/>
      <c r="B2300" s="753"/>
      <c r="C2300" s="752" t="s">
        <v>48798</v>
      </c>
      <c r="D2300" s="753" t="s">
        <v>48797</v>
      </c>
      <c r="E2300" s="752" t="s">
        <v>39691</v>
      </c>
      <c r="F2300" s="751">
        <v>2625</v>
      </c>
    </row>
    <row r="2301" spans="1:6">
      <c r="A2301" s="753"/>
      <c r="B2301" s="753"/>
      <c r="C2301" s="752" t="s">
        <v>48796</v>
      </c>
      <c r="D2301" s="753" t="s">
        <v>48792</v>
      </c>
      <c r="E2301" s="752" t="s">
        <v>39691</v>
      </c>
      <c r="F2301" s="751">
        <v>3175</v>
      </c>
    </row>
    <row r="2302" spans="1:6">
      <c r="A2302" s="753"/>
      <c r="B2302" s="753"/>
      <c r="C2302" s="752" t="s">
        <v>48795</v>
      </c>
      <c r="D2302" s="753" t="s">
        <v>48792</v>
      </c>
      <c r="E2302" s="752" t="s">
        <v>293</v>
      </c>
      <c r="F2302" s="751">
        <v>3175</v>
      </c>
    </row>
    <row r="2303" spans="1:6">
      <c r="A2303" s="753"/>
      <c r="B2303" s="753"/>
      <c r="C2303" s="752" t="s">
        <v>48794</v>
      </c>
      <c r="D2303" s="753" t="s">
        <v>48792</v>
      </c>
      <c r="E2303" s="752" t="s">
        <v>39691</v>
      </c>
      <c r="F2303" s="751">
        <v>3175</v>
      </c>
    </row>
    <row r="2304" spans="1:6">
      <c r="A2304" s="753"/>
      <c r="B2304" s="753"/>
      <c r="C2304" s="752" t="s">
        <v>48793</v>
      </c>
      <c r="D2304" s="753" t="s">
        <v>48792</v>
      </c>
      <c r="E2304" s="752" t="s">
        <v>39681</v>
      </c>
      <c r="F2304" s="751">
        <v>3175</v>
      </c>
    </row>
    <row r="2305" spans="1:6">
      <c r="A2305" s="753"/>
      <c r="B2305" s="753" t="s">
        <v>39690</v>
      </c>
      <c r="C2305" s="752" t="s">
        <v>48791</v>
      </c>
      <c r="D2305" s="753" t="s">
        <v>48789</v>
      </c>
      <c r="E2305" s="752" t="s">
        <v>39276</v>
      </c>
      <c r="F2305" s="751">
        <v>4115</v>
      </c>
    </row>
    <row r="2306" spans="1:6">
      <c r="A2306" s="753"/>
      <c r="B2306" s="753"/>
      <c r="C2306" s="752" t="s">
        <v>48790</v>
      </c>
      <c r="D2306" s="753" t="s">
        <v>48789</v>
      </c>
      <c r="E2306" s="752" t="s">
        <v>293</v>
      </c>
      <c r="F2306" s="751">
        <v>4715</v>
      </c>
    </row>
    <row r="2307" spans="1:6">
      <c r="A2307" s="753"/>
      <c r="B2307" s="753"/>
      <c r="C2307" s="752" t="s">
        <v>48788</v>
      </c>
      <c r="D2307" s="753" t="s">
        <v>48787</v>
      </c>
      <c r="E2307" s="752" t="s">
        <v>37758</v>
      </c>
      <c r="F2307" s="751">
        <v>4075</v>
      </c>
    </row>
    <row r="2308" spans="1:6">
      <c r="A2308" s="753"/>
      <c r="B2308" s="753"/>
      <c r="C2308" s="752" t="s">
        <v>48786</v>
      </c>
      <c r="D2308" s="753" t="s">
        <v>48785</v>
      </c>
      <c r="E2308" s="752" t="s">
        <v>37758</v>
      </c>
      <c r="F2308" s="751">
        <v>2900</v>
      </c>
    </row>
    <row r="2309" spans="1:6">
      <c r="A2309" s="753"/>
      <c r="B2309" s="753"/>
      <c r="C2309" s="752" t="s">
        <v>48784</v>
      </c>
      <c r="D2309" s="753" t="s">
        <v>39688</v>
      </c>
      <c r="E2309" s="752" t="s">
        <v>293</v>
      </c>
      <c r="F2309" s="751">
        <v>3075</v>
      </c>
    </row>
    <row r="2310" spans="1:6">
      <c r="A2310" s="753"/>
      <c r="B2310" s="753"/>
      <c r="C2310" s="752" t="s">
        <v>48783</v>
      </c>
      <c r="D2310" s="753" t="s">
        <v>39688</v>
      </c>
      <c r="E2310" s="752" t="s">
        <v>293</v>
      </c>
      <c r="F2310" s="751">
        <v>3075</v>
      </c>
    </row>
    <row r="2311" spans="1:6">
      <c r="A2311" s="753"/>
      <c r="B2311" s="753"/>
      <c r="C2311" s="752" t="s">
        <v>48782</v>
      </c>
      <c r="D2311" s="753" t="s">
        <v>39688</v>
      </c>
      <c r="E2311" s="752" t="s">
        <v>48781</v>
      </c>
      <c r="F2311" s="751">
        <v>2675</v>
      </c>
    </row>
    <row r="2312" spans="1:6">
      <c r="A2312" s="753"/>
      <c r="B2312" s="753"/>
      <c r="C2312" s="752" t="s">
        <v>48780</v>
      </c>
      <c r="D2312" s="753" t="s">
        <v>39688</v>
      </c>
      <c r="E2312" s="752" t="s">
        <v>40234</v>
      </c>
      <c r="F2312" s="751">
        <v>3075</v>
      </c>
    </row>
    <row r="2313" spans="1:6">
      <c r="A2313" s="753"/>
      <c r="B2313" s="753"/>
      <c r="C2313" s="752" t="s">
        <v>48779</v>
      </c>
      <c r="D2313" s="753" t="s">
        <v>39688</v>
      </c>
      <c r="E2313" s="752" t="s">
        <v>40390</v>
      </c>
      <c r="F2313" s="751">
        <v>2325</v>
      </c>
    </row>
    <row r="2314" spans="1:6">
      <c r="A2314" s="753"/>
      <c r="B2314" s="753"/>
      <c r="C2314" s="752" t="s">
        <v>48778</v>
      </c>
      <c r="D2314" s="753" t="s">
        <v>39688</v>
      </c>
      <c r="E2314" s="752" t="s">
        <v>48777</v>
      </c>
      <c r="F2314" s="751">
        <v>3835</v>
      </c>
    </row>
    <row r="2315" spans="1:6">
      <c r="A2315" s="753"/>
      <c r="B2315" s="753"/>
      <c r="C2315" s="752" t="s">
        <v>48776</v>
      </c>
      <c r="D2315" s="753" t="s">
        <v>39686</v>
      </c>
      <c r="E2315" s="752" t="s">
        <v>293</v>
      </c>
      <c r="F2315" s="751">
        <v>3625</v>
      </c>
    </row>
    <row r="2316" spans="1:6">
      <c r="A2316" s="753"/>
      <c r="B2316" s="753"/>
      <c r="C2316" s="752" t="s">
        <v>48775</v>
      </c>
      <c r="D2316" s="753" t="s">
        <v>39686</v>
      </c>
      <c r="E2316" s="752" t="s">
        <v>293</v>
      </c>
      <c r="F2316" s="751">
        <v>3625</v>
      </c>
    </row>
    <row r="2317" spans="1:6">
      <c r="A2317" s="753"/>
      <c r="B2317" s="753"/>
      <c r="C2317" s="752" t="s">
        <v>48774</v>
      </c>
      <c r="D2317" s="753" t="s">
        <v>39686</v>
      </c>
      <c r="E2317" s="752" t="s">
        <v>38670</v>
      </c>
      <c r="F2317" s="751">
        <v>4385</v>
      </c>
    </row>
    <row r="2318" spans="1:6">
      <c r="A2318" s="753"/>
      <c r="B2318" s="753"/>
      <c r="C2318" s="752" t="s">
        <v>48773</v>
      </c>
      <c r="D2318" s="753" t="s">
        <v>48314</v>
      </c>
      <c r="E2318" s="752" t="s">
        <v>48313</v>
      </c>
      <c r="F2318" s="751">
        <v>2055</v>
      </c>
    </row>
    <row r="2319" spans="1:6">
      <c r="A2319" s="753"/>
      <c r="B2319" s="753"/>
      <c r="C2319" s="752" t="s">
        <v>48772</v>
      </c>
      <c r="D2319" s="753" t="s">
        <v>39684</v>
      </c>
      <c r="E2319" s="752" t="s">
        <v>293</v>
      </c>
      <c r="F2319" s="751">
        <v>2875</v>
      </c>
    </row>
    <row r="2320" spans="1:6">
      <c r="A2320" s="753"/>
      <c r="B2320" s="753"/>
      <c r="C2320" s="752" t="s">
        <v>48771</v>
      </c>
      <c r="D2320" s="753" t="s">
        <v>39684</v>
      </c>
      <c r="E2320" s="752" t="s">
        <v>38962</v>
      </c>
      <c r="F2320" s="751">
        <v>2125</v>
      </c>
    </row>
    <row r="2321" spans="1:6">
      <c r="A2321" s="753"/>
      <c r="B2321" s="753"/>
      <c r="C2321" s="752" t="s">
        <v>48770</v>
      </c>
      <c r="D2321" s="753" t="s">
        <v>39682</v>
      </c>
      <c r="E2321" s="752" t="s">
        <v>293</v>
      </c>
      <c r="F2321" s="751">
        <v>3425</v>
      </c>
    </row>
    <row r="2322" spans="1:6">
      <c r="A2322" s="753"/>
      <c r="B2322" s="753"/>
      <c r="C2322" s="752" t="s">
        <v>48769</v>
      </c>
      <c r="D2322" s="753" t="s">
        <v>39682</v>
      </c>
      <c r="E2322" s="752" t="s">
        <v>37758</v>
      </c>
      <c r="F2322" s="751">
        <v>3145</v>
      </c>
    </row>
    <row r="2323" spans="1:6">
      <c r="A2323" s="753"/>
      <c r="B2323" s="753"/>
      <c r="C2323" s="752" t="s">
        <v>48768</v>
      </c>
      <c r="D2323" s="753" t="s">
        <v>48767</v>
      </c>
      <c r="E2323" s="752" t="s">
        <v>37758</v>
      </c>
      <c r="F2323" s="751">
        <v>3525</v>
      </c>
    </row>
    <row r="2324" spans="1:6">
      <c r="A2324" s="753" t="s">
        <v>5184</v>
      </c>
      <c r="B2324" s="753" t="s">
        <v>48766</v>
      </c>
      <c r="C2324" s="752" t="s">
        <v>48765</v>
      </c>
      <c r="D2324" s="753" t="s">
        <v>48764</v>
      </c>
      <c r="E2324" s="752" t="s">
        <v>37838</v>
      </c>
      <c r="F2324" s="751">
        <v>1975</v>
      </c>
    </row>
    <row r="2325" spans="1:6">
      <c r="A2325" s="753"/>
      <c r="B2325" s="753" t="s">
        <v>48763</v>
      </c>
      <c r="C2325" s="752" t="s">
        <v>48762</v>
      </c>
      <c r="D2325" s="753" t="s">
        <v>48761</v>
      </c>
      <c r="E2325" s="752" t="s">
        <v>293</v>
      </c>
      <c r="F2325" s="751">
        <v>2175</v>
      </c>
    </row>
    <row r="2326" spans="1:6">
      <c r="A2326" s="753"/>
      <c r="B2326" s="753" t="s">
        <v>48760</v>
      </c>
      <c r="C2326" s="752" t="s">
        <v>48759</v>
      </c>
      <c r="D2326" s="753" t="s">
        <v>48758</v>
      </c>
      <c r="E2326" s="752" t="s">
        <v>293</v>
      </c>
      <c r="F2326" s="751">
        <v>4465</v>
      </c>
    </row>
    <row r="2327" spans="1:6">
      <c r="A2327" s="753"/>
      <c r="B2327" s="753"/>
      <c r="C2327" s="752" t="s">
        <v>48757</v>
      </c>
      <c r="D2327" s="753" t="s">
        <v>48754</v>
      </c>
      <c r="E2327" s="752" t="s">
        <v>293</v>
      </c>
      <c r="F2327" s="751">
        <v>5195</v>
      </c>
    </row>
    <row r="2328" spans="1:6">
      <c r="A2328" s="753"/>
      <c r="B2328" s="753"/>
      <c r="C2328" s="752" t="s">
        <v>48756</v>
      </c>
      <c r="D2328" s="753" t="s">
        <v>48754</v>
      </c>
      <c r="E2328" s="752" t="s">
        <v>38919</v>
      </c>
      <c r="F2328" s="751">
        <v>5955</v>
      </c>
    </row>
    <row r="2329" spans="1:6">
      <c r="A2329" s="753"/>
      <c r="B2329" s="753"/>
      <c r="C2329" s="752" t="s">
        <v>48755</v>
      </c>
      <c r="D2329" s="753" t="s">
        <v>48754</v>
      </c>
      <c r="E2329" s="752" t="s">
        <v>293</v>
      </c>
      <c r="F2329" s="751">
        <v>5195</v>
      </c>
    </row>
    <row r="2330" spans="1:6">
      <c r="A2330" s="753"/>
      <c r="B2330" s="753"/>
      <c r="C2330" s="752" t="s">
        <v>48753</v>
      </c>
      <c r="D2330" s="753" t="s">
        <v>48748</v>
      </c>
      <c r="E2330" s="752" t="s">
        <v>39681</v>
      </c>
      <c r="F2330" s="751">
        <v>2825</v>
      </c>
    </row>
    <row r="2331" spans="1:6">
      <c r="A2331" s="753"/>
      <c r="B2331" s="753"/>
      <c r="C2331" s="752" t="s">
        <v>48752</v>
      </c>
      <c r="D2331" s="753" t="s">
        <v>48748</v>
      </c>
      <c r="E2331" s="752" t="s">
        <v>39681</v>
      </c>
      <c r="F2331" s="751">
        <v>2825</v>
      </c>
    </row>
    <row r="2332" spans="1:6">
      <c r="A2332" s="753"/>
      <c r="B2332" s="753"/>
      <c r="C2332" s="752" t="s">
        <v>48751</v>
      </c>
      <c r="D2332" s="753" t="s">
        <v>48748</v>
      </c>
      <c r="E2332" s="752" t="s">
        <v>48750</v>
      </c>
      <c r="F2332" s="751">
        <v>3585</v>
      </c>
    </row>
    <row r="2333" spans="1:6">
      <c r="A2333" s="753"/>
      <c r="B2333" s="753"/>
      <c r="C2333" s="752" t="s">
        <v>48749</v>
      </c>
      <c r="D2333" s="753" t="s">
        <v>48748</v>
      </c>
      <c r="E2333" s="752" t="s">
        <v>39681</v>
      </c>
      <c r="F2333" s="751">
        <v>2825</v>
      </c>
    </row>
    <row r="2334" spans="1:6">
      <c r="A2334" s="753"/>
      <c r="B2334" s="753"/>
      <c r="C2334" s="752" t="s">
        <v>48747</v>
      </c>
      <c r="D2334" s="753" t="s">
        <v>48745</v>
      </c>
      <c r="E2334" s="752" t="s">
        <v>39681</v>
      </c>
      <c r="F2334" s="751">
        <v>3375</v>
      </c>
    </row>
    <row r="2335" spans="1:6">
      <c r="A2335" s="753"/>
      <c r="B2335" s="753"/>
      <c r="C2335" s="752" t="s">
        <v>48746</v>
      </c>
      <c r="D2335" s="753" t="s">
        <v>48745</v>
      </c>
      <c r="E2335" s="752" t="s">
        <v>39681</v>
      </c>
      <c r="F2335" s="751">
        <v>3375</v>
      </c>
    </row>
    <row r="2336" spans="1:6">
      <c r="A2336" s="753"/>
      <c r="B2336" s="753"/>
      <c r="C2336" s="752" t="s">
        <v>48744</v>
      </c>
      <c r="D2336" s="753" t="s">
        <v>48743</v>
      </c>
      <c r="E2336" s="752" t="s">
        <v>39681</v>
      </c>
      <c r="F2336" s="751">
        <v>3375</v>
      </c>
    </row>
    <row r="2337" spans="1:6">
      <c r="A2337" s="753"/>
      <c r="B2337" s="753"/>
      <c r="C2337" s="752" t="s">
        <v>48742</v>
      </c>
      <c r="D2337" s="753" t="s">
        <v>48737</v>
      </c>
      <c r="E2337" s="752" t="s">
        <v>39681</v>
      </c>
      <c r="F2337" s="751">
        <v>2625</v>
      </c>
    </row>
    <row r="2338" spans="1:6">
      <c r="A2338" s="753"/>
      <c r="B2338" s="753"/>
      <c r="C2338" s="752" t="s">
        <v>48741</v>
      </c>
      <c r="D2338" s="753" t="s">
        <v>48737</v>
      </c>
      <c r="E2338" s="752" t="s">
        <v>39681</v>
      </c>
      <c r="F2338" s="751">
        <v>2625</v>
      </c>
    </row>
    <row r="2339" spans="1:6">
      <c r="A2339" s="753"/>
      <c r="B2339" s="753"/>
      <c r="C2339" s="752" t="s">
        <v>48740</v>
      </c>
      <c r="D2339" s="753" t="s">
        <v>48737</v>
      </c>
      <c r="E2339" s="752" t="s">
        <v>39681</v>
      </c>
      <c r="F2339" s="751">
        <v>2625</v>
      </c>
    </row>
    <row r="2340" spans="1:6">
      <c r="A2340" s="753"/>
      <c r="B2340" s="753"/>
      <c r="C2340" s="752" t="s">
        <v>48739</v>
      </c>
      <c r="D2340" s="753" t="s">
        <v>48735</v>
      </c>
      <c r="E2340" s="752" t="s">
        <v>39681</v>
      </c>
      <c r="F2340" s="751">
        <v>3175</v>
      </c>
    </row>
    <row r="2341" spans="1:6">
      <c r="A2341" s="753"/>
      <c r="B2341" s="753"/>
      <c r="C2341" s="752" t="s">
        <v>48738</v>
      </c>
      <c r="D2341" s="753" t="s">
        <v>48737</v>
      </c>
      <c r="E2341" s="752" t="s">
        <v>39681</v>
      </c>
      <c r="F2341" s="751">
        <v>3175</v>
      </c>
    </row>
    <row r="2342" spans="1:6">
      <c r="A2342" s="753"/>
      <c r="B2342" s="753"/>
      <c r="C2342" s="752" t="s">
        <v>48736</v>
      </c>
      <c r="D2342" s="753" t="s">
        <v>48735</v>
      </c>
      <c r="E2342" s="752" t="s">
        <v>39681</v>
      </c>
      <c r="F2342" s="751">
        <v>3175</v>
      </c>
    </row>
    <row r="2343" spans="1:6">
      <c r="A2343" s="753"/>
      <c r="B2343" s="753"/>
      <c r="C2343" s="752" t="s">
        <v>48734</v>
      </c>
      <c r="D2343" s="753" t="s">
        <v>48733</v>
      </c>
      <c r="E2343" s="752" t="s">
        <v>293</v>
      </c>
      <c r="F2343" s="751">
        <v>3275</v>
      </c>
    </row>
    <row r="2344" spans="1:6">
      <c r="A2344" s="753"/>
      <c r="B2344" s="753"/>
      <c r="C2344" s="752" t="s">
        <v>48732</v>
      </c>
      <c r="D2344" s="753" t="s">
        <v>48731</v>
      </c>
      <c r="E2344" s="752" t="s">
        <v>39681</v>
      </c>
      <c r="F2344" s="752">
        <v>725</v>
      </c>
    </row>
    <row r="2345" spans="1:6">
      <c r="A2345" s="753"/>
      <c r="B2345" s="753" t="s">
        <v>48730</v>
      </c>
      <c r="C2345" s="752" t="s">
        <v>48729</v>
      </c>
      <c r="D2345" s="753" t="s">
        <v>48727</v>
      </c>
      <c r="E2345" s="752" t="s">
        <v>37838</v>
      </c>
      <c r="F2345" s="751">
        <v>1975</v>
      </c>
    </row>
    <row r="2346" spans="1:6">
      <c r="A2346" s="753"/>
      <c r="B2346" s="753"/>
      <c r="C2346" s="752" t="s">
        <v>48728</v>
      </c>
      <c r="D2346" s="753" t="s">
        <v>48727</v>
      </c>
      <c r="E2346" s="752" t="s">
        <v>42278</v>
      </c>
      <c r="F2346" s="751">
        <v>1975</v>
      </c>
    </row>
    <row r="2347" spans="1:6">
      <c r="A2347" s="753"/>
      <c r="B2347" s="753" t="s">
        <v>48726</v>
      </c>
      <c r="C2347" s="752" t="s">
        <v>48725</v>
      </c>
      <c r="D2347" s="753" t="s">
        <v>48723</v>
      </c>
      <c r="E2347" s="752" t="s">
        <v>37838</v>
      </c>
      <c r="F2347" s="751">
        <v>1975</v>
      </c>
    </row>
    <row r="2348" spans="1:6">
      <c r="A2348" s="753"/>
      <c r="B2348" s="753"/>
      <c r="C2348" s="752" t="s">
        <v>48724</v>
      </c>
      <c r="D2348" s="753" t="s">
        <v>48723</v>
      </c>
      <c r="E2348" s="752" t="s">
        <v>42278</v>
      </c>
      <c r="F2348" s="751">
        <v>1975</v>
      </c>
    </row>
    <row r="2349" spans="1:6">
      <c r="A2349" s="753"/>
      <c r="B2349" s="753"/>
      <c r="C2349" s="752" t="s">
        <v>48722</v>
      </c>
      <c r="D2349" s="753" t="s">
        <v>48718</v>
      </c>
      <c r="E2349" s="752" t="s">
        <v>48717</v>
      </c>
      <c r="F2349" s="751">
        <v>2395</v>
      </c>
    </row>
    <row r="2350" spans="1:6">
      <c r="A2350" s="753"/>
      <c r="B2350" s="753"/>
      <c r="C2350" s="752" t="s">
        <v>48721</v>
      </c>
      <c r="D2350" s="753" t="s">
        <v>48720</v>
      </c>
      <c r="E2350" s="752" t="s">
        <v>42278</v>
      </c>
      <c r="F2350" s="751">
        <v>2375</v>
      </c>
    </row>
    <row r="2351" spans="1:6">
      <c r="A2351" s="753"/>
      <c r="B2351" s="753"/>
      <c r="C2351" s="752" t="s">
        <v>48719</v>
      </c>
      <c r="D2351" s="753" t="s">
        <v>48718</v>
      </c>
      <c r="E2351" s="752" t="s">
        <v>48717</v>
      </c>
      <c r="F2351" s="751">
        <v>2395</v>
      </c>
    </row>
    <row r="2352" spans="1:6">
      <c r="A2352" s="753"/>
      <c r="B2352" s="753" t="s">
        <v>48716</v>
      </c>
      <c r="C2352" s="752" t="s">
        <v>48715</v>
      </c>
      <c r="D2352" s="753" t="s">
        <v>48678</v>
      </c>
      <c r="E2352" s="752" t="s">
        <v>38019</v>
      </c>
      <c r="F2352" s="751">
        <v>4225</v>
      </c>
    </row>
    <row r="2353" spans="1:6">
      <c r="A2353" s="753"/>
      <c r="B2353" s="753"/>
      <c r="C2353" s="752" t="s">
        <v>48714</v>
      </c>
      <c r="D2353" s="753" t="s">
        <v>48678</v>
      </c>
      <c r="E2353" s="752" t="s">
        <v>39779</v>
      </c>
      <c r="F2353" s="751">
        <v>3975</v>
      </c>
    </row>
    <row r="2354" spans="1:6">
      <c r="A2354" s="753"/>
      <c r="B2354" s="753"/>
      <c r="C2354" s="752" t="s">
        <v>48713</v>
      </c>
      <c r="D2354" s="753" t="s">
        <v>48678</v>
      </c>
      <c r="E2354" s="752" t="s">
        <v>38010</v>
      </c>
      <c r="F2354" s="751">
        <v>4475</v>
      </c>
    </row>
    <row r="2355" spans="1:6">
      <c r="A2355" s="753"/>
      <c r="B2355" s="753"/>
      <c r="C2355" s="752" t="s">
        <v>48712</v>
      </c>
      <c r="D2355" s="753" t="s">
        <v>48678</v>
      </c>
      <c r="E2355" s="752" t="s">
        <v>38019</v>
      </c>
      <c r="F2355" s="751">
        <v>4225</v>
      </c>
    </row>
    <row r="2356" spans="1:6">
      <c r="A2356" s="753"/>
      <c r="B2356" s="753"/>
      <c r="C2356" s="752" t="s">
        <v>48711</v>
      </c>
      <c r="D2356" s="753" t="s">
        <v>48678</v>
      </c>
      <c r="E2356" s="752" t="s">
        <v>38002</v>
      </c>
      <c r="F2356" s="751">
        <v>5225</v>
      </c>
    </row>
    <row r="2357" spans="1:6">
      <c r="A2357" s="753"/>
      <c r="B2357" s="753"/>
      <c r="C2357" s="752" t="s">
        <v>48710</v>
      </c>
      <c r="D2357" s="753" t="s">
        <v>48709</v>
      </c>
      <c r="E2357" s="752" t="s">
        <v>38019</v>
      </c>
      <c r="F2357" s="751">
        <v>4225</v>
      </c>
    </row>
    <row r="2358" spans="1:6">
      <c r="A2358" s="753"/>
      <c r="B2358" s="753"/>
      <c r="C2358" s="752" t="s">
        <v>48708</v>
      </c>
      <c r="D2358" s="753" t="s">
        <v>48674</v>
      </c>
      <c r="E2358" s="752" t="s">
        <v>38002</v>
      </c>
      <c r="F2358" s="751">
        <v>5225</v>
      </c>
    </row>
    <row r="2359" spans="1:6">
      <c r="A2359" s="753"/>
      <c r="B2359" s="753"/>
      <c r="C2359" s="752" t="s">
        <v>48707</v>
      </c>
      <c r="D2359" s="753" t="s">
        <v>48706</v>
      </c>
      <c r="E2359" s="752" t="s">
        <v>48687</v>
      </c>
      <c r="F2359" s="751">
        <v>3075</v>
      </c>
    </row>
    <row r="2360" spans="1:6">
      <c r="A2360" s="753"/>
      <c r="B2360" s="753"/>
      <c r="C2360" s="752" t="s">
        <v>48705</v>
      </c>
      <c r="D2360" s="753" t="s">
        <v>48702</v>
      </c>
      <c r="E2360" s="752" t="s">
        <v>48704</v>
      </c>
      <c r="F2360" s="751">
        <v>3425</v>
      </c>
    </row>
    <row r="2361" spans="1:6">
      <c r="A2361" s="753"/>
      <c r="B2361" s="753"/>
      <c r="C2361" s="752" t="s">
        <v>48703</v>
      </c>
      <c r="D2361" s="753" t="s">
        <v>48702</v>
      </c>
      <c r="E2361" s="752" t="s">
        <v>39805</v>
      </c>
      <c r="F2361" s="751">
        <v>3175</v>
      </c>
    </row>
    <row r="2362" spans="1:6">
      <c r="A2362" s="753"/>
      <c r="B2362" s="753"/>
      <c r="C2362" s="752" t="s">
        <v>48701</v>
      </c>
      <c r="D2362" s="753" t="s">
        <v>48700</v>
      </c>
      <c r="E2362" s="752" t="s">
        <v>48699</v>
      </c>
      <c r="F2362" s="751">
        <v>3845</v>
      </c>
    </row>
    <row r="2363" spans="1:6">
      <c r="A2363" s="753"/>
      <c r="B2363" s="753"/>
      <c r="C2363" s="752" t="s">
        <v>48698</v>
      </c>
      <c r="D2363" s="753" t="s">
        <v>48692</v>
      </c>
      <c r="E2363" s="752" t="s">
        <v>39779</v>
      </c>
      <c r="F2363" s="751">
        <v>3775</v>
      </c>
    </row>
    <row r="2364" spans="1:6">
      <c r="A2364" s="753"/>
      <c r="B2364" s="753"/>
      <c r="C2364" s="752" t="s">
        <v>48697</v>
      </c>
      <c r="D2364" s="753" t="s">
        <v>48692</v>
      </c>
      <c r="E2364" s="752" t="s">
        <v>38010</v>
      </c>
      <c r="F2364" s="751">
        <v>4275</v>
      </c>
    </row>
    <row r="2365" spans="1:6">
      <c r="A2365" s="753"/>
      <c r="B2365" s="753"/>
      <c r="C2365" s="752" t="s">
        <v>48696</v>
      </c>
      <c r="D2365" s="753" t="s">
        <v>48692</v>
      </c>
      <c r="E2365" s="752" t="s">
        <v>38033</v>
      </c>
      <c r="F2365" s="751">
        <v>5375</v>
      </c>
    </row>
    <row r="2366" spans="1:6">
      <c r="A2366" s="753"/>
      <c r="B2366" s="753"/>
      <c r="C2366" s="752" t="s">
        <v>48695</v>
      </c>
      <c r="D2366" s="753" t="s">
        <v>48692</v>
      </c>
      <c r="E2366" s="752" t="s">
        <v>38019</v>
      </c>
      <c r="F2366" s="751">
        <v>4025</v>
      </c>
    </row>
    <row r="2367" spans="1:6">
      <c r="A2367" s="753"/>
      <c r="B2367" s="753"/>
      <c r="C2367" s="752" t="s">
        <v>48694</v>
      </c>
      <c r="D2367" s="753" t="s">
        <v>48692</v>
      </c>
      <c r="E2367" s="752" t="s">
        <v>38002</v>
      </c>
      <c r="F2367" s="751">
        <v>5025</v>
      </c>
    </row>
    <row r="2368" spans="1:6">
      <c r="A2368" s="753"/>
      <c r="B2368" s="753"/>
      <c r="C2368" s="752" t="s">
        <v>48693</v>
      </c>
      <c r="D2368" s="753" t="s">
        <v>48692</v>
      </c>
      <c r="E2368" s="752" t="s">
        <v>38002</v>
      </c>
      <c r="F2368" s="751">
        <v>4675</v>
      </c>
    </row>
    <row r="2369" spans="1:6">
      <c r="A2369" s="753"/>
      <c r="B2369" s="753"/>
      <c r="C2369" s="752" t="s">
        <v>48691</v>
      </c>
      <c r="D2369" s="753" t="s">
        <v>48690</v>
      </c>
      <c r="E2369" s="752" t="s">
        <v>38002</v>
      </c>
      <c r="F2369" s="751">
        <v>5025</v>
      </c>
    </row>
    <row r="2370" spans="1:6">
      <c r="A2370" s="753"/>
      <c r="B2370" s="753"/>
      <c r="C2370" s="752" t="s">
        <v>48689</v>
      </c>
      <c r="D2370" s="753" t="s">
        <v>48688</v>
      </c>
      <c r="E2370" s="752" t="s">
        <v>48687</v>
      </c>
      <c r="F2370" s="751">
        <v>3175</v>
      </c>
    </row>
    <row r="2371" spans="1:6">
      <c r="A2371" s="753"/>
      <c r="B2371" s="753"/>
      <c r="C2371" s="752" t="s">
        <v>48686</v>
      </c>
      <c r="D2371" s="753" t="s">
        <v>48685</v>
      </c>
      <c r="E2371" s="752" t="s">
        <v>38002</v>
      </c>
      <c r="F2371" s="751">
        <v>3745</v>
      </c>
    </row>
    <row r="2372" spans="1:6">
      <c r="A2372" s="753"/>
      <c r="B2372" s="753" t="s">
        <v>48684</v>
      </c>
      <c r="C2372" s="752" t="s">
        <v>48683</v>
      </c>
      <c r="D2372" s="753" t="s">
        <v>48681</v>
      </c>
      <c r="E2372" s="752" t="s">
        <v>42765</v>
      </c>
      <c r="F2372" s="751">
        <v>3975</v>
      </c>
    </row>
    <row r="2373" spans="1:6">
      <c r="A2373" s="753"/>
      <c r="B2373" s="753"/>
      <c r="C2373" s="752" t="s">
        <v>48682</v>
      </c>
      <c r="D2373" s="753" t="s">
        <v>48681</v>
      </c>
      <c r="E2373" s="752" t="s">
        <v>48680</v>
      </c>
      <c r="F2373" s="751">
        <v>4735</v>
      </c>
    </row>
    <row r="2374" spans="1:6">
      <c r="A2374" s="753"/>
      <c r="B2374" s="753"/>
      <c r="C2374" s="752" t="s">
        <v>48679</v>
      </c>
      <c r="D2374" s="753" t="s">
        <v>48678</v>
      </c>
      <c r="E2374" s="752" t="s">
        <v>48673</v>
      </c>
      <c r="F2374" s="751">
        <v>4875</v>
      </c>
    </row>
    <row r="2375" spans="1:6">
      <c r="A2375" s="753"/>
      <c r="B2375" s="753"/>
      <c r="C2375" s="752" t="s">
        <v>48677</v>
      </c>
      <c r="D2375" s="753" t="s">
        <v>48676</v>
      </c>
      <c r="E2375" s="752" t="s">
        <v>42765</v>
      </c>
      <c r="F2375" s="751">
        <v>3975</v>
      </c>
    </row>
    <row r="2376" spans="1:6">
      <c r="A2376" s="753"/>
      <c r="B2376" s="753"/>
      <c r="C2376" s="752" t="s">
        <v>48675</v>
      </c>
      <c r="D2376" s="753" t="s">
        <v>48674</v>
      </c>
      <c r="E2376" s="752" t="s">
        <v>48673</v>
      </c>
      <c r="F2376" s="751">
        <v>4875</v>
      </c>
    </row>
    <row r="2377" spans="1:6">
      <c r="A2377" s="753"/>
      <c r="B2377" s="753"/>
      <c r="C2377" s="752" t="s">
        <v>48672</v>
      </c>
      <c r="D2377" s="753" t="s">
        <v>48668</v>
      </c>
      <c r="E2377" s="752" t="s">
        <v>42765</v>
      </c>
      <c r="F2377" s="751">
        <v>3775</v>
      </c>
    </row>
    <row r="2378" spans="1:6">
      <c r="A2378" s="753"/>
      <c r="B2378" s="753"/>
      <c r="C2378" s="752" t="s">
        <v>48671</v>
      </c>
      <c r="D2378" s="753" t="s">
        <v>48668</v>
      </c>
      <c r="E2378" s="752" t="s">
        <v>48670</v>
      </c>
      <c r="F2378" s="751">
        <v>4535</v>
      </c>
    </row>
    <row r="2379" spans="1:6">
      <c r="A2379" s="753"/>
      <c r="B2379" s="753"/>
      <c r="C2379" s="752" t="s">
        <v>48669</v>
      </c>
      <c r="D2379" s="753" t="s">
        <v>48668</v>
      </c>
      <c r="E2379" s="752" t="s">
        <v>48663</v>
      </c>
      <c r="F2379" s="751">
        <v>4675</v>
      </c>
    </row>
    <row r="2380" spans="1:6">
      <c r="A2380" s="753"/>
      <c r="B2380" s="753"/>
      <c r="C2380" s="752" t="s">
        <v>48667</v>
      </c>
      <c r="D2380" s="753" t="s">
        <v>48666</v>
      </c>
      <c r="E2380" s="752" t="s">
        <v>42765</v>
      </c>
      <c r="F2380" s="751">
        <v>3775</v>
      </c>
    </row>
    <row r="2381" spans="1:6">
      <c r="A2381" s="753"/>
      <c r="B2381" s="753"/>
      <c r="C2381" s="752" t="s">
        <v>48665</v>
      </c>
      <c r="D2381" s="753" t="s">
        <v>48664</v>
      </c>
      <c r="E2381" s="752" t="s">
        <v>48663</v>
      </c>
      <c r="F2381" s="751">
        <v>4675</v>
      </c>
    </row>
    <row r="2382" spans="1:6">
      <c r="A2382" s="753"/>
      <c r="B2382" s="753" t="s">
        <v>48662</v>
      </c>
      <c r="C2382" s="752" t="s">
        <v>48661</v>
      </c>
      <c r="D2382" s="753" t="s">
        <v>48660</v>
      </c>
      <c r="E2382" s="752" t="s">
        <v>37838</v>
      </c>
      <c r="F2382" s="751">
        <v>1975</v>
      </c>
    </row>
    <row r="2383" spans="1:6">
      <c r="A2383" s="753"/>
      <c r="B2383" s="753" t="s">
        <v>48659</v>
      </c>
      <c r="C2383" s="752" t="s">
        <v>48658</v>
      </c>
      <c r="D2383" s="753" t="s">
        <v>48568</v>
      </c>
      <c r="E2383" s="752" t="s">
        <v>38570</v>
      </c>
      <c r="F2383" s="751">
        <v>8605</v>
      </c>
    </row>
    <row r="2384" spans="1:6">
      <c r="A2384" s="753"/>
      <c r="B2384" s="753"/>
      <c r="C2384" s="752" t="s">
        <v>48657</v>
      </c>
      <c r="D2384" s="753" t="s">
        <v>48609</v>
      </c>
      <c r="E2384" s="752" t="s">
        <v>48402</v>
      </c>
      <c r="F2384" s="751">
        <v>4015</v>
      </c>
    </row>
    <row r="2385" spans="1:6">
      <c r="A2385" s="753"/>
      <c r="B2385" s="753"/>
      <c r="C2385" s="752" t="s">
        <v>48656</v>
      </c>
      <c r="D2385" s="753" t="s">
        <v>48655</v>
      </c>
      <c r="E2385" s="752" t="s">
        <v>39276</v>
      </c>
      <c r="F2385" s="751">
        <v>3965</v>
      </c>
    </row>
    <row r="2386" spans="1:6">
      <c r="A2386" s="753"/>
      <c r="B2386" s="753"/>
      <c r="C2386" s="752" t="s">
        <v>48654</v>
      </c>
      <c r="D2386" s="753" t="s">
        <v>48651</v>
      </c>
      <c r="E2386" s="752" t="s">
        <v>47186</v>
      </c>
      <c r="F2386" s="751">
        <v>3965</v>
      </c>
    </row>
    <row r="2387" spans="1:6">
      <c r="A2387" s="753"/>
      <c r="B2387" s="753"/>
      <c r="C2387" s="752" t="s">
        <v>48653</v>
      </c>
      <c r="D2387" s="753" t="s">
        <v>48651</v>
      </c>
      <c r="E2387" s="752" t="s">
        <v>46584</v>
      </c>
      <c r="F2387" s="751">
        <v>3965</v>
      </c>
    </row>
    <row r="2388" spans="1:6">
      <c r="A2388" s="753"/>
      <c r="B2388" s="753"/>
      <c r="C2388" s="752" t="s">
        <v>48652</v>
      </c>
      <c r="D2388" s="753" t="s">
        <v>48651</v>
      </c>
      <c r="E2388" s="752" t="s">
        <v>48650</v>
      </c>
      <c r="F2388" s="751">
        <v>4565</v>
      </c>
    </row>
    <row r="2389" spans="1:6">
      <c r="A2389" s="753"/>
      <c r="B2389" s="753"/>
      <c r="C2389" s="752" t="s">
        <v>48649</v>
      </c>
      <c r="D2389" s="753" t="s">
        <v>48609</v>
      </c>
      <c r="E2389" s="752" t="s">
        <v>293</v>
      </c>
      <c r="F2389" s="751">
        <v>4615</v>
      </c>
    </row>
    <row r="2390" spans="1:6">
      <c r="A2390" s="753"/>
      <c r="B2390" s="753"/>
      <c r="C2390" s="752" t="s">
        <v>48648</v>
      </c>
      <c r="D2390" s="753" t="s">
        <v>48633</v>
      </c>
      <c r="E2390" s="752" t="s">
        <v>48632</v>
      </c>
      <c r="F2390" s="751">
        <v>5375</v>
      </c>
    </row>
    <row r="2391" spans="1:6">
      <c r="A2391" s="753"/>
      <c r="B2391" s="753"/>
      <c r="C2391" s="752" t="s">
        <v>48647</v>
      </c>
      <c r="D2391" s="753" t="s">
        <v>48621</v>
      </c>
      <c r="E2391" s="752" t="s">
        <v>293</v>
      </c>
      <c r="F2391" s="751">
        <v>4515</v>
      </c>
    </row>
    <row r="2392" spans="1:6">
      <c r="A2392" s="753"/>
      <c r="B2392" s="753"/>
      <c r="C2392" s="752" t="s">
        <v>48646</v>
      </c>
      <c r="D2392" s="753" t="s">
        <v>48612</v>
      </c>
      <c r="E2392" s="752" t="s">
        <v>293</v>
      </c>
      <c r="F2392" s="751">
        <v>3875</v>
      </c>
    </row>
    <row r="2393" spans="1:6">
      <c r="A2393" s="753"/>
      <c r="B2393" s="753"/>
      <c r="C2393" s="752" t="s">
        <v>48645</v>
      </c>
      <c r="D2393" s="753" t="s">
        <v>48612</v>
      </c>
      <c r="E2393" s="752" t="s">
        <v>41652</v>
      </c>
      <c r="F2393" s="751">
        <v>3875</v>
      </c>
    </row>
    <row r="2394" spans="1:6">
      <c r="A2394" s="753"/>
      <c r="B2394" s="753"/>
      <c r="C2394" s="752" t="s">
        <v>48644</v>
      </c>
      <c r="D2394" s="753" t="s">
        <v>48609</v>
      </c>
      <c r="E2394" s="752" t="s">
        <v>293</v>
      </c>
      <c r="F2394" s="751">
        <v>4615</v>
      </c>
    </row>
    <row r="2395" spans="1:6">
      <c r="A2395" s="753"/>
      <c r="B2395" s="753"/>
      <c r="C2395" s="752" t="s">
        <v>48643</v>
      </c>
      <c r="D2395" s="753" t="s">
        <v>48633</v>
      </c>
      <c r="E2395" s="752" t="s">
        <v>48632</v>
      </c>
      <c r="F2395" s="751">
        <v>5375</v>
      </c>
    </row>
    <row r="2396" spans="1:6">
      <c r="A2396" s="753"/>
      <c r="B2396" s="753"/>
      <c r="C2396" s="752" t="s">
        <v>48642</v>
      </c>
      <c r="D2396" s="753" t="s">
        <v>48621</v>
      </c>
      <c r="E2396" s="752" t="s">
        <v>293</v>
      </c>
      <c r="F2396" s="751">
        <v>4515</v>
      </c>
    </row>
    <row r="2397" spans="1:6">
      <c r="A2397" s="753"/>
      <c r="B2397" s="753"/>
      <c r="C2397" s="752" t="s">
        <v>48641</v>
      </c>
      <c r="D2397" s="753" t="s">
        <v>48612</v>
      </c>
      <c r="E2397" s="752" t="s">
        <v>293</v>
      </c>
      <c r="F2397" s="751">
        <v>3875</v>
      </c>
    </row>
    <row r="2398" spans="1:6">
      <c r="A2398" s="753"/>
      <c r="B2398" s="753"/>
      <c r="C2398" s="752" t="s">
        <v>48640</v>
      </c>
      <c r="D2398" s="753" t="s">
        <v>48612</v>
      </c>
      <c r="E2398" s="752" t="s">
        <v>41652</v>
      </c>
      <c r="F2398" s="751">
        <v>3875</v>
      </c>
    </row>
    <row r="2399" spans="1:6">
      <c r="A2399" s="753"/>
      <c r="B2399" s="753"/>
      <c r="C2399" s="752" t="s">
        <v>48639</v>
      </c>
      <c r="D2399" s="753" t="s">
        <v>48609</v>
      </c>
      <c r="E2399" s="752" t="s">
        <v>293</v>
      </c>
      <c r="F2399" s="751">
        <v>4615</v>
      </c>
    </row>
    <row r="2400" spans="1:6">
      <c r="A2400" s="753"/>
      <c r="B2400" s="753"/>
      <c r="C2400" s="752" t="s">
        <v>48638</v>
      </c>
      <c r="D2400" s="753" t="s">
        <v>48633</v>
      </c>
      <c r="E2400" s="752" t="s">
        <v>48635</v>
      </c>
      <c r="F2400" s="751">
        <v>5375</v>
      </c>
    </row>
    <row r="2401" spans="1:6">
      <c r="A2401" s="753"/>
      <c r="B2401" s="753"/>
      <c r="C2401" s="752" t="s">
        <v>48637</v>
      </c>
      <c r="D2401" s="753" t="s">
        <v>48636</v>
      </c>
      <c r="E2401" s="752" t="s">
        <v>48635</v>
      </c>
      <c r="F2401" s="751">
        <v>5375</v>
      </c>
    </row>
    <row r="2402" spans="1:6">
      <c r="A2402" s="753"/>
      <c r="B2402" s="753"/>
      <c r="C2402" s="752" t="s">
        <v>48634</v>
      </c>
      <c r="D2402" s="753" t="s">
        <v>48633</v>
      </c>
      <c r="E2402" s="752" t="s">
        <v>48632</v>
      </c>
      <c r="F2402" s="751">
        <v>5375</v>
      </c>
    </row>
    <row r="2403" spans="1:6">
      <c r="A2403" s="753"/>
      <c r="B2403" s="753"/>
      <c r="C2403" s="752" t="s">
        <v>48631</v>
      </c>
      <c r="D2403" s="753" t="s">
        <v>48609</v>
      </c>
      <c r="E2403" s="752" t="s">
        <v>48402</v>
      </c>
      <c r="F2403" s="751">
        <v>4565</v>
      </c>
    </row>
    <row r="2404" spans="1:6">
      <c r="A2404" s="753"/>
      <c r="B2404" s="753"/>
      <c r="C2404" s="752" t="s">
        <v>48630</v>
      </c>
      <c r="D2404" s="753" t="s">
        <v>48609</v>
      </c>
      <c r="E2404" s="752" t="s">
        <v>48532</v>
      </c>
      <c r="F2404" s="751">
        <v>5325</v>
      </c>
    </row>
    <row r="2405" spans="1:6">
      <c r="A2405" s="753"/>
      <c r="B2405" s="753"/>
      <c r="C2405" s="752" t="s">
        <v>48629</v>
      </c>
      <c r="D2405" s="753" t="s">
        <v>48609</v>
      </c>
      <c r="E2405" s="752" t="s">
        <v>48628</v>
      </c>
      <c r="F2405" s="751">
        <v>5375</v>
      </c>
    </row>
    <row r="2406" spans="1:6">
      <c r="A2406" s="753"/>
      <c r="B2406" s="753"/>
      <c r="C2406" s="752" t="s">
        <v>48627</v>
      </c>
      <c r="D2406" s="753" t="s">
        <v>48621</v>
      </c>
      <c r="E2406" s="752" t="s">
        <v>293</v>
      </c>
      <c r="F2406" s="751">
        <v>4515</v>
      </c>
    </row>
    <row r="2407" spans="1:6">
      <c r="A2407" s="753"/>
      <c r="B2407" s="753"/>
      <c r="C2407" s="752" t="s">
        <v>48626</v>
      </c>
      <c r="D2407" s="753" t="s">
        <v>48621</v>
      </c>
      <c r="E2407" s="752" t="s">
        <v>39996</v>
      </c>
      <c r="F2407" s="751">
        <v>4515</v>
      </c>
    </row>
    <row r="2408" spans="1:6">
      <c r="A2408" s="753"/>
      <c r="B2408" s="753"/>
      <c r="C2408" s="752" t="s">
        <v>48625</v>
      </c>
      <c r="D2408" s="753" t="s">
        <v>48621</v>
      </c>
      <c r="E2408" s="752" t="s">
        <v>48385</v>
      </c>
      <c r="F2408" s="751">
        <v>4515</v>
      </c>
    </row>
    <row r="2409" spans="1:6">
      <c r="A2409" s="753"/>
      <c r="B2409" s="753"/>
      <c r="C2409" s="752" t="s">
        <v>48624</v>
      </c>
      <c r="D2409" s="753" t="s">
        <v>48621</v>
      </c>
      <c r="E2409" s="752" t="s">
        <v>46584</v>
      </c>
      <c r="F2409" s="751">
        <v>4515</v>
      </c>
    </row>
    <row r="2410" spans="1:6">
      <c r="A2410" s="753"/>
      <c r="B2410" s="753"/>
      <c r="C2410" s="752" t="s">
        <v>48623</v>
      </c>
      <c r="D2410" s="753" t="s">
        <v>48621</v>
      </c>
      <c r="E2410" s="752" t="s">
        <v>48378</v>
      </c>
      <c r="F2410" s="751">
        <v>5275</v>
      </c>
    </row>
    <row r="2411" spans="1:6">
      <c r="A2411" s="753"/>
      <c r="B2411" s="753"/>
      <c r="C2411" s="752" t="s">
        <v>48622</v>
      </c>
      <c r="D2411" s="753" t="s">
        <v>48621</v>
      </c>
      <c r="E2411" s="752" t="s">
        <v>48620</v>
      </c>
      <c r="F2411" s="751">
        <v>4975</v>
      </c>
    </row>
    <row r="2412" spans="1:6">
      <c r="A2412" s="753"/>
      <c r="B2412" s="753"/>
      <c r="C2412" s="752" t="s">
        <v>48619</v>
      </c>
      <c r="D2412" s="753" t="s">
        <v>48359</v>
      </c>
      <c r="E2412" s="752" t="s">
        <v>48618</v>
      </c>
      <c r="F2412" s="751">
        <v>3405</v>
      </c>
    </row>
    <row r="2413" spans="1:6">
      <c r="A2413" s="753"/>
      <c r="B2413" s="753"/>
      <c r="C2413" s="752" t="s">
        <v>48617</v>
      </c>
      <c r="D2413" s="753" t="s">
        <v>48612</v>
      </c>
      <c r="E2413" s="752" t="s">
        <v>293</v>
      </c>
      <c r="F2413" s="751">
        <v>3875</v>
      </c>
    </row>
    <row r="2414" spans="1:6">
      <c r="A2414" s="753"/>
      <c r="B2414" s="753"/>
      <c r="C2414" s="752" t="s">
        <v>48616</v>
      </c>
      <c r="D2414" s="753" t="s">
        <v>48612</v>
      </c>
      <c r="E2414" s="752" t="s">
        <v>41652</v>
      </c>
      <c r="F2414" s="751">
        <v>3875</v>
      </c>
    </row>
    <row r="2415" spans="1:6">
      <c r="A2415" s="753"/>
      <c r="B2415" s="753"/>
      <c r="C2415" s="752" t="s">
        <v>48615</v>
      </c>
      <c r="D2415" s="753" t="s">
        <v>48612</v>
      </c>
      <c r="E2415" s="752" t="s">
        <v>39011</v>
      </c>
      <c r="F2415" s="751">
        <v>4635</v>
      </c>
    </row>
    <row r="2416" spans="1:6">
      <c r="A2416" s="753"/>
      <c r="B2416" s="753"/>
      <c r="C2416" s="752" t="s">
        <v>48614</v>
      </c>
      <c r="D2416" s="753" t="s">
        <v>48612</v>
      </c>
      <c r="E2416" s="752" t="s">
        <v>46649</v>
      </c>
      <c r="F2416" s="751">
        <v>3875</v>
      </c>
    </row>
    <row r="2417" spans="1:6">
      <c r="A2417" s="753"/>
      <c r="B2417" s="753"/>
      <c r="C2417" s="752" t="s">
        <v>48613</v>
      </c>
      <c r="D2417" s="753" t="s">
        <v>48612</v>
      </c>
      <c r="E2417" s="752" t="s">
        <v>48611</v>
      </c>
      <c r="F2417" s="751">
        <v>4635</v>
      </c>
    </row>
    <row r="2418" spans="1:6">
      <c r="A2418" s="753"/>
      <c r="B2418" s="753"/>
      <c r="C2418" s="752" t="s">
        <v>48610</v>
      </c>
      <c r="D2418" s="753" t="s">
        <v>48609</v>
      </c>
      <c r="E2418" s="752" t="s">
        <v>293</v>
      </c>
      <c r="F2418" s="751">
        <v>4615</v>
      </c>
    </row>
    <row r="2419" spans="1:6">
      <c r="A2419" s="753"/>
      <c r="B2419" s="753"/>
      <c r="C2419" s="752" t="s">
        <v>48608</v>
      </c>
      <c r="D2419" s="753" t="s">
        <v>48607</v>
      </c>
      <c r="E2419" s="752" t="s">
        <v>293</v>
      </c>
      <c r="F2419" s="751">
        <v>4595</v>
      </c>
    </row>
    <row r="2420" spans="1:6">
      <c r="A2420" s="753"/>
      <c r="B2420" s="753"/>
      <c r="C2420" s="752" t="s">
        <v>48606</v>
      </c>
      <c r="D2420" s="753" t="s">
        <v>48592</v>
      </c>
      <c r="E2420" s="752" t="s">
        <v>293</v>
      </c>
      <c r="F2420" s="751">
        <v>5195</v>
      </c>
    </row>
    <row r="2421" spans="1:6">
      <c r="A2421" s="753"/>
      <c r="B2421" s="753"/>
      <c r="C2421" s="752" t="s">
        <v>48605</v>
      </c>
      <c r="D2421" s="753" t="s">
        <v>48592</v>
      </c>
      <c r="E2421" s="752" t="s">
        <v>293</v>
      </c>
      <c r="F2421" s="751">
        <v>5195</v>
      </c>
    </row>
    <row r="2422" spans="1:6">
      <c r="A2422" s="753"/>
      <c r="B2422" s="753"/>
      <c r="C2422" s="752" t="s">
        <v>48604</v>
      </c>
      <c r="D2422" s="753" t="s">
        <v>48595</v>
      </c>
      <c r="E2422" s="752" t="s">
        <v>293</v>
      </c>
      <c r="F2422" s="751">
        <v>5195</v>
      </c>
    </row>
    <row r="2423" spans="1:6">
      <c r="A2423" s="753"/>
      <c r="B2423" s="753"/>
      <c r="C2423" s="752" t="s">
        <v>48603</v>
      </c>
      <c r="D2423" s="753" t="s">
        <v>48592</v>
      </c>
      <c r="E2423" s="752" t="s">
        <v>293</v>
      </c>
      <c r="F2423" s="751">
        <v>5195</v>
      </c>
    </row>
    <row r="2424" spans="1:6">
      <c r="A2424" s="753"/>
      <c r="B2424" s="753"/>
      <c r="C2424" s="752" t="s">
        <v>48602</v>
      </c>
      <c r="D2424" s="753" t="s">
        <v>48592</v>
      </c>
      <c r="E2424" s="752" t="s">
        <v>46584</v>
      </c>
      <c r="F2424" s="751">
        <v>5195</v>
      </c>
    </row>
    <row r="2425" spans="1:6">
      <c r="A2425" s="753"/>
      <c r="B2425" s="753"/>
      <c r="C2425" s="752" t="s">
        <v>48601</v>
      </c>
      <c r="D2425" s="753" t="s">
        <v>48592</v>
      </c>
      <c r="E2425" s="752" t="s">
        <v>46972</v>
      </c>
      <c r="F2425" s="751">
        <v>5195</v>
      </c>
    </row>
    <row r="2426" spans="1:6">
      <c r="A2426" s="753"/>
      <c r="B2426" s="753"/>
      <c r="C2426" s="752" t="s">
        <v>48600</v>
      </c>
      <c r="D2426" s="753" t="s">
        <v>48599</v>
      </c>
      <c r="E2426" s="752" t="s">
        <v>48598</v>
      </c>
      <c r="F2426" s="751">
        <v>4745</v>
      </c>
    </row>
    <row r="2427" spans="1:6">
      <c r="A2427" s="753"/>
      <c r="B2427" s="753"/>
      <c r="C2427" s="752" t="s">
        <v>48597</v>
      </c>
      <c r="D2427" s="753" t="s">
        <v>48595</v>
      </c>
      <c r="E2427" s="752" t="s">
        <v>293</v>
      </c>
      <c r="F2427" s="751">
        <v>5195</v>
      </c>
    </row>
    <row r="2428" spans="1:6">
      <c r="A2428" s="753"/>
      <c r="B2428" s="753"/>
      <c r="C2428" s="752" t="s">
        <v>48596</v>
      </c>
      <c r="D2428" s="753" t="s">
        <v>48595</v>
      </c>
      <c r="E2428" s="752" t="s">
        <v>38584</v>
      </c>
      <c r="F2428" s="751">
        <v>5195</v>
      </c>
    </row>
    <row r="2429" spans="1:6">
      <c r="A2429" s="753"/>
      <c r="B2429" s="753"/>
      <c r="C2429" s="752" t="s">
        <v>48594</v>
      </c>
      <c r="D2429" s="753" t="s">
        <v>48592</v>
      </c>
      <c r="E2429" s="752" t="s">
        <v>293</v>
      </c>
      <c r="F2429" s="751">
        <v>5195</v>
      </c>
    </row>
    <row r="2430" spans="1:6">
      <c r="A2430" s="753"/>
      <c r="B2430" s="753"/>
      <c r="C2430" s="752" t="s">
        <v>48593</v>
      </c>
      <c r="D2430" s="753" t="s">
        <v>48592</v>
      </c>
      <c r="E2430" s="752" t="s">
        <v>293</v>
      </c>
      <c r="F2430" s="751">
        <v>5495</v>
      </c>
    </row>
    <row r="2431" spans="1:6">
      <c r="A2431" s="753"/>
      <c r="B2431" s="753"/>
      <c r="C2431" s="752" t="s">
        <v>48591</v>
      </c>
      <c r="D2431" s="753" t="s">
        <v>48590</v>
      </c>
      <c r="E2431" s="752" t="s">
        <v>38584</v>
      </c>
      <c r="F2431" s="751">
        <v>2925</v>
      </c>
    </row>
    <row r="2432" spans="1:6">
      <c r="A2432" s="753"/>
      <c r="B2432" s="753"/>
      <c r="C2432" s="752" t="s">
        <v>48589</v>
      </c>
      <c r="D2432" s="753" t="s">
        <v>48588</v>
      </c>
      <c r="E2432" s="752" t="s">
        <v>38584</v>
      </c>
      <c r="F2432" s="751">
        <v>3425</v>
      </c>
    </row>
    <row r="2433" spans="1:6">
      <c r="A2433" s="753"/>
      <c r="B2433" s="753"/>
      <c r="C2433" s="752" t="s">
        <v>48587</v>
      </c>
      <c r="D2433" s="753" t="s">
        <v>48585</v>
      </c>
      <c r="E2433" s="752" t="s">
        <v>38584</v>
      </c>
      <c r="F2433" s="751">
        <v>4130</v>
      </c>
    </row>
    <row r="2434" spans="1:6">
      <c r="A2434" s="753"/>
      <c r="B2434" s="753"/>
      <c r="C2434" s="752" t="s">
        <v>48586</v>
      </c>
      <c r="D2434" s="753" t="s">
        <v>48585</v>
      </c>
      <c r="E2434" s="752" t="s">
        <v>47102</v>
      </c>
      <c r="F2434" s="751">
        <v>4130</v>
      </c>
    </row>
    <row r="2435" spans="1:6">
      <c r="A2435" s="753"/>
      <c r="B2435" s="753"/>
      <c r="C2435" s="752" t="s">
        <v>48584</v>
      </c>
      <c r="D2435" s="753" t="s">
        <v>48579</v>
      </c>
      <c r="E2435" s="752" t="s">
        <v>293</v>
      </c>
      <c r="F2435" s="751">
        <v>5995</v>
      </c>
    </row>
    <row r="2436" spans="1:6">
      <c r="A2436" s="753"/>
      <c r="B2436" s="753"/>
      <c r="C2436" s="752" t="s">
        <v>48583</v>
      </c>
      <c r="D2436" s="753" t="s">
        <v>48560</v>
      </c>
      <c r="E2436" s="752" t="s">
        <v>293</v>
      </c>
      <c r="F2436" s="751">
        <v>5995</v>
      </c>
    </row>
    <row r="2437" spans="1:6">
      <c r="A2437" s="753"/>
      <c r="B2437" s="753"/>
      <c r="C2437" s="752" t="s">
        <v>48582</v>
      </c>
      <c r="D2437" s="753" t="s">
        <v>48579</v>
      </c>
      <c r="E2437" s="752" t="s">
        <v>48581</v>
      </c>
      <c r="F2437" s="751">
        <v>5995</v>
      </c>
    </row>
    <row r="2438" spans="1:6">
      <c r="A2438" s="753"/>
      <c r="B2438" s="753"/>
      <c r="C2438" s="752" t="s">
        <v>48580</v>
      </c>
      <c r="D2438" s="753" t="s">
        <v>48579</v>
      </c>
      <c r="E2438" s="752" t="s">
        <v>39996</v>
      </c>
      <c r="F2438" s="751">
        <v>5995</v>
      </c>
    </row>
    <row r="2439" spans="1:6">
      <c r="A2439" s="753"/>
      <c r="B2439" s="753"/>
      <c r="C2439" s="752" t="s">
        <v>48578</v>
      </c>
      <c r="D2439" s="753" t="s">
        <v>48560</v>
      </c>
      <c r="E2439" s="752" t="s">
        <v>48559</v>
      </c>
      <c r="F2439" s="751">
        <v>5995</v>
      </c>
    </row>
    <row r="2440" spans="1:6">
      <c r="A2440" s="753"/>
      <c r="B2440" s="753"/>
      <c r="C2440" s="752" t="s">
        <v>48577</v>
      </c>
      <c r="D2440" s="753" t="s">
        <v>48576</v>
      </c>
      <c r="E2440" s="752" t="s">
        <v>48575</v>
      </c>
      <c r="F2440" s="751">
        <v>4070</v>
      </c>
    </row>
    <row r="2441" spans="1:6">
      <c r="A2441" s="753"/>
      <c r="B2441" s="753"/>
      <c r="C2441" s="752" t="s">
        <v>48574</v>
      </c>
      <c r="D2441" s="753" t="s">
        <v>48566</v>
      </c>
      <c r="E2441" s="752" t="s">
        <v>48565</v>
      </c>
      <c r="F2441" s="751">
        <v>5925</v>
      </c>
    </row>
    <row r="2442" spans="1:6">
      <c r="A2442" s="753"/>
      <c r="B2442" s="753"/>
      <c r="C2442" s="752" t="s">
        <v>48573</v>
      </c>
      <c r="D2442" s="753" t="s">
        <v>48560</v>
      </c>
      <c r="E2442" s="752" t="s">
        <v>293</v>
      </c>
      <c r="F2442" s="751">
        <v>6545</v>
      </c>
    </row>
    <row r="2443" spans="1:6">
      <c r="A2443" s="753"/>
      <c r="B2443" s="753"/>
      <c r="C2443" s="752" t="s">
        <v>48572</v>
      </c>
      <c r="D2443" s="753" t="s">
        <v>48568</v>
      </c>
      <c r="E2443" s="752" t="s">
        <v>293</v>
      </c>
      <c r="F2443" s="751">
        <v>8605</v>
      </c>
    </row>
    <row r="2444" spans="1:6">
      <c r="A2444" s="753"/>
      <c r="B2444" s="753"/>
      <c r="C2444" s="752" t="s">
        <v>48571</v>
      </c>
      <c r="D2444" s="753" t="s">
        <v>48566</v>
      </c>
      <c r="E2444" s="752" t="s">
        <v>46649</v>
      </c>
      <c r="F2444" s="751">
        <v>5975</v>
      </c>
    </row>
    <row r="2445" spans="1:6">
      <c r="A2445" s="753"/>
      <c r="B2445" s="753"/>
      <c r="C2445" s="752" t="s">
        <v>48570</v>
      </c>
      <c r="D2445" s="753" t="s">
        <v>48560</v>
      </c>
      <c r="E2445" s="752" t="s">
        <v>48559</v>
      </c>
      <c r="F2445" s="751">
        <v>6545</v>
      </c>
    </row>
    <row r="2446" spans="1:6">
      <c r="A2446" s="753"/>
      <c r="B2446" s="753"/>
      <c r="C2446" s="752" t="s">
        <v>48569</v>
      </c>
      <c r="D2446" s="753" t="s">
        <v>48568</v>
      </c>
      <c r="E2446" s="752" t="s">
        <v>41652</v>
      </c>
      <c r="F2446" s="751">
        <v>8605</v>
      </c>
    </row>
    <row r="2447" spans="1:6">
      <c r="A2447" s="753"/>
      <c r="B2447" s="753"/>
      <c r="C2447" s="752" t="s">
        <v>48567</v>
      </c>
      <c r="D2447" s="753" t="s">
        <v>48566</v>
      </c>
      <c r="E2447" s="752" t="s">
        <v>48565</v>
      </c>
      <c r="F2447" s="751">
        <v>5975</v>
      </c>
    </row>
    <row r="2448" spans="1:6">
      <c r="A2448" s="753"/>
      <c r="B2448" s="753"/>
      <c r="C2448" s="752" t="s">
        <v>48564</v>
      </c>
      <c r="D2448" s="753" t="s">
        <v>48563</v>
      </c>
      <c r="E2448" s="752" t="s">
        <v>46649</v>
      </c>
      <c r="F2448" s="751">
        <v>9095</v>
      </c>
    </row>
    <row r="2449" spans="1:6">
      <c r="A2449" s="753"/>
      <c r="B2449" s="753"/>
      <c r="C2449" s="752" t="s">
        <v>48562</v>
      </c>
      <c r="D2449" s="753" t="s">
        <v>48560</v>
      </c>
      <c r="E2449" s="752" t="s">
        <v>293</v>
      </c>
      <c r="F2449" s="751">
        <v>6545</v>
      </c>
    </row>
    <row r="2450" spans="1:6">
      <c r="A2450" s="753"/>
      <c r="B2450" s="753"/>
      <c r="C2450" s="752" t="s">
        <v>48561</v>
      </c>
      <c r="D2450" s="753" t="s">
        <v>48560</v>
      </c>
      <c r="E2450" s="752" t="s">
        <v>48559</v>
      </c>
      <c r="F2450" s="751">
        <v>6545</v>
      </c>
    </row>
    <row r="2451" spans="1:6">
      <c r="A2451" s="753"/>
      <c r="B2451" s="753"/>
      <c r="C2451" s="752" t="s">
        <v>48558</v>
      </c>
      <c r="D2451" s="753" t="s">
        <v>48552</v>
      </c>
      <c r="E2451" s="752" t="s">
        <v>293</v>
      </c>
      <c r="F2451" s="751">
        <v>2949</v>
      </c>
    </row>
    <row r="2452" spans="1:6">
      <c r="A2452" s="753"/>
      <c r="B2452" s="753"/>
      <c r="C2452" s="752" t="s">
        <v>48557</v>
      </c>
      <c r="D2452" s="753" t="s">
        <v>48550</v>
      </c>
      <c r="E2452" s="752" t="s">
        <v>293</v>
      </c>
      <c r="F2452" s="751">
        <v>4000</v>
      </c>
    </row>
    <row r="2453" spans="1:6">
      <c r="A2453" s="753"/>
      <c r="B2453" s="753"/>
      <c r="C2453" s="752" t="s">
        <v>48556</v>
      </c>
      <c r="D2453" s="753" t="s">
        <v>48552</v>
      </c>
      <c r="E2453" s="752" t="s">
        <v>293</v>
      </c>
      <c r="F2453" s="751">
        <v>2949</v>
      </c>
    </row>
    <row r="2454" spans="1:6">
      <c r="A2454" s="753"/>
      <c r="B2454" s="753"/>
      <c r="C2454" s="752" t="s">
        <v>48555</v>
      </c>
      <c r="D2454" s="753" t="s">
        <v>48554</v>
      </c>
      <c r="E2454" s="752" t="s">
        <v>293</v>
      </c>
      <c r="F2454" s="751">
        <v>3649</v>
      </c>
    </row>
    <row r="2455" spans="1:6">
      <c r="A2455" s="753"/>
      <c r="B2455" s="753"/>
      <c r="C2455" s="752" t="s">
        <v>48553</v>
      </c>
      <c r="D2455" s="753" t="s">
        <v>48552</v>
      </c>
      <c r="E2455" s="752" t="s">
        <v>48549</v>
      </c>
      <c r="F2455" s="751">
        <v>2949</v>
      </c>
    </row>
    <row r="2456" spans="1:6">
      <c r="A2456" s="753"/>
      <c r="B2456" s="753"/>
      <c r="C2456" s="752" t="s">
        <v>48551</v>
      </c>
      <c r="D2456" s="753" t="s">
        <v>48550</v>
      </c>
      <c r="E2456" s="752" t="s">
        <v>48549</v>
      </c>
      <c r="F2456" s="751">
        <v>4000</v>
      </c>
    </row>
    <row r="2457" spans="1:6">
      <c r="A2457" s="753"/>
      <c r="B2457" s="753"/>
      <c r="C2457" s="752" t="s">
        <v>48548</v>
      </c>
      <c r="D2457" s="753" t="s">
        <v>48547</v>
      </c>
      <c r="E2457" s="752" t="s">
        <v>293</v>
      </c>
      <c r="F2457" s="751">
        <v>4099</v>
      </c>
    </row>
    <row r="2458" spans="1:6">
      <c r="A2458" s="753"/>
      <c r="B2458" s="753"/>
      <c r="C2458" s="752" t="s">
        <v>48546</v>
      </c>
      <c r="D2458" s="753" t="s">
        <v>48544</v>
      </c>
      <c r="E2458" s="752" t="s">
        <v>293</v>
      </c>
      <c r="F2458" s="751">
        <v>3349</v>
      </c>
    </row>
    <row r="2459" spans="1:6">
      <c r="A2459" s="753"/>
      <c r="B2459" s="753"/>
      <c r="C2459" s="752" t="s">
        <v>48545</v>
      </c>
      <c r="D2459" s="753" t="s">
        <v>48544</v>
      </c>
      <c r="E2459" s="752" t="s">
        <v>46599</v>
      </c>
      <c r="F2459" s="751">
        <v>3349</v>
      </c>
    </row>
    <row r="2460" spans="1:6">
      <c r="A2460" s="753"/>
      <c r="B2460" s="753"/>
      <c r="C2460" s="752" t="s">
        <v>48543</v>
      </c>
      <c r="D2460" s="753" t="s">
        <v>48542</v>
      </c>
      <c r="E2460" s="752" t="s">
        <v>46599</v>
      </c>
      <c r="F2460" s="751">
        <v>3200</v>
      </c>
    </row>
    <row r="2461" spans="1:6">
      <c r="A2461" s="753"/>
      <c r="B2461" s="753"/>
      <c r="C2461" s="752" t="s">
        <v>48541</v>
      </c>
      <c r="D2461" s="753" t="s">
        <v>48539</v>
      </c>
      <c r="E2461" s="752" t="s">
        <v>293</v>
      </c>
      <c r="F2461" s="751">
        <v>3849</v>
      </c>
    </row>
    <row r="2462" spans="1:6">
      <c r="A2462" s="753"/>
      <c r="B2462" s="753"/>
      <c r="C2462" s="752" t="s">
        <v>48540</v>
      </c>
      <c r="D2462" s="753" t="s">
        <v>48539</v>
      </c>
      <c r="E2462" s="752" t="s">
        <v>46649</v>
      </c>
      <c r="F2462" s="751">
        <v>3849</v>
      </c>
    </row>
    <row r="2463" spans="1:6">
      <c r="A2463" s="753"/>
      <c r="B2463" s="753"/>
      <c r="C2463" s="752" t="s">
        <v>48538</v>
      </c>
      <c r="D2463" s="753" t="s">
        <v>48536</v>
      </c>
      <c r="E2463" s="752" t="s">
        <v>37758</v>
      </c>
      <c r="F2463" s="751">
        <v>4099</v>
      </c>
    </row>
    <row r="2464" spans="1:6">
      <c r="A2464" s="753"/>
      <c r="B2464" s="753"/>
      <c r="C2464" s="752" t="s">
        <v>48537</v>
      </c>
      <c r="D2464" s="753" t="s">
        <v>48536</v>
      </c>
      <c r="E2464" s="752" t="s">
        <v>46649</v>
      </c>
      <c r="F2464" s="751">
        <v>4099</v>
      </c>
    </row>
    <row r="2465" spans="1:6">
      <c r="A2465" s="753"/>
      <c r="B2465" s="753"/>
      <c r="C2465" s="752" t="s">
        <v>48535</v>
      </c>
      <c r="D2465" s="753" t="s">
        <v>48533</v>
      </c>
      <c r="E2465" s="752" t="s">
        <v>48402</v>
      </c>
      <c r="F2465" s="751">
        <v>3475</v>
      </c>
    </row>
    <row r="2466" spans="1:6">
      <c r="A2466" s="753"/>
      <c r="B2466" s="753"/>
      <c r="C2466" s="752" t="s">
        <v>48534</v>
      </c>
      <c r="D2466" s="753" t="s">
        <v>48533</v>
      </c>
      <c r="E2466" s="752" t="s">
        <v>48532</v>
      </c>
      <c r="F2466" s="751">
        <v>3985</v>
      </c>
    </row>
    <row r="2467" spans="1:6">
      <c r="A2467" s="753"/>
      <c r="B2467" s="753"/>
      <c r="C2467" s="752" t="s">
        <v>48531</v>
      </c>
      <c r="D2467" s="753" t="s">
        <v>48529</v>
      </c>
      <c r="E2467" s="752" t="s">
        <v>46584</v>
      </c>
      <c r="F2467" s="751">
        <v>3475</v>
      </c>
    </row>
    <row r="2468" spans="1:6">
      <c r="A2468" s="753"/>
      <c r="B2468" s="753"/>
      <c r="C2468" s="752" t="s">
        <v>48530</v>
      </c>
      <c r="D2468" s="753" t="s">
        <v>48529</v>
      </c>
      <c r="E2468" s="752" t="s">
        <v>48528</v>
      </c>
      <c r="F2468" s="751">
        <v>4565</v>
      </c>
    </row>
    <row r="2469" spans="1:6">
      <c r="A2469" s="753"/>
      <c r="B2469" s="753"/>
      <c r="C2469" s="752" t="s">
        <v>48527</v>
      </c>
      <c r="D2469" s="753" t="s">
        <v>48524</v>
      </c>
      <c r="E2469" s="752" t="s">
        <v>48526</v>
      </c>
      <c r="F2469" s="751">
        <v>1945</v>
      </c>
    </row>
    <row r="2470" spans="1:6">
      <c r="A2470" s="753"/>
      <c r="B2470" s="753"/>
      <c r="C2470" s="752" t="s">
        <v>48525</v>
      </c>
      <c r="D2470" s="753" t="s">
        <v>48524</v>
      </c>
      <c r="E2470" s="752" t="s">
        <v>46584</v>
      </c>
      <c r="F2470" s="751">
        <v>2275</v>
      </c>
    </row>
    <row r="2471" spans="1:6">
      <c r="A2471" s="753"/>
      <c r="B2471" s="753"/>
      <c r="C2471" s="752" t="s">
        <v>48523</v>
      </c>
      <c r="D2471" s="753" t="s">
        <v>48356</v>
      </c>
      <c r="E2471" s="752" t="s">
        <v>293</v>
      </c>
      <c r="F2471" s="751">
        <v>2825</v>
      </c>
    </row>
    <row r="2472" spans="1:6">
      <c r="A2472" s="753"/>
      <c r="B2472" s="753"/>
      <c r="C2472" s="752" t="s">
        <v>48522</v>
      </c>
      <c r="D2472" s="753" t="s">
        <v>48356</v>
      </c>
      <c r="E2472" s="752" t="s">
        <v>41652</v>
      </c>
      <c r="F2472" s="751">
        <v>2825</v>
      </c>
    </row>
    <row r="2473" spans="1:6">
      <c r="A2473" s="753"/>
      <c r="B2473" s="753"/>
      <c r="C2473" s="752" t="s">
        <v>48521</v>
      </c>
      <c r="D2473" s="753" t="s">
        <v>48356</v>
      </c>
      <c r="E2473" s="752" t="s">
        <v>38577</v>
      </c>
      <c r="F2473" s="751">
        <v>3585</v>
      </c>
    </row>
    <row r="2474" spans="1:6">
      <c r="A2474" s="753"/>
      <c r="B2474" s="753"/>
      <c r="C2474" s="752" t="s">
        <v>48520</v>
      </c>
      <c r="D2474" s="753" t="s">
        <v>48356</v>
      </c>
      <c r="E2474" s="752" t="s">
        <v>42893</v>
      </c>
      <c r="F2474" s="751">
        <v>2575</v>
      </c>
    </row>
    <row r="2475" spans="1:6">
      <c r="A2475" s="753"/>
      <c r="B2475" s="753"/>
      <c r="C2475" s="752" t="s">
        <v>48519</v>
      </c>
      <c r="D2475" s="753" t="s">
        <v>48356</v>
      </c>
      <c r="E2475" s="752" t="s">
        <v>293</v>
      </c>
      <c r="F2475" s="751">
        <v>2825</v>
      </c>
    </row>
    <row r="2476" spans="1:6">
      <c r="A2476" s="753"/>
      <c r="B2476" s="753"/>
      <c r="C2476" s="752" t="s">
        <v>48518</v>
      </c>
      <c r="D2476" s="753" t="s">
        <v>48356</v>
      </c>
      <c r="E2476" s="752" t="s">
        <v>41652</v>
      </c>
      <c r="F2476" s="751">
        <v>2825</v>
      </c>
    </row>
    <row r="2477" spans="1:6">
      <c r="A2477" s="753"/>
      <c r="B2477" s="753"/>
      <c r="C2477" s="752" t="s">
        <v>48517</v>
      </c>
      <c r="D2477" s="753" t="s">
        <v>48356</v>
      </c>
      <c r="E2477" s="752" t="s">
        <v>48516</v>
      </c>
      <c r="F2477" s="751">
        <v>3585</v>
      </c>
    </row>
    <row r="2478" spans="1:6">
      <c r="A2478" s="753"/>
      <c r="B2478" s="753"/>
      <c r="C2478" s="752" t="s">
        <v>48515</v>
      </c>
      <c r="D2478" s="753" t="s">
        <v>48356</v>
      </c>
      <c r="E2478" s="752" t="s">
        <v>39028</v>
      </c>
      <c r="F2478" s="751">
        <v>3585</v>
      </c>
    </row>
    <row r="2479" spans="1:6">
      <c r="A2479" s="753"/>
      <c r="B2479" s="753"/>
      <c r="C2479" s="752" t="s">
        <v>48514</v>
      </c>
      <c r="D2479" s="753" t="s">
        <v>48356</v>
      </c>
      <c r="E2479" s="752" t="s">
        <v>293</v>
      </c>
      <c r="F2479" s="751">
        <v>2825</v>
      </c>
    </row>
    <row r="2480" spans="1:6">
      <c r="A2480" s="753"/>
      <c r="B2480" s="753"/>
      <c r="C2480" s="752" t="s">
        <v>48513</v>
      </c>
      <c r="D2480" s="753" t="s">
        <v>48356</v>
      </c>
      <c r="E2480" s="752" t="s">
        <v>48512</v>
      </c>
      <c r="F2480" s="751">
        <v>2425</v>
      </c>
    </row>
    <row r="2481" spans="1:6">
      <c r="A2481" s="753"/>
      <c r="B2481" s="753"/>
      <c r="C2481" s="752" t="s">
        <v>48511</v>
      </c>
      <c r="D2481" s="753" t="s">
        <v>48356</v>
      </c>
      <c r="E2481" s="752" t="s">
        <v>39403</v>
      </c>
      <c r="F2481" s="751">
        <v>3585</v>
      </c>
    </row>
    <row r="2482" spans="1:6">
      <c r="A2482" s="753"/>
      <c r="B2482" s="753"/>
      <c r="C2482" s="752" t="s">
        <v>48510</v>
      </c>
      <c r="D2482" s="753" t="s">
        <v>48356</v>
      </c>
      <c r="E2482" s="752" t="s">
        <v>41652</v>
      </c>
      <c r="F2482" s="751">
        <v>2825</v>
      </c>
    </row>
    <row r="2483" spans="1:6">
      <c r="A2483" s="753"/>
      <c r="B2483" s="753"/>
      <c r="C2483" s="752" t="s">
        <v>48509</v>
      </c>
      <c r="D2483" s="753" t="s">
        <v>48356</v>
      </c>
      <c r="E2483" s="752" t="s">
        <v>48508</v>
      </c>
      <c r="F2483" s="751">
        <v>3335</v>
      </c>
    </row>
    <row r="2484" spans="1:6">
      <c r="A2484" s="753"/>
      <c r="B2484" s="753"/>
      <c r="C2484" s="752" t="s">
        <v>48507</v>
      </c>
      <c r="D2484" s="753" t="s">
        <v>48356</v>
      </c>
      <c r="E2484" s="752" t="s">
        <v>48506</v>
      </c>
      <c r="F2484" s="751">
        <v>2825</v>
      </c>
    </row>
    <row r="2485" spans="1:6">
      <c r="A2485" s="753"/>
      <c r="B2485" s="753"/>
      <c r="C2485" s="752" t="s">
        <v>48505</v>
      </c>
      <c r="D2485" s="753" t="s">
        <v>48356</v>
      </c>
      <c r="E2485" s="752" t="s">
        <v>48504</v>
      </c>
      <c r="F2485" s="751">
        <v>2425</v>
      </c>
    </row>
    <row r="2486" spans="1:6">
      <c r="A2486" s="753"/>
      <c r="B2486" s="753"/>
      <c r="C2486" s="752" t="s">
        <v>48503</v>
      </c>
      <c r="D2486" s="753" t="s">
        <v>48356</v>
      </c>
      <c r="E2486" s="752" t="s">
        <v>48502</v>
      </c>
      <c r="F2486" s="751">
        <v>3335</v>
      </c>
    </row>
    <row r="2487" spans="1:6">
      <c r="A2487" s="753"/>
      <c r="B2487" s="753"/>
      <c r="C2487" s="752" t="s">
        <v>48501</v>
      </c>
      <c r="D2487" s="753" t="s">
        <v>48356</v>
      </c>
      <c r="E2487" s="752" t="s">
        <v>48500</v>
      </c>
      <c r="F2487" s="751">
        <v>3915</v>
      </c>
    </row>
    <row r="2488" spans="1:6">
      <c r="A2488" s="753"/>
      <c r="B2488" s="753"/>
      <c r="C2488" s="752" t="s">
        <v>48499</v>
      </c>
      <c r="D2488" s="753" t="s">
        <v>48356</v>
      </c>
      <c r="E2488" s="752" t="s">
        <v>48380</v>
      </c>
      <c r="F2488" s="751">
        <v>2775</v>
      </c>
    </row>
    <row r="2489" spans="1:6">
      <c r="A2489" s="753"/>
      <c r="B2489" s="753"/>
      <c r="C2489" s="752" t="s">
        <v>48498</v>
      </c>
      <c r="D2489" s="753" t="s">
        <v>48356</v>
      </c>
      <c r="E2489" s="752" t="s">
        <v>48497</v>
      </c>
      <c r="F2489" s="751">
        <v>2825</v>
      </c>
    </row>
    <row r="2490" spans="1:6">
      <c r="A2490" s="753"/>
      <c r="B2490" s="753"/>
      <c r="C2490" s="752" t="s">
        <v>48496</v>
      </c>
      <c r="D2490" s="753" t="s">
        <v>48356</v>
      </c>
      <c r="E2490" s="752" t="s">
        <v>48495</v>
      </c>
      <c r="F2490" s="751">
        <v>2425</v>
      </c>
    </row>
    <row r="2491" spans="1:6">
      <c r="A2491" s="753"/>
      <c r="B2491" s="753"/>
      <c r="C2491" s="752" t="s">
        <v>48494</v>
      </c>
      <c r="D2491" s="753" t="s">
        <v>48356</v>
      </c>
      <c r="E2491" s="752" t="s">
        <v>45583</v>
      </c>
      <c r="F2491" s="751">
        <v>2775</v>
      </c>
    </row>
    <row r="2492" spans="1:6">
      <c r="A2492" s="753"/>
      <c r="B2492" s="753"/>
      <c r="C2492" s="752" t="s">
        <v>48493</v>
      </c>
      <c r="D2492" s="753" t="s">
        <v>48356</v>
      </c>
      <c r="E2492" s="752" t="s">
        <v>48492</v>
      </c>
      <c r="F2492" s="751">
        <v>3585</v>
      </c>
    </row>
    <row r="2493" spans="1:6">
      <c r="A2493" s="753"/>
      <c r="B2493" s="753"/>
      <c r="C2493" s="752" t="s">
        <v>48491</v>
      </c>
      <c r="D2493" s="753" t="s">
        <v>48356</v>
      </c>
      <c r="E2493" s="752" t="s">
        <v>48490</v>
      </c>
      <c r="F2493" s="751">
        <v>3585</v>
      </c>
    </row>
    <row r="2494" spans="1:6">
      <c r="A2494" s="753"/>
      <c r="B2494" s="753"/>
      <c r="C2494" s="752" t="s">
        <v>48489</v>
      </c>
      <c r="D2494" s="753" t="s">
        <v>48356</v>
      </c>
      <c r="E2494" s="752" t="s">
        <v>48488</v>
      </c>
      <c r="F2494" s="751">
        <v>3475</v>
      </c>
    </row>
    <row r="2495" spans="1:6">
      <c r="A2495" s="753"/>
      <c r="B2495" s="753"/>
      <c r="C2495" s="752" t="s">
        <v>48487</v>
      </c>
      <c r="D2495" s="753" t="s">
        <v>48356</v>
      </c>
      <c r="E2495" s="752" t="s">
        <v>48486</v>
      </c>
      <c r="F2495" s="751">
        <v>3425</v>
      </c>
    </row>
    <row r="2496" spans="1:6">
      <c r="A2496" s="753"/>
      <c r="B2496" s="753"/>
      <c r="C2496" s="752" t="s">
        <v>48485</v>
      </c>
      <c r="D2496" s="753" t="s">
        <v>48356</v>
      </c>
      <c r="E2496" s="752" t="s">
        <v>38550</v>
      </c>
      <c r="F2496" s="751">
        <v>3915</v>
      </c>
    </row>
    <row r="2497" spans="1:6">
      <c r="A2497" s="753"/>
      <c r="B2497" s="753"/>
      <c r="C2497" s="752" t="s">
        <v>48484</v>
      </c>
      <c r="D2497" s="753" t="s">
        <v>48356</v>
      </c>
      <c r="E2497" s="752" t="s">
        <v>37750</v>
      </c>
      <c r="F2497" s="751">
        <v>2325</v>
      </c>
    </row>
    <row r="2498" spans="1:6">
      <c r="A2498" s="753"/>
      <c r="B2498" s="753"/>
      <c r="C2498" s="752" t="s">
        <v>48483</v>
      </c>
      <c r="D2498" s="753" t="s">
        <v>48356</v>
      </c>
      <c r="E2498" s="752" t="s">
        <v>42926</v>
      </c>
      <c r="F2498" s="751">
        <v>2825</v>
      </c>
    </row>
    <row r="2499" spans="1:6">
      <c r="A2499" s="753"/>
      <c r="B2499" s="753"/>
      <c r="C2499" s="752" t="s">
        <v>48482</v>
      </c>
      <c r="D2499" s="753" t="s">
        <v>48356</v>
      </c>
      <c r="E2499" s="752" t="s">
        <v>48481</v>
      </c>
      <c r="F2499" s="751">
        <v>3585</v>
      </c>
    </row>
    <row r="2500" spans="1:6">
      <c r="A2500" s="753"/>
      <c r="B2500" s="753"/>
      <c r="C2500" s="752" t="s">
        <v>48480</v>
      </c>
      <c r="D2500" s="753" t="s">
        <v>48356</v>
      </c>
      <c r="E2500" s="752" t="s">
        <v>42893</v>
      </c>
      <c r="F2500" s="751">
        <v>2575</v>
      </c>
    </row>
    <row r="2501" spans="1:6">
      <c r="A2501" s="753"/>
      <c r="B2501" s="753"/>
      <c r="C2501" s="752" t="s">
        <v>48479</v>
      </c>
      <c r="D2501" s="753" t="s">
        <v>48456</v>
      </c>
      <c r="E2501" s="752" t="s">
        <v>293</v>
      </c>
      <c r="F2501" s="751">
        <v>3375</v>
      </c>
    </row>
    <row r="2502" spans="1:6">
      <c r="A2502" s="753"/>
      <c r="B2502" s="753"/>
      <c r="C2502" s="752" t="s">
        <v>48478</v>
      </c>
      <c r="D2502" s="753" t="s">
        <v>48456</v>
      </c>
      <c r="E2502" s="752" t="s">
        <v>39996</v>
      </c>
      <c r="F2502" s="751">
        <v>3375</v>
      </c>
    </row>
    <row r="2503" spans="1:6">
      <c r="A2503" s="753"/>
      <c r="B2503" s="753"/>
      <c r="C2503" s="752" t="s">
        <v>48477</v>
      </c>
      <c r="D2503" s="753" t="s">
        <v>48456</v>
      </c>
      <c r="E2503" s="752" t="s">
        <v>38577</v>
      </c>
      <c r="F2503" s="751">
        <v>4135</v>
      </c>
    </row>
    <row r="2504" spans="1:6">
      <c r="A2504" s="753"/>
      <c r="B2504" s="753"/>
      <c r="C2504" s="752" t="s">
        <v>48476</v>
      </c>
      <c r="D2504" s="753" t="s">
        <v>48456</v>
      </c>
      <c r="E2504" s="752" t="s">
        <v>293</v>
      </c>
      <c r="F2504" s="751">
        <v>3375</v>
      </c>
    </row>
    <row r="2505" spans="1:6">
      <c r="A2505" s="753"/>
      <c r="B2505" s="753"/>
      <c r="C2505" s="752" t="s">
        <v>48475</v>
      </c>
      <c r="D2505" s="753" t="s">
        <v>48456</v>
      </c>
      <c r="E2505" s="752" t="s">
        <v>39996</v>
      </c>
      <c r="F2505" s="751">
        <v>3375</v>
      </c>
    </row>
    <row r="2506" spans="1:6">
      <c r="A2506" s="753"/>
      <c r="B2506" s="753"/>
      <c r="C2506" s="752" t="s">
        <v>48474</v>
      </c>
      <c r="D2506" s="753" t="s">
        <v>48456</v>
      </c>
      <c r="E2506" s="752" t="s">
        <v>38577</v>
      </c>
      <c r="F2506" s="751">
        <v>4135</v>
      </c>
    </row>
    <row r="2507" spans="1:6">
      <c r="A2507" s="753"/>
      <c r="B2507" s="753"/>
      <c r="C2507" s="752" t="s">
        <v>48473</v>
      </c>
      <c r="D2507" s="753" t="s">
        <v>48456</v>
      </c>
      <c r="E2507" s="752" t="s">
        <v>293</v>
      </c>
      <c r="F2507" s="751">
        <v>3375</v>
      </c>
    </row>
    <row r="2508" spans="1:6">
      <c r="A2508" s="753"/>
      <c r="B2508" s="753"/>
      <c r="C2508" s="752" t="s">
        <v>48472</v>
      </c>
      <c r="D2508" s="753" t="s">
        <v>48456</v>
      </c>
      <c r="E2508" s="752" t="s">
        <v>37794</v>
      </c>
      <c r="F2508" s="751">
        <v>4135</v>
      </c>
    </row>
    <row r="2509" spans="1:6">
      <c r="A2509" s="753"/>
      <c r="B2509" s="753"/>
      <c r="C2509" s="752" t="s">
        <v>48471</v>
      </c>
      <c r="D2509" s="753" t="s">
        <v>48456</v>
      </c>
      <c r="E2509" s="752" t="s">
        <v>41652</v>
      </c>
      <c r="F2509" s="751">
        <v>3375</v>
      </c>
    </row>
    <row r="2510" spans="1:6">
      <c r="A2510" s="753"/>
      <c r="B2510" s="753"/>
      <c r="C2510" s="752" t="s">
        <v>48470</v>
      </c>
      <c r="D2510" s="753" t="s">
        <v>48456</v>
      </c>
      <c r="E2510" s="752" t="s">
        <v>48466</v>
      </c>
      <c r="F2510" s="751">
        <v>4135</v>
      </c>
    </row>
    <row r="2511" spans="1:6">
      <c r="A2511" s="753"/>
      <c r="B2511" s="753"/>
      <c r="C2511" s="752" t="s">
        <v>48469</v>
      </c>
      <c r="D2511" s="753" t="s">
        <v>48456</v>
      </c>
      <c r="E2511" s="752" t="s">
        <v>48385</v>
      </c>
      <c r="F2511" s="751">
        <v>3375</v>
      </c>
    </row>
    <row r="2512" spans="1:6">
      <c r="A2512" s="753"/>
      <c r="B2512" s="753"/>
      <c r="C2512" s="752" t="s">
        <v>48468</v>
      </c>
      <c r="D2512" s="753" t="s">
        <v>48467</v>
      </c>
      <c r="E2512" s="752" t="s">
        <v>48466</v>
      </c>
      <c r="F2512" s="751">
        <v>3885</v>
      </c>
    </row>
    <row r="2513" spans="1:6">
      <c r="A2513" s="753"/>
      <c r="B2513" s="753"/>
      <c r="C2513" s="752" t="s">
        <v>48465</v>
      </c>
      <c r="D2513" s="753" t="s">
        <v>48456</v>
      </c>
      <c r="E2513" s="752" t="s">
        <v>38919</v>
      </c>
      <c r="F2513" s="751">
        <v>4135</v>
      </c>
    </row>
    <row r="2514" spans="1:6">
      <c r="A2514" s="753"/>
      <c r="B2514" s="753"/>
      <c r="C2514" s="752" t="s">
        <v>48464</v>
      </c>
      <c r="D2514" s="753" t="s">
        <v>48456</v>
      </c>
      <c r="E2514" s="752" t="s">
        <v>48402</v>
      </c>
      <c r="F2514" s="751">
        <v>3375</v>
      </c>
    </row>
    <row r="2515" spans="1:6">
      <c r="A2515" s="753"/>
      <c r="B2515" s="753"/>
      <c r="C2515" s="752" t="s">
        <v>48463</v>
      </c>
      <c r="D2515" s="753" t="s">
        <v>48456</v>
      </c>
      <c r="E2515" s="752" t="s">
        <v>48462</v>
      </c>
      <c r="F2515" s="751">
        <v>3175</v>
      </c>
    </row>
    <row r="2516" spans="1:6">
      <c r="A2516" s="753"/>
      <c r="B2516" s="753"/>
      <c r="C2516" s="752" t="s">
        <v>48461</v>
      </c>
      <c r="D2516" s="753" t="s">
        <v>48456</v>
      </c>
      <c r="E2516" s="752" t="s">
        <v>48400</v>
      </c>
      <c r="F2516" s="751">
        <v>4135</v>
      </c>
    </row>
    <row r="2517" spans="1:6">
      <c r="A2517" s="753"/>
      <c r="B2517" s="753"/>
      <c r="C2517" s="752" t="s">
        <v>48460</v>
      </c>
      <c r="D2517" s="753" t="s">
        <v>48456</v>
      </c>
      <c r="E2517" s="752" t="s">
        <v>48459</v>
      </c>
      <c r="F2517" s="751">
        <v>4465</v>
      </c>
    </row>
    <row r="2518" spans="1:6">
      <c r="A2518" s="753"/>
      <c r="B2518" s="753"/>
      <c r="C2518" s="752" t="s">
        <v>48458</v>
      </c>
      <c r="D2518" s="753" t="s">
        <v>48456</v>
      </c>
      <c r="E2518" s="752" t="s">
        <v>42926</v>
      </c>
      <c r="F2518" s="751">
        <v>3375</v>
      </c>
    </row>
    <row r="2519" spans="1:6">
      <c r="A2519" s="753"/>
      <c r="B2519" s="753"/>
      <c r="C2519" s="752" t="s">
        <v>48457</v>
      </c>
      <c r="D2519" s="753" t="s">
        <v>48456</v>
      </c>
      <c r="E2519" s="752" t="s">
        <v>42893</v>
      </c>
      <c r="F2519" s="751">
        <v>3125</v>
      </c>
    </row>
    <row r="2520" spans="1:6">
      <c r="A2520" s="753"/>
      <c r="B2520" s="753"/>
      <c r="C2520" s="752" t="s">
        <v>48455</v>
      </c>
      <c r="D2520" s="753" t="s">
        <v>48436</v>
      </c>
      <c r="E2520" s="752" t="s">
        <v>293</v>
      </c>
      <c r="F2520" s="751">
        <v>3375</v>
      </c>
    </row>
    <row r="2521" spans="1:6">
      <c r="A2521" s="753"/>
      <c r="B2521" s="753"/>
      <c r="C2521" s="752" t="s">
        <v>48454</v>
      </c>
      <c r="D2521" s="753" t="s">
        <v>48436</v>
      </c>
      <c r="E2521" s="752" t="s">
        <v>48453</v>
      </c>
      <c r="F2521" s="751">
        <v>3375</v>
      </c>
    </row>
    <row r="2522" spans="1:6">
      <c r="A2522" s="753"/>
      <c r="B2522" s="753"/>
      <c r="C2522" s="752" t="s">
        <v>48452</v>
      </c>
      <c r="D2522" s="753" t="s">
        <v>48436</v>
      </c>
      <c r="E2522" s="752" t="s">
        <v>293</v>
      </c>
      <c r="F2522" s="751">
        <v>3375</v>
      </c>
    </row>
    <row r="2523" spans="1:6">
      <c r="A2523" s="753"/>
      <c r="B2523" s="753"/>
      <c r="C2523" s="752" t="s">
        <v>48451</v>
      </c>
      <c r="D2523" s="753" t="s">
        <v>48436</v>
      </c>
      <c r="E2523" s="752" t="s">
        <v>41652</v>
      </c>
      <c r="F2523" s="751">
        <v>3375</v>
      </c>
    </row>
    <row r="2524" spans="1:6">
      <c r="A2524" s="753"/>
      <c r="B2524" s="753"/>
      <c r="C2524" s="752" t="s">
        <v>48450</v>
      </c>
      <c r="D2524" s="753" t="s">
        <v>48436</v>
      </c>
      <c r="E2524" s="752" t="s">
        <v>39028</v>
      </c>
      <c r="F2524" s="751">
        <v>4135</v>
      </c>
    </row>
    <row r="2525" spans="1:6">
      <c r="A2525" s="753"/>
      <c r="B2525" s="753"/>
      <c r="C2525" s="752" t="s">
        <v>48449</v>
      </c>
      <c r="D2525" s="753" t="s">
        <v>48436</v>
      </c>
      <c r="E2525" s="752" t="s">
        <v>293</v>
      </c>
      <c r="F2525" s="751">
        <v>3375</v>
      </c>
    </row>
    <row r="2526" spans="1:6">
      <c r="A2526" s="753"/>
      <c r="B2526" s="753"/>
      <c r="C2526" s="752" t="s">
        <v>48448</v>
      </c>
      <c r="D2526" s="753" t="s">
        <v>48436</v>
      </c>
      <c r="E2526" s="752" t="s">
        <v>37794</v>
      </c>
      <c r="F2526" s="751">
        <v>4135</v>
      </c>
    </row>
    <row r="2527" spans="1:6">
      <c r="A2527" s="753"/>
      <c r="B2527" s="753"/>
      <c r="C2527" s="752" t="s">
        <v>48447</v>
      </c>
      <c r="D2527" s="753" t="s">
        <v>48436</v>
      </c>
      <c r="E2527" s="752" t="s">
        <v>48446</v>
      </c>
      <c r="F2527" s="751">
        <v>4135</v>
      </c>
    </row>
    <row r="2528" spans="1:6">
      <c r="A2528" s="753"/>
      <c r="B2528" s="753"/>
      <c r="C2528" s="752" t="s">
        <v>48445</v>
      </c>
      <c r="D2528" s="753" t="s">
        <v>48436</v>
      </c>
      <c r="E2528" s="752" t="s">
        <v>41652</v>
      </c>
      <c r="F2528" s="751">
        <v>3375</v>
      </c>
    </row>
    <row r="2529" spans="1:6">
      <c r="A2529" s="753"/>
      <c r="B2529" s="753"/>
      <c r="C2529" s="752" t="s">
        <v>48444</v>
      </c>
      <c r="D2529" s="753" t="s">
        <v>48443</v>
      </c>
      <c r="E2529" s="752" t="s">
        <v>48380</v>
      </c>
      <c r="F2529" s="751">
        <v>3175</v>
      </c>
    </row>
    <row r="2530" spans="1:6">
      <c r="A2530" s="753"/>
      <c r="B2530" s="753"/>
      <c r="C2530" s="752" t="s">
        <v>48442</v>
      </c>
      <c r="D2530" s="753" t="s">
        <v>48436</v>
      </c>
      <c r="E2530" s="752" t="s">
        <v>46599</v>
      </c>
      <c r="F2530" s="751">
        <v>3375</v>
      </c>
    </row>
    <row r="2531" spans="1:6">
      <c r="A2531" s="753"/>
      <c r="B2531" s="753"/>
      <c r="C2531" s="752" t="s">
        <v>48441</v>
      </c>
      <c r="D2531" s="753" t="s">
        <v>48436</v>
      </c>
      <c r="E2531" s="752" t="s">
        <v>48440</v>
      </c>
      <c r="F2531" s="751">
        <v>4135</v>
      </c>
    </row>
    <row r="2532" spans="1:6">
      <c r="A2532" s="753"/>
      <c r="B2532" s="753"/>
      <c r="C2532" s="752" t="s">
        <v>48439</v>
      </c>
      <c r="D2532" s="753" t="s">
        <v>48438</v>
      </c>
      <c r="E2532" s="752" t="s">
        <v>48385</v>
      </c>
      <c r="F2532" s="751">
        <v>3625</v>
      </c>
    </row>
    <row r="2533" spans="1:6">
      <c r="A2533" s="753"/>
      <c r="B2533" s="753"/>
      <c r="C2533" s="752" t="s">
        <v>48437</v>
      </c>
      <c r="D2533" s="753" t="s">
        <v>48436</v>
      </c>
      <c r="E2533" s="752" t="s">
        <v>48435</v>
      </c>
      <c r="F2533" s="751">
        <v>4135</v>
      </c>
    </row>
    <row r="2534" spans="1:6">
      <c r="A2534" s="753"/>
      <c r="B2534" s="753"/>
      <c r="C2534" s="752" t="s">
        <v>48434</v>
      </c>
      <c r="D2534" s="753" t="s">
        <v>48432</v>
      </c>
      <c r="E2534" s="752" t="s">
        <v>48380</v>
      </c>
      <c r="F2534" s="751">
        <v>2675</v>
      </c>
    </row>
    <row r="2535" spans="1:6">
      <c r="A2535" s="753"/>
      <c r="B2535" s="753"/>
      <c r="C2535" s="752" t="s">
        <v>48433</v>
      </c>
      <c r="D2535" s="753" t="s">
        <v>48432</v>
      </c>
      <c r="E2535" s="752" t="s">
        <v>45583</v>
      </c>
      <c r="F2535" s="751">
        <v>2675</v>
      </c>
    </row>
    <row r="2536" spans="1:6">
      <c r="A2536" s="753"/>
      <c r="B2536" s="753"/>
      <c r="C2536" s="752" t="s">
        <v>48431</v>
      </c>
      <c r="D2536" s="753" t="s">
        <v>48416</v>
      </c>
      <c r="E2536" s="752" t="s">
        <v>293</v>
      </c>
      <c r="F2536" s="751">
        <v>2625</v>
      </c>
    </row>
    <row r="2537" spans="1:6">
      <c r="A2537" s="753"/>
      <c r="B2537" s="753"/>
      <c r="C2537" s="752" t="s">
        <v>48430</v>
      </c>
      <c r="D2537" s="753" t="s">
        <v>48416</v>
      </c>
      <c r="E2537" s="752" t="s">
        <v>42893</v>
      </c>
      <c r="F2537" s="751">
        <v>2375</v>
      </c>
    </row>
    <row r="2538" spans="1:6">
      <c r="A2538" s="753"/>
      <c r="B2538" s="753"/>
      <c r="C2538" s="752" t="s">
        <v>48429</v>
      </c>
      <c r="D2538" s="753" t="s">
        <v>48416</v>
      </c>
      <c r="E2538" s="752" t="s">
        <v>293</v>
      </c>
      <c r="F2538" s="751">
        <v>2625</v>
      </c>
    </row>
    <row r="2539" spans="1:6">
      <c r="A2539" s="753"/>
      <c r="B2539" s="753"/>
      <c r="C2539" s="752" t="s">
        <v>48428</v>
      </c>
      <c r="D2539" s="753" t="s">
        <v>48416</v>
      </c>
      <c r="E2539" s="752" t="s">
        <v>48427</v>
      </c>
      <c r="F2539" s="751">
        <v>2625</v>
      </c>
    </row>
    <row r="2540" spans="1:6">
      <c r="A2540" s="753"/>
      <c r="B2540" s="753"/>
      <c r="C2540" s="752" t="s">
        <v>48426</v>
      </c>
      <c r="D2540" s="753" t="s">
        <v>48416</v>
      </c>
      <c r="E2540" s="752" t="s">
        <v>293</v>
      </c>
      <c r="F2540" s="751">
        <v>2625</v>
      </c>
    </row>
    <row r="2541" spans="1:6">
      <c r="A2541" s="753"/>
      <c r="B2541" s="753"/>
      <c r="C2541" s="752" t="s">
        <v>48425</v>
      </c>
      <c r="D2541" s="753" t="s">
        <v>48416</v>
      </c>
      <c r="E2541" s="752" t="s">
        <v>39996</v>
      </c>
      <c r="F2541" s="751">
        <v>2625</v>
      </c>
    </row>
    <row r="2542" spans="1:6">
      <c r="A2542" s="753"/>
      <c r="B2542" s="753"/>
      <c r="C2542" s="752" t="s">
        <v>48424</v>
      </c>
      <c r="D2542" s="753" t="s">
        <v>48416</v>
      </c>
      <c r="E2542" s="752" t="s">
        <v>48385</v>
      </c>
      <c r="F2542" s="751">
        <v>2625</v>
      </c>
    </row>
    <row r="2543" spans="1:6">
      <c r="A2543" s="753"/>
      <c r="B2543" s="753"/>
      <c r="C2543" s="752" t="s">
        <v>48423</v>
      </c>
      <c r="D2543" s="753" t="s">
        <v>48416</v>
      </c>
      <c r="E2543" s="752" t="s">
        <v>42751</v>
      </c>
      <c r="F2543" s="751">
        <v>3385</v>
      </c>
    </row>
    <row r="2544" spans="1:6">
      <c r="A2544" s="753"/>
      <c r="B2544" s="753"/>
      <c r="C2544" s="752" t="s">
        <v>48422</v>
      </c>
      <c r="D2544" s="753" t="s">
        <v>48416</v>
      </c>
      <c r="E2544" s="752" t="s">
        <v>48402</v>
      </c>
      <c r="F2544" s="751">
        <v>2625</v>
      </c>
    </row>
    <row r="2545" spans="1:6">
      <c r="A2545" s="753"/>
      <c r="B2545" s="753"/>
      <c r="C2545" s="752" t="s">
        <v>48421</v>
      </c>
      <c r="D2545" s="753" t="s">
        <v>48416</v>
      </c>
      <c r="E2545" s="752" t="s">
        <v>45583</v>
      </c>
      <c r="F2545" s="751">
        <v>2575</v>
      </c>
    </row>
    <row r="2546" spans="1:6">
      <c r="A2546" s="753"/>
      <c r="B2546" s="753"/>
      <c r="C2546" s="752" t="s">
        <v>48420</v>
      </c>
      <c r="D2546" s="753" t="s">
        <v>48416</v>
      </c>
      <c r="E2546" s="752" t="s">
        <v>45583</v>
      </c>
      <c r="F2546" s="751">
        <v>3225</v>
      </c>
    </row>
    <row r="2547" spans="1:6">
      <c r="A2547" s="753"/>
      <c r="B2547" s="753"/>
      <c r="C2547" s="752" t="s">
        <v>48419</v>
      </c>
      <c r="D2547" s="753" t="s">
        <v>48416</v>
      </c>
      <c r="E2547" s="752" t="s">
        <v>37750</v>
      </c>
      <c r="F2547" s="751">
        <v>2125</v>
      </c>
    </row>
    <row r="2548" spans="1:6">
      <c r="A2548" s="753"/>
      <c r="B2548" s="753"/>
      <c r="C2548" s="752" t="s">
        <v>48418</v>
      </c>
      <c r="D2548" s="753" t="s">
        <v>48416</v>
      </c>
      <c r="E2548" s="752" t="s">
        <v>42926</v>
      </c>
      <c r="F2548" s="751">
        <v>2625</v>
      </c>
    </row>
    <row r="2549" spans="1:6">
      <c r="A2549" s="753"/>
      <c r="B2549" s="753"/>
      <c r="C2549" s="752" t="s">
        <v>48417</v>
      </c>
      <c r="D2549" s="753" t="s">
        <v>48416</v>
      </c>
      <c r="E2549" s="752" t="s">
        <v>42893</v>
      </c>
      <c r="F2549" s="751">
        <v>2375</v>
      </c>
    </row>
    <row r="2550" spans="1:6">
      <c r="A2550" s="753"/>
      <c r="B2550" s="753"/>
      <c r="C2550" s="752" t="s">
        <v>48415</v>
      </c>
      <c r="D2550" s="753" t="s">
        <v>48397</v>
      </c>
      <c r="E2550" s="752" t="s">
        <v>293</v>
      </c>
      <c r="F2550" s="751">
        <v>3175</v>
      </c>
    </row>
    <row r="2551" spans="1:6">
      <c r="A2551" s="753"/>
      <c r="B2551" s="753"/>
      <c r="C2551" s="752" t="s">
        <v>48414</v>
      </c>
      <c r="D2551" s="753" t="s">
        <v>48397</v>
      </c>
      <c r="E2551" s="752" t="s">
        <v>41652</v>
      </c>
      <c r="F2551" s="751">
        <v>3175</v>
      </c>
    </row>
    <row r="2552" spans="1:6">
      <c r="A2552" s="753"/>
      <c r="B2552" s="753"/>
      <c r="C2552" s="752" t="s">
        <v>48413</v>
      </c>
      <c r="D2552" s="753" t="s">
        <v>48397</v>
      </c>
      <c r="E2552" s="752" t="s">
        <v>39028</v>
      </c>
      <c r="F2552" s="751">
        <v>3935</v>
      </c>
    </row>
    <row r="2553" spans="1:6">
      <c r="A2553" s="753"/>
      <c r="B2553" s="753"/>
      <c r="C2553" s="752" t="s">
        <v>48412</v>
      </c>
      <c r="D2553" s="753" t="s">
        <v>48397</v>
      </c>
      <c r="E2553" s="752" t="s">
        <v>38550</v>
      </c>
      <c r="F2553" s="751">
        <v>4265</v>
      </c>
    </row>
    <row r="2554" spans="1:6">
      <c r="A2554" s="753"/>
      <c r="B2554" s="753"/>
      <c r="C2554" s="752" t="s">
        <v>48411</v>
      </c>
      <c r="D2554" s="753" t="s">
        <v>48397</v>
      </c>
      <c r="E2554" s="752" t="s">
        <v>293</v>
      </c>
      <c r="F2554" s="751">
        <v>3175</v>
      </c>
    </row>
    <row r="2555" spans="1:6">
      <c r="A2555" s="753"/>
      <c r="B2555" s="753"/>
      <c r="C2555" s="752" t="s">
        <v>48410</v>
      </c>
      <c r="D2555" s="753" t="s">
        <v>48397</v>
      </c>
      <c r="E2555" s="752" t="s">
        <v>41652</v>
      </c>
      <c r="F2555" s="751">
        <v>3175</v>
      </c>
    </row>
    <row r="2556" spans="1:6">
      <c r="A2556" s="753"/>
      <c r="B2556" s="753"/>
      <c r="C2556" s="752" t="s">
        <v>48409</v>
      </c>
      <c r="D2556" s="753" t="s">
        <v>48397</v>
      </c>
      <c r="E2556" s="752" t="s">
        <v>38577</v>
      </c>
      <c r="F2556" s="751">
        <v>3935</v>
      </c>
    </row>
    <row r="2557" spans="1:6">
      <c r="A2557" s="753"/>
      <c r="B2557" s="753"/>
      <c r="C2557" s="752" t="s">
        <v>48408</v>
      </c>
      <c r="D2557" s="753" t="s">
        <v>48397</v>
      </c>
      <c r="E2557" s="752" t="s">
        <v>293</v>
      </c>
      <c r="F2557" s="751">
        <v>3175</v>
      </c>
    </row>
    <row r="2558" spans="1:6">
      <c r="A2558" s="753"/>
      <c r="B2558" s="753"/>
      <c r="C2558" s="752" t="s">
        <v>48407</v>
      </c>
      <c r="D2558" s="753" t="s">
        <v>48397</v>
      </c>
      <c r="E2558" s="752" t="s">
        <v>37794</v>
      </c>
      <c r="F2558" s="751">
        <v>3935</v>
      </c>
    </row>
    <row r="2559" spans="1:6">
      <c r="A2559" s="753"/>
      <c r="B2559" s="753"/>
      <c r="C2559" s="752" t="s">
        <v>48406</v>
      </c>
      <c r="D2559" s="753" t="s">
        <v>48397</v>
      </c>
      <c r="E2559" s="752" t="s">
        <v>41652</v>
      </c>
      <c r="F2559" s="751">
        <v>3175</v>
      </c>
    </row>
    <row r="2560" spans="1:6">
      <c r="A2560" s="753"/>
      <c r="B2560" s="753"/>
      <c r="C2560" s="752" t="s">
        <v>48405</v>
      </c>
      <c r="D2560" s="753" t="s">
        <v>48397</v>
      </c>
      <c r="E2560" s="752" t="s">
        <v>48385</v>
      </c>
      <c r="F2560" s="751">
        <v>3175</v>
      </c>
    </row>
    <row r="2561" spans="1:6">
      <c r="A2561" s="753"/>
      <c r="B2561" s="753"/>
      <c r="C2561" s="752" t="s">
        <v>48404</v>
      </c>
      <c r="D2561" s="753" t="s">
        <v>48397</v>
      </c>
      <c r="E2561" s="752" t="s">
        <v>38919</v>
      </c>
      <c r="F2561" s="751">
        <v>3935</v>
      </c>
    </row>
    <row r="2562" spans="1:6">
      <c r="A2562" s="753"/>
      <c r="B2562" s="753"/>
      <c r="C2562" s="752" t="s">
        <v>48403</v>
      </c>
      <c r="D2562" s="753" t="s">
        <v>48397</v>
      </c>
      <c r="E2562" s="752" t="s">
        <v>48402</v>
      </c>
      <c r="F2562" s="751">
        <v>3175</v>
      </c>
    </row>
    <row r="2563" spans="1:6">
      <c r="A2563" s="753"/>
      <c r="B2563" s="753"/>
      <c r="C2563" s="752" t="s">
        <v>48401</v>
      </c>
      <c r="D2563" s="753" t="s">
        <v>48397</v>
      </c>
      <c r="E2563" s="752" t="s">
        <v>48400</v>
      </c>
      <c r="F2563" s="751">
        <v>3935</v>
      </c>
    </row>
    <row r="2564" spans="1:6">
      <c r="A2564" s="753"/>
      <c r="B2564" s="753"/>
      <c r="C2564" s="752" t="s">
        <v>48399</v>
      </c>
      <c r="D2564" s="753" t="s">
        <v>48397</v>
      </c>
      <c r="E2564" s="752" t="s">
        <v>42926</v>
      </c>
      <c r="F2564" s="751">
        <v>3175</v>
      </c>
    </row>
    <row r="2565" spans="1:6">
      <c r="A2565" s="753"/>
      <c r="B2565" s="753"/>
      <c r="C2565" s="752" t="s">
        <v>48398</v>
      </c>
      <c r="D2565" s="753" t="s">
        <v>48397</v>
      </c>
      <c r="E2565" s="752" t="s">
        <v>42893</v>
      </c>
      <c r="F2565" s="751">
        <v>2925</v>
      </c>
    </row>
    <row r="2566" spans="1:6">
      <c r="A2566" s="753"/>
      <c r="B2566" s="753"/>
      <c r="C2566" s="752" t="s">
        <v>48396</v>
      </c>
      <c r="D2566" s="753" t="s">
        <v>48394</v>
      </c>
      <c r="E2566" s="752" t="s">
        <v>293</v>
      </c>
      <c r="F2566" s="751">
        <v>3175</v>
      </c>
    </row>
    <row r="2567" spans="1:6">
      <c r="A2567" s="753"/>
      <c r="B2567" s="753"/>
      <c r="C2567" s="752" t="s">
        <v>48395</v>
      </c>
      <c r="D2567" s="753" t="s">
        <v>48394</v>
      </c>
      <c r="E2567" s="752" t="s">
        <v>293</v>
      </c>
      <c r="F2567" s="751">
        <v>3175</v>
      </c>
    </row>
    <row r="2568" spans="1:6">
      <c r="A2568" s="753"/>
      <c r="B2568" s="753"/>
      <c r="C2568" s="752" t="s">
        <v>48393</v>
      </c>
      <c r="D2568" s="753" t="s">
        <v>48390</v>
      </c>
      <c r="E2568" s="752" t="s">
        <v>293</v>
      </c>
      <c r="F2568" s="751">
        <v>3175</v>
      </c>
    </row>
    <row r="2569" spans="1:6">
      <c r="A2569" s="753"/>
      <c r="B2569" s="753"/>
      <c r="C2569" s="752" t="s">
        <v>48392</v>
      </c>
      <c r="D2569" s="753" t="s">
        <v>48390</v>
      </c>
      <c r="E2569" s="752" t="s">
        <v>293</v>
      </c>
      <c r="F2569" s="751">
        <v>3175</v>
      </c>
    </row>
    <row r="2570" spans="1:6">
      <c r="A2570" s="753"/>
      <c r="B2570" s="753"/>
      <c r="C2570" s="752" t="s">
        <v>48391</v>
      </c>
      <c r="D2570" s="753" t="s">
        <v>48390</v>
      </c>
      <c r="E2570" s="752" t="s">
        <v>38581</v>
      </c>
      <c r="F2570" s="751">
        <v>3175</v>
      </c>
    </row>
    <row r="2571" spans="1:6">
      <c r="A2571" s="753"/>
      <c r="B2571" s="753"/>
      <c r="C2571" s="752" t="s">
        <v>48389</v>
      </c>
      <c r="D2571" s="753" t="s">
        <v>48388</v>
      </c>
      <c r="E2571" s="752" t="s">
        <v>42926</v>
      </c>
      <c r="F2571" s="751">
        <v>3175</v>
      </c>
    </row>
    <row r="2572" spans="1:6">
      <c r="A2572" s="753"/>
      <c r="B2572" s="753"/>
      <c r="C2572" s="752" t="s">
        <v>48387</v>
      </c>
      <c r="D2572" s="753" t="s">
        <v>48376</v>
      </c>
      <c r="E2572" s="752" t="s">
        <v>37758</v>
      </c>
      <c r="F2572" s="751">
        <v>2725</v>
      </c>
    </row>
    <row r="2573" spans="1:6">
      <c r="A2573" s="753"/>
      <c r="B2573" s="753"/>
      <c r="C2573" s="752" t="s">
        <v>48386</v>
      </c>
      <c r="D2573" s="753" t="s">
        <v>48376</v>
      </c>
      <c r="E2573" s="752" t="s">
        <v>48385</v>
      </c>
      <c r="F2573" s="751">
        <v>2725</v>
      </c>
    </row>
    <row r="2574" spans="1:6">
      <c r="A2574" s="753"/>
      <c r="B2574" s="753"/>
      <c r="C2574" s="752" t="s">
        <v>48384</v>
      </c>
      <c r="D2574" s="753" t="s">
        <v>48376</v>
      </c>
      <c r="E2574" s="752" t="s">
        <v>48380</v>
      </c>
      <c r="F2574" s="751">
        <v>2675</v>
      </c>
    </row>
    <row r="2575" spans="1:6">
      <c r="A2575" s="753"/>
      <c r="B2575" s="753"/>
      <c r="C2575" s="752" t="s">
        <v>48383</v>
      </c>
      <c r="D2575" s="753" t="s">
        <v>48376</v>
      </c>
      <c r="E2575" s="752" t="s">
        <v>46584</v>
      </c>
      <c r="F2575" s="751">
        <v>2725</v>
      </c>
    </row>
    <row r="2576" spans="1:6">
      <c r="A2576" s="753"/>
      <c r="B2576" s="753"/>
      <c r="C2576" s="752" t="s">
        <v>48382</v>
      </c>
      <c r="D2576" s="753" t="s">
        <v>48376</v>
      </c>
      <c r="E2576" s="752" t="s">
        <v>48378</v>
      </c>
      <c r="F2576" s="751">
        <v>2325</v>
      </c>
    </row>
    <row r="2577" spans="1:6">
      <c r="A2577" s="753"/>
      <c r="B2577" s="753"/>
      <c r="C2577" s="752" t="s">
        <v>48381</v>
      </c>
      <c r="D2577" s="753" t="s">
        <v>48376</v>
      </c>
      <c r="E2577" s="752" t="s">
        <v>48380</v>
      </c>
      <c r="F2577" s="751">
        <v>2675</v>
      </c>
    </row>
    <row r="2578" spans="1:6">
      <c r="A2578" s="753"/>
      <c r="B2578" s="753"/>
      <c r="C2578" s="752" t="s">
        <v>48379</v>
      </c>
      <c r="D2578" s="753" t="s">
        <v>48376</v>
      </c>
      <c r="E2578" s="752" t="s">
        <v>48378</v>
      </c>
      <c r="F2578" s="751">
        <v>3485</v>
      </c>
    </row>
    <row r="2579" spans="1:6">
      <c r="A2579" s="753"/>
      <c r="B2579" s="753"/>
      <c r="C2579" s="752" t="s">
        <v>48377</v>
      </c>
      <c r="D2579" s="753" t="s">
        <v>48376</v>
      </c>
      <c r="E2579" s="752" t="s">
        <v>48375</v>
      </c>
      <c r="F2579" s="751">
        <v>3295</v>
      </c>
    </row>
    <row r="2580" spans="1:6">
      <c r="A2580" s="753"/>
      <c r="B2580" s="753"/>
      <c r="C2580" s="752" t="s">
        <v>48374</v>
      </c>
      <c r="D2580" s="753" t="s">
        <v>48370</v>
      </c>
      <c r="E2580" s="752" t="s">
        <v>37758</v>
      </c>
      <c r="F2580" s="751">
        <v>3275</v>
      </c>
    </row>
    <row r="2581" spans="1:6">
      <c r="A2581" s="753"/>
      <c r="B2581" s="753"/>
      <c r="C2581" s="752" t="s">
        <v>48373</v>
      </c>
      <c r="D2581" s="753" t="s">
        <v>48370</v>
      </c>
      <c r="E2581" s="752" t="s">
        <v>46584</v>
      </c>
      <c r="F2581" s="751">
        <v>3275</v>
      </c>
    </row>
    <row r="2582" spans="1:6">
      <c r="A2582" s="753"/>
      <c r="B2582" s="753"/>
      <c r="C2582" s="752" t="s">
        <v>48372</v>
      </c>
      <c r="D2582" s="753" t="s">
        <v>48370</v>
      </c>
      <c r="E2582" s="752" t="s">
        <v>46584</v>
      </c>
      <c r="F2582" s="751">
        <v>3275</v>
      </c>
    </row>
    <row r="2583" spans="1:6">
      <c r="A2583" s="753"/>
      <c r="B2583" s="753"/>
      <c r="C2583" s="752" t="s">
        <v>48371</v>
      </c>
      <c r="D2583" s="753" t="s">
        <v>48370</v>
      </c>
      <c r="E2583" s="752" t="s">
        <v>46967</v>
      </c>
      <c r="F2583" s="751">
        <v>4035</v>
      </c>
    </row>
    <row r="2584" spans="1:6">
      <c r="A2584" s="753"/>
      <c r="B2584" s="753"/>
      <c r="C2584" s="752" t="s">
        <v>48369</v>
      </c>
      <c r="D2584" s="753" t="s">
        <v>48364</v>
      </c>
      <c r="E2584" s="752" t="s">
        <v>37758</v>
      </c>
      <c r="F2584" s="751">
        <v>3275</v>
      </c>
    </row>
    <row r="2585" spans="1:6">
      <c r="A2585" s="753"/>
      <c r="B2585" s="753"/>
      <c r="C2585" s="752" t="s">
        <v>48368</v>
      </c>
      <c r="D2585" s="753" t="s">
        <v>48364</v>
      </c>
      <c r="E2585" s="752" t="s">
        <v>38866</v>
      </c>
      <c r="F2585" s="751">
        <v>4035</v>
      </c>
    </row>
    <row r="2586" spans="1:6">
      <c r="A2586" s="753"/>
      <c r="B2586" s="753"/>
      <c r="C2586" s="752" t="s">
        <v>48367</v>
      </c>
      <c r="D2586" s="753" t="s">
        <v>48364</v>
      </c>
      <c r="E2586" s="752" t="s">
        <v>48366</v>
      </c>
      <c r="F2586" s="751">
        <v>3275</v>
      </c>
    </row>
    <row r="2587" spans="1:6">
      <c r="A2587" s="753"/>
      <c r="B2587" s="753"/>
      <c r="C2587" s="752" t="s">
        <v>48365</v>
      </c>
      <c r="D2587" s="753" t="s">
        <v>48364</v>
      </c>
      <c r="E2587" s="752" t="s">
        <v>38581</v>
      </c>
      <c r="F2587" s="751">
        <v>3275</v>
      </c>
    </row>
    <row r="2588" spans="1:6">
      <c r="A2588" s="753"/>
      <c r="B2588" s="753"/>
      <c r="C2588" s="752" t="s">
        <v>48363</v>
      </c>
      <c r="D2588" s="753" t="s">
        <v>48362</v>
      </c>
      <c r="E2588" s="752" t="s">
        <v>48361</v>
      </c>
      <c r="F2588" s="751">
        <v>3685</v>
      </c>
    </row>
    <row r="2589" spans="1:6">
      <c r="A2589" s="753"/>
      <c r="B2589" s="753"/>
      <c r="C2589" s="752" t="s">
        <v>48360</v>
      </c>
      <c r="D2589" s="753" t="s">
        <v>48359</v>
      </c>
      <c r="E2589" s="752" t="s">
        <v>48358</v>
      </c>
      <c r="F2589" s="751">
        <v>7135</v>
      </c>
    </row>
    <row r="2590" spans="1:6">
      <c r="A2590" s="753"/>
      <c r="B2590" s="753"/>
      <c r="C2590" s="752" t="s">
        <v>48357</v>
      </c>
      <c r="D2590" s="753" t="s">
        <v>48356</v>
      </c>
      <c r="E2590" s="752" t="s">
        <v>48355</v>
      </c>
      <c r="F2590" s="751">
        <v>2325</v>
      </c>
    </row>
    <row r="2591" spans="1:6">
      <c r="A2591" s="753"/>
      <c r="B2591" s="753" t="s">
        <v>48351</v>
      </c>
      <c r="C2591" s="752" t="s">
        <v>48354</v>
      </c>
      <c r="D2591" s="753" t="s">
        <v>48353</v>
      </c>
      <c r="E2591" s="752" t="s">
        <v>38539</v>
      </c>
      <c r="F2591" s="751">
        <v>4165</v>
      </c>
    </row>
    <row r="2592" spans="1:6">
      <c r="A2592" s="753"/>
      <c r="B2592" s="753"/>
      <c r="C2592" s="752" t="s">
        <v>48352</v>
      </c>
      <c r="D2592" s="753" t="s">
        <v>48351</v>
      </c>
      <c r="E2592" s="752" t="s">
        <v>293</v>
      </c>
      <c r="F2592" s="751">
        <v>4715</v>
      </c>
    </row>
    <row r="2593" spans="1:6">
      <c r="A2593" s="753"/>
      <c r="B2593" s="753"/>
      <c r="C2593" s="752" t="s">
        <v>48350</v>
      </c>
      <c r="D2593" s="753" t="s">
        <v>48349</v>
      </c>
      <c r="E2593" s="752" t="s">
        <v>293</v>
      </c>
      <c r="F2593" s="751">
        <v>4075</v>
      </c>
    </row>
    <row r="2594" spans="1:6">
      <c r="A2594" s="753"/>
      <c r="B2594" s="753"/>
      <c r="C2594" s="752" t="s">
        <v>48348</v>
      </c>
      <c r="D2594" s="753" t="s">
        <v>48345</v>
      </c>
      <c r="E2594" s="752" t="s">
        <v>38570</v>
      </c>
      <c r="F2594" s="751">
        <v>5345</v>
      </c>
    </row>
    <row r="2595" spans="1:6">
      <c r="A2595" s="753"/>
      <c r="B2595" s="753"/>
      <c r="C2595" s="752" t="s">
        <v>48347</v>
      </c>
      <c r="D2595" s="753" t="s">
        <v>48345</v>
      </c>
      <c r="E2595" s="752" t="s">
        <v>39403</v>
      </c>
      <c r="F2595" s="751">
        <v>6155</v>
      </c>
    </row>
    <row r="2596" spans="1:6">
      <c r="A2596" s="753"/>
      <c r="B2596" s="753"/>
      <c r="C2596" s="752" t="s">
        <v>48346</v>
      </c>
      <c r="D2596" s="753" t="s">
        <v>48345</v>
      </c>
      <c r="E2596" s="752" t="s">
        <v>38577</v>
      </c>
      <c r="F2596" s="751">
        <v>6155</v>
      </c>
    </row>
    <row r="2597" spans="1:6">
      <c r="A2597" s="753"/>
      <c r="B2597" s="753"/>
      <c r="C2597" s="752" t="s">
        <v>48344</v>
      </c>
      <c r="D2597" s="753" t="s">
        <v>48343</v>
      </c>
      <c r="E2597" s="752" t="s">
        <v>48342</v>
      </c>
      <c r="F2597" s="751">
        <v>4745</v>
      </c>
    </row>
    <row r="2598" spans="1:6">
      <c r="A2598" s="753"/>
      <c r="B2598" s="753"/>
      <c r="C2598" s="752" t="s">
        <v>48341</v>
      </c>
      <c r="D2598" s="753" t="s">
        <v>48340</v>
      </c>
      <c r="E2598" s="752" t="s">
        <v>293</v>
      </c>
      <c r="F2598" s="751">
        <v>4099</v>
      </c>
    </row>
    <row r="2599" spans="1:6">
      <c r="A2599" s="753"/>
      <c r="B2599" s="753"/>
      <c r="C2599" s="752" t="s">
        <v>48339</v>
      </c>
      <c r="D2599" s="753" t="s">
        <v>48331</v>
      </c>
      <c r="E2599" s="752" t="s">
        <v>39691</v>
      </c>
      <c r="F2599" s="751">
        <v>3075</v>
      </c>
    </row>
    <row r="2600" spans="1:6">
      <c r="A2600" s="753"/>
      <c r="B2600" s="753"/>
      <c r="C2600" s="752" t="s">
        <v>48338</v>
      </c>
      <c r="D2600" s="753" t="s">
        <v>48331</v>
      </c>
      <c r="E2600" s="752" t="s">
        <v>39691</v>
      </c>
      <c r="F2600" s="751">
        <v>3075</v>
      </c>
    </row>
    <row r="2601" spans="1:6">
      <c r="A2601" s="753"/>
      <c r="B2601" s="753"/>
      <c r="C2601" s="752" t="s">
        <v>48337</v>
      </c>
      <c r="D2601" s="753" t="s">
        <v>48331</v>
      </c>
      <c r="E2601" s="752" t="s">
        <v>48336</v>
      </c>
      <c r="F2601" s="751">
        <v>3585</v>
      </c>
    </row>
    <row r="2602" spans="1:6">
      <c r="A2602" s="753"/>
      <c r="B2602" s="753"/>
      <c r="C2602" s="752" t="s">
        <v>48335</v>
      </c>
      <c r="D2602" s="753" t="s">
        <v>48331</v>
      </c>
      <c r="E2602" s="752" t="s">
        <v>48334</v>
      </c>
      <c r="F2602" s="751">
        <v>2825</v>
      </c>
    </row>
    <row r="2603" spans="1:6">
      <c r="A2603" s="753"/>
      <c r="B2603" s="753"/>
      <c r="C2603" s="752" t="s">
        <v>48333</v>
      </c>
      <c r="D2603" s="753" t="s">
        <v>48331</v>
      </c>
      <c r="E2603" s="752" t="s">
        <v>39691</v>
      </c>
      <c r="F2603" s="751">
        <v>2825</v>
      </c>
    </row>
    <row r="2604" spans="1:6">
      <c r="A2604" s="753"/>
      <c r="B2604" s="753"/>
      <c r="C2604" s="752" t="s">
        <v>48332</v>
      </c>
      <c r="D2604" s="753" t="s">
        <v>48331</v>
      </c>
      <c r="E2604" s="752" t="s">
        <v>39691</v>
      </c>
      <c r="F2604" s="751">
        <v>2825</v>
      </c>
    </row>
    <row r="2605" spans="1:6">
      <c r="A2605" s="753"/>
      <c r="B2605" s="753"/>
      <c r="C2605" s="752" t="s">
        <v>48330</v>
      </c>
      <c r="D2605" s="753" t="s">
        <v>48320</v>
      </c>
      <c r="E2605" s="752" t="s">
        <v>39691</v>
      </c>
      <c r="F2605" s="751">
        <v>3625</v>
      </c>
    </row>
    <row r="2606" spans="1:6">
      <c r="A2606" s="753"/>
      <c r="B2606" s="753"/>
      <c r="C2606" s="752" t="s">
        <v>48329</v>
      </c>
      <c r="D2606" s="753" t="s">
        <v>48320</v>
      </c>
      <c r="E2606" s="752" t="s">
        <v>48328</v>
      </c>
      <c r="F2606" s="751">
        <v>4385</v>
      </c>
    </row>
    <row r="2607" spans="1:6">
      <c r="A2607" s="753"/>
      <c r="B2607" s="753"/>
      <c r="C2607" s="752" t="s">
        <v>48327</v>
      </c>
      <c r="D2607" s="753" t="s">
        <v>48320</v>
      </c>
      <c r="E2607" s="752" t="s">
        <v>39691</v>
      </c>
      <c r="F2607" s="751">
        <v>3625</v>
      </c>
    </row>
    <row r="2608" spans="1:6">
      <c r="A2608" s="753"/>
      <c r="B2608" s="753"/>
      <c r="C2608" s="752" t="s">
        <v>48326</v>
      </c>
      <c r="D2608" s="753" t="s">
        <v>48320</v>
      </c>
      <c r="E2608" s="752" t="s">
        <v>48325</v>
      </c>
      <c r="F2608" s="751">
        <v>4135</v>
      </c>
    </row>
    <row r="2609" spans="1:6">
      <c r="A2609" s="753"/>
      <c r="B2609" s="753"/>
      <c r="C2609" s="752" t="s">
        <v>48324</v>
      </c>
      <c r="D2609" s="753" t="s">
        <v>48320</v>
      </c>
      <c r="E2609" s="752" t="s">
        <v>48323</v>
      </c>
      <c r="F2609" s="751">
        <v>3375</v>
      </c>
    </row>
    <row r="2610" spans="1:6">
      <c r="A2610" s="753"/>
      <c r="B2610" s="753"/>
      <c r="C2610" s="752" t="s">
        <v>48322</v>
      </c>
      <c r="D2610" s="753" t="s">
        <v>48320</v>
      </c>
      <c r="E2610" s="752" t="s">
        <v>39691</v>
      </c>
      <c r="F2610" s="751">
        <v>3375</v>
      </c>
    </row>
    <row r="2611" spans="1:6">
      <c r="A2611" s="753"/>
      <c r="B2611" s="753"/>
      <c r="C2611" s="752" t="s">
        <v>48321</v>
      </c>
      <c r="D2611" s="753" t="s">
        <v>48320</v>
      </c>
      <c r="E2611" s="752" t="s">
        <v>39691</v>
      </c>
      <c r="F2611" s="751">
        <v>3375</v>
      </c>
    </row>
    <row r="2612" spans="1:6">
      <c r="A2612" s="753"/>
      <c r="B2612" s="753"/>
      <c r="C2612" s="752" t="s">
        <v>48319</v>
      </c>
      <c r="D2612" s="753" t="s">
        <v>48317</v>
      </c>
      <c r="E2612" s="752" t="s">
        <v>39691</v>
      </c>
      <c r="F2612" s="751">
        <v>3625</v>
      </c>
    </row>
    <row r="2613" spans="1:6">
      <c r="A2613" s="753"/>
      <c r="B2613" s="753"/>
      <c r="C2613" s="752" t="s">
        <v>48318</v>
      </c>
      <c r="D2613" s="753" t="s">
        <v>48317</v>
      </c>
      <c r="E2613" s="752" t="s">
        <v>48316</v>
      </c>
      <c r="F2613" s="751">
        <v>4135</v>
      </c>
    </row>
    <row r="2614" spans="1:6">
      <c r="A2614" s="753"/>
      <c r="B2614" s="753"/>
      <c r="C2614" s="752" t="s">
        <v>48315</v>
      </c>
      <c r="D2614" s="753" t="s">
        <v>48314</v>
      </c>
      <c r="E2614" s="752" t="s">
        <v>48313</v>
      </c>
      <c r="F2614" s="751">
        <v>1835</v>
      </c>
    </row>
    <row r="2615" spans="1:6">
      <c r="A2615" s="753"/>
      <c r="B2615" s="753"/>
      <c r="C2615" s="752" t="s">
        <v>48312</v>
      </c>
      <c r="D2615" s="753" t="s">
        <v>48309</v>
      </c>
      <c r="E2615" s="752" t="s">
        <v>39691</v>
      </c>
      <c r="F2615" s="751">
        <v>2875</v>
      </c>
    </row>
    <row r="2616" spans="1:6">
      <c r="A2616" s="753"/>
      <c r="B2616" s="753"/>
      <c r="C2616" s="752" t="s">
        <v>48311</v>
      </c>
      <c r="D2616" s="753" t="s">
        <v>48309</v>
      </c>
      <c r="E2616" s="752" t="s">
        <v>39691</v>
      </c>
      <c r="F2616" s="751">
        <v>2875</v>
      </c>
    </row>
    <row r="2617" spans="1:6">
      <c r="A2617" s="753"/>
      <c r="B2617" s="753"/>
      <c r="C2617" s="752" t="s">
        <v>48310</v>
      </c>
      <c r="D2617" s="753" t="s">
        <v>48309</v>
      </c>
      <c r="E2617" s="752" t="s">
        <v>39691</v>
      </c>
      <c r="F2617" s="751">
        <v>2625</v>
      </c>
    </row>
    <row r="2618" spans="1:6">
      <c r="A2618" s="753"/>
      <c r="B2618" s="753"/>
      <c r="C2618" s="752" t="s">
        <v>48308</v>
      </c>
      <c r="D2618" s="753" t="s">
        <v>48305</v>
      </c>
      <c r="E2618" s="752" t="s">
        <v>39691</v>
      </c>
      <c r="F2618" s="751">
        <v>3425</v>
      </c>
    </row>
    <row r="2619" spans="1:6">
      <c r="A2619" s="753"/>
      <c r="B2619" s="753"/>
      <c r="C2619" s="752" t="s">
        <v>48307</v>
      </c>
      <c r="D2619" s="753" t="s">
        <v>48305</v>
      </c>
      <c r="E2619" s="752" t="s">
        <v>39691</v>
      </c>
      <c r="F2619" s="751">
        <v>3425</v>
      </c>
    </row>
    <row r="2620" spans="1:6">
      <c r="A2620" s="753"/>
      <c r="B2620" s="753"/>
      <c r="C2620" s="752" t="s">
        <v>48306</v>
      </c>
      <c r="D2620" s="753" t="s">
        <v>48305</v>
      </c>
      <c r="E2620" s="752" t="s">
        <v>39691</v>
      </c>
      <c r="F2620" s="751">
        <v>3175</v>
      </c>
    </row>
    <row r="2621" spans="1:6">
      <c r="A2621" s="753"/>
      <c r="B2621" s="753"/>
      <c r="C2621" s="752" t="s">
        <v>48304</v>
      </c>
      <c r="D2621" s="753" t="s">
        <v>48303</v>
      </c>
      <c r="E2621" s="752" t="s">
        <v>39691</v>
      </c>
      <c r="F2621" s="751">
        <v>3175</v>
      </c>
    </row>
    <row r="2622" spans="1:6">
      <c r="A2622" s="753"/>
      <c r="B2622" s="753"/>
      <c r="C2622" s="752" t="s">
        <v>48302</v>
      </c>
      <c r="D2622" s="753" t="s">
        <v>48300</v>
      </c>
      <c r="E2622" s="752" t="s">
        <v>39691</v>
      </c>
      <c r="F2622" s="751">
        <v>2975</v>
      </c>
    </row>
    <row r="2623" spans="1:6">
      <c r="A2623" s="753"/>
      <c r="B2623" s="753"/>
      <c r="C2623" s="752" t="s">
        <v>48301</v>
      </c>
      <c r="D2623" s="753" t="s">
        <v>48300</v>
      </c>
      <c r="E2623" s="752" t="s">
        <v>48299</v>
      </c>
      <c r="F2623" s="751">
        <v>4825</v>
      </c>
    </row>
    <row r="2624" spans="1:6">
      <c r="A2624" s="753"/>
      <c r="B2624" s="753"/>
      <c r="C2624" s="752" t="s">
        <v>48298</v>
      </c>
      <c r="D2624" s="753" t="s">
        <v>48297</v>
      </c>
      <c r="E2624" s="752" t="s">
        <v>38670</v>
      </c>
      <c r="F2624" s="751">
        <v>4285</v>
      </c>
    </row>
    <row r="2625" spans="1:6">
      <c r="A2625" s="753"/>
      <c r="B2625" s="753" t="s">
        <v>48296</v>
      </c>
      <c r="C2625" s="752" t="s">
        <v>48295</v>
      </c>
      <c r="D2625" s="753" t="s">
        <v>48293</v>
      </c>
      <c r="E2625" s="752" t="s">
        <v>37838</v>
      </c>
      <c r="F2625" s="751">
        <v>1975</v>
      </c>
    </row>
    <row r="2626" spans="1:6">
      <c r="A2626" s="753"/>
      <c r="B2626" s="753"/>
      <c r="C2626" s="752" t="s">
        <v>48294</v>
      </c>
      <c r="D2626" s="753" t="s">
        <v>48293</v>
      </c>
      <c r="E2626" s="752" t="s">
        <v>37838</v>
      </c>
      <c r="F2626" s="751">
        <v>1975</v>
      </c>
    </row>
    <row r="2627" spans="1:6">
      <c r="A2627" s="753"/>
      <c r="B2627" s="753" t="s">
        <v>48292</v>
      </c>
      <c r="C2627" s="752" t="s">
        <v>48291</v>
      </c>
      <c r="D2627" s="753" t="s">
        <v>48289</v>
      </c>
      <c r="E2627" s="752" t="s">
        <v>39276</v>
      </c>
      <c r="F2627" s="751">
        <v>3715</v>
      </c>
    </row>
    <row r="2628" spans="1:6">
      <c r="A2628" s="753"/>
      <c r="B2628" s="753"/>
      <c r="C2628" s="752" t="s">
        <v>48290</v>
      </c>
      <c r="D2628" s="753" t="s">
        <v>48289</v>
      </c>
      <c r="E2628" s="752" t="s">
        <v>293</v>
      </c>
      <c r="F2628" s="751">
        <v>4015</v>
      </c>
    </row>
    <row r="2629" spans="1:6">
      <c r="A2629" s="753"/>
      <c r="B2629" s="753"/>
      <c r="C2629" s="752" t="s">
        <v>48288</v>
      </c>
      <c r="D2629" s="753" t="s">
        <v>48287</v>
      </c>
      <c r="E2629" s="752" t="s">
        <v>293</v>
      </c>
      <c r="F2629" s="751">
        <v>3625</v>
      </c>
    </row>
    <row r="2630" spans="1:6">
      <c r="A2630" s="753"/>
      <c r="B2630" s="753"/>
      <c r="C2630" s="752" t="s">
        <v>48286</v>
      </c>
      <c r="D2630" s="753" t="s">
        <v>48285</v>
      </c>
      <c r="E2630" s="752" t="s">
        <v>38584</v>
      </c>
      <c r="F2630" s="751">
        <v>3225</v>
      </c>
    </row>
    <row r="2631" spans="1:6">
      <c r="A2631" s="753"/>
      <c r="B2631" s="753"/>
      <c r="C2631" s="752" t="s">
        <v>48284</v>
      </c>
      <c r="D2631" s="753" t="s">
        <v>48281</v>
      </c>
      <c r="E2631" s="752" t="s">
        <v>293</v>
      </c>
      <c r="F2631" s="751">
        <v>2575</v>
      </c>
    </row>
    <row r="2632" spans="1:6">
      <c r="A2632" s="753"/>
      <c r="B2632" s="753"/>
      <c r="C2632" s="752" t="s">
        <v>48283</v>
      </c>
      <c r="D2632" s="753" t="s">
        <v>48281</v>
      </c>
      <c r="E2632" s="752" t="s">
        <v>39991</v>
      </c>
      <c r="F2632" s="751">
        <v>2775</v>
      </c>
    </row>
    <row r="2633" spans="1:6">
      <c r="A2633" s="753"/>
      <c r="B2633" s="753"/>
      <c r="C2633" s="752" t="s">
        <v>48282</v>
      </c>
      <c r="D2633" s="753" t="s">
        <v>48281</v>
      </c>
      <c r="E2633" s="752" t="s">
        <v>38769</v>
      </c>
      <c r="F2633" s="751">
        <v>2575</v>
      </c>
    </row>
    <row r="2634" spans="1:6">
      <c r="A2634" s="753"/>
      <c r="B2634" s="753"/>
      <c r="C2634" s="752" t="s">
        <v>48280</v>
      </c>
      <c r="D2634" s="753" t="s">
        <v>48279</v>
      </c>
      <c r="E2634" s="752" t="s">
        <v>293</v>
      </c>
      <c r="F2634" s="751">
        <v>3125</v>
      </c>
    </row>
    <row r="2635" spans="1:6">
      <c r="A2635" s="753"/>
      <c r="B2635" s="753"/>
      <c r="C2635" s="752" t="s">
        <v>48278</v>
      </c>
      <c r="D2635" s="753" t="s">
        <v>48277</v>
      </c>
      <c r="E2635" s="752" t="s">
        <v>293</v>
      </c>
      <c r="F2635" s="751">
        <v>3125</v>
      </c>
    </row>
    <row r="2636" spans="1:6">
      <c r="A2636" s="753"/>
      <c r="B2636" s="753"/>
      <c r="C2636" s="752" t="s">
        <v>48276</v>
      </c>
      <c r="D2636" s="753" t="s">
        <v>48274</v>
      </c>
      <c r="E2636" s="752" t="s">
        <v>293</v>
      </c>
      <c r="F2636" s="751">
        <v>2375</v>
      </c>
    </row>
    <row r="2637" spans="1:6">
      <c r="A2637" s="753"/>
      <c r="B2637" s="753"/>
      <c r="C2637" s="752" t="s">
        <v>48275</v>
      </c>
      <c r="D2637" s="753" t="s">
        <v>48274</v>
      </c>
      <c r="E2637" s="752" t="s">
        <v>39991</v>
      </c>
      <c r="F2637" s="751">
        <v>2575</v>
      </c>
    </row>
    <row r="2638" spans="1:6">
      <c r="A2638" s="753"/>
      <c r="B2638" s="753"/>
      <c r="C2638" s="752" t="s">
        <v>48273</v>
      </c>
      <c r="D2638" s="753" t="s">
        <v>48272</v>
      </c>
      <c r="E2638" s="752" t="s">
        <v>293</v>
      </c>
      <c r="F2638" s="751">
        <v>2925</v>
      </c>
    </row>
    <row r="2639" spans="1:6">
      <c r="A2639" s="753"/>
      <c r="B2639" s="753"/>
      <c r="C2639" s="752" t="s">
        <v>48271</v>
      </c>
      <c r="D2639" s="753" t="s">
        <v>48268</v>
      </c>
      <c r="E2639" s="752" t="s">
        <v>293</v>
      </c>
      <c r="F2639" s="751">
        <v>2475</v>
      </c>
    </row>
    <row r="2640" spans="1:6">
      <c r="A2640" s="753"/>
      <c r="B2640" s="753"/>
      <c r="C2640" s="752" t="s">
        <v>48270</v>
      </c>
      <c r="D2640" s="753" t="s">
        <v>48268</v>
      </c>
      <c r="E2640" s="752" t="s">
        <v>39991</v>
      </c>
      <c r="F2640" s="751">
        <v>2675</v>
      </c>
    </row>
    <row r="2641" spans="1:6">
      <c r="A2641" s="753"/>
      <c r="B2641" s="753"/>
      <c r="C2641" s="752" t="s">
        <v>48269</v>
      </c>
      <c r="D2641" s="753" t="s">
        <v>48268</v>
      </c>
      <c r="E2641" s="752" t="s">
        <v>38769</v>
      </c>
      <c r="F2641" s="751">
        <v>2475</v>
      </c>
    </row>
    <row r="2642" spans="1:6">
      <c r="A2642" s="753"/>
      <c r="B2642" s="753" t="s">
        <v>48267</v>
      </c>
      <c r="C2642" s="752" t="s">
        <v>48266</v>
      </c>
      <c r="D2642" s="753" t="s">
        <v>48265</v>
      </c>
      <c r="E2642" s="752" t="s">
        <v>48264</v>
      </c>
      <c r="F2642" s="751">
        <v>2375</v>
      </c>
    </row>
    <row r="2643" spans="1:6">
      <c r="A2643" s="753"/>
      <c r="B2643" s="753"/>
      <c r="C2643" s="752" t="s">
        <v>48263</v>
      </c>
      <c r="D2643" s="753" t="s">
        <v>48262</v>
      </c>
      <c r="E2643" s="752" t="s">
        <v>48261</v>
      </c>
      <c r="F2643" s="751">
        <v>2025</v>
      </c>
    </row>
    <row r="2644" spans="1:6">
      <c r="A2644" s="753"/>
      <c r="B2644" s="753" t="s">
        <v>48260</v>
      </c>
      <c r="C2644" s="752" t="s">
        <v>48259</v>
      </c>
      <c r="D2644" s="753" t="s">
        <v>48258</v>
      </c>
      <c r="E2644" s="752" t="s">
        <v>38584</v>
      </c>
      <c r="F2644" s="751">
        <v>4215</v>
      </c>
    </row>
    <row r="2645" spans="1:6">
      <c r="A2645" s="753"/>
      <c r="B2645" s="753"/>
      <c r="C2645" s="752" t="s">
        <v>48257</v>
      </c>
      <c r="D2645" s="753" t="s">
        <v>48256</v>
      </c>
      <c r="E2645" s="752" t="s">
        <v>293</v>
      </c>
      <c r="F2645" s="751">
        <v>2575</v>
      </c>
    </row>
    <row r="2646" spans="1:6">
      <c r="A2646" s="753"/>
      <c r="B2646" s="753"/>
      <c r="C2646" s="752" t="s">
        <v>48255</v>
      </c>
      <c r="D2646" s="753" t="s">
        <v>48254</v>
      </c>
      <c r="E2646" s="752" t="s">
        <v>293</v>
      </c>
      <c r="F2646" s="751">
        <v>3125</v>
      </c>
    </row>
    <row r="2647" spans="1:6">
      <c r="A2647" s="753"/>
      <c r="B2647" s="753"/>
      <c r="C2647" s="752" t="s">
        <v>48253</v>
      </c>
      <c r="D2647" s="753" t="s">
        <v>48252</v>
      </c>
      <c r="E2647" s="752" t="s">
        <v>293</v>
      </c>
      <c r="F2647" s="751">
        <v>2375</v>
      </c>
    </row>
    <row r="2648" spans="1:6">
      <c r="A2648" s="753"/>
      <c r="B2648" s="753"/>
      <c r="C2648" s="752" t="s">
        <v>48251</v>
      </c>
      <c r="D2648" s="753" t="s">
        <v>48250</v>
      </c>
      <c r="E2648" s="752" t="s">
        <v>293</v>
      </c>
      <c r="F2648" s="751">
        <v>2925</v>
      </c>
    </row>
    <row r="2649" spans="1:6">
      <c r="A2649" s="753"/>
      <c r="B2649" s="753" t="s">
        <v>48249</v>
      </c>
      <c r="C2649" s="752" t="s">
        <v>48248</v>
      </c>
      <c r="D2649" s="753" t="s">
        <v>48246</v>
      </c>
      <c r="E2649" s="752" t="s">
        <v>39691</v>
      </c>
      <c r="F2649" s="751">
        <v>4375</v>
      </c>
    </row>
    <row r="2650" spans="1:6">
      <c r="A2650" s="753"/>
      <c r="B2650" s="753"/>
      <c r="C2650" s="752" t="s">
        <v>48247</v>
      </c>
      <c r="D2650" s="753" t="s">
        <v>48246</v>
      </c>
      <c r="E2650" s="752" t="s">
        <v>293</v>
      </c>
      <c r="F2650" s="751">
        <v>4175</v>
      </c>
    </row>
    <row r="2651" spans="1:6">
      <c r="A2651" s="753"/>
      <c r="B2651" s="753" t="s">
        <v>48245</v>
      </c>
      <c r="C2651" s="752" t="s">
        <v>48244</v>
      </c>
      <c r="D2651" s="753" t="s">
        <v>48243</v>
      </c>
      <c r="E2651" s="752" t="s">
        <v>46774</v>
      </c>
      <c r="F2651" s="751">
        <v>4425</v>
      </c>
    </row>
    <row r="2652" spans="1:6">
      <c r="A2652" s="753"/>
      <c r="B2652" s="753"/>
      <c r="C2652" s="752" t="s">
        <v>48242</v>
      </c>
      <c r="D2652" s="753" t="s">
        <v>48240</v>
      </c>
      <c r="E2652" s="752" t="s">
        <v>39691</v>
      </c>
      <c r="F2652" s="751">
        <v>3875</v>
      </c>
    </row>
    <row r="2653" spans="1:6">
      <c r="A2653" s="753"/>
      <c r="B2653" s="753"/>
      <c r="C2653" s="752" t="s">
        <v>48241</v>
      </c>
      <c r="D2653" s="753" t="s">
        <v>48240</v>
      </c>
      <c r="E2653" s="752" t="s">
        <v>48239</v>
      </c>
      <c r="F2653" s="751">
        <v>4275</v>
      </c>
    </row>
    <row r="2654" spans="1:6">
      <c r="A2654" s="753"/>
      <c r="B2654" s="753" t="s">
        <v>48238</v>
      </c>
      <c r="C2654" s="752" t="s">
        <v>48237</v>
      </c>
      <c r="D2654" s="753" t="s">
        <v>48236</v>
      </c>
      <c r="E2654" s="752" t="s">
        <v>38919</v>
      </c>
      <c r="F2654" s="751">
        <v>5505</v>
      </c>
    </row>
    <row r="2655" spans="1:6">
      <c r="A2655" s="753"/>
      <c r="B2655" s="753" t="s">
        <v>48193</v>
      </c>
      <c r="C2655" s="752" t="s">
        <v>48235</v>
      </c>
      <c r="D2655" s="753" t="s">
        <v>48221</v>
      </c>
      <c r="E2655" s="752" t="s">
        <v>38258</v>
      </c>
      <c r="F2655" s="751">
        <v>5420</v>
      </c>
    </row>
    <row r="2656" spans="1:6">
      <c r="A2656" s="753"/>
      <c r="B2656" s="753"/>
      <c r="C2656" s="752" t="s">
        <v>48234</v>
      </c>
      <c r="D2656" s="753" t="s">
        <v>48219</v>
      </c>
      <c r="E2656" s="752" t="s">
        <v>38258</v>
      </c>
      <c r="F2656" s="751">
        <v>3075</v>
      </c>
    </row>
    <row r="2657" spans="1:6">
      <c r="A2657" s="753"/>
      <c r="B2657" s="753"/>
      <c r="C2657" s="752" t="s">
        <v>48233</v>
      </c>
      <c r="D2657" s="753" t="s">
        <v>48221</v>
      </c>
      <c r="E2657" s="752" t="s">
        <v>38290</v>
      </c>
      <c r="F2657" s="751">
        <v>5670</v>
      </c>
    </row>
    <row r="2658" spans="1:6">
      <c r="A2658" s="753"/>
      <c r="B2658" s="753"/>
      <c r="C2658" s="752" t="s">
        <v>48232</v>
      </c>
      <c r="D2658" s="753" t="s">
        <v>48219</v>
      </c>
      <c r="E2658" s="752" t="s">
        <v>48223</v>
      </c>
      <c r="F2658" s="751">
        <v>3075</v>
      </c>
    </row>
    <row r="2659" spans="1:6">
      <c r="A2659" s="753"/>
      <c r="B2659" s="753"/>
      <c r="C2659" s="752" t="s">
        <v>48231</v>
      </c>
      <c r="D2659" s="753" t="s">
        <v>48221</v>
      </c>
      <c r="E2659" s="752" t="s">
        <v>38290</v>
      </c>
      <c r="F2659" s="751">
        <v>5170</v>
      </c>
    </row>
    <row r="2660" spans="1:6">
      <c r="A2660" s="753"/>
      <c r="B2660" s="753"/>
      <c r="C2660" s="752" t="s">
        <v>48230</v>
      </c>
      <c r="D2660" s="753" t="s">
        <v>48216</v>
      </c>
      <c r="E2660" s="752" t="s">
        <v>38299</v>
      </c>
      <c r="F2660" s="751">
        <v>4870</v>
      </c>
    </row>
    <row r="2661" spans="1:6">
      <c r="A2661" s="753"/>
      <c r="B2661" s="753"/>
      <c r="C2661" s="752" t="s">
        <v>48229</v>
      </c>
      <c r="D2661" s="753" t="s">
        <v>48221</v>
      </c>
      <c r="E2661" s="752" t="s">
        <v>38294</v>
      </c>
      <c r="F2661" s="751">
        <v>5670</v>
      </c>
    </row>
    <row r="2662" spans="1:6">
      <c r="A2662" s="753"/>
      <c r="B2662" s="753"/>
      <c r="C2662" s="752" t="s">
        <v>48228</v>
      </c>
      <c r="D2662" s="753" t="s">
        <v>48221</v>
      </c>
      <c r="E2662" s="752" t="s">
        <v>38258</v>
      </c>
      <c r="F2662" s="751">
        <v>5170</v>
      </c>
    </row>
    <row r="2663" spans="1:6">
      <c r="A2663" s="753"/>
      <c r="B2663" s="753"/>
      <c r="C2663" s="752" t="s">
        <v>48227</v>
      </c>
      <c r="D2663" s="753" t="s">
        <v>48219</v>
      </c>
      <c r="E2663" s="752" t="s">
        <v>48223</v>
      </c>
      <c r="F2663" s="751">
        <v>3075</v>
      </c>
    </row>
    <row r="2664" spans="1:6">
      <c r="A2664" s="753"/>
      <c r="B2664" s="753"/>
      <c r="C2664" s="752" t="s">
        <v>48226</v>
      </c>
      <c r="D2664" s="753" t="s">
        <v>48221</v>
      </c>
      <c r="E2664" s="752" t="s">
        <v>43739</v>
      </c>
      <c r="F2664" s="751">
        <v>5170</v>
      </c>
    </row>
    <row r="2665" spans="1:6">
      <c r="A2665" s="753"/>
      <c r="B2665" s="753"/>
      <c r="C2665" s="752" t="s">
        <v>48225</v>
      </c>
      <c r="D2665" s="753" t="s">
        <v>48219</v>
      </c>
      <c r="E2665" s="752" t="s">
        <v>48223</v>
      </c>
      <c r="F2665" s="751">
        <v>3075</v>
      </c>
    </row>
    <row r="2666" spans="1:6">
      <c r="A2666" s="753"/>
      <c r="B2666" s="753"/>
      <c r="C2666" s="752" t="s">
        <v>48224</v>
      </c>
      <c r="D2666" s="753" t="s">
        <v>48219</v>
      </c>
      <c r="E2666" s="752" t="s">
        <v>48223</v>
      </c>
      <c r="F2666" s="751">
        <v>5120</v>
      </c>
    </row>
    <row r="2667" spans="1:6">
      <c r="A2667" s="753"/>
      <c r="B2667" s="753"/>
      <c r="C2667" s="752" t="s">
        <v>48222</v>
      </c>
      <c r="D2667" s="753" t="s">
        <v>48221</v>
      </c>
      <c r="E2667" s="752" t="s">
        <v>38290</v>
      </c>
      <c r="F2667" s="751">
        <v>5170</v>
      </c>
    </row>
    <row r="2668" spans="1:6">
      <c r="A2668" s="753"/>
      <c r="B2668" s="753"/>
      <c r="C2668" s="752" t="s">
        <v>48220</v>
      </c>
      <c r="D2668" s="753" t="s">
        <v>48219</v>
      </c>
      <c r="E2668" s="752" t="s">
        <v>38290</v>
      </c>
      <c r="F2668" s="751">
        <v>2825</v>
      </c>
    </row>
    <row r="2669" spans="1:6">
      <c r="A2669" s="753"/>
      <c r="B2669" s="753"/>
      <c r="C2669" s="752" t="s">
        <v>48218</v>
      </c>
      <c r="D2669" s="753" t="s">
        <v>48216</v>
      </c>
      <c r="E2669" s="752" t="s">
        <v>38299</v>
      </c>
      <c r="F2669" s="751">
        <v>4870</v>
      </c>
    </row>
    <row r="2670" spans="1:6">
      <c r="A2670" s="753"/>
      <c r="B2670" s="753"/>
      <c r="C2670" s="752" t="s">
        <v>48217</v>
      </c>
      <c r="D2670" s="753" t="s">
        <v>48216</v>
      </c>
      <c r="E2670" s="752" t="s">
        <v>38290</v>
      </c>
      <c r="F2670" s="751">
        <v>4670</v>
      </c>
    </row>
    <row r="2671" spans="1:6">
      <c r="A2671" s="753"/>
      <c r="B2671" s="753"/>
      <c r="C2671" s="752" t="s">
        <v>48215</v>
      </c>
      <c r="D2671" s="753" t="s">
        <v>48213</v>
      </c>
      <c r="E2671" s="752" t="s">
        <v>43895</v>
      </c>
      <c r="F2671" s="751">
        <v>4170</v>
      </c>
    </row>
    <row r="2672" spans="1:6">
      <c r="A2672" s="753"/>
      <c r="B2672" s="753"/>
      <c r="C2672" s="752" t="s">
        <v>48214</v>
      </c>
      <c r="D2672" s="753" t="s">
        <v>48213</v>
      </c>
      <c r="E2672" s="752" t="s">
        <v>38290</v>
      </c>
      <c r="F2672" s="751">
        <v>4170</v>
      </c>
    </row>
    <row r="2673" spans="1:6">
      <c r="A2673" s="753"/>
      <c r="B2673" s="753"/>
      <c r="C2673" s="752" t="s">
        <v>48212</v>
      </c>
      <c r="D2673" s="753" t="s">
        <v>48205</v>
      </c>
      <c r="E2673" s="752" t="s">
        <v>38294</v>
      </c>
      <c r="F2673" s="751">
        <v>6165</v>
      </c>
    </row>
    <row r="2674" spans="1:6">
      <c r="A2674" s="753"/>
      <c r="B2674" s="753"/>
      <c r="C2674" s="752" t="s">
        <v>48211</v>
      </c>
      <c r="D2674" s="753" t="s">
        <v>48205</v>
      </c>
      <c r="E2674" s="752" t="s">
        <v>48210</v>
      </c>
      <c r="F2674" s="751">
        <v>5915</v>
      </c>
    </row>
    <row r="2675" spans="1:6">
      <c r="A2675" s="753"/>
      <c r="B2675" s="753"/>
      <c r="C2675" s="752" t="s">
        <v>48209</v>
      </c>
      <c r="D2675" s="753" t="s">
        <v>48205</v>
      </c>
      <c r="E2675" s="752" t="s">
        <v>45521</v>
      </c>
      <c r="F2675" s="751">
        <v>5665</v>
      </c>
    </row>
    <row r="2676" spans="1:6">
      <c r="A2676" s="753"/>
      <c r="B2676" s="753"/>
      <c r="C2676" s="752" t="s">
        <v>48208</v>
      </c>
      <c r="D2676" s="753" t="s">
        <v>48205</v>
      </c>
      <c r="E2676" s="752" t="s">
        <v>43895</v>
      </c>
      <c r="F2676" s="751">
        <v>5915</v>
      </c>
    </row>
    <row r="2677" spans="1:6">
      <c r="A2677" s="753"/>
      <c r="B2677" s="753"/>
      <c r="C2677" s="752" t="s">
        <v>48207</v>
      </c>
      <c r="D2677" s="753" t="s">
        <v>48205</v>
      </c>
      <c r="E2677" s="752" t="s">
        <v>43895</v>
      </c>
      <c r="F2677" s="751">
        <v>5915</v>
      </c>
    </row>
    <row r="2678" spans="1:6">
      <c r="A2678" s="753"/>
      <c r="B2678" s="753"/>
      <c r="C2678" s="752" t="s">
        <v>48206</v>
      </c>
      <c r="D2678" s="753" t="s">
        <v>48205</v>
      </c>
      <c r="E2678" s="752" t="s">
        <v>45521</v>
      </c>
      <c r="F2678" s="751">
        <v>5665</v>
      </c>
    </row>
    <row r="2679" spans="1:6">
      <c r="A2679" s="753"/>
      <c r="B2679" s="753"/>
      <c r="C2679" s="752" t="s">
        <v>48204</v>
      </c>
      <c r="D2679" s="753" t="s">
        <v>48012</v>
      </c>
      <c r="E2679" s="752" t="s">
        <v>47671</v>
      </c>
      <c r="F2679" s="751">
        <v>4475</v>
      </c>
    </row>
    <row r="2680" spans="1:6">
      <c r="A2680" s="753"/>
      <c r="B2680" s="753"/>
      <c r="C2680" s="752" t="s">
        <v>48203</v>
      </c>
      <c r="D2680" s="753" t="s">
        <v>48012</v>
      </c>
      <c r="E2680" s="752" t="s">
        <v>47671</v>
      </c>
      <c r="F2680" s="751">
        <v>4475</v>
      </c>
    </row>
    <row r="2681" spans="1:6">
      <c r="A2681" s="753"/>
      <c r="B2681" s="753"/>
      <c r="C2681" s="752" t="s">
        <v>48202</v>
      </c>
      <c r="D2681" s="753" t="s">
        <v>48012</v>
      </c>
      <c r="E2681" s="752" t="s">
        <v>48201</v>
      </c>
      <c r="F2681" s="751">
        <v>4425</v>
      </c>
    </row>
    <row r="2682" spans="1:6">
      <c r="A2682" s="753"/>
      <c r="B2682" s="753"/>
      <c r="C2682" s="752" t="s">
        <v>48200</v>
      </c>
      <c r="D2682" s="753" t="s">
        <v>43660</v>
      </c>
      <c r="E2682" s="752" t="s">
        <v>45470</v>
      </c>
      <c r="F2682" s="751">
        <v>10595</v>
      </c>
    </row>
    <row r="2683" spans="1:6">
      <c r="A2683" s="753"/>
      <c r="B2683" s="753"/>
      <c r="C2683" s="752" t="s">
        <v>48199</v>
      </c>
      <c r="D2683" s="753" t="s">
        <v>43660</v>
      </c>
      <c r="E2683" s="752" t="s">
        <v>43659</v>
      </c>
      <c r="F2683" s="751">
        <v>10995</v>
      </c>
    </row>
    <row r="2684" spans="1:6">
      <c r="A2684" s="753"/>
      <c r="B2684" s="753"/>
      <c r="C2684" s="752" t="s">
        <v>48198</v>
      </c>
      <c r="D2684" s="753" t="s">
        <v>43660</v>
      </c>
      <c r="E2684" s="752" t="s">
        <v>43659</v>
      </c>
      <c r="F2684" s="751">
        <v>10595</v>
      </c>
    </row>
    <row r="2685" spans="1:6">
      <c r="A2685" s="753"/>
      <c r="B2685" s="753"/>
      <c r="C2685" s="752" t="s">
        <v>48197</v>
      </c>
      <c r="D2685" s="753" t="s">
        <v>48184</v>
      </c>
      <c r="E2685" s="752" t="s">
        <v>293</v>
      </c>
      <c r="F2685" s="751">
        <v>4425</v>
      </c>
    </row>
    <row r="2686" spans="1:6">
      <c r="A2686" s="753"/>
      <c r="B2686" s="753"/>
      <c r="C2686" s="752" t="s">
        <v>48196</v>
      </c>
      <c r="D2686" s="753" t="s">
        <v>48168</v>
      </c>
      <c r="E2686" s="752" t="s">
        <v>47657</v>
      </c>
      <c r="F2686" s="751">
        <v>4925</v>
      </c>
    </row>
    <row r="2687" spans="1:6">
      <c r="A2687" s="753"/>
      <c r="B2687" s="753"/>
      <c r="C2687" s="752" t="s">
        <v>48195</v>
      </c>
      <c r="D2687" s="753" t="s">
        <v>48176</v>
      </c>
      <c r="E2687" s="752" t="s">
        <v>47703</v>
      </c>
      <c r="F2687" s="751">
        <v>5975</v>
      </c>
    </row>
    <row r="2688" spans="1:6">
      <c r="A2688" s="753"/>
      <c r="B2688" s="753"/>
      <c r="C2688" s="752" t="s">
        <v>48194</v>
      </c>
      <c r="D2688" s="753" t="s">
        <v>48193</v>
      </c>
      <c r="E2688" s="752" t="s">
        <v>38033</v>
      </c>
      <c r="F2688" s="751">
        <v>5975</v>
      </c>
    </row>
    <row r="2689" spans="1:6">
      <c r="A2689" s="753"/>
      <c r="B2689" s="753"/>
      <c r="C2689" s="752" t="s">
        <v>48192</v>
      </c>
      <c r="D2689" s="753" t="s">
        <v>48176</v>
      </c>
      <c r="E2689" s="752" t="s">
        <v>48191</v>
      </c>
      <c r="F2689" s="751">
        <v>4925</v>
      </c>
    </row>
    <row r="2690" spans="1:6">
      <c r="A2690" s="753"/>
      <c r="B2690" s="753"/>
      <c r="C2690" s="752" t="s">
        <v>48190</v>
      </c>
      <c r="D2690" s="753" t="s">
        <v>48176</v>
      </c>
      <c r="E2690" s="752" t="s">
        <v>48189</v>
      </c>
      <c r="F2690" s="751">
        <v>5625</v>
      </c>
    </row>
    <row r="2691" spans="1:6">
      <c r="A2691" s="753"/>
      <c r="B2691" s="753"/>
      <c r="C2691" s="752" t="s">
        <v>48188</v>
      </c>
      <c r="D2691" s="753" t="s">
        <v>48168</v>
      </c>
      <c r="E2691" s="752" t="s">
        <v>293</v>
      </c>
      <c r="F2691" s="751">
        <v>4925</v>
      </c>
    </row>
    <row r="2692" spans="1:6">
      <c r="A2692" s="753"/>
      <c r="B2692" s="753"/>
      <c r="C2692" s="752" t="s">
        <v>48187</v>
      </c>
      <c r="D2692" s="753" t="s">
        <v>48158</v>
      </c>
      <c r="E2692" s="752" t="s">
        <v>48186</v>
      </c>
      <c r="F2692" s="751">
        <v>6005</v>
      </c>
    </row>
    <row r="2693" spans="1:6">
      <c r="A2693" s="753"/>
      <c r="B2693" s="753"/>
      <c r="C2693" s="752" t="s">
        <v>48185</v>
      </c>
      <c r="D2693" s="753" t="s">
        <v>48184</v>
      </c>
      <c r="E2693" s="752" t="s">
        <v>293</v>
      </c>
      <c r="F2693" s="751">
        <v>4675</v>
      </c>
    </row>
    <row r="2694" spans="1:6">
      <c r="A2694" s="753"/>
      <c r="B2694" s="753"/>
      <c r="C2694" s="752" t="s">
        <v>48183</v>
      </c>
      <c r="D2694" s="753" t="s">
        <v>48158</v>
      </c>
      <c r="E2694" s="752" t="s">
        <v>48181</v>
      </c>
      <c r="F2694" s="751">
        <v>5275</v>
      </c>
    </row>
    <row r="2695" spans="1:6">
      <c r="A2695" s="753"/>
      <c r="B2695" s="753"/>
      <c r="C2695" s="752" t="s">
        <v>48182</v>
      </c>
      <c r="D2695" s="753" t="s">
        <v>48158</v>
      </c>
      <c r="E2695" s="752" t="s">
        <v>48181</v>
      </c>
      <c r="F2695" s="751">
        <v>5125</v>
      </c>
    </row>
    <row r="2696" spans="1:6">
      <c r="A2696" s="753"/>
      <c r="B2696" s="753"/>
      <c r="C2696" s="752" t="s">
        <v>48180</v>
      </c>
      <c r="D2696" s="753" t="s">
        <v>48168</v>
      </c>
      <c r="E2696" s="752" t="s">
        <v>293</v>
      </c>
      <c r="F2696" s="751">
        <v>4925</v>
      </c>
    </row>
    <row r="2697" spans="1:6">
      <c r="A2697" s="753"/>
      <c r="B2697" s="753"/>
      <c r="C2697" s="752" t="s">
        <v>48179</v>
      </c>
      <c r="D2697" s="753" t="s">
        <v>48158</v>
      </c>
      <c r="E2697" s="752" t="s">
        <v>48160</v>
      </c>
      <c r="F2697" s="751">
        <v>4675</v>
      </c>
    </row>
    <row r="2698" spans="1:6">
      <c r="A2698" s="753"/>
      <c r="B2698" s="753"/>
      <c r="C2698" s="752" t="s">
        <v>48178</v>
      </c>
      <c r="D2698" s="753" t="s">
        <v>48158</v>
      </c>
      <c r="E2698" s="752" t="s">
        <v>48157</v>
      </c>
      <c r="F2698" s="751">
        <v>5655</v>
      </c>
    </row>
    <row r="2699" spans="1:6">
      <c r="A2699" s="753"/>
      <c r="B2699" s="753"/>
      <c r="C2699" s="752" t="s">
        <v>48177</v>
      </c>
      <c r="D2699" s="753" t="s">
        <v>48176</v>
      </c>
      <c r="E2699" s="752" t="s">
        <v>48175</v>
      </c>
      <c r="F2699" s="751">
        <v>5275</v>
      </c>
    </row>
    <row r="2700" spans="1:6">
      <c r="A2700" s="753"/>
      <c r="B2700" s="753"/>
      <c r="C2700" s="752" t="s">
        <v>48174</v>
      </c>
      <c r="D2700" s="753" t="s">
        <v>48173</v>
      </c>
      <c r="E2700" s="752" t="s">
        <v>48172</v>
      </c>
      <c r="F2700" s="751">
        <v>5115</v>
      </c>
    </row>
    <row r="2701" spans="1:6">
      <c r="A2701" s="753"/>
      <c r="B2701" s="753"/>
      <c r="C2701" s="752" t="s">
        <v>48171</v>
      </c>
      <c r="D2701" s="753" t="s">
        <v>48158</v>
      </c>
      <c r="E2701" s="752" t="s">
        <v>48170</v>
      </c>
      <c r="F2701" s="751">
        <v>6355</v>
      </c>
    </row>
    <row r="2702" spans="1:6">
      <c r="A2702" s="753"/>
      <c r="B2702" s="753"/>
      <c r="C2702" s="752" t="s">
        <v>48169</v>
      </c>
      <c r="D2702" s="753" t="s">
        <v>48168</v>
      </c>
      <c r="E2702" s="752" t="s">
        <v>293</v>
      </c>
      <c r="F2702" s="751">
        <v>4925</v>
      </c>
    </row>
    <row r="2703" spans="1:6">
      <c r="A2703" s="753"/>
      <c r="B2703" s="753"/>
      <c r="C2703" s="752" t="s">
        <v>48167</v>
      </c>
      <c r="D2703" s="753" t="s">
        <v>48158</v>
      </c>
      <c r="E2703" s="752" t="s">
        <v>48166</v>
      </c>
      <c r="F2703" s="751">
        <v>6005</v>
      </c>
    </row>
    <row r="2704" spans="1:6">
      <c r="A2704" s="753"/>
      <c r="B2704" s="753"/>
      <c r="C2704" s="752" t="s">
        <v>48165</v>
      </c>
      <c r="D2704" s="753" t="s">
        <v>48158</v>
      </c>
      <c r="E2704" s="752" t="s">
        <v>48164</v>
      </c>
      <c r="F2704" s="751">
        <v>6005</v>
      </c>
    </row>
    <row r="2705" spans="1:6">
      <c r="A2705" s="753"/>
      <c r="B2705" s="753"/>
      <c r="C2705" s="752" t="s">
        <v>48163</v>
      </c>
      <c r="D2705" s="753" t="s">
        <v>43261</v>
      </c>
      <c r="E2705" s="752" t="s">
        <v>43260</v>
      </c>
      <c r="F2705" s="751">
        <v>12995</v>
      </c>
    </row>
    <row r="2706" spans="1:6">
      <c r="A2706" s="753"/>
      <c r="B2706" s="753"/>
      <c r="C2706" s="752" t="s">
        <v>48162</v>
      </c>
      <c r="D2706" s="753" t="s">
        <v>43874</v>
      </c>
      <c r="E2706" s="752" t="s">
        <v>43873</v>
      </c>
      <c r="F2706" s="751">
        <v>13045</v>
      </c>
    </row>
    <row r="2707" spans="1:6">
      <c r="A2707" s="753"/>
      <c r="B2707" s="753"/>
      <c r="C2707" s="752" t="s">
        <v>48161</v>
      </c>
      <c r="D2707" s="753" t="s">
        <v>48158</v>
      </c>
      <c r="E2707" s="752" t="s">
        <v>48160</v>
      </c>
      <c r="F2707" s="751">
        <v>4375</v>
      </c>
    </row>
    <row r="2708" spans="1:6">
      <c r="A2708" s="753"/>
      <c r="B2708" s="753"/>
      <c r="C2708" s="752" t="s">
        <v>48159</v>
      </c>
      <c r="D2708" s="753" t="s">
        <v>48158</v>
      </c>
      <c r="E2708" s="752" t="s">
        <v>48157</v>
      </c>
      <c r="F2708" s="751">
        <v>5655</v>
      </c>
    </row>
    <row r="2709" spans="1:6">
      <c r="A2709" s="753"/>
      <c r="B2709" s="753"/>
      <c r="C2709" s="752" t="s">
        <v>48156</v>
      </c>
      <c r="D2709" s="753" t="s">
        <v>43261</v>
      </c>
      <c r="E2709" s="752" t="s">
        <v>43260</v>
      </c>
      <c r="F2709" s="751">
        <v>12795</v>
      </c>
    </row>
    <row r="2710" spans="1:6">
      <c r="A2710" s="753"/>
      <c r="B2710" s="753"/>
      <c r="C2710" s="752" t="s">
        <v>48155</v>
      </c>
      <c r="D2710" s="753" t="s">
        <v>43261</v>
      </c>
      <c r="E2710" s="752" t="s">
        <v>43260</v>
      </c>
      <c r="F2710" s="751">
        <v>12995</v>
      </c>
    </row>
    <row r="2711" spans="1:6">
      <c r="A2711" s="753"/>
      <c r="B2711" s="753"/>
      <c r="C2711" s="752" t="s">
        <v>48154</v>
      </c>
      <c r="D2711" s="753" t="s">
        <v>48012</v>
      </c>
      <c r="E2711" s="752" t="s">
        <v>38019</v>
      </c>
      <c r="F2711" s="751">
        <v>6325</v>
      </c>
    </row>
    <row r="2712" spans="1:6">
      <c r="A2712" s="753"/>
      <c r="B2712" s="753"/>
      <c r="C2712" s="752" t="s">
        <v>48153</v>
      </c>
      <c r="D2712" s="753" t="s">
        <v>43270</v>
      </c>
      <c r="E2712" s="752" t="s">
        <v>43659</v>
      </c>
      <c r="F2712" s="751">
        <v>10895</v>
      </c>
    </row>
    <row r="2713" spans="1:6">
      <c r="A2713" s="753"/>
      <c r="B2713" s="753"/>
      <c r="C2713" s="752" t="s">
        <v>48152</v>
      </c>
      <c r="D2713" s="753" t="s">
        <v>48148</v>
      </c>
      <c r="E2713" s="752" t="s">
        <v>293</v>
      </c>
      <c r="F2713" s="751">
        <v>1445</v>
      </c>
    </row>
    <row r="2714" spans="1:6">
      <c r="A2714" s="753"/>
      <c r="B2714" s="753"/>
      <c r="C2714" s="752" t="s">
        <v>48151</v>
      </c>
      <c r="D2714" s="753" t="s">
        <v>48148</v>
      </c>
      <c r="E2714" s="752" t="s">
        <v>48150</v>
      </c>
      <c r="F2714" s="751">
        <v>1445</v>
      </c>
    </row>
    <row r="2715" spans="1:6">
      <c r="A2715" s="753"/>
      <c r="B2715" s="753"/>
      <c r="C2715" s="752" t="s">
        <v>48149</v>
      </c>
      <c r="D2715" s="753" t="s">
        <v>48148</v>
      </c>
      <c r="E2715" s="752" t="s">
        <v>293</v>
      </c>
      <c r="F2715" s="751">
        <v>1745</v>
      </c>
    </row>
    <row r="2716" spans="1:6">
      <c r="A2716" s="753"/>
      <c r="B2716" s="753"/>
      <c r="C2716" s="752" t="s">
        <v>48147</v>
      </c>
      <c r="D2716" s="753" t="s">
        <v>48146</v>
      </c>
      <c r="E2716" s="752" t="s">
        <v>293</v>
      </c>
      <c r="F2716" s="751">
        <v>1745</v>
      </c>
    </row>
    <row r="2717" spans="1:6">
      <c r="A2717" s="753"/>
      <c r="B2717" s="753"/>
      <c r="C2717" s="752" t="s">
        <v>48145</v>
      </c>
      <c r="D2717" s="753" t="s">
        <v>48144</v>
      </c>
      <c r="E2717" s="752" t="s">
        <v>47694</v>
      </c>
      <c r="F2717" s="751">
        <v>5075</v>
      </c>
    </row>
    <row r="2718" spans="1:6">
      <c r="A2718" s="753"/>
      <c r="B2718" s="753"/>
      <c r="C2718" s="752" t="s">
        <v>48143</v>
      </c>
      <c r="D2718" s="753" t="s">
        <v>48089</v>
      </c>
      <c r="E2718" s="752" t="s">
        <v>47944</v>
      </c>
      <c r="F2718" s="751">
        <v>3625</v>
      </c>
    </row>
    <row r="2719" spans="1:6">
      <c r="A2719" s="753"/>
      <c r="B2719" s="753"/>
      <c r="C2719" s="752" t="s">
        <v>48142</v>
      </c>
      <c r="D2719" s="753" t="s">
        <v>48089</v>
      </c>
      <c r="E2719" s="752" t="s">
        <v>47906</v>
      </c>
      <c r="F2719" s="751">
        <v>3975</v>
      </c>
    </row>
    <row r="2720" spans="1:6">
      <c r="A2720" s="753"/>
      <c r="B2720" s="753"/>
      <c r="C2720" s="752" t="s">
        <v>48141</v>
      </c>
      <c r="D2720" s="753" t="s">
        <v>48089</v>
      </c>
      <c r="E2720" s="752" t="s">
        <v>47941</v>
      </c>
      <c r="F2720" s="751">
        <v>3625</v>
      </c>
    </row>
    <row r="2721" spans="1:6">
      <c r="A2721" s="753"/>
      <c r="B2721" s="753"/>
      <c r="C2721" s="752" t="s">
        <v>48140</v>
      </c>
      <c r="D2721" s="753" t="s">
        <v>48089</v>
      </c>
      <c r="E2721" s="752" t="s">
        <v>44652</v>
      </c>
      <c r="F2721" s="751">
        <v>3975</v>
      </c>
    </row>
    <row r="2722" spans="1:6">
      <c r="A2722" s="753"/>
      <c r="B2722" s="753"/>
      <c r="C2722" s="752" t="s">
        <v>48139</v>
      </c>
      <c r="D2722" s="753" t="s">
        <v>48089</v>
      </c>
      <c r="E2722" s="752" t="s">
        <v>47774</v>
      </c>
      <c r="F2722" s="751">
        <v>3375</v>
      </c>
    </row>
    <row r="2723" spans="1:6">
      <c r="A2723" s="753"/>
      <c r="B2723" s="753"/>
      <c r="C2723" s="752" t="s">
        <v>48138</v>
      </c>
      <c r="D2723" s="753" t="s">
        <v>48089</v>
      </c>
      <c r="E2723" s="752" t="s">
        <v>47764</v>
      </c>
      <c r="F2723" s="751">
        <v>3725</v>
      </c>
    </row>
    <row r="2724" spans="1:6">
      <c r="A2724" s="753"/>
      <c r="B2724" s="753"/>
      <c r="C2724" s="752" t="s">
        <v>48137</v>
      </c>
      <c r="D2724" s="753" t="s">
        <v>48089</v>
      </c>
      <c r="E2724" s="752" t="s">
        <v>47936</v>
      </c>
      <c r="F2724" s="751">
        <v>3375</v>
      </c>
    </row>
    <row r="2725" spans="1:6">
      <c r="A2725" s="753"/>
      <c r="B2725" s="753"/>
      <c r="C2725" s="752" t="s">
        <v>48136</v>
      </c>
      <c r="D2725" s="753" t="s">
        <v>48089</v>
      </c>
      <c r="E2725" s="752" t="s">
        <v>47759</v>
      </c>
      <c r="F2725" s="751">
        <v>3725</v>
      </c>
    </row>
    <row r="2726" spans="1:6">
      <c r="A2726" s="753"/>
      <c r="B2726" s="753"/>
      <c r="C2726" s="752" t="s">
        <v>48135</v>
      </c>
      <c r="D2726" s="753" t="s">
        <v>47631</v>
      </c>
      <c r="E2726" s="752" t="s">
        <v>47769</v>
      </c>
      <c r="F2726" s="751">
        <v>3625</v>
      </c>
    </row>
    <row r="2727" spans="1:6">
      <c r="A2727" s="753"/>
      <c r="B2727" s="753"/>
      <c r="C2727" s="752" t="s">
        <v>48134</v>
      </c>
      <c r="D2727" s="753" t="s">
        <v>48077</v>
      </c>
      <c r="E2727" s="752" t="s">
        <v>47926</v>
      </c>
      <c r="F2727" s="751">
        <v>3375</v>
      </c>
    </row>
    <row r="2728" spans="1:6">
      <c r="A2728" s="753"/>
      <c r="B2728" s="753"/>
      <c r="C2728" s="752" t="s">
        <v>48133</v>
      </c>
      <c r="D2728" s="753" t="s">
        <v>48089</v>
      </c>
      <c r="E2728" s="752" t="s">
        <v>47764</v>
      </c>
      <c r="F2728" s="751">
        <v>3725</v>
      </c>
    </row>
    <row r="2729" spans="1:6">
      <c r="A2729" s="753"/>
      <c r="B2729" s="753"/>
      <c r="C2729" s="752" t="s">
        <v>48132</v>
      </c>
      <c r="D2729" s="753" t="s">
        <v>48077</v>
      </c>
      <c r="E2729" s="752" t="s">
        <v>47761</v>
      </c>
      <c r="F2729" s="751">
        <v>3375</v>
      </c>
    </row>
    <row r="2730" spans="1:6">
      <c r="A2730" s="753"/>
      <c r="B2730" s="753"/>
      <c r="C2730" s="752" t="s">
        <v>48131</v>
      </c>
      <c r="D2730" s="753" t="s">
        <v>48089</v>
      </c>
      <c r="E2730" s="752" t="s">
        <v>47759</v>
      </c>
      <c r="F2730" s="751">
        <v>3725</v>
      </c>
    </row>
    <row r="2731" spans="1:6">
      <c r="A2731" s="753"/>
      <c r="B2731" s="753"/>
      <c r="C2731" s="752" t="s">
        <v>48130</v>
      </c>
      <c r="D2731" s="753" t="s">
        <v>48121</v>
      </c>
      <c r="E2731" s="752" t="s">
        <v>47764</v>
      </c>
      <c r="F2731" s="751">
        <v>3375</v>
      </c>
    </row>
    <row r="2732" spans="1:6">
      <c r="A2732" s="753"/>
      <c r="B2732" s="753"/>
      <c r="C2732" s="752" t="s">
        <v>48129</v>
      </c>
      <c r="D2732" s="753" t="s">
        <v>48121</v>
      </c>
      <c r="E2732" s="752" t="s">
        <v>47738</v>
      </c>
      <c r="F2732" s="751">
        <v>3375</v>
      </c>
    </row>
    <row r="2733" spans="1:6">
      <c r="A2733" s="753"/>
      <c r="B2733" s="753"/>
      <c r="C2733" s="752" t="s">
        <v>48128</v>
      </c>
      <c r="D2733" s="753" t="s">
        <v>48089</v>
      </c>
      <c r="E2733" s="752" t="s">
        <v>48127</v>
      </c>
      <c r="F2733" s="751">
        <v>3725</v>
      </c>
    </row>
    <row r="2734" spans="1:6">
      <c r="A2734" s="753"/>
      <c r="B2734" s="753"/>
      <c r="C2734" s="752" t="s">
        <v>48126</v>
      </c>
      <c r="D2734" s="753" t="s">
        <v>48077</v>
      </c>
      <c r="E2734" s="752" t="s">
        <v>48094</v>
      </c>
      <c r="F2734" s="751">
        <v>3125</v>
      </c>
    </row>
    <row r="2735" spans="1:6">
      <c r="A2735" s="753"/>
      <c r="B2735" s="753"/>
      <c r="C2735" s="752" t="s">
        <v>48125</v>
      </c>
      <c r="D2735" s="753" t="s">
        <v>48089</v>
      </c>
      <c r="E2735" s="752" t="s">
        <v>48092</v>
      </c>
      <c r="F2735" s="751">
        <v>3375</v>
      </c>
    </row>
    <row r="2736" spans="1:6">
      <c r="A2736" s="753"/>
      <c r="B2736" s="753"/>
      <c r="C2736" s="752" t="s">
        <v>48124</v>
      </c>
      <c r="D2736" s="753" t="s">
        <v>48077</v>
      </c>
      <c r="E2736" s="752" t="s">
        <v>47755</v>
      </c>
      <c r="F2736" s="751">
        <v>3125</v>
      </c>
    </row>
    <row r="2737" spans="1:6">
      <c r="A2737" s="753"/>
      <c r="B2737" s="753"/>
      <c r="C2737" s="752" t="s">
        <v>48123</v>
      </c>
      <c r="D2737" s="753" t="s">
        <v>48089</v>
      </c>
      <c r="E2737" s="752" t="s">
        <v>47730</v>
      </c>
      <c r="F2737" s="751">
        <v>3375</v>
      </c>
    </row>
    <row r="2738" spans="1:6">
      <c r="A2738" s="753"/>
      <c r="B2738" s="753"/>
      <c r="C2738" s="752" t="s">
        <v>48122</v>
      </c>
      <c r="D2738" s="753" t="s">
        <v>48121</v>
      </c>
      <c r="E2738" s="752" t="s">
        <v>47730</v>
      </c>
      <c r="F2738" s="751">
        <v>3125</v>
      </c>
    </row>
    <row r="2739" spans="1:6">
      <c r="A2739" s="753"/>
      <c r="B2739" s="753"/>
      <c r="C2739" s="752" t="s">
        <v>48120</v>
      </c>
      <c r="D2739" s="753" t="s">
        <v>48077</v>
      </c>
      <c r="E2739" s="752" t="s">
        <v>48079</v>
      </c>
      <c r="F2739" s="751">
        <v>3125</v>
      </c>
    </row>
    <row r="2740" spans="1:6">
      <c r="A2740" s="753"/>
      <c r="B2740" s="753"/>
      <c r="C2740" s="752" t="s">
        <v>48119</v>
      </c>
      <c r="D2740" s="753" t="s">
        <v>48077</v>
      </c>
      <c r="E2740" s="752" t="s">
        <v>48118</v>
      </c>
      <c r="F2740" s="751">
        <v>2925</v>
      </c>
    </row>
    <row r="2741" spans="1:6">
      <c r="A2741" s="753"/>
      <c r="B2741" s="753"/>
      <c r="C2741" s="752" t="s">
        <v>48117</v>
      </c>
      <c r="D2741" s="753" t="s">
        <v>48089</v>
      </c>
      <c r="E2741" s="752" t="s">
        <v>48116</v>
      </c>
      <c r="F2741" s="751">
        <v>3375</v>
      </c>
    </row>
    <row r="2742" spans="1:6">
      <c r="A2742" s="753"/>
      <c r="B2742" s="753"/>
      <c r="C2742" s="752" t="s">
        <v>48115</v>
      </c>
      <c r="D2742" s="753" t="s">
        <v>48077</v>
      </c>
      <c r="E2742" s="752" t="s">
        <v>48114</v>
      </c>
      <c r="F2742" s="751">
        <v>3375</v>
      </c>
    </row>
    <row r="2743" spans="1:6">
      <c r="A2743" s="753"/>
      <c r="B2743" s="753"/>
      <c r="C2743" s="752" t="s">
        <v>48113</v>
      </c>
      <c r="D2743" s="753" t="s">
        <v>48112</v>
      </c>
      <c r="E2743" s="752" t="s">
        <v>47764</v>
      </c>
      <c r="F2743" s="751">
        <v>3725</v>
      </c>
    </row>
    <row r="2744" spans="1:6">
      <c r="A2744" s="753"/>
      <c r="B2744" s="753"/>
      <c r="C2744" s="752" t="s">
        <v>48111</v>
      </c>
      <c r="D2744" s="753" t="s">
        <v>48110</v>
      </c>
      <c r="E2744" s="752" t="s">
        <v>47759</v>
      </c>
      <c r="F2744" s="751">
        <v>3725</v>
      </c>
    </row>
    <row r="2745" spans="1:6">
      <c r="A2745" s="753"/>
      <c r="B2745" s="753"/>
      <c r="C2745" s="752" t="s">
        <v>48109</v>
      </c>
      <c r="D2745" s="753" t="s">
        <v>48077</v>
      </c>
      <c r="E2745" s="752" t="s">
        <v>48108</v>
      </c>
      <c r="F2745" s="751">
        <v>3625</v>
      </c>
    </row>
    <row r="2746" spans="1:6">
      <c r="A2746" s="753"/>
      <c r="B2746" s="753"/>
      <c r="C2746" s="752" t="s">
        <v>48107</v>
      </c>
      <c r="D2746" s="753" t="s">
        <v>48077</v>
      </c>
      <c r="E2746" s="752" t="s">
        <v>48106</v>
      </c>
      <c r="F2746" s="751">
        <v>3375</v>
      </c>
    </row>
    <row r="2747" spans="1:6">
      <c r="A2747" s="753"/>
      <c r="B2747" s="753"/>
      <c r="C2747" s="752" t="s">
        <v>48105</v>
      </c>
      <c r="D2747" s="753" t="s">
        <v>48089</v>
      </c>
      <c r="E2747" s="752" t="s">
        <v>47764</v>
      </c>
      <c r="F2747" s="751">
        <v>3725</v>
      </c>
    </row>
    <row r="2748" spans="1:6">
      <c r="A2748" s="753"/>
      <c r="B2748" s="753"/>
      <c r="C2748" s="752" t="s">
        <v>48104</v>
      </c>
      <c r="D2748" s="753" t="s">
        <v>48089</v>
      </c>
      <c r="E2748" s="752" t="s">
        <v>47936</v>
      </c>
      <c r="F2748" s="751">
        <v>3375</v>
      </c>
    </row>
    <row r="2749" spans="1:6">
      <c r="A2749" s="753"/>
      <c r="B2749" s="753"/>
      <c r="C2749" s="752" t="s">
        <v>48103</v>
      </c>
      <c r="D2749" s="753" t="s">
        <v>48089</v>
      </c>
      <c r="E2749" s="752" t="s">
        <v>47738</v>
      </c>
      <c r="F2749" s="751">
        <v>3725</v>
      </c>
    </row>
    <row r="2750" spans="1:6">
      <c r="A2750" s="753"/>
      <c r="B2750" s="753"/>
      <c r="C2750" s="752" t="s">
        <v>48102</v>
      </c>
      <c r="D2750" s="753" t="s">
        <v>48077</v>
      </c>
      <c r="E2750" s="752" t="s">
        <v>47926</v>
      </c>
      <c r="F2750" s="751">
        <v>3375</v>
      </c>
    </row>
    <row r="2751" spans="1:6">
      <c r="A2751" s="753"/>
      <c r="B2751" s="753"/>
      <c r="C2751" s="752" t="s">
        <v>48101</v>
      </c>
      <c r="D2751" s="753" t="s">
        <v>48100</v>
      </c>
      <c r="E2751" s="752" t="s">
        <v>48099</v>
      </c>
      <c r="F2751" s="751">
        <v>3725</v>
      </c>
    </row>
    <row r="2752" spans="1:6">
      <c r="A2752" s="753"/>
      <c r="B2752" s="753"/>
      <c r="C2752" s="752" t="s">
        <v>48098</v>
      </c>
      <c r="D2752" s="753" t="s">
        <v>48077</v>
      </c>
      <c r="E2752" s="752" t="s">
        <v>47761</v>
      </c>
      <c r="F2752" s="751">
        <v>3375</v>
      </c>
    </row>
    <row r="2753" spans="1:6">
      <c r="A2753" s="753"/>
      <c r="B2753" s="753"/>
      <c r="C2753" s="752" t="s">
        <v>48097</v>
      </c>
      <c r="D2753" s="753" t="s">
        <v>48089</v>
      </c>
      <c r="E2753" s="752" t="s">
        <v>48096</v>
      </c>
      <c r="F2753" s="751">
        <v>3725</v>
      </c>
    </row>
    <row r="2754" spans="1:6">
      <c r="A2754" s="753"/>
      <c r="B2754" s="753"/>
      <c r="C2754" s="752" t="s">
        <v>48095</v>
      </c>
      <c r="D2754" s="753" t="s">
        <v>48077</v>
      </c>
      <c r="E2754" s="752" t="s">
        <v>48094</v>
      </c>
      <c r="F2754" s="751">
        <v>3125</v>
      </c>
    </row>
    <row r="2755" spans="1:6">
      <c r="A2755" s="753"/>
      <c r="B2755" s="753"/>
      <c r="C2755" s="752" t="s">
        <v>48093</v>
      </c>
      <c r="D2755" s="753" t="s">
        <v>48089</v>
      </c>
      <c r="E2755" s="752" t="s">
        <v>48092</v>
      </c>
      <c r="F2755" s="751">
        <v>3375</v>
      </c>
    </row>
    <row r="2756" spans="1:6">
      <c r="A2756" s="753"/>
      <c r="B2756" s="753"/>
      <c r="C2756" s="752" t="s">
        <v>48091</v>
      </c>
      <c r="D2756" s="753" t="s">
        <v>48077</v>
      </c>
      <c r="E2756" s="752" t="s">
        <v>47755</v>
      </c>
      <c r="F2756" s="751">
        <v>3125</v>
      </c>
    </row>
    <row r="2757" spans="1:6">
      <c r="A2757" s="753"/>
      <c r="B2757" s="753"/>
      <c r="C2757" s="752" t="s">
        <v>48090</v>
      </c>
      <c r="D2757" s="753" t="s">
        <v>48089</v>
      </c>
      <c r="E2757" s="752" t="s">
        <v>47730</v>
      </c>
      <c r="F2757" s="751">
        <v>3375</v>
      </c>
    </row>
    <row r="2758" spans="1:6">
      <c r="A2758" s="753"/>
      <c r="B2758" s="753"/>
      <c r="C2758" s="752" t="s">
        <v>48088</v>
      </c>
      <c r="D2758" s="753" t="s">
        <v>48087</v>
      </c>
      <c r="E2758" s="752" t="s">
        <v>48084</v>
      </c>
      <c r="F2758" s="751">
        <v>2875</v>
      </c>
    </row>
    <row r="2759" spans="1:6">
      <c r="A2759" s="753"/>
      <c r="B2759" s="753"/>
      <c r="C2759" s="752" t="s">
        <v>48086</v>
      </c>
      <c r="D2759" s="753" t="s">
        <v>48085</v>
      </c>
      <c r="E2759" s="752" t="s">
        <v>48084</v>
      </c>
      <c r="F2759" s="751">
        <v>2875</v>
      </c>
    </row>
    <row r="2760" spans="1:6">
      <c r="A2760" s="753"/>
      <c r="B2760" s="753"/>
      <c r="C2760" s="752" t="s">
        <v>48083</v>
      </c>
      <c r="D2760" s="753" t="s">
        <v>48082</v>
      </c>
      <c r="E2760" s="752" t="s">
        <v>48081</v>
      </c>
      <c r="F2760" s="751">
        <v>3125</v>
      </c>
    </row>
    <row r="2761" spans="1:6">
      <c r="A2761" s="753"/>
      <c r="B2761" s="753"/>
      <c r="C2761" s="752" t="s">
        <v>48080</v>
      </c>
      <c r="D2761" s="753" t="s">
        <v>48077</v>
      </c>
      <c r="E2761" s="752" t="s">
        <v>48079</v>
      </c>
      <c r="F2761" s="751">
        <v>3125</v>
      </c>
    </row>
    <row r="2762" spans="1:6">
      <c r="A2762" s="753"/>
      <c r="B2762" s="753"/>
      <c r="C2762" s="752" t="s">
        <v>48078</v>
      </c>
      <c r="D2762" s="753" t="s">
        <v>48077</v>
      </c>
      <c r="E2762" s="752" t="s">
        <v>48076</v>
      </c>
      <c r="F2762" s="751">
        <v>3125</v>
      </c>
    </row>
    <row r="2763" spans="1:6">
      <c r="A2763" s="753"/>
      <c r="B2763" s="753"/>
      <c r="C2763" s="752" t="s">
        <v>48075</v>
      </c>
      <c r="D2763" s="753" t="s">
        <v>48074</v>
      </c>
      <c r="E2763" s="752" t="s">
        <v>48073</v>
      </c>
      <c r="F2763" s="751">
        <v>2875</v>
      </c>
    </row>
    <row r="2764" spans="1:6">
      <c r="A2764" s="753"/>
      <c r="B2764" s="753"/>
      <c r="C2764" s="752" t="s">
        <v>48072</v>
      </c>
      <c r="D2764" s="753" t="s">
        <v>48003</v>
      </c>
      <c r="E2764" s="752" t="s">
        <v>38010</v>
      </c>
      <c r="F2764" s="751">
        <v>4675</v>
      </c>
    </row>
    <row r="2765" spans="1:6">
      <c r="A2765" s="753"/>
      <c r="B2765" s="753"/>
      <c r="C2765" s="752" t="s">
        <v>48071</v>
      </c>
      <c r="D2765" s="753" t="s">
        <v>48003</v>
      </c>
      <c r="E2765" s="752" t="s">
        <v>38033</v>
      </c>
      <c r="F2765" s="751">
        <v>5675</v>
      </c>
    </row>
    <row r="2766" spans="1:6">
      <c r="A2766" s="753"/>
      <c r="B2766" s="753"/>
      <c r="C2766" s="752" t="s">
        <v>48070</v>
      </c>
      <c r="D2766" s="753" t="s">
        <v>48003</v>
      </c>
      <c r="E2766" s="752" t="s">
        <v>47657</v>
      </c>
      <c r="F2766" s="751">
        <v>4425</v>
      </c>
    </row>
    <row r="2767" spans="1:6">
      <c r="A2767" s="753"/>
      <c r="B2767" s="753"/>
      <c r="C2767" s="752" t="s">
        <v>48069</v>
      </c>
      <c r="D2767" s="753" t="s">
        <v>48003</v>
      </c>
      <c r="E2767" s="752" t="s">
        <v>47640</v>
      </c>
      <c r="F2767" s="751">
        <v>5325</v>
      </c>
    </row>
    <row r="2768" spans="1:6">
      <c r="A2768" s="753"/>
      <c r="B2768" s="753"/>
      <c r="C2768" s="752" t="s">
        <v>48068</v>
      </c>
      <c r="D2768" s="753" t="s">
        <v>48003</v>
      </c>
      <c r="E2768" s="752" t="s">
        <v>48067</v>
      </c>
      <c r="F2768" s="751">
        <v>3925</v>
      </c>
    </row>
    <row r="2769" spans="1:6">
      <c r="A2769" s="753"/>
      <c r="B2769" s="753"/>
      <c r="C2769" s="752" t="s">
        <v>48066</v>
      </c>
      <c r="D2769" s="753" t="s">
        <v>48003</v>
      </c>
      <c r="E2769" s="752" t="s">
        <v>48065</v>
      </c>
      <c r="F2769" s="751">
        <v>5325</v>
      </c>
    </row>
    <row r="2770" spans="1:6">
      <c r="A2770" s="753"/>
      <c r="B2770" s="753"/>
      <c r="C2770" s="752" t="s">
        <v>48064</v>
      </c>
      <c r="D2770" s="753" t="s">
        <v>48003</v>
      </c>
      <c r="E2770" s="752" t="s">
        <v>47678</v>
      </c>
      <c r="F2770" s="751">
        <v>4675</v>
      </c>
    </row>
    <row r="2771" spans="1:6">
      <c r="A2771" s="753"/>
      <c r="B2771" s="753"/>
      <c r="C2771" s="752" t="s">
        <v>48063</v>
      </c>
      <c r="D2771" s="753" t="s">
        <v>48003</v>
      </c>
      <c r="E2771" s="752" t="s">
        <v>47973</v>
      </c>
      <c r="F2771" s="751">
        <v>5675</v>
      </c>
    </row>
    <row r="2772" spans="1:6">
      <c r="A2772" s="753"/>
      <c r="B2772" s="753"/>
      <c r="C2772" s="752" t="s">
        <v>48062</v>
      </c>
      <c r="D2772" s="753" t="s">
        <v>48003</v>
      </c>
      <c r="E2772" s="752" t="s">
        <v>47634</v>
      </c>
      <c r="F2772" s="751">
        <v>4425</v>
      </c>
    </row>
    <row r="2773" spans="1:6">
      <c r="A2773" s="753"/>
      <c r="B2773" s="753"/>
      <c r="C2773" s="752" t="s">
        <v>48061</v>
      </c>
      <c r="D2773" s="753" t="s">
        <v>48003</v>
      </c>
      <c r="E2773" s="752" t="s">
        <v>47653</v>
      </c>
      <c r="F2773" s="751">
        <v>5325</v>
      </c>
    </row>
    <row r="2774" spans="1:6">
      <c r="A2774" s="753"/>
      <c r="B2774" s="753"/>
      <c r="C2774" s="752" t="s">
        <v>48060</v>
      </c>
      <c r="D2774" s="753" t="s">
        <v>48003</v>
      </c>
      <c r="E2774" s="752" t="s">
        <v>47719</v>
      </c>
      <c r="F2774" s="751">
        <v>5325</v>
      </c>
    </row>
    <row r="2775" spans="1:6">
      <c r="A2775" s="753"/>
      <c r="B2775" s="753"/>
      <c r="C2775" s="752" t="s">
        <v>48059</v>
      </c>
      <c r="D2775" s="753" t="s">
        <v>48058</v>
      </c>
      <c r="E2775" s="752" t="s">
        <v>47716</v>
      </c>
      <c r="F2775" s="751">
        <v>4125</v>
      </c>
    </row>
    <row r="2776" spans="1:6">
      <c r="A2776" s="753"/>
      <c r="B2776" s="753"/>
      <c r="C2776" s="752" t="s">
        <v>48057</v>
      </c>
      <c r="D2776" s="753" t="s">
        <v>48003</v>
      </c>
      <c r="E2776" s="752" t="s">
        <v>47803</v>
      </c>
      <c r="F2776" s="751">
        <v>5325</v>
      </c>
    </row>
    <row r="2777" spans="1:6">
      <c r="A2777" s="753"/>
      <c r="B2777" s="753"/>
      <c r="C2777" s="752" t="s">
        <v>48056</v>
      </c>
      <c r="D2777" s="753" t="s">
        <v>48003</v>
      </c>
      <c r="E2777" s="752" t="s">
        <v>47671</v>
      </c>
      <c r="F2777" s="751">
        <v>4175</v>
      </c>
    </row>
    <row r="2778" spans="1:6">
      <c r="A2778" s="753"/>
      <c r="B2778" s="753"/>
      <c r="C2778" s="752" t="s">
        <v>48055</v>
      </c>
      <c r="D2778" s="753" t="s">
        <v>48003</v>
      </c>
      <c r="E2778" s="752" t="s">
        <v>48054</v>
      </c>
      <c r="F2778" s="751">
        <v>3875</v>
      </c>
    </row>
    <row r="2779" spans="1:6">
      <c r="A2779" s="753"/>
      <c r="B2779" s="753"/>
      <c r="C2779" s="752" t="s">
        <v>48053</v>
      </c>
      <c r="D2779" s="753" t="s">
        <v>48003</v>
      </c>
      <c r="E2779" s="752" t="s">
        <v>47694</v>
      </c>
      <c r="F2779" s="751">
        <v>4975</v>
      </c>
    </row>
    <row r="2780" spans="1:6">
      <c r="A2780" s="753"/>
      <c r="B2780" s="753"/>
      <c r="C2780" s="752" t="s">
        <v>48052</v>
      </c>
      <c r="D2780" s="753" t="s">
        <v>48003</v>
      </c>
      <c r="E2780" s="752" t="s">
        <v>48051</v>
      </c>
      <c r="F2780" s="751">
        <v>3925</v>
      </c>
    </row>
    <row r="2781" spans="1:6">
      <c r="A2781" s="753"/>
      <c r="B2781" s="753"/>
      <c r="C2781" s="752" t="s">
        <v>48050</v>
      </c>
      <c r="D2781" s="753" t="s">
        <v>48020</v>
      </c>
      <c r="E2781" s="752" t="s">
        <v>47694</v>
      </c>
      <c r="F2781" s="751">
        <v>4625</v>
      </c>
    </row>
    <row r="2782" spans="1:6">
      <c r="A2782" s="753"/>
      <c r="B2782" s="753"/>
      <c r="C2782" s="752" t="s">
        <v>48049</v>
      </c>
      <c r="D2782" s="753" t="s">
        <v>48003</v>
      </c>
      <c r="E2782" s="752" t="s">
        <v>47668</v>
      </c>
      <c r="F2782" s="751">
        <v>3875</v>
      </c>
    </row>
    <row r="2783" spans="1:6">
      <c r="A2783" s="753"/>
      <c r="B2783" s="753"/>
      <c r="C2783" s="752" t="s">
        <v>48048</v>
      </c>
      <c r="D2783" s="753" t="s">
        <v>48003</v>
      </c>
      <c r="E2783" s="752" t="s">
        <v>48023</v>
      </c>
      <c r="F2783" s="751">
        <v>4975</v>
      </c>
    </row>
    <row r="2784" spans="1:6">
      <c r="A2784" s="753"/>
      <c r="B2784" s="753"/>
      <c r="C2784" s="752" t="s">
        <v>48047</v>
      </c>
      <c r="D2784" s="753" t="s">
        <v>48003</v>
      </c>
      <c r="E2784" s="752" t="s">
        <v>47832</v>
      </c>
      <c r="F2784" s="751">
        <v>3625</v>
      </c>
    </row>
    <row r="2785" spans="1:6">
      <c r="A2785" s="753"/>
      <c r="B2785" s="753"/>
      <c r="C2785" s="752" t="s">
        <v>48046</v>
      </c>
      <c r="D2785" s="753" t="s">
        <v>48003</v>
      </c>
      <c r="E2785" s="752" t="s">
        <v>47663</v>
      </c>
      <c r="F2785" s="751">
        <v>5325</v>
      </c>
    </row>
    <row r="2786" spans="1:6">
      <c r="A2786" s="753"/>
      <c r="B2786" s="753"/>
      <c r="C2786" s="752" t="s">
        <v>48045</v>
      </c>
      <c r="D2786" s="753" t="s">
        <v>48043</v>
      </c>
      <c r="E2786" s="752" t="s">
        <v>47973</v>
      </c>
      <c r="F2786" s="751">
        <v>5675</v>
      </c>
    </row>
    <row r="2787" spans="1:6">
      <c r="A2787" s="753"/>
      <c r="B2787" s="753"/>
      <c r="C2787" s="752" t="s">
        <v>48044</v>
      </c>
      <c r="D2787" s="753" t="s">
        <v>48043</v>
      </c>
      <c r="E2787" s="752" t="s">
        <v>47653</v>
      </c>
      <c r="F2787" s="751">
        <v>5325</v>
      </c>
    </row>
    <row r="2788" spans="1:6">
      <c r="A2788" s="753"/>
      <c r="B2788" s="753"/>
      <c r="C2788" s="752" t="s">
        <v>48042</v>
      </c>
      <c r="D2788" s="753" t="s">
        <v>48003</v>
      </c>
      <c r="E2788" s="752" t="s">
        <v>48041</v>
      </c>
      <c r="F2788" s="751">
        <v>4675</v>
      </c>
    </row>
    <row r="2789" spans="1:6">
      <c r="A2789" s="753"/>
      <c r="B2789" s="753"/>
      <c r="C2789" s="752" t="s">
        <v>48040</v>
      </c>
      <c r="D2789" s="753" t="s">
        <v>48003</v>
      </c>
      <c r="E2789" s="752" t="s">
        <v>47703</v>
      </c>
      <c r="F2789" s="751">
        <v>5675</v>
      </c>
    </row>
    <row r="2790" spans="1:6">
      <c r="A2790" s="753"/>
      <c r="B2790" s="753"/>
      <c r="C2790" s="752" t="s">
        <v>48039</v>
      </c>
      <c r="D2790" s="753" t="s">
        <v>48003</v>
      </c>
      <c r="E2790" s="752" t="s">
        <v>48038</v>
      </c>
      <c r="F2790" s="751">
        <v>5675</v>
      </c>
    </row>
    <row r="2791" spans="1:6">
      <c r="A2791" s="753"/>
      <c r="B2791" s="753"/>
      <c r="C2791" s="752" t="s">
        <v>48037</v>
      </c>
      <c r="D2791" s="753" t="s">
        <v>48003</v>
      </c>
      <c r="E2791" s="752" t="s">
        <v>47657</v>
      </c>
      <c r="F2791" s="751">
        <v>4425</v>
      </c>
    </row>
    <row r="2792" spans="1:6">
      <c r="A2792" s="753"/>
      <c r="B2792" s="753"/>
      <c r="C2792" s="752" t="s">
        <v>48036</v>
      </c>
      <c r="D2792" s="753" t="s">
        <v>48003</v>
      </c>
      <c r="E2792" s="752" t="s">
        <v>47634</v>
      </c>
      <c r="F2792" s="751">
        <v>4425</v>
      </c>
    </row>
    <row r="2793" spans="1:6">
      <c r="A2793" s="753"/>
      <c r="B2793" s="753"/>
      <c r="C2793" s="752" t="s">
        <v>48035</v>
      </c>
      <c r="D2793" s="753" t="s">
        <v>48003</v>
      </c>
      <c r="E2793" s="752" t="s">
        <v>48034</v>
      </c>
      <c r="F2793" s="751">
        <v>6615</v>
      </c>
    </row>
    <row r="2794" spans="1:6">
      <c r="A2794" s="753"/>
      <c r="B2794" s="753"/>
      <c r="C2794" s="752" t="s">
        <v>48033</v>
      </c>
      <c r="D2794" s="753" t="s">
        <v>48003</v>
      </c>
      <c r="E2794" s="752" t="s">
        <v>47653</v>
      </c>
      <c r="F2794" s="751">
        <v>5675</v>
      </c>
    </row>
    <row r="2795" spans="1:6">
      <c r="A2795" s="753"/>
      <c r="B2795" s="753"/>
      <c r="C2795" s="752" t="s">
        <v>48032</v>
      </c>
      <c r="D2795" s="753" t="s">
        <v>48003</v>
      </c>
      <c r="E2795" s="752" t="s">
        <v>47624</v>
      </c>
      <c r="F2795" s="751">
        <v>5325</v>
      </c>
    </row>
    <row r="2796" spans="1:6">
      <c r="A2796" s="753"/>
      <c r="B2796" s="753"/>
      <c r="C2796" s="752" t="s">
        <v>48031</v>
      </c>
      <c r="D2796" s="753" t="s">
        <v>48003</v>
      </c>
      <c r="E2796" s="752" t="s">
        <v>47649</v>
      </c>
      <c r="F2796" s="751">
        <v>4175</v>
      </c>
    </row>
    <row r="2797" spans="1:6">
      <c r="A2797" s="753"/>
      <c r="B2797" s="753"/>
      <c r="C2797" s="752" t="s">
        <v>48030</v>
      </c>
      <c r="D2797" s="753" t="s">
        <v>48003</v>
      </c>
      <c r="E2797" s="752" t="s">
        <v>47694</v>
      </c>
      <c r="F2797" s="751">
        <v>4975</v>
      </c>
    </row>
    <row r="2798" spans="1:6">
      <c r="A2798" s="753"/>
      <c r="B2798" s="753"/>
      <c r="C2798" s="752" t="s">
        <v>48029</v>
      </c>
      <c r="D2798" s="753" t="s">
        <v>48003</v>
      </c>
      <c r="E2798" s="752" t="s">
        <v>48028</v>
      </c>
      <c r="F2798" s="751">
        <v>3925</v>
      </c>
    </row>
    <row r="2799" spans="1:6">
      <c r="A2799" s="753"/>
      <c r="B2799" s="753"/>
      <c r="C2799" s="752" t="s">
        <v>48027</v>
      </c>
      <c r="D2799" s="753" t="s">
        <v>48003</v>
      </c>
      <c r="E2799" s="752" t="s">
        <v>48026</v>
      </c>
      <c r="F2799" s="751">
        <v>4625</v>
      </c>
    </row>
    <row r="2800" spans="1:6">
      <c r="A2800" s="753"/>
      <c r="B2800" s="753"/>
      <c r="C2800" s="752" t="s">
        <v>48025</v>
      </c>
      <c r="D2800" s="753" t="s">
        <v>48003</v>
      </c>
      <c r="E2800" s="752" t="s">
        <v>47668</v>
      </c>
      <c r="F2800" s="751">
        <v>3875</v>
      </c>
    </row>
    <row r="2801" spans="1:6">
      <c r="A2801" s="753"/>
      <c r="B2801" s="753"/>
      <c r="C2801" s="752" t="s">
        <v>48024</v>
      </c>
      <c r="D2801" s="753" t="s">
        <v>48003</v>
      </c>
      <c r="E2801" s="752" t="s">
        <v>48023</v>
      </c>
      <c r="F2801" s="751">
        <v>4975</v>
      </c>
    </row>
    <row r="2802" spans="1:6">
      <c r="A2802" s="753"/>
      <c r="B2802" s="753"/>
      <c r="C2802" s="752" t="s">
        <v>48022</v>
      </c>
      <c r="D2802" s="753" t="s">
        <v>48003</v>
      </c>
      <c r="E2802" s="752" t="s">
        <v>47832</v>
      </c>
      <c r="F2802" s="751">
        <v>3625</v>
      </c>
    </row>
    <row r="2803" spans="1:6">
      <c r="A2803" s="753"/>
      <c r="B2803" s="753"/>
      <c r="C2803" s="752" t="s">
        <v>48021</v>
      </c>
      <c r="D2803" s="753" t="s">
        <v>48020</v>
      </c>
      <c r="E2803" s="752" t="s">
        <v>48019</v>
      </c>
      <c r="F2803" s="751">
        <v>4025</v>
      </c>
    </row>
    <row r="2804" spans="1:6">
      <c r="A2804" s="753"/>
      <c r="B2804" s="753"/>
      <c r="C2804" s="752" t="s">
        <v>48018</v>
      </c>
      <c r="D2804" s="753" t="s">
        <v>48003</v>
      </c>
      <c r="E2804" s="752" t="s">
        <v>47640</v>
      </c>
      <c r="F2804" s="751">
        <v>5325</v>
      </c>
    </row>
    <row r="2805" spans="1:6">
      <c r="A2805" s="753"/>
      <c r="B2805" s="753"/>
      <c r="C2805" s="752" t="s">
        <v>48017</v>
      </c>
      <c r="D2805" s="753" t="s">
        <v>48003</v>
      </c>
      <c r="E2805" s="752" t="s">
        <v>48016</v>
      </c>
      <c r="F2805" s="751">
        <v>3925</v>
      </c>
    </row>
    <row r="2806" spans="1:6">
      <c r="A2806" s="753"/>
      <c r="B2806" s="753"/>
      <c r="C2806" s="752" t="s">
        <v>48015</v>
      </c>
      <c r="D2806" s="753" t="s">
        <v>48003</v>
      </c>
      <c r="E2806" s="752" t="s">
        <v>48014</v>
      </c>
      <c r="F2806" s="751">
        <v>4625</v>
      </c>
    </row>
    <row r="2807" spans="1:6">
      <c r="A2807" s="753"/>
      <c r="B2807" s="753"/>
      <c r="C2807" s="752" t="s">
        <v>48013</v>
      </c>
      <c r="D2807" s="753" t="s">
        <v>48012</v>
      </c>
      <c r="E2807" s="752" t="s">
        <v>48011</v>
      </c>
      <c r="F2807" s="751">
        <v>4225</v>
      </c>
    </row>
    <row r="2808" spans="1:6">
      <c r="A2808" s="753"/>
      <c r="B2808" s="753"/>
      <c r="C2808" s="752" t="s">
        <v>48010</v>
      </c>
      <c r="D2808" s="753" t="s">
        <v>48003</v>
      </c>
      <c r="E2808" s="752" t="s">
        <v>38010</v>
      </c>
      <c r="F2808" s="751">
        <v>4675</v>
      </c>
    </row>
    <row r="2809" spans="1:6">
      <c r="A2809" s="753"/>
      <c r="B2809" s="753"/>
      <c r="C2809" s="752" t="s">
        <v>48009</v>
      </c>
      <c r="D2809" s="753" t="s">
        <v>48003</v>
      </c>
      <c r="E2809" s="752" t="s">
        <v>47678</v>
      </c>
      <c r="F2809" s="751">
        <v>4675</v>
      </c>
    </row>
    <row r="2810" spans="1:6">
      <c r="A2810" s="753"/>
      <c r="B2810" s="753"/>
      <c r="C2810" s="752" t="s">
        <v>48008</v>
      </c>
      <c r="D2810" s="753" t="s">
        <v>48003</v>
      </c>
      <c r="E2810" s="752" t="s">
        <v>47703</v>
      </c>
      <c r="F2810" s="751">
        <v>5675</v>
      </c>
    </row>
    <row r="2811" spans="1:6">
      <c r="A2811" s="753"/>
      <c r="B2811" s="753"/>
      <c r="C2811" s="752" t="s">
        <v>48007</v>
      </c>
      <c r="D2811" s="753" t="s">
        <v>48003</v>
      </c>
      <c r="E2811" s="752" t="s">
        <v>38033</v>
      </c>
      <c r="F2811" s="751">
        <v>5675</v>
      </c>
    </row>
    <row r="2812" spans="1:6">
      <c r="A2812" s="753"/>
      <c r="B2812" s="753"/>
      <c r="C2812" s="752" t="s">
        <v>48006</v>
      </c>
      <c r="D2812" s="753" t="s">
        <v>48003</v>
      </c>
      <c r="E2812" s="752" t="s">
        <v>38019</v>
      </c>
      <c r="F2812" s="751">
        <v>4425</v>
      </c>
    </row>
    <row r="2813" spans="1:6">
      <c r="A2813" s="753"/>
      <c r="B2813" s="753"/>
      <c r="C2813" s="752" t="s">
        <v>48005</v>
      </c>
      <c r="D2813" s="753" t="s">
        <v>48003</v>
      </c>
      <c r="E2813" s="752" t="s">
        <v>47674</v>
      </c>
      <c r="F2813" s="751">
        <v>4425</v>
      </c>
    </row>
    <row r="2814" spans="1:6">
      <c r="A2814" s="753"/>
      <c r="B2814" s="753"/>
      <c r="C2814" s="752" t="s">
        <v>48004</v>
      </c>
      <c r="D2814" s="753" t="s">
        <v>48003</v>
      </c>
      <c r="E2814" s="752" t="s">
        <v>38002</v>
      </c>
      <c r="F2814" s="751">
        <v>5325</v>
      </c>
    </row>
    <row r="2815" spans="1:6">
      <c r="A2815" s="753"/>
      <c r="B2815" s="753"/>
      <c r="C2815" s="752" t="s">
        <v>48002</v>
      </c>
      <c r="D2815" s="753" t="s">
        <v>47946</v>
      </c>
      <c r="E2815" s="752" t="s">
        <v>38010</v>
      </c>
      <c r="F2815" s="751">
        <v>4675</v>
      </c>
    </row>
    <row r="2816" spans="1:6">
      <c r="A2816" s="753"/>
      <c r="B2816" s="753"/>
      <c r="C2816" s="752" t="s">
        <v>48001</v>
      </c>
      <c r="D2816" s="753" t="s">
        <v>47791</v>
      </c>
      <c r="E2816" s="752" t="s">
        <v>38033</v>
      </c>
      <c r="F2816" s="751">
        <v>5675</v>
      </c>
    </row>
    <row r="2817" spans="1:6">
      <c r="A2817" s="753"/>
      <c r="B2817" s="753"/>
      <c r="C2817" s="752" t="s">
        <v>48000</v>
      </c>
      <c r="D2817" s="753" t="s">
        <v>47949</v>
      </c>
      <c r="E2817" s="752" t="s">
        <v>47657</v>
      </c>
      <c r="F2817" s="751">
        <v>4425</v>
      </c>
    </row>
    <row r="2818" spans="1:6">
      <c r="A2818" s="753"/>
      <c r="B2818" s="753"/>
      <c r="C2818" s="752" t="s">
        <v>47999</v>
      </c>
      <c r="D2818" s="753" t="s">
        <v>47949</v>
      </c>
      <c r="E2818" s="752" t="s">
        <v>47640</v>
      </c>
      <c r="F2818" s="751">
        <v>5325</v>
      </c>
    </row>
    <row r="2819" spans="1:6">
      <c r="A2819" s="753"/>
      <c r="B2819" s="753"/>
      <c r="C2819" s="752" t="s">
        <v>47998</v>
      </c>
      <c r="D2819" s="753" t="s">
        <v>47997</v>
      </c>
      <c r="E2819" s="752" t="s">
        <v>47681</v>
      </c>
      <c r="F2819" s="751">
        <v>4975</v>
      </c>
    </row>
    <row r="2820" spans="1:6">
      <c r="A2820" s="753"/>
      <c r="B2820" s="753"/>
      <c r="C2820" s="752" t="s">
        <v>47996</v>
      </c>
      <c r="D2820" s="753" t="s">
        <v>47949</v>
      </c>
      <c r="E2820" s="752" t="s">
        <v>47678</v>
      </c>
      <c r="F2820" s="751">
        <v>4675</v>
      </c>
    </row>
    <row r="2821" spans="1:6">
      <c r="A2821" s="753"/>
      <c r="B2821" s="753"/>
      <c r="C2821" s="752" t="s">
        <v>47995</v>
      </c>
      <c r="D2821" s="753" t="s">
        <v>47791</v>
      </c>
      <c r="E2821" s="752" t="s">
        <v>47973</v>
      </c>
      <c r="F2821" s="751">
        <v>5675</v>
      </c>
    </row>
    <row r="2822" spans="1:6">
      <c r="A2822" s="753"/>
      <c r="B2822" s="753"/>
      <c r="C2822" s="752" t="s">
        <v>47994</v>
      </c>
      <c r="D2822" s="753" t="s">
        <v>47949</v>
      </c>
      <c r="E2822" s="752" t="s">
        <v>47634</v>
      </c>
      <c r="F2822" s="751">
        <v>4425</v>
      </c>
    </row>
    <row r="2823" spans="1:6">
      <c r="A2823" s="753"/>
      <c r="B2823" s="753"/>
      <c r="C2823" s="752" t="s">
        <v>47993</v>
      </c>
      <c r="D2823" s="753" t="s">
        <v>47992</v>
      </c>
      <c r="E2823" s="752" t="s">
        <v>47653</v>
      </c>
      <c r="F2823" s="751">
        <v>5325</v>
      </c>
    </row>
    <row r="2824" spans="1:6">
      <c r="A2824" s="753"/>
      <c r="B2824" s="753"/>
      <c r="C2824" s="752" t="s">
        <v>47991</v>
      </c>
      <c r="D2824" s="753" t="s">
        <v>47949</v>
      </c>
      <c r="E2824" s="752" t="s">
        <v>47990</v>
      </c>
      <c r="F2824" s="751">
        <v>5185</v>
      </c>
    </row>
    <row r="2825" spans="1:6">
      <c r="A2825" s="753"/>
      <c r="B2825" s="753"/>
      <c r="C2825" s="752" t="s">
        <v>47989</v>
      </c>
      <c r="D2825" s="753" t="s">
        <v>47949</v>
      </c>
      <c r="E2825" s="752" t="s">
        <v>47653</v>
      </c>
      <c r="F2825" s="751">
        <v>5325</v>
      </c>
    </row>
    <row r="2826" spans="1:6">
      <c r="A2826" s="753"/>
      <c r="B2826" s="753"/>
      <c r="C2826" s="752" t="s">
        <v>47988</v>
      </c>
      <c r="D2826" s="753" t="s">
        <v>47791</v>
      </c>
      <c r="E2826" s="752" t="s">
        <v>47987</v>
      </c>
      <c r="F2826" s="751">
        <v>4125</v>
      </c>
    </row>
    <row r="2827" spans="1:6">
      <c r="A2827" s="753"/>
      <c r="B2827" s="753"/>
      <c r="C2827" s="752" t="s">
        <v>47986</v>
      </c>
      <c r="D2827" s="753" t="s">
        <v>47791</v>
      </c>
      <c r="E2827" s="752" t="s">
        <v>47803</v>
      </c>
      <c r="F2827" s="751">
        <v>5325</v>
      </c>
    </row>
    <row r="2828" spans="1:6">
      <c r="A2828" s="753"/>
      <c r="B2828" s="753"/>
      <c r="C2828" s="752" t="s">
        <v>47985</v>
      </c>
      <c r="D2828" s="753" t="s">
        <v>47949</v>
      </c>
      <c r="E2828" s="752" t="s">
        <v>47671</v>
      </c>
      <c r="F2828" s="751">
        <v>4175</v>
      </c>
    </row>
    <row r="2829" spans="1:6">
      <c r="A2829" s="753"/>
      <c r="B2829" s="753"/>
      <c r="C2829" s="752" t="s">
        <v>47984</v>
      </c>
      <c r="D2829" s="753" t="s">
        <v>47949</v>
      </c>
      <c r="E2829" s="752" t="s">
        <v>47983</v>
      </c>
      <c r="F2829" s="751">
        <v>5735</v>
      </c>
    </row>
    <row r="2830" spans="1:6">
      <c r="A2830" s="753"/>
      <c r="B2830" s="753"/>
      <c r="C2830" s="752" t="s">
        <v>47982</v>
      </c>
      <c r="D2830" s="753" t="s">
        <v>47791</v>
      </c>
      <c r="E2830" s="752" t="s">
        <v>47694</v>
      </c>
      <c r="F2830" s="751">
        <v>4975</v>
      </c>
    </row>
    <row r="2831" spans="1:6">
      <c r="A2831" s="753"/>
      <c r="B2831" s="753"/>
      <c r="C2831" s="752" t="s">
        <v>47981</v>
      </c>
      <c r="D2831" s="753" t="s">
        <v>47949</v>
      </c>
      <c r="E2831" s="752" t="s">
        <v>47980</v>
      </c>
      <c r="F2831" s="751">
        <v>3925</v>
      </c>
    </row>
    <row r="2832" spans="1:6">
      <c r="A2832" s="753"/>
      <c r="B2832" s="753"/>
      <c r="C2832" s="752" t="s">
        <v>47979</v>
      </c>
      <c r="D2832" s="753" t="s">
        <v>47949</v>
      </c>
      <c r="E2832" s="752" t="s">
        <v>47978</v>
      </c>
      <c r="F2832" s="751">
        <v>3875</v>
      </c>
    </row>
    <row r="2833" spans="1:6">
      <c r="A2833" s="753"/>
      <c r="B2833" s="753"/>
      <c r="C2833" s="752" t="s">
        <v>47977</v>
      </c>
      <c r="D2833" s="753" t="s">
        <v>47949</v>
      </c>
      <c r="E2833" s="752" t="s">
        <v>47976</v>
      </c>
      <c r="F2833" s="751">
        <v>4975</v>
      </c>
    </row>
    <row r="2834" spans="1:6">
      <c r="A2834" s="753"/>
      <c r="B2834" s="753"/>
      <c r="C2834" s="752" t="s">
        <v>47975</v>
      </c>
      <c r="D2834" s="753" t="s">
        <v>47974</v>
      </c>
      <c r="E2834" s="752" t="s">
        <v>47973</v>
      </c>
      <c r="F2834" s="751">
        <v>5675</v>
      </c>
    </row>
    <row r="2835" spans="1:6">
      <c r="A2835" s="753"/>
      <c r="B2835" s="753"/>
      <c r="C2835" s="752" t="s">
        <v>47972</v>
      </c>
      <c r="D2835" s="753" t="s">
        <v>47971</v>
      </c>
      <c r="E2835" s="752" t="s">
        <v>47653</v>
      </c>
      <c r="F2835" s="751">
        <v>5325</v>
      </c>
    </row>
    <row r="2836" spans="1:6">
      <c r="A2836" s="753"/>
      <c r="B2836" s="753"/>
      <c r="C2836" s="752" t="s">
        <v>47970</v>
      </c>
      <c r="D2836" s="753" t="s">
        <v>47949</v>
      </c>
      <c r="E2836" s="752" t="s">
        <v>47678</v>
      </c>
      <c r="F2836" s="751">
        <v>4675</v>
      </c>
    </row>
    <row r="2837" spans="1:6">
      <c r="A2837" s="753"/>
      <c r="B2837" s="753"/>
      <c r="C2837" s="752" t="s">
        <v>47969</v>
      </c>
      <c r="D2837" s="753" t="s">
        <v>47968</v>
      </c>
      <c r="E2837" s="752" t="s">
        <v>47676</v>
      </c>
      <c r="F2837" s="751">
        <v>5675</v>
      </c>
    </row>
    <row r="2838" spans="1:6">
      <c r="A2838" s="753"/>
      <c r="B2838" s="753"/>
      <c r="C2838" s="752" t="s">
        <v>47967</v>
      </c>
      <c r="D2838" s="753" t="s">
        <v>47946</v>
      </c>
      <c r="E2838" s="752" t="s">
        <v>47657</v>
      </c>
      <c r="F2838" s="751">
        <v>4425</v>
      </c>
    </row>
    <row r="2839" spans="1:6">
      <c r="A2839" s="753"/>
      <c r="B2839" s="753"/>
      <c r="C2839" s="752" t="s">
        <v>47966</v>
      </c>
      <c r="D2839" s="753" t="s">
        <v>47949</v>
      </c>
      <c r="E2839" s="752" t="s">
        <v>47965</v>
      </c>
      <c r="F2839" s="751">
        <v>4425</v>
      </c>
    </row>
    <row r="2840" spans="1:6">
      <c r="A2840" s="753"/>
      <c r="B2840" s="753"/>
      <c r="C2840" s="752" t="s">
        <v>47964</v>
      </c>
      <c r="D2840" s="753" t="s">
        <v>47949</v>
      </c>
      <c r="E2840" s="752" t="s">
        <v>47653</v>
      </c>
      <c r="F2840" s="751">
        <v>6615</v>
      </c>
    </row>
    <row r="2841" spans="1:6">
      <c r="A2841" s="753"/>
      <c r="B2841" s="753"/>
      <c r="C2841" s="752" t="s">
        <v>47963</v>
      </c>
      <c r="D2841" s="753" t="s">
        <v>47949</v>
      </c>
      <c r="E2841" s="752" t="s">
        <v>47653</v>
      </c>
      <c r="F2841" s="751">
        <v>5325</v>
      </c>
    </row>
    <row r="2842" spans="1:6">
      <c r="A2842" s="753"/>
      <c r="B2842" s="753"/>
      <c r="C2842" s="752" t="s">
        <v>47962</v>
      </c>
      <c r="D2842" s="753" t="s">
        <v>47949</v>
      </c>
      <c r="E2842" s="752" t="s">
        <v>47649</v>
      </c>
      <c r="F2842" s="751">
        <v>4175</v>
      </c>
    </row>
    <row r="2843" spans="1:6">
      <c r="A2843" s="753"/>
      <c r="B2843" s="753"/>
      <c r="C2843" s="752" t="s">
        <v>47961</v>
      </c>
      <c r="D2843" s="753" t="s">
        <v>47949</v>
      </c>
      <c r="E2843" s="752" t="s">
        <v>47694</v>
      </c>
      <c r="F2843" s="751">
        <v>4975</v>
      </c>
    </row>
    <row r="2844" spans="1:6">
      <c r="A2844" s="753"/>
      <c r="B2844" s="753"/>
      <c r="C2844" s="752" t="s">
        <v>47960</v>
      </c>
      <c r="D2844" s="753" t="s">
        <v>47949</v>
      </c>
      <c r="E2844" s="752" t="s">
        <v>47959</v>
      </c>
      <c r="F2844" s="751">
        <v>3925</v>
      </c>
    </row>
    <row r="2845" spans="1:6">
      <c r="A2845" s="753"/>
      <c r="B2845" s="753"/>
      <c r="C2845" s="752" t="s">
        <v>47958</v>
      </c>
      <c r="D2845" s="753" t="s">
        <v>47949</v>
      </c>
      <c r="E2845" s="752" t="s">
        <v>47957</v>
      </c>
      <c r="F2845" s="751">
        <v>4625</v>
      </c>
    </row>
    <row r="2846" spans="1:6">
      <c r="A2846" s="753"/>
      <c r="B2846" s="753"/>
      <c r="C2846" s="752" t="s">
        <v>47956</v>
      </c>
      <c r="D2846" s="753" t="s">
        <v>47949</v>
      </c>
      <c r="E2846" s="752" t="s">
        <v>47668</v>
      </c>
      <c r="F2846" s="751">
        <v>3875</v>
      </c>
    </row>
    <row r="2847" spans="1:6">
      <c r="A2847" s="753"/>
      <c r="B2847" s="753"/>
      <c r="C2847" s="752" t="s">
        <v>47955</v>
      </c>
      <c r="D2847" s="753" t="s">
        <v>47946</v>
      </c>
      <c r="E2847" s="752" t="s">
        <v>47687</v>
      </c>
      <c r="F2847" s="751">
        <v>4375</v>
      </c>
    </row>
    <row r="2848" spans="1:6">
      <c r="A2848" s="753"/>
      <c r="B2848" s="753"/>
      <c r="C2848" s="752" t="s">
        <v>47954</v>
      </c>
      <c r="D2848" s="753" t="s">
        <v>47946</v>
      </c>
      <c r="E2848" s="752" t="s">
        <v>47640</v>
      </c>
      <c r="F2848" s="751">
        <v>5325</v>
      </c>
    </row>
    <row r="2849" spans="1:6">
      <c r="A2849" s="753"/>
      <c r="B2849" s="753"/>
      <c r="C2849" s="752" t="s">
        <v>47953</v>
      </c>
      <c r="D2849" s="753" t="s">
        <v>47946</v>
      </c>
      <c r="E2849" s="752" t="s">
        <v>38010</v>
      </c>
      <c r="F2849" s="751">
        <v>4675</v>
      </c>
    </row>
    <row r="2850" spans="1:6">
      <c r="A2850" s="753"/>
      <c r="B2850" s="753"/>
      <c r="C2850" s="752" t="s">
        <v>47952</v>
      </c>
      <c r="D2850" s="753" t="s">
        <v>47946</v>
      </c>
      <c r="E2850" s="752" t="s">
        <v>43384</v>
      </c>
      <c r="F2850" s="751">
        <v>5675</v>
      </c>
    </row>
    <row r="2851" spans="1:6">
      <c r="A2851" s="753"/>
      <c r="B2851" s="753"/>
      <c r="C2851" s="752" t="s">
        <v>47951</v>
      </c>
      <c r="D2851" s="753" t="s">
        <v>47946</v>
      </c>
      <c r="E2851" s="752" t="s">
        <v>38010</v>
      </c>
      <c r="F2851" s="751">
        <v>4675</v>
      </c>
    </row>
    <row r="2852" spans="1:6">
      <c r="A2852" s="753"/>
      <c r="B2852" s="753"/>
      <c r="C2852" s="752" t="s">
        <v>47950</v>
      </c>
      <c r="D2852" s="753" t="s">
        <v>47949</v>
      </c>
      <c r="E2852" s="752" t="s">
        <v>38033</v>
      </c>
      <c r="F2852" s="751">
        <v>5675</v>
      </c>
    </row>
    <row r="2853" spans="1:6">
      <c r="A2853" s="753"/>
      <c r="B2853" s="753"/>
      <c r="C2853" s="752" t="s">
        <v>47948</v>
      </c>
      <c r="D2853" s="753" t="s">
        <v>47946</v>
      </c>
      <c r="E2853" s="752" t="s">
        <v>38019</v>
      </c>
      <c r="F2853" s="751">
        <v>4425</v>
      </c>
    </row>
    <row r="2854" spans="1:6">
      <c r="A2854" s="753"/>
      <c r="B2854" s="753"/>
      <c r="C2854" s="752" t="s">
        <v>47947</v>
      </c>
      <c r="D2854" s="753" t="s">
        <v>47946</v>
      </c>
      <c r="E2854" s="752" t="s">
        <v>38002</v>
      </c>
      <c r="F2854" s="751">
        <v>5325</v>
      </c>
    </row>
    <row r="2855" spans="1:6">
      <c r="A2855" s="753"/>
      <c r="B2855" s="753"/>
      <c r="C2855" s="752" t="s">
        <v>47945</v>
      </c>
      <c r="D2855" s="753" t="s">
        <v>47877</v>
      </c>
      <c r="E2855" s="752" t="s">
        <v>47944</v>
      </c>
      <c r="F2855" s="751">
        <v>3425</v>
      </c>
    </row>
    <row r="2856" spans="1:6">
      <c r="A2856" s="753"/>
      <c r="B2856" s="753"/>
      <c r="C2856" s="752" t="s">
        <v>47943</v>
      </c>
      <c r="D2856" s="753" t="s">
        <v>47877</v>
      </c>
      <c r="E2856" s="752" t="s">
        <v>47906</v>
      </c>
      <c r="F2856" s="751">
        <v>3775</v>
      </c>
    </row>
    <row r="2857" spans="1:6">
      <c r="A2857" s="753"/>
      <c r="B2857" s="753"/>
      <c r="C2857" s="752" t="s">
        <v>47942</v>
      </c>
      <c r="D2857" s="753" t="s">
        <v>47877</v>
      </c>
      <c r="E2857" s="752" t="s">
        <v>47941</v>
      </c>
      <c r="F2857" s="751">
        <v>3425</v>
      </c>
    </row>
    <row r="2858" spans="1:6">
      <c r="A2858" s="753"/>
      <c r="B2858" s="753"/>
      <c r="C2858" s="752" t="s">
        <v>47940</v>
      </c>
      <c r="D2858" s="753" t="s">
        <v>47877</v>
      </c>
      <c r="E2858" s="752" t="s">
        <v>44652</v>
      </c>
      <c r="F2858" s="751">
        <v>3775</v>
      </c>
    </row>
    <row r="2859" spans="1:6">
      <c r="A2859" s="753"/>
      <c r="B2859" s="753"/>
      <c r="C2859" s="752" t="s">
        <v>47939</v>
      </c>
      <c r="D2859" s="753" t="s">
        <v>47877</v>
      </c>
      <c r="E2859" s="752" t="s">
        <v>47774</v>
      </c>
      <c r="F2859" s="751">
        <v>3175</v>
      </c>
    </row>
    <row r="2860" spans="1:6">
      <c r="A2860" s="753"/>
      <c r="B2860" s="753"/>
      <c r="C2860" s="752" t="s">
        <v>47938</v>
      </c>
      <c r="D2860" s="753" t="s">
        <v>47877</v>
      </c>
      <c r="E2860" s="752" t="s">
        <v>47764</v>
      </c>
      <c r="F2860" s="751">
        <v>3525</v>
      </c>
    </row>
    <row r="2861" spans="1:6">
      <c r="A2861" s="753"/>
      <c r="B2861" s="753"/>
      <c r="C2861" s="752" t="s">
        <v>47937</v>
      </c>
      <c r="D2861" s="753" t="s">
        <v>47877</v>
      </c>
      <c r="E2861" s="752" t="s">
        <v>47936</v>
      </c>
      <c r="F2861" s="751">
        <v>3175</v>
      </c>
    </row>
    <row r="2862" spans="1:6">
      <c r="A2862" s="753"/>
      <c r="B2862" s="753"/>
      <c r="C2862" s="752" t="s">
        <v>47935</v>
      </c>
      <c r="D2862" s="753" t="s">
        <v>47877</v>
      </c>
      <c r="E2862" s="752" t="s">
        <v>47759</v>
      </c>
      <c r="F2862" s="751">
        <v>3525</v>
      </c>
    </row>
    <row r="2863" spans="1:6">
      <c r="A2863" s="753"/>
      <c r="B2863" s="753"/>
      <c r="C2863" s="752" t="s">
        <v>47934</v>
      </c>
      <c r="D2863" s="753" t="s">
        <v>47893</v>
      </c>
      <c r="E2863" s="752" t="s">
        <v>47933</v>
      </c>
      <c r="F2863" s="751">
        <v>3425</v>
      </c>
    </row>
    <row r="2864" spans="1:6">
      <c r="A2864" s="753"/>
      <c r="B2864" s="753"/>
      <c r="C2864" s="752" t="s">
        <v>47932</v>
      </c>
      <c r="D2864" s="753" t="s">
        <v>47929</v>
      </c>
      <c r="E2864" s="752" t="s">
        <v>47906</v>
      </c>
      <c r="F2864" s="751">
        <v>3775</v>
      </c>
    </row>
    <row r="2865" spans="1:6">
      <c r="A2865" s="753"/>
      <c r="B2865" s="753"/>
      <c r="C2865" s="752" t="s">
        <v>47931</v>
      </c>
      <c r="D2865" s="753" t="s">
        <v>47893</v>
      </c>
      <c r="E2865" s="752" t="s">
        <v>47769</v>
      </c>
      <c r="F2865" s="751">
        <v>3425</v>
      </c>
    </row>
    <row r="2866" spans="1:6">
      <c r="A2866" s="753"/>
      <c r="B2866" s="753"/>
      <c r="C2866" s="752" t="s">
        <v>47930</v>
      </c>
      <c r="D2866" s="753" t="s">
        <v>47929</v>
      </c>
      <c r="E2866" s="752" t="s">
        <v>47928</v>
      </c>
      <c r="F2866" s="751">
        <v>3775</v>
      </c>
    </row>
    <row r="2867" spans="1:6">
      <c r="A2867" s="753"/>
      <c r="B2867" s="753"/>
      <c r="C2867" s="752" t="s">
        <v>47927</v>
      </c>
      <c r="D2867" s="753" t="s">
        <v>47890</v>
      </c>
      <c r="E2867" s="752" t="s">
        <v>47926</v>
      </c>
      <c r="F2867" s="751">
        <v>3175</v>
      </c>
    </row>
    <row r="2868" spans="1:6">
      <c r="A2868" s="753"/>
      <c r="B2868" s="753"/>
      <c r="C2868" s="752" t="s">
        <v>47925</v>
      </c>
      <c r="D2868" s="753" t="s">
        <v>47877</v>
      </c>
      <c r="E2868" s="752" t="s">
        <v>47764</v>
      </c>
      <c r="F2868" s="751">
        <v>3525</v>
      </c>
    </row>
    <row r="2869" spans="1:6">
      <c r="A2869" s="753"/>
      <c r="B2869" s="753"/>
      <c r="C2869" s="752" t="s">
        <v>47924</v>
      </c>
      <c r="D2869" s="753" t="s">
        <v>47890</v>
      </c>
      <c r="E2869" s="752" t="s">
        <v>47761</v>
      </c>
      <c r="F2869" s="751">
        <v>3175</v>
      </c>
    </row>
    <row r="2870" spans="1:6">
      <c r="A2870" s="753"/>
      <c r="B2870" s="753"/>
      <c r="C2870" s="752" t="s">
        <v>47923</v>
      </c>
      <c r="D2870" s="753" t="s">
        <v>47877</v>
      </c>
      <c r="E2870" s="752" t="s">
        <v>47759</v>
      </c>
      <c r="F2870" s="751">
        <v>3525</v>
      </c>
    </row>
    <row r="2871" spans="1:6">
      <c r="A2871" s="753"/>
      <c r="B2871" s="753"/>
      <c r="C2871" s="752" t="s">
        <v>47922</v>
      </c>
      <c r="D2871" s="753" t="s">
        <v>47877</v>
      </c>
      <c r="E2871" s="752" t="s">
        <v>47921</v>
      </c>
      <c r="F2871" s="751">
        <v>3525</v>
      </c>
    </row>
    <row r="2872" spans="1:6">
      <c r="A2872" s="753"/>
      <c r="B2872" s="753"/>
      <c r="C2872" s="752" t="s">
        <v>47920</v>
      </c>
      <c r="D2872" s="753" t="s">
        <v>47877</v>
      </c>
      <c r="E2872" s="752" t="s">
        <v>47919</v>
      </c>
      <c r="F2872" s="751">
        <v>2925</v>
      </c>
    </row>
    <row r="2873" spans="1:6">
      <c r="A2873" s="753"/>
      <c r="B2873" s="753"/>
      <c r="C2873" s="752" t="s">
        <v>47918</v>
      </c>
      <c r="D2873" s="753" t="s">
        <v>47877</v>
      </c>
      <c r="E2873" s="752" t="s">
        <v>47917</v>
      </c>
      <c r="F2873" s="751">
        <v>3175</v>
      </c>
    </row>
    <row r="2874" spans="1:6">
      <c r="A2874" s="753"/>
      <c r="B2874" s="753"/>
      <c r="C2874" s="752" t="s">
        <v>47916</v>
      </c>
      <c r="D2874" s="753" t="s">
        <v>47877</v>
      </c>
      <c r="E2874" s="752" t="s">
        <v>47881</v>
      </c>
      <c r="F2874" s="751">
        <v>2925</v>
      </c>
    </row>
    <row r="2875" spans="1:6">
      <c r="A2875" s="753"/>
      <c r="B2875" s="753"/>
      <c r="C2875" s="752" t="s">
        <v>47915</v>
      </c>
      <c r="D2875" s="753" t="s">
        <v>47877</v>
      </c>
      <c r="E2875" s="752" t="s">
        <v>47730</v>
      </c>
      <c r="F2875" s="751">
        <v>3175</v>
      </c>
    </row>
    <row r="2876" spans="1:6">
      <c r="A2876" s="753"/>
      <c r="B2876" s="753"/>
      <c r="C2876" s="752" t="s">
        <v>47914</v>
      </c>
      <c r="D2876" s="753" t="s">
        <v>47913</v>
      </c>
      <c r="E2876" s="752" t="s">
        <v>47912</v>
      </c>
      <c r="F2876" s="751">
        <v>3175</v>
      </c>
    </row>
    <row r="2877" spans="1:6">
      <c r="A2877" s="753"/>
      <c r="B2877" s="753"/>
      <c r="C2877" s="752" t="s">
        <v>47911</v>
      </c>
      <c r="D2877" s="753" t="s">
        <v>47877</v>
      </c>
      <c r="E2877" s="752" t="s">
        <v>47750</v>
      </c>
      <c r="F2877" s="751">
        <v>2925</v>
      </c>
    </row>
    <row r="2878" spans="1:6">
      <c r="A2878" s="753"/>
      <c r="B2878" s="753"/>
      <c r="C2878" s="752" t="s">
        <v>47910</v>
      </c>
      <c r="D2878" s="753" t="s">
        <v>47909</v>
      </c>
      <c r="E2878" s="752" t="s">
        <v>47908</v>
      </c>
      <c r="F2878" s="751">
        <v>2925</v>
      </c>
    </row>
    <row r="2879" spans="1:6">
      <c r="A2879" s="753"/>
      <c r="B2879" s="753"/>
      <c r="C2879" s="752" t="s">
        <v>47907</v>
      </c>
      <c r="D2879" s="753" t="s">
        <v>47903</v>
      </c>
      <c r="E2879" s="752" t="s">
        <v>47906</v>
      </c>
      <c r="F2879" s="751">
        <v>3775</v>
      </c>
    </row>
    <row r="2880" spans="1:6">
      <c r="A2880" s="753"/>
      <c r="B2880" s="753"/>
      <c r="C2880" s="752" t="s">
        <v>47905</v>
      </c>
      <c r="D2880" s="753" t="s">
        <v>47903</v>
      </c>
      <c r="E2880" s="752" t="s">
        <v>47764</v>
      </c>
      <c r="F2880" s="751">
        <v>3525</v>
      </c>
    </row>
    <row r="2881" spans="1:6">
      <c r="A2881" s="753"/>
      <c r="B2881" s="753"/>
      <c r="C2881" s="752" t="s">
        <v>47904</v>
      </c>
      <c r="D2881" s="753" t="s">
        <v>47903</v>
      </c>
      <c r="E2881" s="752" t="s">
        <v>47759</v>
      </c>
      <c r="F2881" s="751">
        <v>3525</v>
      </c>
    </row>
    <row r="2882" spans="1:6">
      <c r="A2882" s="753"/>
      <c r="B2882" s="753"/>
      <c r="C2882" s="752" t="s">
        <v>47902</v>
      </c>
      <c r="D2882" s="753" t="s">
        <v>47877</v>
      </c>
      <c r="E2882" s="752" t="s">
        <v>47901</v>
      </c>
      <c r="F2882" s="751">
        <v>3175</v>
      </c>
    </row>
    <row r="2883" spans="1:6">
      <c r="A2883" s="753"/>
      <c r="B2883" s="753"/>
      <c r="C2883" s="752" t="s">
        <v>47900</v>
      </c>
      <c r="D2883" s="753" t="s">
        <v>47877</v>
      </c>
      <c r="E2883" s="752" t="s">
        <v>47764</v>
      </c>
      <c r="F2883" s="751">
        <v>3525</v>
      </c>
    </row>
    <row r="2884" spans="1:6">
      <c r="A2884" s="753"/>
      <c r="B2884" s="753"/>
      <c r="C2884" s="752" t="s">
        <v>47899</v>
      </c>
      <c r="D2884" s="753" t="s">
        <v>47877</v>
      </c>
      <c r="E2884" s="752" t="s">
        <v>47740</v>
      </c>
      <c r="F2884" s="751">
        <v>3175</v>
      </c>
    </row>
    <row r="2885" spans="1:6">
      <c r="A2885" s="753"/>
      <c r="B2885" s="753"/>
      <c r="C2885" s="752" t="s">
        <v>47898</v>
      </c>
      <c r="D2885" s="753" t="s">
        <v>47890</v>
      </c>
      <c r="E2885" s="752" t="s">
        <v>47897</v>
      </c>
      <c r="F2885" s="751">
        <v>3175</v>
      </c>
    </row>
    <row r="2886" spans="1:6">
      <c r="A2886" s="753"/>
      <c r="B2886" s="753"/>
      <c r="C2886" s="752" t="s">
        <v>47896</v>
      </c>
      <c r="D2886" s="753" t="s">
        <v>47893</v>
      </c>
      <c r="E2886" s="752" t="s">
        <v>47895</v>
      </c>
      <c r="F2886" s="751">
        <v>3175</v>
      </c>
    </row>
    <row r="2887" spans="1:6">
      <c r="A2887" s="753"/>
      <c r="B2887" s="753"/>
      <c r="C2887" s="752" t="s">
        <v>47894</v>
      </c>
      <c r="D2887" s="753" t="s">
        <v>47893</v>
      </c>
      <c r="E2887" s="752" t="s">
        <v>47892</v>
      </c>
      <c r="F2887" s="751">
        <v>3525</v>
      </c>
    </row>
    <row r="2888" spans="1:6">
      <c r="A2888" s="753"/>
      <c r="B2888" s="753"/>
      <c r="C2888" s="752" t="s">
        <v>47891</v>
      </c>
      <c r="D2888" s="753" t="s">
        <v>47890</v>
      </c>
      <c r="E2888" s="752" t="s">
        <v>47889</v>
      </c>
      <c r="F2888" s="751">
        <v>2975</v>
      </c>
    </row>
    <row r="2889" spans="1:6">
      <c r="A2889" s="753"/>
      <c r="B2889" s="753"/>
      <c r="C2889" s="752" t="s">
        <v>47888</v>
      </c>
      <c r="D2889" s="753" t="s">
        <v>47877</v>
      </c>
      <c r="E2889" s="752" t="s">
        <v>47887</v>
      </c>
      <c r="F2889" s="751">
        <v>2925</v>
      </c>
    </row>
    <row r="2890" spans="1:6">
      <c r="A2890" s="753"/>
      <c r="B2890" s="753"/>
      <c r="C2890" s="752" t="s">
        <v>47886</v>
      </c>
      <c r="D2890" s="753" t="s">
        <v>47877</v>
      </c>
      <c r="E2890" s="752" t="s">
        <v>47734</v>
      </c>
      <c r="F2890" s="751">
        <v>3175</v>
      </c>
    </row>
    <row r="2891" spans="1:6">
      <c r="A2891" s="753"/>
      <c r="B2891" s="753"/>
      <c r="C2891" s="752" t="s">
        <v>47885</v>
      </c>
      <c r="D2891" s="753" t="s">
        <v>47877</v>
      </c>
      <c r="E2891" s="752" t="s">
        <v>47881</v>
      </c>
      <c r="F2891" s="751">
        <v>2925</v>
      </c>
    </row>
    <row r="2892" spans="1:6">
      <c r="A2892" s="753"/>
      <c r="B2892" s="753"/>
      <c r="C2892" s="752" t="s">
        <v>47884</v>
      </c>
      <c r="D2892" s="753" t="s">
        <v>47877</v>
      </c>
      <c r="E2892" s="752" t="s">
        <v>47730</v>
      </c>
      <c r="F2892" s="751">
        <v>3175</v>
      </c>
    </row>
    <row r="2893" spans="1:6">
      <c r="A2893" s="753"/>
      <c r="B2893" s="753"/>
      <c r="C2893" s="752" t="s">
        <v>47883</v>
      </c>
      <c r="D2893" s="753" t="s">
        <v>47882</v>
      </c>
      <c r="E2893" s="752" t="s">
        <v>47881</v>
      </c>
      <c r="F2893" s="751">
        <v>2675</v>
      </c>
    </row>
    <row r="2894" spans="1:6">
      <c r="A2894" s="753"/>
      <c r="B2894" s="753"/>
      <c r="C2894" s="752" t="s">
        <v>47880</v>
      </c>
      <c r="D2894" s="753" t="s">
        <v>47877</v>
      </c>
      <c r="E2894" s="752" t="s">
        <v>47879</v>
      </c>
      <c r="F2894" s="751">
        <v>2925</v>
      </c>
    </row>
    <row r="2895" spans="1:6">
      <c r="A2895" s="753"/>
      <c r="B2895" s="753"/>
      <c r="C2895" s="752" t="s">
        <v>47878</v>
      </c>
      <c r="D2895" s="753" t="s">
        <v>47877</v>
      </c>
      <c r="E2895" s="752" t="s">
        <v>47876</v>
      </c>
      <c r="F2895" s="751">
        <v>2725</v>
      </c>
    </row>
    <row r="2896" spans="1:6">
      <c r="A2896" s="753"/>
      <c r="B2896" s="753"/>
      <c r="C2896" s="752" t="s">
        <v>47875</v>
      </c>
      <c r="D2896" s="753" t="s">
        <v>47625</v>
      </c>
      <c r="E2896" s="752" t="s">
        <v>38010</v>
      </c>
      <c r="F2896" s="751">
        <v>4475</v>
      </c>
    </row>
    <row r="2897" spans="1:6">
      <c r="A2897" s="753"/>
      <c r="B2897" s="753"/>
      <c r="C2897" s="752" t="s">
        <v>47874</v>
      </c>
      <c r="D2897" s="753" t="s">
        <v>47625</v>
      </c>
      <c r="E2897" s="752" t="s">
        <v>38033</v>
      </c>
      <c r="F2897" s="751">
        <v>5475</v>
      </c>
    </row>
    <row r="2898" spans="1:6">
      <c r="A2898" s="753"/>
      <c r="B2898" s="753"/>
      <c r="C2898" s="752" t="s">
        <v>47873</v>
      </c>
      <c r="D2898" s="753" t="s">
        <v>47625</v>
      </c>
      <c r="E2898" s="752" t="s">
        <v>47657</v>
      </c>
      <c r="F2898" s="751">
        <v>4225</v>
      </c>
    </row>
    <row r="2899" spans="1:6">
      <c r="A2899" s="753"/>
      <c r="B2899" s="753"/>
      <c r="C2899" s="752" t="s">
        <v>47872</v>
      </c>
      <c r="D2899" s="753" t="s">
        <v>47625</v>
      </c>
      <c r="E2899" s="752" t="s">
        <v>47871</v>
      </c>
      <c r="F2899" s="751">
        <v>4985</v>
      </c>
    </row>
    <row r="2900" spans="1:6">
      <c r="A2900" s="753"/>
      <c r="B2900" s="753"/>
      <c r="C2900" s="752" t="s">
        <v>47870</v>
      </c>
      <c r="D2900" s="753" t="s">
        <v>47625</v>
      </c>
      <c r="E2900" s="752" t="s">
        <v>47640</v>
      </c>
      <c r="F2900" s="751">
        <v>5125</v>
      </c>
    </row>
    <row r="2901" spans="1:6">
      <c r="A2901" s="753"/>
      <c r="B2901" s="753"/>
      <c r="C2901" s="752" t="s">
        <v>47869</v>
      </c>
      <c r="D2901" s="753" t="s">
        <v>47625</v>
      </c>
      <c r="E2901" s="752" t="s">
        <v>47678</v>
      </c>
      <c r="F2901" s="751">
        <v>4475</v>
      </c>
    </row>
    <row r="2902" spans="1:6">
      <c r="A2902" s="753"/>
      <c r="B2902" s="753"/>
      <c r="C2902" s="752" t="s">
        <v>47868</v>
      </c>
      <c r="D2902" s="753" t="s">
        <v>47625</v>
      </c>
      <c r="E2902" s="752" t="s">
        <v>47703</v>
      </c>
      <c r="F2902" s="751">
        <v>5475</v>
      </c>
    </row>
    <row r="2903" spans="1:6">
      <c r="A2903" s="753"/>
      <c r="B2903" s="753"/>
      <c r="C2903" s="752" t="s">
        <v>47867</v>
      </c>
      <c r="D2903" s="753" t="s">
        <v>47625</v>
      </c>
      <c r="E2903" s="752" t="s">
        <v>47634</v>
      </c>
      <c r="F2903" s="751">
        <v>4225</v>
      </c>
    </row>
    <row r="2904" spans="1:6">
      <c r="A2904" s="753"/>
      <c r="B2904" s="753"/>
      <c r="C2904" s="752" t="s">
        <v>47866</v>
      </c>
      <c r="D2904" s="753" t="s">
        <v>47625</v>
      </c>
      <c r="E2904" s="752" t="s">
        <v>47865</v>
      </c>
      <c r="F2904" s="751">
        <v>4985</v>
      </c>
    </row>
    <row r="2905" spans="1:6">
      <c r="A2905" s="753"/>
      <c r="B2905" s="753"/>
      <c r="C2905" s="752" t="s">
        <v>47864</v>
      </c>
      <c r="D2905" s="753" t="s">
        <v>47863</v>
      </c>
      <c r="E2905" s="752" t="s">
        <v>47862</v>
      </c>
      <c r="F2905" s="751">
        <v>4985</v>
      </c>
    </row>
    <row r="2906" spans="1:6">
      <c r="A2906" s="753"/>
      <c r="B2906" s="753"/>
      <c r="C2906" s="752" t="s">
        <v>47861</v>
      </c>
      <c r="D2906" s="753" t="s">
        <v>47625</v>
      </c>
      <c r="E2906" s="752" t="s">
        <v>47653</v>
      </c>
      <c r="F2906" s="751">
        <v>5125</v>
      </c>
    </row>
    <row r="2907" spans="1:6">
      <c r="A2907" s="753"/>
      <c r="B2907" s="753"/>
      <c r="C2907" s="752" t="s">
        <v>47860</v>
      </c>
      <c r="D2907" s="753" t="s">
        <v>47859</v>
      </c>
      <c r="E2907" s="752" t="s">
        <v>47716</v>
      </c>
      <c r="F2907" s="751">
        <v>3925</v>
      </c>
    </row>
    <row r="2908" spans="1:6">
      <c r="A2908" s="753"/>
      <c r="B2908" s="753"/>
      <c r="C2908" s="752" t="s">
        <v>47858</v>
      </c>
      <c r="D2908" s="753" t="s">
        <v>47625</v>
      </c>
      <c r="E2908" s="752" t="s">
        <v>47803</v>
      </c>
      <c r="F2908" s="751">
        <v>5125</v>
      </c>
    </row>
    <row r="2909" spans="1:6">
      <c r="A2909" s="753"/>
      <c r="B2909" s="753"/>
      <c r="C2909" s="752" t="s">
        <v>47857</v>
      </c>
      <c r="D2909" s="753" t="s">
        <v>47625</v>
      </c>
      <c r="E2909" s="752" t="s">
        <v>47671</v>
      </c>
      <c r="F2909" s="751">
        <v>3975</v>
      </c>
    </row>
    <row r="2910" spans="1:6">
      <c r="A2910" s="753"/>
      <c r="B2910" s="753"/>
      <c r="C2910" s="752" t="s">
        <v>47856</v>
      </c>
      <c r="D2910" s="753" t="s">
        <v>47625</v>
      </c>
      <c r="E2910" s="752" t="s">
        <v>47855</v>
      </c>
      <c r="F2910" s="751">
        <v>5235</v>
      </c>
    </row>
    <row r="2911" spans="1:6">
      <c r="A2911" s="753"/>
      <c r="B2911" s="753"/>
      <c r="C2911" s="752" t="s">
        <v>47854</v>
      </c>
      <c r="D2911" s="753" t="s">
        <v>47625</v>
      </c>
      <c r="E2911" s="752" t="s">
        <v>47647</v>
      </c>
      <c r="F2911" s="751">
        <v>4775</v>
      </c>
    </row>
    <row r="2912" spans="1:6">
      <c r="A2912" s="753"/>
      <c r="B2912" s="753"/>
      <c r="C2912" s="752" t="s">
        <v>47853</v>
      </c>
      <c r="D2912" s="753" t="s">
        <v>47625</v>
      </c>
      <c r="E2912" s="752" t="s">
        <v>47668</v>
      </c>
      <c r="F2912" s="751">
        <v>3675</v>
      </c>
    </row>
    <row r="2913" spans="1:6">
      <c r="A2913" s="753"/>
      <c r="B2913" s="753"/>
      <c r="C2913" s="752" t="s">
        <v>47852</v>
      </c>
      <c r="D2913" s="753" t="s">
        <v>47625</v>
      </c>
      <c r="E2913" s="752" t="s">
        <v>47687</v>
      </c>
      <c r="F2913" s="751">
        <v>4775</v>
      </c>
    </row>
    <row r="2914" spans="1:6">
      <c r="A2914" s="753"/>
      <c r="B2914" s="753"/>
      <c r="C2914" s="752" t="s">
        <v>47851</v>
      </c>
      <c r="D2914" s="753" t="s">
        <v>47625</v>
      </c>
      <c r="E2914" s="752" t="s">
        <v>47850</v>
      </c>
      <c r="F2914" s="751">
        <v>3925</v>
      </c>
    </row>
    <row r="2915" spans="1:6">
      <c r="A2915" s="753"/>
      <c r="B2915" s="753"/>
      <c r="C2915" s="752" t="s">
        <v>47849</v>
      </c>
      <c r="D2915" s="753" t="s">
        <v>47625</v>
      </c>
      <c r="E2915" s="752" t="s">
        <v>47663</v>
      </c>
      <c r="F2915" s="751">
        <v>5125</v>
      </c>
    </row>
    <row r="2916" spans="1:6">
      <c r="A2916" s="753"/>
      <c r="B2916" s="753"/>
      <c r="C2916" s="752" t="s">
        <v>47848</v>
      </c>
      <c r="D2916" s="753" t="s">
        <v>47846</v>
      </c>
      <c r="E2916" s="752" t="s">
        <v>47703</v>
      </c>
      <c r="F2916" s="751">
        <v>5475</v>
      </c>
    </row>
    <row r="2917" spans="1:6">
      <c r="A2917" s="753"/>
      <c r="B2917" s="753"/>
      <c r="C2917" s="752" t="s">
        <v>47847</v>
      </c>
      <c r="D2917" s="753" t="s">
        <v>47846</v>
      </c>
      <c r="E2917" s="752" t="s">
        <v>47653</v>
      </c>
      <c r="F2917" s="751">
        <v>5125</v>
      </c>
    </row>
    <row r="2918" spans="1:6">
      <c r="A2918" s="753"/>
      <c r="B2918" s="753"/>
      <c r="C2918" s="752" t="s">
        <v>47845</v>
      </c>
      <c r="D2918" s="753" t="s">
        <v>47625</v>
      </c>
      <c r="E2918" s="752" t="s">
        <v>47678</v>
      </c>
      <c r="F2918" s="751">
        <v>4475</v>
      </c>
    </row>
    <row r="2919" spans="1:6">
      <c r="A2919" s="753"/>
      <c r="B2919" s="753"/>
      <c r="C2919" s="752" t="s">
        <v>47844</v>
      </c>
      <c r="D2919" s="753" t="s">
        <v>47625</v>
      </c>
      <c r="E2919" s="752" t="s">
        <v>47703</v>
      </c>
      <c r="F2919" s="751">
        <v>5475</v>
      </c>
    </row>
    <row r="2920" spans="1:6">
      <c r="A2920" s="753"/>
      <c r="B2920" s="753"/>
      <c r="C2920" s="752" t="s">
        <v>47843</v>
      </c>
      <c r="D2920" s="753" t="s">
        <v>47625</v>
      </c>
      <c r="E2920" s="752" t="s">
        <v>47701</v>
      </c>
      <c r="F2920" s="751">
        <v>4225</v>
      </c>
    </row>
    <row r="2921" spans="1:6">
      <c r="A2921" s="753"/>
      <c r="B2921" s="753"/>
      <c r="C2921" s="752" t="s">
        <v>47842</v>
      </c>
      <c r="D2921" s="753" t="s">
        <v>47625</v>
      </c>
      <c r="E2921" s="752" t="s">
        <v>47634</v>
      </c>
      <c r="F2921" s="751">
        <v>4225</v>
      </c>
    </row>
    <row r="2922" spans="1:6">
      <c r="A2922" s="753"/>
      <c r="B2922" s="753"/>
      <c r="C2922" s="752" t="s">
        <v>47841</v>
      </c>
      <c r="D2922" s="753" t="s">
        <v>47625</v>
      </c>
      <c r="E2922" s="752" t="s">
        <v>47653</v>
      </c>
      <c r="F2922" s="751">
        <v>5125</v>
      </c>
    </row>
    <row r="2923" spans="1:6">
      <c r="A2923" s="753"/>
      <c r="B2923" s="753"/>
      <c r="C2923" s="752" t="s">
        <v>47840</v>
      </c>
      <c r="D2923" s="753" t="s">
        <v>47625</v>
      </c>
      <c r="E2923" s="752" t="s">
        <v>47681</v>
      </c>
      <c r="F2923" s="751">
        <v>4775</v>
      </c>
    </row>
    <row r="2924" spans="1:6">
      <c r="A2924" s="753"/>
      <c r="B2924" s="753"/>
      <c r="C2924" s="752" t="s">
        <v>47839</v>
      </c>
      <c r="D2924" s="753" t="s">
        <v>47625</v>
      </c>
      <c r="E2924" s="752" t="s">
        <v>47649</v>
      </c>
      <c r="F2924" s="751">
        <v>3975</v>
      </c>
    </row>
    <row r="2925" spans="1:6">
      <c r="A2925" s="753"/>
      <c r="B2925" s="753"/>
      <c r="C2925" s="752" t="s">
        <v>47838</v>
      </c>
      <c r="D2925" s="753" t="s">
        <v>47625</v>
      </c>
      <c r="E2925" s="752" t="s">
        <v>47694</v>
      </c>
      <c r="F2925" s="751">
        <v>4775</v>
      </c>
    </row>
    <row r="2926" spans="1:6">
      <c r="A2926" s="753"/>
      <c r="B2926" s="753"/>
      <c r="C2926" s="752" t="s">
        <v>47837</v>
      </c>
      <c r="D2926" s="753" t="s">
        <v>47625</v>
      </c>
      <c r="E2926" s="752" t="s">
        <v>47836</v>
      </c>
      <c r="F2926" s="751">
        <v>4425</v>
      </c>
    </row>
    <row r="2927" spans="1:6">
      <c r="A2927" s="753"/>
      <c r="B2927" s="753"/>
      <c r="C2927" s="752" t="s">
        <v>47835</v>
      </c>
      <c r="D2927" s="753" t="s">
        <v>47625</v>
      </c>
      <c r="E2927" s="752" t="s">
        <v>47668</v>
      </c>
      <c r="F2927" s="751">
        <v>3675</v>
      </c>
    </row>
    <row r="2928" spans="1:6">
      <c r="A2928" s="753"/>
      <c r="B2928" s="753"/>
      <c r="C2928" s="752" t="s">
        <v>47834</v>
      </c>
      <c r="D2928" s="753" t="s">
        <v>47625</v>
      </c>
      <c r="E2928" s="752" t="s">
        <v>47687</v>
      </c>
      <c r="F2928" s="751">
        <v>4775</v>
      </c>
    </row>
    <row r="2929" spans="1:6">
      <c r="A2929" s="753"/>
      <c r="B2929" s="753"/>
      <c r="C2929" s="752" t="s">
        <v>47833</v>
      </c>
      <c r="D2929" s="753" t="s">
        <v>47625</v>
      </c>
      <c r="E2929" s="752" t="s">
        <v>47832</v>
      </c>
      <c r="F2929" s="751">
        <v>3425</v>
      </c>
    </row>
    <row r="2930" spans="1:6">
      <c r="A2930" s="753"/>
      <c r="B2930" s="753"/>
      <c r="C2930" s="752" t="s">
        <v>47831</v>
      </c>
      <c r="D2930" s="753" t="s">
        <v>47625</v>
      </c>
      <c r="E2930" s="752" t="s">
        <v>47640</v>
      </c>
      <c r="F2930" s="751">
        <v>5125</v>
      </c>
    </row>
    <row r="2931" spans="1:6">
      <c r="A2931" s="753"/>
      <c r="B2931" s="753"/>
      <c r="C2931" s="752" t="s">
        <v>47830</v>
      </c>
      <c r="D2931" s="753" t="s">
        <v>47625</v>
      </c>
      <c r="E2931" s="752" t="s">
        <v>47829</v>
      </c>
      <c r="F2931" s="751">
        <v>4525</v>
      </c>
    </row>
    <row r="2932" spans="1:6">
      <c r="A2932" s="753"/>
      <c r="B2932" s="753"/>
      <c r="C2932" s="752" t="s">
        <v>47828</v>
      </c>
      <c r="D2932" s="753" t="s">
        <v>47625</v>
      </c>
      <c r="E2932" s="752" t="s">
        <v>38010</v>
      </c>
      <c r="F2932" s="751">
        <v>4475</v>
      </c>
    </row>
    <row r="2933" spans="1:6">
      <c r="A2933" s="753"/>
      <c r="B2933" s="753"/>
      <c r="C2933" s="752" t="s">
        <v>47827</v>
      </c>
      <c r="D2933" s="753" t="s">
        <v>47625</v>
      </c>
      <c r="E2933" s="752" t="s">
        <v>47678</v>
      </c>
      <c r="F2933" s="751">
        <v>3975</v>
      </c>
    </row>
    <row r="2934" spans="1:6">
      <c r="A2934" s="753"/>
      <c r="B2934" s="753"/>
      <c r="C2934" s="752" t="s">
        <v>47826</v>
      </c>
      <c r="D2934" s="753" t="s">
        <v>47625</v>
      </c>
      <c r="E2934" s="752" t="s">
        <v>47703</v>
      </c>
      <c r="F2934" s="751">
        <v>4775</v>
      </c>
    </row>
    <row r="2935" spans="1:6">
      <c r="A2935" s="753"/>
      <c r="B2935" s="753"/>
      <c r="C2935" s="752" t="s">
        <v>47825</v>
      </c>
      <c r="D2935" s="753" t="s">
        <v>47625</v>
      </c>
      <c r="E2935" s="752" t="s">
        <v>38033</v>
      </c>
      <c r="F2935" s="751">
        <v>5475</v>
      </c>
    </row>
    <row r="2936" spans="1:6">
      <c r="A2936" s="753"/>
      <c r="B2936" s="753"/>
      <c r="C2936" s="752" t="s">
        <v>47824</v>
      </c>
      <c r="D2936" s="753" t="s">
        <v>47625</v>
      </c>
      <c r="E2936" s="752" t="s">
        <v>38019</v>
      </c>
      <c r="F2936" s="751">
        <v>4225</v>
      </c>
    </row>
    <row r="2937" spans="1:6">
      <c r="A2937" s="753"/>
      <c r="B2937" s="753"/>
      <c r="C2937" s="752" t="s">
        <v>47823</v>
      </c>
      <c r="D2937" s="753" t="s">
        <v>47625</v>
      </c>
      <c r="E2937" s="752" t="s">
        <v>47674</v>
      </c>
      <c r="F2937" s="751">
        <v>4225</v>
      </c>
    </row>
    <row r="2938" spans="1:6">
      <c r="A2938" s="753"/>
      <c r="B2938" s="753"/>
      <c r="C2938" s="752" t="s">
        <v>47822</v>
      </c>
      <c r="D2938" s="753" t="s">
        <v>47625</v>
      </c>
      <c r="E2938" s="752" t="s">
        <v>47821</v>
      </c>
      <c r="F2938" s="751">
        <v>5125</v>
      </c>
    </row>
    <row r="2939" spans="1:6">
      <c r="A2939" s="753"/>
      <c r="B2939" s="753"/>
      <c r="C2939" s="752" t="s">
        <v>47820</v>
      </c>
      <c r="D2939" s="753" t="s">
        <v>47625</v>
      </c>
      <c r="E2939" s="752" t="s">
        <v>47819</v>
      </c>
      <c r="F2939" s="751">
        <v>4985</v>
      </c>
    </row>
    <row r="2940" spans="1:6">
      <c r="A2940" s="753"/>
      <c r="B2940" s="753"/>
      <c r="C2940" s="752" t="s">
        <v>47818</v>
      </c>
      <c r="D2940" s="753" t="s">
        <v>47625</v>
      </c>
      <c r="E2940" s="752" t="s">
        <v>38002</v>
      </c>
      <c r="F2940" s="751">
        <v>5125</v>
      </c>
    </row>
    <row r="2941" spans="1:6">
      <c r="A2941" s="753"/>
      <c r="B2941" s="753"/>
      <c r="C2941" s="752" t="s">
        <v>47817</v>
      </c>
      <c r="D2941" s="753" t="s">
        <v>47779</v>
      </c>
      <c r="E2941" s="752" t="s">
        <v>38010</v>
      </c>
      <c r="F2941" s="751">
        <v>4475</v>
      </c>
    </row>
    <row r="2942" spans="1:6">
      <c r="A2942" s="753"/>
      <c r="B2942" s="753"/>
      <c r="C2942" s="752" t="s">
        <v>47816</v>
      </c>
      <c r="D2942" s="753" t="s">
        <v>47635</v>
      </c>
      <c r="E2942" s="752" t="s">
        <v>47657</v>
      </c>
      <c r="F2942" s="751">
        <v>4225</v>
      </c>
    </row>
    <row r="2943" spans="1:6">
      <c r="A2943" s="753"/>
      <c r="B2943" s="753"/>
      <c r="C2943" s="752" t="s">
        <v>47815</v>
      </c>
      <c r="D2943" s="753" t="s">
        <v>47635</v>
      </c>
      <c r="E2943" s="752" t="s">
        <v>47814</v>
      </c>
      <c r="F2943" s="751">
        <v>4985</v>
      </c>
    </row>
    <row r="2944" spans="1:6">
      <c r="A2944" s="753"/>
      <c r="B2944" s="753"/>
      <c r="C2944" s="752" t="s">
        <v>47813</v>
      </c>
      <c r="D2944" s="753" t="s">
        <v>47779</v>
      </c>
      <c r="E2944" s="752" t="s">
        <v>47640</v>
      </c>
      <c r="F2944" s="751">
        <v>5125</v>
      </c>
    </row>
    <row r="2945" spans="1:6">
      <c r="A2945" s="753"/>
      <c r="B2945" s="753"/>
      <c r="C2945" s="752" t="s">
        <v>47812</v>
      </c>
      <c r="D2945" s="753" t="s">
        <v>47779</v>
      </c>
      <c r="E2945" s="752" t="s">
        <v>47681</v>
      </c>
      <c r="F2945" s="751">
        <v>4775</v>
      </c>
    </row>
    <row r="2946" spans="1:6">
      <c r="A2946" s="753"/>
      <c r="B2946" s="753"/>
      <c r="C2946" s="752" t="s">
        <v>47811</v>
      </c>
      <c r="D2946" s="753" t="s">
        <v>47779</v>
      </c>
      <c r="E2946" s="752" t="s">
        <v>47678</v>
      </c>
      <c r="F2946" s="751">
        <v>4225</v>
      </c>
    </row>
    <row r="2947" spans="1:6">
      <c r="A2947" s="753"/>
      <c r="B2947" s="753"/>
      <c r="C2947" s="752" t="s">
        <v>47810</v>
      </c>
      <c r="D2947" s="753" t="s">
        <v>47779</v>
      </c>
      <c r="E2947" s="752" t="s">
        <v>47676</v>
      </c>
      <c r="F2947" s="751">
        <v>5125</v>
      </c>
    </row>
    <row r="2948" spans="1:6">
      <c r="A2948" s="753"/>
      <c r="B2948" s="753"/>
      <c r="C2948" s="752" t="s">
        <v>47809</v>
      </c>
      <c r="D2948" s="753" t="s">
        <v>47808</v>
      </c>
      <c r="E2948" s="752" t="s">
        <v>47634</v>
      </c>
      <c r="F2948" s="751">
        <v>4225</v>
      </c>
    </row>
    <row r="2949" spans="1:6">
      <c r="A2949" s="753"/>
      <c r="B2949" s="753"/>
      <c r="C2949" s="752" t="s">
        <v>47807</v>
      </c>
      <c r="D2949" s="753" t="s">
        <v>47635</v>
      </c>
      <c r="E2949" s="752" t="s">
        <v>47653</v>
      </c>
      <c r="F2949" s="751">
        <v>5125</v>
      </c>
    </row>
    <row r="2950" spans="1:6">
      <c r="A2950" s="753"/>
      <c r="B2950" s="753"/>
      <c r="C2950" s="752" t="s">
        <v>47806</v>
      </c>
      <c r="D2950" s="753" t="s">
        <v>47805</v>
      </c>
      <c r="E2950" s="752" t="s">
        <v>47803</v>
      </c>
      <c r="F2950" s="751">
        <v>3925</v>
      </c>
    </row>
    <row r="2951" spans="1:6">
      <c r="A2951" s="753"/>
      <c r="B2951" s="753"/>
      <c r="C2951" s="752" t="s">
        <v>47804</v>
      </c>
      <c r="D2951" s="753" t="s">
        <v>47779</v>
      </c>
      <c r="E2951" s="752" t="s">
        <v>47803</v>
      </c>
      <c r="F2951" s="751">
        <v>4525</v>
      </c>
    </row>
    <row r="2952" spans="1:6">
      <c r="A2952" s="753"/>
      <c r="B2952" s="753"/>
      <c r="C2952" s="752" t="s">
        <v>47802</v>
      </c>
      <c r="D2952" s="753" t="s">
        <v>47635</v>
      </c>
      <c r="E2952" s="752" t="s">
        <v>47671</v>
      </c>
      <c r="F2952" s="751">
        <v>3975</v>
      </c>
    </row>
    <row r="2953" spans="1:6">
      <c r="A2953" s="753"/>
      <c r="B2953" s="753"/>
      <c r="C2953" s="752" t="s">
        <v>47801</v>
      </c>
      <c r="D2953" s="753" t="s">
        <v>47635</v>
      </c>
      <c r="E2953" s="752" t="s">
        <v>47800</v>
      </c>
      <c r="F2953" s="751">
        <v>4735</v>
      </c>
    </row>
    <row r="2954" spans="1:6">
      <c r="A2954" s="753"/>
      <c r="B2954" s="753"/>
      <c r="C2954" s="752" t="s">
        <v>47799</v>
      </c>
      <c r="D2954" s="753" t="s">
        <v>47635</v>
      </c>
      <c r="E2954" s="752" t="s">
        <v>38002</v>
      </c>
      <c r="F2954" s="751">
        <v>4775</v>
      </c>
    </row>
    <row r="2955" spans="1:6">
      <c r="A2955" s="753"/>
      <c r="B2955" s="753"/>
      <c r="C2955" s="752" t="s">
        <v>47798</v>
      </c>
      <c r="D2955" s="753" t="s">
        <v>47635</v>
      </c>
      <c r="E2955" s="752" t="s">
        <v>47668</v>
      </c>
      <c r="F2955" s="751">
        <v>3675</v>
      </c>
    </row>
    <row r="2956" spans="1:6">
      <c r="A2956" s="753"/>
      <c r="B2956" s="753"/>
      <c r="C2956" s="752" t="s">
        <v>47797</v>
      </c>
      <c r="D2956" s="753" t="s">
        <v>47779</v>
      </c>
      <c r="E2956" s="752" t="s">
        <v>47642</v>
      </c>
      <c r="F2956" s="751">
        <v>4775</v>
      </c>
    </row>
    <row r="2957" spans="1:6">
      <c r="A2957" s="753"/>
      <c r="B2957" s="753"/>
      <c r="C2957" s="752" t="s">
        <v>47796</v>
      </c>
      <c r="D2957" s="753" t="s">
        <v>47795</v>
      </c>
      <c r="E2957" s="752" t="s">
        <v>47676</v>
      </c>
      <c r="F2957" s="751">
        <v>5125</v>
      </c>
    </row>
    <row r="2958" spans="1:6">
      <c r="A2958" s="753"/>
      <c r="B2958" s="753"/>
      <c r="C2958" s="752" t="s">
        <v>47794</v>
      </c>
      <c r="D2958" s="753" t="s">
        <v>47793</v>
      </c>
      <c r="E2958" s="752" t="s">
        <v>47653</v>
      </c>
      <c r="F2958" s="751">
        <v>5125</v>
      </c>
    </row>
    <row r="2959" spans="1:6">
      <c r="A2959" s="753"/>
      <c r="B2959" s="753"/>
      <c r="C2959" s="752" t="s">
        <v>47792</v>
      </c>
      <c r="D2959" s="753" t="s">
        <v>47791</v>
      </c>
      <c r="E2959" s="752" t="s">
        <v>47790</v>
      </c>
      <c r="F2959" s="751">
        <v>5675</v>
      </c>
    </row>
    <row r="2960" spans="1:6">
      <c r="A2960" s="753"/>
      <c r="B2960" s="753"/>
      <c r="C2960" s="752" t="s">
        <v>47789</v>
      </c>
      <c r="D2960" s="753" t="s">
        <v>47635</v>
      </c>
      <c r="E2960" s="752" t="s">
        <v>47701</v>
      </c>
      <c r="F2960" s="751">
        <v>4225</v>
      </c>
    </row>
    <row r="2961" spans="1:6">
      <c r="A2961" s="753"/>
      <c r="B2961" s="753"/>
      <c r="C2961" s="752" t="s">
        <v>47788</v>
      </c>
      <c r="D2961" s="753" t="s">
        <v>47779</v>
      </c>
      <c r="E2961" s="752" t="s">
        <v>47653</v>
      </c>
      <c r="F2961" s="751">
        <v>5125</v>
      </c>
    </row>
    <row r="2962" spans="1:6">
      <c r="A2962" s="753"/>
      <c r="B2962" s="753"/>
      <c r="C2962" s="752" t="s">
        <v>47787</v>
      </c>
      <c r="D2962" s="753" t="s">
        <v>47779</v>
      </c>
      <c r="E2962" s="752" t="s">
        <v>47624</v>
      </c>
      <c r="F2962" s="751">
        <v>4525</v>
      </c>
    </row>
    <row r="2963" spans="1:6">
      <c r="A2963" s="753"/>
      <c r="B2963" s="753"/>
      <c r="C2963" s="752" t="s">
        <v>47786</v>
      </c>
      <c r="D2963" s="753" t="s">
        <v>47635</v>
      </c>
      <c r="E2963" s="752" t="s">
        <v>47649</v>
      </c>
      <c r="F2963" s="751">
        <v>3975</v>
      </c>
    </row>
    <row r="2964" spans="1:6">
      <c r="A2964" s="753"/>
      <c r="B2964" s="753"/>
      <c r="C2964" s="752" t="s">
        <v>47785</v>
      </c>
      <c r="D2964" s="753" t="s">
        <v>47635</v>
      </c>
      <c r="E2964" s="752" t="s">
        <v>47784</v>
      </c>
      <c r="F2964" s="751">
        <v>4735</v>
      </c>
    </row>
    <row r="2965" spans="1:6">
      <c r="A2965" s="753"/>
      <c r="B2965" s="753"/>
      <c r="C2965" s="752" t="s">
        <v>47783</v>
      </c>
      <c r="D2965" s="753" t="s">
        <v>47779</v>
      </c>
      <c r="E2965" s="752" t="s">
        <v>47694</v>
      </c>
      <c r="F2965" s="751">
        <v>4775</v>
      </c>
    </row>
    <row r="2966" spans="1:6">
      <c r="A2966" s="753"/>
      <c r="B2966" s="753"/>
      <c r="C2966" s="752" t="s">
        <v>47782</v>
      </c>
      <c r="D2966" s="753" t="s">
        <v>47779</v>
      </c>
      <c r="E2966" s="752" t="s">
        <v>47640</v>
      </c>
      <c r="F2966" s="751">
        <v>5125</v>
      </c>
    </row>
    <row r="2967" spans="1:6">
      <c r="A2967" s="753"/>
      <c r="B2967" s="753"/>
      <c r="C2967" s="752" t="s">
        <v>47781</v>
      </c>
      <c r="D2967" s="753" t="s">
        <v>47779</v>
      </c>
      <c r="E2967" s="752" t="s">
        <v>38010</v>
      </c>
      <c r="F2967" s="751">
        <v>4475</v>
      </c>
    </row>
    <row r="2968" spans="1:6">
      <c r="A2968" s="753"/>
      <c r="B2968" s="753"/>
      <c r="C2968" s="752" t="s">
        <v>47780</v>
      </c>
      <c r="D2968" s="753" t="s">
        <v>47779</v>
      </c>
      <c r="E2968" s="752" t="s">
        <v>47778</v>
      </c>
      <c r="F2968" s="751">
        <v>4475</v>
      </c>
    </row>
    <row r="2969" spans="1:6">
      <c r="A2969" s="753"/>
      <c r="B2969" s="753"/>
      <c r="C2969" s="752" t="s">
        <v>47777</v>
      </c>
      <c r="D2969" s="753" t="s">
        <v>47635</v>
      </c>
      <c r="E2969" s="752" t="s">
        <v>38019</v>
      </c>
      <c r="F2969" s="751">
        <v>4225</v>
      </c>
    </row>
    <row r="2970" spans="1:6">
      <c r="A2970" s="753"/>
      <c r="B2970" s="753"/>
      <c r="C2970" s="752" t="s">
        <v>47776</v>
      </c>
      <c r="D2970" s="753" t="s">
        <v>47635</v>
      </c>
      <c r="E2970" s="752" t="s">
        <v>38002</v>
      </c>
      <c r="F2970" s="751">
        <v>5125</v>
      </c>
    </row>
    <row r="2971" spans="1:6">
      <c r="A2971" s="753"/>
      <c r="B2971" s="753"/>
      <c r="C2971" s="752" t="s">
        <v>47775</v>
      </c>
      <c r="D2971" s="753" t="s">
        <v>47618</v>
      </c>
      <c r="E2971" s="752" t="s">
        <v>47774</v>
      </c>
      <c r="F2971" s="751">
        <v>3275</v>
      </c>
    </row>
    <row r="2972" spans="1:6">
      <c r="A2972" s="753"/>
      <c r="B2972" s="753"/>
      <c r="C2972" s="752" t="s">
        <v>47773</v>
      </c>
      <c r="D2972" s="753" t="s">
        <v>47618</v>
      </c>
      <c r="E2972" s="752" t="s">
        <v>47764</v>
      </c>
      <c r="F2972" s="751">
        <v>3625</v>
      </c>
    </row>
    <row r="2973" spans="1:6">
      <c r="A2973" s="753"/>
      <c r="B2973" s="753"/>
      <c r="C2973" s="752" t="s">
        <v>47772</v>
      </c>
      <c r="D2973" s="753" t="s">
        <v>47618</v>
      </c>
      <c r="E2973" s="752" t="s">
        <v>47759</v>
      </c>
      <c r="F2973" s="751">
        <v>3625</v>
      </c>
    </row>
    <row r="2974" spans="1:6">
      <c r="A2974" s="753"/>
      <c r="B2974" s="753"/>
      <c r="C2974" s="752" t="s">
        <v>47771</v>
      </c>
      <c r="D2974" s="753" t="s">
        <v>47770</v>
      </c>
      <c r="E2974" s="752" t="s">
        <v>47769</v>
      </c>
      <c r="F2974" s="751">
        <v>3525</v>
      </c>
    </row>
    <row r="2975" spans="1:6">
      <c r="A2975" s="753"/>
      <c r="B2975" s="753"/>
      <c r="C2975" s="752" t="s">
        <v>47768</v>
      </c>
      <c r="D2975" s="753" t="s">
        <v>47618</v>
      </c>
      <c r="E2975" s="752" t="s">
        <v>44652</v>
      </c>
      <c r="F2975" s="751">
        <v>3875</v>
      </c>
    </row>
    <row r="2976" spans="1:6">
      <c r="A2976" s="753"/>
      <c r="B2976" s="753"/>
      <c r="C2976" s="752" t="s">
        <v>47767</v>
      </c>
      <c r="D2976" s="753" t="s">
        <v>47618</v>
      </c>
      <c r="E2976" s="752" t="s">
        <v>47766</v>
      </c>
      <c r="F2976" s="751">
        <v>3275</v>
      </c>
    </row>
    <row r="2977" spans="1:6">
      <c r="A2977" s="753"/>
      <c r="B2977" s="753"/>
      <c r="C2977" s="752" t="s">
        <v>47765</v>
      </c>
      <c r="D2977" s="753" t="s">
        <v>47618</v>
      </c>
      <c r="E2977" s="752" t="s">
        <v>47764</v>
      </c>
      <c r="F2977" s="751">
        <v>3625</v>
      </c>
    </row>
    <row r="2978" spans="1:6">
      <c r="A2978" s="753"/>
      <c r="B2978" s="753"/>
      <c r="C2978" s="752" t="s">
        <v>47763</v>
      </c>
      <c r="D2978" s="753" t="s">
        <v>47762</v>
      </c>
      <c r="E2978" s="752" t="s">
        <v>47761</v>
      </c>
      <c r="F2978" s="751">
        <v>3275</v>
      </c>
    </row>
    <row r="2979" spans="1:6">
      <c r="A2979" s="753"/>
      <c r="B2979" s="753"/>
      <c r="C2979" s="752" t="s">
        <v>47760</v>
      </c>
      <c r="D2979" s="753" t="s">
        <v>47618</v>
      </c>
      <c r="E2979" s="752" t="s">
        <v>47759</v>
      </c>
      <c r="F2979" s="751">
        <v>3625</v>
      </c>
    </row>
    <row r="2980" spans="1:6">
      <c r="A2980" s="753"/>
      <c r="B2980" s="753"/>
      <c r="C2980" s="752" t="s">
        <v>47758</v>
      </c>
      <c r="D2980" s="753" t="s">
        <v>47728</v>
      </c>
      <c r="E2980" s="752" t="s">
        <v>47736</v>
      </c>
      <c r="F2980" s="751">
        <v>3025</v>
      </c>
    </row>
    <row r="2981" spans="1:6">
      <c r="A2981" s="753"/>
      <c r="B2981" s="753"/>
      <c r="C2981" s="752" t="s">
        <v>47757</v>
      </c>
      <c r="D2981" s="753" t="s">
        <v>47618</v>
      </c>
      <c r="E2981" s="752" t="s">
        <v>47734</v>
      </c>
      <c r="F2981" s="751">
        <v>3275</v>
      </c>
    </row>
    <row r="2982" spans="1:6">
      <c r="A2982" s="753"/>
      <c r="B2982" s="753"/>
      <c r="C2982" s="752" t="s">
        <v>47756</v>
      </c>
      <c r="D2982" s="753" t="s">
        <v>47728</v>
      </c>
      <c r="E2982" s="752" t="s">
        <v>47755</v>
      </c>
      <c r="F2982" s="751">
        <v>3025</v>
      </c>
    </row>
    <row r="2983" spans="1:6">
      <c r="A2983" s="753"/>
      <c r="B2983" s="753"/>
      <c r="C2983" s="752" t="s">
        <v>47754</v>
      </c>
      <c r="D2983" s="753" t="s">
        <v>47618</v>
      </c>
      <c r="E2983" s="752" t="s">
        <v>47730</v>
      </c>
      <c r="F2983" s="751">
        <v>3275</v>
      </c>
    </row>
    <row r="2984" spans="1:6">
      <c r="A2984" s="753"/>
      <c r="B2984" s="753"/>
      <c r="C2984" s="752" t="s">
        <v>47753</v>
      </c>
      <c r="D2984" s="753" t="s">
        <v>47618</v>
      </c>
      <c r="E2984" s="752" t="s">
        <v>47752</v>
      </c>
      <c r="F2984" s="751">
        <v>3275</v>
      </c>
    </row>
    <row r="2985" spans="1:6">
      <c r="A2985" s="753"/>
      <c r="B2985" s="753"/>
      <c r="C2985" s="752" t="s">
        <v>47751</v>
      </c>
      <c r="D2985" s="753" t="s">
        <v>47618</v>
      </c>
      <c r="E2985" s="752" t="s">
        <v>47750</v>
      </c>
      <c r="F2985" s="751">
        <v>3025</v>
      </c>
    </row>
    <row r="2986" spans="1:6">
      <c r="A2986" s="753"/>
      <c r="B2986" s="753"/>
      <c r="C2986" s="752" t="s">
        <v>47749</v>
      </c>
      <c r="D2986" s="753" t="s">
        <v>47748</v>
      </c>
      <c r="E2986" s="752" t="s">
        <v>47747</v>
      </c>
      <c r="F2986" s="751">
        <v>3075</v>
      </c>
    </row>
    <row r="2987" spans="1:6">
      <c r="A2987" s="753"/>
      <c r="B2987" s="753"/>
      <c r="C2987" s="752" t="s">
        <v>47746</v>
      </c>
      <c r="D2987" s="753" t="s">
        <v>47618</v>
      </c>
      <c r="E2987" s="752" t="s">
        <v>47745</v>
      </c>
      <c r="F2987" s="751">
        <v>3875</v>
      </c>
    </row>
    <row r="2988" spans="1:6">
      <c r="A2988" s="753"/>
      <c r="B2988" s="753"/>
      <c r="C2988" s="752" t="s">
        <v>47744</v>
      </c>
      <c r="D2988" s="753" t="s">
        <v>47618</v>
      </c>
      <c r="E2988" s="752" t="s">
        <v>47743</v>
      </c>
      <c r="F2988" s="751">
        <v>3875</v>
      </c>
    </row>
    <row r="2989" spans="1:6">
      <c r="A2989" s="753"/>
      <c r="B2989" s="753"/>
      <c r="C2989" s="752" t="s">
        <v>47742</v>
      </c>
      <c r="D2989" s="753" t="s">
        <v>47741</v>
      </c>
      <c r="E2989" s="752" t="s">
        <v>47740</v>
      </c>
      <c r="F2989" s="751">
        <v>3275</v>
      </c>
    </row>
    <row r="2990" spans="1:6">
      <c r="A2990" s="753"/>
      <c r="B2990" s="753"/>
      <c r="C2990" s="752" t="s">
        <v>47739</v>
      </c>
      <c r="D2990" s="753" t="s">
        <v>47618</v>
      </c>
      <c r="E2990" s="752" t="s">
        <v>47738</v>
      </c>
      <c r="F2990" s="751">
        <v>3625</v>
      </c>
    </row>
    <row r="2991" spans="1:6">
      <c r="A2991" s="753"/>
      <c r="B2991" s="753"/>
      <c r="C2991" s="752" t="s">
        <v>47737</v>
      </c>
      <c r="D2991" s="753" t="s">
        <v>47728</v>
      </c>
      <c r="E2991" s="752" t="s">
        <v>47736</v>
      </c>
      <c r="F2991" s="751">
        <v>3025</v>
      </c>
    </row>
    <row r="2992" spans="1:6">
      <c r="A2992" s="753"/>
      <c r="B2992" s="753"/>
      <c r="C2992" s="752" t="s">
        <v>47735</v>
      </c>
      <c r="D2992" s="753" t="s">
        <v>47618</v>
      </c>
      <c r="E2992" s="752" t="s">
        <v>47734</v>
      </c>
      <c r="F2992" s="751">
        <v>3275</v>
      </c>
    </row>
    <row r="2993" spans="1:6">
      <c r="A2993" s="753"/>
      <c r="B2993" s="753"/>
      <c r="C2993" s="752" t="s">
        <v>47733</v>
      </c>
      <c r="D2993" s="753" t="s">
        <v>47728</v>
      </c>
      <c r="E2993" s="752" t="s">
        <v>47732</v>
      </c>
      <c r="F2993" s="751">
        <v>2775</v>
      </c>
    </row>
    <row r="2994" spans="1:6">
      <c r="A2994" s="753"/>
      <c r="B2994" s="753"/>
      <c r="C2994" s="752" t="s">
        <v>47731</v>
      </c>
      <c r="D2994" s="753" t="s">
        <v>47618</v>
      </c>
      <c r="E2994" s="752" t="s">
        <v>47730</v>
      </c>
      <c r="F2994" s="751">
        <v>3275</v>
      </c>
    </row>
    <row r="2995" spans="1:6">
      <c r="A2995" s="753"/>
      <c r="B2995" s="753"/>
      <c r="C2995" s="752" t="s">
        <v>47729</v>
      </c>
      <c r="D2995" s="753" t="s">
        <v>47728</v>
      </c>
      <c r="E2995" s="752" t="s">
        <v>47727</v>
      </c>
      <c r="F2995" s="751">
        <v>2775</v>
      </c>
    </row>
    <row r="2996" spans="1:6">
      <c r="A2996" s="753"/>
      <c r="B2996" s="753"/>
      <c r="C2996" s="752" t="s">
        <v>47726</v>
      </c>
      <c r="D2996" s="753" t="s">
        <v>47679</v>
      </c>
      <c r="E2996" s="752" t="s">
        <v>47657</v>
      </c>
      <c r="F2996" s="751">
        <v>4325</v>
      </c>
    </row>
    <row r="2997" spans="1:6">
      <c r="A2997" s="753"/>
      <c r="B2997" s="753"/>
      <c r="C2997" s="752" t="s">
        <v>47725</v>
      </c>
      <c r="D2997" s="753" t="s">
        <v>47679</v>
      </c>
      <c r="E2997" s="752" t="s">
        <v>47640</v>
      </c>
      <c r="F2997" s="751">
        <v>5225</v>
      </c>
    </row>
    <row r="2998" spans="1:6">
      <c r="A2998" s="753"/>
      <c r="B2998" s="753"/>
      <c r="C2998" s="752" t="s">
        <v>47724</v>
      </c>
      <c r="D2998" s="753" t="s">
        <v>47679</v>
      </c>
      <c r="E2998" s="752" t="s">
        <v>47678</v>
      </c>
      <c r="F2998" s="751">
        <v>4575</v>
      </c>
    </row>
    <row r="2999" spans="1:6">
      <c r="A2999" s="753"/>
      <c r="B2999" s="753"/>
      <c r="C2999" s="752" t="s">
        <v>47723</v>
      </c>
      <c r="D2999" s="753" t="s">
        <v>47679</v>
      </c>
      <c r="E2999" s="752" t="s">
        <v>47676</v>
      </c>
      <c r="F2999" s="751">
        <v>5575</v>
      </c>
    </row>
    <row r="3000" spans="1:6">
      <c r="A3000" s="753"/>
      <c r="B3000" s="753"/>
      <c r="C3000" s="752" t="s">
        <v>47722</v>
      </c>
      <c r="D3000" s="753" t="s">
        <v>47679</v>
      </c>
      <c r="E3000" s="752" t="s">
        <v>47674</v>
      </c>
      <c r="F3000" s="751">
        <v>4325</v>
      </c>
    </row>
    <row r="3001" spans="1:6">
      <c r="A3001" s="753"/>
      <c r="B3001" s="753"/>
      <c r="C3001" s="752" t="s">
        <v>47721</v>
      </c>
      <c r="D3001" s="753" t="s">
        <v>47679</v>
      </c>
      <c r="E3001" s="752" t="s">
        <v>47653</v>
      </c>
      <c r="F3001" s="751">
        <v>5225</v>
      </c>
    </row>
    <row r="3002" spans="1:6">
      <c r="A3002" s="753"/>
      <c r="B3002" s="753"/>
      <c r="C3002" s="752" t="s">
        <v>47720</v>
      </c>
      <c r="D3002" s="753" t="s">
        <v>47679</v>
      </c>
      <c r="E3002" s="752" t="s">
        <v>47719</v>
      </c>
      <c r="F3002" s="751">
        <v>4875</v>
      </c>
    </row>
    <row r="3003" spans="1:6">
      <c r="A3003" s="753"/>
      <c r="B3003" s="753"/>
      <c r="C3003" s="752" t="s">
        <v>47718</v>
      </c>
      <c r="D3003" s="753" t="s">
        <v>47717</v>
      </c>
      <c r="E3003" s="752" t="s">
        <v>47716</v>
      </c>
      <c r="F3003" s="751">
        <v>4025</v>
      </c>
    </row>
    <row r="3004" spans="1:6">
      <c r="A3004" s="753"/>
      <c r="B3004" s="753"/>
      <c r="C3004" s="752" t="s">
        <v>47715</v>
      </c>
      <c r="D3004" s="753" t="s">
        <v>47679</v>
      </c>
      <c r="E3004" s="752" t="s">
        <v>47663</v>
      </c>
      <c r="F3004" s="751">
        <v>5225</v>
      </c>
    </row>
    <row r="3005" spans="1:6">
      <c r="A3005" s="753"/>
      <c r="B3005" s="753"/>
      <c r="C3005" s="752" t="s">
        <v>47714</v>
      </c>
      <c r="D3005" s="753" t="s">
        <v>47679</v>
      </c>
      <c r="E3005" s="752" t="s">
        <v>47671</v>
      </c>
      <c r="F3005" s="751">
        <v>4075</v>
      </c>
    </row>
    <row r="3006" spans="1:6">
      <c r="A3006" s="753"/>
      <c r="B3006" s="753"/>
      <c r="C3006" s="752" t="s">
        <v>47713</v>
      </c>
      <c r="D3006" s="753" t="s">
        <v>47679</v>
      </c>
      <c r="E3006" s="752" t="s">
        <v>47647</v>
      </c>
      <c r="F3006" s="751">
        <v>4875</v>
      </c>
    </row>
    <row r="3007" spans="1:6">
      <c r="A3007" s="753"/>
      <c r="B3007" s="753"/>
      <c r="C3007" s="752" t="s">
        <v>47712</v>
      </c>
      <c r="D3007" s="753" t="s">
        <v>47679</v>
      </c>
      <c r="E3007" s="752" t="s">
        <v>47711</v>
      </c>
      <c r="F3007" s="751">
        <v>4525</v>
      </c>
    </row>
    <row r="3008" spans="1:6">
      <c r="A3008" s="753"/>
      <c r="B3008" s="753"/>
      <c r="C3008" s="752" t="s">
        <v>47710</v>
      </c>
      <c r="D3008" s="753" t="s">
        <v>47679</v>
      </c>
      <c r="E3008" s="752" t="s">
        <v>47709</v>
      </c>
      <c r="F3008" s="751">
        <v>3825</v>
      </c>
    </row>
    <row r="3009" spans="1:6">
      <c r="A3009" s="753"/>
      <c r="B3009" s="753"/>
      <c r="C3009" s="752" t="s">
        <v>47708</v>
      </c>
      <c r="D3009" s="753" t="s">
        <v>47679</v>
      </c>
      <c r="E3009" s="752" t="s">
        <v>47668</v>
      </c>
      <c r="F3009" s="751">
        <v>3775</v>
      </c>
    </row>
    <row r="3010" spans="1:6">
      <c r="A3010" s="753"/>
      <c r="B3010" s="753"/>
      <c r="C3010" s="752" t="s">
        <v>47707</v>
      </c>
      <c r="D3010" s="753" t="s">
        <v>47679</v>
      </c>
      <c r="E3010" s="752" t="s">
        <v>47687</v>
      </c>
      <c r="F3010" s="751">
        <v>4875</v>
      </c>
    </row>
    <row r="3011" spans="1:6">
      <c r="A3011" s="753"/>
      <c r="B3011" s="753"/>
      <c r="C3011" s="752" t="s">
        <v>47706</v>
      </c>
      <c r="D3011" s="753" t="s">
        <v>47679</v>
      </c>
      <c r="E3011" s="752" t="s">
        <v>47663</v>
      </c>
      <c r="F3011" s="751">
        <v>5225</v>
      </c>
    </row>
    <row r="3012" spans="1:6">
      <c r="A3012" s="753"/>
      <c r="B3012" s="753"/>
      <c r="C3012" s="752" t="s">
        <v>47705</v>
      </c>
      <c r="D3012" s="753" t="s">
        <v>47697</v>
      </c>
      <c r="E3012" s="752" t="s">
        <v>47678</v>
      </c>
      <c r="F3012" s="751">
        <v>4575</v>
      </c>
    </row>
    <row r="3013" spans="1:6">
      <c r="A3013" s="753"/>
      <c r="B3013" s="753"/>
      <c r="C3013" s="752" t="s">
        <v>47704</v>
      </c>
      <c r="D3013" s="753" t="s">
        <v>47697</v>
      </c>
      <c r="E3013" s="752" t="s">
        <v>47703</v>
      </c>
      <c r="F3013" s="751">
        <v>5575</v>
      </c>
    </row>
    <row r="3014" spans="1:6">
      <c r="A3014" s="753"/>
      <c r="B3014" s="753"/>
      <c r="C3014" s="752" t="s">
        <v>47702</v>
      </c>
      <c r="D3014" s="753" t="s">
        <v>47679</v>
      </c>
      <c r="E3014" s="752" t="s">
        <v>47701</v>
      </c>
      <c r="F3014" s="751">
        <v>4325</v>
      </c>
    </row>
    <row r="3015" spans="1:6">
      <c r="A3015" s="753"/>
      <c r="B3015" s="753"/>
      <c r="C3015" s="752" t="s">
        <v>47700</v>
      </c>
      <c r="D3015" s="753" t="s">
        <v>47697</v>
      </c>
      <c r="E3015" s="752" t="s">
        <v>47634</v>
      </c>
      <c r="F3015" s="751">
        <v>4325</v>
      </c>
    </row>
    <row r="3016" spans="1:6">
      <c r="A3016" s="753"/>
      <c r="B3016" s="753"/>
      <c r="C3016" s="752" t="s">
        <v>47699</v>
      </c>
      <c r="D3016" s="753" t="s">
        <v>47697</v>
      </c>
      <c r="E3016" s="752" t="s">
        <v>47653</v>
      </c>
      <c r="F3016" s="751">
        <v>5225</v>
      </c>
    </row>
    <row r="3017" spans="1:6">
      <c r="A3017" s="753"/>
      <c r="B3017" s="753"/>
      <c r="C3017" s="752" t="s">
        <v>47698</v>
      </c>
      <c r="D3017" s="753" t="s">
        <v>47697</v>
      </c>
      <c r="E3017" s="752" t="s">
        <v>47624</v>
      </c>
      <c r="F3017" s="751">
        <v>4625</v>
      </c>
    </row>
    <row r="3018" spans="1:6">
      <c r="A3018" s="753"/>
      <c r="B3018" s="753"/>
      <c r="C3018" s="752" t="s">
        <v>47696</v>
      </c>
      <c r="D3018" s="753" t="s">
        <v>47679</v>
      </c>
      <c r="E3018" s="752" t="s">
        <v>47649</v>
      </c>
      <c r="F3018" s="751">
        <v>4075</v>
      </c>
    </row>
    <row r="3019" spans="1:6">
      <c r="A3019" s="753"/>
      <c r="B3019" s="753"/>
      <c r="C3019" s="752" t="s">
        <v>47695</v>
      </c>
      <c r="D3019" s="753" t="s">
        <v>47679</v>
      </c>
      <c r="E3019" s="752" t="s">
        <v>47694</v>
      </c>
      <c r="F3019" s="751">
        <v>4875</v>
      </c>
    </row>
    <row r="3020" spans="1:6">
      <c r="A3020" s="753"/>
      <c r="B3020" s="753"/>
      <c r="C3020" s="752" t="s">
        <v>47693</v>
      </c>
      <c r="D3020" s="753" t="s">
        <v>47679</v>
      </c>
      <c r="E3020" s="752" t="s">
        <v>47692</v>
      </c>
      <c r="F3020" s="751">
        <v>4525</v>
      </c>
    </row>
    <row r="3021" spans="1:6">
      <c r="A3021" s="753"/>
      <c r="B3021" s="753"/>
      <c r="C3021" s="752" t="s">
        <v>47691</v>
      </c>
      <c r="D3021" s="753" t="s">
        <v>47679</v>
      </c>
      <c r="E3021" s="752" t="s">
        <v>47690</v>
      </c>
      <c r="F3021" s="751">
        <v>3825</v>
      </c>
    </row>
    <row r="3022" spans="1:6">
      <c r="A3022" s="753"/>
      <c r="B3022" s="753"/>
      <c r="C3022" s="752" t="s">
        <v>47689</v>
      </c>
      <c r="D3022" s="753" t="s">
        <v>47679</v>
      </c>
      <c r="E3022" s="752" t="s">
        <v>47668</v>
      </c>
      <c r="F3022" s="751">
        <v>3775</v>
      </c>
    </row>
    <row r="3023" spans="1:6">
      <c r="A3023" s="753"/>
      <c r="B3023" s="753"/>
      <c r="C3023" s="752" t="s">
        <v>47688</v>
      </c>
      <c r="D3023" s="753" t="s">
        <v>47679</v>
      </c>
      <c r="E3023" s="752" t="s">
        <v>47687</v>
      </c>
      <c r="F3023" s="751">
        <v>4875</v>
      </c>
    </row>
    <row r="3024" spans="1:6">
      <c r="A3024" s="753"/>
      <c r="B3024" s="753"/>
      <c r="C3024" s="752" t="s">
        <v>47686</v>
      </c>
      <c r="D3024" s="753" t="s">
        <v>47679</v>
      </c>
      <c r="E3024" s="752" t="s">
        <v>47640</v>
      </c>
      <c r="F3024" s="751">
        <v>5225</v>
      </c>
    </row>
    <row r="3025" spans="1:6">
      <c r="A3025" s="753"/>
      <c r="B3025" s="753"/>
      <c r="C3025" s="752" t="s">
        <v>47685</v>
      </c>
      <c r="D3025" s="753" t="s">
        <v>47679</v>
      </c>
      <c r="E3025" s="752" t="s">
        <v>47640</v>
      </c>
      <c r="F3025" s="751">
        <v>4525</v>
      </c>
    </row>
    <row r="3026" spans="1:6">
      <c r="A3026" s="753"/>
      <c r="B3026" s="753"/>
      <c r="C3026" s="752" t="s">
        <v>47684</v>
      </c>
      <c r="D3026" s="753" t="s">
        <v>47645</v>
      </c>
      <c r="E3026" s="752" t="s">
        <v>47657</v>
      </c>
      <c r="F3026" s="751">
        <v>4325</v>
      </c>
    </row>
    <row r="3027" spans="1:6">
      <c r="A3027" s="753"/>
      <c r="B3027" s="753"/>
      <c r="C3027" s="752" t="s">
        <v>47683</v>
      </c>
      <c r="D3027" s="753" t="s">
        <v>47645</v>
      </c>
      <c r="E3027" s="752" t="s">
        <v>47640</v>
      </c>
      <c r="F3027" s="751">
        <v>5225</v>
      </c>
    </row>
    <row r="3028" spans="1:6">
      <c r="A3028" s="753"/>
      <c r="B3028" s="753"/>
      <c r="C3028" s="752" t="s">
        <v>47682</v>
      </c>
      <c r="D3028" s="753" t="s">
        <v>47645</v>
      </c>
      <c r="E3028" s="752" t="s">
        <v>47681</v>
      </c>
      <c r="F3028" s="751">
        <v>4875</v>
      </c>
    </row>
    <row r="3029" spans="1:6">
      <c r="A3029" s="753"/>
      <c r="B3029" s="753"/>
      <c r="C3029" s="752" t="s">
        <v>47680</v>
      </c>
      <c r="D3029" s="753" t="s">
        <v>47679</v>
      </c>
      <c r="E3029" s="752" t="s">
        <v>47678</v>
      </c>
      <c r="F3029" s="751">
        <v>4575</v>
      </c>
    </row>
    <row r="3030" spans="1:6">
      <c r="A3030" s="753"/>
      <c r="B3030" s="753"/>
      <c r="C3030" s="752" t="s">
        <v>47677</v>
      </c>
      <c r="D3030" s="753" t="s">
        <v>47638</v>
      </c>
      <c r="E3030" s="752" t="s">
        <v>47676</v>
      </c>
      <c r="F3030" s="751">
        <v>5575</v>
      </c>
    </row>
    <row r="3031" spans="1:6">
      <c r="A3031" s="753"/>
      <c r="B3031" s="753"/>
      <c r="C3031" s="752" t="s">
        <v>47675</v>
      </c>
      <c r="D3031" s="753" t="s">
        <v>47645</v>
      </c>
      <c r="E3031" s="752" t="s">
        <v>47674</v>
      </c>
      <c r="F3031" s="751">
        <v>4325</v>
      </c>
    </row>
    <row r="3032" spans="1:6">
      <c r="A3032" s="753"/>
      <c r="B3032" s="753"/>
      <c r="C3032" s="752" t="s">
        <v>47673</v>
      </c>
      <c r="D3032" s="753" t="s">
        <v>47638</v>
      </c>
      <c r="E3032" s="752" t="s">
        <v>47653</v>
      </c>
      <c r="F3032" s="751">
        <v>5225</v>
      </c>
    </row>
    <row r="3033" spans="1:6">
      <c r="A3033" s="753"/>
      <c r="B3033" s="753"/>
      <c r="C3033" s="752" t="s">
        <v>47672</v>
      </c>
      <c r="D3033" s="753" t="s">
        <v>47645</v>
      </c>
      <c r="E3033" s="752" t="s">
        <v>47671</v>
      </c>
      <c r="F3033" s="751">
        <v>4075</v>
      </c>
    </row>
    <row r="3034" spans="1:6">
      <c r="A3034" s="753"/>
      <c r="B3034" s="753"/>
      <c r="C3034" s="752" t="s">
        <v>47670</v>
      </c>
      <c r="D3034" s="753" t="s">
        <v>47645</v>
      </c>
      <c r="E3034" s="752" t="s">
        <v>47647</v>
      </c>
      <c r="F3034" s="751">
        <v>4875</v>
      </c>
    </row>
    <row r="3035" spans="1:6">
      <c r="A3035" s="753"/>
      <c r="B3035" s="753"/>
      <c r="C3035" s="752" t="s">
        <v>47669</v>
      </c>
      <c r="D3035" s="753" t="s">
        <v>47650</v>
      </c>
      <c r="E3035" s="752" t="s">
        <v>47668</v>
      </c>
      <c r="F3035" s="751">
        <v>3775</v>
      </c>
    </row>
    <row r="3036" spans="1:6">
      <c r="A3036" s="753"/>
      <c r="B3036" s="753"/>
      <c r="C3036" s="752" t="s">
        <v>47667</v>
      </c>
      <c r="D3036" s="753" t="s">
        <v>47638</v>
      </c>
      <c r="E3036" s="752" t="s">
        <v>47642</v>
      </c>
      <c r="F3036" s="751">
        <v>4875</v>
      </c>
    </row>
    <row r="3037" spans="1:6">
      <c r="A3037" s="753"/>
      <c r="B3037" s="753"/>
      <c r="C3037" s="752" t="s">
        <v>47666</v>
      </c>
      <c r="D3037" s="753" t="s">
        <v>47650</v>
      </c>
      <c r="E3037" s="752" t="s">
        <v>47665</v>
      </c>
      <c r="F3037" s="751">
        <v>4025</v>
      </c>
    </row>
    <row r="3038" spans="1:6">
      <c r="A3038" s="753"/>
      <c r="B3038" s="753"/>
      <c r="C3038" s="752" t="s">
        <v>47664</v>
      </c>
      <c r="D3038" s="753" t="s">
        <v>47650</v>
      </c>
      <c r="E3038" s="752" t="s">
        <v>47663</v>
      </c>
      <c r="F3038" s="751">
        <v>5225</v>
      </c>
    </row>
    <row r="3039" spans="1:6">
      <c r="A3039" s="753"/>
      <c r="B3039" s="753"/>
      <c r="C3039" s="752" t="s">
        <v>47662</v>
      </c>
      <c r="D3039" s="753" t="s">
        <v>47645</v>
      </c>
      <c r="E3039" s="752" t="s">
        <v>47661</v>
      </c>
      <c r="F3039" s="751">
        <v>4575</v>
      </c>
    </row>
    <row r="3040" spans="1:6">
      <c r="A3040" s="753"/>
      <c r="B3040" s="753"/>
      <c r="C3040" s="752" t="s">
        <v>47660</v>
      </c>
      <c r="D3040" s="753" t="s">
        <v>47638</v>
      </c>
      <c r="E3040" s="752" t="s">
        <v>47659</v>
      </c>
      <c r="F3040" s="751">
        <v>5575</v>
      </c>
    </row>
    <row r="3041" spans="1:6">
      <c r="A3041" s="753"/>
      <c r="B3041" s="753"/>
      <c r="C3041" s="752" t="s">
        <v>47658</v>
      </c>
      <c r="D3041" s="753" t="s">
        <v>47645</v>
      </c>
      <c r="E3041" s="752" t="s">
        <v>47657</v>
      </c>
      <c r="F3041" s="751">
        <v>4325</v>
      </c>
    </row>
    <row r="3042" spans="1:6">
      <c r="A3042" s="753"/>
      <c r="B3042" s="753"/>
      <c r="C3042" s="752" t="s">
        <v>47656</v>
      </c>
      <c r="D3042" s="753" t="s">
        <v>47645</v>
      </c>
      <c r="E3042" s="752" t="s">
        <v>47655</v>
      </c>
      <c r="F3042" s="751">
        <v>4325</v>
      </c>
    </row>
    <row r="3043" spans="1:6">
      <c r="A3043" s="753"/>
      <c r="B3043" s="753"/>
      <c r="C3043" s="752" t="s">
        <v>47654</v>
      </c>
      <c r="D3043" s="753" t="s">
        <v>47638</v>
      </c>
      <c r="E3043" s="752" t="s">
        <v>47653</v>
      </c>
      <c r="F3043" s="751">
        <v>5225</v>
      </c>
    </row>
    <row r="3044" spans="1:6">
      <c r="A3044" s="753"/>
      <c r="B3044" s="753"/>
      <c r="C3044" s="752" t="s">
        <v>47652</v>
      </c>
      <c r="D3044" s="753" t="s">
        <v>47638</v>
      </c>
      <c r="E3044" s="752" t="s">
        <v>47624</v>
      </c>
      <c r="F3044" s="751">
        <v>4625</v>
      </c>
    </row>
    <row r="3045" spans="1:6">
      <c r="A3045" s="753"/>
      <c r="B3045" s="753"/>
      <c r="C3045" s="752" t="s">
        <v>47651</v>
      </c>
      <c r="D3045" s="753" t="s">
        <v>47650</v>
      </c>
      <c r="E3045" s="752" t="s">
        <v>47649</v>
      </c>
      <c r="F3045" s="751">
        <v>4075</v>
      </c>
    </row>
    <row r="3046" spans="1:6">
      <c r="A3046" s="753"/>
      <c r="B3046" s="753"/>
      <c r="C3046" s="752" t="s">
        <v>47648</v>
      </c>
      <c r="D3046" s="753" t="s">
        <v>47645</v>
      </c>
      <c r="E3046" s="752" t="s">
        <v>47647</v>
      </c>
      <c r="F3046" s="751">
        <v>4875</v>
      </c>
    </row>
    <row r="3047" spans="1:6">
      <c r="A3047" s="753"/>
      <c r="B3047" s="753"/>
      <c r="C3047" s="752" t="s">
        <v>47646</v>
      </c>
      <c r="D3047" s="753" t="s">
        <v>47645</v>
      </c>
      <c r="E3047" s="752" t="s">
        <v>47644</v>
      </c>
      <c r="F3047" s="751">
        <v>4525</v>
      </c>
    </row>
    <row r="3048" spans="1:6">
      <c r="A3048" s="753"/>
      <c r="B3048" s="753"/>
      <c r="C3048" s="752" t="s">
        <v>47643</v>
      </c>
      <c r="D3048" s="753" t="s">
        <v>47638</v>
      </c>
      <c r="E3048" s="752" t="s">
        <v>47642</v>
      </c>
      <c r="F3048" s="751">
        <v>4875</v>
      </c>
    </row>
    <row r="3049" spans="1:6">
      <c r="A3049" s="753"/>
      <c r="B3049" s="753"/>
      <c r="C3049" s="752" t="s">
        <v>47641</v>
      </c>
      <c r="D3049" s="753" t="s">
        <v>47638</v>
      </c>
      <c r="E3049" s="752" t="s">
        <v>47640</v>
      </c>
      <c r="F3049" s="751">
        <v>5225</v>
      </c>
    </row>
    <row r="3050" spans="1:6">
      <c r="A3050" s="753"/>
      <c r="B3050" s="753"/>
      <c r="C3050" s="752" t="s">
        <v>47639</v>
      </c>
      <c r="D3050" s="753" t="s">
        <v>47638</v>
      </c>
      <c r="E3050" s="752" t="s">
        <v>47637</v>
      </c>
      <c r="F3050" s="751">
        <v>5225</v>
      </c>
    </row>
    <row r="3051" spans="1:6">
      <c r="A3051" s="753"/>
      <c r="B3051" s="753"/>
      <c r="C3051" s="752" t="s">
        <v>47636</v>
      </c>
      <c r="D3051" s="753" t="s">
        <v>47635</v>
      </c>
      <c r="E3051" s="752" t="s">
        <v>47634</v>
      </c>
      <c r="F3051" s="751">
        <v>4225</v>
      </c>
    </row>
    <row r="3052" spans="1:6">
      <c r="A3052" s="753"/>
      <c r="B3052" s="753"/>
      <c r="C3052" s="752" t="s">
        <v>47633</v>
      </c>
      <c r="D3052" s="753" t="s">
        <v>47620</v>
      </c>
      <c r="E3052" s="752" t="s">
        <v>44570</v>
      </c>
      <c r="F3052" s="751">
        <v>5875</v>
      </c>
    </row>
    <row r="3053" spans="1:6">
      <c r="A3053" s="753"/>
      <c r="B3053" s="753"/>
      <c r="C3053" s="752" t="s">
        <v>47632</v>
      </c>
      <c r="D3053" s="753" t="s">
        <v>47631</v>
      </c>
      <c r="E3053" s="752" t="s">
        <v>47630</v>
      </c>
      <c r="F3053" s="751">
        <v>3875</v>
      </c>
    </row>
    <row r="3054" spans="1:6">
      <c r="A3054" s="753"/>
      <c r="B3054" s="753"/>
      <c r="C3054" s="752" t="s">
        <v>47629</v>
      </c>
      <c r="D3054" s="753" t="s">
        <v>47628</v>
      </c>
      <c r="E3054" s="752" t="s">
        <v>44570</v>
      </c>
      <c r="F3054" s="751">
        <v>5675</v>
      </c>
    </row>
    <row r="3055" spans="1:6">
      <c r="A3055" s="753"/>
      <c r="B3055" s="753"/>
      <c r="C3055" s="752" t="s">
        <v>47627</v>
      </c>
      <c r="D3055" s="753" t="s">
        <v>43261</v>
      </c>
      <c r="E3055" s="752" t="s">
        <v>43260</v>
      </c>
      <c r="F3055" s="751">
        <v>13195</v>
      </c>
    </row>
    <row r="3056" spans="1:6">
      <c r="A3056" s="753"/>
      <c r="B3056" s="753"/>
      <c r="C3056" s="752" t="s">
        <v>47626</v>
      </c>
      <c r="D3056" s="753" t="s">
        <v>47625</v>
      </c>
      <c r="E3056" s="752" t="s">
        <v>47624</v>
      </c>
      <c r="F3056" s="751">
        <v>4525</v>
      </c>
    </row>
    <row r="3057" spans="1:6">
      <c r="A3057" s="753"/>
      <c r="B3057" s="753"/>
      <c r="C3057" s="752" t="s">
        <v>47623</v>
      </c>
      <c r="D3057" s="753" t="s">
        <v>47622</v>
      </c>
      <c r="E3057" s="752" t="s">
        <v>44570</v>
      </c>
      <c r="F3057" s="751">
        <v>5475</v>
      </c>
    </row>
    <row r="3058" spans="1:6">
      <c r="A3058" s="753"/>
      <c r="B3058" s="753"/>
      <c r="C3058" s="752" t="s">
        <v>47621</v>
      </c>
      <c r="D3058" s="753" t="s">
        <v>47620</v>
      </c>
      <c r="E3058" s="752" t="s">
        <v>44550</v>
      </c>
      <c r="F3058" s="751">
        <v>6225</v>
      </c>
    </row>
    <row r="3059" spans="1:6">
      <c r="A3059" s="753"/>
      <c r="B3059" s="753"/>
      <c r="C3059" s="752" t="s">
        <v>47619</v>
      </c>
      <c r="D3059" s="753" t="s">
        <v>47618</v>
      </c>
      <c r="E3059" s="752" t="s">
        <v>47617</v>
      </c>
      <c r="F3059" s="751">
        <v>2975</v>
      </c>
    </row>
    <row r="3060" spans="1:6">
      <c r="A3060" s="753"/>
      <c r="B3060" s="753" t="s">
        <v>47616</v>
      </c>
      <c r="C3060" s="752" t="s">
        <v>47615</v>
      </c>
      <c r="D3060" s="753" t="s">
        <v>47614</v>
      </c>
      <c r="E3060" s="752" t="s">
        <v>37838</v>
      </c>
      <c r="F3060" s="751">
        <v>1975</v>
      </c>
    </row>
    <row r="3061" spans="1:6">
      <c r="A3061" s="753" t="s">
        <v>47613</v>
      </c>
      <c r="B3061" s="753" t="s">
        <v>47612</v>
      </c>
      <c r="C3061" s="752" t="s">
        <v>47611</v>
      </c>
      <c r="D3061" s="753" t="s">
        <v>47610</v>
      </c>
      <c r="E3061" s="752" t="s">
        <v>44041</v>
      </c>
      <c r="F3061" s="751">
        <v>2025</v>
      </c>
    </row>
    <row r="3062" spans="1:6">
      <c r="A3062" s="753" t="s">
        <v>5174</v>
      </c>
      <c r="B3062" s="753">
        <v>500</v>
      </c>
      <c r="C3062" s="752" t="s">
        <v>47609</v>
      </c>
      <c r="D3062" s="753" t="s">
        <v>47608</v>
      </c>
      <c r="E3062" s="752" t="s">
        <v>37838</v>
      </c>
      <c r="F3062" s="751">
        <v>1975</v>
      </c>
    </row>
    <row r="3063" spans="1:6">
      <c r="A3063" s="753"/>
      <c r="B3063" s="753" t="s">
        <v>47607</v>
      </c>
      <c r="C3063" s="752" t="s">
        <v>47606</v>
      </c>
      <c r="D3063" s="753" t="s">
        <v>47605</v>
      </c>
      <c r="E3063" s="752" t="s">
        <v>39681</v>
      </c>
      <c r="F3063" s="751">
        <v>2825</v>
      </c>
    </row>
    <row r="3064" spans="1:6">
      <c r="A3064" s="753"/>
      <c r="B3064" s="753"/>
      <c r="C3064" s="752" t="s">
        <v>47604</v>
      </c>
      <c r="D3064" s="753" t="s">
        <v>47602</v>
      </c>
      <c r="E3064" s="752" t="s">
        <v>39691</v>
      </c>
      <c r="F3064" s="751">
        <v>3375</v>
      </c>
    </row>
    <row r="3065" spans="1:6">
      <c r="A3065" s="753"/>
      <c r="B3065" s="753"/>
      <c r="C3065" s="752" t="s">
        <v>47603</v>
      </c>
      <c r="D3065" s="753" t="s">
        <v>47602</v>
      </c>
      <c r="E3065" s="752" t="s">
        <v>39681</v>
      </c>
      <c r="F3065" s="751">
        <v>3375</v>
      </c>
    </row>
    <row r="3066" spans="1:6">
      <c r="A3066" s="753"/>
      <c r="B3066" s="753"/>
      <c r="C3066" s="752" t="s">
        <v>47601</v>
      </c>
      <c r="D3066" s="753" t="s">
        <v>47600</v>
      </c>
      <c r="E3066" s="752" t="s">
        <v>39681</v>
      </c>
      <c r="F3066" s="751">
        <v>2625</v>
      </c>
    </row>
    <row r="3067" spans="1:6">
      <c r="A3067" s="753"/>
      <c r="B3067" s="753"/>
      <c r="C3067" s="752" t="s">
        <v>47599</v>
      </c>
      <c r="D3067" s="753" t="s">
        <v>47597</v>
      </c>
      <c r="E3067" s="752" t="s">
        <v>39691</v>
      </c>
      <c r="F3067" s="751">
        <v>3175</v>
      </c>
    </row>
    <row r="3068" spans="1:6">
      <c r="A3068" s="753"/>
      <c r="B3068" s="753"/>
      <c r="C3068" s="752" t="s">
        <v>47598</v>
      </c>
      <c r="D3068" s="753" t="s">
        <v>47597</v>
      </c>
      <c r="E3068" s="752" t="s">
        <v>39681</v>
      </c>
      <c r="F3068" s="751">
        <v>3175</v>
      </c>
    </row>
    <row r="3069" spans="1:6">
      <c r="A3069" s="753"/>
      <c r="B3069" s="753" t="s">
        <v>47596</v>
      </c>
      <c r="C3069" s="752" t="s">
        <v>47595</v>
      </c>
      <c r="D3069" s="753" t="s">
        <v>47593</v>
      </c>
      <c r="E3069" s="752" t="s">
        <v>293</v>
      </c>
      <c r="F3069" s="751">
        <v>5195</v>
      </c>
    </row>
    <row r="3070" spans="1:6">
      <c r="A3070" s="753"/>
      <c r="B3070" s="753"/>
      <c r="C3070" s="752" t="s">
        <v>47594</v>
      </c>
      <c r="D3070" s="753" t="s">
        <v>47593</v>
      </c>
      <c r="E3070" s="752" t="s">
        <v>293</v>
      </c>
      <c r="F3070" s="751">
        <v>5495</v>
      </c>
    </row>
    <row r="3071" spans="1:6">
      <c r="A3071" s="753"/>
      <c r="B3071" s="753"/>
      <c r="C3071" s="752" t="s">
        <v>47592</v>
      </c>
      <c r="D3071" s="753" t="s">
        <v>47590</v>
      </c>
      <c r="E3071" s="752" t="s">
        <v>293</v>
      </c>
      <c r="F3071" s="751">
        <v>2575</v>
      </c>
    </row>
    <row r="3072" spans="1:6">
      <c r="A3072" s="753"/>
      <c r="B3072" s="753"/>
      <c r="C3072" s="752" t="s">
        <v>47591</v>
      </c>
      <c r="D3072" s="753" t="s">
        <v>47590</v>
      </c>
      <c r="E3072" s="752" t="s">
        <v>293</v>
      </c>
      <c r="F3072" s="751">
        <v>2575</v>
      </c>
    </row>
    <row r="3073" spans="1:6">
      <c r="A3073" s="753"/>
      <c r="B3073" s="753"/>
      <c r="C3073" s="752" t="s">
        <v>47589</v>
      </c>
      <c r="D3073" s="753" t="s">
        <v>47587</v>
      </c>
      <c r="E3073" s="752" t="s">
        <v>293</v>
      </c>
      <c r="F3073" s="751">
        <v>3375</v>
      </c>
    </row>
    <row r="3074" spans="1:6">
      <c r="A3074" s="753"/>
      <c r="B3074" s="753"/>
      <c r="C3074" s="752" t="s">
        <v>47588</v>
      </c>
      <c r="D3074" s="753" t="s">
        <v>47587</v>
      </c>
      <c r="E3074" s="752" t="s">
        <v>293</v>
      </c>
      <c r="F3074" s="751">
        <v>3125</v>
      </c>
    </row>
    <row r="3075" spans="1:6">
      <c r="A3075" s="753"/>
      <c r="B3075" s="753"/>
      <c r="C3075" s="752" t="s">
        <v>47586</v>
      </c>
      <c r="D3075" s="753" t="s">
        <v>47585</v>
      </c>
      <c r="E3075" s="752" t="s">
        <v>293</v>
      </c>
      <c r="F3075" s="751">
        <v>2375</v>
      </c>
    </row>
    <row r="3076" spans="1:6">
      <c r="A3076" s="753"/>
      <c r="B3076" s="753"/>
      <c r="C3076" s="752" t="s">
        <v>47584</v>
      </c>
      <c r="D3076" s="753" t="s">
        <v>47582</v>
      </c>
      <c r="E3076" s="752" t="s">
        <v>293</v>
      </c>
      <c r="F3076" s="751">
        <v>2925</v>
      </c>
    </row>
    <row r="3077" spans="1:6">
      <c r="A3077" s="753"/>
      <c r="B3077" s="753"/>
      <c r="C3077" s="752" t="s">
        <v>47583</v>
      </c>
      <c r="D3077" s="753" t="s">
        <v>47582</v>
      </c>
      <c r="E3077" s="752" t="s">
        <v>293</v>
      </c>
      <c r="F3077" s="751">
        <v>2925</v>
      </c>
    </row>
    <row r="3078" spans="1:6">
      <c r="A3078" s="753"/>
      <c r="B3078" s="753"/>
      <c r="C3078" s="752" t="s">
        <v>47581</v>
      </c>
      <c r="D3078" s="753" t="s">
        <v>47580</v>
      </c>
      <c r="E3078" s="752" t="s">
        <v>293</v>
      </c>
      <c r="F3078" s="751">
        <v>2375</v>
      </c>
    </row>
    <row r="3079" spans="1:6">
      <c r="A3079" s="753"/>
      <c r="B3079" s="753"/>
      <c r="C3079" s="752" t="s">
        <v>47579</v>
      </c>
      <c r="D3079" s="753" t="s">
        <v>47578</v>
      </c>
      <c r="E3079" s="752" t="s">
        <v>293</v>
      </c>
      <c r="F3079" s="751">
        <v>2475</v>
      </c>
    </row>
    <row r="3080" spans="1:6">
      <c r="A3080" s="753"/>
      <c r="B3080" s="753"/>
      <c r="C3080" s="752" t="s">
        <v>47577</v>
      </c>
      <c r="D3080" s="753" t="s">
        <v>47576</v>
      </c>
      <c r="E3080" s="752" t="s">
        <v>38670</v>
      </c>
      <c r="F3080" s="751">
        <v>3785</v>
      </c>
    </row>
    <row r="3081" spans="1:6">
      <c r="A3081" s="753"/>
      <c r="B3081" s="753" t="s">
        <v>47575</v>
      </c>
      <c r="C3081" s="752" t="s">
        <v>47574</v>
      </c>
      <c r="D3081" s="753" t="s">
        <v>47573</v>
      </c>
      <c r="E3081" s="752" t="s">
        <v>293</v>
      </c>
      <c r="F3081" s="751">
        <v>2125</v>
      </c>
    </row>
    <row r="3082" spans="1:6">
      <c r="A3082" s="753"/>
      <c r="B3082" s="753" t="s">
        <v>47572</v>
      </c>
      <c r="C3082" s="752" t="s">
        <v>47571</v>
      </c>
      <c r="D3082" s="753" t="s">
        <v>47570</v>
      </c>
      <c r="E3082" s="752" t="s">
        <v>38670</v>
      </c>
      <c r="F3082" s="751">
        <v>3435</v>
      </c>
    </row>
    <row r="3083" spans="1:6">
      <c r="A3083" s="753"/>
      <c r="B3083" s="753"/>
      <c r="C3083" s="752" t="s">
        <v>47569</v>
      </c>
      <c r="D3083" s="753" t="s">
        <v>47565</v>
      </c>
      <c r="E3083" s="752" t="s">
        <v>293</v>
      </c>
      <c r="F3083" s="751">
        <v>2575</v>
      </c>
    </row>
    <row r="3084" spans="1:6">
      <c r="A3084" s="753"/>
      <c r="B3084" s="753"/>
      <c r="C3084" s="752" t="s">
        <v>47568</v>
      </c>
      <c r="D3084" s="753" t="s">
        <v>47565</v>
      </c>
      <c r="E3084" s="752" t="s">
        <v>37794</v>
      </c>
      <c r="F3084" s="751">
        <v>3335</v>
      </c>
    </row>
    <row r="3085" spans="1:6">
      <c r="A3085" s="753"/>
      <c r="B3085" s="753"/>
      <c r="C3085" s="752" t="s">
        <v>47567</v>
      </c>
      <c r="D3085" s="753" t="s">
        <v>47565</v>
      </c>
      <c r="E3085" s="752" t="s">
        <v>39011</v>
      </c>
      <c r="F3085" s="751">
        <v>3335</v>
      </c>
    </row>
    <row r="3086" spans="1:6">
      <c r="A3086" s="753"/>
      <c r="B3086" s="753"/>
      <c r="C3086" s="752" t="s">
        <v>47566</v>
      </c>
      <c r="D3086" s="753" t="s">
        <v>47565</v>
      </c>
      <c r="E3086" s="752" t="s">
        <v>47564</v>
      </c>
      <c r="F3086" s="751">
        <v>2675</v>
      </c>
    </row>
    <row r="3087" spans="1:6">
      <c r="A3087" s="753"/>
      <c r="B3087" s="753"/>
      <c r="C3087" s="752" t="s">
        <v>47563</v>
      </c>
      <c r="D3087" s="753" t="s">
        <v>47561</v>
      </c>
      <c r="E3087" s="752" t="s">
        <v>293</v>
      </c>
      <c r="F3087" s="751">
        <v>3125</v>
      </c>
    </row>
    <row r="3088" spans="1:6">
      <c r="A3088" s="753"/>
      <c r="B3088" s="753"/>
      <c r="C3088" s="752" t="s">
        <v>47562</v>
      </c>
      <c r="D3088" s="753" t="s">
        <v>47561</v>
      </c>
      <c r="E3088" s="752" t="s">
        <v>37794</v>
      </c>
      <c r="F3088" s="751">
        <v>3885</v>
      </c>
    </row>
    <row r="3089" spans="1:6">
      <c r="A3089" s="753"/>
      <c r="B3089" s="753"/>
      <c r="C3089" s="752" t="s">
        <v>47560</v>
      </c>
      <c r="D3089" s="753" t="s">
        <v>47558</v>
      </c>
      <c r="E3089" s="752" t="s">
        <v>293</v>
      </c>
      <c r="F3089" s="751">
        <v>3125</v>
      </c>
    </row>
    <row r="3090" spans="1:6">
      <c r="A3090" s="753"/>
      <c r="B3090" s="753"/>
      <c r="C3090" s="752" t="s">
        <v>47559</v>
      </c>
      <c r="D3090" s="753" t="s">
        <v>47558</v>
      </c>
      <c r="E3090" s="752" t="s">
        <v>38670</v>
      </c>
      <c r="F3090" s="751">
        <v>3885</v>
      </c>
    </row>
    <row r="3091" spans="1:6">
      <c r="A3091" s="753"/>
      <c r="B3091" s="753"/>
      <c r="C3091" s="752" t="s">
        <v>47557</v>
      </c>
      <c r="D3091" s="753" t="s">
        <v>47555</v>
      </c>
      <c r="E3091" s="752" t="s">
        <v>293</v>
      </c>
      <c r="F3091" s="751">
        <v>2375</v>
      </c>
    </row>
    <row r="3092" spans="1:6">
      <c r="A3092" s="753"/>
      <c r="B3092" s="753"/>
      <c r="C3092" s="752" t="s">
        <v>47556</v>
      </c>
      <c r="D3092" s="753" t="s">
        <v>47555</v>
      </c>
      <c r="E3092" s="752" t="s">
        <v>38670</v>
      </c>
      <c r="F3092" s="751">
        <v>3135</v>
      </c>
    </row>
    <row r="3093" spans="1:6">
      <c r="A3093" s="753"/>
      <c r="B3093" s="753"/>
      <c r="C3093" s="752" t="s">
        <v>47554</v>
      </c>
      <c r="D3093" s="753" t="s">
        <v>47552</v>
      </c>
      <c r="E3093" s="752" t="s">
        <v>293</v>
      </c>
      <c r="F3093" s="751">
        <v>2925</v>
      </c>
    </row>
    <row r="3094" spans="1:6">
      <c r="A3094" s="753"/>
      <c r="B3094" s="753"/>
      <c r="C3094" s="752" t="s">
        <v>47553</v>
      </c>
      <c r="D3094" s="753" t="s">
        <v>47552</v>
      </c>
      <c r="E3094" s="752" t="s">
        <v>38670</v>
      </c>
      <c r="F3094" s="751">
        <v>3685</v>
      </c>
    </row>
    <row r="3095" spans="1:6">
      <c r="A3095" s="753"/>
      <c r="B3095" s="753"/>
      <c r="C3095" s="752" t="s">
        <v>47551</v>
      </c>
      <c r="D3095" s="753" t="s">
        <v>47550</v>
      </c>
      <c r="E3095" s="752" t="s">
        <v>293</v>
      </c>
      <c r="F3095" s="751">
        <v>2925</v>
      </c>
    </row>
    <row r="3096" spans="1:6">
      <c r="A3096" s="753"/>
      <c r="B3096" s="753"/>
      <c r="C3096" s="752" t="s">
        <v>47549</v>
      </c>
      <c r="D3096" s="753" t="s">
        <v>47546</v>
      </c>
      <c r="E3096" s="752" t="s">
        <v>293</v>
      </c>
      <c r="F3096" s="751">
        <v>2475</v>
      </c>
    </row>
    <row r="3097" spans="1:6">
      <c r="A3097" s="753"/>
      <c r="B3097" s="753"/>
      <c r="C3097" s="752" t="s">
        <v>47548</v>
      </c>
      <c r="D3097" s="753" t="s">
        <v>47546</v>
      </c>
      <c r="E3097" s="752" t="s">
        <v>38670</v>
      </c>
      <c r="F3097" s="751">
        <v>3235</v>
      </c>
    </row>
    <row r="3098" spans="1:6">
      <c r="A3098" s="753"/>
      <c r="B3098" s="753"/>
      <c r="C3098" s="752" t="s">
        <v>47547</v>
      </c>
      <c r="D3098" s="753" t="s">
        <v>47546</v>
      </c>
      <c r="E3098" s="752" t="s">
        <v>47540</v>
      </c>
      <c r="F3098" s="751">
        <v>3535</v>
      </c>
    </row>
    <row r="3099" spans="1:6">
      <c r="A3099" s="753"/>
      <c r="B3099" s="753"/>
      <c r="C3099" s="752" t="s">
        <v>47545</v>
      </c>
      <c r="D3099" s="753" t="s">
        <v>47544</v>
      </c>
      <c r="E3099" s="752" t="s">
        <v>293</v>
      </c>
      <c r="F3099" s="751">
        <v>3025</v>
      </c>
    </row>
    <row r="3100" spans="1:6">
      <c r="A3100" s="753"/>
      <c r="B3100" s="753"/>
      <c r="C3100" s="752" t="s">
        <v>47543</v>
      </c>
      <c r="D3100" s="753" t="s">
        <v>47541</v>
      </c>
      <c r="E3100" s="752" t="s">
        <v>38670</v>
      </c>
      <c r="F3100" s="751">
        <v>3785</v>
      </c>
    </row>
    <row r="3101" spans="1:6">
      <c r="A3101" s="753"/>
      <c r="B3101" s="753"/>
      <c r="C3101" s="752" t="s">
        <v>47542</v>
      </c>
      <c r="D3101" s="753" t="s">
        <v>47541</v>
      </c>
      <c r="E3101" s="752" t="s">
        <v>47540</v>
      </c>
      <c r="F3101" s="751">
        <v>3785</v>
      </c>
    </row>
    <row r="3102" spans="1:6">
      <c r="A3102" s="753"/>
      <c r="B3102" s="753"/>
      <c r="C3102" s="752" t="s">
        <v>47539</v>
      </c>
      <c r="D3102" s="753" t="s">
        <v>47538</v>
      </c>
      <c r="E3102" s="752" t="s">
        <v>293</v>
      </c>
      <c r="F3102" s="751">
        <v>3615</v>
      </c>
    </row>
    <row r="3103" spans="1:6">
      <c r="A3103" s="753"/>
      <c r="B3103" s="753" t="s">
        <v>47537</v>
      </c>
      <c r="C3103" s="752" t="s">
        <v>47536</v>
      </c>
      <c r="D3103" s="753" t="s">
        <v>47535</v>
      </c>
      <c r="E3103" s="752" t="s">
        <v>293</v>
      </c>
      <c r="F3103" s="751">
        <v>3715</v>
      </c>
    </row>
    <row r="3104" spans="1:6">
      <c r="A3104" s="753"/>
      <c r="B3104" s="753"/>
      <c r="C3104" s="752" t="s">
        <v>47534</v>
      </c>
      <c r="D3104" s="753" t="s">
        <v>47533</v>
      </c>
      <c r="E3104" s="752" t="s">
        <v>47532</v>
      </c>
      <c r="F3104" s="751">
        <v>2925</v>
      </c>
    </row>
    <row r="3105" spans="1:6">
      <c r="A3105" s="753"/>
      <c r="B3105" s="753"/>
      <c r="C3105" s="752" t="s">
        <v>47531</v>
      </c>
      <c r="D3105" s="753" t="s">
        <v>47529</v>
      </c>
      <c r="E3105" s="752" t="s">
        <v>293</v>
      </c>
      <c r="F3105" s="751">
        <v>2475</v>
      </c>
    </row>
    <row r="3106" spans="1:6">
      <c r="A3106" s="753"/>
      <c r="B3106" s="753"/>
      <c r="C3106" s="752" t="s">
        <v>47530</v>
      </c>
      <c r="D3106" s="753" t="s">
        <v>47529</v>
      </c>
      <c r="E3106" s="752" t="s">
        <v>37876</v>
      </c>
      <c r="F3106" s="751">
        <v>2525</v>
      </c>
    </row>
    <row r="3107" spans="1:6">
      <c r="A3107" s="753"/>
      <c r="B3107" s="753"/>
      <c r="C3107" s="752" t="s">
        <v>47528</v>
      </c>
      <c r="D3107" s="753" t="s">
        <v>47527</v>
      </c>
      <c r="E3107" s="752" t="s">
        <v>293</v>
      </c>
      <c r="F3107" s="751">
        <v>3025</v>
      </c>
    </row>
    <row r="3108" spans="1:6">
      <c r="A3108" s="753"/>
      <c r="B3108" s="753"/>
      <c r="C3108" s="752" t="s">
        <v>47526</v>
      </c>
      <c r="D3108" s="753" t="s">
        <v>47525</v>
      </c>
      <c r="E3108" s="752" t="s">
        <v>293</v>
      </c>
      <c r="F3108" s="751">
        <v>2925</v>
      </c>
    </row>
    <row r="3109" spans="1:6">
      <c r="A3109" s="753"/>
      <c r="B3109" s="753"/>
      <c r="C3109" s="752" t="s">
        <v>47524</v>
      </c>
      <c r="D3109" s="753" t="s">
        <v>47522</v>
      </c>
      <c r="E3109" s="752" t="s">
        <v>293</v>
      </c>
      <c r="F3109" s="751">
        <v>2275</v>
      </c>
    </row>
    <row r="3110" spans="1:6">
      <c r="A3110" s="753"/>
      <c r="B3110" s="753"/>
      <c r="C3110" s="752" t="s">
        <v>47523</v>
      </c>
      <c r="D3110" s="753" t="s">
        <v>47522</v>
      </c>
      <c r="E3110" s="752" t="s">
        <v>38878</v>
      </c>
      <c r="F3110" s="751">
        <v>2325</v>
      </c>
    </row>
    <row r="3111" spans="1:6">
      <c r="A3111" s="753"/>
      <c r="B3111" s="753"/>
      <c r="C3111" s="752" t="s">
        <v>47521</v>
      </c>
      <c r="D3111" s="753" t="s">
        <v>47520</v>
      </c>
      <c r="E3111" s="752" t="s">
        <v>293</v>
      </c>
      <c r="F3111" s="751">
        <v>2825</v>
      </c>
    </row>
    <row r="3112" spans="1:6">
      <c r="A3112" s="753"/>
      <c r="B3112" s="753"/>
      <c r="C3112" s="752" t="s">
        <v>47519</v>
      </c>
      <c r="D3112" s="753" t="s">
        <v>47517</v>
      </c>
      <c r="E3112" s="752" t="s">
        <v>293</v>
      </c>
      <c r="F3112" s="751">
        <v>2375</v>
      </c>
    </row>
    <row r="3113" spans="1:6">
      <c r="A3113" s="753"/>
      <c r="B3113" s="753"/>
      <c r="C3113" s="752" t="s">
        <v>47518</v>
      </c>
      <c r="D3113" s="753" t="s">
        <v>47517</v>
      </c>
      <c r="E3113" s="752" t="s">
        <v>37876</v>
      </c>
      <c r="F3113" s="751">
        <v>2425</v>
      </c>
    </row>
    <row r="3114" spans="1:6">
      <c r="A3114" s="753"/>
      <c r="B3114" s="753"/>
      <c r="C3114" s="752" t="s">
        <v>47516</v>
      </c>
      <c r="D3114" s="753" t="s">
        <v>47515</v>
      </c>
      <c r="E3114" s="752" t="s">
        <v>293</v>
      </c>
      <c r="F3114" s="751">
        <v>2925</v>
      </c>
    </row>
    <row r="3115" spans="1:6">
      <c r="A3115" s="753"/>
      <c r="B3115" s="753"/>
      <c r="C3115" s="752" t="s">
        <v>47514</v>
      </c>
      <c r="D3115" s="753" t="s">
        <v>47513</v>
      </c>
      <c r="E3115" s="752" t="s">
        <v>39011</v>
      </c>
      <c r="F3115" s="751">
        <v>3025</v>
      </c>
    </row>
    <row r="3116" spans="1:6">
      <c r="A3116" s="753"/>
      <c r="B3116" s="753" t="s">
        <v>47512</v>
      </c>
      <c r="C3116" s="752" t="s">
        <v>47511</v>
      </c>
      <c r="D3116" s="753" t="s">
        <v>47510</v>
      </c>
      <c r="E3116" s="752" t="s">
        <v>293</v>
      </c>
      <c r="F3116" s="751">
        <v>2325</v>
      </c>
    </row>
    <row r="3117" spans="1:6">
      <c r="A3117" s="753"/>
      <c r="B3117" s="753" t="s">
        <v>47509</v>
      </c>
      <c r="C3117" s="752" t="s">
        <v>47508</v>
      </c>
      <c r="D3117" s="753" t="s">
        <v>47507</v>
      </c>
      <c r="E3117" s="752" t="s">
        <v>39636</v>
      </c>
      <c r="F3117" s="751">
        <v>1975</v>
      </c>
    </row>
    <row r="3118" spans="1:6">
      <c r="A3118" s="753"/>
      <c r="B3118" s="753"/>
      <c r="C3118" s="752" t="s">
        <v>47506</v>
      </c>
      <c r="D3118" s="753" t="s">
        <v>47497</v>
      </c>
      <c r="E3118" s="752" t="s">
        <v>37838</v>
      </c>
      <c r="F3118" s="751">
        <v>1975</v>
      </c>
    </row>
    <row r="3119" spans="1:6">
      <c r="A3119" s="753"/>
      <c r="B3119" s="753"/>
      <c r="C3119" s="752" t="s">
        <v>47505</v>
      </c>
      <c r="D3119" s="753" t="s">
        <v>47504</v>
      </c>
      <c r="E3119" s="752" t="s">
        <v>47503</v>
      </c>
      <c r="F3119" s="751">
        <v>1975</v>
      </c>
    </row>
    <row r="3120" spans="1:6">
      <c r="A3120" s="753"/>
      <c r="B3120" s="753"/>
      <c r="C3120" s="752" t="s">
        <v>47502</v>
      </c>
      <c r="D3120" s="753" t="s">
        <v>47501</v>
      </c>
      <c r="E3120" s="752" t="s">
        <v>47500</v>
      </c>
      <c r="F3120" s="751">
        <v>1975</v>
      </c>
    </row>
    <row r="3121" spans="1:6">
      <c r="A3121" s="753"/>
      <c r="B3121" s="753"/>
      <c r="C3121" s="752" t="s">
        <v>47499</v>
      </c>
      <c r="D3121" s="753" t="s">
        <v>47497</v>
      </c>
      <c r="E3121" s="752" t="s">
        <v>37838</v>
      </c>
      <c r="F3121" s="751">
        <v>1975</v>
      </c>
    </row>
    <row r="3122" spans="1:6">
      <c r="A3122" s="753"/>
      <c r="B3122" s="753"/>
      <c r="C3122" s="752" t="s">
        <v>47498</v>
      </c>
      <c r="D3122" s="753" t="s">
        <v>47497</v>
      </c>
      <c r="E3122" s="752" t="s">
        <v>37838</v>
      </c>
      <c r="F3122" s="751">
        <v>1975</v>
      </c>
    </row>
    <row r="3123" spans="1:6">
      <c r="A3123" s="753"/>
      <c r="B3123" s="753"/>
      <c r="C3123" s="752" t="s">
        <v>47496</v>
      </c>
      <c r="D3123" s="753" t="s">
        <v>47493</v>
      </c>
      <c r="E3123" s="752" t="s">
        <v>37838</v>
      </c>
      <c r="F3123" s="751">
        <v>2395</v>
      </c>
    </row>
    <row r="3124" spans="1:6">
      <c r="A3124" s="753"/>
      <c r="B3124" s="753"/>
      <c r="C3124" s="752" t="s">
        <v>47495</v>
      </c>
      <c r="D3124" s="753" t="s">
        <v>47493</v>
      </c>
      <c r="E3124" s="752" t="s">
        <v>37838</v>
      </c>
      <c r="F3124" s="751">
        <v>2395</v>
      </c>
    </row>
    <row r="3125" spans="1:6">
      <c r="A3125" s="753"/>
      <c r="B3125" s="753"/>
      <c r="C3125" s="752" t="s">
        <v>47494</v>
      </c>
      <c r="D3125" s="753" t="s">
        <v>47493</v>
      </c>
      <c r="E3125" s="752" t="s">
        <v>47492</v>
      </c>
      <c r="F3125" s="751">
        <v>2395</v>
      </c>
    </row>
    <row r="3126" spans="1:6">
      <c r="A3126" s="753"/>
      <c r="B3126" s="753" t="s">
        <v>47491</v>
      </c>
      <c r="C3126" s="752" t="s">
        <v>47490</v>
      </c>
      <c r="D3126" s="753" t="s">
        <v>47482</v>
      </c>
      <c r="E3126" s="752" t="s">
        <v>39276</v>
      </c>
      <c r="F3126" s="751">
        <v>3665</v>
      </c>
    </row>
    <row r="3127" spans="1:6">
      <c r="A3127" s="753"/>
      <c r="B3127" s="753"/>
      <c r="C3127" s="752" t="s">
        <v>47489</v>
      </c>
      <c r="D3127" s="753" t="s">
        <v>47488</v>
      </c>
      <c r="E3127" s="752" t="s">
        <v>293</v>
      </c>
      <c r="F3127" s="751">
        <v>4365</v>
      </c>
    </row>
    <row r="3128" spans="1:6">
      <c r="A3128" s="753"/>
      <c r="B3128" s="753"/>
      <c r="C3128" s="752" t="s">
        <v>47487</v>
      </c>
      <c r="D3128" s="753" t="s">
        <v>47482</v>
      </c>
      <c r="E3128" s="752" t="s">
        <v>47486</v>
      </c>
      <c r="F3128" s="751">
        <v>4265</v>
      </c>
    </row>
    <row r="3129" spans="1:6">
      <c r="A3129" s="753"/>
      <c r="B3129" s="753"/>
      <c r="C3129" s="752" t="s">
        <v>47485</v>
      </c>
      <c r="D3129" s="753" t="s">
        <v>47484</v>
      </c>
      <c r="E3129" s="752" t="s">
        <v>293</v>
      </c>
      <c r="F3129" s="751">
        <v>3625</v>
      </c>
    </row>
    <row r="3130" spans="1:6">
      <c r="A3130" s="753"/>
      <c r="B3130" s="753"/>
      <c r="C3130" s="752" t="s">
        <v>47483</v>
      </c>
      <c r="D3130" s="753" t="s">
        <v>47482</v>
      </c>
      <c r="E3130" s="752" t="s">
        <v>293</v>
      </c>
      <c r="F3130" s="751">
        <v>4215</v>
      </c>
    </row>
    <row r="3131" spans="1:6">
      <c r="A3131" s="753"/>
      <c r="B3131" s="753"/>
      <c r="C3131" s="752" t="s">
        <v>47481</v>
      </c>
      <c r="D3131" s="753" t="s">
        <v>47479</v>
      </c>
      <c r="E3131" s="752" t="s">
        <v>293</v>
      </c>
      <c r="F3131" s="751">
        <v>3625</v>
      </c>
    </row>
    <row r="3132" spans="1:6">
      <c r="A3132" s="753"/>
      <c r="B3132" s="753"/>
      <c r="C3132" s="752" t="s">
        <v>47480</v>
      </c>
      <c r="D3132" s="753" t="s">
        <v>47479</v>
      </c>
      <c r="E3132" s="752" t="s">
        <v>39170</v>
      </c>
      <c r="F3132" s="751">
        <v>4385</v>
      </c>
    </row>
    <row r="3133" spans="1:6">
      <c r="A3133" s="753"/>
      <c r="B3133" s="753"/>
      <c r="C3133" s="752" t="s">
        <v>47478</v>
      </c>
      <c r="D3133" s="753" t="s">
        <v>47472</v>
      </c>
      <c r="E3133" s="752" t="s">
        <v>293</v>
      </c>
      <c r="F3133" s="751">
        <v>2575</v>
      </c>
    </row>
    <row r="3134" spans="1:6">
      <c r="A3134" s="753"/>
      <c r="B3134" s="753"/>
      <c r="C3134" s="752" t="s">
        <v>47477</v>
      </c>
      <c r="D3134" s="753" t="s">
        <v>47472</v>
      </c>
      <c r="E3134" s="752" t="s">
        <v>39740</v>
      </c>
      <c r="F3134" s="751">
        <v>3335</v>
      </c>
    </row>
    <row r="3135" spans="1:6">
      <c r="A3135" s="753"/>
      <c r="B3135" s="753"/>
      <c r="C3135" s="752" t="s">
        <v>47476</v>
      </c>
      <c r="D3135" s="753" t="s">
        <v>47472</v>
      </c>
      <c r="E3135" s="752" t="s">
        <v>293</v>
      </c>
      <c r="F3135" s="751">
        <v>2575</v>
      </c>
    </row>
    <row r="3136" spans="1:6">
      <c r="A3136" s="753"/>
      <c r="B3136" s="753"/>
      <c r="C3136" s="752" t="s">
        <v>47475</v>
      </c>
      <c r="D3136" s="753" t="s">
        <v>47472</v>
      </c>
      <c r="E3136" s="752" t="s">
        <v>293</v>
      </c>
      <c r="F3136" s="751">
        <v>2575</v>
      </c>
    </row>
    <row r="3137" spans="1:6">
      <c r="A3137" s="753"/>
      <c r="B3137" s="753"/>
      <c r="C3137" s="752" t="s">
        <v>47474</v>
      </c>
      <c r="D3137" s="753" t="s">
        <v>47472</v>
      </c>
      <c r="E3137" s="752" t="s">
        <v>38878</v>
      </c>
      <c r="F3137" s="751">
        <v>2775</v>
      </c>
    </row>
    <row r="3138" spans="1:6">
      <c r="A3138" s="753"/>
      <c r="B3138" s="753"/>
      <c r="C3138" s="752" t="s">
        <v>47473</v>
      </c>
      <c r="D3138" s="753" t="s">
        <v>47472</v>
      </c>
      <c r="E3138" s="752" t="s">
        <v>38670</v>
      </c>
      <c r="F3138" s="751">
        <v>3335</v>
      </c>
    </row>
    <row r="3139" spans="1:6">
      <c r="A3139" s="753"/>
      <c r="B3139" s="753"/>
      <c r="C3139" s="752" t="s">
        <v>47471</v>
      </c>
      <c r="D3139" s="753" t="s">
        <v>47467</v>
      </c>
      <c r="E3139" s="752" t="s">
        <v>293</v>
      </c>
      <c r="F3139" s="751">
        <v>3125</v>
      </c>
    </row>
    <row r="3140" spans="1:6">
      <c r="A3140" s="753"/>
      <c r="B3140" s="753"/>
      <c r="C3140" s="752" t="s">
        <v>47470</v>
      </c>
      <c r="D3140" s="753" t="s">
        <v>47467</v>
      </c>
      <c r="E3140" s="752" t="s">
        <v>293</v>
      </c>
      <c r="F3140" s="751">
        <v>3125</v>
      </c>
    </row>
    <row r="3141" spans="1:6">
      <c r="A3141" s="753"/>
      <c r="B3141" s="753"/>
      <c r="C3141" s="752" t="s">
        <v>47469</v>
      </c>
      <c r="D3141" s="753" t="s">
        <v>47467</v>
      </c>
      <c r="E3141" s="752" t="s">
        <v>293</v>
      </c>
      <c r="F3141" s="751">
        <v>3125</v>
      </c>
    </row>
    <row r="3142" spans="1:6">
      <c r="A3142" s="753"/>
      <c r="B3142" s="753"/>
      <c r="C3142" s="752" t="s">
        <v>47468</v>
      </c>
      <c r="D3142" s="753" t="s">
        <v>47467</v>
      </c>
      <c r="E3142" s="752" t="s">
        <v>38878</v>
      </c>
      <c r="F3142" s="751">
        <v>3175</v>
      </c>
    </row>
    <row r="3143" spans="1:6">
      <c r="A3143" s="753"/>
      <c r="B3143" s="753"/>
      <c r="C3143" s="752" t="s">
        <v>47466</v>
      </c>
      <c r="D3143" s="753" t="s">
        <v>47463</v>
      </c>
      <c r="E3143" s="752" t="s">
        <v>293</v>
      </c>
      <c r="F3143" s="751">
        <v>3125</v>
      </c>
    </row>
    <row r="3144" spans="1:6">
      <c r="A3144" s="753"/>
      <c r="B3144" s="753"/>
      <c r="C3144" s="752" t="s">
        <v>47465</v>
      </c>
      <c r="D3144" s="753" t="s">
        <v>47463</v>
      </c>
      <c r="E3144" s="752" t="s">
        <v>293</v>
      </c>
      <c r="F3144" s="751">
        <v>3125</v>
      </c>
    </row>
    <row r="3145" spans="1:6">
      <c r="A3145" s="753"/>
      <c r="B3145" s="753"/>
      <c r="C3145" s="752" t="s">
        <v>47464</v>
      </c>
      <c r="D3145" s="753" t="s">
        <v>47463</v>
      </c>
      <c r="E3145" s="752" t="s">
        <v>293</v>
      </c>
      <c r="F3145" s="751">
        <v>3125</v>
      </c>
    </row>
    <row r="3146" spans="1:6">
      <c r="A3146" s="753"/>
      <c r="B3146" s="753"/>
      <c r="C3146" s="752" t="s">
        <v>47462</v>
      </c>
      <c r="D3146" s="753" t="s">
        <v>47461</v>
      </c>
      <c r="E3146" s="752" t="s">
        <v>293</v>
      </c>
      <c r="F3146" s="751">
        <v>2375</v>
      </c>
    </row>
    <row r="3147" spans="1:6">
      <c r="A3147" s="753"/>
      <c r="B3147" s="753"/>
      <c r="C3147" s="752" t="s">
        <v>47460</v>
      </c>
      <c r="D3147" s="753" t="s">
        <v>47454</v>
      </c>
      <c r="E3147" s="752" t="s">
        <v>42054</v>
      </c>
      <c r="F3147" s="751">
        <v>3135</v>
      </c>
    </row>
    <row r="3148" spans="1:6">
      <c r="A3148" s="753"/>
      <c r="B3148" s="753"/>
      <c r="C3148" s="752" t="s">
        <v>47459</v>
      </c>
      <c r="D3148" s="753" t="s">
        <v>47454</v>
      </c>
      <c r="E3148" s="752" t="s">
        <v>293</v>
      </c>
      <c r="F3148" s="751">
        <v>2375</v>
      </c>
    </row>
    <row r="3149" spans="1:6">
      <c r="A3149" s="753"/>
      <c r="B3149" s="753"/>
      <c r="C3149" s="752" t="s">
        <v>47458</v>
      </c>
      <c r="D3149" s="753" t="s">
        <v>47454</v>
      </c>
      <c r="E3149" s="752" t="s">
        <v>42054</v>
      </c>
      <c r="F3149" s="751">
        <v>3135</v>
      </c>
    </row>
    <row r="3150" spans="1:6">
      <c r="A3150" s="753"/>
      <c r="B3150" s="753"/>
      <c r="C3150" s="752" t="s">
        <v>47457</v>
      </c>
      <c r="D3150" s="753" t="s">
        <v>47454</v>
      </c>
      <c r="E3150" s="752" t="s">
        <v>293</v>
      </c>
      <c r="F3150" s="751">
        <v>2375</v>
      </c>
    </row>
    <row r="3151" spans="1:6">
      <c r="A3151" s="753"/>
      <c r="B3151" s="753"/>
      <c r="C3151" s="752" t="s">
        <v>47456</v>
      </c>
      <c r="D3151" s="753" t="s">
        <v>47454</v>
      </c>
      <c r="E3151" s="752" t="s">
        <v>38878</v>
      </c>
      <c r="F3151" s="751">
        <v>2575</v>
      </c>
    </row>
    <row r="3152" spans="1:6">
      <c r="A3152" s="753"/>
      <c r="B3152" s="753"/>
      <c r="C3152" s="752" t="s">
        <v>47455</v>
      </c>
      <c r="D3152" s="753" t="s">
        <v>47454</v>
      </c>
      <c r="E3152" s="752" t="s">
        <v>42054</v>
      </c>
      <c r="F3152" s="751">
        <v>3135</v>
      </c>
    </row>
    <row r="3153" spans="1:6">
      <c r="A3153" s="753"/>
      <c r="B3153" s="753"/>
      <c r="C3153" s="752" t="s">
        <v>47453</v>
      </c>
      <c r="D3153" s="753" t="s">
        <v>47450</v>
      </c>
      <c r="E3153" s="752" t="s">
        <v>293</v>
      </c>
      <c r="F3153" s="751">
        <v>2925</v>
      </c>
    </row>
    <row r="3154" spans="1:6">
      <c r="A3154" s="753"/>
      <c r="B3154" s="753"/>
      <c r="C3154" s="752" t="s">
        <v>47452</v>
      </c>
      <c r="D3154" s="753" t="s">
        <v>47450</v>
      </c>
      <c r="E3154" s="752" t="s">
        <v>293</v>
      </c>
      <c r="F3154" s="751">
        <v>2925</v>
      </c>
    </row>
    <row r="3155" spans="1:6">
      <c r="A3155" s="753"/>
      <c r="B3155" s="753"/>
      <c r="C3155" s="752" t="s">
        <v>47451</v>
      </c>
      <c r="D3155" s="753" t="s">
        <v>47450</v>
      </c>
      <c r="E3155" s="752" t="s">
        <v>293</v>
      </c>
      <c r="F3155" s="751">
        <v>2925</v>
      </c>
    </row>
    <row r="3156" spans="1:6">
      <c r="A3156" s="753"/>
      <c r="B3156" s="753"/>
      <c r="C3156" s="752" t="s">
        <v>47449</v>
      </c>
      <c r="D3156" s="753" t="s">
        <v>47447</v>
      </c>
      <c r="E3156" s="752" t="s">
        <v>293</v>
      </c>
      <c r="F3156" s="751">
        <v>2475</v>
      </c>
    </row>
    <row r="3157" spans="1:6">
      <c r="A3157" s="753"/>
      <c r="B3157" s="753"/>
      <c r="C3157" s="752" t="s">
        <v>47448</v>
      </c>
      <c r="D3157" s="753" t="s">
        <v>47447</v>
      </c>
      <c r="E3157" s="752" t="s">
        <v>38878</v>
      </c>
      <c r="F3157" s="751">
        <v>2675</v>
      </c>
    </row>
    <row r="3158" spans="1:6">
      <c r="A3158" s="753"/>
      <c r="B3158" s="753"/>
      <c r="C3158" s="752" t="s">
        <v>47446</v>
      </c>
      <c r="D3158" s="753" t="s">
        <v>47445</v>
      </c>
      <c r="E3158" s="752" t="s">
        <v>293</v>
      </c>
      <c r="F3158" s="751">
        <v>3025</v>
      </c>
    </row>
    <row r="3159" spans="1:6">
      <c r="A3159" s="753"/>
      <c r="B3159" s="753" t="s">
        <v>47444</v>
      </c>
      <c r="C3159" s="752" t="s">
        <v>47443</v>
      </c>
      <c r="D3159" s="753" t="s">
        <v>47438</v>
      </c>
      <c r="E3159" s="752" t="s">
        <v>39276</v>
      </c>
      <c r="F3159" s="751">
        <v>3665</v>
      </c>
    </row>
    <row r="3160" spans="1:6">
      <c r="A3160" s="753"/>
      <c r="B3160" s="753"/>
      <c r="C3160" s="752" t="s">
        <v>47442</v>
      </c>
      <c r="D3160" s="753" t="s">
        <v>47438</v>
      </c>
      <c r="E3160" s="752" t="s">
        <v>293</v>
      </c>
      <c r="F3160" s="751">
        <v>3715</v>
      </c>
    </row>
    <row r="3161" spans="1:6">
      <c r="A3161" s="753"/>
      <c r="B3161" s="753"/>
      <c r="C3161" s="752" t="s">
        <v>47441</v>
      </c>
      <c r="D3161" s="753" t="s">
        <v>47438</v>
      </c>
      <c r="E3161" s="752" t="s">
        <v>47440</v>
      </c>
      <c r="F3161" s="751">
        <v>4265</v>
      </c>
    </row>
    <row r="3162" spans="1:6">
      <c r="A3162" s="753"/>
      <c r="B3162" s="753"/>
      <c r="C3162" s="752" t="s">
        <v>47439</v>
      </c>
      <c r="D3162" s="753" t="s">
        <v>47438</v>
      </c>
      <c r="E3162" s="752" t="s">
        <v>38670</v>
      </c>
      <c r="F3162" s="751">
        <v>5025</v>
      </c>
    </row>
    <row r="3163" spans="1:6">
      <c r="A3163" s="753"/>
      <c r="B3163" s="753"/>
      <c r="C3163" s="752" t="s">
        <v>47437</v>
      </c>
      <c r="D3163" s="753" t="s">
        <v>47435</v>
      </c>
      <c r="E3163" s="752" t="s">
        <v>293</v>
      </c>
      <c r="F3163" s="751">
        <v>4265</v>
      </c>
    </row>
    <row r="3164" spans="1:6">
      <c r="A3164" s="753"/>
      <c r="B3164" s="753"/>
      <c r="C3164" s="752" t="s">
        <v>47436</v>
      </c>
      <c r="D3164" s="753" t="s">
        <v>47435</v>
      </c>
      <c r="E3164" s="752" t="s">
        <v>47432</v>
      </c>
      <c r="F3164" s="751">
        <v>4775</v>
      </c>
    </row>
    <row r="3165" spans="1:6">
      <c r="A3165" s="753"/>
      <c r="B3165" s="753"/>
      <c r="C3165" s="752" t="s">
        <v>47434</v>
      </c>
      <c r="D3165" s="753" t="s">
        <v>47429</v>
      </c>
      <c r="E3165" s="752" t="s">
        <v>293</v>
      </c>
      <c r="F3165" s="751">
        <v>3625</v>
      </c>
    </row>
    <row r="3166" spans="1:6">
      <c r="A3166" s="753"/>
      <c r="B3166" s="753"/>
      <c r="C3166" s="752" t="s">
        <v>47433</v>
      </c>
      <c r="D3166" s="753" t="s">
        <v>47429</v>
      </c>
      <c r="E3166" s="752" t="s">
        <v>47432</v>
      </c>
      <c r="F3166" s="751">
        <v>4135</v>
      </c>
    </row>
    <row r="3167" spans="1:6">
      <c r="A3167" s="753"/>
      <c r="B3167" s="753"/>
      <c r="C3167" s="752" t="s">
        <v>47431</v>
      </c>
      <c r="D3167" s="753" t="s">
        <v>47429</v>
      </c>
      <c r="E3167" s="752" t="s">
        <v>293</v>
      </c>
      <c r="F3167" s="751">
        <v>3625</v>
      </c>
    </row>
    <row r="3168" spans="1:6">
      <c r="A3168" s="753"/>
      <c r="B3168" s="753"/>
      <c r="C3168" s="752" t="s">
        <v>47430</v>
      </c>
      <c r="D3168" s="753" t="s">
        <v>47429</v>
      </c>
      <c r="E3168" s="752" t="s">
        <v>37794</v>
      </c>
      <c r="F3168" s="751">
        <v>4135</v>
      </c>
    </row>
    <row r="3169" spans="1:6">
      <c r="A3169" s="753"/>
      <c r="B3169" s="753"/>
      <c r="C3169" s="752" t="s">
        <v>47428</v>
      </c>
      <c r="D3169" s="753" t="s">
        <v>47424</v>
      </c>
      <c r="E3169" s="752" t="s">
        <v>293</v>
      </c>
      <c r="F3169" s="751">
        <v>5195</v>
      </c>
    </row>
    <row r="3170" spans="1:6">
      <c r="A3170" s="753"/>
      <c r="B3170" s="753"/>
      <c r="C3170" s="752" t="s">
        <v>47427</v>
      </c>
      <c r="D3170" s="753" t="s">
        <v>47349</v>
      </c>
      <c r="E3170" s="752" t="s">
        <v>293</v>
      </c>
      <c r="F3170" s="751">
        <v>5195</v>
      </c>
    </row>
    <row r="3171" spans="1:6">
      <c r="A3171" s="753"/>
      <c r="B3171" s="753"/>
      <c r="C3171" s="752" t="s">
        <v>47426</v>
      </c>
      <c r="D3171" s="753" t="s">
        <v>47349</v>
      </c>
      <c r="E3171" s="752" t="s">
        <v>38919</v>
      </c>
      <c r="F3171" s="751">
        <v>5955</v>
      </c>
    </row>
    <row r="3172" spans="1:6">
      <c r="A3172" s="753"/>
      <c r="B3172" s="753"/>
      <c r="C3172" s="752" t="s">
        <v>47425</v>
      </c>
      <c r="D3172" s="753" t="s">
        <v>47424</v>
      </c>
      <c r="E3172" s="752" t="s">
        <v>293</v>
      </c>
      <c r="F3172" s="751">
        <v>5495</v>
      </c>
    </row>
    <row r="3173" spans="1:6">
      <c r="A3173" s="753"/>
      <c r="B3173" s="753"/>
      <c r="C3173" s="752" t="s">
        <v>47423</v>
      </c>
      <c r="D3173" s="753" t="s">
        <v>47420</v>
      </c>
      <c r="E3173" s="752" t="s">
        <v>293</v>
      </c>
      <c r="F3173" s="751">
        <v>5495</v>
      </c>
    </row>
    <row r="3174" spans="1:6">
      <c r="A3174" s="753"/>
      <c r="B3174" s="753"/>
      <c r="C3174" s="752" t="s">
        <v>47422</v>
      </c>
      <c r="D3174" s="753" t="s">
        <v>47420</v>
      </c>
      <c r="E3174" s="752" t="s">
        <v>38919</v>
      </c>
      <c r="F3174" s="751">
        <v>6255</v>
      </c>
    </row>
    <row r="3175" spans="1:6">
      <c r="A3175" s="753"/>
      <c r="B3175" s="753"/>
      <c r="C3175" s="752" t="s">
        <v>47421</v>
      </c>
      <c r="D3175" s="753" t="s">
        <v>47420</v>
      </c>
      <c r="E3175" s="752" t="s">
        <v>293</v>
      </c>
      <c r="F3175" s="751">
        <v>5495</v>
      </c>
    </row>
    <row r="3176" spans="1:6">
      <c r="A3176" s="753"/>
      <c r="B3176" s="753"/>
      <c r="C3176" s="752" t="s">
        <v>47419</v>
      </c>
      <c r="D3176" s="753" t="s">
        <v>47418</v>
      </c>
      <c r="E3176" s="752" t="s">
        <v>293</v>
      </c>
      <c r="F3176" s="751">
        <v>5645</v>
      </c>
    </row>
    <row r="3177" spans="1:6">
      <c r="A3177" s="753"/>
      <c r="B3177" s="753"/>
      <c r="C3177" s="752" t="s">
        <v>47417</v>
      </c>
      <c r="D3177" s="753" t="s">
        <v>47416</v>
      </c>
      <c r="E3177" s="752" t="s">
        <v>47415</v>
      </c>
      <c r="F3177" s="751">
        <v>3249</v>
      </c>
    </row>
    <row r="3178" spans="1:6">
      <c r="A3178" s="753"/>
      <c r="B3178" s="753"/>
      <c r="C3178" s="752" t="s">
        <v>47414</v>
      </c>
      <c r="D3178" s="753" t="s">
        <v>47346</v>
      </c>
      <c r="E3178" s="752" t="s">
        <v>293</v>
      </c>
      <c r="F3178" s="751">
        <v>2575</v>
      </c>
    </row>
    <row r="3179" spans="1:6">
      <c r="A3179" s="753"/>
      <c r="B3179" s="753"/>
      <c r="C3179" s="752" t="s">
        <v>47413</v>
      </c>
      <c r="D3179" s="753" t="s">
        <v>47346</v>
      </c>
      <c r="E3179" s="752" t="s">
        <v>293</v>
      </c>
      <c r="F3179" s="751">
        <v>2575</v>
      </c>
    </row>
    <row r="3180" spans="1:6">
      <c r="A3180" s="753"/>
      <c r="B3180" s="753"/>
      <c r="C3180" s="752" t="s">
        <v>47412</v>
      </c>
      <c r="D3180" s="753" t="s">
        <v>47346</v>
      </c>
      <c r="E3180" s="752" t="s">
        <v>293</v>
      </c>
      <c r="F3180" s="751">
        <v>2575</v>
      </c>
    </row>
    <row r="3181" spans="1:6">
      <c r="A3181" s="753"/>
      <c r="B3181" s="753"/>
      <c r="C3181" s="752" t="s">
        <v>47411</v>
      </c>
      <c r="D3181" s="753" t="s">
        <v>47410</v>
      </c>
      <c r="E3181" s="752" t="s">
        <v>293</v>
      </c>
      <c r="F3181" s="751">
        <v>2325</v>
      </c>
    </row>
    <row r="3182" spans="1:6">
      <c r="A3182" s="753"/>
      <c r="B3182" s="753"/>
      <c r="C3182" s="752" t="s">
        <v>47409</v>
      </c>
      <c r="D3182" s="753" t="s">
        <v>47346</v>
      </c>
      <c r="E3182" s="752" t="s">
        <v>38919</v>
      </c>
      <c r="F3182" s="751">
        <v>3335</v>
      </c>
    </row>
    <row r="3183" spans="1:6">
      <c r="A3183" s="753"/>
      <c r="B3183" s="753"/>
      <c r="C3183" s="752" t="s">
        <v>47408</v>
      </c>
      <c r="D3183" s="753" t="s">
        <v>47346</v>
      </c>
      <c r="E3183" s="752" t="s">
        <v>293</v>
      </c>
      <c r="F3183" s="751">
        <v>2575</v>
      </c>
    </row>
    <row r="3184" spans="1:6">
      <c r="A3184" s="753"/>
      <c r="B3184" s="753"/>
      <c r="C3184" s="752" t="s">
        <v>47407</v>
      </c>
      <c r="D3184" s="753" t="s">
        <v>47404</v>
      </c>
      <c r="E3184" s="752" t="s">
        <v>293</v>
      </c>
      <c r="F3184" s="751">
        <v>2775</v>
      </c>
    </row>
    <row r="3185" spans="1:6">
      <c r="A3185" s="753"/>
      <c r="B3185" s="753"/>
      <c r="C3185" s="752" t="s">
        <v>47406</v>
      </c>
      <c r="D3185" s="753" t="s">
        <v>47346</v>
      </c>
      <c r="E3185" s="752" t="s">
        <v>47354</v>
      </c>
      <c r="F3185" s="751">
        <v>2575</v>
      </c>
    </row>
    <row r="3186" spans="1:6">
      <c r="A3186" s="753"/>
      <c r="B3186" s="753"/>
      <c r="C3186" s="752" t="s">
        <v>47405</v>
      </c>
      <c r="D3186" s="753" t="s">
        <v>47404</v>
      </c>
      <c r="E3186" s="752" t="s">
        <v>47354</v>
      </c>
      <c r="F3186" s="751">
        <v>2525</v>
      </c>
    </row>
    <row r="3187" spans="1:6">
      <c r="A3187" s="753"/>
      <c r="B3187" s="753"/>
      <c r="C3187" s="752" t="s">
        <v>47403</v>
      </c>
      <c r="D3187" s="753" t="s">
        <v>47343</v>
      </c>
      <c r="E3187" s="752" t="s">
        <v>293</v>
      </c>
      <c r="F3187" s="751">
        <v>3125</v>
      </c>
    </row>
    <row r="3188" spans="1:6">
      <c r="A3188" s="753"/>
      <c r="B3188" s="753"/>
      <c r="C3188" s="752" t="s">
        <v>47402</v>
      </c>
      <c r="D3188" s="753" t="s">
        <v>47343</v>
      </c>
      <c r="E3188" s="752" t="s">
        <v>293</v>
      </c>
      <c r="F3188" s="751">
        <v>3125</v>
      </c>
    </row>
    <row r="3189" spans="1:6">
      <c r="A3189" s="753"/>
      <c r="B3189" s="753"/>
      <c r="C3189" s="752" t="s">
        <v>47401</v>
      </c>
      <c r="D3189" s="753" t="s">
        <v>47343</v>
      </c>
      <c r="E3189" s="752" t="s">
        <v>38577</v>
      </c>
      <c r="F3189" s="751">
        <v>3885</v>
      </c>
    </row>
    <row r="3190" spans="1:6">
      <c r="A3190" s="753"/>
      <c r="B3190" s="753"/>
      <c r="C3190" s="752" t="s">
        <v>47400</v>
      </c>
      <c r="D3190" s="753" t="s">
        <v>47343</v>
      </c>
      <c r="E3190" s="752" t="s">
        <v>293</v>
      </c>
      <c r="F3190" s="751">
        <v>3125</v>
      </c>
    </row>
    <row r="3191" spans="1:6">
      <c r="A3191" s="753"/>
      <c r="B3191" s="753"/>
      <c r="C3191" s="752" t="s">
        <v>47399</v>
      </c>
      <c r="D3191" s="753" t="s">
        <v>47343</v>
      </c>
      <c r="E3191" s="752" t="s">
        <v>38577</v>
      </c>
      <c r="F3191" s="751">
        <v>3885</v>
      </c>
    </row>
    <row r="3192" spans="1:6">
      <c r="A3192" s="753"/>
      <c r="B3192" s="753"/>
      <c r="C3192" s="752" t="s">
        <v>47398</v>
      </c>
      <c r="D3192" s="753" t="s">
        <v>47343</v>
      </c>
      <c r="E3192" s="752" t="s">
        <v>293</v>
      </c>
      <c r="F3192" s="751">
        <v>3125</v>
      </c>
    </row>
    <row r="3193" spans="1:6">
      <c r="A3193" s="753"/>
      <c r="B3193" s="753"/>
      <c r="C3193" s="752" t="s">
        <v>47397</v>
      </c>
      <c r="D3193" s="753" t="s">
        <v>47396</v>
      </c>
      <c r="E3193" s="752" t="s">
        <v>47354</v>
      </c>
      <c r="F3193" s="751">
        <v>3125</v>
      </c>
    </row>
    <row r="3194" spans="1:6">
      <c r="A3194" s="753"/>
      <c r="B3194" s="753"/>
      <c r="C3194" s="752" t="s">
        <v>47395</v>
      </c>
      <c r="D3194" s="753" t="s">
        <v>47388</v>
      </c>
      <c r="E3194" s="752" t="s">
        <v>293</v>
      </c>
      <c r="F3194" s="751">
        <v>3125</v>
      </c>
    </row>
    <row r="3195" spans="1:6">
      <c r="A3195" s="753"/>
      <c r="B3195" s="753"/>
      <c r="C3195" s="752" t="s">
        <v>47394</v>
      </c>
      <c r="D3195" s="753" t="s">
        <v>47388</v>
      </c>
      <c r="E3195" s="752" t="s">
        <v>38577</v>
      </c>
      <c r="F3195" s="751">
        <v>3885</v>
      </c>
    </row>
    <row r="3196" spans="1:6">
      <c r="A3196" s="753"/>
      <c r="B3196" s="753"/>
      <c r="C3196" s="752" t="s">
        <v>47393</v>
      </c>
      <c r="D3196" s="753" t="s">
        <v>47388</v>
      </c>
      <c r="E3196" s="752" t="s">
        <v>293</v>
      </c>
      <c r="F3196" s="751">
        <v>3125</v>
      </c>
    </row>
    <row r="3197" spans="1:6">
      <c r="A3197" s="753"/>
      <c r="B3197" s="753"/>
      <c r="C3197" s="752" t="s">
        <v>47392</v>
      </c>
      <c r="D3197" s="753" t="s">
        <v>47388</v>
      </c>
      <c r="E3197" s="752" t="s">
        <v>38577</v>
      </c>
      <c r="F3197" s="751">
        <v>3885</v>
      </c>
    </row>
    <row r="3198" spans="1:6">
      <c r="A3198" s="753"/>
      <c r="B3198" s="753"/>
      <c r="C3198" s="752" t="s">
        <v>47391</v>
      </c>
      <c r="D3198" s="753" t="s">
        <v>47388</v>
      </c>
      <c r="E3198" s="752" t="s">
        <v>293</v>
      </c>
      <c r="F3198" s="751">
        <v>3125</v>
      </c>
    </row>
    <row r="3199" spans="1:6">
      <c r="A3199" s="753"/>
      <c r="B3199" s="753"/>
      <c r="C3199" s="752" t="s">
        <v>47390</v>
      </c>
      <c r="D3199" s="753" t="s">
        <v>47388</v>
      </c>
      <c r="E3199" s="752" t="s">
        <v>293</v>
      </c>
      <c r="F3199" s="751">
        <v>3125</v>
      </c>
    </row>
    <row r="3200" spans="1:6">
      <c r="A3200" s="753"/>
      <c r="B3200" s="753"/>
      <c r="C3200" s="752" t="s">
        <v>47389</v>
      </c>
      <c r="D3200" s="753" t="s">
        <v>47388</v>
      </c>
      <c r="E3200" s="752" t="s">
        <v>293</v>
      </c>
      <c r="F3200" s="751">
        <v>3125</v>
      </c>
    </row>
    <row r="3201" spans="1:6">
      <c r="A3201" s="753"/>
      <c r="B3201" s="753"/>
      <c r="C3201" s="752" t="s">
        <v>47387</v>
      </c>
      <c r="D3201" s="753" t="s">
        <v>47386</v>
      </c>
      <c r="E3201" s="752" t="s">
        <v>293</v>
      </c>
      <c r="F3201" s="751">
        <v>2675</v>
      </c>
    </row>
    <row r="3202" spans="1:6">
      <c r="A3202" s="753"/>
      <c r="B3202" s="753"/>
      <c r="C3202" s="752" t="s">
        <v>47385</v>
      </c>
      <c r="D3202" s="753" t="s">
        <v>47339</v>
      </c>
      <c r="E3202" s="752" t="s">
        <v>293</v>
      </c>
      <c r="F3202" s="751">
        <v>2375</v>
      </c>
    </row>
    <row r="3203" spans="1:6">
      <c r="A3203" s="753"/>
      <c r="B3203" s="753"/>
      <c r="C3203" s="752" t="s">
        <v>47384</v>
      </c>
      <c r="D3203" s="753" t="s">
        <v>47339</v>
      </c>
      <c r="E3203" s="752" t="s">
        <v>293</v>
      </c>
      <c r="F3203" s="751">
        <v>2375</v>
      </c>
    </row>
    <row r="3204" spans="1:6">
      <c r="A3204" s="753"/>
      <c r="B3204" s="753"/>
      <c r="C3204" s="752" t="s">
        <v>47383</v>
      </c>
      <c r="D3204" s="753" t="s">
        <v>47339</v>
      </c>
      <c r="E3204" s="752" t="s">
        <v>293</v>
      </c>
      <c r="F3204" s="751">
        <v>2375</v>
      </c>
    </row>
    <row r="3205" spans="1:6">
      <c r="A3205" s="753"/>
      <c r="B3205" s="753"/>
      <c r="C3205" s="752" t="s">
        <v>47382</v>
      </c>
      <c r="D3205" s="753" t="s">
        <v>47339</v>
      </c>
      <c r="E3205" s="752" t="s">
        <v>41652</v>
      </c>
      <c r="F3205" s="751">
        <v>2375</v>
      </c>
    </row>
    <row r="3206" spans="1:6">
      <c r="A3206" s="753"/>
      <c r="B3206" s="753"/>
      <c r="C3206" s="752" t="s">
        <v>47381</v>
      </c>
      <c r="D3206" s="753" t="s">
        <v>47339</v>
      </c>
      <c r="E3206" s="752" t="s">
        <v>293</v>
      </c>
      <c r="F3206" s="751">
        <v>2375</v>
      </c>
    </row>
    <row r="3207" spans="1:6">
      <c r="A3207" s="753"/>
      <c r="B3207" s="753"/>
      <c r="C3207" s="752" t="s">
        <v>47380</v>
      </c>
      <c r="D3207" s="753" t="s">
        <v>47339</v>
      </c>
      <c r="E3207" s="752" t="s">
        <v>293</v>
      </c>
      <c r="F3207" s="751">
        <v>2375</v>
      </c>
    </row>
    <row r="3208" spans="1:6">
      <c r="A3208" s="753"/>
      <c r="B3208" s="753"/>
      <c r="C3208" s="752" t="s">
        <v>47379</v>
      </c>
      <c r="D3208" s="753" t="s">
        <v>47376</v>
      </c>
      <c r="E3208" s="752" t="s">
        <v>293</v>
      </c>
      <c r="F3208" s="751">
        <v>2575</v>
      </c>
    </row>
    <row r="3209" spans="1:6">
      <c r="A3209" s="753"/>
      <c r="B3209" s="753"/>
      <c r="C3209" s="752" t="s">
        <v>47378</v>
      </c>
      <c r="D3209" s="753" t="s">
        <v>47339</v>
      </c>
      <c r="E3209" s="752" t="s">
        <v>47354</v>
      </c>
      <c r="F3209" s="751">
        <v>2375</v>
      </c>
    </row>
    <row r="3210" spans="1:6">
      <c r="A3210" s="753"/>
      <c r="B3210" s="753"/>
      <c r="C3210" s="752" t="s">
        <v>47377</v>
      </c>
      <c r="D3210" s="753" t="s">
        <v>47376</v>
      </c>
      <c r="E3210" s="752" t="s">
        <v>47354</v>
      </c>
      <c r="F3210" s="751">
        <v>2325</v>
      </c>
    </row>
    <row r="3211" spans="1:6">
      <c r="A3211" s="753"/>
      <c r="B3211" s="753"/>
      <c r="C3211" s="752" t="s">
        <v>47375</v>
      </c>
      <c r="D3211" s="753" t="s">
        <v>47332</v>
      </c>
      <c r="E3211" s="752" t="s">
        <v>293</v>
      </c>
      <c r="F3211" s="751">
        <v>2925</v>
      </c>
    </row>
    <row r="3212" spans="1:6">
      <c r="A3212" s="753"/>
      <c r="B3212" s="753"/>
      <c r="C3212" s="752" t="s">
        <v>47374</v>
      </c>
      <c r="D3212" s="753" t="s">
        <v>47332</v>
      </c>
      <c r="E3212" s="752" t="s">
        <v>293</v>
      </c>
      <c r="F3212" s="751">
        <v>2925</v>
      </c>
    </row>
    <row r="3213" spans="1:6">
      <c r="A3213" s="753"/>
      <c r="B3213" s="753"/>
      <c r="C3213" s="752" t="s">
        <v>47373</v>
      </c>
      <c r="D3213" s="753" t="s">
        <v>47332</v>
      </c>
      <c r="E3213" s="752" t="s">
        <v>39020</v>
      </c>
      <c r="F3213" s="751">
        <v>3685</v>
      </c>
    </row>
    <row r="3214" spans="1:6">
      <c r="A3214" s="753"/>
      <c r="B3214" s="753"/>
      <c r="C3214" s="752" t="s">
        <v>47372</v>
      </c>
      <c r="D3214" s="753" t="s">
        <v>47332</v>
      </c>
      <c r="E3214" s="752" t="s">
        <v>293</v>
      </c>
      <c r="F3214" s="751">
        <v>2925</v>
      </c>
    </row>
    <row r="3215" spans="1:6">
      <c r="A3215" s="753"/>
      <c r="B3215" s="753"/>
      <c r="C3215" s="752" t="s">
        <v>47371</v>
      </c>
      <c r="D3215" s="753" t="s">
        <v>47332</v>
      </c>
      <c r="E3215" s="752" t="s">
        <v>47370</v>
      </c>
      <c r="F3215" s="751">
        <v>2675</v>
      </c>
    </row>
    <row r="3216" spans="1:6">
      <c r="A3216" s="753"/>
      <c r="B3216" s="753"/>
      <c r="C3216" s="752" t="s">
        <v>47369</v>
      </c>
      <c r="D3216" s="753" t="s">
        <v>47332</v>
      </c>
      <c r="E3216" s="752" t="s">
        <v>293</v>
      </c>
      <c r="F3216" s="751">
        <v>2925</v>
      </c>
    </row>
    <row r="3217" spans="1:6">
      <c r="A3217" s="753"/>
      <c r="B3217" s="753"/>
      <c r="C3217" s="752" t="s">
        <v>47368</v>
      </c>
      <c r="D3217" s="753" t="s">
        <v>47332</v>
      </c>
      <c r="E3217" s="752" t="s">
        <v>38919</v>
      </c>
      <c r="F3217" s="751">
        <v>3685</v>
      </c>
    </row>
    <row r="3218" spans="1:6">
      <c r="A3218" s="753"/>
      <c r="B3218" s="753"/>
      <c r="C3218" s="752" t="s">
        <v>47367</v>
      </c>
      <c r="D3218" s="753" t="s">
        <v>47332</v>
      </c>
      <c r="E3218" s="752" t="s">
        <v>293</v>
      </c>
      <c r="F3218" s="751">
        <v>2925</v>
      </c>
    </row>
    <row r="3219" spans="1:6">
      <c r="A3219" s="753"/>
      <c r="B3219" s="753"/>
      <c r="C3219" s="752" t="s">
        <v>47366</v>
      </c>
      <c r="D3219" s="753" t="s">
        <v>47332</v>
      </c>
      <c r="E3219" s="752" t="s">
        <v>293</v>
      </c>
      <c r="F3219" s="751">
        <v>2925</v>
      </c>
    </row>
    <row r="3220" spans="1:6">
      <c r="A3220" s="753"/>
      <c r="B3220" s="753"/>
      <c r="C3220" s="752" t="s">
        <v>47365</v>
      </c>
      <c r="D3220" s="753" t="s">
        <v>47363</v>
      </c>
      <c r="E3220" s="752" t="s">
        <v>293</v>
      </c>
      <c r="F3220" s="751">
        <v>2925</v>
      </c>
    </row>
    <row r="3221" spans="1:6">
      <c r="A3221" s="753"/>
      <c r="B3221" s="753"/>
      <c r="C3221" s="752" t="s">
        <v>47364</v>
      </c>
      <c r="D3221" s="753" t="s">
        <v>47363</v>
      </c>
      <c r="E3221" s="752" t="s">
        <v>293</v>
      </c>
      <c r="F3221" s="751">
        <v>2925</v>
      </c>
    </row>
    <row r="3222" spans="1:6">
      <c r="A3222" s="753"/>
      <c r="B3222" s="753"/>
      <c r="C3222" s="752" t="s">
        <v>47362</v>
      </c>
      <c r="D3222" s="753" t="s">
        <v>47359</v>
      </c>
      <c r="E3222" s="752" t="s">
        <v>293</v>
      </c>
      <c r="F3222" s="751">
        <v>2475</v>
      </c>
    </row>
    <row r="3223" spans="1:6">
      <c r="A3223" s="753"/>
      <c r="B3223" s="753"/>
      <c r="C3223" s="752" t="s">
        <v>47361</v>
      </c>
      <c r="D3223" s="753" t="s">
        <v>47357</v>
      </c>
      <c r="E3223" s="752" t="s">
        <v>293</v>
      </c>
      <c r="F3223" s="751">
        <v>2425</v>
      </c>
    </row>
    <row r="3224" spans="1:6">
      <c r="A3224" s="753"/>
      <c r="B3224" s="753"/>
      <c r="C3224" s="752" t="s">
        <v>47360</v>
      </c>
      <c r="D3224" s="753" t="s">
        <v>47359</v>
      </c>
      <c r="E3224" s="752" t="s">
        <v>47354</v>
      </c>
      <c r="F3224" s="751">
        <v>2475</v>
      </c>
    </row>
    <row r="3225" spans="1:6">
      <c r="A3225" s="753"/>
      <c r="B3225" s="753"/>
      <c r="C3225" s="752" t="s">
        <v>47358</v>
      </c>
      <c r="D3225" s="753" t="s">
        <v>47357</v>
      </c>
      <c r="E3225" s="752" t="s">
        <v>47354</v>
      </c>
      <c r="F3225" s="751">
        <v>2425</v>
      </c>
    </row>
    <row r="3226" spans="1:6">
      <c r="A3226" s="753"/>
      <c r="B3226" s="753"/>
      <c r="C3226" s="752" t="s">
        <v>47356</v>
      </c>
      <c r="D3226" s="753" t="s">
        <v>47355</v>
      </c>
      <c r="E3226" s="752" t="s">
        <v>47354</v>
      </c>
      <c r="F3226" s="751">
        <v>3025</v>
      </c>
    </row>
    <row r="3227" spans="1:6">
      <c r="A3227" s="753"/>
      <c r="B3227" s="753" t="s">
        <v>47353</v>
      </c>
      <c r="C3227" s="752" t="s">
        <v>47352</v>
      </c>
      <c r="D3227" s="753" t="s">
        <v>47351</v>
      </c>
      <c r="E3227" s="752" t="s">
        <v>47334</v>
      </c>
      <c r="F3227" s="751">
        <v>4365</v>
      </c>
    </row>
    <row r="3228" spans="1:6">
      <c r="A3228" s="753"/>
      <c r="B3228" s="753"/>
      <c r="C3228" s="752" t="s">
        <v>47350</v>
      </c>
      <c r="D3228" s="753" t="s">
        <v>47349</v>
      </c>
      <c r="E3228" s="752" t="s">
        <v>47334</v>
      </c>
      <c r="F3228" s="751">
        <v>5955</v>
      </c>
    </row>
    <row r="3229" spans="1:6">
      <c r="A3229" s="753"/>
      <c r="B3229" s="753"/>
      <c r="C3229" s="752" t="s">
        <v>47348</v>
      </c>
      <c r="D3229" s="753" t="s">
        <v>47346</v>
      </c>
      <c r="E3229" s="752" t="s">
        <v>47334</v>
      </c>
      <c r="F3229" s="751">
        <v>2575</v>
      </c>
    </row>
    <row r="3230" spans="1:6">
      <c r="A3230" s="753"/>
      <c r="B3230" s="753"/>
      <c r="C3230" s="752" t="s">
        <v>47347</v>
      </c>
      <c r="D3230" s="753" t="s">
        <v>47346</v>
      </c>
      <c r="E3230" s="752" t="s">
        <v>47334</v>
      </c>
      <c r="F3230" s="751">
        <v>2575</v>
      </c>
    </row>
    <row r="3231" spans="1:6">
      <c r="A3231" s="753"/>
      <c r="B3231" s="753"/>
      <c r="C3231" s="752" t="s">
        <v>47345</v>
      </c>
      <c r="D3231" s="753" t="s">
        <v>47343</v>
      </c>
      <c r="E3231" s="752" t="s">
        <v>47334</v>
      </c>
      <c r="F3231" s="751">
        <v>3125</v>
      </c>
    </row>
    <row r="3232" spans="1:6">
      <c r="A3232" s="753"/>
      <c r="B3232" s="753"/>
      <c r="C3232" s="752" t="s">
        <v>47344</v>
      </c>
      <c r="D3232" s="753" t="s">
        <v>47343</v>
      </c>
      <c r="E3232" s="752" t="s">
        <v>47334</v>
      </c>
      <c r="F3232" s="751">
        <v>3125</v>
      </c>
    </row>
    <row r="3233" spans="1:6">
      <c r="A3233" s="753"/>
      <c r="B3233" s="753"/>
      <c r="C3233" s="752" t="s">
        <v>47342</v>
      </c>
      <c r="D3233" s="753" t="s">
        <v>47339</v>
      </c>
      <c r="E3233" s="752" t="s">
        <v>47334</v>
      </c>
      <c r="F3233" s="751">
        <v>2375</v>
      </c>
    </row>
    <row r="3234" spans="1:6">
      <c r="A3234" s="753"/>
      <c r="B3234" s="753"/>
      <c r="C3234" s="752" t="s">
        <v>47341</v>
      </c>
      <c r="D3234" s="753" t="s">
        <v>47339</v>
      </c>
      <c r="E3234" s="752" t="s">
        <v>47334</v>
      </c>
      <c r="F3234" s="751">
        <v>2375</v>
      </c>
    </row>
    <row r="3235" spans="1:6">
      <c r="A3235" s="753"/>
      <c r="B3235" s="753"/>
      <c r="C3235" s="752" t="s">
        <v>47340</v>
      </c>
      <c r="D3235" s="753" t="s">
        <v>47339</v>
      </c>
      <c r="E3235" s="752" t="s">
        <v>47338</v>
      </c>
      <c r="F3235" s="751">
        <v>2375</v>
      </c>
    </row>
    <row r="3236" spans="1:6">
      <c r="A3236" s="753"/>
      <c r="B3236" s="753"/>
      <c r="C3236" s="752" t="s">
        <v>47337</v>
      </c>
      <c r="D3236" s="753" t="s">
        <v>47332</v>
      </c>
      <c r="E3236" s="752" t="s">
        <v>47334</v>
      </c>
      <c r="F3236" s="751">
        <v>2925</v>
      </c>
    </row>
    <row r="3237" spans="1:6">
      <c r="A3237" s="753"/>
      <c r="B3237" s="753"/>
      <c r="C3237" s="752" t="s">
        <v>47336</v>
      </c>
      <c r="D3237" s="753" t="s">
        <v>47335</v>
      </c>
      <c r="E3237" s="752" t="s">
        <v>47334</v>
      </c>
      <c r="F3237" s="751">
        <v>2925</v>
      </c>
    </row>
    <row r="3238" spans="1:6">
      <c r="A3238" s="753"/>
      <c r="B3238" s="753"/>
      <c r="C3238" s="752" t="s">
        <v>47333</v>
      </c>
      <c r="D3238" s="753" t="s">
        <v>47332</v>
      </c>
      <c r="E3238" s="752" t="s">
        <v>47331</v>
      </c>
      <c r="F3238" s="751">
        <v>3685</v>
      </c>
    </row>
    <row r="3239" spans="1:6">
      <c r="A3239" s="753"/>
      <c r="B3239" s="753" t="s">
        <v>47330</v>
      </c>
      <c r="C3239" s="752" t="s">
        <v>47329</v>
      </c>
      <c r="D3239" s="753" t="s">
        <v>47328</v>
      </c>
      <c r="E3239" s="752" t="s">
        <v>38584</v>
      </c>
      <c r="F3239" s="751">
        <v>5170</v>
      </c>
    </row>
    <row r="3240" spans="1:6">
      <c r="A3240" s="753"/>
      <c r="B3240" s="753"/>
      <c r="C3240" s="752" t="s">
        <v>47327</v>
      </c>
      <c r="D3240" s="753" t="s">
        <v>47326</v>
      </c>
      <c r="E3240" s="752" t="s">
        <v>293</v>
      </c>
      <c r="F3240" s="751">
        <v>4615</v>
      </c>
    </row>
    <row r="3241" spans="1:6">
      <c r="A3241" s="753"/>
      <c r="B3241" s="753"/>
      <c r="C3241" s="752" t="s">
        <v>47325</v>
      </c>
      <c r="D3241" s="753" t="s">
        <v>47323</v>
      </c>
      <c r="E3241" s="752" t="s">
        <v>293</v>
      </c>
      <c r="F3241" s="751">
        <v>4765</v>
      </c>
    </row>
    <row r="3242" spans="1:6">
      <c r="A3242" s="753"/>
      <c r="B3242" s="753"/>
      <c r="C3242" s="752" t="s">
        <v>47324</v>
      </c>
      <c r="D3242" s="753" t="s">
        <v>47323</v>
      </c>
      <c r="E3242" s="752" t="s">
        <v>38919</v>
      </c>
      <c r="F3242" s="751">
        <v>5525</v>
      </c>
    </row>
    <row r="3243" spans="1:6">
      <c r="A3243" s="753"/>
      <c r="B3243" s="753"/>
      <c r="C3243" s="752" t="s">
        <v>47322</v>
      </c>
      <c r="D3243" s="753" t="s">
        <v>47320</v>
      </c>
      <c r="E3243" s="752" t="s">
        <v>293</v>
      </c>
      <c r="F3243" s="751">
        <v>4125</v>
      </c>
    </row>
    <row r="3244" spans="1:6">
      <c r="A3244" s="753"/>
      <c r="B3244" s="753"/>
      <c r="C3244" s="752" t="s">
        <v>47321</v>
      </c>
      <c r="D3244" s="753" t="s">
        <v>47320</v>
      </c>
      <c r="E3244" s="752" t="s">
        <v>41708</v>
      </c>
      <c r="F3244" s="751">
        <v>4315</v>
      </c>
    </row>
    <row r="3245" spans="1:6">
      <c r="A3245" s="753"/>
      <c r="B3245" s="753"/>
      <c r="C3245" s="752" t="s">
        <v>47319</v>
      </c>
      <c r="D3245" s="753" t="s">
        <v>47317</v>
      </c>
      <c r="E3245" s="752" t="s">
        <v>293</v>
      </c>
      <c r="F3245" s="751">
        <v>4445</v>
      </c>
    </row>
    <row r="3246" spans="1:6">
      <c r="A3246" s="753"/>
      <c r="B3246" s="753"/>
      <c r="C3246" s="752" t="s">
        <v>47318</v>
      </c>
      <c r="D3246" s="753" t="s">
        <v>47317</v>
      </c>
      <c r="E3246" s="752" t="s">
        <v>38577</v>
      </c>
      <c r="F3246" s="751">
        <v>5755</v>
      </c>
    </row>
    <row r="3247" spans="1:6">
      <c r="A3247" s="753"/>
      <c r="B3247" s="753"/>
      <c r="C3247" s="752" t="s">
        <v>47316</v>
      </c>
      <c r="D3247" s="753" t="s">
        <v>47312</v>
      </c>
      <c r="E3247" s="752" t="s">
        <v>293</v>
      </c>
      <c r="F3247" s="751">
        <v>5195</v>
      </c>
    </row>
    <row r="3248" spans="1:6">
      <c r="A3248" s="753"/>
      <c r="B3248" s="753"/>
      <c r="C3248" s="752" t="s">
        <v>47315</v>
      </c>
      <c r="D3248" s="753" t="s">
        <v>47314</v>
      </c>
      <c r="E3248" s="752" t="s">
        <v>293</v>
      </c>
      <c r="F3248" s="751">
        <v>4745</v>
      </c>
    </row>
    <row r="3249" spans="1:6">
      <c r="A3249" s="753"/>
      <c r="B3249" s="753"/>
      <c r="C3249" s="752" t="s">
        <v>47313</v>
      </c>
      <c r="D3249" s="753" t="s">
        <v>47312</v>
      </c>
      <c r="E3249" s="752" t="s">
        <v>293</v>
      </c>
      <c r="F3249" s="751">
        <v>5495</v>
      </c>
    </row>
    <row r="3250" spans="1:6">
      <c r="A3250" s="753"/>
      <c r="B3250" s="753"/>
      <c r="C3250" s="752" t="s">
        <v>47311</v>
      </c>
      <c r="D3250" s="753" t="s">
        <v>47309</v>
      </c>
      <c r="E3250" s="752" t="s">
        <v>293</v>
      </c>
      <c r="F3250" s="751">
        <v>5495</v>
      </c>
    </row>
    <row r="3251" spans="1:6">
      <c r="A3251" s="753"/>
      <c r="B3251" s="753"/>
      <c r="C3251" s="752" t="s">
        <v>47310</v>
      </c>
      <c r="D3251" s="753" t="s">
        <v>47309</v>
      </c>
      <c r="E3251" s="752" t="s">
        <v>293</v>
      </c>
      <c r="F3251" s="751">
        <v>5495</v>
      </c>
    </row>
    <row r="3252" spans="1:6">
      <c r="A3252" s="753"/>
      <c r="B3252" s="753"/>
      <c r="C3252" s="752" t="s">
        <v>47308</v>
      </c>
      <c r="D3252" s="753" t="s">
        <v>47307</v>
      </c>
      <c r="E3252" s="752" t="s">
        <v>293</v>
      </c>
      <c r="F3252" s="751">
        <v>3649</v>
      </c>
    </row>
    <row r="3253" spans="1:6">
      <c r="A3253" s="753"/>
      <c r="B3253" s="753"/>
      <c r="C3253" s="752" t="s">
        <v>47306</v>
      </c>
      <c r="D3253" s="753" t="s">
        <v>47305</v>
      </c>
      <c r="E3253" s="752" t="s">
        <v>293</v>
      </c>
      <c r="F3253" s="751">
        <v>3849</v>
      </c>
    </row>
    <row r="3254" spans="1:6">
      <c r="A3254" s="753"/>
      <c r="B3254" s="753"/>
      <c r="C3254" s="752" t="s">
        <v>47304</v>
      </c>
      <c r="D3254" s="753" t="s">
        <v>47301</v>
      </c>
      <c r="E3254" s="752" t="s">
        <v>42893</v>
      </c>
      <c r="F3254" s="751">
        <v>2575</v>
      </c>
    </row>
    <row r="3255" spans="1:6">
      <c r="A3255" s="753"/>
      <c r="B3255" s="753"/>
      <c r="C3255" s="752" t="s">
        <v>47303</v>
      </c>
      <c r="D3255" s="753" t="s">
        <v>47301</v>
      </c>
      <c r="E3255" s="752" t="s">
        <v>43094</v>
      </c>
      <c r="F3255" s="751">
        <v>3335</v>
      </c>
    </row>
    <row r="3256" spans="1:6">
      <c r="A3256" s="753"/>
      <c r="B3256" s="753"/>
      <c r="C3256" s="752" t="s">
        <v>47302</v>
      </c>
      <c r="D3256" s="753" t="s">
        <v>47301</v>
      </c>
      <c r="E3256" s="752" t="s">
        <v>47300</v>
      </c>
      <c r="F3256" s="751">
        <v>2575</v>
      </c>
    </row>
    <row r="3257" spans="1:6">
      <c r="A3257" s="753"/>
      <c r="B3257" s="753"/>
      <c r="C3257" s="752" t="s">
        <v>47299</v>
      </c>
      <c r="D3257" s="753" t="s">
        <v>47234</v>
      </c>
      <c r="E3257" s="752" t="s">
        <v>42876</v>
      </c>
      <c r="F3257" s="751">
        <v>3875</v>
      </c>
    </row>
    <row r="3258" spans="1:6">
      <c r="A3258" s="753"/>
      <c r="B3258" s="753"/>
      <c r="C3258" s="752" t="s">
        <v>47298</v>
      </c>
      <c r="D3258" s="753" t="s">
        <v>47234</v>
      </c>
      <c r="E3258" s="752" t="s">
        <v>42876</v>
      </c>
      <c r="F3258" s="751">
        <v>4635</v>
      </c>
    </row>
    <row r="3259" spans="1:6">
      <c r="A3259" s="753"/>
      <c r="B3259" s="753"/>
      <c r="C3259" s="752" t="s">
        <v>47297</v>
      </c>
      <c r="D3259" s="753" t="s">
        <v>47234</v>
      </c>
      <c r="E3259" s="752" t="s">
        <v>42876</v>
      </c>
      <c r="F3259" s="751">
        <v>4635</v>
      </c>
    </row>
    <row r="3260" spans="1:6">
      <c r="A3260" s="753"/>
      <c r="B3260" s="753"/>
      <c r="C3260" s="752" t="s">
        <v>47296</v>
      </c>
      <c r="D3260" s="753" t="s">
        <v>47234</v>
      </c>
      <c r="E3260" s="752" t="s">
        <v>47295</v>
      </c>
      <c r="F3260" s="751">
        <v>3875</v>
      </c>
    </row>
    <row r="3261" spans="1:6">
      <c r="A3261" s="753"/>
      <c r="B3261" s="753"/>
      <c r="C3261" s="752" t="s">
        <v>47294</v>
      </c>
      <c r="D3261" s="753" t="s">
        <v>47234</v>
      </c>
      <c r="E3261" s="752" t="s">
        <v>42926</v>
      </c>
      <c r="F3261" s="751">
        <v>3625</v>
      </c>
    </row>
    <row r="3262" spans="1:6">
      <c r="A3262" s="753"/>
      <c r="B3262" s="753"/>
      <c r="C3262" s="752" t="s">
        <v>47293</v>
      </c>
      <c r="D3262" s="753" t="s">
        <v>47234</v>
      </c>
      <c r="E3262" s="752" t="s">
        <v>47259</v>
      </c>
      <c r="F3262" s="751">
        <v>3625</v>
      </c>
    </row>
    <row r="3263" spans="1:6">
      <c r="A3263" s="753"/>
      <c r="B3263" s="753"/>
      <c r="C3263" s="752" t="s">
        <v>47292</v>
      </c>
      <c r="D3263" s="753" t="s">
        <v>47285</v>
      </c>
      <c r="E3263" s="752" t="s">
        <v>42876</v>
      </c>
      <c r="F3263" s="751">
        <v>3875</v>
      </c>
    </row>
    <row r="3264" spans="1:6">
      <c r="A3264" s="753"/>
      <c r="B3264" s="753"/>
      <c r="C3264" s="752" t="s">
        <v>47291</v>
      </c>
      <c r="D3264" s="753" t="s">
        <v>47285</v>
      </c>
      <c r="E3264" s="752" t="s">
        <v>42946</v>
      </c>
      <c r="F3264" s="751">
        <v>4635</v>
      </c>
    </row>
    <row r="3265" spans="1:6">
      <c r="A3265" s="753"/>
      <c r="B3265" s="753"/>
      <c r="C3265" s="752" t="s">
        <v>47290</v>
      </c>
      <c r="D3265" s="753" t="s">
        <v>47285</v>
      </c>
      <c r="E3265" s="752" t="s">
        <v>47241</v>
      </c>
      <c r="F3265" s="751">
        <v>3875</v>
      </c>
    </row>
    <row r="3266" spans="1:6">
      <c r="A3266" s="753"/>
      <c r="B3266" s="753"/>
      <c r="C3266" s="752" t="s">
        <v>47289</v>
      </c>
      <c r="D3266" s="753" t="s">
        <v>47285</v>
      </c>
      <c r="E3266" s="752" t="s">
        <v>42926</v>
      </c>
      <c r="F3266" s="751">
        <v>3625</v>
      </c>
    </row>
    <row r="3267" spans="1:6">
      <c r="A3267" s="753"/>
      <c r="B3267" s="753"/>
      <c r="C3267" s="752" t="s">
        <v>47288</v>
      </c>
      <c r="D3267" s="753" t="s">
        <v>47285</v>
      </c>
      <c r="E3267" s="752" t="s">
        <v>38577</v>
      </c>
      <c r="F3267" s="751">
        <v>4385</v>
      </c>
    </row>
    <row r="3268" spans="1:6">
      <c r="A3268" s="753"/>
      <c r="B3268" s="753"/>
      <c r="C3268" s="752" t="s">
        <v>47287</v>
      </c>
      <c r="D3268" s="753" t="s">
        <v>47285</v>
      </c>
      <c r="E3268" s="752" t="s">
        <v>47259</v>
      </c>
      <c r="F3268" s="751">
        <v>3625</v>
      </c>
    </row>
    <row r="3269" spans="1:6">
      <c r="A3269" s="753"/>
      <c r="B3269" s="753"/>
      <c r="C3269" s="752" t="s">
        <v>47286</v>
      </c>
      <c r="D3269" s="753" t="s">
        <v>47285</v>
      </c>
      <c r="E3269" s="752" t="s">
        <v>42893</v>
      </c>
      <c r="F3269" s="751">
        <v>3125</v>
      </c>
    </row>
    <row r="3270" spans="1:6">
      <c r="A3270" s="753"/>
      <c r="B3270" s="753"/>
      <c r="C3270" s="752" t="s">
        <v>47284</v>
      </c>
      <c r="D3270" s="753" t="s">
        <v>47283</v>
      </c>
      <c r="E3270" s="752" t="s">
        <v>42893</v>
      </c>
      <c r="F3270" s="751">
        <v>2375</v>
      </c>
    </row>
    <row r="3271" spans="1:6">
      <c r="A3271" s="753"/>
      <c r="B3271" s="753"/>
      <c r="C3271" s="752" t="s">
        <v>47282</v>
      </c>
      <c r="D3271" s="753" t="s">
        <v>47270</v>
      </c>
      <c r="E3271" s="752" t="s">
        <v>42876</v>
      </c>
      <c r="F3271" s="751">
        <v>3675</v>
      </c>
    </row>
    <row r="3272" spans="1:6">
      <c r="A3272" s="753"/>
      <c r="B3272" s="753"/>
      <c r="C3272" s="752" t="s">
        <v>47281</v>
      </c>
      <c r="D3272" s="753" t="s">
        <v>47270</v>
      </c>
      <c r="E3272" s="752" t="s">
        <v>47243</v>
      </c>
      <c r="F3272" s="751">
        <v>4435</v>
      </c>
    </row>
    <row r="3273" spans="1:6">
      <c r="A3273" s="753"/>
      <c r="B3273" s="753"/>
      <c r="C3273" s="752" t="s">
        <v>47280</v>
      </c>
      <c r="D3273" s="753" t="s">
        <v>47270</v>
      </c>
      <c r="E3273" s="752" t="s">
        <v>47279</v>
      </c>
      <c r="F3273" s="751">
        <v>4435</v>
      </c>
    </row>
    <row r="3274" spans="1:6">
      <c r="A3274" s="753"/>
      <c r="B3274" s="753"/>
      <c r="C3274" s="752" t="s">
        <v>47278</v>
      </c>
      <c r="D3274" s="753" t="s">
        <v>47270</v>
      </c>
      <c r="E3274" s="752" t="s">
        <v>47277</v>
      </c>
      <c r="F3274" s="751">
        <v>3675</v>
      </c>
    </row>
    <row r="3275" spans="1:6">
      <c r="A3275" s="753"/>
      <c r="B3275" s="753"/>
      <c r="C3275" s="752" t="s">
        <v>47276</v>
      </c>
      <c r="D3275" s="753" t="s">
        <v>47270</v>
      </c>
      <c r="E3275" s="752" t="s">
        <v>42926</v>
      </c>
      <c r="F3275" s="751">
        <v>3425</v>
      </c>
    </row>
    <row r="3276" spans="1:6">
      <c r="A3276" s="753"/>
      <c r="B3276" s="753"/>
      <c r="C3276" s="752" t="s">
        <v>47275</v>
      </c>
      <c r="D3276" s="753" t="s">
        <v>47270</v>
      </c>
      <c r="E3276" s="752" t="s">
        <v>47274</v>
      </c>
      <c r="F3276" s="751">
        <v>4185</v>
      </c>
    </row>
    <row r="3277" spans="1:6">
      <c r="A3277" s="753"/>
      <c r="B3277" s="753"/>
      <c r="C3277" s="752" t="s">
        <v>47273</v>
      </c>
      <c r="D3277" s="753" t="s">
        <v>47270</v>
      </c>
      <c r="E3277" s="752" t="s">
        <v>47272</v>
      </c>
      <c r="F3277" s="751">
        <v>4185</v>
      </c>
    </row>
    <row r="3278" spans="1:6">
      <c r="A3278" s="753"/>
      <c r="B3278" s="753"/>
      <c r="C3278" s="752" t="s">
        <v>47271</v>
      </c>
      <c r="D3278" s="753" t="s">
        <v>47270</v>
      </c>
      <c r="E3278" s="752" t="s">
        <v>42893</v>
      </c>
      <c r="F3278" s="751">
        <v>2925</v>
      </c>
    </row>
    <row r="3279" spans="1:6">
      <c r="A3279" s="753"/>
      <c r="B3279" s="753"/>
      <c r="C3279" s="752" t="s">
        <v>47269</v>
      </c>
      <c r="D3279" s="753" t="s">
        <v>47261</v>
      </c>
      <c r="E3279" s="752" t="s">
        <v>42876</v>
      </c>
      <c r="F3279" s="751">
        <v>3675</v>
      </c>
    </row>
    <row r="3280" spans="1:6">
      <c r="A3280" s="753"/>
      <c r="B3280" s="753"/>
      <c r="C3280" s="752" t="s">
        <v>47268</v>
      </c>
      <c r="D3280" s="753" t="s">
        <v>47261</v>
      </c>
      <c r="E3280" s="752" t="s">
        <v>43045</v>
      </c>
      <c r="F3280" s="751">
        <v>3675</v>
      </c>
    </row>
    <row r="3281" spans="1:6">
      <c r="A3281" s="753"/>
      <c r="B3281" s="753"/>
      <c r="C3281" s="752" t="s">
        <v>47267</v>
      </c>
      <c r="D3281" s="753" t="s">
        <v>47261</v>
      </c>
      <c r="E3281" s="752" t="s">
        <v>42946</v>
      </c>
      <c r="F3281" s="751">
        <v>4435</v>
      </c>
    </row>
    <row r="3282" spans="1:6">
      <c r="A3282" s="753"/>
      <c r="B3282" s="753"/>
      <c r="C3282" s="752" t="s">
        <v>47266</v>
      </c>
      <c r="D3282" s="753" t="s">
        <v>47261</v>
      </c>
      <c r="E3282" s="752" t="s">
        <v>47241</v>
      </c>
      <c r="F3282" s="751">
        <v>3675</v>
      </c>
    </row>
    <row r="3283" spans="1:6">
      <c r="A3283" s="753"/>
      <c r="B3283" s="753"/>
      <c r="C3283" s="752" t="s">
        <v>47265</v>
      </c>
      <c r="D3283" s="753" t="s">
        <v>47264</v>
      </c>
      <c r="E3283" s="752" t="s">
        <v>47241</v>
      </c>
      <c r="F3283" s="751">
        <v>4435</v>
      </c>
    </row>
    <row r="3284" spans="1:6">
      <c r="A3284" s="753"/>
      <c r="B3284" s="753"/>
      <c r="C3284" s="752" t="s">
        <v>47263</v>
      </c>
      <c r="D3284" s="753" t="s">
        <v>47261</v>
      </c>
      <c r="E3284" s="752" t="s">
        <v>42926</v>
      </c>
      <c r="F3284" s="751">
        <v>3425</v>
      </c>
    </row>
    <row r="3285" spans="1:6">
      <c r="A3285" s="753"/>
      <c r="B3285" s="753"/>
      <c r="C3285" s="752" t="s">
        <v>47262</v>
      </c>
      <c r="D3285" s="753" t="s">
        <v>47261</v>
      </c>
      <c r="E3285" s="752" t="s">
        <v>42893</v>
      </c>
      <c r="F3285" s="751">
        <v>2925</v>
      </c>
    </row>
    <row r="3286" spans="1:6">
      <c r="A3286" s="753"/>
      <c r="B3286" s="753"/>
      <c r="C3286" s="752" t="s">
        <v>47260</v>
      </c>
      <c r="D3286" s="753" t="s">
        <v>47257</v>
      </c>
      <c r="E3286" s="752" t="s">
        <v>47259</v>
      </c>
      <c r="F3286" s="751">
        <v>2975</v>
      </c>
    </row>
    <row r="3287" spans="1:6">
      <c r="A3287" s="753"/>
      <c r="B3287" s="753"/>
      <c r="C3287" s="752" t="s">
        <v>47258</v>
      </c>
      <c r="D3287" s="753" t="s">
        <v>47257</v>
      </c>
      <c r="E3287" s="752" t="s">
        <v>42893</v>
      </c>
      <c r="F3287" s="751">
        <v>2475</v>
      </c>
    </row>
    <row r="3288" spans="1:6">
      <c r="A3288" s="753"/>
      <c r="B3288" s="753"/>
      <c r="C3288" s="752" t="s">
        <v>47256</v>
      </c>
      <c r="D3288" s="753" t="s">
        <v>47249</v>
      </c>
      <c r="E3288" s="752" t="s">
        <v>42876</v>
      </c>
      <c r="F3288" s="751">
        <v>3775</v>
      </c>
    </row>
    <row r="3289" spans="1:6">
      <c r="A3289" s="753"/>
      <c r="B3289" s="753"/>
      <c r="C3289" s="752" t="s">
        <v>47255</v>
      </c>
      <c r="D3289" s="753" t="s">
        <v>47249</v>
      </c>
      <c r="E3289" s="752" t="s">
        <v>47254</v>
      </c>
      <c r="F3289" s="751">
        <v>4535</v>
      </c>
    </row>
    <row r="3290" spans="1:6">
      <c r="A3290" s="753"/>
      <c r="B3290" s="753"/>
      <c r="C3290" s="752" t="s">
        <v>47253</v>
      </c>
      <c r="D3290" s="753" t="s">
        <v>47249</v>
      </c>
      <c r="E3290" s="752" t="s">
        <v>47252</v>
      </c>
      <c r="F3290" s="751">
        <v>5085</v>
      </c>
    </row>
    <row r="3291" spans="1:6">
      <c r="A3291" s="753"/>
      <c r="B3291" s="753"/>
      <c r="C3291" s="752" t="s">
        <v>47251</v>
      </c>
      <c r="D3291" s="753" t="s">
        <v>47249</v>
      </c>
      <c r="E3291" s="752" t="s">
        <v>42926</v>
      </c>
      <c r="F3291" s="751">
        <v>3525</v>
      </c>
    </row>
    <row r="3292" spans="1:6">
      <c r="A3292" s="753"/>
      <c r="B3292" s="753"/>
      <c r="C3292" s="752" t="s">
        <v>47250</v>
      </c>
      <c r="D3292" s="753" t="s">
        <v>47249</v>
      </c>
      <c r="E3292" s="752" t="s">
        <v>47238</v>
      </c>
      <c r="F3292" s="751">
        <v>3525</v>
      </c>
    </row>
    <row r="3293" spans="1:6">
      <c r="A3293" s="753"/>
      <c r="B3293" s="753"/>
      <c r="C3293" s="752" t="s">
        <v>47248</v>
      </c>
      <c r="D3293" s="753" t="s">
        <v>47247</v>
      </c>
      <c r="E3293" s="752" t="s">
        <v>47238</v>
      </c>
      <c r="F3293" s="751">
        <v>4285</v>
      </c>
    </row>
    <row r="3294" spans="1:6">
      <c r="A3294" s="753"/>
      <c r="B3294" s="753"/>
      <c r="C3294" s="752" t="s">
        <v>47246</v>
      </c>
      <c r="D3294" s="753" t="s">
        <v>47245</v>
      </c>
      <c r="E3294" s="752" t="s">
        <v>42876</v>
      </c>
      <c r="F3294" s="751">
        <v>3775</v>
      </c>
    </row>
    <row r="3295" spans="1:6">
      <c r="A3295" s="753"/>
      <c r="B3295" s="753"/>
      <c r="C3295" s="752" t="s">
        <v>47244</v>
      </c>
      <c r="D3295" s="753" t="s">
        <v>47236</v>
      </c>
      <c r="E3295" s="752" t="s">
        <v>47243</v>
      </c>
      <c r="F3295" s="751">
        <v>4535</v>
      </c>
    </row>
    <row r="3296" spans="1:6">
      <c r="A3296" s="753"/>
      <c r="B3296" s="753"/>
      <c r="C3296" s="752" t="s">
        <v>47242</v>
      </c>
      <c r="D3296" s="753" t="s">
        <v>47236</v>
      </c>
      <c r="E3296" s="752" t="s">
        <v>47241</v>
      </c>
      <c r="F3296" s="751">
        <v>3775</v>
      </c>
    </row>
    <row r="3297" spans="1:6">
      <c r="A3297" s="753"/>
      <c r="B3297" s="753"/>
      <c r="C3297" s="752" t="s">
        <v>47240</v>
      </c>
      <c r="D3297" s="753" t="s">
        <v>47236</v>
      </c>
      <c r="E3297" s="752" t="s">
        <v>42926</v>
      </c>
      <c r="F3297" s="751">
        <v>3525</v>
      </c>
    </row>
    <row r="3298" spans="1:6">
      <c r="A3298" s="753"/>
      <c r="B3298" s="753"/>
      <c r="C3298" s="752" t="s">
        <v>47239</v>
      </c>
      <c r="D3298" s="753" t="s">
        <v>47236</v>
      </c>
      <c r="E3298" s="752" t="s">
        <v>47238</v>
      </c>
      <c r="F3298" s="751">
        <v>3525</v>
      </c>
    </row>
    <row r="3299" spans="1:6">
      <c r="A3299" s="753"/>
      <c r="B3299" s="753"/>
      <c r="C3299" s="752" t="s">
        <v>47237</v>
      </c>
      <c r="D3299" s="753" t="s">
        <v>47236</v>
      </c>
      <c r="E3299" s="752" t="s">
        <v>42893</v>
      </c>
      <c r="F3299" s="751">
        <v>3025</v>
      </c>
    </row>
    <row r="3300" spans="1:6">
      <c r="A3300" s="753"/>
      <c r="B3300" s="753"/>
      <c r="C3300" s="752" t="s">
        <v>47235</v>
      </c>
      <c r="D3300" s="753" t="s">
        <v>47234</v>
      </c>
      <c r="E3300" s="752" t="s">
        <v>42893</v>
      </c>
      <c r="F3300" s="751">
        <v>3325</v>
      </c>
    </row>
    <row r="3301" spans="1:6">
      <c r="A3301" s="753"/>
      <c r="B3301" s="753" t="s">
        <v>47233</v>
      </c>
      <c r="C3301" s="752" t="s">
        <v>47232</v>
      </c>
      <c r="D3301" s="753" t="s">
        <v>47227</v>
      </c>
      <c r="E3301" s="752" t="s">
        <v>39276</v>
      </c>
      <c r="F3301" s="751">
        <v>3965</v>
      </c>
    </row>
    <row r="3302" spans="1:6">
      <c r="A3302" s="753"/>
      <c r="B3302" s="753"/>
      <c r="C3302" s="752" t="s">
        <v>47231</v>
      </c>
      <c r="D3302" s="753" t="s">
        <v>47230</v>
      </c>
      <c r="E3302" s="752" t="s">
        <v>38952</v>
      </c>
      <c r="F3302" s="751">
        <v>3755</v>
      </c>
    </row>
    <row r="3303" spans="1:6">
      <c r="A3303" s="753"/>
      <c r="B3303" s="753"/>
      <c r="C3303" s="752" t="s">
        <v>47229</v>
      </c>
      <c r="D3303" s="753" t="s">
        <v>47227</v>
      </c>
      <c r="E3303" s="752" t="s">
        <v>46584</v>
      </c>
      <c r="F3303" s="751">
        <v>3915</v>
      </c>
    </row>
    <row r="3304" spans="1:6">
      <c r="A3304" s="753"/>
      <c r="B3304" s="753"/>
      <c r="C3304" s="752" t="s">
        <v>47228</v>
      </c>
      <c r="D3304" s="753" t="s">
        <v>47227</v>
      </c>
      <c r="E3304" s="752" t="s">
        <v>47186</v>
      </c>
      <c r="F3304" s="751">
        <v>3915</v>
      </c>
    </row>
    <row r="3305" spans="1:6">
      <c r="A3305" s="753"/>
      <c r="B3305" s="753"/>
      <c r="C3305" s="752" t="s">
        <v>47226</v>
      </c>
      <c r="D3305" s="753" t="s">
        <v>47167</v>
      </c>
      <c r="E3305" s="752" t="s">
        <v>293</v>
      </c>
      <c r="F3305" s="751">
        <v>4615</v>
      </c>
    </row>
    <row r="3306" spans="1:6">
      <c r="A3306" s="753"/>
      <c r="B3306" s="753"/>
      <c r="C3306" s="752" t="s">
        <v>47225</v>
      </c>
      <c r="D3306" s="753" t="s">
        <v>47167</v>
      </c>
      <c r="E3306" s="752" t="s">
        <v>37794</v>
      </c>
      <c r="F3306" s="751">
        <v>5375</v>
      </c>
    </row>
    <row r="3307" spans="1:6">
      <c r="A3307" s="753"/>
      <c r="B3307" s="753"/>
      <c r="C3307" s="752" t="s">
        <v>47224</v>
      </c>
      <c r="D3307" s="753" t="s">
        <v>47167</v>
      </c>
      <c r="E3307" s="752" t="s">
        <v>41652</v>
      </c>
      <c r="F3307" s="751">
        <v>4615</v>
      </c>
    </row>
    <row r="3308" spans="1:6">
      <c r="A3308" s="753"/>
      <c r="B3308" s="753"/>
      <c r="C3308" s="752" t="s">
        <v>47223</v>
      </c>
      <c r="D3308" s="753" t="s">
        <v>47167</v>
      </c>
      <c r="E3308" s="752" t="s">
        <v>46701</v>
      </c>
      <c r="F3308" s="751">
        <v>4615</v>
      </c>
    </row>
    <row r="3309" spans="1:6">
      <c r="A3309" s="753"/>
      <c r="B3309" s="753"/>
      <c r="C3309" s="752" t="s">
        <v>47222</v>
      </c>
      <c r="D3309" s="753" t="s">
        <v>47167</v>
      </c>
      <c r="E3309" s="752" t="s">
        <v>38577</v>
      </c>
      <c r="F3309" s="751">
        <v>5375</v>
      </c>
    </row>
    <row r="3310" spans="1:6">
      <c r="A3310" s="753"/>
      <c r="B3310" s="753"/>
      <c r="C3310" s="752" t="s">
        <v>47221</v>
      </c>
      <c r="D3310" s="753" t="s">
        <v>47165</v>
      </c>
      <c r="E3310" s="752" t="s">
        <v>293</v>
      </c>
      <c r="F3310" s="751">
        <v>4515</v>
      </c>
    </row>
    <row r="3311" spans="1:6">
      <c r="A3311" s="753"/>
      <c r="B3311" s="753"/>
      <c r="C3311" s="752" t="s">
        <v>47220</v>
      </c>
      <c r="D3311" s="753" t="s">
        <v>47165</v>
      </c>
      <c r="E3311" s="752" t="s">
        <v>47219</v>
      </c>
      <c r="F3311" s="751">
        <v>5275</v>
      </c>
    </row>
    <row r="3312" spans="1:6">
      <c r="A3312" s="753"/>
      <c r="B3312" s="753"/>
      <c r="C3312" s="752" t="s">
        <v>47218</v>
      </c>
      <c r="D3312" s="753" t="s">
        <v>47165</v>
      </c>
      <c r="E3312" s="752" t="s">
        <v>39996</v>
      </c>
      <c r="F3312" s="751">
        <v>4515</v>
      </c>
    </row>
    <row r="3313" spans="1:6">
      <c r="A3313" s="753"/>
      <c r="B3313" s="753"/>
      <c r="C3313" s="752" t="s">
        <v>47217</v>
      </c>
      <c r="D3313" s="753" t="s">
        <v>47165</v>
      </c>
      <c r="E3313" s="752" t="s">
        <v>47142</v>
      </c>
      <c r="F3313" s="751">
        <v>4515</v>
      </c>
    </row>
    <row r="3314" spans="1:6">
      <c r="A3314" s="753"/>
      <c r="B3314" s="753"/>
      <c r="C3314" s="752" t="s">
        <v>47216</v>
      </c>
      <c r="D3314" s="753" t="s">
        <v>47165</v>
      </c>
      <c r="E3314" s="752" t="s">
        <v>46877</v>
      </c>
      <c r="F3314" s="751">
        <v>4515</v>
      </c>
    </row>
    <row r="3315" spans="1:6">
      <c r="A3315" s="753"/>
      <c r="B3315" s="753"/>
      <c r="C3315" s="752" t="s">
        <v>47215</v>
      </c>
      <c r="D3315" s="753" t="s">
        <v>47165</v>
      </c>
      <c r="E3315" s="752" t="s">
        <v>47214</v>
      </c>
      <c r="F3315" s="751">
        <v>5275</v>
      </c>
    </row>
    <row r="3316" spans="1:6">
      <c r="A3316" s="753"/>
      <c r="B3316" s="753"/>
      <c r="C3316" s="752" t="s">
        <v>47213</v>
      </c>
      <c r="D3316" s="753" t="s">
        <v>47165</v>
      </c>
      <c r="E3316" s="752" t="s">
        <v>47212</v>
      </c>
      <c r="F3316" s="751">
        <v>5275</v>
      </c>
    </row>
    <row r="3317" spans="1:6">
      <c r="A3317" s="753"/>
      <c r="B3317" s="753"/>
      <c r="C3317" s="752" t="s">
        <v>47211</v>
      </c>
      <c r="D3317" s="753" t="s">
        <v>47165</v>
      </c>
      <c r="E3317" s="752" t="s">
        <v>38655</v>
      </c>
      <c r="F3317" s="751">
        <v>4515</v>
      </c>
    </row>
    <row r="3318" spans="1:6">
      <c r="A3318" s="753"/>
      <c r="B3318" s="753"/>
      <c r="C3318" s="752" t="s">
        <v>47210</v>
      </c>
      <c r="D3318" s="753" t="s">
        <v>47165</v>
      </c>
      <c r="E3318" s="752" t="s">
        <v>38789</v>
      </c>
      <c r="F3318" s="751">
        <v>5275</v>
      </c>
    </row>
    <row r="3319" spans="1:6">
      <c r="A3319" s="753"/>
      <c r="B3319" s="753"/>
      <c r="C3319" s="752" t="s">
        <v>47209</v>
      </c>
      <c r="D3319" s="753" t="s">
        <v>47171</v>
      </c>
      <c r="E3319" s="752" t="s">
        <v>293</v>
      </c>
      <c r="F3319" s="751">
        <v>3875</v>
      </c>
    </row>
    <row r="3320" spans="1:6">
      <c r="A3320" s="753"/>
      <c r="B3320" s="753"/>
      <c r="C3320" s="752" t="s">
        <v>47208</v>
      </c>
      <c r="D3320" s="753" t="s">
        <v>47171</v>
      </c>
      <c r="E3320" s="752" t="s">
        <v>37794</v>
      </c>
      <c r="F3320" s="751">
        <v>4635</v>
      </c>
    </row>
    <row r="3321" spans="1:6">
      <c r="A3321" s="753"/>
      <c r="B3321" s="753"/>
      <c r="C3321" s="752" t="s">
        <v>47207</v>
      </c>
      <c r="D3321" s="753" t="s">
        <v>47171</v>
      </c>
      <c r="E3321" s="752" t="s">
        <v>39996</v>
      </c>
      <c r="F3321" s="751">
        <v>3875</v>
      </c>
    </row>
    <row r="3322" spans="1:6">
      <c r="A3322" s="753"/>
      <c r="B3322" s="753"/>
      <c r="C3322" s="752" t="s">
        <v>47206</v>
      </c>
      <c r="D3322" s="753" t="s">
        <v>47171</v>
      </c>
      <c r="E3322" s="752" t="s">
        <v>46881</v>
      </c>
      <c r="F3322" s="751">
        <v>4635</v>
      </c>
    </row>
    <row r="3323" spans="1:6">
      <c r="A3323" s="753"/>
      <c r="B3323" s="753"/>
      <c r="C3323" s="752" t="s">
        <v>47205</v>
      </c>
      <c r="D3323" s="753" t="s">
        <v>47171</v>
      </c>
      <c r="E3323" s="752" t="s">
        <v>46701</v>
      </c>
      <c r="F3323" s="751">
        <v>3875</v>
      </c>
    </row>
    <row r="3324" spans="1:6">
      <c r="A3324" s="753"/>
      <c r="B3324" s="753"/>
      <c r="C3324" s="752" t="s">
        <v>47204</v>
      </c>
      <c r="D3324" s="753" t="s">
        <v>47171</v>
      </c>
      <c r="E3324" s="752" t="s">
        <v>38577</v>
      </c>
      <c r="F3324" s="751">
        <v>4635</v>
      </c>
    </row>
    <row r="3325" spans="1:6">
      <c r="A3325" s="753"/>
      <c r="B3325" s="753"/>
      <c r="C3325" s="752" t="s">
        <v>47203</v>
      </c>
      <c r="D3325" s="753" t="s">
        <v>47171</v>
      </c>
      <c r="E3325" s="752" t="s">
        <v>38581</v>
      </c>
      <c r="F3325" s="751">
        <v>3875</v>
      </c>
    </row>
    <row r="3326" spans="1:6">
      <c r="A3326" s="753"/>
      <c r="B3326" s="753"/>
      <c r="C3326" s="752" t="s">
        <v>47202</v>
      </c>
      <c r="D3326" s="753" t="s">
        <v>47171</v>
      </c>
      <c r="E3326" s="752" t="s">
        <v>38581</v>
      </c>
      <c r="F3326" s="751">
        <v>3875</v>
      </c>
    </row>
    <row r="3327" spans="1:6">
      <c r="A3327" s="753"/>
      <c r="B3327" s="753"/>
      <c r="C3327" s="752" t="s">
        <v>47201</v>
      </c>
      <c r="D3327" s="753" t="s">
        <v>47167</v>
      </c>
      <c r="E3327" s="752" t="s">
        <v>37758</v>
      </c>
      <c r="F3327" s="751">
        <v>4615</v>
      </c>
    </row>
    <row r="3328" spans="1:6">
      <c r="A3328" s="753"/>
      <c r="B3328" s="753"/>
      <c r="C3328" s="752" t="s">
        <v>47200</v>
      </c>
      <c r="D3328" s="753" t="s">
        <v>47167</v>
      </c>
      <c r="E3328" s="752" t="s">
        <v>46584</v>
      </c>
      <c r="F3328" s="751">
        <v>4615</v>
      </c>
    </row>
    <row r="3329" spans="1:6">
      <c r="A3329" s="753"/>
      <c r="B3329" s="753"/>
      <c r="C3329" s="752" t="s">
        <v>47199</v>
      </c>
      <c r="D3329" s="753" t="s">
        <v>47167</v>
      </c>
      <c r="E3329" s="752" t="s">
        <v>47198</v>
      </c>
      <c r="F3329" s="751">
        <v>4615</v>
      </c>
    </row>
    <row r="3330" spans="1:6">
      <c r="A3330" s="753"/>
      <c r="B3330" s="753"/>
      <c r="C3330" s="752" t="s">
        <v>47197</v>
      </c>
      <c r="D3330" s="753" t="s">
        <v>47167</v>
      </c>
      <c r="E3330" s="752" t="s">
        <v>47186</v>
      </c>
      <c r="F3330" s="751">
        <v>4615</v>
      </c>
    </row>
    <row r="3331" spans="1:6">
      <c r="A3331" s="753"/>
      <c r="B3331" s="753"/>
      <c r="C3331" s="752" t="s">
        <v>47196</v>
      </c>
      <c r="D3331" s="753" t="s">
        <v>47165</v>
      </c>
      <c r="E3331" s="752" t="s">
        <v>40352</v>
      </c>
      <c r="F3331" s="751">
        <v>4515</v>
      </c>
    </row>
    <row r="3332" spans="1:6">
      <c r="A3332" s="753"/>
      <c r="B3332" s="753"/>
      <c r="C3332" s="752" t="s">
        <v>47195</v>
      </c>
      <c r="D3332" s="753" t="s">
        <v>47165</v>
      </c>
      <c r="E3332" s="752" t="s">
        <v>47194</v>
      </c>
      <c r="F3332" s="751">
        <v>4725</v>
      </c>
    </row>
    <row r="3333" spans="1:6">
      <c r="A3333" s="753"/>
      <c r="B3333" s="753"/>
      <c r="C3333" s="752" t="s">
        <v>47193</v>
      </c>
      <c r="D3333" s="753" t="s">
        <v>47165</v>
      </c>
      <c r="E3333" s="752" t="s">
        <v>47192</v>
      </c>
      <c r="F3333" s="751">
        <v>5275</v>
      </c>
    </row>
    <row r="3334" spans="1:6">
      <c r="A3334" s="753"/>
      <c r="B3334" s="753"/>
      <c r="C3334" s="752" t="s">
        <v>47191</v>
      </c>
      <c r="D3334" s="753" t="s">
        <v>47165</v>
      </c>
      <c r="E3334" s="752" t="s">
        <v>46584</v>
      </c>
      <c r="F3334" s="751">
        <v>4515</v>
      </c>
    </row>
    <row r="3335" spans="1:6">
      <c r="A3335" s="753"/>
      <c r="B3335" s="753"/>
      <c r="C3335" s="752" t="s">
        <v>47190</v>
      </c>
      <c r="D3335" s="753" t="s">
        <v>47165</v>
      </c>
      <c r="E3335" s="752" t="s">
        <v>42248</v>
      </c>
      <c r="F3335" s="751">
        <v>4725</v>
      </c>
    </row>
    <row r="3336" spans="1:6">
      <c r="A3336" s="753"/>
      <c r="B3336" s="753"/>
      <c r="C3336" s="752" t="s">
        <v>47189</v>
      </c>
      <c r="D3336" s="753" t="s">
        <v>47165</v>
      </c>
      <c r="E3336" s="752" t="s">
        <v>47188</v>
      </c>
      <c r="F3336" s="751">
        <v>4215</v>
      </c>
    </row>
    <row r="3337" spans="1:6">
      <c r="A3337" s="753"/>
      <c r="B3337" s="753"/>
      <c r="C3337" s="752" t="s">
        <v>47187</v>
      </c>
      <c r="D3337" s="753" t="s">
        <v>47165</v>
      </c>
      <c r="E3337" s="752" t="s">
        <v>47186</v>
      </c>
      <c r="F3337" s="751">
        <v>4465</v>
      </c>
    </row>
    <row r="3338" spans="1:6">
      <c r="A3338" s="753"/>
      <c r="B3338" s="753"/>
      <c r="C3338" s="752" t="s">
        <v>47185</v>
      </c>
      <c r="D3338" s="753" t="s">
        <v>47165</v>
      </c>
      <c r="E3338" s="752" t="s">
        <v>47184</v>
      </c>
      <c r="F3338" s="751">
        <v>5225</v>
      </c>
    </row>
    <row r="3339" spans="1:6">
      <c r="A3339" s="753"/>
      <c r="B3339" s="753"/>
      <c r="C3339" s="752" t="s">
        <v>47183</v>
      </c>
      <c r="D3339" s="753" t="s">
        <v>47165</v>
      </c>
      <c r="E3339" s="752" t="s">
        <v>47182</v>
      </c>
      <c r="F3339" s="751">
        <v>5275</v>
      </c>
    </row>
    <row r="3340" spans="1:6">
      <c r="A3340" s="753"/>
      <c r="B3340" s="753"/>
      <c r="C3340" s="752" t="s">
        <v>47181</v>
      </c>
      <c r="D3340" s="753" t="s">
        <v>47171</v>
      </c>
      <c r="E3340" s="752" t="s">
        <v>40728</v>
      </c>
      <c r="F3340" s="751">
        <v>3875</v>
      </c>
    </row>
    <row r="3341" spans="1:6">
      <c r="A3341" s="753"/>
      <c r="B3341" s="753"/>
      <c r="C3341" s="752" t="s">
        <v>47180</v>
      </c>
      <c r="D3341" s="753" t="s">
        <v>47171</v>
      </c>
      <c r="E3341" s="752" t="s">
        <v>46537</v>
      </c>
      <c r="F3341" s="751">
        <v>4635</v>
      </c>
    </row>
    <row r="3342" spans="1:6">
      <c r="A3342" s="753"/>
      <c r="B3342" s="753"/>
      <c r="C3342" s="752" t="s">
        <v>47179</v>
      </c>
      <c r="D3342" s="753" t="s">
        <v>47171</v>
      </c>
      <c r="E3342" s="752" t="s">
        <v>41347</v>
      </c>
      <c r="F3342" s="751">
        <v>3875</v>
      </c>
    </row>
    <row r="3343" spans="1:6">
      <c r="A3343" s="753"/>
      <c r="B3343" s="753"/>
      <c r="C3343" s="752" t="s">
        <v>47178</v>
      </c>
      <c r="D3343" s="753" t="s">
        <v>47171</v>
      </c>
      <c r="E3343" s="752" t="s">
        <v>47177</v>
      </c>
      <c r="F3343" s="751">
        <v>4635</v>
      </c>
    </row>
    <row r="3344" spans="1:6">
      <c r="A3344" s="753"/>
      <c r="B3344" s="753"/>
      <c r="C3344" s="752" t="s">
        <v>47176</v>
      </c>
      <c r="D3344" s="753" t="s">
        <v>47171</v>
      </c>
      <c r="E3344" s="752" t="s">
        <v>47175</v>
      </c>
      <c r="F3344" s="751">
        <v>3625</v>
      </c>
    </row>
    <row r="3345" spans="1:6">
      <c r="A3345" s="753"/>
      <c r="B3345" s="753"/>
      <c r="C3345" s="752" t="s">
        <v>47174</v>
      </c>
      <c r="D3345" s="753" t="s">
        <v>47171</v>
      </c>
      <c r="E3345" s="752" t="s">
        <v>47173</v>
      </c>
      <c r="F3345" s="751">
        <v>3875</v>
      </c>
    </row>
    <row r="3346" spans="1:6">
      <c r="A3346" s="753"/>
      <c r="B3346" s="753"/>
      <c r="C3346" s="752" t="s">
        <v>47172</v>
      </c>
      <c r="D3346" s="753" t="s">
        <v>47171</v>
      </c>
      <c r="E3346" s="752" t="s">
        <v>47170</v>
      </c>
      <c r="F3346" s="751">
        <v>4635</v>
      </c>
    </row>
    <row r="3347" spans="1:6">
      <c r="A3347" s="753"/>
      <c r="B3347" s="753"/>
      <c r="C3347" s="752" t="s">
        <v>47169</v>
      </c>
      <c r="D3347" s="753" t="s">
        <v>47167</v>
      </c>
      <c r="E3347" s="752" t="s">
        <v>293</v>
      </c>
      <c r="F3347" s="751">
        <v>4615</v>
      </c>
    </row>
    <row r="3348" spans="1:6">
      <c r="A3348" s="753"/>
      <c r="B3348" s="753"/>
      <c r="C3348" s="752" t="s">
        <v>47168</v>
      </c>
      <c r="D3348" s="753" t="s">
        <v>47167</v>
      </c>
      <c r="E3348" s="752" t="s">
        <v>46701</v>
      </c>
      <c r="F3348" s="751">
        <v>4365</v>
      </c>
    </row>
    <row r="3349" spans="1:6">
      <c r="A3349" s="753"/>
      <c r="B3349" s="753"/>
      <c r="C3349" s="752" t="s">
        <v>47166</v>
      </c>
      <c r="D3349" s="753" t="s">
        <v>47165</v>
      </c>
      <c r="E3349" s="752" t="s">
        <v>293</v>
      </c>
      <c r="F3349" s="751">
        <v>4515</v>
      </c>
    </row>
    <row r="3350" spans="1:6">
      <c r="A3350" s="753"/>
      <c r="B3350" s="753"/>
      <c r="C3350" s="752" t="s">
        <v>47164</v>
      </c>
      <c r="D3350" s="753" t="s">
        <v>47148</v>
      </c>
      <c r="E3350" s="752" t="s">
        <v>293</v>
      </c>
      <c r="F3350" s="751">
        <v>4595</v>
      </c>
    </row>
    <row r="3351" spans="1:6">
      <c r="A3351" s="753"/>
      <c r="B3351" s="753"/>
      <c r="C3351" s="752" t="s">
        <v>47163</v>
      </c>
      <c r="D3351" s="753" t="s">
        <v>47148</v>
      </c>
      <c r="E3351" s="752" t="s">
        <v>46701</v>
      </c>
      <c r="F3351" s="751">
        <v>4595</v>
      </c>
    </row>
    <row r="3352" spans="1:6">
      <c r="A3352" s="753"/>
      <c r="B3352" s="753"/>
      <c r="C3352" s="752" t="s">
        <v>47162</v>
      </c>
      <c r="D3352" s="753" t="s">
        <v>47148</v>
      </c>
      <c r="E3352" s="752" t="s">
        <v>293</v>
      </c>
      <c r="F3352" s="751">
        <v>4595</v>
      </c>
    </row>
    <row r="3353" spans="1:6">
      <c r="A3353" s="753"/>
      <c r="B3353" s="753"/>
      <c r="C3353" s="752" t="s">
        <v>47161</v>
      </c>
      <c r="D3353" s="753" t="s">
        <v>47112</v>
      </c>
      <c r="E3353" s="752" t="s">
        <v>293</v>
      </c>
      <c r="F3353" s="751">
        <v>5195</v>
      </c>
    </row>
    <row r="3354" spans="1:6">
      <c r="A3354" s="753"/>
      <c r="B3354" s="753"/>
      <c r="C3354" s="752" t="s">
        <v>47160</v>
      </c>
      <c r="D3354" s="753" t="s">
        <v>47112</v>
      </c>
      <c r="E3354" s="752" t="s">
        <v>46701</v>
      </c>
      <c r="F3354" s="751">
        <v>5195</v>
      </c>
    </row>
    <row r="3355" spans="1:6">
      <c r="A3355" s="753"/>
      <c r="B3355" s="753"/>
      <c r="C3355" s="752" t="s">
        <v>47159</v>
      </c>
      <c r="D3355" s="753" t="s">
        <v>47112</v>
      </c>
      <c r="E3355" s="752" t="s">
        <v>46842</v>
      </c>
      <c r="F3355" s="751">
        <v>5955</v>
      </c>
    </row>
    <row r="3356" spans="1:6">
      <c r="A3356" s="753"/>
      <c r="B3356" s="753"/>
      <c r="C3356" s="752" t="s">
        <v>47158</v>
      </c>
      <c r="D3356" s="753" t="s">
        <v>47112</v>
      </c>
      <c r="E3356" s="752" t="s">
        <v>293</v>
      </c>
      <c r="F3356" s="751">
        <v>5955</v>
      </c>
    </row>
    <row r="3357" spans="1:6">
      <c r="A3357" s="753"/>
      <c r="B3357" s="753"/>
      <c r="C3357" s="752" t="s">
        <v>47157</v>
      </c>
      <c r="D3357" s="753" t="s">
        <v>47112</v>
      </c>
      <c r="E3357" s="752" t="s">
        <v>38655</v>
      </c>
      <c r="F3357" s="751">
        <v>5195</v>
      </c>
    </row>
    <row r="3358" spans="1:6">
      <c r="A3358" s="753"/>
      <c r="B3358" s="753"/>
      <c r="C3358" s="752" t="s">
        <v>47156</v>
      </c>
      <c r="D3358" s="753" t="s">
        <v>47137</v>
      </c>
      <c r="E3358" s="752" t="s">
        <v>293</v>
      </c>
      <c r="F3358" s="751">
        <v>4745</v>
      </c>
    </row>
    <row r="3359" spans="1:6">
      <c r="A3359" s="753"/>
      <c r="B3359" s="753"/>
      <c r="C3359" s="752" t="s">
        <v>47155</v>
      </c>
      <c r="D3359" s="753" t="s">
        <v>47137</v>
      </c>
      <c r="E3359" s="752" t="s">
        <v>47154</v>
      </c>
      <c r="F3359" s="751">
        <v>4745</v>
      </c>
    </row>
    <row r="3360" spans="1:6">
      <c r="A3360" s="753"/>
      <c r="B3360" s="753"/>
      <c r="C3360" s="752" t="s">
        <v>47153</v>
      </c>
      <c r="D3360" s="753" t="s">
        <v>47137</v>
      </c>
      <c r="E3360" s="752" t="s">
        <v>47152</v>
      </c>
      <c r="F3360" s="751">
        <v>5755</v>
      </c>
    </row>
    <row r="3361" spans="1:6">
      <c r="A3361" s="753"/>
      <c r="B3361" s="753"/>
      <c r="C3361" s="752" t="s">
        <v>47151</v>
      </c>
      <c r="D3361" s="753" t="s">
        <v>47137</v>
      </c>
      <c r="E3361" s="752" t="s">
        <v>47150</v>
      </c>
      <c r="F3361" s="751">
        <v>5505</v>
      </c>
    </row>
    <row r="3362" spans="1:6">
      <c r="A3362" s="753"/>
      <c r="B3362" s="753"/>
      <c r="C3362" s="752" t="s">
        <v>47149</v>
      </c>
      <c r="D3362" s="753" t="s">
        <v>47148</v>
      </c>
      <c r="E3362" s="752" t="s">
        <v>47147</v>
      </c>
      <c r="F3362" s="751">
        <v>5755</v>
      </c>
    </row>
    <row r="3363" spans="1:6">
      <c r="A3363" s="753"/>
      <c r="B3363" s="753"/>
      <c r="C3363" s="752" t="s">
        <v>47146</v>
      </c>
      <c r="D3363" s="753" t="s">
        <v>47137</v>
      </c>
      <c r="E3363" s="752" t="s">
        <v>47145</v>
      </c>
      <c r="F3363" s="751">
        <v>4745</v>
      </c>
    </row>
    <row r="3364" spans="1:6">
      <c r="A3364" s="753"/>
      <c r="B3364" s="753"/>
      <c r="C3364" s="752" t="s">
        <v>47144</v>
      </c>
      <c r="D3364" s="753" t="s">
        <v>47114</v>
      </c>
      <c r="E3364" s="752" t="s">
        <v>46746</v>
      </c>
      <c r="F3364" s="751">
        <v>5195</v>
      </c>
    </row>
    <row r="3365" spans="1:6">
      <c r="A3365" s="753"/>
      <c r="B3365" s="753"/>
      <c r="C3365" s="752" t="s">
        <v>47143</v>
      </c>
      <c r="D3365" s="753" t="s">
        <v>47114</v>
      </c>
      <c r="E3365" s="752" t="s">
        <v>47142</v>
      </c>
      <c r="F3365" s="751">
        <v>5195</v>
      </c>
    </row>
    <row r="3366" spans="1:6">
      <c r="A3366" s="753"/>
      <c r="B3366" s="753"/>
      <c r="C3366" s="752" t="s">
        <v>47141</v>
      </c>
      <c r="D3366" s="753" t="s">
        <v>47114</v>
      </c>
      <c r="E3366" s="752" t="s">
        <v>38817</v>
      </c>
      <c r="F3366" s="751">
        <v>5195</v>
      </c>
    </row>
    <row r="3367" spans="1:6">
      <c r="A3367" s="753"/>
      <c r="B3367" s="753"/>
      <c r="C3367" s="752" t="s">
        <v>47140</v>
      </c>
      <c r="D3367" s="753" t="s">
        <v>47137</v>
      </c>
      <c r="E3367" s="752" t="s">
        <v>293</v>
      </c>
      <c r="F3367" s="751">
        <v>4745</v>
      </c>
    </row>
    <row r="3368" spans="1:6">
      <c r="A3368" s="753"/>
      <c r="B3368" s="753"/>
      <c r="C3368" s="752" t="s">
        <v>47139</v>
      </c>
      <c r="D3368" s="753" t="s">
        <v>47137</v>
      </c>
      <c r="E3368" s="752" t="s">
        <v>38581</v>
      </c>
      <c r="F3368" s="751">
        <v>4745</v>
      </c>
    </row>
    <row r="3369" spans="1:6">
      <c r="A3369" s="753"/>
      <c r="B3369" s="753"/>
      <c r="C3369" s="752" t="s">
        <v>47138</v>
      </c>
      <c r="D3369" s="753" t="s">
        <v>47137</v>
      </c>
      <c r="E3369" s="752" t="s">
        <v>38766</v>
      </c>
      <c r="F3369" s="751">
        <v>5505</v>
      </c>
    </row>
    <row r="3370" spans="1:6">
      <c r="A3370" s="753"/>
      <c r="B3370" s="753"/>
      <c r="C3370" s="752" t="s">
        <v>47136</v>
      </c>
      <c r="D3370" s="753" t="s">
        <v>47114</v>
      </c>
      <c r="E3370" s="752" t="s">
        <v>40882</v>
      </c>
      <c r="F3370" s="751">
        <v>5195</v>
      </c>
    </row>
    <row r="3371" spans="1:6">
      <c r="A3371" s="753"/>
      <c r="B3371" s="753"/>
      <c r="C3371" s="752" t="s">
        <v>47135</v>
      </c>
      <c r="D3371" s="753" t="s">
        <v>47114</v>
      </c>
      <c r="E3371" s="752" t="s">
        <v>38817</v>
      </c>
      <c r="F3371" s="751">
        <v>5195</v>
      </c>
    </row>
    <row r="3372" spans="1:6">
      <c r="A3372" s="753"/>
      <c r="B3372" s="753"/>
      <c r="C3372" s="752" t="s">
        <v>47134</v>
      </c>
      <c r="D3372" s="753" t="s">
        <v>47112</v>
      </c>
      <c r="E3372" s="752" t="s">
        <v>293</v>
      </c>
      <c r="F3372" s="751">
        <v>5195</v>
      </c>
    </row>
    <row r="3373" spans="1:6">
      <c r="A3373" s="753"/>
      <c r="B3373" s="753"/>
      <c r="C3373" s="752" t="s">
        <v>47133</v>
      </c>
      <c r="D3373" s="753" t="s">
        <v>47112</v>
      </c>
      <c r="E3373" s="752" t="s">
        <v>293</v>
      </c>
      <c r="F3373" s="751">
        <v>5195</v>
      </c>
    </row>
    <row r="3374" spans="1:6">
      <c r="A3374" s="753"/>
      <c r="B3374" s="753"/>
      <c r="C3374" s="752" t="s">
        <v>47132</v>
      </c>
      <c r="D3374" s="753" t="s">
        <v>47131</v>
      </c>
      <c r="E3374" s="752" t="s">
        <v>293</v>
      </c>
      <c r="F3374" s="751">
        <v>4745</v>
      </c>
    </row>
    <row r="3375" spans="1:6">
      <c r="A3375" s="753"/>
      <c r="B3375" s="753"/>
      <c r="C3375" s="752" t="s">
        <v>47130</v>
      </c>
      <c r="D3375" s="753" t="s">
        <v>47112</v>
      </c>
      <c r="E3375" s="752" t="s">
        <v>293</v>
      </c>
      <c r="F3375" s="751">
        <v>5495</v>
      </c>
    </row>
    <row r="3376" spans="1:6">
      <c r="A3376" s="753"/>
      <c r="B3376" s="753"/>
      <c r="C3376" s="752" t="s">
        <v>47129</v>
      </c>
      <c r="D3376" s="753" t="s">
        <v>47112</v>
      </c>
      <c r="E3376" s="752" t="s">
        <v>46701</v>
      </c>
      <c r="F3376" s="751">
        <v>5495</v>
      </c>
    </row>
    <row r="3377" spans="1:6">
      <c r="A3377" s="753"/>
      <c r="B3377" s="753"/>
      <c r="C3377" s="752" t="s">
        <v>47128</v>
      </c>
      <c r="D3377" s="753" t="s">
        <v>47112</v>
      </c>
      <c r="E3377" s="752" t="s">
        <v>46842</v>
      </c>
      <c r="F3377" s="751">
        <v>6255</v>
      </c>
    </row>
    <row r="3378" spans="1:6">
      <c r="A3378" s="753"/>
      <c r="B3378" s="753"/>
      <c r="C3378" s="752" t="s">
        <v>47127</v>
      </c>
      <c r="D3378" s="753" t="s">
        <v>47112</v>
      </c>
      <c r="E3378" s="752" t="s">
        <v>293</v>
      </c>
      <c r="F3378" s="751">
        <v>6255</v>
      </c>
    </row>
    <row r="3379" spans="1:6">
      <c r="A3379" s="753"/>
      <c r="B3379" s="753"/>
      <c r="C3379" s="752" t="s">
        <v>47126</v>
      </c>
      <c r="D3379" s="753" t="s">
        <v>47112</v>
      </c>
      <c r="E3379" s="752" t="s">
        <v>38655</v>
      </c>
      <c r="F3379" s="751">
        <v>5495</v>
      </c>
    </row>
    <row r="3380" spans="1:6">
      <c r="A3380" s="753"/>
      <c r="B3380" s="753"/>
      <c r="C3380" s="752" t="s">
        <v>47125</v>
      </c>
      <c r="D3380" s="753" t="s">
        <v>47124</v>
      </c>
      <c r="E3380" s="752" t="s">
        <v>47123</v>
      </c>
      <c r="F3380" s="751">
        <v>5099</v>
      </c>
    </row>
    <row r="3381" spans="1:6">
      <c r="A3381" s="753"/>
      <c r="B3381" s="753"/>
      <c r="C3381" s="752" t="s">
        <v>47122</v>
      </c>
      <c r="D3381" s="753" t="s">
        <v>47112</v>
      </c>
      <c r="E3381" s="752" t="s">
        <v>293</v>
      </c>
      <c r="F3381" s="751">
        <v>5645</v>
      </c>
    </row>
    <row r="3382" spans="1:6">
      <c r="A3382" s="753"/>
      <c r="B3382" s="753"/>
      <c r="C3382" s="752" t="s">
        <v>47121</v>
      </c>
      <c r="D3382" s="753" t="s">
        <v>47112</v>
      </c>
      <c r="E3382" s="752" t="s">
        <v>46584</v>
      </c>
      <c r="F3382" s="751">
        <v>5645</v>
      </c>
    </row>
    <row r="3383" spans="1:6">
      <c r="A3383" s="753"/>
      <c r="B3383" s="753"/>
      <c r="C3383" s="752" t="s">
        <v>47120</v>
      </c>
      <c r="D3383" s="753" t="s">
        <v>47112</v>
      </c>
      <c r="E3383" s="752" t="s">
        <v>47119</v>
      </c>
      <c r="F3383" s="751">
        <v>6405</v>
      </c>
    </row>
    <row r="3384" spans="1:6">
      <c r="A3384" s="753"/>
      <c r="B3384" s="753"/>
      <c r="C3384" s="752" t="s">
        <v>47118</v>
      </c>
      <c r="D3384" s="753" t="s">
        <v>47112</v>
      </c>
      <c r="E3384" s="752" t="s">
        <v>47117</v>
      </c>
      <c r="F3384" s="751">
        <v>6405</v>
      </c>
    </row>
    <row r="3385" spans="1:6">
      <c r="A3385" s="753"/>
      <c r="B3385" s="753"/>
      <c r="C3385" s="752" t="s">
        <v>47116</v>
      </c>
      <c r="D3385" s="753" t="s">
        <v>47112</v>
      </c>
      <c r="E3385" s="752" t="s">
        <v>293</v>
      </c>
      <c r="F3385" s="751">
        <v>5495</v>
      </c>
    </row>
    <row r="3386" spans="1:6">
      <c r="A3386" s="753"/>
      <c r="B3386" s="753"/>
      <c r="C3386" s="752" t="s">
        <v>47115</v>
      </c>
      <c r="D3386" s="753" t="s">
        <v>47114</v>
      </c>
      <c r="E3386" s="752" t="s">
        <v>293</v>
      </c>
      <c r="F3386" s="751">
        <v>5495</v>
      </c>
    </row>
    <row r="3387" spans="1:6">
      <c r="A3387" s="753"/>
      <c r="B3387" s="753"/>
      <c r="C3387" s="752" t="s">
        <v>47113</v>
      </c>
      <c r="D3387" s="753" t="s">
        <v>47112</v>
      </c>
      <c r="E3387" s="752" t="s">
        <v>293</v>
      </c>
      <c r="F3387" s="751">
        <v>5495</v>
      </c>
    </row>
    <row r="3388" spans="1:6">
      <c r="A3388" s="753"/>
      <c r="B3388" s="753"/>
      <c r="C3388" s="752" t="s">
        <v>47111</v>
      </c>
      <c r="D3388" s="753" t="s">
        <v>47109</v>
      </c>
      <c r="E3388" s="752" t="s">
        <v>38570</v>
      </c>
      <c r="F3388" s="751">
        <v>4130</v>
      </c>
    </row>
    <row r="3389" spans="1:6">
      <c r="A3389" s="753"/>
      <c r="B3389" s="753"/>
      <c r="C3389" s="752" t="s">
        <v>47110</v>
      </c>
      <c r="D3389" s="753" t="s">
        <v>47109</v>
      </c>
      <c r="E3389" s="752" t="s">
        <v>38584</v>
      </c>
      <c r="F3389" s="751">
        <v>4130</v>
      </c>
    </row>
    <row r="3390" spans="1:6">
      <c r="A3390" s="753"/>
      <c r="B3390" s="753"/>
      <c r="C3390" s="752" t="s">
        <v>47108</v>
      </c>
      <c r="D3390" s="753" t="s">
        <v>47103</v>
      </c>
      <c r="E3390" s="752" t="s">
        <v>38584</v>
      </c>
      <c r="F3390" s="751">
        <v>5995</v>
      </c>
    </row>
    <row r="3391" spans="1:6">
      <c r="A3391" s="753"/>
      <c r="B3391" s="753"/>
      <c r="C3391" s="752" t="s">
        <v>47107</v>
      </c>
      <c r="D3391" s="753" t="s">
        <v>47103</v>
      </c>
      <c r="E3391" s="752" t="s">
        <v>38584</v>
      </c>
      <c r="F3391" s="751">
        <v>5995</v>
      </c>
    </row>
    <row r="3392" spans="1:6">
      <c r="A3392" s="753"/>
      <c r="B3392" s="753"/>
      <c r="C3392" s="752" t="s">
        <v>47106</v>
      </c>
      <c r="D3392" s="753" t="s">
        <v>46780</v>
      </c>
      <c r="E3392" s="752" t="s">
        <v>38584</v>
      </c>
      <c r="F3392" s="751">
        <v>5995</v>
      </c>
    </row>
    <row r="3393" spans="1:6">
      <c r="A3393" s="753"/>
      <c r="B3393" s="753"/>
      <c r="C3393" s="752" t="s">
        <v>47105</v>
      </c>
      <c r="D3393" s="753" t="s">
        <v>47086</v>
      </c>
      <c r="E3393" s="752" t="s">
        <v>293</v>
      </c>
      <c r="F3393" s="751">
        <v>5925</v>
      </c>
    </row>
    <row r="3394" spans="1:6">
      <c r="A3394" s="753"/>
      <c r="B3394" s="753"/>
      <c r="C3394" s="752" t="s">
        <v>47104</v>
      </c>
      <c r="D3394" s="753" t="s">
        <v>47103</v>
      </c>
      <c r="E3394" s="752" t="s">
        <v>47102</v>
      </c>
      <c r="F3394" s="751">
        <v>5995</v>
      </c>
    </row>
    <row r="3395" spans="1:6">
      <c r="A3395" s="753"/>
      <c r="B3395" s="753"/>
      <c r="C3395" s="752" t="s">
        <v>47101</v>
      </c>
      <c r="D3395" s="753" t="s">
        <v>47095</v>
      </c>
      <c r="E3395" s="752" t="s">
        <v>38584</v>
      </c>
      <c r="F3395" s="751">
        <v>8605</v>
      </c>
    </row>
    <row r="3396" spans="1:6">
      <c r="A3396" s="753"/>
      <c r="B3396" s="753"/>
      <c r="C3396" s="752" t="s">
        <v>47100</v>
      </c>
      <c r="D3396" s="753" t="s">
        <v>47086</v>
      </c>
      <c r="E3396" s="752" t="s">
        <v>293</v>
      </c>
      <c r="F3396" s="751">
        <v>5925</v>
      </c>
    </row>
    <row r="3397" spans="1:6">
      <c r="A3397" s="753"/>
      <c r="B3397" s="753"/>
      <c r="C3397" s="752" t="s">
        <v>47099</v>
      </c>
      <c r="D3397" s="753" t="s">
        <v>46608</v>
      </c>
      <c r="E3397" s="752" t="s">
        <v>47098</v>
      </c>
      <c r="F3397" s="751">
        <v>3375</v>
      </c>
    </row>
    <row r="3398" spans="1:6">
      <c r="A3398" s="753"/>
      <c r="B3398" s="753"/>
      <c r="C3398" s="752" t="s">
        <v>47097</v>
      </c>
      <c r="D3398" s="753" t="s">
        <v>46608</v>
      </c>
      <c r="E3398" s="752" t="s">
        <v>38584</v>
      </c>
      <c r="F3398" s="751">
        <v>5430</v>
      </c>
    </row>
    <row r="3399" spans="1:6">
      <c r="A3399" s="753"/>
      <c r="B3399" s="753"/>
      <c r="C3399" s="752" t="s">
        <v>47096</v>
      </c>
      <c r="D3399" s="753" t="s">
        <v>47095</v>
      </c>
      <c r="E3399" s="752" t="s">
        <v>38584</v>
      </c>
      <c r="F3399" s="751">
        <v>8655</v>
      </c>
    </row>
    <row r="3400" spans="1:6">
      <c r="A3400" s="753"/>
      <c r="B3400" s="753"/>
      <c r="C3400" s="752" t="s">
        <v>47094</v>
      </c>
      <c r="D3400" s="753" t="s">
        <v>47086</v>
      </c>
      <c r="E3400" s="752" t="s">
        <v>293</v>
      </c>
      <c r="F3400" s="751">
        <v>5975</v>
      </c>
    </row>
    <row r="3401" spans="1:6">
      <c r="A3401" s="753"/>
      <c r="B3401" s="753"/>
      <c r="C3401" s="752" t="s">
        <v>47093</v>
      </c>
      <c r="D3401" s="753" t="s">
        <v>47092</v>
      </c>
      <c r="E3401" s="752" t="s">
        <v>39430</v>
      </c>
      <c r="F3401" s="751">
        <v>8895</v>
      </c>
    </row>
    <row r="3402" spans="1:6">
      <c r="A3402" s="753"/>
      <c r="B3402" s="753"/>
      <c r="C3402" s="752" t="s">
        <v>47091</v>
      </c>
      <c r="D3402" s="753" t="s">
        <v>47090</v>
      </c>
      <c r="E3402" s="752" t="s">
        <v>38584</v>
      </c>
      <c r="F3402" s="751">
        <v>8895</v>
      </c>
    </row>
    <row r="3403" spans="1:6">
      <c r="A3403" s="753"/>
      <c r="B3403" s="753"/>
      <c r="C3403" s="752" t="s">
        <v>47089</v>
      </c>
      <c r="D3403" s="753" t="s">
        <v>47088</v>
      </c>
      <c r="E3403" s="752" t="s">
        <v>38584</v>
      </c>
      <c r="F3403" s="751">
        <v>9095</v>
      </c>
    </row>
    <row r="3404" spans="1:6">
      <c r="A3404" s="753"/>
      <c r="B3404" s="753"/>
      <c r="C3404" s="752" t="s">
        <v>47087</v>
      </c>
      <c r="D3404" s="753" t="s">
        <v>47086</v>
      </c>
      <c r="E3404" s="752" t="s">
        <v>293</v>
      </c>
      <c r="F3404" s="751">
        <v>5975</v>
      </c>
    </row>
    <row r="3405" spans="1:6">
      <c r="A3405" s="753"/>
      <c r="B3405" s="753"/>
      <c r="C3405" s="752" t="s">
        <v>47085</v>
      </c>
      <c r="D3405" s="753" t="s">
        <v>47083</v>
      </c>
      <c r="E3405" s="752" t="s">
        <v>293</v>
      </c>
      <c r="F3405" s="751">
        <v>3899</v>
      </c>
    </row>
    <row r="3406" spans="1:6">
      <c r="A3406" s="753"/>
      <c r="B3406" s="753"/>
      <c r="C3406" s="752" t="s">
        <v>47084</v>
      </c>
      <c r="D3406" s="753" t="s">
        <v>47083</v>
      </c>
      <c r="E3406" s="752" t="s">
        <v>39028</v>
      </c>
      <c r="F3406" s="751">
        <v>4534</v>
      </c>
    </row>
    <row r="3407" spans="1:6">
      <c r="A3407" s="753"/>
      <c r="B3407" s="753"/>
      <c r="C3407" s="752" t="s">
        <v>47082</v>
      </c>
      <c r="D3407" s="753" t="s">
        <v>47070</v>
      </c>
      <c r="E3407" s="752" t="s">
        <v>293</v>
      </c>
      <c r="F3407" s="751">
        <v>2949</v>
      </c>
    </row>
    <row r="3408" spans="1:6">
      <c r="A3408" s="753"/>
      <c r="B3408" s="753"/>
      <c r="C3408" s="752" t="s">
        <v>47081</v>
      </c>
      <c r="D3408" s="753" t="s">
        <v>47072</v>
      </c>
      <c r="E3408" s="752" t="s">
        <v>293</v>
      </c>
      <c r="F3408" s="751">
        <v>4000</v>
      </c>
    </row>
    <row r="3409" spans="1:6">
      <c r="A3409" s="753"/>
      <c r="B3409" s="753"/>
      <c r="C3409" s="752" t="s">
        <v>47080</v>
      </c>
      <c r="D3409" s="753" t="s">
        <v>47070</v>
      </c>
      <c r="E3409" s="752" t="s">
        <v>39011</v>
      </c>
      <c r="F3409" s="751">
        <v>3709</v>
      </c>
    </row>
    <row r="3410" spans="1:6">
      <c r="A3410" s="753"/>
      <c r="B3410" s="753"/>
      <c r="C3410" s="752" t="s">
        <v>47079</v>
      </c>
      <c r="D3410" s="753" t="s">
        <v>47078</v>
      </c>
      <c r="E3410" s="752" t="s">
        <v>293</v>
      </c>
      <c r="F3410" s="751">
        <v>4099</v>
      </c>
    </row>
    <row r="3411" spans="1:6">
      <c r="A3411" s="753"/>
      <c r="B3411" s="753"/>
      <c r="C3411" s="752" t="s">
        <v>47077</v>
      </c>
      <c r="D3411" s="753" t="s">
        <v>47076</v>
      </c>
      <c r="E3411" s="752" t="s">
        <v>293</v>
      </c>
      <c r="F3411" s="751">
        <v>3649</v>
      </c>
    </row>
    <row r="3412" spans="1:6">
      <c r="A3412" s="753"/>
      <c r="B3412" s="753"/>
      <c r="C3412" s="752" t="s">
        <v>47075</v>
      </c>
      <c r="D3412" s="753" t="s">
        <v>47070</v>
      </c>
      <c r="E3412" s="752" t="s">
        <v>38584</v>
      </c>
      <c r="F3412" s="751">
        <v>2950</v>
      </c>
    </row>
    <row r="3413" spans="1:6">
      <c r="A3413" s="753"/>
      <c r="B3413" s="753"/>
      <c r="C3413" s="752" t="s">
        <v>47074</v>
      </c>
      <c r="D3413" s="753" t="s">
        <v>47070</v>
      </c>
      <c r="E3413" s="752" t="s">
        <v>37758</v>
      </c>
      <c r="F3413" s="751">
        <v>2949</v>
      </c>
    </row>
    <row r="3414" spans="1:6">
      <c r="A3414" s="753"/>
      <c r="B3414" s="753"/>
      <c r="C3414" s="752" t="s">
        <v>47073</v>
      </c>
      <c r="D3414" s="753" t="s">
        <v>47072</v>
      </c>
      <c r="E3414" s="752" t="s">
        <v>40728</v>
      </c>
      <c r="F3414" s="751">
        <v>4000</v>
      </c>
    </row>
    <row r="3415" spans="1:6">
      <c r="A3415" s="753"/>
      <c r="B3415" s="753"/>
      <c r="C3415" s="752" t="s">
        <v>47071</v>
      </c>
      <c r="D3415" s="753" t="s">
        <v>47070</v>
      </c>
      <c r="E3415" s="752" t="s">
        <v>46649</v>
      </c>
      <c r="F3415" s="751">
        <v>2949</v>
      </c>
    </row>
    <row r="3416" spans="1:6">
      <c r="A3416" s="753"/>
      <c r="B3416" s="753"/>
      <c r="C3416" s="752" t="s">
        <v>47069</v>
      </c>
      <c r="D3416" s="753" t="s">
        <v>47068</v>
      </c>
      <c r="E3416" s="752" t="s">
        <v>293</v>
      </c>
      <c r="F3416" s="751">
        <v>4050</v>
      </c>
    </row>
    <row r="3417" spans="1:6">
      <c r="A3417" s="753"/>
      <c r="B3417" s="753"/>
      <c r="C3417" s="752" t="s">
        <v>47067</v>
      </c>
      <c r="D3417" s="753" t="s">
        <v>47061</v>
      </c>
      <c r="E3417" s="752" t="s">
        <v>293</v>
      </c>
      <c r="F3417" s="751">
        <v>3249</v>
      </c>
    </row>
    <row r="3418" spans="1:6">
      <c r="A3418" s="753"/>
      <c r="B3418" s="753"/>
      <c r="C3418" s="752" t="s">
        <v>47066</v>
      </c>
      <c r="D3418" s="753" t="s">
        <v>47059</v>
      </c>
      <c r="E3418" s="752" t="s">
        <v>293</v>
      </c>
      <c r="F3418" s="751">
        <v>3349</v>
      </c>
    </row>
    <row r="3419" spans="1:6">
      <c r="A3419" s="753"/>
      <c r="B3419" s="753"/>
      <c r="C3419" s="752" t="s">
        <v>47065</v>
      </c>
      <c r="D3419" s="753" t="s">
        <v>47061</v>
      </c>
      <c r="E3419" s="752" t="s">
        <v>38581</v>
      </c>
      <c r="F3419" s="751">
        <v>3249</v>
      </c>
    </row>
    <row r="3420" spans="1:6">
      <c r="A3420" s="753"/>
      <c r="B3420" s="753"/>
      <c r="C3420" s="752" t="s">
        <v>47064</v>
      </c>
      <c r="D3420" s="753" t="s">
        <v>47061</v>
      </c>
      <c r="E3420" s="752" t="s">
        <v>293</v>
      </c>
      <c r="F3420" s="751">
        <v>3249</v>
      </c>
    </row>
    <row r="3421" spans="1:6">
      <c r="A3421" s="753"/>
      <c r="B3421" s="753"/>
      <c r="C3421" s="752" t="s">
        <v>47063</v>
      </c>
      <c r="D3421" s="753" t="s">
        <v>47059</v>
      </c>
      <c r="E3421" s="752" t="s">
        <v>293</v>
      </c>
      <c r="F3421" s="751">
        <v>3349</v>
      </c>
    </row>
    <row r="3422" spans="1:6">
      <c r="A3422" s="753"/>
      <c r="B3422" s="753"/>
      <c r="C3422" s="752" t="s">
        <v>47062</v>
      </c>
      <c r="D3422" s="753" t="s">
        <v>47061</v>
      </c>
      <c r="E3422" s="752" t="s">
        <v>46581</v>
      </c>
      <c r="F3422" s="751">
        <v>3249</v>
      </c>
    </row>
    <row r="3423" spans="1:6">
      <c r="A3423" s="753"/>
      <c r="B3423" s="753"/>
      <c r="C3423" s="752" t="s">
        <v>47060</v>
      </c>
      <c r="D3423" s="753" t="s">
        <v>47059</v>
      </c>
      <c r="E3423" s="752" t="s">
        <v>38783</v>
      </c>
      <c r="F3423" s="751">
        <v>3349</v>
      </c>
    </row>
    <row r="3424" spans="1:6">
      <c r="A3424" s="753"/>
      <c r="B3424" s="753"/>
      <c r="C3424" s="752" t="s">
        <v>47058</v>
      </c>
      <c r="D3424" s="753" t="s">
        <v>47055</v>
      </c>
      <c r="E3424" s="752" t="s">
        <v>293</v>
      </c>
      <c r="F3424" s="751">
        <v>3849</v>
      </c>
    </row>
    <row r="3425" spans="1:6">
      <c r="A3425" s="753"/>
      <c r="B3425" s="753"/>
      <c r="C3425" s="752" t="s">
        <v>47057</v>
      </c>
      <c r="D3425" s="753" t="s">
        <v>47055</v>
      </c>
      <c r="E3425" s="752" t="s">
        <v>293</v>
      </c>
      <c r="F3425" s="751">
        <v>3849</v>
      </c>
    </row>
    <row r="3426" spans="1:6">
      <c r="A3426" s="753"/>
      <c r="B3426" s="753"/>
      <c r="C3426" s="752" t="s">
        <v>47056</v>
      </c>
      <c r="D3426" s="753" t="s">
        <v>47055</v>
      </c>
      <c r="E3426" s="752" t="s">
        <v>38783</v>
      </c>
      <c r="F3426" s="751">
        <v>3849</v>
      </c>
    </row>
    <row r="3427" spans="1:6">
      <c r="A3427" s="753"/>
      <c r="B3427" s="753"/>
      <c r="C3427" s="752" t="s">
        <v>47054</v>
      </c>
      <c r="D3427" s="753" t="s">
        <v>47052</v>
      </c>
      <c r="E3427" s="752" t="s">
        <v>293</v>
      </c>
      <c r="F3427" s="751">
        <v>4099</v>
      </c>
    </row>
    <row r="3428" spans="1:6">
      <c r="A3428" s="753"/>
      <c r="B3428" s="753"/>
      <c r="C3428" s="752" t="s">
        <v>47053</v>
      </c>
      <c r="D3428" s="753" t="s">
        <v>47052</v>
      </c>
      <c r="E3428" s="752" t="s">
        <v>293</v>
      </c>
      <c r="F3428" s="751">
        <v>4099</v>
      </c>
    </row>
    <row r="3429" spans="1:6">
      <c r="A3429" s="753"/>
      <c r="B3429" s="753"/>
      <c r="C3429" s="752" t="s">
        <v>47051</v>
      </c>
      <c r="D3429" s="753" t="s">
        <v>47050</v>
      </c>
      <c r="E3429" s="752" t="s">
        <v>38581</v>
      </c>
      <c r="F3429" s="751">
        <v>4099</v>
      </c>
    </row>
    <row r="3430" spans="1:6">
      <c r="A3430" s="753"/>
      <c r="B3430" s="753"/>
      <c r="C3430" s="752" t="s">
        <v>47049</v>
      </c>
      <c r="D3430" s="753" t="s">
        <v>47048</v>
      </c>
      <c r="E3430" s="752" t="s">
        <v>37758</v>
      </c>
      <c r="F3430" s="751">
        <v>2925</v>
      </c>
    </row>
    <row r="3431" spans="1:6">
      <c r="A3431" s="753"/>
      <c r="B3431" s="753"/>
      <c r="C3431" s="752" t="s">
        <v>47047</v>
      </c>
      <c r="D3431" s="753" t="s">
        <v>46998</v>
      </c>
      <c r="E3431" s="752" t="s">
        <v>46853</v>
      </c>
      <c r="F3431" s="751">
        <v>2825</v>
      </c>
    </row>
    <row r="3432" spans="1:6">
      <c r="A3432" s="753"/>
      <c r="B3432" s="753"/>
      <c r="C3432" s="752" t="s">
        <v>47046</v>
      </c>
      <c r="D3432" s="753" t="s">
        <v>46998</v>
      </c>
      <c r="E3432" s="752" t="s">
        <v>47045</v>
      </c>
      <c r="F3432" s="751">
        <v>2825</v>
      </c>
    </row>
    <row r="3433" spans="1:6">
      <c r="A3433" s="753"/>
      <c r="B3433" s="753"/>
      <c r="C3433" s="752" t="s">
        <v>47044</v>
      </c>
      <c r="D3433" s="753" t="s">
        <v>46998</v>
      </c>
      <c r="E3433" s="752" t="s">
        <v>46568</v>
      </c>
      <c r="F3433" s="751">
        <v>2425</v>
      </c>
    </row>
    <row r="3434" spans="1:6">
      <c r="A3434" s="753"/>
      <c r="B3434" s="753"/>
      <c r="C3434" s="752" t="s">
        <v>47043</v>
      </c>
      <c r="D3434" s="753" t="s">
        <v>47010</v>
      </c>
      <c r="E3434" s="752" t="s">
        <v>47042</v>
      </c>
      <c r="F3434" s="751">
        <v>2425</v>
      </c>
    </row>
    <row r="3435" spans="1:6">
      <c r="A3435" s="753"/>
      <c r="B3435" s="753"/>
      <c r="C3435" s="752" t="s">
        <v>47041</v>
      </c>
      <c r="D3435" s="753" t="s">
        <v>46998</v>
      </c>
      <c r="E3435" s="752" t="s">
        <v>37794</v>
      </c>
      <c r="F3435" s="751">
        <v>3585</v>
      </c>
    </row>
    <row r="3436" spans="1:6">
      <c r="A3436" s="753"/>
      <c r="B3436" s="753"/>
      <c r="C3436" s="752" t="s">
        <v>47040</v>
      </c>
      <c r="D3436" s="753" t="s">
        <v>46998</v>
      </c>
      <c r="E3436" s="752" t="s">
        <v>38766</v>
      </c>
      <c r="F3436" s="751">
        <v>3585</v>
      </c>
    </row>
    <row r="3437" spans="1:6">
      <c r="A3437" s="753"/>
      <c r="B3437" s="753"/>
      <c r="C3437" s="752" t="s">
        <v>47039</v>
      </c>
      <c r="D3437" s="753" t="s">
        <v>46998</v>
      </c>
      <c r="E3437" s="752" t="s">
        <v>47038</v>
      </c>
      <c r="F3437" s="751">
        <v>2825</v>
      </c>
    </row>
    <row r="3438" spans="1:6">
      <c r="A3438" s="753"/>
      <c r="B3438" s="753"/>
      <c r="C3438" s="752" t="s">
        <v>47037</v>
      </c>
      <c r="D3438" s="753" t="s">
        <v>46998</v>
      </c>
      <c r="E3438" s="752" t="s">
        <v>47036</v>
      </c>
      <c r="F3438" s="751">
        <v>3585</v>
      </c>
    </row>
    <row r="3439" spans="1:6">
      <c r="A3439" s="753"/>
      <c r="B3439" s="753"/>
      <c r="C3439" s="752" t="s">
        <v>47035</v>
      </c>
      <c r="D3439" s="753" t="s">
        <v>46998</v>
      </c>
      <c r="E3439" s="752" t="s">
        <v>47034</v>
      </c>
      <c r="F3439" s="751">
        <v>2825</v>
      </c>
    </row>
    <row r="3440" spans="1:6">
      <c r="A3440" s="753"/>
      <c r="B3440" s="753"/>
      <c r="C3440" s="752" t="s">
        <v>47033</v>
      </c>
      <c r="D3440" s="753" t="s">
        <v>46998</v>
      </c>
      <c r="E3440" s="752" t="s">
        <v>46879</v>
      </c>
      <c r="F3440" s="751">
        <v>2825</v>
      </c>
    </row>
    <row r="3441" spans="1:6">
      <c r="A3441" s="753"/>
      <c r="B3441" s="753"/>
      <c r="C3441" s="752" t="s">
        <v>47032</v>
      </c>
      <c r="D3441" s="753" t="s">
        <v>46998</v>
      </c>
      <c r="E3441" s="752" t="s">
        <v>46877</v>
      </c>
      <c r="F3441" s="751">
        <v>2825</v>
      </c>
    </row>
    <row r="3442" spans="1:6">
      <c r="A3442" s="753"/>
      <c r="B3442" s="753"/>
      <c r="C3442" s="752" t="s">
        <v>47031</v>
      </c>
      <c r="D3442" s="753" t="s">
        <v>46998</v>
      </c>
      <c r="E3442" s="752" t="s">
        <v>46842</v>
      </c>
      <c r="F3442" s="751">
        <v>3585</v>
      </c>
    </row>
    <row r="3443" spans="1:6">
      <c r="A3443" s="753"/>
      <c r="B3443" s="753"/>
      <c r="C3443" s="752" t="s">
        <v>47030</v>
      </c>
      <c r="D3443" s="753" t="s">
        <v>46998</v>
      </c>
      <c r="E3443" s="752" t="s">
        <v>38577</v>
      </c>
      <c r="F3443" s="751">
        <v>3585</v>
      </c>
    </row>
    <row r="3444" spans="1:6">
      <c r="A3444" s="753"/>
      <c r="B3444" s="753"/>
      <c r="C3444" s="752" t="s">
        <v>47029</v>
      </c>
      <c r="D3444" s="753" t="s">
        <v>46998</v>
      </c>
      <c r="E3444" s="752" t="s">
        <v>41347</v>
      </c>
      <c r="F3444" s="751">
        <v>2825</v>
      </c>
    </row>
    <row r="3445" spans="1:6">
      <c r="A3445" s="753"/>
      <c r="B3445" s="753"/>
      <c r="C3445" s="752" t="s">
        <v>47028</v>
      </c>
      <c r="D3445" s="753" t="s">
        <v>46998</v>
      </c>
      <c r="E3445" s="752" t="s">
        <v>37758</v>
      </c>
      <c r="F3445" s="751">
        <v>2825</v>
      </c>
    </row>
    <row r="3446" spans="1:6">
      <c r="A3446" s="753"/>
      <c r="B3446" s="753"/>
      <c r="C3446" s="752" t="s">
        <v>47027</v>
      </c>
      <c r="D3446" s="753" t="s">
        <v>47010</v>
      </c>
      <c r="E3446" s="752" t="s">
        <v>47026</v>
      </c>
      <c r="F3446" s="751">
        <v>2425</v>
      </c>
    </row>
    <row r="3447" spans="1:6">
      <c r="A3447" s="753"/>
      <c r="B3447" s="753"/>
      <c r="C3447" s="752" t="s">
        <v>47025</v>
      </c>
      <c r="D3447" s="753" t="s">
        <v>47024</v>
      </c>
      <c r="E3447" s="752" t="s">
        <v>47023</v>
      </c>
      <c r="F3447" s="751">
        <v>2525</v>
      </c>
    </row>
    <row r="3448" spans="1:6">
      <c r="A3448" s="753"/>
      <c r="B3448" s="753"/>
      <c r="C3448" s="752" t="s">
        <v>47022</v>
      </c>
      <c r="D3448" s="753" t="s">
        <v>47007</v>
      </c>
      <c r="E3448" s="752" t="s">
        <v>293</v>
      </c>
      <c r="F3448" s="751">
        <v>3885</v>
      </c>
    </row>
    <row r="3449" spans="1:6">
      <c r="A3449" s="753"/>
      <c r="B3449" s="753"/>
      <c r="C3449" s="752" t="s">
        <v>47021</v>
      </c>
      <c r="D3449" s="753" t="s">
        <v>46998</v>
      </c>
      <c r="E3449" s="752" t="s">
        <v>47020</v>
      </c>
      <c r="F3449" s="751">
        <v>2825</v>
      </c>
    </row>
    <row r="3450" spans="1:6">
      <c r="A3450" s="753"/>
      <c r="B3450" s="753"/>
      <c r="C3450" s="752" t="s">
        <v>47019</v>
      </c>
      <c r="D3450" s="753" t="s">
        <v>46998</v>
      </c>
      <c r="E3450" s="752" t="s">
        <v>46972</v>
      </c>
      <c r="F3450" s="751">
        <v>2825</v>
      </c>
    </row>
    <row r="3451" spans="1:6">
      <c r="A3451" s="753"/>
      <c r="B3451" s="753"/>
      <c r="C3451" s="752" t="s">
        <v>47018</v>
      </c>
      <c r="D3451" s="753" t="s">
        <v>46998</v>
      </c>
      <c r="E3451" s="752" t="s">
        <v>47017</v>
      </c>
      <c r="F3451" s="751">
        <v>3725</v>
      </c>
    </row>
    <row r="3452" spans="1:6">
      <c r="A3452" s="753"/>
      <c r="B3452" s="753"/>
      <c r="C3452" s="752" t="s">
        <v>47016</v>
      </c>
      <c r="D3452" s="753" t="s">
        <v>46998</v>
      </c>
      <c r="E3452" s="752" t="s">
        <v>47015</v>
      </c>
      <c r="F3452" s="751">
        <v>3745</v>
      </c>
    </row>
    <row r="3453" spans="1:6">
      <c r="A3453" s="753"/>
      <c r="B3453" s="753"/>
      <c r="C3453" s="752" t="s">
        <v>47014</v>
      </c>
      <c r="D3453" s="753" t="s">
        <v>46998</v>
      </c>
      <c r="E3453" s="752" t="s">
        <v>47013</v>
      </c>
      <c r="F3453" s="751">
        <v>3585</v>
      </c>
    </row>
    <row r="3454" spans="1:6">
      <c r="A3454" s="753"/>
      <c r="B3454" s="753"/>
      <c r="C3454" s="752" t="s">
        <v>47012</v>
      </c>
      <c r="D3454" s="753" t="s">
        <v>46998</v>
      </c>
      <c r="E3454" s="752" t="s">
        <v>46584</v>
      </c>
      <c r="F3454" s="751">
        <v>2825</v>
      </c>
    </row>
    <row r="3455" spans="1:6">
      <c r="A3455" s="753"/>
      <c r="B3455" s="753"/>
      <c r="C3455" s="752" t="s">
        <v>47011</v>
      </c>
      <c r="D3455" s="753" t="s">
        <v>47010</v>
      </c>
      <c r="E3455" s="752" t="s">
        <v>47009</v>
      </c>
      <c r="F3455" s="751">
        <v>2425</v>
      </c>
    </row>
    <row r="3456" spans="1:6">
      <c r="A3456" s="753"/>
      <c r="B3456" s="753"/>
      <c r="C3456" s="752" t="s">
        <v>47008</v>
      </c>
      <c r="D3456" s="753" t="s">
        <v>47007</v>
      </c>
      <c r="E3456" s="752" t="s">
        <v>46584</v>
      </c>
      <c r="F3456" s="751">
        <v>3585</v>
      </c>
    </row>
    <row r="3457" spans="1:6">
      <c r="A3457" s="753"/>
      <c r="B3457" s="753"/>
      <c r="C3457" s="752" t="s">
        <v>47006</v>
      </c>
      <c r="D3457" s="753" t="s">
        <v>46998</v>
      </c>
      <c r="E3457" s="752" t="s">
        <v>46965</v>
      </c>
      <c r="F3457" s="751">
        <v>2575</v>
      </c>
    </row>
    <row r="3458" spans="1:6">
      <c r="A3458" s="753"/>
      <c r="B3458" s="753"/>
      <c r="C3458" s="752" t="s">
        <v>47005</v>
      </c>
      <c r="D3458" s="753" t="s">
        <v>46998</v>
      </c>
      <c r="E3458" s="752" t="s">
        <v>46831</v>
      </c>
      <c r="F3458" s="751">
        <v>2825</v>
      </c>
    </row>
    <row r="3459" spans="1:6">
      <c r="A3459" s="753"/>
      <c r="B3459" s="753"/>
      <c r="C3459" s="752" t="s">
        <v>47004</v>
      </c>
      <c r="D3459" s="753" t="s">
        <v>46998</v>
      </c>
      <c r="E3459" s="752" t="s">
        <v>46959</v>
      </c>
      <c r="F3459" s="751">
        <v>3915</v>
      </c>
    </row>
    <row r="3460" spans="1:6">
      <c r="A3460" s="753"/>
      <c r="B3460" s="753"/>
      <c r="C3460" s="752" t="s">
        <v>47003</v>
      </c>
      <c r="D3460" s="753" t="s">
        <v>46998</v>
      </c>
      <c r="E3460" s="752" t="s">
        <v>46807</v>
      </c>
      <c r="F3460" s="751">
        <v>2325</v>
      </c>
    </row>
    <row r="3461" spans="1:6">
      <c r="A3461" s="753"/>
      <c r="B3461" s="753"/>
      <c r="C3461" s="752" t="s">
        <v>47002</v>
      </c>
      <c r="D3461" s="753" t="s">
        <v>46998</v>
      </c>
      <c r="E3461" s="752" t="s">
        <v>293</v>
      </c>
      <c r="F3461" s="751">
        <v>2825</v>
      </c>
    </row>
    <row r="3462" spans="1:6">
      <c r="A3462" s="753"/>
      <c r="B3462" s="753"/>
      <c r="C3462" s="752" t="s">
        <v>47001</v>
      </c>
      <c r="D3462" s="753" t="s">
        <v>46998</v>
      </c>
      <c r="E3462" s="752" t="s">
        <v>40725</v>
      </c>
      <c r="F3462" s="751">
        <v>2825</v>
      </c>
    </row>
    <row r="3463" spans="1:6">
      <c r="A3463" s="753"/>
      <c r="B3463" s="753"/>
      <c r="C3463" s="752" t="s">
        <v>47000</v>
      </c>
      <c r="D3463" s="753" t="s">
        <v>46998</v>
      </c>
      <c r="E3463" s="752" t="s">
        <v>39996</v>
      </c>
      <c r="F3463" s="751">
        <v>2825</v>
      </c>
    </row>
    <row r="3464" spans="1:6">
      <c r="A3464" s="753"/>
      <c r="B3464" s="753"/>
      <c r="C3464" s="752" t="s">
        <v>46999</v>
      </c>
      <c r="D3464" s="753" t="s">
        <v>46998</v>
      </c>
      <c r="E3464" s="752" t="s">
        <v>38577</v>
      </c>
      <c r="F3464" s="751">
        <v>3585</v>
      </c>
    </row>
    <row r="3465" spans="1:6">
      <c r="A3465" s="753"/>
      <c r="B3465" s="753"/>
      <c r="C3465" s="752" t="s">
        <v>46997</v>
      </c>
      <c r="D3465" s="753" t="s">
        <v>46951</v>
      </c>
      <c r="E3465" s="752" t="s">
        <v>46853</v>
      </c>
      <c r="F3465" s="751">
        <v>3375</v>
      </c>
    </row>
    <row r="3466" spans="1:6">
      <c r="A3466" s="753"/>
      <c r="B3466" s="753"/>
      <c r="C3466" s="752" t="s">
        <v>46996</v>
      </c>
      <c r="D3466" s="753" t="s">
        <v>46951</v>
      </c>
      <c r="E3466" s="752" t="s">
        <v>46885</v>
      </c>
      <c r="F3466" s="751">
        <v>3375</v>
      </c>
    </row>
    <row r="3467" spans="1:6">
      <c r="A3467" s="753"/>
      <c r="B3467" s="753"/>
      <c r="C3467" s="752" t="s">
        <v>46995</v>
      </c>
      <c r="D3467" s="753" t="s">
        <v>46951</v>
      </c>
      <c r="E3467" s="752" t="s">
        <v>46944</v>
      </c>
      <c r="F3467" s="751">
        <v>4135</v>
      </c>
    </row>
    <row r="3468" spans="1:6">
      <c r="A3468" s="753"/>
      <c r="B3468" s="753"/>
      <c r="C3468" s="752" t="s">
        <v>46994</v>
      </c>
      <c r="D3468" s="753" t="s">
        <v>46951</v>
      </c>
      <c r="E3468" s="752" t="s">
        <v>46717</v>
      </c>
      <c r="F3468" s="751">
        <v>3375</v>
      </c>
    </row>
    <row r="3469" spans="1:6">
      <c r="A3469" s="753"/>
      <c r="B3469" s="753"/>
      <c r="C3469" s="752" t="s">
        <v>46993</v>
      </c>
      <c r="D3469" s="753" t="s">
        <v>46951</v>
      </c>
      <c r="E3469" s="752" t="s">
        <v>46879</v>
      </c>
      <c r="F3469" s="751">
        <v>3375</v>
      </c>
    </row>
    <row r="3470" spans="1:6">
      <c r="A3470" s="753"/>
      <c r="B3470" s="753"/>
      <c r="C3470" s="752" t="s">
        <v>46992</v>
      </c>
      <c r="D3470" s="753" t="s">
        <v>46951</v>
      </c>
      <c r="E3470" s="752" t="s">
        <v>46877</v>
      </c>
      <c r="F3470" s="751">
        <v>3375</v>
      </c>
    </row>
    <row r="3471" spans="1:6">
      <c r="A3471" s="753"/>
      <c r="B3471" s="753"/>
      <c r="C3471" s="752" t="s">
        <v>46991</v>
      </c>
      <c r="D3471" s="753" t="s">
        <v>46951</v>
      </c>
      <c r="E3471" s="752" t="s">
        <v>46990</v>
      </c>
      <c r="F3471" s="751">
        <v>4135</v>
      </c>
    </row>
    <row r="3472" spans="1:6">
      <c r="A3472" s="753"/>
      <c r="B3472" s="753"/>
      <c r="C3472" s="752" t="s">
        <v>46989</v>
      </c>
      <c r="D3472" s="753" t="s">
        <v>46951</v>
      </c>
      <c r="E3472" s="752" t="s">
        <v>46905</v>
      </c>
      <c r="F3472" s="751">
        <v>4135</v>
      </c>
    </row>
    <row r="3473" spans="1:6">
      <c r="A3473" s="753"/>
      <c r="B3473" s="753"/>
      <c r="C3473" s="752" t="s">
        <v>46988</v>
      </c>
      <c r="D3473" s="753" t="s">
        <v>46951</v>
      </c>
      <c r="E3473" s="752" t="s">
        <v>40689</v>
      </c>
      <c r="F3473" s="751">
        <v>4135</v>
      </c>
    </row>
    <row r="3474" spans="1:6">
      <c r="A3474" s="753"/>
      <c r="B3474" s="753"/>
      <c r="C3474" s="752" t="s">
        <v>46987</v>
      </c>
      <c r="D3474" s="753" t="s">
        <v>46951</v>
      </c>
      <c r="E3474" s="752" t="s">
        <v>41347</v>
      </c>
      <c r="F3474" s="751">
        <v>3375</v>
      </c>
    </row>
    <row r="3475" spans="1:6">
      <c r="A3475" s="753"/>
      <c r="B3475" s="753"/>
      <c r="C3475" s="752" t="s">
        <v>46986</v>
      </c>
      <c r="D3475" s="753" t="s">
        <v>46951</v>
      </c>
      <c r="E3475" s="752" t="s">
        <v>46985</v>
      </c>
      <c r="F3475" s="751">
        <v>4135</v>
      </c>
    </row>
    <row r="3476" spans="1:6">
      <c r="A3476" s="753"/>
      <c r="B3476" s="753"/>
      <c r="C3476" s="752" t="s">
        <v>46984</v>
      </c>
      <c r="D3476" s="753" t="s">
        <v>46951</v>
      </c>
      <c r="E3476" s="752" t="s">
        <v>46838</v>
      </c>
      <c r="F3476" s="751">
        <v>3375</v>
      </c>
    </row>
    <row r="3477" spans="1:6">
      <c r="A3477" s="753"/>
      <c r="B3477" s="753"/>
      <c r="C3477" s="752" t="s">
        <v>46983</v>
      </c>
      <c r="D3477" s="753" t="s">
        <v>46982</v>
      </c>
      <c r="E3477" s="752" t="s">
        <v>46838</v>
      </c>
      <c r="F3477" s="751">
        <v>4135</v>
      </c>
    </row>
    <row r="3478" spans="1:6">
      <c r="A3478" s="753"/>
      <c r="B3478" s="753"/>
      <c r="C3478" s="752" t="s">
        <v>46981</v>
      </c>
      <c r="D3478" s="753" t="s">
        <v>46951</v>
      </c>
      <c r="E3478" s="752" t="s">
        <v>41395</v>
      </c>
      <c r="F3478" s="751">
        <v>4135</v>
      </c>
    </row>
    <row r="3479" spans="1:6">
      <c r="A3479" s="753"/>
      <c r="B3479" s="753"/>
      <c r="C3479" s="752" t="s">
        <v>46980</v>
      </c>
      <c r="D3479" s="753" t="s">
        <v>46951</v>
      </c>
      <c r="E3479" s="752" t="s">
        <v>37758</v>
      </c>
      <c r="F3479" s="751">
        <v>3375</v>
      </c>
    </row>
    <row r="3480" spans="1:6">
      <c r="A3480" s="753"/>
      <c r="B3480" s="753"/>
      <c r="C3480" s="752" t="s">
        <v>46979</v>
      </c>
      <c r="D3480" s="753" t="s">
        <v>46951</v>
      </c>
      <c r="E3480" s="752" t="s">
        <v>46978</v>
      </c>
      <c r="F3480" s="751">
        <v>4135</v>
      </c>
    </row>
    <row r="3481" spans="1:6">
      <c r="A3481" s="753"/>
      <c r="B3481" s="753"/>
      <c r="C3481" s="752" t="s">
        <v>46977</v>
      </c>
      <c r="D3481" s="753" t="s">
        <v>46951</v>
      </c>
      <c r="E3481" s="752" t="s">
        <v>46972</v>
      </c>
      <c r="F3481" s="751">
        <v>3375</v>
      </c>
    </row>
    <row r="3482" spans="1:6">
      <c r="A3482" s="753"/>
      <c r="B3482" s="753"/>
      <c r="C3482" s="752" t="s">
        <v>46976</v>
      </c>
      <c r="D3482" s="753" t="s">
        <v>46951</v>
      </c>
      <c r="E3482" s="752" t="s">
        <v>46975</v>
      </c>
      <c r="F3482" s="751">
        <v>3825</v>
      </c>
    </row>
    <row r="3483" spans="1:6">
      <c r="A3483" s="753"/>
      <c r="B3483" s="753"/>
      <c r="C3483" s="752" t="s">
        <v>46974</v>
      </c>
      <c r="D3483" s="753" t="s">
        <v>46973</v>
      </c>
      <c r="E3483" s="752" t="s">
        <v>46972</v>
      </c>
      <c r="F3483" s="751">
        <v>4465</v>
      </c>
    </row>
    <row r="3484" spans="1:6">
      <c r="A3484" s="753"/>
      <c r="B3484" s="753"/>
      <c r="C3484" s="752" t="s">
        <v>46971</v>
      </c>
      <c r="D3484" s="753" t="s">
        <v>46951</v>
      </c>
      <c r="E3484" s="752" t="s">
        <v>46584</v>
      </c>
      <c r="F3484" s="751">
        <v>3375</v>
      </c>
    </row>
    <row r="3485" spans="1:6">
      <c r="A3485" s="753"/>
      <c r="B3485" s="753"/>
      <c r="C3485" s="752" t="s">
        <v>46970</v>
      </c>
      <c r="D3485" s="753" t="s">
        <v>46951</v>
      </c>
      <c r="E3485" s="752" t="s">
        <v>46969</v>
      </c>
      <c r="F3485" s="751">
        <v>4360</v>
      </c>
    </row>
    <row r="3486" spans="1:6">
      <c r="A3486" s="753"/>
      <c r="B3486" s="753"/>
      <c r="C3486" s="752" t="s">
        <v>46968</v>
      </c>
      <c r="D3486" s="753" t="s">
        <v>46951</v>
      </c>
      <c r="E3486" s="752" t="s">
        <v>46967</v>
      </c>
      <c r="F3486" s="751">
        <v>4135</v>
      </c>
    </row>
    <row r="3487" spans="1:6">
      <c r="A3487" s="753"/>
      <c r="B3487" s="753"/>
      <c r="C3487" s="752" t="s">
        <v>46966</v>
      </c>
      <c r="D3487" s="753" t="s">
        <v>46951</v>
      </c>
      <c r="E3487" s="752" t="s">
        <v>46965</v>
      </c>
      <c r="F3487" s="751">
        <v>3125</v>
      </c>
    </row>
    <row r="3488" spans="1:6">
      <c r="A3488" s="753"/>
      <c r="B3488" s="753"/>
      <c r="C3488" s="752" t="s">
        <v>46964</v>
      </c>
      <c r="D3488" s="753" t="s">
        <v>46951</v>
      </c>
      <c r="E3488" s="752" t="s">
        <v>46963</v>
      </c>
      <c r="F3488" s="751">
        <v>4135</v>
      </c>
    </row>
    <row r="3489" spans="1:6">
      <c r="A3489" s="753"/>
      <c r="B3489" s="753"/>
      <c r="C3489" s="752" t="s">
        <v>46962</v>
      </c>
      <c r="D3489" s="753" t="s">
        <v>46951</v>
      </c>
      <c r="E3489" s="752" t="s">
        <v>46961</v>
      </c>
      <c r="F3489" s="751">
        <v>4295</v>
      </c>
    </row>
    <row r="3490" spans="1:6">
      <c r="A3490" s="753"/>
      <c r="B3490" s="753"/>
      <c r="C3490" s="752" t="s">
        <v>46960</v>
      </c>
      <c r="D3490" s="753" t="s">
        <v>46951</v>
      </c>
      <c r="E3490" s="752" t="s">
        <v>46959</v>
      </c>
      <c r="F3490" s="751">
        <v>4465</v>
      </c>
    </row>
    <row r="3491" spans="1:6">
      <c r="A3491" s="753"/>
      <c r="B3491" s="753"/>
      <c r="C3491" s="752" t="s">
        <v>46958</v>
      </c>
      <c r="D3491" s="753" t="s">
        <v>46951</v>
      </c>
      <c r="E3491" s="752" t="s">
        <v>46957</v>
      </c>
      <c r="F3491" s="751">
        <v>4465</v>
      </c>
    </row>
    <row r="3492" spans="1:6">
      <c r="A3492" s="753"/>
      <c r="B3492" s="753"/>
      <c r="C3492" s="752" t="s">
        <v>46956</v>
      </c>
      <c r="D3492" s="753" t="s">
        <v>46951</v>
      </c>
      <c r="E3492" s="752" t="s">
        <v>46807</v>
      </c>
      <c r="F3492" s="751">
        <v>2875</v>
      </c>
    </row>
    <row r="3493" spans="1:6">
      <c r="A3493" s="753"/>
      <c r="B3493" s="753"/>
      <c r="C3493" s="752" t="s">
        <v>46955</v>
      </c>
      <c r="D3493" s="753" t="s">
        <v>46951</v>
      </c>
      <c r="E3493" s="752" t="s">
        <v>293</v>
      </c>
      <c r="F3493" s="751">
        <v>3375</v>
      </c>
    </row>
    <row r="3494" spans="1:6">
      <c r="A3494" s="753"/>
      <c r="B3494" s="753"/>
      <c r="C3494" s="752" t="s">
        <v>46954</v>
      </c>
      <c r="D3494" s="753" t="s">
        <v>46951</v>
      </c>
      <c r="E3494" s="752" t="s">
        <v>40725</v>
      </c>
      <c r="F3494" s="751">
        <v>3375</v>
      </c>
    </row>
    <row r="3495" spans="1:6">
      <c r="A3495" s="753"/>
      <c r="B3495" s="753"/>
      <c r="C3495" s="752" t="s">
        <v>46953</v>
      </c>
      <c r="D3495" s="753" t="s">
        <v>46951</v>
      </c>
      <c r="E3495" s="752" t="s">
        <v>39996</v>
      </c>
      <c r="F3495" s="751">
        <v>3375</v>
      </c>
    </row>
    <row r="3496" spans="1:6">
      <c r="A3496" s="753"/>
      <c r="B3496" s="753"/>
      <c r="C3496" s="752" t="s">
        <v>46952</v>
      </c>
      <c r="D3496" s="753" t="s">
        <v>46951</v>
      </c>
      <c r="E3496" s="752" t="s">
        <v>46950</v>
      </c>
      <c r="F3496" s="751">
        <v>3375</v>
      </c>
    </row>
    <row r="3497" spans="1:6">
      <c r="A3497" s="753"/>
      <c r="B3497" s="753"/>
      <c r="C3497" s="752" t="s">
        <v>46949</v>
      </c>
      <c r="D3497" s="753" t="s">
        <v>46948</v>
      </c>
      <c r="E3497" s="752" t="s">
        <v>293</v>
      </c>
      <c r="F3497" s="751">
        <v>2825</v>
      </c>
    </row>
    <row r="3498" spans="1:6">
      <c r="A3498" s="753"/>
      <c r="B3498" s="753"/>
      <c r="C3498" s="752" t="s">
        <v>46947</v>
      </c>
      <c r="D3498" s="753" t="s">
        <v>46917</v>
      </c>
      <c r="E3498" s="752" t="s">
        <v>46853</v>
      </c>
      <c r="F3498" s="751">
        <v>3375</v>
      </c>
    </row>
    <row r="3499" spans="1:6">
      <c r="A3499" s="753"/>
      <c r="B3499" s="753"/>
      <c r="C3499" s="752" t="s">
        <v>46946</v>
      </c>
      <c r="D3499" s="753" t="s">
        <v>46917</v>
      </c>
      <c r="E3499" s="752" t="s">
        <v>46717</v>
      </c>
      <c r="F3499" s="751">
        <v>3375</v>
      </c>
    </row>
    <row r="3500" spans="1:6">
      <c r="A3500" s="753"/>
      <c r="B3500" s="753"/>
      <c r="C3500" s="752" t="s">
        <v>46945</v>
      </c>
      <c r="D3500" s="753" t="s">
        <v>46922</v>
      </c>
      <c r="E3500" s="752" t="s">
        <v>46944</v>
      </c>
      <c r="F3500" s="751">
        <v>4135</v>
      </c>
    </row>
    <row r="3501" spans="1:6">
      <c r="A3501" s="753"/>
      <c r="B3501" s="753"/>
      <c r="C3501" s="752" t="s">
        <v>46943</v>
      </c>
      <c r="D3501" s="753" t="s">
        <v>46917</v>
      </c>
      <c r="E3501" s="752" t="s">
        <v>46942</v>
      </c>
      <c r="F3501" s="751">
        <v>4135</v>
      </c>
    </row>
    <row r="3502" spans="1:6">
      <c r="A3502" s="753"/>
      <c r="B3502" s="753"/>
      <c r="C3502" s="752" t="s">
        <v>46941</v>
      </c>
      <c r="D3502" s="753" t="s">
        <v>46917</v>
      </c>
      <c r="E3502" s="752" t="s">
        <v>46879</v>
      </c>
      <c r="F3502" s="751">
        <v>3375</v>
      </c>
    </row>
    <row r="3503" spans="1:6">
      <c r="A3503" s="753"/>
      <c r="B3503" s="753"/>
      <c r="C3503" s="752" t="s">
        <v>46940</v>
      </c>
      <c r="D3503" s="753" t="s">
        <v>46917</v>
      </c>
      <c r="E3503" s="752" t="s">
        <v>46877</v>
      </c>
      <c r="F3503" s="751">
        <v>3375</v>
      </c>
    </row>
    <row r="3504" spans="1:6">
      <c r="A3504" s="753"/>
      <c r="B3504" s="753"/>
      <c r="C3504" s="752" t="s">
        <v>46939</v>
      </c>
      <c r="D3504" s="753" t="s">
        <v>46917</v>
      </c>
      <c r="E3504" s="752" t="s">
        <v>46842</v>
      </c>
      <c r="F3504" s="751">
        <v>4135</v>
      </c>
    </row>
    <row r="3505" spans="1:6">
      <c r="A3505" s="753"/>
      <c r="B3505" s="753"/>
      <c r="C3505" s="752" t="s">
        <v>46938</v>
      </c>
      <c r="D3505" s="753" t="s">
        <v>46917</v>
      </c>
      <c r="E3505" s="752" t="s">
        <v>38577</v>
      </c>
      <c r="F3505" s="751">
        <v>4135</v>
      </c>
    </row>
    <row r="3506" spans="1:6">
      <c r="A3506" s="753"/>
      <c r="B3506" s="753"/>
      <c r="C3506" s="752" t="s">
        <v>46937</v>
      </c>
      <c r="D3506" s="753" t="s">
        <v>46917</v>
      </c>
      <c r="E3506" s="752" t="s">
        <v>41347</v>
      </c>
      <c r="F3506" s="751">
        <v>3375</v>
      </c>
    </row>
    <row r="3507" spans="1:6">
      <c r="A3507" s="753"/>
      <c r="B3507" s="753"/>
      <c r="C3507" s="752" t="s">
        <v>46936</v>
      </c>
      <c r="D3507" s="753" t="s">
        <v>46917</v>
      </c>
      <c r="E3507" s="752" t="s">
        <v>46838</v>
      </c>
      <c r="F3507" s="751">
        <v>3375</v>
      </c>
    </row>
    <row r="3508" spans="1:6">
      <c r="A3508" s="753"/>
      <c r="B3508" s="753"/>
      <c r="C3508" s="752" t="s">
        <v>46935</v>
      </c>
      <c r="D3508" s="753" t="s">
        <v>46917</v>
      </c>
      <c r="E3508" s="752" t="s">
        <v>40352</v>
      </c>
      <c r="F3508" s="751">
        <v>3375</v>
      </c>
    </row>
    <row r="3509" spans="1:6">
      <c r="A3509" s="753"/>
      <c r="B3509" s="753"/>
      <c r="C3509" s="752" t="s">
        <v>46934</v>
      </c>
      <c r="D3509" s="753" t="s">
        <v>46917</v>
      </c>
      <c r="E3509" s="752" t="s">
        <v>39493</v>
      </c>
      <c r="F3509" s="751">
        <v>4135</v>
      </c>
    </row>
    <row r="3510" spans="1:6">
      <c r="A3510" s="753"/>
      <c r="B3510" s="753"/>
      <c r="C3510" s="752" t="s">
        <v>46933</v>
      </c>
      <c r="D3510" s="753" t="s">
        <v>46917</v>
      </c>
      <c r="E3510" s="752" t="s">
        <v>46833</v>
      </c>
      <c r="F3510" s="751">
        <v>3375</v>
      </c>
    </row>
    <row r="3511" spans="1:6">
      <c r="A3511" s="753"/>
      <c r="B3511" s="753"/>
      <c r="C3511" s="752" t="s">
        <v>46932</v>
      </c>
      <c r="D3511" s="753" t="s">
        <v>46917</v>
      </c>
      <c r="E3511" s="752" t="s">
        <v>46931</v>
      </c>
      <c r="F3511" s="751">
        <v>4025</v>
      </c>
    </row>
    <row r="3512" spans="1:6">
      <c r="A3512" s="753"/>
      <c r="B3512" s="753"/>
      <c r="C3512" s="752" t="s">
        <v>46930</v>
      </c>
      <c r="D3512" s="753" t="s">
        <v>46917</v>
      </c>
      <c r="E3512" s="752" t="s">
        <v>40675</v>
      </c>
      <c r="F3512" s="751">
        <v>3375</v>
      </c>
    </row>
    <row r="3513" spans="1:6">
      <c r="A3513" s="753"/>
      <c r="B3513" s="753"/>
      <c r="C3513" s="752" t="s">
        <v>46929</v>
      </c>
      <c r="D3513" s="753" t="s">
        <v>46917</v>
      </c>
      <c r="E3513" s="752" t="s">
        <v>46928</v>
      </c>
      <c r="F3513" s="751">
        <v>4135</v>
      </c>
    </row>
    <row r="3514" spans="1:6">
      <c r="A3514" s="753"/>
      <c r="B3514" s="753"/>
      <c r="C3514" s="752" t="s">
        <v>46927</v>
      </c>
      <c r="D3514" s="753" t="s">
        <v>46917</v>
      </c>
      <c r="E3514" s="752" t="s">
        <v>46926</v>
      </c>
      <c r="F3514" s="751">
        <v>3125</v>
      </c>
    </row>
    <row r="3515" spans="1:6">
      <c r="A3515" s="753"/>
      <c r="B3515" s="753"/>
      <c r="C3515" s="752" t="s">
        <v>46925</v>
      </c>
      <c r="D3515" s="753" t="s">
        <v>46922</v>
      </c>
      <c r="E3515" s="752" t="s">
        <v>46924</v>
      </c>
      <c r="F3515" s="751">
        <v>4135</v>
      </c>
    </row>
    <row r="3516" spans="1:6">
      <c r="A3516" s="753"/>
      <c r="B3516" s="753"/>
      <c r="C3516" s="752" t="s">
        <v>46923</v>
      </c>
      <c r="D3516" s="753" t="s">
        <v>46922</v>
      </c>
      <c r="E3516" s="752" t="s">
        <v>46921</v>
      </c>
      <c r="F3516" s="751">
        <v>5225</v>
      </c>
    </row>
    <row r="3517" spans="1:6">
      <c r="A3517" s="753"/>
      <c r="B3517" s="753"/>
      <c r="C3517" s="752" t="s">
        <v>46920</v>
      </c>
      <c r="D3517" s="753" t="s">
        <v>46917</v>
      </c>
      <c r="E3517" s="752" t="s">
        <v>293</v>
      </c>
      <c r="F3517" s="751">
        <v>3375</v>
      </c>
    </row>
    <row r="3518" spans="1:6">
      <c r="A3518" s="753"/>
      <c r="B3518" s="753"/>
      <c r="C3518" s="752" t="s">
        <v>46919</v>
      </c>
      <c r="D3518" s="753" t="s">
        <v>46917</v>
      </c>
      <c r="E3518" s="752" t="s">
        <v>40725</v>
      </c>
      <c r="F3518" s="751">
        <v>3125</v>
      </c>
    </row>
    <row r="3519" spans="1:6">
      <c r="A3519" s="753"/>
      <c r="B3519" s="753"/>
      <c r="C3519" s="752" t="s">
        <v>46918</v>
      </c>
      <c r="D3519" s="753" t="s">
        <v>46917</v>
      </c>
      <c r="E3519" s="752" t="s">
        <v>42751</v>
      </c>
      <c r="F3519" s="751">
        <v>3885</v>
      </c>
    </row>
    <row r="3520" spans="1:6">
      <c r="A3520" s="753"/>
      <c r="B3520" s="753"/>
      <c r="C3520" s="752" t="s">
        <v>46916</v>
      </c>
      <c r="D3520" s="753" t="s">
        <v>46915</v>
      </c>
      <c r="E3520" s="752" t="s">
        <v>293</v>
      </c>
      <c r="F3520" s="751">
        <v>2825</v>
      </c>
    </row>
    <row r="3521" spans="1:6">
      <c r="A3521" s="753"/>
      <c r="B3521" s="753"/>
      <c r="C3521" s="752" t="s">
        <v>46914</v>
      </c>
      <c r="D3521" s="753" t="s">
        <v>46778</v>
      </c>
      <c r="E3521" s="752" t="s">
        <v>46853</v>
      </c>
      <c r="F3521" s="751">
        <v>2625</v>
      </c>
    </row>
    <row r="3522" spans="1:6">
      <c r="A3522" s="753"/>
      <c r="B3522" s="753"/>
      <c r="C3522" s="752" t="s">
        <v>46913</v>
      </c>
      <c r="D3522" s="753" t="s">
        <v>46778</v>
      </c>
      <c r="E3522" s="752" t="s">
        <v>46885</v>
      </c>
      <c r="F3522" s="751">
        <v>2625</v>
      </c>
    </row>
    <row r="3523" spans="1:6">
      <c r="A3523" s="753"/>
      <c r="B3523" s="753"/>
      <c r="C3523" s="752" t="s">
        <v>46912</v>
      </c>
      <c r="D3523" s="753" t="s">
        <v>46911</v>
      </c>
      <c r="E3523" s="752" t="s">
        <v>46853</v>
      </c>
      <c r="F3523" s="751">
        <v>2225</v>
      </c>
    </row>
    <row r="3524" spans="1:6">
      <c r="A3524" s="753"/>
      <c r="B3524" s="753"/>
      <c r="C3524" s="752" t="s">
        <v>46910</v>
      </c>
      <c r="D3524" s="753" t="s">
        <v>46778</v>
      </c>
      <c r="E3524" s="752" t="s">
        <v>39403</v>
      </c>
      <c r="F3524" s="751">
        <v>3385</v>
      </c>
    </row>
    <row r="3525" spans="1:6">
      <c r="A3525" s="753"/>
      <c r="B3525" s="753"/>
      <c r="C3525" s="752" t="s">
        <v>46909</v>
      </c>
      <c r="D3525" s="753" t="s">
        <v>46778</v>
      </c>
      <c r="E3525" s="752" t="s">
        <v>46717</v>
      </c>
      <c r="F3525" s="751">
        <v>2625</v>
      </c>
    </row>
    <row r="3526" spans="1:6">
      <c r="A3526" s="753"/>
      <c r="B3526" s="753"/>
      <c r="C3526" s="752" t="s">
        <v>46908</v>
      </c>
      <c r="D3526" s="753" t="s">
        <v>46778</v>
      </c>
      <c r="E3526" s="752" t="s">
        <v>46879</v>
      </c>
      <c r="F3526" s="751">
        <v>2625</v>
      </c>
    </row>
    <row r="3527" spans="1:6">
      <c r="A3527" s="753"/>
      <c r="B3527" s="753"/>
      <c r="C3527" s="752" t="s">
        <v>46907</v>
      </c>
      <c r="D3527" s="753" t="s">
        <v>46778</v>
      </c>
      <c r="E3527" s="752" t="s">
        <v>46877</v>
      </c>
      <c r="F3527" s="751">
        <v>2625</v>
      </c>
    </row>
    <row r="3528" spans="1:6">
      <c r="A3528" s="753"/>
      <c r="B3528" s="753"/>
      <c r="C3528" s="752" t="s">
        <v>46906</v>
      </c>
      <c r="D3528" s="753" t="s">
        <v>46778</v>
      </c>
      <c r="E3528" s="752" t="s">
        <v>46905</v>
      </c>
      <c r="F3528" s="751">
        <v>3385</v>
      </c>
    </row>
    <row r="3529" spans="1:6">
      <c r="A3529" s="753"/>
      <c r="B3529" s="753"/>
      <c r="C3529" s="752" t="s">
        <v>46904</v>
      </c>
      <c r="D3529" s="753" t="s">
        <v>46778</v>
      </c>
      <c r="E3529" s="752" t="s">
        <v>46903</v>
      </c>
      <c r="F3529" s="751">
        <v>3385</v>
      </c>
    </row>
    <row r="3530" spans="1:6">
      <c r="A3530" s="753"/>
      <c r="B3530" s="753"/>
      <c r="C3530" s="752" t="s">
        <v>46902</v>
      </c>
      <c r="D3530" s="753" t="s">
        <v>46778</v>
      </c>
      <c r="E3530" s="752" t="s">
        <v>41347</v>
      </c>
      <c r="F3530" s="751">
        <v>2625</v>
      </c>
    </row>
    <row r="3531" spans="1:6">
      <c r="A3531" s="753"/>
      <c r="B3531" s="753"/>
      <c r="C3531" s="752" t="s">
        <v>46901</v>
      </c>
      <c r="D3531" s="753" t="s">
        <v>46778</v>
      </c>
      <c r="E3531" s="752" t="s">
        <v>46900</v>
      </c>
      <c r="F3531" s="751">
        <v>2625</v>
      </c>
    </row>
    <row r="3532" spans="1:6">
      <c r="A3532" s="753"/>
      <c r="B3532" s="753"/>
      <c r="C3532" s="752" t="s">
        <v>46899</v>
      </c>
      <c r="D3532" s="753" t="s">
        <v>46778</v>
      </c>
      <c r="E3532" s="752" t="s">
        <v>37758</v>
      </c>
      <c r="F3532" s="751">
        <v>2625</v>
      </c>
    </row>
    <row r="3533" spans="1:6">
      <c r="A3533" s="753"/>
      <c r="B3533" s="753"/>
      <c r="C3533" s="752" t="s">
        <v>46898</v>
      </c>
      <c r="D3533" s="753" t="s">
        <v>46778</v>
      </c>
      <c r="E3533" s="752" t="s">
        <v>46897</v>
      </c>
      <c r="F3533" s="751">
        <v>2325</v>
      </c>
    </row>
    <row r="3534" spans="1:6">
      <c r="A3534" s="753"/>
      <c r="B3534" s="753"/>
      <c r="C3534" s="752" t="s">
        <v>46896</v>
      </c>
      <c r="D3534" s="753" t="s">
        <v>46778</v>
      </c>
      <c r="E3534" s="752" t="s">
        <v>46833</v>
      </c>
      <c r="F3534" s="751">
        <v>2625</v>
      </c>
    </row>
    <row r="3535" spans="1:6">
      <c r="A3535" s="753"/>
      <c r="B3535" s="753"/>
      <c r="C3535" s="752" t="s">
        <v>46895</v>
      </c>
      <c r="D3535" s="753" t="s">
        <v>46778</v>
      </c>
      <c r="E3535" s="752" t="s">
        <v>46894</v>
      </c>
      <c r="F3535" s="751">
        <v>2625</v>
      </c>
    </row>
    <row r="3536" spans="1:6">
      <c r="A3536" s="753"/>
      <c r="B3536" s="753"/>
      <c r="C3536" s="752" t="s">
        <v>46893</v>
      </c>
      <c r="D3536" s="753" t="s">
        <v>46778</v>
      </c>
      <c r="E3536" s="752" t="s">
        <v>46584</v>
      </c>
      <c r="F3536" s="751">
        <v>2625</v>
      </c>
    </row>
    <row r="3537" spans="1:6">
      <c r="A3537" s="753"/>
      <c r="B3537" s="753"/>
      <c r="C3537" s="752" t="s">
        <v>46892</v>
      </c>
      <c r="D3537" s="753" t="s">
        <v>46891</v>
      </c>
      <c r="E3537" s="752" t="s">
        <v>46584</v>
      </c>
      <c r="F3537" s="751">
        <v>3385</v>
      </c>
    </row>
    <row r="3538" spans="1:6">
      <c r="A3538" s="753"/>
      <c r="B3538" s="753"/>
      <c r="C3538" s="752" t="s">
        <v>46890</v>
      </c>
      <c r="D3538" s="753" t="s">
        <v>46778</v>
      </c>
      <c r="E3538" s="752" t="s">
        <v>46807</v>
      </c>
      <c r="F3538" s="751">
        <v>2125</v>
      </c>
    </row>
    <row r="3539" spans="1:6">
      <c r="A3539" s="753"/>
      <c r="B3539" s="753"/>
      <c r="C3539" s="752" t="s">
        <v>46889</v>
      </c>
      <c r="D3539" s="753" t="s">
        <v>46778</v>
      </c>
      <c r="E3539" s="752" t="s">
        <v>293</v>
      </c>
      <c r="F3539" s="751">
        <v>2625</v>
      </c>
    </row>
    <row r="3540" spans="1:6">
      <c r="A3540" s="753"/>
      <c r="B3540" s="753"/>
      <c r="C3540" s="752" t="s">
        <v>46888</v>
      </c>
      <c r="D3540" s="753" t="s">
        <v>46778</v>
      </c>
      <c r="E3540" s="752" t="s">
        <v>40725</v>
      </c>
      <c r="F3540" s="751">
        <v>2625</v>
      </c>
    </row>
    <row r="3541" spans="1:6">
      <c r="A3541" s="753"/>
      <c r="B3541" s="753"/>
      <c r="C3541" s="752" t="s">
        <v>46887</v>
      </c>
      <c r="D3541" s="753" t="s">
        <v>46857</v>
      </c>
      <c r="E3541" s="752" t="s">
        <v>46853</v>
      </c>
      <c r="F3541" s="751">
        <v>3175</v>
      </c>
    </row>
    <row r="3542" spans="1:6">
      <c r="A3542" s="753"/>
      <c r="B3542" s="753"/>
      <c r="C3542" s="752" t="s">
        <v>46886</v>
      </c>
      <c r="D3542" s="753" t="s">
        <v>46857</v>
      </c>
      <c r="E3542" s="752" t="s">
        <v>46885</v>
      </c>
      <c r="F3542" s="751">
        <v>3175</v>
      </c>
    </row>
    <row r="3543" spans="1:6">
      <c r="A3543" s="753"/>
      <c r="B3543" s="753"/>
      <c r="C3543" s="752" t="s">
        <v>46884</v>
      </c>
      <c r="D3543" s="753" t="s">
        <v>46857</v>
      </c>
      <c r="E3543" s="752" t="s">
        <v>37794</v>
      </c>
      <c r="F3543" s="751">
        <v>3935</v>
      </c>
    </row>
    <row r="3544" spans="1:6">
      <c r="A3544" s="753"/>
      <c r="B3544" s="753"/>
      <c r="C3544" s="752" t="s">
        <v>46883</v>
      </c>
      <c r="D3544" s="753" t="s">
        <v>46857</v>
      </c>
      <c r="E3544" s="752" t="s">
        <v>46717</v>
      </c>
      <c r="F3544" s="751">
        <v>3175</v>
      </c>
    </row>
    <row r="3545" spans="1:6">
      <c r="A3545" s="753"/>
      <c r="B3545" s="753"/>
      <c r="C3545" s="752" t="s">
        <v>46882</v>
      </c>
      <c r="D3545" s="753" t="s">
        <v>46857</v>
      </c>
      <c r="E3545" s="752" t="s">
        <v>46881</v>
      </c>
      <c r="F3545" s="751">
        <v>3935</v>
      </c>
    </row>
    <row r="3546" spans="1:6">
      <c r="A3546" s="753"/>
      <c r="B3546" s="753"/>
      <c r="C3546" s="752" t="s">
        <v>46880</v>
      </c>
      <c r="D3546" s="753" t="s">
        <v>46857</v>
      </c>
      <c r="E3546" s="752" t="s">
        <v>46879</v>
      </c>
      <c r="F3546" s="751">
        <v>3175</v>
      </c>
    </row>
    <row r="3547" spans="1:6">
      <c r="A3547" s="753"/>
      <c r="B3547" s="753"/>
      <c r="C3547" s="752" t="s">
        <v>46878</v>
      </c>
      <c r="D3547" s="753" t="s">
        <v>46857</v>
      </c>
      <c r="E3547" s="752" t="s">
        <v>46877</v>
      </c>
      <c r="F3547" s="751">
        <v>3175</v>
      </c>
    </row>
    <row r="3548" spans="1:6">
      <c r="A3548" s="753"/>
      <c r="B3548" s="753"/>
      <c r="C3548" s="752" t="s">
        <v>46876</v>
      </c>
      <c r="D3548" s="753" t="s">
        <v>46857</v>
      </c>
      <c r="E3548" s="752" t="s">
        <v>46842</v>
      </c>
      <c r="F3548" s="751">
        <v>3935</v>
      </c>
    </row>
    <row r="3549" spans="1:6">
      <c r="A3549" s="753"/>
      <c r="B3549" s="753"/>
      <c r="C3549" s="752" t="s">
        <v>46875</v>
      </c>
      <c r="D3549" s="753" t="s">
        <v>46857</v>
      </c>
      <c r="E3549" s="752" t="s">
        <v>40689</v>
      </c>
      <c r="F3549" s="751">
        <v>3935</v>
      </c>
    </row>
    <row r="3550" spans="1:6">
      <c r="A3550" s="753"/>
      <c r="B3550" s="753"/>
      <c r="C3550" s="752" t="s">
        <v>46874</v>
      </c>
      <c r="D3550" s="753" t="s">
        <v>46857</v>
      </c>
      <c r="E3550" s="752" t="s">
        <v>41347</v>
      </c>
      <c r="F3550" s="751">
        <v>3175</v>
      </c>
    </row>
    <row r="3551" spans="1:6">
      <c r="A3551" s="753"/>
      <c r="B3551" s="753"/>
      <c r="C3551" s="752" t="s">
        <v>46873</v>
      </c>
      <c r="D3551" s="753" t="s">
        <v>46857</v>
      </c>
      <c r="E3551" s="752" t="s">
        <v>44190</v>
      </c>
      <c r="F3551" s="751">
        <v>3935</v>
      </c>
    </row>
    <row r="3552" spans="1:6">
      <c r="A3552" s="753"/>
      <c r="B3552" s="753"/>
      <c r="C3552" s="752" t="s">
        <v>46872</v>
      </c>
      <c r="D3552" s="753" t="s">
        <v>46857</v>
      </c>
      <c r="E3552" s="752" t="s">
        <v>46871</v>
      </c>
      <c r="F3552" s="751">
        <v>3175</v>
      </c>
    </row>
    <row r="3553" spans="1:6">
      <c r="A3553" s="753"/>
      <c r="B3553" s="753"/>
      <c r="C3553" s="752" t="s">
        <v>46870</v>
      </c>
      <c r="D3553" s="753" t="s">
        <v>46857</v>
      </c>
      <c r="E3553" s="752" t="s">
        <v>40728</v>
      </c>
      <c r="F3553" s="751">
        <v>3175</v>
      </c>
    </row>
    <row r="3554" spans="1:6">
      <c r="A3554" s="753"/>
      <c r="B3554" s="753"/>
      <c r="C3554" s="752" t="s">
        <v>46869</v>
      </c>
      <c r="D3554" s="753" t="s">
        <v>46857</v>
      </c>
      <c r="E3554" s="752" t="s">
        <v>46833</v>
      </c>
      <c r="F3554" s="751">
        <v>3175</v>
      </c>
    </row>
    <row r="3555" spans="1:6">
      <c r="A3555" s="753"/>
      <c r="B3555" s="753"/>
      <c r="C3555" s="752" t="s">
        <v>46868</v>
      </c>
      <c r="D3555" s="753" t="s">
        <v>46857</v>
      </c>
      <c r="E3555" s="752" t="s">
        <v>40675</v>
      </c>
      <c r="F3555" s="751">
        <v>3175</v>
      </c>
    </row>
    <row r="3556" spans="1:6">
      <c r="A3556" s="753"/>
      <c r="B3556" s="753"/>
      <c r="C3556" s="752" t="s">
        <v>46867</v>
      </c>
      <c r="D3556" s="753" t="s">
        <v>46857</v>
      </c>
      <c r="E3556" s="752" t="s">
        <v>46471</v>
      </c>
      <c r="F3556" s="751">
        <v>3935</v>
      </c>
    </row>
    <row r="3557" spans="1:6">
      <c r="A3557" s="753"/>
      <c r="B3557" s="753"/>
      <c r="C3557" s="752" t="s">
        <v>46866</v>
      </c>
      <c r="D3557" s="753" t="s">
        <v>46857</v>
      </c>
      <c r="E3557" s="752" t="s">
        <v>46483</v>
      </c>
      <c r="F3557" s="751">
        <v>3935</v>
      </c>
    </row>
    <row r="3558" spans="1:6">
      <c r="A3558" s="753"/>
      <c r="B3558" s="753"/>
      <c r="C3558" s="752" t="s">
        <v>46865</v>
      </c>
      <c r="D3558" s="753" t="s">
        <v>46864</v>
      </c>
      <c r="E3558" s="752" t="s">
        <v>40728</v>
      </c>
      <c r="F3558" s="751">
        <v>4265</v>
      </c>
    </row>
    <row r="3559" spans="1:6">
      <c r="A3559" s="753"/>
      <c r="B3559" s="753"/>
      <c r="C3559" s="752" t="s">
        <v>46863</v>
      </c>
      <c r="D3559" s="753" t="s">
        <v>46857</v>
      </c>
      <c r="E3559" s="752" t="s">
        <v>293</v>
      </c>
      <c r="F3559" s="751">
        <v>3175</v>
      </c>
    </row>
    <row r="3560" spans="1:6">
      <c r="A3560" s="753"/>
      <c r="B3560" s="753"/>
      <c r="C3560" s="752" t="s">
        <v>46862</v>
      </c>
      <c r="D3560" s="753" t="s">
        <v>46857</v>
      </c>
      <c r="E3560" s="752" t="s">
        <v>40725</v>
      </c>
      <c r="F3560" s="751">
        <v>3175</v>
      </c>
    </row>
    <row r="3561" spans="1:6">
      <c r="A3561" s="753"/>
      <c r="B3561" s="753"/>
      <c r="C3561" s="752" t="s">
        <v>46861</v>
      </c>
      <c r="D3561" s="753" t="s">
        <v>46857</v>
      </c>
      <c r="E3561" s="752" t="s">
        <v>46860</v>
      </c>
      <c r="F3561" s="751">
        <v>3935</v>
      </c>
    </row>
    <row r="3562" spans="1:6">
      <c r="A3562" s="753"/>
      <c r="B3562" s="753"/>
      <c r="C3562" s="752" t="s">
        <v>46859</v>
      </c>
      <c r="D3562" s="753" t="s">
        <v>46857</v>
      </c>
      <c r="E3562" s="752" t="s">
        <v>39996</v>
      </c>
      <c r="F3562" s="751">
        <v>3175</v>
      </c>
    </row>
    <row r="3563" spans="1:6">
      <c r="A3563" s="753"/>
      <c r="B3563" s="753"/>
      <c r="C3563" s="752" t="s">
        <v>46858</v>
      </c>
      <c r="D3563" s="753" t="s">
        <v>46857</v>
      </c>
      <c r="E3563" s="752" t="s">
        <v>38577</v>
      </c>
      <c r="F3563" s="751">
        <v>3935</v>
      </c>
    </row>
    <row r="3564" spans="1:6">
      <c r="A3564" s="753"/>
      <c r="B3564" s="753"/>
      <c r="C3564" s="752" t="s">
        <v>46856</v>
      </c>
      <c r="D3564" s="753" t="s">
        <v>46855</v>
      </c>
      <c r="E3564" s="752" t="s">
        <v>293</v>
      </c>
      <c r="F3564" s="751">
        <v>2625</v>
      </c>
    </row>
    <row r="3565" spans="1:6">
      <c r="A3565" s="753"/>
      <c r="B3565" s="753"/>
      <c r="C3565" s="752" t="s">
        <v>46854</v>
      </c>
      <c r="D3565" s="753" t="s">
        <v>46824</v>
      </c>
      <c r="E3565" s="752" t="s">
        <v>46853</v>
      </c>
      <c r="F3565" s="751">
        <v>3175</v>
      </c>
    </row>
    <row r="3566" spans="1:6">
      <c r="A3566" s="753"/>
      <c r="B3566" s="753"/>
      <c r="C3566" s="752" t="s">
        <v>46852</v>
      </c>
      <c r="D3566" s="753" t="s">
        <v>46824</v>
      </c>
      <c r="E3566" s="752" t="s">
        <v>37794</v>
      </c>
      <c r="F3566" s="751">
        <v>3935</v>
      </c>
    </row>
    <row r="3567" spans="1:6">
      <c r="A3567" s="753"/>
      <c r="B3567" s="753"/>
      <c r="C3567" s="752" t="s">
        <v>46851</v>
      </c>
      <c r="D3567" s="753" t="s">
        <v>46824</v>
      </c>
      <c r="E3567" s="752" t="s">
        <v>46850</v>
      </c>
      <c r="F3567" s="751">
        <v>3175</v>
      </c>
    </row>
    <row r="3568" spans="1:6">
      <c r="A3568" s="753"/>
      <c r="B3568" s="753"/>
      <c r="C3568" s="752" t="s">
        <v>46849</v>
      </c>
      <c r="D3568" s="753" t="s">
        <v>46824</v>
      </c>
      <c r="E3568" s="752" t="s">
        <v>46848</v>
      </c>
      <c r="F3568" s="751">
        <v>3935</v>
      </c>
    </row>
    <row r="3569" spans="1:6">
      <c r="A3569" s="753"/>
      <c r="B3569" s="753"/>
      <c r="C3569" s="752" t="s">
        <v>46847</v>
      </c>
      <c r="D3569" s="753" t="s">
        <v>46824</v>
      </c>
      <c r="E3569" s="752" t="s">
        <v>46846</v>
      </c>
      <c r="F3569" s="751">
        <v>3175</v>
      </c>
    </row>
    <row r="3570" spans="1:6">
      <c r="A3570" s="753"/>
      <c r="B3570" s="753"/>
      <c r="C3570" s="752" t="s">
        <v>46845</v>
      </c>
      <c r="D3570" s="753" t="s">
        <v>46824</v>
      </c>
      <c r="E3570" s="752" t="s">
        <v>46844</v>
      </c>
      <c r="F3570" s="751">
        <v>3175</v>
      </c>
    </row>
    <row r="3571" spans="1:6">
      <c r="A3571" s="753"/>
      <c r="B3571" s="753"/>
      <c r="C3571" s="752" t="s">
        <v>46843</v>
      </c>
      <c r="D3571" s="753" t="s">
        <v>46824</v>
      </c>
      <c r="E3571" s="752" t="s">
        <v>46842</v>
      </c>
      <c r="F3571" s="751">
        <v>3935</v>
      </c>
    </row>
    <row r="3572" spans="1:6">
      <c r="A3572" s="753"/>
      <c r="B3572" s="753"/>
      <c r="C3572" s="752" t="s">
        <v>46841</v>
      </c>
      <c r="D3572" s="753" t="s">
        <v>46824</v>
      </c>
      <c r="E3572" s="752" t="s">
        <v>38577</v>
      </c>
      <c r="F3572" s="751">
        <v>3935</v>
      </c>
    </row>
    <row r="3573" spans="1:6">
      <c r="A3573" s="753"/>
      <c r="B3573" s="753"/>
      <c r="C3573" s="752" t="s">
        <v>46840</v>
      </c>
      <c r="D3573" s="753" t="s">
        <v>46824</v>
      </c>
      <c r="E3573" s="752" t="s">
        <v>41347</v>
      </c>
      <c r="F3573" s="751">
        <v>3175</v>
      </c>
    </row>
    <row r="3574" spans="1:6">
      <c r="A3574" s="753"/>
      <c r="B3574" s="753"/>
      <c r="C3574" s="752" t="s">
        <v>46839</v>
      </c>
      <c r="D3574" s="753" t="s">
        <v>46824</v>
      </c>
      <c r="E3574" s="752" t="s">
        <v>46838</v>
      </c>
      <c r="F3574" s="751">
        <v>3175</v>
      </c>
    </row>
    <row r="3575" spans="1:6">
      <c r="A3575" s="753"/>
      <c r="B3575" s="753"/>
      <c r="C3575" s="752" t="s">
        <v>46837</v>
      </c>
      <c r="D3575" s="753" t="s">
        <v>46824</v>
      </c>
      <c r="E3575" s="752" t="s">
        <v>46836</v>
      </c>
      <c r="F3575" s="751">
        <v>3935</v>
      </c>
    </row>
    <row r="3576" spans="1:6">
      <c r="A3576" s="753"/>
      <c r="B3576" s="753"/>
      <c r="C3576" s="752" t="s">
        <v>46835</v>
      </c>
      <c r="D3576" s="753" t="s">
        <v>46824</v>
      </c>
      <c r="E3576" s="752" t="s">
        <v>40728</v>
      </c>
      <c r="F3576" s="751">
        <v>3175</v>
      </c>
    </row>
    <row r="3577" spans="1:6">
      <c r="A3577" s="753"/>
      <c r="B3577" s="753"/>
      <c r="C3577" s="752" t="s">
        <v>46834</v>
      </c>
      <c r="D3577" s="753" t="s">
        <v>46824</v>
      </c>
      <c r="E3577" s="752" t="s">
        <v>46833</v>
      </c>
      <c r="F3577" s="751">
        <v>3175</v>
      </c>
    </row>
    <row r="3578" spans="1:6">
      <c r="A3578" s="753"/>
      <c r="B3578" s="753"/>
      <c r="C3578" s="752" t="s">
        <v>46832</v>
      </c>
      <c r="D3578" s="753" t="s">
        <v>46824</v>
      </c>
      <c r="E3578" s="752" t="s">
        <v>46831</v>
      </c>
      <c r="F3578" s="751">
        <v>3935</v>
      </c>
    </row>
    <row r="3579" spans="1:6">
      <c r="A3579" s="753"/>
      <c r="B3579" s="753"/>
      <c r="C3579" s="752" t="s">
        <v>46830</v>
      </c>
      <c r="D3579" s="753" t="s">
        <v>46824</v>
      </c>
      <c r="E3579" s="752" t="s">
        <v>40675</v>
      </c>
      <c r="F3579" s="751">
        <v>3175</v>
      </c>
    </row>
    <row r="3580" spans="1:6">
      <c r="A3580" s="753"/>
      <c r="B3580" s="753"/>
      <c r="C3580" s="752" t="s">
        <v>46829</v>
      </c>
      <c r="D3580" s="753" t="s">
        <v>46828</v>
      </c>
      <c r="E3580" s="752" t="s">
        <v>46471</v>
      </c>
      <c r="F3580" s="751">
        <v>3935</v>
      </c>
    </row>
    <row r="3581" spans="1:6">
      <c r="A3581" s="753"/>
      <c r="B3581" s="753"/>
      <c r="C3581" s="752" t="s">
        <v>46827</v>
      </c>
      <c r="D3581" s="753" t="s">
        <v>46824</v>
      </c>
      <c r="E3581" s="752" t="s">
        <v>293</v>
      </c>
      <c r="F3581" s="751">
        <v>3175</v>
      </c>
    </row>
    <row r="3582" spans="1:6">
      <c r="A3582" s="753"/>
      <c r="B3582" s="753"/>
      <c r="C3582" s="752" t="s">
        <v>46826</v>
      </c>
      <c r="D3582" s="753" t="s">
        <v>46824</v>
      </c>
      <c r="E3582" s="752" t="s">
        <v>40725</v>
      </c>
      <c r="F3582" s="751">
        <v>3175</v>
      </c>
    </row>
    <row r="3583" spans="1:6">
      <c r="A3583" s="753"/>
      <c r="B3583" s="753"/>
      <c r="C3583" s="752" t="s">
        <v>46825</v>
      </c>
      <c r="D3583" s="753" t="s">
        <v>46824</v>
      </c>
      <c r="E3583" s="752" t="s">
        <v>38577</v>
      </c>
      <c r="F3583" s="751">
        <v>3935</v>
      </c>
    </row>
    <row r="3584" spans="1:6">
      <c r="A3584" s="753"/>
      <c r="B3584" s="753"/>
      <c r="C3584" s="752" t="s">
        <v>46823</v>
      </c>
      <c r="D3584" s="753" t="s">
        <v>46822</v>
      </c>
      <c r="E3584" s="752" t="s">
        <v>293</v>
      </c>
      <c r="F3584" s="751">
        <v>2625</v>
      </c>
    </row>
    <row r="3585" spans="1:6">
      <c r="A3585" s="753"/>
      <c r="B3585" s="753"/>
      <c r="C3585" s="752" t="s">
        <v>46821</v>
      </c>
      <c r="D3585" s="753" t="s">
        <v>46808</v>
      </c>
      <c r="E3585" s="752" t="s">
        <v>46820</v>
      </c>
      <c r="F3585" s="751">
        <v>2725</v>
      </c>
    </row>
    <row r="3586" spans="1:6">
      <c r="A3586" s="753"/>
      <c r="B3586" s="753"/>
      <c r="C3586" s="752" t="s">
        <v>46819</v>
      </c>
      <c r="D3586" s="753" t="s">
        <v>46808</v>
      </c>
      <c r="E3586" s="752" t="s">
        <v>41347</v>
      </c>
      <c r="F3586" s="751">
        <v>2725</v>
      </c>
    </row>
    <row r="3587" spans="1:6">
      <c r="A3587" s="753"/>
      <c r="B3587" s="753"/>
      <c r="C3587" s="752" t="s">
        <v>46818</v>
      </c>
      <c r="D3587" s="753" t="s">
        <v>46808</v>
      </c>
      <c r="E3587" s="752" t="s">
        <v>46817</v>
      </c>
      <c r="F3587" s="751">
        <v>2725</v>
      </c>
    </row>
    <row r="3588" spans="1:6">
      <c r="A3588" s="753"/>
      <c r="B3588" s="753"/>
      <c r="C3588" s="752" t="s">
        <v>46816</v>
      </c>
      <c r="D3588" s="753" t="s">
        <v>46808</v>
      </c>
      <c r="E3588" s="752" t="s">
        <v>46815</v>
      </c>
      <c r="F3588" s="751">
        <v>2425</v>
      </c>
    </row>
    <row r="3589" spans="1:6">
      <c r="A3589" s="753"/>
      <c r="B3589" s="753"/>
      <c r="C3589" s="752" t="s">
        <v>46814</v>
      </c>
      <c r="D3589" s="753" t="s">
        <v>46808</v>
      </c>
      <c r="E3589" s="752" t="s">
        <v>46584</v>
      </c>
      <c r="F3589" s="751">
        <v>2725</v>
      </c>
    </row>
    <row r="3590" spans="1:6">
      <c r="A3590" s="753"/>
      <c r="B3590" s="753"/>
      <c r="C3590" s="752" t="s">
        <v>46813</v>
      </c>
      <c r="D3590" s="753" t="s">
        <v>46812</v>
      </c>
      <c r="E3590" s="752" t="s">
        <v>46584</v>
      </c>
      <c r="F3590" s="751">
        <v>3485</v>
      </c>
    </row>
    <row r="3591" spans="1:6">
      <c r="A3591" s="753"/>
      <c r="B3591" s="753"/>
      <c r="C3591" s="752" t="s">
        <v>46811</v>
      </c>
      <c r="D3591" s="753" t="s">
        <v>46810</v>
      </c>
      <c r="E3591" s="752" t="s">
        <v>46584</v>
      </c>
      <c r="F3591" s="751">
        <v>2725</v>
      </c>
    </row>
    <row r="3592" spans="1:6">
      <c r="A3592" s="753"/>
      <c r="B3592" s="753"/>
      <c r="C3592" s="752" t="s">
        <v>46809</v>
      </c>
      <c r="D3592" s="753" t="s">
        <v>46808</v>
      </c>
      <c r="E3592" s="752" t="s">
        <v>46807</v>
      </c>
      <c r="F3592" s="751">
        <v>2225</v>
      </c>
    </row>
    <row r="3593" spans="1:6">
      <c r="A3593" s="753"/>
      <c r="B3593" s="753"/>
      <c r="C3593" s="752" t="s">
        <v>46806</v>
      </c>
      <c r="D3593" s="753" t="s">
        <v>46798</v>
      </c>
      <c r="E3593" s="752" t="s">
        <v>40728</v>
      </c>
      <c r="F3593" s="751">
        <v>3275</v>
      </c>
    </row>
    <row r="3594" spans="1:6">
      <c r="A3594" s="753"/>
      <c r="B3594" s="753"/>
      <c r="C3594" s="752" t="s">
        <v>46805</v>
      </c>
      <c r="D3594" s="753" t="s">
        <v>46798</v>
      </c>
      <c r="E3594" s="752" t="s">
        <v>41347</v>
      </c>
      <c r="F3594" s="751">
        <v>3275</v>
      </c>
    </row>
    <row r="3595" spans="1:6">
      <c r="A3595" s="753"/>
      <c r="B3595" s="753"/>
      <c r="C3595" s="752" t="s">
        <v>46804</v>
      </c>
      <c r="D3595" s="753" t="s">
        <v>46798</v>
      </c>
      <c r="E3595" s="752" t="s">
        <v>40728</v>
      </c>
      <c r="F3595" s="751">
        <v>3275</v>
      </c>
    </row>
    <row r="3596" spans="1:6">
      <c r="A3596" s="753"/>
      <c r="B3596" s="753"/>
      <c r="C3596" s="752" t="s">
        <v>46803</v>
      </c>
      <c r="D3596" s="753" t="s">
        <v>46798</v>
      </c>
      <c r="E3596" s="752" t="s">
        <v>40675</v>
      </c>
      <c r="F3596" s="751">
        <v>3275</v>
      </c>
    </row>
    <row r="3597" spans="1:6">
      <c r="A3597" s="753"/>
      <c r="B3597" s="753"/>
      <c r="C3597" s="752" t="s">
        <v>46802</v>
      </c>
      <c r="D3597" s="753" t="s">
        <v>46798</v>
      </c>
      <c r="E3597" s="752" t="s">
        <v>46801</v>
      </c>
      <c r="F3597" s="751">
        <v>3805</v>
      </c>
    </row>
    <row r="3598" spans="1:6">
      <c r="A3598" s="753"/>
      <c r="B3598" s="753"/>
      <c r="C3598" s="752" t="s">
        <v>46800</v>
      </c>
      <c r="D3598" s="753" t="s">
        <v>46798</v>
      </c>
      <c r="E3598" s="752" t="s">
        <v>46788</v>
      </c>
      <c r="F3598" s="751">
        <v>3275</v>
      </c>
    </row>
    <row r="3599" spans="1:6">
      <c r="A3599" s="753"/>
      <c r="B3599" s="753"/>
      <c r="C3599" s="752" t="s">
        <v>46799</v>
      </c>
      <c r="D3599" s="753" t="s">
        <v>46798</v>
      </c>
      <c r="E3599" s="752" t="s">
        <v>46468</v>
      </c>
      <c r="F3599" s="751">
        <v>4035</v>
      </c>
    </row>
    <row r="3600" spans="1:6">
      <c r="A3600" s="753"/>
      <c r="B3600" s="753"/>
      <c r="C3600" s="752" t="s">
        <v>46797</v>
      </c>
      <c r="D3600" s="753" t="s">
        <v>46786</v>
      </c>
      <c r="E3600" s="752" t="s">
        <v>46642</v>
      </c>
      <c r="F3600" s="751">
        <v>3275</v>
      </c>
    </row>
    <row r="3601" spans="1:6">
      <c r="A3601" s="753"/>
      <c r="B3601" s="753"/>
      <c r="C3601" s="752" t="s">
        <v>46796</v>
      </c>
      <c r="D3601" s="753" t="s">
        <v>46786</v>
      </c>
      <c r="E3601" s="752" t="s">
        <v>44190</v>
      </c>
      <c r="F3601" s="751">
        <v>4035</v>
      </c>
    </row>
    <row r="3602" spans="1:6">
      <c r="A3602" s="753"/>
      <c r="B3602" s="753"/>
      <c r="C3602" s="752" t="s">
        <v>46795</v>
      </c>
      <c r="D3602" s="753" t="s">
        <v>46794</v>
      </c>
      <c r="E3602" s="752" t="s">
        <v>46788</v>
      </c>
      <c r="F3602" s="751">
        <v>3275</v>
      </c>
    </row>
    <row r="3603" spans="1:6">
      <c r="A3603" s="753"/>
      <c r="B3603" s="753"/>
      <c r="C3603" s="752" t="s">
        <v>46793</v>
      </c>
      <c r="D3603" s="753" t="s">
        <v>46786</v>
      </c>
      <c r="E3603" s="752" t="s">
        <v>40728</v>
      </c>
      <c r="F3603" s="751">
        <v>3275</v>
      </c>
    </row>
    <row r="3604" spans="1:6">
      <c r="A3604" s="753"/>
      <c r="B3604" s="753"/>
      <c r="C3604" s="752" t="s">
        <v>46792</v>
      </c>
      <c r="D3604" s="753" t="s">
        <v>46786</v>
      </c>
      <c r="E3604" s="752" t="s">
        <v>42530</v>
      </c>
      <c r="F3604" s="751">
        <v>4035</v>
      </c>
    </row>
    <row r="3605" spans="1:6">
      <c r="A3605" s="753"/>
      <c r="B3605" s="753"/>
      <c r="C3605" s="752" t="s">
        <v>46791</v>
      </c>
      <c r="D3605" s="753" t="s">
        <v>46783</v>
      </c>
      <c r="E3605" s="752" t="s">
        <v>38581</v>
      </c>
      <c r="F3605" s="751">
        <v>3275</v>
      </c>
    </row>
    <row r="3606" spans="1:6">
      <c r="A3606" s="753"/>
      <c r="B3606" s="753"/>
      <c r="C3606" s="752" t="s">
        <v>46790</v>
      </c>
      <c r="D3606" s="753" t="s">
        <v>46783</v>
      </c>
      <c r="E3606" s="752" t="s">
        <v>38766</v>
      </c>
      <c r="F3606" s="751">
        <v>4035</v>
      </c>
    </row>
    <row r="3607" spans="1:6">
      <c r="A3607" s="753"/>
      <c r="B3607" s="753"/>
      <c r="C3607" s="752" t="s">
        <v>46789</v>
      </c>
      <c r="D3607" s="753" t="s">
        <v>46786</v>
      </c>
      <c r="E3607" s="752" t="s">
        <v>46788</v>
      </c>
      <c r="F3607" s="751">
        <v>3275</v>
      </c>
    </row>
    <row r="3608" spans="1:6">
      <c r="A3608" s="753"/>
      <c r="B3608" s="753"/>
      <c r="C3608" s="752" t="s">
        <v>46787</v>
      </c>
      <c r="D3608" s="753" t="s">
        <v>46786</v>
      </c>
      <c r="E3608" s="752" t="s">
        <v>46785</v>
      </c>
      <c r="F3608" s="751">
        <v>5125</v>
      </c>
    </row>
    <row r="3609" spans="1:6">
      <c r="A3609" s="753"/>
      <c r="B3609" s="753"/>
      <c r="C3609" s="752" t="s">
        <v>46784</v>
      </c>
      <c r="D3609" s="753" t="s">
        <v>46783</v>
      </c>
      <c r="E3609" s="752" t="s">
        <v>46782</v>
      </c>
      <c r="F3609" s="751">
        <v>4035</v>
      </c>
    </row>
    <row r="3610" spans="1:6">
      <c r="A3610" s="753"/>
      <c r="B3610" s="753"/>
      <c r="C3610" s="752" t="s">
        <v>46781</v>
      </c>
      <c r="D3610" s="753" t="s">
        <v>46780</v>
      </c>
      <c r="E3610" s="752" t="s">
        <v>38584</v>
      </c>
      <c r="F3610" s="751">
        <v>6545</v>
      </c>
    </row>
    <row r="3611" spans="1:6">
      <c r="A3611" s="753"/>
      <c r="B3611" s="753"/>
      <c r="C3611" s="752" t="s">
        <v>46779</v>
      </c>
      <c r="D3611" s="753" t="s">
        <v>46778</v>
      </c>
      <c r="E3611" s="752" t="s">
        <v>46777</v>
      </c>
      <c r="F3611" s="751">
        <v>3385</v>
      </c>
    </row>
    <row r="3612" spans="1:6">
      <c r="A3612" s="753"/>
      <c r="B3612" s="753" t="s">
        <v>46776</v>
      </c>
      <c r="C3612" s="752" t="s">
        <v>46775</v>
      </c>
      <c r="D3612" s="753" t="s">
        <v>46757</v>
      </c>
      <c r="E3612" s="752" t="s">
        <v>46774</v>
      </c>
      <c r="F3612" s="751">
        <v>4475</v>
      </c>
    </row>
    <row r="3613" spans="1:6">
      <c r="A3613" s="753"/>
      <c r="B3613" s="753"/>
      <c r="C3613" s="752" t="s">
        <v>46773</v>
      </c>
      <c r="D3613" s="753" t="s">
        <v>46768</v>
      </c>
      <c r="E3613" s="752" t="s">
        <v>293</v>
      </c>
      <c r="F3613" s="751">
        <v>5115</v>
      </c>
    </row>
    <row r="3614" spans="1:6">
      <c r="A3614" s="753"/>
      <c r="B3614" s="753"/>
      <c r="C3614" s="752" t="s">
        <v>46772</v>
      </c>
      <c r="D3614" s="753" t="s">
        <v>46768</v>
      </c>
      <c r="E3614" s="752" t="s">
        <v>38670</v>
      </c>
      <c r="F3614" s="751">
        <v>5875</v>
      </c>
    </row>
    <row r="3615" spans="1:6">
      <c r="A3615" s="753"/>
      <c r="B3615" s="753"/>
      <c r="C3615" s="752" t="s">
        <v>46771</v>
      </c>
      <c r="D3615" s="753" t="s">
        <v>46768</v>
      </c>
      <c r="E3615" s="752" t="s">
        <v>46701</v>
      </c>
      <c r="F3615" s="751">
        <v>5115</v>
      </c>
    </row>
    <row r="3616" spans="1:6">
      <c r="A3616" s="753"/>
      <c r="B3616" s="753"/>
      <c r="C3616" s="752" t="s">
        <v>46770</v>
      </c>
      <c r="D3616" s="753" t="s">
        <v>46768</v>
      </c>
      <c r="E3616" s="752" t="s">
        <v>38919</v>
      </c>
      <c r="F3616" s="751">
        <v>5875</v>
      </c>
    </row>
    <row r="3617" spans="1:6">
      <c r="A3617" s="753"/>
      <c r="B3617" s="753"/>
      <c r="C3617" s="752" t="s">
        <v>46769</v>
      </c>
      <c r="D3617" s="753" t="s">
        <v>46768</v>
      </c>
      <c r="E3617" s="752" t="s">
        <v>46767</v>
      </c>
      <c r="F3617" s="751">
        <v>5875</v>
      </c>
    </row>
    <row r="3618" spans="1:6">
      <c r="A3618" s="753"/>
      <c r="B3618" s="753"/>
      <c r="C3618" s="752" t="s">
        <v>46766</v>
      </c>
      <c r="D3618" s="753" t="s">
        <v>46762</v>
      </c>
      <c r="E3618" s="752" t="s">
        <v>293</v>
      </c>
      <c r="F3618" s="751">
        <v>4765</v>
      </c>
    </row>
    <row r="3619" spans="1:6">
      <c r="A3619" s="753"/>
      <c r="B3619" s="753"/>
      <c r="C3619" s="752" t="s">
        <v>46765</v>
      </c>
      <c r="D3619" s="753" t="s">
        <v>46762</v>
      </c>
      <c r="E3619" s="752" t="s">
        <v>46764</v>
      </c>
      <c r="F3619" s="751">
        <v>5525</v>
      </c>
    </row>
    <row r="3620" spans="1:6">
      <c r="A3620" s="753"/>
      <c r="B3620" s="753"/>
      <c r="C3620" s="752" t="s">
        <v>46763</v>
      </c>
      <c r="D3620" s="753" t="s">
        <v>46762</v>
      </c>
      <c r="E3620" s="752" t="s">
        <v>42751</v>
      </c>
      <c r="F3620" s="751">
        <v>5525</v>
      </c>
    </row>
    <row r="3621" spans="1:6">
      <c r="A3621" s="753"/>
      <c r="B3621" s="753"/>
      <c r="C3621" s="752" t="s">
        <v>46761</v>
      </c>
      <c r="D3621" s="753" t="s">
        <v>46759</v>
      </c>
      <c r="E3621" s="752" t="s">
        <v>293</v>
      </c>
      <c r="F3621" s="751">
        <v>4375</v>
      </c>
    </row>
    <row r="3622" spans="1:6">
      <c r="A3622" s="753"/>
      <c r="B3622" s="753"/>
      <c r="C3622" s="752" t="s">
        <v>46760</v>
      </c>
      <c r="D3622" s="753" t="s">
        <v>46759</v>
      </c>
      <c r="E3622" s="752" t="s">
        <v>38581</v>
      </c>
      <c r="F3622" s="751">
        <v>4375</v>
      </c>
    </row>
    <row r="3623" spans="1:6">
      <c r="A3623" s="753"/>
      <c r="B3623" s="753"/>
      <c r="C3623" s="752" t="s">
        <v>46758</v>
      </c>
      <c r="D3623" s="753" t="s">
        <v>46757</v>
      </c>
      <c r="E3623" s="752" t="s">
        <v>43132</v>
      </c>
      <c r="F3623" s="751">
        <v>6125</v>
      </c>
    </row>
    <row r="3624" spans="1:6">
      <c r="A3624" s="753"/>
      <c r="B3624" s="753"/>
      <c r="C3624" s="752" t="s">
        <v>46756</v>
      </c>
      <c r="D3624" s="753" t="s">
        <v>46755</v>
      </c>
      <c r="E3624" s="752" t="s">
        <v>293</v>
      </c>
      <c r="F3624" s="751">
        <v>4445</v>
      </c>
    </row>
    <row r="3625" spans="1:6">
      <c r="A3625" s="753"/>
      <c r="B3625" s="753"/>
      <c r="C3625" s="752" t="s">
        <v>46754</v>
      </c>
      <c r="D3625" s="753" t="s">
        <v>46752</v>
      </c>
      <c r="E3625" s="752" t="s">
        <v>293</v>
      </c>
      <c r="F3625" s="751">
        <v>5195</v>
      </c>
    </row>
    <row r="3626" spans="1:6">
      <c r="A3626" s="753"/>
      <c r="B3626" s="753"/>
      <c r="C3626" s="752" t="s">
        <v>46753</v>
      </c>
      <c r="D3626" s="753" t="s">
        <v>46752</v>
      </c>
      <c r="E3626" s="752" t="s">
        <v>38577</v>
      </c>
      <c r="F3626" s="751">
        <v>5955</v>
      </c>
    </row>
    <row r="3627" spans="1:6">
      <c r="A3627" s="753"/>
      <c r="B3627" s="753"/>
      <c r="C3627" s="752" t="s">
        <v>46751</v>
      </c>
      <c r="D3627" s="753" t="s">
        <v>46750</v>
      </c>
      <c r="E3627" s="752" t="s">
        <v>46749</v>
      </c>
      <c r="F3627" s="751">
        <v>4745</v>
      </c>
    </row>
    <row r="3628" spans="1:6">
      <c r="A3628" s="753"/>
      <c r="B3628" s="753"/>
      <c r="C3628" s="752" t="s">
        <v>46748</v>
      </c>
      <c r="D3628" s="753" t="s">
        <v>46747</v>
      </c>
      <c r="E3628" s="752" t="s">
        <v>46746</v>
      </c>
      <c r="F3628" s="751">
        <v>5195</v>
      </c>
    </row>
    <row r="3629" spans="1:6">
      <c r="A3629" s="753"/>
      <c r="B3629" s="753"/>
      <c r="C3629" s="752" t="s">
        <v>46745</v>
      </c>
      <c r="D3629" s="753" t="s">
        <v>46744</v>
      </c>
      <c r="E3629" s="752" t="s">
        <v>293</v>
      </c>
      <c r="F3629" s="751">
        <v>2949</v>
      </c>
    </row>
    <row r="3630" spans="1:6">
      <c r="A3630" s="753"/>
      <c r="B3630" s="753"/>
      <c r="C3630" s="752" t="s">
        <v>46743</v>
      </c>
      <c r="D3630" s="753" t="s">
        <v>46742</v>
      </c>
      <c r="E3630" s="752" t="s">
        <v>293</v>
      </c>
      <c r="F3630" s="751">
        <v>4000</v>
      </c>
    </row>
    <row r="3631" spans="1:6">
      <c r="A3631" s="753"/>
      <c r="B3631" s="753"/>
      <c r="C3631" s="752" t="s">
        <v>46741</v>
      </c>
      <c r="D3631" s="753" t="s">
        <v>46740</v>
      </c>
      <c r="E3631" s="752" t="s">
        <v>293</v>
      </c>
      <c r="F3631" s="751">
        <v>4099</v>
      </c>
    </row>
    <row r="3632" spans="1:6">
      <c r="A3632" s="753"/>
      <c r="B3632" s="753"/>
      <c r="C3632" s="752" t="s">
        <v>46739</v>
      </c>
      <c r="D3632" s="753" t="s">
        <v>46738</v>
      </c>
      <c r="E3632" s="752" t="s">
        <v>293</v>
      </c>
      <c r="F3632" s="751">
        <v>3649</v>
      </c>
    </row>
    <row r="3633" spans="1:6">
      <c r="A3633" s="753"/>
      <c r="B3633" s="753"/>
      <c r="C3633" s="752" t="s">
        <v>46737</v>
      </c>
      <c r="D3633" s="753" t="s">
        <v>46736</v>
      </c>
      <c r="E3633" s="752" t="s">
        <v>293</v>
      </c>
      <c r="F3633" s="751">
        <v>3249</v>
      </c>
    </row>
    <row r="3634" spans="1:6">
      <c r="A3634" s="753"/>
      <c r="B3634" s="753"/>
      <c r="C3634" s="752" t="s">
        <v>46735</v>
      </c>
      <c r="D3634" s="753" t="s">
        <v>46734</v>
      </c>
      <c r="E3634" s="752" t="s">
        <v>293</v>
      </c>
      <c r="F3634" s="751">
        <v>3349</v>
      </c>
    </row>
    <row r="3635" spans="1:6">
      <c r="A3635" s="753"/>
      <c r="B3635" s="753"/>
      <c r="C3635" s="752" t="s">
        <v>46733</v>
      </c>
      <c r="D3635" s="753" t="s">
        <v>46732</v>
      </c>
      <c r="E3635" s="752" t="s">
        <v>293</v>
      </c>
      <c r="F3635" s="751">
        <v>3849</v>
      </c>
    </row>
    <row r="3636" spans="1:6">
      <c r="A3636" s="753"/>
      <c r="B3636" s="753"/>
      <c r="C3636" s="752" t="s">
        <v>46731</v>
      </c>
      <c r="D3636" s="753" t="s">
        <v>46730</v>
      </c>
      <c r="E3636" s="752" t="s">
        <v>293</v>
      </c>
      <c r="F3636" s="751">
        <v>4099</v>
      </c>
    </row>
    <row r="3637" spans="1:6">
      <c r="A3637" s="753"/>
      <c r="B3637" s="753"/>
      <c r="C3637" s="752" t="s">
        <v>46729</v>
      </c>
      <c r="D3637" s="753" t="s">
        <v>46722</v>
      </c>
      <c r="E3637" s="752" t="s">
        <v>46661</v>
      </c>
      <c r="F3637" s="751">
        <v>3075</v>
      </c>
    </row>
    <row r="3638" spans="1:6">
      <c r="A3638" s="753"/>
      <c r="B3638" s="753"/>
      <c r="C3638" s="752" t="s">
        <v>46728</v>
      </c>
      <c r="D3638" s="753" t="s">
        <v>46722</v>
      </c>
      <c r="E3638" s="752" t="s">
        <v>46568</v>
      </c>
      <c r="F3638" s="751">
        <v>2675</v>
      </c>
    </row>
    <row r="3639" spans="1:6">
      <c r="A3639" s="753"/>
      <c r="B3639" s="753"/>
      <c r="C3639" s="752" t="s">
        <v>46727</v>
      </c>
      <c r="D3639" s="753" t="s">
        <v>46722</v>
      </c>
      <c r="E3639" s="752" t="s">
        <v>46726</v>
      </c>
      <c r="F3639" s="751">
        <v>3075</v>
      </c>
    </row>
    <row r="3640" spans="1:6">
      <c r="A3640" s="753"/>
      <c r="B3640" s="753"/>
      <c r="C3640" s="752" t="s">
        <v>46725</v>
      </c>
      <c r="D3640" s="753" t="s">
        <v>46722</v>
      </c>
      <c r="E3640" s="752" t="s">
        <v>40672</v>
      </c>
      <c r="F3640" s="751">
        <v>2575</v>
      </c>
    </row>
    <row r="3641" spans="1:6">
      <c r="A3641" s="753"/>
      <c r="B3641" s="753"/>
      <c r="C3641" s="752" t="s">
        <v>46724</v>
      </c>
      <c r="D3641" s="753" t="s">
        <v>46722</v>
      </c>
      <c r="E3641" s="752" t="s">
        <v>46497</v>
      </c>
      <c r="F3641" s="751">
        <v>3335</v>
      </c>
    </row>
    <row r="3642" spans="1:6">
      <c r="A3642" s="753"/>
      <c r="B3642" s="753"/>
      <c r="C3642" s="752" t="s">
        <v>46723</v>
      </c>
      <c r="D3642" s="753" t="s">
        <v>46722</v>
      </c>
      <c r="E3642" s="752" t="s">
        <v>46721</v>
      </c>
      <c r="F3642" s="751">
        <v>3335</v>
      </c>
    </row>
    <row r="3643" spans="1:6">
      <c r="A3643" s="753"/>
      <c r="B3643" s="753"/>
      <c r="C3643" s="752" t="s">
        <v>46720</v>
      </c>
      <c r="D3643" s="753" t="s">
        <v>46705</v>
      </c>
      <c r="E3643" s="752" t="s">
        <v>40352</v>
      </c>
      <c r="F3643" s="751">
        <v>3875</v>
      </c>
    </row>
    <row r="3644" spans="1:6">
      <c r="A3644" s="753"/>
      <c r="B3644" s="753"/>
      <c r="C3644" s="752" t="s">
        <v>46719</v>
      </c>
      <c r="D3644" s="753" t="s">
        <v>46705</v>
      </c>
      <c r="E3644" s="752" t="s">
        <v>38866</v>
      </c>
      <c r="F3644" s="751">
        <v>4385</v>
      </c>
    </row>
    <row r="3645" spans="1:6">
      <c r="A3645" s="753"/>
      <c r="B3645" s="753"/>
      <c r="C3645" s="752" t="s">
        <v>46718</v>
      </c>
      <c r="D3645" s="753" t="s">
        <v>46705</v>
      </c>
      <c r="E3645" s="752" t="s">
        <v>46717</v>
      </c>
      <c r="F3645" s="751">
        <v>3625</v>
      </c>
    </row>
    <row r="3646" spans="1:6">
      <c r="A3646" s="753"/>
      <c r="B3646" s="753"/>
      <c r="C3646" s="752" t="s">
        <v>46716</v>
      </c>
      <c r="D3646" s="753" t="s">
        <v>46705</v>
      </c>
      <c r="E3646" s="752" t="s">
        <v>46715</v>
      </c>
      <c r="F3646" s="751">
        <v>4385</v>
      </c>
    </row>
    <row r="3647" spans="1:6">
      <c r="A3647" s="753"/>
      <c r="B3647" s="753"/>
      <c r="C3647" s="752" t="s">
        <v>46714</v>
      </c>
      <c r="D3647" s="753" t="s">
        <v>46705</v>
      </c>
      <c r="E3647" s="752" t="s">
        <v>41347</v>
      </c>
      <c r="F3647" s="751">
        <v>3875</v>
      </c>
    </row>
    <row r="3648" spans="1:6">
      <c r="A3648" s="753"/>
      <c r="B3648" s="753"/>
      <c r="C3648" s="752" t="s">
        <v>46713</v>
      </c>
      <c r="D3648" s="753" t="s">
        <v>46705</v>
      </c>
      <c r="E3648" s="752" t="s">
        <v>46712</v>
      </c>
      <c r="F3648" s="751">
        <v>4385</v>
      </c>
    </row>
    <row r="3649" spans="1:6">
      <c r="A3649" s="753"/>
      <c r="B3649" s="753"/>
      <c r="C3649" s="752" t="s">
        <v>46711</v>
      </c>
      <c r="D3649" s="753" t="s">
        <v>46705</v>
      </c>
      <c r="E3649" s="752" t="s">
        <v>46697</v>
      </c>
      <c r="F3649" s="751">
        <v>3625</v>
      </c>
    </row>
    <row r="3650" spans="1:6">
      <c r="A3650" s="753"/>
      <c r="B3650" s="753"/>
      <c r="C3650" s="752" t="s">
        <v>46710</v>
      </c>
      <c r="D3650" s="753" t="s">
        <v>46705</v>
      </c>
      <c r="E3650" s="752" t="s">
        <v>40352</v>
      </c>
      <c r="F3650" s="751">
        <v>3625</v>
      </c>
    </row>
    <row r="3651" spans="1:6">
      <c r="A3651" s="753"/>
      <c r="B3651" s="753"/>
      <c r="C3651" s="752" t="s">
        <v>46709</v>
      </c>
      <c r="D3651" s="753" t="s">
        <v>46705</v>
      </c>
      <c r="E3651" s="752" t="s">
        <v>46708</v>
      </c>
      <c r="F3651" s="751">
        <v>3625</v>
      </c>
    </row>
    <row r="3652" spans="1:6">
      <c r="A3652" s="753"/>
      <c r="B3652" s="753"/>
      <c r="C3652" s="752" t="s">
        <v>46707</v>
      </c>
      <c r="D3652" s="753" t="s">
        <v>46705</v>
      </c>
      <c r="E3652" s="752" t="s">
        <v>38783</v>
      </c>
      <c r="F3652" s="751">
        <v>3625</v>
      </c>
    </row>
    <row r="3653" spans="1:6">
      <c r="A3653" s="753"/>
      <c r="B3653" s="753"/>
      <c r="C3653" s="752" t="s">
        <v>46706</v>
      </c>
      <c r="D3653" s="753" t="s">
        <v>46705</v>
      </c>
      <c r="E3653" s="752" t="s">
        <v>40672</v>
      </c>
      <c r="F3653" s="751">
        <v>3125</v>
      </c>
    </row>
    <row r="3654" spans="1:6">
      <c r="A3654" s="753"/>
      <c r="B3654" s="753"/>
      <c r="C3654" s="752" t="s">
        <v>46704</v>
      </c>
      <c r="D3654" s="753" t="s">
        <v>46691</v>
      </c>
      <c r="E3654" s="752" t="s">
        <v>40352</v>
      </c>
      <c r="F3654" s="751">
        <v>3875</v>
      </c>
    </row>
    <row r="3655" spans="1:6">
      <c r="A3655" s="753"/>
      <c r="B3655" s="753"/>
      <c r="C3655" s="752" t="s">
        <v>46703</v>
      </c>
      <c r="D3655" s="753" t="s">
        <v>46691</v>
      </c>
      <c r="E3655" s="752" t="s">
        <v>40352</v>
      </c>
      <c r="F3655" s="751">
        <v>4385</v>
      </c>
    </row>
    <row r="3656" spans="1:6">
      <c r="A3656" s="753"/>
      <c r="B3656" s="753"/>
      <c r="C3656" s="752" t="s">
        <v>46702</v>
      </c>
      <c r="D3656" s="753" t="s">
        <v>46691</v>
      </c>
      <c r="E3656" s="752" t="s">
        <v>46701</v>
      </c>
      <c r="F3656" s="751">
        <v>3875</v>
      </c>
    </row>
    <row r="3657" spans="1:6">
      <c r="A3657" s="753"/>
      <c r="B3657" s="753"/>
      <c r="C3657" s="752" t="s">
        <v>46700</v>
      </c>
      <c r="D3657" s="753" t="s">
        <v>46691</v>
      </c>
      <c r="E3657" s="752" t="s">
        <v>40689</v>
      </c>
      <c r="F3657" s="751">
        <v>4385</v>
      </c>
    </row>
    <row r="3658" spans="1:6">
      <c r="A3658" s="753"/>
      <c r="B3658" s="753"/>
      <c r="C3658" s="752" t="s">
        <v>46699</v>
      </c>
      <c r="D3658" s="753" t="s">
        <v>46691</v>
      </c>
      <c r="E3658" s="752" t="s">
        <v>41347</v>
      </c>
      <c r="F3658" s="751">
        <v>3875</v>
      </c>
    </row>
    <row r="3659" spans="1:6">
      <c r="A3659" s="753"/>
      <c r="B3659" s="753"/>
      <c r="C3659" s="752" t="s">
        <v>46698</v>
      </c>
      <c r="D3659" s="753" t="s">
        <v>46691</v>
      </c>
      <c r="E3659" s="752" t="s">
        <v>46697</v>
      </c>
      <c r="F3659" s="751">
        <v>3625</v>
      </c>
    </row>
    <row r="3660" spans="1:6">
      <c r="A3660" s="753"/>
      <c r="B3660" s="753"/>
      <c r="C3660" s="752" t="s">
        <v>46696</v>
      </c>
      <c r="D3660" s="753" t="s">
        <v>46691</v>
      </c>
      <c r="E3660" s="752" t="s">
        <v>40352</v>
      </c>
      <c r="F3660" s="751">
        <v>3625</v>
      </c>
    </row>
    <row r="3661" spans="1:6">
      <c r="A3661" s="753"/>
      <c r="B3661" s="753"/>
      <c r="C3661" s="752" t="s">
        <v>46695</v>
      </c>
      <c r="D3661" s="753" t="s">
        <v>46691</v>
      </c>
      <c r="E3661" s="752" t="s">
        <v>46694</v>
      </c>
      <c r="F3661" s="751">
        <v>3625</v>
      </c>
    </row>
    <row r="3662" spans="1:6">
      <c r="A3662" s="753"/>
      <c r="B3662" s="753"/>
      <c r="C3662" s="752" t="s">
        <v>46693</v>
      </c>
      <c r="D3662" s="753" t="s">
        <v>46691</v>
      </c>
      <c r="E3662" s="752" t="s">
        <v>40689</v>
      </c>
      <c r="F3662" s="751">
        <v>4385</v>
      </c>
    </row>
    <row r="3663" spans="1:6">
      <c r="A3663" s="753"/>
      <c r="B3663" s="753"/>
      <c r="C3663" s="752" t="s">
        <v>46692</v>
      </c>
      <c r="D3663" s="753" t="s">
        <v>46691</v>
      </c>
      <c r="E3663" s="752" t="s">
        <v>38581</v>
      </c>
      <c r="F3663" s="751">
        <v>3625</v>
      </c>
    </row>
    <row r="3664" spans="1:6">
      <c r="A3664" s="753"/>
      <c r="B3664" s="753"/>
      <c r="C3664" s="752" t="s">
        <v>46690</v>
      </c>
      <c r="D3664" s="753" t="s">
        <v>46689</v>
      </c>
      <c r="E3664" s="752" t="s">
        <v>40672</v>
      </c>
      <c r="F3664" s="751">
        <v>3125</v>
      </c>
    </row>
    <row r="3665" spans="1:6">
      <c r="A3665" s="753"/>
      <c r="B3665" s="753"/>
      <c r="C3665" s="752" t="s">
        <v>46688</v>
      </c>
      <c r="D3665" s="753" t="s">
        <v>46685</v>
      </c>
      <c r="E3665" s="752" t="s">
        <v>46661</v>
      </c>
      <c r="F3665" s="751">
        <v>2875</v>
      </c>
    </row>
    <row r="3666" spans="1:6">
      <c r="A3666" s="753"/>
      <c r="B3666" s="753"/>
      <c r="C3666" s="752" t="s">
        <v>46687</v>
      </c>
      <c r="D3666" s="753" t="s">
        <v>46685</v>
      </c>
      <c r="E3666" s="752" t="s">
        <v>40672</v>
      </c>
      <c r="F3666" s="751">
        <v>2375</v>
      </c>
    </row>
    <row r="3667" spans="1:6">
      <c r="A3667" s="753"/>
      <c r="B3667" s="753"/>
      <c r="C3667" s="752" t="s">
        <v>46686</v>
      </c>
      <c r="D3667" s="753" t="s">
        <v>46685</v>
      </c>
      <c r="E3667" s="752" t="s">
        <v>46497</v>
      </c>
      <c r="F3667" s="751">
        <v>3135</v>
      </c>
    </row>
    <row r="3668" spans="1:6">
      <c r="A3668" s="753"/>
      <c r="B3668" s="753"/>
      <c r="C3668" s="752" t="s">
        <v>46684</v>
      </c>
      <c r="D3668" s="753" t="s">
        <v>46669</v>
      </c>
      <c r="E3668" s="752" t="s">
        <v>293</v>
      </c>
      <c r="F3668" s="751">
        <v>3675</v>
      </c>
    </row>
    <row r="3669" spans="1:6">
      <c r="A3669" s="753"/>
      <c r="B3669" s="753"/>
      <c r="C3669" s="752" t="s">
        <v>46683</v>
      </c>
      <c r="D3669" s="753" t="s">
        <v>46669</v>
      </c>
      <c r="E3669" s="752" t="s">
        <v>46682</v>
      </c>
      <c r="F3669" s="751">
        <v>4185</v>
      </c>
    </row>
    <row r="3670" spans="1:6">
      <c r="A3670" s="753"/>
      <c r="B3670" s="753"/>
      <c r="C3670" s="752" t="s">
        <v>46681</v>
      </c>
      <c r="D3670" s="753" t="s">
        <v>46669</v>
      </c>
      <c r="E3670" s="752" t="s">
        <v>41652</v>
      </c>
      <c r="F3670" s="751">
        <v>3425</v>
      </c>
    </row>
    <row r="3671" spans="1:6">
      <c r="A3671" s="753"/>
      <c r="B3671" s="753"/>
      <c r="C3671" s="752" t="s">
        <v>46680</v>
      </c>
      <c r="D3671" s="753" t="s">
        <v>46669</v>
      </c>
      <c r="E3671" s="752" t="s">
        <v>40704</v>
      </c>
      <c r="F3671" s="751">
        <v>4435</v>
      </c>
    </row>
    <row r="3672" spans="1:6">
      <c r="A3672" s="753"/>
      <c r="B3672" s="753"/>
      <c r="C3672" s="752" t="s">
        <v>46679</v>
      </c>
      <c r="D3672" s="753" t="s">
        <v>46669</v>
      </c>
      <c r="E3672" s="752" t="s">
        <v>41347</v>
      </c>
      <c r="F3672" s="751">
        <v>3675</v>
      </c>
    </row>
    <row r="3673" spans="1:6">
      <c r="A3673" s="753"/>
      <c r="B3673" s="753"/>
      <c r="C3673" s="752" t="s">
        <v>46678</v>
      </c>
      <c r="D3673" s="753" t="s">
        <v>46669</v>
      </c>
      <c r="E3673" s="752" t="s">
        <v>46677</v>
      </c>
      <c r="F3673" s="751">
        <v>3425</v>
      </c>
    </row>
    <row r="3674" spans="1:6">
      <c r="A3674" s="753"/>
      <c r="B3674" s="753"/>
      <c r="C3674" s="752" t="s">
        <v>46676</v>
      </c>
      <c r="D3674" s="753" t="s">
        <v>46669</v>
      </c>
      <c r="E3674" s="752" t="s">
        <v>40352</v>
      </c>
      <c r="F3674" s="751">
        <v>3425</v>
      </c>
    </row>
    <row r="3675" spans="1:6">
      <c r="A3675" s="753"/>
      <c r="B3675" s="753"/>
      <c r="C3675" s="752" t="s">
        <v>46675</v>
      </c>
      <c r="D3675" s="753" t="s">
        <v>46669</v>
      </c>
      <c r="E3675" s="752" t="s">
        <v>46674</v>
      </c>
      <c r="F3675" s="751">
        <v>4185</v>
      </c>
    </row>
    <row r="3676" spans="1:6">
      <c r="A3676" s="753"/>
      <c r="B3676" s="753"/>
      <c r="C3676" s="752" t="s">
        <v>46673</v>
      </c>
      <c r="D3676" s="753" t="s">
        <v>46669</v>
      </c>
      <c r="E3676" s="752" t="s">
        <v>41347</v>
      </c>
      <c r="F3676" s="751">
        <v>3425</v>
      </c>
    </row>
    <row r="3677" spans="1:6">
      <c r="A3677" s="753"/>
      <c r="B3677" s="753"/>
      <c r="C3677" s="752" t="s">
        <v>46672</v>
      </c>
      <c r="D3677" s="753" t="s">
        <v>46669</v>
      </c>
      <c r="E3677" s="752" t="s">
        <v>46671</v>
      </c>
      <c r="F3677" s="751">
        <v>4185</v>
      </c>
    </row>
    <row r="3678" spans="1:6">
      <c r="A3678" s="753"/>
      <c r="B3678" s="753"/>
      <c r="C3678" s="752" t="s">
        <v>46670</v>
      </c>
      <c r="D3678" s="753" t="s">
        <v>46669</v>
      </c>
      <c r="E3678" s="752" t="s">
        <v>42893</v>
      </c>
      <c r="F3678" s="751">
        <v>2925</v>
      </c>
    </row>
    <row r="3679" spans="1:6">
      <c r="A3679" s="753"/>
      <c r="B3679" s="753"/>
      <c r="C3679" s="752" t="s">
        <v>46668</v>
      </c>
      <c r="D3679" s="753" t="s">
        <v>46665</v>
      </c>
      <c r="E3679" s="752" t="s">
        <v>40352</v>
      </c>
      <c r="F3679" s="751">
        <v>2925</v>
      </c>
    </row>
    <row r="3680" spans="1:6">
      <c r="A3680" s="753"/>
      <c r="B3680" s="753"/>
      <c r="C3680" s="752" t="s">
        <v>46667</v>
      </c>
      <c r="D3680" s="753" t="s">
        <v>46665</v>
      </c>
      <c r="E3680" s="752" t="s">
        <v>38783</v>
      </c>
      <c r="F3680" s="751">
        <v>3675</v>
      </c>
    </row>
    <row r="3681" spans="1:6">
      <c r="A3681" s="753"/>
      <c r="B3681" s="753"/>
      <c r="C3681" s="752" t="s">
        <v>46666</v>
      </c>
      <c r="D3681" s="753" t="s">
        <v>46665</v>
      </c>
      <c r="E3681" s="752" t="s">
        <v>40352</v>
      </c>
      <c r="F3681" s="751">
        <v>3425</v>
      </c>
    </row>
    <row r="3682" spans="1:6">
      <c r="A3682" s="753"/>
      <c r="B3682" s="753"/>
      <c r="C3682" s="752" t="s">
        <v>46664</v>
      </c>
      <c r="D3682" s="753" t="s">
        <v>46656</v>
      </c>
      <c r="E3682" s="752" t="s">
        <v>40390</v>
      </c>
      <c r="F3682" s="751">
        <v>2845</v>
      </c>
    </row>
    <row r="3683" spans="1:6">
      <c r="A3683" s="753"/>
      <c r="B3683" s="753"/>
      <c r="C3683" s="752" t="s">
        <v>46663</v>
      </c>
      <c r="D3683" s="753" t="s">
        <v>46662</v>
      </c>
      <c r="E3683" s="752" t="s">
        <v>46661</v>
      </c>
      <c r="F3683" s="751">
        <v>2875</v>
      </c>
    </row>
    <row r="3684" spans="1:6">
      <c r="A3684" s="753"/>
      <c r="B3684" s="753"/>
      <c r="C3684" s="752" t="s">
        <v>46660</v>
      </c>
      <c r="D3684" s="753" t="s">
        <v>46658</v>
      </c>
      <c r="E3684" s="752" t="s">
        <v>293</v>
      </c>
      <c r="F3684" s="751">
        <v>3775</v>
      </c>
    </row>
    <row r="3685" spans="1:6">
      <c r="A3685" s="753"/>
      <c r="B3685" s="753"/>
      <c r="C3685" s="752" t="s">
        <v>46659</v>
      </c>
      <c r="D3685" s="753" t="s">
        <v>46658</v>
      </c>
      <c r="E3685" s="752" t="s">
        <v>41347</v>
      </c>
      <c r="F3685" s="751">
        <v>3775</v>
      </c>
    </row>
    <row r="3686" spans="1:6">
      <c r="A3686" s="753"/>
      <c r="B3686" s="753"/>
      <c r="C3686" s="752" t="s">
        <v>46657</v>
      </c>
      <c r="D3686" s="753" t="s">
        <v>46656</v>
      </c>
      <c r="E3686" s="752" t="s">
        <v>40390</v>
      </c>
      <c r="F3686" s="751">
        <v>2845</v>
      </c>
    </row>
    <row r="3687" spans="1:6">
      <c r="A3687" s="753"/>
      <c r="B3687" s="753" t="s">
        <v>46655</v>
      </c>
      <c r="C3687" s="752" t="s">
        <v>46654</v>
      </c>
      <c r="D3687" s="753" t="s">
        <v>46653</v>
      </c>
      <c r="E3687" s="752" t="s">
        <v>293</v>
      </c>
      <c r="F3687" s="751">
        <v>4920</v>
      </c>
    </row>
    <row r="3688" spans="1:6">
      <c r="A3688" s="753"/>
      <c r="B3688" s="753"/>
      <c r="C3688" s="752" t="s">
        <v>46652</v>
      </c>
      <c r="D3688" s="753" t="s">
        <v>46637</v>
      </c>
      <c r="E3688" s="752" t="s">
        <v>38962</v>
      </c>
      <c r="F3688" s="751">
        <v>3715</v>
      </c>
    </row>
    <row r="3689" spans="1:6">
      <c r="A3689" s="753"/>
      <c r="B3689" s="753"/>
      <c r="C3689" s="752" t="s">
        <v>46651</v>
      </c>
      <c r="D3689" s="753" t="s">
        <v>46637</v>
      </c>
      <c r="E3689" s="752" t="s">
        <v>37758</v>
      </c>
      <c r="F3689" s="751">
        <v>4215</v>
      </c>
    </row>
    <row r="3690" spans="1:6">
      <c r="A3690" s="753"/>
      <c r="B3690" s="753"/>
      <c r="C3690" s="752" t="s">
        <v>46650</v>
      </c>
      <c r="D3690" s="753" t="s">
        <v>46647</v>
      </c>
      <c r="E3690" s="752" t="s">
        <v>46649</v>
      </c>
      <c r="F3690" s="751">
        <v>4865</v>
      </c>
    </row>
    <row r="3691" spans="1:6">
      <c r="A3691" s="753"/>
      <c r="B3691" s="753"/>
      <c r="C3691" s="752" t="s">
        <v>46648</v>
      </c>
      <c r="D3691" s="753" t="s">
        <v>46647</v>
      </c>
      <c r="E3691" s="752" t="s">
        <v>46646</v>
      </c>
      <c r="F3691" s="751">
        <v>5575</v>
      </c>
    </row>
    <row r="3692" spans="1:6">
      <c r="A3692" s="753"/>
      <c r="B3692" s="753"/>
      <c r="C3692" s="752" t="s">
        <v>46645</v>
      </c>
      <c r="D3692" s="753" t="s">
        <v>46637</v>
      </c>
      <c r="E3692" s="752" t="s">
        <v>37758</v>
      </c>
      <c r="F3692" s="751">
        <v>4765</v>
      </c>
    </row>
    <row r="3693" spans="1:6">
      <c r="A3693" s="753"/>
      <c r="B3693" s="753"/>
      <c r="C3693" s="752" t="s">
        <v>46644</v>
      </c>
      <c r="D3693" s="753" t="s">
        <v>46637</v>
      </c>
      <c r="E3693" s="752" t="s">
        <v>38670</v>
      </c>
      <c r="F3693" s="751">
        <v>5525</v>
      </c>
    </row>
    <row r="3694" spans="1:6">
      <c r="A3694" s="753"/>
      <c r="B3694" s="753"/>
      <c r="C3694" s="752" t="s">
        <v>46643</v>
      </c>
      <c r="D3694" s="753" t="s">
        <v>46637</v>
      </c>
      <c r="E3694" s="752" t="s">
        <v>46642</v>
      </c>
      <c r="F3694" s="751">
        <v>4715</v>
      </c>
    </row>
    <row r="3695" spans="1:6">
      <c r="A3695" s="753"/>
      <c r="B3695" s="753"/>
      <c r="C3695" s="752" t="s">
        <v>46641</v>
      </c>
      <c r="D3695" s="753" t="s">
        <v>46637</v>
      </c>
      <c r="E3695" s="752" t="s">
        <v>46640</v>
      </c>
      <c r="F3695" s="751">
        <v>4975</v>
      </c>
    </row>
    <row r="3696" spans="1:6">
      <c r="A3696" s="753"/>
      <c r="B3696" s="753"/>
      <c r="C3696" s="752" t="s">
        <v>46639</v>
      </c>
      <c r="D3696" s="753" t="s">
        <v>46637</v>
      </c>
      <c r="E3696" s="752" t="s">
        <v>46584</v>
      </c>
      <c r="F3696" s="751">
        <v>4765</v>
      </c>
    </row>
    <row r="3697" spans="1:6">
      <c r="A3697" s="753"/>
      <c r="B3697" s="753"/>
      <c r="C3697" s="752" t="s">
        <v>46638</v>
      </c>
      <c r="D3697" s="753" t="s">
        <v>46637</v>
      </c>
      <c r="E3697" s="752" t="s">
        <v>46636</v>
      </c>
      <c r="F3697" s="751">
        <v>4975</v>
      </c>
    </row>
    <row r="3698" spans="1:6">
      <c r="A3698" s="753"/>
      <c r="B3698" s="753"/>
      <c r="C3698" s="752" t="s">
        <v>46635</v>
      </c>
      <c r="D3698" s="753" t="s">
        <v>46629</v>
      </c>
      <c r="E3698" s="752" t="s">
        <v>38670</v>
      </c>
      <c r="F3698" s="751">
        <v>4125</v>
      </c>
    </row>
    <row r="3699" spans="1:6">
      <c r="A3699" s="753"/>
      <c r="B3699" s="753"/>
      <c r="C3699" s="752" t="s">
        <v>46634</v>
      </c>
      <c r="D3699" s="753" t="s">
        <v>46629</v>
      </c>
      <c r="E3699" s="752" t="s">
        <v>46633</v>
      </c>
      <c r="F3699" s="751">
        <v>4125</v>
      </c>
    </row>
    <row r="3700" spans="1:6">
      <c r="A3700" s="753"/>
      <c r="B3700" s="753"/>
      <c r="C3700" s="752" t="s">
        <v>46632</v>
      </c>
      <c r="D3700" s="753" t="s">
        <v>46629</v>
      </c>
      <c r="E3700" s="752" t="s">
        <v>46631</v>
      </c>
      <c r="F3700" s="751">
        <v>4125</v>
      </c>
    </row>
    <row r="3701" spans="1:6">
      <c r="A3701" s="753"/>
      <c r="B3701" s="753"/>
      <c r="C3701" s="752" t="s">
        <v>46630</v>
      </c>
      <c r="D3701" s="753" t="s">
        <v>46629</v>
      </c>
      <c r="E3701" s="752" t="s">
        <v>46628</v>
      </c>
      <c r="F3701" s="751">
        <v>4885</v>
      </c>
    </row>
    <row r="3702" spans="1:6">
      <c r="A3702" s="753"/>
      <c r="B3702" s="753"/>
      <c r="C3702" s="752" t="s">
        <v>46627</v>
      </c>
      <c r="D3702" s="753" t="s">
        <v>46622</v>
      </c>
      <c r="E3702" s="752" t="s">
        <v>46626</v>
      </c>
      <c r="F3702" s="751">
        <v>4745</v>
      </c>
    </row>
    <row r="3703" spans="1:6">
      <c r="A3703" s="753"/>
      <c r="B3703" s="753"/>
      <c r="C3703" s="752" t="s">
        <v>46625</v>
      </c>
      <c r="D3703" s="753" t="s">
        <v>46622</v>
      </c>
      <c r="E3703" s="752" t="s">
        <v>46624</v>
      </c>
      <c r="F3703" s="751">
        <v>5505</v>
      </c>
    </row>
    <row r="3704" spans="1:6">
      <c r="A3704" s="753"/>
      <c r="B3704" s="753"/>
      <c r="C3704" s="752" t="s">
        <v>46623</v>
      </c>
      <c r="D3704" s="753" t="s">
        <v>46622</v>
      </c>
      <c r="E3704" s="752" t="s">
        <v>46621</v>
      </c>
      <c r="F3704" s="751">
        <v>5505</v>
      </c>
    </row>
    <row r="3705" spans="1:6">
      <c r="A3705" s="753"/>
      <c r="B3705" s="753"/>
      <c r="C3705" s="752" t="s">
        <v>46620</v>
      </c>
      <c r="D3705" s="753" t="s">
        <v>46617</v>
      </c>
      <c r="E3705" s="752" t="s">
        <v>293</v>
      </c>
      <c r="F3705" s="751">
        <v>5645</v>
      </c>
    </row>
    <row r="3706" spans="1:6">
      <c r="A3706" s="753"/>
      <c r="B3706" s="753"/>
      <c r="C3706" s="752" t="s">
        <v>46619</v>
      </c>
      <c r="D3706" s="753" t="s">
        <v>46617</v>
      </c>
      <c r="E3706" s="752" t="s">
        <v>38783</v>
      </c>
      <c r="F3706" s="751">
        <v>5645</v>
      </c>
    </row>
    <row r="3707" spans="1:6">
      <c r="A3707" s="753"/>
      <c r="B3707" s="753"/>
      <c r="C3707" s="752" t="s">
        <v>46618</v>
      </c>
      <c r="D3707" s="753" t="s">
        <v>46617</v>
      </c>
      <c r="E3707" s="752" t="s">
        <v>46616</v>
      </c>
      <c r="F3707" s="751">
        <v>6405</v>
      </c>
    </row>
    <row r="3708" spans="1:6">
      <c r="A3708" s="753"/>
      <c r="B3708" s="753"/>
      <c r="C3708" s="752" t="s">
        <v>46615</v>
      </c>
      <c r="D3708" s="753" t="s">
        <v>46614</v>
      </c>
      <c r="E3708" s="752" t="s">
        <v>293</v>
      </c>
      <c r="F3708" s="751">
        <v>4130</v>
      </c>
    </row>
    <row r="3709" spans="1:6">
      <c r="A3709" s="753"/>
      <c r="B3709" s="753"/>
      <c r="C3709" s="752" t="s">
        <v>46613</v>
      </c>
      <c r="D3709" s="753" t="s">
        <v>46606</v>
      </c>
      <c r="E3709" s="752" t="s">
        <v>46599</v>
      </c>
      <c r="F3709" s="751">
        <v>5995</v>
      </c>
    </row>
    <row r="3710" spans="1:6">
      <c r="A3710" s="753"/>
      <c r="B3710" s="753"/>
      <c r="C3710" s="752" t="s">
        <v>46612</v>
      </c>
      <c r="D3710" s="753" t="s">
        <v>46604</v>
      </c>
      <c r="E3710" s="752" t="s">
        <v>293</v>
      </c>
      <c r="F3710" s="751">
        <v>6245</v>
      </c>
    </row>
    <row r="3711" spans="1:6">
      <c r="A3711" s="753"/>
      <c r="B3711" s="753"/>
      <c r="C3711" s="752" t="s">
        <v>46611</v>
      </c>
      <c r="D3711" s="753" t="s">
        <v>46610</v>
      </c>
      <c r="E3711" s="752" t="s">
        <v>38584</v>
      </c>
      <c r="F3711" s="751">
        <v>5995</v>
      </c>
    </row>
    <row r="3712" spans="1:6">
      <c r="A3712" s="753"/>
      <c r="B3712" s="753"/>
      <c r="C3712" s="752" t="s">
        <v>46609</v>
      </c>
      <c r="D3712" s="753" t="s">
        <v>46608</v>
      </c>
      <c r="E3712" s="752" t="s">
        <v>38584</v>
      </c>
      <c r="F3712" s="751">
        <v>3375</v>
      </c>
    </row>
    <row r="3713" spans="1:6">
      <c r="A3713" s="753"/>
      <c r="B3713" s="753"/>
      <c r="C3713" s="752" t="s">
        <v>46607</v>
      </c>
      <c r="D3713" s="753" t="s">
        <v>46606</v>
      </c>
      <c r="E3713" s="752" t="s">
        <v>46599</v>
      </c>
      <c r="F3713" s="751">
        <v>6545</v>
      </c>
    </row>
    <row r="3714" spans="1:6">
      <c r="A3714" s="753"/>
      <c r="B3714" s="753"/>
      <c r="C3714" s="752" t="s">
        <v>46605</v>
      </c>
      <c r="D3714" s="753" t="s">
        <v>46604</v>
      </c>
      <c r="E3714" s="752" t="s">
        <v>39276</v>
      </c>
      <c r="F3714" s="751">
        <v>6795</v>
      </c>
    </row>
    <row r="3715" spans="1:6">
      <c r="A3715" s="753"/>
      <c r="B3715" s="753"/>
      <c r="C3715" s="752" t="s">
        <v>46603</v>
      </c>
      <c r="D3715" s="753" t="s">
        <v>46602</v>
      </c>
      <c r="E3715" s="752" t="s">
        <v>46599</v>
      </c>
      <c r="F3715" s="751">
        <v>8655</v>
      </c>
    </row>
    <row r="3716" spans="1:6">
      <c r="A3716" s="753"/>
      <c r="B3716" s="753"/>
      <c r="C3716" s="752" t="s">
        <v>46601</v>
      </c>
      <c r="D3716" s="753" t="s">
        <v>46600</v>
      </c>
      <c r="E3716" s="752" t="s">
        <v>46599</v>
      </c>
      <c r="F3716" s="751">
        <v>5975</v>
      </c>
    </row>
    <row r="3717" spans="1:6">
      <c r="A3717" s="753"/>
      <c r="B3717" s="753"/>
      <c r="C3717" s="752" t="s">
        <v>46598</v>
      </c>
      <c r="D3717" s="753" t="s">
        <v>46597</v>
      </c>
      <c r="E3717" s="752" t="s">
        <v>38584</v>
      </c>
      <c r="F3717" s="751">
        <v>8895</v>
      </c>
    </row>
    <row r="3718" spans="1:6">
      <c r="A3718" s="753"/>
      <c r="B3718" s="753"/>
      <c r="C3718" s="752" t="s">
        <v>46596</v>
      </c>
      <c r="D3718" s="753" t="s">
        <v>46594</v>
      </c>
      <c r="E3718" s="752" t="s">
        <v>38570</v>
      </c>
      <c r="F3718" s="751">
        <v>9095</v>
      </c>
    </row>
    <row r="3719" spans="1:6">
      <c r="A3719" s="753"/>
      <c r="B3719" s="753"/>
      <c r="C3719" s="752" t="s">
        <v>46595</v>
      </c>
      <c r="D3719" s="753" t="s">
        <v>46594</v>
      </c>
      <c r="E3719" s="752" t="s">
        <v>38584</v>
      </c>
      <c r="F3719" s="751">
        <v>9095</v>
      </c>
    </row>
    <row r="3720" spans="1:6">
      <c r="A3720" s="753"/>
      <c r="B3720" s="753"/>
      <c r="C3720" s="752" t="s">
        <v>46593</v>
      </c>
      <c r="D3720" s="753" t="s">
        <v>46592</v>
      </c>
      <c r="E3720" s="752" t="s">
        <v>293</v>
      </c>
      <c r="F3720" s="751">
        <v>2949</v>
      </c>
    </row>
    <row r="3721" spans="1:6">
      <c r="A3721" s="753"/>
      <c r="B3721" s="753"/>
      <c r="C3721" s="752" t="s">
        <v>46591</v>
      </c>
      <c r="D3721" s="753" t="s">
        <v>46590</v>
      </c>
      <c r="E3721" s="752" t="s">
        <v>38584</v>
      </c>
      <c r="F3721" s="751">
        <v>2899</v>
      </c>
    </row>
    <row r="3722" spans="1:6">
      <c r="A3722" s="753"/>
      <c r="B3722" s="753"/>
      <c r="C3722" s="752" t="s">
        <v>46589</v>
      </c>
      <c r="D3722" s="753" t="s">
        <v>46588</v>
      </c>
      <c r="E3722" s="752" t="s">
        <v>293</v>
      </c>
      <c r="F3722" s="751">
        <v>4000</v>
      </c>
    </row>
    <row r="3723" spans="1:6">
      <c r="A3723" s="753"/>
      <c r="B3723" s="753"/>
      <c r="C3723" s="752" t="s">
        <v>46587</v>
      </c>
      <c r="D3723" s="753" t="s">
        <v>46582</v>
      </c>
      <c r="E3723" s="752" t="s">
        <v>293</v>
      </c>
      <c r="F3723" s="751">
        <v>3649</v>
      </c>
    </row>
    <row r="3724" spans="1:6">
      <c r="A3724" s="753"/>
      <c r="B3724" s="753"/>
      <c r="C3724" s="752" t="s">
        <v>46586</v>
      </c>
      <c r="D3724" s="753" t="s">
        <v>46585</v>
      </c>
      <c r="E3724" s="752" t="s">
        <v>46584</v>
      </c>
      <c r="F3724" s="751">
        <v>4099</v>
      </c>
    </row>
    <row r="3725" spans="1:6">
      <c r="A3725" s="753"/>
      <c r="B3725" s="753"/>
      <c r="C3725" s="752" t="s">
        <v>46583</v>
      </c>
      <c r="D3725" s="753" t="s">
        <v>46582</v>
      </c>
      <c r="E3725" s="752" t="s">
        <v>46581</v>
      </c>
      <c r="F3725" s="751">
        <v>3649</v>
      </c>
    </row>
    <row r="3726" spans="1:6">
      <c r="A3726" s="753"/>
      <c r="B3726" s="753"/>
      <c r="C3726" s="752" t="s">
        <v>46580</v>
      </c>
      <c r="D3726" s="753" t="s">
        <v>46579</v>
      </c>
      <c r="E3726" s="752" t="s">
        <v>293</v>
      </c>
      <c r="F3726" s="751">
        <v>3249</v>
      </c>
    </row>
    <row r="3727" spans="1:6">
      <c r="A3727" s="753"/>
      <c r="B3727" s="753"/>
      <c r="C3727" s="752" t="s">
        <v>46578</v>
      </c>
      <c r="D3727" s="753" t="s">
        <v>46576</v>
      </c>
      <c r="E3727" s="752" t="s">
        <v>293</v>
      </c>
      <c r="F3727" s="751">
        <v>3349</v>
      </c>
    </row>
    <row r="3728" spans="1:6">
      <c r="A3728" s="753"/>
      <c r="B3728" s="753"/>
      <c r="C3728" s="752" t="s">
        <v>46577</v>
      </c>
      <c r="D3728" s="753" t="s">
        <v>46576</v>
      </c>
      <c r="E3728" s="752" t="s">
        <v>38584</v>
      </c>
      <c r="F3728" s="751">
        <v>3349</v>
      </c>
    </row>
    <row r="3729" spans="1:6">
      <c r="A3729" s="753"/>
      <c r="B3729" s="753"/>
      <c r="C3729" s="752" t="s">
        <v>46575</v>
      </c>
      <c r="D3729" s="753" t="s">
        <v>46573</v>
      </c>
      <c r="E3729" s="752" t="s">
        <v>38539</v>
      </c>
      <c r="F3729" s="751">
        <v>3849</v>
      </c>
    </row>
    <row r="3730" spans="1:6">
      <c r="A3730" s="753"/>
      <c r="B3730" s="753"/>
      <c r="C3730" s="752" t="s">
        <v>46574</v>
      </c>
      <c r="D3730" s="753" t="s">
        <v>46573</v>
      </c>
      <c r="E3730" s="752" t="s">
        <v>38783</v>
      </c>
      <c r="F3730" s="751">
        <v>3849</v>
      </c>
    </row>
    <row r="3731" spans="1:6">
      <c r="A3731" s="753"/>
      <c r="B3731" s="753"/>
      <c r="C3731" s="752" t="s">
        <v>46572</v>
      </c>
      <c r="D3731" s="753" t="s">
        <v>46570</v>
      </c>
      <c r="E3731" s="752" t="s">
        <v>37758</v>
      </c>
      <c r="F3731" s="751">
        <v>4099</v>
      </c>
    </row>
    <row r="3732" spans="1:6">
      <c r="A3732" s="753"/>
      <c r="B3732" s="753"/>
      <c r="C3732" s="752" t="s">
        <v>46571</v>
      </c>
      <c r="D3732" s="753" t="s">
        <v>46570</v>
      </c>
      <c r="E3732" s="752" t="s">
        <v>38581</v>
      </c>
      <c r="F3732" s="751">
        <v>4050</v>
      </c>
    </row>
    <row r="3733" spans="1:6">
      <c r="A3733" s="753"/>
      <c r="B3733" s="753"/>
      <c r="C3733" s="752" t="s">
        <v>46569</v>
      </c>
      <c r="D3733" s="753" t="s">
        <v>46552</v>
      </c>
      <c r="E3733" s="752" t="s">
        <v>46568</v>
      </c>
      <c r="F3733" s="751">
        <v>2675</v>
      </c>
    </row>
    <row r="3734" spans="1:6">
      <c r="A3734" s="753"/>
      <c r="B3734" s="753"/>
      <c r="C3734" s="752" t="s">
        <v>46567</v>
      </c>
      <c r="D3734" s="753" t="s">
        <v>46552</v>
      </c>
      <c r="E3734" s="752" t="s">
        <v>46566</v>
      </c>
      <c r="F3734" s="751">
        <v>2675</v>
      </c>
    </row>
    <row r="3735" spans="1:6">
      <c r="A3735" s="753"/>
      <c r="B3735" s="753"/>
      <c r="C3735" s="752" t="s">
        <v>46565</v>
      </c>
      <c r="D3735" s="753" t="s">
        <v>46552</v>
      </c>
      <c r="E3735" s="752" t="s">
        <v>46564</v>
      </c>
      <c r="F3735" s="751">
        <v>3835</v>
      </c>
    </row>
    <row r="3736" spans="1:6">
      <c r="A3736" s="753"/>
      <c r="B3736" s="753"/>
      <c r="C3736" s="752" t="s">
        <v>46563</v>
      </c>
      <c r="D3736" s="753" t="s">
        <v>46552</v>
      </c>
      <c r="E3736" s="752" t="s">
        <v>46562</v>
      </c>
      <c r="F3736" s="751">
        <v>2675</v>
      </c>
    </row>
    <row r="3737" spans="1:6">
      <c r="A3737" s="753"/>
      <c r="B3737" s="753"/>
      <c r="C3737" s="752" t="s">
        <v>46561</v>
      </c>
      <c r="D3737" s="753" t="s">
        <v>46552</v>
      </c>
      <c r="E3737" s="752" t="s">
        <v>46560</v>
      </c>
      <c r="F3737" s="751">
        <v>3835</v>
      </c>
    </row>
    <row r="3738" spans="1:6">
      <c r="A3738" s="753"/>
      <c r="B3738" s="753"/>
      <c r="C3738" s="752" t="s">
        <v>46559</v>
      </c>
      <c r="D3738" s="753" t="s">
        <v>46552</v>
      </c>
      <c r="E3738" s="752" t="s">
        <v>46558</v>
      </c>
      <c r="F3738" s="751">
        <v>3075</v>
      </c>
    </row>
    <row r="3739" spans="1:6">
      <c r="A3739" s="753"/>
      <c r="B3739" s="753"/>
      <c r="C3739" s="752" t="s">
        <v>46557</v>
      </c>
      <c r="D3739" s="753" t="s">
        <v>46552</v>
      </c>
      <c r="E3739" s="752" t="s">
        <v>46556</v>
      </c>
      <c r="F3739" s="751">
        <v>3075</v>
      </c>
    </row>
    <row r="3740" spans="1:6">
      <c r="A3740" s="753"/>
      <c r="B3740" s="753"/>
      <c r="C3740" s="752" t="s">
        <v>46555</v>
      </c>
      <c r="D3740" s="753" t="s">
        <v>46552</v>
      </c>
      <c r="E3740" s="752" t="s">
        <v>46503</v>
      </c>
      <c r="F3740" s="751">
        <v>3075</v>
      </c>
    </row>
    <row r="3741" spans="1:6">
      <c r="A3741" s="753"/>
      <c r="B3741" s="753"/>
      <c r="C3741" s="752" t="s">
        <v>46554</v>
      </c>
      <c r="D3741" s="753" t="s">
        <v>46552</v>
      </c>
      <c r="E3741" s="752" t="s">
        <v>40672</v>
      </c>
      <c r="F3741" s="751">
        <v>2575</v>
      </c>
    </row>
    <row r="3742" spans="1:6">
      <c r="A3742" s="753"/>
      <c r="B3742" s="753"/>
      <c r="C3742" s="752" t="s">
        <v>46553</v>
      </c>
      <c r="D3742" s="753" t="s">
        <v>46552</v>
      </c>
      <c r="E3742" s="752" t="s">
        <v>46551</v>
      </c>
      <c r="F3742" s="751">
        <v>3335</v>
      </c>
    </row>
    <row r="3743" spans="1:6">
      <c r="A3743" s="753"/>
      <c r="B3743" s="753"/>
      <c r="C3743" s="752" t="s">
        <v>46550</v>
      </c>
      <c r="D3743" s="753" t="s">
        <v>46466</v>
      </c>
      <c r="E3743" s="752" t="s">
        <v>40352</v>
      </c>
      <c r="F3743" s="751">
        <v>3625</v>
      </c>
    </row>
    <row r="3744" spans="1:6">
      <c r="A3744" s="753"/>
      <c r="B3744" s="753"/>
      <c r="C3744" s="752" t="s">
        <v>46549</v>
      </c>
      <c r="D3744" s="753" t="s">
        <v>46466</v>
      </c>
      <c r="E3744" s="752" t="s">
        <v>40701</v>
      </c>
      <c r="F3744" s="751">
        <v>4385</v>
      </c>
    </row>
    <row r="3745" spans="1:6">
      <c r="A3745" s="753"/>
      <c r="B3745" s="753"/>
      <c r="C3745" s="752" t="s">
        <v>46548</v>
      </c>
      <c r="D3745" s="753" t="s">
        <v>46466</v>
      </c>
      <c r="E3745" s="752" t="s">
        <v>46547</v>
      </c>
      <c r="F3745" s="751">
        <v>3625</v>
      </c>
    </row>
    <row r="3746" spans="1:6">
      <c r="A3746" s="753"/>
      <c r="B3746" s="753"/>
      <c r="C3746" s="752" t="s">
        <v>46546</v>
      </c>
      <c r="D3746" s="753" t="s">
        <v>46466</v>
      </c>
      <c r="E3746" s="752" t="s">
        <v>46521</v>
      </c>
      <c r="F3746" s="751">
        <v>3625</v>
      </c>
    </row>
    <row r="3747" spans="1:6">
      <c r="A3747" s="753"/>
      <c r="B3747" s="753"/>
      <c r="C3747" s="752" t="s">
        <v>46545</v>
      </c>
      <c r="D3747" s="753" t="s">
        <v>46466</v>
      </c>
      <c r="E3747" s="752" t="s">
        <v>40675</v>
      </c>
      <c r="F3747" s="751">
        <v>3625</v>
      </c>
    </row>
    <row r="3748" spans="1:6">
      <c r="A3748" s="753"/>
      <c r="B3748" s="753"/>
      <c r="C3748" s="752" t="s">
        <v>46544</v>
      </c>
      <c r="D3748" s="753" t="s">
        <v>46466</v>
      </c>
      <c r="E3748" s="752" t="s">
        <v>46471</v>
      </c>
      <c r="F3748" s="751">
        <v>4385</v>
      </c>
    </row>
    <row r="3749" spans="1:6">
      <c r="A3749" s="753"/>
      <c r="B3749" s="753"/>
      <c r="C3749" s="752" t="s">
        <v>46543</v>
      </c>
      <c r="D3749" s="753" t="s">
        <v>46466</v>
      </c>
      <c r="E3749" s="752" t="s">
        <v>46518</v>
      </c>
      <c r="F3749" s="751">
        <v>3625</v>
      </c>
    </row>
    <row r="3750" spans="1:6">
      <c r="A3750" s="753"/>
      <c r="B3750" s="753"/>
      <c r="C3750" s="752" t="s">
        <v>46542</v>
      </c>
      <c r="D3750" s="753" t="s">
        <v>46466</v>
      </c>
      <c r="E3750" s="752" t="s">
        <v>46541</v>
      </c>
      <c r="F3750" s="751">
        <v>3625</v>
      </c>
    </row>
    <row r="3751" spans="1:6">
      <c r="A3751" s="753"/>
      <c r="B3751" s="753"/>
      <c r="C3751" s="752" t="s">
        <v>46540</v>
      </c>
      <c r="D3751" s="753" t="s">
        <v>46466</v>
      </c>
      <c r="E3751" s="752" t="s">
        <v>40672</v>
      </c>
      <c r="F3751" s="751">
        <v>3125</v>
      </c>
    </row>
    <row r="3752" spans="1:6">
      <c r="A3752" s="753"/>
      <c r="B3752" s="753"/>
      <c r="C3752" s="752" t="s">
        <v>46539</v>
      </c>
      <c r="D3752" s="753" t="s">
        <v>46469</v>
      </c>
      <c r="E3752" s="752" t="s">
        <v>40352</v>
      </c>
      <c r="F3752" s="751">
        <v>3625</v>
      </c>
    </row>
    <row r="3753" spans="1:6">
      <c r="A3753" s="753"/>
      <c r="B3753" s="753"/>
      <c r="C3753" s="752" t="s">
        <v>46538</v>
      </c>
      <c r="D3753" s="753" t="s">
        <v>46529</v>
      </c>
      <c r="E3753" s="752" t="s">
        <v>46537</v>
      </c>
      <c r="F3753" s="751">
        <v>4385</v>
      </c>
    </row>
    <row r="3754" spans="1:6">
      <c r="A3754" s="753"/>
      <c r="B3754" s="753"/>
      <c r="C3754" s="752" t="s">
        <v>46536</v>
      </c>
      <c r="D3754" s="753" t="s">
        <v>46469</v>
      </c>
      <c r="E3754" s="752" t="s">
        <v>46521</v>
      </c>
      <c r="F3754" s="751">
        <v>3625</v>
      </c>
    </row>
    <row r="3755" spans="1:6">
      <c r="A3755" s="753"/>
      <c r="B3755" s="753"/>
      <c r="C3755" s="752" t="s">
        <v>46535</v>
      </c>
      <c r="D3755" s="753" t="s">
        <v>46469</v>
      </c>
      <c r="E3755" s="752" t="s">
        <v>46534</v>
      </c>
      <c r="F3755" s="751">
        <v>4385</v>
      </c>
    </row>
    <row r="3756" spans="1:6">
      <c r="A3756" s="753"/>
      <c r="B3756" s="753"/>
      <c r="C3756" s="752" t="s">
        <v>46533</v>
      </c>
      <c r="D3756" s="753" t="s">
        <v>46469</v>
      </c>
      <c r="E3756" s="752" t="s">
        <v>40675</v>
      </c>
      <c r="F3756" s="751">
        <v>3625</v>
      </c>
    </row>
    <row r="3757" spans="1:6">
      <c r="A3757" s="753"/>
      <c r="B3757" s="753"/>
      <c r="C3757" s="752" t="s">
        <v>46532</v>
      </c>
      <c r="D3757" s="753" t="s">
        <v>46469</v>
      </c>
      <c r="E3757" s="752" t="s">
        <v>46471</v>
      </c>
      <c r="F3757" s="751">
        <v>4385</v>
      </c>
    </row>
    <row r="3758" spans="1:6">
      <c r="A3758" s="753"/>
      <c r="B3758" s="753"/>
      <c r="C3758" s="752" t="s">
        <v>46531</v>
      </c>
      <c r="D3758" s="753" t="s">
        <v>46529</v>
      </c>
      <c r="E3758" s="752" t="s">
        <v>46518</v>
      </c>
      <c r="F3758" s="751">
        <v>3625</v>
      </c>
    </row>
    <row r="3759" spans="1:6">
      <c r="A3759" s="753"/>
      <c r="B3759" s="753"/>
      <c r="C3759" s="752" t="s">
        <v>46530</v>
      </c>
      <c r="D3759" s="753" t="s">
        <v>46529</v>
      </c>
      <c r="E3759" s="752" t="s">
        <v>38783</v>
      </c>
      <c r="F3759" s="751">
        <v>4385</v>
      </c>
    </row>
    <row r="3760" spans="1:6">
      <c r="A3760" s="753"/>
      <c r="B3760" s="753"/>
      <c r="C3760" s="752" t="s">
        <v>46528</v>
      </c>
      <c r="D3760" s="753" t="s">
        <v>46525</v>
      </c>
      <c r="E3760" s="752" t="s">
        <v>46527</v>
      </c>
      <c r="F3760" s="751">
        <v>2625</v>
      </c>
    </row>
    <row r="3761" spans="1:6">
      <c r="A3761" s="753"/>
      <c r="B3761" s="753"/>
      <c r="C3761" s="752" t="s">
        <v>46526</v>
      </c>
      <c r="D3761" s="753" t="s">
        <v>46525</v>
      </c>
      <c r="E3761" s="752" t="s">
        <v>40672</v>
      </c>
      <c r="F3761" s="751">
        <v>2375</v>
      </c>
    </row>
    <row r="3762" spans="1:6">
      <c r="A3762" s="753"/>
      <c r="B3762" s="753"/>
      <c r="C3762" s="752" t="s">
        <v>46524</v>
      </c>
      <c r="D3762" s="753" t="s">
        <v>46514</v>
      </c>
      <c r="E3762" s="752" t="s">
        <v>40352</v>
      </c>
      <c r="F3762" s="751">
        <v>3425</v>
      </c>
    </row>
    <row r="3763" spans="1:6">
      <c r="A3763" s="753"/>
      <c r="B3763" s="753"/>
      <c r="C3763" s="752" t="s">
        <v>46523</v>
      </c>
      <c r="D3763" s="753" t="s">
        <v>46514</v>
      </c>
      <c r="E3763" s="752" t="s">
        <v>40679</v>
      </c>
      <c r="F3763" s="751">
        <v>4185</v>
      </c>
    </row>
    <row r="3764" spans="1:6">
      <c r="A3764" s="753"/>
      <c r="B3764" s="753"/>
      <c r="C3764" s="752" t="s">
        <v>46522</v>
      </c>
      <c r="D3764" s="753" t="s">
        <v>46514</v>
      </c>
      <c r="E3764" s="752" t="s">
        <v>46521</v>
      </c>
      <c r="F3764" s="751">
        <v>3425</v>
      </c>
    </row>
    <row r="3765" spans="1:6">
      <c r="A3765" s="753"/>
      <c r="B3765" s="753"/>
      <c r="C3765" s="752" t="s">
        <v>46520</v>
      </c>
      <c r="D3765" s="753" t="s">
        <v>46514</v>
      </c>
      <c r="E3765" s="752" t="s">
        <v>40675</v>
      </c>
      <c r="F3765" s="751">
        <v>3425</v>
      </c>
    </row>
    <row r="3766" spans="1:6">
      <c r="A3766" s="753"/>
      <c r="B3766" s="753"/>
      <c r="C3766" s="752" t="s">
        <v>46519</v>
      </c>
      <c r="D3766" s="753" t="s">
        <v>46514</v>
      </c>
      <c r="E3766" s="752" t="s">
        <v>46518</v>
      </c>
      <c r="F3766" s="751">
        <v>3425</v>
      </c>
    </row>
    <row r="3767" spans="1:6">
      <c r="A3767" s="753"/>
      <c r="B3767" s="753"/>
      <c r="C3767" s="752" t="s">
        <v>46517</v>
      </c>
      <c r="D3767" s="753" t="s">
        <v>46514</v>
      </c>
      <c r="E3767" s="752" t="s">
        <v>40675</v>
      </c>
      <c r="F3767" s="751">
        <v>3425</v>
      </c>
    </row>
    <row r="3768" spans="1:6">
      <c r="A3768" s="753"/>
      <c r="B3768" s="753"/>
      <c r="C3768" s="752" t="s">
        <v>46516</v>
      </c>
      <c r="D3768" s="753" t="s">
        <v>46514</v>
      </c>
      <c r="E3768" s="752" t="s">
        <v>40672</v>
      </c>
      <c r="F3768" s="751">
        <v>2675</v>
      </c>
    </row>
    <row r="3769" spans="1:6">
      <c r="A3769" s="753"/>
      <c r="B3769" s="753"/>
      <c r="C3769" s="752" t="s">
        <v>46515</v>
      </c>
      <c r="D3769" s="753" t="s">
        <v>46514</v>
      </c>
      <c r="E3769" s="752" t="s">
        <v>46513</v>
      </c>
      <c r="F3769" s="751">
        <v>3685</v>
      </c>
    </row>
    <row r="3770" spans="1:6">
      <c r="A3770" s="753"/>
      <c r="B3770" s="753"/>
      <c r="C3770" s="752" t="s">
        <v>46512</v>
      </c>
      <c r="D3770" s="753" t="s">
        <v>46511</v>
      </c>
      <c r="E3770" s="752" t="s">
        <v>40352</v>
      </c>
      <c r="F3770" s="751">
        <v>3425</v>
      </c>
    </row>
    <row r="3771" spans="1:6">
      <c r="A3771" s="753"/>
      <c r="B3771" s="753"/>
      <c r="C3771" s="752" t="s">
        <v>46510</v>
      </c>
      <c r="D3771" s="753" t="s">
        <v>46509</v>
      </c>
      <c r="E3771" s="752" t="s">
        <v>46471</v>
      </c>
      <c r="F3771" s="751">
        <v>4185</v>
      </c>
    </row>
    <row r="3772" spans="1:6">
      <c r="A3772" s="753"/>
      <c r="B3772" s="753"/>
      <c r="C3772" s="752" t="s">
        <v>46508</v>
      </c>
      <c r="D3772" s="753" t="s">
        <v>46507</v>
      </c>
      <c r="E3772" s="752" t="s">
        <v>40672</v>
      </c>
      <c r="F3772" s="751">
        <v>3435</v>
      </c>
    </row>
    <row r="3773" spans="1:6">
      <c r="A3773" s="753"/>
      <c r="B3773" s="753"/>
      <c r="C3773" s="752" t="s">
        <v>46506</v>
      </c>
      <c r="D3773" s="753" t="s">
        <v>46498</v>
      </c>
      <c r="E3773" s="752" t="s">
        <v>46505</v>
      </c>
      <c r="F3773" s="751">
        <v>2975</v>
      </c>
    </row>
    <row r="3774" spans="1:6">
      <c r="A3774" s="753"/>
      <c r="B3774" s="753"/>
      <c r="C3774" s="752" t="s">
        <v>46504</v>
      </c>
      <c r="D3774" s="753" t="s">
        <v>46498</v>
      </c>
      <c r="E3774" s="752" t="s">
        <v>46503</v>
      </c>
      <c r="F3774" s="751">
        <v>2975</v>
      </c>
    </row>
    <row r="3775" spans="1:6">
      <c r="A3775" s="753"/>
      <c r="B3775" s="753"/>
      <c r="C3775" s="752" t="s">
        <v>46502</v>
      </c>
      <c r="D3775" s="753" t="s">
        <v>46501</v>
      </c>
      <c r="E3775" s="752" t="s">
        <v>46500</v>
      </c>
      <c r="F3775" s="751">
        <v>2225</v>
      </c>
    </row>
    <row r="3776" spans="1:6">
      <c r="A3776" s="753"/>
      <c r="B3776" s="753"/>
      <c r="C3776" s="752" t="s">
        <v>46499</v>
      </c>
      <c r="D3776" s="753" t="s">
        <v>46498</v>
      </c>
      <c r="E3776" s="752" t="s">
        <v>46497</v>
      </c>
      <c r="F3776" s="751">
        <v>3235</v>
      </c>
    </row>
    <row r="3777" spans="1:6">
      <c r="A3777" s="753"/>
      <c r="B3777" s="753"/>
      <c r="C3777" s="752" t="s">
        <v>46496</v>
      </c>
      <c r="D3777" s="753" t="s">
        <v>46472</v>
      </c>
      <c r="E3777" s="752" t="s">
        <v>40352</v>
      </c>
      <c r="F3777" s="751">
        <v>3525</v>
      </c>
    </row>
    <row r="3778" spans="1:6">
      <c r="A3778" s="753"/>
      <c r="B3778" s="753"/>
      <c r="C3778" s="752" t="s">
        <v>46495</v>
      </c>
      <c r="D3778" s="753" t="s">
        <v>46472</v>
      </c>
      <c r="E3778" s="752" t="s">
        <v>40675</v>
      </c>
      <c r="F3778" s="751">
        <v>3525</v>
      </c>
    </row>
    <row r="3779" spans="1:6">
      <c r="A3779" s="753"/>
      <c r="B3779" s="753"/>
      <c r="C3779" s="752" t="s">
        <v>46494</v>
      </c>
      <c r="D3779" s="753" t="s">
        <v>46472</v>
      </c>
      <c r="E3779" s="752" t="s">
        <v>46471</v>
      </c>
      <c r="F3779" s="751">
        <v>4285</v>
      </c>
    </row>
    <row r="3780" spans="1:6">
      <c r="A3780" s="753"/>
      <c r="B3780" s="753"/>
      <c r="C3780" s="752" t="s">
        <v>46493</v>
      </c>
      <c r="D3780" s="753" t="s">
        <v>46472</v>
      </c>
      <c r="E3780" s="752" t="s">
        <v>40675</v>
      </c>
      <c r="F3780" s="751">
        <v>3525</v>
      </c>
    </row>
    <row r="3781" spans="1:6">
      <c r="A3781" s="753"/>
      <c r="B3781" s="753"/>
      <c r="C3781" s="752" t="s">
        <v>46492</v>
      </c>
      <c r="D3781" s="753" t="s">
        <v>46472</v>
      </c>
      <c r="E3781" s="752" t="s">
        <v>46486</v>
      </c>
      <c r="F3781" s="751">
        <v>4285</v>
      </c>
    </row>
    <row r="3782" spans="1:6">
      <c r="A3782" s="753"/>
      <c r="B3782" s="753"/>
      <c r="C3782" s="752" t="s">
        <v>46491</v>
      </c>
      <c r="D3782" s="753" t="s">
        <v>46472</v>
      </c>
      <c r="E3782" s="752" t="s">
        <v>40675</v>
      </c>
      <c r="F3782" s="751">
        <v>3525</v>
      </c>
    </row>
    <row r="3783" spans="1:6">
      <c r="A3783" s="753"/>
      <c r="B3783" s="753"/>
      <c r="C3783" s="752" t="s">
        <v>46490</v>
      </c>
      <c r="D3783" s="753" t="s">
        <v>46489</v>
      </c>
      <c r="E3783" s="752" t="s">
        <v>40704</v>
      </c>
      <c r="F3783" s="751">
        <v>4285</v>
      </c>
    </row>
    <row r="3784" spans="1:6">
      <c r="A3784" s="753"/>
      <c r="B3784" s="753"/>
      <c r="C3784" s="752" t="s">
        <v>46488</v>
      </c>
      <c r="D3784" s="753" t="s">
        <v>46484</v>
      </c>
      <c r="E3784" s="752" t="s">
        <v>40675</v>
      </c>
      <c r="F3784" s="751">
        <v>3525</v>
      </c>
    </row>
    <row r="3785" spans="1:6">
      <c r="A3785" s="753"/>
      <c r="B3785" s="753"/>
      <c r="C3785" s="752" t="s">
        <v>46487</v>
      </c>
      <c r="D3785" s="753" t="s">
        <v>46484</v>
      </c>
      <c r="E3785" s="752" t="s">
        <v>46486</v>
      </c>
      <c r="F3785" s="751">
        <v>4285</v>
      </c>
    </row>
    <row r="3786" spans="1:6">
      <c r="A3786" s="753"/>
      <c r="B3786" s="753"/>
      <c r="C3786" s="752" t="s">
        <v>46485</v>
      </c>
      <c r="D3786" s="753" t="s">
        <v>46484</v>
      </c>
      <c r="E3786" s="752" t="s">
        <v>46483</v>
      </c>
      <c r="F3786" s="751">
        <v>4285</v>
      </c>
    </row>
    <row r="3787" spans="1:6">
      <c r="A3787" s="753"/>
      <c r="B3787" s="753"/>
      <c r="C3787" s="752" t="s">
        <v>46482</v>
      </c>
      <c r="D3787" s="753" t="s">
        <v>46481</v>
      </c>
      <c r="E3787" s="752" t="s">
        <v>40728</v>
      </c>
      <c r="F3787" s="751">
        <v>3525</v>
      </c>
    </row>
    <row r="3788" spans="1:6">
      <c r="A3788" s="753"/>
      <c r="B3788" s="753"/>
      <c r="C3788" s="752" t="s">
        <v>46480</v>
      </c>
      <c r="D3788" s="753" t="s">
        <v>46477</v>
      </c>
      <c r="E3788" s="752" t="s">
        <v>46479</v>
      </c>
      <c r="F3788" s="751">
        <v>5375</v>
      </c>
    </row>
    <row r="3789" spans="1:6">
      <c r="A3789" s="753"/>
      <c r="B3789" s="753"/>
      <c r="C3789" s="752" t="s">
        <v>46478</v>
      </c>
      <c r="D3789" s="753" t="s">
        <v>46477</v>
      </c>
      <c r="E3789" s="752" t="s">
        <v>40672</v>
      </c>
      <c r="F3789" s="751">
        <v>2775</v>
      </c>
    </row>
    <row r="3790" spans="1:6">
      <c r="A3790" s="753"/>
      <c r="B3790" s="753"/>
      <c r="C3790" s="752" t="s">
        <v>46476</v>
      </c>
      <c r="D3790" s="753" t="s">
        <v>46466</v>
      </c>
      <c r="E3790" s="752" t="s">
        <v>46475</v>
      </c>
      <c r="F3790" s="751">
        <v>4935</v>
      </c>
    </row>
    <row r="3791" spans="1:6">
      <c r="A3791" s="753"/>
      <c r="B3791" s="753"/>
      <c r="C3791" s="752" t="s">
        <v>46474</v>
      </c>
      <c r="D3791" s="753" t="s">
        <v>46472</v>
      </c>
      <c r="E3791" s="752" t="s">
        <v>46468</v>
      </c>
      <c r="F3791" s="751">
        <v>4285</v>
      </c>
    </row>
    <row r="3792" spans="1:6">
      <c r="A3792" s="753"/>
      <c r="B3792" s="753"/>
      <c r="C3792" s="752" t="s">
        <v>46473</v>
      </c>
      <c r="D3792" s="753" t="s">
        <v>46472</v>
      </c>
      <c r="E3792" s="752" t="s">
        <v>46471</v>
      </c>
      <c r="F3792" s="751">
        <v>4035</v>
      </c>
    </row>
    <row r="3793" spans="1:6">
      <c r="A3793" s="753"/>
      <c r="B3793" s="753"/>
      <c r="C3793" s="752" t="s">
        <v>46470</v>
      </c>
      <c r="D3793" s="753" t="s">
        <v>46469</v>
      </c>
      <c r="E3793" s="752" t="s">
        <v>46468</v>
      </c>
      <c r="F3793" s="751">
        <v>4935</v>
      </c>
    </row>
    <row r="3794" spans="1:6">
      <c r="A3794" s="753"/>
      <c r="B3794" s="753"/>
      <c r="C3794" s="752" t="s">
        <v>46467</v>
      </c>
      <c r="D3794" s="753" t="s">
        <v>46466</v>
      </c>
      <c r="E3794" s="752" t="s">
        <v>46465</v>
      </c>
      <c r="F3794" s="751">
        <v>4185</v>
      </c>
    </row>
    <row r="3795" spans="1:6">
      <c r="A3795" s="753"/>
      <c r="B3795" s="753" t="s">
        <v>46464</v>
      </c>
      <c r="C3795" s="752" t="s">
        <v>46463</v>
      </c>
      <c r="D3795" s="753" t="s">
        <v>46241</v>
      </c>
      <c r="E3795" s="752" t="s">
        <v>46462</v>
      </c>
      <c r="F3795" s="751">
        <v>4125</v>
      </c>
    </row>
    <row r="3796" spans="1:6">
      <c r="A3796" s="753"/>
      <c r="B3796" s="753"/>
      <c r="C3796" s="752" t="s">
        <v>46461</v>
      </c>
      <c r="D3796" s="753" t="s">
        <v>46241</v>
      </c>
      <c r="E3796" s="752" t="s">
        <v>46460</v>
      </c>
      <c r="F3796" s="751">
        <v>6015</v>
      </c>
    </row>
    <row r="3797" spans="1:6">
      <c r="A3797" s="753"/>
      <c r="B3797" s="753"/>
      <c r="C3797" s="752" t="s">
        <v>46459</v>
      </c>
      <c r="D3797" s="753" t="s">
        <v>46416</v>
      </c>
      <c r="E3797" s="752" t="s">
        <v>46458</v>
      </c>
      <c r="F3797" s="751">
        <v>3965</v>
      </c>
    </row>
    <row r="3798" spans="1:6">
      <c r="A3798" s="753"/>
      <c r="B3798" s="753"/>
      <c r="C3798" s="752" t="s">
        <v>46457</v>
      </c>
      <c r="D3798" s="753" t="s">
        <v>46320</v>
      </c>
      <c r="E3798" s="752" t="s">
        <v>45630</v>
      </c>
      <c r="F3798" s="751">
        <v>4825</v>
      </c>
    </row>
    <row r="3799" spans="1:6">
      <c r="A3799" s="753"/>
      <c r="B3799" s="753"/>
      <c r="C3799" s="752" t="s">
        <v>46456</v>
      </c>
      <c r="D3799" s="753" t="s">
        <v>46416</v>
      </c>
      <c r="E3799" s="752" t="s">
        <v>46440</v>
      </c>
      <c r="F3799" s="751">
        <v>3965</v>
      </c>
    </row>
    <row r="3800" spans="1:6">
      <c r="A3800" s="753"/>
      <c r="B3800" s="753"/>
      <c r="C3800" s="752" t="s">
        <v>46455</v>
      </c>
      <c r="D3800" s="753" t="s">
        <v>46416</v>
      </c>
      <c r="E3800" s="752" t="s">
        <v>46436</v>
      </c>
      <c r="F3800" s="751">
        <v>4725</v>
      </c>
    </row>
    <row r="3801" spans="1:6">
      <c r="A3801" s="753"/>
      <c r="B3801" s="753"/>
      <c r="C3801" s="752" t="s">
        <v>46454</v>
      </c>
      <c r="D3801" s="753" t="s">
        <v>46416</v>
      </c>
      <c r="E3801" s="752" t="s">
        <v>46453</v>
      </c>
      <c r="F3801" s="751">
        <v>3965</v>
      </c>
    </row>
    <row r="3802" spans="1:6">
      <c r="A3802" s="753"/>
      <c r="B3802" s="753"/>
      <c r="C3802" s="752" t="s">
        <v>46452</v>
      </c>
      <c r="D3802" s="753" t="s">
        <v>46416</v>
      </c>
      <c r="E3802" s="752" t="s">
        <v>46432</v>
      </c>
      <c r="F3802" s="751">
        <v>4725</v>
      </c>
    </row>
    <row r="3803" spans="1:6">
      <c r="A3803" s="753"/>
      <c r="B3803" s="753"/>
      <c r="C3803" s="752" t="s">
        <v>46451</v>
      </c>
      <c r="D3803" s="753" t="s">
        <v>46416</v>
      </c>
      <c r="E3803" s="752" t="s">
        <v>46450</v>
      </c>
      <c r="F3803" s="751">
        <v>3965</v>
      </c>
    </row>
    <row r="3804" spans="1:6">
      <c r="A3804" s="753"/>
      <c r="B3804" s="753"/>
      <c r="C3804" s="752" t="s">
        <v>46449</v>
      </c>
      <c r="D3804" s="753" t="s">
        <v>46416</v>
      </c>
      <c r="E3804" s="752" t="s">
        <v>46424</v>
      </c>
      <c r="F3804" s="751">
        <v>4725</v>
      </c>
    </row>
    <row r="3805" spans="1:6">
      <c r="A3805" s="753"/>
      <c r="B3805" s="753"/>
      <c r="C3805" s="752" t="s">
        <v>46448</v>
      </c>
      <c r="D3805" s="753" t="s">
        <v>46416</v>
      </c>
      <c r="E3805" s="752" t="s">
        <v>46422</v>
      </c>
      <c r="F3805" s="751">
        <v>3965</v>
      </c>
    </row>
    <row r="3806" spans="1:6">
      <c r="A3806" s="753"/>
      <c r="B3806" s="753"/>
      <c r="C3806" s="752" t="s">
        <v>46447</v>
      </c>
      <c r="D3806" s="753" t="s">
        <v>46416</v>
      </c>
      <c r="E3806" s="752" t="s">
        <v>46420</v>
      </c>
      <c r="F3806" s="751">
        <v>4725</v>
      </c>
    </row>
    <row r="3807" spans="1:6">
      <c r="A3807" s="753"/>
      <c r="B3807" s="753"/>
      <c r="C3807" s="752" t="s">
        <v>46446</v>
      </c>
      <c r="D3807" s="753" t="s">
        <v>46416</v>
      </c>
      <c r="E3807" s="752" t="s">
        <v>38581</v>
      </c>
      <c r="F3807" s="751">
        <v>3715</v>
      </c>
    </row>
    <row r="3808" spans="1:6">
      <c r="A3808" s="753"/>
      <c r="B3808" s="753"/>
      <c r="C3808" s="752" t="s">
        <v>46445</v>
      </c>
      <c r="D3808" s="753" t="s">
        <v>46443</v>
      </c>
      <c r="E3808" s="752" t="s">
        <v>45630</v>
      </c>
      <c r="F3808" s="751">
        <v>4825</v>
      </c>
    </row>
    <row r="3809" spans="1:6">
      <c r="A3809" s="753"/>
      <c r="B3809" s="753"/>
      <c r="C3809" s="752" t="s">
        <v>46444</v>
      </c>
      <c r="D3809" s="753" t="s">
        <v>46443</v>
      </c>
      <c r="E3809" s="752" t="s">
        <v>46442</v>
      </c>
      <c r="F3809" s="751">
        <v>4015</v>
      </c>
    </row>
    <row r="3810" spans="1:6">
      <c r="A3810" s="753"/>
      <c r="B3810" s="753"/>
      <c r="C3810" s="752" t="s">
        <v>46441</v>
      </c>
      <c r="D3810" s="753" t="s">
        <v>46416</v>
      </c>
      <c r="E3810" s="752" t="s">
        <v>46440</v>
      </c>
      <c r="F3810" s="751">
        <v>3965</v>
      </c>
    </row>
    <row r="3811" spans="1:6">
      <c r="A3811" s="753"/>
      <c r="B3811" s="753"/>
      <c r="C3811" s="752" t="s">
        <v>46439</v>
      </c>
      <c r="D3811" s="753" t="s">
        <v>46416</v>
      </c>
      <c r="E3811" s="752" t="s">
        <v>46438</v>
      </c>
      <c r="F3811" s="751">
        <v>5165</v>
      </c>
    </row>
    <row r="3812" spans="1:6">
      <c r="A3812" s="753"/>
      <c r="B3812" s="753"/>
      <c r="C3812" s="752" t="s">
        <v>46437</v>
      </c>
      <c r="D3812" s="753" t="s">
        <v>46416</v>
      </c>
      <c r="E3812" s="752" t="s">
        <v>46436</v>
      </c>
      <c r="F3812" s="751">
        <v>4725</v>
      </c>
    </row>
    <row r="3813" spans="1:6">
      <c r="A3813" s="753"/>
      <c r="B3813" s="753"/>
      <c r="C3813" s="752" t="s">
        <v>46435</v>
      </c>
      <c r="D3813" s="753" t="s">
        <v>46416</v>
      </c>
      <c r="E3813" s="752" t="s">
        <v>46434</v>
      </c>
      <c r="F3813" s="751">
        <v>3965</v>
      </c>
    </row>
    <row r="3814" spans="1:6">
      <c r="A3814" s="753"/>
      <c r="B3814" s="753"/>
      <c r="C3814" s="752" t="s">
        <v>46433</v>
      </c>
      <c r="D3814" s="753" t="s">
        <v>46416</v>
      </c>
      <c r="E3814" s="752" t="s">
        <v>46432</v>
      </c>
      <c r="F3814" s="751">
        <v>4725</v>
      </c>
    </row>
    <row r="3815" spans="1:6">
      <c r="A3815" s="753"/>
      <c r="B3815" s="753"/>
      <c r="C3815" s="752" t="s">
        <v>46431</v>
      </c>
      <c r="D3815" s="753" t="s">
        <v>46416</v>
      </c>
      <c r="E3815" s="752" t="s">
        <v>46430</v>
      </c>
      <c r="F3815" s="751">
        <v>3965</v>
      </c>
    </row>
    <row r="3816" spans="1:6">
      <c r="A3816" s="753"/>
      <c r="B3816" s="753"/>
      <c r="C3816" s="752" t="s">
        <v>46429</v>
      </c>
      <c r="D3816" s="753" t="s">
        <v>46416</v>
      </c>
      <c r="E3816" s="752" t="s">
        <v>46428</v>
      </c>
      <c r="F3816" s="751">
        <v>3715</v>
      </c>
    </row>
    <row r="3817" spans="1:6">
      <c r="A3817" s="753"/>
      <c r="B3817" s="753"/>
      <c r="C3817" s="752" t="s">
        <v>46427</v>
      </c>
      <c r="D3817" s="753" t="s">
        <v>46416</v>
      </c>
      <c r="E3817" s="752" t="s">
        <v>46426</v>
      </c>
      <c r="F3817" s="751">
        <v>5165</v>
      </c>
    </row>
    <row r="3818" spans="1:6">
      <c r="A3818" s="753"/>
      <c r="B3818" s="753"/>
      <c r="C3818" s="752" t="s">
        <v>46425</v>
      </c>
      <c r="D3818" s="753" t="s">
        <v>46416</v>
      </c>
      <c r="E3818" s="752" t="s">
        <v>46424</v>
      </c>
      <c r="F3818" s="751">
        <v>4725</v>
      </c>
    </row>
    <row r="3819" spans="1:6">
      <c r="A3819" s="753"/>
      <c r="B3819" s="753"/>
      <c r="C3819" s="752" t="s">
        <v>46423</v>
      </c>
      <c r="D3819" s="753" t="s">
        <v>46416</v>
      </c>
      <c r="E3819" s="752" t="s">
        <v>46422</v>
      </c>
      <c r="F3819" s="751">
        <v>3965</v>
      </c>
    </row>
    <row r="3820" spans="1:6">
      <c r="A3820" s="753"/>
      <c r="B3820" s="753"/>
      <c r="C3820" s="752" t="s">
        <v>46421</v>
      </c>
      <c r="D3820" s="753" t="s">
        <v>46416</v>
      </c>
      <c r="E3820" s="752" t="s">
        <v>46420</v>
      </c>
      <c r="F3820" s="751">
        <v>4725</v>
      </c>
    </row>
    <row r="3821" spans="1:6">
      <c r="A3821" s="753"/>
      <c r="B3821" s="753"/>
      <c r="C3821" s="752" t="s">
        <v>46419</v>
      </c>
      <c r="D3821" s="753" t="s">
        <v>46416</v>
      </c>
      <c r="E3821" s="752" t="s">
        <v>46418</v>
      </c>
      <c r="F3821" s="751">
        <v>5385</v>
      </c>
    </row>
    <row r="3822" spans="1:6">
      <c r="A3822" s="753"/>
      <c r="B3822" s="753"/>
      <c r="C3822" s="752" t="s">
        <v>46417</v>
      </c>
      <c r="D3822" s="753" t="s">
        <v>46416</v>
      </c>
      <c r="E3822" s="752" t="s">
        <v>46415</v>
      </c>
      <c r="F3822" s="751">
        <v>5400</v>
      </c>
    </row>
    <row r="3823" spans="1:6">
      <c r="A3823" s="753"/>
      <c r="B3823" s="753"/>
      <c r="C3823" s="752" t="s">
        <v>46414</v>
      </c>
      <c r="D3823" s="753" t="s">
        <v>46241</v>
      </c>
      <c r="E3823" s="752" t="s">
        <v>46413</v>
      </c>
      <c r="F3823" s="751">
        <v>6705</v>
      </c>
    </row>
    <row r="3824" spans="1:6">
      <c r="A3824" s="753"/>
      <c r="B3824" s="753"/>
      <c r="C3824" s="752" t="s">
        <v>46412</v>
      </c>
      <c r="D3824" s="753" t="s">
        <v>46320</v>
      </c>
      <c r="E3824" s="752" t="s">
        <v>293</v>
      </c>
      <c r="F3824" s="751">
        <v>4615</v>
      </c>
    </row>
    <row r="3825" spans="1:6">
      <c r="A3825" s="753"/>
      <c r="B3825" s="753"/>
      <c r="C3825" s="752" t="s">
        <v>46411</v>
      </c>
      <c r="D3825" s="753" t="s">
        <v>46290</v>
      </c>
      <c r="E3825" s="752" t="s">
        <v>293</v>
      </c>
      <c r="F3825" s="751">
        <v>4515</v>
      </c>
    </row>
    <row r="3826" spans="1:6">
      <c r="A3826" s="753"/>
      <c r="B3826" s="753"/>
      <c r="C3826" s="752" t="s">
        <v>46410</v>
      </c>
      <c r="D3826" s="753" t="s">
        <v>46290</v>
      </c>
      <c r="E3826" s="752" t="s">
        <v>38670</v>
      </c>
      <c r="F3826" s="751">
        <v>5275</v>
      </c>
    </row>
    <row r="3827" spans="1:6">
      <c r="A3827" s="753"/>
      <c r="B3827" s="753"/>
      <c r="C3827" s="752" t="s">
        <v>46409</v>
      </c>
      <c r="D3827" s="753" t="s">
        <v>46290</v>
      </c>
      <c r="E3827" s="752" t="s">
        <v>39996</v>
      </c>
      <c r="F3827" s="751">
        <v>4515</v>
      </c>
    </row>
    <row r="3828" spans="1:6">
      <c r="A3828" s="753"/>
      <c r="B3828" s="753"/>
      <c r="C3828" s="752" t="s">
        <v>46408</v>
      </c>
      <c r="D3828" s="753" t="s">
        <v>46281</v>
      </c>
      <c r="E3828" s="752" t="s">
        <v>293</v>
      </c>
      <c r="F3828" s="751">
        <v>3875</v>
      </c>
    </row>
    <row r="3829" spans="1:6">
      <c r="A3829" s="753"/>
      <c r="B3829" s="753"/>
      <c r="C3829" s="752" t="s">
        <v>46407</v>
      </c>
      <c r="D3829" s="753" t="s">
        <v>46320</v>
      </c>
      <c r="E3829" s="752" t="s">
        <v>293</v>
      </c>
      <c r="F3829" s="751">
        <v>4615</v>
      </c>
    </row>
    <row r="3830" spans="1:6">
      <c r="A3830" s="753"/>
      <c r="B3830" s="753"/>
      <c r="C3830" s="752" t="s">
        <v>46406</v>
      </c>
      <c r="D3830" s="753" t="s">
        <v>46320</v>
      </c>
      <c r="E3830" s="752" t="s">
        <v>39011</v>
      </c>
      <c r="F3830" s="751">
        <v>5375</v>
      </c>
    </row>
    <row r="3831" spans="1:6">
      <c r="A3831" s="753"/>
      <c r="B3831" s="753"/>
      <c r="C3831" s="752" t="s">
        <v>46405</v>
      </c>
      <c r="D3831" s="753" t="s">
        <v>46290</v>
      </c>
      <c r="E3831" s="752" t="s">
        <v>293</v>
      </c>
      <c r="F3831" s="751">
        <v>4515</v>
      </c>
    </row>
    <row r="3832" spans="1:6">
      <c r="A3832" s="753"/>
      <c r="B3832" s="753"/>
      <c r="C3832" s="752" t="s">
        <v>46404</v>
      </c>
      <c r="D3832" s="753" t="s">
        <v>46290</v>
      </c>
      <c r="E3832" s="752" t="s">
        <v>41652</v>
      </c>
      <c r="F3832" s="751">
        <v>4265</v>
      </c>
    </row>
    <row r="3833" spans="1:6">
      <c r="A3833" s="753"/>
      <c r="B3833" s="753"/>
      <c r="C3833" s="752" t="s">
        <v>46403</v>
      </c>
      <c r="D3833" s="753" t="s">
        <v>46290</v>
      </c>
      <c r="E3833" s="752" t="s">
        <v>39028</v>
      </c>
      <c r="F3833" s="751">
        <v>5275</v>
      </c>
    </row>
    <row r="3834" spans="1:6">
      <c r="A3834" s="753"/>
      <c r="B3834" s="753"/>
      <c r="C3834" s="752" t="s">
        <v>46402</v>
      </c>
      <c r="D3834" s="753" t="s">
        <v>46281</v>
      </c>
      <c r="E3834" s="752" t="s">
        <v>293</v>
      </c>
      <c r="F3834" s="751">
        <v>3875</v>
      </c>
    </row>
    <row r="3835" spans="1:6">
      <c r="A3835" s="753"/>
      <c r="B3835" s="753"/>
      <c r="C3835" s="752" t="s">
        <v>46401</v>
      </c>
      <c r="D3835" s="753" t="s">
        <v>46281</v>
      </c>
      <c r="E3835" s="752" t="s">
        <v>39996</v>
      </c>
      <c r="F3835" s="751">
        <v>3625</v>
      </c>
    </row>
    <row r="3836" spans="1:6">
      <c r="A3836" s="753"/>
      <c r="B3836" s="753"/>
      <c r="C3836" s="752" t="s">
        <v>46400</v>
      </c>
      <c r="D3836" s="753" t="s">
        <v>46281</v>
      </c>
      <c r="E3836" s="752" t="s">
        <v>38577</v>
      </c>
      <c r="F3836" s="751">
        <v>4635</v>
      </c>
    </row>
    <row r="3837" spans="1:6">
      <c r="A3837" s="753"/>
      <c r="B3837" s="753"/>
      <c r="C3837" s="752" t="s">
        <v>46399</v>
      </c>
      <c r="D3837" s="753" t="s">
        <v>46320</v>
      </c>
      <c r="E3837" s="752" t="s">
        <v>293</v>
      </c>
      <c r="F3837" s="751">
        <v>4615</v>
      </c>
    </row>
    <row r="3838" spans="1:6">
      <c r="A3838" s="753"/>
      <c r="B3838" s="753"/>
      <c r="C3838" s="752" t="s">
        <v>46398</v>
      </c>
      <c r="D3838" s="753" t="s">
        <v>46320</v>
      </c>
      <c r="E3838" s="752" t="s">
        <v>38670</v>
      </c>
      <c r="F3838" s="751">
        <v>5375</v>
      </c>
    </row>
    <row r="3839" spans="1:6">
      <c r="A3839" s="753"/>
      <c r="B3839" s="753"/>
      <c r="C3839" s="752" t="s">
        <v>46397</v>
      </c>
      <c r="D3839" s="753" t="s">
        <v>46320</v>
      </c>
      <c r="E3839" s="752" t="s">
        <v>45659</v>
      </c>
      <c r="F3839" s="751">
        <v>5375</v>
      </c>
    </row>
    <row r="3840" spans="1:6">
      <c r="A3840" s="753"/>
      <c r="B3840" s="753"/>
      <c r="C3840" s="752" t="s">
        <v>46396</v>
      </c>
      <c r="D3840" s="753" t="s">
        <v>46320</v>
      </c>
      <c r="E3840" s="752" t="s">
        <v>45622</v>
      </c>
      <c r="F3840" s="751">
        <v>4615</v>
      </c>
    </row>
    <row r="3841" spans="1:6">
      <c r="A3841" s="753"/>
      <c r="B3841" s="753"/>
      <c r="C3841" s="752" t="s">
        <v>46395</v>
      </c>
      <c r="D3841" s="753" t="s">
        <v>46320</v>
      </c>
      <c r="E3841" s="752" t="s">
        <v>46394</v>
      </c>
      <c r="F3841" s="751">
        <v>5375</v>
      </c>
    </row>
    <row r="3842" spans="1:6">
      <c r="A3842" s="753"/>
      <c r="B3842" s="753"/>
      <c r="C3842" s="752" t="s">
        <v>46393</v>
      </c>
      <c r="D3842" s="753" t="s">
        <v>46320</v>
      </c>
      <c r="E3842" s="752" t="s">
        <v>45630</v>
      </c>
      <c r="F3842" s="751">
        <v>5375</v>
      </c>
    </row>
    <row r="3843" spans="1:6">
      <c r="A3843" s="753"/>
      <c r="B3843" s="753"/>
      <c r="C3843" s="752" t="s">
        <v>46392</v>
      </c>
      <c r="D3843" s="753" t="s">
        <v>46320</v>
      </c>
      <c r="E3843" s="752" t="s">
        <v>46391</v>
      </c>
      <c r="F3843" s="751">
        <v>5125</v>
      </c>
    </row>
    <row r="3844" spans="1:6">
      <c r="A3844" s="753"/>
      <c r="B3844" s="753"/>
      <c r="C3844" s="752" t="s">
        <v>46390</v>
      </c>
      <c r="D3844" s="753" t="s">
        <v>46320</v>
      </c>
      <c r="E3844" s="752" t="s">
        <v>45622</v>
      </c>
      <c r="F3844" s="751">
        <v>4615</v>
      </c>
    </row>
    <row r="3845" spans="1:6">
      <c r="A3845" s="753"/>
      <c r="B3845" s="753"/>
      <c r="C3845" s="752" t="s">
        <v>46389</v>
      </c>
      <c r="D3845" s="753" t="s">
        <v>46320</v>
      </c>
      <c r="E3845" s="752" t="s">
        <v>46280</v>
      </c>
      <c r="F3845" s="751">
        <v>5375</v>
      </c>
    </row>
    <row r="3846" spans="1:6">
      <c r="A3846" s="753"/>
      <c r="B3846" s="753"/>
      <c r="C3846" s="752" t="s">
        <v>46388</v>
      </c>
      <c r="D3846" s="753" t="s">
        <v>46320</v>
      </c>
      <c r="E3846" s="752" t="s">
        <v>45949</v>
      </c>
      <c r="F3846" s="751">
        <v>5375</v>
      </c>
    </row>
    <row r="3847" spans="1:6">
      <c r="A3847" s="753"/>
      <c r="B3847" s="753"/>
      <c r="C3847" s="752" t="s">
        <v>46387</v>
      </c>
      <c r="D3847" s="753" t="s">
        <v>46320</v>
      </c>
      <c r="E3847" s="752" t="s">
        <v>46386</v>
      </c>
      <c r="F3847" s="751">
        <v>4365</v>
      </c>
    </row>
    <row r="3848" spans="1:6">
      <c r="A3848" s="753"/>
      <c r="B3848" s="753"/>
      <c r="C3848" s="752" t="s">
        <v>46385</v>
      </c>
      <c r="D3848" s="753" t="s">
        <v>46320</v>
      </c>
      <c r="E3848" s="752" t="s">
        <v>39011</v>
      </c>
      <c r="F3848" s="751">
        <v>5375</v>
      </c>
    </row>
    <row r="3849" spans="1:6">
      <c r="A3849" s="753"/>
      <c r="B3849" s="753"/>
      <c r="C3849" s="752" t="s">
        <v>46384</v>
      </c>
      <c r="D3849" s="753" t="s">
        <v>46320</v>
      </c>
      <c r="E3849" s="752" t="s">
        <v>46383</v>
      </c>
      <c r="F3849" s="751">
        <v>5375</v>
      </c>
    </row>
    <row r="3850" spans="1:6">
      <c r="A3850" s="753"/>
      <c r="B3850" s="753"/>
      <c r="C3850" s="752" t="s">
        <v>46382</v>
      </c>
      <c r="D3850" s="753" t="s">
        <v>46320</v>
      </c>
      <c r="E3850" s="752" t="s">
        <v>46381</v>
      </c>
      <c r="F3850" s="751">
        <v>4615</v>
      </c>
    </row>
    <row r="3851" spans="1:6">
      <c r="A3851" s="753"/>
      <c r="B3851" s="753"/>
      <c r="C3851" s="752" t="s">
        <v>46380</v>
      </c>
      <c r="D3851" s="753" t="s">
        <v>46320</v>
      </c>
      <c r="E3851" s="752" t="s">
        <v>39011</v>
      </c>
      <c r="F3851" s="751">
        <v>5375</v>
      </c>
    </row>
    <row r="3852" spans="1:6">
      <c r="A3852" s="753"/>
      <c r="B3852" s="753"/>
      <c r="C3852" s="752" t="s">
        <v>46379</v>
      </c>
      <c r="D3852" s="753" t="s">
        <v>46320</v>
      </c>
      <c r="E3852" s="752" t="s">
        <v>40234</v>
      </c>
      <c r="F3852" s="751">
        <v>4365</v>
      </c>
    </row>
    <row r="3853" spans="1:6">
      <c r="A3853" s="753"/>
      <c r="B3853" s="753"/>
      <c r="C3853" s="752" t="s">
        <v>46378</v>
      </c>
      <c r="D3853" s="753" t="s">
        <v>46290</v>
      </c>
      <c r="E3853" s="752" t="s">
        <v>293</v>
      </c>
      <c r="F3853" s="751">
        <v>4515</v>
      </c>
    </row>
    <row r="3854" spans="1:6">
      <c r="A3854" s="753"/>
      <c r="B3854" s="753"/>
      <c r="C3854" s="752" t="s">
        <v>46377</v>
      </c>
      <c r="D3854" s="753" t="s">
        <v>46290</v>
      </c>
      <c r="E3854" s="752" t="s">
        <v>46376</v>
      </c>
      <c r="F3854" s="751">
        <v>6035</v>
      </c>
    </row>
    <row r="3855" spans="1:6">
      <c r="A3855" s="753"/>
      <c r="B3855" s="753"/>
      <c r="C3855" s="752" t="s">
        <v>46375</v>
      </c>
      <c r="D3855" s="753" t="s">
        <v>46290</v>
      </c>
      <c r="E3855" s="752" t="s">
        <v>45659</v>
      </c>
      <c r="F3855" s="751">
        <v>5275</v>
      </c>
    </row>
    <row r="3856" spans="1:6">
      <c r="A3856" s="753"/>
      <c r="B3856" s="753"/>
      <c r="C3856" s="752" t="s">
        <v>46374</v>
      </c>
      <c r="D3856" s="753" t="s">
        <v>46290</v>
      </c>
      <c r="E3856" s="752" t="s">
        <v>39996</v>
      </c>
      <c r="F3856" s="751">
        <v>4515</v>
      </c>
    </row>
    <row r="3857" spans="1:6">
      <c r="A3857" s="753"/>
      <c r="B3857" s="753"/>
      <c r="C3857" s="752" t="s">
        <v>46373</v>
      </c>
      <c r="D3857" s="753" t="s">
        <v>46290</v>
      </c>
      <c r="E3857" s="752" t="s">
        <v>46312</v>
      </c>
      <c r="F3857" s="751">
        <v>5275</v>
      </c>
    </row>
    <row r="3858" spans="1:6">
      <c r="A3858" s="753"/>
      <c r="B3858" s="753"/>
      <c r="C3858" s="752" t="s">
        <v>46372</v>
      </c>
      <c r="D3858" s="753" t="s">
        <v>46290</v>
      </c>
      <c r="E3858" s="752" t="s">
        <v>45622</v>
      </c>
      <c r="F3858" s="751">
        <v>4515</v>
      </c>
    </row>
    <row r="3859" spans="1:6">
      <c r="A3859" s="753"/>
      <c r="B3859" s="753"/>
      <c r="C3859" s="752" t="s">
        <v>46371</v>
      </c>
      <c r="D3859" s="753" t="s">
        <v>46370</v>
      </c>
      <c r="E3859" s="752" t="s">
        <v>45622</v>
      </c>
      <c r="F3859" s="751">
        <v>4725</v>
      </c>
    </row>
    <row r="3860" spans="1:6">
      <c r="A3860" s="753"/>
      <c r="B3860" s="753"/>
      <c r="C3860" s="752" t="s">
        <v>46369</v>
      </c>
      <c r="D3860" s="753" t="s">
        <v>46290</v>
      </c>
      <c r="E3860" s="752" t="s">
        <v>46306</v>
      </c>
      <c r="F3860" s="751">
        <v>6035</v>
      </c>
    </row>
    <row r="3861" spans="1:6">
      <c r="A3861" s="753"/>
      <c r="B3861" s="753"/>
      <c r="C3861" s="752" t="s">
        <v>46368</v>
      </c>
      <c r="D3861" s="753" t="s">
        <v>46290</v>
      </c>
      <c r="E3861" s="752" t="s">
        <v>45630</v>
      </c>
      <c r="F3861" s="751">
        <v>5275</v>
      </c>
    </row>
    <row r="3862" spans="1:6">
      <c r="A3862" s="753"/>
      <c r="B3862" s="753"/>
      <c r="C3862" s="752" t="s">
        <v>46367</v>
      </c>
      <c r="D3862" s="753" t="s">
        <v>46290</v>
      </c>
      <c r="E3862" s="752" t="s">
        <v>46366</v>
      </c>
      <c r="F3862" s="751">
        <v>4265</v>
      </c>
    </row>
    <row r="3863" spans="1:6">
      <c r="A3863" s="753"/>
      <c r="B3863" s="753"/>
      <c r="C3863" s="752" t="s">
        <v>46365</v>
      </c>
      <c r="D3863" s="753" t="s">
        <v>46290</v>
      </c>
      <c r="E3863" s="752" t="s">
        <v>45622</v>
      </c>
      <c r="F3863" s="751">
        <v>4515</v>
      </c>
    </row>
    <row r="3864" spans="1:6">
      <c r="A3864" s="753"/>
      <c r="B3864" s="753"/>
      <c r="C3864" s="752" t="s">
        <v>46364</v>
      </c>
      <c r="D3864" s="753" t="s">
        <v>46290</v>
      </c>
      <c r="E3864" s="752" t="s">
        <v>46297</v>
      </c>
      <c r="F3864" s="751">
        <v>6035</v>
      </c>
    </row>
    <row r="3865" spans="1:6">
      <c r="A3865" s="753"/>
      <c r="B3865" s="753"/>
      <c r="C3865" s="752" t="s">
        <v>46363</v>
      </c>
      <c r="D3865" s="753" t="s">
        <v>46290</v>
      </c>
      <c r="E3865" s="752" t="s">
        <v>46293</v>
      </c>
      <c r="F3865" s="751">
        <v>5275</v>
      </c>
    </row>
    <row r="3866" spans="1:6">
      <c r="A3866" s="753"/>
      <c r="B3866" s="753"/>
      <c r="C3866" s="752" t="s">
        <v>46362</v>
      </c>
      <c r="D3866" s="753" t="s">
        <v>46290</v>
      </c>
      <c r="E3866" s="752" t="s">
        <v>46361</v>
      </c>
      <c r="F3866" s="751">
        <v>5275</v>
      </c>
    </row>
    <row r="3867" spans="1:6">
      <c r="A3867" s="753"/>
      <c r="B3867" s="753"/>
      <c r="C3867" s="752" t="s">
        <v>46360</v>
      </c>
      <c r="D3867" s="753" t="s">
        <v>46290</v>
      </c>
      <c r="E3867" s="752" t="s">
        <v>46359</v>
      </c>
      <c r="F3867" s="751">
        <v>6035</v>
      </c>
    </row>
    <row r="3868" spans="1:6">
      <c r="A3868" s="753"/>
      <c r="B3868" s="753"/>
      <c r="C3868" s="752" t="s">
        <v>46358</v>
      </c>
      <c r="D3868" s="753" t="s">
        <v>46290</v>
      </c>
      <c r="E3868" s="752" t="s">
        <v>46357</v>
      </c>
      <c r="F3868" s="751">
        <v>4265</v>
      </c>
    </row>
    <row r="3869" spans="1:6">
      <c r="A3869" s="753"/>
      <c r="B3869" s="753"/>
      <c r="C3869" s="752" t="s">
        <v>46356</v>
      </c>
      <c r="D3869" s="753" t="s">
        <v>46290</v>
      </c>
      <c r="E3869" s="752" t="s">
        <v>46355</v>
      </c>
      <c r="F3869" s="751">
        <v>5275</v>
      </c>
    </row>
    <row r="3870" spans="1:6">
      <c r="A3870" s="753"/>
      <c r="B3870" s="753"/>
      <c r="C3870" s="752" t="s">
        <v>46354</v>
      </c>
      <c r="D3870" s="753" t="s">
        <v>46290</v>
      </c>
      <c r="E3870" s="752" t="s">
        <v>46289</v>
      </c>
      <c r="F3870" s="751">
        <v>6035</v>
      </c>
    </row>
    <row r="3871" spans="1:6">
      <c r="A3871" s="753"/>
      <c r="B3871" s="753"/>
      <c r="C3871" s="752" t="s">
        <v>46353</v>
      </c>
      <c r="D3871" s="753" t="s">
        <v>46290</v>
      </c>
      <c r="E3871" s="752" t="s">
        <v>46352</v>
      </c>
      <c r="F3871" s="751">
        <v>4515</v>
      </c>
    </row>
    <row r="3872" spans="1:6">
      <c r="A3872" s="753"/>
      <c r="B3872" s="753"/>
      <c r="C3872" s="752" t="s">
        <v>46351</v>
      </c>
      <c r="D3872" s="753" t="s">
        <v>46290</v>
      </c>
      <c r="E3872" s="752" t="s">
        <v>39028</v>
      </c>
      <c r="F3872" s="751">
        <v>5275</v>
      </c>
    </row>
    <row r="3873" spans="1:6">
      <c r="A3873" s="753"/>
      <c r="B3873" s="753"/>
      <c r="C3873" s="752" t="s">
        <v>46350</v>
      </c>
      <c r="D3873" s="753" t="s">
        <v>46290</v>
      </c>
      <c r="E3873" s="752" t="s">
        <v>46289</v>
      </c>
      <c r="F3873" s="751">
        <v>6035</v>
      </c>
    </row>
    <row r="3874" spans="1:6">
      <c r="A3874" s="753"/>
      <c r="B3874" s="753"/>
      <c r="C3874" s="752" t="s">
        <v>46349</v>
      </c>
      <c r="D3874" s="753" t="s">
        <v>46290</v>
      </c>
      <c r="E3874" s="752" t="s">
        <v>41676</v>
      </c>
      <c r="F3874" s="751">
        <v>4515</v>
      </c>
    </row>
    <row r="3875" spans="1:6">
      <c r="A3875" s="753"/>
      <c r="B3875" s="753"/>
      <c r="C3875" s="752" t="s">
        <v>46348</v>
      </c>
      <c r="D3875" s="753" t="s">
        <v>46290</v>
      </c>
      <c r="E3875" s="752" t="s">
        <v>40234</v>
      </c>
      <c r="F3875" s="751">
        <v>4265</v>
      </c>
    </row>
    <row r="3876" spans="1:6">
      <c r="A3876" s="753"/>
      <c r="B3876" s="753"/>
      <c r="C3876" s="752" t="s">
        <v>46347</v>
      </c>
      <c r="D3876" s="753" t="s">
        <v>46346</v>
      </c>
      <c r="E3876" s="752" t="s">
        <v>45622</v>
      </c>
      <c r="F3876" s="751">
        <v>4670</v>
      </c>
    </row>
    <row r="3877" spans="1:6">
      <c r="A3877" s="753"/>
      <c r="B3877" s="753"/>
      <c r="C3877" s="752" t="s">
        <v>46345</v>
      </c>
      <c r="D3877" s="753" t="s">
        <v>46281</v>
      </c>
      <c r="E3877" s="752" t="s">
        <v>293</v>
      </c>
      <c r="F3877" s="751">
        <v>3875</v>
      </c>
    </row>
    <row r="3878" spans="1:6">
      <c r="A3878" s="753"/>
      <c r="B3878" s="753"/>
      <c r="C3878" s="752" t="s">
        <v>46344</v>
      </c>
      <c r="D3878" s="753" t="s">
        <v>46281</v>
      </c>
      <c r="E3878" s="752" t="s">
        <v>45659</v>
      </c>
      <c r="F3878" s="751">
        <v>4635</v>
      </c>
    </row>
    <row r="3879" spans="1:6">
      <c r="A3879" s="753"/>
      <c r="B3879" s="753"/>
      <c r="C3879" s="752" t="s">
        <v>46343</v>
      </c>
      <c r="D3879" s="753" t="s">
        <v>46281</v>
      </c>
      <c r="E3879" s="752" t="s">
        <v>39996</v>
      </c>
      <c r="F3879" s="751">
        <v>3875</v>
      </c>
    </row>
    <row r="3880" spans="1:6">
      <c r="A3880" s="753"/>
      <c r="B3880" s="753"/>
      <c r="C3880" s="752" t="s">
        <v>46342</v>
      </c>
      <c r="D3880" s="753" t="s">
        <v>46281</v>
      </c>
      <c r="E3880" s="752" t="s">
        <v>45622</v>
      </c>
      <c r="F3880" s="751">
        <v>3875</v>
      </c>
    </row>
    <row r="3881" spans="1:6">
      <c r="A3881" s="753"/>
      <c r="B3881" s="753"/>
      <c r="C3881" s="752" t="s">
        <v>46341</v>
      </c>
      <c r="D3881" s="753" t="s">
        <v>46281</v>
      </c>
      <c r="E3881" s="752" t="s">
        <v>46340</v>
      </c>
      <c r="F3881" s="751">
        <v>4635</v>
      </c>
    </row>
    <row r="3882" spans="1:6">
      <c r="A3882" s="753"/>
      <c r="B3882" s="753"/>
      <c r="C3882" s="752" t="s">
        <v>46339</v>
      </c>
      <c r="D3882" s="753" t="s">
        <v>46281</v>
      </c>
      <c r="E3882" s="752" t="s">
        <v>45630</v>
      </c>
      <c r="F3882" s="751">
        <v>4635</v>
      </c>
    </row>
    <row r="3883" spans="1:6">
      <c r="A3883" s="753"/>
      <c r="B3883" s="753"/>
      <c r="C3883" s="752" t="s">
        <v>46338</v>
      </c>
      <c r="D3883" s="753" t="s">
        <v>46281</v>
      </c>
      <c r="E3883" s="752" t="s">
        <v>45622</v>
      </c>
      <c r="F3883" s="751">
        <v>3625</v>
      </c>
    </row>
    <row r="3884" spans="1:6">
      <c r="A3884" s="753"/>
      <c r="B3884" s="753"/>
      <c r="C3884" s="752" t="s">
        <v>46337</v>
      </c>
      <c r="D3884" s="753" t="s">
        <v>46281</v>
      </c>
      <c r="E3884" s="752" t="s">
        <v>45622</v>
      </c>
      <c r="F3884" s="751">
        <v>3875</v>
      </c>
    </row>
    <row r="3885" spans="1:6">
      <c r="A3885" s="753"/>
      <c r="B3885" s="753"/>
      <c r="C3885" s="752" t="s">
        <v>46336</v>
      </c>
      <c r="D3885" s="753" t="s">
        <v>46281</v>
      </c>
      <c r="E3885" s="752" t="s">
        <v>46280</v>
      </c>
      <c r="F3885" s="751">
        <v>4635</v>
      </c>
    </row>
    <row r="3886" spans="1:6">
      <c r="A3886" s="753"/>
      <c r="B3886" s="753"/>
      <c r="C3886" s="752" t="s">
        <v>46335</v>
      </c>
      <c r="D3886" s="753" t="s">
        <v>46281</v>
      </c>
      <c r="E3886" s="752" t="s">
        <v>46334</v>
      </c>
      <c r="F3886" s="751">
        <v>4635</v>
      </c>
    </row>
    <row r="3887" spans="1:6">
      <c r="A3887" s="753"/>
      <c r="B3887" s="753"/>
      <c r="C3887" s="752" t="s">
        <v>46333</v>
      </c>
      <c r="D3887" s="753" t="s">
        <v>46281</v>
      </c>
      <c r="E3887" s="752" t="s">
        <v>38577</v>
      </c>
      <c r="F3887" s="751">
        <v>4635</v>
      </c>
    </row>
    <row r="3888" spans="1:6">
      <c r="A3888" s="753"/>
      <c r="B3888" s="753"/>
      <c r="C3888" s="752" t="s">
        <v>46332</v>
      </c>
      <c r="D3888" s="753" t="s">
        <v>46320</v>
      </c>
      <c r="E3888" s="752" t="s">
        <v>40176</v>
      </c>
      <c r="F3888" s="751">
        <v>4175</v>
      </c>
    </row>
    <row r="3889" spans="1:6">
      <c r="A3889" s="753"/>
      <c r="B3889" s="753"/>
      <c r="C3889" s="752" t="s">
        <v>46331</v>
      </c>
      <c r="D3889" s="753" t="s">
        <v>46320</v>
      </c>
      <c r="E3889" s="752" t="s">
        <v>46330</v>
      </c>
      <c r="F3889" s="751">
        <v>5375</v>
      </c>
    </row>
    <row r="3890" spans="1:6">
      <c r="A3890" s="753"/>
      <c r="B3890" s="753"/>
      <c r="C3890" s="752" t="s">
        <v>46329</v>
      </c>
      <c r="D3890" s="753" t="s">
        <v>46320</v>
      </c>
      <c r="E3890" s="752" t="s">
        <v>293</v>
      </c>
      <c r="F3890" s="751">
        <v>4615</v>
      </c>
    </row>
    <row r="3891" spans="1:6">
      <c r="A3891" s="753"/>
      <c r="B3891" s="753"/>
      <c r="C3891" s="752" t="s">
        <v>46328</v>
      </c>
      <c r="D3891" s="753" t="s">
        <v>46320</v>
      </c>
      <c r="E3891" s="752" t="s">
        <v>38670</v>
      </c>
      <c r="F3891" s="751">
        <v>5375</v>
      </c>
    </row>
    <row r="3892" spans="1:6">
      <c r="A3892" s="753"/>
      <c r="B3892" s="753"/>
      <c r="C3892" s="752" t="s">
        <v>46327</v>
      </c>
      <c r="D3892" s="753" t="s">
        <v>46320</v>
      </c>
      <c r="E3892" s="752" t="s">
        <v>45630</v>
      </c>
      <c r="F3892" s="751">
        <v>5375</v>
      </c>
    </row>
    <row r="3893" spans="1:6">
      <c r="A3893" s="753"/>
      <c r="B3893" s="753"/>
      <c r="C3893" s="752" t="s">
        <v>46326</v>
      </c>
      <c r="D3893" s="753" t="s">
        <v>46320</v>
      </c>
      <c r="E3893" s="752" t="s">
        <v>41652</v>
      </c>
      <c r="F3893" s="751">
        <v>4615</v>
      </c>
    </row>
    <row r="3894" spans="1:6">
      <c r="A3894" s="753"/>
      <c r="B3894" s="753"/>
      <c r="C3894" s="752" t="s">
        <v>46325</v>
      </c>
      <c r="D3894" s="753" t="s">
        <v>46320</v>
      </c>
      <c r="E3894" s="752" t="s">
        <v>46324</v>
      </c>
      <c r="F3894" s="751">
        <v>5325</v>
      </c>
    </row>
    <row r="3895" spans="1:6">
      <c r="A3895" s="753"/>
      <c r="B3895" s="753"/>
      <c r="C3895" s="752" t="s">
        <v>46323</v>
      </c>
      <c r="D3895" s="753" t="s">
        <v>46320</v>
      </c>
      <c r="E3895" s="752" t="s">
        <v>46322</v>
      </c>
      <c r="F3895" s="751">
        <v>5375</v>
      </c>
    </row>
    <row r="3896" spans="1:6">
      <c r="A3896" s="753"/>
      <c r="B3896" s="753"/>
      <c r="C3896" s="752" t="s">
        <v>46321</v>
      </c>
      <c r="D3896" s="753" t="s">
        <v>46320</v>
      </c>
      <c r="E3896" s="752" t="s">
        <v>39011</v>
      </c>
      <c r="F3896" s="751">
        <v>5375</v>
      </c>
    </row>
    <row r="3897" spans="1:6">
      <c r="A3897" s="753"/>
      <c r="B3897" s="753"/>
      <c r="C3897" s="752" t="s">
        <v>46319</v>
      </c>
      <c r="D3897" s="753" t="s">
        <v>46290</v>
      </c>
      <c r="E3897" s="752" t="s">
        <v>293</v>
      </c>
      <c r="F3897" s="751">
        <v>4515</v>
      </c>
    </row>
    <row r="3898" spans="1:6">
      <c r="A3898" s="753"/>
      <c r="B3898" s="753"/>
      <c r="C3898" s="752" t="s">
        <v>46318</v>
      </c>
      <c r="D3898" s="753" t="s">
        <v>46290</v>
      </c>
      <c r="E3898" s="752" t="s">
        <v>46317</v>
      </c>
      <c r="F3898" s="751">
        <v>6035</v>
      </c>
    </row>
    <row r="3899" spans="1:6">
      <c r="A3899" s="753"/>
      <c r="B3899" s="753"/>
      <c r="C3899" s="752" t="s">
        <v>46316</v>
      </c>
      <c r="D3899" s="753" t="s">
        <v>46290</v>
      </c>
      <c r="E3899" s="752" t="s">
        <v>46199</v>
      </c>
      <c r="F3899" s="751">
        <v>5395</v>
      </c>
    </row>
    <row r="3900" spans="1:6">
      <c r="A3900" s="753"/>
      <c r="B3900" s="753"/>
      <c r="C3900" s="752" t="s">
        <v>46315</v>
      </c>
      <c r="D3900" s="753" t="s">
        <v>46290</v>
      </c>
      <c r="E3900" s="752" t="s">
        <v>46314</v>
      </c>
      <c r="F3900" s="751">
        <v>5165</v>
      </c>
    </row>
    <row r="3901" spans="1:6">
      <c r="A3901" s="753"/>
      <c r="B3901" s="753"/>
      <c r="C3901" s="752" t="s">
        <v>46313</v>
      </c>
      <c r="D3901" s="753" t="s">
        <v>46290</v>
      </c>
      <c r="E3901" s="752" t="s">
        <v>46312</v>
      </c>
      <c r="F3901" s="751">
        <v>5275</v>
      </c>
    </row>
    <row r="3902" spans="1:6">
      <c r="A3902" s="753"/>
      <c r="B3902" s="753"/>
      <c r="C3902" s="752" t="s">
        <v>46311</v>
      </c>
      <c r="D3902" s="753" t="s">
        <v>46290</v>
      </c>
      <c r="E3902" s="752" t="s">
        <v>45622</v>
      </c>
      <c r="F3902" s="751">
        <v>4515</v>
      </c>
    </row>
    <row r="3903" spans="1:6">
      <c r="A3903" s="753"/>
      <c r="B3903" s="753"/>
      <c r="C3903" s="752" t="s">
        <v>46310</v>
      </c>
      <c r="D3903" s="753" t="s">
        <v>46290</v>
      </c>
      <c r="E3903" s="752" t="s">
        <v>45704</v>
      </c>
      <c r="F3903" s="751">
        <v>5275</v>
      </c>
    </row>
    <row r="3904" spans="1:6">
      <c r="A3904" s="753"/>
      <c r="B3904" s="753"/>
      <c r="C3904" s="752" t="s">
        <v>46309</v>
      </c>
      <c r="D3904" s="753" t="s">
        <v>46290</v>
      </c>
      <c r="E3904" s="752" t="s">
        <v>46308</v>
      </c>
      <c r="F3904" s="751">
        <v>5025</v>
      </c>
    </row>
    <row r="3905" spans="1:6">
      <c r="A3905" s="753"/>
      <c r="B3905" s="753"/>
      <c r="C3905" s="752" t="s">
        <v>46307</v>
      </c>
      <c r="D3905" s="753" t="s">
        <v>46290</v>
      </c>
      <c r="E3905" s="752" t="s">
        <v>46306</v>
      </c>
      <c r="F3905" s="751">
        <v>6035</v>
      </c>
    </row>
    <row r="3906" spans="1:6">
      <c r="A3906" s="753"/>
      <c r="B3906" s="753"/>
      <c r="C3906" s="752" t="s">
        <v>46305</v>
      </c>
      <c r="D3906" s="753" t="s">
        <v>46290</v>
      </c>
      <c r="E3906" s="752" t="s">
        <v>46304</v>
      </c>
      <c r="F3906" s="751">
        <v>4265</v>
      </c>
    </row>
    <row r="3907" spans="1:6">
      <c r="A3907" s="753"/>
      <c r="B3907" s="753"/>
      <c r="C3907" s="752" t="s">
        <v>46303</v>
      </c>
      <c r="D3907" s="753" t="s">
        <v>46290</v>
      </c>
      <c r="E3907" s="752" t="s">
        <v>46302</v>
      </c>
      <c r="F3907" s="751">
        <v>5665</v>
      </c>
    </row>
    <row r="3908" spans="1:6">
      <c r="A3908" s="753"/>
      <c r="B3908" s="753"/>
      <c r="C3908" s="752" t="s">
        <v>46301</v>
      </c>
      <c r="D3908" s="753" t="s">
        <v>46290</v>
      </c>
      <c r="E3908" s="752" t="s">
        <v>45630</v>
      </c>
      <c r="F3908" s="751">
        <v>5275</v>
      </c>
    </row>
    <row r="3909" spans="1:6">
      <c r="A3909" s="753"/>
      <c r="B3909" s="753"/>
      <c r="C3909" s="752" t="s">
        <v>46300</v>
      </c>
      <c r="D3909" s="753" t="s">
        <v>46290</v>
      </c>
      <c r="E3909" s="752" t="s">
        <v>46299</v>
      </c>
      <c r="F3909" s="751">
        <v>4515</v>
      </c>
    </row>
    <row r="3910" spans="1:6">
      <c r="A3910" s="753"/>
      <c r="B3910" s="753"/>
      <c r="C3910" s="752" t="s">
        <v>46298</v>
      </c>
      <c r="D3910" s="753" t="s">
        <v>46290</v>
      </c>
      <c r="E3910" s="752" t="s">
        <v>46297</v>
      </c>
      <c r="F3910" s="751">
        <v>6035</v>
      </c>
    </row>
    <row r="3911" spans="1:6">
      <c r="A3911" s="753"/>
      <c r="B3911" s="753"/>
      <c r="C3911" s="752" t="s">
        <v>46296</v>
      </c>
      <c r="D3911" s="753" t="s">
        <v>46290</v>
      </c>
      <c r="E3911" s="752" t="s">
        <v>46295</v>
      </c>
      <c r="F3911" s="751">
        <v>5785</v>
      </c>
    </row>
    <row r="3912" spans="1:6">
      <c r="A3912" s="753"/>
      <c r="B3912" s="753"/>
      <c r="C3912" s="752" t="s">
        <v>46294</v>
      </c>
      <c r="D3912" s="753" t="s">
        <v>46290</v>
      </c>
      <c r="E3912" s="752" t="s">
        <v>46293</v>
      </c>
      <c r="F3912" s="751">
        <v>5275</v>
      </c>
    </row>
    <row r="3913" spans="1:6">
      <c r="A3913" s="753"/>
      <c r="B3913" s="753"/>
      <c r="C3913" s="752" t="s">
        <v>46292</v>
      </c>
      <c r="D3913" s="753" t="s">
        <v>46290</v>
      </c>
      <c r="E3913" s="752" t="s">
        <v>45704</v>
      </c>
      <c r="F3913" s="751">
        <v>5275</v>
      </c>
    </row>
    <row r="3914" spans="1:6">
      <c r="A3914" s="753"/>
      <c r="B3914" s="753"/>
      <c r="C3914" s="752" t="s">
        <v>46291</v>
      </c>
      <c r="D3914" s="753" t="s">
        <v>46290</v>
      </c>
      <c r="E3914" s="752" t="s">
        <v>46289</v>
      </c>
      <c r="F3914" s="751">
        <v>6035</v>
      </c>
    </row>
    <row r="3915" spans="1:6">
      <c r="A3915" s="753"/>
      <c r="B3915" s="753"/>
      <c r="C3915" s="752" t="s">
        <v>46288</v>
      </c>
      <c r="D3915" s="753" t="s">
        <v>46281</v>
      </c>
      <c r="E3915" s="752" t="s">
        <v>293</v>
      </c>
      <c r="F3915" s="751">
        <v>3875</v>
      </c>
    </row>
    <row r="3916" spans="1:6">
      <c r="A3916" s="753"/>
      <c r="B3916" s="753"/>
      <c r="C3916" s="752" t="s">
        <v>46287</v>
      </c>
      <c r="D3916" s="753" t="s">
        <v>46281</v>
      </c>
      <c r="E3916" s="752" t="s">
        <v>45659</v>
      </c>
      <c r="F3916" s="751">
        <v>4635</v>
      </c>
    </row>
    <row r="3917" spans="1:6">
      <c r="A3917" s="753"/>
      <c r="B3917" s="753"/>
      <c r="C3917" s="752" t="s">
        <v>46286</v>
      </c>
      <c r="D3917" s="753" t="s">
        <v>46281</v>
      </c>
      <c r="E3917" s="752" t="s">
        <v>45622</v>
      </c>
      <c r="F3917" s="751">
        <v>3875</v>
      </c>
    </row>
    <row r="3918" spans="1:6">
      <c r="A3918" s="753"/>
      <c r="B3918" s="753"/>
      <c r="C3918" s="752" t="s">
        <v>46285</v>
      </c>
      <c r="D3918" s="753" t="s">
        <v>46281</v>
      </c>
      <c r="E3918" s="752" t="s">
        <v>45622</v>
      </c>
      <c r="F3918" s="751">
        <v>3875</v>
      </c>
    </row>
    <row r="3919" spans="1:6">
      <c r="A3919" s="753"/>
      <c r="B3919" s="753"/>
      <c r="C3919" s="752" t="s">
        <v>46284</v>
      </c>
      <c r="D3919" s="753" t="s">
        <v>46281</v>
      </c>
      <c r="E3919" s="752" t="s">
        <v>45630</v>
      </c>
      <c r="F3919" s="751">
        <v>4635</v>
      </c>
    </row>
    <row r="3920" spans="1:6">
      <c r="A3920" s="753"/>
      <c r="B3920" s="753"/>
      <c r="C3920" s="752" t="s">
        <v>46283</v>
      </c>
      <c r="D3920" s="753" t="s">
        <v>46281</v>
      </c>
      <c r="E3920" s="752" t="s">
        <v>45622</v>
      </c>
      <c r="F3920" s="751">
        <v>3875</v>
      </c>
    </row>
    <row r="3921" spans="1:6">
      <c r="A3921" s="753"/>
      <c r="B3921" s="753"/>
      <c r="C3921" s="752" t="s">
        <v>46282</v>
      </c>
      <c r="D3921" s="753" t="s">
        <v>46281</v>
      </c>
      <c r="E3921" s="752" t="s">
        <v>46280</v>
      </c>
      <c r="F3921" s="751">
        <v>4635</v>
      </c>
    </row>
    <row r="3922" spans="1:6">
      <c r="A3922" s="753"/>
      <c r="B3922" s="753"/>
      <c r="C3922" s="752" t="s">
        <v>46279</v>
      </c>
      <c r="D3922" s="753" t="s">
        <v>45581</v>
      </c>
      <c r="E3922" s="752" t="s">
        <v>293</v>
      </c>
      <c r="F3922" s="751">
        <v>4595</v>
      </c>
    </row>
    <row r="3923" spans="1:6">
      <c r="A3923" s="753"/>
      <c r="B3923" s="753"/>
      <c r="C3923" s="752" t="s">
        <v>46278</v>
      </c>
      <c r="D3923" s="753" t="s">
        <v>45581</v>
      </c>
      <c r="E3923" s="752" t="s">
        <v>45622</v>
      </c>
      <c r="F3923" s="751">
        <v>4595</v>
      </c>
    </row>
    <row r="3924" spans="1:6">
      <c r="A3924" s="753"/>
      <c r="B3924" s="753"/>
      <c r="C3924" s="752" t="s">
        <v>46277</v>
      </c>
      <c r="D3924" s="753" t="s">
        <v>45581</v>
      </c>
      <c r="E3924" s="752" t="s">
        <v>46276</v>
      </c>
      <c r="F3924" s="751">
        <v>5355</v>
      </c>
    </row>
    <row r="3925" spans="1:6">
      <c r="A3925" s="753"/>
      <c r="B3925" s="753"/>
      <c r="C3925" s="752" t="s">
        <v>46275</v>
      </c>
      <c r="D3925" s="753" t="s">
        <v>45581</v>
      </c>
      <c r="E3925" s="752" t="s">
        <v>45622</v>
      </c>
      <c r="F3925" s="751">
        <v>4445</v>
      </c>
    </row>
    <row r="3926" spans="1:6">
      <c r="A3926" s="753"/>
      <c r="B3926" s="753"/>
      <c r="C3926" s="752" t="s">
        <v>46274</v>
      </c>
      <c r="D3926" s="753" t="s">
        <v>45581</v>
      </c>
      <c r="E3926" s="752" t="s">
        <v>46262</v>
      </c>
      <c r="F3926" s="751">
        <v>5355</v>
      </c>
    </row>
    <row r="3927" spans="1:6">
      <c r="A3927" s="753"/>
      <c r="B3927" s="753"/>
      <c r="C3927" s="752" t="s">
        <v>46273</v>
      </c>
      <c r="D3927" s="753" t="s">
        <v>45581</v>
      </c>
      <c r="E3927" s="752" t="s">
        <v>46272</v>
      </c>
      <c r="F3927" s="751">
        <v>5355</v>
      </c>
    </row>
    <row r="3928" spans="1:6">
      <c r="A3928" s="753"/>
      <c r="B3928" s="753"/>
      <c r="C3928" s="752" t="s">
        <v>46271</v>
      </c>
      <c r="D3928" s="753" t="s">
        <v>45581</v>
      </c>
      <c r="E3928" s="752" t="s">
        <v>40234</v>
      </c>
      <c r="F3928" s="751">
        <v>4445</v>
      </c>
    </row>
    <row r="3929" spans="1:6">
      <c r="A3929" s="753"/>
      <c r="B3929" s="753"/>
      <c r="C3929" s="752" t="s">
        <v>46270</v>
      </c>
      <c r="D3929" s="753" t="s">
        <v>46238</v>
      </c>
      <c r="E3929" s="752" t="s">
        <v>293</v>
      </c>
      <c r="F3929" s="751">
        <v>5045</v>
      </c>
    </row>
    <row r="3930" spans="1:6">
      <c r="A3930" s="753"/>
      <c r="B3930" s="753"/>
      <c r="C3930" s="752" t="s">
        <v>46269</v>
      </c>
      <c r="D3930" s="753" t="s">
        <v>45581</v>
      </c>
      <c r="E3930" s="752" t="s">
        <v>37758</v>
      </c>
      <c r="F3930" s="751">
        <v>4595</v>
      </c>
    </row>
    <row r="3931" spans="1:6">
      <c r="A3931" s="753"/>
      <c r="B3931" s="753"/>
      <c r="C3931" s="752" t="s">
        <v>46268</v>
      </c>
      <c r="D3931" s="753" t="s">
        <v>45581</v>
      </c>
      <c r="E3931" s="752" t="s">
        <v>45622</v>
      </c>
      <c r="F3931" s="751">
        <v>4595</v>
      </c>
    </row>
    <row r="3932" spans="1:6">
      <c r="A3932" s="753"/>
      <c r="B3932" s="753"/>
      <c r="C3932" s="752" t="s">
        <v>46267</v>
      </c>
      <c r="D3932" s="753" t="s">
        <v>46265</v>
      </c>
      <c r="E3932" s="752" t="s">
        <v>45622</v>
      </c>
      <c r="F3932" s="751">
        <v>5355</v>
      </c>
    </row>
    <row r="3933" spans="1:6">
      <c r="A3933" s="753"/>
      <c r="B3933" s="753"/>
      <c r="C3933" s="752" t="s">
        <v>46266</v>
      </c>
      <c r="D3933" s="753" t="s">
        <v>46265</v>
      </c>
      <c r="E3933" s="752" t="s">
        <v>46264</v>
      </c>
      <c r="F3933" s="751">
        <v>4395</v>
      </c>
    </row>
    <row r="3934" spans="1:6">
      <c r="A3934" s="753"/>
      <c r="B3934" s="753"/>
      <c r="C3934" s="752" t="s">
        <v>46263</v>
      </c>
      <c r="D3934" s="753" t="s">
        <v>45581</v>
      </c>
      <c r="E3934" s="752" t="s">
        <v>46262</v>
      </c>
      <c r="F3934" s="751">
        <v>5355</v>
      </c>
    </row>
    <row r="3935" spans="1:6">
      <c r="A3935" s="753"/>
      <c r="B3935" s="753"/>
      <c r="C3935" s="752" t="s">
        <v>46261</v>
      </c>
      <c r="D3935" s="753" t="s">
        <v>46238</v>
      </c>
      <c r="E3935" s="752" t="s">
        <v>293</v>
      </c>
      <c r="F3935" s="751">
        <v>5195</v>
      </c>
    </row>
    <row r="3936" spans="1:6">
      <c r="A3936" s="753"/>
      <c r="B3936" s="753"/>
      <c r="C3936" s="752" t="s">
        <v>46260</v>
      </c>
      <c r="D3936" s="753" t="s">
        <v>46238</v>
      </c>
      <c r="E3936" s="752" t="s">
        <v>45622</v>
      </c>
      <c r="F3936" s="751">
        <v>5195</v>
      </c>
    </row>
    <row r="3937" spans="1:6">
      <c r="A3937" s="753"/>
      <c r="B3937" s="753"/>
      <c r="C3937" s="752" t="s">
        <v>46259</v>
      </c>
      <c r="D3937" s="753" t="s">
        <v>46238</v>
      </c>
      <c r="E3937" s="752" t="s">
        <v>45811</v>
      </c>
      <c r="F3937" s="751">
        <v>5955</v>
      </c>
    </row>
    <row r="3938" spans="1:6">
      <c r="A3938" s="753"/>
      <c r="B3938" s="753"/>
      <c r="C3938" s="752" t="s">
        <v>46258</v>
      </c>
      <c r="D3938" s="753" t="s">
        <v>46238</v>
      </c>
      <c r="E3938" s="752" t="s">
        <v>38577</v>
      </c>
      <c r="F3938" s="751">
        <v>5955</v>
      </c>
    </row>
    <row r="3939" spans="1:6">
      <c r="A3939" s="753"/>
      <c r="B3939" s="753"/>
      <c r="C3939" s="752" t="s">
        <v>46257</v>
      </c>
      <c r="D3939" s="753" t="s">
        <v>46238</v>
      </c>
      <c r="E3939" s="752" t="s">
        <v>40234</v>
      </c>
      <c r="F3939" s="751">
        <v>5195</v>
      </c>
    </row>
    <row r="3940" spans="1:6">
      <c r="A3940" s="753"/>
      <c r="B3940" s="753"/>
      <c r="C3940" s="752" t="s">
        <v>46256</v>
      </c>
      <c r="D3940" s="753" t="s">
        <v>46249</v>
      </c>
      <c r="E3940" s="752" t="s">
        <v>293</v>
      </c>
      <c r="F3940" s="751">
        <v>5195</v>
      </c>
    </row>
    <row r="3941" spans="1:6">
      <c r="A3941" s="753"/>
      <c r="B3941" s="753"/>
      <c r="C3941" s="752" t="s">
        <v>46255</v>
      </c>
      <c r="D3941" s="753" t="s">
        <v>46249</v>
      </c>
      <c r="E3941" s="752" t="s">
        <v>46248</v>
      </c>
      <c r="F3941" s="751">
        <v>5195</v>
      </c>
    </row>
    <row r="3942" spans="1:6">
      <c r="A3942" s="753"/>
      <c r="B3942" s="753"/>
      <c r="C3942" s="752" t="s">
        <v>46254</v>
      </c>
      <c r="D3942" s="753" t="s">
        <v>46238</v>
      </c>
      <c r="E3942" s="752" t="s">
        <v>293</v>
      </c>
      <c r="F3942" s="751">
        <v>5345</v>
      </c>
    </row>
    <row r="3943" spans="1:6">
      <c r="A3943" s="753"/>
      <c r="B3943" s="753"/>
      <c r="C3943" s="752" t="s">
        <v>46253</v>
      </c>
      <c r="D3943" s="753" t="s">
        <v>46238</v>
      </c>
      <c r="E3943" s="752" t="s">
        <v>45622</v>
      </c>
      <c r="F3943" s="751">
        <v>5345</v>
      </c>
    </row>
    <row r="3944" spans="1:6">
      <c r="A3944" s="753"/>
      <c r="B3944" s="753"/>
      <c r="C3944" s="752" t="s">
        <v>46252</v>
      </c>
      <c r="D3944" s="753" t="s">
        <v>46238</v>
      </c>
      <c r="E3944" s="752" t="s">
        <v>45622</v>
      </c>
      <c r="F3944" s="751">
        <v>5345</v>
      </c>
    </row>
    <row r="3945" spans="1:6">
      <c r="A3945" s="753"/>
      <c r="B3945" s="753"/>
      <c r="C3945" s="752" t="s">
        <v>46251</v>
      </c>
      <c r="D3945" s="753" t="s">
        <v>46249</v>
      </c>
      <c r="E3945" s="752" t="s">
        <v>46199</v>
      </c>
      <c r="F3945" s="751">
        <v>5195</v>
      </c>
    </row>
    <row r="3946" spans="1:6">
      <c r="A3946" s="753"/>
      <c r="B3946" s="753"/>
      <c r="C3946" s="752" t="s">
        <v>46250</v>
      </c>
      <c r="D3946" s="753" t="s">
        <v>46249</v>
      </c>
      <c r="E3946" s="752" t="s">
        <v>46248</v>
      </c>
      <c r="F3946" s="751">
        <v>5195</v>
      </c>
    </row>
    <row r="3947" spans="1:6">
      <c r="A3947" s="753"/>
      <c r="B3947" s="753"/>
      <c r="C3947" s="752" t="s">
        <v>46247</v>
      </c>
      <c r="D3947" s="753" t="s">
        <v>46238</v>
      </c>
      <c r="E3947" s="752" t="s">
        <v>293</v>
      </c>
      <c r="F3947" s="751">
        <v>5495</v>
      </c>
    </row>
    <row r="3948" spans="1:6">
      <c r="A3948" s="753"/>
      <c r="B3948" s="753"/>
      <c r="C3948" s="752" t="s">
        <v>46246</v>
      </c>
      <c r="D3948" s="753" t="s">
        <v>46238</v>
      </c>
      <c r="E3948" s="752" t="s">
        <v>293</v>
      </c>
      <c r="F3948" s="751">
        <v>5495</v>
      </c>
    </row>
    <row r="3949" spans="1:6">
      <c r="A3949" s="753"/>
      <c r="B3949" s="753"/>
      <c r="C3949" s="752" t="s">
        <v>46245</v>
      </c>
      <c r="D3949" s="753" t="s">
        <v>46238</v>
      </c>
      <c r="E3949" s="752" t="s">
        <v>40003</v>
      </c>
      <c r="F3949" s="751">
        <v>5495</v>
      </c>
    </row>
    <row r="3950" spans="1:6">
      <c r="A3950" s="753"/>
      <c r="B3950" s="753"/>
      <c r="C3950" s="752" t="s">
        <v>46244</v>
      </c>
      <c r="D3950" s="753" t="s">
        <v>46241</v>
      </c>
      <c r="E3950" s="752" t="s">
        <v>46243</v>
      </c>
      <c r="F3950" s="751">
        <v>5445</v>
      </c>
    </row>
    <row r="3951" spans="1:6">
      <c r="A3951" s="753"/>
      <c r="B3951" s="753"/>
      <c r="C3951" s="752" t="s">
        <v>46242</v>
      </c>
      <c r="D3951" s="753" t="s">
        <v>46241</v>
      </c>
      <c r="E3951" s="752" t="s">
        <v>46240</v>
      </c>
      <c r="F3951" s="751">
        <v>5445</v>
      </c>
    </row>
    <row r="3952" spans="1:6">
      <c r="A3952" s="753"/>
      <c r="B3952" s="753"/>
      <c r="C3952" s="752" t="s">
        <v>46239</v>
      </c>
      <c r="D3952" s="753" t="s">
        <v>46238</v>
      </c>
      <c r="E3952" s="752" t="s">
        <v>293</v>
      </c>
      <c r="F3952" s="751">
        <v>5645</v>
      </c>
    </row>
    <row r="3953" spans="1:6">
      <c r="A3953" s="753"/>
      <c r="B3953" s="753"/>
      <c r="C3953" s="752" t="s">
        <v>46237</v>
      </c>
      <c r="D3953" s="753" t="s">
        <v>46236</v>
      </c>
      <c r="E3953" s="752" t="s">
        <v>40003</v>
      </c>
      <c r="F3953" s="751">
        <v>2925</v>
      </c>
    </row>
    <row r="3954" spans="1:6">
      <c r="A3954" s="753"/>
      <c r="B3954" s="753"/>
      <c r="C3954" s="752" t="s">
        <v>46235</v>
      </c>
      <c r="D3954" s="753" t="s">
        <v>46230</v>
      </c>
      <c r="E3954" s="752" t="s">
        <v>40003</v>
      </c>
      <c r="F3954" s="751">
        <v>3425</v>
      </c>
    </row>
    <row r="3955" spans="1:6">
      <c r="A3955" s="753"/>
      <c r="B3955" s="753"/>
      <c r="C3955" s="752" t="s">
        <v>46234</v>
      </c>
      <c r="D3955" s="753" t="s">
        <v>46228</v>
      </c>
      <c r="E3955" s="752" t="s">
        <v>40003</v>
      </c>
      <c r="F3955" s="751">
        <v>3975</v>
      </c>
    </row>
    <row r="3956" spans="1:6">
      <c r="A3956" s="753"/>
      <c r="B3956" s="753"/>
      <c r="C3956" s="752" t="s">
        <v>46233</v>
      </c>
      <c r="D3956" s="753" t="s">
        <v>46230</v>
      </c>
      <c r="E3956" s="752" t="s">
        <v>46190</v>
      </c>
      <c r="F3956" s="751">
        <v>3425</v>
      </c>
    </row>
    <row r="3957" spans="1:6">
      <c r="A3957" s="753"/>
      <c r="B3957" s="753"/>
      <c r="C3957" s="752" t="s">
        <v>46232</v>
      </c>
      <c r="D3957" s="753" t="s">
        <v>46230</v>
      </c>
      <c r="E3957" s="752" t="s">
        <v>46201</v>
      </c>
      <c r="F3957" s="751">
        <v>3425</v>
      </c>
    </row>
    <row r="3958" spans="1:6">
      <c r="A3958" s="753"/>
      <c r="B3958" s="753"/>
      <c r="C3958" s="752" t="s">
        <v>46231</v>
      </c>
      <c r="D3958" s="753" t="s">
        <v>46230</v>
      </c>
      <c r="E3958" s="752" t="s">
        <v>40003</v>
      </c>
      <c r="F3958" s="751">
        <v>3425</v>
      </c>
    </row>
    <row r="3959" spans="1:6">
      <c r="A3959" s="753"/>
      <c r="B3959" s="753"/>
      <c r="C3959" s="752" t="s">
        <v>46229</v>
      </c>
      <c r="D3959" s="753" t="s">
        <v>46228</v>
      </c>
      <c r="E3959" s="752" t="s">
        <v>40003</v>
      </c>
      <c r="F3959" s="751">
        <v>3975</v>
      </c>
    </row>
    <row r="3960" spans="1:6">
      <c r="A3960" s="753"/>
      <c r="B3960" s="753"/>
      <c r="C3960" s="752" t="s">
        <v>46227</v>
      </c>
      <c r="D3960" s="753" t="s">
        <v>46223</v>
      </c>
      <c r="E3960" s="752" t="s">
        <v>293</v>
      </c>
      <c r="F3960" s="751">
        <v>4130</v>
      </c>
    </row>
    <row r="3961" spans="1:6">
      <c r="A3961" s="753"/>
      <c r="B3961" s="753"/>
      <c r="C3961" s="752" t="s">
        <v>46226</v>
      </c>
      <c r="D3961" s="753" t="s">
        <v>46223</v>
      </c>
      <c r="E3961" s="752" t="s">
        <v>293</v>
      </c>
      <c r="F3961" s="751">
        <v>4130</v>
      </c>
    </row>
    <row r="3962" spans="1:6">
      <c r="A3962" s="753"/>
      <c r="B3962" s="753"/>
      <c r="C3962" s="752" t="s">
        <v>46225</v>
      </c>
      <c r="D3962" s="753" t="s">
        <v>46223</v>
      </c>
      <c r="E3962" s="752" t="s">
        <v>293</v>
      </c>
      <c r="F3962" s="751">
        <v>4130</v>
      </c>
    </row>
    <row r="3963" spans="1:6">
      <c r="A3963" s="753"/>
      <c r="B3963" s="753"/>
      <c r="C3963" s="752" t="s">
        <v>46224</v>
      </c>
      <c r="D3963" s="753" t="s">
        <v>46223</v>
      </c>
      <c r="E3963" s="752" t="s">
        <v>293</v>
      </c>
      <c r="F3963" s="751">
        <v>4130</v>
      </c>
    </row>
    <row r="3964" spans="1:6">
      <c r="A3964" s="753"/>
      <c r="B3964" s="753"/>
      <c r="C3964" s="752" t="s">
        <v>46222</v>
      </c>
      <c r="D3964" s="753" t="s">
        <v>46192</v>
      </c>
      <c r="E3964" s="752" t="s">
        <v>293</v>
      </c>
      <c r="F3964" s="751">
        <v>5995</v>
      </c>
    </row>
    <row r="3965" spans="1:6">
      <c r="A3965" s="753"/>
      <c r="B3965" s="753"/>
      <c r="C3965" s="752" t="s">
        <v>46221</v>
      </c>
      <c r="D3965" s="753" t="s">
        <v>46197</v>
      </c>
      <c r="E3965" s="752" t="s">
        <v>38570</v>
      </c>
      <c r="F3965" s="751">
        <v>6545</v>
      </c>
    </row>
    <row r="3966" spans="1:6">
      <c r="A3966" s="753"/>
      <c r="B3966" s="753"/>
      <c r="C3966" s="752" t="s">
        <v>46220</v>
      </c>
      <c r="D3966" s="753" t="s">
        <v>46197</v>
      </c>
      <c r="E3966" s="752" t="s">
        <v>46219</v>
      </c>
      <c r="F3966" s="751">
        <v>6040</v>
      </c>
    </row>
    <row r="3967" spans="1:6">
      <c r="A3967" s="753"/>
      <c r="B3967" s="753"/>
      <c r="C3967" s="752" t="s">
        <v>46218</v>
      </c>
      <c r="D3967" s="753" t="s">
        <v>46192</v>
      </c>
      <c r="E3967" s="752" t="s">
        <v>46199</v>
      </c>
      <c r="F3967" s="751">
        <v>5995</v>
      </c>
    </row>
    <row r="3968" spans="1:6">
      <c r="A3968" s="753"/>
      <c r="B3968" s="753"/>
      <c r="C3968" s="752" t="s">
        <v>46217</v>
      </c>
      <c r="D3968" s="753" t="s">
        <v>46188</v>
      </c>
      <c r="E3968" s="752" t="s">
        <v>46199</v>
      </c>
      <c r="F3968" s="751">
        <v>5925</v>
      </c>
    </row>
    <row r="3969" spans="1:6">
      <c r="A3969" s="753"/>
      <c r="B3969" s="753"/>
      <c r="C3969" s="752" t="s">
        <v>46216</v>
      </c>
      <c r="D3969" s="753" t="s">
        <v>46197</v>
      </c>
      <c r="E3969" s="752" t="s">
        <v>293</v>
      </c>
      <c r="F3969" s="751">
        <v>5995</v>
      </c>
    </row>
    <row r="3970" spans="1:6">
      <c r="A3970" s="753"/>
      <c r="B3970" s="753"/>
      <c r="C3970" s="752" t="s">
        <v>46215</v>
      </c>
      <c r="D3970" s="753" t="s">
        <v>46192</v>
      </c>
      <c r="E3970" s="752" t="s">
        <v>293</v>
      </c>
      <c r="F3970" s="751">
        <v>5995</v>
      </c>
    </row>
    <row r="3971" spans="1:6">
      <c r="A3971" s="753"/>
      <c r="B3971" s="753"/>
      <c r="C3971" s="752" t="s">
        <v>46214</v>
      </c>
      <c r="D3971" s="753" t="s">
        <v>46188</v>
      </c>
      <c r="E3971" s="752" t="s">
        <v>46213</v>
      </c>
      <c r="F3971" s="751">
        <v>5925</v>
      </c>
    </row>
    <row r="3972" spans="1:6">
      <c r="A3972" s="753"/>
      <c r="B3972" s="753"/>
      <c r="C3972" s="752" t="s">
        <v>46212</v>
      </c>
      <c r="D3972" s="753" t="s">
        <v>46197</v>
      </c>
      <c r="E3972" s="752" t="s">
        <v>293</v>
      </c>
      <c r="F3972" s="751">
        <v>5995</v>
      </c>
    </row>
    <row r="3973" spans="1:6">
      <c r="A3973" s="753"/>
      <c r="B3973" s="753"/>
      <c r="C3973" s="752" t="s">
        <v>46211</v>
      </c>
      <c r="D3973" s="753" t="s">
        <v>46192</v>
      </c>
      <c r="E3973" s="752" t="s">
        <v>293</v>
      </c>
      <c r="F3973" s="751">
        <v>5995</v>
      </c>
    </row>
    <row r="3974" spans="1:6">
      <c r="A3974" s="753"/>
      <c r="B3974" s="753"/>
      <c r="C3974" s="752" t="s">
        <v>46210</v>
      </c>
      <c r="D3974" s="753" t="s">
        <v>46188</v>
      </c>
      <c r="E3974" s="752" t="s">
        <v>293</v>
      </c>
      <c r="F3974" s="751">
        <v>5925</v>
      </c>
    </row>
    <row r="3975" spans="1:6">
      <c r="A3975" s="753"/>
      <c r="B3975" s="753"/>
      <c r="C3975" s="752" t="s">
        <v>46209</v>
      </c>
      <c r="D3975" s="753" t="s">
        <v>46197</v>
      </c>
      <c r="E3975" s="752" t="s">
        <v>293</v>
      </c>
      <c r="F3975" s="751">
        <v>6545</v>
      </c>
    </row>
    <row r="3976" spans="1:6">
      <c r="A3976" s="753"/>
      <c r="B3976" s="753"/>
      <c r="C3976" s="752" t="s">
        <v>46208</v>
      </c>
      <c r="D3976" s="753" t="s">
        <v>46188</v>
      </c>
      <c r="E3976" s="752" t="s">
        <v>37794</v>
      </c>
      <c r="F3976" s="751">
        <v>5925</v>
      </c>
    </row>
    <row r="3977" spans="1:6">
      <c r="A3977" s="753"/>
      <c r="B3977" s="753"/>
      <c r="C3977" s="752" t="s">
        <v>46207</v>
      </c>
      <c r="D3977" s="753" t="s">
        <v>46192</v>
      </c>
      <c r="E3977" s="752" t="s">
        <v>293</v>
      </c>
      <c r="F3977" s="751">
        <v>6545</v>
      </c>
    </row>
    <row r="3978" spans="1:6">
      <c r="A3978" s="753"/>
      <c r="B3978" s="753"/>
      <c r="C3978" s="752" t="s">
        <v>46206</v>
      </c>
      <c r="D3978" s="753" t="s">
        <v>45596</v>
      </c>
      <c r="E3978" s="752" t="s">
        <v>40003</v>
      </c>
      <c r="F3978" s="751">
        <v>8655</v>
      </c>
    </row>
    <row r="3979" spans="1:6">
      <c r="A3979" s="753"/>
      <c r="B3979" s="753"/>
      <c r="C3979" s="752" t="s">
        <v>46205</v>
      </c>
      <c r="D3979" s="753" t="s">
        <v>46188</v>
      </c>
      <c r="E3979" s="752" t="s">
        <v>40003</v>
      </c>
      <c r="F3979" s="751">
        <v>5975</v>
      </c>
    </row>
    <row r="3980" spans="1:6">
      <c r="A3980" s="753"/>
      <c r="B3980" s="753"/>
      <c r="C3980" s="752" t="s">
        <v>46204</v>
      </c>
      <c r="D3980" s="753" t="s">
        <v>46188</v>
      </c>
      <c r="E3980" s="752" t="s">
        <v>40003</v>
      </c>
      <c r="F3980" s="751">
        <v>5925</v>
      </c>
    </row>
    <row r="3981" spans="1:6">
      <c r="A3981" s="753"/>
      <c r="B3981" s="753"/>
      <c r="C3981" s="752" t="s">
        <v>46203</v>
      </c>
      <c r="D3981" s="753" t="s">
        <v>46192</v>
      </c>
      <c r="E3981" s="752" t="s">
        <v>46199</v>
      </c>
      <c r="F3981" s="751">
        <v>6545</v>
      </c>
    </row>
    <row r="3982" spans="1:6">
      <c r="A3982" s="753"/>
      <c r="B3982" s="753"/>
      <c r="C3982" s="752" t="s">
        <v>46202</v>
      </c>
      <c r="D3982" s="753" t="s">
        <v>45596</v>
      </c>
      <c r="E3982" s="752" t="s">
        <v>46201</v>
      </c>
      <c r="F3982" s="751">
        <v>8655</v>
      </c>
    </row>
    <row r="3983" spans="1:6">
      <c r="A3983" s="753"/>
      <c r="B3983" s="753"/>
      <c r="C3983" s="752" t="s">
        <v>46200</v>
      </c>
      <c r="D3983" s="753" t="s">
        <v>46188</v>
      </c>
      <c r="E3983" s="752" t="s">
        <v>46199</v>
      </c>
      <c r="F3983" s="751">
        <v>5975</v>
      </c>
    </row>
    <row r="3984" spans="1:6">
      <c r="A3984" s="753"/>
      <c r="B3984" s="753"/>
      <c r="C3984" s="752" t="s">
        <v>46198</v>
      </c>
      <c r="D3984" s="753" t="s">
        <v>46197</v>
      </c>
      <c r="E3984" s="752" t="s">
        <v>293</v>
      </c>
      <c r="F3984" s="751">
        <v>6545</v>
      </c>
    </row>
    <row r="3985" spans="1:6">
      <c r="A3985" s="753"/>
      <c r="B3985" s="753"/>
      <c r="C3985" s="752" t="s">
        <v>46196</v>
      </c>
      <c r="D3985" s="753" t="s">
        <v>46192</v>
      </c>
      <c r="E3985" s="752" t="s">
        <v>293</v>
      </c>
      <c r="F3985" s="751">
        <v>6545</v>
      </c>
    </row>
    <row r="3986" spans="1:6">
      <c r="A3986" s="753"/>
      <c r="B3986" s="753"/>
      <c r="C3986" s="752" t="s">
        <v>46195</v>
      </c>
      <c r="D3986" s="753" t="s">
        <v>45596</v>
      </c>
      <c r="E3986" s="752" t="s">
        <v>40003</v>
      </c>
      <c r="F3986" s="751">
        <v>8655</v>
      </c>
    </row>
    <row r="3987" spans="1:6">
      <c r="A3987" s="753"/>
      <c r="B3987" s="753"/>
      <c r="C3987" s="752" t="s">
        <v>46194</v>
      </c>
      <c r="D3987" s="753" t="s">
        <v>46188</v>
      </c>
      <c r="E3987" s="752" t="s">
        <v>40003</v>
      </c>
      <c r="F3987" s="751">
        <v>5975</v>
      </c>
    </row>
    <row r="3988" spans="1:6">
      <c r="A3988" s="753"/>
      <c r="B3988" s="753"/>
      <c r="C3988" s="752" t="s">
        <v>46193</v>
      </c>
      <c r="D3988" s="753" t="s">
        <v>46192</v>
      </c>
      <c r="E3988" s="752" t="s">
        <v>293</v>
      </c>
      <c r="F3988" s="751">
        <v>6545</v>
      </c>
    </row>
    <row r="3989" spans="1:6">
      <c r="A3989" s="753"/>
      <c r="B3989" s="753"/>
      <c r="C3989" s="752" t="s">
        <v>46191</v>
      </c>
      <c r="D3989" s="753" t="s">
        <v>45596</v>
      </c>
      <c r="E3989" s="752" t="s">
        <v>46190</v>
      </c>
      <c r="F3989" s="751">
        <v>8605</v>
      </c>
    </row>
    <row r="3990" spans="1:6">
      <c r="A3990" s="753"/>
      <c r="B3990" s="753"/>
      <c r="C3990" s="752" t="s">
        <v>46189</v>
      </c>
      <c r="D3990" s="753" t="s">
        <v>46188</v>
      </c>
      <c r="E3990" s="752" t="s">
        <v>46187</v>
      </c>
      <c r="F3990" s="751">
        <v>5925</v>
      </c>
    </row>
    <row r="3991" spans="1:6">
      <c r="A3991" s="753"/>
      <c r="B3991" s="753"/>
      <c r="C3991" s="752" t="s">
        <v>46186</v>
      </c>
      <c r="D3991" s="753" t="s">
        <v>46179</v>
      </c>
      <c r="E3991" s="752" t="s">
        <v>40003</v>
      </c>
      <c r="F3991" s="751">
        <v>8895</v>
      </c>
    </row>
    <row r="3992" spans="1:6">
      <c r="A3992" s="753"/>
      <c r="B3992" s="753"/>
      <c r="C3992" s="752" t="s">
        <v>46185</v>
      </c>
      <c r="D3992" s="753" t="s">
        <v>46179</v>
      </c>
      <c r="E3992" s="752" t="s">
        <v>40003</v>
      </c>
      <c r="F3992" s="751">
        <v>8335</v>
      </c>
    </row>
    <row r="3993" spans="1:6">
      <c r="A3993" s="753"/>
      <c r="B3993" s="753"/>
      <c r="C3993" s="752" t="s">
        <v>46184</v>
      </c>
      <c r="D3993" s="753" t="s">
        <v>46179</v>
      </c>
      <c r="E3993" s="752" t="s">
        <v>38570</v>
      </c>
      <c r="F3993" s="751">
        <v>8895</v>
      </c>
    </row>
    <row r="3994" spans="1:6">
      <c r="A3994" s="753"/>
      <c r="B3994" s="753"/>
      <c r="C3994" s="752" t="s">
        <v>46183</v>
      </c>
      <c r="D3994" s="753" t="s">
        <v>46179</v>
      </c>
      <c r="E3994" s="752" t="s">
        <v>40003</v>
      </c>
      <c r="F3994" s="751">
        <v>8895</v>
      </c>
    </row>
    <row r="3995" spans="1:6">
      <c r="A3995" s="753"/>
      <c r="B3995" s="753"/>
      <c r="C3995" s="752" t="s">
        <v>46182</v>
      </c>
      <c r="D3995" s="753" t="s">
        <v>46181</v>
      </c>
      <c r="E3995" s="752" t="s">
        <v>40003</v>
      </c>
      <c r="F3995" s="751">
        <v>9095</v>
      </c>
    </row>
    <row r="3996" spans="1:6">
      <c r="A3996" s="753"/>
      <c r="B3996" s="753"/>
      <c r="C3996" s="752" t="s">
        <v>46180</v>
      </c>
      <c r="D3996" s="753" t="s">
        <v>46179</v>
      </c>
      <c r="E3996" s="752" t="s">
        <v>46178</v>
      </c>
      <c r="F3996" s="751">
        <v>8895</v>
      </c>
    </row>
    <row r="3997" spans="1:6">
      <c r="A3997" s="753"/>
      <c r="B3997" s="753"/>
      <c r="C3997" s="752" t="s">
        <v>46177</v>
      </c>
      <c r="D3997" s="753" t="s">
        <v>46156</v>
      </c>
      <c r="E3997" s="752" t="s">
        <v>293</v>
      </c>
      <c r="F3997" s="751">
        <v>2949</v>
      </c>
    </row>
    <row r="3998" spans="1:6">
      <c r="A3998" s="753"/>
      <c r="B3998" s="753"/>
      <c r="C3998" s="752" t="s">
        <v>46176</v>
      </c>
      <c r="D3998" s="753" t="s">
        <v>46162</v>
      </c>
      <c r="E3998" s="752" t="s">
        <v>293</v>
      </c>
      <c r="F3998" s="751">
        <v>4000</v>
      </c>
    </row>
    <row r="3999" spans="1:6">
      <c r="A3999" s="753"/>
      <c r="B3999" s="753"/>
      <c r="C3999" s="752" t="s">
        <v>46175</v>
      </c>
      <c r="D3999" s="753" t="s">
        <v>46162</v>
      </c>
      <c r="E3999" s="752" t="s">
        <v>39011</v>
      </c>
      <c r="F3999" s="751">
        <v>4760</v>
      </c>
    </row>
    <row r="4000" spans="1:6">
      <c r="A4000" s="753"/>
      <c r="B4000" s="753"/>
      <c r="C4000" s="752" t="s">
        <v>46174</v>
      </c>
      <c r="D4000" s="753" t="s">
        <v>46156</v>
      </c>
      <c r="E4000" s="752" t="s">
        <v>293</v>
      </c>
      <c r="F4000" s="751">
        <v>2949</v>
      </c>
    </row>
    <row r="4001" spans="1:6">
      <c r="A4001" s="753"/>
      <c r="B4001" s="753"/>
      <c r="C4001" s="752" t="s">
        <v>46173</v>
      </c>
      <c r="D4001" s="753" t="s">
        <v>46156</v>
      </c>
      <c r="E4001" s="752" t="s">
        <v>293</v>
      </c>
      <c r="F4001" s="751">
        <v>2949</v>
      </c>
    </row>
    <row r="4002" spans="1:6">
      <c r="A4002" s="753"/>
      <c r="B4002" s="753"/>
      <c r="C4002" s="752" t="s">
        <v>46172</v>
      </c>
      <c r="D4002" s="753" t="s">
        <v>46162</v>
      </c>
      <c r="E4002" s="752" t="s">
        <v>293</v>
      </c>
      <c r="F4002" s="751">
        <v>4000</v>
      </c>
    </row>
    <row r="4003" spans="1:6">
      <c r="A4003" s="753"/>
      <c r="B4003" s="753"/>
      <c r="C4003" s="752" t="s">
        <v>46171</v>
      </c>
      <c r="D4003" s="753" t="s">
        <v>46160</v>
      </c>
      <c r="E4003" s="752" t="s">
        <v>293</v>
      </c>
      <c r="F4003" s="751">
        <v>4099</v>
      </c>
    </row>
    <row r="4004" spans="1:6">
      <c r="A4004" s="753"/>
      <c r="B4004" s="753"/>
      <c r="C4004" s="752" t="s">
        <v>46170</v>
      </c>
      <c r="D4004" s="753" t="s">
        <v>46154</v>
      </c>
      <c r="E4004" s="752" t="s">
        <v>293</v>
      </c>
      <c r="F4004" s="751">
        <v>3649</v>
      </c>
    </row>
    <row r="4005" spans="1:6">
      <c r="A4005" s="753"/>
      <c r="B4005" s="753"/>
      <c r="C4005" s="752" t="s">
        <v>46169</v>
      </c>
      <c r="D4005" s="753" t="s">
        <v>46154</v>
      </c>
      <c r="E4005" s="752" t="s">
        <v>293</v>
      </c>
      <c r="F4005" s="751">
        <v>4409</v>
      </c>
    </row>
    <row r="4006" spans="1:6">
      <c r="A4006" s="753"/>
      <c r="B4006" s="753"/>
      <c r="C4006" s="752" t="s">
        <v>46168</v>
      </c>
      <c r="D4006" s="753" t="s">
        <v>46156</v>
      </c>
      <c r="E4006" s="752" t="s">
        <v>293</v>
      </c>
      <c r="F4006" s="751">
        <v>2949</v>
      </c>
    </row>
    <row r="4007" spans="1:6">
      <c r="A4007" s="753"/>
      <c r="B4007" s="753"/>
      <c r="C4007" s="752" t="s">
        <v>46167</v>
      </c>
      <c r="D4007" s="753" t="s">
        <v>46160</v>
      </c>
      <c r="E4007" s="752" t="s">
        <v>293</v>
      </c>
      <c r="F4007" s="751">
        <v>4099</v>
      </c>
    </row>
    <row r="4008" spans="1:6">
      <c r="A4008" s="753"/>
      <c r="B4008" s="753"/>
      <c r="C4008" s="752" t="s">
        <v>46166</v>
      </c>
      <c r="D4008" s="753" t="s">
        <v>46154</v>
      </c>
      <c r="E4008" s="752" t="s">
        <v>293</v>
      </c>
      <c r="F4008" s="751">
        <v>3649</v>
      </c>
    </row>
    <row r="4009" spans="1:6">
      <c r="A4009" s="753"/>
      <c r="B4009" s="753"/>
      <c r="C4009" s="752" t="s">
        <v>46165</v>
      </c>
      <c r="D4009" s="753" t="s">
        <v>46154</v>
      </c>
      <c r="E4009" s="752" t="s">
        <v>293</v>
      </c>
      <c r="F4009" s="751">
        <v>4530</v>
      </c>
    </row>
    <row r="4010" spans="1:6">
      <c r="A4010" s="753"/>
      <c r="B4010" s="753"/>
      <c r="C4010" s="752" t="s">
        <v>46164</v>
      </c>
      <c r="D4010" s="753" t="s">
        <v>46156</v>
      </c>
      <c r="E4010" s="752" t="s">
        <v>293</v>
      </c>
      <c r="F4010" s="751">
        <v>2949</v>
      </c>
    </row>
    <row r="4011" spans="1:6">
      <c r="A4011" s="753"/>
      <c r="B4011" s="753"/>
      <c r="C4011" s="752" t="s">
        <v>46163</v>
      </c>
      <c r="D4011" s="753" t="s">
        <v>46162</v>
      </c>
      <c r="E4011" s="752" t="s">
        <v>293</v>
      </c>
      <c r="F4011" s="751">
        <v>4000</v>
      </c>
    </row>
    <row r="4012" spans="1:6">
      <c r="A4012" s="753"/>
      <c r="B4012" s="753"/>
      <c r="C4012" s="752" t="s">
        <v>46161</v>
      </c>
      <c r="D4012" s="753" t="s">
        <v>46160</v>
      </c>
      <c r="E4012" s="752" t="s">
        <v>293</v>
      </c>
      <c r="F4012" s="751">
        <v>4099</v>
      </c>
    </row>
    <row r="4013" spans="1:6">
      <c r="A4013" s="753"/>
      <c r="B4013" s="753"/>
      <c r="C4013" s="752" t="s">
        <v>46159</v>
      </c>
      <c r="D4013" s="753" t="s">
        <v>46154</v>
      </c>
      <c r="E4013" s="752" t="s">
        <v>293</v>
      </c>
      <c r="F4013" s="751">
        <v>4409</v>
      </c>
    </row>
    <row r="4014" spans="1:6">
      <c r="A4014" s="753"/>
      <c r="B4014" s="753"/>
      <c r="C4014" s="752" t="s">
        <v>46158</v>
      </c>
      <c r="D4014" s="753" t="s">
        <v>46156</v>
      </c>
      <c r="E4014" s="752" t="s">
        <v>38670</v>
      </c>
      <c r="F4014" s="751">
        <v>3709</v>
      </c>
    </row>
    <row r="4015" spans="1:6">
      <c r="A4015" s="753"/>
      <c r="B4015" s="753"/>
      <c r="C4015" s="752" t="s">
        <v>46157</v>
      </c>
      <c r="D4015" s="753" t="s">
        <v>46156</v>
      </c>
      <c r="E4015" s="752" t="s">
        <v>39963</v>
      </c>
      <c r="F4015" s="751">
        <v>2949</v>
      </c>
    </row>
    <row r="4016" spans="1:6">
      <c r="A4016" s="753"/>
      <c r="B4016" s="753"/>
      <c r="C4016" s="752" t="s">
        <v>46155</v>
      </c>
      <c r="D4016" s="753" t="s">
        <v>46154</v>
      </c>
      <c r="E4016" s="752" t="s">
        <v>293</v>
      </c>
      <c r="F4016" s="751">
        <v>4409</v>
      </c>
    </row>
    <row r="4017" spans="1:6">
      <c r="A4017" s="753"/>
      <c r="B4017" s="753"/>
      <c r="C4017" s="752" t="s">
        <v>46153</v>
      </c>
      <c r="D4017" s="753" t="s">
        <v>46144</v>
      </c>
      <c r="E4017" s="752" t="s">
        <v>293</v>
      </c>
      <c r="F4017" s="751">
        <v>3249</v>
      </c>
    </row>
    <row r="4018" spans="1:6">
      <c r="A4018" s="753"/>
      <c r="B4018" s="753"/>
      <c r="C4018" s="752" t="s">
        <v>46152</v>
      </c>
      <c r="D4018" s="753" t="s">
        <v>46142</v>
      </c>
      <c r="E4018" s="752" t="s">
        <v>293</v>
      </c>
      <c r="F4018" s="751">
        <v>3349</v>
      </c>
    </row>
    <row r="4019" spans="1:6">
      <c r="A4019" s="753"/>
      <c r="B4019" s="753"/>
      <c r="C4019" s="752" t="s">
        <v>46151</v>
      </c>
      <c r="D4019" s="753" t="s">
        <v>46142</v>
      </c>
      <c r="E4019" s="752" t="s">
        <v>293</v>
      </c>
      <c r="F4019" s="751">
        <v>3349</v>
      </c>
    </row>
    <row r="4020" spans="1:6">
      <c r="A4020" s="753"/>
      <c r="B4020" s="753"/>
      <c r="C4020" s="752" t="s">
        <v>46150</v>
      </c>
      <c r="D4020" s="753" t="s">
        <v>46144</v>
      </c>
      <c r="E4020" s="752" t="s">
        <v>293</v>
      </c>
      <c r="F4020" s="751">
        <v>3249</v>
      </c>
    </row>
    <row r="4021" spans="1:6">
      <c r="A4021" s="753"/>
      <c r="B4021" s="753"/>
      <c r="C4021" s="752" t="s">
        <v>46149</v>
      </c>
      <c r="D4021" s="753" t="s">
        <v>46142</v>
      </c>
      <c r="E4021" s="752" t="s">
        <v>293</v>
      </c>
      <c r="F4021" s="751">
        <v>3349</v>
      </c>
    </row>
    <row r="4022" spans="1:6">
      <c r="A4022" s="753"/>
      <c r="B4022" s="753"/>
      <c r="C4022" s="752" t="s">
        <v>46148</v>
      </c>
      <c r="D4022" s="753" t="s">
        <v>46142</v>
      </c>
      <c r="E4022" s="752" t="s">
        <v>293</v>
      </c>
      <c r="F4022" s="751">
        <v>4109</v>
      </c>
    </row>
    <row r="4023" spans="1:6">
      <c r="A4023" s="753"/>
      <c r="B4023" s="753"/>
      <c r="C4023" s="752" t="s">
        <v>46147</v>
      </c>
      <c r="D4023" s="753" t="s">
        <v>46144</v>
      </c>
      <c r="E4023" s="752" t="s">
        <v>293</v>
      </c>
      <c r="F4023" s="751">
        <v>3249</v>
      </c>
    </row>
    <row r="4024" spans="1:6">
      <c r="A4024" s="753"/>
      <c r="B4024" s="753"/>
      <c r="C4024" s="752" t="s">
        <v>46146</v>
      </c>
      <c r="D4024" s="753" t="s">
        <v>46142</v>
      </c>
      <c r="E4024" s="752" t="s">
        <v>293</v>
      </c>
      <c r="F4024" s="751">
        <v>3349</v>
      </c>
    </row>
    <row r="4025" spans="1:6">
      <c r="A4025" s="753"/>
      <c r="B4025" s="753"/>
      <c r="C4025" s="752" t="s">
        <v>46145</v>
      </c>
      <c r="D4025" s="753" t="s">
        <v>46144</v>
      </c>
      <c r="E4025" s="752" t="s">
        <v>293</v>
      </c>
      <c r="F4025" s="751">
        <v>3249</v>
      </c>
    </row>
    <row r="4026" spans="1:6">
      <c r="A4026" s="753"/>
      <c r="B4026" s="753"/>
      <c r="C4026" s="752" t="s">
        <v>46143</v>
      </c>
      <c r="D4026" s="753" t="s">
        <v>46142</v>
      </c>
      <c r="E4026" s="752" t="s">
        <v>293</v>
      </c>
      <c r="F4026" s="751">
        <v>3349</v>
      </c>
    </row>
    <row r="4027" spans="1:6">
      <c r="A4027" s="753"/>
      <c r="B4027" s="753"/>
      <c r="C4027" s="752" t="s">
        <v>46141</v>
      </c>
      <c r="D4027" s="753" t="s">
        <v>46137</v>
      </c>
      <c r="E4027" s="752" t="s">
        <v>293</v>
      </c>
      <c r="F4027" s="751">
        <v>3849</v>
      </c>
    </row>
    <row r="4028" spans="1:6">
      <c r="A4028" s="753"/>
      <c r="B4028" s="753"/>
      <c r="C4028" s="752" t="s">
        <v>46140</v>
      </c>
      <c r="D4028" s="753" t="s">
        <v>46137</v>
      </c>
      <c r="E4028" s="752" t="s">
        <v>293</v>
      </c>
      <c r="F4028" s="751">
        <v>3849</v>
      </c>
    </row>
    <row r="4029" spans="1:6">
      <c r="A4029" s="753"/>
      <c r="B4029" s="753"/>
      <c r="C4029" s="752" t="s">
        <v>46139</v>
      </c>
      <c r="D4029" s="753" t="s">
        <v>46137</v>
      </c>
      <c r="E4029" s="752" t="s">
        <v>293</v>
      </c>
      <c r="F4029" s="751">
        <v>3849</v>
      </c>
    </row>
    <row r="4030" spans="1:6">
      <c r="A4030" s="753"/>
      <c r="B4030" s="753"/>
      <c r="C4030" s="752" t="s">
        <v>46138</v>
      </c>
      <c r="D4030" s="753" t="s">
        <v>46137</v>
      </c>
      <c r="E4030" s="752" t="s">
        <v>293</v>
      </c>
      <c r="F4030" s="751">
        <v>3849</v>
      </c>
    </row>
    <row r="4031" spans="1:6">
      <c r="A4031" s="753"/>
      <c r="B4031" s="753"/>
      <c r="C4031" s="752" t="s">
        <v>46136</v>
      </c>
      <c r="D4031" s="753" t="s">
        <v>46133</v>
      </c>
      <c r="E4031" s="752" t="s">
        <v>46132</v>
      </c>
      <c r="F4031" s="751">
        <v>4099</v>
      </c>
    </row>
    <row r="4032" spans="1:6">
      <c r="A4032" s="753"/>
      <c r="B4032" s="753"/>
      <c r="C4032" s="752" t="s">
        <v>46135</v>
      </c>
      <c r="D4032" s="753" t="s">
        <v>46133</v>
      </c>
      <c r="E4032" s="752" t="s">
        <v>46132</v>
      </c>
      <c r="F4032" s="751">
        <v>4099</v>
      </c>
    </row>
    <row r="4033" spans="1:6">
      <c r="A4033" s="753"/>
      <c r="B4033" s="753"/>
      <c r="C4033" s="752" t="s">
        <v>46134</v>
      </c>
      <c r="D4033" s="753" t="s">
        <v>46133</v>
      </c>
      <c r="E4033" s="752" t="s">
        <v>46132</v>
      </c>
      <c r="F4033" s="751">
        <v>4099</v>
      </c>
    </row>
    <row r="4034" spans="1:6">
      <c r="A4034" s="753"/>
      <c r="B4034" s="753"/>
      <c r="C4034" s="752" t="s">
        <v>46131</v>
      </c>
      <c r="D4034" s="753" t="s">
        <v>46129</v>
      </c>
      <c r="E4034" s="752" t="s">
        <v>45852</v>
      </c>
      <c r="F4034" s="751">
        <v>2925</v>
      </c>
    </row>
    <row r="4035" spans="1:6">
      <c r="A4035" s="753"/>
      <c r="B4035" s="753"/>
      <c r="C4035" s="752" t="s">
        <v>46130</v>
      </c>
      <c r="D4035" s="753" t="s">
        <v>46129</v>
      </c>
      <c r="E4035" s="752" t="s">
        <v>46128</v>
      </c>
      <c r="F4035" s="751">
        <v>2625</v>
      </c>
    </row>
    <row r="4036" spans="1:6">
      <c r="A4036" s="753"/>
      <c r="B4036" s="753"/>
      <c r="C4036" s="752" t="s">
        <v>46127</v>
      </c>
      <c r="D4036" s="753" t="s">
        <v>46125</v>
      </c>
      <c r="E4036" s="752" t="s">
        <v>45628</v>
      </c>
      <c r="F4036" s="751">
        <v>3475</v>
      </c>
    </row>
    <row r="4037" spans="1:6">
      <c r="A4037" s="753"/>
      <c r="B4037" s="753"/>
      <c r="C4037" s="752" t="s">
        <v>46126</v>
      </c>
      <c r="D4037" s="753" t="s">
        <v>46125</v>
      </c>
      <c r="E4037" s="752" t="s">
        <v>45628</v>
      </c>
      <c r="F4037" s="751">
        <v>3475</v>
      </c>
    </row>
    <row r="4038" spans="1:6">
      <c r="A4038" s="753"/>
      <c r="B4038" s="753"/>
      <c r="C4038" s="752" t="s">
        <v>46124</v>
      </c>
      <c r="D4038" s="753" t="s">
        <v>46123</v>
      </c>
      <c r="E4038" s="752" t="s">
        <v>39636</v>
      </c>
      <c r="F4038" s="751">
        <v>2625</v>
      </c>
    </row>
    <row r="4039" spans="1:6">
      <c r="A4039" s="753"/>
      <c r="B4039" s="753"/>
      <c r="C4039" s="752" t="s">
        <v>46122</v>
      </c>
      <c r="D4039" s="753" t="s">
        <v>45604</v>
      </c>
      <c r="E4039" s="752" t="s">
        <v>293</v>
      </c>
      <c r="F4039" s="751">
        <v>2825</v>
      </c>
    </row>
    <row r="4040" spans="1:6">
      <c r="A4040" s="753"/>
      <c r="B4040" s="753"/>
      <c r="C4040" s="752" t="s">
        <v>46121</v>
      </c>
      <c r="D4040" s="753" t="s">
        <v>45604</v>
      </c>
      <c r="E4040" s="752" t="s">
        <v>39403</v>
      </c>
      <c r="F4040" s="751">
        <v>3585</v>
      </c>
    </row>
    <row r="4041" spans="1:6">
      <c r="A4041" s="753"/>
      <c r="B4041" s="753"/>
      <c r="C4041" s="752" t="s">
        <v>46120</v>
      </c>
      <c r="D4041" s="753" t="s">
        <v>45604</v>
      </c>
      <c r="E4041" s="752" t="s">
        <v>39996</v>
      </c>
      <c r="F4041" s="751">
        <v>2825</v>
      </c>
    </row>
    <row r="4042" spans="1:6">
      <c r="A4042" s="753"/>
      <c r="B4042" s="753"/>
      <c r="C4042" s="752" t="s">
        <v>46119</v>
      </c>
      <c r="D4042" s="753" t="s">
        <v>45604</v>
      </c>
      <c r="E4042" s="752" t="s">
        <v>38577</v>
      </c>
      <c r="F4042" s="751">
        <v>3585</v>
      </c>
    </row>
    <row r="4043" spans="1:6">
      <c r="A4043" s="753"/>
      <c r="B4043" s="753"/>
      <c r="C4043" s="752" t="s">
        <v>46118</v>
      </c>
      <c r="D4043" s="753" t="s">
        <v>45604</v>
      </c>
      <c r="E4043" s="752" t="s">
        <v>40434</v>
      </c>
      <c r="F4043" s="751">
        <v>2825</v>
      </c>
    </row>
    <row r="4044" spans="1:6">
      <c r="A4044" s="753"/>
      <c r="B4044" s="753"/>
      <c r="C4044" s="752" t="s">
        <v>46117</v>
      </c>
      <c r="D4044" s="753" t="s">
        <v>45604</v>
      </c>
      <c r="E4044" s="752" t="s">
        <v>46116</v>
      </c>
      <c r="F4044" s="751">
        <v>2575</v>
      </c>
    </row>
    <row r="4045" spans="1:6">
      <c r="A4045" s="753"/>
      <c r="B4045" s="753"/>
      <c r="C4045" s="752" t="s">
        <v>46115</v>
      </c>
      <c r="D4045" s="753" t="s">
        <v>45604</v>
      </c>
      <c r="E4045" s="752" t="s">
        <v>46114</v>
      </c>
      <c r="F4045" s="751">
        <v>3585</v>
      </c>
    </row>
    <row r="4046" spans="1:6">
      <c r="A4046" s="753"/>
      <c r="B4046" s="753"/>
      <c r="C4046" s="752" t="s">
        <v>46113</v>
      </c>
      <c r="D4046" s="753" t="s">
        <v>45604</v>
      </c>
      <c r="E4046" s="752" t="s">
        <v>40728</v>
      </c>
      <c r="F4046" s="751">
        <v>2825</v>
      </c>
    </row>
    <row r="4047" spans="1:6">
      <c r="A4047" s="753"/>
      <c r="B4047" s="753"/>
      <c r="C4047" s="752" t="s">
        <v>46112</v>
      </c>
      <c r="D4047" s="753" t="s">
        <v>45604</v>
      </c>
      <c r="E4047" s="752" t="s">
        <v>45628</v>
      </c>
      <c r="F4047" s="751">
        <v>2825</v>
      </c>
    </row>
    <row r="4048" spans="1:6">
      <c r="A4048" s="753"/>
      <c r="B4048" s="753"/>
      <c r="C4048" s="752" t="s">
        <v>46111</v>
      </c>
      <c r="D4048" s="753" t="s">
        <v>46043</v>
      </c>
      <c r="E4048" s="752" t="s">
        <v>45583</v>
      </c>
      <c r="F4048" s="751">
        <v>2525</v>
      </c>
    </row>
    <row r="4049" spans="1:6">
      <c r="A4049" s="753"/>
      <c r="B4049" s="753"/>
      <c r="C4049" s="752" t="s">
        <v>46110</v>
      </c>
      <c r="D4049" s="753" t="s">
        <v>45604</v>
      </c>
      <c r="E4049" s="752" t="s">
        <v>46109</v>
      </c>
      <c r="F4049" s="751">
        <v>3585</v>
      </c>
    </row>
    <row r="4050" spans="1:6">
      <c r="A4050" s="753"/>
      <c r="B4050" s="753"/>
      <c r="C4050" s="752" t="s">
        <v>46108</v>
      </c>
      <c r="D4050" s="753" t="s">
        <v>45604</v>
      </c>
      <c r="E4050" s="752" t="s">
        <v>45659</v>
      </c>
      <c r="F4050" s="751">
        <v>3585</v>
      </c>
    </row>
    <row r="4051" spans="1:6">
      <c r="A4051" s="753"/>
      <c r="B4051" s="753"/>
      <c r="C4051" s="752" t="s">
        <v>46107</v>
      </c>
      <c r="D4051" s="753" t="s">
        <v>45604</v>
      </c>
      <c r="E4051" s="752" t="s">
        <v>46106</v>
      </c>
      <c r="F4051" s="751">
        <v>2825</v>
      </c>
    </row>
    <row r="4052" spans="1:6">
      <c r="A4052" s="753"/>
      <c r="B4052" s="753"/>
      <c r="C4052" s="752" t="s">
        <v>46105</v>
      </c>
      <c r="D4052" s="753" t="s">
        <v>45604</v>
      </c>
      <c r="E4052" s="752" t="s">
        <v>46104</v>
      </c>
      <c r="F4052" s="751">
        <v>3585</v>
      </c>
    </row>
    <row r="4053" spans="1:6">
      <c r="A4053" s="753"/>
      <c r="B4053" s="753"/>
      <c r="C4053" s="752" t="s">
        <v>46103</v>
      </c>
      <c r="D4053" s="753" t="s">
        <v>45604</v>
      </c>
      <c r="E4053" s="752" t="s">
        <v>45622</v>
      </c>
      <c r="F4053" s="751">
        <v>2825</v>
      </c>
    </row>
    <row r="4054" spans="1:6">
      <c r="A4054" s="753"/>
      <c r="B4054" s="753"/>
      <c r="C4054" s="752" t="s">
        <v>46102</v>
      </c>
      <c r="D4054" s="753" t="s">
        <v>46043</v>
      </c>
      <c r="E4054" s="752" t="s">
        <v>45653</v>
      </c>
      <c r="F4054" s="751">
        <v>2525</v>
      </c>
    </row>
    <row r="4055" spans="1:6">
      <c r="A4055" s="753"/>
      <c r="B4055" s="753"/>
      <c r="C4055" s="752" t="s">
        <v>46101</v>
      </c>
      <c r="D4055" s="753" t="s">
        <v>45604</v>
      </c>
      <c r="E4055" s="752" t="s">
        <v>46100</v>
      </c>
      <c r="F4055" s="751">
        <v>3585</v>
      </c>
    </row>
    <row r="4056" spans="1:6">
      <c r="A4056" s="753"/>
      <c r="B4056" s="753"/>
      <c r="C4056" s="752" t="s">
        <v>46099</v>
      </c>
      <c r="D4056" s="753" t="s">
        <v>45604</v>
      </c>
      <c r="E4056" s="752" t="s">
        <v>45630</v>
      </c>
      <c r="F4056" s="751">
        <v>3585</v>
      </c>
    </row>
    <row r="4057" spans="1:6">
      <c r="A4057" s="753"/>
      <c r="B4057" s="753"/>
      <c r="C4057" s="752" t="s">
        <v>46098</v>
      </c>
      <c r="D4057" s="753" t="s">
        <v>45604</v>
      </c>
      <c r="E4057" s="752" t="s">
        <v>45646</v>
      </c>
      <c r="F4057" s="751">
        <v>2575</v>
      </c>
    </row>
    <row r="4058" spans="1:6">
      <c r="A4058" s="753"/>
      <c r="B4058" s="753"/>
      <c r="C4058" s="752" t="s">
        <v>46097</v>
      </c>
      <c r="D4058" s="753" t="s">
        <v>45604</v>
      </c>
      <c r="E4058" s="752" t="s">
        <v>45622</v>
      </c>
      <c r="F4058" s="751">
        <v>2825</v>
      </c>
    </row>
    <row r="4059" spans="1:6">
      <c r="A4059" s="753"/>
      <c r="B4059" s="753"/>
      <c r="C4059" s="752" t="s">
        <v>46096</v>
      </c>
      <c r="D4059" s="753" t="s">
        <v>45604</v>
      </c>
      <c r="E4059" s="752" t="s">
        <v>45704</v>
      </c>
      <c r="F4059" s="751">
        <v>3585</v>
      </c>
    </row>
    <row r="4060" spans="1:6">
      <c r="A4060" s="753"/>
      <c r="B4060" s="753"/>
      <c r="C4060" s="752" t="s">
        <v>46095</v>
      </c>
      <c r="D4060" s="753" t="s">
        <v>45604</v>
      </c>
      <c r="E4060" s="752" t="s">
        <v>45630</v>
      </c>
      <c r="F4060" s="751">
        <v>3585</v>
      </c>
    </row>
    <row r="4061" spans="1:6">
      <c r="A4061" s="753"/>
      <c r="B4061" s="753"/>
      <c r="C4061" s="752" t="s">
        <v>46094</v>
      </c>
      <c r="D4061" s="753" t="s">
        <v>45604</v>
      </c>
      <c r="E4061" s="752" t="s">
        <v>45723</v>
      </c>
      <c r="F4061" s="751">
        <v>3585</v>
      </c>
    </row>
    <row r="4062" spans="1:6">
      <c r="A4062" s="753"/>
      <c r="B4062" s="753"/>
      <c r="C4062" s="752" t="s">
        <v>46093</v>
      </c>
      <c r="D4062" s="753" t="s">
        <v>45604</v>
      </c>
      <c r="E4062" s="752" t="s">
        <v>46092</v>
      </c>
      <c r="F4062" s="751">
        <v>3915</v>
      </c>
    </row>
    <row r="4063" spans="1:6">
      <c r="A4063" s="753"/>
      <c r="B4063" s="753"/>
      <c r="C4063" s="752" t="s">
        <v>46091</v>
      </c>
      <c r="D4063" s="753" t="s">
        <v>45604</v>
      </c>
      <c r="E4063" s="752" t="s">
        <v>45949</v>
      </c>
      <c r="F4063" s="751">
        <v>3585</v>
      </c>
    </row>
    <row r="4064" spans="1:6">
      <c r="A4064" s="753"/>
      <c r="B4064" s="753"/>
      <c r="C4064" s="752" t="s">
        <v>46090</v>
      </c>
      <c r="D4064" s="753" t="s">
        <v>45604</v>
      </c>
      <c r="E4064" s="752" t="s">
        <v>41676</v>
      </c>
      <c r="F4064" s="751">
        <v>2575</v>
      </c>
    </row>
    <row r="4065" spans="1:6">
      <c r="A4065" s="753"/>
      <c r="B4065" s="753"/>
      <c r="C4065" s="752" t="s">
        <v>46089</v>
      </c>
      <c r="D4065" s="753" t="s">
        <v>45604</v>
      </c>
      <c r="E4065" s="752" t="s">
        <v>46088</v>
      </c>
      <c r="F4065" s="751">
        <v>2325</v>
      </c>
    </row>
    <row r="4066" spans="1:6">
      <c r="A4066" s="753"/>
      <c r="B4066" s="753"/>
      <c r="C4066" s="752" t="s">
        <v>46087</v>
      </c>
      <c r="D4066" s="753" t="s">
        <v>45604</v>
      </c>
      <c r="E4066" s="752" t="s">
        <v>45878</v>
      </c>
      <c r="F4066" s="751">
        <v>2575</v>
      </c>
    </row>
    <row r="4067" spans="1:6">
      <c r="A4067" s="753"/>
      <c r="B4067" s="753"/>
      <c r="C4067" s="752" t="s">
        <v>46086</v>
      </c>
      <c r="D4067" s="753" t="s">
        <v>45604</v>
      </c>
      <c r="E4067" s="752" t="s">
        <v>46085</v>
      </c>
      <c r="F4067" s="751">
        <v>3915</v>
      </c>
    </row>
    <row r="4068" spans="1:6">
      <c r="A4068" s="753"/>
      <c r="B4068" s="753"/>
      <c r="C4068" s="752" t="s">
        <v>46084</v>
      </c>
      <c r="D4068" s="753" t="s">
        <v>45604</v>
      </c>
      <c r="E4068" s="752" t="s">
        <v>46083</v>
      </c>
      <c r="F4068" s="751">
        <v>3585</v>
      </c>
    </row>
    <row r="4069" spans="1:6">
      <c r="A4069" s="753"/>
      <c r="B4069" s="753"/>
      <c r="C4069" s="752" t="s">
        <v>46082</v>
      </c>
      <c r="D4069" s="753" t="s">
        <v>45604</v>
      </c>
      <c r="E4069" s="752" t="s">
        <v>46005</v>
      </c>
      <c r="F4069" s="751">
        <v>2575</v>
      </c>
    </row>
    <row r="4070" spans="1:6">
      <c r="A4070" s="753"/>
      <c r="B4070" s="753"/>
      <c r="C4070" s="752" t="s">
        <v>46081</v>
      </c>
      <c r="D4070" s="753" t="s">
        <v>45604</v>
      </c>
      <c r="E4070" s="752" t="s">
        <v>46080</v>
      </c>
      <c r="F4070" s="751">
        <v>2575</v>
      </c>
    </row>
    <row r="4071" spans="1:6">
      <c r="A4071" s="753"/>
      <c r="B4071" s="753"/>
      <c r="C4071" s="752" t="s">
        <v>46079</v>
      </c>
      <c r="D4071" s="753" t="s">
        <v>45604</v>
      </c>
      <c r="E4071" s="752" t="s">
        <v>38539</v>
      </c>
      <c r="F4071" s="751">
        <v>2825</v>
      </c>
    </row>
    <row r="4072" spans="1:6">
      <c r="A4072" s="753"/>
      <c r="B4072" s="753"/>
      <c r="C4072" s="752" t="s">
        <v>46078</v>
      </c>
      <c r="D4072" s="753" t="s">
        <v>46043</v>
      </c>
      <c r="E4072" s="752" t="s">
        <v>45872</v>
      </c>
      <c r="F4072" s="751">
        <v>2525</v>
      </c>
    </row>
    <row r="4073" spans="1:6">
      <c r="A4073" s="753"/>
      <c r="B4073" s="753"/>
      <c r="C4073" s="752" t="s">
        <v>46077</v>
      </c>
      <c r="D4073" s="753" t="s">
        <v>45604</v>
      </c>
      <c r="E4073" s="752" t="s">
        <v>46076</v>
      </c>
      <c r="F4073" s="751">
        <v>3585</v>
      </c>
    </row>
    <row r="4074" spans="1:6">
      <c r="A4074" s="753"/>
      <c r="B4074" s="753"/>
      <c r="C4074" s="752" t="s">
        <v>46075</v>
      </c>
      <c r="D4074" s="753" t="s">
        <v>45604</v>
      </c>
      <c r="E4074" s="752" t="s">
        <v>45659</v>
      </c>
      <c r="F4074" s="751">
        <v>4380</v>
      </c>
    </row>
    <row r="4075" spans="1:6">
      <c r="A4075" s="753"/>
      <c r="B4075" s="753"/>
      <c r="C4075" s="752" t="s">
        <v>46074</v>
      </c>
      <c r="D4075" s="753" t="s">
        <v>45604</v>
      </c>
      <c r="E4075" s="752" t="s">
        <v>46073</v>
      </c>
      <c r="F4075" s="751">
        <v>3535</v>
      </c>
    </row>
    <row r="4076" spans="1:6">
      <c r="A4076" s="753"/>
      <c r="B4076" s="753"/>
      <c r="C4076" s="752" t="s">
        <v>46072</v>
      </c>
      <c r="D4076" s="753" t="s">
        <v>46051</v>
      </c>
      <c r="E4076" s="752" t="s">
        <v>46071</v>
      </c>
      <c r="F4076" s="751">
        <v>3775</v>
      </c>
    </row>
    <row r="4077" spans="1:6">
      <c r="A4077" s="753"/>
      <c r="B4077" s="753"/>
      <c r="C4077" s="752" t="s">
        <v>46070</v>
      </c>
      <c r="D4077" s="753" t="s">
        <v>45604</v>
      </c>
      <c r="E4077" s="752" t="s">
        <v>45659</v>
      </c>
      <c r="F4077" s="751">
        <v>3585</v>
      </c>
    </row>
    <row r="4078" spans="1:6">
      <c r="A4078" s="753"/>
      <c r="B4078" s="753"/>
      <c r="C4078" s="752" t="s">
        <v>46069</v>
      </c>
      <c r="D4078" s="753" t="s">
        <v>45604</v>
      </c>
      <c r="E4078" s="752" t="s">
        <v>45659</v>
      </c>
      <c r="F4078" s="751">
        <v>3585</v>
      </c>
    </row>
    <row r="4079" spans="1:6">
      <c r="A4079" s="753"/>
      <c r="B4079" s="753"/>
      <c r="C4079" s="752" t="s">
        <v>46068</v>
      </c>
      <c r="D4079" s="753" t="s">
        <v>45604</v>
      </c>
      <c r="E4079" s="752" t="s">
        <v>45852</v>
      </c>
      <c r="F4079" s="751">
        <v>2825</v>
      </c>
    </row>
    <row r="4080" spans="1:6">
      <c r="A4080" s="753"/>
      <c r="B4080" s="753"/>
      <c r="C4080" s="752" t="s">
        <v>46067</v>
      </c>
      <c r="D4080" s="753" t="s">
        <v>46043</v>
      </c>
      <c r="E4080" s="752" t="s">
        <v>45653</v>
      </c>
      <c r="F4080" s="751">
        <v>2525</v>
      </c>
    </row>
    <row r="4081" spans="1:6">
      <c r="A4081" s="753"/>
      <c r="B4081" s="753"/>
      <c r="C4081" s="752" t="s">
        <v>46066</v>
      </c>
      <c r="D4081" s="753" t="s">
        <v>46043</v>
      </c>
      <c r="E4081" s="752" t="s">
        <v>46065</v>
      </c>
      <c r="F4081" s="751">
        <v>3585</v>
      </c>
    </row>
    <row r="4082" spans="1:6">
      <c r="A4082" s="753"/>
      <c r="B4082" s="753"/>
      <c r="C4082" s="752" t="s">
        <v>46064</v>
      </c>
      <c r="D4082" s="753" t="s">
        <v>46043</v>
      </c>
      <c r="E4082" s="752" t="s">
        <v>46063</v>
      </c>
      <c r="F4082" s="751">
        <v>3285</v>
      </c>
    </row>
    <row r="4083" spans="1:6">
      <c r="A4083" s="753"/>
      <c r="B4083" s="753"/>
      <c r="C4083" s="752" t="s">
        <v>46062</v>
      </c>
      <c r="D4083" s="753" t="s">
        <v>45604</v>
      </c>
      <c r="E4083" s="752" t="s">
        <v>46061</v>
      </c>
      <c r="F4083" s="751">
        <v>2575</v>
      </c>
    </row>
    <row r="4084" spans="1:6">
      <c r="A4084" s="753"/>
      <c r="B4084" s="753"/>
      <c r="C4084" s="752" t="s">
        <v>46060</v>
      </c>
      <c r="D4084" s="753" t="s">
        <v>45604</v>
      </c>
      <c r="E4084" s="752" t="s">
        <v>45989</v>
      </c>
      <c r="F4084" s="751">
        <v>3335</v>
      </c>
    </row>
    <row r="4085" spans="1:6">
      <c r="A4085" s="753"/>
      <c r="B4085" s="753"/>
      <c r="C4085" s="752" t="s">
        <v>46059</v>
      </c>
      <c r="D4085" s="753" t="s">
        <v>45604</v>
      </c>
      <c r="E4085" s="752" t="s">
        <v>46058</v>
      </c>
      <c r="F4085" s="751">
        <v>3225</v>
      </c>
    </row>
    <row r="4086" spans="1:6">
      <c r="A4086" s="753"/>
      <c r="B4086" s="753"/>
      <c r="C4086" s="752" t="s">
        <v>46057</v>
      </c>
      <c r="D4086" s="753" t="s">
        <v>46051</v>
      </c>
      <c r="E4086" s="752" t="s">
        <v>45702</v>
      </c>
      <c r="F4086" s="751">
        <v>3775</v>
      </c>
    </row>
    <row r="4087" spans="1:6">
      <c r="A4087" s="753"/>
      <c r="B4087" s="753"/>
      <c r="C4087" s="752" t="s">
        <v>46056</v>
      </c>
      <c r="D4087" s="753" t="s">
        <v>45604</v>
      </c>
      <c r="E4087" s="752" t="s">
        <v>45630</v>
      </c>
      <c r="F4087" s="751">
        <v>3585</v>
      </c>
    </row>
    <row r="4088" spans="1:6">
      <c r="A4088" s="753"/>
      <c r="B4088" s="753"/>
      <c r="C4088" s="752" t="s">
        <v>46055</v>
      </c>
      <c r="D4088" s="753" t="s">
        <v>45604</v>
      </c>
      <c r="E4088" s="752" t="s">
        <v>45646</v>
      </c>
      <c r="F4088" s="751">
        <v>2575</v>
      </c>
    </row>
    <row r="4089" spans="1:6">
      <c r="A4089" s="753"/>
      <c r="B4089" s="753"/>
      <c r="C4089" s="752" t="s">
        <v>46054</v>
      </c>
      <c r="D4089" s="753" t="s">
        <v>45604</v>
      </c>
      <c r="E4089" s="752" t="s">
        <v>45852</v>
      </c>
      <c r="F4089" s="751">
        <v>2825</v>
      </c>
    </row>
    <row r="4090" spans="1:6">
      <c r="A4090" s="753"/>
      <c r="B4090" s="753"/>
      <c r="C4090" s="752" t="s">
        <v>46053</v>
      </c>
      <c r="D4090" s="753" t="s">
        <v>45604</v>
      </c>
      <c r="E4090" s="752" t="s">
        <v>45860</v>
      </c>
      <c r="F4090" s="751">
        <v>3585</v>
      </c>
    </row>
    <row r="4091" spans="1:6">
      <c r="A4091" s="753"/>
      <c r="B4091" s="753"/>
      <c r="C4091" s="752" t="s">
        <v>46052</v>
      </c>
      <c r="D4091" s="753" t="s">
        <v>46051</v>
      </c>
      <c r="E4091" s="752" t="s">
        <v>45696</v>
      </c>
      <c r="F4091" s="751">
        <v>3525</v>
      </c>
    </row>
    <row r="4092" spans="1:6">
      <c r="A4092" s="753"/>
      <c r="B4092" s="753"/>
      <c r="C4092" s="752" t="s">
        <v>46050</v>
      </c>
      <c r="D4092" s="753" t="s">
        <v>45604</v>
      </c>
      <c r="E4092" s="752" t="s">
        <v>45630</v>
      </c>
      <c r="F4092" s="751">
        <v>3585</v>
      </c>
    </row>
    <row r="4093" spans="1:6">
      <c r="A4093" s="753"/>
      <c r="B4093" s="753"/>
      <c r="C4093" s="752" t="s">
        <v>46049</v>
      </c>
      <c r="D4093" s="753" t="s">
        <v>45604</v>
      </c>
      <c r="E4093" s="752" t="s">
        <v>46048</v>
      </c>
      <c r="F4093" s="751">
        <v>3585</v>
      </c>
    </row>
    <row r="4094" spans="1:6">
      <c r="A4094" s="753"/>
      <c r="B4094" s="753"/>
      <c r="C4094" s="752" t="s">
        <v>46047</v>
      </c>
      <c r="D4094" s="753" t="s">
        <v>46043</v>
      </c>
      <c r="E4094" s="752" t="s">
        <v>45690</v>
      </c>
      <c r="F4094" s="751">
        <v>3275</v>
      </c>
    </row>
    <row r="4095" spans="1:6">
      <c r="A4095" s="753"/>
      <c r="B4095" s="753"/>
      <c r="C4095" s="752" t="s">
        <v>46046</v>
      </c>
      <c r="D4095" s="753" t="s">
        <v>45604</v>
      </c>
      <c r="E4095" s="752" t="s">
        <v>41676</v>
      </c>
      <c r="F4095" s="751">
        <v>2575</v>
      </c>
    </row>
    <row r="4096" spans="1:6">
      <c r="A4096" s="753"/>
      <c r="B4096" s="753"/>
      <c r="C4096" s="752" t="s">
        <v>46045</v>
      </c>
      <c r="D4096" s="753" t="s">
        <v>45604</v>
      </c>
      <c r="E4096" s="752" t="s">
        <v>41676</v>
      </c>
      <c r="F4096" s="751">
        <v>2325</v>
      </c>
    </row>
    <row r="4097" spans="1:6">
      <c r="A4097" s="753"/>
      <c r="B4097" s="753"/>
      <c r="C4097" s="752" t="s">
        <v>46044</v>
      </c>
      <c r="D4097" s="753" t="s">
        <v>46043</v>
      </c>
      <c r="E4097" s="752" t="s">
        <v>46042</v>
      </c>
      <c r="F4097" s="751">
        <v>3175</v>
      </c>
    </row>
    <row r="4098" spans="1:6">
      <c r="A4098" s="753"/>
      <c r="B4098" s="753"/>
      <c r="C4098" s="752" t="s">
        <v>46041</v>
      </c>
      <c r="D4098" s="753" t="s">
        <v>45604</v>
      </c>
      <c r="E4098" s="752" t="s">
        <v>41676</v>
      </c>
      <c r="F4098" s="751">
        <v>2575</v>
      </c>
    </row>
    <row r="4099" spans="1:6">
      <c r="A4099" s="753"/>
      <c r="B4099" s="753"/>
      <c r="C4099" s="752" t="s">
        <v>46040</v>
      </c>
      <c r="D4099" s="753" t="s">
        <v>45604</v>
      </c>
      <c r="E4099" s="752" t="s">
        <v>37750</v>
      </c>
      <c r="F4099" s="751">
        <v>2325</v>
      </c>
    </row>
    <row r="4100" spans="1:6">
      <c r="A4100" s="753"/>
      <c r="B4100" s="753"/>
      <c r="C4100" s="752" t="s">
        <v>46039</v>
      </c>
      <c r="D4100" s="753" t="s">
        <v>45975</v>
      </c>
      <c r="E4100" s="752" t="s">
        <v>293</v>
      </c>
      <c r="F4100" s="751">
        <v>3375</v>
      </c>
    </row>
    <row r="4101" spans="1:6">
      <c r="A4101" s="753"/>
      <c r="B4101" s="753"/>
      <c r="C4101" s="752" t="s">
        <v>46038</v>
      </c>
      <c r="D4101" s="753" t="s">
        <v>45975</v>
      </c>
      <c r="E4101" s="752" t="s">
        <v>39996</v>
      </c>
      <c r="F4101" s="751">
        <v>3375</v>
      </c>
    </row>
    <row r="4102" spans="1:6">
      <c r="A4102" s="753"/>
      <c r="B4102" s="753"/>
      <c r="C4102" s="752" t="s">
        <v>46037</v>
      </c>
      <c r="D4102" s="753" t="s">
        <v>45975</v>
      </c>
      <c r="E4102" s="752" t="s">
        <v>39458</v>
      </c>
      <c r="F4102" s="751">
        <v>3375</v>
      </c>
    </row>
    <row r="4103" spans="1:6">
      <c r="A4103" s="753"/>
      <c r="B4103" s="753"/>
      <c r="C4103" s="752" t="s">
        <v>46036</v>
      </c>
      <c r="D4103" s="753" t="s">
        <v>45975</v>
      </c>
      <c r="E4103" s="752" t="s">
        <v>45969</v>
      </c>
      <c r="F4103" s="751">
        <v>3125</v>
      </c>
    </row>
    <row r="4104" spans="1:6">
      <c r="A4104" s="753"/>
      <c r="B4104" s="753"/>
      <c r="C4104" s="752" t="s">
        <v>46035</v>
      </c>
      <c r="D4104" s="753" t="s">
        <v>45975</v>
      </c>
      <c r="E4104" s="752" t="s">
        <v>46034</v>
      </c>
      <c r="F4104" s="751">
        <v>4135</v>
      </c>
    </row>
    <row r="4105" spans="1:6">
      <c r="A4105" s="753"/>
      <c r="B4105" s="753"/>
      <c r="C4105" s="752" t="s">
        <v>46033</v>
      </c>
      <c r="D4105" s="753" t="s">
        <v>45975</v>
      </c>
      <c r="E4105" s="752" t="s">
        <v>45628</v>
      </c>
      <c r="F4105" s="751">
        <v>3375</v>
      </c>
    </row>
    <row r="4106" spans="1:6">
      <c r="A4106" s="753"/>
      <c r="B4106" s="753"/>
      <c r="C4106" s="752" t="s">
        <v>46032</v>
      </c>
      <c r="D4106" s="753" t="s">
        <v>45975</v>
      </c>
      <c r="E4106" s="752" t="s">
        <v>46002</v>
      </c>
      <c r="F4106" s="751">
        <v>4135</v>
      </c>
    </row>
    <row r="4107" spans="1:6">
      <c r="A4107" s="753"/>
      <c r="B4107" s="753"/>
      <c r="C4107" s="752" t="s">
        <v>46031</v>
      </c>
      <c r="D4107" s="753" t="s">
        <v>45975</v>
      </c>
      <c r="E4107" s="752" t="s">
        <v>45679</v>
      </c>
      <c r="F4107" s="751">
        <v>4135</v>
      </c>
    </row>
    <row r="4108" spans="1:6">
      <c r="A4108" s="753"/>
      <c r="B4108" s="753"/>
      <c r="C4108" s="752" t="s">
        <v>46030</v>
      </c>
      <c r="D4108" s="753" t="s">
        <v>45975</v>
      </c>
      <c r="E4108" s="752" t="s">
        <v>46029</v>
      </c>
      <c r="F4108" s="751">
        <v>3375</v>
      </c>
    </row>
    <row r="4109" spans="1:6">
      <c r="A4109" s="753"/>
      <c r="B4109" s="753"/>
      <c r="C4109" s="752" t="s">
        <v>46028</v>
      </c>
      <c r="D4109" s="753" t="s">
        <v>45975</v>
      </c>
      <c r="E4109" s="752" t="s">
        <v>46027</v>
      </c>
      <c r="F4109" s="751">
        <v>4135</v>
      </c>
    </row>
    <row r="4110" spans="1:6">
      <c r="A4110" s="753"/>
      <c r="B4110" s="753"/>
      <c r="C4110" s="752" t="s">
        <v>46026</v>
      </c>
      <c r="D4110" s="753" t="s">
        <v>45975</v>
      </c>
      <c r="E4110" s="752" t="s">
        <v>45622</v>
      </c>
      <c r="F4110" s="751">
        <v>3375</v>
      </c>
    </row>
    <row r="4111" spans="1:6">
      <c r="A4111" s="753"/>
      <c r="B4111" s="753"/>
      <c r="C4111" s="752" t="s">
        <v>46025</v>
      </c>
      <c r="D4111" s="753" t="s">
        <v>45975</v>
      </c>
      <c r="E4111" s="752" t="s">
        <v>46016</v>
      </c>
      <c r="F4111" s="751">
        <v>4135</v>
      </c>
    </row>
    <row r="4112" spans="1:6">
      <c r="A4112" s="753"/>
      <c r="B4112" s="753"/>
      <c r="C4112" s="752" t="s">
        <v>46024</v>
      </c>
      <c r="D4112" s="753" t="s">
        <v>45975</v>
      </c>
      <c r="E4112" s="752" t="s">
        <v>45630</v>
      </c>
      <c r="F4112" s="751">
        <v>4135</v>
      </c>
    </row>
    <row r="4113" spans="1:6">
      <c r="A4113" s="753"/>
      <c r="B4113" s="753"/>
      <c r="C4113" s="752" t="s">
        <v>46023</v>
      </c>
      <c r="D4113" s="753" t="s">
        <v>45975</v>
      </c>
      <c r="E4113" s="752" t="s">
        <v>45646</v>
      </c>
      <c r="F4113" s="751">
        <v>3125</v>
      </c>
    </row>
    <row r="4114" spans="1:6">
      <c r="A4114" s="753"/>
      <c r="B4114" s="753"/>
      <c r="C4114" s="752" t="s">
        <v>46022</v>
      </c>
      <c r="D4114" s="753" t="s">
        <v>45975</v>
      </c>
      <c r="E4114" s="752" t="s">
        <v>46021</v>
      </c>
      <c r="F4114" s="751">
        <v>3885</v>
      </c>
    </row>
    <row r="4115" spans="1:6">
      <c r="A4115" s="753"/>
      <c r="B4115" s="753"/>
      <c r="C4115" s="752" t="s">
        <v>46020</v>
      </c>
      <c r="D4115" s="753" t="s">
        <v>45975</v>
      </c>
      <c r="E4115" s="752" t="s">
        <v>46019</v>
      </c>
      <c r="F4115" s="751">
        <v>3375</v>
      </c>
    </row>
    <row r="4116" spans="1:6">
      <c r="A4116" s="753"/>
      <c r="B4116" s="753"/>
      <c r="C4116" s="752" t="s">
        <v>46018</v>
      </c>
      <c r="D4116" s="753" t="s">
        <v>46017</v>
      </c>
      <c r="E4116" s="752" t="s">
        <v>46016</v>
      </c>
      <c r="F4116" s="751">
        <v>3885</v>
      </c>
    </row>
    <row r="4117" spans="1:6">
      <c r="A4117" s="753"/>
      <c r="B4117" s="753"/>
      <c r="C4117" s="752" t="s">
        <v>46015</v>
      </c>
      <c r="D4117" s="753" t="s">
        <v>45975</v>
      </c>
      <c r="E4117" s="752" t="s">
        <v>46014</v>
      </c>
      <c r="F4117" s="751">
        <v>4135</v>
      </c>
    </row>
    <row r="4118" spans="1:6">
      <c r="A4118" s="753"/>
      <c r="B4118" s="753"/>
      <c r="C4118" s="752" t="s">
        <v>46013</v>
      </c>
      <c r="D4118" s="753" t="s">
        <v>45975</v>
      </c>
      <c r="E4118" s="752" t="s">
        <v>45723</v>
      </c>
      <c r="F4118" s="751">
        <v>4135</v>
      </c>
    </row>
    <row r="4119" spans="1:6">
      <c r="A4119" s="753"/>
      <c r="B4119" s="753"/>
      <c r="C4119" s="752" t="s">
        <v>46012</v>
      </c>
      <c r="D4119" s="753" t="s">
        <v>45975</v>
      </c>
      <c r="E4119" s="752" t="s">
        <v>46011</v>
      </c>
      <c r="F4119" s="751">
        <v>3125</v>
      </c>
    </row>
    <row r="4120" spans="1:6">
      <c r="A4120" s="753"/>
      <c r="B4120" s="753"/>
      <c r="C4120" s="752" t="s">
        <v>46010</v>
      </c>
      <c r="D4120" s="753" t="s">
        <v>45975</v>
      </c>
      <c r="E4120" s="752" t="s">
        <v>46005</v>
      </c>
      <c r="F4120" s="751">
        <v>3125</v>
      </c>
    </row>
    <row r="4121" spans="1:6">
      <c r="A4121" s="753"/>
      <c r="B4121" s="753"/>
      <c r="C4121" s="752" t="s">
        <v>46009</v>
      </c>
      <c r="D4121" s="753" t="s">
        <v>45975</v>
      </c>
      <c r="E4121" s="752" t="s">
        <v>46008</v>
      </c>
      <c r="F4121" s="751">
        <v>3125</v>
      </c>
    </row>
    <row r="4122" spans="1:6">
      <c r="A4122" s="753"/>
      <c r="B4122" s="753"/>
      <c r="C4122" s="752" t="s">
        <v>46007</v>
      </c>
      <c r="D4122" s="753" t="s">
        <v>45975</v>
      </c>
      <c r="E4122" s="752" t="s">
        <v>45805</v>
      </c>
      <c r="F4122" s="751">
        <v>4135</v>
      </c>
    </row>
    <row r="4123" spans="1:6">
      <c r="A4123" s="753"/>
      <c r="B4123" s="753"/>
      <c r="C4123" s="752" t="s">
        <v>46006</v>
      </c>
      <c r="D4123" s="753" t="s">
        <v>45975</v>
      </c>
      <c r="E4123" s="752" t="s">
        <v>46005</v>
      </c>
      <c r="F4123" s="751">
        <v>3125</v>
      </c>
    </row>
    <row r="4124" spans="1:6">
      <c r="A4124" s="753"/>
      <c r="B4124" s="753"/>
      <c r="C4124" s="752" t="s">
        <v>46004</v>
      </c>
      <c r="D4124" s="753" t="s">
        <v>45975</v>
      </c>
      <c r="E4124" s="752" t="s">
        <v>45628</v>
      </c>
      <c r="F4124" s="751">
        <v>3375</v>
      </c>
    </row>
    <row r="4125" spans="1:6">
      <c r="A4125" s="753"/>
      <c r="B4125" s="753"/>
      <c r="C4125" s="752" t="s">
        <v>46003</v>
      </c>
      <c r="D4125" s="753" t="s">
        <v>45975</v>
      </c>
      <c r="E4125" s="752" t="s">
        <v>46002</v>
      </c>
      <c r="F4125" s="751">
        <v>4135</v>
      </c>
    </row>
    <row r="4126" spans="1:6">
      <c r="A4126" s="753"/>
      <c r="B4126" s="753"/>
      <c r="C4126" s="752" t="s">
        <v>46001</v>
      </c>
      <c r="D4126" s="753" t="s">
        <v>45975</v>
      </c>
      <c r="E4126" s="752" t="s">
        <v>46000</v>
      </c>
      <c r="F4126" s="751">
        <v>4445</v>
      </c>
    </row>
    <row r="4127" spans="1:6">
      <c r="A4127" s="753"/>
      <c r="B4127" s="753"/>
      <c r="C4127" s="752" t="s">
        <v>45999</v>
      </c>
      <c r="D4127" s="753" t="s">
        <v>45975</v>
      </c>
      <c r="E4127" s="752" t="s">
        <v>45679</v>
      </c>
      <c r="F4127" s="751">
        <v>4135</v>
      </c>
    </row>
    <row r="4128" spans="1:6">
      <c r="A4128" s="753"/>
      <c r="B4128" s="753"/>
      <c r="C4128" s="752" t="s">
        <v>45998</v>
      </c>
      <c r="D4128" s="753" t="s">
        <v>45975</v>
      </c>
      <c r="E4128" s="752" t="s">
        <v>45997</v>
      </c>
      <c r="F4128" s="751">
        <v>4255</v>
      </c>
    </row>
    <row r="4129" spans="1:6">
      <c r="A4129" s="753"/>
      <c r="B4129" s="753"/>
      <c r="C4129" s="752" t="s">
        <v>45996</v>
      </c>
      <c r="D4129" s="753" t="s">
        <v>45975</v>
      </c>
      <c r="E4129" s="752" t="s">
        <v>45622</v>
      </c>
      <c r="F4129" s="751">
        <v>3375</v>
      </c>
    </row>
    <row r="4130" spans="1:6">
      <c r="A4130" s="753"/>
      <c r="B4130" s="753"/>
      <c r="C4130" s="752" t="s">
        <v>45995</v>
      </c>
      <c r="D4130" s="753" t="s">
        <v>45994</v>
      </c>
      <c r="E4130" s="752" t="s">
        <v>45653</v>
      </c>
      <c r="F4130" s="751">
        <v>2875</v>
      </c>
    </row>
    <row r="4131" spans="1:6">
      <c r="A4131" s="753"/>
      <c r="B4131" s="753"/>
      <c r="C4131" s="752" t="s">
        <v>45993</v>
      </c>
      <c r="D4131" s="753" t="s">
        <v>45975</v>
      </c>
      <c r="E4131" s="752" t="s">
        <v>45704</v>
      </c>
      <c r="F4131" s="751">
        <v>4135</v>
      </c>
    </row>
    <row r="4132" spans="1:6">
      <c r="A4132" s="753"/>
      <c r="B4132" s="753"/>
      <c r="C4132" s="752" t="s">
        <v>45992</v>
      </c>
      <c r="D4132" s="753" t="s">
        <v>45975</v>
      </c>
      <c r="E4132" s="752" t="s">
        <v>45991</v>
      </c>
      <c r="F4132" s="751">
        <v>3125</v>
      </c>
    </row>
    <row r="4133" spans="1:6">
      <c r="A4133" s="753"/>
      <c r="B4133" s="753"/>
      <c r="C4133" s="752" t="s">
        <v>45990</v>
      </c>
      <c r="D4133" s="753" t="s">
        <v>45975</v>
      </c>
      <c r="E4133" s="752" t="s">
        <v>45989</v>
      </c>
      <c r="F4133" s="751">
        <v>3885</v>
      </c>
    </row>
    <row r="4134" spans="1:6">
      <c r="A4134" s="753"/>
      <c r="B4134" s="753"/>
      <c r="C4134" s="752" t="s">
        <v>45988</v>
      </c>
      <c r="D4134" s="753" t="s">
        <v>45975</v>
      </c>
      <c r="E4134" s="752" t="s">
        <v>45649</v>
      </c>
      <c r="F4134" s="751">
        <v>4325</v>
      </c>
    </row>
    <row r="4135" spans="1:6">
      <c r="A4135" s="753"/>
      <c r="B4135" s="753"/>
      <c r="C4135" s="752" t="s">
        <v>45987</v>
      </c>
      <c r="D4135" s="753" t="s">
        <v>45975</v>
      </c>
      <c r="E4135" s="752" t="s">
        <v>45630</v>
      </c>
      <c r="F4135" s="751">
        <v>4135</v>
      </c>
    </row>
    <row r="4136" spans="1:6">
      <c r="A4136" s="753"/>
      <c r="B4136" s="753"/>
      <c r="C4136" s="752" t="s">
        <v>45986</v>
      </c>
      <c r="D4136" s="753" t="s">
        <v>45975</v>
      </c>
      <c r="E4136" s="752" t="s">
        <v>45646</v>
      </c>
      <c r="F4136" s="751">
        <v>3125</v>
      </c>
    </row>
    <row r="4137" spans="1:6">
      <c r="A4137" s="753"/>
      <c r="B4137" s="753"/>
      <c r="C4137" s="752" t="s">
        <v>45985</v>
      </c>
      <c r="D4137" s="753" t="s">
        <v>45975</v>
      </c>
      <c r="E4137" s="752" t="s">
        <v>45622</v>
      </c>
      <c r="F4137" s="751">
        <v>3375</v>
      </c>
    </row>
    <row r="4138" spans="1:6">
      <c r="A4138" s="753"/>
      <c r="B4138" s="753"/>
      <c r="C4138" s="752" t="s">
        <v>45984</v>
      </c>
      <c r="D4138" s="753" t="s">
        <v>45983</v>
      </c>
      <c r="E4138" s="752" t="s">
        <v>45622</v>
      </c>
      <c r="F4138" s="751">
        <v>4135</v>
      </c>
    </row>
    <row r="4139" spans="1:6">
      <c r="A4139" s="753"/>
      <c r="B4139" s="753"/>
      <c r="C4139" s="752" t="s">
        <v>45982</v>
      </c>
      <c r="D4139" s="753" t="s">
        <v>45981</v>
      </c>
      <c r="E4139" s="752" t="s">
        <v>45696</v>
      </c>
      <c r="F4139" s="751">
        <v>4075</v>
      </c>
    </row>
    <row r="4140" spans="1:6">
      <c r="A4140" s="753"/>
      <c r="B4140" s="753"/>
      <c r="C4140" s="752" t="s">
        <v>45980</v>
      </c>
      <c r="D4140" s="753" t="s">
        <v>45975</v>
      </c>
      <c r="E4140" s="752" t="s">
        <v>45979</v>
      </c>
      <c r="F4140" s="751">
        <v>4135</v>
      </c>
    </row>
    <row r="4141" spans="1:6">
      <c r="A4141" s="753"/>
      <c r="B4141" s="753"/>
      <c r="C4141" s="752" t="s">
        <v>45978</v>
      </c>
      <c r="D4141" s="753" t="s">
        <v>45975</v>
      </c>
      <c r="E4141" s="752" t="s">
        <v>41676</v>
      </c>
      <c r="F4141" s="751">
        <v>3025</v>
      </c>
    </row>
    <row r="4142" spans="1:6">
      <c r="A4142" s="753"/>
      <c r="B4142" s="753"/>
      <c r="C4142" s="752" t="s">
        <v>45977</v>
      </c>
      <c r="D4142" s="753" t="s">
        <v>45975</v>
      </c>
      <c r="E4142" s="752" t="s">
        <v>41676</v>
      </c>
      <c r="F4142" s="751">
        <v>3225</v>
      </c>
    </row>
    <row r="4143" spans="1:6">
      <c r="A4143" s="753"/>
      <c r="B4143" s="753"/>
      <c r="C4143" s="752" t="s">
        <v>45976</v>
      </c>
      <c r="D4143" s="753" t="s">
        <v>45975</v>
      </c>
      <c r="E4143" s="752" t="s">
        <v>37750</v>
      </c>
      <c r="F4143" s="751">
        <v>2875</v>
      </c>
    </row>
    <row r="4144" spans="1:6">
      <c r="A4144" s="753"/>
      <c r="B4144" s="753"/>
      <c r="C4144" s="752" t="s">
        <v>45974</v>
      </c>
      <c r="D4144" s="753" t="s">
        <v>45952</v>
      </c>
      <c r="E4144" s="752" t="s">
        <v>293</v>
      </c>
      <c r="F4144" s="751">
        <v>3375</v>
      </c>
    </row>
    <row r="4145" spans="1:6">
      <c r="A4145" s="753"/>
      <c r="B4145" s="753"/>
      <c r="C4145" s="752" t="s">
        <v>45973</v>
      </c>
      <c r="D4145" s="753" t="s">
        <v>45952</v>
      </c>
      <c r="E4145" s="752" t="s">
        <v>39996</v>
      </c>
      <c r="F4145" s="751">
        <v>3375</v>
      </c>
    </row>
    <row r="4146" spans="1:6">
      <c r="A4146" s="753"/>
      <c r="B4146" s="753"/>
      <c r="C4146" s="752" t="s">
        <v>45972</v>
      </c>
      <c r="D4146" s="753" t="s">
        <v>45952</v>
      </c>
      <c r="E4146" s="752" t="s">
        <v>38577</v>
      </c>
      <c r="F4146" s="751">
        <v>4135</v>
      </c>
    </row>
    <row r="4147" spans="1:6">
      <c r="A4147" s="753"/>
      <c r="B4147" s="753"/>
      <c r="C4147" s="752" t="s">
        <v>45971</v>
      </c>
      <c r="D4147" s="753" t="s">
        <v>45952</v>
      </c>
      <c r="E4147" s="752" t="s">
        <v>39458</v>
      </c>
      <c r="F4147" s="751">
        <v>3375</v>
      </c>
    </row>
    <row r="4148" spans="1:6">
      <c r="A4148" s="753"/>
      <c r="B4148" s="753"/>
      <c r="C4148" s="752" t="s">
        <v>45970</v>
      </c>
      <c r="D4148" s="753" t="s">
        <v>45952</v>
      </c>
      <c r="E4148" s="752" t="s">
        <v>45969</v>
      </c>
      <c r="F4148" s="751">
        <v>3125</v>
      </c>
    </row>
    <row r="4149" spans="1:6">
      <c r="A4149" s="753"/>
      <c r="B4149" s="753"/>
      <c r="C4149" s="752" t="s">
        <v>45968</v>
      </c>
      <c r="D4149" s="753" t="s">
        <v>45952</v>
      </c>
      <c r="E4149" s="752" t="s">
        <v>45967</v>
      </c>
      <c r="F4149" s="751">
        <v>4135</v>
      </c>
    </row>
    <row r="4150" spans="1:6">
      <c r="A4150" s="753"/>
      <c r="B4150" s="753"/>
      <c r="C4150" s="752" t="s">
        <v>45966</v>
      </c>
      <c r="D4150" s="753" t="s">
        <v>45952</v>
      </c>
      <c r="E4150" s="752" t="s">
        <v>38587</v>
      </c>
      <c r="F4150" s="751">
        <v>3375</v>
      </c>
    </row>
    <row r="4151" spans="1:6">
      <c r="A4151" s="753"/>
      <c r="B4151" s="753"/>
      <c r="C4151" s="752" t="s">
        <v>45965</v>
      </c>
      <c r="D4151" s="753" t="s">
        <v>45952</v>
      </c>
      <c r="E4151" s="752" t="s">
        <v>45964</v>
      </c>
      <c r="F4151" s="751">
        <v>3125</v>
      </c>
    </row>
    <row r="4152" spans="1:6">
      <c r="A4152" s="753"/>
      <c r="B4152" s="753"/>
      <c r="C4152" s="752" t="s">
        <v>45963</v>
      </c>
      <c r="D4152" s="753" t="s">
        <v>45952</v>
      </c>
      <c r="E4152" s="752" t="s">
        <v>45962</v>
      </c>
      <c r="F4152" s="751">
        <v>3885</v>
      </c>
    </row>
    <row r="4153" spans="1:6">
      <c r="A4153" s="753"/>
      <c r="B4153" s="753"/>
      <c r="C4153" s="752" t="s">
        <v>45961</v>
      </c>
      <c r="D4153" s="753" t="s">
        <v>45922</v>
      </c>
      <c r="E4153" s="752" t="s">
        <v>45628</v>
      </c>
      <c r="F4153" s="751">
        <v>3375</v>
      </c>
    </row>
    <row r="4154" spans="1:6">
      <c r="A4154" s="753"/>
      <c r="B4154" s="753"/>
      <c r="C4154" s="752" t="s">
        <v>45960</v>
      </c>
      <c r="D4154" s="753" t="s">
        <v>45922</v>
      </c>
      <c r="E4154" s="752" t="s">
        <v>45679</v>
      </c>
      <c r="F4154" s="751">
        <v>4135</v>
      </c>
    </row>
    <row r="4155" spans="1:6">
      <c r="A4155" s="753"/>
      <c r="B4155" s="753"/>
      <c r="C4155" s="752" t="s">
        <v>45959</v>
      </c>
      <c r="D4155" s="753" t="s">
        <v>45922</v>
      </c>
      <c r="E4155" s="752" t="s">
        <v>45767</v>
      </c>
      <c r="F4155" s="751">
        <v>3375</v>
      </c>
    </row>
    <row r="4156" spans="1:6">
      <c r="A4156" s="753"/>
      <c r="B4156" s="753"/>
      <c r="C4156" s="752" t="s">
        <v>45958</v>
      </c>
      <c r="D4156" s="753" t="s">
        <v>45922</v>
      </c>
      <c r="E4156" s="752" t="s">
        <v>45622</v>
      </c>
      <c r="F4156" s="751">
        <v>3375</v>
      </c>
    </row>
    <row r="4157" spans="1:6">
      <c r="A4157" s="753"/>
      <c r="B4157" s="753"/>
      <c r="C4157" s="752" t="s">
        <v>45957</v>
      </c>
      <c r="D4157" s="753" t="s">
        <v>45919</v>
      </c>
      <c r="E4157" s="752" t="s">
        <v>45630</v>
      </c>
      <c r="F4157" s="751">
        <v>4135</v>
      </c>
    </row>
    <row r="4158" spans="1:6">
      <c r="A4158" s="753"/>
      <c r="B4158" s="753"/>
      <c r="C4158" s="752" t="s">
        <v>45956</v>
      </c>
      <c r="D4158" s="753" t="s">
        <v>45922</v>
      </c>
      <c r="E4158" s="752" t="s">
        <v>45646</v>
      </c>
      <c r="F4158" s="751">
        <v>3125</v>
      </c>
    </row>
    <row r="4159" spans="1:6">
      <c r="A4159" s="753"/>
      <c r="B4159" s="753"/>
      <c r="C4159" s="752" t="s">
        <v>45955</v>
      </c>
      <c r="D4159" s="753" t="s">
        <v>45922</v>
      </c>
      <c r="E4159" s="752" t="s">
        <v>45622</v>
      </c>
      <c r="F4159" s="751">
        <v>3375</v>
      </c>
    </row>
    <row r="4160" spans="1:6">
      <c r="A4160" s="753"/>
      <c r="B4160" s="753"/>
      <c r="C4160" s="752" t="s">
        <v>45954</v>
      </c>
      <c r="D4160" s="753" t="s">
        <v>45922</v>
      </c>
      <c r="E4160" s="752" t="s">
        <v>45630</v>
      </c>
      <c r="F4160" s="751">
        <v>4135</v>
      </c>
    </row>
    <row r="4161" spans="1:6">
      <c r="A4161" s="753"/>
      <c r="B4161" s="753"/>
      <c r="C4161" s="752" t="s">
        <v>45953</v>
      </c>
      <c r="D4161" s="753" t="s">
        <v>45952</v>
      </c>
      <c r="E4161" s="752" t="s">
        <v>45951</v>
      </c>
      <c r="F4161" s="751">
        <v>4135</v>
      </c>
    </row>
    <row r="4162" spans="1:6">
      <c r="A4162" s="753"/>
      <c r="B4162" s="753"/>
      <c r="C4162" s="752" t="s">
        <v>45950</v>
      </c>
      <c r="D4162" s="753" t="s">
        <v>45922</v>
      </c>
      <c r="E4162" s="752" t="s">
        <v>45949</v>
      </c>
      <c r="F4162" s="751">
        <v>4135</v>
      </c>
    </row>
    <row r="4163" spans="1:6">
      <c r="A4163" s="753"/>
      <c r="B4163" s="753"/>
      <c r="C4163" s="752" t="s">
        <v>45948</v>
      </c>
      <c r="D4163" s="753" t="s">
        <v>45922</v>
      </c>
      <c r="E4163" s="752" t="s">
        <v>45947</v>
      </c>
      <c r="F4163" s="751">
        <v>3125</v>
      </c>
    </row>
    <row r="4164" spans="1:6">
      <c r="A4164" s="753"/>
      <c r="B4164" s="753"/>
      <c r="C4164" s="752" t="s">
        <v>45946</v>
      </c>
      <c r="D4164" s="753" t="s">
        <v>45922</v>
      </c>
      <c r="E4164" s="752" t="s">
        <v>45921</v>
      </c>
      <c r="F4164" s="751">
        <v>4465</v>
      </c>
    </row>
    <row r="4165" spans="1:6">
      <c r="A4165" s="753"/>
      <c r="B4165" s="753"/>
      <c r="C4165" s="752" t="s">
        <v>45945</v>
      </c>
      <c r="D4165" s="753" t="s">
        <v>45919</v>
      </c>
      <c r="E4165" s="752" t="s">
        <v>45628</v>
      </c>
      <c r="F4165" s="751">
        <v>3375</v>
      </c>
    </row>
    <row r="4166" spans="1:6">
      <c r="A4166" s="753"/>
      <c r="B4166" s="753"/>
      <c r="C4166" s="752" t="s">
        <v>45944</v>
      </c>
      <c r="D4166" s="753" t="s">
        <v>45584</v>
      </c>
      <c r="E4166" s="752" t="s">
        <v>45583</v>
      </c>
      <c r="F4166" s="751">
        <v>3175</v>
      </c>
    </row>
    <row r="4167" spans="1:6">
      <c r="A4167" s="753"/>
      <c r="B4167" s="753"/>
      <c r="C4167" s="752" t="s">
        <v>45943</v>
      </c>
      <c r="D4167" s="753" t="s">
        <v>45919</v>
      </c>
      <c r="E4167" s="752" t="s">
        <v>45942</v>
      </c>
      <c r="F4167" s="751">
        <v>4135</v>
      </c>
    </row>
    <row r="4168" spans="1:6">
      <c r="A4168" s="753"/>
      <c r="B4168" s="753"/>
      <c r="C4168" s="752" t="s">
        <v>45941</v>
      </c>
      <c r="D4168" s="753" t="s">
        <v>45919</v>
      </c>
      <c r="E4168" s="752" t="s">
        <v>45940</v>
      </c>
      <c r="F4168" s="751">
        <v>4445</v>
      </c>
    </row>
    <row r="4169" spans="1:6">
      <c r="A4169" s="753"/>
      <c r="B4169" s="753"/>
      <c r="C4169" s="752" t="s">
        <v>45939</v>
      </c>
      <c r="D4169" s="753" t="s">
        <v>45931</v>
      </c>
      <c r="E4169" s="752" t="s">
        <v>45659</v>
      </c>
      <c r="F4169" s="751">
        <v>4135</v>
      </c>
    </row>
    <row r="4170" spans="1:6">
      <c r="A4170" s="753"/>
      <c r="B4170" s="753"/>
      <c r="C4170" s="752" t="s">
        <v>45938</v>
      </c>
      <c r="D4170" s="753" t="s">
        <v>45931</v>
      </c>
      <c r="E4170" s="752" t="s">
        <v>45937</v>
      </c>
      <c r="F4170" s="751">
        <v>4135</v>
      </c>
    </row>
    <row r="4171" spans="1:6">
      <c r="A4171" s="753"/>
      <c r="B4171" s="753"/>
      <c r="C4171" s="752" t="s">
        <v>45936</v>
      </c>
      <c r="D4171" s="753" t="s">
        <v>45922</v>
      </c>
      <c r="E4171" s="752" t="s">
        <v>45622</v>
      </c>
      <c r="F4171" s="751">
        <v>3375</v>
      </c>
    </row>
    <row r="4172" spans="1:6">
      <c r="A4172" s="753"/>
      <c r="B4172" s="753"/>
      <c r="C4172" s="752" t="s">
        <v>45935</v>
      </c>
      <c r="D4172" s="753" t="s">
        <v>45922</v>
      </c>
      <c r="E4172" s="752" t="s">
        <v>45651</v>
      </c>
      <c r="F4172" s="751">
        <v>4135</v>
      </c>
    </row>
    <row r="4173" spans="1:6">
      <c r="A4173" s="753"/>
      <c r="B4173" s="753"/>
      <c r="C4173" s="752" t="s">
        <v>45934</v>
      </c>
      <c r="D4173" s="753" t="s">
        <v>45922</v>
      </c>
      <c r="E4173" s="752" t="s">
        <v>45933</v>
      </c>
      <c r="F4173" s="751">
        <v>3885</v>
      </c>
    </row>
    <row r="4174" spans="1:6">
      <c r="A4174" s="753"/>
      <c r="B4174" s="753"/>
      <c r="C4174" s="752" t="s">
        <v>45932</v>
      </c>
      <c r="D4174" s="753" t="s">
        <v>45931</v>
      </c>
      <c r="E4174" s="752" t="s">
        <v>45630</v>
      </c>
      <c r="F4174" s="751">
        <v>4135</v>
      </c>
    </row>
    <row r="4175" spans="1:6">
      <c r="A4175" s="753"/>
      <c r="B4175" s="753"/>
      <c r="C4175" s="752" t="s">
        <v>45930</v>
      </c>
      <c r="D4175" s="753" t="s">
        <v>45922</v>
      </c>
      <c r="E4175" s="752" t="s">
        <v>45646</v>
      </c>
      <c r="F4175" s="751">
        <v>3125</v>
      </c>
    </row>
    <row r="4176" spans="1:6">
      <c r="A4176" s="753"/>
      <c r="B4176" s="753"/>
      <c r="C4176" s="752" t="s">
        <v>45929</v>
      </c>
      <c r="D4176" s="753" t="s">
        <v>45922</v>
      </c>
      <c r="E4176" s="752" t="s">
        <v>45928</v>
      </c>
      <c r="F4176" s="751">
        <v>3885</v>
      </c>
    </row>
    <row r="4177" spans="1:6">
      <c r="A4177" s="753"/>
      <c r="B4177" s="753"/>
      <c r="C4177" s="752" t="s">
        <v>45927</v>
      </c>
      <c r="D4177" s="753" t="s">
        <v>45919</v>
      </c>
      <c r="E4177" s="752" t="s">
        <v>45622</v>
      </c>
      <c r="F4177" s="751">
        <v>3375</v>
      </c>
    </row>
    <row r="4178" spans="1:6">
      <c r="A4178" s="753"/>
      <c r="B4178" s="753"/>
      <c r="C4178" s="752" t="s">
        <v>45926</v>
      </c>
      <c r="D4178" s="753" t="s">
        <v>45919</v>
      </c>
      <c r="E4178" s="752" t="s">
        <v>45925</v>
      </c>
      <c r="F4178" s="751">
        <v>4075</v>
      </c>
    </row>
    <row r="4179" spans="1:6">
      <c r="A4179" s="753"/>
      <c r="B4179" s="753"/>
      <c r="C4179" s="752" t="s">
        <v>45924</v>
      </c>
      <c r="D4179" s="753" t="s">
        <v>45922</v>
      </c>
      <c r="E4179" s="752" t="s">
        <v>45630</v>
      </c>
      <c r="F4179" s="751">
        <v>4135</v>
      </c>
    </row>
    <row r="4180" spans="1:6">
      <c r="A4180" s="753"/>
      <c r="B4180" s="753"/>
      <c r="C4180" s="752" t="s">
        <v>45923</v>
      </c>
      <c r="D4180" s="753" t="s">
        <v>45922</v>
      </c>
      <c r="E4180" s="752" t="s">
        <v>45921</v>
      </c>
      <c r="F4180" s="751">
        <v>4465</v>
      </c>
    </row>
    <row r="4181" spans="1:6">
      <c r="A4181" s="753"/>
      <c r="B4181" s="753"/>
      <c r="C4181" s="752" t="s">
        <v>45920</v>
      </c>
      <c r="D4181" s="753" t="s">
        <v>45919</v>
      </c>
      <c r="E4181" s="752" t="s">
        <v>37750</v>
      </c>
      <c r="F4181" s="751">
        <v>2875</v>
      </c>
    </row>
    <row r="4182" spans="1:6">
      <c r="A4182" s="753"/>
      <c r="B4182" s="753"/>
      <c r="C4182" s="752" t="s">
        <v>45918</v>
      </c>
      <c r="D4182" s="753" t="s">
        <v>45916</v>
      </c>
      <c r="E4182" s="752" t="s">
        <v>38878</v>
      </c>
      <c r="F4182" s="751">
        <v>2075</v>
      </c>
    </row>
    <row r="4183" spans="1:6">
      <c r="A4183" s="753"/>
      <c r="B4183" s="753"/>
      <c r="C4183" s="752" t="s">
        <v>45917</v>
      </c>
      <c r="D4183" s="753" t="s">
        <v>45916</v>
      </c>
      <c r="E4183" s="752" t="s">
        <v>38878</v>
      </c>
      <c r="F4183" s="751">
        <v>2075</v>
      </c>
    </row>
    <row r="4184" spans="1:6">
      <c r="A4184" s="753"/>
      <c r="B4184" s="753"/>
      <c r="C4184" s="752" t="s">
        <v>45915</v>
      </c>
      <c r="D4184" s="753" t="s">
        <v>45839</v>
      </c>
      <c r="E4184" s="752" t="s">
        <v>293</v>
      </c>
      <c r="F4184" s="751">
        <v>2625</v>
      </c>
    </row>
    <row r="4185" spans="1:6">
      <c r="A4185" s="753"/>
      <c r="B4185" s="753"/>
      <c r="C4185" s="752" t="s">
        <v>45914</v>
      </c>
      <c r="D4185" s="753" t="s">
        <v>45839</v>
      </c>
      <c r="E4185" s="752" t="s">
        <v>39996</v>
      </c>
      <c r="F4185" s="751">
        <v>2625</v>
      </c>
    </row>
    <row r="4186" spans="1:6">
      <c r="A4186" s="753"/>
      <c r="B4186" s="753"/>
      <c r="C4186" s="752" t="s">
        <v>45913</v>
      </c>
      <c r="D4186" s="753" t="s">
        <v>45839</v>
      </c>
      <c r="E4186" s="752" t="s">
        <v>38577</v>
      </c>
      <c r="F4186" s="751">
        <v>3385</v>
      </c>
    </row>
    <row r="4187" spans="1:6">
      <c r="A4187" s="753"/>
      <c r="B4187" s="753"/>
      <c r="C4187" s="752" t="s">
        <v>45912</v>
      </c>
      <c r="D4187" s="753" t="s">
        <v>45839</v>
      </c>
      <c r="E4187" s="752" t="s">
        <v>39458</v>
      </c>
      <c r="F4187" s="751">
        <v>2625</v>
      </c>
    </row>
    <row r="4188" spans="1:6">
      <c r="A4188" s="753"/>
      <c r="B4188" s="753"/>
      <c r="C4188" s="752" t="s">
        <v>45911</v>
      </c>
      <c r="D4188" s="753" t="s">
        <v>45839</v>
      </c>
      <c r="E4188" s="752" t="s">
        <v>45910</v>
      </c>
      <c r="F4188" s="751">
        <v>2625</v>
      </c>
    </row>
    <row r="4189" spans="1:6">
      <c r="A4189" s="753"/>
      <c r="B4189" s="753"/>
      <c r="C4189" s="752" t="s">
        <v>45909</v>
      </c>
      <c r="D4189" s="753" t="s">
        <v>45839</v>
      </c>
      <c r="E4189" s="752" t="s">
        <v>45833</v>
      </c>
      <c r="F4189" s="751">
        <v>3385</v>
      </c>
    </row>
    <row r="4190" spans="1:6">
      <c r="A4190" s="753"/>
      <c r="B4190" s="753"/>
      <c r="C4190" s="752" t="s">
        <v>45908</v>
      </c>
      <c r="D4190" s="753" t="s">
        <v>45839</v>
      </c>
      <c r="E4190" s="752" t="s">
        <v>40352</v>
      </c>
      <c r="F4190" s="751">
        <v>2625</v>
      </c>
    </row>
    <row r="4191" spans="1:6">
      <c r="A4191" s="753"/>
      <c r="B4191" s="753"/>
      <c r="C4191" s="752" t="s">
        <v>45907</v>
      </c>
      <c r="D4191" s="753" t="s">
        <v>45839</v>
      </c>
      <c r="E4191" s="752" t="s">
        <v>45628</v>
      </c>
      <c r="F4191" s="751">
        <v>2625</v>
      </c>
    </row>
    <row r="4192" spans="1:6">
      <c r="A4192" s="753"/>
      <c r="B4192" s="753"/>
      <c r="C4192" s="752" t="s">
        <v>45906</v>
      </c>
      <c r="D4192" s="753" t="s">
        <v>45845</v>
      </c>
      <c r="E4192" s="752" t="s">
        <v>45583</v>
      </c>
      <c r="F4192" s="751">
        <v>2325</v>
      </c>
    </row>
    <row r="4193" spans="1:6">
      <c r="A4193" s="753"/>
      <c r="B4193" s="753"/>
      <c r="C4193" s="752" t="s">
        <v>45905</v>
      </c>
      <c r="D4193" s="753" t="s">
        <v>45839</v>
      </c>
      <c r="E4193" s="752" t="s">
        <v>45868</v>
      </c>
      <c r="F4193" s="751">
        <v>4145</v>
      </c>
    </row>
    <row r="4194" spans="1:6">
      <c r="A4194" s="753"/>
      <c r="B4194" s="753"/>
      <c r="C4194" s="752" t="s">
        <v>45904</v>
      </c>
      <c r="D4194" s="753" t="s">
        <v>45839</v>
      </c>
      <c r="E4194" s="752" t="s">
        <v>45679</v>
      </c>
      <c r="F4194" s="751">
        <v>3385</v>
      </c>
    </row>
    <row r="4195" spans="1:6">
      <c r="A4195" s="753"/>
      <c r="B4195" s="753"/>
      <c r="C4195" s="752" t="s">
        <v>45903</v>
      </c>
      <c r="D4195" s="753" t="s">
        <v>45839</v>
      </c>
      <c r="E4195" s="752" t="s">
        <v>45767</v>
      </c>
      <c r="F4195" s="751">
        <v>2625</v>
      </c>
    </row>
    <row r="4196" spans="1:6">
      <c r="A4196" s="753"/>
      <c r="B4196" s="753"/>
      <c r="C4196" s="752" t="s">
        <v>45902</v>
      </c>
      <c r="D4196" s="753" t="s">
        <v>45839</v>
      </c>
      <c r="E4196" s="752" t="s">
        <v>45901</v>
      </c>
      <c r="F4196" s="751">
        <v>4145</v>
      </c>
    </row>
    <row r="4197" spans="1:6">
      <c r="A4197" s="753"/>
      <c r="B4197" s="753"/>
      <c r="C4197" s="752" t="s">
        <v>45900</v>
      </c>
      <c r="D4197" s="753" t="s">
        <v>45839</v>
      </c>
      <c r="E4197" s="752" t="s">
        <v>45730</v>
      </c>
      <c r="F4197" s="751">
        <v>3385</v>
      </c>
    </row>
    <row r="4198" spans="1:6">
      <c r="A4198" s="753"/>
      <c r="B4198" s="753"/>
      <c r="C4198" s="752" t="s">
        <v>45899</v>
      </c>
      <c r="D4198" s="753" t="s">
        <v>45839</v>
      </c>
      <c r="E4198" s="752" t="s">
        <v>45622</v>
      </c>
      <c r="F4198" s="751">
        <v>2625</v>
      </c>
    </row>
    <row r="4199" spans="1:6">
      <c r="A4199" s="753"/>
      <c r="B4199" s="753"/>
      <c r="C4199" s="752" t="s">
        <v>45898</v>
      </c>
      <c r="D4199" s="753" t="s">
        <v>45845</v>
      </c>
      <c r="E4199" s="752" t="s">
        <v>45653</v>
      </c>
      <c r="F4199" s="751">
        <v>2325</v>
      </c>
    </row>
    <row r="4200" spans="1:6">
      <c r="A4200" s="753"/>
      <c r="B4200" s="753"/>
      <c r="C4200" s="752" t="s">
        <v>45897</v>
      </c>
      <c r="D4200" s="753" t="s">
        <v>45839</v>
      </c>
      <c r="E4200" s="752" t="s">
        <v>45896</v>
      </c>
      <c r="F4200" s="751">
        <v>4145</v>
      </c>
    </row>
    <row r="4201" spans="1:6">
      <c r="A4201" s="753"/>
      <c r="B4201" s="753"/>
      <c r="C4201" s="752" t="s">
        <v>45895</v>
      </c>
      <c r="D4201" s="753" t="s">
        <v>45839</v>
      </c>
      <c r="E4201" s="752" t="s">
        <v>45630</v>
      </c>
      <c r="F4201" s="751">
        <v>3385</v>
      </c>
    </row>
    <row r="4202" spans="1:6">
      <c r="A4202" s="753"/>
      <c r="B4202" s="753"/>
      <c r="C4202" s="752" t="s">
        <v>45894</v>
      </c>
      <c r="D4202" s="753" t="s">
        <v>45839</v>
      </c>
      <c r="E4202" s="752" t="s">
        <v>45646</v>
      </c>
      <c r="F4202" s="751">
        <v>2625</v>
      </c>
    </row>
    <row r="4203" spans="1:6">
      <c r="A4203" s="753"/>
      <c r="B4203" s="753"/>
      <c r="C4203" s="752" t="s">
        <v>45893</v>
      </c>
      <c r="D4203" s="753" t="s">
        <v>45839</v>
      </c>
      <c r="E4203" s="752" t="s">
        <v>45622</v>
      </c>
      <c r="F4203" s="751">
        <v>2625</v>
      </c>
    </row>
    <row r="4204" spans="1:6">
      <c r="A4204" s="753"/>
      <c r="B4204" s="753"/>
      <c r="C4204" s="752" t="s">
        <v>45892</v>
      </c>
      <c r="D4204" s="753" t="s">
        <v>45839</v>
      </c>
      <c r="E4204" s="752" t="s">
        <v>45891</v>
      </c>
      <c r="F4204" s="751">
        <v>3135</v>
      </c>
    </row>
    <row r="4205" spans="1:6">
      <c r="A4205" s="753"/>
      <c r="B4205" s="753"/>
      <c r="C4205" s="752" t="s">
        <v>45890</v>
      </c>
      <c r="D4205" s="753" t="s">
        <v>45839</v>
      </c>
      <c r="E4205" s="752" t="s">
        <v>45849</v>
      </c>
      <c r="F4205" s="751">
        <v>4145</v>
      </c>
    </row>
    <row r="4206" spans="1:6">
      <c r="A4206" s="753"/>
      <c r="B4206" s="753"/>
      <c r="C4206" s="752" t="s">
        <v>45889</v>
      </c>
      <c r="D4206" s="753" t="s">
        <v>45839</v>
      </c>
      <c r="E4206" s="752" t="s">
        <v>45630</v>
      </c>
      <c r="F4206" s="751">
        <v>3385</v>
      </c>
    </row>
    <row r="4207" spans="1:6">
      <c r="A4207" s="753"/>
      <c r="B4207" s="753"/>
      <c r="C4207" s="752" t="s">
        <v>45888</v>
      </c>
      <c r="D4207" s="753" t="s">
        <v>45839</v>
      </c>
      <c r="E4207" s="752" t="s">
        <v>45723</v>
      </c>
      <c r="F4207" s="751">
        <v>3385</v>
      </c>
    </row>
    <row r="4208" spans="1:6">
      <c r="A4208" s="753"/>
      <c r="B4208" s="753"/>
      <c r="C4208" s="752" t="s">
        <v>45887</v>
      </c>
      <c r="D4208" s="753" t="s">
        <v>45839</v>
      </c>
      <c r="E4208" s="752" t="s">
        <v>45886</v>
      </c>
      <c r="F4208" s="751">
        <v>4145</v>
      </c>
    </row>
    <row r="4209" spans="1:6">
      <c r="A4209" s="753"/>
      <c r="B4209" s="753"/>
      <c r="C4209" s="752" t="s">
        <v>45885</v>
      </c>
      <c r="D4209" s="753" t="s">
        <v>45839</v>
      </c>
      <c r="E4209" s="752" t="s">
        <v>45884</v>
      </c>
      <c r="F4209" s="751">
        <v>4475</v>
      </c>
    </row>
    <row r="4210" spans="1:6">
      <c r="A4210" s="753"/>
      <c r="B4210" s="753"/>
      <c r="C4210" s="752" t="s">
        <v>45883</v>
      </c>
      <c r="D4210" s="753" t="s">
        <v>45839</v>
      </c>
      <c r="E4210" s="752" t="s">
        <v>45882</v>
      </c>
      <c r="F4210" s="751">
        <v>4145</v>
      </c>
    </row>
    <row r="4211" spans="1:6">
      <c r="A4211" s="753"/>
      <c r="B4211" s="753"/>
      <c r="C4211" s="752" t="s">
        <v>45881</v>
      </c>
      <c r="D4211" s="753" t="s">
        <v>45839</v>
      </c>
      <c r="E4211" s="752" t="s">
        <v>41676</v>
      </c>
      <c r="F4211" s="751">
        <v>2375</v>
      </c>
    </row>
    <row r="4212" spans="1:6">
      <c r="A4212" s="753"/>
      <c r="B4212" s="753"/>
      <c r="C4212" s="752" t="s">
        <v>45880</v>
      </c>
      <c r="D4212" s="753" t="s">
        <v>45839</v>
      </c>
      <c r="E4212" s="752" t="s">
        <v>45878</v>
      </c>
      <c r="F4212" s="751">
        <v>2125</v>
      </c>
    </row>
    <row r="4213" spans="1:6">
      <c r="A4213" s="753"/>
      <c r="B4213" s="753"/>
      <c r="C4213" s="752" t="s">
        <v>45879</v>
      </c>
      <c r="D4213" s="753" t="s">
        <v>45839</v>
      </c>
      <c r="E4213" s="752" t="s">
        <v>45878</v>
      </c>
      <c r="F4213" s="751">
        <v>2375</v>
      </c>
    </row>
    <row r="4214" spans="1:6">
      <c r="A4214" s="753"/>
      <c r="B4214" s="753"/>
      <c r="C4214" s="752" t="s">
        <v>45877</v>
      </c>
      <c r="D4214" s="753" t="s">
        <v>45839</v>
      </c>
      <c r="E4214" s="752" t="s">
        <v>45876</v>
      </c>
      <c r="F4214" s="751">
        <v>4475</v>
      </c>
    </row>
    <row r="4215" spans="1:6">
      <c r="A4215" s="753"/>
      <c r="B4215" s="753"/>
      <c r="C4215" s="752" t="s">
        <v>45875</v>
      </c>
      <c r="D4215" s="753" t="s">
        <v>45839</v>
      </c>
      <c r="E4215" s="752" t="s">
        <v>45716</v>
      </c>
      <c r="F4215" s="751">
        <v>2375</v>
      </c>
    </row>
    <row r="4216" spans="1:6">
      <c r="A4216" s="753"/>
      <c r="B4216" s="753"/>
      <c r="C4216" s="752" t="s">
        <v>45874</v>
      </c>
      <c r="D4216" s="753" t="s">
        <v>45839</v>
      </c>
      <c r="E4216" s="752" t="s">
        <v>45628</v>
      </c>
      <c r="F4216" s="751">
        <v>2625</v>
      </c>
    </row>
    <row r="4217" spans="1:6">
      <c r="A4217" s="753"/>
      <c r="B4217" s="753"/>
      <c r="C4217" s="752" t="s">
        <v>45873</v>
      </c>
      <c r="D4217" s="753" t="s">
        <v>45845</v>
      </c>
      <c r="E4217" s="752" t="s">
        <v>45872</v>
      </c>
      <c r="F4217" s="751">
        <v>2325</v>
      </c>
    </row>
    <row r="4218" spans="1:6">
      <c r="A4218" s="753"/>
      <c r="B4218" s="753"/>
      <c r="C4218" s="752" t="s">
        <v>45871</v>
      </c>
      <c r="D4218" s="753" t="s">
        <v>45839</v>
      </c>
      <c r="E4218" s="752" t="s">
        <v>45870</v>
      </c>
      <c r="F4218" s="751">
        <v>3385</v>
      </c>
    </row>
    <row r="4219" spans="1:6">
      <c r="A4219" s="753"/>
      <c r="B4219" s="753"/>
      <c r="C4219" s="752" t="s">
        <v>45869</v>
      </c>
      <c r="D4219" s="753" t="s">
        <v>45839</v>
      </c>
      <c r="E4219" s="752" t="s">
        <v>45868</v>
      </c>
      <c r="F4219" s="751">
        <v>4145</v>
      </c>
    </row>
    <row r="4220" spans="1:6">
      <c r="A4220" s="753"/>
      <c r="B4220" s="753"/>
      <c r="C4220" s="752" t="s">
        <v>45867</v>
      </c>
      <c r="D4220" s="753" t="s">
        <v>45839</v>
      </c>
      <c r="E4220" s="752" t="s">
        <v>45866</v>
      </c>
      <c r="F4220" s="751">
        <v>3695</v>
      </c>
    </row>
    <row r="4221" spans="1:6">
      <c r="A4221" s="753"/>
      <c r="B4221" s="753"/>
      <c r="C4221" s="752" t="s">
        <v>45865</v>
      </c>
      <c r="D4221" s="753" t="s">
        <v>45839</v>
      </c>
      <c r="E4221" s="752" t="s">
        <v>45864</v>
      </c>
      <c r="F4221" s="751">
        <v>3385</v>
      </c>
    </row>
    <row r="4222" spans="1:6">
      <c r="A4222" s="753"/>
      <c r="B4222" s="753"/>
      <c r="C4222" s="752" t="s">
        <v>45863</v>
      </c>
      <c r="D4222" s="753" t="s">
        <v>45839</v>
      </c>
      <c r="E4222" s="752" t="s">
        <v>45852</v>
      </c>
      <c r="F4222" s="751">
        <v>2625</v>
      </c>
    </row>
    <row r="4223" spans="1:6">
      <c r="A4223" s="753"/>
      <c r="B4223" s="753"/>
      <c r="C4223" s="752" t="s">
        <v>45862</v>
      </c>
      <c r="D4223" s="753" t="s">
        <v>45845</v>
      </c>
      <c r="E4223" s="752" t="s">
        <v>45653</v>
      </c>
      <c r="F4223" s="751">
        <v>2325</v>
      </c>
    </row>
    <row r="4224" spans="1:6">
      <c r="A4224" s="753"/>
      <c r="B4224" s="753"/>
      <c r="C4224" s="752" t="s">
        <v>45861</v>
      </c>
      <c r="D4224" s="753" t="s">
        <v>45839</v>
      </c>
      <c r="E4224" s="752" t="s">
        <v>45860</v>
      </c>
      <c r="F4224" s="751">
        <v>3385</v>
      </c>
    </row>
    <row r="4225" spans="1:6">
      <c r="A4225" s="753"/>
      <c r="B4225" s="753"/>
      <c r="C4225" s="752" t="s">
        <v>45859</v>
      </c>
      <c r="D4225" s="753" t="s">
        <v>45839</v>
      </c>
      <c r="E4225" s="752" t="s">
        <v>45763</v>
      </c>
      <c r="F4225" s="751">
        <v>4145</v>
      </c>
    </row>
    <row r="4226" spans="1:6">
      <c r="A4226" s="753"/>
      <c r="B4226" s="753"/>
      <c r="C4226" s="752" t="s">
        <v>45858</v>
      </c>
      <c r="D4226" s="753" t="s">
        <v>45839</v>
      </c>
      <c r="E4226" s="752" t="s">
        <v>45857</v>
      </c>
      <c r="F4226" s="751">
        <v>2375</v>
      </c>
    </row>
    <row r="4227" spans="1:6">
      <c r="A4227" s="753"/>
      <c r="B4227" s="753"/>
      <c r="C4227" s="752" t="s">
        <v>45856</v>
      </c>
      <c r="D4227" s="753" t="s">
        <v>45839</v>
      </c>
      <c r="E4227" s="752" t="s">
        <v>45702</v>
      </c>
      <c r="F4227" s="751">
        <v>3825</v>
      </c>
    </row>
    <row r="4228" spans="1:6">
      <c r="A4228" s="753"/>
      <c r="B4228" s="753"/>
      <c r="C4228" s="752" t="s">
        <v>45855</v>
      </c>
      <c r="D4228" s="753" t="s">
        <v>45839</v>
      </c>
      <c r="E4228" s="752" t="s">
        <v>45630</v>
      </c>
      <c r="F4228" s="751">
        <v>3385</v>
      </c>
    </row>
    <row r="4229" spans="1:6">
      <c r="A4229" s="753"/>
      <c r="B4229" s="753"/>
      <c r="C4229" s="752" t="s">
        <v>45854</v>
      </c>
      <c r="D4229" s="753" t="s">
        <v>45839</v>
      </c>
      <c r="E4229" s="752" t="s">
        <v>45646</v>
      </c>
      <c r="F4229" s="751">
        <v>2625</v>
      </c>
    </row>
    <row r="4230" spans="1:6">
      <c r="A4230" s="753"/>
      <c r="B4230" s="753"/>
      <c r="C4230" s="752" t="s">
        <v>45853</v>
      </c>
      <c r="D4230" s="753" t="s">
        <v>45839</v>
      </c>
      <c r="E4230" s="752" t="s">
        <v>45852</v>
      </c>
      <c r="F4230" s="751">
        <v>2625</v>
      </c>
    </row>
    <row r="4231" spans="1:6">
      <c r="A4231" s="753"/>
      <c r="B4231" s="753"/>
      <c r="C4231" s="752" t="s">
        <v>45851</v>
      </c>
      <c r="D4231" s="753" t="s">
        <v>45839</v>
      </c>
      <c r="E4231" s="752" t="s">
        <v>45702</v>
      </c>
      <c r="F4231" s="751">
        <v>4335</v>
      </c>
    </row>
    <row r="4232" spans="1:6">
      <c r="A4232" s="753"/>
      <c r="B4232" s="753"/>
      <c r="C4232" s="752" t="s">
        <v>45850</v>
      </c>
      <c r="D4232" s="753" t="s">
        <v>45839</v>
      </c>
      <c r="E4232" s="752" t="s">
        <v>45849</v>
      </c>
      <c r="F4232" s="751">
        <v>4145</v>
      </c>
    </row>
    <row r="4233" spans="1:6">
      <c r="A4233" s="753"/>
      <c r="B4233" s="753"/>
      <c r="C4233" s="752" t="s">
        <v>45848</v>
      </c>
      <c r="D4233" s="753" t="s">
        <v>45839</v>
      </c>
      <c r="E4233" s="752" t="s">
        <v>45696</v>
      </c>
      <c r="F4233" s="751">
        <v>3825</v>
      </c>
    </row>
    <row r="4234" spans="1:6">
      <c r="A4234" s="753"/>
      <c r="B4234" s="753"/>
      <c r="C4234" s="752" t="s">
        <v>45847</v>
      </c>
      <c r="D4234" s="753" t="s">
        <v>45839</v>
      </c>
      <c r="E4234" s="752" t="s">
        <v>45630</v>
      </c>
      <c r="F4234" s="751">
        <v>3385</v>
      </c>
    </row>
    <row r="4235" spans="1:6">
      <c r="A4235" s="753"/>
      <c r="B4235" s="753"/>
      <c r="C4235" s="752" t="s">
        <v>45846</v>
      </c>
      <c r="D4235" s="753" t="s">
        <v>45845</v>
      </c>
      <c r="E4235" s="752" t="s">
        <v>45844</v>
      </c>
      <c r="F4235" s="751">
        <v>2975</v>
      </c>
    </row>
    <row r="4236" spans="1:6">
      <c r="A4236" s="753"/>
      <c r="B4236" s="753"/>
      <c r="C4236" s="752" t="s">
        <v>45843</v>
      </c>
      <c r="D4236" s="753" t="s">
        <v>45839</v>
      </c>
      <c r="E4236" s="752" t="s">
        <v>41676</v>
      </c>
      <c r="F4236" s="751">
        <v>2625</v>
      </c>
    </row>
    <row r="4237" spans="1:6">
      <c r="A4237" s="753"/>
      <c r="B4237" s="753"/>
      <c r="C4237" s="752" t="s">
        <v>45842</v>
      </c>
      <c r="D4237" s="753" t="s">
        <v>45839</v>
      </c>
      <c r="E4237" s="752" t="s">
        <v>45687</v>
      </c>
      <c r="F4237" s="751">
        <v>3385</v>
      </c>
    </row>
    <row r="4238" spans="1:6">
      <c r="A4238" s="753"/>
      <c r="B4238" s="753"/>
      <c r="C4238" s="752" t="s">
        <v>45841</v>
      </c>
      <c r="D4238" s="753" t="s">
        <v>45839</v>
      </c>
      <c r="E4238" s="752" t="s">
        <v>41676</v>
      </c>
      <c r="F4238" s="751">
        <v>2375</v>
      </c>
    </row>
    <row r="4239" spans="1:6">
      <c r="A4239" s="753"/>
      <c r="B4239" s="753"/>
      <c r="C4239" s="752" t="s">
        <v>45840</v>
      </c>
      <c r="D4239" s="753" t="s">
        <v>45839</v>
      </c>
      <c r="E4239" s="752" t="s">
        <v>37750</v>
      </c>
      <c r="F4239" s="751">
        <v>2125</v>
      </c>
    </row>
    <row r="4240" spans="1:6">
      <c r="A4240" s="753"/>
      <c r="B4240" s="753"/>
      <c r="C4240" s="752" t="s">
        <v>45838</v>
      </c>
      <c r="D4240" s="753" t="s">
        <v>45780</v>
      </c>
      <c r="E4240" s="752" t="s">
        <v>293</v>
      </c>
      <c r="F4240" s="751">
        <v>3175</v>
      </c>
    </row>
    <row r="4241" spans="1:6">
      <c r="A4241" s="753"/>
      <c r="B4241" s="753"/>
      <c r="C4241" s="752" t="s">
        <v>45837</v>
      </c>
      <c r="D4241" s="753" t="s">
        <v>45780</v>
      </c>
      <c r="E4241" s="752" t="s">
        <v>39199</v>
      </c>
      <c r="F4241" s="751">
        <v>3935</v>
      </c>
    </row>
    <row r="4242" spans="1:6">
      <c r="A4242" s="753"/>
      <c r="B4242" s="753"/>
      <c r="C4242" s="752" t="s">
        <v>45836</v>
      </c>
      <c r="D4242" s="753" t="s">
        <v>45780</v>
      </c>
      <c r="E4242" s="752" t="s">
        <v>39458</v>
      </c>
      <c r="F4242" s="751">
        <v>3175</v>
      </c>
    </row>
    <row r="4243" spans="1:6">
      <c r="A4243" s="753"/>
      <c r="B4243" s="753"/>
      <c r="C4243" s="752" t="s">
        <v>45835</v>
      </c>
      <c r="D4243" s="753" t="s">
        <v>45780</v>
      </c>
      <c r="E4243" s="752" t="s">
        <v>45774</v>
      </c>
      <c r="F4243" s="751">
        <v>3175</v>
      </c>
    </row>
    <row r="4244" spans="1:6">
      <c r="A4244" s="753"/>
      <c r="B4244" s="753"/>
      <c r="C4244" s="752" t="s">
        <v>45834</v>
      </c>
      <c r="D4244" s="753" t="s">
        <v>45780</v>
      </c>
      <c r="E4244" s="752" t="s">
        <v>45833</v>
      </c>
      <c r="F4244" s="751">
        <v>3935</v>
      </c>
    </row>
    <row r="4245" spans="1:6">
      <c r="A4245" s="753"/>
      <c r="B4245" s="753"/>
      <c r="C4245" s="752" t="s">
        <v>45832</v>
      </c>
      <c r="D4245" s="753" t="s">
        <v>45780</v>
      </c>
      <c r="E4245" s="752" t="s">
        <v>45628</v>
      </c>
      <c r="F4245" s="751">
        <v>3175</v>
      </c>
    </row>
    <row r="4246" spans="1:6">
      <c r="A4246" s="753"/>
      <c r="B4246" s="753"/>
      <c r="C4246" s="752" t="s">
        <v>45831</v>
      </c>
      <c r="D4246" s="753" t="s">
        <v>45780</v>
      </c>
      <c r="E4246" s="752" t="s">
        <v>45830</v>
      </c>
      <c r="F4246" s="751">
        <v>3175</v>
      </c>
    </row>
    <row r="4247" spans="1:6">
      <c r="A4247" s="753"/>
      <c r="B4247" s="753"/>
      <c r="C4247" s="752" t="s">
        <v>45829</v>
      </c>
      <c r="D4247" s="753" t="s">
        <v>45780</v>
      </c>
      <c r="E4247" s="752" t="s">
        <v>45828</v>
      </c>
      <c r="F4247" s="751">
        <v>4695</v>
      </c>
    </row>
    <row r="4248" spans="1:6">
      <c r="A4248" s="753"/>
      <c r="B4248" s="753"/>
      <c r="C4248" s="752" t="s">
        <v>45827</v>
      </c>
      <c r="D4248" s="753" t="s">
        <v>45780</v>
      </c>
      <c r="E4248" s="752" t="s">
        <v>45679</v>
      </c>
      <c r="F4248" s="751">
        <v>3935</v>
      </c>
    </row>
    <row r="4249" spans="1:6">
      <c r="A4249" s="753"/>
      <c r="B4249" s="753"/>
      <c r="C4249" s="752" t="s">
        <v>45826</v>
      </c>
      <c r="D4249" s="753" t="s">
        <v>45780</v>
      </c>
      <c r="E4249" s="752" t="s">
        <v>45767</v>
      </c>
      <c r="F4249" s="751">
        <v>3175</v>
      </c>
    </row>
    <row r="4250" spans="1:6">
      <c r="A4250" s="753"/>
      <c r="B4250" s="753"/>
      <c r="C4250" s="752" t="s">
        <v>45825</v>
      </c>
      <c r="D4250" s="753" t="s">
        <v>45780</v>
      </c>
      <c r="E4250" s="752" t="s">
        <v>45677</v>
      </c>
      <c r="F4250" s="751">
        <v>3935</v>
      </c>
    </row>
    <row r="4251" spans="1:6">
      <c r="A4251" s="753"/>
      <c r="B4251" s="753"/>
      <c r="C4251" s="752" t="s">
        <v>45824</v>
      </c>
      <c r="D4251" s="753" t="s">
        <v>45780</v>
      </c>
      <c r="E4251" s="752" t="s">
        <v>45622</v>
      </c>
      <c r="F4251" s="751">
        <v>3175</v>
      </c>
    </row>
    <row r="4252" spans="1:6">
      <c r="A4252" s="753"/>
      <c r="B4252" s="753"/>
      <c r="C4252" s="752" t="s">
        <v>45823</v>
      </c>
      <c r="D4252" s="753" t="s">
        <v>45795</v>
      </c>
      <c r="E4252" s="752" t="s">
        <v>38878</v>
      </c>
      <c r="F4252" s="751">
        <v>2725</v>
      </c>
    </row>
    <row r="4253" spans="1:6">
      <c r="A4253" s="753"/>
      <c r="B4253" s="753"/>
      <c r="C4253" s="752" t="s">
        <v>45822</v>
      </c>
      <c r="D4253" s="753" t="s">
        <v>45780</v>
      </c>
      <c r="E4253" s="752" t="s">
        <v>45821</v>
      </c>
      <c r="F4253" s="751">
        <v>4695</v>
      </c>
    </row>
    <row r="4254" spans="1:6">
      <c r="A4254" s="753"/>
      <c r="B4254" s="753"/>
      <c r="C4254" s="752" t="s">
        <v>45820</v>
      </c>
      <c r="D4254" s="753" t="s">
        <v>45780</v>
      </c>
      <c r="E4254" s="752" t="s">
        <v>45617</v>
      </c>
      <c r="F4254" s="751">
        <v>3935</v>
      </c>
    </row>
    <row r="4255" spans="1:6">
      <c r="A4255" s="753"/>
      <c r="B4255" s="753"/>
      <c r="C4255" s="752" t="s">
        <v>45819</v>
      </c>
      <c r="D4255" s="753" t="s">
        <v>45780</v>
      </c>
      <c r="E4255" s="752" t="s">
        <v>45646</v>
      </c>
      <c r="F4255" s="751">
        <v>3175</v>
      </c>
    </row>
    <row r="4256" spans="1:6">
      <c r="A4256" s="753"/>
      <c r="B4256" s="753"/>
      <c r="C4256" s="752" t="s">
        <v>45818</v>
      </c>
      <c r="D4256" s="753" t="s">
        <v>45780</v>
      </c>
      <c r="E4256" s="752" t="s">
        <v>45615</v>
      </c>
      <c r="F4256" s="751">
        <v>3175</v>
      </c>
    </row>
    <row r="4257" spans="1:6">
      <c r="A4257" s="753"/>
      <c r="B4257" s="753"/>
      <c r="C4257" s="752" t="s">
        <v>45817</v>
      </c>
      <c r="D4257" s="753" t="s">
        <v>45780</v>
      </c>
      <c r="E4257" s="752" t="s">
        <v>45741</v>
      </c>
      <c r="F4257" s="751">
        <v>4695</v>
      </c>
    </row>
    <row r="4258" spans="1:6">
      <c r="A4258" s="753"/>
      <c r="B4258" s="753"/>
      <c r="C4258" s="752" t="s">
        <v>45816</v>
      </c>
      <c r="D4258" s="753" t="s">
        <v>45780</v>
      </c>
      <c r="E4258" s="752" t="s">
        <v>45630</v>
      </c>
      <c r="F4258" s="751">
        <v>3935</v>
      </c>
    </row>
    <row r="4259" spans="1:6">
      <c r="A4259" s="753"/>
      <c r="B4259" s="753"/>
      <c r="C4259" s="752" t="s">
        <v>45815</v>
      </c>
      <c r="D4259" s="753" t="s">
        <v>45780</v>
      </c>
      <c r="E4259" s="752" t="s">
        <v>45723</v>
      </c>
      <c r="F4259" s="751">
        <v>3935</v>
      </c>
    </row>
    <row r="4260" spans="1:6">
      <c r="A4260" s="753"/>
      <c r="B4260" s="753"/>
      <c r="C4260" s="752" t="s">
        <v>45814</v>
      </c>
      <c r="D4260" s="753" t="s">
        <v>45780</v>
      </c>
      <c r="E4260" s="752" t="s">
        <v>45813</v>
      </c>
      <c r="F4260" s="751">
        <v>4445</v>
      </c>
    </row>
    <row r="4261" spans="1:6">
      <c r="A4261" s="753"/>
      <c r="B4261" s="753"/>
      <c r="C4261" s="752" t="s">
        <v>45812</v>
      </c>
      <c r="D4261" s="753" t="s">
        <v>45780</v>
      </c>
      <c r="E4261" s="752" t="s">
        <v>45811</v>
      </c>
      <c r="F4261" s="751">
        <v>3935</v>
      </c>
    </row>
    <row r="4262" spans="1:6">
      <c r="A4262" s="753"/>
      <c r="B4262" s="753"/>
      <c r="C4262" s="752" t="s">
        <v>45810</v>
      </c>
      <c r="D4262" s="753" t="s">
        <v>45780</v>
      </c>
      <c r="E4262" s="752" t="s">
        <v>45809</v>
      </c>
      <c r="F4262" s="751">
        <v>4695</v>
      </c>
    </row>
    <row r="4263" spans="1:6">
      <c r="A4263" s="753"/>
      <c r="B4263" s="753"/>
      <c r="C4263" s="752" t="s">
        <v>45808</v>
      </c>
      <c r="D4263" s="753" t="s">
        <v>45780</v>
      </c>
      <c r="E4263" s="752" t="s">
        <v>45666</v>
      </c>
      <c r="F4263" s="751">
        <v>2925</v>
      </c>
    </row>
    <row r="4264" spans="1:6">
      <c r="A4264" s="753"/>
      <c r="B4264" s="753"/>
      <c r="C4264" s="752" t="s">
        <v>45807</v>
      </c>
      <c r="D4264" s="753" t="s">
        <v>45780</v>
      </c>
      <c r="E4264" s="752" t="s">
        <v>45666</v>
      </c>
      <c r="F4264" s="751">
        <v>2675</v>
      </c>
    </row>
    <row r="4265" spans="1:6">
      <c r="A4265" s="753"/>
      <c r="B4265" s="753"/>
      <c r="C4265" s="752" t="s">
        <v>45806</v>
      </c>
      <c r="D4265" s="753" t="s">
        <v>45780</v>
      </c>
      <c r="E4265" s="752" t="s">
        <v>45805</v>
      </c>
      <c r="F4265" s="751">
        <v>3935</v>
      </c>
    </row>
    <row r="4266" spans="1:6">
      <c r="A4266" s="753"/>
      <c r="B4266" s="753"/>
      <c r="C4266" s="752" t="s">
        <v>45804</v>
      </c>
      <c r="D4266" s="753" t="s">
        <v>45780</v>
      </c>
      <c r="E4266" s="752" t="s">
        <v>45754</v>
      </c>
      <c r="F4266" s="751">
        <v>4695</v>
      </c>
    </row>
    <row r="4267" spans="1:6">
      <c r="A4267" s="753"/>
      <c r="B4267" s="753"/>
      <c r="C4267" s="752" t="s">
        <v>45803</v>
      </c>
      <c r="D4267" s="753" t="s">
        <v>45780</v>
      </c>
      <c r="E4267" s="752" t="s">
        <v>45716</v>
      </c>
      <c r="F4267" s="751">
        <v>2925</v>
      </c>
    </row>
    <row r="4268" spans="1:6">
      <c r="A4268" s="753"/>
      <c r="B4268" s="753"/>
      <c r="C4268" s="752" t="s">
        <v>45802</v>
      </c>
      <c r="D4268" s="753" t="s">
        <v>45780</v>
      </c>
      <c r="E4268" s="752" t="s">
        <v>45628</v>
      </c>
      <c r="F4268" s="751">
        <v>3175</v>
      </c>
    </row>
    <row r="4269" spans="1:6">
      <c r="A4269" s="753"/>
      <c r="B4269" s="753"/>
      <c r="C4269" s="752" t="s">
        <v>45801</v>
      </c>
      <c r="D4269" s="753" t="s">
        <v>45780</v>
      </c>
      <c r="E4269" s="752" t="s">
        <v>45591</v>
      </c>
      <c r="F4269" s="751">
        <v>3935</v>
      </c>
    </row>
    <row r="4270" spans="1:6">
      <c r="A4270" s="753"/>
      <c r="B4270" s="753"/>
      <c r="C4270" s="752" t="s">
        <v>45800</v>
      </c>
      <c r="D4270" s="753" t="s">
        <v>45780</v>
      </c>
      <c r="E4270" s="752" t="s">
        <v>45799</v>
      </c>
      <c r="F4270" s="751">
        <v>4915</v>
      </c>
    </row>
    <row r="4271" spans="1:6">
      <c r="A4271" s="753"/>
      <c r="B4271" s="753"/>
      <c r="C4271" s="752" t="s">
        <v>45798</v>
      </c>
      <c r="D4271" s="753" t="s">
        <v>45780</v>
      </c>
      <c r="E4271" s="752" t="s">
        <v>45659</v>
      </c>
      <c r="F4271" s="751">
        <v>3935</v>
      </c>
    </row>
    <row r="4272" spans="1:6">
      <c r="A4272" s="753"/>
      <c r="B4272" s="753"/>
      <c r="C4272" s="752" t="s">
        <v>45797</v>
      </c>
      <c r="D4272" s="753" t="s">
        <v>45780</v>
      </c>
      <c r="E4272" s="752" t="s">
        <v>45622</v>
      </c>
      <c r="F4272" s="751">
        <v>3175</v>
      </c>
    </row>
    <row r="4273" spans="1:6">
      <c r="A4273" s="753"/>
      <c r="B4273" s="753"/>
      <c r="C4273" s="752" t="s">
        <v>45796</v>
      </c>
      <c r="D4273" s="753" t="s">
        <v>45795</v>
      </c>
      <c r="E4273" s="752" t="s">
        <v>38878</v>
      </c>
      <c r="F4273" s="751">
        <v>2725</v>
      </c>
    </row>
    <row r="4274" spans="1:6">
      <c r="A4274" s="753"/>
      <c r="B4274" s="753"/>
      <c r="C4274" s="752" t="s">
        <v>45794</v>
      </c>
      <c r="D4274" s="753" t="s">
        <v>45780</v>
      </c>
      <c r="E4274" s="752" t="s">
        <v>45748</v>
      </c>
      <c r="F4274" s="751">
        <v>4695</v>
      </c>
    </row>
    <row r="4275" spans="1:6">
      <c r="A4275" s="753"/>
      <c r="B4275" s="753"/>
      <c r="C4275" s="752" t="s">
        <v>45793</v>
      </c>
      <c r="D4275" s="753" t="s">
        <v>45780</v>
      </c>
      <c r="E4275" s="752" t="s">
        <v>45649</v>
      </c>
      <c r="F4275" s="751">
        <v>4375</v>
      </c>
    </row>
    <row r="4276" spans="1:6">
      <c r="A4276" s="753"/>
      <c r="B4276" s="753"/>
      <c r="C4276" s="752" t="s">
        <v>45792</v>
      </c>
      <c r="D4276" s="753" t="s">
        <v>45780</v>
      </c>
      <c r="E4276" s="752" t="s">
        <v>45617</v>
      </c>
      <c r="F4276" s="751">
        <v>3935</v>
      </c>
    </row>
    <row r="4277" spans="1:6">
      <c r="A4277" s="753"/>
      <c r="B4277" s="753"/>
      <c r="C4277" s="752" t="s">
        <v>45791</v>
      </c>
      <c r="D4277" s="753" t="s">
        <v>45780</v>
      </c>
      <c r="E4277" s="752" t="s">
        <v>45646</v>
      </c>
      <c r="F4277" s="751">
        <v>3175</v>
      </c>
    </row>
    <row r="4278" spans="1:6">
      <c r="A4278" s="753"/>
      <c r="B4278" s="753"/>
      <c r="C4278" s="752" t="s">
        <v>45790</v>
      </c>
      <c r="D4278" s="753" t="s">
        <v>45780</v>
      </c>
      <c r="E4278" s="752" t="s">
        <v>45615</v>
      </c>
      <c r="F4278" s="751">
        <v>3175</v>
      </c>
    </row>
    <row r="4279" spans="1:6">
      <c r="A4279" s="753"/>
      <c r="B4279" s="753"/>
      <c r="C4279" s="752" t="s">
        <v>45789</v>
      </c>
      <c r="D4279" s="753" t="s">
        <v>45780</v>
      </c>
      <c r="E4279" s="752" t="s">
        <v>45788</v>
      </c>
      <c r="F4279" s="751">
        <v>4885</v>
      </c>
    </row>
    <row r="4280" spans="1:6">
      <c r="A4280" s="753"/>
      <c r="B4280" s="753"/>
      <c r="C4280" s="752" t="s">
        <v>45787</v>
      </c>
      <c r="D4280" s="753" t="s">
        <v>45780</v>
      </c>
      <c r="E4280" s="752" t="s">
        <v>45741</v>
      </c>
      <c r="F4280" s="751">
        <v>4695</v>
      </c>
    </row>
    <row r="4281" spans="1:6">
      <c r="A4281" s="753"/>
      <c r="B4281" s="753"/>
      <c r="C4281" s="752" t="s">
        <v>45786</v>
      </c>
      <c r="D4281" s="753" t="s">
        <v>45780</v>
      </c>
      <c r="E4281" s="752" t="s">
        <v>45785</v>
      </c>
      <c r="F4281" s="751">
        <v>4375</v>
      </c>
    </row>
    <row r="4282" spans="1:6">
      <c r="A4282" s="753"/>
      <c r="B4282" s="753"/>
      <c r="C4282" s="752" t="s">
        <v>45784</v>
      </c>
      <c r="D4282" s="753" t="s">
        <v>45780</v>
      </c>
      <c r="E4282" s="752" t="s">
        <v>45630</v>
      </c>
      <c r="F4282" s="751">
        <v>3685</v>
      </c>
    </row>
    <row r="4283" spans="1:6">
      <c r="A4283" s="753"/>
      <c r="B4283" s="753"/>
      <c r="C4283" s="752" t="s">
        <v>45783</v>
      </c>
      <c r="D4283" s="753" t="s">
        <v>45780</v>
      </c>
      <c r="E4283" s="752" t="s">
        <v>45782</v>
      </c>
      <c r="F4283" s="751">
        <v>4265</v>
      </c>
    </row>
    <row r="4284" spans="1:6">
      <c r="A4284" s="753"/>
      <c r="B4284" s="753"/>
      <c r="C4284" s="752" t="s">
        <v>45781</v>
      </c>
      <c r="D4284" s="753" t="s">
        <v>45780</v>
      </c>
      <c r="E4284" s="752" t="s">
        <v>37750</v>
      </c>
      <c r="F4284" s="751">
        <v>2675</v>
      </c>
    </row>
    <row r="4285" spans="1:6">
      <c r="A4285" s="753"/>
      <c r="B4285" s="753"/>
      <c r="C4285" s="752" t="s">
        <v>45779</v>
      </c>
      <c r="D4285" s="753" t="s">
        <v>45742</v>
      </c>
      <c r="E4285" s="752" t="s">
        <v>293</v>
      </c>
      <c r="F4285" s="751">
        <v>3175</v>
      </c>
    </row>
    <row r="4286" spans="1:6">
      <c r="A4286" s="753"/>
      <c r="B4286" s="753"/>
      <c r="C4286" s="752" t="s">
        <v>45778</v>
      </c>
      <c r="D4286" s="753" t="s">
        <v>45742</v>
      </c>
      <c r="E4286" s="752" t="s">
        <v>39996</v>
      </c>
      <c r="F4286" s="751">
        <v>3175</v>
      </c>
    </row>
    <row r="4287" spans="1:6">
      <c r="A4287" s="753"/>
      <c r="B4287" s="753"/>
      <c r="C4287" s="752" t="s">
        <v>45777</v>
      </c>
      <c r="D4287" s="753" t="s">
        <v>45742</v>
      </c>
      <c r="E4287" s="752" t="s">
        <v>38577</v>
      </c>
      <c r="F4287" s="751">
        <v>3935</v>
      </c>
    </row>
    <row r="4288" spans="1:6">
      <c r="A4288" s="753"/>
      <c r="B4288" s="753"/>
      <c r="C4288" s="752" t="s">
        <v>45776</v>
      </c>
      <c r="D4288" s="753" t="s">
        <v>45742</v>
      </c>
      <c r="E4288" s="752" t="s">
        <v>39458</v>
      </c>
      <c r="F4288" s="751">
        <v>3175</v>
      </c>
    </row>
    <row r="4289" spans="1:6">
      <c r="A4289" s="753"/>
      <c r="B4289" s="753"/>
      <c r="C4289" s="752" t="s">
        <v>45775</v>
      </c>
      <c r="D4289" s="753" t="s">
        <v>45742</v>
      </c>
      <c r="E4289" s="752" t="s">
        <v>45774</v>
      </c>
      <c r="F4289" s="751">
        <v>3175</v>
      </c>
    </row>
    <row r="4290" spans="1:6">
      <c r="A4290" s="753"/>
      <c r="B4290" s="753"/>
      <c r="C4290" s="752" t="s">
        <v>45773</v>
      </c>
      <c r="D4290" s="753" t="s">
        <v>45742</v>
      </c>
      <c r="E4290" s="752" t="s">
        <v>45772</v>
      </c>
      <c r="F4290" s="751">
        <v>3935</v>
      </c>
    </row>
    <row r="4291" spans="1:6">
      <c r="A4291" s="753"/>
      <c r="B4291" s="753"/>
      <c r="C4291" s="752" t="s">
        <v>45771</v>
      </c>
      <c r="D4291" s="753" t="s">
        <v>45737</v>
      </c>
      <c r="E4291" s="752" t="s">
        <v>45628</v>
      </c>
      <c r="F4291" s="751">
        <v>3175</v>
      </c>
    </row>
    <row r="4292" spans="1:6">
      <c r="A4292" s="753"/>
      <c r="B4292" s="753"/>
      <c r="C4292" s="752" t="s">
        <v>45770</v>
      </c>
      <c r="D4292" s="753" t="s">
        <v>45769</v>
      </c>
      <c r="E4292" s="752" t="s">
        <v>45679</v>
      </c>
      <c r="F4292" s="751">
        <v>3935</v>
      </c>
    </row>
    <row r="4293" spans="1:6">
      <c r="A4293" s="753"/>
      <c r="B4293" s="753"/>
      <c r="C4293" s="752" t="s">
        <v>45768</v>
      </c>
      <c r="D4293" s="753" t="s">
        <v>45737</v>
      </c>
      <c r="E4293" s="752" t="s">
        <v>45767</v>
      </c>
      <c r="F4293" s="751">
        <v>3175</v>
      </c>
    </row>
    <row r="4294" spans="1:6">
      <c r="A4294" s="753"/>
      <c r="B4294" s="753"/>
      <c r="C4294" s="752" t="s">
        <v>45766</v>
      </c>
      <c r="D4294" s="753" t="s">
        <v>45737</v>
      </c>
      <c r="E4294" s="752" t="s">
        <v>45622</v>
      </c>
      <c r="F4294" s="751">
        <v>3175</v>
      </c>
    </row>
    <row r="4295" spans="1:6">
      <c r="A4295" s="753"/>
      <c r="B4295" s="753"/>
      <c r="C4295" s="752" t="s">
        <v>45765</v>
      </c>
      <c r="D4295" s="753" t="s">
        <v>45737</v>
      </c>
      <c r="E4295" s="752" t="s">
        <v>45622</v>
      </c>
      <c r="F4295" s="751">
        <v>3175</v>
      </c>
    </row>
    <row r="4296" spans="1:6">
      <c r="A4296" s="753"/>
      <c r="B4296" s="753"/>
      <c r="C4296" s="752" t="s">
        <v>45764</v>
      </c>
      <c r="D4296" s="753" t="s">
        <v>45737</v>
      </c>
      <c r="E4296" s="752" t="s">
        <v>45763</v>
      </c>
      <c r="F4296" s="751">
        <v>4695</v>
      </c>
    </row>
    <row r="4297" spans="1:6">
      <c r="A4297" s="753"/>
      <c r="B4297" s="753"/>
      <c r="C4297" s="752" t="s">
        <v>45762</v>
      </c>
      <c r="D4297" s="753" t="s">
        <v>45737</v>
      </c>
      <c r="E4297" s="752" t="s">
        <v>45630</v>
      </c>
      <c r="F4297" s="751">
        <v>3935</v>
      </c>
    </row>
    <row r="4298" spans="1:6">
      <c r="A4298" s="753"/>
      <c r="B4298" s="753"/>
      <c r="C4298" s="752" t="s">
        <v>45761</v>
      </c>
      <c r="D4298" s="753" t="s">
        <v>45737</v>
      </c>
      <c r="E4298" s="752" t="s">
        <v>45646</v>
      </c>
      <c r="F4298" s="751">
        <v>3175</v>
      </c>
    </row>
    <row r="4299" spans="1:6">
      <c r="A4299" s="753"/>
      <c r="B4299" s="753"/>
      <c r="C4299" s="752" t="s">
        <v>45760</v>
      </c>
      <c r="D4299" s="753" t="s">
        <v>45737</v>
      </c>
      <c r="E4299" s="752" t="s">
        <v>45615</v>
      </c>
      <c r="F4299" s="751">
        <v>3175</v>
      </c>
    </row>
    <row r="4300" spans="1:6">
      <c r="A4300" s="753"/>
      <c r="B4300" s="753"/>
      <c r="C4300" s="752" t="s">
        <v>45759</v>
      </c>
      <c r="D4300" s="753" t="s">
        <v>45742</v>
      </c>
      <c r="E4300" s="752" t="s">
        <v>45741</v>
      </c>
      <c r="F4300" s="751">
        <v>4695</v>
      </c>
    </row>
    <row r="4301" spans="1:6">
      <c r="A4301" s="753"/>
      <c r="B4301" s="753"/>
      <c r="C4301" s="752" t="s">
        <v>45758</v>
      </c>
      <c r="D4301" s="753" t="s">
        <v>45737</v>
      </c>
      <c r="E4301" s="752" t="s">
        <v>45630</v>
      </c>
      <c r="F4301" s="751">
        <v>3935</v>
      </c>
    </row>
    <row r="4302" spans="1:6">
      <c r="A4302" s="753"/>
      <c r="B4302" s="753"/>
      <c r="C4302" s="752" t="s">
        <v>45757</v>
      </c>
      <c r="D4302" s="753" t="s">
        <v>45737</v>
      </c>
      <c r="E4302" s="752" t="s">
        <v>45723</v>
      </c>
      <c r="F4302" s="751">
        <v>3935</v>
      </c>
    </row>
    <row r="4303" spans="1:6">
      <c r="A4303" s="753"/>
      <c r="B4303" s="753"/>
      <c r="C4303" s="752" t="s">
        <v>45756</v>
      </c>
      <c r="D4303" s="753" t="s">
        <v>45742</v>
      </c>
      <c r="E4303" s="752" t="s">
        <v>45666</v>
      </c>
      <c r="F4303" s="751">
        <v>2925</v>
      </c>
    </row>
    <row r="4304" spans="1:6">
      <c r="A4304" s="753"/>
      <c r="B4304" s="753"/>
      <c r="C4304" s="752" t="s">
        <v>45755</v>
      </c>
      <c r="D4304" s="753" t="s">
        <v>45742</v>
      </c>
      <c r="E4304" s="752" t="s">
        <v>45754</v>
      </c>
      <c r="F4304" s="751">
        <v>4695</v>
      </c>
    </row>
    <row r="4305" spans="1:6">
      <c r="A4305" s="753"/>
      <c r="B4305" s="753"/>
      <c r="C4305" s="752" t="s">
        <v>45753</v>
      </c>
      <c r="D4305" s="753" t="s">
        <v>45737</v>
      </c>
      <c r="E4305" s="752" t="s">
        <v>45716</v>
      </c>
      <c r="F4305" s="751">
        <v>2925</v>
      </c>
    </row>
    <row r="4306" spans="1:6">
      <c r="A4306" s="753"/>
      <c r="B4306" s="753"/>
      <c r="C4306" s="752" t="s">
        <v>45752</v>
      </c>
      <c r="D4306" s="753" t="s">
        <v>45737</v>
      </c>
      <c r="E4306" s="752" t="s">
        <v>45628</v>
      </c>
      <c r="F4306" s="751">
        <v>3175</v>
      </c>
    </row>
    <row r="4307" spans="1:6">
      <c r="A4307" s="753"/>
      <c r="B4307" s="753"/>
      <c r="C4307" s="752" t="s">
        <v>45751</v>
      </c>
      <c r="D4307" s="753" t="s">
        <v>45737</v>
      </c>
      <c r="E4307" s="752" t="s">
        <v>45659</v>
      </c>
      <c r="F4307" s="751">
        <v>3935</v>
      </c>
    </row>
    <row r="4308" spans="1:6">
      <c r="A4308" s="753"/>
      <c r="B4308" s="753"/>
      <c r="C4308" s="752" t="s">
        <v>45750</v>
      </c>
      <c r="D4308" s="753" t="s">
        <v>45737</v>
      </c>
      <c r="E4308" s="752" t="s">
        <v>45622</v>
      </c>
      <c r="F4308" s="751">
        <v>3175</v>
      </c>
    </row>
    <row r="4309" spans="1:6">
      <c r="A4309" s="753"/>
      <c r="B4309" s="753"/>
      <c r="C4309" s="752" t="s">
        <v>45749</v>
      </c>
      <c r="D4309" s="753" t="s">
        <v>45742</v>
      </c>
      <c r="E4309" s="752" t="s">
        <v>45748</v>
      </c>
      <c r="F4309" s="751">
        <v>4695</v>
      </c>
    </row>
    <row r="4310" spans="1:6">
      <c r="A4310" s="753"/>
      <c r="B4310" s="753"/>
      <c r="C4310" s="752" t="s">
        <v>45747</v>
      </c>
      <c r="D4310" s="753" t="s">
        <v>45737</v>
      </c>
      <c r="E4310" s="752" t="s">
        <v>45630</v>
      </c>
      <c r="F4310" s="751">
        <v>3935</v>
      </c>
    </row>
    <row r="4311" spans="1:6">
      <c r="A4311" s="753"/>
      <c r="B4311" s="753"/>
      <c r="C4311" s="752" t="s">
        <v>45746</v>
      </c>
      <c r="D4311" s="753" t="s">
        <v>45737</v>
      </c>
      <c r="E4311" s="752" t="s">
        <v>45615</v>
      </c>
      <c r="F4311" s="751">
        <v>3175</v>
      </c>
    </row>
    <row r="4312" spans="1:6">
      <c r="A4312" s="753"/>
      <c r="B4312" s="753"/>
      <c r="C4312" s="752" t="s">
        <v>45745</v>
      </c>
      <c r="D4312" s="753" t="s">
        <v>45737</v>
      </c>
      <c r="E4312" s="752" t="s">
        <v>45744</v>
      </c>
      <c r="F4312" s="751">
        <v>3935</v>
      </c>
    </row>
    <row r="4313" spans="1:6">
      <c r="A4313" s="753"/>
      <c r="B4313" s="753"/>
      <c r="C4313" s="752" t="s">
        <v>45743</v>
      </c>
      <c r="D4313" s="753" t="s">
        <v>45742</v>
      </c>
      <c r="E4313" s="752" t="s">
        <v>45741</v>
      </c>
      <c r="F4313" s="751">
        <v>4695</v>
      </c>
    </row>
    <row r="4314" spans="1:6">
      <c r="A4314" s="753"/>
      <c r="B4314" s="753"/>
      <c r="C4314" s="752" t="s">
        <v>45740</v>
      </c>
      <c r="D4314" s="753" t="s">
        <v>45739</v>
      </c>
      <c r="E4314" s="752" t="s">
        <v>45630</v>
      </c>
      <c r="F4314" s="751">
        <v>3935</v>
      </c>
    </row>
    <row r="4315" spans="1:6">
      <c r="A4315" s="753"/>
      <c r="B4315" s="753"/>
      <c r="C4315" s="752" t="s">
        <v>45738</v>
      </c>
      <c r="D4315" s="753" t="s">
        <v>45737</v>
      </c>
      <c r="E4315" s="752" t="s">
        <v>37750</v>
      </c>
      <c r="F4315" s="751">
        <v>2675</v>
      </c>
    </row>
    <row r="4316" spans="1:6">
      <c r="A4316" s="753"/>
      <c r="B4316" s="753"/>
      <c r="C4316" s="752" t="s">
        <v>45736</v>
      </c>
      <c r="D4316" s="753" t="s">
        <v>45587</v>
      </c>
      <c r="E4316" s="752" t="s">
        <v>40352</v>
      </c>
      <c r="F4316" s="751">
        <v>2725</v>
      </c>
    </row>
    <row r="4317" spans="1:6">
      <c r="A4317" s="753"/>
      <c r="B4317" s="753"/>
      <c r="C4317" s="752" t="s">
        <v>45735</v>
      </c>
      <c r="D4317" s="753" t="s">
        <v>45587</v>
      </c>
      <c r="E4317" s="752" t="s">
        <v>45628</v>
      </c>
      <c r="F4317" s="751">
        <v>2725</v>
      </c>
    </row>
    <row r="4318" spans="1:6">
      <c r="A4318" s="753"/>
      <c r="B4318" s="753"/>
      <c r="C4318" s="752" t="s">
        <v>45734</v>
      </c>
      <c r="D4318" s="753" t="s">
        <v>45733</v>
      </c>
      <c r="E4318" s="752" t="s">
        <v>45583</v>
      </c>
      <c r="F4318" s="751">
        <v>2425</v>
      </c>
    </row>
    <row r="4319" spans="1:6">
      <c r="A4319" s="753"/>
      <c r="B4319" s="753"/>
      <c r="C4319" s="752" t="s">
        <v>45732</v>
      </c>
      <c r="D4319" s="753" t="s">
        <v>45587</v>
      </c>
      <c r="E4319" s="752" t="s">
        <v>45679</v>
      </c>
      <c r="F4319" s="751">
        <v>3485</v>
      </c>
    </row>
    <row r="4320" spans="1:6">
      <c r="A4320" s="753"/>
      <c r="B4320" s="753"/>
      <c r="C4320" s="752" t="s">
        <v>45731</v>
      </c>
      <c r="D4320" s="753" t="s">
        <v>45587</v>
      </c>
      <c r="E4320" s="752" t="s">
        <v>45730</v>
      </c>
      <c r="F4320" s="751">
        <v>3485</v>
      </c>
    </row>
    <row r="4321" spans="1:6">
      <c r="A4321" s="753"/>
      <c r="B4321" s="753"/>
      <c r="C4321" s="752" t="s">
        <v>45729</v>
      </c>
      <c r="D4321" s="753" t="s">
        <v>45587</v>
      </c>
      <c r="E4321" s="752" t="s">
        <v>45622</v>
      </c>
      <c r="F4321" s="751">
        <v>2725</v>
      </c>
    </row>
    <row r="4322" spans="1:6">
      <c r="A4322" s="753"/>
      <c r="B4322" s="753"/>
      <c r="C4322" s="752" t="s">
        <v>45728</v>
      </c>
      <c r="D4322" s="753" t="s">
        <v>45691</v>
      </c>
      <c r="E4322" s="752" t="s">
        <v>45653</v>
      </c>
      <c r="F4322" s="751">
        <v>2425</v>
      </c>
    </row>
    <row r="4323" spans="1:6">
      <c r="A4323" s="753"/>
      <c r="B4323" s="753"/>
      <c r="C4323" s="752" t="s">
        <v>45727</v>
      </c>
      <c r="D4323" s="753" t="s">
        <v>45587</v>
      </c>
      <c r="E4323" s="752" t="s">
        <v>45630</v>
      </c>
      <c r="F4323" s="751">
        <v>3485</v>
      </c>
    </row>
    <row r="4324" spans="1:6">
      <c r="A4324" s="753"/>
      <c r="B4324" s="753"/>
      <c r="C4324" s="752" t="s">
        <v>45726</v>
      </c>
      <c r="D4324" s="753" t="s">
        <v>45587</v>
      </c>
      <c r="E4324" s="752" t="s">
        <v>45612</v>
      </c>
      <c r="F4324" s="751">
        <v>2725</v>
      </c>
    </row>
    <row r="4325" spans="1:6">
      <c r="A4325" s="753"/>
      <c r="B4325" s="753"/>
      <c r="C4325" s="752" t="s">
        <v>45725</v>
      </c>
      <c r="D4325" s="753" t="s">
        <v>45587</v>
      </c>
      <c r="E4325" s="752" t="s">
        <v>45630</v>
      </c>
      <c r="F4325" s="751">
        <v>3485</v>
      </c>
    </row>
    <row r="4326" spans="1:6">
      <c r="A4326" s="753"/>
      <c r="B4326" s="753"/>
      <c r="C4326" s="752" t="s">
        <v>45724</v>
      </c>
      <c r="D4326" s="753" t="s">
        <v>45587</v>
      </c>
      <c r="E4326" s="752" t="s">
        <v>45723</v>
      </c>
      <c r="F4326" s="751">
        <v>3485</v>
      </c>
    </row>
    <row r="4327" spans="1:6">
      <c r="A4327" s="753"/>
      <c r="B4327" s="753"/>
      <c r="C4327" s="752" t="s">
        <v>45722</v>
      </c>
      <c r="D4327" s="753" t="s">
        <v>45587</v>
      </c>
      <c r="E4327" s="752" t="s">
        <v>45721</v>
      </c>
      <c r="F4327" s="751">
        <v>4245</v>
      </c>
    </row>
    <row r="4328" spans="1:6">
      <c r="A4328" s="753"/>
      <c r="B4328" s="753"/>
      <c r="C4328" s="752" t="s">
        <v>45720</v>
      </c>
      <c r="D4328" s="753" t="s">
        <v>45691</v>
      </c>
      <c r="E4328" s="752" t="s">
        <v>45719</v>
      </c>
      <c r="F4328" s="751">
        <v>2725</v>
      </c>
    </row>
    <row r="4329" spans="1:6">
      <c r="A4329" s="753"/>
      <c r="B4329" s="753"/>
      <c r="C4329" s="752" t="s">
        <v>45718</v>
      </c>
      <c r="D4329" s="753" t="s">
        <v>45587</v>
      </c>
      <c r="E4329" s="752" t="s">
        <v>41676</v>
      </c>
      <c r="F4329" s="751">
        <v>2475</v>
      </c>
    </row>
    <row r="4330" spans="1:6">
      <c r="A4330" s="753"/>
      <c r="B4330" s="753"/>
      <c r="C4330" s="752" t="s">
        <v>45717</v>
      </c>
      <c r="D4330" s="753" t="s">
        <v>45587</v>
      </c>
      <c r="E4330" s="752" t="s">
        <v>45716</v>
      </c>
      <c r="F4330" s="751">
        <v>2475</v>
      </c>
    </row>
    <row r="4331" spans="1:6">
      <c r="A4331" s="753"/>
      <c r="B4331" s="753"/>
      <c r="C4331" s="752" t="s">
        <v>45715</v>
      </c>
      <c r="D4331" s="753" t="s">
        <v>45587</v>
      </c>
      <c r="E4331" s="752" t="s">
        <v>45628</v>
      </c>
      <c r="F4331" s="751">
        <v>2725</v>
      </c>
    </row>
    <row r="4332" spans="1:6">
      <c r="A4332" s="753"/>
      <c r="B4332" s="753"/>
      <c r="C4332" s="752" t="s">
        <v>45714</v>
      </c>
      <c r="D4332" s="753" t="s">
        <v>45691</v>
      </c>
      <c r="E4332" s="752" t="s">
        <v>45713</v>
      </c>
      <c r="F4332" s="751">
        <v>2675</v>
      </c>
    </row>
    <row r="4333" spans="1:6">
      <c r="A4333" s="753"/>
      <c r="B4333" s="753"/>
      <c r="C4333" s="752" t="s">
        <v>45712</v>
      </c>
      <c r="D4333" s="753" t="s">
        <v>45587</v>
      </c>
      <c r="E4333" s="752" t="s">
        <v>45711</v>
      </c>
      <c r="F4333" s="751">
        <v>3675</v>
      </c>
    </row>
    <row r="4334" spans="1:6">
      <c r="A4334" s="753"/>
      <c r="B4334" s="753"/>
      <c r="C4334" s="752" t="s">
        <v>45710</v>
      </c>
      <c r="D4334" s="753" t="s">
        <v>45587</v>
      </c>
      <c r="E4334" s="752" t="s">
        <v>45624</v>
      </c>
      <c r="F4334" s="751">
        <v>3485</v>
      </c>
    </row>
    <row r="4335" spans="1:6">
      <c r="A4335" s="753"/>
      <c r="B4335" s="753"/>
      <c r="C4335" s="752" t="s">
        <v>45709</v>
      </c>
      <c r="D4335" s="753" t="s">
        <v>45587</v>
      </c>
      <c r="E4335" s="752" t="s">
        <v>45708</v>
      </c>
      <c r="F4335" s="751">
        <v>3545</v>
      </c>
    </row>
    <row r="4336" spans="1:6">
      <c r="A4336" s="753"/>
      <c r="B4336" s="753"/>
      <c r="C4336" s="752" t="s">
        <v>45707</v>
      </c>
      <c r="D4336" s="753" t="s">
        <v>45587</v>
      </c>
      <c r="E4336" s="752" t="s">
        <v>45622</v>
      </c>
      <c r="F4336" s="751">
        <v>2725</v>
      </c>
    </row>
    <row r="4337" spans="1:6">
      <c r="A4337" s="753"/>
      <c r="B4337" s="753"/>
      <c r="C4337" s="752" t="s">
        <v>45706</v>
      </c>
      <c r="D4337" s="753" t="s">
        <v>45691</v>
      </c>
      <c r="E4337" s="752" t="s">
        <v>45653</v>
      </c>
      <c r="F4337" s="751">
        <v>2425</v>
      </c>
    </row>
    <row r="4338" spans="1:6">
      <c r="A4338" s="753"/>
      <c r="B4338" s="753"/>
      <c r="C4338" s="752" t="s">
        <v>45705</v>
      </c>
      <c r="D4338" s="753" t="s">
        <v>45587</v>
      </c>
      <c r="E4338" s="752" t="s">
        <v>45704</v>
      </c>
      <c r="F4338" s="751">
        <v>3485</v>
      </c>
    </row>
    <row r="4339" spans="1:6">
      <c r="A4339" s="753"/>
      <c r="B4339" s="753"/>
      <c r="C4339" s="752" t="s">
        <v>45703</v>
      </c>
      <c r="D4339" s="753" t="s">
        <v>45587</v>
      </c>
      <c r="E4339" s="752" t="s">
        <v>45702</v>
      </c>
      <c r="F4339" s="751">
        <v>3675</v>
      </c>
    </row>
    <row r="4340" spans="1:6">
      <c r="A4340" s="753"/>
      <c r="B4340" s="753"/>
      <c r="C4340" s="752" t="s">
        <v>45701</v>
      </c>
      <c r="D4340" s="753" t="s">
        <v>45587</v>
      </c>
      <c r="E4340" s="752" t="s">
        <v>45630</v>
      </c>
      <c r="F4340" s="751">
        <v>3485</v>
      </c>
    </row>
    <row r="4341" spans="1:6">
      <c r="A4341" s="753"/>
      <c r="B4341" s="753"/>
      <c r="C4341" s="752" t="s">
        <v>45700</v>
      </c>
      <c r="D4341" s="753" t="s">
        <v>45587</v>
      </c>
      <c r="E4341" s="752" t="s">
        <v>45646</v>
      </c>
      <c r="F4341" s="751">
        <v>2475</v>
      </c>
    </row>
    <row r="4342" spans="1:6">
      <c r="A4342" s="753"/>
      <c r="B4342" s="753"/>
      <c r="C4342" s="752" t="s">
        <v>45699</v>
      </c>
      <c r="D4342" s="753" t="s">
        <v>45587</v>
      </c>
      <c r="E4342" s="752" t="s">
        <v>45612</v>
      </c>
      <c r="F4342" s="751">
        <v>2725</v>
      </c>
    </row>
    <row r="4343" spans="1:6">
      <c r="A4343" s="753"/>
      <c r="B4343" s="753"/>
      <c r="C4343" s="752" t="s">
        <v>45698</v>
      </c>
      <c r="D4343" s="753" t="s">
        <v>45587</v>
      </c>
      <c r="E4343" s="752" t="s">
        <v>45612</v>
      </c>
      <c r="F4343" s="751">
        <v>3485</v>
      </c>
    </row>
    <row r="4344" spans="1:6">
      <c r="A4344" s="753"/>
      <c r="B4344" s="753"/>
      <c r="C4344" s="752" t="s">
        <v>45697</v>
      </c>
      <c r="D4344" s="753" t="s">
        <v>45587</v>
      </c>
      <c r="E4344" s="752" t="s">
        <v>45696</v>
      </c>
      <c r="F4344" s="751">
        <v>3425</v>
      </c>
    </row>
    <row r="4345" spans="1:6">
      <c r="A4345" s="753"/>
      <c r="B4345" s="753"/>
      <c r="C4345" s="752" t="s">
        <v>45695</v>
      </c>
      <c r="D4345" s="753" t="s">
        <v>45587</v>
      </c>
      <c r="E4345" s="752" t="s">
        <v>45630</v>
      </c>
      <c r="F4345" s="751">
        <v>3485</v>
      </c>
    </row>
    <row r="4346" spans="1:6">
      <c r="A4346" s="753"/>
      <c r="B4346" s="753"/>
      <c r="C4346" s="752" t="s">
        <v>45694</v>
      </c>
      <c r="D4346" s="753" t="s">
        <v>45587</v>
      </c>
      <c r="E4346" s="752" t="s">
        <v>45693</v>
      </c>
      <c r="F4346" s="751">
        <v>4245</v>
      </c>
    </row>
    <row r="4347" spans="1:6">
      <c r="A4347" s="753"/>
      <c r="B4347" s="753"/>
      <c r="C4347" s="752" t="s">
        <v>45692</v>
      </c>
      <c r="D4347" s="753" t="s">
        <v>45691</v>
      </c>
      <c r="E4347" s="752" t="s">
        <v>45690</v>
      </c>
      <c r="F4347" s="751">
        <v>3075</v>
      </c>
    </row>
    <row r="4348" spans="1:6">
      <c r="A4348" s="753"/>
      <c r="B4348" s="753"/>
      <c r="C4348" s="752" t="s">
        <v>45689</v>
      </c>
      <c r="D4348" s="753" t="s">
        <v>45587</v>
      </c>
      <c r="E4348" s="752" t="s">
        <v>41676</v>
      </c>
      <c r="F4348" s="751">
        <v>2475</v>
      </c>
    </row>
    <row r="4349" spans="1:6">
      <c r="A4349" s="753"/>
      <c r="B4349" s="753"/>
      <c r="C4349" s="752" t="s">
        <v>45688</v>
      </c>
      <c r="D4349" s="753" t="s">
        <v>45587</v>
      </c>
      <c r="E4349" s="752" t="s">
        <v>45687</v>
      </c>
      <c r="F4349" s="751">
        <v>3485</v>
      </c>
    </row>
    <row r="4350" spans="1:6">
      <c r="A4350" s="753"/>
      <c r="B4350" s="753"/>
      <c r="C4350" s="752" t="s">
        <v>45686</v>
      </c>
      <c r="D4350" s="753" t="s">
        <v>45587</v>
      </c>
      <c r="E4350" s="752" t="s">
        <v>45685</v>
      </c>
      <c r="F4350" s="751">
        <v>4365</v>
      </c>
    </row>
    <row r="4351" spans="1:6">
      <c r="A4351" s="753"/>
      <c r="B4351" s="753"/>
      <c r="C4351" s="752" t="s">
        <v>45684</v>
      </c>
      <c r="D4351" s="753" t="s">
        <v>45587</v>
      </c>
      <c r="E4351" s="752" t="s">
        <v>41676</v>
      </c>
      <c r="F4351" s="751">
        <v>2475</v>
      </c>
    </row>
    <row r="4352" spans="1:6">
      <c r="A4352" s="753"/>
      <c r="B4352" s="753"/>
      <c r="C4352" s="752" t="s">
        <v>45683</v>
      </c>
      <c r="D4352" s="753" t="s">
        <v>45587</v>
      </c>
      <c r="E4352" s="752" t="s">
        <v>37750</v>
      </c>
      <c r="F4352" s="751">
        <v>2225</v>
      </c>
    </row>
    <row r="4353" spans="1:6">
      <c r="A4353" s="753"/>
      <c r="B4353" s="753"/>
      <c r="C4353" s="752" t="s">
        <v>45682</v>
      </c>
      <c r="D4353" s="753" t="s">
        <v>45589</v>
      </c>
      <c r="E4353" s="752" t="s">
        <v>45628</v>
      </c>
      <c r="F4353" s="751">
        <v>3275</v>
      </c>
    </row>
    <row r="4354" spans="1:6">
      <c r="A4354" s="753"/>
      <c r="B4354" s="753"/>
      <c r="C4354" s="752" t="s">
        <v>45681</v>
      </c>
      <c r="D4354" s="753" t="s">
        <v>45589</v>
      </c>
      <c r="E4354" s="752" t="s">
        <v>45591</v>
      </c>
      <c r="F4354" s="751">
        <v>4035</v>
      </c>
    </row>
    <row r="4355" spans="1:6">
      <c r="A4355" s="753"/>
      <c r="B4355" s="753"/>
      <c r="C4355" s="752" t="s">
        <v>45680</v>
      </c>
      <c r="D4355" s="753" t="s">
        <v>45589</v>
      </c>
      <c r="E4355" s="752" t="s">
        <v>45679</v>
      </c>
      <c r="F4355" s="751">
        <v>4035</v>
      </c>
    </row>
    <row r="4356" spans="1:6">
      <c r="A4356" s="753"/>
      <c r="B4356" s="753"/>
      <c r="C4356" s="752" t="s">
        <v>45678</v>
      </c>
      <c r="D4356" s="753" t="s">
        <v>45589</v>
      </c>
      <c r="E4356" s="752" t="s">
        <v>45677</v>
      </c>
      <c r="F4356" s="751">
        <v>4035</v>
      </c>
    </row>
    <row r="4357" spans="1:6">
      <c r="A4357" s="753"/>
      <c r="B4357" s="753"/>
      <c r="C4357" s="752" t="s">
        <v>45676</v>
      </c>
      <c r="D4357" s="753" t="s">
        <v>45589</v>
      </c>
      <c r="E4357" s="752" t="s">
        <v>45622</v>
      </c>
      <c r="F4357" s="751">
        <v>3275</v>
      </c>
    </row>
    <row r="4358" spans="1:6">
      <c r="A4358" s="753"/>
      <c r="B4358" s="753"/>
      <c r="C4358" s="752" t="s">
        <v>45675</v>
      </c>
      <c r="D4358" s="753" t="s">
        <v>45654</v>
      </c>
      <c r="E4358" s="752" t="s">
        <v>45653</v>
      </c>
      <c r="F4358" s="751">
        <v>2575</v>
      </c>
    </row>
    <row r="4359" spans="1:6">
      <c r="A4359" s="753"/>
      <c r="B4359" s="753"/>
      <c r="C4359" s="752" t="s">
        <v>45674</v>
      </c>
      <c r="D4359" s="753" t="s">
        <v>45589</v>
      </c>
      <c r="E4359" s="752" t="s">
        <v>45651</v>
      </c>
      <c r="F4359" s="751">
        <v>4035</v>
      </c>
    </row>
    <row r="4360" spans="1:6">
      <c r="A4360" s="753"/>
      <c r="B4360" s="753"/>
      <c r="C4360" s="752" t="s">
        <v>45673</v>
      </c>
      <c r="D4360" s="753" t="s">
        <v>45589</v>
      </c>
      <c r="E4360" s="752" t="s">
        <v>45617</v>
      </c>
      <c r="F4360" s="751">
        <v>4035</v>
      </c>
    </row>
    <row r="4361" spans="1:6">
      <c r="A4361" s="753"/>
      <c r="B4361" s="753"/>
      <c r="C4361" s="752" t="s">
        <v>45672</v>
      </c>
      <c r="D4361" s="753" t="s">
        <v>45589</v>
      </c>
      <c r="E4361" s="752" t="s">
        <v>45612</v>
      </c>
      <c r="F4361" s="751">
        <v>3275</v>
      </c>
    </row>
    <row r="4362" spans="1:6">
      <c r="A4362" s="753"/>
      <c r="B4362" s="753"/>
      <c r="C4362" s="752" t="s">
        <v>45671</v>
      </c>
      <c r="D4362" s="753" t="s">
        <v>45643</v>
      </c>
      <c r="E4362" s="752" t="s">
        <v>45612</v>
      </c>
      <c r="F4362" s="751">
        <v>4035</v>
      </c>
    </row>
    <row r="4363" spans="1:6">
      <c r="A4363" s="753"/>
      <c r="B4363" s="753"/>
      <c r="C4363" s="752" t="s">
        <v>45670</v>
      </c>
      <c r="D4363" s="753" t="s">
        <v>45589</v>
      </c>
      <c r="E4363" s="752" t="s">
        <v>45630</v>
      </c>
      <c r="F4363" s="751">
        <v>4035</v>
      </c>
    </row>
    <row r="4364" spans="1:6">
      <c r="A4364" s="753"/>
      <c r="B4364" s="753"/>
      <c r="C4364" s="752" t="s">
        <v>45669</v>
      </c>
      <c r="D4364" s="753" t="s">
        <v>45589</v>
      </c>
      <c r="E4364" s="752" t="s">
        <v>45668</v>
      </c>
      <c r="F4364" s="751">
        <v>4795</v>
      </c>
    </row>
    <row r="4365" spans="1:6">
      <c r="A4365" s="753"/>
      <c r="B4365" s="753"/>
      <c r="C4365" s="752" t="s">
        <v>45667</v>
      </c>
      <c r="D4365" s="753" t="s">
        <v>45589</v>
      </c>
      <c r="E4365" s="752" t="s">
        <v>45666</v>
      </c>
      <c r="F4365" s="751">
        <v>3025</v>
      </c>
    </row>
    <row r="4366" spans="1:6">
      <c r="A4366" s="753"/>
      <c r="B4366" s="753"/>
      <c r="C4366" s="752" t="s">
        <v>45665</v>
      </c>
      <c r="D4366" s="753" t="s">
        <v>45589</v>
      </c>
      <c r="E4366" s="752" t="s">
        <v>45664</v>
      </c>
      <c r="F4366" s="751">
        <v>4035</v>
      </c>
    </row>
    <row r="4367" spans="1:6">
      <c r="A4367" s="753"/>
      <c r="B4367" s="753"/>
      <c r="C4367" s="752" t="s">
        <v>45663</v>
      </c>
      <c r="D4367" s="753" t="s">
        <v>45589</v>
      </c>
      <c r="E4367" s="752" t="s">
        <v>45662</v>
      </c>
      <c r="F4367" s="751">
        <v>4795</v>
      </c>
    </row>
    <row r="4368" spans="1:6">
      <c r="A4368" s="753"/>
      <c r="B4368" s="753"/>
      <c r="C4368" s="752" t="s">
        <v>45661</v>
      </c>
      <c r="D4368" s="753" t="s">
        <v>45589</v>
      </c>
      <c r="E4368" s="752" t="s">
        <v>45628</v>
      </c>
      <c r="F4368" s="751">
        <v>3275</v>
      </c>
    </row>
    <row r="4369" spans="1:6">
      <c r="A4369" s="753"/>
      <c r="B4369" s="753"/>
      <c r="C4369" s="752" t="s">
        <v>45660</v>
      </c>
      <c r="D4369" s="753" t="s">
        <v>45589</v>
      </c>
      <c r="E4369" s="752" t="s">
        <v>45659</v>
      </c>
      <c r="F4369" s="751">
        <v>4035</v>
      </c>
    </row>
    <row r="4370" spans="1:6">
      <c r="A4370" s="753"/>
      <c r="B4370" s="753"/>
      <c r="C4370" s="752" t="s">
        <v>45658</v>
      </c>
      <c r="D4370" s="753" t="s">
        <v>45589</v>
      </c>
      <c r="E4370" s="752" t="s">
        <v>45657</v>
      </c>
      <c r="F4370" s="751">
        <v>4035</v>
      </c>
    </row>
    <row r="4371" spans="1:6">
      <c r="A4371" s="753"/>
      <c r="B4371" s="753"/>
      <c r="C4371" s="752" t="s">
        <v>45656</v>
      </c>
      <c r="D4371" s="753" t="s">
        <v>45589</v>
      </c>
      <c r="E4371" s="752" t="s">
        <v>45622</v>
      </c>
      <c r="F4371" s="751">
        <v>3275</v>
      </c>
    </row>
    <row r="4372" spans="1:6">
      <c r="A4372" s="753"/>
      <c r="B4372" s="753"/>
      <c r="C4372" s="752" t="s">
        <v>45655</v>
      </c>
      <c r="D4372" s="753" t="s">
        <v>45654</v>
      </c>
      <c r="E4372" s="752" t="s">
        <v>45653</v>
      </c>
      <c r="F4372" s="751">
        <v>2825</v>
      </c>
    </row>
    <row r="4373" spans="1:6">
      <c r="A4373" s="753"/>
      <c r="B4373" s="753"/>
      <c r="C4373" s="752" t="s">
        <v>45652</v>
      </c>
      <c r="D4373" s="753" t="s">
        <v>45589</v>
      </c>
      <c r="E4373" s="752" t="s">
        <v>45651</v>
      </c>
      <c r="F4373" s="751">
        <v>4035</v>
      </c>
    </row>
    <row r="4374" spans="1:6">
      <c r="A4374" s="753"/>
      <c r="B4374" s="753"/>
      <c r="C4374" s="752" t="s">
        <v>45650</v>
      </c>
      <c r="D4374" s="753" t="s">
        <v>45589</v>
      </c>
      <c r="E4374" s="752" t="s">
        <v>45649</v>
      </c>
      <c r="F4374" s="751">
        <v>4225</v>
      </c>
    </row>
    <row r="4375" spans="1:6">
      <c r="A4375" s="753"/>
      <c r="B4375" s="753"/>
      <c r="C4375" s="752" t="s">
        <v>45648</v>
      </c>
      <c r="D4375" s="753" t="s">
        <v>45589</v>
      </c>
      <c r="E4375" s="752" t="s">
        <v>45617</v>
      </c>
      <c r="F4375" s="751">
        <v>4035</v>
      </c>
    </row>
    <row r="4376" spans="1:6">
      <c r="A4376" s="753"/>
      <c r="B4376" s="753"/>
      <c r="C4376" s="752" t="s">
        <v>45647</v>
      </c>
      <c r="D4376" s="753" t="s">
        <v>45589</v>
      </c>
      <c r="E4376" s="752" t="s">
        <v>45646</v>
      </c>
      <c r="F4376" s="751">
        <v>3025</v>
      </c>
    </row>
    <row r="4377" spans="1:6">
      <c r="A4377" s="753"/>
      <c r="B4377" s="753"/>
      <c r="C4377" s="752" t="s">
        <v>45645</v>
      </c>
      <c r="D4377" s="753" t="s">
        <v>45589</v>
      </c>
      <c r="E4377" s="752" t="s">
        <v>45612</v>
      </c>
      <c r="F4377" s="751">
        <v>3275</v>
      </c>
    </row>
    <row r="4378" spans="1:6">
      <c r="A4378" s="753"/>
      <c r="B4378" s="753"/>
      <c r="C4378" s="752" t="s">
        <v>45644</v>
      </c>
      <c r="D4378" s="753" t="s">
        <v>45643</v>
      </c>
      <c r="E4378" s="752" t="s">
        <v>45612</v>
      </c>
      <c r="F4378" s="751">
        <v>4035</v>
      </c>
    </row>
    <row r="4379" spans="1:6">
      <c r="A4379" s="753"/>
      <c r="B4379" s="753"/>
      <c r="C4379" s="752" t="s">
        <v>45642</v>
      </c>
      <c r="D4379" s="753" t="s">
        <v>45589</v>
      </c>
      <c r="E4379" s="752" t="s">
        <v>45609</v>
      </c>
      <c r="F4379" s="751">
        <v>3975</v>
      </c>
    </row>
    <row r="4380" spans="1:6">
      <c r="A4380" s="753"/>
      <c r="B4380" s="753"/>
      <c r="C4380" s="752" t="s">
        <v>45641</v>
      </c>
      <c r="D4380" s="753" t="s">
        <v>45589</v>
      </c>
      <c r="E4380" s="752" t="s">
        <v>45630</v>
      </c>
      <c r="F4380" s="751">
        <v>4035</v>
      </c>
    </row>
    <row r="4381" spans="1:6">
      <c r="A4381" s="753"/>
      <c r="B4381" s="753"/>
      <c r="C4381" s="752" t="s">
        <v>45640</v>
      </c>
      <c r="D4381" s="753" t="s">
        <v>45589</v>
      </c>
      <c r="E4381" s="752" t="s">
        <v>45639</v>
      </c>
      <c r="F4381" s="751">
        <v>5015</v>
      </c>
    </row>
    <row r="4382" spans="1:6">
      <c r="A4382" s="753"/>
      <c r="B4382" s="753"/>
      <c r="C4382" s="752" t="s">
        <v>45638</v>
      </c>
      <c r="D4382" s="753" t="s">
        <v>45589</v>
      </c>
      <c r="E4382" s="752" t="s">
        <v>45637</v>
      </c>
      <c r="F4382" s="751">
        <v>4035</v>
      </c>
    </row>
    <row r="4383" spans="1:6">
      <c r="A4383" s="753"/>
      <c r="B4383" s="753"/>
      <c r="C4383" s="752" t="s">
        <v>45636</v>
      </c>
      <c r="D4383" s="753" t="s">
        <v>45589</v>
      </c>
      <c r="E4383" s="752" t="s">
        <v>37750</v>
      </c>
      <c r="F4383" s="751">
        <v>2775</v>
      </c>
    </row>
    <row r="4384" spans="1:6">
      <c r="A4384" s="753"/>
      <c r="B4384" s="753"/>
      <c r="C4384" s="752" t="s">
        <v>45635</v>
      </c>
      <c r="D4384" s="753" t="s">
        <v>45599</v>
      </c>
      <c r="E4384" s="752" t="s">
        <v>293</v>
      </c>
      <c r="F4384" s="751">
        <v>3275</v>
      </c>
    </row>
    <row r="4385" spans="1:6">
      <c r="A4385" s="753"/>
      <c r="B4385" s="753"/>
      <c r="C4385" s="752" t="s">
        <v>45634</v>
      </c>
      <c r="D4385" s="753" t="s">
        <v>45618</v>
      </c>
      <c r="E4385" s="752" t="s">
        <v>45617</v>
      </c>
      <c r="F4385" s="751">
        <v>4035</v>
      </c>
    </row>
    <row r="4386" spans="1:6">
      <c r="A4386" s="753"/>
      <c r="B4386" s="753"/>
      <c r="C4386" s="752" t="s">
        <v>45633</v>
      </c>
      <c r="D4386" s="753" t="s">
        <v>45599</v>
      </c>
      <c r="E4386" s="752" t="s">
        <v>45612</v>
      </c>
      <c r="F4386" s="751">
        <v>3025</v>
      </c>
    </row>
    <row r="4387" spans="1:6">
      <c r="A4387" s="753"/>
      <c r="B4387" s="753"/>
      <c r="C4387" s="752" t="s">
        <v>45632</v>
      </c>
      <c r="D4387" s="753" t="s">
        <v>45599</v>
      </c>
      <c r="E4387" s="752" t="s">
        <v>45615</v>
      </c>
      <c r="F4387" s="751">
        <v>3275</v>
      </c>
    </row>
    <row r="4388" spans="1:6">
      <c r="A4388" s="753"/>
      <c r="B4388" s="753"/>
      <c r="C4388" s="752" t="s">
        <v>45631</v>
      </c>
      <c r="D4388" s="753" t="s">
        <v>45599</v>
      </c>
      <c r="E4388" s="752" t="s">
        <v>45630</v>
      </c>
      <c r="F4388" s="751">
        <v>4035</v>
      </c>
    </row>
    <row r="4389" spans="1:6">
      <c r="A4389" s="753"/>
      <c r="B4389" s="753"/>
      <c r="C4389" s="752" t="s">
        <v>45629</v>
      </c>
      <c r="D4389" s="753" t="s">
        <v>45599</v>
      </c>
      <c r="E4389" s="752" t="s">
        <v>45628</v>
      </c>
      <c r="F4389" s="751">
        <v>3275</v>
      </c>
    </row>
    <row r="4390" spans="1:6">
      <c r="A4390" s="753"/>
      <c r="B4390" s="753"/>
      <c r="C4390" s="752" t="s">
        <v>45627</v>
      </c>
      <c r="D4390" s="753" t="s">
        <v>45599</v>
      </c>
      <c r="E4390" s="752" t="s">
        <v>45626</v>
      </c>
      <c r="F4390" s="751">
        <v>4345</v>
      </c>
    </row>
    <row r="4391" spans="1:6">
      <c r="A4391" s="753"/>
      <c r="B4391" s="753"/>
      <c r="C4391" s="752" t="s">
        <v>45625</v>
      </c>
      <c r="D4391" s="753" t="s">
        <v>45618</v>
      </c>
      <c r="E4391" s="752" t="s">
        <v>45624</v>
      </c>
      <c r="F4391" s="751">
        <v>4035</v>
      </c>
    </row>
    <row r="4392" spans="1:6">
      <c r="A4392" s="753"/>
      <c r="B4392" s="753"/>
      <c r="C4392" s="752" t="s">
        <v>45623</v>
      </c>
      <c r="D4392" s="753" t="s">
        <v>45599</v>
      </c>
      <c r="E4392" s="752" t="s">
        <v>45622</v>
      </c>
      <c r="F4392" s="751">
        <v>3275</v>
      </c>
    </row>
    <row r="4393" spans="1:6">
      <c r="A4393" s="753"/>
      <c r="B4393" s="753"/>
      <c r="C4393" s="752" t="s">
        <v>45621</v>
      </c>
      <c r="D4393" s="753" t="s">
        <v>45599</v>
      </c>
      <c r="E4393" s="752" t="s">
        <v>45620</v>
      </c>
      <c r="F4393" s="751">
        <v>4035</v>
      </c>
    </row>
    <row r="4394" spans="1:6">
      <c r="A4394" s="753"/>
      <c r="B4394" s="753"/>
      <c r="C4394" s="752" t="s">
        <v>45619</v>
      </c>
      <c r="D4394" s="753" t="s">
        <v>45618</v>
      </c>
      <c r="E4394" s="752" t="s">
        <v>45617</v>
      </c>
      <c r="F4394" s="751">
        <v>4035</v>
      </c>
    </row>
    <row r="4395" spans="1:6">
      <c r="A4395" s="753"/>
      <c r="B4395" s="753"/>
      <c r="C4395" s="752" t="s">
        <v>45616</v>
      </c>
      <c r="D4395" s="753" t="s">
        <v>45599</v>
      </c>
      <c r="E4395" s="752" t="s">
        <v>45615</v>
      </c>
      <c r="F4395" s="751">
        <v>3275</v>
      </c>
    </row>
    <row r="4396" spans="1:6">
      <c r="A4396" s="753"/>
      <c r="B4396" s="753"/>
      <c r="C4396" s="752" t="s">
        <v>45614</v>
      </c>
      <c r="D4396" s="753" t="s">
        <v>45613</v>
      </c>
      <c r="E4396" s="752" t="s">
        <v>45612</v>
      </c>
      <c r="F4396" s="751">
        <v>4035</v>
      </c>
    </row>
    <row r="4397" spans="1:6">
      <c r="A4397" s="753"/>
      <c r="B4397" s="753"/>
      <c r="C4397" s="752" t="s">
        <v>45611</v>
      </c>
      <c r="D4397" s="753" t="s">
        <v>45610</v>
      </c>
      <c r="E4397" s="752" t="s">
        <v>45609</v>
      </c>
      <c r="F4397" s="751">
        <v>4095</v>
      </c>
    </row>
    <row r="4398" spans="1:6">
      <c r="A4398" s="753"/>
      <c r="B4398" s="753"/>
      <c r="C4398" s="752" t="s">
        <v>45608</v>
      </c>
      <c r="D4398" s="753" t="s">
        <v>45599</v>
      </c>
      <c r="E4398" s="752" t="s">
        <v>45607</v>
      </c>
      <c r="F4398" s="751">
        <v>4155</v>
      </c>
    </row>
    <row r="4399" spans="1:6">
      <c r="A4399" s="753"/>
      <c r="B4399" s="753"/>
      <c r="C4399" s="752" t="s">
        <v>45606</v>
      </c>
      <c r="D4399" s="753" t="s">
        <v>45599</v>
      </c>
      <c r="E4399" s="752" t="s">
        <v>37750</v>
      </c>
      <c r="F4399" s="751">
        <v>2775</v>
      </c>
    </row>
    <row r="4400" spans="1:6">
      <c r="A4400" s="753"/>
      <c r="B4400" s="753"/>
      <c r="C4400" s="752" t="s">
        <v>45605</v>
      </c>
      <c r="D4400" s="753" t="s">
        <v>45604</v>
      </c>
      <c r="E4400" s="752" t="s">
        <v>45603</v>
      </c>
      <c r="F4400" s="751">
        <v>3525</v>
      </c>
    </row>
    <row r="4401" spans="1:6">
      <c r="A4401" s="753"/>
      <c r="B4401" s="753"/>
      <c r="C4401" s="752" t="s">
        <v>45602</v>
      </c>
      <c r="D4401" s="753" t="s">
        <v>45587</v>
      </c>
      <c r="E4401" s="752" t="s">
        <v>45601</v>
      </c>
      <c r="F4401" s="751">
        <v>3385</v>
      </c>
    </row>
    <row r="4402" spans="1:6">
      <c r="A4402" s="753"/>
      <c r="B4402" s="753"/>
      <c r="C4402" s="752" t="s">
        <v>45600</v>
      </c>
      <c r="D4402" s="753" t="s">
        <v>45599</v>
      </c>
      <c r="E4402" s="752" t="s">
        <v>45598</v>
      </c>
      <c r="F4402" s="751">
        <v>4035</v>
      </c>
    </row>
    <row r="4403" spans="1:6">
      <c r="A4403" s="753"/>
      <c r="B4403" s="753"/>
      <c r="C4403" s="752" t="s">
        <v>45597</v>
      </c>
      <c r="D4403" s="753" t="s">
        <v>45596</v>
      </c>
      <c r="E4403" s="752" t="s">
        <v>45595</v>
      </c>
      <c r="F4403" s="751">
        <v>8605</v>
      </c>
    </row>
    <row r="4404" spans="1:6">
      <c r="A4404" s="753"/>
      <c r="B4404" s="753"/>
      <c r="C4404" s="752" t="s">
        <v>45594</v>
      </c>
      <c r="D4404" s="753" t="s">
        <v>45584</v>
      </c>
      <c r="E4404" s="752" t="s">
        <v>45593</v>
      </c>
      <c r="F4404" s="751">
        <v>2775</v>
      </c>
    </row>
    <row r="4405" spans="1:6">
      <c r="A4405" s="753"/>
      <c r="B4405" s="753"/>
      <c r="C4405" s="752" t="s">
        <v>45592</v>
      </c>
      <c r="D4405" s="753" t="s">
        <v>45587</v>
      </c>
      <c r="E4405" s="752" t="s">
        <v>45591</v>
      </c>
      <c r="F4405" s="751">
        <v>3485</v>
      </c>
    </row>
    <row r="4406" spans="1:6">
      <c r="A4406" s="753"/>
      <c r="B4406" s="753"/>
      <c r="C4406" s="752" t="s">
        <v>45590</v>
      </c>
      <c r="D4406" s="753" t="s">
        <v>45589</v>
      </c>
      <c r="E4406" s="752" t="s">
        <v>45586</v>
      </c>
      <c r="F4406" s="751">
        <v>3025</v>
      </c>
    </row>
    <row r="4407" spans="1:6">
      <c r="A4407" s="753"/>
      <c r="B4407" s="753"/>
      <c r="C4407" s="752" t="s">
        <v>45588</v>
      </c>
      <c r="D4407" s="753" t="s">
        <v>45587</v>
      </c>
      <c r="E4407" s="752" t="s">
        <v>45586</v>
      </c>
      <c r="F4407" s="751">
        <v>2475</v>
      </c>
    </row>
    <row r="4408" spans="1:6">
      <c r="A4408" s="753"/>
      <c r="B4408" s="753"/>
      <c r="C4408" s="752" t="s">
        <v>45585</v>
      </c>
      <c r="D4408" s="753" t="s">
        <v>45584</v>
      </c>
      <c r="E4408" s="752" t="s">
        <v>45583</v>
      </c>
      <c r="F4408" s="751">
        <v>2775</v>
      </c>
    </row>
    <row r="4409" spans="1:6">
      <c r="A4409" s="753"/>
      <c r="B4409" s="753"/>
      <c r="C4409" s="752" t="s">
        <v>45582</v>
      </c>
      <c r="D4409" s="753" t="s">
        <v>45581</v>
      </c>
      <c r="E4409" s="752" t="s">
        <v>45580</v>
      </c>
      <c r="F4409" s="751">
        <v>4595</v>
      </c>
    </row>
    <row r="4410" spans="1:6">
      <c r="A4410" s="753"/>
      <c r="B4410" s="753" t="s">
        <v>45579</v>
      </c>
      <c r="C4410" s="752" t="s">
        <v>45578</v>
      </c>
      <c r="D4410" s="753" t="s">
        <v>45576</v>
      </c>
      <c r="E4410" s="752" t="s">
        <v>293</v>
      </c>
      <c r="F4410" s="751">
        <v>2825</v>
      </c>
    </row>
    <row r="4411" spans="1:6">
      <c r="A4411" s="753"/>
      <c r="B4411" s="753"/>
      <c r="C4411" s="752" t="s">
        <v>45577</v>
      </c>
      <c r="D4411" s="753" t="s">
        <v>45576</v>
      </c>
      <c r="E4411" s="752" t="s">
        <v>293</v>
      </c>
      <c r="F4411" s="751">
        <v>2825</v>
      </c>
    </row>
    <row r="4412" spans="1:6">
      <c r="A4412" s="753"/>
      <c r="B4412" s="753"/>
      <c r="C4412" s="752" t="s">
        <v>45575</v>
      </c>
      <c r="D4412" s="753" t="s">
        <v>45571</v>
      </c>
      <c r="E4412" s="752" t="s">
        <v>293</v>
      </c>
      <c r="F4412" s="751">
        <v>3375</v>
      </c>
    </row>
    <row r="4413" spans="1:6">
      <c r="A4413" s="753"/>
      <c r="B4413" s="753"/>
      <c r="C4413" s="752" t="s">
        <v>45574</v>
      </c>
      <c r="D4413" s="753" t="s">
        <v>45571</v>
      </c>
      <c r="E4413" s="752" t="s">
        <v>38342</v>
      </c>
      <c r="F4413" s="751">
        <v>4525</v>
      </c>
    </row>
    <row r="4414" spans="1:6">
      <c r="A4414" s="753"/>
      <c r="B4414" s="753"/>
      <c r="C4414" s="752" t="s">
        <v>45573</v>
      </c>
      <c r="D4414" s="753" t="s">
        <v>45571</v>
      </c>
      <c r="E4414" s="752" t="s">
        <v>293</v>
      </c>
      <c r="F4414" s="751">
        <v>3375</v>
      </c>
    </row>
    <row r="4415" spans="1:6">
      <c r="A4415" s="753"/>
      <c r="B4415" s="753"/>
      <c r="C4415" s="752" t="s">
        <v>45572</v>
      </c>
      <c r="D4415" s="753" t="s">
        <v>45571</v>
      </c>
      <c r="E4415" s="752" t="s">
        <v>38342</v>
      </c>
      <c r="F4415" s="751">
        <v>4175</v>
      </c>
    </row>
    <row r="4416" spans="1:6">
      <c r="A4416" s="753"/>
      <c r="B4416" s="753"/>
      <c r="C4416" s="752" t="s">
        <v>45570</v>
      </c>
      <c r="D4416" s="753" t="s">
        <v>45568</v>
      </c>
      <c r="E4416" s="752" t="s">
        <v>293</v>
      </c>
      <c r="F4416" s="751">
        <v>3375</v>
      </c>
    </row>
    <row r="4417" spans="1:6">
      <c r="A4417" s="753"/>
      <c r="B4417" s="753"/>
      <c r="C4417" s="752" t="s">
        <v>45569</v>
      </c>
      <c r="D4417" s="753" t="s">
        <v>45568</v>
      </c>
      <c r="E4417" s="752" t="s">
        <v>293</v>
      </c>
      <c r="F4417" s="751">
        <v>3375</v>
      </c>
    </row>
    <row r="4418" spans="1:6">
      <c r="A4418" s="753"/>
      <c r="B4418" s="753"/>
      <c r="C4418" s="752" t="s">
        <v>45567</v>
      </c>
      <c r="D4418" s="753" t="s">
        <v>45565</v>
      </c>
      <c r="E4418" s="752" t="s">
        <v>293</v>
      </c>
      <c r="F4418" s="751">
        <v>2625</v>
      </c>
    </row>
    <row r="4419" spans="1:6">
      <c r="A4419" s="753"/>
      <c r="B4419" s="753"/>
      <c r="C4419" s="752" t="s">
        <v>45566</v>
      </c>
      <c r="D4419" s="753" t="s">
        <v>45565</v>
      </c>
      <c r="E4419" s="752" t="s">
        <v>293</v>
      </c>
      <c r="F4419" s="751">
        <v>2625</v>
      </c>
    </row>
    <row r="4420" spans="1:6">
      <c r="A4420" s="753"/>
      <c r="B4420" s="753"/>
      <c r="C4420" s="752" t="s">
        <v>45564</v>
      </c>
      <c r="D4420" s="753" t="s">
        <v>45560</v>
      </c>
      <c r="E4420" s="752" t="s">
        <v>293</v>
      </c>
      <c r="F4420" s="751">
        <v>3175</v>
      </c>
    </row>
    <row r="4421" spans="1:6">
      <c r="A4421" s="753"/>
      <c r="B4421" s="753"/>
      <c r="C4421" s="752" t="s">
        <v>45563</v>
      </c>
      <c r="D4421" s="753" t="s">
        <v>45560</v>
      </c>
      <c r="E4421" s="752" t="s">
        <v>38342</v>
      </c>
      <c r="F4421" s="751">
        <v>3975</v>
      </c>
    </row>
    <row r="4422" spans="1:6">
      <c r="A4422" s="753"/>
      <c r="B4422" s="753"/>
      <c r="C4422" s="752" t="s">
        <v>45562</v>
      </c>
      <c r="D4422" s="753" t="s">
        <v>45560</v>
      </c>
      <c r="E4422" s="752" t="s">
        <v>293</v>
      </c>
      <c r="F4422" s="751">
        <v>3175</v>
      </c>
    </row>
    <row r="4423" spans="1:6">
      <c r="A4423" s="753"/>
      <c r="B4423" s="753"/>
      <c r="C4423" s="752" t="s">
        <v>45561</v>
      </c>
      <c r="D4423" s="753" t="s">
        <v>45560</v>
      </c>
      <c r="E4423" s="752" t="s">
        <v>38342</v>
      </c>
      <c r="F4423" s="751">
        <v>4325</v>
      </c>
    </row>
    <row r="4424" spans="1:6">
      <c r="A4424" s="753"/>
      <c r="B4424" s="753"/>
      <c r="C4424" s="752" t="s">
        <v>45559</v>
      </c>
      <c r="D4424" s="753" t="s">
        <v>45557</v>
      </c>
      <c r="E4424" s="752" t="s">
        <v>293</v>
      </c>
      <c r="F4424" s="751">
        <v>3175</v>
      </c>
    </row>
    <row r="4425" spans="1:6">
      <c r="A4425" s="753"/>
      <c r="B4425" s="753"/>
      <c r="C4425" s="752" t="s">
        <v>45558</v>
      </c>
      <c r="D4425" s="753" t="s">
        <v>45557</v>
      </c>
      <c r="E4425" s="752" t="s">
        <v>293</v>
      </c>
      <c r="F4425" s="751">
        <v>3175</v>
      </c>
    </row>
    <row r="4426" spans="1:6">
      <c r="A4426" s="753"/>
      <c r="B4426" s="753"/>
      <c r="C4426" s="752" t="s">
        <v>45556</v>
      </c>
      <c r="D4426" s="753" t="s">
        <v>45555</v>
      </c>
      <c r="E4426" s="752" t="s">
        <v>38342</v>
      </c>
      <c r="F4426" s="751">
        <v>4075</v>
      </c>
    </row>
    <row r="4427" spans="1:6">
      <c r="A4427" s="753"/>
      <c r="B4427" s="753" t="s">
        <v>45554</v>
      </c>
      <c r="C4427" s="752" t="s">
        <v>45553</v>
      </c>
      <c r="D4427" s="753" t="s">
        <v>45533</v>
      </c>
      <c r="E4427" s="752" t="s">
        <v>38294</v>
      </c>
      <c r="F4427" s="751">
        <v>5370</v>
      </c>
    </row>
    <row r="4428" spans="1:6">
      <c r="A4428" s="753"/>
      <c r="B4428" s="753"/>
      <c r="C4428" s="752" t="s">
        <v>45552</v>
      </c>
      <c r="D4428" s="753" t="s">
        <v>45533</v>
      </c>
      <c r="E4428" s="752" t="s">
        <v>38258</v>
      </c>
      <c r="F4428" s="751">
        <v>5120</v>
      </c>
    </row>
    <row r="4429" spans="1:6">
      <c r="A4429" s="753"/>
      <c r="B4429" s="753"/>
      <c r="C4429" s="752" t="s">
        <v>45551</v>
      </c>
      <c r="D4429" s="753" t="s">
        <v>45531</v>
      </c>
      <c r="E4429" s="752" t="s">
        <v>38290</v>
      </c>
      <c r="F4429" s="751">
        <v>5170</v>
      </c>
    </row>
    <row r="4430" spans="1:6">
      <c r="A4430" s="753"/>
      <c r="B4430" s="753"/>
      <c r="C4430" s="752" t="s">
        <v>45550</v>
      </c>
      <c r="D4430" s="753" t="s">
        <v>45549</v>
      </c>
      <c r="E4430" s="752" t="s">
        <v>38290</v>
      </c>
      <c r="F4430" s="751">
        <v>2825</v>
      </c>
    </row>
    <row r="4431" spans="1:6">
      <c r="A4431" s="753"/>
      <c r="B4431" s="753"/>
      <c r="C4431" s="752" t="s">
        <v>45548</v>
      </c>
      <c r="D4431" s="753" t="s">
        <v>45531</v>
      </c>
      <c r="E4431" s="752" t="s">
        <v>38258</v>
      </c>
      <c r="F4431" s="751">
        <v>5420</v>
      </c>
    </row>
    <row r="4432" spans="1:6">
      <c r="A4432" s="753"/>
      <c r="B4432" s="753"/>
      <c r="C4432" s="752" t="s">
        <v>45547</v>
      </c>
      <c r="D4432" s="753" t="s">
        <v>44979</v>
      </c>
      <c r="E4432" s="752" t="s">
        <v>38258</v>
      </c>
      <c r="F4432" s="751">
        <v>3075</v>
      </c>
    </row>
    <row r="4433" spans="1:6">
      <c r="A4433" s="753"/>
      <c r="B4433" s="753"/>
      <c r="C4433" s="752" t="s">
        <v>45546</v>
      </c>
      <c r="D4433" s="753" t="s">
        <v>44558</v>
      </c>
      <c r="E4433" s="752" t="s">
        <v>43401</v>
      </c>
      <c r="F4433" s="751">
        <v>5120</v>
      </c>
    </row>
    <row r="4434" spans="1:6">
      <c r="A4434" s="753"/>
      <c r="B4434" s="753"/>
      <c r="C4434" s="752" t="s">
        <v>45545</v>
      </c>
      <c r="D4434" s="753" t="s">
        <v>45544</v>
      </c>
      <c r="E4434" s="752" t="s">
        <v>45543</v>
      </c>
      <c r="F4434" s="751">
        <v>5915</v>
      </c>
    </row>
    <row r="4435" spans="1:6">
      <c r="A4435" s="753"/>
      <c r="B4435" s="753"/>
      <c r="C4435" s="752" t="s">
        <v>45542</v>
      </c>
      <c r="D4435" s="753" t="s">
        <v>45531</v>
      </c>
      <c r="E4435" s="752" t="s">
        <v>45337</v>
      </c>
      <c r="F4435" s="751">
        <v>5420</v>
      </c>
    </row>
    <row r="4436" spans="1:6">
      <c r="A4436" s="753"/>
      <c r="B4436" s="753"/>
      <c r="C4436" s="752" t="s">
        <v>45541</v>
      </c>
      <c r="D4436" s="753" t="s">
        <v>45531</v>
      </c>
      <c r="E4436" s="752" t="s">
        <v>45540</v>
      </c>
      <c r="F4436" s="751">
        <v>5170</v>
      </c>
    </row>
    <row r="4437" spans="1:6">
      <c r="A4437" s="753"/>
      <c r="B4437" s="753"/>
      <c r="C4437" s="752" t="s">
        <v>45539</v>
      </c>
      <c r="D4437" s="753" t="s">
        <v>44979</v>
      </c>
      <c r="E4437" s="752" t="s">
        <v>38290</v>
      </c>
      <c r="F4437" s="751">
        <v>2825</v>
      </c>
    </row>
    <row r="4438" spans="1:6">
      <c r="A4438" s="753"/>
      <c r="B4438" s="753"/>
      <c r="C4438" s="752" t="s">
        <v>45538</v>
      </c>
      <c r="D4438" s="753" t="s">
        <v>44558</v>
      </c>
      <c r="E4438" s="752" t="s">
        <v>38299</v>
      </c>
      <c r="F4438" s="751">
        <v>4870</v>
      </c>
    </row>
    <row r="4439" spans="1:6">
      <c r="A4439" s="753"/>
      <c r="B4439" s="753"/>
      <c r="C4439" s="752" t="s">
        <v>45537</v>
      </c>
      <c r="D4439" s="753" t="s">
        <v>45536</v>
      </c>
      <c r="E4439" s="752" t="s">
        <v>45535</v>
      </c>
      <c r="F4439" s="751">
        <v>4120</v>
      </c>
    </row>
    <row r="4440" spans="1:6">
      <c r="A4440" s="753"/>
      <c r="B4440" s="753"/>
      <c r="C4440" s="752" t="s">
        <v>45534</v>
      </c>
      <c r="D4440" s="753" t="s">
        <v>45533</v>
      </c>
      <c r="E4440" s="752" t="s">
        <v>38294</v>
      </c>
      <c r="F4440" s="751">
        <v>5370</v>
      </c>
    </row>
    <row r="4441" spans="1:6">
      <c r="A4441" s="753"/>
      <c r="B4441" s="753"/>
      <c r="C4441" s="752" t="s">
        <v>45532</v>
      </c>
      <c r="D4441" s="753" t="s">
        <v>45531</v>
      </c>
      <c r="E4441" s="752" t="s">
        <v>38290</v>
      </c>
      <c r="F4441" s="751">
        <v>5420</v>
      </c>
    </row>
    <row r="4442" spans="1:6">
      <c r="A4442" s="753"/>
      <c r="B4442" s="753"/>
      <c r="C4442" s="752" t="s">
        <v>45530</v>
      </c>
      <c r="D4442" s="753" t="s">
        <v>44975</v>
      </c>
      <c r="E4442" s="752" t="s">
        <v>38290</v>
      </c>
      <c r="F4442" s="751">
        <v>4170</v>
      </c>
    </row>
    <row r="4443" spans="1:6">
      <c r="A4443" s="753"/>
      <c r="B4443" s="753"/>
      <c r="C4443" s="752" t="s">
        <v>45529</v>
      </c>
      <c r="D4443" s="753" t="s">
        <v>44975</v>
      </c>
      <c r="E4443" s="752" t="s">
        <v>38290</v>
      </c>
      <c r="F4443" s="751">
        <v>4170</v>
      </c>
    </row>
    <row r="4444" spans="1:6">
      <c r="A4444" s="753"/>
      <c r="B4444" s="753"/>
      <c r="C4444" s="752" t="s">
        <v>45528</v>
      </c>
      <c r="D4444" s="753" t="s">
        <v>45527</v>
      </c>
      <c r="E4444" s="752" t="s">
        <v>38294</v>
      </c>
      <c r="F4444" s="751">
        <v>4470</v>
      </c>
    </row>
    <row r="4445" spans="1:6">
      <c r="A4445" s="753"/>
      <c r="B4445" s="753"/>
      <c r="C4445" s="752" t="s">
        <v>45526</v>
      </c>
      <c r="D4445" s="753" t="s">
        <v>44975</v>
      </c>
      <c r="E4445" s="752" t="s">
        <v>38258</v>
      </c>
      <c r="F4445" s="751">
        <v>4420</v>
      </c>
    </row>
    <row r="4446" spans="1:6">
      <c r="A4446" s="753"/>
      <c r="B4446" s="753"/>
      <c r="C4446" s="752" t="s">
        <v>45525</v>
      </c>
      <c r="D4446" s="753" t="s">
        <v>44975</v>
      </c>
      <c r="E4446" s="752" t="s">
        <v>38290</v>
      </c>
      <c r="F4446" s="751">
        <v>4175</v>
      </c>
    </row>
    <row r="4447" spans="1:6">
      <c r="A4447" s="753"/>
      <c r="B4447" s="753"/>
      <c r="C4447" s="752" t="s">
        <v>45524</v>
      </c>
      <c r="D4447" s="753" t="s">
        <v>44971</v>
      </c>
      <c r="E4447" s="752" t="s">
        <v>45519</v>
      </c>
      <c r="F4447" s="751">
        <v>6165</v>
      </c>
    </row>
    <row r="4448" spans="1:6">
      <c r="A4448" s="753"/>
      <c r="B4448" s="753"/>
      <c r="C4448" s="752" t="s">
        <v>45523</v>
      </c>
      <c r="D4448" s="753" t="s">
        <v>44971</v>
      </c>
      <c r="E4448" s="752" t="s">
        <v>38258</v>
      </c>
      <c r="F4448" s="751">
        <v>5915</v>
      </c>
    </row>
    <row r="4449" spans="1:6">
      <c r="A4449" s="753"/>
      <c r="B4449" s="753"/>
      <c r="C4449" s="752" t="s">
        <v>45522</v>
      </c>
      <c r="D4449" s="753" t="s">
        <v>44971</v>
      </c>
      <c r="E4449" s="752" t="s">
        <v>45521</v>
      </c>
      <c r="F4449" s="751">
        <v>5665</v>
      </c>
    </row>
    <row r="4450" spans="1:6">
      <c r="A4450" s="753"/>
      <c r="B4450" s="753"/>
      <c r="C4450" s="752" t="s">
        <v>45520</v>
      </c>
      <c r="D4450" s="753" t="s">
        <v>44971</v>
      </c>
      <c r="E4450" s="752" t="s">
        <v>45519</v>
      </c>
      <c r="F4450" s="751">
        <v>6165</v>
      </c>
    </row>
    <row r="4451" spans="1:6">
      <c r="A4451" s="753"/>
      <c r="B4451" s="753"/>
      <c r="C4451" s="752" t="s">
        <v>45518</v>
      </c>
      <c r="D4451" s="753" t="s">
        <v>45020</v>
      </c>
      <c r="E4451" s="752" t="s">
        <v>44964</v>
      </c>
      <c r="F4451" s="751">
        <v>4675</v>
      </c>
    </row>
    <row r="4452" spans="1:6">
      <c r="A4452" s="753"/>
      <c r="B4452" s="753"/>
      <c r="C4452" s="752" t="s">
        <v>45517</v>
      </c>
      <c r="D4452" s="753" t="s">
        <v>45020</v>
      </c>
      <c r="E4452" s="752" t="s">
        <v>38283</v>
      </c>
      <c r="F4452" s="751">
        <v>4475</v>
      </c>
    </row>
    <row r="4453" spans="1:6">
      <c r="A4453" s="753"/>
      <c r="B4453" s="753"/>
      <c r="C4453" s="752" t="s">
        <v>45516</v>
      </c>
      <c r="D4453" s="753" t="s">
        <v>44920</v>
      </c>
      <c r="E4453" s="752" t="s">
        <v>45510</v>
      </c>
      <c r="F4453" s="751">
        <v>4575</v>
      </c>
    </row>
    <row r="4454" spans="1:6">
      <c r="A4454" s="753"/>
      <c r="B4454" s="753"/>
      <c r="C4454" s="752" t="s">
        <v>45515</v>
      </c>
      <c r="D4454" s="753" t="s">
        <v>44920</v>
      </c>
      <c r="E4454" s="752" t="s">
        <v>45449</v>
      </c>
      <c r="F4454" s="751">
        <v>4475</v>
      </c>
    </row>
    <row r="4455" spans="1:6">
      <c r="A4455" s="753"/>
      <c r="B4455" s="753"/>
      <c r="C4455" s="752" t="s">
        <v>45514</v>
      </c>
      <c r="D4455" s="753" t="s">
        <v>45513</v>
      </c>
      <c r="E4455" s="752" t="s">
        <v>45512</v>
      </c>
      <c r="F4455" s="751">
        <v>4475</v>
      </c>
    </row>
    <row r="4456" spans="1:6">
      <c r="A4456" s="753"/>
      <c r="B4456" s="753"/>
      <c r="C4456" s="752" t="s">
        <v>45511</v>
      </c>
      <c r="D4456" s="753" t="s">
        <v>44920</v>
      </c>
      <c r="E4456" s="752" t="s">
        <v>45510</v>
      </c>
      <c r="F4456" s="751">
        <v>4575</v>
      </c>
    </row>
    <row r="4457" spans="1:6">
      <c r="A4457" s="753"/>
      <c r="B4457" s="753"/>
      <c r="C4457" s="752" t="s">
        <v>45509</v>
      </c>
      <c r="D4457" s="753" t="s">
        <v>44920</v>
      </c>
      <c r="E4457" s="752" t="s">
        <v>45508</v>
      </c>
      <c r="F4457" s="751">
        <v>4575</v>
      </c>
    </row>
    <row r="4458" spans="1:6">
      <c r="A4458" s="753"/>
      <c r="B4458" s="753"/>
      <c r="C4458" s="752" t="s">
        <v>45507</v>
      </c>
      <c r="D4458" s="753" t="s">
        <v>44959</v>
      </c>
      <c r="E4458" s="752" t="s">
        <v>45506</v>
      </c>
      <c r="F4458" s="751">
        <v>3825</v>
      </c>
    </row>
    <row r="4459" spans="1:6">
      <c r="A4459" s="753"/>
      <c r="B4459" s="753"/>
      <c r="C4459" s="752" t="s">
        <v>45505</v>
      </c>
      <c r="D4459" s="753" t="s">
        <v>43660</v>
      </c>
      <c r="E4459" s="752" t="s">
        <v>45470</v>
      </c>
      <c r="F4459" s="751">
        <v>10595</v>
      </c>
    </row>
    <row r="4460" spans="1:6">
      <c r="A4460" s="753"/>
      <c r="B4460" s="753"/>
      <c r="C4460" s="752" t="s">
        <v>45504</v>
      </c>
      <c r="D4460" s="753" t="s">
        <v>44942</v>
      </c>
      <c r="E4460" s="752" t="s">
        <v>45265</v>
      </c>
      <c r="F4460" s="751">
        <v>4675</v>
      </c>
    </row>
    <row r="4461" spans="1:6">
      <c r="A4461" s="753"/>
      <c r="B4461" s="753"/>
      <c r="C4461" s="752" t="s">
        <v>45503</v>
      </c>
      <c r="D4461" s="753" t="s">
        <v>44930</v>
      </c>
      <c r="E4461" s="752" t="s">
        <v>43401</v>
      </c>
      <c r="F4461" s="751">
        <v>4925</v>
      </c>
    </row>
    <row r="4462" spans="1:6">
      <c r="A4462" s="753"/>
      <c r="B4462" s="753"/>
      <c r="C4462" s="752" t="s">
        <v>45502</v>
      </c>
      <c r="D4462" s="753" t="s">
        <v>44930</v>
      </c>
      <c r="E4462" s="752" t="s">
        <v>43401</v>
      </c>
      <c r="F4462" s="751">
        <v>5625</v>
      </c>
    </row>
    <row r="4463" spans="1:6">
      <c r="A4463" s="753"/>
      <c r="B4463" s="753"/>
      <c r="C4463" s="752" t="s">
        <v>45501</v>
      </c>
      <c r="D4463" s="753" t="s">
        <v>45464</v>
      </c>
      <c r="E4463" s="752" t="s">
        <v>45463</v>
      </c>
      <c r="F4463" s="751">
        <v>6005</v>
      </c>
    </row>
    <row r="4464" spans="1:6">
      <c r="A4464" s="753"/>
      <c r="B4464" s="753"/>
      <c r="C4464" s="752" t="s">
        <v>45500</v>
      </c>
      <c r="D4464" s="753" t="s">
        <v>44930</v>
      </c>
      <c r="E4464" s="752" t="s">
        <v>45478</v>
      </c>
      <c r="F4464" s="751">
        <v>4675</v>
      </c>
    </row>
    <row r="4465" spans="1:6">
      <c r="A4465" s="753"/>
      <c r="B4465" s="753"/>
      <c r="C4465" s="752" t="s">
        <v>45499</v>
      </c>
      <c r="D4465" s="753" t="s">
        <v>44930</v>
      </c>
      <c r="E4465" s="752" t="s">
        <v>38299</v>
      </c>
      <c r="F4465" s="751">
        <v>5275</v>
      </c>
    </row>
    <row r="4466" spans="1:6">
      <c r="A4466" s="753"/>
      <c r="B4466" s="753"/>
      <c r="C4466" s="752" t="s">
        <v>45498</v>
      </c>
      <c r="D4466" s="753" t="s">
        <v>45474</v>
      </c>
      <c r="E4466" s="752" t="s">
        <v>45473</v>
      </c>
      <c r="F4466" s="751">
        <v>5655</v>
      </c>
    </row>
    <row r="4467" spans="1:6">
      <c r="A4467" s="753"/>
      <c r="B4467" s="753"/>
      <c r="C4467" s="752" t="s">
        <v>45497</v>
      </c>
      <c r="D4467" s="753" t="s">
        <v>44920</v>
      </c>
      <c r="E4467" s="752" t="s">
        <v>45496</v>
      </c>
      <c r="F4467" s="751">
        <v>4645</v>
      </c>
    </row>
    <row r="4468" spans="1:6">
      <c r="A4468" s="753"/>
      <c r="B4468" s="753"/>
      <c r="C4468" s="752" t="s">
        <v>45495</v>
      </c>
      <c r="D4468" s="753" t="s">
        <v>45481</v>
      </c>
      <c r="E4468" s="752" t="s">
        <v>45494</v>
      </c>
      <c r="F4468" s="751">
        <v>5275</v>
      </c>
    </row>
    <row r="4469" spans="1:6">
      <c r="A4469" s="753"/>
      <c r="B4469" s="753"/>
      <c r="C4469" s="752" t="s">
        <v>45493</v>
      </c>
      <c r="D4469" s="753" t="s">
        <v>44930</v>
      </c>
      <c r="E4469" s="752" t="s">
        <v>45492</v>
      </c>
      <c r="F4469" s="751">
        <v>5175</v>
      </c>
    </row>
    <row r="4470" spans="1:6">
      <c r="A4470" s="753"/>
      <c r="B4470" s="753"/>
      <c r="C4470" s="752" t="s">
        <v>45491</v>
      </c>
      <c r="D4470" s="753" t="s">
        <v>45464</v>
      </c>
      <c r="E4470" s="752" t="s">
        <v>45490</v>
      </c>
      <c r="F4470" s="751">
        <v>6355</v>
      </c>
    </row>
    <row r="4471" spans="1:6">
      <c r="A4471" s="753"/>
      <c r="B4471" s="753"/>
      <c r="C4471" s="752" t="s">
        <v>45489</v>
      </c>
      <c r="D4471" s="753" t="s">
        <v>45488</v>
      </c>
      <c r="E4471" s="752" t="s">
        <v>43401</v>
      </c>
      <c r="F4471" s="751">
        <v>5625</v>
      </c>
    </row>
    <row r="4472" spans="1:6">
      <c r="A4472" s="753"/>
      <c r="B4472" s="753"/>
      <c r="C4472" s="752" t="s">
        <v>45487</v>
      </c>
      <c r="D4472" s="753" t="s">
        <v>44942</v>
      </c>
      <c r="E4472" s="752" t="s">
        <v>38278</v>
      </c>
      <c r="F4472" s="751">
        <v>4925</v>
      </c>
    </row>
    <row r="4473" spans="1:6">
      <c r="A4473" s="753"/>
      <c r="B4473" s="753"/>
      <c r="C4473" s="752" t="s">
        <v>45486</v>
      </c>
      <c r="D4473" s="753" t="s">
        <v>45485</v>
      </c>
      <c r="E4473" s="752" t="s">
        <v>45463</v>
      </c>
      <c r="F4473" s="751">
        <v>6005</v>
      </c>
    </row>
    <row r="4474" spans="1:6">
      <c r="A4474" s="753"/>
      <c r="B4474" s="753"/>
      <c r="C4474" s="752" t="s">
        <v>45484</v>
      </c>
      <c r="D4474" s="753" t="s">
        <v>45464</v>
      </c>
      <c r="E4474" s="752" t="s">
        <v>45463</v>
      </c>
      <c r="F4474" s="751">
        <v>6005</v>
      </c>
    </row>
    <row r="4475" spans="1:6">
      <c r="A4475" s="753"/>
      <c r="B4475" s="753"/>
      <c r="C4475" s="752" t="s">
        <v>45483</v>
      </c>
      <c r="D4475" s="753" t="s">
        <v>44930</v>
      </c>
      <c r="E4475" s="752" t="s">
        <v>45478</v>
      </c>
      <c r="F4475" s="751">
        <v>4675</v>
      </c>
    </row>
    <row r="4476" spans="1:6">
      <c r="A4476" s="753"/>
      <c r="B4476" s="753"/>
      <c r="C4476" s="752" t="s">
        <v>45482</v>
      </c>
      <c r="D4476" s="753" t="s">
        <v>45481</v>
      </c>
      <c r="E4476" s="752" t="s">
        <v>45480</v>
      </c>
      <c r="F4476" s="751">
        <v>5275</v>
      </c>
    </row>
    <row r="4477" spans="1:6">
      <c r="A4477" s="753"/>
      <c r="B4477" s="753"/>
      <c r="C4477" s="752" t="s">
        <v>45479</v>
      </c>
      <c r="D4477" s="753" t="s">
        <v>44942</v>
      </c>
      <c r="E4477" s="752" t="s">
        <v>45478</v>
      </c>
      <c r="F4477" s="751">
        <v>4675</v>
      </c>
    </row>
    <row r="4478" spans="1:6">
      <c r="A4478" s="753"/>
      <c r="B4478" s="753"/>
      <c r="C4478" s="752" t="s">
        <v>45477</v>
      </c>
      <c r="D4478" s="753" t="s">
        <v>45474</v>
      </c>
      <c r="E4478" s="752" t="s">
        <v>45476</v>
      </c>
      <c r="F4478" s="751">
        <v>5655</v>
      </c>
    </row>
    <row r="4479" spans="1:6">
      <c r="A4479" s="753"/>
      <c r="B4479" s="753"/>
      <c r="C4479" s="752" t="s">
        <v>45475</v>
      </c>
      <c r="D4479" s="753" t="s">
        <v>45474</v>
      </c>
      <c r="E4479" s="752" t="s">
        <v>45473</v>
      </c>
      <c r="F4479" s="751">
        <v>5655</v>
      </c>
    </row>
    <row r="4480" spans="1:6">
      <c r="A4480" s="753"/>
      <c r="B4480" s="753"/>
      <c r="C4480" s="752" t="s">
        <v>45472</v>
      </c>
      <c r="D4480" s="753" t="s">
        <v>43261</v>
      </c>
      <c r="E4480" s="752" t="s">
        <v>43260</v>
      </c>
      <c r="F4480" s="751">
        <v>12895</v>
      </c>
    </row>
    <row r="4481" spans="1:6">
      <c r="A4481" s="753"/>
      <c r="B4481" s="753"/>
      <c r="C4481" s="752" t="s">
        <v>45471</v>
      </c>
      <c r="D4481" s="753" t="s">
        <v>43874</v>
      </c>
      <c r="E4481" s="752" t="s">
        <v>45470</v>
      </c>
      <c r="F4481" s="751">
        <v>12845</v>
      </c>
    </row>
    <row r="4482" spans="1:6">
      <c r="A4482" s="753"/>
      <c r="B4482" s="753"/>
      <c r="C4482" s="752" t="s">
        <v>45469</v>
      </c>
      <c r="D4482" s="753" t="s">
        <v>44942</v>
      </c>
      <c r="E4482" s="752" t="s">
        <v>45468</v>
      </c>
      <c r="F4482" s="751">
        <v>5685</v>
      </c>
    </row>
    <row r="4483" spans="1:6">
      <c r="A4483" s="753"/>
      <c r="B4483" s="753"/>
      <c r="C4483" s="752" t="s">
        <v>45467</v>
      </c>
      <c r="D4483" s="753" t="s">
        <v>43261</v>
      </c>
      <c r="E4483" s="752" t="s">
        <v>43260</v>
      </c>
      <c r="F4483" s="751">
        <v>12995</v>
      </c>
    </row>
    <row r="4484" spans="1:6">
      <c r="A4484" s="753"/>
      <c r="B4484" s="753"/>
      <c r="C4484" s="752" t="s">
        <v>45466</v>
      </c>
      <c r="D4484" s="753" t="s">
        <v>43874</v>
      </c>
      <c r="E4484" s="752" t="s">
        <v>43659</v>
      </c>
      <c r="F4484" s="751">
        <v>13045</v>
      </c>
    </row>
    <row r="4485" spans="1:6">
      <c r="A4485" s="753"/>
      <c r="B4485" s="753"/>
      <c r="C4485" s="752" t="s">
        <v>45465</v>
      </c>
      <c r="D4485" s="753" t="s">
        <v>45464</v>
      </c>
      <c r="E4485" s="752" t="s">
        <v>45463</v>
      </c>
      <c r="F4485" s="751">
        <v>6005</v>
      </c>
    </row>
    <row r="4486" spans="1:6">
      <c r="A4486" s="753"/>
      <c r="B4486" s="753"/>
      <c r="C4486" s="752" t="s">
        <v>45462</v>
      </c>
      <c r="D4486" s="753" t="s">
        <v>44920</v>
      </c>
      <c r="E4486" s="752" t="s">
        <v>38294</v>
      </c>
      <c r="F4486" s="751">
        <v>6525</v>
      </c>
    </row>
    <row r="4487" spans="1:6">
      <c r="A4487" s="753"/>
      <c r="B4487" s="753"/>
      <c r="C4487" s="752" t="s">
        <v>45461</v>
      </c>
      <c r="D4487" s="753" t="s">
        <v>45020</v>
      </c>
      <c r="E4487" s="752" t="s">
        <v>45460</v>
      </c>
      <c r="F4487" s="751">
        <v>6125</v>
      </c>
    </row>
    <row r="4488" spans="1:6">
      <c r="A4488" s="753"/>
      <c r="B4488" s="753"/>
      <c r="C4488" s="752" t="s">
        <v>45459</v>
      </c>
      <c r="D4488" s="753" t="s">
        <v>45020</v>
      </c>
      <c r="E4488" s="752" t="s">
        <v>38483</v>
      </c>
      <c r="F4488" s="751">
        <v>6325</v>
      </c>
    </row>
    <row r="4489" spans="1:6">
      <c r="A4489" s="753"/>
      <c r="B4489" s="753"/>
      <c r="C4489" s="752" t="s">
        <v>45458</v>
      </c>
      <c r="D4489" s="753" t="s">
        <v>44920</v>
      </c>
      <c r="E4489" s="752" t="s">
        <v>38285</v>
      </c>
      <c r="F4489" s="751">
        <v>6475</v>
      </c>
    </row>
    <row r="4490" spans="1:6">
      <c r="A4490" s="753"/>
      <c r="B4490" s="753"/>
      <c r="C4490" s="752" t="s">
        <v>45457</v>
      </c>
      <c r="D4490" s="753" t="s">
        <v>44920</v>
      </c>
      <c r="E4490" s="752" t="s">
        <v>293</v>
      </c>
      <c r="F4490" s="751">
        <v>6275</v>
      </c>
    </row>
    <row r="4491" spans="1:6">
      <c r="A4491" s="753"/>
      <c r="B4491" s="753"/>
      <c r="C4491" s="752" t="s">
        <v>45456</v>
      </c>
      <c r="D4491" s="753" t="s">
        <v>44923</v>
      </c>
      <c r="E4491" s="752" t="s">
        <v>45455</v>
      </c>
      <c r="F4491" s="751">
        <v>4575</v>
      </c>
    </row>
    <row r="4492" spans="1:6">
      <c r="A4492" s="753"/>
      <c r="B4492" s="753"/>
      <c r="C4492" s="752" t="s">
        <v>45454</v>
      </c>
      <c r="D4492" s="753" t="s">
        <v>44923</v>
      </c>
      <c r="E4492" s="752" t="s">
        <v>45451</v>
      </c>
      <c r="F4492" s="751">
        <v>5955</v>
      </c>
    </row>
    <row r="4493" spans="1:6">
      <c r="A4493" s="753"/>
      <c r="B4493" s="753"/>
      <c r="C4493" s="752" t="s">
        <v>45453</v>
      </c>
      <c r="D4493" s="753" t="s">
        <v>44923</v>
      </c>
      <c r="E4493" s="752" t="s">
        <v>293</v>
      </c>
      <c r="F4493" s="751">
        <v>5495</v>
      </c>
    </row>
    <row r="4494" spans="1:6">
      <c r="A4494" s="753"/>
      <c r="B4494" s="753"/>
      <c r="C4494" s="752" t="s">
        <v>45452</v>
      </c>
      <c r="D4494" s="753" t="s">
        <v>44923</v>
      </c>
      <c r="E4494" s="752" t="s">
        <v>45451</v>
      </c>
      <c r="F4494" s="751">
        <v>6255</v>
      </c>
    </row>
    <row r="4495" spans="1:6">
      <c r="A4495" s="753"/>
      <c r="B4495" s="753"/>
      <c r="C4495" s="752" t="s">
        <v>45450</v>
      </c>
      <c r="D4495" s="753" t="s">
        <v>44920</v>
      </c>
      <c r="E4495" s="752" t="s">
        <v>45449</v>
      </c>
      <c r="F4495" s="751">
        <v>4275</v>
      </c>
    </row>
    <row r="4496" spans="1:6">
      <c r="A4496" s="753"/>
      <c r="B4496" s="753"/>
      <c r="C4496" s="752" t="s">
        <v>45448</v>
      </c>
      <c r="D4496" s="753" t="s">
        <v>44920</v>
      </c>
      <c r="E4496" s="752" t="s">
        <v>45447</v>
      </c>
      <c r="F4496" s="751">
        <v>4575</v>
      </c>
    </row>
    <row r="4497" spans="1:6">
      <c r="A4497" s="753"/>
      <c r="B4497" s="753"/>
      <c r="C4497" s="752" t="s">
        <v>45446</v>
      </c>
      <c r="D4497" s="753" t="s">
        <v>45445</v>
      </c>
      <c r="E4497" s="752" t="s">
        <v>45444</v>
      </c>
      <c r="F4497" s="751">
        <v>2225</v>
      </c>
    </row>
    <row r="4498" spans="1:6">
      <c r="A4498" s="753"/>
      <c r="B4498" s="753"/>
      <c r="C4498" s="752" t="s">
        <v>45443</v>
      </c>
      <c r="D4498" s="753" t="s">
        <v>44905</v>
      </c>
      <c r="E4498" s="752" t="s">
        <v>293</v>
      </c>
      <c r="F4498" s="751">
        <v>1445</v>
      </c>
    </row>
    <row r="4499" spans="1:6">
      <c r="A4499" s="753"/>
      <c r="B4499" s="753"/>
      <c r="C4499" s="752" t="s">
        <v>45442</v>
      </c>
      <c r="D4499" s="753" t="s">
        <v>44905</v>
      </c>
      <c r="E4499" s="752" t="s">
        <v>293</v>
      </c>
      <c r="F4499" s="751">
        <v>1445</v>
      </c>
    </row>
    <row r="4500" spans="1:6">
      <c r="A4500" s="753"/>
      <c r="B4500" s="753"/>
      <c r="C4500" s="752" t="s">
        <v>45441</v>
      </c>
      <c r="D4500" s="753" t="s">
        <v>44905</v>
      </c>
      <c r="E4500" s="752" t="s">
        <v>293</v>
      </c>
      <c r="F4500" s="751">
        <v>1445</v>
      </c>
    </row>
    <row r="4501" spans="1:6">
      <c r="A4501" s="753"/>
      <c r="B4501" s="753"/>
      <c r="C4501" s="752" t="s">
        <v>45440</v>
      </c>
      <c r="D4501" s="753" t="s">
        <v>44905</v>
      </c>
      <c r="E4501" s="752" t="s">
        <v>45439</v>
      </c>
      <c r="F4501" s="751">
        <v>1445</v>
      </c>
    </row>
    <row r="4502" spans="1:6">
      <c r="A4502" s="753"/>
      <c r="B4502" s="753"/>
      <c r="C4502" s="752" t="s">
        <v>45438</v>
      </c>
      <c r="D4502" s="753" t="s">
        <v>44905</v>
      </c>
      <c r="E4502" s="752" t="s">
        <v>293</v>
      </c>
      <c r="F4502" s="751">
        <v>1445</v>
      </c>
    </row>
    <row r="4503" spans="1:6">
      <c r="A4503" s="753"/>
      <c r="B4503" s="753"/>
      <c r="C4503" s="752" t="s">
        <v>45437</v>
      </c>
      <c r="D4503" s="753" t="s">
        <v>44905</v>
      </c>
      <c r="E4503" s="752" t="s">
        <v>293</v>
      </c>
      <c r="F4503" s="751">
        <v>1445</v>
      </c>
    </row>
    <row r="4504" spans="1:6">
      <c r="A4504" s="753"/>
      <c r="B4504" s="753"/>
      <c r="C4504" s="752" t="s">
        <v>45436</v>
      </c>
      <c r="D4504" s="753" t="s">
        <v>44905</v>
      </c>
      <c r="E4504" s="752" t="s">
        <v>44348</v>
      </c>
      <c r="F4504" s="751">
        <v>1445</v>
      </c>
    </row>
    <row r="4505" spans="1:6">
      <c r="A4505" s="753"/>
      <c r="B4505" s="753"/>
      <c r="C4505" s="752" t="s">
        <v>45435</v>
      </c>
      <c r="D4505" s="753" t="s">
        <v>44905</v>
      </c>
      <c r="E4505" s="752" t="s">
        <v>293</v>
      </c>
      <c r="F4505" s="751">
        <v>1445</v>
      </c>
    </row>
    <row r="4506" spans="1:6">
      <c r="A4506" s="753"/>
      <c r="B4506" s="753"/>
      <c r="C4506" s="752" t="s">
        <v>45434</v>
      </c>
      <c r="D4506" s="753" t="s">
        <v>44905</v>
      </c>
      <c r="E4506" s="752" t="s">
        <v>44348</v>
      </c>
      <c r="F4506" s="751">
        <v>1445</v>
      </c>
    </row>
    <row r="4507" spans="1:6">
      <c r="A4507" s="753"/>
      <c r="B4507" s="753"/>
      <c r="C4507" s="752" t="s">
        <v>45433</v>
      </c>
      <c r="D4507" s="753" t="s">
        <v>44905</v>
      </c>
      <c r="E4507" s="752" t="s">
        <v>293</v>
      </c>
      <c r="F4507" s="751">
        <v>1745</v>
      </c>
    </row>
    <row r="4508" spans="1:6">
      <c r="A4508" s="753"/>
      <c r="B4508" s="753"/>
      <c r="C4508" s="752" t="s">
        <v>45432</v>
      </c>
      <c r="D4508" s="753" t="s">
        <v>44905</v>
      </c>
      <c r="E4508" s="752" t="s">
        <v>293</v>
      </c>
      <c r="F4508" s="751">
        <v>1745</v>
      </c>
    </row>
    <row r="4509" spans="1:6">
      <c r="A4509" s="753"/>
      <c r="B4509" s="753"/>
      <c r="C4509" s="752" t="s">
        <v>45431</v>
      </c>
      <c r="D4509" s="753" t="s">
        <v>44905</v>
      </c>
      <c r="E4509" s="752" t="s">
        <v>293</v>
      </c>
      <c r="F4509" s="751">
        <v>1745</v>
      </c>
    </row>
    <row r="4510" spans="1:6">
      <c r="A4510" s="753"/>
      <c r="B4510" s="753"/>
      <c r="C4510" s="752" t="s">
        <v>45430</v>
      </c>
      <c r="D4510" s="753" t="s">
        <v>44905</v>
      </c>
      <c r="E4510" s="752" t="s">
        <v>44348</v>
      </c>
      <c r="F4510" s="751">
        <v>1745</v>
      </c>
    </row>
    <row r="4511" spans="1:6">
      <c r="A4511" s="753"/>
      <c r="B4511" s="753"/>
      <c r="C4511" s="752" t="s">
        <v>45429</v>
      </c>
      <c r="D4511" s="753" t="s">
        <v>44905</v>
      </c>
      <c r="E4511" s="752" t="s">
        <v>45428</v>
      </c>
      <c r="F4511" s="751">
        <v>1745</v>
      </c>
    </row>
    <row r="4512" spans="1:6">
      <c r="A4512" s="753"/>
      <c r="B4512" s="753"/>
      <c r="C4512" s="752" t="s">
        <v>45427</v>
      </c>
      <c r="D4512" s="753" t="s">
        <v>45017</v>
      </c>
      <c r="E4512" s="752" t="s">
        <v>45426</v>
      </c>
      <c r="F4512" s="751">
        <v>3475</v>
      </c>
    </row>
    <row r="4513" spans="1:6">
      <c r="A4513" s="753"/>
      <c r="B4513" s="753"/>
      <c r="C4513" s="752" t="s">
        <v>45425</v>
      </c>
      <c r="D4513" s="753" t="s">
        <v>45017</v>
      </c>
      <c r="E4513" s="752" t="s">
        <v>45424</v>
      </c>
      <c r="F4513" s="751">
        <v>3475</v>
      </c>
    </row>
    <row r="4514" spans="1:6">
      <c r="A4514" s="753"/>
      <c r="B4514" s="753"/>
      <c r="C4514" s="752" t="s">
        <v>45423</v>
      </c>
      <c r="D4514" s="753" t="s">
        <v>44564</v>
      </c>
      <c r="E4514" s="752" t="s">
        <v>40806</v>
      </c>
      <c r="F4514" s="751">
        <v>4175</v>
      </c>
    </row>
    <row r="4515" spans="1:6">
      <c r="A4515" s="753"/>
      <c r="B4515" s="753"/>
      <c r="C4515" s="752" t="s">
        <v>45422</v>
      </c>
      <c r="D4515" s="753" t="s">
        <v>44564</v>
      </c>
      <c r="E4515" s="752" t="s">
        <v>45332</v>
      </c>
      <c r="F4515" s="751">
        <v>5075</v>
      </c>
    </row>
    <row r="4516" spans="1:6">
      <c r="A4516" s="753"/>
      <c r="B4516" s="753"/>
      <c r="C4516" s="752" t="s">
        <v>45421</v>
      </c>
      <c r="D4516" s="753" t="s">
        <v>44564</v>
      </c>
      <c r="E4516" s="752" t="s">
        <v>45282</v>
      </c>
      <c r="F4516" s="751">
        <v>5075</v>
      </c>
    </row>
    <row r="4517" spans="1:6">
      <c r="A4517" s="753"/>
      <c r="B4517" s="753"/>
      <c r="C4517" s="752" t="s">
        <v>45420</v>
      </c>
      <c r="D4517" s="753" t="s">
        <v>45419</v>
      </c>
      <c r="E4517" s="752" t="s">
        <v>40806</v>
      </c>
      <c r="F4517" s="751">
        <v>4275</v>
      </c>
    </row>
    <row r="4518" spans="1:6">
      <c r="A4518" s="753"/>
      <c r="B4518" s="753"/>
      <c r="C4518" s="752" t="s">
        <v>45418</v>
      </c>
      <c r="D4518" s="753" t="s">
        <v>45417</v>
      </c>
      <c r="E4518" s="752" t="s">
        <v>45031</v>
      </c>
      <c r="F4518" s="751">
        <v>5425</v>
      </c>
    </row>
    <row r="4519" spans="1:6">
      <c r="A4519" s="753"/>
      <c r="B4519" s="753"/>
      <c r="C4519" s="752" t="s">
        <v>45416</v>
      </c>
      <c r="D4519" s="753" t="s">
        <v>45415</v>
      </c>
      <c r="E4519" s="752" t="s">
        <v>45262</v>
      </c>
      <c r="F4519" s="751">
        <v>3125</v>
      </c>
    </row>
    <row r="4520" spans="1:6">
      <c r="A4520" s="753"/>
      <c r="B4520" s="753"/>
      <c r="C4520" s="752" t="s">
        <v>45414</v>
      </c>
      <c r="D4520" s="753" t="s">
        <v>44861</v>
      </c>
      <c r="E4520" s="752" t="s">
        <v>44896</v>
      </c>
      <c r="F4520" s="751">
        <v>3625</v>
      </c>
    </row>
    <row r="4521" spans="1:6">
      <c r="A4521" s="753"/>
      <c r="B4521" s="753"/>
      <c r="C4521" s="752" t="s">
        <v>45413</v>
      </c>
      <c r="D4521" s="753" t="s">
        <v>44861</v>
      </c>
      <c r="E4521" s="752" t="s">
        <v>44878</v>
      </c>
      <c r="F4521" s="751">
        <v>3975</v>
      </c>
    </row>
    <row r="4522" spans="1:6">
      <c r="A4522" s="753"/>
      <c r="B4522" s="753"/>
      <c r="C4522" s="752" t="s">
        <v>45412</v>
      </c>
      <c r="D4522" s="753" t="s">
        <v>44861</v>
      </c>
      <c r="E4522" s="752" t="s">
        <v>44667</v>
      </c>
      <c r="F4522" s="751">
        <v>3625</v>
      </c>
    </row>
    <row r="4523" spans="1:6">
      <c r="A4523" s="753"/>
      <c r="B4523" s="753"/>
      <c r="C4523" s="752" t="s">
        <v>45411</v>
      </c>
      <c r="D4523" s="753" t="s">
        <v>44861</v>
      </c>
      <c r="E4523" s="752" t="s">
        <v>44893</v>
      </c>
      <c r="F4523" s="751">
        <v>3975</v>
      </c>
    </row>
    <row r="4524" spans="1:6">
      <c r="A4524" s="753"/>
      <c r="B4524" s="753"/>
      <c r="C4524" s="752" t="s">
        <v>45410</v>
      </c>
      <c r="D4524" s="753" t="s">
        <v>44861</v>
      </c>
      <c r="E4524" s="752" t="s">
        <v>44762</v>
      </c>
      <c r="F4524" s="751">
        <v>3375</v>
      </c>
    </row>
    <row r="4525" spans="1:6">
      <c r="A4525" s="753"/>
      <c r="B4525" s="753"/>
      <c r="C4525" s="752" t="s">
        <v>45409</v>
      </c>
      <c r="D4525" s="753" t="s">
        <v>44861</v>
      </c>
      <c r="E4525" s="752" t="s">
        <v>44883</v>
      </c>
      <c r="F4525" s="751">
        <v>3725</v>
      </c>
    </row>
    <row r="4526" spans="1:6">
      <c r="A4526" s="753"/>
      <c r="B4526" s="753"/>
      <c r="C4526" s="752" t="s">
        <v>45408</v>
      </c>
      <c r="D4526" s="753" t="s">
        <v>44861</v>
      </c>
      <c r="E4526" s="752" t="s">
        <v>39787</v>
      </c>
      <c r="F4526" s="751">
        <v>3725</v>
      </c>
    </row>
    <row r="4527" spans="1:6">
      <c r="A4527" s="753"/>
      <c r="B4527" s="753"/>
      <c r="C4527" s="752" t="s">
        <v>45407</v>
      </c>
      <c r="D4527" s="753" t="s">
        <v>44861</v>
      </c>
      <c r="E4527" s="752" t="s">
        <v>44880</v>
      </c>
      <c r="F4527" s="751">
        <v>3725</v>
      </c>
    </row>
    <row r="4528" spans="1:6">
      <c r="A4528" s="753"/>
      <c r="B4528" s="753"/>
      <c r="C4528" s="752" t="s">
        <v>45406</v>
      </c>
      <c r="D4528" s="753" t="s">
        <v>44861</v>
      </c>
      <c r="E4528" s="752" t="s">
        <v>45095</v>
      </c>
      <c r="F4528" s="751">
        <v>3125</v>
      </c>
    </row>
    <row r="4529" spans="1:6">
      <c r="A4529" s="753"/>
      <c r="B4529" s="753"/>
      <c r="C4529" s="752" t="s">
        <v>45405</v>
      </c>
      <c r="D4529" s="753" t="s">
        <v>44861</v>
      </c>
      <c r="E4529" s="752" t="s">
        <v>45251</v>
      </c>
      <c r="F4529" s="751">
        <v>3375</v>
      </c>
    </row>
    <row r="4530" spans="1:6">
      <c r="A4530" s="753"/>
      <c r="B4530" s="753"/>
      <c r="C4530" s="752" t="s">
        <v>45404</v>
      </c>
      <c r="D4530" s="753" t="s">
        <v>44861</v>
      </c>
      <c r="E4530" s="752" t="s">
        <v>39808</v>
      </c>
      <c r="F4530" s="751">
        <v>3125</v>
      </c>
    </row>
    <row r="4531" spans="1:6">
      <c r="A4531" s="753"/>
      <c r="B4531" s="753"/>
      <c r="C4531" s="752" t="s">
        <v>45403</v>
      </c>
      <c r="D4531" s="753" t="s">
        <v>44861</v>
      </c>
      <c r="E4531" s="752" t="s">
        <v>45088</v>
      </c>
      <c r="F4531" s="751">
        <v>3375</v>
      </c>
    </row>
    <row r="4532" spans="1:6">
      <c r="A4532" s="753"/>
      <c r="B4532" s="753"/>
      <c r="C4532" s="752" t="s">
        <v>45402</v>
      </c>
      <c r="D4532" s="753" t="s">
        <v>44861</v>
      </c>
      <c r="E4532" s="752" t="s">
        <v>45247</v>
      </c>
      <c r="F4532" s="751">
        <v>3625</v>
      </c>
    </row>
    <row r="4533" spans="1:6">
      <c r="A4533" s="753"/>
      <c r="B4533" s="753"/>
      <c r="C4533" s="752" t="s">
        <v>45401</v>
      </c>
      <c r="D4533" s="753" t="s">
        <v>44861</v>
      </c>
      <c r="E4533" s="752" t="s">
        <v>45245</v>
      </c>
      <c r="F4533" s="751">
        <v>3975</v>
      </c>
    </row>
    <row r="4534" spans="1:6">
      <c r="A4534" s="753"/>
      <c r="B4534" s="753"/>
      <c r="C4534" s="752" t="s">
        <v>45400</v>
      </c>
      <c r="D4534" s="753" t="s">
        <v>44861</v>
      </c>
      <c r="E4534" s="752" t="s">
        <v>45243</v>
      </c>
      <c r="F4534" s="751">
        <v>3625</v>
      </c>
    </row>
    <row r="4535" spans="1:6">
      <c r="A4535" s="753"/>
      <c r="B4535" s="753"/>
      <c r="C4535" s="752" t="s">
        <v>45399</v>
      </c>
      <c r="D4535" s="753" t="s">
        <v>44861</v>
      </c>
      <c r="E4535" s="752" t="s">
        <v>45241</v>
      </c>
      <c r="F4535" s="751">
        <v>3975</v>
      </c>
    </row>
    <row r="4536" spans="1:6">
      <c r="A4536" s="753"/>
      <c r="B4536" s="753"/>
      <c r="C4536" s="752" t="s">
        <v>45398</v>
      </c>
      <c r="D4536" s="753" t="s">
        <v>44861</v>
      </c>
      <c r="E4536" s="752" t="s">
        <v>45397</v>
      </c>
      <c r="F4536" s="751">
        <v>3125</v>
      </c>
    </row>
    <row r="4537" spans="1:6">
      <c r="A4537" s="753"/>
      <c r="B4537" s="753"/>
      <c r="C4537" s="752" t="s">
        <v>45396</v>
      </c>
      <c r="D4537" s="753" t="s">
        <v>44861</v>
      </c>
      <c r="E4537" s="752" t="s">
        <v>45237</v>
      </c>
      <c r="F4537" s="751">
        <v>3375</v>
      </c>
    </row>
    <row r="4538" spans="1:6">
      <c r="A4538" s="753"/>
      <c r="B4538" s="753"/>
      <c r="C4538" s="752" t="s">
        <v>45395</v>
      </c>
      <c r="D4538" s="753" t="s">
        <v>45394</v>
      </c>
      <c r="E4538" s="752" t="s">
        <v>45393</v>
      </c>
      <c r="F4538" s="751">
        <v>3025</v>
      </c>
    </row>
    <row r="4539" spans="1:6">
      <c r="A4539" s="753"/>
      <c r="B4539" s="753"/>
      <c r="C4539" s="752" t="s">
        <v>45392</v>
      </c>
      <c r="D4539" s="753" t="s">
        <v>44861</v>
      </c>
      <c r="E4539" s="752" t="s">
        <v>45233</v>
      </c>
      <c r="F4539" s="751">
        <v>3375</v>
      </c>
    </row>
    <row r="4540" spans="1:6">
      <c r="A4540" s="753"/>
      <c r="B4540" s="753"/>
      <c r="C4540" s="752" t="s">
        <v>45391</v>
      </c>
      <c r="D4540" s="753" t="s">
        <v>44861</v>
      </c>
      <c r="E4540" s="752" t="s">
        <v>44771</v>
      </c>
      <c r="F4540" s="751">
        <v>3725</v>
      </c>
    </row>
    <row r="4541" spans="1:6">
      <c r="A4541" s="753"/>
      <c r="B4541" s="753"/>
      <c r="C4541" s="752" t="s">
        <v>45390</v>
      </c>
      <c r="D4541" s="753" t="s">
        <v>44861</v>
      </c>
      <c r="E4541" s="752" t="s">
        <v>45230</v>
      </c>
      <c r="F4541" s="751">
        <v>3725</v>
      </c>
    </row>
    <row r="4542" spans="1:6">
      <c r="A4542" s="753"/>
      <c r="B4542" s="753"/>
      <c r="C4542" s="752" t="s">
        <v>45389</v>
      </c>
      <c r="D4542" s="753" t="s">
        <v>44861</v>
      </c>
      <c r="E4542" s="752" t="s">
        <v>45228</v>
      </c>
      <c r="F4542" s="751">
        <v>3725</v>
      </c>
    </row>
    <row r="4543" spans="1:6">
      <c r="A4543" s="753"/>
      <c r="B4543" s="753"/>
      <c r="C4543" s="752" t="s">
        <v>45388</v>
      </c>
      <c r="D4543" s="753" t="s">
        <v>44861</v>
      </c>
      <c r="E4543" s="752" t="s">
        <v>45226</v>
      </c>
      <c r="F4543" s="751">
        <v>3375</v>
      </c>
    </row>
    <row r="4544" spans="1:6">
      <c r="A4544" s="753"/>
      <c r="B4544" s="753"/>
      <c r="C4544" s="752" t="s">
        <v>45387</v>
      </c>
      <c r="D4544" s="753" t="s">
        <v>44861</v>
      </c>
      <c r="E4544" s="752" t="s">
        <v>44896</v>
      </c>
      <c r="F4544" s="751">
        <v>3625</v>
      </c>
    </row>
    <row r="4545" spans="1:6">
      <c r="A4545" s="753"/>
      <c r="B4545" s="753"/>
      <c r="C4545" s="752" t="s">
        <v>45386</v>
      </c>
      <c r="D4545" s="753" t="s">
        <v>44861</v>
      </c>
      <c r="E4545" s="752" t="s">
        <v>45385</v>
      </c>
      <c r="F4545" s="751">
        <v>3975</v>
      </c>
    </row>
    <row r="4546" spans="1:6">
      <c r="A4546" s="753"/>
      <c r="B4546" s="753"/>
      <c r="C4546" s="752" t="s">
        <v>45384</v>
      </c>
      <c r="D4546" s="753" t="s">
        <v>44861</v>
      </c>
      <c r="E4546" s="752" t="s">
        <v>44762</v>
      </c>
      <c r="F4546" s="751">
        <v>3375</v>
      </c>
    </row>
    <row r="4547" spans="1:6">
      <c r="A4547" s="753"/>
      <c r="B4547" s="753"/>
      <c r="C4547" s="752" t="s">
        <v>45383</v>
      </c>
      <c r="D4547" s="753" t="s">
        <v>44861</v>
      </c>
      <c r="E4547" s="752" t="s">
        <v>45382</v>
      </c>
      <c r="F4547" s="751">
        <v>2995</v>
      </c>
    </row>
    <row r="4548" spans="1:6">
      <c r="A4548" s="753"/>
      <c r="B4548" s="753"/>
      <c r="C4548" s="752" t="s">
        <v>45381</v>
      </c>
      <c r="D4548" s="753" t="s">
        <v>44861</v>
      </c>
      <c r="E4548" s="752" t="s">
        <v>45101</v>
      </c>
      <c r="F4548" s="751">
        <v>3725</v>
      </c>
    </row>
    <row r="4549" spans="1:6">
      <c r="A4549" s="753"/>
      <c r="B4549" s="753"/>
      <c r="C4549" s="752" t="s">
        <v>45380</v>
      </c>
      <c r="D4549" s="753" t="s">
        <v>44861</v>
      </c>
      <c r="E4549" s="752" t="s">
        <v>45379</v>
      </c>
      <c r="F4549" s="751">
        <v>3275</v>
      </c>
    </row>
    <row r="4550" spans="1:6">
      <c r="A4550" s="753"/>
      <c r="B4550" s="753"/>
      <c r="C4550" s="752" t="s">
        <v>45378</v>
      </c>
      <c r="D4550" s="753" t="s">
        <v>44861</v>
      </c>
      <c r="E4550" s="752" t="s">
        <v>39787</v>
      </c>
      <c r="F4550" s="751">
        <v>3375</v>
      </c>
    </row>
    <row r="4551" spans="1:6">
      <c r="A4551" s="753"/>
      <c r="B4551" s="753"/>
      <c r="C4551" s="752" t="s">
        <v>45377</v>
      </c>
      <c r="D4551" s="753" t="s">
        <v>44861</v>
      </c>
      <c r="E4551" s="752" t="s">
        <v>45097</v>
      </c>
      <c r="F4551" s="751">
        <v>3725</v>
      </c>
    </row>
    <row r="4552" spans="1:6">
      <c r="A4552" s="753"/>
      <c r="B4552" s="753"/>
      <c r="C4552" s="752" t="s">
        <v>45376</v>
      </c>
      <c r="D4552" s="753" t="s">
        <v>44861</v>
      </c>
      <c r="E4552" s="752" t="s">
        <v>45095</v>
      </c>
      <c r="F4552" s="751">
        <v>3125</v>
      </c>
    </row>
    <row r="4553" spans="1:6">
      <c r="A4553" s="753"/>
      <c r="B4553" s="753"/>
      <c r="C4553" s="752" t="s">
        <v>45375</v>
      </c>
      <c r="D4553" s="753" t="s">
        <v>44861</v>
      </c>
      <c r="E4553" s="752" t="s">
        <v>45251</v>
      </c>
      <c r="F4553" s="751">
        <v>3375</v>
      </c>
    </row>
    <row r="4554" spans="1:6">
      <c r="A4554" s="753"/>
      <c r="B4554" s="753"/>
      <c r="C4554" s="752" t="s">
        <v>45374</v>
      </c>
      <c r="D4554" s="753" t="s">
        <v>44861</v>
      </c>
      <c r="E4554" s="752" t="s">
        <v>45373</v>
      </c>
      <c r="F4554" s="751">
        <v>2875</v>
      </c>
    </row>
    <row r="4555" spans="1:6">
      <c r="A4555" s="753"/>
      <c r="B4555" s="753"/>
      <c r="C4555" s="752" t="s">
        <v>45372</v>
      </c>
      <c r="D4555" s="753" t="s">
        <v>45214</v>
      </c>
      <c r="E4555" s="752" t="s">
        <v>45371</v>
      </c>
      <c r="F4555" s="751">
        <v>3125</v>
      </c>
    </row>
    <row r="4556" spans="1:6">
      <c r="A4556" s="753"/>
      <c r="B4556" s="753"/>
      <c r="C4556" s="752" t="s">
        <v>45370</v>
      </c>
      <c r="D4556" s="753" t="s">
        <v>44861</v>
      </c>
      <c r="E4556" s="752" t="s">
        <v>39808</v>
      </c>
      <c r="F4556" s="751">
        <v>3125</v>
      </c>
    </row>
    <row r="4557" spans="1:6">
      <c r="A4557" s="753"/>
      <c r="B4557" s="753"/>
      <c r="C4557" s="752" t="s">
        <v>45369</v>
      </c>
      <c r="D4557" s="753" t="s">
        <v>44861</v>
      </c>
      <c r="E4557" s="752" t="s">
        <v>45088</v>
      </c>
      <c r="F4557" s="751">
        <v>3375</v>
      </c>
    </row>
    <row r="4558" spans="1:6">
      <c r="A4558" s="753"/>
      <c r="B4558" s="753"/>
      <c r="C4558" s="752" t="s">
        <v>45368</v>
      </c>
      <c r="D4558" s="753" t="s">
        <v>44861</v>
      </c>
      <c r="E4558" s="752" t="s">
        <v>45367</v>
      </c>
      <c r="F4558" s="751">
        <v>2875</v>
      </c>
    </row>
    <row r="4559" spans="1:6">
      <c r="A4559" s="753"/>
      <c r="B4559" s="753"/>
      <c r="C4559" s="752" t="s">
        <v>45366</v>
      </c>
      <c r="D4559" s="753" t="s">
        <v>45214</v>
      </c>
      <c r="E4559" s="752" t="s">
        <v>45365</v>
      </c>
      <c r="F4559" s="751">
        <v>3125</v>
      </c>
    </row>
    <row r="4560" spans="1:6">
      <c r="A4560" s="753"/>
      <c r="B4560" s="753"/>
      <c r="C4560" s="752" t="s">
        <v>45364</v>
      </c>
      <c r="D4560" s="753" t="s">
        <v>44813</v>
      </c>
      <c r="E4560" s="752" t="s">
        <v>293</v>
      </c>
      <c r="F4560" s="751">
        <v>4175</v>
      </c>
    </row>
    <row r="4561" spans="1:6">
      <c r="A4561" s="753"/>
      <c r="B4561" s="753"/>
      <c r="C4561" s="752" t="s">
        <v>45363</v>
      </c>
      <c r="D4561" s="753" t="s">
        <v>44813</v>
      </c>
      <c r="E4561" s="752" t="s">
        <v>293</v>
      </c>
      <c r="F4561" s="751">
        <v>4975</v>
      </c>
    </row>
    <row r="4562" spans="1:6">
      <c r="A4562" s="753"/>
      <c r="B4562" s="753"/>
      <c r="C4562" s="752" t="s">
        <v>45362</v>
      </c>
      <c r="D4562" s="753" t="s">
        <v>44813</v>
      </c>
      <c r="E4562" s="752" t="s">
        <v>38294</v>
      </c>
      <c r="F4562" s="751">
        <v>4675</v>
      </c>
    </row>
    <row r="4563" spans="1:6">
      <c r="A4563" s="753"/>
      <c r="B4563" s="753"/>
      <c r="C4563" s="752" t="s">
        <v>45361</v>
      </c>
      <c r="D4563" s="753" t="s">
        <v>44813</v>
      </c>
      <c r="E4563" s="752" t="s">
        <v>45360</v>
      </c>
      <c r="F4563" s="751">
        <v>5185</v>
      </c>
    </row>
    <row r="4564" spans="1:6">
      <c r="A4564" s="753"/>
      <c r="B4564" s="753"/>
      <c r="C4564" s="752" t="s">
        <v>45359</v>
      </c>
      <c r="D4564" s="753" t="s">
        <v>44813</v>
      </c>
      <c r="E4564" s="752" t="s">
        <v>45272</v>
      </c>
      <c r="F4564" s="751">
        <v>5675</v>
      </c>
    </row>
    <row r="4565" spans="1:6">
      <c r="A4565" s="753"/>
      <c r="B4565" s="753"/>
      <c r="C4565" s="752" t="s">
        <v>45358</v>
      </c>
      <c r="D4565" s="753" t="s">
        <v>44813</v>
      </c>
      <c r="E4565" s="752" t="s">
        <v>38258</v>
      </c>
      <c r="F4565" s="751">
        <v>4425</v>
      </c>
    </row>
    <row r="4566" spans="1:6">
      <c r="A4566" s="753"/>
      <c r="B4566" s="753"/>
      <c r="C4566" s="752" t="s">
        <v>45357</v>
      </c>
      <c r="D4566" s="753" t="s">
        <v>44813</v>
      </c>
      <c r="E4566" s="752" t="s">
        <v>40806</v>
      </c>
      <c r="F4566" s="751">
        <v>4175</v>
      </c>
    </row>
    <row r="4567" spans="1:6">
      <c r="A4567" s="753"/>
      <c r="B4567" s="753"/>
      <c r="C4567" s="752" t="s">
        <v>45356</v>
      </c>
      <c r="D4567" s="753" t="s">
        <v>44813</v>
      </c>
      <c r="E4567" s="752" t="s">
        <v>45148</v>
      </c>
      <c r="F4567" s="751">
        <v>4935</v>
      </c>
    </row>
    <row r="4568" spans="1:6">
      <c r="A4568" s="753"/>
      <c r="B4568" s="753"/>
      <c r="C4568" s="752" t="s">
        <v>45355</v>
      </c>
      <c r="D4568" s="753" t="s">
        <v>44813</v>
      </c>
      <c r="E4568" s="752" t="s">
        <v>45082</v>
      </c>
      <c r="F4568" s="751">
        <v>4975</v>
      </c>
    </row>
    <row r="4569" spans="1:6">
      <c r="A4569" s="753"/>
      <c r="B4569" s="753"/>
      <c r="C4569" s="752" t="s">
        <v>45354</v>
      </c>
      <c r="D4569" s="753" t="s">
        <v>44813</v>
      </c>
      <c r="E4569" s="752" t="s">
        <v>45353</v>
      </c>
      <c r="F4569" s="751">
        <v>4625</v>
      </c>
    </row>
    <row r="4570" spans="1:6">
      <c r="A4570" s="753"/>
      <c r="B4570" s="753"/>
      <c r="C4570" s="752" t="s">
        <v>45352</v>
      </c>
      <c r="D4570" s="753" t="s">
        <v>44813</v>
      </c>
      <c r="E4570" s="752" t="s">
        <v>45200</v>
      </c>
      <c r="F4570" s="751">
        <v>5185</v>
      </c>
    </row>
    <row r="4571" spans="1:6">
      <c r="A4571" s="753"/>
      <c r="B4571" s="753"/>
      <c r="C4571" s="752" t="s">
        <v>45351</v>
      </c>
      <c r="D4571" s="753" t="s">
        <v>44813</v>
      </c>
      <c r="E4571" s="752" t="s">
        <v>45031</v>
      </c>
      <c r="F4571" s="751">
        <v>5325</v>
      </c>
    </row>
    <row r="4572" spans="1:6">
      <c r="A4572" s="753"/>
      <c r="B4572" s="753"/>
      <c r="C4572" s="752" t="s">
        <v>45350</v>
      </c>
      <c r="D4572" s="753" t="s">
        <v>45349</v>
      </c>
      <c r="E4572" s="752" t="s">
        <v>45031</v>
      </c>
      <c r="F4572" s="751">
        <v>4975</v>
      </c>
    </row>
    <row r="4573" spans="1:6">
      <c r="A4573" s="753"/>
      <c r="B4573" s="753"/>
      <c r="C4573" s="752" t="s">
        <v>45348</v>
      </c>
      <c r="D4573" s="753" t="s">
        <v>44813</v>
      </c>
      <c r="E4573" s="752" t="s">
        <v>43848</v>
      </c>
      <c r="F4573" s="751">
        <v>4675</v>
      </c>
    </row>
    <row r="4574" spans="1:6">
      <c r="A4574" s="753"/>
      <c r="B4574" s="753"/>
      <c r="C4574" s="752" t="s">
        <v>45347</v>
      </c>
      <c r="D4574" s="753" t="s">
        <v>44813</v>
      </c>
      <c r="E4574" s="752" t="s">
        <v>45272</v>
      </c>
      <c r="F4574" s="751">
        <v>5675</v>
      </c>
    </row>
    <row r="4575" spans="1:6">
      <c r="A4575" s="753"/>
      <c r="B4575" s="753"/>
      <c r="C4575" s="752" t="s">
        <v>45346</v>
      </c>
      <c r="D4575" s="753" t="s">
        <v>44813</v>
      </c>
      <c r="E4575" s="752" t="s">
        <v>45049</v>
      </c>
      <c r="F4575" s="751">
        <v>4175</v>
      </c>
    </row>
    <row r="4576" spans="1:6">
      <c r="A4576" s="753"/>
      <c r="B4576" s="753"/>
      <c r="C4576" s="752" t="s">
        <v>45345</v>
      </c>
      <c r="D4576" s="753" t="s">
        <v>44813</v>
      </c>
      <c r="E4576" s="752" t="s">
        <v>45192</v>
      </c>
      <c r="F4576" s="751">
        <v>4975</v>
      </c>
    </row>
    <row r="4577" spans="1:6">
      <c r="A4577" s="753"/>
      <c r="B4577" s="753"/>
      <c r="C4577" s="752" t="s">
        <v>45344</v>
      </c>
      <c r="D4577" s="753" t="s">
        <v>44813</v>
      </c>
      <c r="E4577" s="752" t="s">
        <v>45296</v>
      </c>
      <c r="F4577" s="751">
        <v>4425</v>
      </c>
    </row>
    <row r="4578" spans="1:6">
      <c r="A4578" s="753"/>
      <c r="B4578" s="753"/>
      <c r="C4578" s="752" t="s">
        <v>45343</v>
      </c>
      <c r="D4578" s="753" t="s">
        <v>44813</v>
      </c>
      <c r="E4578" s="752" t="s">
        <v>45342</v>
      </c>
      <c r="F4578" s="751">
        <v>5325</v>
      </c>
    </row>
    <row r="4579" spans="1:6">
      <c r="A4579" s="753"/>
      <c r="B4579" s="753"/>
      <c r="C4579" s="752" t="s">
        <v>45341</v>
      </c>
      <c r="D4579" s="753" t="s">
        <v>44813</v>
      </c>
      <c r="E4579" s="752" t="s">
        <v>38294</v>
      </c>
      <c r="F4579" s="751">
        <v>4675</v>
      </c>
    </row>
    <row r="4580" spans="1:6">
      <c r="A4580" s="753"/>
      <c r="B4580" s="753"/>
      <c r="C4580" s="752" t="s">
        <v>45340</v>
      </c>
      <c r="D4580" s="753" t="s">
        <v>44813</v>
      </c>
      <c r="E4580" s="752" t="s">
        <v>45272</v>
      </c>
      <c r="F4580" s="751">
        <v>5675</v>
      </c>
    </row>
    <row r="4581" spans="1:6">
      <c r="A4581" s="753"/>
      <c r="B4581" s="753"/>
      <c r="C4581" s="752" t="s">
        <v>45339</v>
      </c>
      <c r="D4581" s="753" t="s">
        <v>44813</v>
      </c>
      <c r="E4581" s="752" t="s">
        <v>38258</v>
      </c>
      <c r="F4581" s="751">
        <v>4425</v>
      </c>
    </row>
    <row r="4582" spans="1:6">
      <c r="A4582" s="753"/>
      <c r="B4582" s="753"/>
      <c r="C4582" s="752" t="s">
        <v>45338</v>
      </c>
      <c r="D4582" s="753" t="s">
        <v>44813</v>
      </c>
      <c r="E4582" s="752" t="s">
        <v>45337</v>
      </c>
      <c r="F4582" s="751">
        <v>4425</v>
      </c>
    </row>
    <row r="4583" spans="1:6">
      <c r="A4583" s="753"/>
      <c r="B4583" s="753"/>
      <c r="C4583" s="752" t="s">
        <v>45336</v>
      </c>
      <c r="D4583" s="753" t="s">
        <v>44813</v>
      </c>
      <c r="E4583" s="752" t="s">
        <v>40806</v>
      </c>
      <c r="F4583" s="751">
        <v>4175</v>
      </c>
    </row>
    <row r="4584" spans="1:6">
      <c r="A4584" s="753"/>
      <c r="B4584" s="753"/>
      <c r="C4584" s="752" t="s">
        <v>45335</v>
      </c>
      <c r="D4584" s="753" t="s">
        <v>44813</v>
      </c>
      <c r="E4584" s="752" t="s">
        <v>45176</v>
      </c>
      <c r="F4584" s="751">
        <v>4685</v>
      </c>
    </row>
    <row r="4585" spans="1:6">
      <c r="A4585" s="753"/>
      <c r="B4585" s="753"/>
      <c r="C4585" s="752" t="s">
        <v>45334</v>
      </c>
      <c r="D4585" s="753" t="s">
        <v>44813</v>
      </c>
      <c r="E4585" s="752" t="s">
        <v>45041</v>
      </c>
      <c r="F4585" s="751">
        <v>4175</v>
      </c>
    </row>
    <row r="4586" spans="1:6">
      <c r="A4586" s="753"/>
      <c r="B4586" s="753"/>
      <c r="C4586" s="752" t="s">
        <v>45333</v>
      </c>
      <c r="D4586" s="753" t="s">
        <v>44813</v>
      </c>
      <c r="E4586" s="752" t="s">
        <v>45332</v>
      </c>
      <c r="F4586" s="751">
        <v>4975</v>
      </c>
    </row>
    <row r="4587" spans="1:6">
      <c r="A4587" s="753"/>
      <c r="B4587" s="753"/>
      <c r="C4587" s="752" t="s">
        <v>45331</v>
      </c>
      <c r="D4587" s="753" t="s">
        <v>44813</v>
      </c>
      <c r="E4587" s="752" t="s">
        <v>45148</v>
      </c>
      <c r="F4587" s="751">
        <v>4935</v>
      </c>
    </row>
    <row r="4588" spans="1:6">
      <c r="A4588" s="753"/>
      <c r="B4588" s="753"/>
      <c r="C4588" s="752" t="s">
        <v>45330</v>
      </c>
      <c r="D4588" s="753" t="s">
        <v>44813</v>
      </c>
      <c r="E4588" s="752" t="s">
        <v>45282</v>
      </c>
      <c r="F4588" s="751">
        <v>4975</v>
      </c>
    </row>
    <row r="4589" spans="1:6">
      <c r="A4589" s="753"/>
      <c r="B4589" s="753"/>
      <c r="C4589" s="752" t="s">
        <v>45329</v>
      </c>
      <c r="D4589" s="753" t="s">
        <v>44813</v>
      </c>
      <c r="E4589" s="752" t="s">
        <v>45060</v>
      </c>
      <c r="F4589" s="751">
        <v>3925</v>
      </c>
    </row>
    <row r="4590" spans="1:6">
      <c r="A4590" s="753"/>
      <c r="B4590" s="753"/>
      <c r="C4590" s="752" t="s">
        <v>45328</v>
      </c>
      <c r="D4590" s="753" t="s">
        <v>44813</v>
      </c>
      <c r="E4590" s="752" t="s">
        <v>45327</v>
      </c>
      <c r="F4590" s="751">
        <v>4625</v>
      </c>
    </row>
    <row r="4591" spans="1:6">
      <c r="A4591" s="753"/>
      <c r="B4591" s="753"/>
      <c r="C4591" s="752" t="s">
        <v>45326</v>
      </c>
      <c r="D4591" s="753" t="s">
        <v>44813</v>
      </c>
      <c r="E4591" s="752" t="s">
        <v>45031</v>
      </c>
      <c r="F4591" s="751">
        <v>5325</v>
      </c>
    </row>
    <row r="4592" spans="1:6">
      <c r="A4592" s="753"/>
      <c r="B4592" s="753"/>
      <c r="C4592" s="752" t="s">
        <v>45325</v>
      </c>
      <c r="D4592" s="753" t="s">
        <v>44813</v>
      </c>
      <c r="E4592" s="752" t="s">
        <v>45031</v>
      </c>
      <c r="F4592" s="751">
        <v>4975</v>
      </c>
    </row>
    <row r="4593" spans="1:6">
      <c r="A4593" s="753"/>
      <c r="B4593" s="753"/>
      <c r="C4593" s="752" t="s">
        <v>45324</v>
      </c>
      <c r="D4593" s="753" t="s">
        <v>44813</v>
      </c>
      <c r="E4593" s="752" t="s">
        <v>38294</v>
      </c>
      <c r="F4593" s="751">
        <v>4675</v>
      </c>
    </row>
    <row r="4594" spans="1:6">
      <c r="A4594" s="753"/>
      <c r="B4594" s="753"/>
      <c r="C4594" s="752" t="s">
        <v>45323</v>
      </c>
      <c r="D4594" s="753" t="s">
        <v>44813</v>
      </c>
      <c r="E4594" s="752" t="s">
        <v>45272</v>
      </c>
      <c r="F4594" s="751">
        <v>5675</v>
      </c>
    </row>
    <row r="4595" spans="1:6">
      <c r="A4595" s="753"/>
      <c r="B4595" s="753"/>
      <c r="C4595" s="752" t="s">
        <v>45322</v>
      </c>
      <c r="D4595" s="753" t="s">
        <v>44813</v>
      </c>
      <c r="E4595" s="752" t="s">
        <v>38019</v>
      </c>
      <c r="F4595" s="751">
        <v>4425</v>
      </c>
    </row>
    <row r="4596" spans="1:6">
      <c r="A4596" s="753"/>
      <c r="B4596" s="753"/>
      <c r="C4596" s="752" t="s">
        <v>45321</v>
      </c>
      <c r="D4596" s="753" t="s">
        <v>44813</v>
      </c>
      <c r="E4596" s="752" t="s">
        <v>38294</v>
      </c>
      <c r="F4596" s="751">
        <v>4675</v>
      </c>
    </row>
    <row r="4597" spans="1:6">
      <c r="A4597" s="753"/>
      <c r="B4597" s="753"/>
      <c r="C4597" s="752" t="s">
        <v>45320</v>
      </c>
      <c r="D4597" s="753" t="s">
        <v>44813</v>
      </c>
      <c r="E4597" s="752" t="s">
        <v>45272</v>
      </c>
      <c r="F4597" s="751">
        <v>5675</v>
      </c>
    </row>
    <row r="4598" spans="1:6">
      <c r="A4598" s="753"/>
      <c r="B4598" s="753"/>
      <c r="C4598" s="752" t="s">
        <v>45319</v>
      </c>
      <c r="D4598" s="753" t="s">
        <v>44813</v>
      </c>
      <c r="E4598" s="752" t="s">
        <v>38258</v>
      </c>
      <c r="F4598" s="751">
        <v>4425</v>
      </c>
    </row>
    <row r="4599" spans="1:6">
      <c r="A4599" s="753"/>
      <c r="B4599" s="753"/>
      <c r="C4599" s="752" t="s">
        <v>45318</v>
      </c>
      <c r="D4599" s="753" t="s">
        <v>44813</v>
      </c>
      <c r="E4599" s="752" t="s">
        <v>45082</v>
      </c>
      <c r="F4599" s="751">
        <v>4975</v>
      </c>
    </row>
    <row r="4600" spans="1:6">
      <c r="A4600" s="753"/>
      <c r="B4600" s="753"/>
      <c r="C4600" s="752" t="s">
        <v>45317</v>
      </c>
      <c r="D4600" s="753" t="s">
        <v>44813</v>
      </c>
      <c r="E4600" s="752" t="s">
        <v>45267</v>
      </c>
      <c r="F4600" s="751">
        <v>5325</v>
      </c>
    </row>
    <row r="4601" spans="1:6">
      <c r="A4601" s="753"/>
      <c r="B4601" s="753"/>
      <c r="C4601" s="752" t="s">
        <v>45316</v>
      </c>
      <c r="D4601" s="753" t="s">
        <v>44775</v>
      </c>
      <c r="E4601" s="752" t="s">
        <v>293</v>
      </c>
      <c r="F4601" s="751">
        <v>4175</v>
      </c>
    </row>
    <row r="4602" spans="1:6">
      <c r="A4602" s="753"/>
      <c r="B4602" s="753"/>
      <c r="C4602" s="752" t="s">
        <v>45315</v>
      </c>
      <c r="D4602" s="753" t="s">
        <v>44775</v>
      </c>
      <c r="E4602" s="752" t="s">
        <v>45082</v>
      </c>
      <c r="F4602" s="751">
        <v>4975</v>
      </c>
    </row>
    <row r="4603" spans="1:6">
      <c r="A4603" s="753"/>
      <c r="B4603" s="753"/>
      <c r="C4603" s="752" t="s">
        <v>45314</v>
      </c>
      <c r="D4603" s="753" t="s">
        <v>44775</v>
      </c>
      <c r="E4603" s="752" t="s">
        <v>38294</v>
      </c>
      <c r="F4603" s="751">
        <v>4675</v>
      </c>
    </row>
    <row r="4604" spans="1:6">
      <c r="A4604" s="753"/>
      <c r="B4604" s="753"/>
      <c r="C4604" s="752" t="s">
        <v>45313</v>
      </c>
      <c r="D4604" s="753" t="s">
        <v>44775</v>
      </c>
      <c r="E4604" s="752" t="s">
        <v>45272</v>
      </c>
      <c r="F4604" s="751">
        <v>5675</v>
      </c>
    </row>
    <row r="4605" spans="1:6">
      <c r="A4605" s="753"/>
      <c r="B4605" s="753"/>
      <c r="C4605" s="752" t="s">
        <v>45312</v>
      </c>
      <c r="D4605" s="753" t="s">
        <v>44778</v>
      </c>
      <c r="E4605" s="752" t="s">
        <v>38258</v>
      </c>
      <c r="F4605" s="751">
        <v>4425</v>
      </c>
    </row>
    <row r="4606" spans="1:6">
      <c r="A4606" s="753"/>
      <c r="B4606" s="753"/>
      <c r="C4606" s="752" t="s">
        <v>45311</v>
      </c>
      <c r="D4606" s="753" t="s">
        <v>44775</v>
      </c>
      <c r="E4606" s="752" t="s">
        <v>40806</v>
      </c>
      <c r="F4606" s="751">
        <v>4175</v>
      </c>
    </row>
    <row r="4607" spans="1:6">
      <c r="A4607" s="753"/>
      <c r="B4607" s="753"/>
      <c r="C4607" s="752" t="s">
        <v>45310</v>
      </c>
      <c r="D4607" s="753" t="s">
        <v>44775</v>
      </c>
      <c r="E4607" s="752" t="s">
        <v>45309</v>
      </c>
      <c r="F4607" s="751">
        <v>4935</v>
      </c>
    </row>
    <row r="4608" spans="1:6">
      <c r="A4608" s="753"/>
      <c r="B4608" s="753"/>
      <c r="C4608" s="752" t="s">
        <v>45308</v>
      </c>
      <c r="D4608" s="753" t="s">
        <v>44775</v>
      </c>
      <c r="E4608" s="752" t="s">
        <v>45082</v>
      </c>
      <c r="F4608" s="751">
        <v>4975</v>
      </c>
    </row>
    <row r="4609" spans="1:6">
      <c r="A4609" s="753"/>
      <c r="B4609" s="753"/>
      <c r="C4609" s="752" t="s">
        <v>45307</v>
      </c>
      <c r="D4609" s="753" t="s">
        <v>44778</v>
      </c>
      <c r="E4609" s="752" t="s">
        <v>45306</v>
      </c>
      <c r="F4609" s="751">
        <v>5185</v>
      </c>
    </row>
    <row r="4610" spans="1:6">
      <c r="A4610" s="753"/>
      <c r="B4610" s="753"/>
      <c r="C4610" s="752" t="s">
        <v>45305</v>
      </c>
      <c r="D4610" s="753" t="s">
        <v>44778</v>
      </c>
      <c r="E4610" s="752" t="s">
        <v>45304</v>
      </c>
      <c r="F4610" s="751">
        <v>5325</v>
      </c>
    </row>
    <row r="4611" spans="1:6">
      <c r="A4611" s="753"/>
      <c r="B4611" s="753"/>
      <c r="C4611" s="752" t="s">
        <v>45303</v>
      </c>
      <c r="D4611" s="753" t="s">
        <v>44778</v>
      </c>
      <c r="E4611" s="752" t="s">
        <v>43848</v>
      </c>
      <c r="F4611" s="751">
        <v>4675</v>
      </c>
    </row>
    <row r="4612" spans="1:6">
      <c r="A4612" s="753"/>
      <c r="B4612" s="753"/>
      <c r="C4612" s="752" t="s">
        <v>45302</v>
      </c>
      <c r="D4612" s="753" t="s">
        <v>44775</v>
      </c>
      <c r="E4612" s="752" t="s">
        <v>45301</v>
      </c>
      <c r="F4612" s="751">
        <v>5675</v>
      </c>
    </row>
    <row r="4613" spans="1:6">
      <c r="A4613" s="753"/>
      <c r="B4613" s="753"/>
      <c r="C4613" s="752" t="s">
        <v>45300</v>
      </c>
      <c r="D4613" s="753" t="s">
        <v>44778</v>
      </c>
      <c r="E4613" s="752" t="s">
        <v>45049</v>
      </c>
      <c r="F4613" s="751">
        <v>4175</v>
      </c>
    </row>
    <row r="4614" spans="1:6">
      <c r="A4614" s="753"/>
      <c r="B4614" s="753"/>
      <c r="C4614" s="752" t="s">
        <v>45299</v>
      </c>
      <c r="D4614" s="753" t="s">
        <v>45298</v>
      </c>
      <c r="E4614" s="752" t="s">
        <v>45192</v>
      </c>
      <c r="F4614" s="751">
        <v>4975</v>
      </c>
    </row>
    <row r="4615" spans="1:6">
      <c r="A4615" s="753"/>
      <c r="B4615" s="753"/>
      <c r="C4615" s="752" t="s">
        <v>45297</v>
      </c>
      <c r="D4615" s="753" t="s">
        <v>44778</v>
      </c>
      <c r="E4615" s="752" t="s">
        <v>45296</v>
      </c>
      <c r="F4615" s="751">
        <v>4425</v>
      </c>
    </row>
    <row r="4616" spans="1:6">
      <c r="A4616" s="753"/>
      <c r="B4616" s="753"/>
      <c r="C4616" s="752" t="s">
        <v>45295</v>
      </c>
      <c r="D4616" s="753" t="s">
        <v>44775</v>
      </c>
      <c r="E4616" s="752" t="s">
        <v>45294</v>
      </c>
      <c r="F4616" s="751">
        <v>5325</v>
      </c>
    </row>
    <row r="4617" spans="1:6">
      <c r="A4617" s="753"/>
      <c r="B4617" s="753"/>
      <c r="C4617" s="752" t="s">
        <v>45293</v>
      </c>
      <c r="D4617" s="753" t="s">
        <v>44778</v>
      </c>
      <c r="E4617" s="752" t="s">
        <v>38294</v>
      </c>
      <c r="F4617" s="751">
        <v>4675</v>
      </c>
    </row>
    <row r="4618" spans="1:6">
      <c r="A4618" s="753"/>
      <c r="B4618" s="753"/>
      <c r="C4618" s="752" t="s">
        <v>45292</v>
      </c>
      <c r="D4618" s="753" t="s">
        <v>44775</v>
      </c>
      <c r="E4618" s="752" t="s">
        <v>45272</v>
      </c>
      <c r="F4618" s="751">
        <v>5675</v>
      </c>
    </row>
    <row r="4619" spans="1:6">
      <c r="A4619" s="753"/>
      <c r="B4619" s="753"/>
      <c r="C4619" s="752" t="s">
        <v>45291</v>
      </c>
      <c r="D4619" s="753" t="s">
        <v>44778</v>
      </c>
      <c r="E4619" s="752" t="s">
        <v>38258</v>
      </c>
      <c r="F4619" s="751">
        <v>4425</v>
      </c>
    </row>
    <row r="4620" spans="1:6">
      <c r="A4620" s="753"/>
      <c r="B4620" s="753"/>
      <c r="C4620" s="752" t="s">
        <v>45290</v>
      </c>
      <c r="D4620" s="753" t="s">
        <v>44775</v>
      </c>
      <c r="E4620" s="752" t="s">
        <v>40806</v>
      </c>
      <c r="F4620" s="751">
        <v>4175</v>
      </c>
    </row>
    <row r="4621" spans="1:6">
      <c r="A4621" s="753"/>
      <c r="B4621" s="753"/>
      <c r="C4621" s="752" t="s">
        <v>45289</v>
      </c>
      <c r="D4621" s="753" t="s">
        <v>44775</v>
      </c>
      <c r="E4621" s="752" t="s">
        <v>45288</v>
      </c>
      <c r="F4621" s="751">
        <v>4685</v>
      </c>
    </row>
    <row r="4622" spans="1:6">
      <c r="A4622" s="753"/>
      <c r="B4622" s="753"/>
      <c r="C4622" s="752" t="s">
        <v>45287</v>
      </c>
      <c r="D4622" s="753" t="s">
        <v>44775</v>
      </c>
      <c r="E4622" s="752" t="s">
        <v>45286</v>
      </c>
      <c r="F4622" s="751">
        <v>4175</v>
      </c>
    </row>
    <row r="4623" spans="1:6">
      <c r="A4623" s="753"/>
      <c r="B4623" s="753"/>
      <c r="C4623" s="752" t="s">
        <v>45285</v>
      </c>
      <c r="D4623" s="753" t="s">
        <v>44775</v>
      </c>
      <c r="E4623" s="752" t="s">
        <v>45284</v>
      </c>
      <c r="F4623" s="751">
        <v>4975</v>
      </c>
    </row>
    <row r="4624" spans="1:6">
      <c r="A4624" s="753"/>
      <c r="B4624" s="753"/>
      <c r="C4624" s="752" t="s">
        <v>45283</v>
      </c>
      <c r="D4624" s="753" t="s">
        <v>44775</v>
      </c>
      <c r="E4624" s="752" t="s">
        <v>45282</v>
      </c>
      <c r="F4624" s="751">
        <v>4975</v>
      </c>
    </row>
    <row r="4625" spans="1:6">
      <c r="A4625" s="753"/>
      <c r="B4625" s="753"/>
      <c r="C4625" s="752" t="s">
        <v>45281</v>
      </c>
      <c r="D4625" s="753" t="s">
        <v>44775</v>
      </c>
      <c r="E4625" s="752" t="s">
        <v>45280</v>
      </c>
      <c r="F4625" s="751">
        <v>3925</v>
      </c>
    </row>
    <row r="4626" spans="1:6">
      <c r="A4626" s="753"/>
      <c r="B4626" s="753"/>
      <c r="C4626" s="752" t="s">
        <v>45279</v>
      </c>
      <c r="D4626" s="753" t="s">
        <v>45278</v>
      </c>
      <c r="E4626" s="752" t="s">
        <v>45277</v>
      </c>
      <c r="F4626" s="751">
        <v>4625</v>
      </c>
    </row>
    <row r="4627" spans="1:6">
      <c r="A4627" s="753"/>
      <c r="B4627" s="753"/>
      <c r="C4627" s="752" t="s">
        <v>45276</v>
      </c>
      <c r="D4627" s="753" t="s">
        <v>44778</v>
      </c>
      <c r="E4627" s="752" t="s">
        <v>45031</v>
      </c>
      <c r="F4627" s="751">
        <v>5325</v>
      </c>
    </row>
    <row r="4628" spans="1:6">
      <c r="A4628" s="753"/>
      <c r="B4628" s="753"/>
      <c r="C4628" s="752" t="s">
        <v>45275</v>
      </c>
      <c r="D4628" s="753" t="s">
        <v>44778</v>
      </c>
      <c r="E4628" s="752" t="s">
        <v>38294</v>
      </c>
      <c r="F4628" s="751">
        <v>4675</v>
      </c>
    </row>
    <row r="4629" spans="1:6">
      <c r="A4629" s="753"/>
      <c r="B4629" s="753"/>
      <c r="C4629" s="752" t="s">
        <v>45274</v>
      </c>
      <c r="D4629" s="753" t="s">
        <v>45273</v>
      </c>
      <c r="E4629" s="752" t="s">
        <v>45272</v>
      </c>
      <c r="F4629" s="751">
        <v>5675</v>
      </c>
    </row>
    <row r="4630" spans="1:6">
      <c r="A4630" s="753"/>
      <c r="B4630" s="753"/>
      <c r="C4630" s="752" t="s">
        <v>45271</v>
      </c>
      <c r="D4630" s="753" t="s">
        <v>44775</v>
      </c>
      <c r="E4630" s="752" t="s">
        <v>38258</v>
      </c>
      <c r="F4630" s="751">
        <v>4425</v>
      </c>
    </row>
    <row r="4631" spans="1:6">
      <c r="A4631" s="753"/>
      <c r="B4631" s="753"/>
      <c r="C4631" s="752" t="s">
        <v>45270</v>
      </c>
      <c r="D4631" s="753" t="s">
        <v>44775</v>
      </c>
      <c r="E4631" s="752" t="s">
        <v>45269</v>
      </c>
      <c r="F4631" s="751">
        <v>5185</v>
      </c>
    </row>
    <row r="4632" spans="1:6">
      <c r="A4632" s="753"/>
      <c r="B4632" s="753"/>
      <c r="C4632" s="752" t="s">
        <v>45268</v>
      </c>
      <c r="D4632" s="753" t="s">
        <v>44775</v>
      </c>
      <c r="E4632" s="752" t="s">
        <v>45267</v>
      </c>
      <c r="F4632" s="751">
        <v>5325</v>
      </c>
    </row>
    <row r="4633" spans="1:6">
      <c r="A4633" s="753"/>
      <c r="B4633" s="753"/>
      <c r="C4633" s="752" t="s">
        <v>45266</v>
      </c>
      <c r="D4633" s="753" t="s">
        <v>44942</v>
      </c>
      <c r="E4633" s="752" t="s">
        <v>45265</v>
      </c>
      <c r="F4633" s="751">
        <v>4025</v>
      </c>
    </row>
    <row r="4634" spans="1:6">
      <c r="A4634" s="753"/>
      <c r="B4634" s="753"/>
      <c r="C4634" s="752" t="s">
        <v>45264</v>
      </c>
      <c r="D4634" s="753" t="s">
        <v>45263</v>
      </c>
      <c r="E4634" s="752" t="s">
        <v>45262</v>
      </c>
      <c r="F4634" s="751">
        <v>2925</v>
      </c>
    </row>
    <row r="4635" spans="1:6">
      <c r="A4635" s="753"/>
      <c r="B4635" s="753"/>
      <c r="C4635" s="752" t="s">
        <v>45261</v>
      </c>
      <c r="D4635" s="753" t="s">
        <v>44755</v>
      </c>
      <c r="E4635" s="752" t="s">
        <v>44896</v>
      </c>
      <c r="F4635" s="751">
        <v>3425</v>
      </c>
    </row>
    <row r="4636" spans="1:6">
      <c r="A4636" s="753"/>
      <c r="B4636" s="753"/>
      <c r="C4636" s="752" t="s">
        <v>45260</v>
      </c>
      <c r="D4636" s="753" t="s">
        <v>44755</v>
      </c>
      <c r="E4636" s="752" t="s">
        <v>44878</v>
      </c>
      <c r="F4636" s="751">
        <v>3775</v>
      </c>
    </row>
    <row r="4637" spans="1:6">
      <c r="A4637" s="753"/>
      <c r="B4637" s="753"/>
      <c r="C4637" s="752" t="s">
        <v>45259</v>
      </c>
      <c r="D4637" s="753" t="s">
        <v>44755</v>
      </c>
      <c r="E4637" s="752" t="s">
        <v>44667</v>
      </c>
      <c r="F4637" s="751">
        <v>3175</v>
      </c>
    </row>
    <row r="4638" spans="1:6">
      <c r="A4638" s="753"/>
      <c r="B4638" s="753"/>
      <c r="C4638" s="752" t="s">
        <v>45258</v>
      </c>
      <c r="D4638" s="753" t="s">
        <v>44755</v>
      </c>
      <c r="E4638" s="752" t="s">
        <v>44893</v>
      </c>
      <c r="F4638" s="751">
        <v>3175</v>
      </c>
    </row>
    <row r="4639" spans="1:6">
      <c r="A4639" s="753"/>
      <c r="B4639" s="753"/>
      <c r="C4639" s="752" t="s">
        <v>45257</v>
      </c>
      <c r="D4639" s="753" t="s">
        <v>44755</v>
      </c>
      <c r="E4639" s="752" t="s">
        <v>45105</v>
      </c>
      <c r="F4639" s="751">
        <v>3175</v>
      </c>
    </row>
    <row r="4640" spans="1:6">
      <c r="A4640" s="753"/>
      <c r="B4640" s="753"/>
      <c r="C4640" s="752" t="s">
        <v>45256</v>
      </c>
      <c r="D4640" s="753" t="s">
        <v>44755</v>
      </c>
      <c r="E4640" s="752" t="s">
        <v>44883</v>
      </c>
      <c r="F4640" s="751">
        <v>3525</v>
      </c>
    </row>
    <row r="4641" spans="1:6">
      <c r="A4641" s="753"/>
      <c r="B4641" s="753"/>
      <c r="C4641" s="752" t="s">
        <v>45255</v>
      </c>
      <c r="D4641" s="753" t="s">
        <v>44755</v>
      </c>
      <c r="E4641" s="752" t="s">
        <v>45099</v>
      </c>
      <c r="F4641" s="751">
        <v>3175</v>
      </c>
    </row>
    <row r="4642" spans="1:6">
      <c r="A4642" s="753"/>
      <c r="B4642" s="753"/>
      <c r="C4642" s="752" t="s">
        <v>45254</v>
      </c>
      <c r="D4642" s="753" t="s">
        <v>44755</v>
      </c>
      <c r="E4642" s="752" t="s">
        <v>44880</v>
      </c>
      <c r="F4642" s="751">
        <v>3525</v>
      </c>
    </row>
    <row r="4643" spans="1:6">
      <c r="A4643" s="753"/>
      <c r="B4643" s="753"/>
      <c r="C4643" s="752" t="s">
        <v>45253</v>
      </c>
      <c r="D4643" s="753" t="s">
        <v>44755</v>
      </c>
      <c r="E4643" s="752" t="s">
        <v>45095</v>
      </c>
      <c r="F4643" s="751">
        <v>2925</v>
      </c>
    </row>
    <row r="4644" spans="1:6">
      <c r="A4644" s="753"/>
      <c r="B4644" s="753"/>
      <c r="C4644" s="752" t="s">
        <v>45252</v>
      </c>
      <c r="D4644" s="753" t="s">
        <v>44755</v>
      </c>
      <c r="E4644" s="752" t="s">
        <v>45251</v>
      </c>
      <c r="F4644" s="751">
        <v>3175</v>
      </c>
    </row>
    <row r="4645" spans="1:6">
      <c r="A4645" s="753"/>
      <c r="B4645" s="753"/>
      <c r="C4645" s="752" t="s">
        <v>45250</v>
      </c>
      <c r="D4645" s="753" t="s">
        <v>44755</v>
      </c>
      <c r="E4645" s="752" t="s">
        <v>39808</v>
      </c>
      <c r="F4645" s="751">
        <v>2925</v>
      </c>
    </row>
    <row r="4646" spans="1:6">
      <c r="A4646" s="753"/>
      <c r="B4646" s="753"/>
      <c r="C4646" s="752" t="s">
        <v>45249</v>
      </c>
      <c r="D4646" s="753" t="s">
        <v>44755</v>
      </c>
      <c r="E4646" s="752" t="s">
        <v>45088</v>
      </c>
      <c r="F4646" s="751">
        <v>3175</v>
      </c>
    </row>
    <row r="4647" spans="1:6">
      <c r="A4647" s="753"/>
      <c r="B4647" s="753"/>
      <c r="C4647" s="752" t="s">
        <v>45248</v>
      </c>
      <c r="D4647" s="753" t="s">
        <v>44755</v>
      </c>
      <c r="E4647" s="752" t="s">
        <v>45247</v>
      </c>
      <c r="F4647" s="751">
        <v>3425</v>
      </c>
    </row>
    <row r="4648" spans="1:6">
      <c r="A4648" s="753"/>
      <c r="B4648" s="753"/>
      <c r="C4648" s="752" t="s">
        <v>45246</v>
      </c>
      <c r="D4648" s="753" t="s">
        <v>44755</v>
      </c>
      <c r="E4648" s="752" t="s">
        <v>45245</v>
      </c>
      <c r="F4648" s="751">
        <v>3175</v>
      </c>
    </row>
    <row r="4649" spans="1:6">
      <c r="A4649" s="753"/>
      <c r="B4649" s="753"/>
      <c r="C4649" s="752" t="s">
        <v>45244</v>
      </c>
      <c r="D4649" s="753" t="s">
        <v>44755</v>
      </c>
      <c r="E4649" s="752" t="s">
        <v>45243</v>
      </c>
      <c r="F4649" s="751">
        <v>3425</v>
      </c>
    </row>
    <row r="4650" spans="1:6">
      <c r="A4650" s="753"/>
      <c r="B4650" s="753"/>
      <c r="C4650" s="752" t="s">
        <v>45242</v>
      </c>
      <c r="D4650" s="753" t="s">
        <v>44755</v>
      </c>
      <c r="E4650" s="752" t="s">
        <v>45241</v>
      </c>
      <c r="F4650" s="751">
        <v>3175</v>
      </c>
    </row>
    <row r="4651" spans="1:6">
      <c r="A4651" s="753"/>
      <c r="B4651" s="753"/>
      <c r="C4651" s="752" t="s">
        <v>45240</v>
      </c>
      <c r="D4651" s="753" t="s">
        <v>44755</v>
      </c>
      <c r="E4651" s="752" t="s">
        <v>45239</v>
      </c>
      <c r="F4651" s="751">
        <v>3175</v>
      </c>
    </row>
    <row r="4652" spans="1:6">
      <c r="A4652" s="753"/>
      <c r="B4652" s="753"/>
      <c r="C4652" s="752" t="s">
        <v>45238</v>
      </c>
      <c r="D4652" s="753" t="s">
        <v>44755</v>
      </c>
      <c r="E4652" s="752" t="s">
        <v>45237</v>
      </c>
      <c r="F4652" s="751">
        <v>3175</v>
      </c>
    </row>
    <row r="4653" spans="1:6">
      <c r="A4653" s="753"/>
      <c r="B4653" s="753"/>
      <c r="C4653" s="752" t="s">
        <v>45236</v>
      </c>
      <c r="D4653" s="753" t="s">
        <v>44755</v>
      </c>
      <c r="E4653" s="752" t="s">
        <v>45235</v>
      </c>
      <c r="F4653" s="751">
        <v>2925</v>
      </c>
    </row>
    <row r="4654" spans="1:6">
      <c r="A4654" s="753"/>
      <c r="B4654" s="753"/>
      <c r="C4654" s="752" t="s">
        <v>45234</v>
      </c>
      <c r="D4654" s="753" t="s">
        <v>44755</v>
      </c>
      <c r="E4654" s="752" t="s">
        <v>45233</v>
      </c>
      <c r="F4654" s="751">
        <v>3175</v>
      </c>
    </row>
    <row r="4655" spans="1:6">
      <c r="A4655" s="753"/>
      <c r="B4655" s="753"/>
      <c r="C4655" s="752" t="s">
        <v>45232</v>
      </c>
      <c r="D4655" s="753" t="s">
        <v>44755</v>
      </c>
      <c r="E4655" s="752" t="s">
        <v>44771</v>
      </c>
      <c r="F4655" s="751">
        <v>3525</v>
      </c>
    </row>
    <row r="4656" spans="1:6">
      <c r="A4656" s="753"/>
      <c r="B4656" s="753"/>
      <c r="C4656" s="752" t="s">
        <v>45231</v>
      </c>
      <c r="D4656" s="753" t="s">
        <v>44755</v>
      </c>
      <c r="E4656" s="752" t="s">
        <v>45230</v>
      </c>
      <c r="F4656" s="751">
        <v>3525</v>
      </c>
    </row>
    <row r="4657" spans="1:6">
      <c r="A4657" s="753"/>
      <c r="B4657" s="753"/>
      <c r="C4657" s="752" t="s">
        <v>45229</v>
      </c>
      <c r="D4657" s="753" t="s">
        <v>44755</v>
      </c>
      <c r="E4657" s="752" t="s">
        <v>45228</v>
      </c>
      <c r="F4657" s="751">
        <v>3525</v>
      </c>
    </row>
    <row r="4658" spans="1:6">
      <c r="A4658" s="753"/>
      <c r="B4658" s="753"/>
      <c r="C4658" s="752" t="s">
        <v>45227</v>
      </c>
      <c r="D4658" s="753" t="s">
        <v>44755</v>
      </c>
      <c r="E4658" s="752" t="s">
        <v>45226</v>
      </c>
      <c r="F4658" s="751">
        <v>3175</v>
      </c>
    </row>
    <row r="4659" spans="1:6">
      <c r="A4659" s="753"/>
      <c r="B4659" s="753"/>
      <c r="C4659" s="752" t="s">
        <v>45225</v>
      </c>
      <c r="D4659" s="753" t="s">
        <v>44755</v>
      </c>
      <c r="E4659" s="752" t="s">
        <v>44893</v>
      </c>
      <c r="F4659" s="751">
        <v>3775</v>
      </c>
    </row>
    <row r="4660" spans="1:6">
      <c r="A4660" s="753"/>
      <c r="B4660" s="753"/>
      <c r="C4660" s="752" t="s">
        <v>45224</v>
      </c>
      <c r="D4660" s="753" t="s">
        <v>44755</v>
      </c>
      <c r="E4660" s="752" t="s">
        <v>45105</v>
      </c>
      <c r="F4660" s="751">
        <v>3075</v>
      </c>
    </row>
    <row r="4661" spans="1:6">
      <c r="A4661" s="753"/>
      <c r="B4661" s="753"/>
      <c r="C4661" s="752" t="s">
        <v>45223</v>
      </c>
      <c r="D4661" s="753" t="s">
        <v>44755</v>
      </c>
      <c r="E4661" s="752" t="s">
        <v>45222</v>
      </c>
      <c r="F4661" s="751">
        <v>3525</v>
      </c>
    </row>
    <row r="4662" spans="1:6">
      <c r="A4662" s="753"/>
      <c r="B4662" s="753"/>
      <c r="C4662" s="752" t="s">
        <v>45221</v>
      </c>
      <c r="D4662" s="753" t="s">
        <v>44755</v>
      </c>
      <c r="E4662" s="752" t="s">
        <v>45099</v>
      </c>
      <c r="F4662" s="751">
        <v>3075</v>
      </c>
    </row>
    <row r="4663" spans="1:6">
      <c r="A4663" s="753"/>
      <c r="B4663" s="753"/>
      <c r="C4663" s="752" t="s">
        <v>45220</v>
      </c>
      <c r="D4663" s="753" t="s">
        <v>44755</v>
      </c>
      <c r="E4663" s="752" t="s">
        <v>45097</v>
      </c>
      <c r="F4663" s="751">
        <v>3525</v>
      </c>
    </row>
    <row r="4664" spans="1:6">
      <c r="A4664" s="753"/>
      <c r="B4664" s="753"/>
      <c r="C4664" s="752" t="s">
        <v>45219</v>
      </c>
      <c r="D4664" s="753" t="s">
        <v>44755</v>
      </c>
      <c r="E4664" s="752" t="s">
        <v>45095</v>
      </c>
      <c r="F4664" s="751">
        <v>2925</v>
      </c>
    </row>
    <row r="4665" spans="1:6">
      <c r="A4665" s="753"/>
      <c r="B4665" s="753"/>
      <c r="C4665" s="752" t="s">
        <v>45218</v>
      </c>
      <c r="D4665" s="753" t="s">
        <v>44755</v>
      </c>
      <c r="E4665" s="752" t="s">
        <v>45093</v>
      </c>
      <c r="F4665" s="751">
        <v>3175</v>
      </c>
    </row>
    <row r="4666" spans="1:6">
      <c r="A4666" s="753"/>
      <c r="B4666" s="753"/>
      <c r="C4666" s="752" t="s">
        <v>45217</v>
      </c>
      <c r="D4666" s="753" t="s">
        <v>44755</v>
      </c>
      <c r="E4666" s="752" t="s">
        <v>39808</v>
      </c>
      <c r="F4666" s="751">
        <v>2925</v>
      </c>
    </row>
    <row r="4667" spans="1:6">
      <c r="A4667" s="753"/>
      <c r="B4667" s="753"/>
      <c r="C4667" s="752" t="s">
        <v>45216</v>
      </c>
      <c r="D4667" s="753" t="s">
        <v>44755</v>
      </c>
      <c r="E4667" s="752" t="s">
        <v>45088</v>
      </c>
      <c r="F4667" s="751">
        <v>3175</v>
      </c>
    </row>
    <row r="4668" spans="1:6">
      <c r="A4668" s="753"/>
      <c r="B4668" s="753"/>
      <c r="C4668" s="752" t="s">
        <v>45215</v>
      </c>
      <c r="D4668" s="753" t="s">
        <v>45214</v>
      </c>
      <c r="E4668" s="752" t="s">
        <v>45213</v>
      </c>
      <c r="F4668" s="751">
        <v>2925</v>
      </c>
    </row>
    <row r="4669" spans="1:6">
      <c r="A4669" s="753"/>
      <c r="B4669" s="753"/>
      <c r="C4669" s="752" t="s">
        <v>45212</v>
      </c>
      <c r="D4669" s="753" t="s">
        <v>44707</v>
      </c>
      <c r="E4669" s="752" t="s">
        <v>293</v>
      </c>
      <c r="F4669" s="751">
        <v>3975</v>
      </c>
    </row>
    <row r="4670" spans="1:6">
      <c r="A4670" s="753"/>
      <c r="B4670" s="753"/>
      <c r="C4670" s="752" t="s">
        <v>45211</v>
      </c>
      <c r="D4670" s="753" t="s">
        <v>44707</v>
      </c>
      <c r="E4670" s="752" t="s">
        <v>293</v>
      </c>
      <c r="F4670" s="751">
        <v>4735</v>
      </c>
    </row>
    <row r="4671" spans="1:6">
      <c r="A4671" s="753"/>
      <c r="B4671" s="753"/>
      <c r="C4671" s="752" t="s">
        <v>45210</v>
      </c>
      <c r="D4671" s="753" t="s">
        <v>44707</v>
      </c>
      <c r="E4671" s="752" t="s">
        <v>293</v>
      </c>
      <c r="F4671" s="751">
        <v>4775</v>
      </c>
    </row>
    <row r="4672" spans="1:6">
      <c r="A4672" s="753"/>
      <c r="B4672" s="753"/>
      <c r="C4672" s="752" t="s">
        <v>45209</v>
      </c>
      <c r="D4672" s="753" t="s">
        <v>44707</v>
      </c>
      <c r="E4672" s="752" t="s">
        <v>38294</v>
      </c>
      <c r="F4672" s="751">
        <v>4475</v>
      </c>
    </row>
    <row r="4673" spans="1:6">
      <c r="A4673" s="753"/>
      <c r="B4673" s="753"/>
      <c r="C4673" s="752" t="s">
        <v>45208</v>
      </c>
      <c r="D4673" s="753" t="s">
        <v>44707</v>
      </c>
      <c r="E4673" s="752" t="s">
        <v>45207</v>
      </c>
      <c r="F4673" s="751">
        <v>5235</v>
      </c>
    </row>
    <row r="4674" spans="1:6">
      <c r="A4674" s="753"/>
      <c r="B4674" s="753"/>
      <c r="C4674" s="752" t="s">
        <v>45206</v>
      </c>
      <c r="D4674" s="753" t="s">
        <v>44707</v>
      </c>
      <c r="E4674" s="752" t="s">
        <v>43312</v>
      </c>
      <c r="F4674" s="751">
        <v>5475</v>
      </c>
    </row>
    <row r="4675" spans="1:6">
      <c r="A4675" s="753"/>
      <c r="B4675" s="753"/>
      <c r="C4675" s="752" t="s">
        <v>45205</v>
      </c>
      <c r="D4675" s="753" t="s">
        <v>44707</v>
      </c>
      <c r="E4675" s="752" t="s">
        <v>38258</v>
      </c>
      <c r="F4675" s="751">
        <v>4225</v>
      </c>
    </row>
    <row r="4676" spans="1:6">
      <c r="A4676" s="753"/>
      <c r="B4676" s="753"/>
      <c r="C4676" s="752" t="s">
        <v>45204</v>
      </c>
      <c r="D4676" s="753" t="s">
        <v>44707</v>
      </c>
      <c r="E4676" s="752" t="s">
        <v>40806</v>
      </c>
      <c r="F4676" s="751">
        <v>3975</v>
      </c>
    </row>
    <row r="4677" spans="1:6">
      <c r="A4677" s="753"/>
      <c r="B4677" s="753"/>
      <c r="C4677" s="752" t="s">
        <v>45203</v>
      </c>
      <c r="D4677" s="753" t="s">
        <v>44707</v>
      </c>
      <c r="E4677" s="752" t="s">
        <v>45148</v>
      </c>
      <c r="F4677" s="751">
        <v>4735</v>
      </c>
    </row>
    <row r="4678" spans="1:6">
      <c r="A4678" s="753"/>
      <c r="B4678" s="753"/>
      <c r="C4678" s="752" t="s">
        <v>45202</v>
      </c>
      <c r="D4678" s="753" t="s">
        <v>44707</v>
      </c>
      <c r="E4678" s="752" t="s">
        <v>45082</v>
      </c>
      <c r="F4678" s="751">
        <v>4775</v>
      </c>
    </row>
    <row r="4679" spans="1:6">
      <c r="A4679" s="753"/>
      <c r="B4679" s="753"/>
      <c r="C4679" s="752" t="s">
        <v>45201</v>
      </c>
      <c r="D4679" s="753" t="s">
        <v>44707</v>
      </c>
      <c r="E4679" s="752" t="s">
        <v>45200</v>
      </c>
      <c r="F4679" s="751">
        <v>4985</v>
      </c>
    </row>
    <row r="4680" spans="1:6">
      <c r="A4680" s="753"/>
      <c r="B4680" s="753"/>
      <c r="C4680" s="752" t="s">
        <v>45199</v>
      </c>
      <c r="D4680" s="753" t="s">
        <v>44707</v>
      </c>
      <c r="E4680" s="752" t="s">
        <v>43606</v>
      </c>
      <c r="F4680" s="751">
        <v>5125</v>
      </c>
    </row>
    <row r="4681" spans="1:6">
      <c r="A4681" s="753"/>
      <c r="B4681" s="753"/>
      <c r="C4681" s="752" t="s">
        <v>45198</v>
      </c>
      <c r="D4681" s="753" t="s">
        <v>44707</v>
      </c>
      <c r="E4681" s="752" t="s">
        <v>45142</v>
      </c>
      <c r="F4681" s="751">
        <v>4475</v>
      </c>
    </row>
    <row r="4682" spans="1:6">
      <c r="A4682" s="753"/>
      <c r="B4682" s="753"/>
      <c r="C4682" s="752" t="s">
        <v>45197</v>
      </c>
      <c r="D4682" s="753" t="s">
        <v>44707</v>
      </c>
      <c r="E4682" s="752" t="s">
        <v>45140</v>
      </c>
      <c r="F4682" s="751">
        <v>5475</v>
      </c>
    </row>
    <row r="4683" spans="1:6">
      <c r="A4683" s="753"/>
      <c r="B4683" s="753"/>
      <c r="C4683" s="752" t="s">
        <v>45196</v>
      </c>
      <c r="D4683" s="753" t="s">
        <v>44707</v>
      </c>
      <c r="E4683" s="752" t="s">
        <v>45049</v>
      </c>
      <c r="F4683" s="751">
        <v>3975</v>
      </c>
    </row>
    <row r="4684" spans="1:6">
      <c r="A4684" s="753"/>
      <c r="B4684" s="753"/>
      <c r="C4684" s="752" t="s">
        <v>45195</v>
      </c>
      <c r="D4684" s="753" t="s">
        <v>44707</v>
      </c>
      <c r="E4684" s="752" t="s">
        <v>45194</v>
      </c>
      <c r="F4684" s="751">
        <v>4735</v>
      </c>
    </row>
    <row r="4685" spans="1:6">
      <c r="A4685" s="753"/>
      <c r="B4685" s="753"/>
      <c r="C4685" s="752" t="s">
        <v>45193</v>
      </c>
      <c r="D4685" s="753" t="s">
        <v>44707</v>
      </c>
      <c r="E4685" s="752" t="s">
        <v>45192</v>
      </c>
      <c r="F4685" s="751">
        <v>4775</v>
      </c>
    </row>
    <row r="4686" spans="1:6">
      <c r="A4686" s="753"/>
      <c r="B4686" s="753"/>
      <c r="C4686" s="752" t="s">
        <v>45191</v>
      </c>
      <c r="D4686" s="753" t="s">
        <v>44707</v>
      </c>
      <c r="E4686" s="752" t="s">
        <v>45075</v>
      </c>
      <c r="F4686" s="751">
        <v>4225</v>
      </c>
    </row>
    <row r="4687" spans="1:6">
      <c r="A4687" s="753"/>
      <c r="B4687" s="753"/>
      <c r="C4687" s="752" t="s">
        <v>45190</v>
      </c>
      <c r="D4687" s="753" t="s">
        <v>44707</v>
      </c>
      <c r="E4687" s="752" t="s">
        <v>45131</v>
      </c>
      <c r="F4687" s="751">
        <v>5125</v>
      </c>
    </row>
    <row r="4688" spans="1:6">
      <c r="A4688" s="753"/>
      <c r="B4688" s="753"/>
      <c r="C4688" s="752" t="s">
        <v>45189</v>
      </c>
      <c r="D4688" s="753" t="s">
        <v>44707</v>
      </c>
      <c r="E4688" s="752" t="s">
        <v>38035</v>
      </c>
      <c r="F4688" s="751">
        <v>4475</v>
      </c>
    </row>
    <row r="4689" spans="1:6">
      <c r="A4689" s="753"/>
      <c r="B4689" s="753"/>
      <c r="C4689" s="752" t="s">
        <v>45188</v>
      </c>
      <c r="D4689" s="753" t="s">
        <v>44707</v>
      </c>
      <c r="E4689" s="752" t="s">
        <v>43312</v>
      </c>
      <c r="F4689" s="751">
        <v>5475</v>
      </c>
    </row>
    <row r="4690" spans="1:6">
      <c r="A4690" s="753"/>
      <c r="B4690" s="753"/>
      <c r="C4690" s="752" t="s">
        <v>45187</v>
      </c>
      <c r="D4690" s="753" t="s">
        <v>44707</v>
      </c>
      <c r="E4690" s="752" t="s">
        <v>38258</v>
      </c>
      <c r="F4690" s="751">
        <v>4225</v>
      </c>
    </row>
    <row r="4691" spans="1:6">
      <c r="A4691" s="753"/>
      <c r="B4691" s="753"/>
      <c r="C4691" s="752" t="s">
        <v>45186</v>
      </c>
      <c r="D4691" s="753" t="s">
        <v>44707</v>
      </c>
      <c r="E4691" s="752" t="s">
        <v>45185</v>
      </c>
      <c r="F4691" s="751">
        <v>4985</v>
      </c>
    </row>
    <row r="4692" spans="1:6">
      <c r="A4692" s="753"/>
      <c r="B4692" s="753"/>
      <c r="C4692" s="752" t="s">
        <v>45184</v>
      </c>
      <c r="D4692" s="753" t="s">
        <v>44707</v>
      </c>
      <c r="E4692" s="752" t="s">
        <v>45183</v>
      </c>
      <c r="F4692" s="751">
        <v>4225</v>
      </c>
    </row>
    <row r="4693" spans="1:6">
      <c r="A4693" s="753"/>
      <c r="B4693" s="753"/>
      <c r="C4693" s="752" t="s">
        <v>45182</v>
      </c>
      <c r="D4693" s="753" t="s">
        <v>44707</v>
      </c>
      <c r="E4693" s="752" t="s">
        <v>45181</v>
      </c>
      <c r="F4693" s="751">
        <v>5125</v>
      </c>
    </row>
    <row r="4694" spans="1:6">
      <c r="A4694" s="753"/>
      <c r="B4694" s="753"/>
      <c r="C4694" s="752" t="s">
        <v>45180</v>
      </c>
      <c r="D4694" s="753" t="s">
        <v>44707</v>
      </c>
      <c r="E4694" s="752" t="s">
        <v>45179</v>
      </c>
      <c r="F4694" s="751">
        <v>4225</v>
      </c>
    </row>
    <row r="4695" spans="1:6">
      <c r="A4695" s="753"/>
      <c r="B4695" s="753"/>
      <c r="C4695" s="752" t="s">
        <v>45178</v>
      </c>
      <c r="D4695" s="753" t="s">
        <v>44707</v>
      </c>
      <c r="E4695" s="752" t="s">
        <v>40806</v>
      </c>
      <c r="F4695" s="751">
        <v>3975</v>
      </c>
    </row>
    <row r="4696" spans="1:6">
      <c r="A4696" s="753"/>
      <c r="B4696" s="753"/>
      <c r="C4696" s="752" t="s">
        <v>45177</v>
      </c>
      <c r="D4696" s="753" t="s">
        <v>44707</v>
      </c>
      <c r="E4696" s="752" t="s">
        <v>45176</v>
      </c>
      <c r="F4696" s="751">
        <v>4735</v>
      </c>
    </row>
    <row r="4697" spans="1:6">
      <c r="A4697" s="753"/>
      <c r="B4697" s="753"/>
      <c r="C4697" s="752" t="s">
        <v>45175</v>
      </c>
      <c r="D4697" s="753" t="s">
        <v>44707</v>
      </c>
      <c r="E4697" s="752" t="s">
        <v>45041</v>
      </c>
      <c r="F4697" s="751">
        <v>3975</v>
      </c>
    </row>
    <row r="4698" spans="1:6">
      <c r="A4698" s="753"/>
      <c r="B4698" s="753"/>
      <c r="C4698" s="752" t="s">
        <v>45174</v>
      </c>
      <c r="D4698" s="753" t="s">
        <v>44707</v>
      </c>
      <c r="E4698" s="752" t="s">
        <v>45116</v>
      </c>
      <c r="F4698" s="751">
        <v>4775</v>
      </c>
    </row>
    <row r="4699" spans="1:6">
      <c r="A4699" s="753"/>
      <c r="B4699" s="753"/>
      <c r="C4699" s="752" t="s">
        <v>45173</v>
      </c>
      <c r="D4699" s="753" t="s">
        <v>44707</v>
      </c>
      <c r="E4699" s="752" t="s">
        <v>45172</v>
      </c>
      <c r="F4699" s="751">
        <v>4425</v>
      </c>
    </row>
    <row r="4700" spans="1:6">
      <c r="A4700" s="753"/>
      <c r="B4700" s="753"/>
      <c r="C4700" s="752" t="s">
        <v>45171</v>
      </c>
      <c r="D4700" s="753" t="s">
        <v>44707</v>
      </c>
      <c r="E4700" s="752" t="s">
        <v>45148</v>
      </c>
      <c r="F4700" s="751">
        <v>4735</v>
      </c>
    </row>
    <row r="4701" spans="1:6">
      <c r="A4701" s="753"/>
      <c r="B4701" s="753"/>
      <c r="C4701" s="752" t="s">
        <v>45170</v>
      </c>
      <c r="D4701" s="753" t="s">
        <v>44707</v>
      </c>
      <c r="E4701" s="752" t="s">
        <v>45035</v>
      </c>
      <c r="F4701" s="751">
        <v>4775</v>
      </c>
    </row>
    <row r="4702" spans="1:6">
      <c r="A4702" s="753"/>
      <c r="B4702" s="753"/>
      <c r="C4702" s="752" t="s">
        <v>45169</v>
      </c>
      <c r="D4702" s="753" t="s">
        <v>44707</v>
      </c>
      <c r="E4702" s="752" t="s">
        <v>45168</v>
      </c>
      <c r="F4702" s="751">
        <v>3725</v>
      </c>
    </row>
    <row r="4703" spans="1:6">
      <c r="A4703" s="753"/>
      <c r="B4703" s="753"/>
      <c r="C4703" s="752" t="s">
        <v>45167</v>
      </c>
      <c r="D4703" s="753" t="s">
        <v>44707</v>
      </c>
      <c r="E4703" s="752" t="s">
        <v>45166</v>
      </c>
      <c r="F4703" s="751">
        <v>4425</v>
      </c>
    </row>
    <row r="4704" spans="1:6">
      <c r="A4704" s="753"/>
      <c r="B4704" s="753"/>
      <c r="C4704" s="752" t="s">
        <v>45165</v>
      </c>
      <c r="D4704" s="753" t="s">
        <v>44707</v>
      </c>
      <c r="E4704" s="752" t="s">
        <v>45031</v>
      </c>
      <c r="F4704" s="751">
        <v>5025</v>
      </c>
    </row>
    <row r="4705" spans="1:6">
      <c r="A4705" s="753"/>
      <c r="B4705" s="753"/>
      <c r="C4705" s="752" t="s">
        <v>45164</v>
      </c>
      <c r="D4705" s="753" t="s">
        <v>44707</v>
      </c>
      <c r="E4705" s="752" t="s">
        <v>45033</v>
      </c>
      <c r="F4705" s="751">
        <v>4775</v>
      </c>
    </row>
    <row r="4706" spans="1:6">
      <c r="A4706" s="753"/>
      <c r="B4706" s="753"/>
      <c r="C4706" s="752" t="s">
        <v>45163</v>
      </c>
      <c r="D4706" s="753" t="s">
        <v>44707</v>
      </c>
      <c r="E4706" s="752" t="s">
        <v>38294</v>
      </c>
      <c r="F4706" s="751">
        <v>4475</v>
      </c>
    </row>
    <row r="4707" spans="1:6">
      <c r="A4707" s="753"/>
      <c r="B4707" s="753"/>
      <c r="C4707" s="752" t="s">
        <v>45162</v>
      </c>
      <c r="D4707" s="753" t="s">
        <v>44707</v>
      </c>
      <c r="E4707" s="752" t="s">
        <v>43312</v>
      </c>
      <c r="F4707" s="751">
        <v>5475</v>
      </c>
    </row>
    <row r="4708" spans="1:6">
      <c r="A4708" s="753"/>
      <c r="B4708" s="753"/>
      <c r="C4708" s="752" t="s">
        <v>45161</v>
      </c>
      <c r="D4708" s="753" t="s">
        <v>44707</v>
      </c>
      <c r="E4708" s="752" t="s">
        <v>38258</v>
      </c>
      <c r="F4708" s="751">
        <v>4225</v>
      </c>
    </row>
    <row r="4709" spans="1:6">
      <c r="A4709" s="753"/>
      <c r="B4709" s="753"/>
      <c r="C4709" s="752" t="s">
        <v>45160</v>
      </c>
      <c r="D4709" s="753" t="s">
        <v>44707</v>
      </c>
      <c r="E4709" s="752" t="s">
        <v>38258</v>
      </c>
      <c r="F4709" s="751">
        <v>4225</v>
      </c>
    </row>
    <row r="4710" spans="1:6">
      <c r="A4710" s="753"/>
      <c r="B4710" s="753"/>
      <c r="C4710" s="752" t="s">
        <v>45159</v>
      </c>
      <c r="D4710" s="753" t="s">
        <v>44707</v>
      </c>
      <c r="E4710" s="752" t="s">
        <v>38294</v>
      </c>
      <c r="F4710" s="751">
        <v>4475</v>
      </c>
    </row>
    <row r="4711" spans="1:6">
      <c r="A4711" s="753"/>
      <c r="B4711" s="753"/>
      <c r="C4711" s="752" t="s">
        <v>45158</v>
      </c>
      <c r="D4711" s="753" t="s">
        <v>44707</v>
      </c>
      <c r="E4711" s="752" t="s">
        <v>43312</v>
      </c>
      <c r="F4711" s="751">
        <v>5475</v>
      </c>
    </row>
    <row r="4712" spans="1:6">
      <c r="A4712" s="753"/>
      <c r="B4712" s="753"/>
      <c r="C4712" s="752" t="s">
        <v>45157</v>
      </c>
      <c r="D4712" s="753" t="s">
        <v>44707</v>
      </c>
      <c r="E4712" s="752" t="s">
        <v>38258</v>
      </c>
      <c r="F4712" s="751">
        <v>4225</v>
      </c>
    </row>
    <row r="4713" spans="1:6">
      <c r="A4713" s="753"/>
      <c r="B4713" s="753"/>
      <c r="C4713" s="752" t="s">
        <v>45156</v>
      </c>
      <c r="D4713" s="753" t="s">
        <v>44707</v>
      </c>
      <c r="E4713" s="752" t="s">
        <v>38002</v>
      </c>
      <c r="F4713" s="751">
        <v>5125</v>
      </c>
    </row>
    <row r="4714" spans="1:6">
      <c r="A4714" s="753"/>
      <c r="B4714" s="753"/>
      <c r="C4714" s="752" t="s">
        <v>45155</v>
      </c>
      <c r="D4714" s="753" t="s">
        <v>44674</v>
      </c>
      <c r="E4714" s="752" t="s">
        <v>293</v>
      </c>
      <c r="F4714" s="751">
        <v>3975</v>
      </c>
    </row>
    <row r="4715" spans="1:6">
      <c r="A4715" s="753"/>
      <c r="B4715" s="753"/>
      <c r="C4715" s="752" t="s">
        <v>45154</v>
      </c>
      <c r="D4715" s="753" t="s">
        <v>44674</v>
      </c>
      <c r="E4715" s="752" t="s">
        <v>293</v>
      </c>
      <c r="F4715" s="751">
        <v>4735</v>
      </c>
    </row>
    <row r="4716" spans="1:6">
      <c r="A4716" s="753"/>
      <c r="B4716" s="753"/>
      <c r="C4716" s="752" t="s">
        <v>45153</v>
      </c>
      <c r="D4716" s="753" t="s">
        <v>44674</v>
      </c>
      <c r="E4716" s="752" t="s">
        <v>293</v>
      </c>
      <c r="F4716" s="751">
        <v>4775</v>
      </c>
    </row>
    <row r="4717" spans="1:6">
      <c r="A4717" s="753"/>
      <c r="B4717" s="753"/>
      <c r="C4717" s="752" t="s">
        <v>45152</v>
      </c>
      <c r="D4717" s="753" t="s">
        <v>44674</v>
      </c>
      <c r="E4717" s="752" t="s">
        <v>38294</v>
      </c>
      <c r="F4717" s="751">
        <v>4475</v>
      </c>
    </row>
    <row r="4718" spans="1:6">
      <c r="A4718" s="753"/>
      <c r="B4718" s="753"/>
      <c r="C4718" s="752" t="s">
        <v>45151</v>
      </c>
      <c r="D4718" s="753" t="s">
        <v>45128</v>
      </c>
      <c r="E4718" s="752" t="s">
        <v>38258</v>
      </c>
      <c r="F4718" s="751">
        <v>4225</v>
      </c>
    </row>
    <row r="4719" spans="1:6">
      <c r="A4719" s="753"/>
      <c r="B4719" s="753"/>
      <c r="C4719" s="752" t="s">
        <v>45150</v>
      </c>
      <c r="D4719" s="753" t="s">
        <v>45128</v>
      </c>
      <c r="E4719" s="752" t="s">
        <v>40806</v>
      </c>
      <c r="F4719" s="751">
        <v>3975</v>
      </c>
    </row>
    <row r="4720" spans="1:6">
      <c r="A4720" s="753"/>
      <c r="B4720" s="753"/>
      <c r="C4720" s="752" t="s">
        <v>45149</v>
      </c>
      <c r="D4720" s="753" t="s">
        <v>44674</v>
      </c>
      <c r="E4720" s="752" t="s">
        <v>45148</v>
      </c>
      <c r="F4720" s="751">
        <v>4735</v>
      </c>
    </row>
    <row r="4721" spans="1:6">
      <c r="A4721" s="753"/>
      <c r="B4721" s="753"/>
      <c r="C4721" s="752" t="s">
        <v>45147</v>
      </c>
      <c r="D4721" s="753" t="s">
        <v>45128</v>
      </c>
      <c r="E4721" s="752" t="s">
        <v>45082</v>
      </c>
      <c r="F4721" s="751">
        <v>4775</v>
      </c>
    </row>
    <row r="4722" spans="1:6">
      <c r="A4722" s="753"/>
      <c r="B4722" s="753"/>
      <c r="C4722" s="752" t="s">
        <v>45146</v>
      </c>
      <c r="D4722" s="753" t="s">
        <v>45128</v>
      </c>
      <c r="E4722" s="752" t="s">
        <v>45145</v>
      </c>
      <c r="F4722" s="751">
        <v>4985</v>
      </c>
    </row>
    <row r="4723" spans="1:6">
      <c r="A4723" s="753"/>
      <c r="B4723" s="753"/>
      <c r="C4723" s="752" t="s">
        <v>45144</v>
      </c>
      <c r="D4723" s="753" t="s">
        <v>44674</v>
      </c>
      <c r="E4723" s="752" t="s">
        <v>45109</v>
      </c>
      <c r="F4723" s="751">
        <v>5125</v>
      </c>
    </row>
    <row r="4724" spans="1:6">
      <c r="A4724" s="753"/>
      <c r="B4724" s="753"/>
      <c r="C4724" s="752" t="s">
        <v>45143</v>
      </c>
      <c r="D4724" s="753" t="s">
        <v>44674</v>
      </c>
      <c r="E4724" s="752" t="s">
        <v>45142</v>
      </c>
      <c r="F4724" s="751">
        <v>4475</v>
      </c>
    </row>
    <row r="4725" spans="1:6">
      <c r="A4725" s="753"/>
      <c r="B4725" s="753"/>
      <c r="C4725" s="752" t="s">
        <v>45141</v>
      </c>
      <c r="D4725" s="753" t="s">
        <v>45128</v>
      </c>
      <c r="E4725" s="752" t="s">
        <v>45140</v>
      </c>
      <c r="F4725" s="751">
        <v>5475</v>
      </c>
    </row>
    <row r="4726" spans="1:6">
      <c r="A4726" s="753"/>
      <c r="B4726" s="753"/>
      <c r="C4726" s="752" t="s">
        <v>45139</v>
      </c>
      <c r="D4726" s="753" t="s">
        <v>44674</v>
      </c>
      <c r="E4726" s="752" t="s">
        <v>45049</v>
      </c>
      <c r="F4726" s="751">
        <v>3975</v>
      </c>
    </row>
    <row r="4727" spans="1:6">
      <c r="A4727" s="753"/>
      <c r="B4727" s="753"/>
      <c r="C4727" s="752" t="s">
        <v>45138</v>
      </c>
      <c r="D4727" s="753" t="s">
        <v>45137</v>
      </c>
      <c r="E4727" s="752" t="s">
        <v>45136</v>
      </c>
      <c r="F4727" s="751">
        <v>4735</v>
      </c>
    </row>
    <row r="4728" spans="1:6">
      <c r="A4728" s="753"/>
      <c r="B4728" s="753"/>
      <c r="C4728" s="752" t="s">
        <v>45135</v>
      </c>
      <c r="D4728" s="753" t="s">
        <v>45128</v>
      </c>
      <c r="E4728" s="752" t="s">
        <v>45134</v>
      </c>
      <c r="F4728" s="751">
        <v>4775</v>
      </c>
    </row>
    <row r="4729" spans="1:6">
      <c r="A4729" s="753"/>
      <c r="B4729" s="753"/>
      <c r="C4729" s="752" t="s">
        <v>45133</v>
      </c>
      <c r="D4729" s="753" t="s">
        <v>44674</v>
      </c>
      <c r="E4729" s="752" t="s">
        <v>45075</v>
      </c>
      <c r="F4729" s="751">
        <v>4225</v>
      </c>
    </row>
    <row r="4730" spans="1:6">
      <c r="A4730" s="753"/>
      <c r="B4730" s="753"/>
      <c r="C4730" s="752" t="s">
        <v>45132</v>
      </c>
      <c r="D4730" s="753" t="s">
        <v>45128</v>
      </c>
      <c r="E4730" s="752" t="s">
        <v>45131</v>
      </c>
      <c r="F4730" s="751">
        <v>5125</v>
      </c>
    </row>
    <row r="4731" spans="1:6">
      <c r="A4731" s="753"/>
      <c r="B4731" s="753"/>
      <c r="C4731" s="752" t="s">
        <v>45130</v>
      </c>
      <c r="D4731" s="753" t="s">
        <v>45128</v>
      </c>
      <c r="E4731" s="752" t="s">
        <v>38035</v>
      </c>
      <c r="F4731" s="751">
        <v>4475</v>
      </c>
    </row>
    <row r="4732" spans="1:6">
      <c r="A4732" s="753"/>
      <c r="B4732" s="753"/>
      <c r="C4732" s="752" t="s">
        <v>45129</v>
      </c>
      <c r="D4732" s="753" t="s">
        <v>45128</v>
      </c>
      <c r="E4732" s="752" t="s">
        <v>43312</v>
      </c>
      <c r="F4732" s="751">
        <v>5475</v>
      </c>
    </row>
    <row r="4733" spans="1:6">
      <c r="A4733" s="753"/>
      <c r="B4733" s="753"/>
      <c r="C4733" s="752" t="s">
        <v>45127</v>
      </c>
      <c r="D4733" s="753" t="s">
        <v>44674</v>
      </c>
      <c r="E4733" s="752" t="s">
        <v>38258</v>
      </c>
      <c r="F4733" s="751">
        <v>4225</v>
      </c>
    </row>
    <row r="4734" spans="1:6">
      <c r="A4734" s="753"/>
      <c r="B4734" s="753"/>
      <c r="C4734" s="752" t="s">
        <v>45126</v>
      </c>
      <c r="D4734" s="753" t="s">
        <v>44674</v>
      </c>
      <c r="E4734" s="752" t="s">
        <v>45125</v>
      </c>
      <c r="F4734" s="751">
        <v>4225</v>
      </c>
    </row>
    <row r="4735" spans="1:6">
      <c r="A4735" s="753"/>
      <c r="B4735" s="753"/>
      <c r="C4735" s="752" t="s">
        <v>45124</v>
      </c>
      <c r="D4735" s="753" t="s">
        <v>44674</v>
      </c>
      <c r="E4735" s="752" t="s">
        <v>45123</v>
      </c>
      <c r="F4735" s="751">
        <v>5125</v>
      </c>
    </row>
    <row r="4736" spans="1:6">
      <c r="A4736" s="753"/>
      <c r="B4736" s="753"/>
      <c r="C4736" s="752" t="s">
        <v>45122</v>
      </c>
      <c r="D4736" s="753" t="s">
        <v>44674</v>
      </c>
      <c r="E4736" s="752" t="s">
        <v>40806</v>
      </c>
      <c r="F4736" s="751">
        <v>3975</v>
      </c>
    </row>
    <row r="4737" spans="1:6">
      <c r="A4737" s="753"/>
      <c r="B4737" s="753"/>
      <c r="C4737" s="752" t="s">
        <v>45121</v>
      </c>
      <c r="D4737" s="753" t="s">
        <v>44674</v>
      </c>
      <c r="E4737" s="752" t="s">
        <v>45120</v>
      </c>
      <c r="F4737" s="751">
        <v>4735</v>
      </c>
    </row>
    <row r="4738" spans="1:6">
      <c r="A4738" s="753"/>
      <c r="B4738" s="753"/>
      <c r="C4738" s="752" t="s">
        <v>45119</v>
      </c>
      <c r="D4738" s="753" t="s">
        <v>44674</v>
      </c>
      <c r="E4738" s="752" t="s">
        <v>45118</v>
      </c>
      <c r="F4738" s="751">
        <v>3975</v>
      </c>
    </row>
    <row r="4739" spans="1:6">
      <c r="A4739" s="753"/>
      <c r="B4739" s="753"/>
      <c r="C4739" s="752" t="s">
        <v>45117</v>
      </c>
      <c r="D4739" s="753" t="s">
        <v>44674</v>
      </c>
      <c r="E4739" s="752" t="s">
        <v>45116</v>
      </c>
      <c r="F4739" s="751">
        <v>4775</v>
      </c>
    </row>
    <row r="4740" spans="1:6">
      <c r="A4740" s="753"/>
      <c r="B4740" s="753"/>
      <c r="C4740" s="752" t="s">
        <v>45115</v>
      </c>
      <c r="D4740" s="753" t="s">
        <v>44674</v>
      </c>
      <c r="E4740" s="752" t="s">
        <v>45035</v>
      </c>
      <c r="F4740" s="751">
        <v>4775</v>
      </c>
    </row>
    <row r="4741" spans="1:6">
      <c r="A4741" s="753"/>
      <c r="B4741" s="753"/>
      <c r="C4741" s="752" t="s">
        <v>45114</v>
      </c>
      <c r="D4741" s="753" t="s">
        <v>44674</v>
      </c>
      <c r="E4741" s="752" t="s">
        <v>43397</v>
      </c>
      <c r="F4741" s="751">
        <v>5125</v>
      </c>
    </row>
    <row r="4742" spans="1:6">
      <c r="A4742" s="753"/>
      <c r="B4742" s="753"/>
      <c r="C4742" s="752" t="s">
        <v>45113</v>
      </c>
      <c r="D4742" s="753" t="s">
        <v>44674</v>
      </c>
      <c r="E4742" s="752" t="s">
        <v>38294</v>
      </c>
      <c r="F4742" s="751">
        <v>4475</v>
      </c>
    </row>
    <row r="4743" spans="1:6">
      <c r="A4743" s="753"/>
      <c r="B4743" s="753"/>
      <c r="C4743" s="752" t="s">
        <v>45112</v>
      </c>
      <c r="D4743" s="753" t="s">
        <v>44674</v>
      </c>
      <c r="E4743" s="752" t="s">
        <v>43312</v>
      </c>
      <c r="F4743" s="751">
        <v>5475</v>
      </c>
    </row>
    <row r="4744" spans="1:6">
      <c r="A4744" s="753"/>
      <c r="B4744" s="753"/>
      <c r="C4744" s="752" t="s">
        <v>45111</v>
      </c>
      <c r="D4744" s="753" t="s">
        <v>44674</v>
      </c>
      <c r="E4744" s="752" t="s">
        <v>38258</v>
      </c>
      <c r="F4744" s="751">
        <v>4225</v>
      </c>
    </row>
    <row r="4745" spans="1:6">
      <c r="A4745" s="753"/>
      <c r="B4745" s="753"/>
      <c r="C4745" s="752" t="s">
        <v>45110</v>
      </c>
      <c r="D4745" s="753" t="s">
        <v>44674</v>
      </c>
      <c r="E4745" s="752" t="s">
        <v>45109</v>
      </c>
      <c r="F4745" s="751">
        <v>5125</v>
      </c>
    </row>
    <row r="4746" spans="1:6">
      <c r="A4746" s="753"/>
      <c r="B4746" s="753"/>
      <c r="C4746" s="752" t="s">
        <v>45108</v>
      </c>
      <c r="D4746" s="753" t="s">
        <v>44755</v>
      </c>
      <c r="E4746" s="752" t="s">
        <v>45107</v>
      </c>
      <c r="F4746" s="751">
        <v>3525</v>
      </c>
    </row>
    <row r="4747" spans="1:6">
      <c r="A4747" s="753"/>
      <c r="B4747" s="753"/>
      <c r="C4747" s="752" t="s">
        <v>45106</v>
      </c>
      <c r="D4747" s="753" t="s">
        <v>44650</v>
      </c>
      <c r="E4747" s="752" t="s">
        <v>45105</v>
      </c>
      <c r="F4747" s="751">
        <v>3275</v>
      </c>
    </row>
    <row r="4748" spans="1:6">
      <c r="A4748" s="753"/>
      <c r="B4748" s="753"/>
      <c r="C4748" s="752" t="s">
        <v>45104</v>
      </c>
      <c r="D4748" s="753" t="s">
        <v>44650</v>
      </c>
      <c r="E4748" s="752" t="s">
        <v>45103</v>
      </c>
      <c r="F4748" s="751">
        <v>2895</v>
      </c>
    </row>
    <row r="4749" spans="1:6">
      <c r="A4749" s="753"/>
      <c r="B4749" s="753"/>
      <c r="C4749" s="752" t="s">
        <v>45102</v>
      </c>
      <c r="D4749" s="753" t="s">
        <v>44650</v>
      </c>
      <c r="E4749" s="752" t="s">
        <v>45101</v>
      </c>
      <c r="F4749" s="751">
        <v>3625</v>
      </c>
    </row>
    <row r="4750" spans="1:6">
      <c r="A4750" s="753"/>
      <c r="B4750" s="753"/>
      <c r="C4750" s="752" t="s">
        <v>45100</v>
      </c>
      <c r="D4750" s="753" t="s">
        <v>44650</v>
      </c>
      <c r="E4750" s="752" t="s">
        <v>45099</v>
      </c>
      <c r="F4750" s="751">
        <v>3275</v>
      </c>
    </row>
    <row r="4751" spans="1:6">
      <c r="A4751" s="753"/>
      <c r="B4751" s="753"/>
      <c r="C4751" s="752" t="s">
        <v>45098</v>
      </c>
      <c r="D4751" s="753" t="s">
        <v>44650</v>
      </c>
      <c r="E4751" s="752" t="s">
        <v>45097</v>
      </c>
      <c r="F4751" s="751">
        <v>3625</v>
      </c>
    </row>
    <row r="4752" spans="1:6">
      <c r="A4752" s="753"/>
      <c r="B4752" s="753"/>
      <c r="C4752" s="752" t="s">
        <v>45096</v>
      </c>
      <c r="D4752" s="753" t="s">
        <v>44650</v>
      </c>
      <c r="E4752" s="752" t="s">
        <v>45095</v>
      </c>
      <c r="F4752" s="751">
        <v>3025</v>
      </c>
    </row>
    <row r="4753" spans="1:6">
      <c r="A4753" s="753"/>
      <c r="B4753" s="753"/>
      <c r="C4753" s="752" t="s">
        <v>45094</v>
      </c>
      <c r="D4753" s="753" t="s">
        <v>44650</v>
      </c>
      <c r="E4753" s="752" t="s">
        <v>45093</v>
      </c>
      <c r="F4753" s="751">
        <v>3275</v>
      </c>
    </row>
    <row r="4754" spans="1:6">
      <c r="A4754" s="753"/>
      <c r="B4754" s="753"/>
      <c r="C4754" s="752" t="s">
        <v>45092</v>
      </c>
      <c r="D4754" s="753" t="s">
        <v>44650</v>
      </c>
      <c r="E4754" s="752" t="s">
        <v>45091</v>
      </c>
      <c r="F4754" s="751">
        <v>3025</v>
      </c>
    </row>
    <row r="4755" spans="1:6">
      <c r="A4755" s="753"/>
      <c r="B4755" s="753"/>
      <c r="C4755" s="752" t="s">
        <v>45090</v>
      </c>
      <c r="D4755" s="753" t="s">
        <v>44650</v>
      </c>
      <c r="E4755" s="752" t="s">
        <v>39808</v>
      </c>
      <c r="F4755" s="751">
        <v>3025</v>
      </c>
    </row>
    <row r="4756" spans="1:6">
      <c r="A4756" s="753"/>
      <c r="B4756" s="753"/>
      <c r="C4756" s="752" t="s">
        <v>45089</v>
      </c>
      <c r="D4756" s="753" t="s">
        <v>44650</v>
      </c>
      <c r="E4756" s="752" t="s">
        <v>45088</v>
      </c>
      <c r="F4756" s="751">
        <v>3275</v>
      </c>
    </row>
    <row r="4757" spans="1:6">
      <c r="A4757" s="753"/>
      <c r="B4757" s="753"/>
      <c r="C4757" s="752" t="s">
        <v>45087</v>
      </c>
      <c r="D4757" s="753" t="s">
        <v>44615</v>
      </c>
      <c r="E4757" s="752" t="s">
        <v>40806</v>
      </c>
      <c r="F4757" s="751">
        <v>4075</v>
      </c>
    </row>
    <row r="4758" spans="1:6">
      <c r="A4758" s="753"/>
      <c r="B4758" s="753"/>
      <c r="C4758" s="752" t="s">
        <v>45086</v>
      </c>
      <c r="D4758" s="753" t="s">
        <v>44615</v>
      </c>
      <c r="E4758" s="752" t="s">
        <v>38033</v>
      </c>
      <c r="F4758" s="751">
        <v>5575</v>
      </c>
    </row>
    <row r="4759" spans="1:6">
      <c r="A4759" s="753"/>
      <c r="B4759" s="753"/>
      <c r="C4759" s="752" t="s">
        <v>45085</v>
      </c>
      <c r="D4759" s="753" t="s">
        <v>44615</v>
      </c>
      <c r="E4759" s="752" t="s">
        <v>38258</v>
      </c>
      <c r="F4759" s="751">
        <v>4325</v>
      </c>
    </row>
    <row r="4760" spans="1:6">
      <c r="A4760" s="753"/>
      <c r="B4760" s="753"/>
      <c r="C4760" s="752" t="s">
        <v>45084</v>
      </c>
      <c r="D4760" s="753" t="s">
        <v>44615</v>
      </c>
      <c r="E4760" s="752" t="s">
        <v>40806</v>
      </c>
      <c r="F4760" s="751">
        <v>4075</v>
      </c>
    </row>
    <row r="4761" spans="1:6">
      <c r="A4761" s="753"/>
      <c r="B4761" s="753"/>
      <c r="C4761" s="752" t="s">
        <v>45083</v>
      </c>
      <c r="D4761" s="753" t="s">
        <v>44615</v>
      </c>
      <c r="E4761" s="752" t="s">
        <v>45082</v>
      </c>
      <c r="F4761" s="751">
        <v>4875</v>
      </c>
    </row>
    <row r="4762" spans="1:6">
      <c r="A4762" s="753"/>
      <c r="B4762" s="753"/>
      <c r="C4762" s="752" t="s">
        <v>45081</v>
      </c>
      <c r="D4762" s="753" t="s">
        <v>44615</v>
      </c>
      <c r="E4762" s="752" t="s">
        <v>45031</v>
      </c>
      <c r="F4762" s="751">
        <v>5225</v>
      </c>
    </row>
    <row r="4763" spans="1:6">
      <c r="A4763" s="753"/>
      <c r="B4763" s="753"/>
      <c r="C4763" s="752" t="s">
        <v>45080</v>
      </c>
      <c r="D4763" s="753" t="s">
        <v>44615</v>
      </c>
      <c r="E4763" s="752" t="s">
        <v>45049</v>
      </c>
      <c r="F4763" s="751">
        <v>4075</v>
      </c>
    </row>
    <row r="4764" spans="1:6">
      <c r="A4764" s="753"/>
      <c r="B4764" s="753"/>
      <c r="C4764" s="752" t="s">
        <v>45079</v>
      </c>
      <c r="D4764" s="753" t="s">
        <v>44615</v>
      </c>
      <c r="E4764" s="752" t="s">
        <v>45078</v>
      </c>
      <c r="F4764" s="751">
        <v>4875</v>
      </c>
    </row>
    <row r="4765" spans="1:6">
      <c r="A4765" s="753"/>
      <c r="B4765" s="753"/>
      <c r="C4765" s="752" t="s">
        <v>45077</v>
      </c>
      <c r="D4765" s="753" t="s">
        <v>45076</v>
      </c>
      <c r="E4765" s="752" t="s">
        <v>45075</v>
      </c>
      <c r="F4765" s="751">
        <v>4325</v>
      </c>
    </row>
    <row r="4766" spans="1:6">
      <c r="A4766" s="753"/>
      <c r="B4766" s="753"/>
      <c r="C4766" s="752" t="s">
        <v>45074</v>
      </c>
      <c r="D4766" s="753" t="s">
        <v>44615</v>
      </c>
      <c r="E4766" s="752" t="s">
        <v>38035</v>
      </c>
      <c r="F4766" s="751">
        <v>4575</v>
      </c>
    </row>
    <row r="4767" spans="1:6">
      <c r="A4767" s="753"/>
      <c r="B4767" s="753"/>
      <c r="C4767" s="752" t="s">
        <v>45073</v>
      </c>
      <c r="D4767" s="753" t="s">
        <v>44615</v>
      </c>
      <c r="E4767" s="752" t="s">
        <v>43312</v>
      </c>
      <c r="F4767" s="751">
        <v>5575</v>
      </c>
    </row>
    <row r="4768" spans="1:6">
      <c r="A4768" s="753"/>
      <c r="B4768" s="753"/>
      <c r="C4768" s="752" t="s">
        <v>45072</v>
      </c>
      <c r="D4768" s="753" t="s">
        <v>44615</v>
      </c>
      <c r="E4768" s="752" t="s">
        <v>38258</v>
      </c>
      <c r="F4768" s="751">
        <v>4325</v>
      </c>
    </row>
    <row r="4769" spans="1:6">
      <c r="A4769" s="753"/>
      <c r="B4769" s="753"/>
      <c r="C4769" s="752" t="s">
        <v>45071</v>
      </c>
      <c r="D4769" s="753" t="s">
        <v>44615</v>
      </c>
      <c r="E4769" s="752" t="s">
        <v>45031</v>
      </c>
      <c r="F4769" s="751">
        <v>5225</v>
      </c>
    </row>
    <row r="4770" spans="1:6">
      <c r="A4770" s="753"/>
      <c r="B4770" s="753"/>
      <c r="C4770" s="752" t="s">
        <v>45070</v>
      </c>
      <c r="D4770" s="753" t="s">
        <v>44615</v>
      </c>
      <c r="E4770" s="752" t="s">
        <v>40806</v>
      </c>
      <c r="F4770" s="751">
        <v>4075</v>
      </c>
    </row>
    <row r="4771" spans="1:6">
      <c r="A4771" s="753"/>
      <c r="B4771" s="753"/>
      <c r="C4771" s="752" t="s">
        <v>45069</v>
      </c>
      <c r="D4771" s="753" t="s">
        <v>44615</v>
      </c>
      <c r="E4771" s="752" t="s">
        <v>45068</v>
      </c>
      <c r="F4771" s="751">
        <v>4835</v>
      </c>
    </row>
    <row r="4772" spans="1:6">
      <c r="A4772" s="753"/>
      <c r="B4772" s="753"/>
      <c r="C4772" s="752" t="s">
        <v>45067</v>
      </c>
      <c r="D4772" s="753" t="s">
        <v>44615</v>
      </c>
      <c r="E4772" s="752" t="s">
        <v>45041</v>
      </c>
      <c r="F4772" s="751">
        <v>4075</v>
      </c>
    </row>
    <row r="4773" spans="1:6">
      <c r="A4773" s="753"/>
      <c r="B4773" s="753"/>
      <c r="C4773" s="752" t="s">
        <v>45066</v>
      </c>
      <c r="D4773" s="753" t="s">
        <v>44615</v>
      </c>
      <c r="E4773" s="752" t="s">
        <v>45065</v>
      </c>
      <c r="F4773" s="751">
        <v>4875</v>
      </c>
    </row>
    <row r="4774" spans="1:6">
      <c r="A4774" s="753"/>
      <c r="B4774" s="753"/>
      <c r="C4774" s="752" t="s">
        <v>45064</v>
      </c>
      <c r="D4774" s="753" t="s">
        <v>44615</v>
      </c>
      <c r="E4774" s="752" t="s">
        <v>45063</v>
      </c>
      <c r="F4774" s="751">
        <v>4525</v>
      </c>
    </row>
    <row r="4775" spans="1:6">
      <c r="A4775" s="753"/>
      <c r="B4775" s="753"/>
      <c r="C4775" s="752" t="s">
        <v>45062</v>
      </c>
      <c r="D4775" s="753" t="s">
        <v>44615</v>
      </c>
      <c r="E4775" s="752" t="s">
        <v>45035</v>
      </c>
      <c r="F4775" s="751">
        <v>4875</v>
      </c>
    </row>
    <row r="4776" spans="1:6">
      <c r="A4776" s="753"/>
      <c r="B4776" s="753"/>
      <c r="C4776" s="752" t="s">
        <v>45061</v>
      </c>
      <c r="D4776" s="753" t="s">
        <v>44615</v>
      </c>
      <c r="E4776" s="752" t="s">
        <v>45060</v>
      </c>
      <c r="F4776" s="751">
        <v>3795</v>
      </c>
    </row>
    <row r="4777" spans="1:6">
      <c r="A4777" s="753"/>
      <c r="B4777" s="753"/>
      <c r="C4777" s="752" t="s">
        <v>45059</v>
      </c>
      <c r="D4777" s="753" t="s">
        <v>44615</v>
      </c>
      <c r="E4777" s="752" t="s">
        <v>45033</v>
      </c>
      <c r="F4777" s="751">
        <v>4525</v>
      </c>
    </row>
    <row r="4778" spans="1:6">
      <c r="A4778" s="753"/>
      <c r="B4778" s="753"/>
      <c r="C4778" s="752" t="s">
        <v>45058</v>
      </c>
      <c r="D4778" s="753" t="s">
        <v>44615</v>
      </c>
      <c r="E4778" s="752" t="s">
        <v>45031</v>
      </c>
      <c r="F4778" s="751">
        <v>5225</v>
      </c>
    </row>
    <row r="4779" spans="1:6">
      <c r="A4779" s="753"/>
      <c r="B4779" s="753"/>
      <c r="C4779" s="752" t="s">
        <v>45057</v>
      </c>
      <c r="D4779" s="753" t="s">
        <v>44615</v>
      </c>
      <c r="E4779" s="752" t="s">
        <v>45029</v>
      </c>
      <c r="F4779" s="751">
        <v>4075</v>
      </c>
    </row>
    <row r="4780" spans="1:6">
      <c r="A4780" s="753"/>
      <c r="B4780" s="753"/>
      <c r="C4780" s="752" t="s">
        <v>45056</v>
      </c>
      <c r="D4780" s="753" t="s">
        <v>44615</v>
      </c>
      <c r="E4780" s="752" t="s">
        <v>45027</v>
      </c>
      <c r="F4780" s="751">
        <v>4875</v>
      </c>
    </row>
    <row r="4781" spans="1:6">
      <c r="A4781" s="753"/>
      <c r="B4781" s="753"/>
      <c r="C4781" s="752" t="s">
        <v>45055</v>
      </c>
      <c r="D4781" s="753" t="s">
        <v>44615</v>
      </c>
      <c r="E4781" s="752" t="s">
        <v>38258</v>
      </c>
      <c r="F4781" s="751">
        <v>4325</v>
      </c>
    </row>
    <row r="4782" spans="1:6">
      <c r="A4782" s="753"/>
      <c r="B4782" s="753"/>
      <c r="C4782" s="752" t="s">
        <v>45054</v>
      </c>
      <c r="D4782" s="753" t="s">
        <v>44615</v>
      </c>
      <c r="E4782" s="752" t="s">
        <v>44597</v>
      </c>
      <c r="F4782" s="751">
        <v>5575</v>
      </c>
    </row>
    <row r="4783" spans="1:6">
      <c r="A4783" s="753"/>
      <c r="B4783" s="753"/>
      <c r="C4783" s="752" t="s">
        <v>45053</v>
      </c>
      <c r="D4783" s="753" t="s">
        <v>44615</v>
      </c>
      <c r="E4783" s="752" t="s">
        <v>43312</v>
      </c>
      <c r="F4783" s="751">
        <v>5575</v>
      </c>
    </row>
    <row r="4784" spans="1:6">
      <c r="A4784" s="753"/>
      <c r="B4784" s="753"/>
      <c r="C4784" s="752" t="s">
        <v>45052</v>
      </c>
      <c r="D4784" s="753" t="s">
        <v>44590</v>
      </c>
      <c r="E4784" s="752" t="s">
        <v>40806</v>
      </c>
      <c r="F4784" s="751">
        <v>4075</v>
      </c>
    </row>
    <row r="4785" spans="1:6">
      <c r="A4785" s="753"/>
      <c r="B4785" s="753"/>
      <c r="C4785" s="752" t="s">
        <v>45051</v>
      </c>
      <c r="D4785" s="753" t="s">
        <v>44590</v>
      </c>
      <c r="E4785" s="752" t="s">
        <v>45035</v>
      </c>
      <c r="F4785" s="751">
        <v>4875</v>
      </c>
    </row>
    <row r="4786" spans="1:6">
      <c r="A4786" s="753"/>
      <c r="B4786" s="753"/>
      <c r="C4786" s="752" t="s">
        <v>45050</v>
      </c>
      <c r="D4786" s="753" t="s">
        <v>44593</v>
      </c>
      <c r="E4786" s="752" t="s">
        <v>45049</v>
      </c>
      <c r="F4786" s="751">
        <v>4075</v>
      </c>
    </row>
    <row r="4787" spans="1:6">
      <c r="A4787" s="753"/>
      <c r="B4787" s="753"/>
      <c r="C4787" s="752" t="s">
        <v>45048</v>
      </c>
      <c r="D4787" s="753" t="s">
        <v>45025</v>
      </c>
      <c r="E4787" s="752" t="s">
        <v>38035</v>
      </c>
      <c r="F4787" s="751">
        <v>4575</v>
      </c>
    </row>
    <row r="4788" spans="1:6">
      <c r="A4788" s="753"/>
      <c r="B4788" s="753"/>
      <c r="C4788" s="752" t="s">
        <v>45047</v>
      </c>
      <c r="D4788" s="753" t="s">
        <v>45025</v>
      </c>
      <c r="E4788" s="752" t="s">
        <v>38258</v>
      </c>
      <c r="F4788" s="751">
        <v>4325</v>
      </c>
    </row>
    <row r="4789" spans="1:6">
      <c r="A4789" s="753"/>
      <c r="B4789" s="753"/>
      <c r="C4789" s="752" t="s">
        <v>45046</v>
      </c>
      <c r="D4789" s="753" t="s">
        <v>45025</v>
      </c>
      <c r="E4789" s="752" t="s">
        <v>38258</v>
      </c>
      <c r="F4789" s="751">
        <v>4325</v>
      </c>
    </row>
    <row r="4790" spans="1:6">
      <c r="A4790" s="753"/>
      <c r="B4790" s="753"/>
      <c r="C4790" s="752" t="s">
        <v>45045</v>
      </c>
      <c r="D4790" s="753" t="s">
        <v>44590</v>
      </c>
      <c r="E4790" s="752" t="s">
        <v>45044</v>
      </c>
      <c r="F4790" s="751">
        <v>5225</v>
      </c>
    </row>
    <row r="4791" spans="1:6">
      <c r="A4791" s="753"/>
      <c r="B4791" s="753"/>
      <c r="C4791" s="752" t="s">
        <v>45043</v>
      </c>
      <c r="D4791" s="753" t="s">
        <v>44590</v>
      </c>
      <c r="E4791" s="752" t="s">
        <v>40806</v>
      </c>
      <c r="F4791" s="751">
        <v>4075</v>
      </c>
    </row>
    <row r="4792" spans="1:6">
      <c r="A4792" s="753"/>
      <c r="B4792" s="753"/>
      <c r="C4792" s="752" t="s">
        <v>45042</v>
      </c>
      <c r="D4792" s="753" t="s">
        <v>45025</v>
      </c>
      <c r="E4792" s="752" t="s">
        <v>45041</v>
      </c>
      <c r="F4792" s="751">
        <v>4075</v>
      </c>
    </row>
    <row r="4793" spans="1:6">
      <c r="A4793" s="753"/>
      <c r="B4793" s="753"/>
      <c r="C4793" s="752" t="s">
        <v>45040</v>
      </c>
      <c r="D4793" s="753" t="s">
        <v>44590</v>
      </c>
      <c r="E4793" s="752" t="s">
        <v>45039</v>
      </c>
      <c r="F4793" s="751">
        <v>4875</v>
      </c>
    </row>
    <row r="4794" spans="1:6">
      <c r="A4794" s="753"/>
      <c r="B4794" s="753"/>
      <c r="C4794" s="752" t="s">
        <v>45038</v>
      </c>
      <c r="D4794" s="753" t="s">
        <v>44590</v>
      </c>
      <c r="E4794" s="752" t="s">
        <v>45037</v>
      </c>
      <c r="F4794" s="751">
        <v>4835</v>
      </c>
    </row>
    <row r="4795" spans="1:6">
      <c r="A4795" s="753"/>
      <c r="B4795" s="753"/>
      <c r="C4795" s="752" t="s">
        <v>45036</v>
      </c>
      <c r="D4795" s="753" t="s">
        <v>44590</v>
      </c>
      <c r="E4795" s="752" t="s">
        <v>45035</v>
      </c>
      <c r="F4795" s="751">
        <v>4875</v>
      </c>
    </row>
    <row r="4796" spans="1:6">
      <c r="A4796" s="753"/>
      <c r="B4796" s="753"/>
      <c r="C4796" s="752" t="s">
        <v>45034</v>
      </c>
      <c r="D4796" s="753" t="s">
        <v>44590</v>
      </c>
      <c r="E4796" s="752" t="s">
        <v>45033</v>
      </c>
      <c r="F4796" s="751">
        <v>4525</v>
      </c>
    </row>
    <row r="4797" spans="1:6">
      <c r="A4797" s="753"/>
      <c r="B4797" s="753"/>
      <c r="C4797" s="752" t="s">
        <v>45032</v>
      </c>
      <c r="D4797" s="753" t="s">
        <v>44590</v>
      </c>
      <c r="E4797" s="752" t="s">
        <v>45031</v>
      </c>
      <c r="F4797" s="751">
        <v>5225</v>
      </c>
    </row>
    <row r="4798" spans="1:6">
      <c r="A4798" s="753"/>
      <c r="B4798" s="753"/>
      <c r="C4798" s="752" t="s">
        <v>45030</v>
      </c>
      <c r="D4798" s="753" t="s">
        <v>45025</v>
      </c>
      <c r="E4798" s="752" t="s">
        <v>45029</v>
      </c>
      <c r="F4798" s="751">
        <v>4075</v>
      </c>
    </row>
    <row r="4799" spans="1:6">
      <c r="A4799" s="753"/>
      <c r="B4799" s="753"/>
      <c r="C4799" s="752" t="s">
        <v>45028</v>
      </c>
      <c r="D4799" s="753" t="s">
        <v>45025</v>
      </c>
      <c r="E4799" s="752" t="s">
        <v>45027</v>
      </c>
      <c r="F4799" s="751">
        <v>4875</v>
      </c>
    </row>
    <row r="4800" spans="1:6">
      <c r="A4800" s="753"/>
      <c r="B4800" s="753"/>
      <c r="C4800" s="752" t="s">
        <v>45026</v>
      </c>
      <c r="D4800" s="753" t="s">
        <v>45025</v>
      </c>
      <c r="E4800" s="752" t="s">
        <v>38035</v>
      </c>
      <c r="F4800" s="751">
        <v>4575</v>
      </c>
    </row>
    <row r="4801" spans="1:6">
      <c r="A4801" s="753"/>
      <c r="B4801" s="753"/>
      <c r="C4801" s="752" t="s">
        <v>45024</v>
      </c>
      <c r="D4801" s="753" t="s">
        <v>44593</v>
      </c>
      <c r="E4801" s="752" t="s">
        <v>43312</v>
      </c>
      <c r="F4801" s="751">
        <v>5575</v>
      </c>
    </row>
    <row r="4802" spans="1:6">
      <c r="A4802" s="753"/>
      <c r="B4802" s="753"/>
      <c r="C4802" s="752" t="s">
        <v>45023</v>
      </c>
      <c r="D4802" s="753" t="s">
        <v>45022</v>
      </c>
      <c r="E4802" s="752" t="s">
        <v>39808</v>
      </c>
      <c r="F4802" s="751">
        <v>3125</v>
      </c>
    </row>
    <row r="4803" spans="1:6">
      <c r="A4803" s="753"/>
      <c r="B4803" s="753"/>
      <c r="C4803" s="752" t="s">
        <v>45021</v>
      </c>
      <c r="D4803" s="753" t="s">
        <v>45020</v>
      </c>
      <c r="E4803" s="752" t="s">
        <v>45019</v>
      </c>
      <c r="F4803" s="751">
        <v>6275</v>
      </c>
    </row>
    <row r="4804" spans="1:6">
      <c r="A4804" s="753"/>
      <c r="B4804" s="753"/>
      <c r="C4804" s="752" t="s">
        <v>45018</v>
      </c>
      <c r="D4804" s="753" t="s">
        <v>45017</v>
      </c>
      <c r="E4804" s="752" t="s">
        <v>45016</v>
      </c>
      <c r="F4804" s="751">
        <v>3375</v>
      </c>
    </row>
    <row r="4805" spans="1:6">
      <c r="A4805" s="753"/>
      <c r="B4805" s="753"/>
      <c r="C4805" s="752" t="s">
        <v>45015</v>
      </c>
      <c r="D4805" s="753" t="s">
        <v>44861</v>
      </c>
      <c r="E4805" s="752" t="s">
        <v>45014</v>
      </c>
      <c r="F4805" s="751">
        <v>3275</v>
      </c>
    </row>
    <row r="4806" spans="1:6">
      <c r="A4806" s="753"/>
      <c r="B4806" s="753" t="s">
        <v>45013</v>
      </c>
      <c r="C4806" s="752" t="s">
        <v>45012</v>
      </c>
      <c r="D4806" s="753" t="s">
        <v>45009</v>
      </c>
      <c r="E4806" s="752" t="s">
        <v>38019</v>
      </c>
      <c r="F4806" s="751">
        <v>4425</v>
      </c>
    </row>
    <row r="4807" spans="1:6">
      <c r="A4807" s="753"/>
      <c r="B4807" s="753"/>
      <c r="C4807" s="752" t="s">
        <v>45011</v>
      </c>
      <c r="D4807" s="753" t="s">
        <v>45007</v>
      </c>
      <c r="E4807" s="752" t="s">
        <v>38732</v>
      </c>
      <c r="F4807" s="751">
        <v>5325</v>
      </c>
    </row>
    <row r="4808" spans="1:6">
      <c r="A4808" s="753"/>
      <c r="B4808" s="753"/>
      <c r="C4808" s="752" t="s">
        <v>45010</v>
      </c>
      <c r="D4808" s="753" t="s">
        <v>45009</v>
      </c>
      <c r="E4808" s="752" t="s">
        <v>38019</v>
      </c>
      <c r="F4808" s="751">
        <v>4175</v>
      </c>
    </row>
    <row r="4809" spans="1:6">
      <c r="A4809" s="753"/>
      <c r="B4809" s="753"/>
      <c r="C4809" s="752" t="s">
        <v>45008</v>
      </c>
      <c r="D4809" s="753" t="s">
        <v>45007</v>
      </c>
      <c r="E4809" s="752" t="s">
        <v>38732</v>
      </c>
      <c r="F4809" s="751">
        <v>5325</v>
      </c>
    </row>
    <row r="4810" spans="1:6">
      <c r="A4810" s="753"/>
      <c r="B4810" s="753"/>
      <c r="C4810" s="752" t="s">
        <v>45006</v>
      </c>
      <c r="D4810" s="753" t="s">
        <v>45005</v>
      </c>
      <c r="E4810" s="752" t="s">
        <v>38019</v>
      </c>
      <c r="F4810" s="751">
        <v>4425</v>
      </c>
    </row>
    <row r="4811" spans="1:6">
      <c r="A4811" s="753"/>
      <c r="B4811" s="753"/>
      <c r="C4811" s="752" t="s">
        <v>45004</v>
      </c>
      <c r="D4811" s="753" t="s">
        <v>45003</v>
      </c>
      <c r="E4811" s="752" t="s">
        <v>38732</v>
      </c>
      <c r="F4811" s="751">
        <v>5325</v>
      </c>
    </row>
    <row r="4812" spans="1:6">
      <c r="A4812" s="753"/>
      <c r="B4812" s="753"/>
      <c r="C4812" s="752" t="s">
        <v>45002</v>
      </c>
      <c r="D4812" s="753" t="s">
        <v>44998</v>
      </c>
      <c r="E4812" s="752" t="s">
        <v>38019</v>
      </c>
      <c r="F4812" s="751">
        <v>4225</v>
      </c>
    </row>
    <row r="4813" spans="1:6">
      <c r="A4813" s="753"/>
      <c r="B4813" s="753"/>
      <c r="C4813" s="752" t="s">
        <v>45001</v>
      </c>
      <c r="D4813" s="753" t="s">
        <v>44998</v>
      </c>
      <c r="E4813" s="752" t="s">
        <v>38002</v>
      </c>
      <c r="F4813" s="751">
        <v>5125</v>
      </c>
    </row>
    <row r="4814" spans="1:6">
      <c r="A4814" s="753"/>
      <c r="B4814" s="753"/>
      <c r="C4814" s="752" t="s">
        <v>45000</v>
      </c>
      <c r="D4814" s="753" t="s">
        <v>44998</v>
      </c>
      <c r="E4814" s="752" t="s">
        <v>38019</v>
      </c>
      <c r="F4814" s="751">
        <v>4225</v>
      </c>
    </row>
    <row r="4815" spans="1:6">
      <c r="A4815" s="753"/>
      <c r="B4815" s="753"/>
      <c r="C4815" s="752" t="s">
        <v>44999</v>
      </c>
      <c r="D4815" s="753" t="s">
        <v>44998</v>
      </c>
      <c r="E4815" s="752" t="s">
        <v>38002</v>
      </c>
      <c r="F4815" s="751">
        <v>5125</v>
      </c>
    </row>
    <row r="4816" spans="1:6">
      <c r="A4816" s="753"/>
      <c r="B4816" s="753"/>
      <c r="C4816" s="752" t="s">
        <v>44997</v>
      </c>
      <c r="D4816" s="753" t="s">
        <v>44995</v>
      </c>
      <c r="E4816" s="752" t="s">
        <v>38019</v>
      </c>
      <c r="F4816" s="751">
        <v>4225</v>
      </c>
    </row>
    <row r="4817" spans="1:6">
      <c r="A4817" s="753"/>
      <c r="B4817" s="753"/>
      <c r="C4817" s="752" t="s">
        <v>44996</v>
      </c>
      <c r="D4817" s="753" t="s">
        <v>44995</v>
      </c>
      <c r="E4817" s="752" t="s">
        <v>38019</v>
      </c>
      <c r="F4817" s="751">
        <v>4225</v>
      </c>
    </row>
    <row r="4818" spans="1:6">
      <c r="A4818" s="753"/>
      <c r="B4818" s="753" t="s">
        <v>44994</v>
      </c>
      <c r="C4818" s="752" t="s">
        <v>44993</v>
      </c>
      <c r="D4818" s="753" t="s">
        <v>44981</v>
      </c>
      <c r="E4818" s="752" t="s">
        <v>44992</v>
      </c>
      <c r="F4818" s="751">
        <v>5670</v>
      </c>
    </row>
    <row r="4819" spans="1:6">
      <c r="A4819" s="753"/>
      <c r="B4819" s="753"/>
      <c r="C4819" s="752" t="s">
        <v>44991</v>
      </c>
      <c r="D4819" s="753" t="s">
        <v>44981</v>
      </c>
      <c r="E4819" s="752" t="s">
        <v>44990</v>
      </c>
      <c r="F4819" s="751">
        <v>5420</v>
      </c>
    </row>
    <row r="4820" spans="1:6">
      <c r="A4820" s="753"/>
      <c r="B4820" s="753"/>
      <c r="C4820" s="752" t="s">
        <v>44989</v>
      </c>
      <c r="D4820" s="753" t="s">
        <v>44975</v>
      </c>
      <c r="E4820" s="752" t="s">
        <v>38258</v>
      </c>
      <c r="F4820" s="751">
        <v>4420</v>
      </c>
    </row>
    <row r="4821" spans="1:6">
      <c r="A4821" s="753"/>
      <c r="B4821" s="753" t="s">
        <v>44988</v>
      </c>
      <c r="C4821" s="752" t="s">
        <v>44987</v>
      </c>
      <c r="D4821" s="753" t="s">
        <v>44979</v>
      </c>
      <c r="E4821" s="752" t="s">
        <v>38294</v>
      </c>
      <c r="F4821" s="751">
        <v>3325</v>
      </c>
    </row>
    <row r="4822" spans="1:6">
      <c r="A4822" s="753"/>
      <c r="B4822" s="753"/>
      <c r="C4822" s="752" t="s">
        <v>44986</v>
      </c>
      <c r="D4822" s="753" t="s">
        <v>44979</v>
      </c>
      <c r="E4822" s="752" t="s">
        <v>43739</v>
      </c>
      <c r="F4822" s="751">
        <v>3075</v>
      </c>
    </row>
    <row r="4823" spans="1:6">
      <c r="A4823" s="753"/>
      <c r="B4823" s="753"/>
      <c r="C4823" s="752" t="s">
        <v>44985</v>
      </c>
      <c r="D4823" s="753" t="s">
        <v>44558</v>
      </c>
      <c r="E4823" s="752" t="s">
        <v>44968</v>
      </c>
      <c r="F4823" s="751">
        <v>5120</v>
      </c>
    </row>
    <row r="4824" spans="1:6">
      <c r="A4824" s="753"/>
      <c r="B4824" s="753"/>
      <c r="C4824" s="752" t="s">
        <v>44984</v>
      </c>
      <c r="D4824" s="753" t="s">
        <v>44981</v>
      </c>
      <c r="E4824" s="752" t="s">
        <v>38294</v>
      </c>
      <c r="F4824" s="751">
        <v>5670</v>
      </c>
    </row>
    <row r="4825" spans="1:6">
      <c r="A4825" s="753"/>
      <c r="B4825" s="753"/>
      <c r="C4825" s="752" t="s">
        <v>44983</v>
      </c>
      <c r="D4825" s="753" t="s">
        <v>44979</v>
      </c>
      <c r="E4825" s="752" t="s">
        <v>38294</v>
      </c>
      <c r="F4825" s="751">
        <v>3325</v>
      </c>
    </row>
    <row r="4826" spans="1:6">
      <c r="A4826" s="753"/>
      <c r="B4826" s="753"/>
      <c r="C4826" s="752" t="s">
        <v>44982</v>
      </c>
      <c r="D4826" s="753" t="s">
        <v>44981</v>
      </c>
      <c r="E4826" s="752" t="s">
        <v>43739</v>
      </c>
      <c r="F4826" s="751">
        <v>5420</v>
      </c>
    </row>
    <row r="4827" spans="1:6">
      <c r="A4827" s="753"/>
      <c r="B4827" s="753"/>
      <c r="C4827" s="752" t="s">
        <v>44980</v>
      </c>
      <c r="D4827" s="753" t="s">
        <v>44979</v>
      </c>
      <c r="E4827" s="752" t="s">
        <v>43739</v>
      </c>
      <c r="F4827" s="751">
        <v>3075</v>
      </c>
    </row>
    <row r="4828" spans="1:6">
      <c r="A4828" s="753"/>
      <c r="B4828" s="753"/>
      <c r="C4828" s="752" t="s">
        <v>44978</v>
      </c>
      <c r="D4828" s="753" t="s">
        <v>44975</v>
      </c>
      <c r="E4828" s="752" t="s">
        <v>38035</v>
      </c>
      <c r="F4828" s="751">
        <v>4670</v>
      </c>
    </row>
    <row r="4829" spans="1:6">
      <c r="A4829" s="753"/>
      <c r="B4829" s="753"/>
      <c r="C4829" s="752" t="s">
        <v>44977</v>
      </c>
      <c r="D4829" s="753" t="s">
        <v>44975</v>
      </c>
      <c r="E4829" s="752" t="s">
        <v>44970</v>
      </c>
      <c r="F4829" s="751">
        <v>4420</v>
      </c>
    </row>
    <row r="4830" spans="1:6">
      <c r="A4830" s="753"/>
      <c r="B4830" s="753"/>
      <c r="C4830" s="752" t="s">
        <v>44976</v>
      </c>
      <c r="D4830" s="753" t="s">
        <v>44975</v>
      </c>
      <c r="E4830" s="752" t="s">
        <v>44970</v>
      </c>
      <c r="F4830" s="751">
        <v>4420</v>
      </c>
    </row>
    <row r="4831" spans="1:6">
      <c r="A4831" s="753"/>
      <c r="B4831" s="753"/>
      <c r="C4831" s="752" t="s">
        <v>44974</v>
      </c>
      <c r="D4831" s="753" t="s">
        <v>44558</v>
      </c>
      <c r="E4831" s="752" t="s">
        <v>38035</v>
      </c>
      <c r="F4831" s="751">
        <v>5370</v>
      </c>
    </row>
    <row r="4832" spans="1:6">
      <c r="A4832" s="753"/>
      <c r="B4832" s="753"/>
      <c r="C4832" s="752" t="s">
        <v>44973</v>
      </c>
      <c r="D4832" s="753" t="s">
        <v>44971</v>
      </c>
      <c r="E4832" s="752" t="s">
        <v>43739</v>
      </c>
      <c r="F4832" s="751">
        <v>5915</v>
      </c>
    </row>
    <row r="4833" spans="1:6">
      <c r="A4833" s="753"/>
      <c r="B4833" s="753"/>
      <c r="C4833" s="752" t="s">
        <v>44972</v>
      </c>
      <c r="D4833" s="753" t="s">
        <v>44971</v>
      </c>
      <c r="E4833" s="752" t="s">
        <v>44970</v>
      </c>
      <c r="F4833" s="751">
        <v>5915</v>
      </c>
    </row>
    <row r="4834" spans="1:6">
      <c r="A4834" s="753"/>
      <c r="B4834" s="753"/>
      <c r="C4834" s="752" t="s">
        <v>44969</v>
      </c>
      <c r="D4834" s="753" t="s">
        <v>44558</v>
      </c>
      <c r="E4834" s="752" t="s">
        <v>44968</v>
      </c>
      <c r="F4834" s="751">
        <v>5070</v>
      </c>
    </row>
    <row r="4835" spans="1:6">
      <c r="A4835" s="753"/>
      <c r="B4835" s="753"/>
      <c r="C4835" s="752" t="s">
        <v>44967</v>
      </c>
      <c r="D4835" s="753" t="s">
        <v>44920</v>
      </c>
      <c r="E4835" s="752" t="s">
        <v>44962</v>
      </c>
      <c r="F4835" s="751">
        <v>4575</v>
      </c>
    </row>
    <row r="4836" spans="1:6">
      <c r="A4836" s="753"/>
      <c r="B4836" s="753"/>
      <c r="C4836" s="752" t="s">
        <v>44966</v>
      </c>
      <c r="D4836" s="753" t="s">
        <v>44920</v>
      </c>
      <c r="E4836" s="752" t="s">
        <v>44964</v>
      </c>
      <c r="F4836" s="751">
        <v>4675</v>
      </c>
    </row>
    <row r="4837" spans="1:6">
      <c r="A4837" s="753"/>
      <c r="B4837" s="753"/>
      <c r="C4837" s="752" t="s">
        <v>44965</v>
      </c>
      <c r="D4837" s="753" t="s">
        <v>44920</v>
      </c>
      <c r="E4837" s="752" t="s">
        <v>44964</v>
      </c>
      <c r="F4837" s="751">
        <v>4675</v>
      </c>
    </row>
    <row r="4838" spans="1:6">
      <c r="A4838" s="753"/>
      <c r="B4838" s="753"/>
      <c r="C4838" s="752" t="s">
        <v>44963</v>
      </c>
      <c r="D4838" s="753" t="s">
        <v>44920</v>
      </c>
      <c r="E4838" s="752" t="s">
        <v>44962</v>
      </c>
      <c r="F4838" s="751">
        <v>4575</v>
      </c>
    </row>
    <row r="4839" spans="1:6">
      <c r="A4839" s="753"/>
      <c r="B4839" s="753"/>
      <c r="C4839" s="752" t="s">
        <v>44961</v>
      </c>
      <c r="D4839" s="753" t="s">
        <v>44920</v>
      </c>
      <c r="E4839" s="752" t="s">
        <v>44919</v>
      </c>
      <c r="F4839" s="751">
        <v>4575</v>
      </c>
    </row>
    <row r="4840" spans="1:6">
      <c r="A4840" s="753"/>
      <c r="B4840" s="753"/>
      <c r="C4840" s="752" t="s">
        <v>44960</v>
      </c>
      <c r="D4840" s="753" t="s">
        <v>44959</v>
      </c>
      <c r="E4840" s="752" t="s">
        <v>44958</v>
      </c>
      <c r="F4840" s="751">
        <v>1235</v>
      </c>
    </row>
    <row r="4841" spans="1:6">
      <c r="A4841" s="753"/>
      <c r="B4841" s="753"/>
      <c r="C4841" s="752" t="s">
        <v>44957</v>
      </c>
      <c r="D4841" s="753" t="s">
        <v>43660</v>
      </c>
      <c r="E4841" s="752" t="s">
        <v>43659</v>
      </c>
      <c r="F4841" s="751">
        <v>10895</v>
      </c>
    </row>
    <row r="4842" spans="1:6">
      <c r="A4842" s="753"/>
      <c r="B4842" s="753"/>
      <c r="C4842" s="752" t="s">
        <v>44956</v>
      </c>
      <c r="D4842" s="753" t="s">
        <v>44561</v>
      </c>
      <c r="E4842" s="752" t="s">
        <v>44932</v>
      </c>
      <c r="F4842" s="751">
        <v>10895</v>
      </c>
    </row>
    <row r="4843" spans="1:6">
      <c r="A4843" s="753"/>
      <c r="B4843" s="753"/>
      <c r="C4843" s="752" t="s">
        <v>44955</v>
      </c>
      <c r="D4843" s="753" t="s">
        <v>44942</v>
      </c>
      <c r="E4843" s="752" t="s">
        <v>38010</v>
      </c>
      <c r="F4843" s="751">
        <v>5175</v>
      </c>
    </row>
    <row r="4844" spans="1:6">
      <c r="A4844" s="753"/>
      <c r="B4844" s="753"/>
      <c r="C4844" s="752" t="s">
        <v>44954</v>
      </c>
      <c r="D4844" s="753" t="s">
        <v>44936</v>
      </c>
      <c r="E4844" s="752" t="s">
        <v>44953</v>
      </c>
      <c r="F4844" s="751">
        <v>5975</v>
      </c>
    </row>
    <row r="4845" spans="1:6">
      <c r="A4845" s="753"/>
      <c r="B4845" s="753"/>
      <c r="C4845" s="752" t="s">
        <v>44952</v>
      </c>
      <c r="D4845" s="753" t="s">
        <v>44930</v>
      </c>
      <c r="E4845" s="752" t="s">
        <v>38019</v>
      </c>
      <c r="F4845" s="751">
        <v>5625</v>
      </c>
    </row>
    <row r="4846" spans="1:6">
      <c r="A4846" s="753"/>
      <c r="B4846" s="753"/>
      <c r="C4846" s="752" t="s">
        <v>44951</v>
      </c>
      <c r="D4846" s="753" t="s">
        <v>44942</v>
      </c>
      <c r="E4846" s="752" t="s">
        <v>38019</v>
      </c>
      <c r="F4846" s="751">
        <v>4925</v>
      </c>
    </row>
    <row r="4847" spans="1:6">
      <c r="A4847" s="753"/>
      <c r="B4847" s="753"/>
      <c r="C4847" s="752" t="s">
        <v>44950</v>
      </c>
      <c r="D4847" s="753" t="s">
        <v>44936</v>
      </c>
      <c r="E4847" s="752" t="s">
        <v>44940</v>
      </c>
      <c r="F4847" s="751">
        <v>6005</v>
      </c>
    </row>
    <row r="4848" spans="1:6">
      <c r="A4848" s="753"/>
      <c r="B4848" s="753"/>
      <c r="C4848" s="752" t="s">
        <v>44949</v>
      </c>
      <c r="D4848" s="753" t="s">
        <v>44942</v>
      </c>
      <c r="E4848" s="752" t="s">
        <v>38010</v>
      </c>
      <c r="F4848" s="751">
        <v>5175</v>
      </c>
    </row>
    <row r="4849" spans="1:6">
      <c r="A4849" s="753"/>
      <c r="B4849" s="753"/>
      <c r="C4849" s="752" t="s">
        <v>44948</v>
      </c>
      <c r="D4849" s="753" t="s">
        <v>44942</v>
      </c>
      <c r="E4849" s="752" t="s">
        <v>44947</v>
      </c>
      <c r="F4849" s="751">
        <v>5875</v>
      </c>
    </row>
    <row r="4850" spans="1:6">
      <c r="A4850" s="753"/>
      <c r="B4850" s="753"/>
      <c r="C4850" s="752" t="s">
        <v>44946</v>
      </c>
      <c r="D4850" s="753" t="s">
        <v>44945</v>
      </c>
      <c r="E4850" s="752" t="s">
        <v>44579</v>
      </c>
      <c r="F4850" s="751">
        <v>6355</v>
      </c>
    </row>
    <row r="4851" spans="1:6">
      <c r="A4851" s="753"/>
      <c r="B4851" s="753"/>
      <c r="C4851" s="752" t="s">
        <v>44944</v>
      </c>
      <c r="D4851" s="753" t="s">
        <v>44930</v>
      </c>
      <c r="E4851" s="752" t="s">
        <v>38019</v>
      </c>
      <c r="F4851" s="751">
        <v>5625</v>
      </c>
    </row>
    <row r="4852" spans="1:6">
      <c r="A4852" s="753"/>
      <c r="B4852" s="753"/>
      <c r="C4852" s="752" t="s">
        <v>44943</v>
      </c>
      <c r="D4852" s="753" t="s">
        <v>44942</v>
      </c>
      <c r="E4852" s="752" t="s">
        <v>38019</v>
      </c>
      <c r="F4852" s="751">
        <v>4925</v>
      </c>
    </row>
    <row r="4853" spans="1:6">
      <c r="A4853" s="753"/>
      <c r="B4853" s="753"/>
      <c r="C4853" s="752" t="s">
        <v>44941</v>
      </c>
      <c r="D4853" s="753" t="s">
        <v>44936</v>
      </c>
      <c r="E4853" s="752" t="s">
        <v>44940</v>
      </c>
      <c r="F4853" s="751">
        <v>6005</v>
      </c>
    </row>
    <row r="4854" spans="1:6">
      <c r="A4854" s="753"/>
      <c r="B4854" s="753"/>
      <c r="C4854" s="752" t="s">
        <v>44939</v>
      </c>
      <c r="D4854" s="753" t="s">
        <v>44936</v>
      </c>
      <c r="E4854" s="752" t="s">
        <v>44938</v>
      </c>
      <c r="F4854" s="751">
        <v>4895</v>
      </c>
    </row>
    <row r="4855" spans="1:6">
      <c r="A4855" s="753"/>
      <c r="B4855" s="753"/>
      <c r="C4855" s="752" t="s">
        <v>44937</v>
      </c>
      <c r="D4855" s="753" t="s">
        <v>44936</v>
      </c>
      <c r="E4855" s="752" t="s">
        <v>44935</v>
      </c>
      <c r="F4855" s="751">
        <v>6880</v>
      </c>
    </row>
    <row r="4856" spans="1:6">
      <c r="A4856" s="753"/>
      <c r="B4856" s="753"/>
      <c r="C4856" s="752" t="s">
        <v>44934</v>
      </c>
      <c r="D4856" s="753" t="s">
        <v>43261</v>
      </c>
      <c r="E4856" s="752" t="s">
        <v>43260</v>
      </c>
      <c r="F4856" s="751">
        <v>13095</v>
      </c>
    </row>
    <row r="4857" spans="1:6">
      <c r="A4857" s="753"/>
      <c r="B4857" s="753"/>
      <c r="C4857" s="752" t="s">
        <v>44933</v>
      </c>
      <c r="D4857" s="753" t="s">
        <v>43874</v>
      </c>
      <c r="E4857" s="752" t="s">
        <v>44932</v>
      </c>
      <c r="F4857" s="751">
        <v>13145</v>
      </c>
    </row>
    <row r="4858" spans="1:6">
      <c r="A4858" s="753"/>
      <c r="B4858" s="753"/>
      <c r="C4858" s="752" t="s">
        <v>44931</v>
      </c>
      <c r="D4858" s="753" t="s">
        <v>44930</v>
      </c>
      <c r="E4858" s="752" t="s">
        <v>38019</v>
      </c>
      <c r="F4858" s="751">
        <v>5975</v>
      </c>
    </row>
    <row r="4859" spans="1:6">
      <c r="A4859" s="753"/>
      <c r="B4859" s="753"/>
      <c r="C4859" s="752" t="s">
        <v>44929</v>
      </c>
      <c r="D4859" s="753" t="s">
        <v>44920</v>
      </c>
      <c r="E4859" s="752" t="s">
        <v>38294</v>
      </c>
      <c r="F4859" s="751">
        <v>6525</v>
      </c>
    </row>
    <row r="4860" spans="1:6">
      <c r="A4860" s="753"/>
      <c r="B4860" s="753"/>
      <c r="C4860" s="752" t="s">
        <v>44928</v>
      </c>
      <c r="D4860" s="753" t="s">
        <v>43270</v>
      </c>
      <c r="E4860" s="752" t="s">
        <v>43659</v>
      </c>
      <c r="F4860" s="751">
        <v>10995</v>
      </c>
    </row>
    <row r="4861" spans="1:6">
      <c r="A4861" s="753"/>
      <c r="B4861" s="753"/>
      <c r="C4861" s="752" t="s">
        <v>44927</v>
      </c>
      <c r="D4861" s="753" t="s">
        <v>44920</v>
      </c>
      <c r="E4861" s="752" t="s">
        <v>38019</v>
      </c>
      <c r="F4861" s="751">
        <v>6275</v>
      </c>
    </row>
    <row r="4862" spans="1:6">
      <c r="A4862" s="753"/>
      <c r="B4862" s="753"/>
      <c r="C4862" s="752" t="s">
        <v>44926</v>
      </c>
      <c r="D4862" s="753" t="s">
        <v>44920</v>
      </c>
      <c r="E4862" s="752" t="s">
        <v>38019</v>
      </c>
      <c r="F4862" s="751">
        <v>6325</v>
      </c>
    </row>
    <row r="4863" spans="1:6">
      <c r="A4863" s="753"/>
      <c r="B4863" s="753"/>
      <c r="C4863" s="752" t="s">
        <v>44925</v>
      </c>
      <c r="D4863" s="753" t="s">
        <v>44923</v>
      </c>
      <c r="E4863" s="752" t="s">
        <v>44922</v>
      </c>
      <c r="F4863" s="751">
        <v>5195</v>
      </c>
    </row>
    <row r="4864" spans="1:6">
      <c r="A4864" s="753"/>
      <c r="B4864" s="753"/>
      <c r="C4864" s="752" t="s">
        <v>44924</v>
      </c>
      <c r="D4864" s="753" t="s">
        <v>44923</v>
      </c>
      <c r="E4864" s="752" t="s">
        <v>44922</v>
      </c>
      <c r="F4864" s="751">
        <v>5495</v>
      </c>
    </row>
    <row r="4865" spans="1:6">
      <c r="A4865" s="753"/>
      <c r="B4865" s="753"/>
      <c r="C4865" s="752" t="s">
        <v>44921</v>
      </c>
      <c r="D4865" s="753" t="s">
        <v>44920</v>
      </c>
      <c r="E4865" s="752" t="s">
        <v>44919</v>
      </c>
      <c r="F4865" s="751">
        <v>4575</v>
      </c>
    </row>
    <row r="4866" spans="1:6">
      <c r="A4866" s="753"/>
      <c r="B4866" s="753"/>
      <c r="C4866" s="752" t="s">
        <v>44918</v>
      </c>
      <c r="D4866" s="753" t="s">
        <v>44913</v>
      </c>
      <c r="E4866" s="752"/>
      <c r="F4866" s="751">
        <v>1445</v>
      </c>
    </row>
    <row r="4867" spans="1:6">
      <c r="A4867" s="753"/>
      <c r="B4867" s="753"/>
      <c r="C4867" s="752" t="s">
        <v>44917</v>
      </c>
      <c r="D4867" s="753" t="s">
        <v>44913</v>
      </c>
      <c r="E4867" s="752" t="s">
        <v>44348</v>
      </c>
      <c r="F4867" s="751">
        <v>1445</v>
      </c>
    </row>
    <row r="4868" spans="1:6">
      <c r="A4868" s="753"/>
      <c r="B4868" s="753"/>
      <c r="C4868" s="752" t="s">
        <v>44916</v>
      </c>
      <c r="D4868" s="753" t="s">
        <v>44913</v>
      </c>
      <c r="E4868" s="752" t="s">
        <v>44915</v>
      </c>
      <c r="F4868" s="751">
        <v>1445</v>
      </c>
    </row>
    <row r="4869" spans="1:6">
      <c r="A4869" s="753"/>
      <c r="B4869" s="753"/>
      <c r="C4869" s="752" t="s">
        <v>44914</v>
      </c>
      <c r="D4869" s="753" t="s">
        <v>44913</v>
      </c>
      <c r="E4869" s="752" t="s">
        <v>44912</v>
      </c>
      <c r="F4869" s="751">
        <v>1495</v>
      </c>
    </row>
    <row r="4870" spans="1:6">
      <c r="A4870" s="753"/>
      <c r="B4870" s="753"/>
      <c r="C4870" s="752" t="s">
        <v>44911</v>
      </c>
      <c r="D4870" s="753" t="s">
        <v>44905</v>
      </c>
      <c r="E4870" s="752" t="s">
        <v>293</v>
      </c>
      <c r="F4870" s="751">
        <v>1445</v>
      </c>
    </row>
    <row r="4871" spans="1:6">
      <c r="A4871" s="753"/>
      <c r="B4871" s="753"/>
      <c r="C4871" s="752" t="s">
        <v>44910</v>
      </c>
      <c r="D4871" s="753" t="s">
        <v>44905</v>
      </c>
      <c r="E4871" s="752" t="s">
        <v>44348</v>
      </c>
      <c r="F4871" s="751">
        <v>1445</v>
      </c>
    </row>
    <row r="4872" spans="1:6">
      <c r="A4872" s="753"/>
      <c r="B4872" s="753"/>
      <c r="C4872" s="752" t="s">
        <v>44909</v>
      </c>
      <c r="D4872" s="753" t="s">
        <v>44905</v>
      </c>
      <c r="E4872" s="752" t="s">
        <v>293</v>
      </c>
      <c r="F4872" s="751">
        <v>1745</v>
      </c>
    </row>
    <row r="4873" spans="1:6">
      <c r="A4873" s="753"/>
      <c r="B4873" s="753"/>
      <c r="C4873" s="752" t="s">
        <v>44908</v>
      </c>
      <c r="D4873" s="753" t="s">
        <v>44905</v>
      </c>
      <c r="E4873" s="752" t="s">
        <v>44348</v>
      </c>
      <c r="F4873" s="751">
        <v>1745</v>
      </c>
    </row>
    <row r="4874" spans="1:6">
      <c r="A4874" s="753"/>
      <c r="B4874" s="753"/>
      <c r="C4874" s="752" t="s">
        <v>44907</v>
      </c>
      <c r="D4874" s="753" t="s">
        <v>44905</v>
      </c>
      <c r="E4874" s="752" t="s">
        <v>44348</v>
      </c>
      <c r="F4874" s="751">
        <v>1745</v>
      </c>
    </row>
    <row r="4875" spans="1:6">
      <c r="A4875" s="753"/>
      <c r="B4875" s="753"/>
      <c r="C4875" s="752" t="s">
        <v>44906</v>
      </c>
      <c r="D4875" s="753" t="s">
        <v>44905</v>
      </c>
      <c r="E4875" s="752" t="s">
        <v>293</v>
      </c>
      <c r="F4875" s="751">
        <v>1745</v>
      </c>
    </row>
    <row r="4876" spans="1:6">
      <c r="A4876" s="753"/>
      <c r="B4876" s="753"/>
      <c r="C4876" s="752" t="s">
        <v>44904</v>
      </c>
      <c r="D4876" s="753" t="s">
        <v>44861</v>
      </c>
      <c r="E4876" s="752" t="s">
        <v>44903</v>
      </c>
      <c r="F4876" s="751">
        <v>3475</v>
      </c>
    </row>
    <row r="4877" spans="1:6">
      <c r="A4877" s="753"/>
      <c r="B4877" s="753"/>
      <c r="C4877" s="752" t="s">
        <v>44902</v>
      </c>
      <c r="D4877" s="753" t="s">
        <v>44564</v>
      </c>
      <c r="E4877" s="752" t="s">
        <v>44810</v>
      </c>
      <c r="F4877" s="751">
        <v>4775</v>
      </c>
    </row>
    <row r="4878" spans="1:6">
      <c r="A4878" s="753"/>
      <c r="B4878" s="753"/>
      <c r="C4878" s="752" t="s">
        <v>44901</v>
      </c>
      <c r="D4878" s="753" t="s">
        <v>44564</v>
      </c>
      <c r="E4878" s="752" t="s">
        <v>43877</v>
      </c>
      <c r="F4878" s="751">
        <v>4525</v>
      </c>
    </row>
    <row r="4879" spans="1:6">
      <c r="A4879" s="753"/>
      <c r="B4879" s="753"/>
      <c r="C4879" s="752" t="s">
        <v>44900</v>
      </c>
      <c r="D4879" s="753" t="s">
        <v>44564</v>
      </c>
      <c r="E4879" s="752" t="s">
        <v>44774</v>
      </c>
      <c r="F4879" s="751">
        <v>5425</v>
      </c>
    </row>
    <row r="4880" spans="1:6">
      <c r="A4880" s="753"/>
      <c r="B4880" s="753"/>
      <c r="C4880" s="752" t="s">
        <v>44899</v>
      </c>
      <c r="D4880" s="753" t="s">
        <v>44898</v>
      </c>
      <c r="E4880" s="752" t="s">
        <v>44810</v>
      </c>
      <c r="F4880" s="751">
        <v>4775</v>
      </c>
    </row>
    <row r="4881" spans="1:6">
      <c r="A4881" s="753"/>
      <c r="B4881" s="753"/>
      <c r="C4881" s="752" t="s">
        <v>44897</v>
      </c>
      <c r="D4881" s="753" t="s">
        <v>44861</v>
      </c>
      <c r="E4881" s="752" t="s">
        <v>44896</v>
      </c>
      <c r="F4881" s="751">
        <v>3625</v>
      </c>
    </row>
    <row r="4882" spans="1:6">
      <c r="A4882" s="753"/>
      <c r="B4882" s="753"/>
      <c r="C4882" s="752" t="s">
        <v>44895</v>
      </c>
      <c r="D4882" s="753" t="s">
        <v>44861</v>
      </c>
      <c r="E4882" s="752" t="s">
        <v>44667</v>
      </c>
      <c r="F4882" s="751">
        <v>3625</v>
      </c>
    </row>
    <row r="4883" spans="1:6">
      <c r="A4883" s="753"/>
      <c r="B4883" s="753"/>
      <c r="C4883" s="752" t="s">
        <v>44894</v>
      </c>
      <c r="D4883" s="753" t="s">
        <v>44861</v>
      </c>
      <c r="E4883" s="752" t="s">
        <v>44893</v>
      </c>
      <c r="F4883" s="751">
        <v>3975</v>
      </c>
    </row>
    <row r="4884" spans="1:6">
      <c r="A4884" s="753"/>
      <c r="B4884" s="753"/>
      <c r="C4884" s="752" t="s">
        <v>44892</v>
      </c>
      <c r="D4884" s="753" t="s">
        <v>44861</v>
      </c>
      <c r="E4884" s="752" t="s">
        <v>44891</v>
      </c>
      <c r="F4884" s="751">
        <v>3625</v>
      </c>
    </row>
    <row r="4885" spans="1:6">
      <c r="A4885" s="753"/>
      <c r="B4885" s="753"/>
      <c r="C4885" s="752" t="s">
        <v>44890</v>
      </c>
      <c r="D4885" s="753" t="s">
        <v>44861</v>
      </c>
      <c r="E4885" s="752" t="s">
        <v>44889</v>
      </c>
      <c r="F4885" s="751">
        <v>3975</v>
      </c>
    </row>
    <row r="4886" spans="1:6">
      <c r="A4886" s="753"/>
      <c r="B4886" s="753"/>
      <c r="C4886" s="752" t="s">
        <v>44888</v>
      </c>
      <c r="D4886" s="753" t="s">
        <v>44861</v>
      </c>
      <c r="E4886" s="752" t="s">
        <v>44762</v>
      </c>
      <c r="F4886" s="751">
        <v>3375</v>
      </c>
    </row>
    <row r="4887" spans="1:6">
      <c r="A4887" s="753"/>
      <c r="B4887" s="753"/>
      <c r="C4887" s="752" t="s">
        <v>44887</v>
      </c>
      <c r="D4887" s="753" t="s">
        <v>44861</v>
      </c>
      <c r="E4887" s="752" t="s">
        <v>44865</v>
      </c>
      <c r="F4887" s="751">
        <v>3725</v>
      </c>
    </row>
    <row r="4888" spans="1:6">
      <c r="A4888" s="753"/>
      <c r="B4888" s="753"/>
      <c r="C4888" s="752" t="s">
        <v>44886</v>
      </c>
      <c r="D4888" s="753" t="s">
        <v>44861</v>
      </c>
      <c r="E4888" s="752" t="s">
        <v>39787</v>
      </c>
      <c r="F4888" s="751">
        <v>3375</v>
      </c>
    </row>
    <row r="4889" spans="1:6">
      <c r="A4889" s="753"/>
      <c r="B4889" s="753"/>
      <c r="C4889" s="752" t="s">
        <v>44885</v>
      </c>
      <c r="D4889" s="753" t="s">
        <v>44861</v>
      </c>
      <c r="E4889" s="752" t="s">
        <v>44762</v>
      </c>
      <c r="F4889" s="751">
        <v>3375</v>
      </c>
    </row>
    <row r="4890" spans="1:6">
      <c r="A4890" s="753"/>
      <c r="B4890" s="753"/>
      <c r="C4890" s="752" t="s">
        <v>44884</v>
      </c>
      <c r="D4890" s="753" t="s">
        <v>44861</v>
      </c>
      <c r="E4890" s="752" t="s">
        <v>44883</v>
      </c>
      <c r="F4890" s="751">
        <v>3725</v>
      </c>
    </row>
    <row r="4891" spans="1:6">
      <c r="A4891" s="753"/>
      <c r="B4891" s="753"/>
      <c r="C4891" s="752" t="s">
        <v>44882</v>
      </c>
      <c r="D4891" s="753" t="s">
        <v>44861</v>
      </c>
      <c r="E4891" s="752" t="s">
        <v>39787</v>
      </c>
      <c r="F4891" s="751">
        <v>3375</v>
      </c>
    </row>
    <row r="4892" spans="1:6">
      <c r="A4892" s="753"/>
      <c r="B4892" s="753"/>
      <c r="C4892" s="752" t="s">
        <v>44881</v>
      </c>
      <c r="D4892" s="753" t="s">
        <v>44861</v>
      </c>
      <c r="E4892" s="752" t="s">
        <v>44880</v>
      </c>
      <c r="F4892" s="751">
        <v>3725</v>
      </c>
    </row>
    <row r="4893" spans="1:6">
      <c r="A4893" s="753"/>
      <c r="B4893" s="753"/>
      <c r="C4893" s="752" t="s">
        <v>44879</v>
      </c>
      <c r="D4893" s="753" t="s">
        <v>44861</v>
      </c>
      <c r="E4893" s="752" t="s">
        <v>44878</v>
      </c>
      <c r="F4893" s="751">
        <v>3975</v>
      </c>
    </row>
    <row r="4894" spans="1:6">
      <c r="A4894" s="753"/>
      <c r="B4894" s="753"/>
      <c r="C4894" s="752" t="s">
        <v>44877</v>
      </c>
      <c r="D4894" s="753" t="s">
        <v>44861</v>
      </c>
      <c r="E4894" s="752" t="s">
        <v>44876</v>
      </c>
      <c r="F4894" s="751">
        <v>3225</v>
      </c>
    </row>
    <row r="4895" spans="1:6">
      <c r="A4895" s="753"/>
      <c r="B4895" s="753"/>
      <c r="C4895" s="752" t="s">
        <v>44875</v>
      </c>
      <c r="D4895" s="753" t="s">
        <v>44861</v>
      </c>
      <c r="E4895" s="752" t="s">
        <v>44667</v>
      </c>
      <c r="F4895" s="751">
        <v>3625</v>
      </c>
    </row>
    <row r="4896" spans="1:6">
      <c r="A4896" s="753"/>
      <c r="B4896" s="753"/>
      <c r="C4896" s="752" t="s">
        <v>44874</v>
      </c>
      <c r="D4896" s="753" t="s">
        <v>44861</v>
      </c>
      <c r="E4896" s="752" t="s">
        <v>44652</v>
      </c>
      <c r="F4896" s="751">
        <v>3975</v>
      </c>
    </row>
    <row r="4897" spans="1:6">
      <c r="A4897" s="753"/>
      <c r="B4897" s="753"/>
      <c r="C4897" s="752" t="s">
        <v>44873</v>
      </c>
      <c r="D4897" s="753" t="s">
        <v>44861</v>
      </c>
      <c r="E4897" s="752" t="s">
        <v>44872</v>
      </c>
      <c r="F4897" s="751">
        <v>3725</v>
      </c>
    </row>
    <row r="4898" spans="1:6">
      <c r="A4898" s="753"/>
      <c r="B4898" s="753"/>
      <c r="C4898" s="752" t="s">
        <v>44871</v>
      </c>
      <c r="D4898" s="753" t="s">
        <v>44861</v>
      </c>
      <c r="E4898" s="752" t="s">
        <v>44870</v>
      </c>
      <c r="F4898" s="751">
        <v>3375</v>
      </c>
    </row>
    <row r="4899" spans="1:6">
      <c r="A4899" s="753"/>
      <c r="B4899" s="753"/>
      <c r="C4899" s="752" t="s">
        <v>44869</v>
      </c>
      <c r="D4899" s="753" t="s">
        <v>44861</v>
      </c>
      <c r="E4899" s="752" t="s">
        <v>44865</v>
      </c>
      <c r="F4899" s="751">
        <v>3725</v>
      </c>
    </row>
    <row r="4900" spans="1:6">
      <c r="A4900" s="753"/>
      <c r="B4900" s="753"/>
      <c r="C4900" s="752" t="s">
        <v>44868</v>
      </c>
      <c r="D4900" s="753" t="s">
        <v>44861</v>
      </c>
      <c r="E4900" s="752" t="s">
        <v>39787</v>
      </c>
      <c r="F4900" s="751">
        <v>3375</v>
      </c>
    </row>
    <row r="4901" spans="1:6">
      <c r="A4901" s="753"/>
      <c r="B4901" s="753"/>
      <c r="C4901" s="752" t="s">
        <v>44867</v>
      </c>
      <c r="D4901" s="753" t="s">
        <v>44861</v>
      </c>
      <c r="E4901" s="752" t="s">
        <v>44860</v>
      </c>
      <c r="F4901" s="751">
        <v>3725</v>
      </c>
    </row>
    <row r="4902" spans="1:6">
      <c r="A4902" s="753"/>
      <c r="B4902" s="753"/>
      <c r="C4902" s="752" t="s">
        <v>44866</v>
      </c>
      <c r="D4902" s="753" t="s">
        <v>44861</v>
      </c>
      <c r="E4902" s="752" t="s">
        <v>44865</v>
      </c>
      <c r="F4902" s="751">
        <v>3725</v>
      </c>
    </row>
    <row r="4903" spans="1:6">
      <c r="A4903" s="753"/>
      <c r="B4903" s="753"/>
      <c r="C4903" s="752" t="s">
        <v>44864</v>
      </c>
      <c r="D4903" s="753" t="s">
        <v>44861</v>
      </c>
      <c r="E4903" s="752" t="s">
        <v>44863</v>
      </c>
      <c r="F4903" s="751">
        <v>3375</v>
      </c>
    </row>
    <row r="4904" spans="1:6">
      <c r="A4904" s="753"/>
      <c r="B4904" s="753"/>
      <c r="C4904" s="752" t="s">
        <v>44862</v>
      </c>
      <c r="D4904" s="753" t="s">
        <v>44861</v>
      </c>
      <c r="E4904" s="752" t="s">
        <v>44860</v>
      </c>
      <c r="F4904" s="751">
        <v>3725</v>
      </c>
    </row>
    <row r="4905" spans="1:6">
      <c r="A4905" s="753"/>
      <c r="B4905" s="753"/>
      <c r="C4905" s="752" t="s">
        <v>44859</v>
      </c>
      <c r="D4905" s="753" t="s">
        <v>44813</v>
      </c>
      <c r="E4905" s="752" t="s">
        <v>44810</v>
      </c>
      <c r="F4905" s="751">
        <v>4675</v>
      </c>
    </row>
    <row r="4906" spans="1:6">
      <c r="A4906" s="753"/>
      <c r="B4906" s="753"/>
      <c r="C4906" s="752" t="s">
        <v>44858</v>
      </c>
      <c r="D4906" s="753" t="s">
        <v>44813</v>
      </c>
      <c r="E4906" s="752" t="s">
        <v>44810</v>
      </c>
      <c r="F4906" s="751">
        <v>4675</v>
      </c>
    </row>
    <row r="4907" spans="1:6">
      <c r="A4907" s="753"/>
      <c r="B4907" s="753"/>
      <c r="C4907" s="752" t="s">
        <v>44857</v>
      </c>
      <c r="D4907" s="753" t="s">
        <v>44813</v>
      </c>
      <c r="E4907" s="752" t="s">
        <v>44719</v>
      </c>
      <c r="F4907" s="751">
        <v>5675</v>
      </c>
    </row>
    <row r="4908" spans="1:6">
      <c r="A4908" s="753"/>
      <c r="B4908" s="753"/>
      <c r="C4908" s="752" t="s">
        <v>44856</v>
      </c>
      <c r="D4908" s="753" t="s">
        <v>44813</v>
      </c>
      <c r="E4908" s="752" t="s">
        <v>44820</v>
      </c>
      <c r="F4908" s="751">
        <v>5675</v>
      </c>
    </row>
    <row r="4909" spans="1:6">
      <c r="A4909" s="753"/>
      <c r="B4909" s="753"/>
      <c r="C4909" s="752" t="s">
        <v>44855</v>
      </c>
      <c r="D4909" s="753" t="s">
        <v>44813</v>
      </c>
      <c r="E4909" s="752" t="s">
        <v>44784</v>
      </c>
      <c r="F4909" s="751">
        <v>4425</v>
      </c>
    </row>
    <row r="4910" spans="1:6">
      <c r="A4910" s="753"/>
      <c r="B4910" s="753"/>
      <c r="C4910" s="752" t="s">
        <v>44854</v>
      </c>
      <c r="D4910" s="753" t="s">
        <v>44813</v>
      </c>
      <c r="E4910" s="752" t="s">
        <v>44797</v>
      </c>
      <c r="F4910" s="751">
        <v>5185</v>
      </c>
    </row>
    <row r="4911" spans="1:6">
      <c r="A4911" s="753"/>
      <c r="B4911" s="753"/>
      <c r="C4911" s="752" t="s">
        <v>44853</v>
      </c>
      <c r="D4911" s="753" t="s">
        <v>44813</v>
      </c>
      <c r="E4911" s="752" t="s">
        <v>44782</v>
      </c>
      <c r="F4911" s="751">
        <v>4425</v>
      </c>
    </row>
    <row r="4912" spans="1:6">
      <c r="A4912" s="753"/>
      <c r="B4912" s="753"/>
      <c r="C4912" s="752" t="s">
        <v>44852</v>
      </c>
      <c r="D4912" s="753" t="s">
        <v>44813</v>
      </c>
      <c r="E4912" s="752" t="s">
        <v>44816</v>
      </c>
      <c r="F4912" s="751">
        <v>5325</v>
      </c>
    </row>
    <row r="4913" spans="1:6">
      <c r="A4913" s="753"/>
      <c r="B4913" s="753"/>
      <c r="C4913" s="752" t="s">
        <v>44851</v>
      </c>
      <c r="D4913" s="753" t="s">
        <v>44813</v>
      </c>
      <c r="E4913" s="752" t="s">
        <v>44774</v>
      </c>
      <c r="F4913" s="751">
        <v>5325</v>
      </c>
    </row>
    <row r="4914" spans="1:6">
      <c r="A4914" s="753"/>
      <c r="B4914" s="753"/>
      <c r="C4914" s="752" t="s">
        <v>44850</v>
      </c>
      <c r="D4914" s="753" t="s">
        <v>44813</v>
      </c>
      <c r="E4914" s="752" t="s">
        <v>44849</v>
      </c>
      <c r="F4914" s="751">
        <v>4425</v>
      </c>
    </row>
    <row r="4915" spans="1:6">
      <c r="A4915" s="753"/>
      <c r="B4915" s="753"/>
      <c r="C4915" s="752" t="s">
        <v>44848</v>
      </c>
      <c r="D4915" s="753" t="s">
        <v>44813</v>
      </c>
      <c r="E4915" s="752" t="s">
        <v>44810</v>
      </c>
      <c r="F4915" s="751">
        <v>4675</v>
      </c>
    </row>
    <row r="4916" spans="1:6">
      <c r="A4916" s="753"/>
      <c r="B4916" s="753"/>
      <c r="C4916" s="752" t="s">
        <v>44847</v>
      </c>
      <c r="D4916" s="753" t="s">
        <v>44813</v>
      </c>
      <c r="E4916" s="752" t="s">
        <v>44820</v>
      </c>
      <c r="F4916" s="751">
        <v>5675</v>
      </c>
    </row>
    <row r="4917" spans="1:6">
      <c r="A4917" s="753"/>
      <c r="B4917" s="753"/>
      <c r="C4917" s="752" t="s">
        <v>44846</v>
      </c>
      <c r="D4917" s="753" t="s">
        <v>44845</v>
      </c>
      <c r="E4917" s="752" t="s">
        <v>44820</v>
      </c>
      <c r="F4917" s="751">
        <v>5325</v>
      </c>
    </row>
    <row r="4918" spans="1:6">
      <c r="A4918" s="753"/>
      <c r="B4918" s="753"/>
      <c r="C4918" s="752" t="s">
        <v>44844</v>
      </c>
      <c r="D4918" s="753" t="s">
        <v>44813</v>
      </c>
      <c r="E4918" s="752" t="s">
        <v>44784</v>
      </c>
      <c r="F4918" s="751">
        <v>4425</v>
      </c>
    </row>
    <row r="4919" spans="1:6">
      <c r="A4919" s="753"/>
      <c r="B4919" s="753"/>
      <c r="C4919" s="752" t="s">
        <v>44843</v>
      </c>
      <c r="D4919" s="753" t="s">
        <v>44813</v>
      </c>
      <c r="E4919" s="752" t="s">
        <v>44842</v>
      </c>
      <c r="F4919" s="751">
        <v>5185</v>
      </c>
    </row>
    <row r="4920" spans="1:6">
      <c r="A4920" s="753"/>
      <c r="B4920" s="753"/>
      <c r="C4920" s="752" t="s">
        <v>44841</v>
      </c>
      <c r="D4920" s="753" t="s">
        <v>44813</v>
      </c>
      <c r="E4920" s="752" t="s">
        <v>44774</v>
      </c>
      <c r="F4920" s="751">
        <v>5325</v>
      </c>
    </row>
    <row r="4921" spans="1:6">
      <c r="A4921" s="753"/>
      <c r="B4921" s="753"/>
      <c r="C4921" s="752" t="s">
        <v>44840</v>
      </c>
      <c r="D4921" s="753" t="s">
        <v>44813</v>
      </c>
      <c r="E4921" s="752" t="s">
        <v>44839</v>
      </c>
      <c r="F4921" s="751">
        <v>4375</v>
      </c>
    </row>
    <row r="4922" spans="1:6">
      <c r="A4922" s="753"/>
      <c r="B4922" s="753"/>
      <c r="C4922" s="752" t="s">
        <v>44838</v>
      </c>
      <c r="D4922" s="753" t="s">
        <v>44813</v>
      </c>
      <c r="E4922" s="752" t="s">
        <v>44837</v>
      </c>
      <c r="F4922" s="751">
        <v>4975</v>
      </c>
    </row>
    <row r="4923" spans="1:6">
      <c r="A4923" s="753"/>
      <c r="B4923" s="753"/>
      <c r="C4923" s="752" t="s">
        <v>44836</v>
      </c>
      <c r="D4923" s="753" t="s">
        <v>44813</v>
      </c>
      <c r="E4923" s="752" t="s">
        <v>44810</v>
      </c>
      <c r="F4923" s="751">
        <v>4675</v>
      </c>
    </row>
    <row r="4924" spans="1:6">
      <c r="A4924" s="753"/>
      <c r="B4924" s="753"/>
      <c r="C4924" s="752" t="s">
        <v>44835</v>
      </c>
      <c r="D4924" s="753" t="s">
        <v>44813</v>
      </c>
      <c r="E4924" s="752" t="s">
        <v>44820</v>
      </c>
      <c r="F4924" s="751">
        <v>5675</v>
      </c>
    </row>
    <row r="4925" spans="1:6">
      <c r="A4925" s="753"/>
      <c r="B4925" s="753"/>
      <c r="C4925" s="752" t="s">
        <v>44834</v>
      </c>
      <c r="D4925" s="753" t="s">
        <v>44813</v>
      </c>
      <c r="E4925" s="752" t="s">
        <v>44597</v>
      </c>
      <c r="F4925" s="751">
        <v>5675</v>
      </c>
    </row>
    <row r="4926" spans="1:6">
      <c r="A4926" s="753"/>
      <c r="B4926" s="753"/>
      <c r="C4926" s="752" t="s">
        <v>44833</v>
      </c>
      <c r="D4926" s="753" t="s">
        <v>44813</v>
      </c>
      <c r="E4926" s="752" t="s">
        <v>44810</v>
      </c>
      <c r="F4926" s="751">
        <v>4675</v>
      </c>
    </row>
    <row r="4927" spans="1:6">
      <c r="A4927" s="753"/>
      <c r="B4927" s="753"/>
      <c r="C4927" s="752" t="s">
        <v>44832</v>
      </c>
      <c r="D4927" s="753" t="s">
        <v>44813</v>
      </c>
      <c r="E4927" s="752" t="s">
        <v>44611</v>
      </c>
      <c r="F4927" s="751">
        <v>5675</v>
      </c>
    </row>
    <row r="4928" spans="1:6">
      <c r="A4928" s="753"/>
      <c r="B4928" s="753"/>
      <c r="C4928" s="752" t="s">
        <v>44831</v>
      </c>
      <c r="D4928" s="753" t="s">
        <v>44813</v>
      </c>
      <c r="E4928" s="752" t="s">
        <v>44810</v>
      </c>
      <c r="F4928" s="751">
        <v>4675</v>
      </c>
    </row>
    <row r="4929" spans="1:6">
      <c r="A4929" s="753"/>
      <c r="B4929" s="753"/>
      <c r="C4929" s="752" t="s">
        <v>44830</v>
      </c>
      <c r="D4929" s="753" t="s">
        <v>44813</v>
      </c>
      <c r="E4929" s="752" t="s">
        <v>44829</v>
      </c>
      <c r="F4929" s="751">
        <v>3875</v>
      </c>
    </row>
    <row r="4930" spans="1:6">
      <c r="A4930" s="753"/>
      <c r="B4930" s="753"/>
      <c r="C4930" s="752" t="s">
        <v>44828</v>
      </c>
      <c r="D4930" s="753" t="s">
        <v>44813</v>
      </c>
      <c r="E4930" s="752" t="s">
        <v>44827</v>
      </c>
      <c r="F4930" s="751">
        <v>4675</v>
      </c>
    </row>
    <row r="4931" spans="1:6">
      <c r="A4931" s="753"/>
      <c r="B4931" s="753"/>
      <c r="C4931" s="752" t="s">
        <v>44826</v>
      </c>
      <c r="D4931" s="753" t="s">
        <v>44813</v>
      </c>
      <c r="E4931" s="752" t="s">
        <v>44825</v>
      </c>
      <c r="F4931" s="751">
        <v>4375</v>
      </c>
    </row>
    <row r="4932" spans="1:6">
      <c r="A4932" s="753"/>
      <c r="B4932" s="753"/>
      <c r="C4932" s="752" t="s">
        <v>44824</v>
      </c>
      <c r="D4932" s="753" t="s">
        <v>44813</v>
      </c>
      <c r="E4932" s="752" t="s">
        <v>44719</v>
      </c>
      <c r="F4932" s="751">
        <v>5675</v>
      </c>
    </row>
    <row r="4933" spans="1:6">
      <c r="A4933" s="753"/>
      <c r="B4933" s="753"/>
      <c r="C4933" s="752" t="s">
        <v>44823</v>
      </c>
      <c r="D4933" s="753" t="s">
        <v>44813</v>
      </c>
      <c r="E4933" s="752" t="s">
        <v>44822</v>
      </c>
      <c r="F4933" s="751">
        <v>5435</v>
      </c>
    </row>
    <row r="4934" spans="1:6">
      <c r="A4934" s="753"/>
      <c r="B4934" s="753"/>
      <c r="C4934" s="752" t="s">
        <v>44821</v>
      </c>
      <c r="D4934" s="753" t="s">
        <v>44813</v>
      </c>
      <c r="E4934" s="752" t="s">
        <v>44820</v>
      </c>
      <c r="F4934" s="751">
        <v>5675</v>
      </c>
    </row>
    <row r="4935" spans="1:6">
      <c r="A4935" s="753"/>
      <c r="B4935" s="753"/>
      <c r="C4935" s="752" t="s">
        <v>44819</v>
      </c>
      <c r="D4935" s="753" t="s">
        <v>44813</v>
      </c>
      <c r="E4935" s="752" t="s">
        <v>44784</v>
      </c>
      <c r="F4935" s="751">
        <v>4425</v>
      </c>
    </row>
    <row r="4936" spans="1:6">
      <c r="A4936" s="753"/>
      <c r="B4936" s="753"/>
      <c r="C4936" s="752" t="s">
        <v>44818</v>
      </c>
      <c r="D4936" s="753" t="s">
        <v>44813</v>
      </c>
      <c r="E4936" s="752" t="s">
        <v>44782</v>
      </c>
      <c r="F4936" s="751">
        <v>4425</v>
      </c>
    </row>
    <row r="4937" spans="1:6">
      <c r="A4937" s="753"/>
      <c r="B4937" s="753"/>
      <c r="C4937" s="752" t="s">
        <v>44817</v>
      </c>
      <c r="D4937" s="753" t="s">
        <v>44813</v>
      </c>
      <c r="E4937" s="752" t="s">
        <v>44816</v>
      </c>
      <c r="F4937" s="751">
        <v>5325</v>
      </c>
    </row>
    <row r="4938" spans="1:6">
      <c r="A4938" s="753"/>
      <c r="B4938" s="753"/>
      <c r="C4938" s="752" t="s">
        <v>44815</v>
      </c>
      <c r="D4938" s="753" t="s">
        <v>44813</v>
      </c>
      <c r="E4938" s="752" t="s">
        <v>44777</v>
      </c>
      <c r="F4938" s="751">
        <v>5185</v>
      </c>
    </row>
    <row r="4939" spans="1:6">
      <c r="A4939" s="753"/>
      <c r="B4939" s="753"/>
      <c r="C4939" s="752" t="s">
        <v>44814</v>
      </c>
      <c r="D4939" s="753" t="s">
        <v>44813</v>
      </c>
      <c r="E4939" s="752" t="s">
        <v>44774</v>
      </c>
      <c r="F4939" s="751">
        <v>5325</v>
      </c>
    </row>
    <row r="4940" spans="1:6">
      <c r="A4940" s="753"/>
      <c r="B4940" s="753"/>
      <c r="C4940" s="752" t="s">
        <v>44812</v>
      </c>
      <c r="D4940" s="753" t="s">
        <v>44775</v>
      </c>
      <c r="E4940" s="752" t="s">
        <v>44608</v>
      </c>
      <c r="F4940" s="751">
        <v>4675</v>
      </c>
    </row>
    <row r="4941" spans="1:6">
      <c r="A4941" s="753"/>
      <c r="B4941" s="753"/>
      <c r="C4941" s="752" t="s">
        <v>44811</v>
      </c>
      <c r="D4941" s="753" t="s">
        <v>44778</v>
      </c>
      <c r="E4941" s="752" t="s">
        <v>44810</v>
      </c>
      <c r="F4941" s="751">
        <v>4675</v>
      </c>
    </row>
    <row r="4942" spans="1:6">
      <c r="A4942" s="753"/>
      <c r="B4942" s="753"/>
      <c r="C4942" s="752" t="s">
        <v>44809</v>
      </c>
      <c r="D4942" s="753" t="s">
        <v>44778</v>
      </c>
      <c r="E4942" s="752" t="s">
        <v>44719</v>
      </c>
      <c r="F4942" s="751">
        <v>5675</v>
      </c>
    </row>
    <row r="4943" spans="1:6">
      <c r="A4943" s="753"/>
      <c r="B4943" s="753"/>
      <c r="C4943" s="752" t="s">
        <v>44808</v>
      </c>
      <c r="D4943" s="753" t="s">
        <v>44775</v>
      </c>
      <c r="E4943" s="752" t="s">
        <v>44597</v>
      </c>
      <c r="F4943" s="751">
        <v>5675</v>
      </c>
    </row>
    <row r="4944" spans="1:6">
      <c r="A4944" s="753"/>
      <c r="B4944" s="753"/>
      <c r="C4944" s="752" t="s">
        <v>44807</v>
      </c>
      <c r="D4944" s="753" t="s">
        <v>44775</v>
      </c>
      <c r="E4944" s="752" t="s">
        <v>44784</v>
      </c>
      <c r="F4944" s="751">
        <v>4425</v>
      </c>
    </row>
    <row r="4945" spans="1:6">
      <c r="A4945" s="753"/>
      <c r="B4945" s="753"/>
      <c r="C4945" s="752" t="s">
        <v>44806</v>
      </c>
      <c r="D4945" s="753" t="s">
        <v>44778</v>
      </c>
      <c r="E4945" s="752" t="s">
        <v>44782</v>
      </c>
      <c r="F4945" s="751">
        <v>4425</v>
      </c>
    </row>
    <row r="4946" spans="1:6">
      <c r="A4946" s="753"/>
      <c r="B4946" s="753"/>
      <c r="C4946" s="752" t="s">
        <v>44805</v>
      </c>
      <c r="D4946" s="753" t="s">
        <v>44778</v>
      </c>
      <c r="E4946" s="752" t="s">
        <v>44780</v>
      </c>
      <c r="F4946" s="751">
        <v>5325</v>
      </c>
    </row>
    <row r="4947" spans="1:6">
      <c r="A4947" s="753"/>
      <c r="B4947" s="753"/>
      <c r="C4947" s="752" t="s">
        <v>44804</v>
      </c>
      <c r="D4947" s="753" t="s">
        <v>44775</v>
      </c>
      <c r="E4947" s="752" t="s">
        <v>44774</v>
      </c>
      <c r="F4947" s="751">
        <v>5325</v>
      </c>
    </row>
    <row r="4948" spans="1:6">
      <c r="A4948" s="753"/>
      <c r="B4948" s="753"/>
      <c r="C4948" s="752" t="s">
        <v>44803</v>
      </c>
      <c r="D4948" s="753" t="s">
        <v>44775</v>
      </c>
      <c r="E4948" s="752" t="s">
        <v>44608</v>
      </c>
      <c r="F4948" s="751">
        <v>4675</v>
      </c>
    </row>
    <row r="4949" spans="1:6">
      <c r="A4949" s="753"/>
      <c r="B4949" s="753"/>
      <c r="C4949" s="752" t="s">
        <v>44802</v>
      </c>
      <c r="D4949" s="753" t="s">
        <v>44775</v>
      </c>
      <c r="E4949" s="752" t="s">
        <v>44801</v>
      </c>
      <c r="F4949" s="751">
        <v>5435</v>
      </c>
    </row>
    <row r="4950" spans="1:6">
      <c r="A4950" s="753"/>
      <c r="B4950" s="753"/>
      <c r="C4950" s="752" t="s">
        <v>44800</v>
      </c>
      <c r="D4950" s="753" t="s">
        <v>44775</v>
      </c>
      <c r="E4950" s="752" t="s">
        <v>44597</v>
      </c>
      <c r="F4950" s="751">
        <v>5675</v>
      </c>
    </row>
    <row r="4951" spans="1:6">
      <c r="A4951" s="753"/>
      <c r="B4951" s="753"/>
      <c r="C4951" s="752" t="s">
        <v>44799</v>
      </c>
      <c r="D4951" s="753" t="s">
        <v>44775</v>
      </c>
      <c r="E4951" s="752" t="s">
        <v>44784</v>
      </c>
      <c r="F4951" s="751">
        <v>4425</v>
      </c>
    </row>
    <row r="4952" spans="1:6">
      <c r="A4952" s="753"/>
      <c r="B4952" s="753"/>
      <c r="C4952" s="752" t="s">
        <v>44798</v>
      </c>
      <c r="D4952" s="753" t="s">
        <v>44775</v>
      </c>
      <c r="E4952" s="752" t="s">
        <v>44797</v>
      </c>
      <c r="F4952" s="751">
        <v>5185</v>
      </c>
    </row>
    <row r="4953" spans="1:6">
      <c r="A4953" s="753"/>
      <c r="B4953" s="753"/>
      <c r="C4953" s="752" t="s">
        <v>44796</v>
      </c>
      <c r="D4953" s="753" t="s">
        <v>44775</v>
      </c>
      <c r="E4953" s="752" t="s">
        <v>44795</v>
      </c>
      <c r="F4953" s="751">
        <v>7425</v>
      </c>
    </row>
    <row r="4954" spans="1:6">
      <c r="A4954" s="753"/>
      <c r="B4954" s="753"/>
      <c r="C4954" s="752" t="s">
        <v>44794</v>
      </c>
      <c r="D4954" s="753" t="s">
        <v>44775</v>
      </c>
      <c r="E4954" s="752" t="s">
        <v>44774</v>
      </c>
      <c r="F4954" s="751">
        <v>5325</v>
      </c>
    </row>
    <row r="4955" spans="1:6">
      <c r="A4955" s="753"/>
      <c r="B4955" s="753"/>
      <c r="C4955" s="752" t="s">
        <v>44793</v>
      </c>
      <c r="D4955" s="753" t="s">
        <v>44775</v>
      </c>
      <c r="E4955" s="752" t="s">
        <v>44792</v>
      </c>
      <c r="F4955" s="751">
        <v>4675</v>
      </c>
    </row>
    <row r="4956" spans="1:6">
      <c r="A4956" s="753"/>
      <c r="B4956" s="753"/>
      <c r="C4956" s="752" t="s">
        <v>44791</v>
      </c>
      <c r="D4956" s="753" t="s">
        <v>44775</v>
      </c>
      <c r="E4956" s="752" t="s">
        <v>44597</v>
      </c>
      <c r="F4956" s="751">
        <v>5675</v>
      </c>
    </row>
    <row r="4957" spans="1:6">
      <c r="A4957" s="753"/>
      <c r="B4957" s="753"/>
      <c r="C4957" s="752" t="s">
        <v>44790</v>
      </c>
      <c r="D4957" s="753" t="s">
        <v>44775</v>
      </c>
      <c r="E4957" s="752" t="s">
        <v>44597</v>
      </c>
      <c r="F4957" s="751">
        <v>5675</v>
      </c>
    </row>
    <row r="4958" spans="1:6">
      <c r="A4958" s="753"/>
      <c r="B4958" s="753"/>
      <c r="C4958" s="752" t="s">
        <v>44789</v>
      </c>
      <c r="D4958" s="753" t="s">
        <v>44775</v>
      </c>
      <c r="E4958" s="752" t="s">
        <v>44608</v>
      </c>
      <c r="F4958" s="751">
        <v>4675</v>
      </c>
    </row>
    <row r="4959" spans="1:6">
      <c r="A4959" s="753"/>
      <c r="B4959" s="753"/>
      <c r="C4959" s="752" t="s">
        <v>44788</v>
      </c>
      <c r="D4959" s="753" t="s">
        <v>44775</v>
      </c>
      <c r="E4959" s="752" t="s">
        <v>44787</v>
      </c>
      <c r="F4959" s="751">
        <v>5435</v>
      </c>
    </row>
    <row r="4960" spans="1:6">
      <c r="A4960" s="753"/>
      <c r="B4960" s="753"/>
      <c r="C4960" s="752" t="s">
        <v>44786</v>
      </c>
      <c r="D4960" s="753" t="s">
        <v>44775</v>
      </c>
      <c r="E4960" s="752" t="s">
        <v>44597</v>
      </c>
      <c r="F4960" s="751">
        <v>5675</v>
      </c>
    </row>
    <row r="4961" spans="1:6">
      <c r="A4961" s="753"/>
      <c r="B4961" s="753"/>
      <c r="C4961" s="752" t="s">
        <v>44785</v>
      </c>
      <c r="D4961" s="753" t="s">
        <v>44775</v>
      </c>
      <c r="E4961" s="752" t="s">
        <v>44784</v>
      </c>
      <c r="F4961" s="751">
        <v>4425</v>
      </c>
    </row>
    <row r="4962" spans="1:6">
      <c r="A4962" s="753"/>
      <c r="B4962" s="753"/>
      <c r="C4962" s="752" t="s">
        <v>44783</v>
      </c>
      <c r="D4962" s="753" t="s">
        <v>44778</v>
      </c>
      <c r="E4962" s="752" t="s">
        <v>44782</v>
      </c>
      <c r="F4962" s="751">
        <v>4425</v>
      </c>
    </row>
    <row r="4963" spans="1:6">
      <c r="A4963" s="753"/>
      <c r="B4963" s="753"/>
      <c r="C4963" s="752" t="s">
        <v>44781</v>
      </c>
      <c r="D4963" s="753" t="s">
        <v>44778</v>
      </c>
      <c r="E4963" s="752" t="s">
        <v>44780</v>
      </c>
      <c r="F4963" s="751">
        <v>5325</v>
      </c>
    </row>
    <row r="4964" spans="1:6">
      <c r="A4964" s="753"/>
      <c r="B4964" s="753"/>
      <c r="C4964" s="752" t="s">
        <v>44779</v>
      </c>
      <c r="D4964" s="753" t="s">
        <v>44778</v>
      </c>
      <c r="E4964" s="752" t="s">
        <v>44777</v>
      </c>
      <c r="F4964" s="751">
        <v>5185</v>
      </c>
    </row>
    <row r="4965" spans="1:6">
      <c r="A4965" s="753"/>
      <c r="B4965" s="753"/>
      <c r="C4965" s="752" t="s">
        <v>44776</v>
      </c>
      <c r="D4965" s="753" t="s">
        <v>44775</v>
      </c>
      <c r="E4965" s="752" t="s">
        <v>44774</v>
      </c>
      <c r="F4965" s="751">
        <v>5325</v>
      </c>
    </row>
    <row r="4966" spans="1:6">
      <c r="A4966" s="753"/>
      <c r="B4966" s="753"/>
      <c r="C4966" s="752" t="s">
        <v>44773</v>
      </c>
      <c r="D4966" s="753" t="s">
        <v>44755</v>
      </c>
      <c r="E4966" s="752" t="s">
        <v>38423</v>
      </c>
      <c r="F4966" s="751">
        <v>3175</v>
      </c>
    </row>
    <row r="4967" spans="1:6">
      <c r="A4967" s="753"/>
      <c r="B4967" s="753"/>
      <c r="C4967" s="752" t="s">
        <v>44772</v>
      </c>
      <c r="D4967" s="753" t="s">
        <v>44755</v>
      </c>
      <c r="E4967" s="752" t="s">
        <v>44771</v>
      </c>
      <c r="F4967" s="751">
        <v>3175</v>
      </c>
    </row>
    <row r="4968" spans="1:6">
      <c r="A4968" s="753"/>
      <c r="B4968" s="753"/>
      <c r="C4968" s="752" t="s">
        <v>44770</v>
      </c>
      <c r="D4968" s="753" t="s">
        <v>44765</v>
      </c>
      <c r="E4968" s="752" t="s">
        <v>44769</v>
      </c>
      <c r="F4968" s="751">
        <v>3175</v>
      </c>
    </row>
    <row r="4969" spans="1:6">
      <c r="A4969" s="753"/>
      <c r="B4969" s="753"/>
      <c r="C4969" s="752" t="s">
        <v>44768</v>
      </c>
      <c r="D4969" s="753" t="s">
        <v>44755</v>
      </c>
      <c r="E4969" s="752" t="s">
        <v>44767</v>
      </c>
      <c r="F4969" s="751">
        <v>3775</v>
      </c>
    </row>
    <row r="4970" spans="1:6">
      <c r="A4970" s="753"/>
      <c r="B4970" s="753"/>
      <c r="C4970" s="752" t="s">
        <v>44766</v>
      </c>
      <c r="D4970" s="753" t="s">
        <v>44765</v>
      </c>
      <c r="E4970" s="752" t="s">
        <v>44667</v>
      </c>
      <c r="F4970" s="751">
        <v>3175</v>
      </c>
    </row>
    <row r="4971" spans="1:6">
      <c r="A4971" s="753"/>
      <c r="B4971" s="753"/>
      <c r="C4971" s="752" t="s">
        <v>44764</v>
      </c>
      <c r="D4971" s="753" t="s">
        <v>44755</v>
      </c>
      <c r="E4971" s="752" t="s">
        <v>44652</v>
      </c>
      <c r="F4971" s="751">
        <v>3775</v>
      </c>
    </row>
    <row r="4972" spans="1:6">
      <c r="A4972" s="753"/>
      <c r="B4972" s="753"/>
      <c r="C4972" s="752" t="s">
        <v>44763</v>
      </c>
      <c r="D4972" s="753" t="s">
        <v>44755</v>
      </c>
      <c r="E4972" s="752" t="s">
        <v>44762</v>
      </c>
      <c r="F4972" s="751">
        <v>3175</v>
      </c>
    </row>
    <row r="4973" spans="1:6">
      <c r="A4973" s="753"/>
      <c r="B4973" s="753"/>
      <c r="C4973" s="752" t="s">
        <v>44761</v>
      </c>
      <c r="D4973" s="753" t="s">
        <v>44755</v>
      </c>
      <c r="E4973" s="752" t="s">
        <v>44663</v>
      </c>
      <c r="F4973" s="751">
        <v>3525</v>
      </c>
    </row>
    <row r="4974" spans="1:6">
      <c r="A4974" s="753"/>
      <c r="B4974" s="753"/>
      <c r="C4974" s="752" t="s">
        <v>44760</v>
      </c>
      <c r="D4974" s="753" t="s">
        <v>44755</v>
      </c>
      <c r="E4974" s="752" t="s">
        <v>38423</v>
      </c>
      <c r="F4974" s="751">
        <v>3175</v>
      </c>
    </row>
    <row r="4975" spans="1:6">
      <c r="A4975" s="753"/>
      <c r="B4975" s="753"/>
      <c r="C4975" s="752" t="s">
        <v>44759</v>
      </c>
      <c r="D4975" s="753" t="s">
        <v>44755</v>
      </c>
      <c r="E4975" s="752" t="s">
        <v>44649</v>
      </c>
      <c r="F4975" s="751">
        <v>3525</v>
      </c>
    </row>
    <row r="4976" spans="1:6">
      <c r="A4976" s="753"/>
      <c r="B4976" s="753"/>
      <c r="C4976" s="752" t="s">
        <v>44758</v>
      </c>
      <c r="D4976" s="753" t="s">
        <v>44755</v>
      </c>
      <c r="E4976" s="752" t="s">
        <v>44663</v>
      </c>
      <c r="F4976" s="751">
        <v>3525</v>
      </c>
    </row>
    <row r="4977" spans="1:6">
      <c r="A4977" s="753"/>
      <c r="B4977" s="753"/>
      <c r="C4977" s="752" t="s">
        <v>44757</v>
      </c>
      <c r="D4977" s="753" t="s">
        <v>44755</v>
      </c>
      <c r="E4977" s="752" t="s">
        <v>38423</v>
      </c>
      <c r="F4977" s="751">
        <v>3175</v>
      </c>
    </row>
    <row r="4978" spans="1:6">
      <c r="A4978" s="753"/>
      <c r="B4978" s="753"/>
      <c r="C4978" s="752" t="s">
        <v>44756</v>
      </c>
      <c r="D4978" s="753" t="s">
        <v>44755</v>
      </c>
      <c r="E4978" s="752" t="s">
        <v>44649</v>
      </c>
      <c r="F4978" s="751">
        <v>3525</v>
      </c>
    </row>
    <row r="4979" spans="1:6">
      <c r="A4979" s="753"/>
      <c r="B4979" s="753"/>
      <c r="C4979" s="752" t="s">
        <v>44754</v>
      </c>
      <c r="D4979" s="753" t="s">
        <v>44707</v>
      </c>
      <c r="E4979" s="752" t="s">
        <v>44595</v>
      </c>
      <c r="F4979" s="751">
        <v>4475</v>
      </c>
    </row>
    <row r="4980" spans="1:6">
      <c r="A4980" s="753"/>
      <c r="B4980" s="753"/>
      <c r="C4980" s="752" t="s">
        <v>44753</v>
      </c>
      <c r="D4980" s="753" t="s">
        <v>44707</v>
      </c>
      <c r="E4980" s="752" t="s">
        <v>44721</v>
      </c>
      <c r="F4980" s="751">
        <v>4475</v>
      </c>
    </row>
    <row r="4981" spans="1:6">
      <c r="A4981" s="753"/>
      <c r="B4981" s="753"/>
      <c r="C4981" s="752" t="s">
        <v>44752</v>
      </c>
      <c r="D4981" s="753" t="s">
        <v>44707</v>
      </c>
      <c r="E4981" s="752" t="s">
        <v>44751</v>
      </c>
      <c r="F4981" s="751">
        <v>5235</v>
      </c>
    </row>
    <row r="4982" spans="1:6">
      <c r="A4982" s="753"/>
      <c r="B4982" s="753"/>
      <c r="C4982" s="752" t="s">
        <v>44750</v>
      </c>
      <c r="D4982" s="753" t="s">
        <v>44707</v>
      </c>
      <c r="E4982" s="752" t="s">
        <v>44719</v>
      </c>
      <c r="F4982" s="751">
        <v>5475</v>
      </c>
    </row>
    <row r="4983" spans="1:6">
      <c r="A4983" s="753"/>
      <c r="B4983" s="753"/>
      <c r="C4983" s="752" t="s">
        <v>44749</v>
      </c>
      <c r="D4983" s="753" t="s">
        <v>44707</v>
      </c>
      <c r="E4983" s="752" t="s">
        <v>44717</v>
      </c>
      <c r="F4983" s="751">
        <v>5235</v>
      </c>
    </row>
    <row r="4984" spans="1:6">
      <c r="A4984" s="753"/>
      <c r="B4984" s="753"/>
      <c r="C4984" s="752" t="s">
        <v>44748</v>
      </c>
      <c r="D4984" s="753" t="s">
        <v>44707</v>
      </c>
      <c r="E4984" s="752" t="s">
        <v>44611</v>
      </c>
      <c r="F4984" s="751">
        <v>5475</v>
      </c>
    </row>
    <row r="4985" spans="1:6">
      <c r="A4985" s="753"/>
      <c r="B4985" s="753"/>
      <c r="C4985" s="752" t="s">
        <v>44747</v>
      </c>
      <c r="D4985" s="753" t="s">
        <v>44707</v>
      </c>
      <c r="E4985" s="752" t="s">
        <v>44589</v>
      </c>
      <c r="F4985" s="751">
        <v>4225</v>
      </c>
    </row>
    <row r="4986" spans="1:6">
      <c r="A4986" s="753"/>
      <c r="B4986" s="753"/>
      <c r="C4986" s="752" t="s">
        <v>44746</v>
      </c>
      <c r="D4986" s="753" t="s">
        <v>44707</v>
      </c>
      <c r="E4986" s="752" t="s">
        <v>44745</v>
      </c>
      <c r="F4986" s="751">
        <v>4985</v>
      </c>
    </row>
    <row r="4987" spans="1:6">
      <c r="A4987" s="753"/>
      <c r="B4987" s="753"/>
      <c r="C4987" s="752" t="s">
        <v>44744</v>
      </c>
      <c r="D4987" s="753" t="s">
        <v>44707</v>
      </c>
      <c r="E4987" s="752" t="s">
        <v>44641</v>
      </c>
      <c r="F4987" s="751">
        <v>4225</v>
      </c>
    </row>
    <row r="4988" spans="1:6">
      <c r="A4988" s="753"/>
      <c r="B4988" s="753"/>
      <c r="C4988" s="752" t="s">
        <v>44743</v>
      </c>
      <c r="D4988" s="753" t="s">
        <v>44707</v>
      </c>
      <c r="E4988" s="752" t="s">
        <v>44639</v>
      </c>
      <c r="F4988" s="751">
        <v>5125</v>
      </c>
    </row>
    <row r="4989" spans="1:6">
      <c r="A4989" s="753"/>
      <c r="B4989" s="753"/>
      <c r="C4989" s="752" t="s">
        <v>44742</v>
      </c>
      <c r="D4989" s="753" t="s">
        <v>44707</v>
      </c>
      <c r="E4989" s="752" t="s">
        <v>44709</v>
      </c>
      <c r="F4989" s="751">
        <v>4985</v>
      </c>
    </row>
    <row r="4990" spans="1:6">
      <c r="A4990" s="753"/>
      <c r="B4990" s="753"/>
      <c r="C4990" s="752" t="s">
        <v>44741</v>
      </c>
      <c r="D4990" s="753" t="s">
        <v>44707</v>
      </c>
      <c r="E4990" s="752" t="s">
        <v>44601</v>
      </c>
      <c r="F4990" s="751">
        <v>5125</v>
      </c>
    </row>
    <row r="4991" spans="1:6">
      <c r="A4991" s="753"/>
      <c r="B4991" s="753"/>
      <c r="C4991" s="752" t="s">
        <v>44740</v>
      </c>
      <c r="D4991" s="753" t="s">
        <v>44707</v>
      </c>
      <c r="E4991" s="752" t="s">
        <v>44595</v>
      </c>
      <c r="F4991" s="751">
        <v>4475</v>
      </c>
    </row>
    <row r="4992" spans="1:6">
      <c r="A4992" s="753"/>
      <c r="B4992" s="753"/>
      <c r="C4992" s="752" t="s">
        <v>44739</v>
      </c>
      <c r="D4992" s="753" t="s">
        <v>44707</v>
      </c>
      <c r="E4992" s="752" t="s">
        <v>44738</v>
      </c>
      <c r="F4992" s="751">
        <v>5235</v>
      </c>
    </row>
    <row r="4993" spans="1:6">
      <c r="A4993" s="753"/>
      <c r="B4993" s="753"/>
      <c r="C4993" s="752" t="s">
        <v>44737</v>
      </c>
      <c r="D4993" s="753" t="s">
        <v>44707</v>
      </c>
      <c r="E4993" s="752" t="s">
        <v>44635</v>
      </c>
      <c r="F4993" s="751">
        <v>4475</v>
      </c>
    </row>
    <row r="4994" spans="1:6">
      <c r="A4994" s="753"/>
      <c r="B4994" s="753"/>
      <c r="C4994" s="752" t="s">
        <v>44736</v>
      </c>
      <c r="D4994" s="753" t="s">
        <v>44707</v>
      </c>
      <c r="E4994" s="752" t="s">
        <v>44611</v>
      </c>
      <c r="F4994" s="751">
        <v>5475</v>
      </c>
    </row>
    <row r="4995" spans="1:6">
      <c r="A4995" s="753"/>
      <c r="B4995" s="753"/>
      <c r="C4995" s="752" t="s">
        <v>44735</v>
      </c>
      <c r="D4995" s="753" t="s">
        <v>44707</v>
      </c>
      <c r="E4995" s="752" t="s">
        <v>44589</v>
      </c>
      <c r="F4995" s="751">
        <v>4225</v>
      </c>
    </row>
    <row r="4996" spans="1:6">
      <c r="A4996" s="753"/>
      <c r="B4996" s="753"/>
      <c r="C4996" s="752" t="s">
        <v>44734</v>
      </c>
      <c r="D4996" s="753" t="s">
        <v>44707</v>
      </c>
      <c r="E4996" s="752" t="s">
        <v>44627</v>
      </c>
      <c r="F4996" s="751">
        <v>4225</v>
      </c>
    </row>
    <row r="4997" spans="1:6">
      <c r="A4997" s="753"/>
      <c r="B4997" s="753"/>
      <c r="C4997" s="752" t="s">
        <v>44733</v>
      </c>
      <c r="D4997" s="753" t="s">
        <v>44707</v>
      </c>
      <c r="E4997" s="752" t="s">
        <v>44601</v>
      </c>
      <c r="F4997" s="751">
        <v>5125</v>
      </c>
    </row>
    <row r="4998" spans="1:6">
      <c r="A4998" s="753"/>
      <c r="B4998" s="753"/>
      <c r="C4998" s="752" t="s">
        <v>44732</v>
      </c>
      <c r="D4998" s="753" t="s">
        <v>44707</v>
      </c>
      <c r="E4998" s="752" t="s">
        <v>44599</v>
      </c>
      <c r="F4998" s="751">
        <v>4775</v>
      </c>
    </row>
    <row r="4999" spans="1:6">
      <c r="A4999" s="753"/>
      <c r="B4999" s="753"/>
      <c r="C4999" s="752" t="s">
        <v>44731</v>
      </c>
      <c r="D4999" s="753" t="s">
        <v>44707</v>
      </c>
      <c r="E4999" s="752" t="s">
        <v>44730</v>
      </c>
      <c r="F4999" s="751">
        <v>4475</v>
      </c>
    </row>
    <row r="5000" spans="1:6">
      <c r="A5000" s="753"/>
      <c r="B5000" s="753"/>
      <c r="C5000" s="752" t="s">
        <v>44729</v>
      </c>
      <c r="D5000" s="753" t="s">
        <v>44707</v>
      </c>
      <c r="E5000" s="752" t="s">
        <v>44611</v>
      </c>
      <c r="F5000" s="751">
        <v>5475</v>
      </c>
    </row>
    <row r="5001" spans="1:6">
      <c r="A5001" s="753"/>
      <c r="B5001" s="753"/>
      <c r="C5001" s="752" t="s">
        <v>44728</v>
      </c>
      <c r="D5001" s="753" t="s">
        <v>44707</v>
      </c>
      <c r="E5001" s="752" t="s">
        <v>44727</v>
      </c>
      <c r="F5001" s="751">
        <v>4475</v>
      </c>
    </row>
    <row r="5002" spans="1:6">
      <c r="A5002" s="753"/>
      <c r="B5002" s="753"/>
      <c r="C5002" s="752" t="s">
        <v>44726</v>
      </c>
      <c r="D5002" s="753" t="s">
        <v>44707</v>
      </c>
      <c r="E5002" s="752" t="s">
        <v>44611</v>
      </c>
      <c r="F5002" s="751">
        <v>5475</v>
      </c>
    </row>
    <row r="5003" spans="1:6">
      <c r="A5003" s="753"/>
      <c r="B5003" s="753"/>
      <c r="C5003" s="752" t="s">
        <v>44725</v>
      </c>
      <c r="D5003" s="753" t="s">
        <v>44707</v>
      </c>
      <c r="E5003" s="752" t="s">
        <v>44595</v>
      </c>
      <c r="F5003" s="751">
        <v>4475</v>
      </c>
    </row>
    <row r="5004" spans="1:6">
      <c r="A5004" s="753"/>
      <c r="B5004" s="753"/>
      <c r="C5004" s="752" t="s">
        <v>44724</v>
      </c>
      <c r="D5004" s="753" t="s">
        <v>44707</v>
      </c>
      <c r="E5004" s="752" t="s">
        <v>44723</v>
      </c>
      <c r="F5004" s="751">
        <v>4175</v>
      </c>
    </row>
    <row r="5005" spans="1:6">
      <c r="A5005" s="753"/>
      <c r="B5005" s="753"/>
      <c r="C5005" s="752" t="s">
        <v>44722</v>
      </c>
      <c r="D5005" s="753" t="s">
        <v>44707</v>
      </c>
      <c r="E5005" s="752" t="s">
        <v>44721</v>
      </c>
      <c r="F5005" s="751">
        <v>4475</v>
      </c>
    </row>
    <row r="5006" spans="1:6">
      <c r="A5006" s="753"/>
      <c r="B5006" s="753"/>
      <c r="C5006" s="752" t="s">
        <v>44720</v>
      </c>
      <c r="D5006" s="753" t="s">
        <v>44707</v>
      </c>
      <c r="E5006" s="752" t="s">
        <v>44719</v>
      </c>
      <c r="F5006" s="751">
        <v>5475</v>
      </c>
    </row>
    <row r="5007" spans="1:6">
      <c r="A5007" s="753"/>
      <c r="B5007" s="753"/>
      <c r="C5007" s="752" t="s">
        <v>44718</v>
      </c>
      <c r="D5007" s="753" t="s">
        <v>44707</v>
      </c>
      <c r="E5007" s="752" t="s">
        <v>44717</v>
      </c>
      <c r="F5007" s="751">
        <v>5235</v>
      </c>
    </row>
    <row r="5008" spans="1:6">
      <c r="A5008" s="753"/>
      <c r="B5008" s="753"/>
      <c r="C5008" s="752" t="s">
        <v>44716</v>
      </c>
      <c r="D5008" s="753" t="s">
        <v>44707</v>
      </c>
      <c r="E5008" s="752" t="s">
        <v>44611</v>
      </c>
      <c r="F5008" s="751">
        <v>5475</v>
      </c>
    </row>
    <row r="5009" spans="1:6">
      <c r="A5009" s="753"/>
      <c r="B5009" s="753"/>
      <c r="C5009" s="752" t="s">
        <v>44715</v>
      </c>
      <c r="D5009" s="753" t="s">
        <v>44707</v>
      </c>
      <c r="E5009" s="752" t="s">
        <v>44589</v>
      </c>
      <c r="F5009" s="751">
        <v>4225</v>
      </c>
    </row>
    <row r="5010" spans="1:6">
      <c r="A5010" s="753"/>
      <c r="B5010" s="753"/>
      <c r="C5010" s="752" t="s">
        <v>44714</v>
      </c>
      <c r="D5010" s="753" t="s">
        <v>44707</v>
      </c>
      <c r="E5010" s="752" t="s">
        <v>44641</v>
      </c>
      <c r="F5010" s="751">
        <v>4225</v>
      </c>
    </row>
    <row r="5011" spans="1:6">
      <c r="A5011" s="753"/>
      <c r="B5011" s="753"/>
      <c r="C5011" s="752" t="s">
        <v>44713</v>
      </c>
      <c r="D5011" s="753" t="s">
        <v>44707</v>
      </c>
      <c r="E5011" s="752" t="s">
        <v>44712</v>
      </c>
      <c r="F5011" s="751">
        <v>4985</v>
      </c>
    </row>
    <row r="5012" spans="1:6">
      <c r="A5012" s="753"/>
      <c r="B5012" s="753"/>
      <c r="C5012" s="752" t="s">
        <v>44711</v>
      </c>
      <c r="D5012" s="753" t="s">
        <v>44707</v>
      </c>
      <c r="E5012" s="752" t="s">
        <v>44639</v>
      </c>
      <c r="F5012" s="751">
        <v>5125</v>
      </c>
    </row>
    <row r="5013" spans="1:6">
      <c r="A5013" s="753"/>
      <c r="B5013" s="753"/>
      <c r="C5013" s="752" t="s">
        <v>44710</v>
      </c>
      <c r="D5013" s="753" t="s">
        <v>44707</v>
      </c>
      <c r="E5013" s="752" t="s">
        <v>44709</v>
      </c>
      <c r="F5013" s="751">
        <v>4985</v>
      </c>
    </row>
    <row r="5014" spans="1:6">
      <c r="A5014" s="753"/>
      <c r="B5014" s="753"/>
      <c r="C5014" s="752" t="s">
        <v>44708</v>
      </c>
      <c r="D5014" s="753" t="s">
        <v>44707</v>
      </c>
      <c r="E5014" s="752" t="s">
        <v>44601</v>
      </c>
      <c r="F5014" s="751">
        <v>5125</v>
      </c>
    </row>
    <row r="5015" spans="1:6">
      <c r="A5015" s="753"/>
      <c r="B5015" s="753"/>
      <c r="C5015" s="752" t="s">
        <v>44706</v>
      </c>
      <c r="D5015" s="753" t="s">
        <v>44674</v>
      </c>
      <c r="E5015" s="752" t="s">
        <v>44595</v>
      </c>
      <c r="F5015" s="751">
        <v>4475</v>
      </c>
    </row>
    <row r="5016" spans="1:6">
      <c r="A5016" s="753"/>
      <c r="B5016" s="753"/>
      <c r="C5016" s="752" t="s">
        <v>44705</v>
      </c>
      <c r="D5016" s="753" t="s">
        <v>44674</v>
      </c>
      <c r="E5016" s="752" t="s">
        <v>44687</v>
      </c>
      <c r="F5016" s="751">
        <v>4475</v>
      </c>
    </row>
    <row r="5017" spans="1:6">
      <c r="A5017" s="753"/>
      <c r="B5017" s="753"/>
      <c r="C5017" s="752" t="s">
        <v>44704</v>
      </c>
      <c r="D5017" s="753" t="s">
        <v>44674</v>
      </c>
      <c r="E5017" s="752" t="s">
        <v>44685</v>
      </c>
      <c r="F5017" s="751">
        <v>5475</v>
      </c>
    </row>
    <row r="5018" spans="1:6">
      <c r="A5018" s="753"/>
      <c r="B5018" s="753"/>
      <c r="C5018" s="752" t="s">
        <v>44703</v>
      </c>
      <c r="D5018" s="753" t="s">
        <v>44674</v>
      </c>
      <c r="E5018" s="752" t="s">
        <v>44606</v>
      </c>
      <c r="F5018" s="751">
        <v>5475</v>
      </c>
    </row>
    <row r="5019" spans="1:6">
      <c r="A5019" s="753"/>
      <c r="B5019" s="753"/>
      <c r="C5019" s="752" t="s">
        <v>44702</v>
      </c>
      <c r="D5019" s="753" t="s">
        <v>44674</v>
      </c>
      <c r="E5019" s="752" t="s">
        <v>44589</v>
      </c>
      <c r="F5019" s="751">
        <v>4225</v>
      </c>
    </row>
    <row r="5020" spans="1:6">
      <c r="A5020" s="753"/>
      <c r="B5020" s="753"/>
      <c r="C5020" s="752" t="s">
        <v>44701</v>
      </c>
      <c r="D5020" s="753" t="s">
        <v>44674</v>
      </c>
      <c r="E5020" s="752" t="s">
        <v>44700</v>
      </c>
      <c r="F5020" s="751">
        <v>4225</v>
      </c>
    </row>
    <row r="5021" spans="1:6">
      <c r="A5021" s="753"/>
      <c r="B5021" s="753"/>
      <c r="C5021" s="752" t="s">
        <v>44699</v>
      </c>
      <c r="D5021" s="753" t="s">
        <v>44674</v>
      </c>
      <c r="E5021" s="752" t="s">
        <v>44639</v>
      </c>
      <c r="F5021" s="751">
        <v>5125</v>
      </c>
    </row>
    <row r="5022" spans="1:6">
      <c r="A5022" s="753"/>
      <c r="B5022" s="753"/>
      <c r="C5022" s="752" t="s">
        <v>44698</v>
      </c>
      <c r="D5022" s="753" t="s">
        <v>44674</v>
      </c>
      <c r="E5022" s="752" t="s">
        <v>44673</v>
      </c>
      <c r="F5022" s="751">
        <v>5125</v>
      </c>
    </row>
    <row r="5023" spans="1:6">
      <c r="A5023" s="753"/>
      <c r="B5023" s="753"/>
      <c r="C5023" s="752" t="s">
        <v>44697</v>
      </c>
      <c r="D5023" s="753" t="s">
        <v>44674</v>
      </c>
      <c r="E5023" s="752" t="s">
        <v>44595</v>
      </c>
      <c r="F5023" s="751">
        <v>4475</v>
      </c>
    </row>
    <row r="5024" spans="1:6">
      <c r="A5024" s="753"/>
      <c r="B5024" s="753"/>
      <c r="C5024" s="752" t="s">
        <v>44696</v>
      </c>
      <c r="D5024" s="753" t="s">
        <v>44674</v>
      </c>
      <c r="E5024" s="752" t="s">
        <v>44606</v>
      </c>
      <c r="F5024" s="751">
        <v>5475</v>
      </c>
    </row>
    <row r="5025" spans="1:6">
      <c r="A5025" s="753"/>
      <c r="B5025" s="753"/>
      <c r="C5025" s="752" t="s">
        <v>44695</v>
      </c>
      <c r="D5025" s="753" t="s">
        <v>44674</v>
      </c>
      <c r="E5025" s="752" t="s">
        <v>44589</v>
      </c>
      <c r="F5025" s="751">
        <v>4225</v>
      </c>
    </row>
    <row r="5026" spans="1:6">
      <c r="A5026" s="753"/>
      <c r="B5026" s="753"/>
      <c r="C5026" s="752" t="s">
        <v>44694</v>
      </c>
      <c r="D5026" s="753" t="s">
        <v>44674</v>
      </c>
      <c r="E5026" s="752" t="s">
        <v>44601</v>
      </c>
      <c r="F5026" s="751">
        <v>5125</v>
      </c>
    </row>
    <row r="5027" spans="1:6">
      <c r="A5027" s="753"/>
      <c r="B5027" s="753"/>
      <c r="C5027" s="752" t="s">
        <v>44693</v>
      </c>
      <c r="D5027" s="753" t="s">
        <v>44674</v>
      </c>
      <c r="E5027" s="752" t="s">
        <v>44692</v>
      </c>
      <c r="F5027" s="751">
        <v>5125</v>
      </c>
    </row>
    <row r="5028" spans="1:6">
      <c r="A5028" s="753"/>
      <c r="B5028" s="753"/>
      <c r="C5028" s="752" t="s">
        <v>44691</v>
      </c>
      <c r="D5028" s="753" t="s">
        <v>44690</v>
      </c>
      <c r="E5028" s="752" t="s">
        <v>44611</v>
      </c>
      <c r="F5028" s="751">
        <v>5475</v>
      </c>
    </row>
    <row r="5029" spans="1:6">
      <c r="A5029" s="753"/>
      <c r="B5029" s="753"/>
      <c r="C5029" s="752" t="s">
        <v>44689</v>
      </c>
      <c r="D5029" s="753" t="s">
        <v>44674</v>
      </c>
      <c r="E5029" s="752" t="s">
        <v>44595</v>
      </c>
      <c r="F5029" s="751">
        <v>4475</v>
      </c>
    </row>
    <row r="5030" spans="1:6">
      <c r="A5030" s="753"/>
      <c r="B5030" s="753"/>
      <c r="C5030" s="752" t="s">
        <v>44688</v>
      </c>
      <c r="D5030" s="753" t="s">
        <v>44674</v>
      </c>
      <c r="E5030" s="752" t="s">
        <v>44687</v>
      </c>
      <c r="F5030" s="751">
        <v>4475</v>
      </c>
    </row>
    <row r="5031" spans="1:6">
      <c r="A5031" s="753"/>
      <c r="B5031" s="753"/>
      <c r="C5031" s="752" t="s">
        <v>44686</v>
      </c>
      <c r="D5031" s="753" t="s">
        <v>44674</v>
      </c>
      <c r="E5031" s="752" t="s">
        <v>44685</v>
      </c>
      <c r="F5031" s="751">
        <v>5475</v>
      </c>
    </row>
    <row r="5032" spans="1:6">
      <c r="A5032" s="753"/>
      <c r="B5032" s="753"/>
      <c r="C5032" s="752" t="s">
        <v>44684</v>
      </c>
      <c r="D5032" s="753" t="s">
        <v>44674</v>
      </c>
      <c r="E5032" s="752" t="s">
        <v>44606</v>
      </c>
      <c r="F5032" s="751">
        <v>5475</v>
      </c>
    </row>
    <row r="5033" spans="1:6">
      <c r="A5033" s="753"/>
      <c r="B5033" s="753"/>
      <c r="C5033" s="752" t="s">
        <v>44683</v>
      </c>
      <c r="D5033" s="753" t="s">
        <v>44674</v>
      </c>
      <c r="E5033" s="752" t="s">
        <v>44682</v>
      </c>
      <c r="F5033" s="751">
        <v>4225</v>
      </c>
    </row>
    <row r="5034" spans="1:6">
      <c r="A5034" s="753"/>
      <c r="B5034" s="753"/>
      <c r="C5034" s="752" t="s">
        <v>44681</v>
      </c>
      <c r="D5034" s="753" t="s">
        <v>44674</v>
      </c>
      <c r="E5034" s="752" t="s">
        <v>44679</v>
      </c>
      <c r="F5034" s="751">
        <v>4225</v>
      </c>
    </row>
    <row r="5035" spans="1:6">
      <c r="A5035" s="753"/>
      <c r="B5035" s="753"/>
      <c r="C5035" s="752" t="s">
        <v>44680</v>
      </c>
      <c r="D5035" s="753" t="s">
        <v>44674</v>
      </c>
      <c r="E5035" s="752" t="s">
        <v>44679</v>
      </c>
      <c r="F5035" s="751">
        <v>4985</v>
      </c>
    </row>
    <row r="5036" spans="1:6">
      <c r="A5036" s="753"/>
      <c r="B5036" s="753"/>
      <c r="C5036" s="752" t="s">
        <v>44678</v>
      </c>
      <c r="D5036" s="753" t="s">
        <v>44674</v>
      </c>
      <c r="E5036" s="752" t="s">
        <v>44639</v>
      </c>
      <c r="F5036" s="751">
        <v>5125</v>
      </c>
    </row>
    <row r="5037" spans="1:6">
      <c r="A5037" s="753"/>
      <c r="B5037" s="753"/>
      <c r="C5037" s="752" t="s">
        <v>44677</v>
      </c>
      <c r="D5037" s="753" t="s">
        <v>44674</v>
      </c>
      <c r="E5037" s="752" t="s">
        <v>44676</v>
      </c>
      <c r="F5037" s="751">
        <v>4985</v>
      </c>
    </row>
    <row r="5038" spans="1:6">
      <c r="A5038" s="753"/>
      <c r="B5038" s="753"/>
      <c r="C5038" s="752" t="s">
        <v>44675</v>
      </c>
      <c r="D5038" s="753" t="s">
        <v>44674</v>
      </c>
      <c r="E5038" s="752" t="s">
        <v>44673</v>
      </c>
      <c r="F5038" s="751">
        <v>5125</v>
      </c>
    </row>
    <row r="5039" spans="1:6">
      <c r="A5039" s="753"/>
      <c r="B5039" s="753"/>
      <c r="C5039" s="752" t="s">
        <v>44672</v>
      </c>
      <c r="D5039" s="753" t="s">
        <v>44650</v>
      </c>
      <c r="E5039" s="752" t="s">
        <v>44671</v>
      </c>
      <c r="F5039" s="751">
        <v>3625</v>
      </c>
    </row>
    <row r="5040" spans="1:6">
      <c r="A5040" s="753"/>
      <c r="B5040" s="753"/>
      <c r="C5040" s="752" t="s">
        <v>44670</v>
      </c>
      <c r="D5040" s="753" t="s">
        <v>44650</v>
      </c>
      <c r="E5040" s="752" t="s">
        <v>44669</v>
      </c>
      <c r="F5040" s="751">
        <v>3875</v>
      </c>
    </row>
    <row r="5041" spans="1:6">
      <c r="A5041" s="753"/>
      <c r="B5041" s="753"/>
      <c r="C5041" s="752" t="s">
        <v>44668</v>
      </c>
      <c r="D5041" s="753" t="s">
        <v>44650</v>
      </c>
      <c r="E5041" s="752" t="s">
        <v>44667</v>
      </c>
      <c r="F5041" s="751">
        <v>3525</v>
      </c>
    </row>
    <row r="5042" spans="1:6">
      <c r="A5042" s="753"/>
      <c r="B5042" s="753"/>
      <c r="C5042" s="752" t="s">
        <v>44666</v>
      </c>
      <c r="D5042" s="753" t="s">
        <v>44650</v>
      </c>
      <c r="E5042" s="752" t="s">
        <v>44652</v>
      </c>
      <c r="F5042" s="751">
        <v>3875</v>
      </c>
    </row>
    <row r="5043" spans="1:6">
      <c r="A5043" s="753"/>
      <c r="B5043" s="753"/>
      <c r="C5043" s="752" t="s">
        <v>44665</v>
      </c>
      <c r="D5043" s="753" t="s">
        <v>44659</v>
      </c>
      <c r="E5043" s="752" t="s">
        <v>38428</v>
      </c>
      <c r="F5043" s="751">
        <v>3275</v>
      </c>
    </row>
    <row r="5044" spans="1:6">
      <c r="A5044" s="753"/>
      <c r="B5044" s="753"/>
      <c r="C5044" s="752" t="s">
        <v>44664</v>
      </c>
      <c r="D5044" s="753" t="s">
        <v>44650</v>
      </c>
      <c r="E5044" s="752" t="s">
        <v>44663</v>
      </c>
      <c r="F5044" s="751">
        <v>3625</v>
      </c>
    </row>
    <row r="5045" spans="1:6">
      <c r="A5045" s="753"/>
      <c r="B5045" s="753"/>
      <c r="C5045" s="752" t="s">
        <v>44662</v>
      </c>
      <c r="D5045" s="753" t="s">
        <v>44650</v>
      </c>
      <c r="E5045" s="752" t="s">
        <v>44661</v>
      </c>
      <c r="F5045" s="751">
        <v>3275</v>
      </c>
    </row>
    <row r="5046" spans="1:6">
      <c r="A5046" s="753"/>
      <c r="B5046" s="753"/>
      <c r="C5046" s="752" t="s">
        <v>44660</v>
      </c>
      <c r="D5046" s="753" t="s">
        <v>44659</v>
      </c>
      <c r="E5046" s="752" t="s">
        <v>38423</v>
      </c>
      <c r="F5046" s="751">
        <v>3275</v>
      </c>
    </row>
    <row r="5047" spans="1:6">
      <c r="A5047" s="753"/>
      <c r="B5047" s="753"/>
      <c r="C5047" s="752" t="s">
        <v>44658</v>
      </c>
      <c r="D5047" s="753" t="s">
        <v>44650</v>
      </c>
      <c r="E5047" s="752" t="s">
        <v>44649</v>
      </c>
      <c r="F5047" s="751">
        <v>3625</v>
      </c>
    </row>
    <row r="5048" spans="1:6">
      <c r="A5048" s="753"/>
      <c r="B5048" s="753"/>
      <c r="C5048" s="752" t="s">
        <v>44657</v>
      </c>
      <c r="D5048" s="753" t="s">
        <v>44650</v>
      </c>
      <c r="E5048" s="752" t="s">
        <v>44656</v>
      </c>
      <c r="F5048" s="751">
        <v>3275</v>
      </c>
    </row>
    <row r="5049" spans="1:6">
      <c r="A5049" s="753"/>
      <c r="B5049" s="753"/>
      <c r="C5049" s="752" t="s">
        <v>44655</v>
      </c>
      <c r="D5049" s="753" t="s">
        <v>44650</v>
      </c>
      <c r="E5049" s="752" t="s">
        <v>44654</v>
      </c>
      <c r="F5049" s="751">
        <v>3025</v>
      </c>
    </row>
    <row r="5050" spans="1:6">
      <c r="A5050" s="753"/>
      <c r="B5050" s="753"/>
      <c r="C5050" s="752" t="s">
        <v>44653</v>
      </c>
      <c r="D5050" s="753" t="s">
        <v>44650</v>
      </c>
      <c r="E5050" s="752" t="s">
        <v>44652</v>
      </c>
      <c r="F5050" s="751">
        <v>3875</v>
      </c>
    </row>
    <row r="5051" spans="1:6">
      <c r="A5051" s="753"/>
      <c r="B5051" s="753"/>
      <c r="C5051" s="752" t="s">
        <v>44651</v>
      </c>
      <c r="D5051" s="753" t="s">
        <v>44650</v>
      </c>
      <c r="E5051" s="752" t="s">
        <v>44649</v>
      </c>
      <c r="F5051" s="751">
        <v>3625</v>
      </c>
    </row>
    <row r="5052" spans="1:6">
      <c r="A5052" s="753"/>
      <c r="B5052" s="753"/>
      <c r="C5052" s="752" t="s">
        <v>44648</v>
      </c>
      <c r="D5052" s="753" t="s">
        <v>44615</v>
      </c>
      <c r="E5052" s="752" t="s">
        <v>44595</v>
      </c>
      <c r="F5052" s="751">
        <v>4575</v>
      </c>
    </row>
    <row r="5053" spans="1:6">
      <c r="A5053" s="753"/>
      <c r="B5053" s="753"/>
      <c r="C5053" s="752" t="s">
        <v>44647</v>
      </c>
      <c r="D5053" s="753" t="s">
        <v>44645</v>
      </c>
      <c r="E5053" s="752" t="s">
        <v>44611</v>
      </c>
      <c r="F5053" s="751">
        <v>5575</v>
      </c>
    </row>
    <row r="5054" spans="1:6">
      <c r="A5054" s="753"/>
      <c r="B5054" s="753"/>
      <c r="C5054" s="752" t="s">
        <v>44646</v>
      </c>
      <c r="D5054" s="753" t="s">
        <v>44645</v>
      </c>
      <c r="E5054" s="752" t="s">
        <v>44611</v>
      </c>
      <c r="F5054" s="751">
        <v>5575</v>
      </c>
    </row>
    <row r="5055" spans="1:6">
      <c r="A5055" s="753"/>
      <c r="B5055" s="753"/>
      <c r="C5055" s="752" t="s">
        <v>44644</v>
      </c>
      <c r="D5055" s="753" t="s">
        <v>44615</v>
      </c>
      <c r="E5055" s="752" t="s">
        <v>44643</v>
      </c>
      <c r="F5055" s="751">
        <v>4325</v>
      </c>
    </row>
    <row r="5056" spans="1:6">
      <c r="A5056" s="753"/>
      <c r="B5056" s="753"/>
      <c r="C5056" s="752" t="s">
        <v>44642</v>
      </c>
      <c r="D5056" s="753" t="s">
        <v>44615</v>
      </c>
      <c r="E5056" s="752" t="s">
        <v>44641</v>
      </c>
      <c r="F5056" s="751">
        <v>4325</v>
      </c>
    </row>
    <row r="5057" spans="1:6">
      <c r="A5057" s="753"/>
      <c r="B5057" s="753"/>
      <c r="C5057" s="752" t="s">
        <v>44640</v>
      </c>
      <c r="D5057" s="753" t="s">
        <v>44615</v>
      </c>
      <c r="E5057" s="752" t="s">
        <v>44639</v>
      </c>
      <c r="F5057" s="751">
        <v>5225</v>
      </c>
    </row>
    <row r="5058" spans="1:6">
      <c r="A5058" s="753"/>
      <c r="B5058" s="753"/>
      <c r="C5058" s="752" t="s">
        <v>44638</v>
      </c>
      <c r="D5058" s="753" t="s">
        <v>44615</v>
      </c>
      <c r="E5058" s="752" t="s">
        <v>44601</v>
      </c>
      <c r="F5058" s="751">
        <v>5225</v>
      </c>
    </row>
    <row r="5059" spans="1:6">
      <c r="A5059" s="753"/>
      <c r="B5059" s="753"/>
      <c r="C5059" s="752" t="s">
        <v>44637</v>
      </c>
      <c r="D5059" s="753" t="s">
        <v>44615</v>
      </c>
      <c r="E5059" s="752" t="s">
        <v>44595</v>
      </c>
      <c r="F5059" s="751">
        <v>4575</v>
      </c>
    </row>
    <row r="5060" spans="1:6">
      <c r="A5060" s="753"/>
      <c r="B5060" s="753"/>
      <c r="C5060" s="752" t="s">
        <v>44636</v>
      </c>
      <c r="D5060" s="753" t="s">
        <v>44622</v>
      </c>
      <c r="E5060" s="752" t="s">
        <v>44635</v>
      </c>
      <c r="F5060" s="751">
        <v>4575</v>
      </c>
    </row>
    <row r="5061" spans="1:6">
      <c r="A5061" s="753"/>
      <c r="B5061" s="753"/>
      <c r="C5061" s="752" t="s">
        <v>44634</v>
      </c>
      <c r="D5061" s="753" t="s">
        <v>44622</v>
      </c>
      <c r="E5061" s="752" t="s">
        <v>44633</v>
      </c>
      <c r="F5061" s="751">
        <v>5575</v>
      </c>
    </row>
    <row r="5062" spans="1:6">
      <c r="A5062" s="753"/>
      <c r="B5062" s="753"/>
      <c r="C5062" s="752" t="s">
        <v>44632</v>
      </c>
      <c r="D5062" s="753" t="s">
        <v>44615</v>
      </c>
      <c r="E5062" s="752" t="s">
        <v>44611</v>
      </c>
      <c r="F5062" s="751">
        <v>5575</v>
      </c>
    </row>
    <row r="5063" spans="1:6">
      <c r="A5063" s="753"/>
      <c r="B5063" s="753"/>
      <c r="C5063" s="752" t="s">
        <v>44631</v>
      </c>
      <c r="D5063" s="753" t="s">
        <v>44615</v>
      </c>
      <c r="E5063" s="752" t="s">
        <v>44630</v>
      </c>
      <c r="F5063" s="751">
        <v>4325</v>
      </c>
    </row>
    <row r="5064" spans="1:6">
      <c r="A5064" s="753"/>
      <c r="B5064" s="753"/>
      <c r="C5064" s="752" t="s">
        <v>44629</v>
      </c>
      <c r="D5064" s="753" t="s">
        <v>44615</v>
      </c>
      <c r="E5064" s="752" t="s">
        <v>44589</v>
      </c>
      <c r="F5064" s="751">
        <v>4325</v>
      </c>
    </row>
    <row r="5065" spans="1:6">
      <c r="A5065" s="753"/>
      <c r="B5065" s="753"/>
      <c r="C5065" s="752" t="s">
        <v>44628</v>
      </c>
      <c r="D5065" s="753" t="s">
        <v>44615</v>
      </c>
      <c r="E5065" s="752" t="s">
        <v>44627</v>
      </c>
      <c r="F5065" s="751">
        <v>4325</v>
      </c>
    </row>
    <row r="5066" spans="1:6">
      <c r="A5066" s="753"/>
      <c r="B5066" s="753"/>
      <c r="C5066" s="752" t="s">
        <v>44626</v>
      </c>
      <c r="D5066" s="753" t="s">
        <v>44615</v>
      </c>
      <c r="E5066" s="752" t="s">
        <v>44601</v>
      </c>
      <c r="F5066" s="751">
        <v>5225</v>
      </c>
    </row>
    <row r="5067" spans="1:6">
      <c r="A5067" s="753"/>
      <c r="B5067" s="753"/>
      <c r="C5067" s="752" t="s">
        <v>44625</v>
      </c>
      <c r="D5067" s="753" t="s">
        <v>44615</v>
      </c>
      <c r="E5067" s="752" t="s">
        <v>44624</v>
      </c>
      <c r="F5067" s="751">
        <v>4875</v>
      </c>
    </row>
    <row r="5068" spans="1:6">
      <c r="A5068" s="753"/>
      <c r="B5068" s="753"/>
      <c r="C5068" s="752" t="s">
        <v>44623</v>
      </c>
      <c r="D5068" s="753" t="s">
        <v>44622</v>
      </c>
      <c r="E5068" s="752" t="s">
        <v>44621</v>
      </c>
      <c r="F5068" s="751">
        <v>5225</v>
      </c>
    </row>
    <row r="5069" spans="1:6">
      <c r="A5069" s="753"/>
      <c r="B5069" s="753"/>
      <c r="C5069" s="752" t="s">
        <v>44620</v>
      </c>
      <c r="D5069" s="753" t="s">
        <v>44615</v>
      </c>
      <c r="E5069" s="752" t="s">
        <v>44595</v>
      </c>
      <c r="F5069" s="751">
        <v>4575</v>
      </c>
    </row>
    <row r="5070" spans="1:6">
      <c r="A5070" s="753"/>
      <c r="B5070" s="753"/>
      <c r="C5070" s="752" t="s">
        <v>44619</v>
      </c>
      <c r="D5070" s="753" t="s">
        <v>44615</v>
      </c>
      <c r="E5070" s="752" t="s">
        <v>44595</v>
      </c>
      <c r="F5070" s="751">
        <v>4575</v>
      </c>
    </row>
    <row r="5071" spans="1:6">
      <c r="A5071" s="753"/>
      <c r="B5071" s="753"/>
      <c r="C5071" s="752" t="s">
        <v>44618</v>
      </c>
      <c r="D5071" s="753" t="s">
        <v>44615</v>
      </c>
      <c r="E5071" s="752" t="s">
        <v>44611</v>
      </c>
      <c r="F5071" s="751">
        <v>5575</v>
      </c>
    </row>
    <row r="5072" spans="1:6">
      <c r="A5072" s="753"/>
      <c r="B5072" s="753"/>
      <c r="C5072" s="752" t="s">
        <v>44617</v>
      </c>
      <c r="D5072" s="753" t="s">
        <v>44615</v>
      </c>
      <c r="E5072" s="752" t="s">
        <v>44589</v>
      </c>
      <c r="F5072" s="751">
        <v>4325</v>
      </c>
    </row>
    <row r="5073" spans="1:6">
      <c r="A5073" s="753"/>
      <c r="B5073" s="753"/>
      <c r="C5073" s="752" t="s">
        <v>44616</v>
      </c>
      <c r="D5073" s="753" t="s">
        <v>44615</v>
      </c>
      <c r="E5073" s="752" t="s">
        <v>44601</v>
      </c>
      <c r="F5073" s="751">
        <v>5225</v>
      </c>
    </row>
    <row r="5074" spans="1:6">
      <c r="A5074" s="753"/>
      <c r="B5074" s="753"/>
      <c r="C5074" s="752" t="s">
        <v>44614</v>
      </c>
      <c r="D5074" s="753" t="s">
        <v>44593</v>
      </c>
      <c r="E5074" s="752" t="s">
        <v>44595</v>
      </c>
      <c r="F5074" s="751">
        <v>4575</v>
      </c>
    </row>
    <row r="5075" spans="1:6">
      <c r="A5075" s="753"/>
      <c r="B5075" s="753"/>
      <c r="C5075" s="752" t="s">
        <v>44613</v>
      </c>
      <c r="D5075" s="753" t="s">
        <v>44612</v>
      </c>
      <c r="E5075" s="752" t="s">
        <v>44611</v>
      </c>
      <c r="F5075" s="751">
        <v>5575</v>
      </c>
    </row>
    <row r="5076" spans="1:6">
      <c r="A5076" s="753"/>
      <c r="B5076" s="753"/>
      <c r="C5076" s="752" t="s">
        <v>44610</v>
      </c>
      <c r="D5076" s="753" t="s">
        <v>44593</v>
      </c>
      <c r="E5076" s="752" t="s">
        <v>44601</v>
      </c>
      <c r="F5076" s="751">
        <v>5225</v>
      </c>
    </row>
    <row r="5077" spans="1:6">
      <c r="A5077" s="753"/>
      <c r="B5077" s="753"/>
      <c r="C5077" s="752" t="s">
        <v>44609</v>
      </c>
      <c r="D5077" s="753" t="s">
        <v>44590</v>
      </c>
      <c r="E5077" s="752" t="s">
        <v>44608</v>
      </c>
      <c r="F5077" s="751">
        <v>4575</v>
      </c>
    </row>
    <row r="5078" spans="1:6">
      <c r="A5078" s="753"/>
      <c r="B5078" s="753"/>
      <c r="C5078" s="752" t="s">
        <v>44607</v>
      </c>
      <c r="D5078" s="753" t="s">
        <v>44593</v>
      </c>
      <c r="E5078" s="752" t="s">
        <v>44606</v>
      </c>
      <c r="F5078" s="751">
        <v>5575</v>
      </c>
    </row>
    <row r="5079" spans="1:6">
      <c r="A5079" s="753"/>
      <c r="B5079" s="753"/>
      <c r="C5079" s="752" t="s">
        <v>44605</v>
      </c>
      <c r="D5079" s="753" t="s">
        <v>44593</v>
      </c>
      <c r="E5079" s="752" t="s">
        <v>44589</v>
      </c>
      <c r="F5079" s="751">
        <v>4325</v>
      </c>
    </row>
    <row r="5080" spans="1:6">
      <c r="A5080" s="753"/>
      <c r="B5080" s="753"/>
      <c r="C5080" s="752" t="s">
        <v>44604</v>
      </c>
      <c r="D5080" s="753" t="s">
        <v>44593</v>
      </c>
      <c r="E5080" s="752" t="s">
        <v>44603</v>
      </c>
      <c r="F5080" s="751">
        <v>4325</v>
      </c>
    </row>
    <row r="5081" spans="1:6">
      <c r="A5081" s="753"/>
      <c r="B5081" s="753"/>
      <c r="C5081" s="752" t="s">
        <v>44602</v>
      </c>
      <c r="D5081" s="753" t="s">
        <v>44590</v>
      </c>
      <c r="E5081" s="752" t="s">
        <v>44601</v>
      </c>
      <c r="F5081" s="751">
        <v>5225</v>
      </c>
    </row>
    <row r="5082" spans="1:6">
      <c r="A5082" s="753"/>
      <c r="B5082" s="753"/>
      <c r="C5082" s="752" t="s">
        <v>44600</v>
      </c>
      <c r="D5082" s="753" t="s">
        <v>44590</v>
      </c>
      <c r="E5082" s="752" t="s">
        <v>44599</v>
      </c>
      <c r="F5082" s="751">
        <v>4875</v>
      </c>
    </row>
    <row r="5083" spans="1:6">
      <c r="A5083" s="753"/>
      <c r="B5083" s="753"/>
      <c r="C5083" s="752" t="s">
        <v>44598</v>
      </c>
      <c r="D5083" s="753" t="s">
        <v>44590</v>
      </c>
      <c r="E5083" s="752" t="s">
        <v>44597</v>
      </c>
      <c r="F5083" s="751">
        <v>5575</v>
      </c>
    </row>
    <row r="5084" spans="1:6">
      <c r="A5084" s="753"/>
      <c r="B5084" s="753"/>
      <c r="C5084" s="752" t="s">
        <v>44596</v>
      </c>
      <c r="D5084" s="753" t="s">
        <v>44593</v>
      </c>
      <c r="E5084" s="752" t="s">
        <v>44595</v>
      </c>
      <c r="F5084" s="751">
        <v>4575</v>
      </c>
    </row>
    <row r="5085" spans="1:6">
      <c r="A5085" s="753"/>
      <c r="B5085" s="753"/>
      <c r="C5085" s="752" t="s">
        <v>44594</v>
      </c>
      <c r="D5085" s="753" t="s">
        <v>44593</v>
      </c>
      <c r="E5085" s="752" t="s">
        <v>44592</v>
      </c>
      <c r="F5085" s="751">
        <v>5575</v>
      </c>
    </row>
    <row r="5086" spans="1:6">
      <c r="A5086" s="753"/>
      <c r="B5086" s="753"/>
      <c r="C5086" s="752" t="s">
        <v>44591</v>
      </c>
      <c r="D5086" s="753" t="s">
        <v>44590</v>
      </c>
      <c r="E5086" s="752" t="s">
        <v>44589</v>
      </c>
      <c r="F5086" s="751">
        <v>4325</v>
      </c>
    </row>
    <row r="5087" spans="1:6">
      <c r="A5087" s="753"/>
      <c r="B5087" s="753"/>
      <c r="C5087" s="752" t="s">
        <v>44588</v>
      </c>
      <c r="D5087" s="753" t="s">
        <v>44587</v>
      </c>
      <c r="E5087" s="752" t="s">
        <v>43708</v>
      </c>
      <c r="F5087" s="751">
        <v>5375</v>
      </c>
    </row>
    <row r="5088" spans="1:6">
      <c r="A5088" s="753"/>
      <c r="B5088" s="753"/>
      <c r="C5088" s="752" t="s">
        <v>44586</v>
      </c>
      <c r="D5088" s="753" t="s">
        <v>44585</v>
      </c>
      <c r="E5088" s="752" t="s">
        <v>44584</v>
      </c>
      <c r="F5088" s="751">
        <v>5325</v>
      </c>
    </row>
    <row r="5089" spans="1:6">
      <c r="A5089" s="753"/>
      <c r="B5089" s="753"/>
      <c r="C5089" s="752" t="s">
        <v>44583</v>
      </c>
      <c r="D5089" s="753" t="s">
        <v>44553</v>
      </c>
      <c r="E5089" s="752" t="s">
        <v>44582</v>
      </c>
      <c r="F5089" s="751">
        <v>5525</v>
      </c>
    </row>
    <row r="5090" spans="1:6">
      <c r="A5090" s="753"/>
      <c r="B5090" s="753"/>
      <c r="C5090" s="752" t="s">
        <v>44581</v>
      </c>
      <c r="D5090" s="753" t="s">
        <v>44580</v>
      </c>
      <c r="E5090" s="752" t="s">
        <v>44579</v>
      </c>
      <c r="F5090" s="751">
        <v>5675</v>
      </c>
    </row>
    <row r="5091" spans="1:6">
      <c r="A5091" s="753"/>
      <c r="B5091" s="753"/>
      <c r="C5091" s="752" t="s">
        <v>44578</v>
      </c>
      <c r="D5091" s="753" t="s">
        <v>44551</v>
      </c>
      <c r="E5091" s="752" t="s">
        <v>44570</v>
      </c>
      <c r="F5091" s="751">
        <v>5775</v>
      </c>
    </row>
    <row r="5092" spans="1:6">
      <c r="A5092" s="753"/>
      <c r="B5092" s="753"/>
      <c r="C5092" s="752" t="s">
        <v>44577</v>
      </c>
      <c r="D5092" s="753" t="s">
        <v>44576</v>
      </c>
      <c r="E5092" s="752" t="s">
        <v>43702</v>
      </c>
      <c r="F5092" s="751">
        <v>5825</v>
      </c>
    </row>
    <row r="5093" spans="1:6">
      <c r="A5093" s="753"/>
      <c r="B5093" s="753"/>
      <c r="C5093" s="752" t="s">
        <v>44575</v>
      </c>
      <c r="D5093" s="753" t="s">
        <v>44574</v>
      </c>
      <c r="E5093" s="752" t="s">
        <v>44570</v>
      </c>
      <c r="F5093" s="751">
        <v>5675</v>
      </c>
    </row>
    <row r="5094" spans="1:6">
      <c r="A5094" s="753"/>
      <c r="B5094" s="753"/>
      <c r="C5094" s="752" t="s">
        <v>44573</v>
      </c>
      <c r="D5094" s="753" t="s">
        <v>44571</v>
      </c>
      <c r="E5094" s="752" t="s">
        <v>44550</v>
      </c>
      <c r="F5094" s="751">
        <v>5725</v>
      </c>
    </row>
    <row r="5095" spans="1:6">
      <c r="A5095" s="753"/>
      <c r="B5095" s="753"/>
      <c r="C5095" s="752" t="s">
        <v>44572</v>
      </c>
      <c r="D5095" s="753" t="s">
        <v>44571</v>
      </c>
      <c r="E5095" s="752" t="s">
        <v>44570</v>
      </c>
      <c r="F5095" s="751">
        <v>5375</v>
      </c>
    </row>
    <row r="5096" spans="1:6">
      <c r="A5096" s="753"/>
      <c r="B5096" s="753"/>
      <c r="C5096" s="752" t="s">
        <v>44569</v>
      </c>
      <c r="D5096" s="753" t="s">
        <v>44568</v>
      </c>
      <c r="E5096" s="752" t="s">
        <v>43702</v>
      </c>
      <c r="F5096" s="751">
        <v>6225</v>
      </c>
    </row>
    <row r="5097" spans="1:6">
      <c r="A5097" s="753"/>
      <c r="B5097" s="753"/>
      <c r="C5097" s="752" t="s">
        <v>44567</v>
      </c>
      <c r="D5097" s="753" t="s">
        <v>44566</v>
      </c>
      <c r="E5097" s="752" t="s">
        <v>43715</v>
      </c>
      <c r="F5097" s="751">
        <v>5775</v>
      </c>
    </row>
    <row r="5098" spans="1:6">
      <c r="A5098" s="753"/>
      <c r="B5098" s="753"/>
      <c r="C5098" s="752" t="s">
        <v>44565</v>
      </c>
      <c r="D5098" s="753" t="s">
        <v>44564</v>
      </c>
      <c r="E5098" s="752" t="s">
        <v>44563</v>
      </c>
      <c r="F5098" s="751">
        <v>5425</v>
      </c>
    </row>
    <row r="5099" spans="1:6">
      <c r="A5099" s="753"/>
      <c r="B5099" s="753"/>
      <c r="C5099" s="752" t="s">
        <v>44562</v>
      </c>
      <c r="D5099" s="753" t="s">
        <v>44561</v>
      </c>
      <c r="E5099" s="752" t="s">
        <v>44560</v>
      </c>
      <c r="F5099" s="751">
        <v>10995</v>
      </c>
    </row>
    <row r="5100" spans="1:6">
      <c r="A5100" s="753"/>
      <c r="B5100" s="753"/>
      <c r="C5100" s="752" t="s">
        <v>44559</v>
      </c>
      <c r="D5100" s="753" t="s">
        <v>44558</v>
      </c>
      <c r="E5100" s="752" t="s">
        <v>43517</v>
      </c>
      <c r="F5100" s="751">
        <v>5170</v>
      </c>
    </row>
    <row r="5101" spans="1:6">
      <c r="A5101" s="753"/>
      <c r="B5101" s="753"/>
      <c r="C5101" s="752" t="s">
        <v>44557</v>
      </c>
      <c r="D5101" s="753" t="s">
        <v>44556</v>
      </c>
      <c r="E5101" s="752" t="s">
        <v>44555</v>
      </c>
      <c r="F5101" s="751">
        <v>5075</v>
      </c>
    </row>
    <row r="5102" spans="1:6">
      <c r="A5102" s="753"/>
      <c r="B5102" s="753"/>
      <c r="C5102" s="752" t="s">
        <v>44554</v>
      </c>
      <c r="D5102" s="753" t="s">
        <v>44553</v>
      </c>
      <c r="E5102" s="752" t="s">
        <v>43715</v>
      </c>
      <c r="F5102" s="751">
        <v>5875</v>
      </c>
    </row>
    <row r="5103" spans="1:6">
      <c r="A5103" s="753"/>
      <c r="B5103" s="753"/>
      <c r="C5103" s="752" t="s">
        <v>44552</v>
      </c>
      <c r="D5103" s="753" t="s">
        <v>44551</v>
      </c>
      <c r="E5103" s="752" t="s">
        <v>44550</v>
      </c>
      <c r="F5103" s="751">
        <v>6125</v>
      </c>
    </row>
    <row r="5104" spans="1:6">
      <c r="A5104" s="753"/>
      <c r="B5104" s="753" t="s">
        <v>44549</v>
      </c>
      <c r="C5104" s="752" t="s">
        <v>44548</v>
      </c>
      <c r="D5104" s="753" t="s">
        <v>44547</v>
      </c>
      <c r="E5104" s="752" t="s">
        <v>293</v>
      </c>
      <c r="F5104" s="751">
        <v>4465</v>
      </c>
    </row>
    <row r="5105" spans="1:6">
      <c r="A5105" s="753"/>
      <c r="B5105" s="753"/>
      <c r="C5105" s="752" t="s">
        <v>44546</v>
      </c>
      <c r="D5105" s="753" t="s">
        <v>44545</v>
      </c>
      <c r="E5105" s="752" t="s">
        <v>293</v>
      </c>
      <c r="F5105" s="751">
        <v>5195</v>
      </c>
    </row>
    <row r="5106" spans="1:6">
      <c r="A5106" s="753"/>
      <c r="B5106" s="753"/>
      <c r="C5106" s="752" t="s">
        <v>44544</v>
      </c>
      <c r="D5106" s="753" t="s">
        <v>44541</v>
      </c>
      <c r="E5106" s="752" t="s">
        <v>293</v>
      </c>
      <c r="F5106" s="751">
        <v>2825</v>
      </c>
    </row>
    <row r="5107" spans="1:6">
      <c r="A5107" s="753"/>
      <c r="B5107" s="753"/>
      <c r="C5107" s="752" t="s">
        <v>44543</v>
      </c>
      <c r="D5107" s="753" t="s">
        <v>44541</v>
      </c>
      <c r="E5107" s="752" t="s">
        <v>38919</v>
      </c>
      <c r="F5107" s="751">
        <v>3585</v>
      </c>
    </row>
    <row r="5108" spans="1:6">
      <c r="A5108" s="753"/>
      <c r="B5108" s="753"/>
      <c r="C5108" s="752" t="s">
        <v>44542</v>
      </c>
      <c r="D5108" s="753" t="s">
        <v>44541</v>
      </c>
      <c r="E5108" s="752" t="s">
        <v>44531</v>
      </c>
      <c r="F5108" s="751">
        <v>2775</v>
      </c>
    </row>
    <row r="5109" spans="1:6">
      <c r="A5109" s="753"/>
      <c r="B5109" s="753"/>
      <c r="C5109" s="752" t="s">
        <v>44540</v>
      </c>
      <c r="D5109" s="753" t="s">
        <v>44538</v>
      </c>
      <c r="E5109" s="752" t="s">
        <v>293</v>
      </c>
      <c r="F5109" s="751">
        <v>3375</v>
      </c>
    </row>
    <row r="5110" spans="1:6">
      <c r="A5110" s="753"/>
      <c r="B5110" s="753"/>
      <c r="C5110" s="752" t="s">
        <v>44539</v>
      </c>
      <c r="D5110" s="753" t="s">
        <v>44538</v>
      </c>
      <c r="E5110" s="752" t="s">
        <v>38919</v>
      </c>
      <c r="F5110" s="751">
        <v>4135</v>
      </c>
    </row>
    <row r="5111" spans="1:6">
      <c r="A5111" s="753"/>
      <c r="B5111" s="753"/>
      <c r="C5111" s="752" t="s">
        <v>44537</v>
      </c>
      <c r="D5111" s="753" t="s">
        <v>44536</v>
      </c>
      <c r="E5111" s="752" t="s">
        <v>293</v>
      </c>
      <c r="F5111" s="751">
        <v>3375</v>
      </c>
    </row>
    <row r="5112" spans="1:6">
      <c r="A5112" s="753"/>
      <c r="B5112" s="753"/>
      <c r="C5112" s="752" t="s">
        <v>44535</v>
      </c>
      <c r="D5112" s="753" t="s">
        <v>44532</v>
      </c>
      <c r="E5112" s="752" t="s">
        <v>293</v>
      </c>
      <c r="F5112" s="751">
        <v>2625</v>
      </c>
    </row>
    <row r="5113" spans="1:6">
      <c r="A5113" s="753"/>
      <c r="B5113" s="753"/>
      <c r="C5113" s="752" t="s">
        <v>44534</v>
      </c>
      <c r="D5113" s="753" t="s">
        <v>44532</v>
      </c>
      <c r="E5113" s="752" t="s">
        <v>37750</v>
      </c>
      <c r="F5113" s="751">
        <v>2125</v>
      </c>
    </row>
    <row r="5114" spans="1:6">
      <c r="A5114" s="753"/>
      <c r="B5114" s="753"/>
      <c r="C5114" s="752" t="s">
        <v>44533</v>
      </c>
      <c r="D5114" s="753" t="s">
        <v>44532</v>
      </c>
      <c r="E5114" s="752" t="s">
        <v>44531</v>
      </c>
      <c r="F5114" s="751">
        <v>2575</v>
      </c>
    </row>
    <row r="5115" spans="1:6">
      <c r="A5115" s="753"/>
      <c r="B5115" s="753"/>
      <c r="C5115" s="752" t="s">
        <v>44530</v>
      </c>
      <c r="D5115" s="753" t="s">
        <v>44529</v>
      </c>
      <c r="E5115" s="752" t="s">
        <v>293</v>
      </c>
      <c r="F5115" s="751">
        <v>3175</v>
      </c>
    </row>
    <row r="5116" spans="1:6">
      <c r="A5116" s="753"/>
      <c r="B5116" s="753"/>
      <c r="C5116" s="752" t="s">
        <v>44528</v>
      </c>
      <c r="D5116" s="753" t="s">
        <v>44527</v>
      </c>
      <c r="E5116" s="752" t="s">
        <v>293</v>
      </c>
      <c r="F5116" s="751">
        <v>3175</v>
      </c>
    </row>
    <row r="5117" spans="1:6">
      <c r="A5117" s="753"/>
      <c r="B5117" s="753" t="s">
        <v>44526</v>
      </c>
      <c r="C5117" s="752" t="s">
        <v>44525</v>
      </c>
      <c r="D5117" s="753" t="s">
        <v>44520</v>
      </c>
      <c r="E5117" s="752" t="s">
        <v>39055</v>
      </c>
      <c r="F5117" s="751">
        <v>1975</v>
      </c>
    </row>
    <row r="5118" spans="1:6">
      <c r="A5118" s="753"/>
      <c r="B5118" s="753"/>
      <c r="C5118" s="752" t="s">
        <v>44524</v>
      </c>
      <c r="D5118" s="753" t="s">
        <v>44522</v>
      </c>
      <c r="E5118" s="752" t="s">
        <v>37838</v>
      </c>
      <c r="F5118" s="751">
        <v>1975</v>
      </c>
    </row>
    <row r="5119" spans="1:6">
      <c r="A5119" s="753"/>
      <c r="B5119" s="753"/>
      <c r="C5119" s="752" t="s">
        <v>44523</v>
      </c>
      <c r="D5119" s="753" t="s">
        <v>44522</v>
      </c>
      <c r="E5119" s="752" t="s">
        <v>37838</v>
      </c>
      <c r="F5119" s="751">
        <v>1975</v>
      </c>
    </row>
    <row r="5120" spans="1:6">
      <c r="A5120" s="753"/>
      <c r="B5120" s="753"/>
      <c r="C5120" s="752" t="s">
        <v>44521</v>
      </c>
      <c r="D5120" s="753" t="s">
        <v>44520</v>
      </c>
      <c r="E5120" s="752" t="s">
        <v>39055</v>
      </c>
      <c r="F5120" s="751">
        <v>1975</v>
      </c>
    </row>
    <row r="5121" spans="1:6">
      <c r="A5121" s="753"/>
      <c r="B5121" s="753"/>
      <c r="C5121" s="752" t="s">
        <v>44519</v>
      </c>
      <c r="D5121" s="753" t="s">
        <v>44517</v>
      </c>
      <c r="E5121" s="752" t="s">
        <v>37838</v>
      </c>
      <c r="F5121" s="751">
        <v>2395</v>
      </c>
    </row>
    <row r="5122" spans="1:6">
      <c r="A5122" s="753"/>
      <c r="B5122" s="753"/>
      <c r="C5122" s="752" t="s">
        <v>44518</v>
      </c>
      <c r="D5122" s="753" t="s">
        <v>44517</v>
      </c>
      <c r="E5122" s="752" t="s">
        <v>39055</v>
      </c>
      <c r="F5122" s="751">
        <v>2375</v>
      </c>
    </row>
    <row r="5123" spans="1:6">
      <c r="A5123" s="753"/>
      <c r="B5123" s="753" t="s">
        <v>44510</v>
      </c>
      <c r="C5123" s="752" t="s">
        <v>44516</v>
      </c>
      <c r="D5123" s="753" t="s">
        <v>44514</v>
      </c>
      <c r="E5123" s="752" t="s">
        <v>293</v>
      </c>
      <c r="F5123" s="751">
        <v>2475</v>
      </c>
    </row>
    <row r="5124" spans="1:6">
      <c r="A5124" s="753"/>
      <c r="B5124" s="753"/>
      <c r="C5124" s="752" t="s">
        <v>44515</v>
      </c>
      <c r="D5124" s="753" t="s">
        <v>44514</v>
      </c>
      <c r="E5124" s="752" t="s">
        <v>293</v>
      </c>
      <c r="F5124" s="751">
        <v>2025</v>
      </c>
    </row>
    <row r="5125" spans="1:6">
      <c r="A5125" s="753"/>
      <c r="B5125" s="753"/>
      <c r="C5125" s="752" t="s">
        <v>44513</v>
      </c>
      <c r="D5125" s="753" t="s">
        <v>44512</v>
      </c>
      <c r="E5125" s="752" t="s">
        <v>293</v>
      </c>
      <c r="F5125" s="751">
        <v>3025</v>
      </c>
    </row>
    <row r="5126" spans="1:6">
      <c r="A5126" s="753"/>
      <c r="B5126" s="753"/>
      <c r="C5126" s="752" t="s">
        <v>44511</v>
      </c>
      <c r="D5126" s="753" t="s">
        <v>44510</v>
      </c>
      <c r="E5126" s="752" t="s">
        <v>39055</v>
      </c>
      <c r="F5126" s="751">
        <v>1845</v>
      </c>
    </row>
    <row r="5127" spans="1:6">
      <c r="A5127" s="753"/>
      <c r="B5127" s="753"/>
      <c r="C5127" s="752" t="s">
        <v>44509</v>
      </c>
      <c r="D5127" s="753" t="s">
        <v>44508</v>
      </c>
      <c r="E5127" s="752" t="s">
        <v>293</v>
      </c>
      <c r="F5127" s="751">
        <v>1825</v>
      </c>
    </row>
    <row r="5128" spans="1:6">
      <c r="A5128" s="753"/>
      <c r="B5128" s="753"/>
      <c r="C5128" s="752" t="s">
        <v>44507</v>
      </c>
      <c r="D5128" s="753" t="s">
        <v>44506</v>
      </c>
      <c r="E5128" s="752" t="s">
        <v>293</v>
      </c>
      <c r="F5128" s="751">
        <v>2825</v>
      </c>
    </row>
    <row r="5129" spans="1:6">
      <c r="A5129" s="753"/>
      <c r="B5129" s="753" t="s">
        <v>44505</v>
      </c>
      <c r="C5129" s="752" t="s">
        <v>44504</v>
      </c>
      <c r="D5129" s="753" t="s">
        <v>44503</v>
      </c>
      <c r="E5129" s="752" t="s">
        <v>293</v>
      </c>
      <c r="F5129" s="751">
        <v>2825</v>
      </c>
    </row>
    <row r="5130" spans="1:6">
      <c r="A5130" s="753"/>
      <c r="B5130" s="753"/>
      <c r="C5130" s="752" t="s">
        <v>44502</v>
      </c>
      <c r="D5130" s="753" t="s">
        <v>44501</v>
      </c>
      <c r="E5130" s="752" t="s">
        <v>293</v>
      </c>
      <c r="F5130" s="751">
        <v>3375</v>
      </c>
    </row>
    <row r="5131" spans="1:6">
      <c r="A5131" s="753"/>
      <c r="B5131" s="753"/>
      <c r="C5131" s="752" t="s">
        <v>44500</v>
      </c>
      <c r="D5131" s="753" t="s">
        <v>44499</v>
      </c>
      <c r="E5131" s="752" t="s">
        <v>293</v>
      </c>
      <c r="F5131" s="751">
        <v>2875</v>
      </c>
    </row>
    <row r="5132" spans="1:6">
      <c r="A5132" s="753"/>
      <c r="B5132" s="753"/>
      <c r="C5132" s="752" t="s">
        <v>44498</v>
      </c>
      <c r="D5132" s="753" t="s">
        <v>44497</v>
      </c>
      <c r="E5132" s="752" t="s">
        <v>293</v>
      </c>
      <c r="F5132" s="751">
        <v>3425</v>
      </c>
    </row>
    <row r="5133" spans="1:6">
      <c r="A5133" s="753"/>
      <c r="B5133" s="753"/>
      <c r="C5133" s="752" t="s">
        <v>44496</v>
      </c>
      <c r="D5133" s="753" t="s">
        <v>44495</v>
      </c>
      <c r="E5133" s="752" t="s">
        <v>293</v>
      </c>
      <c r="F5133" s="751">
        <v>3425</v>
      </c>
    </row>
    <row r="5134" spans="1:6">
      <c r="A5134" s="753"/>
      <c r="B5134" s="753" t="s">
        <v>44494</v>
      </c>
      <c r="C5134" s="752" t="s">
        <v>44493</v>
      </c>
      <c r="D5134" s="753" t="s">
        <v>44492</v>
      </c>
      <c r="E5134" s="752" t="s">
        <v>293</v>
      </c>
      <c r="F5134" s="751">
        <v>2825</v>
      </c>
    </row>
    <row r="5135" spans="1:6">
      <c r="A5135" s="753"/>
      <c r="B5135" s="753"/>
      <c r="C5135" s="752" t="s">
        <v>44491</v>
      </c>
      <c r="D5135" s="753" t="s">
        <v>44490</v>
      </c>
      <c r="E5135" s="752" t="s">
        <v>293</v>
      </c>
      <c r="F5135" s="751">
        <v>3375</v>
      </c>
    </row>
    <row r="5136" spans="1:6">
      <c r="A5136" s="753"/>
      <c r="B5136" s="753"/>
      <c r="C5136" s="752" t="s">
        <v>44489</v>
      </c>
      <c r="D5136" s="753" t="s">
        <v>44488</v>
      </c>
      <c r="E5136" s="752" t="s">
        <v>293</v>
      </c>
      <c r="F5136" s="751">
        <v>2625</v>
      </c>
    </row>
    <row r="5137" spans="1:6">
      <c r="A5137" s="753"/>
      <c r="B5137" s="753"/>
      <c r="C5137" s="752" t="s">
        <v>44487</v>
      </c>
      <c r="D5137" s="753" t="s">
        <v>44486</v>
      </c>
      <c r="E5137" s="752" t="s">
        <v>293</v>
      </c>
      <c r="F5137" s="751">
        <v>3175</v>
      </c>
    </row>
    <row r="5138" spans="1:6">
      <c r="A5138" s="753"/>
      <c r="B5138" s="753" t="s">
        <v>44485</v>
      </c>
      <c r="C5138" s="752" t="s">
        <v>44484</v>
      </c>
      <c r="D5138" s="753" t="s">
        <v>44483</v>
      </c>
      <c r="E5138" s="752" t="s">
        <v>38577</v>
      </c>
      <c r="F5138" s="751">
        <v>5475</v>
      </c>
    </row>
    <row r="5139" spans="1:6">
      <c r="A5139" s="753"/>
      <c r="B5139" s="753"/>
      <c r="C5139" s="752" t="s">
        <v>44482</v>
      </c>
      <c r="D5139" s="753" t="s">
        <v>44481</v>
      </c>
      <c r="E5139" s="752" t="s">
        <v>293</v>
      </c>
      <c r="F5139" s="751">
        <v>4075</v>
      </c>
    </row>
    <row r="5140" spans="1:6">
      <c r="A5140" s="753"/>
      <c r="B5140" s="753"/>
      <c r="C5140" s="752" t="s">
        <v>44480</v>
      </c>
      <c r="D5140" s="753" t="s">
        <v>44478</v>
      </c>
      <c r="E5140" s="752" t="s">
        <v>293</v>
      </c>
      <c r="F5140" s="751">
        <v>5395</v>
      </c>
    </row>
    <row r="5141" spans="1:6">
      <c r="A5141" s="753"/>
      <c r="B5141" s="753"/>
      <c r="C5141" s="752" t="s">
        <v>44479</v>
      </c>
      <c r="D5141" s="753" t="s">
        <v>44478</v>
      </c>
      <c r="E5141" s="752" t="s">
        <v>293</v>
      </c>
      <c r="F5141" s="751">
        <v>5695</v>
      </c>
    </row>
    <row r="5142" spans="1:6">
      <c r="A5142" s="753"/>
      <c r="B5142" s="753"/>
      <c r="C5142" s="752" t="s">
        <v>44477</v>
      </c>
      <c r="D5142" s="753" t="s">
        <v>44476</v>
      </c>
      <c r="E5142" s="752" t="s">
        <v>44475</v>
      </c>
      <c r="F5142" s="751">
        <v>8635</v>
      </c>
    </row>
    <row r="5143" spans="1:6">
      <c r="A5143" s="753"/>
      <c r="B5143" s="753"/>
      <c r="C5143" s="752" t="s">
        <v>44474</v>
      </c>
      <c r="D5143" s="753" t="s">
        <v>44473</v>
      </c>
      <c r="E5143" s="752" t="s">
        <v>293</v>
      </c>
      <c r="F5143" s="751">
        <v>5215</v>
      </c>
    </row>
    <row r="5144" spans="1:6">
      <c r="A5144" s="753"/>
      <c r="B5144" s="753"/>
      <c r="C5144" s="752" t="s">
        <v>44472</v>
      </c>
      <c r="D5144" s="753" t="s">
        <v>44471</v>
      </c>
      <c r="E5144" s="752" t="s">
        <v>38010</v>
      </c>
      <c r="F5144" s="751">
        <v>3075</v>
      </c>
    </row>
    <row r="5145" spans="1:6">
      <c r="A5145" s="753"/>
      <c r="B5145" s="753"/>
      <c r="C5145" s="752" t="s">
        <v>44470</v>
      </c>
      <c r="D5145" s="753" t="s">
        <v>44117</v>
      </c>
      <c r="E5145" s="752" t="s">
        <v>38010</v>
      </c>
      <c r="F5145" s="751">
        <v>3625</v>
      </c>
    </row>
    <row r="5146" spans="1:6">
      <c r="A5146" s="753"/>
      <c r="B5146" s="753"/>
      <c r="C5146" s="752" t="s">
        <v>44469</v>
      </c>
      <c r="D5146" s="753" t="s">
        <v>44117</v>
      </c>
      <c r="E5146" s="752" t="s">
        <v>44468</v>
      </c>
      <c r="F5146" s="751">
        <v>4385</v>
      </c>
    </row>
    <row r="5147" spans="1:6">
      <c r="A5147" s="753"/>
      <c r="B5147" s="753"/>
      <c r="C5147" s="752" t="s">
        <v>44467</v>
      </c>
      <c r="D5147" s="753" t="s">
        <v>44117</v>
      </c>
      <c r="E5147" s="752" t="s">
        <v>38010</v>
      </c>
      <c r="F5147" s="751">
        <v>4125</v>
      </c>
    </row>
    <row r="5148" spans="1:6">
      <c r="A5148" s="753"/>
      <c r="B5148" s="753"/>
      <c r="C5148" s="752" t="s">
        <v>44466</v>
      </c>
      <c r="D5148" s="753" t="s">
        <v>44465</v>
      </c>
      <c r="E5148" s="752" t="s">
        <v>38010</v>
      </c>
      <c r="F5148" s="751">
        <v>3625</v>
      </c>
    </row>
    <row r="5149" spans="1:6">
      <c r="A5149" s="753"/>
      <c r="B5149" s="753"/>
      <c r="C5149" s="752" t="s">
        <v>44464</v>
      </c>
      <c r="D5149" s="753" t="s">
        <v>44463</v>
      </c>
      <c r="E5149" s="752" t="s">
        <v>38010</v>
      </c>
      <c r="F5149" s="751">
        <v>4385</v>
      </c>
    </row>
    <row r="5150" spans="1:6">
      <c r="A5150" s="753"/>
      <c r="B5150" s="753"/>
      <c r="C5150" s="752" t="s">
        <v>44462</v>
      </c>
      <c r="D5150" s="753" t="s">
        <v>44117</v>
      </c>
      <c r="E5150" s="752" t="s">
        <v>44461</v>
      </c>
      <c r="F5150" s="751">
        <v>4135</v>
      </c>
    </row>
    <row r="5151" spans="1:6">
      <c r="A5151" s="753"/>
      <c r="B5151" s="753"/>
      <c r="C5151" s="752" t="s">
        <v>44460</v>
      </c>
      <c r="D5151" s="753" t="s">
        <v>44459</v>
      </c>
      <c r="E5151" s="752" t="s">
        <v>38010</v>
      </c>
      <c r="F5151" s="751">
        <v>2875</v>
      </c>
    </row>
    <row r="5152" spans="1:6">
      <c r="A5152" s="753"/>
      <c r="B5152" s="753"/>
      <c r="C5152" s="752" t="s">
        <v>44458</v>
      </c>
      <c r="D5152" s="753" t="s">
        <v>44112</v>
      </c>
      <c r="E5152" s="752" t="s">
        <v>38010</v>
      </c>
      <c r="F5152" s="751">
        <v>3425</v>
      </c>
    </row>
    <row r="5153" spans="1:6">
      <c r="A5153" s="753"/>
      <c r="B5153" s="753"/>
      <c r="C5153" s="752" t="s">
        <v>44457</v>
      </c>
      <c r="D5153" s="753" t="s">
        <v>44112</v>
      </c>
      <c r="E5153" s="752" t="s">
        <v>38010</v>
      </c>
      <c r="F5153" s="751">
        <v>4185</v>
      </c>
    </row>
    <row r="5154" spans="1:6">
      <c r="A5154" s="753"/>
      <c r="B5154" s="753"/>
      <c r="C5154" s="752" t="s">
        <v>44456</v>
      </c>
      <c r="D5154" s="753" t="s">
        <v>44112</v>
      </c>
      <c r="E5154" s="752" t="s">
        <v>37750</v>
      </c>
      <c r="F5154" s="751">
        <v>2675</v>
      </c>
    </row>
    <row r="5155" spans="1:6">
      <c r="A5155" s="753"/>
      <c r="B5155" s="753"/>
      <c r="C5155" s="752" t="s">
        <v>44455</v>
      </c>
      <c r="D5155" s="753" t="s">
        <v>44112</v>
      </c>
      <c r="E5155" s="752" t="s">
        <v>38010</v>
      </c>
      <c r="F5155" s="751">
        <v>3675</v>
      </c>
    </row>
    <row r="5156" spans="1:6">
      <c r="A5156" s="753"/>
      <c r="B5156" s="753"/>
      <c r="C5156" s="752" t="s">
        <v>44454</v>
      </c>
      <c r="D5156" s="753" t="s">
        <v>44453</v>
      </c>
      <c r="E5156" s="752" t="s">
        <v>38010</v>
      </c>
      <c r="F5156" s="751">
        <v>3675</v>
      </c>
    </row>
    <row r="5157" spans="1:6">
      <c r="A5157" s="753"/>
      <c r="B5157" s="753"/>
      <c r="C5157" s="752" t="s">
        <v>44452</v>
      </c>
      <c r="D5157" s="753" t="s">
        <v>44451</v>
      </c>
      <c r="E5157" s="752" t="s">
        <v>39691</v>
      </c>
      <c r="F5157" s="751">
        <v>3275</v>
      </c>
    </row>
    <row r="5158" spans="1:6">
      <c r="A5158" s="753"/>
      <c r="B5158" s="753" t="s">
        <v>44450</v>
      </c>
      <c r="C5158" s="752" t="s">
        <v>44449</v>
      </c>
      <c r="D5158" s="753" t="s">
        <v>44448</v>
      </c>
      <c r="E5158" s="752" t="s">
        <v>293</v>
      </c>
      <c r="F5158" s="751">
        <v>1975</v>
      </c>
    </row>
    <row r="5159" spans="1:6">
      <c r="A5159" s="753"/>
      <c r="B5159" s="753"/>
      <c r="C5159" s="752" t="s">
        <v>44447</v>
      </c>
      <c r="D5159" s="753" t="s">
        <v>44437</v>
      </c>
      <c r="E5159" s="752" t="s">
        <v>37838</v>
      </c>
      <c r="F5159" s="751">
        <v>1975</v>
      </c>
    </row>
    <row r="5160" spans="1:6">
      <c r="A5160" s="753"/>
      <c r="B5160" s="753"/>
      <c r="C5160" s="752" t="s">
        <v>44446</v>
      </c>
      <c r="D5160" s="753" t="s">
        <v>44437</v>
      </c>
      <c r="E5160" s="752" t="s">
        <v>42278</v>
      </c>
      <c r="F5160" s="751">
        <v>1975</v>
      </c>
    </row>
    <row r="5161" spans="1:6">
      <c r="A5161" s="753"/>
      <c r="B5161" s="753"/>
      <c r="C5161" s="752" t="s">
        <v>44445</v>
      </c>
      <c r="D5161" s="753" t="s">
        <v>44437</v>
      </c>
      <c r="E5161" s="752" t="s">
        <v>42278</v>
      </c>
      <c r="F5161" s="751">
        <v>1975</v>
      </c>
    </row>
    <row r="5162" spans="1:6">
      <c r="A5162" s="753"/>
      <c r="B5162" s="753"/>
      <c r="C5162" s="752" t="s">
        <v>44444</v>
      </c>
      <c r="D5162" s="753" t="s">
        <v>44435</v>
      </c>
      <c r="E5162" s="752" t="s">
        <v>37838</v>
      </c>
      <c r="F5162" s="751">
        <v>2225</v>
      </c>
    </row>
    <row r="5163" spans="1:6">
      <c r="A5163" s="753"/>
      <c r="B5163" s="753"/>
      <c r="C5163" s="752" t="s">
        <v>44443</v>
      </c>
      <c r="D5163" s="753" t="s">
        <v>44435</v>
      </c>
      <c r="E5163" s="752" t="s">
        <v>44440</v>
      </c>
      <c r="F5163" s="751">
        <v>1975</v>
      </c>
    </row>
    <row r="5164" spans="1:6">
      <c r="A5164" s="753"/>
      <c r="B5164" s="753"/>
      <c r="C5164" s="752" t="s">
        <v>44442</v>
      </c>
      <c r="D5164" s="753" t="s">
        <v>44441</v>
      </c>
      <c r="E5164" s="752" t="s">
        <v>44440</v>
      </c>
      <c r="F5164" s="751">
        <v>1975</v>
      </c>
    </row>
    <row r="5165" spans="1:6">
      <c r="A5165" s="753"/>
      <c r="B5165" s="753" t="s">
        <v>44439</v>
      </c>
      <c r="C5165" s="752" t="s">
        <v>44438</v>
      </c>
      <c r="D5165" s="753" t="s">
        <v>44437</v>
      </c>
      <c r="E5165" s="752" t="s">
        <v>38686</v>
      </c>
      <c r="F5165" s="751">
        <v>1975</v>
      </c>
    </row>
    <row r="5166" spans="1:6">
      <c r="A5166" s="753"/>
      <c r="B5166" s="753"/>
      <c r="C5166" s="752" t="s">
        <v>44436</v>
      </c>
      <c r="D5166" s="753" t="s">
        <v>44435</v>
      </c>
      <c r="E5166" s="752" t="s">
        <v>44434</v>
      </c>
      <c r="F5166" s="751">
        <v>1975</v>
      </c>
    </row>
    <row r="5167" spans="1:6">
      <c r="A5167" s="753"/>
      <c r="B5167" s="753" t="s">
        <v>44433</v>
      </c>
      <c r="C5167" s="752" t="s">
        <v>44432</v>
      </c>
      <c r="D5167" s="753" t="s">
        <v>44431</v>
      </c>
      <c r="E5167" s="752" t="s">
        <v>44430</v>
      </c>
      <c r="F5167" s="751">
        <v>4420</v>
      </c>
    </row>
    <row r="5168" spans="1:6">
      <c r="A5168" s="753"/>
      <c r="B5168" s="753"/>
      <c r="C5168" s="752" t="s">
        <v>44429</v>
      </c>
      <c r="D5168" s="753" t="s">
        <v>44427</v>
      </c>
      <c r="E5168" s="752" t="s">
        <v>44397</v>
      </c>
      <c r="F5168" s="751">
        <v>4725</v>
      </c>
    </row>
    <row r="5169" spans="1:6">
      <c r="A5169" s="753"/>
      <c r="B5169" s="753"/>
      <c r="C5169" s="752" t="s">
        <v>44428</v>
      </c>
      <c r="D5169" s="753" t="s">
        <v>44427</v>
      </c>
      <c r="E5169" s="752" t="s">
        <v>44397</v>
      </c>
      <c r="F5169" s="751">
        <v>4725</v>
      </c>
    </row>
    <row r="5170" spans="1:6">
      <c r="A5170" s="753"/>
      <c r="B5170" s="753"/>
      <c r="C5170" s="752" t="s">
        <v>44426</v>
      </c>
      <c r="D5170" s="753" t="s">
        <v>44421</v>
      </c>
      <c r="E5170" s="752" t="s">
        <v>44403</v>
      </c>
      <c r="F5170" s="751">
        <v>2775</v>
      </c>
    </row>
    <row r="5171" spans="1:6">
      <c r="A5171" s="753"/>
      <c r="B5171" s="753"/>
      <c r="C5171" s="752" t="s">
        <v>44425</v>
      </c>
      <c r="D5171" s="753" t="s">
        <v>44421</v>
      </c>
      <c r="E5171" s="752" t="s">
        <v>44400</v>
      </c>
      <c r="F5171" s="751">
        <v>3025</v>
      </c>
    </row>
    <row r="5172" spans="1:6">
      <c r="A5172" s="753"/>
      <c r="B5172" s="753"/>
      <c r="C5172" s="752" t="s">
        <v>44424</v>
      </c>
      <c r="D5172" s="753" t="s">
        <v>44421</v>
      </c>
      <c r="E5172" s="752" t="s">
        <v>38019</v>
      </c>
      <c r="F5172" s="751">
        <v>3725</v>
      </c>
    </row>
    <row r="5173" spans="1:6">
      <c r="A5173" s="753"/>
      <c r="B5173" s="753"/>
      <c r="C5173" s="752" t="s">
        <v>44423</v>
      </c>
      <c r="D5173" s="753" t="s">
        <v>44421</v>
      </c>
      <c r="E5173" s="752" t="s">
        <v>44397</v>
      </c>
      <c r="F5173" s="751">
        <v>4525</v>
      </c>
    </row>
    <row r="5174" spans="1:6">
      <c r="A5174" s="753"/>
      <c r="B5174" s="753"/>
      <c r="C5174" s="752" t="s">
        <v>44422</v>
      </c>
      <c r="D5174" s="753" t="s">
        <v>44421</v>
      </c>
      <c r="E5174" s="752" t="s">
        <v>44420</v>
      </c>
      <c r="F5174" s="751">
        <v>4175</v>
      </c>
    </row>
    <row r="5175" spans="1:6">
      <c r="A5175" s="753"/>
      <c r="B5175" s="753"/>
      <c r="C5175" s="752" t="s">
        <v>44419</v>
      </c>
      <c r="D5175" s="753" t="s">
        <v>44418</v>
      </c>
      <c r="E5175" s="752" t="s">
        <v>38019</v>
      </c>
      <c r="F5175" s="751">
        <v>4375</v>
      </c>
    </row>
    <row r="5176" spans="1:6">
      <c r="A5176" s="753"/>
      <c r="B5176" s="753"/>
      <c r="C5176" s="752" t="s">
        <v>44417</v>
      </c>
      <c r="D5176" s="753" t="s">
        <v>44407</v>
      </c>
      <c r="E5176" s="752" t="s">
        <v>44416</v>
      </c>
      <c r="F5176" s="751">
        <v>2575</v>
      </c>
    </row>
    <row r="5177" spans="1:6">
      <c r="A5177" s="753"/>
      <c r="B5177" s="753"/>
      <c r="C5177" s="752" t="s">
        <v>44415</v>
      </c>
      <c r="D5177" s="753" t="s">
        <v>44412</v>
      </c>
      <c r="E5177" s="752" t="s">
        <v>44405</v>
      </c>
      <c r="F5177" s="751">
        <v>2825</v>
      </c>
    </row>
    <row r="5178" spans="1:6">
      <c r="A5178" s="753"/>
      <c r="B5178" s="753"/>
      <c r="C5178" s="752" t="s">
        <v>44414</v>
      </c>
      <c r="D5178" s="753" t="s">
        <v>44407</v>
      </c>
      <c r="E5178" s="752" t="s">
        <v>44403</v>
      </c>
      <c r="F5178" s="751">
        <v>2575</v>
      </c>
    </row>
    <row r="5179" spans="1:6">
      <c r="A5179" s="753"/>
      <c r="B5179" s="753"/>
      <c r="C5179" s="752" t="s">
        <v>44413</v>
      </c>
      <c r="D5179" s="753" t="s">
        <v>44412</v>
      </c>
      <c r="E5179" s="752" t="s">
        <v>44400</v>
      </c>
      <c r="F5179" s="751">
        <v>2825</v>
      </c>
    </row>
    <row r="5180" spans="1:6">
      <c r="A5180" s="753"/>
      <c r="B5180" s="753"/>
      <c r="C5180" s="752" t="s">
        <v>44411</v>
      </c>
      <c r="D5180" s="753" t="s">
        <v>44407</v>
      </c>
      <c r="E5180" s="752" t="s">
        <v>38019</v>
      </c>
      <c r="F5180" s="751">
        <v>3725</v>
      </c>
    </row>
    <row r="5181" spans="1:6">
      <c r="A5181" s="753"/>
      <c r="B5181" s="753"/>
      <c r="C5181" s="752" t="s">
        <v>44410</v>
      </c>
      <c r="D5181" s="753" t="s">
        <v>44407</v>
      </c>
      <c r="E5181" s="752" t="s">
        <v>44397</v>
      </c>
      <c r="F5181" s="751">
        <v>4325</v>
      </c>
    </row>
    <row r="5182" spans="1:6">
      <c r="A5182" s="753"/>
      <c r="B5182" s="753"/>
      <c r="C5182" s="752" t="s">
        <v>44409</v>
      </c>
      <c r="D5182" s="753" t="s">
        <v>44407</v>
      </c>
      <c r="E5182" s="752" t="s">
        <v>38019</v>
      </c>
      <c r="F5182" s="751">
        <v>4275</v>
      </c>
    </row>
    <row r="5183" spans="1:6">
      <c r="A5183" s="753"/>
      <c r="B5183" s="753"/>
      <c r="C5183" s="752" t="s">
        <v>44408</v>
      </c>
      <c r="D5183" s="753" t="s">
        <v>44407</v>
      </c>
      <c r="E5183" s="752" t="s">
        <v>44394</v>
      </c>
      <c r="F5183" s="751">
        <v>3725</v>
      </c>
    </row>
    <row r="5184" spans="1:6">
      <c r="A5184" s="753"/>
      <c r="B5184" s="753"/>
      <c r="C5184" s="752" t="s">
        <v>44406</v>
      </c>
      <c r="D5184" s="753" t="s">
        <v>44401</v>
      </c>
      <c r="E5184" s="752" t="s">
        <v>44405</v>
      </c>
      <c r="F5184" s="751">
        <v>2925</v>
      </c>
    </row>
    <row r="5185" spans="1:6">
      <c r="A5185" s="753"/>
      <c r="B5185" s="753"/>
      <c r="C5185" s="752" t="s">
        <v>44404</v>
      </c>
      <c r="D5185" s="753" t="s">
        <v>44395</v>
      </c>
      <c r="E5185" s="752" t="s">
        <v>44403</v>
      </c>
      <c r="F5185" s="751">
        <v>2675</v>
      </c>
    </row>
    <row r="5186" spans="1:6">
      <c r="A5186" s="753"/>
      <c r="B5186" s="753"/>
      <c r="C5186" s="752" t="s">
        <v>44402</v>
      </c>
      <c r="D5186" s="753" t="s">
        <v>44401</v>
      </c>
      <c r="E5186" s="752" t="s">
        <v>44400</v>
      </c>
      <c r="F5186" s="751">
        <v>2925</v>
      </c>
    </row>
    <row r="5187" spans="1:6">
      <c r="A5187" s="753"/>
      <c r="B5187" s="753"/>
      <c r="C5187" s="752" t="s">
        <v>44399</v>
      </c>
      <c r="D5187" s="753" t="s">
        <v>44395</v>
      </c>
      <c r="E5187" s="752" t="s">
        <v>38019</v>
      </c>
      <c r="F5187" s="751">
        <v>3725</v>
      </c>
    </row>
    <row r="5188" spans="1:6">
      <c r="A5188" s="753"/>
      <c r="B5188" s="753"/>
      <c r="C5188" s="752" t="s">
        <v>44398</v>
      </c>
      <c r="D5188" s="753" t="s">
        <v>44395</v>
      </c>
      <c r="E5188" s="752" t="s">
        <v>44397</v>
      </c>
      <c r="F5188" s="751">
        <v>4425</v>
      </c>
    </row>
    <row r="5189" spans="1:6">
      <c r="A5189" s="753"/>
      <c r="B5189" s="753"/>
      <c r="C5189" s="752" t="s">
        <v>44396</v>
      </c>
      <c r="D5189" s="753" t="s">
        <v>44395</v>
      </c>
      <c r="E5189" s="752" t="s">
        <v>44394</v>
      </c>
      <c r="F5189" s="751">
        <v>3725</v>
      </c>
    </row>
    <row r="5190" spans="1:6">
      <c r="A5190" s="753"/>
      <c r="B5190" s="753" t="s">
        <v>44388</v>
      </c>
      <c r="C5190" s="752" t="s">
        <v>44393</v>
      </c>
      <c r="D5190" s="753" t="s">
        <v>44388</v>
      </c>
      <c r="E5190" s="752" t="s">
        <v>37838</v>
      </c>
      <c r="F5190" s="751">
        <v>1975</v>
      </c>
    </row>
    <row r="5191" spans="1:6">
      <c r="A5191" s="753"/>
      <c r="B5191" s="753"/>
      <c r="C5191" s="752" t="s">
        <v>44392</v>
      </c>
      <c r="D5191" s="753" t="s">
        <v>44388</v>
      </c>
      <c r="E5191" s="752" t="s">
        <v>37838</v>
      </c>
      <c r="F5191" s="751">
        <v>1975</v>
      </c>
    </row>
    <row r="5192" spans="1:6">
      <c r="A5192" s="753"/>
      <c r="B5192" s="753"/>
      <c r="C5192" s="752" t="s">
        <v>44391</v>
      </c>
      <c r="D5192" s="753" t="s">
        <v>44388</v>
      </c>
      <c r="E5192" s="752" t="s">
        <v>39055</v>
      </c>
      <c r="F5192" s="751">
        <v>1975</v>
      </c>
    </row>
    <row r="5193" spans="1:6">
      <c r="A5193" s="753"/>
      <c r="B5193" s="753"/>
      <c r="C5193" s="752" t="s">
        <v>44390</v>
      </c>
      <c r="D5193" s="753" t="s">
        <v>44388</v>
      </c>
      <c r="E5193" s="752" t="s">
        <v>39055</v>
      </c>
      <c r="F5193" s="751">
        <v>1975</v>
      </c>
    </row>
    <row r="5194" spans="1:6">
      <c r="A5194" s="753"/>
      <c r="B5194" s="753"/>
      <c r="C5194" s="752" t="s">
        <v>44389</v>
      </c>
      <c r="D5194" s="753" t="s">
        <v>44388</v>
      </c>
      <c r="E5194" s="752" t="s">
        <v>37838</v>
      </c>
      <c r="F5194" s="751">
        <v>1975</v>
      </c>
    </row>
    <row r="5195" spans="1:6">
      <c r="A5195" s="753"/>
      <c r="B5195" s="753" t="s">
        <v>44387</v>
      </c>
      <c r="C5195" s="752" t="s">
        <v>44386</v>
      </c>
      <c r="D5195" s="753" t="s">
        <v>44385</v>
      </c>
      <c r="E5195" s="752" t="s">
        <v>293</v>
      </c>
      <c r="F5195" s="751">
        <v>3375</v>
      </c>
    </row>
    <row r="5196" spans="1:6">
      <c r="A5196" s="753"/>
      <c r="B5196" s="753"/>
      <c r="C5196" s="752" t="s">
        <v>44384</v>
      </c>
      <c r="D5196" s="753" t="s">
        <v>44383</v>
      </c>
      <c r="E5196" s="752" t="s">
        <v>293</v>
      </c>
      <c r="F5196" s="751">
        <v>2325</v>
      </c>
    </row>
    <row r="5197" spans="1:6">
      <c r="A5197" s="753"/>
      <c r="B5197" s="753"/>
      <c r="C5197" s="752" t="s">
        <v>44382</v>
      </c>
      <c r="D5197" s="753" t="s">
        <v>44381</v>
      </c>
      <c r="E5197" s="752" t="s">
        <v>293</v>
      </c>
      <c r="F5197" s="751">
        <v>2875</v>
      </c>
    </row>
    <row r="5198" spans="1:6">
      <c r="A5198" s="753"/>
      <c r="B5198" s="753"/>
      <c r="C5198" s="752" t="s">
        <v>44380</v>
      </c>
      <c r="D5198" s="753" t="s">
        <v>44378</v>
      </c>
      <c r="E5198" s="752" t="s">
        <v>293</v>
      </c>
      <c r="F5198" s="751">
        <v>2125</v>
      </c>
    </row>
    <row r="5199" spans="1:6">
      <c r="A5199" s="753"/>
      <c r="B5199" s="753"/>
      <c r="C5199" s="752" t="s">
        <v>44379</v>
      </c>
      <c r="D5199" s="753" t="s">
        <v>44378</v>
      </c>
      <c r="E5199" s="752" t="s">
        <v>293</v>
      </c>
      <c r="F5199" s="751">
        <v>2375</v>
      </c>
    </row>
    <row r="5200" spans="1:6">
      <c r="A5200" s="753"/>
      <c r="B5200" s="753"/>
      <c r="C5200" s="752" t="s">
        <v>44377</v>
      </c>
      <c r="D5200" s="753" t="s">
        <v>44376</v>
      </c>
      <c r="E5200" s="752" t="s">
        <v>293</v>
      </c>
      <c r="F5200" s="751">
        <v>2925</v>
      </c>
    </row>
    <row r="5201" spans="1:6">
      <c r="A5201" s="753"/>
      <c r="B5201" s="753"/>
      <c r="C5201" s="752" t="s">
        <v>44375</v>
      </c>
      <c r="D5201" s="753" t="s">
        <v>44374</v>
      </c>
      <c r="E5201" s="752" t="s">
        <v>293</v>
      </c>
      <c r="F5201" s="751">
        <v>2925</v>
      </c>
    </row>
    <row r="5202" spans="1:6">
      <c r="A5202" s="753"/>
      <c r="B5202" s="753"/>
      <c r="C5202" s="752" t="s">
        <v>44373</v>
      </c>
      <c r="D5202" s="753" t="s">
        <v>44372</v>
      </c>
      <c r="E5202" s="752" t="s">
        <v>293</v>
      </c>
      <c r="F5202" s="751">
        <v>2225</v>
      </c>
    </row>
    <row r="5203" spans="1:6">
      <c r="A5203" s="753"/>
      <c r="B5203" s="753" t="s">
        <v>44371</v>
      </c>
      <c r="C5203" s="752" t="s">
        <v>44370</v>
      </c>
      <c r="D5203" s="753" t="s">
        <v>44369</v>
      </c>
      <c r="E5203" s="752" t="s">
        <v>38019</v>
      </c>
      <c r="F5203" s="751">
        <v>3975</v>
      </c>
    </row>
    <row r="5204" spans="1:6">
      <c r="A5204" s="753"/>
      <c r="B5204" s="753"/>
      <c r="C5204" s="752" t="s">
        <v>44368</v>
      </c>
      <c r="D5204" s="753" t="s">
        <v>44363</v>
      </c>
      <c r="E5204" s="752" t="s">
        <v>38019</v>
      </c>
      <c r="F5204" s="751">
        <v>3775</v>
      </c>
    </row>
    <row r="5205" spans="1:6">
      <c r="A5205" s="753"/>
      <c r="B5205" s="753"/>
      <c r="C5205" s="752" t="s">
        <v>44367</v>
      </c>
      <c r="D5205" s="753" t="s">
        <v>44363</v>
      </c>
      <c r="E5205" s="752" t="s">
        <v>38002</v>
      </c>
      <c r="F5205" s="751">
        <v>4675</v>
      </c>
    </row>
    <row r="5206" spans="1:6">
      <c r="A5206" s="753"/>
      <c r="B5206" s="753"/>
      <c r="C5206" s="752" t="s">
        <v>44366</v>
      </c>
      <c r="D5206" s="753" t="s">
        <v>44363</v>
      </c>
      <c r="E5206" s="752" t="s">
        <v>38019</v>
      </c>
      <c r="F5206" s="751">
        <v>3775</v>
      </c>
    </row>
    <row r="5207" spans="1:6">
      <c r="A5207" s="753"/>
      <c r="B5207" s="753"/>
      <c r="C5207" s="752" t="s">
        <v>44365</v>
      </c>
      <c r="D5207" s="753" t="s">
        <v>44363</v>
      </c>
      <c r="E5207" s="752" t="s">
        <v>38002</v>
      </c>
      <c r="F5207" s="751">
        <v>4675</v>
      </c>
    </row>
    <row r="5208" spans="1:6">
      <c r="A5208" s="753"/>
      <c r="B5208" s="753"/>
      <c r="C5208" s="752" t="s">
        <v>44364</v>
      </c>
      <c r="D5208" s="753" t="s">
        <v>44363</v>
      </c>
      <c r="E5208" s="752" t="s">
        <v>38019</v>
      </c>
      <c r="F5208" s="751">
        <v>3975</v>
      </c>
    </row>
    <row r="5209" spans="1:6">
      <c r="A5209" s="753"/>
      <c r="B5209" s="753" t="s">
        <v>44362</v>
      </c>
      <c r="C5209" s="752" t="s">
        <v>44361</v>
      </c>
      <c r="D5209" s="753" t="s">
        <v>44358</v>
      </c>
      <c r="E5209" s="752" t="s">
        <v>37895</v>
      </c>
      <c r="F5209" s="751">
        <v>3620</v>
      </c>
    </row>
    <row r="5210" spans="1:6">
      <c r="A5210" s="753"/>
      <c r="B5210" s="753"/>
      <c r="C5210" s="752" t="s">
        <v>44360</v>
      </c>
      <c r="D5210" s="753" t="s">
        <v>44355</v>
      </c>
      <c r="E5210" s="752" t="s">
        <v>38331</v>
      </c>
      <c r="F5210" s="751">
        <v>4670</v>
      </c>
    </row>
    <row r="5211" spans="1:6">
      <c r="A5211" s="753"/>
      <c r="B5211" s="753"/>
      <c r="C5211" s="752" t="s">
        <v>44359</v>
      </c>
      <c r="D5211" s="753" t="s">
        <v>44358</v>
      </c>
      <c r="E5211" s="752" t="s">
        <v>37895</v>
      </c>
      <c r="F5211" s="751">
        <v>4420</v>
      </c>
    </row>
    <row r="5212" spans="1:6">
      <c r="A5212" s="753"/>
      <c r="B5212" s="753"/>
      <c r="C5212" s="752" t="s">
        <v>44357</v>
      </c>
      <c r="D5212" s="753" t="s">
        <v>44353</v>
      </c>
      <c r="E5212" s="752" t="s">
        <v>37895</v>
      </c>
      <c r="F5212" s="751">
        <v>2425</v>
      </c>
    </row>
    <row r="5213" spans="1:6">
      <c r="A5213" s="753"/>
      <c r="B5213" s="753"/>
      <c r="C5213" s="752" t="s">
        <v>44356</v>
      </c>
      <c r="D5213" s="753" t="s">
        <v>44355</v>
      </c>
      <c r="E5213" s="752" t="s">
        <v>38331</v>
      </c>
      <c r="F5213" s="751">
        <v>4670</v>
      </c>
    </row>
    <row r="5214" spans="1:6">
      <c r="A5214" s="753"/>
      <c r="B5214" s="753"/>
      <c r="C5214" s="752" t="s">
        <v>44354</v>
      </c>
      <c r="D5214" s="753" t="s">
        <v>44353</v>
      </c>
      <c r="E5214" s="752" t="s">
        <v>38331</v>
      </c>
      <c r="F5214" s="751">
        <v>2475</v>
      </c>
    </row>
    <row r="5215" spans="1:6">
      <c r="A5215" s="753"/>
      <c r="B5215" s="753"/>
      <c r="C5215" s="752" t="s">
        <v>44352</v>
      </c>
      <c r="D5215" s="753" t="s">
        <v>44351</v>
      </c>
      <c r="E5215" s="752" t="s">
        <v>293</v>
      </c>
      <c r="F5215" s="751">
        <v>4425</v>
      </c>
    </row>
    <row r="5216" spans="1:6">
      <c r="A5216" s="753"/>
      <c r="B5216" s="753"/>
      <c r="C5216" s="752" t="s">
        <v>44350</v>
      </c>
      <c r="D5216" s="753" t="s">
        <v>44349</v>
      </c>
      <c r="E5216" s="752" t="s">
        <v>44348</v>
      </c>
      <c r="F5216" s="751">
        <v>1445</v>
      </c>
    </row>
    <row r="5217" spans="1:6">
      <c r="A5217" s="753"/>
      <c r="B5217" s="753"/>
      <c r="C5217" s="752" t="s">
        <v>44347</v>
      </c>
      <c r="D5217" s="753" t="s">
        <v>44255</v>
      </c>
      <c r="E5217" s="752" t="s">
        <v>44346</v>
      </c>
      <c r="F5217" s="751">
        <v>3275</v>
      </c>
    </row>
    <row r="5218" spans="1:6">
      <c r="A5218" s="753"/>
      <c r="B5218" s="753"/>
      <c r="C5218" s="752" t="s">
        <v>44345</v>
      </c>
      <c r="D5218" s="753" t="s">
        <v>44255</v>
      </c>
      <c r="E5218" s="752" t="s">
        <v>44344</v>
      </c>
      <c r="F5218" s="751">
        <v>3025</v>
      </c>
    </row>
    <row r="5219" spans="1:6">
      <c r="A5219" s="753"/>
      <c r="B5219" s="753"/>
      <c r="C5219" s="752" t="s">
        <v>44343</v>
      </c>
      <c r="D5219" s="753" t="s">
        <v>44255</v>
      </c>
      <c r="E5219" s="752" t="s">
        <v>44342</v>
      </c>
      <c r="F5219" s="751">
        <v>3025</v>
      </c>
    </row>
    <row r="5220" spans="1:6">
      <c r="A5220" s="753"/>
      <c r="B5220" s="753"/>
      <c r="C5220" s="752" t="s">
        <v>44341</v>
      </c>
      <c r="D5220" s="753" t="s">
        <v>44255</v>
      </c>
      <c r="E5220" s="752" t="s">
        <v>44340</v>
      </c>
      <c r="F5220" s="751">
        <v>2775</v>
      </c>
    </row>
    <row r="5221" spans="1:6">
      <c r="A5221" s="753"/>
      <c r="B5221" s="753"/>
      <c r="C5221" s="752" t="s">
        <v>44339</v>
      </c>
      <c r="D5221" s="753" t="s">
        <v>44255</v>
      </c>
      <c r="E5221" s="752" t="s">
        <v>44338</v>
      </c>
      <c r="F5221" s="751">
        <v>3025</v>
      </c>
    </row>
    <row r="5222" spans="1:6">
      <c r="A5222" s="753"/>
      <c r="B5222" s="753"/>
      <c r="C5222" s="752" t="s">
        <v>44337</v>
      </c>
      <c r="D5222" s="753" t="s">
        <v>44255</v>
      </c>
      <c r="E5222" s="752" t="s">
        <v>38321</v>
      </c>
      <c r="F5222" s="751">
        <v>2775</v>
      </c>
    </row>
    <row r="5223" spans="1:6">
      <c r="A5223" s="753"/>
      <c r="B5223" s="753"/>
      <c r="C5223" s="752" t="s">
        <v>44336</v>
      </c>
      <c r="D5223" s="753" t="s">
        <v>44255</v>
      </c>
      <c r="E5223" s="752" t="s">
        <v>38419</v>
      </c>
      <c r="F5223" s="751">
        <v>3025</v>
      </c>
    </row>
    <row r="5224" spans="1:6">
      <c r="A5224" s="753"/>
      <c r="B5224" s="753"/>
      <c r="C5224" s="752" t="s">
        <v>44335</v>
      </c>
      <c r="D5224" s="753" t="s">
        <v>44255</v>
      </c>
      <c r="E5224" s="752" t="s">
        <v>38361</v>
      </c>
      <c r="F5224" s="751">
        <v>2775</v>
      </c>
    </row>
    <row r="5225" spans="1:6">
      <c r="A5225" s="753"/>
      <c r="B5225" s="753"/>
      <c r="C5225" s="752" t="s">
        <v>44334</v>
      </c>
      <c r="D5225" s="753" t="s">
        <v>44255</v>
      </c>
      <c r="E5225" s="752" t="s">
        <v>44246</v>
      </c>
      <c r="F5225" s="751">
        <v>3025</v>
      </c>
    </row>
    <row r="5226" spans="1:6">
      <c r="A5226" s="753"/>
      <c r="B5226" s="753"/>
      <c r="C5226" s="752" t="s">
        <v>44333</v>
      </c>
      <c r="D5226" s="753" t="s">
        <v>44255</v>
      </c>
      <c r="E5226" s="752" t="s">
        <v>44246</v>
      </c>
      <c r="F5226" s="751">
        <v>3125</v>
      </c>
    </row>
    <row r="5227" spans="1:6">
      <c r="A5227" s="753"/>
      <c r="B5227" s="753"/>
      <c r="C5227" s="752" t="s">
        <v>44332</v>
      </c>
      <c r="D5227" s="753" t="s">
        <v>44317</v>
      </c>
      <c r="E5227" s="752" t="s">
        <v>38019</v>
      </c>
      <c r="F5227" s="751">
        <v>3975</v>
      </c>
    </row>
    <row r="5228" spans="1:6">
      <c r="A5228" s="753"/>
      <c r="B5228" s="753"/>
      <c r="C5228" s="752" t="s">
        <v>44331</v>
      </c>
      <c r="D5228" s="753" t="s">
        <v>44317</v>
      </c>
      <c r="E5228" s="752" t="s">
        <v>37895</v>
      </c>
      <c r="F5228" s="751">
        <v>3725</v>
      </c>
    </row>
    <row r="5229" spans="1:6">
      <c r="A5229" s="753"/>
      <c r="B5229" s="753"/>
      <c r="C5229" s="752" t="s">
        <v>44330</v>
      </c>
      <c r="D5229" s="753" t="s">
        <v>44317</v>
      </c>
      <c r="E5229" s="752" t="s">
        <v>38382</v>
      </c>
      <c r="F5229" s="751">
        <v>4525</v>
      </c>
    </row>
    <row r="5230" spans="1:6">
      <c r="A5230" s="753"/>
      <c r="B5230" s="753"/>
      <c r="C5230" s="752" t="s">
        <v>44329</v>
      </c>
      <c r="D5230" s="753" t="s">
        <v>44317</v>
      </c>
      <c r="E5230" s="752" t="s">
        <v>44328</v>
      </c>
      <c r="F5230" s="751">
        <v>3475</v>
      </c>
    </row>
    <row r="5231" spans="1:6">
      <c r="A5231" s="753"/>
      <c r="B5231" s="753"/>
      <c r="C5231" s="752" t="s">
        <v>44327</v>
      </c>
      <c r="D5231" s="753" t="s">
        <v>44317</v>
      </c>
      <c r="E5231" s="752" t="s">
        <v>44311</v>
      </c>
      <c r="F5231" s="751">
        <v>4175</v>
      </c>
    </row>
    <row r="5232" spans="1:6">
      <c r="A5232" s="753"/>
      <c r="B5232" s="753"/>
      <c r="C5232" s="752" t="s">
        <v>44326</v>
      </c>
      <c r="D5232" s="753" t="s">
        <v>44317</v>
      </c>
      <c r="E5232" s="752" t="s">
        <v>38002</v>
      </c>
      <c r="F5232" s="751">
        <v>4875</v>
      </c>
    </row>
    <row r="5233" spans="1:6">
      <c r="A5233" s="753"/>
      <c r="B5233" s="753"/>
      <c r="C5233" s="752" t="s">
        <v>44325</v>
      </c>
      <c r="D5233" s="753" t="s">
        <v>44317</v>
      </c>
      <c r="E5233" s="752" t="s">
        <v>44324</v>
      </c>
      <c r="F5233" s="751">
        <v>4345</v>
      </c>
    </row>
    <row r="5234" spans="1:6">
      <c r="A5234" s="753"/>
      <c r="B5234" s="753"/>
      <c r="C5234" s="752" t="s">
        <v>44323</v>
      </c>
      <c r="D5234" s="753" t="s">
        <v>44317</v>
      </c>
      <c r="E5234" s="752" t="s">
        <v>38382</v>
      </c>
      <c r="F5234" s="751">
        <v>4075</v>
      </c>
    </row>
    <row r="5235" spans="1:6">
      <c r="A5235" s="753"/>
      <c r="B5235" s="753"/>
      <c r="C5235" s="752" t="s">
        <v>44322</v>
      </c>
      <c r="D5235" s="753" t="s">
        <v>44317</v>
      </c>
      <c r="E5235" s="752" t="s">
        <v>44236</v>
      </c>
      <c r="F5235" s="751">
        <v>4175</v>
      </c>
    </row>
    <row r="5236" spans="1:6">
      <c r="A5236" s="753"/>
      <c r="B5236" s="753"/>
      <c r="C5236" s="752" t="s">
        <v>44321</v>
      </c>
      <c r="D5236" s="753" t="s">
        <v>44317</v>
      </c>
      <c r="E5236" s="752" t="s">
        <v>38002</v>
      </c>
      <c r="F5236" s="751">
        <v>4875</v>
      </c>
    </row>
    <row r="5237" spans="1:6">
      <c r="A5237" s="753"/>
      <c r="B5237" s="753"/>
      <c r="C5237" s="752" t="s">
        <v>44320</v>
      </c>
      <c r="D5237" s="753" t="s">
        <v>44317</v>
      </c>
      <c r="E5237" s="752" t="s">
        <v>38010</v>
      </c>
      <c r="F5237" s="751">
        <v>4475</v>
      </c>
    </row>
    <row r="5238" spans="1:6">
      <c r="A5238" s="753"/>
      <c r="B5238" s="753"/>
      <c r="C5238" s="752" t="s">
        <v>44319</v>
      </c>
      <c r="D5238" s="753" t="s">
        <v>44317</v>
      </c>
      <c r="E5238" s="752" t="s">
        <v>38019</v>
      </c>
      <c r="F5238" s="751">
        <v>3975</v>
      </c>
    </row>
    <row r="5239" spans="1:6">
      <c r="A5239" s="753"/>
      <c r="B5239" s="753"/>
      <c r="C5239" s="752" t="s">
        <v>44318</v>
      </c>
      <c r="D5239" s="753" t="s">
        <v>44317</v>
      </c>
      <c r="E5239" s="752" t="s">
        <v>38002</v>
      </c>
      <c r="F5239" s="751">
        <v>4875</v>
      </c>
    </row>
    <row r="5240" spans="1:6">
      <c r="A5240" s="753"/>
      <c r="B5240" s="753"/>
      <c r="C5240" s="752" t="s">
        <v>44316</v>
      </c>
      <c r="D5240" s="753" t="s">
        <v>44315</v>
      </c>
      <c r="E5240" s="752" t="s">
        <v>37895</v>
      </c>
      <c r="F5240" s="751">
        <v>3725</v>
      </c>
    </row>
    <row r="5241" spans="1:6">
      <c r="A5241" s="753"/>
      <c r="B5241" s="753"/>
      <c r="C5241" s="752" t="s">
        <v>44314</v>
      </c>
      <c r="D5241" s="753" t="s">
        <v>44309</v>
      </c>
      <c r="E5241" s="752" t="s">
        <v>38382</v>
      </c>
      <c r="F5241" s="751">
        <v>4525</v>
      </c>
    </row>
    <row r="5242" spans="1:6">
      <c r="A5242" s="753"/>
      <c r="B5242" s="753"/>
      <c r="C5242" s="752" t="s">
        <v>44313</v>
      </c>
      <c r="D5242" s="753" t="s">
        <v>44312</v>
      </c>
      <c r="E5242" s="752" t="s">
        <v>44311</v>
      </c>
      <c r="F5242" s="751">
        <v>4175</v>
      </c>
    </row>
    <row r="5243" spans="1:6">
      <c r="A5243" s="753"/>
      <c r="B5243" s="753"/>
      <c r="C5243" s="752" t="s">
        <v>44310</v>
      </c>
      <c r="D5243" s="753" t="s">
        <v>44309</v>
      </c>
      <c r="E5243" s="752" t="s">
        <v>38002</v>
      </c>
      <c r="F5243" s="751">
        <v>4875</v>
      </c>
    </row>
    <row r="5244" spans="1:6">
      <c r="A5244" s="753"/>
      <c r="B5244" s="753"/>
      <c r="C5244" s="752" t="s">
        <v>44308</v>
      </c>
      <c r="D5244" s="753" t="s">
        <v>44304</v>
      </c>
      <c r="E5244" s="752" t="s">
        <v>38019</v>
      </c>
      <c r="F5244" s="751">
        <v>3975</v>
      </c>
    </row>
    <row r="5245" spans="1:6">
      <c r="A5245" s="753"/>
      <c r="B5245" s="753"/>
      <c r="C5245" s="752" t="s">
        <v>44307</v>
      </c>
      <c r="D5245" s="753" t="s">
        <v>44304</v>
      </c>
      <c r="E5245" s="752" t="s">
        <v>38002</v>
      </c>
      <c r="F5245" s="751">
        <v>4875</v>
      </c>
    </row>
    <row r="5246" spans="1:6">
      <c r="A5246" s="753"/>
      <c r="B5246" s="753"/>
      <c r="C5246" s="752" t="s">
        <v>44306</v>
      </c>
      <c r="D5246" s="753" t="s">
        <v>44304</v>
      </c>
      <c r="E5246" s="752" t="s">
        <v>38019</v>
      </c>
      <c r="F5246" s="751">
        <v>3975</v>
      </c>
    </row>
    <row r="5247" spans="1:6">
      <c r="A5247" s="753"/>
      <c r="B5247" s="753"/>
      <c r="C5247" s="752" t="s">
        <v>44305</v>
      </c>
      <c r="D5247" s="753" t="s">
        <v>44304</v>
      </c>
      <c r="E5247" s="752" t="s">
        <v>38002</v>
      </c>
      <c r="F5247" s="751">
        <v>4875</v>
      </c>
    </row>
    <row r="5248" spans="1:6">
      <c r="A5248" s="753"/>
      <c r="B5248" s="753"/>
      <c r="C5248" s="752" t="s">
        <v>44303</v>
      </c>
      <c r="D5248" s="753" t="s">
        <v>44285</v>
      </c>
      <c r="E5248" s="752" t="s">
        <v>44302</v>
      </c>
      <c r="F5248" s="751">
        <v>2825</v>
      </c>
    </row>
    <row r="5249" spans="1:6">
      <c r="A5249" s="753"/>
      <c r="B5249" s="753"/>
      <c r="C5249" s="752" t="s">
        <v>44301</v>
      </c>
      <c r="D5249" s="753" t="s">
        <v>44287</v>
      </c>
      <c r="E5249" s="752" t="s">
        <v>44300</v>
      </c>
      <c r="F5249" s="751">
        <v>3075</v>
      </c>
    </row>
    <row r="5250" spans="1:6">
      <c r="A5250" s="753"/>
      <c r="B5250" s="753"/>
      <c r="C5250" s="752" t="s">
        <v>44299</v>
      </c>
      <c r="D5250" s="753" t="s">
        <v>44287</v>
      </c>
      <c r="E5250" s="752" t="s">
        <v>44248</v>
      </c>
      <c r="F5250" s="751">
        <v>2825</v>
      </c>
    </row>
    <row r="5251" spans="1:6">
      <c r="A5251" s="753"/>
      <c r="B5251" s="753"/>
      <c r="C5251" s="752" t="s">
        <v>44298</v>
      </c>
      <c r="D5251" s="753" t="s">
        <v>44285</v>
      </c>
      <c r="E5251" s="752" t="s">
        <v>38321</v>
      </c>
      <c r="F5251" s="751">
        <v>2575</v>
      </c>
    </row>
    <row r="5252" spans="1:6">
      <c r="A5252" s="753"/>
      <c r="B5252" s="753"/>
      <c r="C5252" s="752" t="s">
        <v>44297</v>
      </c>
      <c r="D5252" s="753" t="s">
        <v>44287</v>
      </c>
      <c r="E5252" s="752" t="s">
        <v>44296</v>
      </c>
      <c r="F5252" s="751">
        <v>2825</v>
      </c>
    </row>
    <row r="5253" spans="1:6">
      <c r="A5253" s="753"/>
      <c r="B5253" s="753"/>
      <c r="C5253" s="752" t="s">
        <v>44295</v>
      </c>
      <c r="D5253" s="753" t="s">
        <v>44285</v>
      </c>
      <c r="E5253" s="752" t="s">
        <v>38361</v>
      </c>
      <c r="F5253" s="751">
        <v>2575</v>
      </c>
    </row>
    <row r="5254" spans="1:6">
      <c r="A5254" s="753"/>
      <c r="B5254" s="753"/>
      <c r="C5254" s="752" t="s">
        <v>44294</v>
      </c>
      <c r="D5254" s="753" t="s">
        <v>44287</v>
      </c>
      <c r="E5254" s="752" t="s">
        <v>44293</v>
      </c>
      <c r="F5254" s="751">
        <v>2825</v>
      </c>
    </row>
    <row r="5255" spans="1:6">
      <c r="A5255" s="753"/>
      <c r="B5255" s="753"/>
      <c r="C5255" s="752" t="s">
        <v>44292</v>
      </c>
      <c r="D5255" s="753" t="s">
        <v>44287</v>
      </c>
      <c r="E5255" s="752" t="s">
        <v>44248</v>
      </c>
      <c r="F5255" s="751">
        <v>2495</v>
      </c>
    </row>
    <row r="5256" spans="1:6">
      <c r="A5256" s="753"/>
      <c r="B5256" s="753"/>
      <c r="C5256" s="752" t="s">
        <v>44291</v>
      </c>
      <c r="D5256" s="753" t="s">
        <v>44287</v>
      </c>
      <c r="E5256" s="752" t="s">
        <v>44248</v>
      </c>
      <c r="F5256" s="751">
        <v>2675</v>
      </c>
    </row>
    <row r="5257" spans="1:6">
      <c r="A5257" s="753"/>
      <c r="B5257" s="753"/>
      <c r="C5257" s="752" t="s">
        <v>44290</v>
      </c>
      <c r="D5257" s="753" t="s">
        <v>44251</v>
      </c>
      <c r="E5257" s="752" t="s">
        <v>44289</v>
      </c>
      <c r="F5257" s="751">
        <v>2675</v>
      </c>
    </row>
    <row r="5258" spans="1:6">
      <c r="A5258" s="753"/>
      <c r="B5258" s="753"/>
      <c r="C5258" s="752" t="s">
        <v>44288</v>
      </c>
      <c r="D5258" s="753" t="s">
        <v>44287</v>
      </c>
      <c r="E5258" s="752" t="s">
        <v>44248</v>
      </c>
      <c r="F5258" s="751">
        <v>2675</v>
      </c>
    </row>
    <row r="5259" spans="1:6">
      <c r="A5259" s="753"/>
      <c r="B5259" s="753"/>
      <c r="C5259" s="752" t="s">
        <v>44286</v>
      </c>
      <c r="D5259" s="753" t="s">
        <v>44285</v>
      </c>
      <c r="E5259" s="752" t="s">
        <v>38372</v>
      </c>
      <c r="F5259" s="751">
        <v>3175</v>
      </c>
    </row>
    <row r="5260" spans="1:6">
      <c r="A5260" s="753"/>
      <c r="B5260" s="753"/>
      <c r="C5260" s="752" t="s">
        <v>44284</v>
      </c>
      <c r="D5260" s="753" t="s">
        <v>44272</v>
      </c>
      <c r="E5260" s="752" t="s">
        <v>38019</v>
      </c>
      <c r="F5260" s="751">
        <v>3775</v>
      </c>
    </row>
    <row r="5261" spans="1:6">
      <c r="A5261" s="753"/>
      <c r="B5261" s="753"/>
      <c r="C5261" s="752" t="s">
        <v>44283</v>
      </c>
      <c r="D5261" s="753" t="s">
        <v>44272</v>
      </c>
      <c r="E5261" s="752" t="s">
        <v>37895</v>
      </c>
      <c r="F5261" s="751">
        <v>3525</v>
      </c>
    </row>
    <row r="5262" spans="1:6">
      <c r="A5262" s="753"/>
      <c r="B5262" s="753"/>
      <c r="C5262" s="752" t="s">
        <v>44282</v>
      </c>
      <c r="D5262" s="753" t="s">
        <v>44272</v>
      </c>
      <c r="E5262" s="752" t="s">
        <v>38382</v>
      </c>
      <c r="F5262" s="751">
        <v>4325</v>
      </c>
    </row>
    <row r="5263" spans="1:6">
      <c r="A5263" s="753"/>
      <c r="B5263" s="753"/>
      <c r="C5263" s="752" t="s">
        <v>44281</v>
      </c>
      <c r="D5263" s="753" t="s">
        <v>44272</v>
      </c>
      <c r="E5263" s="752" t="s">
        <v>38002</v>
      </c>
      <c r="F5263" s="751">
        <v>4675</v>
      </c>
    </row>
    <row r="5264" spans="1:6">
      <c r="A5264" s="753"/>
      <c r="B5264" s="753"/>
      <c r="C5264" s="752" t="s">
        <v>44280</v>
      </c>
      <c r="D5264" s="753" t="s">
        <v>44272</v>
      </c>
      <c r="E5264" s="752" t="s">
        <v>38382</v>
      </c>
      <c r="F5264" s="751">
        <v>4325</v>
      </c>
    </row>
    <row r="5265" spans="1:6">
      <c r="A5265" s="753"/>
      <c r="B5265" s="753"/>
      <c r="C5265" s="752" t="s">
        <v>44279</v>
      </c>
      <c r="D5265" s="753" t="s">
        <v>44272</v>
      </c>
      <c r="E5265" s="752" t="s">
        <v>38019</v>
      </c>
      <c r="F5265" s="751">
        <v>3775</v>
      </c>
    </row>
    <row r="5266" spans="1:6">
      <c r="A5266" s="753"/>
      <c r="B5266" s="753"/>
      <c r="C5266" s="752" t="s">
        <v>44278</v>
      </c>
      <c r="D5266" s="753" t="s">
        <v>44272</v>
      </c>
      <c r="E5266" s="752" t="s">
        <v>38002</v>
      </c>
      <c r="F5266" s="751">
        <v>4775</v>
      </c>
    </row>
    <row r="5267" spans="1:6">
      <c r="A5267" s="753"/>
      <c r="B5267" s="753"/>
      <c r="C5267" s="752" t="s">
        <v>44277</v>
      </c>
      <c r="D5267" s="753" t="s">
        <v>44272</v>
      </c>
      <c r="E5267" s="752" t="s">
        <v>38010</v>
      </c>
      <c r="F5267" s="751">
        <v>4275</v>
      </c>
    </row>
    <row r="5268" spans="1:6">
      <c r="A5268" s="753"/>
      <c r="B5268" s="753"/>
      <c r="C5268" s="752" t="s">
        <v>44276</v>
      </c>
      <c r="D5268" s="753" t="s">
        <v>44272</v>
      </c>
      <c r="E5268" s="752" t="s">
        <v>38033</v>
      </c>
      <c r="F5268" s="751">
        <v>5025</v>
      </c>
    </row>
    <row r="5269" spans="1:6">
      <c r="A5269" s="753"/>
      <c r="B5269" s="753"/>
      <c r="C5269" s="752" t="s">
        <v>44275</v>
      </c>
      <c r="D5269" s="753" t="s">
        <v>44272</v>
      </c>
      <c r="E5269" s="752" t="s">
        <v>38019</v>
      </c>
      <c r="F5269" s="751">
        <v>3775</v>
      </c>
    </row>
    <row r="5270" spans="1:6">
      <c r="A5270" s="753"/>
      <c r="B5270" s="753"/>
      <c r="C5270" s="752" t="s">
        <v>44274</v>
      </c>
      <c r="D5270" s="753" t="s">
        <v>44272</v>
      </c>
      <c r="E5270" s="752" t="s">
        <v>40119</v>
      </c>
      <c r="F5270" s="751">
        <v>4535</v>
      </c>
    </row>
    <row r="5271" spans="1:6">
      <c r="A5271" s="753"/>
      <c r="B5271" s="753"/>
      <c r="C5271" s="752" t="s">
        <v>44273</v>
      </c>
      <c r="D5271" s="753" t="s">
        <v>44272</v>
      </c>
      <c r="E5271" s="752" t="s">
        <v>38002</v>
      </c>
      <c r="F5271" s="751">
        <v>4675</v>
      </c>
    </row>
    <row r="5272" spans="1:6">
      <c r="A5272" s="753"/>
      <c r="B5272" s="753"/>
      <c r="C5272" s="752" t="s">
        <v>44271</v>
      </c>
      <c r="D5272" s="753" t="s">
        <v>44270</v>
      </c>
      <c r="E5272" s="752" t="s">
        <v>38019</v>
      </c>
      <c r="F5272" s="751">
        <v>3775</v>
      </c>
    </row>
    <row r="5273" spans="1:6">
      <c r="A5273" s="753"/>
      <c r="B5273" s="753"/>
      <c r="C5273" s="752" t="s">
        <v>44269</v>
      </c>
      <c r="D5273" s="753" t="s">
        <v>44263</v>
      </c>
      <c r="E5273" s="752" t="s">
        <v>37895</v>
      </c>
      <c r="F5273" s="751">
        <v>3525</v>
      </c>
    </row>
    <row r="5274" spans="1:6">
      <c r="A5274" s="753"/>
      <c r="B5274" s="753"/>
      <c r="C5274" s="752" t="s">
        <v>44268</v>
      </c>
      <c r="D5274" s="753" t="s">
        <v>44263</v>
      </c>
      <c r="E5274" s="752" t="s">
        <v>44267</v>
      </c>
      <c r="F5274" s="751">
        <v>4325</v>
      </c>
    </row>
    <row r="5275" spans="1:6">
      <c r="A5275" s="753"/>
      <c r="B5275" s="753"/>
      <c r="C5275" s="752" t="s">
        <v>44266</v>
      </c>
      <c r="D5275" s="753" t="s">
        <v>44263</v>
      </c>
      <c r="E5275" s="752" t="s">
        <v>38382</v>
      </c>
      <c r="F5275" s="751">
        <v>4325</v>
      </c>
    </row>
    <row r="5276" spans="1:6">
      <c r="A5276" s="753"/>
      <c r="B5276" s="753"/>
      <c r="C5276" s="752" t="s">
        <v>44265</v>
      </c>
      <c r="D5276" s="753" t="s">
        <v>44263</v>
      </c>
      <c r="E5276" s="752" t="s">
        <v>38019</v>
      </c>
      <c r="F5276" s="751">
        <v>3775</v>
      </c>
    </row>
    <row r="5277" spans="1:6">
      <c r="A5277" s="753"/>
      <c r="B5277" s="753"/>
      <c r="C5277" s="752" t="s">
        <v>44264</v>
      </c>
      <c r="D5277" s="753" t="s">
        <v>44263</v>
      </c>
      <c r="E5277" s="752" t="s">
        <v>38002</v>
      </c>
      <c r="F5277" s="751">
        <v>4675</v>
      </c>
    </row>
    <row r="5278" spans="1:6">
      <c r="A5278" s="753"/>
      <c r="B5278" s="753"/>
      <c r="C5278" s="752" t="s">
        <v>44262</v>
      </c>
      <c r="D5278" s="753" t="s">
        <v>44251</v>
      </c>
      <c r="E5278" s="752" t="s">
        <v>44261</v>
      </c>
      <c r="F5278" s="751">
        <v>3025</v>
      </c>
    </row>
    <row r="5279" spans="1:6">
      <c r="A5279" s="753"/>
      <c r="B5279" s="753"/>
      <c r="C5279" s="752" t="s">
        <v>44260</v>
      </c>
      <c r="D5279" s="753" t="s">
        <v>44251</v>
      </c>
      <c r="E5279" s="752" t="s">
        <v>44259</v>
      </c>
      <c r="F5279" s="751">
        <v>3275</v>
      </c>
    </row>
    <row r="5280" spans="1:6">
      <c r="A5280" s="753"/>
      <c r="B5280" s="753"/>
      <c r="C5280" s="752" t="s">
        <v>44258</v>
      </c>
      <c r="D5280" s="753" t="s">
        <v>44251</v>
      </c>
      <c r="E5280" s="752" t="s">
        <v>44257</v>
      </c>
      <c r="F5280" s="751">
        <v>2675</v>
      </c>
    </row>
    <row r="5281" spans="1:6">
      <c r="A5281" s="753"/>
      <c r="B5281" s="753"/>
      <c r="C5281" s="752" t="s">
        <v>44256</v>
      </c>
      <c r="D5281" s="753" t="s">
        <v>44255</v>
      </c>
      <c r="E5281" s="752" t="s">
        <v>44254</v>
      </c>
      <c r="F5281" s="751">
        <v>2925</v>
      </c>
    </row>
    <row r="5282" spans="1:6">
      <c r="A5282" s="753"/>
      <c r="B5282" s="753"/>
      <c r="C5282" s="752" t="s">
        <v>44253</v>
      </c>
      <c r="D5282" s="753" t="s">
        <v>44251</v>
      </c>
      <c r="E5282" s="752" t="s">
        <v>38361</v>
      </c>
      <c r="F5282" s="751">
        <v>2675</v>
      </c>
    </row>
    <row r="5283" spans="1:6">
      <c r="A5283" s="753"/>
      <c r="B5283" s="753"/>
      <c r="C5283" s="752" t="s">
        <v>44252</v>
      </c>
      <c r="D5283" s="753" t="s">
        <v>44251</v>
      </c>
      <c r="E5283" s="752" t="s">
        <v>38358</v>
      </c>
      <c r="F5283" s="751">
        <v>3025</v>
      </c>
    </row>
    <row r="5284" spans="1:6">
      <c r="A5284" s="753"/>
      <c r="B5284" s="753"/>
      <c r="C5284" s="752" t="s">
        <v>44250</v>
      </c>
      <c r="D5284" s="753" t="s">
        <v>44249</v>
      </c>
      <c r="E5284" s="752" t="s">
        <v>44248</v>
      </c>
      <c r="F5284" s="751">
        <v>2575</v>
      </c>
    </row>
    <row r="5285" spans="1:6">
      <c r="A5285" s="753"/>
      <c r="B5285" s="753"/>
      <c r="C5285" s="752" t="s">
        <v>44247</v>
      </c>
      <c r="D5285" s="753" t="s">
        <v>44227</v>
      </c>
      <c r="E5285" s="752" t="s">
        <v>44246</v>
      </c>
      <c r="F5285" s="751">
        <v>3025</v>
      </c>
    </row>
    <row r="5286" spans="1:6">
      <c r="A5286" s="753"/>
      <c r="B5286" s="753"/>
      <c r="C5286" s="752" t="s">
        <v>44245</v>
      </c>
      <c r="D5286" s="753" t="s">
        <v>44233</v>
      </c>
      <c r="E5286" s="752" t="s">
        <v>38019</v>
      </c>
      <c r="F5286" s="751">
        <v>3875</v>
      </c>
    </row>
    <row r="5287" spans="1:6">
      <c r="A5287" s="753"/>
      <c r="B5287" s="753"/>
      <c r="C5287" s="752" t="s">
        <v>44244</v>
      </c>
      <c r="D5287" s="753" t="s">
        <v>44233</v>
      </c>
      <c r="E5287" s="752" t="s">
        <v>37895</v>
      </c>
      <c r="F5287" s="751">
        <v>3625</v>
      </c>
    </row>
    <row r="5288" spans="1:6">
      <c r="A5288" s="753"/>
      <c r="B5288" s="753"/>
      <c r="C5288" s="752" t="s">
        <v>44243</v>
      </c>
      <c r="D5288" s="753" t="s">
        <v>44233</v>
      </c>
      <c r="E5288" s="752" t="s">
        <v>38382</v>
      </c>
      <c r="F5288" s="751">
        <v>4425</v>
      </c>
    </row>
    <row r="5289" spans="1:6">
      <c r="A5289" s="753"/>
      <c r="B5289" s="753"/>
      <c r="C5289" s="752" t="s">
        <v>44242</v>
      </c>
      <c r="D5289" s="753" t="s">
        <v>44233</v>
      </c>
      <c r="E5289" s="752" t="s">
        <v>38002</v>
      </c>
      <c r="F5289" s="751">
        <v>4775</v>
      </c>
    </row>
    <row r="5290" spans="1:6">
      <c r="A5290" s="753"/>
      <c r="B5290" s="753"/>
      <c r="C5290" s="752" t="s">
        <v>44241</v>
      </c>
      <c r="D5290" s="753" t="s">
        <v>44233</v>
      </c>
      <c r="E5290" s="752" t="s">
        <v>44240</v>
      </c>
      <c r="F5290" s="751">
        <v>4145</v>
      </c>
    </row>
    <row r="5291" spans="1:6">
      <c r="A5291" s="753"/>
      <c r="B5291" s="753"/>
      <c r="C5291" s="752" t="s">
        <v>44239</v>
      </c>
      <c r="D5291" s="753" t="s">
        <v>44237</v>
      </c>
      <c r="E5291" s="752" t="s">
        <v>38382</v>
      </c>
      <c r="F5291" s="751">
        <v>4425</v>
      </c>
    </row>
    <row r="5292" spans="1:6">
      <c r="A5292" s="753"/>
      <c r="B5292" s="753"/>
      <c r="C5292" s="752" t="s">
        <v>44238</v>
      </c>
      <c r="D5292" s="753" t="s">
        <v>44237</v>
      </c>
      <c r="E5292" s="752" t="s">
        <v>44236</v>
      </c>
      <c r="F5292" s="751">
        <v>4075</v>
      </c>
    </row>
    <row r="5293" spans="1:6">
      <c r="A5293" s="753"/>
      <c r="B5293" s="753"/>
      <c r="C5293" s="752" t="s">
        <v>44235</v>
      </c>
      <c r="D5293" s="753" t="s">
        <v>44233</v>
      </c>
      <c r="E5293" s="752" t="s">
        <v>38019</v>
      </c>
      <c r="F5293" s="751">
        <v>3875</v>
      </c>
    </row>
    <row r="5294" spans="1:6">
      <c r="A5294" s="753"/>
      <c r="B5294" s="753"/>
      <c r="C5294" s="752" t="s">
        <v>44234</v>
      </c>
      <c r="D5294" s="753" t="s">
        <v>44233</v>
      </c>
      <c r="E5294" s="752" t="s">
        <v>38019</v>
      </c>
      <c r="F5294" s="751">
        <v>4775</v>
      </c>
    </row>
    <row r="5295" spans="1:6">
      <c r="A5295" s="753"/>
      <c r="B5295" s="753"/>
      <c r="C5295" s="752" t="s">
        <v>44232</v>
      </c>
      <c r="D5295" s="753" t="s">
        <v>44229</v>
      </c>
      <c r="E5295" s="752" t="s">
        <v>37895</v>
      </c>
      <c r="F5295" s="751">
        <v>3625</v>
      </c>
    </row>
    <row r="5296" spans="1:6">
      <c r="A5296" s="753"/>
      <c r="B5296" s="753"/>
      <c r="C5296" s="752" t="s">
        <v>44231</v>
      </c>
      <c r="D5296" s="753" t="s">
        <v>44229</v>
      </c>
      <c r="E5296" s="752" t="s">
        <v>38002</v>
      </c>
      <c r="F5296" s="751">
        <v>4775</v>
      </c>
    </row>
    <row r="5297" spans="1:6">
      <c r="A5297" s="753"/>
      <c r="B5297" s="753"/>
      <c r="C5297" s="752" t="s">
        <v>44230</v>
      </c>
      <c r="D5297" s="753" t="s">
        <v>44229</v>
      </c>
      <c r="E5297" s="752" t="s">
        <v>38002</v>
      </c>
      <c r="F5297" s="751">
        <v>4775</v>
      </c>
    </row>
    <row r="5298" spans="1:6">
      <c r="A5298" s="753"/>
      <c r="B5298" s="753"/>
      <c r="C5298" s="752" t="s">
        <v>44228</v>
      </c>
      <c r="D5298" s="753" t="s">
        <v>44227</v>
      </c>
      <c r="E5298" s="752" t="s">
        <v>44226</v>
      </c>
      <c r="F5298" s="751">
        <v>2925</v>
      </c>
    </row>
    <row r="5299" spans="1:6">
      <c r="A5299" s="753"/>
      <c r="B5299" s="753" t="s">
        <v>44225</v>
      </c>
      <c r="C5299" s="752" t="s">
        <v>44224</v>
      </c>
      <c r="D5299" s="753" t="s">
        <v>44223</v>
      </c>
      <c r="E5299" s="752" t="s">
        <v>38428</v>
      </c>
      <c r="F5299" s="751">
        <v>2575</v>
      </c>
    </row>
    <row r="5300" spans="1:6">
      <c r="A5300" s="753"/>
      <c r="B5300" s="753"/>
      <c r="C5300" s="752" t="s">
        <v>44222</v>
      </c>
      <c r="D5300" s="753" t="s">
        <v>44221</v>
      </c>
      <c r="E5300" s="752" t="s">
        <v>38019</v>
      </c>
      <c r="F5300" s="751">
        <v>3525</v>
      </c>
    </row>
    <row r="5301" spans="1:6">
      <c r="A5301" s="753"/>
      <c r="B5301" s="753" t="s">
        <v>44220</v>
      </c>
      <c r="C5301" s="752" t="s">
        <v>44219</v>
      </c>
      <c r="D5301" s="753" t="s">
        <v>44218</v>
      </c>
      <c r="E5301" s="752" t="s">
        <v>293</v>
      </c>
      <c r="F5301" s="751">
        <v>2275</v>
      </c>
    </row>
    <row r="5302" spans="1:6">
      <c r="A5302" s="753"/>
      <c r="B5302" s="753"/>
      <c r="C5302" s="752" t="s">
        <v>44217</v>
      </c>
      <c r="D5302" s="753" t="s">
        <v>44210</v>
      </c>
      <c r="E5302" s="752" t="s">
        <v>37838</v>
      </c>
      <c r="F5302" s="751">
        <v>1975</v>
      </c>
    </row>
    <row r="5303" spans="1:6">
      <c r="A5303" s="753"/>
      <c r="B5303" s="753"/>
      <c r="C5303" s="752" t="s">
        <v>44216</v>
      </c>
      <c r="D5303" s="753" t="s">
        <v>44210</v>
      </c>
      <c r="E5303" s="752" t="s">
        <v>37838</v>
      </c>
      <c r="F5303" s="751">
        <v>1975</v>
      </c>
    </row>
    <row r="5304" spans="1:6">
      <c r="A5304" s="753"/>
      <c r="B5304" s="753"/>
      <c r="C5304" s="752" t="s">
        <v>44215</v>
      </c>
      <c r="D5304" s="753" t="s">
        <v>44210</v>
      </c>
      <c r="E5304" s="752" t="s">
        <v>37838</v>
      </c>
      <c r="F5304" s="751">
        <v>2225</v>
      </c>
    </row>
    <row r="5305" spans="1:6">
      <c r="A5305" s="753"/>
      <c r="B5305" s="753"/>
      <c r="C5305" s="752" t="s">
        <v>44214</v>
      </c>
      <c r="D5305" s="753" t="s">
        <v>44210</v>
      </c>
      <c r="E5305" s="752" t="s">
        <v>40407</v>
      </c>
      <c r="F5305" s="751">
        <v>1975</v>
      </c>
    </row>
    <row r="5306" spans="1:6">
      <c r="A5306" s="753"/>
      <c r="B5306" s="753"/>
      <c r="C5306" s="752" t="s">
        <v>44213</v>
      </c>
      <c r="D5306" s="753" t="s">
        <v>44210</v>
      </c>
      <c r="E5306" s="752" t="s">
        <v>44212</v>
      </c>
      <c r="F5306" s="751">
        <v>1975</v>
      </c>
    </row>
    <row r="5307" spans="1:6">
      <c r="A5307" s="753"/>
      <c r="B5307" s="753"/>
      <c r="C5307" s="752" t="s">
        <v>44211</v>
      </c>
      <c r="D5307" s="753" t="s">
        <v>44210</v>
      </c>
      <c r="E5307" s="752" t="s">
        <v>37838</v>
      </c>
      <c r="F5307" s="751">
        <v>1975</v>
      </c>
    </row>
    <row r="5308" spans="1:6">
      <c r="A5308" s="753"/>
      <c r="B5308" s="753"/>
      <c r="C5308" s="752" t="s">
        <v>44209</v>
      </c>
      <c r="D5308" s="753" t="s">
        <v>44208</v>
      </c>
      <c r="E5308" s="752" t="s">
        <v>37838</v>
      </c>
      <c r="F5308" s="751">
        <v>2595</v>
      </c>
    </row>
    <row r="5309" spans="1:6">
      <c r="A5309" s="753"/>
      <c r="B5309" s="753" t="s">
        <v>44207</v>
      </c>
      <c r="C5309" s="752" t="s">
        <v>44206</v>
      </c>
      <c r="D5309" s="753" t="s">
        <v>44205</v>
      </c>
      <c r="E5309" s="752" t="s">
        <v>293</v>
      </c>
      <c r="F5309" s="751">
        <v>2825</v>
      </c>
    </row>
    <row r="5310" spans="1:6">
      <c r="A5310" s="753"/>
      <c r="B5310" s="753"/>
      <c r="C5310" s="752" t="s">
        <v>44204</v>
      </c>
      <c r="D5310" s="753" t="s">
        <v>44203</v>
      </c>
      <c r="E5310" s="752" t="s">
        <v>293</v>
      </c>
      <c r="F5310" s="751">
        <v>3375</v>
      </c>
    </row>
    <row r="5311" spans="1:6">
      <c r="A5311" s="753"/>
      <c r="B5311" s="753"/>
      <c r="C5311" s="752" t="s">
        <v>44202</v>
      </c>
      <c r="D5311" s="753" t="s">
        <v>44201</v>
      </c>
      <c r="E5311" s="752" t="s">
        <v>293</v>
      </c>
      <c r="F5311" s="751">
        <v>2625</v>
      </c>
    </row>
    <row r="5312" spans="1:6">
      <c r="A5312" s="753"/>
      <c r="B5312" s="753"/>
      <c r="C5312" s="752" t="s">
        <v>44200</v>
      </c>
      <c r="D5312" s="753" t="s">
        <v>44198</v>
      </c>
      <c r="E5312" s="752" t="s">
        <v>293</v>
      </c>
      <c r="F5312" s="751">
        <v>3175</v>
      </c>
    </row>
    <row r="5313" spans="1:6">
      <c r="A5313" s="753"/>
      <c r="B5313" s="753"/>
      <c r="C5313" s="752" t="s">
        <v>44199</v>
      </c>
      <c r="D5313" s="753" t="s">
        <v>44198</v>
      </c>
      <c r="E5313" s="752" t="s">
        <v>39996</v>
      </c>
      <c r="F5313" s="751">
        <v>3175</v>
      </c>
    </row>
    <row r="5314" spans="1:6">
      <c r="A5314" s="753"/>
      <c r="B5314" s="753" t="s">
        <v>44197</v>
      </c>
      <c r="C5314" s="752" t="s">
        <v>44196</v>
      </c>
      <c r="D5314" s="753" t="s">
        <v>44195</v>
      </c>
      <c r="E5314" s="752" t="s">
        <v>39691</v>
      </c>
      <c r="F5314" s="751">
        <v>4525</v>
      </c>
    </row>
    <row r="5315" spans="1:6">
      <c r="A5315" s="753"/>
      <c r="B5315" s="753"/>
      <c r="C5315" s="752" t="s">
        <v>44194</v>
      </c>
      <c r="D5315" s="753" t="s">
        <v>44193</v>
      </c>
      <c r="E5315" s="752" t="s">
        <v>39691</v>
      </c>
      <c r="F5315" s="751">
        <v>5695</v>
      </c>
    </row>
    <row r="5316" spans="1:6">
      <c r="A5316" s="753"/>
      <c r="B5316" s="753"/>
      <c r="C5316" s="752" t="s">
        <v>44192</v>
      </c>
      <c r="D5316" s="753" t="s">
        <v>44191</v>
      </c>
      <c r="E5316" s="752" t="s">
        <v>44190</v>
      </c>
      <c r="F5316" s="751">
        <v>4925</v>
      </c>
    </row>
    <row r="5317" spans="1:6">
      <c r="A5317" s="753"/>
      <c r="B5317" s="753"/>
      <c r="C5317" s="752" t="s">
        <v>44189</v>
      </c>
      <c r="D5317" s="753" t="s">
        <v>44188</v>
      </c>
      <c r="E5317" s="752" t="s">
        <v>44166</v>
      </c>
      <c r="F5317" s="751">
        <v>2825</v>
      </c>
    </row>
    <row r="5318" spans="1:6">
      <c r="A5318" s="753"/>
      <c r="B5318" s="753"/>
      <c r="C5318" s="752" t="s">
        <v>44187</v>
      </c>
      <c r="D5318" s="753" t="s">
        <v>44162</v>
      </c>
      <c r="E5318" s="752" t="s">
        <v>44186</v>
      </c>
      <c r="F5318" s="751">
        <v>4125</v>
      </c>
    </row>
    <row r="5319" spans="1:6">
      <c r="A5319" s="753"/>
      <c r="B5319" s="753"/>
      <c r="C5319" s="752" t="s">
        <v>44185</v>
      </c>
      <c r="D5319" s="753" t="s">
        <v>44162</v>
      </c>
      <c r="E5319" s="752" t="s">
        <v>44184</v>
      </c>
      <c r="F5319" s="751">
        <v>4635</v>
      </c>
    </row>
    <row r="5320" spans="1:6">
      <c r="A5320" s="753"/>
      <c r="B5320" s="753"/>
      <c r="C5320" s="752" t="s">
        <v>44183</v>
      </c>
      <c r="D5320" s="753" t="s">
        <v>44162</v>
      </c>
      <c r="E5320" s="752" t="s">
        <v>44182</v>
      </c>
      <c r="F5320" s="751">
        <v>4635</v>
      </c>
    </row>
    <row r="5321" spans="1:6">
      <c r="A5321" s="753"/>
      <c r="B5321" s="753"/>
      <c r="C5321" s="752" t="s">
        <v>44181</v>
      </c>
      <c r="D5321" s="753" t="s">
        <v>44162</v>
      </c>
      <c r="E5321" s="752" t="s">
        <v>44166</v>
      </c>
      <c r="F5321" s="751">
        <v>3375</v>
      </c>
    </row>
    <row r="5322" spans="1:6">
      <c r="A5322" s="753"/>
      <c r="B5322" s="753"/>
      <c r="C5322" s="752" t="s">
        <v>44180</v>
      </c>
      <c r="D5322" s="753" t="s">
        <v>44178</v>
      </c>
      <c r="E5322" s="752" t="s">
        <v>44166</v>
      </c>
      <c r="F5322" s="751">
        <v>3375</v>
      </c>
    </row>
    <row r="5323" spans="1:6">
      <c r="A5323" s="753"/>
      <c r="B5323" s="753"/>
      <c r="C5323" s="752" t="s">
        <v>44179</v>
      </c>
      <c r="D5323" s="753" t="s">
        <v>44178</v>
      </c>
      <c r="E5323" s="752" t="s">
        <v>44177</v>
      </c>
      <c r="F5323" s="751">
        <v>3885</v>
      </c>
    </row>
    <row r="5324" spans="1:6">
      <c r="A5324" s="753"/>
      <c r="B5324" s="753"/>
      <c r="C5324" s="752" t="s">
        <v>44176</v>
      </c>
      <c r="D5324" s="753" t="s">
        <v>44174</v>
      </c>
      <c r="E5324" s="752" t="s">
        <v>44166</v>
      </c>
      <c r="F5324" s="751">
        <v>3175</v>
      </c>
    </row>
    <row r="5325" spans="1:6">
      <c r="A5325" s="753"/>
      <c r="B5325" s="753"/>
      <c r="C5325" s="752" t="s">
        <v>44175</v>
      </c>
      <c r="D5325" s="753" t="s">
        <v>44174</v>
      </c>
      <c r="E5325" s="752" t="s">
        <v>44173</v>
      </c>
      <c r="F5325" s="751">
        <v>4185</v>
      </c>
    </row>
    <row r="5326" spans="1:6">
      <c r="A5326" s="753"/>
      <c r="B5326" s="753"/>
      <c r="C5326" s="752" t="s">
        <v>44172</v>
      </c>
      <c r="D5326" s="753" t="s">
        <v>44171</v>
      </c>
      <c r="E5326" s="752" t="s">
        <v>44166</v>
      </c>
      <c r="F5326" s="751">
        <v>3275</v>
      </c>
    </row>
    <row r="5327" spans="1:6">
      <c r="A5327" s="753"/>
      <c r="B5327" s="753"/>
      <c r="C5327" s="752" t="s">
        <v>44170</v>
      </c>
      <c r="D5327" s="753" t="s">
        <v>44169</v>
      </c>
      <c r="E5327" s="752" t="s">
        <v>44166</v>
      </c>
      <c r="F5327" s="751">
        <v>3275</v>
      </c>
    </row>
    <row r="5328" spans="1:6">
      <c r="A5328" s="753"/>
      <c r="B5328" s="753"/>
      <c r="C5328" s="752" t="s">
        <v>44168</v>
      </c>
      <c r="D5328" s="753" t="s">
        <v>44167</v>
      </c>
      <c r="E5328" s="752" t="s">
        <v>44166</v>
      </c>
      <c r="F5328" s="751">
        <v>3275</v>
      </c>
    </row>
    <row r="5329" spans="1:6">
      <c r="A5329" s="753"/>
      <c r="B5329" s="753" t="s">
        <v>44165</v>
      </c>
      <c r="C5329" s="752" t="s">
        <v>44164</v>
      </c>
      <c r="D5329" s="753" t="s">
        <v>44162</v>
      </c>
      <c r="E5329" s="752" t="s">
        <v>44161</v>
      </c>
      <c r="F5329" s="751">
        <v>3625</v>
      </c>
    </row>
    <row r="5330" spans="1:6">
      <c r="A5330" s="753"/>
      <c r="B5330" s="753"/>
      <c r="C5330" s="752" t="s">
        <v>44163</v>
      </c>
      <c r="D5330" s="753" t="s">
        <v>44162</v>
      </c>
      <c r="E5330" s="752" t="s">
        <v>44161</v>
      </c>
      <c r="F5330" s="751">
        <v>3625</v>
      </c>
    </row>
    <row r="5331" spans="1:6">
      <c r="A5331" s="753"/>
      <c r="B5331" s="753" t="s">
        <v>44149</v>
      </c>
      <c r="C5331" s="752" t="s">
        <v>44160</v>
      </c>
      <c r="D5331" s="753" t="s">
        <v>44159</v>
      </c>
      <c r="E5331" s="752" t="s">
        <v>44158</v>
      </c>
      <c r="F5331" s="751">
        <v>4525</v>
      </c>
    </row>
    <row r="5332" spans="1:6">
      <c r="A5332" s="753"/>
      <c r="B5332" s="753"/>
      <c r="C5332" s="752" t="s">
        <v>44157</v>
      </c>
      <c r="D5332" s="753" t="s">
        <v>44138</v>
      </c>
      <c r="E5332" s="752" t="s">
        <v>37794</v>
      </c>
      <c r="F5332" s="751">
        <v>5505</v>
      </c>
    </row>
    <row r="5333" spans="1:6">
      <c r="A5333" s="753"/>
      <c r="B5333" s="753"/>
      <c r="C5333" s="752" t="s">
        <v>44156</v>
      </c>
      <c r="D5333" s="753" t="s">
        <v>44155</v>
      </c>
      <c r="E5333" s="752" t="s">
        <v>293</v>
      </c>
      <c r="F5333" s="751">
        <v>6455</v>
      </c>
    </row>
    <row r="5334" spans="1:6">
      <c r="A5334" s="753"/>
      <c r="B5334" s="753"/>
      <c r="C5334" s="752" t="s">
        <v>44154</v>
      </c>
      <c r="D5334" s="753" t="s">
        <v>44153</v>
      </c>
      <c r="E5334" s="752" t="s">
        <v>44131</v>
      </c>
      <c r="F5334" s="751">
        <v>2825</v>
      </c>
    </row>
    <row r="5335" spans="1:6">
      <c r="A5335" s="753"/>
      <c r="B5335" s="753"/>
      <c r="C5335" s="752" t="s">
        <v>44152</v>
      </c>
      <c r="D5335" s="753" t="s">
        <v>44151</v>
      </c>
      <c r="E5335" s="752" t="s">
        <v>293</v>
      </c>
      <c r="F5335" s="751">
        <v>3875</v>
      </c>
    </row>
    <row r="5336" spans="1:6">
      <c r="A5336" s="753"/>
      <c r="B5336" s="753"/>
      <c r="C5336" s="752" t="s">
        <v>44150</v>
      </c>
      <c r="D5336" s="753" t="s">
        <v>44149</v>
      </c>
      <c r="E5336" s="752" t="s">
        <v>44148</v>
      </c>
      <c r="F5336" s="751">
        <v>3875</v>
      </c>
    </row>
    <row r="5337" spans="1:6">
      <c r="A5337" s="753"/>
      <c r="B5337" s="753"/>
      <c r="C5337" s="752" t="s">
        <v>44147</v>
      </c>
      <c r="D5337" s="753" t="s">
        <v>44146</v>
      </c>
      <c r="E5337" s="752" t="s">
        <v>44141</v>
      </c>
      <c r="F5337" s="751">
        <v>5845</v>
      </c>
    </row>
    <row r="5338" spans="1:6">
      <c r="A5338" s="753"/>
      <c r="B5338" s="753"/>
      <c r="C5338" s="752" t="s">
        <v>44145</v>
      </c>
      <c r="D5338" s="753" t="s">
        <v>44144</v>
      </c>
      <c r="E5338" s="752" t="s">
        <v>44141</v>
      </c>
      <c r="F5338" s="751">
        <v>2625</v>
      </c>
    </row>
    <row r="5339" spans="1:6">
      <c r="A5339" s="753"/>
      <c r="B5339" s="753"/>
      <c r="C5339" s="752" t="s">
        <v>44143</v>
      </c>
      <c r="D5339" s="753" t="s">
        <v>44142</v>
      </c>
      <c r="E5339" s="752" t="s">
        <v>44141</v>
      </c>
      <c r="F5339" s="751">
        <v>3175</v>
      </c>
    </row>
    <row r="5340" spans="1:6">
      <c r="A5340" s="753"/>
      <c r="B5340" s="753" t="s">
        <v>44140</v>
      </c>
      <c r="C5340" s="752" t="s">
        <v>44139</v>
      </c>
      <c r="D5340" s="753" t="s">
        <v>44138</v>
      </c>
      <c r="E5340" s="752" t="s">
        <v>44137</v>
      </c>
      <c r="F5340" s="751">
        <v>4745</v>
      </c>
    </row>
    <row r="5341" spans="1:6">
      <c r="A5341" s="753"/>
      <c r="B5341" s="753"/>
      <c r="C5341" s="752" t="s">
        <v>44136</v>
      </c>
      <c r="D5341" s="753" t="s">
        <v>44135</v>
      </c>
      <c r="E5341" s="752" t="s">
        <v>39430</v>
      </c>
      <c r="F5341" s="751">
        <v>5975</v>
      </c>
    </row>
    <row r="5342" spans="1:6">
      <c r="A5342" s="753"/>
      <c r="B5342" s="753"/>
      <c r="C5342" s="752" t="s">
        <v>44134</v>
      </c>
      <c r="D5342" s="753" t="s">
        <v>44132</v>
      </c>
      <c r="E5342" s="752" t="s">
        <v>38962</v>
      </c>
      <c r="F5342" s="751">
        <v>3075</v>
      </c>
    </row>
    <row r="5343" spans="1:6">
      <c r="A5343" s="753"/>
      <c r="B5343" s="753"/>
      <c r="C5343" s="752" t="s">
        <v>44133</v>
      </c>
      <c r="D5343" s="753" t="s">
        <v>44132</v>
      </c>
      <c r="E5343" s="752" t="s">
        <v>44131</v>
      </c>
      <c r="F5343" s="751">
        <v>2575</v>
      </c>
    </row>
    <row r="5344" spans="1:6">
      <c r="A5344" s="753"/>
      <c r="B5344" s="753"/>
      <c r="C5344" s="752" t="s">
        <v>44130</v>
      </c>
      <c r="D5344" s="753" t="s">
        <v>44117</v>
      </c>
      <c r="E5344" s="752" t="s">
        <v>44114</v>
      </c>
      <c r="F5344" s="751">
        <v>4375</v>
      </c>
    </row>
    <row r="5345" spans="1:6">
      <c r="A5345" s="753"/>
      <c r="B5345" s="753" t="s">
        <v>44129</v>
      </c>
      <c r="C5345" s="752" t="s">
        <v>44128</v>
      </c>
      <c r="D5345" s="753" t="s">
        <v>44127</v>
      </c>
      <c r="E5345" s="752" t="s">
        <v>44126</v>
      </c>
      <c r="F5345" s="751">
        <v>5135</v>
      </c>
    </row>
    <row r="5346" spans="1:6">
      <c r="A5346" s="753"/>
      <c r="B5346" s="753"/>
      <c r="C5346" s="752" t="s">
        <v>44125</v>
      </c>
      <c r="D5346" s="753" t="s">
        <v>44123</v>
      </c>
      <c r="E5346" s="752" t="s">
        <v>39681</v>
      </c>
      <c r="F5346" s="751">
        <v>3575</v>
      </c>
    </row>
    <row r="5347" spans="1:6">
      <c r="A5347" s="753"/>
      <c r="B5347" s="753"/>
      <c r="C5347" s="752" t="s">
        <v>44124</v>
      </c>
      <c r="D5347" s="753" t="s">
        <v>44123</v>
      </c>
      <c r="E5347" s="752" t="s">
        <v>39681</v>
      </c>
      <c r="F5347" s="751">
        <v>2825</v>
      </c>
    </row>
    <row r="5348" spans="1:6">
      <c r="A5348" s="753"/>
      <c r="B5348" s="753"/>
      <c r="C5348" s="752" t="s">
        <v>44122</v>
      </c>
      <c r="D5348" s="753" t="s">
        <v>44121</v>
      </c>
      <c r="E5348" s="752" t="s">
        <v>44120</v>
      </c>
      <c r="F5348" s="751">
        <v>3935</v>
      </c>
    </row>
    <row r="5349" spans="1:6">
      <c r="A5349" s="753"/>
      <c r="B5349" s="753" t="s">
        <v>44119</v>
      </c>
      <c r="C5349" s="752" t="s">
        <v>44118</v>
      </c>
      <c r="D5349" s="753" t="s">
        <v>44117</v>
      </c>
      <c r="E5349" s="752" t="s">
        <v>44114</v>
      </c>
      <c r="F5349" s="751">
        <v>4375</v>
      </c>
    </row>
    <row r="5350" spans="1:6">
      <c r="A5350" s="753"/>
      <c r="B5350" s="753"/>
      <c r="C5350" s="752" t="s">
        <v>44116</v>
      </c>
      <c r="D5350" s="753" t="s">
        <v>44115</v>
      </c>
      <c r="E5350" s="752" t="s">
        <v>44114</v>
      </c>
      <c r="F5350" s="751">
        <v>4375</v>
      </c>
    </row>
    <row r="5351" spans="1:6">
      <c r="A5351" s="753"/>
      <c r="B5351" s="753"/>
      <c r="C5351" s="752" t="s">
        <v>44113</v>
      </c>
      <c r="D5351" s="753" t="s">
        <v>44112</v>
      </c>
      <c r="E5351" s="752" t="s">
        <v>44111</v>
      </c>
      <c r="F5351" s="751">
        <v>4175</v>
      </c>
    </row>
    <row r="5352" spans="1:6">
      <c r="A5352" s="753"/>
      <c r="B5352" s="753" t="s">
        <v>44110</v>
      </c>
      <c r="C5352" s="752" t="s">
        <v>44109</v>
      </c>
      <c r="D5352" s="753" t="s">
        <v>44107</v>
      </c>
      <c r="E5352" s="752" t="s">
        <v>39691</v>
      </c>
      <c r="F5352" s="751">
        <v>3075</v>
      </c>
    </row>
    <row r="5353" spans="1:6">
      <c r="A5353" s="753"/>
      <c r="B5353" s="753"/>
      <c r="C5353" s="752" t="s">
        <v>44108</v>
      </c>
      <c r="D5353" s="753" t="s">
        <v>44107</v>
      </c>
      <c r="E5353" s="752" t="s">
        <v>39691</v>
      </c>
      <c r="F5353" s="751">
        <v>3075</v>
      </c>
    </row>
    <row r="5354" spans="1:6">
      <c r="A5354" s="753"/>
      <c r="B5354" s="753"/>
      <c r="C5354" s="752" t="s">
        <v>44106</v>
      </c>
      <c r="D5354" s="753" t="s">
        <v>44102</v>
      </c>
      <c r="E5354" s="752" t="s">
        <v>39691</v>
      </c>
      <c r="F5354" s="751">
        <v>3625</v>
      </c>
    </row>
    <row r="5355" spans="1:6">
      <c r="A5355" s="753"/>
      <c r="B5355" s="753"/>
      <c r="C5355" s="752" t="s">
        <v>44105</v>
      </c>
      <c r="D5355" s="753" t="s">
        <v>44102</v>
      </c>
      <c r="E5355" s="752" t="s">
        <v>39691</v>
      </c>
      <c r="F5355" s="751">
        <v>3625</v>
      </c>
    </row>
    <row r="5356" spans="1:6">
      <c r="A5356" s="753"/>
      <c r="B5356" s="753"/>
      <c r="C5356" s="752" t="s">
        <v>44104</v>
      </c>
      <c r="D5356" s="753" t="s">
        <v>44102</v>
      </c>
      <c r="E5356" s="752" t="s">
        <v>39691</v>
      </c>
      <c r="F5356" s="751">
        <v>3625</v>
      </c>
    </row>
    <row r="5357" spans="1:6">
      <c r="A5357" s="753"/>
      <c r="B5357" s="753"/>
      <c r="C5357" s="752" t="s">
        <v>44103</v>
      </c>
      <c r="D5357" s="753" t="s">
        <v>44102</v>
      </c>
      <c r="E5357" s="752" t="s">
        <v>39681</v>
      </c>
      <c r="F5357" s="751">
        <v>3375</v>
      </c>
    </row>
    <row r="5358" spans="1:6">
      <c r="A5358" s="753"/>
      <c r="B5358" s="753"/>
      <c r="C5358" s="752" t="s">
        <v>44101</v>
      </c>
      <c r="D5358" s="753" t="s">
        <v>44100</v>
      </c>
      <c r="E5358" s="752" t="s">
        <v>39691</v>
      </c>
      <c r="F5358" s="751">
        <v>2875</v>
      </c>
    </row>
    <row r="5359" spans="1:6">
      <c r="A5359" s="753"/>
      <c r="B5359" s="753"/>
      <c r="C5359" s="752" t="s">
        <v>44099</v>
      </c>
      <c r="D5359" s="753" t="s">
        <v>44096</v>
      </c>
      <c r="E5359" s="752" t="s">
        <v>39691</v>
      </c>
      <c r="F5359" s="751">
        <v>3425</v>
      </c>
    </row>
    <row r="5360" spans="1:6">
      <c r="A5360" s="753"/>
      <c r="B5360" s="753"/>
      <c r="C5360" s="752" t="s">
        <v>44098</v>
      </c>
      <c r="D5360" s="753" t="s">
        <v>44096</v>
      </c>
      <c r="E5360" s="752" t="s">
        <v>39691</v>
      </c>
      <c r="F5360" s="751">
        <v>3425</v>
      </c>
    </row>
    <row r="5361" spans="1:6">
      <c r="A5361" s="753"/>
      <c r="B5361" s="753"/>
      <c r="C5361" s="752" t="s">
        <v>44097</v>
      </c>
      <c r="D5361" s="753" t="s">
        <v>44096</v>
      </c>
      <c r="E5361" s="752" t="s">
        <v>39681</v>
      </c>
      <c r="F5361" s="751">
        <v>3175</v>
      </c>
    </row>
    <row r="5362" spans="1:6">
      <c r="A5362" s="753"/>
      <c r="B5362" s="753" t="s">
        <v>44095</v>
      </c>
      <c r="C5362" s="752" t="s">
        <v>44094</v>
      </c>
      <c r="D5362" s="753" t="s">
        <v>44093</v>
      </c>
      <c r="E5362" s="752" t="s">
        <v>43659</v>
      </c>
      <c r="F5362" s="751">
        <v>10995</v>
      </c>
    </row>
    <row r="5363" spans="1:6">
      <c r="A5363" s="753" t="s">
        <v>6393</v>
      </c>
      <c r="B5363" s="753" t="s">
        <v>44042</v>
      </c>
      <c r="C5363" s="752" t="s">
        <v>44092</v>
      </c>
      <c r="D5363" s="753" t="s">
        <v>44085</v>
      </c>
      <c r="E5363" s="752" t="s">
        <v>39276</v>
      </c>
      <c r="F5363" s="751">
        <v>3965</v>
      </c>
    </row>
    <row r="5364" spans="1:6">
      <c r="A5364" s="753"/>
      <c r="B5364" s="753"/>
      <c r="C5364" s="752" t="s">
        <v>44091</v>
      </c>
      <c r="D5364" s="753" t="s">
        <v>44085</v>
      </c>
      <c r="E5364" s="752" t="s">
        <v>39276</v>
      </c>
      <c r="F5364" s="751">
        <v>3915</v>
      </c>
    </row>
    <row r="5365" spans="1:6">
      <c r="A5365" s="753"/>
      <c r="B5365" s="753"/>
      <c r="C5365" s="752" t="s">
        <v>44090</v>
      </c>
      <c r="D5365" s="753" t="s">
        <v>44085</v>
      </c>
      <c r="E5365" s="752" t="s">
        <v>293</v>
      </c>
      <c r="F5365" s="751">
        <v>4515</v>
      </c>
    </row>
    <row r="5366" spans="1:6">
      <c r="A5366" s="753"/>
      <c r="B5366" s="753"/>
      <c r="C5366" s="752" t="s">
        <v>44089</v>
      </c>
      <c r="D5366" s="753" t="s">
        <v>44085</v>
      </c>
      <c r="E5366" s="752" t="s">
        <v>38919</v>
      </c>
      <c r="F5366" s="751">
        <v>5275</v>
      </c>
    </row>
    <row r="5367" spans="1:6">
      <c r="A5367" s="753"/>
      <c r="B5367" s="753"/>
      <c r="C5367" s="752" t="s">
        <v>44088</v>
      </c>
      <c r="D5367" s="753" t="s">
        <v>44087</v>
      </c>
      <c r="E5367" s="752" t="s">
        <v>293</v>
      </c>
      <c r="F5367" s="751">
        <v>3875</v>
      </c>
    </row>
    <row r="5368" spans="1:6">
      <c r="A5368" s="753"/>
      <c r="B5368" s="753"/>
      <c r="C5368" s="752" t="s">
        <v>44086</v>
      </c>
      <c r="D5368" s="753" t="s">
        <v>44085</v>
      </c>
      <c r="E5368" s="752" t="s">
        <v>293</v>
      </c>
      <c r="F5368" s="751">
        <v>4515</v>
      </c>
    </row>
    <row r="5369" spans="1:6">
      <c r="A5369" s="753"/>
      <c r="B5369" s="753"/>
      <c r="C5369" s="752" t="s">
        <v>44084</v>
      </c>
      <c r="D5369" s="753" t="s">
        <v>44083</v>
      </c>
      <c r="E5369" s="752" t="s">
        <v>38570</v>
      </c>
      <c r="F5369" s="751">
        <v>8895</v>
      </c>
    </row>
    <row r="5370" spans="1:6">
      <c r="A5370" s="753"/>
      <c r="B5370" s="753"/>
      <c r="C5370" s="752" t="s">
        <v>44082</v>
      </c>
      <c r="D5370" s="753" t="s">
        <v>44042</v>
      </c>
      <c r="E5370" s="752" t="s">
        <v>44076</v>
      </c>
      <c r="F5370" s="751">
        <v>2825</v>
      </c>
    </row>
    <row r="5371" spans="1:6">
      <c r="A5371" s="753"/>
      <c r="B5371" s="753"/>
      <c r="C5371" s="752" t="s">
        <v>44081</v>
      </c>
      <c r="D5371" s="753" t="s">
        <v>44042</v>
      </c>
      <c r="E5371" s="752" t="s">
        <v>44076</v>
      </c>
      <c r="F5371" s="751">
        <v>2825</v>
      </c>
    </row>
    <row r="5372" spans="1:6">
      <c r="A5372" s="753"/>
      <c r="B5372" s="753"/>
      <c r="C5372" s="752" t="s">
        <v>44080</v>
      </c>
      <c r="D5372" s="753" t="s">
        <v>44048</v>
      </c>
      <c r="E5372" s="752" t="s">
        <v>44076</v>
      </c>
      <c r="F5372" s="751">
        <v>2525</v>
      </c>
    </row>
    <row r="5373" spans="1:6">
      <c r="A5373" s="753"/>
      <c r="B5373" s="753"/>
      <c r="C5373" s="752" t="s">
        <v>44079</v>
      </c>
      <c r="D5373" s="753" t="s">
        <v>44078</v>
      </c>
      <c r="E5373" s="752" t="s">
        <v>37758</v>
      </c>
      <c r="F5373" s="751">
        <v>2825</v>
      </c>
    </row>
    <row r="5374" spans="1:6">
      <c r="A5374" s="753"/>
      <c r="B5374" s="753"/>
      <c r="C5374" s="752" t="s">
        <v>44077</v>
      </c>
      <c r="D5374" s="753" t="s">
        <v>44048</v>
      </c>
      <c r="E5374" s="752" t="s">
        <v>44076</v>
      </c>
      <c r="F5374" s="751">
        <v>2525</v>
      </c>
    </row>
    <row r="5375" spans="1:6">
      <c r="A5375" s="753"/>
      <c r="B5375" s="753"/>
      <c r="C5375" s="752" t="s">
        <v>44075</v>
      </c>
      <c r="D5375" s="753" t="s">
        <v>44042</v>
      </c>
      <c r="E5375" s="752" t="s">
        <v>44071</v>
      </c>
      <c r="F5375" s="751">
        <v>3375</v>
      </c>
    </row>
    <row r="5376" spans="1:6">
      <c r="A5376" s="753"/>
      <c r="B5376" s="753"/>
      <c r="C5376" s="752" t="s">
        <v>44074</v>
      </c>
      <c r="D5376" s="753" t="s">
        <v>44042</v>
      </c>
      <c r="E5376" s="752" t="s">
        <v>44073</v>
      </c>
      <c r="F5376" s="751">
        <v>3375</v>
      </c>
    </row>
    <row r="5377" spans="1:6">
      <c r="A5377" s="753"/>
      <c r="B5377" s="753"/>
      <c r="C5377" s="752" t="s">
        <v>44072</v>
      </c>
      <c r="D5377" s="753" t="s">
        <v>44042</v>
      </c>
      <c r="E5377" s="752" t="s">
        <v>44071</v>
      </c>
      <c r="F5377" s="751">
        <v>3375</v>
      </c>
    </row>
    <row r="5378" spans="1:6">
      <c r="A5378" s="753"/>
      <c r="B5378" s="753"/>
      <c r="C5378" s="752" t="s">
        <v>44070</v>
      </c>
      <c r="D5378" s="753" t="s">
        <v>44042</v>
      </c>
      <c r="E5378" s="752" t="s">
        <v>44069</v>
      </c>
      <c r="F5378" s="751">
        <v>3375</v>
      </c>
    </row>
    <row r="5379" spans="1:6">
      <c r="A5379" s="753"/>
      <c r="B5379" s="753"/>
      <c r="C5379" s="752" t="s">
        <v>44068</v>
      </c>
      <c r="D5379" s="753" t="s">
        <v>44042</v>
      </c>
      <c r="E5379" s="752" t="s">
        <v>44067</v>
      </c>
      <c r="F5379" s="751">
        <v>4135</v>
      </c>
    </row>
    <row r="5380" spans="1:6">
      <c r="A5380" s="753"/>
      <c r="B5380" s="753"/>
      <c r="C5380" s="752" t="s">
        <v>44066</v>
      </c>
      <c r="D5380" s="753" t="s">
        <v>44065</v>
      </c>
      <c r="E5380" s="752" t="s">
        <v>37758</v>
      </c>
      <c r="F5380" s="751">
        <v>3375</v>
      </c>
    </row>
    <row r="5381" spans="1:6">
      <c r="A5381" s="753"/>
      <c r="B5381" s="753"/>
      <c r="C5381" s="752" t="s">
        <v>44064</v>
      </c>
      <c r="D5381" s="753" t="s">
        <v>44042</v>
      </c>
      <c r="E5381" s="752" t="s">
        <v>44061</v>
      </c>
      <c r="F5381" s="751">
        <v>2625</v>
      </c>
    </row>
    <row r="5382" spans="1:6">
      <c r="A5382" s="753"/>
      <c r="B5382" s="753"/>
      <c r="C5382" s="752" t="s">
        <v>44063</v>
      </c>
      <c r="D5382" s="753" t="s">
        <v>44042</v>
      </c>
      <c r="E5382" s="752" t="s">
        <v>44061</v>
      </c>
      <c r="F5382" s="751">
        <v>2625</v>
      </c>
    </row>
    <row r="5383" spans="1:6">
      <c r="A5383" s="753"/>
      <c r="B5383" s="753"/>
      <c r="C5383" s="752" t="s">
        <v>44062</v>
      </c>
      <c r="D5383" s="753" t="s">
        <v>44048</v>
      </c>
      <c r="E5383" s="752" t="s">
        <v>44061</v>
      </c>
      <c r="F5383" s="751">
        <v>2325</v>
      </c>
    </row>
    <row r="5384" spans="1:6">
      <c r="A5384" s="753"/>
      <c r="B5384" s="753"/>
      <c r="C5384" s="752" t="s">
        <v>44060</v>
      </c>
      <c r="D5384" s="753" t="s">
        <v>44059</v>
      </c>
      <c r="E5384" s="752" t="s">
        <v>44058</v>
      </c>
      <c r="F5384" s="751">
        <v>2125</v>
      </c>
    </row>
    <row r="5385" spans="1:6">
      <c r="A5385" s="753"/>
      <c r="B5385" s="753"/>
      <c r="C5385" s="752" t="s">
        <v>44057</v>
      </c>
      <c r="D5385" s="753" t="s">
        <v>44042</v>
      </c>
      <c r="E5385" s="752" t="s">
        <v>44055</v>
      </c>
      <c r="F5385" s="751">
        <v>3175</v>
      </c>
    </row>
    <row r="5386" spans="1:6">
      <c r="A5386" s="753"/>
      <c r="B5386" s="753"/>
      <c r="C5386" s="752" t="s">
        <v>44056</v>
      </c>
      <c r="D5386" s="753" t="s">
        <v>44042</v>
      </c>
      <c r="E5386" s="752" t="s">
        <v>44055</v>
      </c>
      <c r="F5386" s="751">
        <v>3175</v>
      </c>
    </row>
    <row r="5387" spans="1:6">
      <c r="A5387" s="753"/>
      <c r="B5387" s="753"/>
      <c r="C5387" s="752" t="s">
        <v>44054</v>
      </c>
      <c r="D5387" s="753" t="s">
        <v>44042</v>
      </c>
      <c r="E5387" s="752" t="s">
        <v>44053</v>
      </c>
      <c r="F5387" s="751">
        <v>3175</v>
      </c>
    </row>
    <row r="5388" spans="1:6">
      <c r="A5388" s="753"/>
      <c r="B5388" s="753"/>
      <c r="C5388" s="752" t="s">
        <v>44052</v>
      </c>
      <c r="D5388" s="753" t="s">
        <v>44051</v>
      </c>
      <c r="E5388" s="752" t="s">
        <v>37758</v>
      </c>
      <c r="F5388" s="751">
        <v>3175</v>
      </c>
    </row>
    <row r="5389" spans="1:6">
      <c r="A5389" s="753"/>
      <c r="B5389" s="753"/>
      <c r="C5389" s="752" t="s">
        <v>44050</v>
      </c>
      <c r="D5389" s="753" t="s">
        <v>44042</v>
      </c>
      <c r="E5389" s="752" t="s">
        <v>44041</v>
      </c>
      <c r="F5389" s="751">
        <v>2725</v>
      </c>
    </row>
    <row r="5390" spans="1:6">
      <c r="A5390" s="753"/>
      <c r="B5390" s="753"/>
      <c r="C5390" s="752" t="s">
        <v>44049</v>
      </c>
      <c r="D5390" s="753" t="s">
        <v>44048</v>
      </c>
      <c r="E5390" s="752" t="s">
        <v>44041</v>
      </c>
      <c r="F5390" s="751">
        <v>2675</v>
      </c>
    </row>
    <row r="5391" spans="1:6">
      <c r="A5391" s="753"/>
      <c r="B5391" s="753"/>
      <c r="C5391" s="752" t="s">
        <v>44047</v>
      </c>
      <c r="D5391" s="753" t="s">
        <v>44042</v>
      </c>
      <c r="E5391" s="752" t="s">
        <v>44046</v>
      </c>
      <c r="F5391" s="751">
        <v>3275</v>
      </c>
    </row>
    <row r="5392" spans="1:6">
      <c r="A5392" s="753"/>
      <c r="B5392" s="753"/>
      <c r="C5392" s="752" t="s">
        <v>44045</v>
      </c>
      <c r="D5392" s="753" t="s">
        <v>44042</v>
      </c>
      <c r="E5392" s="752" t="s">
        <v>44044</v>
      </c>
      <c r="F5392" s="751">
        <v>3275</v>
      </c>
    </row>
    <row r="5393" spans="1:6">
      <c r="A5393" s="753"/>
      <c r="B5393" s="753"/>
      <c r="C5393" s="752" t="s">
        <v>44043</v>
      </c>
      <c r="D5393" s="753" t="s">
        <v>44042</v>
      </c>
      <c r="E5393" s="752" t="s">
        <v>44041</v>
      </c>
      <c r="F5393" s="751">
        <v>2225</v>
      </c>
    </row>
    <row r="5394" spans="1:6">
      <c r="A5394" s="753"/>
      <c r="B5394" s="753" t="s">
        <v>44037</v>
      </c>
      <c r="C5394" s="752" t="s">
        <v>44040</v>
      </c>
      <c r="D5394" s="753" t="s">
        <v>44039</v>
      </c>
      <c r="E5394" s="752" t="s">
        <v>37895</v>
      </c>
      <c r="F5394" s="751">
        <v>5415</v>
      </c>
    </row>
    <row r="5395" spans="1:6">
      <c r="A5395" s="753"/>
      <c r="B5395" s="753"/>
      <c r="C5395" s="752" t="s">
        <v>44038</v>
      </c>
      <c r="D5395" s="753" t="s">
        <v>44037</v>
      </c>
      <c r="E5395" s="752" t="s">
        <v>43649</v>
      </c>
      <c r="F5395" s="751">
        <v>4925</v>
      </c>
    </row>
    <row r="5396" spans="1:6">
      <c r="A5396" s="753"/>
      <c r="B5396" s="753"/>
      <c r="C5396" s="752" t="s">
        <v>44036</v>
      </c>
      <c r="D5396" s="753" t="s">
        <v>44035</v>
      </c>
      <c r="E5396" s="752" t="s">
        <v>38489</v>
      </c>
      <c r="F5396" s="751">
        <v>4425</v>
      </c>
    </row>
    <row r="5397" spans="1:6">
      <c r="A5397" s="753"/>
      <c r="B5397" s="753"/>
      <c r="C5397" s="752" t="s">
        <v>44034</v>
      </c>
      <c r="D5397" s="753" t="s">
        <v>44027</v>
      </c>
      <c r="E5397" s="752" t="s">
        <v>44033</v>
      </c>
      <c r="F5397" s="751">
        <v>2775</v>
      </c>
    </row>
    <row r="5398" spans="1:6">
      <c r="A5398" s="753"/>
      <c r="B5398" s="753"/>
      <c r="C5398" s="752" t="s">
        <v>44032</v>
      </c>
      <c r="D5398" s="753" t="s">
        <v>44027</v>
      </c>
      <c r="E5398" s="752" t="s">
        <v>44031</v>
      </c>
      <c r="F5398" s="751">
        <v>3025</v>
      </c>
    </row>
    <row r="5399" spans="1:6">
      <c r="A5399" s="753"/>
      <c r="B5399" s="753"/>
      <c r="C5399" s="752" t="s">
        <v>44030</v>
      </c>
      <c r="D5399" s="753" t="s">
        <v>44024</v>
      </c>
      <c r="E5399" s="752" t="s">
        <v>44029</v>
      </c>
      <c r="F5399" s="751">
        <v>2925</v>
      </c>
    </row>
    <row r="5400" spans="1:6">
      <c r="A5400" s="753"/>
      <c r="B5400" s="753"/>
      <c r="C5400" s="752" t="s">
        <v>44028</v>
      </c>
      <c r="D5400" s="753" t="s">
        <v>44027</v>
      </c>
      <c r="E5400" s="752" t="s">
        <v>44026</v>
      </c>
      <c r="F5400" s="751">
        <v>2775</v>
      </c>
    </row>
    <row r="5401" spans="1:6">
      <c r="A5401" s="753"/>
      <c r="B5401" s="753"/>
      <c r="C5401" s="752" t="s">
        <v>44025</v>
      </c>
      <c r="D5401" s="753" t="s">
        <v>44024</v>
      </c>
      <c r="E5401" s="752" t="s">
        <v>44023</v>
      </c>
      <c r="F5401" s="751">
        <v>3025</v>
      </c>
    </row>
    <row r="5402" spans="1:6">
      <c r="A5402" s="753"/>
      <c r="B5402" s="753"/>
      <c r="C5402" s="752" t="s">
        <v>44022</v>
      </c>
      <c r="D5402" s="753" t="s">
        <v>44013</v>
      </c>
      <c r="E5402" s="752" t="s">
        <v>38019</v>
      </c>
      <c r="F5402" s="751">
        <v>3975</v>
      </c>
    </row>
    <row r="5403" spans="1:6">
      <c r="A5403" s="753"/>
      <c r="B5403" s="753"/>
      <c r="C5403" s="752" t="s">
        <v>44021</v>
      </c>
      <c r="D5403" s="753" t="s">
        <v>44013</v>
      </c>
      <c r="E5403" s="752" t="s">
        <v>37892</v>
      </c>
      <c r="F5403" s="751">
        <v>3725</v>
      </c>
    </row>
    <row r="5404" spans="1:6">
      <c r="A5404" s="753"/>
      <c r="B5404" s="753"/>
      <c r="C5404" s="752" t="s">
        <v>44020</v>
      </c>
      <c r="D5404" s="753" t="s">
        <v>44013</v>
      </c>
      <c r="E5404" s="752" t="s">
        <v>44008</v>
      </c>
      <c r="F5404" s="751">
        <v>4525</v>
      </c>
    </row>
    <row r="5405" spans="1:6">
      <c r="A5405" s="753"/>
      <c r="B5405" s="753"/>
      <c r="C5405" s="752" t="s">
        <v>44019</v>
      </c>
      <c r="D5405" s="753" t="s">
        <v>44013</v>
      </c>
      <c r="E5405" s="752" t="s">
        <v>43957</v>
      </c>
      <c r="F5405" s="751">
        <v>4875</v>
      </c>
    </row>
    <row r="5406" spans="1:6">
      <c r="A5406" s="753"/>
      <c r="B5406" s="753"/>
      <c r="C5406" s="752" t="s">
        <v>44018</v>
      </c>
      <c r="D5406" s="753" t="s">
        <v>44013</v>
      </c>
      <c r="E5406" s="752" t="s">
        <v>38019</v>
      </c>
      <c r="F5406" s="751">
        <v>3975</v>
      </c>
    </row>
    <row r="5407" spans="1:6">
      <c r="A5407" s="753"/>
      <c r="B5407" s="753"/>
      <c r="C5407" s="752" t="s">
        <v>44017</v>
      </c>
      <c r="D5407" s="753" t="s">
        <v>44013</v>
      </c>
      <c r="E5407" s="752" t="s">
        <v>37892</v>
      </c>
      <c r="F5407" s="751">
        <v>3725</v>
      </c>
    </row>
    <row r="5408" spans="1:6">
      <c r="A5408" s="753"/>
      <c r="B5408" s="753"/>
      <c r="C5408" s="752" t="s">
        <v>44016</v>
      </c>
      <c r="D5408" s="753" t="s">
        <v>44013</v>
      </c>
      <c r="E5408" s="752" t="s">
        <v>44008</v>
      </c>
      <c r="F5408" s="751">
        <v>4525</v>
      </c>
    </row>
    <row r="5409" spans="1:6">
      <c r="A5409" s="753"/>
      <c r="B5409" s="753"/>
      <c r="C5409" s="752" t="s">
        <v>44015</v>
      </c>
      <c r="D5409" s="753" t="s">
        <v>44013</v>
      </c>
      <c r="E5409" s="752" t="s">
        <v>43957</v>
      </c>
      <c r="F5409" s="751">
        <v>4875</v>
      </c>
    </row>
    <row r="5410" spans="1:6">
      <c r="A5410" s="753"/>
      <c r="B5410" s="753"/>
      <c r="C5410" s="752" t="s">
        <v>44014</v>
      </c>
      <c r="D5410" s="753" t="s">
        <v>44013</v>
      </c>
      <c r="E5410" s="752" t="s">
        <v>37892</v>
      </c>
      <c r="F5410" s="751">
        <v>3725</v>
      </c>
    </row>
    <row r="5411" spans="1:6">
      <c r="A5411" s="753"/>
      <c r="B5411" s="753"/>
      <c r="C5411" s="752" t="s">
        <v>44012</v>
      </c>
      <c r="D5411" s="753" t="s">
        <v>44010</v>
      </c>
      <c r="E5411" s="752" t="s">
        <v>37892</v>
      </c>
      <c r="F5411" s="751">
        <v>3725</v>
      </c>
    </row>
    <row r="5412" spans="1:6">
      <c r="A5412" s="753"/>
      <c r="B5412" s="753"/>
      <c r="C5412" s="752" t="s">
        <v>44011</v>
      </c>
      <c r="D5412" s="753" t="s">
        <v>44010</v>
      </c>
      <c r="E5412" s="752" t="s">
        <v>44008</v>
      </c>
      <c r="F5412" s="751">
        <v>4525</v>
      </c>
    </row>
    <row r="5413" spans="1:6">
      <c r="A5413" s="753"/>
      <c r="B5413" s="753"/>
      <c r="C5413" s="752" t="s">
        <v>44009</v>
      </c>
      <c r="D5413" s="753" t="s">
        <v>44006</v>
      </c>
      <c r="E5413" s="752" t="s">
        <v>44008</v>
      </c>
      <c r="F5413" s="751">
        <v>4525</v>
      </c>
    </row>
    <row r="5414" spans="1:6">
      <c r="A5414" s="753"/>
      <c r="B5414" s="753"/>
      <c r="C5414" s="752" t="s">
        <v>44007</v>
      </c>
      <c r="D5414" s="753" t="s">
        <v>44006</v>
      </c>
      <c r="E5414" s="752" t="s">
        <v>43957</v>
      </c>
      <c r="F5414" s="751">
        <v>4875</v>
      </c>
    </row>
    <row r="5415" spans="1:6">
      <c r="A5415" s="753"/>
      <c r="B5415" s="753"/>
      <c r="C5415" s="752" t="s">
        <v>44005</v>
      </c>
      <c r="D5415" s="753" t="s">
        <v>44004</v>
      </c>
      <c r="E5415" s="752" t="s">
        <v>44003</v>
      </c>
      <c r="F5415" s="751">
        <v>3175</v>
      </c>
    </row>
    <row r="5416" spans="1:6">
      <c r="A5416" s="753"/>
      <c r="B5416" s="753"/>
      <c r="C5416" s="752" t="s">
        <v>44002</v>
      </c>
      <c r="D5416" s="753" t="s">
        <v>43994</v>
      </c>
      <c r="E5416" s="752" t="s">
        <v>38363</v>
      </c>
      <c r="F5416" s="751">
        <v>2825</v>
      </c>
    </row>
    <row r="5417" spans="1:6">
      <c r="A5417" s="753"/>
      <c r="B5417" s="753"/>
      <c r="C5417" s="752" t="s">
        <v>44001</v>
      </c>
      <c r="D5417" s="753" t="s">
        <v>43994</v>
      </c>
      <c r="E5417" s="752" t="s">
        <v>44000</v>
      </c>
      <c r="F5417" s="751">
        <v>2825</v>
      </c>
    </row>
    <row r="5418" spans="1:6">
      <c r="A5418" s="753"/>
      <c r="B5418" s="753"/>
      <c r="C5418" s="752" t="s">
        <v>43999</v>
      </c>
      <c r="D5418" s="753" t="s">
        <v>43994</v>
      </c>
      <c r="E5418" s="752" t="s">
        <v>43998</v>
      </c>
      <c r="F5418" s="751">
        <v>2575</v>
      </c>
    </row>
    <row r="5419" spans="1:6">
      <c r="A5419" s="753"/>
      <c r="B5419" s="753"/>
      <c r="C5419" s="752" t="s">
        <v>43997</v>
      </c>
      <c r="D5419" s="753" t="s">
        <v>43994</v>
      </c>
      <c r="E5419" s="752" t="s">
        <v>43996</v>
      </c>
      <c r="F5419" s="751">
        <v>2675</v>
      </c>
    </row>
    <row r="5420" spans="1:6">
      <c r="A5420" s="753"/>
      <c r="B5420" s="753"/>
      <c r="C5420" s="752" t="s">
        <v>43995</v>
      </c>
      <c r="D5420" s="753" t="s">
        <v>43994</v>
      </c>
      <c r="E5420" s="752" t="s">
        <v>43993</v>
      </c>
      <c r="F5420" s="751">
        <v>3075</v>
      </c>
    </row>
    <row r="5421" spans="1:6">
      <c r="A5421" s="753"/>
      <c r="B5421" s="753"/>
      <c r="C5421" s="752" t="s">
        <v>43992</v>
      </c>
      <c r="D5421" s="753" t="s">
        <v>43980</v>
      </c>
      <c r="E5421" s="752" t="s">
        <v>38019</v>
      </c>
      <c r="F5421" s="751">
        <v>3775</v>
      </c>
    </row>
    <row r="5422" spans="1:6">
      <c r="A5422" s="753"/>
      <c r="B5422" s="753"/>
      <c r="C5422" s="752" t="s">
        <v>43991</v>
      </c>
      <c r="D5422" s="753" t="s">
        <v>43980</v>
      </c>
      <c r="E5422" s="752" t="s">
        <v>37892</v>
      </c>
      <c r="F5422" s="751">
        <v>3525</v>
      </c>
    </row>
    <row r="5423" spans="1:6">
      <c r="A5423" s="753"/>
      <c r="B5423" s="753"/>
      <c r="C5423" s="752" t="s">
        <v>43990</v>
      </c>
      <c r="D5423" s="753" t="s">
        <v>43980</v>
      </c>
      <c r="E5423" s="752" t="s">
        <v>43989</v>
      </c>
      <c r="F5423" s="751">
        <v>4325</v>
      </c>
    </row>
    <row r="5424" spans="1:6">
      <c r="A5424" s="753"/>
      <c r="B5424" s="753"/>
      <c r="C5424" s="752" t="s">
        <v>43988</v>
      </c>
      <c r="D5424" s="753" t="s">
        <v>43980</v>
      </c>
      <c r="E5424" s="752" t="s">
        <v>38002</v>
      </c>
      <c r="F5424" s="751">
        <v>4675</v>
      </c>
    </row>
    <row r="5425" spans="1:6">
      <c r="A5425" s="753"/>
      <c r="B5425" s="753"/>
      <c r="C5425" s="752" t="s">
        <v>43987</v>
      </c>
      <c r="D5425" s="753" t="s">
        <v>43980</v>
      </c>
      <c r="E5425" s="752" t="s">
        <v>38019</v>
      </c>
      <c r="F5425" s="751">
        <v>3775</v>
      </c>
    </row>
    <row r="5426" spans="1:6">
      <c r="A5426" s="753"/>
      <c r="B5426" s="753"/>
      <c r="C5426" s="752" t="s">
        <v>43986</v>
      </c>
      <c r="D5426" s="753" t="s">
        <v>43980</v>
      </c>
      <c r="E5426" s="752" t="s">
        <v>37892</v>
      </c>
      <c r="F5426" s="751">
        <v>3525</v>
      </c>
    </row>
    <row r="5427" spans="1:6">
      <c r="A5427" s="753"/>
      <c r="B5427" s="753"/>
      <c r="C5427" s="752" t="s">
        <v>43985</v>
      </c>
      <c r="D5427" s="753" t="s">
        <v>43980</v>
      </c>
      <c r="E5427" s="752" t="s">
        <v>43984</v>
      </c>
      <c r="F5427" s="751">
        <v>3525</v>
      </c>
    </row>
    <row r="5428" spans="1:6">
      <c r="A5428" s="753"/>
      <c r="B5428" s="753"/>
      <c r="C5428" s="752" t="s">
        <v>43983</v>
      </c>
      <c r="D5428" s="753" t="s">
        <v>43980</v>
      </c>
      <c r="E5428" s="752" t="s">
        <v>38002</v>
      </c>
      <c r="F5428" s="751">
        <v>4425</v>
      </c>
    </row>
    <row r="5429" spans="1:6">
      <c r="A5429" s="753"/>
      <c r="B5429" s="753"/>
      <c r="C5429" s="752" t="s">
        <v>43982</v>
      </c>
      <c r="D5429" s="753" t="s">
        <v>43980</v>
      </c>
      <c r="E5429" s="752" t="s">
        <v>37892</v>
      </c>
      <c r="F5429" s="751">
        <v>4325</v>
      </c>
    </row>
    <row r="5430" spans="1:6">
      <c r="A5430" s="753"/>
      <c r="B5430" s="753"/>
      <c r="C5430" s="752" t="s">
        <v>43981</v>
      </c>
      <c r="D5430" s="753" t="s">
        <v>43980</v>
      </c>
      <c r="E5430" s="752" t="s">
        <v>38002</v>
      </c>
      <c r="F5430" s="751">
        <v>5025</v>
      </c>
    </row>
    <row r="5431" spans="1:6">
      <c r="A5431" s="753"/>
      <c r="B5431" s="753"/>
      <c r="C5431" s="752" t="s">
        <v>43979</v>
      </c>
      <c r="D5431" s="753" t="s">
        <v>43976</v>
      </c>
      <c r="E5431" s="752" t="s">
        <v>37892</v>
      </c>
      <c r="F5431" s="751">
        <v>3525</v>
      </c>
    </row>
    <row r="5432" spans="1:6">
      <c r="A5432" s="753"/>
      <c r="B5432" s="753"/>
      <c r="C5432" s="752" t="s">
        <v>43978</v>
      </c>
      <c r="D5432" s="753" t="s">
        <v>43976</v>
      </c>
      <c r="E5432" s="752" t="s">
        <v>38019</v>
      </c>
      <c r="F5432" s="751">
        <v>4675</v>
      </c>
    </row>
    <row r="5433" spans="1:6">
      <c r="A5433" s="753"/>
      <c r="B5433" s="753"/>
      <c r="C5433" s="752" t="s">
        <v>43977</v>
      </c>
      <c r="D5433" s="753" t="s">
        <v>43976</v>
      </c>
      <c r="E5433" s="752" t="s">
        <v>37892</v>
      </c>
      <c r="F5433" s="751">
        <v>3525</v>
      </c>
    </row>
    <row r="5434" spans="1:6">
      <c r="A5434" s="753"/>
      <c r="B5434" s="753"/>
      <c r="C5434" s="752" t="s">
        <v>43975</v>
      </c>
      <c r="D5434" s="753" t="s">
        <v>43974</v>
      </c>
      <c r="E5434" s="752" t="s">
        <v>43973</v>
      </c>
      <c r="F5434" s="751">
        <v>4325</v>
      </c>
    </row>
    <row r="5435" spans="1:6">
      <c r="A5435" s="753"/>
      <c r="B5435" s="753"/>
      <c r="C5435" s="752" t="s">
        <v>43972</v>
      </c>
      <c r="D5435" s="753" t="s">
        <v>43969</v>
      </c>
      <c r="E5435" s="752" t="s">
        <v>43971</v>
      </c>
      <c r="F5435" s="751">
        <v>2925</v>
      </c>
    </row>
    <row r="5436" spans="1:6">
      <c r="A5436" s="753"/>
      <c r="B5436" s="753"/>
      <c r="C5436" s="752" t="s">
        <v>43970</v>
      </c>
      <c r="D5436" s="753" t="s">
        <v>43969</v>
      </c>
      <c r="E5436" s="752" t="s">
        <v>43968</v>
      </c>
      <c r="F5436" s="751">
        <v>3175</v>
      </c>
    </row>
    <row r="5437" spans="1:6">
      <c r="A5437" s="753"/>
      <c r="B5437" s="753"/>
      <c r="C5437" s="752" t="s">
        <v>43967</v>
      </c>
      <c r="D5437" s="753" t="s">
        <v>43966</v>
      </c>
      <c r="E5437" s="752" t="s">
        <v>293</v>
      </c>
      <c r="F5437" s="751">
        <v>3625</v>
      </c>
    </row>
    <row r="5438" spans="1:6">
      <c r="A5438" s="753"/>
      <c r="B5438" s="753"/>
      <c r="C5438" s="752" t="s">
        <v>43965</v>
      </c>
      <c r="D5438" s="753" t="s">
        <v>43962</v>
      </c>
      <c r="E5438" s="752" t="s">
        <v>43964</v>
      </c>
      <c r="F5438" s="751">
        <v>4425</v>
      </c>
    </row>
    <row r="5439" spans="1:6">
      <c r="A5439" s="753"/>
      <c r="B5439" s="753"/>
      <c r="C5439" s="752" t="s">
        <v>43963</v>
      </c>
      <c r="D5439" s="753" t="s">
        <v>43962</v>
      </c>
      <c r="E5439" s="752" t="s">
        <v>43957</v>
      </c>
      <c r="F5439" s="751">
        <v>4775</v>
      </c>
    </row>
    <row r="5440" spans="1:6">
      <c r="A5440" s="753"/>
      <c r="B5440" s="753"/>
      <c r="C5440" s="752" t="s">
        <v>43961</v>
      </c>
      <c r="D5440" s="753" t="s">
        <v>43960</v>
      </c>
      <c r="E5440" s="752" t="s">
        <v>293</v>
      </c>
      <c r="F5440" s="751">
        <v>3625</v>
      </c>
    </row>
    <row r="5441" spans="1:6">
      <c r="A5441" s="753"/>
      <c r="B5441" s="753"/>
      <c r="C5441" s="752" t="s">
        <v>43959</v>
      </c>
      <c r="D5441" s="753" t="s">
        <v>43958</v>
      </c>
      <c r="E5441" s="752" t="s">
        <v>43957</v>
      </c>
      <c r="F5441" s="751">
        <v>4775</v>
      </c>
    </row>
    <row r="5442" spans="1:6">
      <c r="A5442" s="753"/>
      <c r="B5442" s="753" t="s">
        <v>43956</v>
      </c>
      <c r="C5442" s="752" t="s">
        <v>43955</v>
      </c>
      <c r="D5442" s="753" t="s">
        <v>43954</v>
      </c>
      <c r="E5442" s="752" t="s">
        <v>293</v>
      </c>
      <c r="F5442" s="751">
        <v>4265</v>
      </c>
    </row>
    <row r="5443" spans="1:6">
      <c r="A5443" s="753"/>
      <c r="B5443" s="753"/>
      <c r="C5443" s="752" t="s">
        <v>43953</v>
      </c>
      <c r="D5443" s="753" t="s">
        <v>43952</v>
      </c>
      <c r="E5443" s="752" t="s">
        <v>15355</v>
      </c>
      <c r="F5443" s="751">
        <v>2575</v>
      </c>
    </row>
    <row r="5444" spans="1:6">
      <c r="A5444" s="753"/>
      <c r="B5444" s="753"/>
      <c r="C5444" s="752" t="s">
        <v>43951</v>
      </c>
      <c r="D5444" s="753" t="s">
        <v>43950</v>
      </c>
      <c r="E5444" s="752" t="s">
        <v>293</v>
      </c>
      <c r="F5444" s="751">
        <v>3125</v>
      </c>
    </row>
    <row r="5445" spans="1:6">
      <c r="A5445" s="753"/>
      <c r="B5445" s="753"/>
      <c r="C5445" s="752" t="s">
        <v>43949</v>
      </c>
      <c r="D5445" s="753" t="s">
        <v>43948</v>
      </c>
      <c r="E5445" s="752" t="s">
        <v>293</v>
      </c>
      <c r="F5445" s="751">
        <v>2375</v>
      </c>
    </row>
    <row r="5446" spans="1:6">
      <c r="A5446" s="753"/>
      <c r="B5446" s="753"/>
      <c r="C5446" s="752" t="s">
        <v>43947</v>
      </c>
      <c r="D5446" s="753" t="s">
        <v>43945</v>
      </c>
      <c r="E5446" s="752" t="s">
        <v>293</v>
      </c>
      <c r="F5446" s="751">
        <v>2925</v>
      </c>
    </row>
    <row r="5447" spans="1:6">
      <c r="A5447" s="753"/>
      <c r="B5447" s="753"/>
      <c r="C5447" s="752" t="s">
        <v>43946</v>
      </c>
      <c r="D5447" s="753" t="s">
        <v>43945</v>
      </c>
      <c r="E5447" s="752" t="s">
        <v>38670</v>
      </c>
      <c r="F5447" s="751">
        <v>3785</v>
      </c>
    </row>
    <row r="5448" spans="1:6">
      <c r="A5448" s="753"/>
      <c r="B5448" s="753" t="s">
        <v>43944</v>
      </c>
      <c r="C5448" s="752" t="s">
        <v>43943</v>
      </c>
      <c r="D5448" s="753" t="s">
        <v>43941</v>
      </c>
      <c r="E5448" s="752" t="s">
        <v>41347</v>
      </c>
      <c r="F5448" s="751">
        <v>2825</v>
      </c>
    </row>
    <row r="5449" spans="1:6">
      <c r="A5449" s="753"/>
      <c r="B5449" s="753"/>
      <c r="C5449" s="752" t="s">
        <v>43942</v>
      </c>
      <c r="D5449" s="753" t="s">
        <v>43941</v>
      </c>
      <c r="E5449" s="752" t="s">
        <v>40728</v>
      </c>
      <c r="F5449" s="751">
        <v>2825</v>
      </c>
    </row>
    <row r="5450" spans="1:6">
      <c r="A5450" s="753"/>
      <c r="B5450" s="753"/>
      <c r="C5450" s="752" t="s">
        <v>43940</v>
      </c>
      <c r="D5450" s="753" t="s">
        <v>43937</v>
      </c>
      <c r="E5450" s="752" t="s">
        <v>41347</v>
      </c>
      <c r="F5450" s="751">
        <v>3625</v>
      </c>
    </row>
    <row r="5451" spans="1:6">
      <c r="A5451" s="753"/>
      <c r="B5451" s="753"/>
      <c r="C5451" s="752" t="s">
        <v>43939</v>
      </c>
      <c r="D5451" s="753" t="s">
        <v>43937</v>
      </c>
      <c r="E5451" s="752" t="s">
        <v>41347</v>
      </c>
      <c r="F5451" s="751">
        <v>3625</v>
      </c>
    </row>
    <row r="5452" spans="1:6">
      <c r="A5452" s="753"/>
      <c r="B5452" s="753"/>
      <c r="C5452" s="752" t="s">
        <v>43938</v>
      </c>
      <c r="D5452" s="753" t="s">
        <v>43937</v>
      </c>
      <c r="E5452" s="752" t="s">
        <v>41395</v>
      </c>
      <c r="F5452" s="751">
        <v>4135</v>
      </c>
    </row>
    <row r="5453" spans="1:6">
      <c r="A5453" s="753"/>
      <c r="B5453" s="753"/>
      <c r="C5453" s="752" t="s">
        <v>43936</v>
      </c>
      <c r="D5453" s="753" t="s">
        <v>43935</v>
      </c>
      <c r="E5453" s="752" t="s">
        <v>41347</v>
      </c>
      <c r="F5453" s="751">
        <v>2625</v>
      </c>
    </row>
    <row r="5454" spans="1:6">
      <c r="A5454" s="753"/>
      <c r="B5454" s="753"/>
      <c r="C5454" s="752" t="s">
        <v>43934</v>
      </c>
      <c r="D5454" s="753" t="s">
        <v>43933</v>
      </c>
      <c r="E5454" s="752" t="s">
        <v>41347</v>
      </c>
      <c r="F5454" s="751">
        <v>3425</v>
      </c>
    </row>
    <row r="5455" spans="1:6">
      <c r="A5455" s="753"/>
      <c r="B5455" s="753" t="s">
        <v>43932</v>
      </c>
      <c r="C5455" s="752" t="s">
        <v>43931</v>
      </c>
      <c r="D5455" s="753" t="s">
        <v>43929</v>
      </c>
      <c r="E5455" s="752" t="s">
        <v>43927</v>
      </c>
      <c r="F5455" s="751">
        <v>2575</v>
      </c>
    </row>
    <row r="5456" spans="1:6">
      <c r="A5456" s="753"/>
      <c r="B5456" s="753"/>
      <c r="C5456" s="752" t="s">
        <v>43930</v>
      </c>
      <c r="D5456" s="753" t="s">
        <v>43929</v>
      </c>
      <c r="E5456" s="752" t="s">
        <v>293</v>
      </c>
      <c r="F5456" s="751">
        <v>2575</v>
      </c>
    </row>
    <row r="5457" spans="1:6">
      <c r="A5457" s="753"/>
      <c r="B5457" s="753"/>
      <c r="C5457" s="752" t="s">
        <v>43928</v>
      </c>
      <c r="D5457" s="753" t="s">
        <v>43925</v>
      </c>
      <c r="E5457" s="752" t="s">
        <v>43927</v>
      </c>
      <c r="F5457" s="751">
        <v>2375</v>
      </c>
    </row>
    <row r="5458" spans="1:6">
      <c r="A5458" s="753"/>
      <c r="B5458" s="753"/>
      <c r="C5458" s="752" t="s">
        <v>43926</v>
      </c>
      <c r="D5458" s="753" t="s">
        <v>43925</v>
      </c>
      <c r="E5458" s="752" t="s">
        <v>293</v>
      </c>
      <c r="F5458" s="751">
        <v>2375</v>
      </c>
    </row>
    <row r="5459" spans="1:6">
      <c r="A5459" s="753"/>
      <c r="B5459" s="753" t="s">
        <v>43924</v>
      </c>
      <c r="C5459" s="752" t="s">
        <v>43923</v>
      </c>
      <c r="D5459" s="753" t="s">
        <v>43922</v>
      </c>
      <c r="E5459" s="752" t="s">
        <v>42893</v>
      </c>
      <c r="F5459" s="751">
        <v>3375</v>
      </c>
    </row>
    <row r="5460" spans="1:6">
      <c r="A5460" s="753"/>
      <c r="B5460" s="753"/>
      <c r="C5460" s="752" t="s">
        <v>43921</v>
      </c>
      <c r="D5460" s="753" t="s">
        <v>43919</v>
      </c>
      <c r="E5460" s="752" t="s">
        <v>42893</v>
      </c>
      <c r="F5460" s="751">
        <v>2375</v>
      </c>
    </row>
    <row r="5461" spans="1:6">
      <c r="A5461" s="753"/>
      <c r="B5461" s="753"/>
      <c r="C5461" s="752" t="s">
        <v>43920</v>
      </c>
      <c r="D5461" s="753" t="s">
        <v>43919</v>
      </c>
      <c r="E5461" s="752" t="s">
        <v>42893</v>
      </c>
      <c r="F5461" s="751">
        <v>2375</v>
      </c>
    </row>
    <row r="5462" spans="1:6">
      <c r="A5462" s="753"/>
      <c r="B5462" s="753"/>
      <c r="C5462" s="752" t="s">
        <v>43918</v>
      </c>
      <c r="D5462" s="753" t="s">
        <v>43917</v>
      </c>
      <c r="E5462" s="752" t="s">
        <v>39681</v>
      </c>
      <c r="F5462" s="751">
        <v>3425</v>
      </c>
    </row>
    <row r="5463" spans="1:6">
      <c r="A5463" s="753"/>
      <c r="B5463" s="753" t="s">
        <v>43916</v>
      </c>
      <c r="C5463" s="752" t="s">
        <v>43915</v>
      </c>
      <c r="D5463" s="753" t="s">
        <v>43914</v>
      </c>
      <c r="E5463" s="752" t="s">
        <v>43913</v>
      </c>
      <c r="F5463" s="751">
        <v>6595</v>
      </c>
    </row>
    <row r="5464" spans="1:6">
      <c r="A5464" s="753"/>
      <c r="B5464" s="753"/>
      <c r="C5464" s="752" t="s">
        <v>43912</v>
      </c>
      <c r="D5464" s="753" t="s">
        <v>43911</v>
      </c>
      <c r="E5464" s="752" t="s">
        <v>293</v>
      </c>
      <c r="F5464" s="751">
        <v>6075</v>
      </c>
    </row>
    <row r="5465" spans="1:6">
      <c r="A5465" s="753"/>
      <c r="B5465" s="753"/>
      <c r="C5465" s="752" t="s">
        <v>43910</v>
      </c>
      <c r="D5465" s="753" t="s">
        <v>43908</v>
      </c>
      <c r="E5465" s="752" t="s">
        <v>38783</v>
      </c>
      <c r="F5465" s="751">
        <v>4125</v>
      </c>
    </row>
    <row r="5466" spans="1:6">
      <c r="A5466" s="753"/>
      <c r="B5466" s="753"/>
      <c r="C5466" s="752" t="s">
        <v>43909</v>
      </c>
      <c r="D5466" s="753" t="s">
        <v>43908</v>
      </c>
      <c r="E5466" s="752" t="s">
        <v>39691</v>
      </c>
      <c r="F5466" s="751">
        <v>3875</v>
      </c>
    </row>
    <row r="5467" spans="1:6">
      <c r="A5467" s="753"/>
      <c r="B5467" s="753"/>
      <c r="C5467" s="752" t="s">
        <v>43907</v>
      </c>
      <c r="D5467" s="753" t="s">
        <v>43903</v>
      </c>
      <c r="E5467" s="752" t="s">
        <v>39691</v>
      </c>
      <c r="F5467" s="751">
        <v>4175</v>
      </c>
    </row>
    <row r="5468" spans="1:6">
      <c r="A5468" s="753"/>
      <c r="B5468" s="753"/>
      <c r="C5468" s="752" t="s">
        <v>43906</v>
      </c>
      <c r="D5468" s="753" t="s">
        <v>43903</v>
      </c>
      <c r="E5468" s="752" t="s">
        <v>38783</v>
      </c>
      <c r="F5468" s="751">
        <v>3925</v>
      </c>
    </row>
    <row r="5469" spans="1:6">
      <c r="A5469" s="753"/>
      <c r="B5469" s="753"/>
      <c r="C5469" s="752" t="s">
        <v>43905</v>
      </c>
      <c r="D5469" s="753" t="s">
        <v>43903</v>
      </c>
      <c r="E5469" s="752" t="s">
        <v>38783</v>
      </c>
      <c r="F5469" s="751">
        <v>4335</v>
      </c>
    </row>
    <row r="5470" spans="1:6">
      <c r="A5470" s="753"/>
      <c r="B5470" s="753"/>
      <c r="C5470" s="752" t="s">
        <v>43904</v>
      </c>
      <c r="D5470" s="753" t="s">
        <v>43903</v>
      </c>
      <c r="E5470" s="752" t="s">
        <v>39691</v>
      </c>
      <c r="F5470" s="751">
        <v>3675</v>
      </c>
    </row>
    <row r="5471" spans="1:6">
      <c r="A5471" s="753"/>
      <c r="B5471" s="753"/>
      <c r="C5471" s="752" t="s">
        <v>43902</v>
      </c>
      <c r="D5471" s="753" t="s">
        <v>43901</v>
      </c>
      <c r="E5471" s="752" t="s">
        <v>43900</v>
      </c>
      <c r="F5471" s="751">
        <v>4025</v>
      </c>
    </row>
    <row r="5472" spans="1:6">
      <c r="A5472" s="753"/>
      <c r="B5472" s="753" t="s">
        <v>43899</v>
      </c>
      <c r="C5472" s="752" t="s">
        <v>43898</v>
      </c>
      <c r="D5472" s="753" t="s">
        <v>43670</v>
      </c>
      <c r="E5472" s="752" t="s">
        <v>38294</v>
      </c>
      <c r="F5472" s="751">
        <v>5370</v>
      </c>
    </row>
    <row r="5473" spans="1:6">
      <c r="A5473" s="753"/>
      <c r="B5473" s="753"/>
      <c r="C5473" s="752" t="s">
        <v>43897</v>
      </c>
      <c r="D5473" s="753" t="s">
        <v>43896</v>
      </c>
      <c r="E5473" s="752" t="s">
        <v>43895</v>
      </c>
      <c r="F5473" s="751">
        <v>4420</v>
      </c>
    </row>
    <row r="5474" spans="1:6">
      <c r="A5474" s="753"/>
      <c r="B5474" s="753"/>
      <c r="C5474" s="752" t="s">
        <v>43894</v>
      </c>
      <c r="D5474" s="753" t="s">
        <v>43638</v>
      </c>
      <c r="E5474" s="752" t="s">
        <v>43893</v>
      </c>
      <c r="F5474" s="751">
        <v>4575</v>
      </c>
    </row>
    <row r="5475" spans="1:6">
      <c r="A5475" s="753"/>
      <c r="B5475" s="753"/>
      <c r="C5475" s="752" t="s">
        <v>43892</v>
      </c>
      <c r="D5475" s="753" t="s">
        <v>43638</v>
      </c>
      <c r="E5475" s="752" t="s">
        <v>43891</v>
      </c>
      <c r="F5475" s="751">
        <v>4575</v>
      </c>
    </row>
    <row r="5476" spans="1:6">
      <c r="A5476" s="753"/>
      <c r="B5476" s="753"/>
      <c r="C5476" s="752" t="s">
        <v>43890</v>
      </c>
      <c r="D5476" s="753" t="s">
        <v>43660</v>
      </c>
      <c r="E5476" s="752" t="s">
        <v>43659</v>
      </c>
      <c r="F5476" s="751">
        <v>10895</v>
      </c>
    </row>
    <row r="5477" spans="1:6">
      <c r="A5477" s="753"/>
      <c r="B5477" s="753"/>
      <c r="C5477" s="752" t="s">
        <v>43889</v>
      </c>
      <c r="D5477" s="753" t="s">
        <v>43881</v>
      </c>
      <c r="E5477" s="752" t="s">
        <v>38035</v>
      </c>
      <c r="F5477" s="751">
        <v>4875</v>
      </c>
    </row>
    <row r="5478" spans="1:6">
      <c r="A5478" s="753"/>
      <c r="B5478" s="753"/>
      <c r="C5478" s="752" t="s">
        <v>43888</v>
      </c>
      <c r="D5478" s="753" t="s">
        <v>43885</v>
      </c>
      <c r="E5478" s="752" t="s">
        <v>43887</v>
      </c>
      <c r="F5478" s="751">
        <v>6175</v>
      </c>
    </row>
    <row r="5479" spans="1:6">
      <c r="A5479" s="753"/>
      <c r="B5479" s="753"/>
      <c r="C5479" s="752" t="s">
        <v>43886</v>
      </c>
      <c r="D5479" s="753" t="s">
        <v>43885</v>
      </c>
      <c r="E5479" s="752" t="s">
        <v>43884</v>
      </c>
      <c r="F5479" s="751">
        <v>6175</v>
      </c>
    </row>
    <row r="5480" spans="1:6">
      <c r="A5480" s="753"/>
      <c r="B5480" s="753"/>
      <c r="C5480" s="752" t="s">
        <v>43883</v>
      </c>
      <c r="D5480" s="753" t="s">
        <v>43874</v>
      </c>
      <c r="E5480" s="752" t="s">
        <v>43659</v>
      </c>
      <c r="F5480" s="751">
        <v>13245</v>
      </c>
    </row>
    <row r="5481" spans="1:6">
      <c r="A5481" s="753"/>
      <c r="B5481" s="753"/>
      <c r="C5481" s="752" t="s">
        <v>43882</v>
      </c>
      <c r="D5481" s="753" t="s">
        <v>43881</v>
      </c>
      <c r="E5481" s="752" t="s">
        <v>43880</v>
      </c>
      <c r="F5481" s="751">
        <v>4925</v>
      </c>
    </row>
    <row r="5482" spans="1:6">
      <c r="A5482" s="753"/>
      <c r="B5482" s="753"/>
      <c r="C5482" s="752" t="s">
        <v>43879</v>
      </c>
      <c r="D5482" s="753" t="s">
        <v>43878</v>
      </c>
      <c r="E5482" s="752" t="s">
        <v>43877</v>
      </c>
      <c r="F5482" s="751">
        <v>6005</v>
      </c>
    </row>
    <row r="5483" spans="1:6">
      <c r="A5483" s="753"/>
      <c r="B5483" s="753"/>
      <c r="C5483" s="752" t="s">
        <v>43876</v>
      </c>
      <c r="D5483" s="753" t="s">
        <v>43261</v>
      </c>
      <c r="E5483" s="752" t="s">
        <v>43260</v>
      </c>
      <c r="F5483" s="751">
        <v>13095</v>
      </c>
    </row>
    <row r="5484" spans="1:6">
      <c r="A5484" s="753"/>
      <c r="B5484" s="753"/>
      <c r="C5484" s="752" t="s">
        <v>43875</v>
      </c>
      <c r="D5484" s="753" t="s">
        <v>43874</v>
      </c>
      <c r="E5484" s="752" t="s">
        <v>43873</v>
      </c>
      <c r="F5484" s="751">
        <v>13045</v>
      </c>
    </row>
    <row r="5485" spans="1:6">
      <c r="A5485" s="753"/>
      <c r="B5485" s="753"/>
      <c r="C5485" s="752" t="s">
        <v>43872</v>
      </c>
      <c r="D5485" s="753" t="s">
        <v>43871</v>
      </c>
      <c r="E5485" s="752" t="s">
        <v>43870</v>
      </c>
      <c r="F5485" s="751">
        <v>4975</v>
      </c>
    </row>
    <row r="5486" spans="1:6">
      <c r="A5486" s="753"/>
      <c r="B5486" s="753"/>
      <c r="C5486" s="752" t="s">
        <v>43869</v>
      </c>
      <c r="D5486" s="753" t="s">
        <v>43868</v>
      </c>
      <c r="E5486" s="752" t="s">
        <v>293</v>
      </c>
      <c r="F5486" s="751">
        <v>1445</v>
      </c>
    </row>
    <row r="5487" spans="1:6">
      <c r="A5487" s="753"/>
      <c r="B5487" s="753"/>
      <c r="C5487" s="752" t="s">
        <v>43867</v>
      </c>
      <c r="D5487" s="753" t="s">
        <v>43866</v>
      </c>
      <c r="E5487" s="752" t="s">
        <v>293</v>
      </c>
      <c r="F5487" s="751">
        <v>1745</v>
      </c>
    </row>
    <row r="5488" spans="1:6">
      <c r="A5488" s="753"/>
      <c r="B5488" s="753"/>
      <c r="C5488" s="752" t="s">
        <v>43865</v>
      </c>
      <c r="D5488" s="753" t="s">
        <v>43629</v>
      </c>
      <c r="E5488" s="752" t="s">
        <v>43864</v>
      </c>
      <c r="F5488" s="751">
        <v>1745</v>
      </c>
    </row>
    <row r="5489" spans="1:6">
      <c r="A5489" s="753"/>
      <c r="B5489" s="753"/>
      <c r="C5489" s="752" t="s">
        <v>43863</v>
      </c>
      <c r="D5489" s="753" t="s">
        <v>43250</v>
      </c>
      <c r="E5489" s="752" t="s">
        <v>43770</v>
      </c>
      <c r="F5489" s="751">
        <v>3725</v>
      </c>
    </row>
    <row r="5490" spans="1:6">
      <c r="A5490" s="753"/>
      <c r="B5490" s="753"/>
      <c r="C5490" s="752" t="s">
        <v>43862</v>
      </c>
      <c r="D5490" s="753" t="s">
        <v>43859</v>
      </c>
      <c r="E5490" s="752" t="s">
        <v>43861</v>
      </c>
      <c r="F5490" s="751">
        <v>3375</v>
      </c>
    </row>
    <row r="5491" spans="1:6">
      <c r="A5491" s="753"/>
      <c r="B5491" s="753"/>
      <c r="C5491" s="752" t="s">
        <v>43860</v>
      </c>
      <c r="D5491" s="753" t="s">
        <v>43859</v>
      </c>
      <c r="E5491" s="752" t="s">
        <v>43858</v>
      </c>
      <c r="F5491" s="751">
        <v>3375</v>
      </c>
    </row>
    <row r="5492" spans="1:6">
      <c r="A5492" s="753"/>
      <c r="B5492" s="753"/>
      <c r="C5492" s="752" t="s">
        <v>43857</v>
      </c>
      <c r="D5492" s="753" t="s">
        <v>43250</v>
      </c>
      <c r="E5492" s="752" t="s">
        <v>43856</v>
      </c>
      <c r="F5492" s="751">
        <v>3725</v>
      </c>
    </row>
    <row r="5493" spans="1:6">
      <c r="A5493" s="753"/>
      <c r="B5493" s="753"/>
      <c r="C5493" s="752" t="s">
        <v>43855</v>
      </c>
      <c r="D5493" s="753" t="s">
        <v>43250</v>
      </c>
      <c r="E5493" s="752" t="s">
        <v>43854</v>
      </c>
      <c r="F5493" s="751">
        <v>3725</v>
      </c>
    </row>
    <row r="5494" spans="1:6">
      <c r="A5494" s="753"/>
      <c r="B5494" s="753"/>
      <c r="C5494" s="752" t="s">
        <v>43853</v>
      </c>
      <c r="D5494" s="753" t="s">
        <v>43250</v>
      </c>
      <c r="E5494" s="752" t="s">
        <v>43766</v>
      </c>
      <c r="F5494" s="751">
        <v>3725</v>
      </c>
    </row>
    <row r="5495" spans="1:6">
      <c r="A5495" s="753"/>
      <c r="B5495" s="753"/>
      <c r="C5495" s="752" t="s">
        <v>43852</v>
      </c>
      <c r="D5495" s="753" t="s">
        <v>43700</v>
      </c>
      <c r="E5495" s="752" t="s">
        <v>43851</v>
      </c>
      <c r="F5495" s="751">
        <v>3375</v>
      </c>
    </row>
    <row r="5496" spans="1:6">
      <c r="A5496" s="753"/>
      <c r="B5496" s="753"/>
      <c r="C5496" s="752" t="s">
        <v>43850</v>
      </c>
      <c r="D5496" s="753" t="s">
        <v>43834</v>
      </c>
      <c r="E5496" s="752" t="s">
        <v>38035</v>
      </c>
      <c r="F5496" s="751">
        <v>4675</v>
      </c>
    </row>
    <row r="5497" spans="1:6">
      <c r="A5497" s="753"/>
      <c r="B5497" s="753"/>
      <c r="C5497" s="752" t="s">
        <v>43849</v>
      </c>
      <c r="D5497" s="753" t="s">
        <v>43834</v>
      </c>
      <c r="E5497" s="752" t="s">
        <v>43848</v>
      </c>
      <c r="F5497" s="751">
        <v>4675</v>
      </c>
    </row>
    <row r="5498" spans="1:6">
      <c r="A5498" s="753"/>
      <c r="B5498" s="753"/>
      <c r="C5498" s="752" t="s">
        <v>43847</v>
      </c>
      <c r="D5498" s="753" t="s">
        <v>43521</v>
      </c>
      <c r="E5498" s="752" t="s">
        <v>43846</v>
      </c>
      <c r="F5498" s="751">
        <v>5675</v>
      </c>
    </row>
    <row r="5499" spans="1:6">
      <c r="A5499" s="753"/>
      <c r="B5499" s="753"/>
      <c r="C5499" s="752" t="s">
        <v>43845</v>
      </c>
      <c r="D5499" s="753" t="s">
        <v>43521</v>
      </c>
      <c r="E5499" s="752" t="s">
        <v>43558</v>
      </c>
      <c r="F5499" s="751">
        <v>5675</v>
      </c>
    </row>
    <row r="5500" spans="1:6">
      <c r="A5500" s="753"/>
      <c r="B5500" s="753"/>
      <c r="C5500" s="752" t="s">
        <v>43844</v>
      </c>
      <c r="D5500" s="753" t="s">
        <v>43521</v>
      </c>
      <c r="E5500" s="752" t="s">
        <v>43843</v>
      </c>
      <c r="F5500" s="751">
        <v>5325</v>
      </c>
    </row>
    <row r="5501" spans="1:6">
      <c r="A5501" s="753"/>
      <c r="B5501" s="753"/>
      <c r="C5501" s="752" t="s">
        <v>43842</v>
      </c>
      <c r="D5501" s="753" t="s">
        <v>43834</v>
      </c>
      <c r="E5501" s="752" t="s">
        <v>43776</v>
      </c>
      <c r="F5501" s="751">
        <v>4425</v>
      </c>
    </row>
    <row r="5502" spans="1:6">
      <c r="A5502" s="753"/>
      <c r="B5502" s="753"/>
      <c r="C5502" s="752" t="s">
        <v>43841</v>
      </c>
      <c r="D5502" s="753" t="s">
        <v>43834</v>
      </c>
      <c r="E5502" s="752" t="s">
        <v>43840</v>
      </c>
      <c r="F5502" s="751">
        <v>4425</v>
      </c>
    </row>
    <row r="5503" spans="1:6">
      <c r="A5503" s="753"/>
      <c r="B5503" s="753"/>
      <c r="C5503" s="752" t="s">
        <v>43839</v>
      </c>
      <c r="D5503" s="753" t="s">
        <v>43521</v>
      </c>
      <c r="E5503" s="752" t="s">
        <v>43838</v>
      </c>
      <c r="F5503" s="751">
        <v>4945</v>
      </c>
    </row>
    <row r="5504" spans="1:6">
      <c r="A5504" s="753"/>
      <c r="B5504" s="753"/>
      <c r="C5504" s="752" t="s">
        <v>43837</v>
      </c>
      <c r="D5504" s="753" t="s">
        <v>43521</v>
      </c>
      <c r="E5504" s="752" t="s">
        <v>43836</v>
      </c>
      <c r="F5504" s="751">
        <v>5325</v>
      </c>
    </row>
    <row r="5505" spans="1:6">
      <c r="A5505" s="753"/>
      <c r="B5505" s="753"/>
      <c r="C5505" s="752" t="s">
        <v>43835</v>
      </c>
      <c r="D5505" s="753" t="s">
        <v>43834</v>
      </c>
      <c r="E5505" s="752" t="s">
        <v>43833</v>
      </c>
      <c r="F5505" s="751">
        <v>4975</v>
      </c>
    </row>
    <row r="5506" spans="1:6">
      <c r="A5506" s="753"/>
      <c r="B5506" s="753"/>
      <c r="C5506" s="752" t="s">
        <v>43832</v>
      </c>
      <c r="D5506" s="753" t="s">
        <v>43831</v>
      </c>
      <c r="E5506" s="752" t="s">
        <v>43830</v>
      </c>
      <c r="F5506" s="751">
        <v>4975</v>
      </c>
    </row>
    <row r="5507" spans="1:6">
      <c r="A5507" s="753"/>
      <c r="B5507" s="753"/>
      <c r="C5507" s="752" t="s">
        <v>43829</v>
      </c>
      <c r="D5507" s="753" t="s">
        <v>43512</v>
      </c>
      <c r="E5507" s="752" t="s">
        <v>38035</v>
      </c>
      <c r="F5507" s="751">
        <v>4675</v>
      </c>
    </row>
    <row r="5508" spans="1:6">
      <c r="A5508" s="753"/>
      <c r="B5508" s="753"/>
      <c r="C5508" s="752" t="s">
        <v>43828</v>
      </c>
      <c r="D5508" s="753" t="s">
        <v>43492</v>
      </c>
      <c r="E5508" s="752" t="s">
        <v>38166</v>
      </c>
      <c r="F5508" s="751">
        <v>5675</v>
      </c>
    </row>
    <row r="5509" spans="1:6">
      <c r="A5509" s="753"/>
      <c r="B5509" s="753"/>
      <c r="C5509" s="752" t="s">
        <v>43827</v>
      </c>
      <c r="D5509" s="753" t="s">
        <v>43512</v>
      </c>
      <c r="E5509" s="752" t="s">
        <v>43776</v>
      </c>
      <c r="F5509" s="751">
        <v>4125</v>
      </c>
    </row>
    <row r="5510" spans="1:6">
      <c r="A5510" s="753"/>
      <c r="B5510" s="753"/>
      <c r="C5510" s="752" t="s">
        <v>43826</v>
      </c>
      <c r="D5510" s="753" t="s">
        <v>43823</v>
      </c>
      <c r="E5510" s="752" t="s">
        <v>43825</v>
      </c>
      <c r="F5510" s="751">
        <v>4975</v>
      </c>
    </row>
    <row r="5511" spans="1:6">
      <c r="A5511" s="753"/>
      <c r="B5511" s="753"/>
      <c r="C5511" s="752" t="s">
        <v>43824</v>
      </c>
      <c r="D5511" s="753" t="s">
        <v>43823</v>
      </c>
      <c r="E5511" s="752" t="s">
        <v>43732</v>
      </c>
      <c r="F5511" s="751">
        <v>5325</v>
      </c>
    </row>
    <row r="5512" spans="1:6">
      <c r="A5512" s="753"/>
      <c r="B5512" s="753"/>
      <c r="C5512" s="752" t="s">
        <v>43822</v>
      </c>
      <c r="D5512" s="753" t="s">
        <v>43492</v>
      </c>
      <c r="E5512" s="752" t="s">
        <v>43821</v>
      </c>
      <c r="F5512" s="751">
        <v>5325</v>
      </c>
    </row>
    <row r="5513" spans="1:6">
      <c r="A5513" s="753"/>
      <c r="B5513" s="753"/>
      <c r="C5513" s="752" t="s">
        <v>43820</v>
      </c>
      <c r="D5513" s="753" t="s">
        <v>43460</v>
      </c>
      <c r="E5513" s="752" t="s">
        <v>43819</v>
      </c>
      <c r="F5513" s="751">
        <v>3525</v>
      </c>
    </row>
    <row r="5514" spans="1:6">
      <c r="A5514" s="753"/>
      <c r="B5514" s="753"/>
      <c r="C5514" s="752" t="s">
        <v>43818</v>
      </c>
      <c r="D5514" s="753" t="s">
        <v>43460</v>
      </c>
      <c r="E5514" s="752" t="s">
        <v>43477</v>
      </c>
      <c r="F5514" s="751">
        <v>3525</v>
      </c>
    </row>
    <row r="5515" spans="1:6">
      <c r="A5515" s="753"/>
      <c r="B5515" s="753"/>
      <c r="C5515" s="752" t="s">
        <v>43817</v>
      </c>
      <c r="D5515" s="753" t="s">
        <v>43460</v>
      </c>
      <c r="E5515" s="752" t="s">
        <v>43816</v>
      </c>
      <c r="F5515" s="751">
        <v>3525</v>
      </c>
    </row>
    <row r="5516" spans="1:6">
      <c r="A5516" s="753"/>
      <c r="B5516" s="753"/>
      <c r="C5516" s="752" t="s">
        <v>43815</v>
      </c>
      <c r="D5516" s="753" t="s">
        <v>43460</v>
      </c>
      <c r="E5516" s="752" t="s">
        <v>43365</v>
      </c>
      <c r="F5516" s="751">
        <v>3525</v>
      </c>
    </row>
    <row r="5517" spans="1:6">
      <c r="A5517" s="753"/>
      <c r="B5517" s="753"/>
      <c r="C5517" s="752" t="s">
        <v>43814</v>
      </c>
      <c r="D5517" s="753" t="s">
        <v>43809</v>
      </c>
      <c r="E5517" s="752" t="s">
        <v>43813</v>
      </c>
      <c r="F5517" s="751">
        <v>3175</v>
      </c>
    </row>
    <row r="5518" spans="1:6">
      <c r="A5518" s="753"/>
      <c r="B5518" s="753"/>
      <c r="C5518" s="752" t="s">
        <v>43812</v>
      </c>
      <c r="D5518" s="753" t="s">
        <v>43809</v>
      </c>
      <c r="E5518" s="752" t="s">
        <v>43811</v>
      </c>
      <c r="F5518" s="751">
        <v>2925</v>
      </c>
    </row>
    <row r="5519" spans="1:6">
      <c r="A5519" s="753"/>
      <c r="B5519" s="753"/>
      <c r="C5519" s="752" t="s">
        <v>43810</v>
      </c>
      <c r="D5519" s="753" t="s">
        <v>43809</v>
      </c>
      <c r="E5519" s="752" t="s">
        <v>43808</v>
      </c>
      <c r="F5519" s="751">
        <v>3175</v>
      </c>
    </row>
    <row r="5520" spans="1:6">
      <c r="A5520" s="753"/>
      <c r="B5520" s="753"/>
      <c r="C5520" s="752" t="s">
        <v>43807</v>
      </c>
      <c r="D5520" s="753" t="s">
        <v>43803</v>
      </c>
      <c r="E5520" s="752" t="s">
        <v>43806</v>
      </c>
      <c r="F5520" s="751">
        <v>5475</v>
      </c>
    </row>
    <row r="5521" spans="1:6">
      <c r="A5521" s="753"/>
      <c r="B5521" s="753"/>
      <c r="C5521" s="752" t="s">
        <v>43805</v>
      </c>
      <c r="D5521" s="753" t="s">
        <v>43267</v>
      </c>
      <c r="E5521" s="752" t="s">
        <v>43801</v>
      </c>
      <c r="F5521" s="751">
        <v>4475</v>
      </c>
    </row>
    <row r="5522" spans="1:6">
      <c r="A5522" s="753"/>
      <c r="B5522" s="753"/>
      <c r="C5522" s="752" t="s">
        <v>43804</v>
      </c>
      <c r="D5522" s="753" t="s">
        <v>43803</v>
      </c>
      <c r="E5522" s="752" t="s">
        <v>43312</v>
      </c>
      <c r="F5522" s="751">
        <v>5475</v>
      </c>
    </row>
    <row r="5523" spans="1:6">
      <c r="A5523" s="753"/>
      <c r="B5523" s="753"/>
      <c r="C5523" s="752" t="s">
        <v>43802</v>
      </c>
      <c r="D5523" s="753" t="s">
        <v>43267</v>
      </c>
      <c r="E5523" s="752" t="s">
        <v>43801</v>
      </c>
      <c r="F5523" s="751">
        <v>4475</v>
      </c>
    </row>
    <row r="5524" spans="1:6">
      <c r="A5524" s="753"/>
      <c r="B5524" s="753"/>
      <c r="C5524" s="752" t="s">
        <v>43800</v>
      </c>
      <c r="D5524" s="753" t="s">
        <v>43267</v>
      </c>
      <c r="E5524" s="752" t="s">
        <v>43799</v>
      </c>
      <c r="F5524" s="751">
        <v>4225</v>
      </c>
    </row>
    <row r="5525" spans="1:6">
      <c r="A5525" s="753"/>
      <c r="B5525" s="753"/>
      <c r="C5525" s="752" t="s">
        <v>43798</v>
      </c>
      <c r="D5525" s="753" t="s">
        <v>43267</v>
      </c>
      <c r="E5525" s="752" t="s">
        <v>43776</v>
      </c>
      <c r="F5525" s="751">
        <v>4225</v>
      </c>
    </row>
    <row r="5526" spans="1:6">
      <c r="A5526" s="753"/>
      <c r="B5526" s="753"/>
      <c r="C5526" s="752" t="s">
        <v>43797</v>
      </c>
      <c r="D5526" s="753" t="s">
        <v>43788</v>
      </c>
      <c r="E5526" s="752" t="s">
        <v>43796</v>
      </c>
      <c r="F5526" s="751">
        <v>5125</v>
      </c>
    </row>
    <row r="5527" spans="1:6">
      <c r="A5527" s="753"/>
      <c r="B5527" s="753"/>
      <c r="C5527" s="752" t="s">
        <v>43795</v>
      </c>
      <c r="D5527" s="753" t="s">
        <v>43267</v>
      </c>
      <c r="E5527" s="752" t="s">
        <v>43794</v>
      </c>
      <c r="F5527" s="751">
        <v>3975</v>
      </c>
    </row>
    <row r="5528" spans="1:6">
      <c r="A5528" s="753"/>
      <c r="B5528" s="753"/>
      <c r="C5528" s="752" t="s">
        <v>43793</v>
      </c>
      <c r="D5528" s="753" t="s">
        <v>43788</v>
      </c>
      <c r="E5528" s="752" t="s">
        <v>43792</v>
      </c>
      <c r="F5528" s="751">
        <v>5125</v>
      </c>
    </row>
    <row r="5529" spans="1:6">
      <c r="A5529" s="753"/>
      <c r="B5529" s="753"/>
      <c r="C5529" s="752" t="s">
        <v>43791</v>
      </c>
      <c r="D5529" s="753" t="s">
        <v>43267</v>
      </c>
      <c r="E5529" s="752" t="s">
        <v>43776</v>
      </c>
      <c r="F5529" s="751">
        <v>4225</v>
      </c>
    </row>
    <row r="5530" spans="1:6">
      <c r="A5530" s="753"/>
      <c r="B5530" s="753"/>
      <c r="C5530" s="752" t="s">
        <v>43790</v>
      </c>
      <c r="D5530" s="753" t="s">
        <v>43788</v>
      </c>
      <c r="E5530" s="752" t="s">
        <v>43732</v>
      </c>
      <c r="F5530" s="751">
        <v>5125</v>
      </c>
    </row>
    <row r="5531" spans="1:6">
      <c r="A5531" s="753"/>
      <c r="B5531" s="753"/>
      <c r="C5531" s="752" t="s">
        <v>43789</v>
      </c>
      <c r="D5531" s="753" t="s">
        <v>43788</v>
      </c>
      <c r="E5531" s="752" t="s">
        <v>43732</v>
      </c>
      <c r="F5531" s="751">
        <v>5125</v>
      </c>
    </row>
    <row r="5532" spans="1:6">
      <c r="A5532" s="753"/>
      <c r="B5532" s="753"/>
      <c r="C5532" s="752" t="s">
        <v>43787</v>
      </c>
      <c r="D5532" s="753" t="s">
        <v>43267</v>
      </c>
      <c r="E5532" s="752" t="s">
        <v>43786</v>
      </c>
      <c r="F5532" s="751">
        <v>3975</v>
      </c>
    </row>
    <row r="5533" spans="1:6">
      <c r="A5533" s="753"/>
      <c r="B5533" s="753"/>
      <c r="C5533" s="752" t="s">
        <v>43785</v>
      </c>
      <c r="D5533" s="753" t="s">
        <v>43373</v>
      </c>
      <c r="E5533" s="752" t="s">
        <v>43781</v>
      </c>
      <c r="F5533" s="751">
        <v>3975</v>
      </c>
    </row>
    <row r="5534" spans="1:6">
      <c r="A5534" s="753"/>
      <c r="B5534" s="753"/>
      <c r="C5534" s="752" t="s">
        <v>43784</v>
      </c>
      <c r="D5534" s="753" t="s">
        <v>43782</v>
      </c>
      <c r="E5534" s="752" t="s">
        <v>43781</v>
      </c>
      <c r="F5534" s="751">
        <v>5475</v>
      </c>
    </row>
    <row r="5535" spans="1:6">
      <c r="A5535" s="753"/>
      <c r="B5535" s="753"/>
      <c r="C5535" s="752" t="s">
        <v>43783</v>
      </c>
      <c r="D5535" s="753" t="s">
        <v>43782</v>
      </c>
      <c r="E5535" s="752" t="s">
        <v>43781</v>
      </c>
      <c r="F5535" s="751">
        <v>5475</v>
      </c>
    </row>
    <row r="5536" spans="1:6">
      <c r="A5536" s="753"/>
      <c r="B5536" s="753"/>
      <c r="C5536" s="752" t="s">
        <v>43780</v>
      </c>
      <c r="D5536" s="753" t="s">
        <v>43373</v>
      </c>
      <c r="E5536" s="752" t="s">
        <v>43401</v>
      </c>
      <c r="F5536" s="751">
        <v>3925</v>
      </c>
    </row>
    <row r="5537" spans="1:6">
      <c r="A5537" s="753"/>
      <c r="B5537" s="753"/>
      <c r="C5537" s="752" t="s">
        <v>43779</v>
      </c>
      <c r="D5537" s="753" t="s">
        <v>43778</v>
      </c>
      <c r="E5537" s="752" t="s">
        <v>43735</v>
      </c>
      <c r="F5537" s="751">
        <v>5125</v>
      </c>
    </row>
    <row r="5538" spans="1:6">
      <c r="A5538" s="753"/>
      <c r="B5538" s="753"/>
      <c r="C5538" s="752" t="s">
        <v>43777</v>
      </c>
      <c r="D5538" s="753" t="s">
        <v>43373</v>
      </c>
      <c r="E5538" s="752" t="s">
        <v>43776</v>
      </c>
      <c r="F5538" s="751">
        <v>3925</v>
      </c>
    </row>
    <row r="5539" spans="1:6">
      <c r="A5539" s="753"/>
      <c r="B5539" s="753"/>
      <c r="C5539" s="752" t="s">
        <v>43775</v>
      </c>
      <c r="D5539" s="753" t="s">
        <v>43774</v>
      </c>
      <c r="E5539" s="752" t="s">
        <v>43732</v>
      </c>
      <c r="F5539" s="751">
        <v>5125</v>
      </c>
    </row>
    <row r="5540" spans="1:6">
      <c r="A5540" s="753"/>
      <c r="B5540" s="753"/>
      <c r="C5540" s="752" t="s">
        <v>43773</v>
      </c>
      <c r="D5540" s="753" t="s">
        <v>43772</v>
      </c>
      <c r="E5540" s="752" t="s">
        <v>43732</v>
      </c>
      <c r="F5540" s="751">
        <v>5125</v>
      </c>
    </row>
    <row r="5541" spans="1:6">
      <c r="A5541" s="753"/>
      <c r="B5541" s="753"/>
      <c r="C5541" s="752" t="s">
        <v>43771</v>
      </c>
      <c r="D5541" s="753" t="s">
        <v>43356</v>
      </c>
      <c r="E5541" s="752" t="s">
        <v>43770</v>
      </c>
      <c r="F5541" s="751">
        <v>3625</v>
      </c>
    </row>
    <row r="5542" spans="1:6">
      <c r="A5542" s="753"/>
      <c r="B5542" s="753"/>
      <c r="C5542" s="752" t="s">
        <v>43769</v>
      </c>
      <c r="D5542" s="753" t="s">
        <v>43764</v>
      </c>
      <c r="E5542" s="752" t="s">
        <v>43371</v>
      </c>
      <c r="F5542" s="751">
        <v>3275</v>
      </c>
    </row>
    <row r="5543" spans="1:6">
      <c r="A5543" s="753"/>
      <c r="B5543" s="753"/>
      <c r="C5543" s="752" t="s">
        <v>43768</v>
      </c>
      <c r="D5543" s="753" t="s">
        <v>43256</v>
      </c>
      <c r="E5543" s="752" t="s">
        <v>43365</v>
      </c>
      <c r="F5543" s="751">
        <v>3625</v>
      </c>
    </row>
    <row r="5544" spans="1:6">
      <c r="A5544" s="753"/>
      <c r="B5544" s="753"/>
      <c r="C5544" s="752" t="s">
        <v>43767</v>
      </c>
      <c r="D5544" s="753" t="s">
        <v>43256</v>
      </c>
      <c r="E5544" s="752" t="s">
        <v>43766</v>
      </c>
      <c r="F5544" s="751">
        <v>3625</v>
      </c>
    </row>
    <row r="5545" spans="1:6">
      <c r="A5545" s="753"/>
      <c r="B5545" s="753"/>
      <c r="C5545" s="752" t="s">
        <v>43765</v>
      </c>
      <c r="D5545" s="753" t="s">
        <v>43764</v>
      </c>
      <c r="E5545" s="752" t="s">
        <v>43763</v>
      </c>
      <c r="F5545" s="751">
        <v>3275</v>
      </c>
    </row>
    <row r="5546" spans="1:6">
      <c r="A5546" s="753"/>
      <c r="B5546" s="753"/>
      <c r="C5546" s="752" t="s">
        <v>43762</v>
      </c>
      <c r="D5546" s="753" t="s">
        <v>43308</v>
      </c>
      <c r="E5546" s="752" t="s">
        <v>43761</v>
      </c>
      <c r="F5546" s="751">
        <v>4475</v>
      </c>
    </row>
    <row r="5547" spans="1:6">
      <c r="A5547" s="753"/>
      <c r="B5547" s="753"/>
      <c r="C5547" s="752" t="s">
        <v>43760</v>
      </c>
      <c r="D5547" s="753" t="s">
        <v>43308</v>
      </c>
      <c r="E5547" s="752" t="s">
        <v>43759</v>
      </c>
      <c r="F5547" s="751">
        <v>4275</v>
      </c>
    </row>
    <row r="5548" spans="1:6">
      <c r="A5548" s="753"/>
      <c r="B5548" s="753"/>
      <c r="C5548" s="752" t="s">
        <v>43758</v>
      </c>
      <c r="D5548" s="753" t="s">
        <v>43724</v>
      </c>
      <c r="E5548" s="752" t="s">
        <v>43757</v>
      </c>
      <c r="F5548" s="751">
        <v>5575</v>
      </c>
    </row>
    <row r="5549" spans="1:6">
      <c r="A5549" s="753"/>
      <c r="B5549" s="753"/>
      <c r="C5549" s="752" t="s">
        <v>43756</v>
      </c>
      <c r="D5549" s="753" t="s">
        <v>43724</v>
      </c>
      <c r="E5549" s="752" t="s">
        <v>43755</v>
      </c>
      <c r="F5549" s="751">
        <v>5575</v>
      </c>
    </row>
    <row r="5550" spans="1:6">
      <c r="A5550" s="753"/>
      <c r="B5550" s="753"/>
      <c r="C5550" s="752" t="s">
        <v>43754</v>
      </c>
      <c r="D5550" s="753" t="s">
        <v>43308</v>
      </c>
      <c r="E5550" s="752" t="s">
        <v>43337</v>
      </c>
      <c r="F5550" s="751">
        <v>4325</v>
      </c>
    </row>
    <row r="5551" spans="1:6">
      <c r="A5551" s="753"/>
      <c r="B5551" s="753"/>
      <c r="C5551" s="752" t="s">
        <v>43753</v>
      </c>
      <c r="D5551" s="753" t="s">
        <v>43308</v>
      </c>
      <c r="E5551" s="752" t="s">
        <v>43752</v>
      </c>
      <c r="F5551" s="751">
        <v>3945</v>
      </c>
    </row>
    <row r="5552" spans="1:6">
      <c r="A5552" s="753"/>
      <c r="B5552" s="753"/>
      <c r="C5552" s="752" t="s">
        <v>43751</v>
      </c>
      <c r="D5552" s="753" t="s">
        <v>43746</v>
      </c>
      <c r="E5552" s="752" t="s">
        <v>43750</v>
      </c>
      <c r="F5552" s="751">
        <v>5225</v>
      </c>
    </row>
    <row r="5553" spans="1:6">
      <c r="A5553" s="753"/>
      <c r="B5553" s="753"/>
      <c r="C5553" s="752" t="s">
        <v>43749</v>
      </c>
      <c r="D5553" s="753" t="s">
        <v>43308</v>
      </c>
      <c r="E5553" s="752" t="s">
        <v>43748</v>
      </c>
      <c r="F5553" s="751">
        <v>4225</v>
      </c>
    </row>
    <row r="5554" spans="1:6">
      <c r="A5554" s="753"/>
      <c r="B5554" s="753"/>
      <c r="C5554" s="752" t="s">
        <v>43747</v>
      </c>
      <c r="D5554" s="753" t="s">
        <v>43746</v>
      </c>
      <c r="E5554" s="752" t="s">
        <v>43732</v>
      </c>
      <c r="F5554" s="751">
        <v>5225</v>
      </c>
    </row>
    <row r="5555" spans="1:6">
      <c r="A5555" s="753"/>
      <c r="B5555" s="753"/>
      <c r="C5555" s="752" t="s">
        <v>43745</v>
      </c>
      <c r="D5555" s="753" t="s">
        <v>43742</v>
      </c>
      <c r="E5555" s="752" t="s">
        <v>43744</v>
      </c>
      <c r="F5555" s="751">
        <v>4575</v>
      </c>
    </row>
    <row r="5556" spans="1:6">
      <c r="A5556" s="753"/>
      <c r="B5556" s="753"/>
      <c r="C5556" s="752" t="s">
        <v>43743</v>
      </c>
      <c r="D5556" s="753" t="s">
        <v>43742</v>
      </c>
      <c r="E5556" s="752" t="s">
        <v>43741</v>
      </c>
      <c r="F5556" s="751">
        <v>5575</v>
      </c>
    </row>
    <row r="5557" spans="1:6">
      <c r="A5557" s="753"/>
      <c r="B5557" s="753"/>
      <c r="C5557" s="752" t="s">
        <v>43740</v>
      </c>
      <c r="D5557" s="753" t="s">
        <v>43730</v>
      </c>
      <c r="E5557" s="752" t="s">
        <v>43739</v>
      </c>
      <c r="F5557" s="751">
        <v>4325</v>
      </c>
    </row>
    <row r="5558" spans="1:6">
      <c r="A5558" s="753"/>
      <c r="B5558" s="753"/>
      <c r="C5558" s="752" t="s">
        <v>43738</v>
      </c>
      <c r="D5558" s="753" t="s">
        <v>43730</v>
      </c>
      <c r="E5558" s="752" t="s">
        <v>43737</v>
      </c>
      <c r="F5558" s="751">
        <v>4325</v>
      </c>
    </row>
    <row r="5559" spans="1:6">
      <c r="A5559" s="753"/>
      <c r="B5559" s="753"/>
      <c r="C5559" s="752" t="s">
        <v>43736</v>
      </c>
      <c r="D5559" s="753" t="s">
        <v>43730</v>
      </c>
      <c r="E5559" s="752" t="s">
        <v>43735</v>
      </c>
      <c r="F5559" s="751">
        <v>5225</v>
      </c>
    </row>
    <row r="5560" spans="1:6">
      <c r="A5560" s="753"/>
      <c r="B5560" s="753"/>
      <c r="C5560" s="752" t="s">
        <v>43734</v>
      </c>
      <c r="D5560" s="753" t="s">
        <v>43730</v>
      </c>
      <c r="E5560" s="752" t="s">
        <v>43732</v>
      </c>
      <c r="F5560" s="751">
        <v>5225</v>
      </c>
    </row>
    <row r="5561" spans="1:6">
      <c r="A5561" s="753"/>
      <c r="B5561" s="753"/>
      <c r="C5561" s="752" t="s">
        <v>43733</v>
      </c>
      <c r="D5561" s="753" t="s">
        <v>43730</v>
      </c>
      <c r="E5561" s="752" t="s">
        <v>43732</v>
      </c>
      <c r="F5561" s="751">
        <v>5225</v>
      </c>
    </row>
    <row r="5562" spans="1:6">
      <c r="A5562" s="753"/>
      <c r="B5562" s="753"/>
      <c r="C5562" s="752" t="s">
        <v>43731</v>
      </c>
      <c r="D5562" s="753" t="s">
        <v>43730</v>
      </c>
      <c r="E5562" s="752" t="s">
        <v>43729</v>
      </c>
      <c r="F5562" s="751">
        <v>4875</v>
      </c>
    </row>
    <row r="5563" spans="1:6">
      <c r="A5563" s="753"/>
      <c r="B5563" s="753"/>
      <c r="C5563" s="752" t="s">
        <v>43728</v>
      </c>
      <c r="D5563" s="753" t="s">
        <v>43716</v>
      </c>
      <c r="E5563" s="752" t="s">
        <v>43715</v>
      </c>
      <c r="F5563" s="751">
        <v>5875</v>
      </c>
    </row>
    <row r="5564" spans="1:6">
      <c r="A5564" s="753"/>
      <c r="B5564" s="753"/>
      <c r="C5564" s="752" t="s">
        <v>43727</v>
      </c>
      <c r="D5564" s="753" t="s">
        <v>43700</v>
      </c>
      <c r="E5564" s="752" t="s">
        <v>43726</v>
      </c>
      <c r="F5564" s="751">
        <v>3075</v>
      </c>
    </row>
    <row r="5565" spans="1:6">
      <c r="A5565" s="753"/>
      <c r="B5565" s="753"/>
      <c r="C5565" s="752" t="s">
        <v>43725</v>
      </c>
      <c r="D5565" s="753" t="s">
        <v>43724</v>
      </c>
      <c r="E5565" s="752" t="s">
        <v>43723</v>
      </c>
      <c r="F5565" s="751">
        <v>5225</v>
      </c>
    </row>
    <row r="5566" spans="1:6">
      <c r="A5566" s="753"/>
      <c r="B5566" s="753"/>
      <c r="C5566" s="752" t="s">
        <v>43722</v>
      </c>
      <c r="D5566" s="753" t="s">
        <v>43270</v>
      </c>
      <c r="E5566" s="752" t="s">
        <v>43659</v>
      </c>
      <c r="F5566" s="751">
        <v>10995</v>
      </c>
    </row>
    <row r="5567" spans="1:6">
      <c r="A5567" s="753"/>
      <c r="B5567" s="753"/>
      <c r="C5567" s="752" t="s">
        <v>43721</v>
      </c>
      <c r="D5567" s="753" t="s">
        <v>43700</v>
      </c>
      <c r="E5567" s="752" t="s">
        <v>43720</v>
      </c>
      <c r="F5567" s="751">
        <v>3575</v>
      </c>
    </row>
    <row r="5568" spans="1:6">
      <c r="A5568" s="753"/>
      <c r="B5568" s="753"/>
      <c r="C5568" s="752" t="s">
        <v>43719</v>
      </c>
      <c r="D5568" s="753" t="s">
        <v>43718</v>
      </c>
      <c r="E5568" s="752" t="s">
        <v>43705</v>
      </c>
      <c r="F5568" s="751">
        <v>5775</v>
      </c>
    </row>
    <row r="5569" spans="1:6">
      <c r="A5569" s="753"/>
      <c r="B5569" s="753"/>
      <c r="C5569" s="752" t="s">
        <v>43717</v>
      </c>
      <c r="D5569" s="753" t="s">
        <v>43716</v>
      </c>
      <c r="E5569" s="752" t="s">
        <v>43715</v>
      </c>
      <c r="F5569" s="751">
        <v>5875</v>
      </c>
    </row>
    <row r="5570" spans="1:6">
      <c r="A5570" s="753"/>
      <c r="B5570" s="753"/>
      <c r="C5570" s="752" t="s">
        <v>43714</v>
      </c>
      <c r="D5570" s="753" t="s">
        <v>43709</v>
      </c>
      <c r="E5570" s="752" t="s">
        <v>43713</v>
      </c>
      <c r="F5570" s="751">
        <v>6125</v>
      </c>
    </row>
    <row r="5571" spans="1:6">
      <c r="A5571" s="753"/>
      <c r="B5571" s="753"/>
      <c r="C5571" s="752" t="s">
        <v>43712</v>
      </c>
      <c r="D5571" s="753" t="s">
        <v>43250</v>
      </c>
      <c r="E5571" s="752" t="s">
        <v>43711</v>
      </c>
      <c r="F5571" s="751">
        <v>3275</v>
      </c>
    </row>
    <row r="5572" spans="1:6">
      <c r="A5572" s="753"/>
      <c r="B5572" s="753"/>
      <c r="C5572" s="752" t="s">
        <v>43710</v>
      </c>
      <c r="D5572" s="753" t="s">
        <v>43709</v>
      </c>
      <c r="E5572" s="752" t="s">
        <v>43708</v>
      </c>
      <c r="F5572" s="751">
        <v>5775</v>
      </c>
    </row>
    <row r="5573" spans="1:6">
      <c r="A5573" s="753"/>
      <c r="B5573" s="753"/>
      <c r="C5573" s="752" t="s">
        <v>43707</v>
      </c>
      <c r="D5573" s="753" t="s">
        <v>43706</v>
      </c>
      <c r="E5573" s="752" t="s">
        <v>43705</v>
      </c>
      <c r="F5573" s="751">
        <v>5675</v>
      </c>
    </row>
    <row r="5574" spans="1:6">
      <c r="A5574" s="753"/>
      <c r="B5574" s="753"/>
      <c r="C5574" s="752" t="s">
        <v>43704</v>
      </c>
      <c r="D5574" s="753" t="s">
        <v>43703</v>
      </c>
      <c r="E5574" s="752" t="s">
        <v>43702</v>
      </c>
      <c r="F5574" s="751">
        <v>6225</v>
      </c>
    </row>
    <row r="5575" spans="1:6">
      <c r="A5575" s="753"/>
      <c r="B5575" s="753"/>
      <c r="C5575" s="752" t="s">
        <v>43701</v>
      </c>
      <c r="D5575" s="753" t="s">
        <v>43700</v>
      </c>
      <c r="E5575" s="752" t="s">
        <v>43699</v>
      </c>
      <c r="F5575" s="751">
        <v>3375</v>
      </c>
    </row>
    <row r="5576" spans="1:6">
      <c r="A5576" s="753"/>
      <c r="B5576" s="753" t="s">
        <v>43278</v>
      </c>
      <c r="C5576" s="752" t="s">
        <v>43698</v>
      </c>
      <c r="D5576" s="753" t="s">
        <v>43247</v>
      </c>
      <c r="E5576" s="752" t="s">
        <v>38294</v>
      </c>
      <c r="F5576" s="751">
        <v>5670</v>
      </c>
    </row>
    <row r="5577" spans="1:6">
      <c r="A5577" s="753"/>
      <c r="B5577" s="753"/>
      <c r="C5577" s="752" t="s">
        <v>43697</v>
      </c>
      <c r="D5577" s="753" t="s">
        <v>43247</v>
      </c>
      <c r="E5577" s="752" t="s">
        <v>38294</v>
      </c>
      <c r="F5577" s="751">
        <v>5420</v>
      </c>
    </row>
    <row r="5578" spans="1:6">
      <c r="A5578" s="753"/>
      <c r="B5578" s="753"/>
      <c r="C5578" s="752" t="s">
        <v>43696</v>
      </c>
      <c r="D5578" s="753" t="s">
        <v>43695</v>
      </c>
      <c r="E5578" s="752" t="s">
        <v>43694</v>
      </c>
      <c r="F5578" s="751">
        <v>4620</v>
      </c>
    </row>
    <row r="5579" spans="1:6">
      <c r="A5579" s="753"/>
      <c r="B5579" s="753"/>
      <c r="C5579" s="752" t="s">
        <v>43693</v>
      </c>
      <c r="D5579" s="753" t="s">
        <v>43247</v>
      </c>
      <c r="E5579" s="752" t="s">
        <v>38258</v>
      </c>
      <c r="F5579" s="751">
        <v>5420</v>
      </c>
    </row>
    <row r="5580" spans="1:6">
      <c r="A5580" s="753"/>
      <c r="B5580" s="753"/>
      <c r="C5580" s="752" t="s">
        <v>43692</v>
      </c>
      <c r="D5580" s="753" t="s">
        <v>43685</v>
      </c>
      <c r="E5580" s="752" t="s">
        <v>38258</v>
      </c>
      <c r="F5580" s="751">
        <v>2875</v>
      </c>
    </row>
    <row r="5581" spans="1:6">
      <c r="A5581" s="753"/>
      <c r="B5581" s="753"/>
      <c r="C5581" s="752" t="s">
        <v>43691</v>
      </c>
      <c r="D5581" s="753" t="s">
        <v>43670</v>
      </c>
      <c r="E5581" s="752" t="s">
        <v>38312</v>
      </c>
      <c r="F5581" s="751">
        <v>5120</v>
      </c>
    </row>
    <row r="5582" spans="1:6">
      <c r="A5582" s="753"/>
      <c r="B5582" s="753"/>
      <c r="C5582" s="752" t="s">
        <v>43690</v>
      </c>
      <c r="D5582" s="753" t="s">
        <v>43247</v>
      </c>
      <c r="E5582" s="752" t="s">
        <v>38290</v>
      </c>
      <c r="F5582" s="751">
        <v>5170</v>
      </c>
    </row>
    <row r="5583" spans="1:6">
      <c r="A5583" s="753"/>
      <c r="B5583" s="753"/>
      <c r="C5583" s="752" t="s">
        <v>43689</v>
      </c>
      <c r="D5583" s="753" t="s">
        <v>43247</v>
      </c>
      <c r="E5583" s="752" t="s">
        <v>43688</v>
      </c>
      <c r="F5583" s="751">
        <v>5170</v>
      </c>
    </row>
    <row r="5584" spans="1:6">
      <c r="A5584" s="753"/>
      <c r="B5584" s="753"/>
      <c r="C5584" s="752" t="s">
        <v>43687</v>
      </c>
      <c r="D5584" s="753" t="s">
        <v>43247</v>
      </c>
      <c r="E5584" s="752" t="s">
        <v>43684</v>
      </c>
      <c r="F5584" s="751">
        <v>5420</v>
      </c>
    </row>
    <row r="5585" spans="1:6">
      <c r="A5585" s="753"/>
      <c r="B5585" s="753"/>
      <c r="C5585" s="752" t="s">
        <v>43686</v>
      </c>
      <c r="D5585" s="753" t="s">
        <v>43685</v>
      </c>
      <c r="E5585" s="752" t="s">
        <v>43684</v>
      </c>
      <c r="F5585" s="751">
        <v>3075</v>
      </c>
    </row>
    <row r="5586" spans="1:6">
      <c r="A5586" s="753"/>
      <c r="B5586" s="753"/>
      <c r="C5586" s="752" t="s">
        <v>43683</v>
      </c>
      <c r="D5586" s="753" t="s">
        <v>43670</v>
      </c>
      <c r="E5586" s="752" t="s">
        <v>38331</v>
      </c>
      <c r="F5586" s="751">
        <v>4870</v>
      </c>
    </row>
    <row r="5587" spans="1:6">
      <c r="A5587" s="753"/>
      <c r="B5587" s="753"/>
      <c r="C5587" s="752" t="s">
        <v>43682</v>
      </c>
      <c r="D5587" s="753" t="s">
        <v>43247</v>
      </c>
      <c r="E5587" s="752" t="s">
        <v>43681</v>
      </c>
      <c r="F5587" s="751">
        <v>5170</v>
      </c>
    </row>
    <row r="5588" spans="1:6">
      <c r="A5588" s="753"/>
      <c r="B5588" s="753"/>
      <c r="C5588" s="752" t="s">
        <v>43680</v>
      </c>
      <c r="D5588" s="753" t="s">
        <v>43247</v>
      </c>
      <c r="E5588" s="752" t="s">
        <v>43679</v>
      </c>
      <c r="F5588" s="751">
        <v>5170</v>
      </c>
    </row>
    <row r="5589" spans="1:6">
      <c r="A5589" s="753"/>
      <c r="B5589" s="753"/>
      <c r="C5589" s="752" t="s">
        <v>43678</v>
      </c>
      <c r="D5589" s="753" t="s">
        <v>43247</v>
      </c>
      <c r="E5589" s="752" t="s">
        <v>43677</v>
      </c>
      <c r="F5589" s="751">
        <v>5170</v>
      </c>
    </row>
    <row r="5590" spans="1:6">
      <c r="A5590" s="753"/>
      <c r="B5590" s="753"/>
      <c r="C5590" s="752" t="s">
        <v>43676</v>
      </c>
      <c r="D5590" s="753" t="s">
        <v>43247</v>
      </c>
      <c r="E5590" s="752" t="s">
        <v>43675</v>
      </c>
      <c r="F5590" s="751">
        <v>5670</v>
      </c>
    </row>
    <row r="5591" spans="1:6">
      <c r="A5591" s="753"/>
      <c r="B5591" s="753"/>
      <c r="C5591" s="752" t="s">
        <v>43674</v>
      </c>
      <c r="D5591" s="753" t="s">
        <v>43673</v>
      </c>
      <c r="E5591" s="752" t="s">
        <v>43672</v>
      </c>
      <c r="F5591" s="751">
        <v>5420</v>
      </c>
    </row>
    <row r="5592" spans="1:6">
      <c r="A5592" s="753"/>
      <c r="B5592" s="753"/>
      <c r="C5592" s="752" t="s">
        <v>43671</v>
      </c>
      <c r="D5592" s="753" t="s">
        <v>43670</v>
      </c>
      <c r="E5592" s="752" t="s">
        <v>38312</v>
      </c>
      <c r="F5592" s="751">
        <v>5120</v>
      </c>
    </row>
    <row r="5593" spans="1:6">
      <c r="A5593" s="753"/>
      <c r="B5593" s="753"/>
      <c r="C5593" s="752" t="s">
        <v>43669</v>
      </c>
      <c r="D5593" s="753" t="s">
        <v>43668</v>
      </c>
      <c r="E5593" s="752" t="s">
        <v>43667</v>
      </c>
      <c r="F5593" s="751">
        <v>4170</v>
      </c>
    </row>
    <row r="5594" spans="1:6">
      <c r="A5594" s="753"/>
      <c r="B5594" s="753"/>
      <c r="C5594" s="752" t="s">
        <v>43666</v>
      </c>
      <c r="D5594" s="753" t="s">
        <v>43664</v>
      </c>
      <c r="E5594" s="752" t="s">
        <v>38290</v>
      </c>
      <c r="F5594" s="751">
        <v>5665</v>
      </c>
    </row>
    <row r="5595" spans="1:6">
      <c r="A5595" s="753"/>
      <c r="B5595" s="753"/>
      <c r="C5595" s="752" t="s">
        <v>43665</v>
      </c>
      <c r="D5595" s="753" t="s">
        <v>43664</v>
      </c>
      <c r="E5595" s="752" t="s">
        <v>38290</v>
      </c>
      <c r="F5595" s="751">
        <v>5665</v>
      </c>
    </row>
    <row r="5596" spans="1:6">
      <c r="A5596" s="753"/>
      <c r="B5596" s="753"/>
      <c r="C5596" s="752" t="s">
        <v>43663</v>
      </c>
      <c r="D5596" s="753" t="s">
        <v>43264</v>
      </c>
      <c r="E5596" s="752" t="s">
        <v>293</v>
      </c>
      <c r="F5596" s="751">
        <v>4675</v>
      </c>
    </row>
    <row r="5597" spans="1:6">
      <c r="A5597" s="753"/>
      <c r="B5597" s="753"/>
      <c r="C5597" s="752" t="s">
        <v>43662</v>
      </c>
      <c r="D5597" s="753" t="s">
        <v>43638</v>
      </c>
      <c r="E5597" s="752" t="s">
        <v>38483</v>
      </c>
      <c r="F5597" s="751">
        <v>4575</v>
      </c>
    </row>
    <row r="5598" spans="1:6">
      <c r="A5598" s="753"/>
      <c r="B5598" s="753"/>
      <c r="C5598" s="752" t="s">
        <v>43661</v>
      </c>
      <c r="D5598" s="753" t="s">
        <v>43660</v>
      </c>
      <c r="E5598" s="752" t="s">
        <v>43659</v>
      </c>
      <c r="F5598" s="751">
        <v>10795</v>
      </c>
    </row>
    <row r="5599" spans="1:6">
      <c r="A5599" s="753"/>
      <c r="B5599" s="753"/>
      <c r="C5599" s="752" t="s">
        <v>43658</v>
      </c>
      <c r="D5599" s="753" t="s">
        <v>43651</v>
      </c>
      <c r="E5599" s="752" t="s">
        <v>293</v>
      </c>
      <c r="F5599" s="751">
        <v>5175</v>
      </c>
    </row>
    <row r="5600" spans="1:6">
      <c r="A5600" s="753"/>
      <c r="B5600" s="753"/>
      <c r="C5600" s="752" t="s">
        <v>43657</v>
      </c>
      <c r="D5600" s="753" t="s">
        <v>43651</v>
      </c>
      <c r="E5600" s="752" t="s">
        <v>293</v>
      </c>
      <c r="F5600" s="751">
        <v>4925</v>
      </c>
    </row>
    <row r="5601" spans="1:6">
      <c r="A5601" s="753"/>
      <c r="B5601" s="753"/>
      <c r="C5601" s="752" t="s">
        <v>43656</v>
      </c>
      <c r="D5601" s="753" t="s">
        <v>43654</v>
      </c>
      <c r="E5601" s="752" t="s">
        <v>293</v>
      </c>
      <c r="F5601" s="751">
        <v>4925</v>
      </c>
    </row>
    <row r="5602" spans="1:6">
      <c r="A5602" s="753"/>
      <c r="B5602" s="753"/>
      <c r="C5602" s="752" t="s">
        <v>43655</v>
      </c>
      <c r="D5602" s="753" t="s">
        <v>43654</v>
      </c>
      <c r="E5602" s="752" t="s">
        <v>38919</v>
      </c>
      <c r="F5602" s="751">
        <v>5385</v>
      </c>
    </row>
    <row r="5603" spans="1:6">
      <c r="A5603" s="753"/>
      <c r="B5603" s="753"/>
      <c r="C5603" s="752" t="s">
        <v>43653</v>
      </c>
      <c r="D5603" s="753" t="s">
        <v>43641</v>
      </c>
      <c r="E5603" s="752" t="s">
        <v>43401</v>
      </c>
      <c r="F5603" s="751">
        <v>6005</v>
      </c>
    </row>
    <row r="5604" spans="1:6">
      <c r="A5604" s="753"/>
      <c r="B5604" s="753"/>
      <c r="C5604" s="752" t="s">
        <v>43652</v>
      </c>
      <c r="D5604" s="753" t="s">
        <v>43651</v>
      </c>
      <c r="E5604" s="752" t="s">
        <v>43243</v>
      </c>
      <c r="F5604" s="751">
        <v>4675</v>
      </c>
    </row>
    <row r="5605" spans="1:6">
      <c r="A5605" s="753"/>
      <c r="B5605" s="753"/>
      <c r="C5605" s="752" t="s">
        <v>43650</v>
      </c>
      <c r="D5605" s="753" t="s">
        <v>43278</v>
      </c>
      <c r="E5605" s="752" t="s">
        <v>43649</v>
      </c>
      <c r="F5605" s="751">
        <v>5275</v>
      </c>
    </row>
    <row r="5606" spans="1:6">
      <c r="A5606" s="753"/>
      <c r="B5606" s="753"/>
      <c r="C5606" s="752" t="s">
        <v>43648</v>
      </c>
      <c r="D5606" s="753" t="s">
        <v>43264</v>
      </c>
      <c r="E5606" s="752" t="s">
        <v>38258</v>
      </c>
      <c r="F5606" s="751">
        <v>4925</v>
      </c>
    </row>
    <row r="5607" spans="1:6">
      <c r="A5607" s="753"/>
      <c r="B5607" s="753"/>
      <c r="C5607" s="752" t="s">
        <v>43647</v>
      </c>
      <c r="D5607" s="753" t="s">
        <v>43641</v>
      </c>
      <c r="E5607" s="752" t="s">
        <v>43401</v>
      </c>
      <c r="F5607" s="751">
        <v>6005</v>
      </c>
    </row>
    <row r="5608" spans="1:6">
      <c r="A5608" s="753"/>
      <c r="B5608" s="753"/>
      <c r="C5608" s="752" t="s">
        <v>43646</v>
      </c>
      <c r="D5608" s="753" t="s">
        <v>43264</v>
      </c>
      <c r="E5608" s="752" t="s">
        <v>43645</v>
      </c>
      <c r="F5608" s="751">
        <v>4675</v>
      </c>
    </row>
    <row r="5609" spans="1:6">
      <c r="A5609" s="753"/>
      <c r="B5609" s="753"/>
      <c r="C5609" s="752" t="s">
        <v>43644</v>
      </c>
      <c r="D5609" s="753" t="s">
        <v>43264</v>
      </c>
      <c r="E5609" s="752" t="s">
        <v>43643</v>
      </c>
      <c r="F5609" s="751">
        <v>5655</v>
      </c>
    </row>
    <row r="5610" spans="1:6">
      <c r="A5610" s="753"/>
      <c r="B5610" s="753"/>
      <c r="C5610" s="752" t="s">
        <v>43642</v>
      </c>
      <c r="D5610" s="753" t="s">
        <v>43641</v>
      </c>
      <c r="E5610" s="752" t="s">
        <v>43640</v>
      </c>
      <c r="F5610" s="751">
        <v>6005</v>
      </c>
    </row>
    <row r="5611" spans="1:6">
      <c r="A5611" s="753"/>
      <c r="B5611" s="753"/>
      <c r="C5611" s="752" t="s">
        <v>43639</v>
      </c>
      <c r="D5611" s="753" t="s">
        <v>43638</v>
      </c>
      <c r="E5611" s="752" t="s">
        <v>43637</v>
      </c>
      <c r="F5611" s="751">
        <v>4525</v>
      </c>
    </row>
    <row r="5612" spans="1:6">
      <c r="A5612" s="753"/>
      <c r="B5612" s="753"/>
      <c r="C5612" s="752" t="s">
        <v>43636</v>
      </c>
      <c r="D5612" s="753" t="s">
        <v>43629</v>
      </c>
      <c r="E5612" s="752" t="s">
        <v>293</v>
      </c>
      <c r="F5612" s="751">
        <v>1445</v>
      </c>
    </row>
    <row r="5613" spans="1:6">
      <c r="A5613" s="753"/>
      <c r="B5613" s="753"/>
      <c r="C5613" s="752" t="s">
        <v>43635</v>
      </c>
      <c r="D5613" s="753" t="s">
        <v>43629</v>
      </c>
      <c r="E5613" s="752" t="s">
        <v>293</v>
      </c>
      <c r="F5613" s="751">
        <v>1445</v>
      </c>
    </row>
    <row r="5614" spans="1:6">
      <c r="A5614" s="753"/>
      <c r="B5614" s="753"/>
      <c r="C5614" s="752" t="s">
        <v>43634</v>
      </c>
      <c r="D5614" s="753" t="s">
        <v>43629</v>
      </c>
      <c r="E5614" s="752" t="s">
        <v>293</v>
      </c>
      <c r="F5614" s="751">
        <v>1445</v>
      </c>
    </row>
    <row r="5615" spans="1:6">
      <c r="A5615" s="753"/>
      <c r="B5615" s="753"/>
      <c r="C5615" s="752" t="s">
        <v>43633</v>
      </c>
      <c r="D5615" s="753" t="s">
        <v>43629</v>
      </c>
      <c r="E5615" s="752" t="s">
        <v>293</v>
      </c>
      <c r="F5615" s="751">
        <v>1745</v>
      </c>
    </row>
    <row r="5616" spans="1:6">
      <c r="A5616" s="753"/>
      <c r="B5616" s="753"/>
      <c r="C5616" s="752" t="s">
        <v>43632</v>
      </c>
      <c r="D5616" s="753" t="s">
        <v>43629</v>
      </c>
      <c r="E5616" s="752" t="s">
        <v>293</v>
      </c>
      <c r="F5616" s="751">
        <v>1745</v>
      </c>
    </row>
    <row r="5617" spans="1:6">
      <c r="A5617" s="753"/>
      <c r="B5617" s="753"/>
      <c r="C5617" s="752" t="s">
        <v>43631</v>
      </c>
      <c r="D5617" s="753" t="s">
        <v>43629</v>
      </c>
      <c r="E5617" s="752" t="s">
        <v>293</v>
      </c>
      <c r="F5617" s="751">
        <v>1745</v>
      </c>
    </row>
    <row r="5618" spans="1:6">
      <c r="A5618" s="753"/>
      <c r="B5618" s="753"/>
      <c r="C5618" s="752" t="s">
        <v>43630</v>
      </c>
      <c r="D5618" s="753" t="s">
        <v>43629</v>
      </c>
      <c r="E5618" s="752" t="s">
        <v>293</v>
      </c>
      <c r="F5618" s="751">
        <v>1745</v>
      </c>
    </row>
    <row r="5619" spans="1:6">
      <c r="A5619" s="753"/>
      <c r="B5619" s="753"/>
      <c r="C5619" s="752" t="s">
        <v>43628</v>
      </c>
      <c r="D5619" s="753" t="s">
        <v>43250</v>
      </c>
      <c r="E5619" s="752" t="s">
        <v>38139</v>
      </c>
      <c r="F5619" s="751">
        <v>3725</v>
      </c>
    </row>
    <row r="5620" spans="1:6">
      <c r="A5620" s="753"/>
      <c r="B5620" s="753"/>
      <c r="C5620" s="752" t="s">
        <v>43627</v>
      </c>
      <c r="D5620" s="753" t="s">
        <v>43521</v>
      </c>
      <c r="E5620" s="752" t="s">
        <v>43624</v>
      </c>
      <c r="F5620" s="751">
        <v>5675</v>
      </c>
    </row>
    <row r="5621" spans="1:6">
      <c r="A5621" s="753"/>
      <c r="B5621" s="753"/>
      <c r="C5621" s="752" t="s">
        <v>43626</v>
      </c>
      <c r="D5621" s="753" t="s">
        <v>43521</v>
      </c>
      <c r="E5621" s="752" t="s">
        <v>38010</v>
      </c>
      <c r="F5621" s="751">
        <v>4675</v>
      </c>
    </row>
    <row r="5622" spans="1:6">
      <c r="A5622" s="753"/>
      <c r="B5622" s="753"/>
      <c r="C5622" s="752" t="s">
        <v>43625</v>
      </c>
      <c r="D5622" s="753" t="s">
        <v>43521</v>
      </c>
      <c r="E5622" s="752" t="s">
        <v>43624</v>
      </c>
      <c r="F5622" s="751">
        <v>5675</v>
      </c>
    </row>
    <row r="5623" spans="1:6">
      <c r="A5623" s="753"/>
      <c r="B5623" s="753"/>
      <c r="C5623" s="752" t="s">
        <v>43623</v>
      </c>
      <c r="D5623" s="753" t="s">
        <v>43521</v>
      </c>
      <c r="E5623" s="752" t="s">
        <v>38019</v>
      </c>
      <c r="F5623" s="751">
        <v>4425</v>
      </c>
    </row>
    <row r="5624" spans="1:6">
      <c r="A5624" s="753"/>
      <c r="B5624" s="753"/>
      <c r="C5624" s="752" t="s">
        <v>43622</v>
      </c>
      <c r="D5624" s="753" t="s">
        <v>43521</v>
      </c>
      <c r="E5624" s="752" t="s">
        <v>43613</v>
      </c>
      <c r="F5624" s="751">
        <v>5185</v>
      </c>
    </row>
    <row r="5625" spans="1:6">
      <c r="A5625" s="753"/>
      <c r="B5625" s="753"/>
      <c r="C5625" s="752" t="s">
        <v>43621</v>
      </c>
      <c r="D5625" s="753" t="s">
        <v>43521</v>
      </c>
      <c r="E5625" s="752" t="s">
        <v>43509</v>
      </c>
      <c r="F5625" s="751">
        <v>5325</v>
      </c>
    </row>
    <row r="5626" spans="1:6">
      <c r="A5626" s="753"/>
      <c r="B5626" s="753"/>
      <c r="C5626" s="752" t="s">
        <v>43620</v>
      </c>
      <c r="D5626" s="753" t="s">
        <v>43512</v>
      </c>
      <c r="E5626" s="752" t="s">
        <v>38010</v>
      </c>
      <c r="F5626" s="751">
        <v>4375</v>
      </c>
    </row>
    <row r="5627" spans="1:6">
      <c r="A5627" s="753"/>
      <c r="B5627" s="753"/>
      <c r="C5627" s="752" t="s">
        <v>43619</v>
      </c>
      <c r="D5627" s="753" t="s">
        <v>43492</v>
      </c>
      <c r="E5627" s="752" t="s">
        <v>38019</v>
      </c>
      <c r="F5627" s="751">
        <v>4125</v>
      </c>
    </row>
    <row r="5628" spans="1:6">
      <c r="A5628" s="753"/>
      <c r="B5628" s="753"/>
      <c r="C5628" s="752" t="s">
        <v>43618</v>
      </c>
      <c r="D5628" s="753" t="s">
        <v>43492</v>
      </c>
      <c r="E5628" s="752" t="s">
        <v>43509</v>
      </c>
      <c r="F5628" s="751">
        <v>5325</v>
      </c>
    </row>
    <row r="5629" spans="1:6">
      <c r="A5629" s="753"/>
      <c r="B5629" s="753"/>
      <c r="C5629" s="752" t="s">
        <v>43617</v>
      </c>
      <c r="D5629" s="753" t="s">
        <v>43512</v>
      </c>
      <c r="E5629" s="752" t="s">
        <v>38010</v>
      </c>
      <c r="F5629" s="751">
        <v>4375</v>
      </c>
    </row>
    <row r="5630" spans="1:6">
      <c r="A5630" s="753"/>
      <c r="B5630" s="753"/>
      <c r="C5630" s="752" t="s">
        <v>43616</v>
      </c>
      <c r="D5630" s="753" t="s">
        <v>43512</v>
      </c>
      <c r="E5630" s="752" t="s">
        <v>43384</v>
      </c>
      <c r="F5630" s="751">
        <v>5675</v>
      </c>
    </row>
    <row r="5631" spans="1:6">
      <c r="A5631" s="753"/>
      <c r="B5631" s="753"/>
      <c r="C5631" s="752" t="s">
        <v>43615</v>
      </c>
      <c r="D5631" s="753" t="s">
        <v>43512</v>
      </c>
      <c r="E5631" s="752" t="s">
        <v>38019</v>
      </c>
      <c r="F5631" s="751">
        <v>4125</v>
      </c>
    </row>
    <row r="5632" spans="1:6">
      <c r="A5632" s="753"/>
      <c r="B5632" s="753"/>
      <c r="C5632" s="752" t="s">
        <v>43614</v>
      </c>
      <c r="D5632" s="753" t="s">
        <v>43512</v>
      </c>
      <c r="E5632" s="752" t="s">
        <v>43613</v>
      </c>
      <c r="F5632" s="751">
        <v>4635</v>
      </c>
    </row>
    <row r="5633" spans="1:6">
      <c r="A5633" s="753"/>
      <c r="B5633" s="753"/>
      <c r="C5633" s="752" t="s">
        <v>43612</v>
      </c>
      <c r="D5633" s="753" t="s">
        <v>43492</v>
      </c>
      <c r="E5633" s="752" t="s">
        <v>43509</v>
      </c>
      <c r="F5633" s="751">
        <v>5325</v>
      </c>
    </row>
    <row r="5634" spans="1:6">
      <c r="A5634" s="753"/>
      <c r="B5634" s="753"/>
      <c r="C5634" s="752" t="s">
        <v>43611</v>
      </c>
      <c r="D5634" s="753" t="s">
        <v>43610</v>
      </c>
      <c r="E5634" s="752" t="s">
        <v>38010</v>
      </c>
      <c r="F5634" s="751">
        <v>3425</v>
      </c>
    </row>
    <row r="5635" spans="1:6">
      <c r="A5635" s="753"/>
      <c r="B5635" s="753"/>
      <c r="C5635" s="752" t="s">
        <v>43609</v>
      </c>
      <c r="D5635" s="753" t="s">
        <v>43267</v>
      </c>
      <c r="E5635" s="752" t="s">
        <v>38294</v>
      </c>
      <c r="F5635" s="751">
        <v>4475</v>
      </c>
    </row>
    <row r="5636" spans="1:6">
      <c r="A5636" s="753"/>
      <c r="B5636" s="753"/>
      <c r="C5636" s="752" t="s">
        <v>43608</v>
      </c>
      <c r="D5636" s="753" t="s">
        <v>43267</v>
      </c>
      <c r="E5636" s="752" t="s">
        <v>38019</v>
      </c>
      <c r="F5636" s="751">
        <v>4225</v>
      </c>
    </row>
    <row r="5637" spans="1:6">
      <c r="A5637" s="753"/>
      <c r="B5637" s="753"/>
      <c r="C5637" s="752" t="s">
        <v>43607</v>
      </c>
      <c r="D5637" s="753" t="s">
        <v>43267</v>
      </c>
      <c r="E5637" s="752" t="s">
        <v>43606</v>
      </c>
      <c r="F5637" s="751">
        <v>5125</v>
      </c>
    </row>
    <row r="5638" spans="1:6">
      <c r="A5638" s="753"/>
      <c r="B5638" s="753"/>
      <c r="C5638" s="752" t="s">
        <v>43605</v>
      </c>
      <c r="D5638" s="753" t="s">
        <v>43267</v>
      </c>
      <c r="E5638" s="752" t="s">
        <v>38010</v>
      </c>
      <c r="F5638" s="751">
        <v>4475</v>
      </c>
    </row>
    <row r="5639" spans="1:6">
      <c r="A5639" s="753"/>
      <c r="B5639" s="753"/>
      <c r="C5639" s="752" t="s">
        <v>43604</v>
      </c>
      <c r="D5639" s="753" t="s">
        <v>43267</v>
      </c>
      <c r="E5639" s="752" t="s">
        <v>38033</v>
      </c>
      <c r="F5639" s="751">
        <v>5475</v>
      </c>
    </row>
    <row r="5640" spans="1:6">
      <c r="A5640" s="753"/>
      <c r="B5640" s="753"/>
      <c r="C5640" s="752" t="s">
        <v>43603</v>
      </c>
      <c r="D5640" s="753" t="s">
        <v>43267</v>
      </c>
      <c r="E5640" s="752" t="s">
        <v>38019</v>
      </c>
      <c r="F5640" s="751">
        <v>4225</v>
      </c>
    </row>
    <row r="5641" spans="1:6">
      <c r="A5641" s="753"/>
      <c r="B5641" s="753"/>
      <c r="C5641" s="752" t="s">
        <v>43602</v>
      </c>
      <c r="D5641" s="753" t="s">
        <v>43267</v>
      </c>
      <c r="E5641" s="752" t="s">
        <v>39819</v>
      </c>
      <c r="F5641" s="751">
        <v>4985</v>
      </c>
    </row>
    <row r="5642" spans="1:6">
      <c r="A5642" s="753"/>
      <c r="B5642" s="753"/>
      <c r="C5642" s="752" t="s">
        <v>43601</v>
      </c>
      <c r="D5642" s="753" t="s">
        <v>43267</v>
      </c>
      <c r="E5642" s="752" t="s">
        <v>38002</v>
      </c>
      <c r="F5642" s="751">
        <v>5125</v>
      </c>
    </row>
    <row r="5643" spans="1:6">
      <c r="A5643" s="753"/>
      <c r="B5643" s="753"/>
      <c r="C5643" s="752" t="s">
        <v>43600</v>
      </c>
      <c r="D5643" s="753" t="s">
        <v>43377</v>
      </c>
      <c r="E5643" s="752" t="s">
        <v>38010</v>
      </c>
      <c r="F5643" s="751">
        <v>4475</v>
      </c>
    </row>
    <row r="5644" spans="1:6">
      <c r="A5644" s="753"/>
      <c r="B5644" s="753"/>
      <c r="C5644" s="752" t="s">
        <v>43599</v>
      </c>
      <c r="D5644" s="753" t="s">
        <v>43377</v>
      </c>
      <c r="E5644" s="752" t="s">
        <v>38002</v>
      </c>
      <c r="F5644" s="751">
        <v>5125</v>
      </c>
    </row>
    <row r="5645" spans="1:6">
      <c r="A5645" s="753"/>
      <c r="B5645" s="753"/>
      <c r="C5645" s="752" t="s">
        <v>43598</v>
      </c>
      <c r="D5645" s="753" t="s">
        <v>43377</v>
      </c>
      <c r="E5645" s="752" t="s">
        <v>38010</v>
      </c>
      <c r="F5645" s="751">
        <v>4175</v>
      </c>
    </row>
    <row r="5646" spans="1:6">
      <c r="A5646" s="753"/>
      <c r="B5646" s="753"/>
      <c r="C5646" s="752" t="s">
        <v>43597</v>
      </c>
      <c r="D5646" s="753" t="s">
        <v>43377</v>
      </c>
      <c r="E5646" s="752" t="s">
        <v>38033</v>
      </c>
      <c r="F5646" s="751">
        <v>5475</v>
      </c>
    </row>
    <row r="5647" spans="1:6">
      <c r="A5647" s="753"/>
      <c r="B5647" s="753"/>
      <c r="C5647" s="752" t="s">
        <v>43596</v>
      </c>
      <c r="D5647" s="753" t="s">
        <v>43377</v>
      </c>
      <c r="E5647" s="752" t="s">
        <v>38019</v>
      </c>
      <c r="F5647" s="751">
        <v>3925</v>
      </c>
    </row>
    <row r="5648" spans="1:6">
      <c r="A5648" s="753"/>
      <c r="B5648" s="753"/>
      <c r="C5648" s="752" t="s">
        <v>43595</v>
      </c>
      <c r="D5648" s="753" t="s">
        <v>43377</v>
      </c>
      <c r="E5648" s="752" t="s">
        <v>39819</v>
      </c>
      <c r="F5648" s="751">
        <v>4685</v>
      </c>
    </row>
    <row r="5649" spans="1:6">
      <c r="A5649" s="753"/>
      <c r="B5649" s="753"/>
      <c r="C5649" s="752" t="s">
        <v>43594</v>
      </c>
      <c r="D5649" s="753" t="s">
        <v>43377</v>
      </c>
      <c r="E5649" s="752" t="s">
        <v>38002</v>
      </c>
      <c r="F5649" s="751">
        <v>5125</v>
      </c>
    </row>
    <row r="5650" spans="1:6">
      <c r="A5650" s="753"/>
      <c r="B5650" s="753"/>
      <c r="C5650" s="752" t="s">
        <v>43593</v>
      </c>
      <c r="D5650" s="753" t="s">
        <v>43256</v>
      </c>
      <c r="E5650" s="752" t="s">
        <v>38139</v>
      </c>
      <c r="F5650" s="751">
        <v>3625</v>
      </c>
    </row>
    <row r="5651" spans="1:6">
      <c r="A5651" s="753"/>
      <c r="B5651" s="753"/>
      <c r="C5651" s="752" t="s">
        <v>43592</v>
      </c>
      <c r="D5651" s="753" t="s">
        <v>43250</v>
      </c>
      <c r="E5651" s="752" t="s">
        <v>43484</v>
      </c>
      <c r="F5651" s="751">
        <v>3725</v>
      </c>
    </row>
    <row r="5652" spans="1:6">
      <c r="A5652" s="753"/>
      <c r="B5652" s="753"/>
      <c r="C5652" s="752" t="s">
        <v>43591</v>
      </c>
      <c r="D5652" s="753" t="s">
        <v>43250</v>
      </c>
      <c r="E5652" s="752" t="s">
        <v>38234</v>
      </c>
      <c r="F5652" s="751">
        <v>3375</v>
      </c>
    </row>
    <row r="5653" spans="1:6">
      <c r="A5653" s="753"/>
      <c r="B5653" s="753"/>
      <c r="C5653" s="752" t="s">
        <v>43590</v>
      </c>
      <c r="D5653" s="753" t="s">
        <v>43250</v>
      </c>
      <c r="E5653" s="752" t="s">
        <v>38139</v>
      </c>
      <c r="F5653" s="751">
        <v>3725</v>
      </c>
    </row>
    <row r="5654" spans="1:6">
      <c r="A5654" s="753"/>
      <c r="B5654" s="753"/>
      <c r="C5654" s="752" t="s">
        <v>43589</v>
      </c>
      <c r="D5654" s="753" t="s">
        <v>43250</v>
      </c>
      <c r="E5654" s="752" t="s">
        <v>43588</v>
      </c>
      <c r="F5654" s="751">
        <v>3375</v>
      </c>
    </row>
    <row r="5655" spans="1:6">
      <c r="A5655" s="753"/>
      <c r="B5655" s="753"/>
      <c r="C5655" s="752" t="s">
        <v>43587</v>
      </c>
      <c r="D5655" s="753" t="s">
        <v>43250</v>
      </c>
      <c r="E5655" s="752" t="s">
        <v>43586</v>
      </c>
      <c r="F5655" s="751">
        <v>3125</v>
      </c>
    </row>
    <row r="5656" spans="1:6">
      <c r="A5656" s="753"/>
      <c r="B5656" s="753"/>
      <c r="C5656" s="752" t="s">
        <v>43585</v>
      </c>
      <c r="D5656" s="753" t="s">
        <v>43250</v>
      </c>
      <c r="E5656" s="752" t="s">
        <v>43355</v>
      </c>
      <c r="F5656" s="751">
        <v>3375</v>
      </c>
    </row>
    <row r="5657" spans="1:6">
      <c r="A5657" s="753"/>
      <c r="B5657" s="753"/>
      <c r="C5657" s="752" t="s">
        <v>43584</v>
      </c>
      <c r="D5657" s="753" t="s">
        <v>43250</v>
      </c>
      <c r="E5657" s="752" t="s">
        <v>43565</v>
      </c>
      <c r="F5657" s="751">
        <v>4135</v>
      </c>
    </row>
    <row r="5658" spans="1:6">
      <c r="A5658" s="753"/>
      <c r="B5658" s="753"/>
      <c r="C5658" s="752" t="s">
        <v>43583</v>
      </c>
      <c r="D5658" s="753" t="s">
        <v>43582</v>
      </c>
      <c r="E5658" s="752" t="s">
        <v>43551</v>
      </c>
      <c r="F5658" s="751">
        <v>2875</v>
      </c>
    </row>
    <row r="5659" spans="1:6">
      <c r="A5659" s="753"/>
      <c r="B5659" s="753"/>
      <c r="C5659" s="752" t="s">
        <v>43581</v>
      </c>
      <c r="D5659" s="753" t="s">
        <v>43250</v>
      </c>
      <c r="E5659" s="752" t="s">
        <v>43580</v>
      </c>
      <c r="F5659" s="751">
        <v>3625</v>
      </c>
    </row>
    <row r="5660" spans="1:6">
      <c r="A5660" s="753"/>
      <c r="B5660" s="753"/>
      <c r="C5660" s="752" t="s">
        <v>43579</v>
      </c>
      <c r="D5660" s="753" t="s">
        <v>43250</v>
      </c>
      <c r="E5660" s="752" t="s">
        <v>43578</v>
      </c>
      <c r="F5660" s="751">
        <v>3375</v>
      </c>
    </row>
    <row r="5661" spans="1:6">
      <c r="A5661" s="753"/>
      <c r="B5661" s="753"/>
      <c r="C5661" s="752" t="s">
        <v>43577</v>
      </c>
      <c r="D5661" s="753" t="s">
        <v>43250</v>
      </c>
      <c r="E5661" s="752" t="s">
        <v>43576</v>
      </c>
      <c r="F5661" s="751">
        <v>3125</v>
      </c>
    </row>
    <row r="5662" spans="1:6">
      <c r="A5662" s="753"/>
      <c r="B5662" s="753"/>
      <c r="C5662" s="752" t="s">
        <v>43575</v>
      </c>
      <c r="D5662" s="753" t="s">
        <v>43250</v>
      </c>
      <c r="E5662" s="752" t="s">
        <v>43574</v>
      </c>
      <c r="F5662" s="751">
        <v>3375</v>
      </c>
    </row>
    <row r="5663" spans="1:6">
      <c r="A5663" s="753"/>
      <c r="B5663" s="753"/>
      <c r="C5663" s="752" t="s">
        <v>43573</v>
      </c>
      <c r="D5663" s="753" t="s">
        <v>43250</v>
      </c>
      <c r="E5663" s="752" t="s">
        <v>43572</v>
      </c>
      <c r="F5663" s="751">
        <v>3525</v>
      </c>
    </row>
    <row r="5664" spans="1:6">
      <c r="A5664" s="753"/>
      <c r="B5664" s="753"/>
      <c r="C5664" s="752" t="s">
        <v>43571</v>
      </c>
      <c r="D5664" s="753" t="s">
        <v>43250</v>
      </c>
      <c r="E5664" s="752" t="s">
        <v>43570</v>
      </c>
      <c r="F5664" s="751">
        <v>3125</v>
      </c>
    </row>
    <row r="5665" spans="1:6">
      <c r="A5665" s="753"/>
      <c r="B5665" s="753"/>
      <c r="C5665" s="752" t="s">
        <v>43569</v>
      </c>
      <c r="D5665" s="753" t="s">
        <v>43250</v>
      </c>
      <c r="E5665" s="752" t="s">
        <v>43568</v>
      </c>
      <c r="F5665" s="751">
        <v>3375</v>
      </c>
    </row>
    <row r="5666" spans="1:6">
      <c r="A5666" s="753"/>
      <c r="B5666" s="753"/>
      <c r="C5666" s="752" t="s">
        <v>43567</v>
      </c>
      <c r="D5666" s="753" t="s">
        <v>43250</v>
      </c>
      <c r="E5666" s="752" t="s">
        <v>43358</v>
      </c>
      <c r="F5666" s="751">
        <v>3125</v>
      </c>
    </row>
    <row r="5667" spans="1:6">
      <c r="A5667" s="753"/>
      <c r="B5667" s="753"/>
      <c r="C5667" s="752" t="s">
        <v>43566</v>
      </c>
      <c r="D5667" s="753" t="s">
        <v>43250</v>
      </c>
      <c r="E5667" s="752" t="s">
        <v>43565</v>
      </c>
      <c r="F5667" s="751">
        <v>4135</v>
      </c>
    </row>
    <row r="5668" spans="1:6">
      <c r="A5668" s="753"/>
      <c r="B5668" s="753"/>
      <c r="C5668" s="752" t="s">
        <v>43564</v>
      </c>
      <c r="D5668" s="753" t="s">
        <v>43250</v>
      </c>
      <c r="E5668" s="752" t="s">
        <v>43563</v>
      </c>
      <c r="F5668" s="751">
        <v>3375</v>
      </c>
    </row>
    <row r="5669" spans="1:6">
      <c r="A5669" s="753"/>
      <c r="B5669" s="753"/>
      <c r="C5669" s="752" t="s">
        <v>43562</v>
      </c>
      <c r="D5669" s="753" t="s">
        <v>43521</v>
      </c>
      <c r="E5669" s="752" t="s">
        <v>43243</v>
      </c>
      <c r="F5669" s="751">
        <v>4175</v>
      </c>
    </row>
    <row r="5670" spans="1:6">
      <c r="A5670" s="753"/>
      <c r="B5670" s="753"/>
      <c r="C5670" s="752" t="s">
        <v>43561</v>
      </c>
      <c r="D5670" s="753" t="s">
        <v>43521</v>
      </c>
      <c r="E5670" s="752" t="s">
        <v>43307</v>
      </c>
      <c r="F5670" s="751">
        <v>4975</v>
      </c>
    </row>
    <row r="5671" spans="1:6">
      <c r="A5671" s="753"/>
      <c r="B5671" s="753"/>
      <c r="C5671" s="752" t="s">
        <v>43560</v>
      </c>
      <c r="D5671" s="753" t="s">
        <v>43521</v>
      </c>
      <c r="E5671" s="752" t="s">
        <v>43517</v>
      </c>
      <c r="F5671" s="751">
        <v>4675</v>
      </c>
    </row>
    <row r="5672" spans="1:6">
      <c r="A5672" s="753"/>
      <c r="B5672" s="753"/>
      <c r="C5672" s="752" t="s">
        <v>43559</v>
      </c>
      <c r="D5672" s="753" t="s">
        <v>43521</v>
      </c>
      <c r="E5672" s="752" t="s">
        <v>43558</v>
      </c>
      <c r="F5672" s="751">
        <v>5675</v>
      </c>
    </row>
    <row r="5673" spans="1:6">
      <c r="A5673" s="753"/>
      <c r="B5673" s="753"/>
      <c r="C5673" s="752" t="s">
        <v>43557</v>
      </c>
      <c r="D5673" s="753" t="s">
        <v>43521</v>
      </c>
      <c r="E5673" s="752" t="s">
        <v>43401</v>
      </c>
      <c r="F5673" s="751">
        <v>4425</v>
      </c>
    </row>
    <row r="5674" spans="1:6">
      <c r="A5674" s="753"/>
      <c r="B5674" s="753"/>
      <c r="C5674" s="752" t="s">
        <v>43556</v>
      </c>
      <c r="D5674" s="753" t="s">
        <v>43521</v>
      </c>
      <c r="E5674" s="752" t="s">
        <v>43555</v>
      </c>
      <c r="F5674" s="751">
        <v>5185</v>
      </c>
    </row>
    <row r="5675" spans="1:6">
      <c r="A5675" s="753"/>
      <c r="B5675" s="753"/>
      <c r="C5675" s="752" t="s">
        <v>43554</v>
      </c>
      <c r="D5675" s="753" t="s">
        <v>43521</v>
      </c>
      <c r="E5675" s="752" t="s">
        <v>43243</v>
      </c>
      <c r="F5675" s="751">
        <v>4175</v>
      </c>
    </row>
    <row r="5676" spans="1:6">
      <c r="A5676" s="753"/>
      <c r="B5676" s="753"/>
      <c r="C5676" s="752" t="s">
        <v>43553</v>
      </c>
      <c r="D5676" s="753" t="s">
        <v>43521</v>
      </c>
      <c r="E5676" s="752" t="s">
        <v>43307</v>
      </c>
      <c r="F5676" s="751">
        <v>4975</v>
      </c>
    </row>
    <row r="5677" spans="1:6">
      <c r="A5677" s="753"/>
      <c r="B5677" s="753"/>
      <c r="C5677" s="752" t="s">
        <v>43552</v>
      </c>
      <c r="D5677" s="753" t="s">
        <v>43521</v>
      </c>
      <c r="E5677" s="752" t="s">
        <v>43551</v>
      </c>
      <c r="F5677" s="751">
        <v>3375</v>
      </c>
    </row>
    <row r="5678" spans="1:6">
      <c r="A5678" s="753"/>
      <c r="B5678" s="753"/>
      <c r="C5678" s="752" t="s">
        <v>43550</v>
      </c>
      <c r="D5678" s="753" t="s">
        <v>43521</v>
      </c>
      <c r="E5678" s="752" t="s">
        <v>43509</v>
      </c>
      <c r="F5678" s="751">
        <v>5325</v>
      </c>
    </row>
    <row r="5679" spans="1:6">
      <c r="A5679" s="753"/>
      <c r="B5679" s="753"/>
      <c r="C5679" s="752" t="s">
        <v>43549</v>
      </c>
      <c r="D5679" s="753" t="s">
        <v>43521</v>
      </c>
      <c r="E5679" s="752" t="s">
        <v>43548</v>
      </c>
      <c r="F5679" s="751">
        <v>4975</v>
      </c>
    </row>
    <row r="5680" spans="1:6">
      <c r="A5680" s="753"/>
      <c r="B5680" s="753"/>
      <c r="C5680" s="752" t="s">
        <v>43547</v>
      </c>
      <c r="D5680" s="753" t="s">
        <v>43546</v>
      </c>
      <c r="E5680" s="752" t="s">
        <v>43517</v>
      </c>
      <c r="F5680" s="751">
        <v>4675</v>
      </c>
    </row>
    <row r="5681" spans="1:6">
      <c r="A5681" s="753"/>
      <c r="B5681" s="753"/>
      <c r="C5681" s="752" t="s">
        <v>43545</v>
      </c>
      <c r="D5681" s="753" t="s">
        <v>43544</v>
      </c>
      <c r="E5681" s="752" t="s">
        <v>43515</v>
      </c>
      <c r="F5681" s="751">
        <v>5675</v>
      </c>
    </row>
    <row r="5682" spans="1:6">
      <c r="A5682" s="753"/>
      <c r="B5682" s="753"/>
      <c r="C5682" s="752" t="s">
        <v>43543</v>
      </c>
      <c r="D5682" s="753" t="s">
        <v>43521</v>
      </c>
      <c r="E5682" s="752" t="s">
        <v>43401</v>
      </c>
      <c r="F5682" s="751">
        <v>4425</v>
      </c>
    </row>
    <row r="5683" spans="1:6">
      <c r="A5683" s="753"/>
      <c r="B5683" s="753"/>
      <c r="C5683" s="752" t="s">
        <v>43542</v>
      </c>
      <c r="D5683" s="753" t="s">
        <v>43521</v>
      </c>
      <c r="E5683" s="752" t="s">
        <v>43541</v>
      </c>
      <c r="F5683" s="751">
        <v>3925</v>
      </c>
    </row>
    <row r="5684" spans="1:6">
      <c r="A5684" s="753"/>
      <c r="B5684" s="753"/>
      <c r="C5684" s="752" t="s">
        <v>43540</v>
      </c>
      <c r="D5684" s="753" t="s">
        <v>43521</v>
      </c>
      <c r="E5684" s="752" t="s">
        <v>43243</v>
      </c>
      <c r="F5684" s="751">
        <v>4175</v>
      </c>
    </row>
    <row r="5685" spans="1:6">
      <c r="A5685" s="753"/>
      <c r="B5685" s="753"/>
      <c r="C5685" s="752" t="s">
        <v>43539</v>
      </c>
      <c r="D5685" s="753" t="s">
        <v>43521</v>
      </c>
      <c r="E5685" s="752" t="s">
        <v>43258</v>
      </c>
      <c r="F5685" s="751">
        <v>4175</v>
      </c>
    </row>
    <row r="5686" spans="1:6">
      <c r="A5686" s="753"/>
      <c r="B5686" s="753"/>
      <c r="C5686" s="752" t="s">
        <v>43538</v>
      </c>
      <c r="D5686" s="753" t="s">
        <v>43521</v>
      </c>
      <c r="E5686" s="752" t="s">
        <v>43272</v>
      </c>
      <c r="F5686" s="751">
        <v>4975</v>
      </c>
    </row>
    <row r="5687" spans="1:6">
      <c r="A5687" s="753"/>
      <c r="B5687" s="753"/>
      <c r="C5687" s="752" t="s">
        <v>43537</v>
      </c>
      <c r="D5687" s="753" t="s">
        <v>43521</v>
      </c>
      <c r="E5687" s="752" t="s">
        <v>43536</v>
      </c>
      <c r="F5687" s="751">
        <v>4825</v>
      </c>
    </row>
    <row r="5688" spans="1:6">
      <c r="A5688" s="753"/>
      <c r="B5688" s="753"/>
      <c r="C5688" s="752" t="s">
        <v>43535</v>
      </c>
      <c r="D5688" s="753" t="s">
        <v>43521</v>
      </c>
      <c r="E5688" s="752" t="s">
        <v>43534</v>
      </c>
      <c r="F5688" s="751">
        <v>4625</v>
      </c>
    </row>
    <row r="5689" spans="1:6">
      <c r="A5689" s="753"/>
      <c r="B5689" s="753"/>
      <c r="C5689" s="752" t="s">
        <v>43533</v>
      </c>
      <c r="D5689" s="753" t="s">
        <v>43521</v>
      </c>
      <c r="E5689" s="752" t="s">
        <v>43532</v>
      </c>
      <c r="F5689" s="751">
        <v>3925</v>
      </c>
    </row>
    <row r="5690" spans="1:6">
      <c r="A5690" s="753"/>
      <c r="B5690" s="753"/>
      <c r="C5690" s="752" t="s">
        <v>43531</v>
      </c>
      <c r="D5690" s="753" t="s">
        <v>43521</v>
      </c>
      <c r="E5690" s="752" t="s">
        <v>43289</v>
      </c>
      <c r="F5690" s="751">
        <v>4975</v>
      </c>
    </row>
    <row r="5691" spans="1:6">
      <c r="A5691" s="753"/>
      <c r="B5691" s="753"/>
      <c r="C5691" s="752" t="s">
        <v>43530</v>
      </c>
      <c r="D5691" s="753" t="s">
        <v>43521</v>
      </c>
      <c r="E5691" s="752" t="s">
        <v>43282</v>
      </c>
      <c r="F5691" s="751">
        <v>4975</v>
      </c>
    </row>
    <row r="5692" spans="1:6">
      <c r="A5692" s="753"/>
      <c r="B5692" s="753"/>
      <c r="C5692" s="752" t="s">
        <v>43529</v>
      </c>
      <c r="D5692" s="753" t="s">
        <v>43521</v>
      </c>
      <c r="E5692" s="752" t="s">
        <v>43415</v>
      </c>
      <c r="F5692" s="751">
        <v>4625</v>
      </c>
    </row>
    <row r="5693" spans="1:6">
      <c r="A5693" s="753"/>
      <c r="B5693" s="753"/>
      <c r="C5693" s="752" t="s">
        <v>43528</v>
      </c>
      <c r="D5693" s="753" t="s">
        <v>43521</v>
      </c>
      <c r="E5693" s="752" t="s">
        <v>43527</v>
      </c>
      <c r="F5693" s="751">
        <v>4175</v>
      </c>
    </row>
    <row r="5694" spans="1:6">
      <c r="A5694" s="753"/>
      <c r="B5694" s="753"/>
      <c r="C5694" s="752" t="s">
        <v>43526</v>
      </c>
      <c r="D5694" s="753" t="s">
        <v>43521</v>
      </c>
      <c r="E5694" s="752" t="s">
        <v>43525</v>
      </c>
      <c r="F5694" s="751">
        <v>4975</v>
      </c>
    </row>
    <row r="5695" spans="1:6">
      <c r="A5695" s="753"/>
      <c r="B5695" s="753"/>
      <c r="C5695" s="752" t="s">
        <v>43524</v>
      </c>
      <c r="D5695" s="753" t="s">
        <v>43521</v>
      </c>
      <c r="E5695" s="752" t="s">
        <v>43523</v>
      </c>
      <c r="F5695" s="751">
        <v>3925</v>
      </c>
    </row>
    <row r="5696" spans="1:6">
      <c r="A5696" s="753"/>
      <c r="B5696" s="753"/>
      <c r="C5696" s="752" t="s">
        <v>43522</v>
      </c>
      <c r="D5696" s="753" t="s">
        <v>43521</v>
      </c>
      <c r="E5696" s="752" t="s">
        <v>38002</v>
      </c>
      <c r="F5696" s="751">
        <v>5325</v>
      </c>
    </row>
    <row r="5697" spans="1:6">
      <c r="A5697" s="753"/>
      <c r="B5697" s="753"/>
      <c r="C5697" s="752" t="s">
        <v>43520</v>
      </c>
      <c r="D5697" s="753" t="s">
        <v>43492</v>
      </c>
      <c r="E5697" s="752" t="s">
        <v>43243</v>
      </c>
      <c r="F5697" s="751">
        <v>3875</v>
      </c>
    </row>
    <row r="5698" spans="1:6">
      <c r="A5698" s="753"/>
      <c r="B5698" s="753"/>
      <c r="C5698" s="752" t="s">
        <v>43519</v>
      </c>
      <c r="D5698" s="753" t="s">
        <v>43492</v>
      </c>
      <c r="E5698" s="752" t="s">
        <v>43307</v>
      </c>
      <c r="F5698" s="751">
        <v>4975</v>
      </c>
    </row>
    <row r="5699" spans="1:6">
      <c r="A5699" s="753"/>
      <c r="B5699" s="753"/>
      <c r="C5699" s="752" t="s">
        <v>43518</v>
      </c>
      <c r="D5699" s="753" t="s">
        <v>43512</v>
      </c>
      <c r="E5699" s="752" t="s">
        <v>43517</v>
      </c>
      <c r="F5699" s="751">
        <v>4375</v>
      </c>
    </row>
    <row r="5700" spans="1:6">
      <c r="A5700" s="753"/>
      <c r="B5700" s="753"/>
      <c r="C5700" s="752" t="s">
        <v>43516</v>
      </c>
      <c r="D5700" s="753" t="s">
        <v>43512</v>
      </c>
      <c r="E5700" s="752" t="s">
        <v>43515</v>
      </c>
      <c r="F5700" s="751">
        <v>5675</v>
      </c>
    </row>
    <row r="5701" spans="1:6">
      <c r="A5701" s="753"/>
      <c r="B5701" s="753"/>
      <c r="C5701" s="752" t="s">
        <v>43514</v>
      </c>
      <c r="D5701" s="753" t="s">
        <v>43512</v>
      </c>
      <c r="E5701" s="752" t="s">
        <v>43401</v>
      </c>
      <c r="F5701" s="751">
        <v>4125</v>
      </c>
    </row>
    <row r="5702" spans="1:6">
      <c r="A5702" s="753"/>
      <c r="B5702" s="753"/>
      <c r="C5702" s="752" t="s">
        <v>43513</v>
      </c>
      <c r="D5702" s="753" t="s">
        <v>43512</v>
      </c>
      <c r="E5702" s="752" t="s">
        <v>43243</v>
      </c>
      <c r="F5702" s="751">
        <v>3875</v>
      </c>
    </row>
    <row r="5703" spans="1:6">
      <c r="A5703" s="753"/>
      <c r="B5703" s="753"/>
      <c r="C5703" s="752" t="s">
        <v>43511</v>
      </c>
      <c r="D5703" s="753" t="s">
        <v>43492</v>
      </c>
      <c r="E5703" s="752" t="s">
        <v>43307</v>
      </c>
      <c r="F5703" s="751">
        <v>4975</v>
      </c>
    </row>
    <row r="5704" spans="1:6">
      <c r="A5704" s="753"/>
      <c r="B5704" s="753"/>
      <c r="C5704" s="752" t="s">
        <v>43510</v>
      </c>
      <c r="D5704" s="753" t="s">
        <v>43492</v>
      </c>
      <c r="E5704" s="752" t="s">
        <v>43509</v>
      </c>
      <c r="F5704" s="751">
        <v>5325</v>
      </c>
    </row>
    <row r="5705" spans="1:6">
      <c r="A5705" s="753"/>
      <c r="B5705" s="753"/>
      <c r="C5705" s="752" t="s">
        <v>43508</v>
      </c>
      <c r="D5705" s="753" t="s">
        <v>43507</v>
      </c>
      <c r="E5705" s="752" t="s">
        <v>43243</v>
      </c>
      <c r="F5705" s="751">
        <v>4175</v>
      </c>
    </row>
    <row r="5706" spans="1:6">
      <c r="A5706" s="753"/>
      <c r="B5706" s="753"/>
      <c r="C5706" s="752" t="s">
        <v>43506</v>
      </c>
      <c r="D5706" s="753" t="s">
        <v>43502</v>
      </c>
      <c r="E5706" s="752" t="s">
        <v>43401</v>
      </c>
      <c r="F5706" s="751">
        <v>4425</v>
      </c>
    </row>
    <row r="5707" spans="1:6">
      <c r="A5707" s="753"/>
      <c r="B5707" s="753"/>
      <c r="C5707" s="752" t="s">
        <v>43505</v>
      </c>
      <c r="D5707" s="753" t="s">
        <v>43502</v>
      </c>
      <c r="E5707" s="752" t="s">
        <v>43504</v>
      </c>
      <c r="F5707" s="751">
        <v>5185</v>
      </c>
    </row>
    <row r="5708" spans="1:6">
      <c r="A5708" s="753"/>
      <c r="B5708" s="753"/>
      <c r="C5708" s="752" t="s">
        <v>43503</v>
      </c>
      <c r="D5708" s="753" t="s">
        <v>43502</v>
      </c>
      <c r="E5708" s="752" t="s">
        <v>38299</v>
      </c>
      <c r="F5708" s="751">
        <v>4175</v>
      </c>
    </row>
    <row r="5709" spans="1:6">
      <c r="A5709" s="753"/>
      <c r="B5709" s="753"/>
      <c r="C5709" s="752" t="s">
        <v>43501</v>
      </c>
      <c r="D5709" s="753" t="s">
        <v>43492</v>
      </c>
      <c r="E5709" s="752" t="s">
        <v>43291</v>
      </c>
      <c r="F5709" s="751">
        <v>4625</v>
      </c>
    </row>
    <row r="5710" spans="1:6">
      <c r="A5710" s="753"/>
      <c r="B5710" s="753"/>
      <c r="C5710" s="752" t="s">
        <v>43500</v>
      </c>
      <c r="D5710" s="753" t="s">
        <v>43492</v>
      </c>
      <c r="E5710" s="752" t="s">
        <v>43499</v>
      </c>
      <c r="F5710" s="751">
        <v>4975</v>
      </c>
    </row>
    <row r="5711" spans="1:6">
      <c r="A5711" s="753"/>
      <c r="B5711" s="753"/>
      <c r="C5711" s="752" t="s">
        <v>43498</v>
      </c>
      <c r="D5711" s="753" t="s">
        <v>43492</v>
      </c>
      <c r="E5711" s="752" t="s">
        <v>43307</v>
      </c>
      <c r="F5711" s="751">
        <v>4975</v>
      </c>
    </row>
    <row r="5712" spans="1:6">
      <c r="A5712" s="753"/>
      <c r="B5712" s="753"/>
      <c r="C5712" s="752" t="s">
        <v>43497</v>
      </c>
      <c r="D5712" s="753" t="s">
        <v>43492</v>
      </c>
      <c r="E5712" s="752" t="s">
        <v>43496</v>
      </c>
      <c r="F5712" s="751">
        <v>4625</v>
      </c>
    </row>
    <row r="5713" spans="1:6">
      <c r="A5713" s="753"/>
      <c r="B5713" s="753"/>
      <c r="C5713" s="752" t="s">
        <v>43495</v>
      </c>
      <c r="D5713" s="753" t="s">
        <v>43492</v>
      </c>
      <c r="E5713" s="752" t="s">
        <v>43494</v>
      </c>
      <c r="F5713" s="751">
        <v>4975</v>
      </c>
    </row>
    <row r="5714" spans="1:6">
      <c r="A5714" s="753"/>
      <c r="B5714" s="753"/>
      <c r="C5714" s="752" t="s">
        <v>43493</v>
      </c>
      <c r="D5714" s="753" t="s">
        <v>43492</v>
      </c>
      <c r="E5714" s="752" t="s">
        <v>43491</v>
      </c>
      <c r="F5714" s="751">
        <v>5325</v>
      </c>
    </row>
    <row r="5715" spans="1:6">
      <c r="A5715" s="753"/>
      <c r="B5715" s="753"/>
      <c r="C5715" s="752" t="s">
        <v>43490</v>
      </c>
      <c r="D5715" s="753" t="s">
        <v>43489</v>
      </c>
      <c r="E5715" s="752" t="s">
        <v>43488</v>
      </c>
      <c r="F5715" s="751">
        <v>3775</v>
      </c>
    </row>
    <row r="5716" spans="1:6">
      <c r="A5716" s="753"/>
      <c r="B5716" s="753"/>
      <c r="C5716" s="752" t="s">
        <v>43487</v>
      </c>
      <c r="D5716" s="753" t="s">
        <v>43460</v>
      </c>
      <c r="E5716" s="752" t="s">
        <v>43486</v>
      </c>
      <c r="F5716" s="751">
        <v>3175</v>
      </c>
    </row>
    <row r="5717" spans="1:6">
      <c r="A5717" s="753"/>
      <c r="B5717" s="753"/>
      <c r="C5717" s="752" t="s">
        <v>43485</v>
      </c>
      <c r="D5717" s="753" t="s">
        <v>43460</v>
      </c>
      <c r="E5717" s="752" t="s">
        <v>43484</v>
      </c>
      <c r="F5717" s="751">
        <v>3525</v>
      </c>
    </row>
    <row r="5718" spans="1:6">
      <c r="A5718" s="753"/>
      <c r="B5718" s="753"/>
      <c r="C5718" s="752" t="s">
        <v>43483</v>
      </c>
      <c r="D5718" s="753" t="s">
        <v>43460</v>
      </c>
      <c r="E5718" s="752" t="s">
        <v>43471</v>
      </c>
      <c r="F5718" s="751">
        <v>3175</v>
      </c>
    </row>
    <row r="5719" spans="1:6">
      <c r="A5719" s="753"/>
      <c r="B5719" s="753"/>
      <c r="C5719" s="752" t="s">
        <v>43482</v>
      </c>
      <c r="D5719" s="753" t="s">
        <v>43460</v>
      </c>
      <c r="E5719" s="752" t="s">
        <v>43365</v>
      </c>
      <c r="F5719" s="751">
        <v>3525</v>
      </c>
    </row>
    <row r="5720" spans="1:6">
      <c r="A5720" s="753"/>
      <c r="B5720" s="753"/>
      <c r="C5720" s="752" t="s">
        <v>43481</v>
      </c>
      <c r="D5720" s="753" t="s">
        <v>43460</v>
      </c>
      <c r="E5720" s="752" t="s">
        <v>43467</v>
      </c>
      <c r="F5720" s="751">
        <v>2925</v>
      </c>
    </row>
    <row r="5721" spans="1:6">
      <c r="A5721" s="753"/>
      <c r="B5721" s="753"/>
      <c r="C5721" s="752" t="s">
        <v>43480</v>
      </c>
      <c r="D5721" s="753" t="s">
        <v>43460</v>
      </c>
      <c r="E5721" s="752" t="s">
        <v>43479</v>
      </c>
      <c r="F5721" s="751">
        <v>3175</v>
      </c>
    </row>
    <row r="5722" spans="1:6">
      <c r="A5722" s="753"/>
      <c r="B5722" s="753"/>
      <c r="C5722" s="752" t="s">
        <v>43478</v>
      </c>
      <c r="D5722" s="753" t="s">
        <v>43460</v>
      </c>
      <c r="E5722" s="752" t="s">
        <v>43477</v>
      </c>
      <c r="F5722" s="751">
        <v>3525</v>
      </c>
    </row>
    <row r="5723" spans="1:6">
      <c r="A5723" s="753"/>
      <c r="B5723" s="753"/>
      <c r="C5723" s="752" t="s">
        <v>43476</v>
      </c>
      <c r="D5723" s="753" t="s">
        <v>43460</v>
      </c>
      <c r="E5723" s="752" t="s">
        <v>43475</v>
      </c>
      <c r="F5723" s="751">
        <v>3525</v>
      </c>
    </row>
    <row r="5724" spans="1:6">
      <c r="A5724" s="753"/>
      <c r="B5724" s="753"/>
      <c r="C5724" s="752" t="s">
        <v>43474</v>
      </c>
      <c r="D5724" s="753" t="s">
        <v>43460</v>
      </c>
      <c r="E5724" s="752" t="s">
        <v>43473</v>
      </c>
      <c r="F5724" s="751">
        <v>2925</v>
      </c>
    </row>
    <row r="5725" spans="1:6">
      <c r="A5725" s="753"/>
      <c r="B5725" s="753"/>
      <c r="C5725" s="752" t="s">
        <v>43472</v>
      </c>
      <c r="D5725" s="753" t="s">
        <v>43460</v>
      </c>
      <c r="E5725" s="752" t="s">
        <v>43471</v>
      </c>
      <c r="F5725" s="751">
        <v>3175</v>
      </c>
    </row>
    <row r="5726" spans="1:6">
      <c r="A5726" s="753"/>
      <c r="B5726" s="753"/>
      <c r="C5726" s="752" t="s">
        <v>43470</v>
      </c>
      <c r="D5726" s="753" t="s">
        <v>43460</v>
      </c>
      <c r="E5726" s="752" t="s">
        <v>43365</v>
      </c>
      <c r="F5726" s="751">
        <v>3525</v>
      </c>
    </row>
    <row r="5727" spans="1:6">
      <c r="A5727" s="753"/>
      <c r="B5727" s="753"/>
      <c r="C5727" s="752" t="s">
        <v>43469</v>
      </c>
      <c r="D5727" s="753" t="s">
        <v>43460</v>
      </c>
      <c r="E5727" s="752" t="s">
        <v>43465</v>
      </c>
      <c r="F5727" s="751">
        <v>3175</v>
      </c>
    </row>
    <row r="5728" spans="1:6">
      <c r="A5728" s="753"/>
      <c r="B5728" s="753"/>
      <c r="C5728" s="752" t="s">
        <v>43468</v>
      </c>
      <c r="D5728" s="753" t="s">
        <v>43460</v>
      </c>
      <c r="E5728" s="752" t="s">
        <v>43467</v>
      </c>
      <c r="F5728" s="751">
        <v>2925</v>
      </c>
    </row>
    <row r="5729" spans="1:6">
      <c r="A5729" s="753"/>
      <c r="B5729" s="753"/>
      <c r="C5729" s="752" t="s">
        <v>43466</v>
      </c>
      <c r="D5729" s="753" t="s">
        <v>43460</v>
      </c>
      <c r="E5729" s="752" t="s">
        <v>43465</v>
      </c>
      <c r="F5729" s="751">
        <v>3175</v>
      </c>
    </row>
    <row r="5730" spans="1:6">
      <c r="A5730" s="753"/>
      <c r="B5730" s="753"/>
      <c r="C5730" s="752" t="s">
        <v>43464</v>
      </c>
      <c r="D5730" s="753" t="s">
        <v>43460</v>
      </c>
      <c r="E5730" s="752" t="s">
        <v>43358</v>
      </c>
      <c r="F5730" s="751">
        <v>2925</v>
      </c>
    </row>
    <row r="5731" spans="1:6">
      <c r="A5731" s="753"/>
      <c r="B5731" s="753"/>
      <c r="C5731" s="752" t="s">
        <v>43463</v>
      </c>
      <c r="D5731" s="753" t="s">
        <v>43460</v>
      </c>
      <c r="E5731" s="752" t="s">
        <v>43462</v>
      </c>
      <c r="F5731" s="751">
        <v>3175</v>
      </c>
    </row>
    <row r="5732" spans="1:6">
      <c r="A5732" s="753"/>
      <c r="B5732" s="753"/>
      <c r="C5732" s="752" t="s">
        <v>43461</v>
      </c>
      <c r="D5732" s="753" t="s">
        <v>43460</v>
      </c>
      <c r="E5732" s="752" t="s">
        <v>43459</v>
      </c>
      <c r="F5732" s="751">
        <v>2925</v>
      </c>
    </row>
    <row r="5733" spans="1:6">
      <c r="A5733" s="753"/>
      <c r="B5733" s="753"/>
      <c r="C5733" s="752" t="s">
        <v>43458</v>
      </c>
      <c r="D5733" s="753" t="s">
        <v>43267</v>
      </c>
      <c r="E5733" s="752" t="s">
        <v>43243</v>
      </c>
      <c r="F5733" s="751">
        <v>3975</v>
      </c>
    </row>
    <row r="5734" spans="1:6">
      <c r="A5734" s="753"/>
      <c r="B5734" s="753"/>
      <c r="C5734" s="752" t="s">
        <v>43457</v>
      </c>
      <c r="D5734" s="753" t="s">
        <v>43267</v>
      </c>
      <c r="E5734" s="752" t="s">
        <v>43307</v>
      </c>
      <c r="F5734" s="751">
        <v>4775</v>
      </c>
    </row>
    <row r="5735" spans="1:6">
      <c r="A5735" s="753"/>
      <c r="B5735" s="753"/>
      <c r="C5735" s="752" t="s">
        <v>43456</v>
      </c>
      <c r="D5735" s="753" t="s">
        <v>43267</v>
      </c>
      <c r="E5735" s="752" t="s">
        <v>38010</v>
      </c>
      <c r="F5735" s="751">
        <v>4475</v>
      </c>
    </row>
    <row r="5736" spans="1:6">
      <c r="A5736" s="753"/>
      <c r="B5736" s="753"/>
      <c r="C5736" s="752" t="s">
        <v>43455</v>
      </c>
      <c r="D5736" s="753" t="s">
        <v>43267</v>
      </c>
      <c r="E5736" s="752" t="s">
        <v>43339</v>
      </c>
      <c r="F5736" s="751">
        <v>5475</v>
      </c>
    </row>
    <row r="5737" spans="1:6">
      <c r="A5737" s="753"/>
      <c r="B5737" s="753"/>
      <c r="C5737" s="752" t="s">
        <v>43454</v>
      </c>
      <c r="D5737" s="753" t="s">
        <v>43267</v>
      </c>
      <c r="E5737" s="752" t="s">
        <v>43337</v>
      </c>
      <c r="F5737" s="751">
        <v>4225</v>
      </c>
    </row>
    <row r="5738" spans="1:6">
      <c r="A5738" s="753"/>
      <c r="B5738" s="753"/>
      <c r="C5738" s="752" t="s">
        <v>43453</v>
      </c>
      <c r="D5738" s="753" t="s">
        <v>43267</v>
      </c>
      <c r="E5738" s="752" t="s">
        <v>43243</v>
      </c>
      <c r="F5738" s="751">
        <v>3975</v>
      </c>
    </row>
    <row r="5739" spans="1:6">
      <c r="A5739" s="753"/>
      <c r="B5739" s="753"/>
      <c r="C5739" s="752" t="s">
        <v>43452</v>
      </c>
      <c r="D5739" s="753" t="s">
        <v>43267</v>
      </c>
      <c r="E5739" s="752" t="s">
        <v>43451</v>
      </c>
      <c r="F5739" s="751">
        <v>4735</v>
      </c>
    </row>
    <row r="5740" spans="1:6">
      <c r="A5740" s="753"/>
      <c r="B5740" s="753"/>
      <c r="C5740" s="752" t="s">
        <v>43450</v>
      </c>
      <c r="D5740" s="753" t="s">
        <v>43267</v>
      </c>
      <c r="E5740" s="752" t="s">
        <v>43307</v>
      </c>
      <c r="F5740" s="751">
        <v>4775</v>
      </c>
    </row>
    <row r="5741" spans="1:6">
      <c r="A5741" s="753"/>
      <c r="B5741" s="753"/>
      <c r="C5741" s="752" t="s">
        <v>43449</v>
      </c>
      <c r="D5741" s="753" t="s">
        <v>43267</v>
      </c>
      <c r="E5741" s="752" t="s">
        <v>43448</v>
      </c>
      <c r="F5741" s="751">
        <v>4735</v>
      </c>
    </row>
    <row r="5742" spans="1:6">
      <c r="A5742" s="753"/>
      <c r="B5742" s="753"/>
      <c r="C5742" s="752" t="s">
        <v>43447</v>
      </c>
      <c r="D5742" s="753" t="s">
        <v>43267</v>
      </c>
      <c r="E5742" s="752" t="s">
        <v>38002</v>
      </c>
      <c r="F5742" s="751">
        <v>5125</v>
      </c>
    </row>
    <row r="5743" spans="1:6">
      <c r="A5743" s="753"/>
      <c r="B5743" s="753"/>
      <c r="C5743" s="752" t="s">
        <v>43446</v>
      </c>
      <c r="D5743" s="753" t="s">
        <v>43267</v>
      </c>
      <c r="E5743" s="752" t="s">
        <v>43348</v>
      </c>
      <c r="F5743" s="751">
        <v>4775</v>
      </c>
    </row>
    <row r="5744" spans="1:6">
      <c r="A5744" s="753"/>
      <c r="B5744" s="753"/>
      <c r="C5744" s="752" t="s">
        <v>43445</v>
      </c>
      <c r="D5744" s="753" t="s">
        <v>43267</v>
      </c>
      <c r="E5744" s="752" t="s">
        <v>43444</v>
      </c>
      <c r="F5744" s="751">
        <v>4475</v>
      </c>
    </row>
    <row r="5745" spans="1:6">
      <c r="A5745" s="753"/>
      <c r="B5745" s="753"/>
      <c r="C5745" s="752" t="s">
        <v>43443</v>
      </c>
      <c r="D5745" s="753" t="s">
        <v>43267</v>
      </c>
      <c r="E5745" s="752" t="s">
        <v>43442</v>
      </c>
      <c r="F5745" s="751">
        <v>5475</v>
      </c>
    </row>
    <row r="5746" spans="1:6">
      <c r="A5746" s="753"/>
      <c r="B5746" s="753"/>
      <c r="C5746" s="752" t="s">
        <v>43441</v>
      </c>
      <c r="D5746" s="753" t="s">
        <v>43267</v>
      </c>
      <c r="E5746" s="752" t="s">
        <v>43344</v>
      </c>
      <c r="F5746" s="751">
        <v>3975</v>
      </c>
    </row>
    <row r="5747" spans="1:6">
      <c r="A5747" s="753"/>
      <c r="B5747" s="753"/>
      <c r="C5747" s="752" t="s">
        <v>43440</v>
      </c>
      <c r="D5747" s="753" t="s">
        <v>43267</v>
      </c>
      <c r="E5747" s="752" t="s">
        <v>43439</v>
      </c>
      <c r="F5747" s="751">
        <v>4775</v>
      </c>
    </row>
    <row r="5748" spans="1:6">
      <c r="A5748" s="753"/>
      <c r="B5748" s="753"/>
      <c r="C5748" s="752" t="s">
        <v>43438</v>
      </c>
      <c r="D5748" s="753" t="s">
        <v>43437</v>
      </c>
      <c r="E5748" s="752" t="s">
        <v>43344</v>
      </c>
      <c r="F5748" s="751">
        <v>3725</v>
      </c>
    </row>
    <row r="5749" spans="1:6">
      <c r="A5749" s="753"/>
      <c r="B5749" s="753"/>
      <c r="C5749" s="752" t="s">
        <v>43436</v>
      </c>
      <c r="D5749" s="753" t="s">
        <v>43267</v>
      </c>
      <c r="E5749" s="752" t="s">
        <v>43435</v>
      </c>
      <c r="F5749" s="751">
        <v>4425</v>
      </c>
    </row>
    <row r="5750" spans="1:6">
      <c r="A5750" s="753"/>
      <c r="B5750" s="753"/>
      <c r="C5750" s="752" t="s">
        <v>43434</v>
      </c>
      <c r="D5750" s="753" t="s">
        <v>43267</v>
      </c>
      <c r="E5750" s="752" t="s">
        <v>43301</v>
      </c>
      <c r="F5750" s="751">
        <v>4225</v>
      </c>
    </row>
    <row r="5751" spans="1:6">
      <c r="A5751" s="753"/>
      <c r="B5751" s="753"/>
      <c r="C5751" s="752" t="s">
        <v>43433</v>
      </c>
      <c r="D5751" s="753" t="s">
        <v>43267</v>
      </c>
      <c r="E5751" s="752" t="s">
        <v>43432</v>
      </c>
      <c r="F5751" s="751">
        <v>5125</v>
      </c>
    </row>
    <row r="5752" spans="1:6">
      <c r="A5752" s="753"/>
      <c r="B5752" s="753"/>
      <c r="C5752" s="752" t="s">
        <v>43431</v>
      </c>
      <c r="D5752" s="753" t="s">
        <v>43267</v>
      </c>
      <c r="E5752" s="752" t="s">
        <v>38010</v>
      </c>
      <c r="F5752" s="751">
        <v>4475</v>
      </c>
    </row>
    <row r="5753" spans="1:6">
      <c r="A5753" s="753"/>
      <c r="B5753" s="753"/>
      <c r="C5753" s="752" t="s">
        <v>43430</v>
      </c>
      <c r="D5753" s="753" t="s">
        <v>43267</v>
      </c>
      <c r="E5753" s="752" t="s">
        <v>43337</v>
      </c>
      <c r="F5753" s="751">
        <v>4225</v>
      </c>
    </row>
    <row r="5754" spans="1:6">
      <c r="A5754" s="753"/>
      <c r="B5754" s="753"/>
      <c r="C5754" s="752" t="s">
        <v>43429</v>
      </c>
      <c r="D5754" s="753" t="s">
        <v>43267</v>
      </c>
      <c r="E5754" s="752" t="s">
        <v>43243</v>
      </c>
      <c r="F5754" s="751">
        <v>3975</v>
      </c>
    </row>
    <row r="5755" spans="1:6">
      <c r="A5755" s="753"/>
      <c r="B5755" s="753"/>
      <c r="C5755" s="752" t="s">
        <v>43428</v>
      </c>
      <c r="D5755" s="753" t="s">
        <v>43267</v>
      </c>
      <c r="E5755" s="752" t="s">
        <v>43427</v>
      </c>
      <c r="F5755" s="751">
        <v>3975</v>
      </c>
    </row>
    <row r="5756" spans="1:6">
      <c r="A5756" s="753"/>
      <c r="B5756" s="753"/>
      <c r="C5756" s="752" t="s">
        <v>43426</v>
      </c>
      <c r="D5756" s="753" t="s">
        <v>43267</v>
      </c>
      <c r="E5756" s="752" t="s">
        <v>43425</v>
      </c>
      <c r="F5756" s="751">
        <v>3725</v>
      </c>
    </row>
    <row r="5757" spans="1:6">
      <c r="A5757" s="753"/>
      <c r="B5757" s="753"/>
      <c r="C5757" s="752" t="s">
        <v>43424</v>
      </c>
      <c r="D5757" s="753" t="s">
        <v>43267</v>
      </c>
      <c r="E5757" s="752" t="s">
        <v>43282</v>
      </c>
      <c r="F5757" s="751">
        <v>4775</v>
      </c>
    </row>
    <row r="5758" spans="1:6">
      <c r="A5758" s="753"/>
      <c r="B5758" s="753"/>
      <c r="C5758" s="752" t="s">
        <v>43423</v>
      </c>
      <c r="D5758" s="753" t="s">
        <v>43267</v>
      </c>
      <c r="E5758" s="752" t="s">
        <v>43422</v>
      </c>
      <c r="F5758" s="751">
        <v>4735</v>
      </c>
    </row>
    <row r="5759" spans="1:6">
      <c r="A5759" s="753"/>
      <c r="B5759" s="753"/>
      <c r="C5759" s="752" t="s">
        <v>43421</v>
      </c>
      <c r="D5759" s="753" t="s">
        <v>43267</v>
      </c>
      <c r="E5759" s="752" t="s">
        <v>43420</v>
      </c>
      <c r="F5759" s="751">
        <v>3725</v>
      </c>
    </row>
    <row r="5760" spans="1:6">
      <c r="A5760" s="753"/>
      <c r="B5760" s="753"/>
      <c r="C5760" s="752" t="s">
        <v>43419</v>
      </c>
      <c r="D5760" s="753" t="s">
        <v>43267</v>
      </c>
      <c r="E5760" s="752" t="s">
        <v>43418</v>
      </c>
      <c r="F5760" s="751">
        <v>4775</v>
      </c>
    </row>
    <row r="5761" spans="1:6">
      <c r="A5761" s="753"/>
      <c r="B5761" s="753"/>
      <c r="C5761" s="752" t="s">
        <v>43417</v>
      </c>
      <c r="D5761" s="753" t="s">
        <v>43267</v>
      </c>
      <c r="E5761" s="752" t="s">
        <v>43282</v>
      </c>
      <c r="F5761" s="751">
        <v>4775</v>
      </c>
    </row>
    <row r="5762" spans="1:6">
      <c r="A5762" s="753"/>
      <c r="B5762" s="753"/>
      <c r="C5762" s="752" t="s">
        <v>43416</v>
      </c>
      <c r="D5762" s="753" t="s">
        <v>43267</v>
      </c>
      <c r="E5762" s="752" t="s">
        <v>43415</v>
      </c>
      <c r="F5762" s="751">
        <v>4425</v>
      </c>
    </row>
    <row r="5763" spans="1:6">
      <c r="A5763" s="753"/>
      <c r="B5763" s="753"/>
      <c r="C5763" s="752" t="s">
        <v>43414</v>
      </c>
      <c r="D5763" s="753" t="s">
        <v>43267</v>
      </c>
      <c r="E5763" s="752" t="s">
        <v>43413</v>
      </c>
      <c r="F5763" s="751">
        <v>3975</v>
      </c>
    </row>
    <row r="5764" spans="1:6">
      <c r="A5764" s="753"/>
      <c r="B5764" s="753"/>
      <c r="C5764" s="752" t="s">
        <v>43412</v>
      </c>
      <c r="D5764" s="753" t="s">
        <v>43267</v>
      </c>
      <c r="E5764" s="752" t="s">
        <v>43411</v>
      </c>
      <c r="F5764" s="751">
        <v>4775</v>
      </c>
    </row>
    <row r="5765" spans="1:6">
      <c r="A5765" s="753"/>
      <c r="B5765" s="753"/>
      <c r="C5765" s="752" t="s">
        <v>43410</v>
      </c>
      <c r="D5765" s="753" t="s">
        <v>43267</v>
      </c>
      <c r="E5765" s="752" t="s">
        <v>43301</v>
      </c>
      <c r="F5765" s="751">
        <v>4225</v>
      </c>
    </row>
    <row r="5766" spans="1:6">
      <c r="A5766" s="753"/>
      <c r="B5766" s="753"/>
      <c r="C5766" s="752" t="s">
        <v>43409</v>
      </c>
      <c r="D5766" s="753" t="s">
        <v>43267</v>
      </c>
      <c r="E5766" s="752" t="s">
        <v>38002</v>
      </c>
      <c r="F5766" s="751">
        <v>5125</v>
      </c>
    </row>
    <row r="5767" spans="1:6">
      <c r="A5767" s="753"/>
      <c r="B5767" s="753"/>
      <c r="C5767" s="752" t="s">
        <v>43408</v>
      </c>
      <c r="D5767" s="753" t="s">
        <v>43267</v>
      </c>
      <c r="E5767" s="752" t="s">
        <v>43407</v>
      </c>
      <c r="F5767" s="751">
        <v>3975</v>
      </c>
    </row>
    <row r="5768" spans="1:6">
      <c r="A5768" s="753"/>
      <c r="B5768" s="753"/>
      <c r="C5768" s="752" t="s">
        <v>43406</v>
      </c>
      <c r="D5768" s="753" t="s">
        <v>43377</v>
      </c>
      <c r="E5768" s="752" t="s">
        <v>43243</v>
      </c>
      <c r="F5768" s="751">
        <v>3675</v>
      </c>
    </row>
    <row r="5769" spans="1:6">
      <c r="A5769" s="753"/>
      <c r="B5769" s="753"/>
      <c r="C5769" s="752" t="s">
        <v>43405</v>
      </c>
      <c r="D5769" s="753" t="s">
        <v>43377</v>
      </c>
      <c r="E5769" s="752" t="s">
        <v>43307</v>
      </c>
      <c r="F5769" s="751">
        <v>4775</v>
      </c>
    </row>
    <row r="5770" spans="1:6">
      <c r="A5770" s="753"/>
      <c r="B5770" s="753"/>
      <c r="C5770" s="752" t="s">
        <v>43404</v>
      </c>
      <c r="D5770" s="753" t="s">
        <v>43385</v>
      </c>
      <c r="E5770" s="752" t="s">
        <v>38010</v>
      </c>
      <c r="F5770" s="751">
        <v>4175</v>
      </c>
    </row>
    <row r="5771" spans="1:6">
      <c r="A5771" s="753"/>
      <c r="B5771" s="753"/>
      <c r="C5771" s="752" t="s">
        <v>43403</v>
      </c>
      <c r="D5771" s="753" t="s">
        <v>43385</v>
      </c>
      <c r="E5771" s="752" t="s">
        <v>43384</v>
      </c>
      <c r="F5771" s="751">
        <v>5475</v>
      </c>
    </row>
    <row r="5772" spans="1:6">
      <c r="A5772" s="753"/>
      <c r="B5772" s="753"/>
      <c r="C5772" s="752" t="s">
        <v>43402</v>
      </c>
      <c r="D5772" s="753" t="s">
        <v>43377</v>
      </c>
      <c r="E5772" s="752" t="s">
        <v>43401</v>
      </c>
      <c r="F5772" s="751">
        <v>3925</v>
      </c>
    </row>
    <row r="5773" spans="1:6">
      <c r="A5773" s="753"/>
      <c r="B5773" s="753"/>
      <c r="C5773" s="752" t="s">
        <v>43400</v>
      </c>
      <c r="D5773" s="753" t="s">
        <v>43377</v>
      </c>
      <c r="E5773" s="752" t="s">
        <v>43243</v>
      </c>
      <c r="F5773" s="751">
        <v>3675</v>
      </c>
    </row>
    <row r="5774" spans="1:6">
      <c r="A5774" s="753"/>
      <c r="B5774" s="753"/>
      <c r="C5774" s="752" t="s">
        <v>43399</v>
      </c>
      <c r="D5774" s="753" t="s">
        <v>43377</v>
      </c>
      <c r="E5774" s="752" t="s">
        <v>43376</v>
      </c>
      <c r="F5774" s="751">
        <v>4775</v>
      </c>
    </row>
    <row r="5775" spans="1:6">
      <c r="A5775" s="753"/>
      <c r="B5775" s="753"/>
      <c r="C5775" s="752" t="s">
        <v>43398</v>
      </c>
      <c r="D5775" s="753" t="s">
        <v>43377</v>
      </c>
      <c r="E5775" s="752" t="s">
        <v>43397</v>
      </c>
      <c r="F5775" s="751">
        <v>5125</v>
      </c>
    </row>
    <row r="5776" spans="1:6">
      <c r="A5776" s="753"/>
      <c r="B5776" s="753"/>
      <c r="C5776" s="752" t="s">
        <v>43396</v>
      </c>
      <c r="D5776" s="753" t="s">
        <v>43385</v>
      </c>
      <c r="E5776" s="752" t="s">
        <v>43387</v>
      </c>
      <c r="F5776" s="751">
        <v>5475</v>
      </c>
    </row>
    <row r="5777" spans="1:6">
      <c r="A5777" s="753"/>
      <c r="B5777" s="753"/>
      <c r="C5777" s="752" t="s">
        <v>43395</v>
      </c>
      <c r="D5777" s="753" t="s">
        <v>43377</v>
      </c>
      <c r="E5777" s="752" t="s">
        <v>43344</v>
      </c>
      <c r="F5777" s="751">
        <v>3675</v>
      </c>
    </row>
    <row r="5778" spans="1:6">
      <c r="A5778" s="753"/>
      <c r="B5778" s="753"/>
      <c r="C5778" s="752" t="s">
        <v>43394</v>
      </c>
      <c r="D5778" s="753" t="s">
        <v>43377</v>
      </c>
      <c r="E5778" s="752" t="s">
        <v>43393</v>
      </c>
      <c r="F5778" s="751">
        <v>4775</v>
      </c>
    </row>
    <row r="5779" spans="1:6">
      <c r="A5779" s="753"/>
      <c r="B5779" s="753"/>
      <c r="C5779" s="752" t="s">
        <v>43392</v>
      </c>
      <c r="D5779" s="753" t="s">
        <v>43377</v>
      </c>
      <c r="E5779" s="752" t="s">
        <v>43391</v>
      </c>
      <c r="F5779" s="751">
        <v>3925</v>
      </c>
    </row>
    <row r="5780" spans="1:6">
      <c r="A5780" s="753"/>
      <c r="B5780" s="753"/>
      <c r="C5780" s="752" t="s">
        <v>43390</v>
      </c>
      <c r="D5780" s="753" t="s">
        <v>43377</v>
      </c>
      <c r="E5780" s="752" t="s">
        <v>43389</v>
      </c>
      <c r="F5780" s="751">
        <v>5125</v>
      </c>
    </row>
    <row r="5781" spans="1:6">
      <c r="A5781" s="753"/>
      <c r="B5781" s="753"/>
      <c r="C5781" s="752" t="s">
        <v>43388</v>
      </c>
      <c r="D5781" s="753" t="s">
        <v>43385</v>
      </c>
      <c r="E5781" s="752" t="s">
        <v>43387</v>
      </c>
      <c r="F5781" s="751">
        <v>5475</v>
      </c>
    </row>
    <row r="5782" spans="1:6">
      <c r="A5782" s="753"/>
      <c r="B5782" s="753"/>
      <c r="C5782" s="752" t="s">
        <v>43386</v>
      </c>
      <c r="D5782" s="753" t="s">
        <v>43385</v>
      </c>
      <c r="E5782" s="752" t="s">
        <v>43384</v>
      </c>
      <c r="F5782" s="751">
        <v>5475</v>
      </c>
    </row>
    <row r="5783" spans="1:6">
      <c r="A5783" s="753"/>
      <c r="B5783" s="753"/>
      <c r="C5783" s="752" t="s">
        <v>43383</v>
      </c>
      <c r="D5783" s="753" t="s">
        <v>43377</v>
      </c>
      <c r="E5783" s="752" t="s">
        <v>43243</v>
      </c>
      <c r="F5783" s="751">
        <v>3675</v>
      </c>
    </row>
    <row r="5784" spans="1:6">
      <c r="A5784" s="753"/>
      <c r="B5784" s="753"/>
      <c r="C5784" s="752" t="s">
        <v>43382</v>
      </c>
      <c r="D5784" s="753" t="s">
        <v>43373</v>
      </c>
      <c r="E5784" s="752" t="s">
        <v>43328</v>
      </c>
      <c r="F5784" s="751">
        <v>4775</v>
      </c>
    </row>
    <row r="5785" spans="1:6">
      <c r="A5785" s="753"/>
      <c r="B5785" s="753"/>
      <c r="C5785" s="752" t="s">
        <v>43381</v>
      </c>
      <c r="D5785" s="753" t="s">
        <v>43373</v>
      </c>
      <c r="E5785" s="752" t="s">
        <v>43380</v>
      </c>
      <c r="F5785" s="751">
        <v>4775</v>
      </c>
    </row>
    <row r="5786" spans="1:6">
      <c r="A5786" s="753"/>
      <c r="B5786" s="753"/>
      <c r="C5786" s="752" t="s">
        <v>43379</v>
      </c>
      <c r="D5786" s="753" t="s">
        <v>43377</v>
      </c>
      <c r="E5786" s="752" t="s">
        <v>43344</v>
      </c>
      <c r="F5786" s="751">
        <v>3675</v>
      </c>
    </row>
    <row r="5787" spans="1:6">
      <c r="A5787" s="753"/>
      <c r="B5787" s="753"/>
      <c r="C5787" s="752" t="s">
        <v>43378</v>
      </c>
      <c r="D5787" s="753" t="s">
        <v>43377</v>
      </c>
      <c r="E5787" s="752" t="s">
        <v>43376</v>
      </c>
      <c r="F5787" s="751">
        <v>4775</v>
      </c>
    </row>
    <row r="5788" spans="1:6">
      <c r="A5788" s="753"/>
      <c r="B5788" s="753"/>
      <c r="C5788" s="752" t="s">
        <v>43375</v>
      </c>
      <c r="D5788" s="753" t="s">
        <v>43373</v>
      </c>
      <c r="E5788" s="752" t="s">
        <v>43282</v>
      </c>
      <c r="F5788" s="751">
        <v>4775</v>
      </c>
    </row>
    <row r="5789" spans="1:6">
      <c r="A5789" s="753"/>
      <c r="B5789" s="753"/>
      <c r="C5789" s="752" t="s">
        <v>43374</v>
      </c>
      <c r="D5789" s="753" t="s">
        <v>43373</v>
      </c>
      <c r="E5789" s="752" t="s">
        <v>38002</v>
      </c>
      <c r="F5789" s="751">
        <v>5125</v>
      </c>
    </row>
    <row r="5790" spans="1:6">
      <c r="A5790" s="753"/>
      <c r="B5790" s="753"/>
      <c r="C5790" s="752" t="s">
        <v>43372</v>
      </c>
      <c r="D5790" s="753" t="s">
        <v>43356</v>
      </c>
      <c r="E5790" s="752" t="s">
        <v>43371</v>
      </c>
      <c r="F5790" s="751">
        <v>3275</v>
      </c>
    </row>
    <row r="5791" spans="1:6">
      <c r="A5791" s="753"/>
      <c r="B5791" s="753"/>
      <c r="C5791" s="752" t="s">
        <v>43370</v>
      </c>
      <c r="D5791" s="753" t="s">
        <v>43356</v>
      </c>
      <c r="E5791" s="752" t="s">
        <v>43365</v>
      </c>
      <c r="F5791" s="751">
        <v>3245</v>
      </c>
    </row>
    <row r="5792" spans="1:6">
      <c r="A5792" s="753"/>
      <c r="B5792" s="753"/>
      <c r="C5792" s="752" t="s">
        <v>43369</v>
      </c>
      <c r="D5792" s="753" t="s">
        <v>43356</v>
      </c>
      <c r="E5792" s="752" t="s">
        <v>43367</v>
      </c>
      <c r="F5792" s="751">
        <v>3625</v>
      </c>
    </row>
    <row r="5793" spans="1:6">
      <c r="A5793" s="753"/>
      <c r="B5793" s="753"/>
      <c r="C5793" s="752" t="s">
        <v>43368</v>
      </c>
      <c r="D5793" s="753" t="s">
        <v>43356</v>
      </c>
      <c r="E5793" s="752" t="s">
        <v>43367</v>
      </c>
      <c r="F5793" s="751">
        <v>3625</v>
      </c>
    </row>
    <row r="5794" spans="1:6">
      <c r="A5794" s="753"/>
      <c r="B5794" s="753"/>
      <c r="C5794" s="752" t="s">
        <v>43366</v>
      </c>
      <c r="D5794" s="753" t="s">
        <v>43356</v>
      </c>
      <c r="E5794" s="752" t="s">
        <v>43365</v>
      </c>
      <c r="F5794" s="751">
        <v>3625</v>
      </c>
    </row>
    <row r="5795" spans="1:6">
      <c r="A5795" s="753"/>
      <c r="B5795" s="753"/>
      <c r="C5795" s="752" t="s">
        <v>43364</v>
      </c>
      <c r="D5795" s="753" t="s">
        <v>43356</v>
      </c>
      <c r="E5795" s="752" t="s">
        <v>43362</v>
      </c>
      <c r="F5795" s="751">
        <v>3275</v>
      </c>
    </row>
    <row r="5796" spans="1:6">
      <c r="A5796" s="753"/>
      <c r="B5796" s="753"/>
      <c r="C5796" s="752" t="s">
        <v>43363</v>
      </c>
      <c r="D5796" s="753" t="s">
        <v>43356</v>
      </c>
      <c r="E5796" s="752" t="s">
        <v>43362</v>
      </c>
      <c r="F5796" s="751">
        <v>3275</v>
      </c>
    </row>
    <row r="5797" spans="1:6">
      <c r="A5797" s="753"/>
      <c r="B5797" s="753"/>
      <c r="C5797" s="752" t="s">
        <v>43361</v>
      </c>
      <c r="D5797" s="753" t="s">
        <v>43356</v>
      </c>
      <c r="E5797" s="752" t="s">
        <v>43360</v>
      </c>
      <c r="F5797" s="751">
        <v>3275</v>
      </c>
    </row>
    <row r="5798" spans="1:6">
      <c r="A5798" s="753"/>
      <c r="B5798" s="753"/>
      <c r="C5798" s="752" t="s">
        <v>43359</v>
      </c>
      <c r="D5798" s="753" t="s">
        <v>43256</v>
      </c>
      <c r="E5798" s="752" t="s">
        <v>43358</v>
      </c>
      <c r="F5798" s="751">
        <v>3025</v>
      </c>
    </row>
    <row r="5799" spans="1:6">
      <c r="A5799" s="753"/>
      <c r="B5799" s="753"/>
      <c r="C5799" s="752" t="s">
        <v>43357</v>
      </c>
      <c r="D5799" s="753" t="s">
        <v>43356</v>
      </c>
      <c r="E5799" s="752" t="s">
        <v>43355</v>
      </c>
      <c r="F5799" s="751">
        <v>3275</v>
      </c>
    </row>
    <row r="5800" spans="1:6">
      <c r="A5800" s="753"/>
      <c r="B5800" s="753"/>
      <c r="C5800" s="752" t="s">
        <v>43354</v>
      </c>
      <c r="D5800" s="753" t="s">
        <v>43308</v>
      </c>
      <c r="E5800" s="752" t="s">
        <v>43243</v>
      </c>
      <c r="F5800" s="751">
        <v>4075</v>
      </c>
    </row>
    <row r="5801" spans="1:6">
      <c r="A5801" s="753"/>
      <c r="B5801" s="753"/>
      <c r="C5801" s="752" t="s">
        <v>43353</v>
      </c>
      <c r="D5801" s="753" t="s">
        <v>43308</v>
      </c>
      <c r="E5801" s="752" t="s">
        <v>43339</v>
      </c>
      <c r="F5801" s="751">
        <v>5575</v>
      </c>
    </row>
    <row r="5802" spans="1:6">
      <c r="A5802" s="753"/>
      <c r="B5802" s="753"/>
      <c r="C5802" s="752" t="s">
        <v>43352</v>
      </c>
      <c r="D5802" s="753" t="s">
        <v>43308</v>
      </c>
      <c r="E5802" s="752" t="s">
        <v>43337</v>
      </c>
      <c r="F5802" s="751">
        <v>4325</v>
      </c>
    </row>
    <row r="5803" spans="1:6">
      <c r="A5803" s="753"/>
      <c r="B5803" s="753"/>
      <c r="C5803" s="752" t="s">
        <v>43351</v>
      </c>
      <c r="D5803" s="753" t="s">
        <v>43308</v>
      </c>
      <c r="E5803" s="752" t="s">
        <v>43307</v>
      </c>
      <c r="F5803" s="751">
        <v>4875</v>
      </c>
    </row>
    <row r="5804" spans="1:6">
      <c r="A5804" s="753"/>
      <c r="B5804" s="753"/>
      <c r="C5804" s="752" t="s">
        <v>43350</v>
      </c>
      <c r="D5804" s="753" t="s">
        <v>43308</v>
      </c>
      <c r="E5804" s="752" t="s">
        <v>38002</v>
      </c>
      <c r="F5804" s="751">
        <v>5225</v>
      </c>
    </row>
    <row r="5805" spans="1:6">
      <c r="A5805" s="753"/>
      <c r="B5805" s="753"/>
      <c r="C5805" s="752" t="s">
        <v>43349</v>
      </c>
      <c r="D5805" s="753" t="s">
        <v>43308</v>
      </c>
      <c r="E5805" s="752" t="s">
        <v>43348</v>
      </c>
      <c r="F5805" s="751">
        <v>4875</v>
      </c>
    </row>
    <row r="5806" spans="1:6">
      <c r="A5806" s="753"/>
      <c r="B5806" s="753"/>
      <c r="C5806" s="752" t="s">
        <v>43347</v>
      </c>
      <c r="D5806" s="753" t="s">
        <v>43308</v>
      </c>
      <c r="E5806" s="752" t="s">
        <v>43346</v>
      </c>
      <c r="F5806" s="751">
        <v>5575</v>
      </c>
    </row>
    <row r="5807" spans="1:6">
      <c r="A5807" s="753"/>
      <c r="B5807" s="753"/>
      <c r="C5807" s="752" t="s">
        <v>43345</v>
      </c>
      <c r="D5807" s="753" t="s">
        <v>43308</v>
      </c>
      <c r="E5807" s="752" t="s">
        <v>43344</v>
      </c>
      <c r="F5807" s="751">
        <v>4075</v>
      </c>
    </row>
    <row r="5808" spans="1:6">
      <c r="A5808" s="753"/>
      <c r="B5808" s="753"/>
      <c r="C5808" s="752" t="s">
        <v>43343</v>
      </c>
      <c r="D5808" s="753" t="s">
        <v>43308</v>
      </c>
      <c r="E5808" s="752" t="s">
        <v>43303</v>
      </c>
      <c r="F5808" s="751">
        <v>4875</v>
      </c>
    </row>
    <row r="5809" spans="1:6">
      <c r="A5809" s="753"/>
      <c r="B5809" s="753"/>
      <c r="C5809" s="752" t="s">
        <v>43342</v>
      </c>
      <c r="D5809" s="753" t="s">
        <v>43308</v>
      </c>
      <c r="E5809" s="752" t="s">
        <v>43301</v>
      </c>
      <c r="F5809" s="751">
        <v>4325</v>
      </c>
    </row>
    <row r="5810" spans="1:6">
      <c r="A5810" s="753"/>
      <c r="B5810" s="753"/>
      <c r="C5810" s="752" t="s">
        <v>43341</v>
      </c>
      <c r="D5810" s="753" t="s">
        <v>43308</v>
      </c>
      <c r="E5810" s="752" t="s">
        <v>38002</v>
      </c>
      <c r="F5810" s="751">
        <v>5225</v>
      </c>
    </row>
    <row r="5811" spans="1:6">
      <c r="A5811" s="753"/>
      <c r="B5811" s="753"/>
      <c r="C5811" s="752" t="s">
        <v>43340</v>
      </c>
      <c r="D5811" s="753" t="s">
        <v>43308</v>
      </c>
      <c r="E5811" s="752" t="s">
        <v>43339</v>
      </c>
      <c r="F5811" s="751">
        <v>5575</v>
      </c>
    </row>
    <row r="5812" spans="1:6">
      <c r="A5812" s="753"/>
      <c r="B5812" s="753"/>
      <c r="C5812" s="752" t="s">
        <v>43338</v>
      </c>
      <c r="D5812" s="753" t="s">
        <v>43308</v>
      </c>
      <c r="E5812" s="752" t="s">
        <v>43337</v>
      </c>
      <c r="F5812" s="751">
        <v>4325</v>
      </c>
    </row>
    <row r="5813" spans="1:6">
      <c r="A5813" s="753"/>
      <c r="B5813" s="753"/>
      <c r="C5813" s="752" t="s">
        <v>43336</v>
      </c>
      <c r="D5813" s="753" t="s">
        <v>43308</v>
      </c>
      <c r="E5813" s="752" t="s">
        <v>43335</v>
      </c>
      <c r="F5813" s="751">
        <v>5225</v>
      </c>
    </row>
    <row r="5814" spans="1:6">
      <c r="A5814" s="753"/>
      <c r="B5814" s="753"/>
      <c r="C5814" s="752" t="s">
        <v>43334</v>
      </c>
      <c r="D5814" s="753" t="s">
        <v>43308</v>
      </c>
      <c r="E5814" s="752" t="s">
        <v>43243</v>
      </c>
      <c r="F5814" s="751">
        <v>4075</v>
      </c>
    </row>
    <row r="5815" spans="1:6">
      <c r="A5815" s="753"/>
      <c r="B5815" s="753"/>
      <c r="C5815" s="752" t="s">
        <v>43333</v>
      </c>
      <c r="D5815" s="753" t="s">
        <v>43308</v>
      </c>
      <c r="E5815" s="752" t="s">
        <v>43332</v>
      </c>
      <c r="F5815" s="751">
        <v>4075</v>
      </c>
    </row>
    <row r="5816" spans="1:6">
      <c r="A5816" s="753"/>
      <c r="B5816" s="753"/>
      <c r="C5816" s="752" t="s">
        <v>43331</v>
      </c>
      <c r="D5816" s="753" t="s">
        <v>43308</v>
      </c>
      <c r="E5816" s="752" t="s">
        <v>43330</v>
      </c>
      <c r="F5816" s="751">
        <v>4875</v>
      </c>
    </row>
    <row r="5817" spans="1:6">
      <c r="A5817" s="753"/>
      <c r="B5817" s="753"/>
      <c r="C5817" s="752" t="s">
        <v>43329</v>
      </c>
      <c r="D5817" s="753" t="s">
        <v>43308</v>
      </c>
      <c r="E5817" s="752" t="s">
        <v>43328</v>
      </c>
      <c r="F5817" s="751">
        <v>3825</v>
      </c>
    </row>
    <row r="5818" spans="1:6">
      <c r="A5818" s="753"/>
      <c r="B5818" s="753"/>
      <c r="C5818" s="752" t="s">
        <v>43327</v>
      </c>
      <c r="D5818" s="753" t="s">
        <v>43308</v>
      </c>
      <c r="E5818" s="752" t="s">
        <v>43326</v>
      </c>
      <c r="F5818" s="751">
        <v>4835</v>
      </c>
    </row>
    <row r="5819" spans="1:6">
      <c r="A5819" s="753"/>
      <c r="B5819" s="753"/>
      <c r="C5819" s="752" t="s">
        <v>43325</v>
      </c>
      <c r="D5819" s="753" t="s">
        <v>43308</v>
      </c>
      <c r="E5819" s="752" t="s">
        <v>43282</v>
      </c>
      <c r="F5819" s="751">
        <v>4875</v>
      </c>
    </row>
    <row r="5820" spans="1:6">
      <c r="A5820" s="753"/>
      <c r="B5820" s="753"/>
      <c r="C5820" s="752" t="s">
        <v>43324</v>
      </c>
      <c r="D5820" s="753" t="s">
        <v>43323</v>
      </c>
      <c r="E5820" s="752" t="s">
        <v>43282</v>
      </c>
      <c r="F5820" s="751">
        <v>4525</v>
      </c>
    </row>
    <row r="5821" spans="1:6">
      <c r="A5821" s="753"/>
      <c r="B5821" s="753"/>
      <c r="C5821" s="752" t="s">
        <v>43322</v>
      </c>
      <c r="D5821" s="753" t="s">
        <v>43308</v>
      </c>
      <c r="E5821" s="752" t="s">
        <v>43321</v>
      </c>
      <c r="F5821" s="751">
        <v>4875</v>
      </c>
    </row>
    <row r="5822" spans="1:6">
      <c r="A5822" s="753"/>
      <c r="B5822" s="753"/>
      <c r="C5822" s="752" t="s">
        <v>43320</v>
      </c>
      <c r="D5822" s="753" t="s">
        <v>43308</v>
      </c>
      <c r="E5822" s="752" t="s">
        <v>38002</v>
      </c>
      <c r="F5822" s="751">
        <v>5225</v>
      </c>
    </row>
    <row r="5823" spans="1:6">
      <c r="A5823" s="753"/>
      <c r="B5823" s="753"/>
      <c r="C5823" s="752" t="s">
        <v>43319</v>
      </c>
      <c r="D5823" s="753" t="s">
        <v>43308</v>
      </c>
      <c r="E5823" s="752" t="s">
        <v>38002</v>
      </c>
      <c r="F5823" s="751">
        <v>5225</v>
      </c>
    </row>
    <row r="5824" spans="1:6">
      <c r="A5824" s="753"/>
      <c r="B5824" s="753"/>
      <c r="C5824" s="752" t="s">
        <v>43318</v>
      </c>
      <c r="D5824" s="753" t="s">
        <v>43308</v>
      </c>
      <c r="E5824" s="752" t="s">
        <v>43312</v>
      </c>
      <c r="F5824" s="751">
        <v>5575</v>
      </c>
    </row>
    <row r="5825" spans="1:6">
      <c r="A5825" s="753"/>
      <c r="B5825" s="753"/>
      <c r="C5825" s="752" t="s">
        <v>43317</v>
      </c>
      <c r="D5825" s="753" t="s">
        <v>43308</v>
      </c>
      <c r="E5825" s="752" t="s">
        <v>43316</v>
      </c>
      <c r="F5825" s="751">
        <v>5225</v>
      </c>
    </row>
    <row r="5826" spans="1:6">
      <c r="A5826" s="753"/>
      <c r="B5826" s="753"/>
      <c r="C5826" s="752" t="s">
        <v>43315</v>
      </c>
      <c r="D5826" s="753" t="s">
        <v>43314</v>
      </c>
      <c r="E5826" s="752" t="s">
        <v>38010</v>
      </c>
      <c r="F5826" s="751">
        <v>4275</v>
      </c>
    </row>
    <row r="5827" spans="1:6">
      <c r="A5827" s="753"/>
      <c r="B5827" s="753"/>
      <c r="C5827" s="752" t="s">
        <v>43313</v>
      </c>
      <c r="D5827" s="753" t="s">
        <v>43283</v>
      </c>
      <c r="E5827" s="752" t="s">
        <v>43312</v>
      </c>
      <c r="F5827" s="751">
        <v>5575</v>
      </c>
    </row>
    <row r="5828" spans="1:6">
      <c r="A5828" s="753"/>
      <c r="B5828" s="753"/>
      <c r="C5828" s="752" t="s">
        <v>43311</v>
      </c>
      <c r="D5828" s="753" t="s">
        <v>43292</v>
      </c>
      <c r="E5828" s="752" t="s">
        <v>43310</v>
      </c>
      <c r="F5828" s="751">
        <v>4025</v>
      </c>
    </row>
    <row r="5829" spans="1:6">
      <c r="A5829" s="753"/>
      <c r="B5829" s="753"/>
      <c r="C5829" s="752" t="s">
        <v>43309</v>
      </c>
      <c r="D5829" s="753" t="s">
        <v>43308</v>
      </c>
      <c r="E5829" s="752" t="s">
        <v>43307</v>
      </c>
      <c r="F5829" s="751">
        <v>4875</v>
      </c>
    </row>
    <row r="5830" spans="1:6">
      <c r="A5830" s="753"/>
      <c r="B5830" s="753"/>
      <c r="C5830" s="752" t="s">
        <v>43306</v>
      </c>
      <c r="D5830" s="753" t="s">
        <v>43292</v>
      </c>
      <c r="E5830" s="752" t="s">
        <v>43305</v>
      </c>
      <c r="F5830" s="751">
        <v>5225</v>
      </c>
    </row>
    <row r="5831" spans="1:6">
      <c r="A5831" s="753"/>
      <c r="B5831" s="753"/>
      <c r="C5831" s="752" t="s">
        <v>43304</v>
      </c>
      <c r="D5831" s="753" t="s">
        <v>43280</v>
      </c>
      <c r="E5831" s="752" t="s">
        <v>43303</v>
      </c>
      <c r="F5831" s="751">
        <v>4875</v>
      </c>
    </row>
    <row r="5832" spans="1:6">
      <c r="A5832" s="753"/>
      <c r="B5832" s="753"/>
      <c r="C5832" s="752" t="s">
        <v>43302</v>
      </c>
      <c r="D5832" s="753" t="s">
        <v>43283</v>
      </c>
      <c r="E5832" s="752" t="s">
        <v>43301</v>
      </c>
      <c r="F5832" s="751">
        <v>4325</v>
      </c>
    </row>
    <row r="5833" spans="1:6">
      <c r="A5833" s="753"/>
      <c r="B5833" s="753"/>
      <c r="C5833" s="752" t="s">
        <v>43300</v>
      </c>
      <c r="D5833" s="753" t="s">
        <v>43280</v>
      </c>
      <c r="E5833" s="752" t="s">
        <v>43299</v>
      </c>
      <c r="F5833" s="751">
        <v>5225</v>
      </c>
    </row>
    <row r="5834" spans="1:6">
      <c r="A5834" s="753"/>
      <c r="B5834" s="753"/>
      <c r="C5834" s="752" t="s">
        <v>43298</v>
      </c>
      <c r="D5834" s="753" t="s">
        <v>43280</v>
      </c>
      <c r="E5834" s="752" t="s">
        <v>43297</v>
      </c>
      <c r="F5834" s="751">
        <v>3775</v>
      </c>
    </row>
    <row r="5835" spans="1:6">
      <c r="A5835" s="753"/>
      <c r="B5835" s="753"/>
      <c r="C5835" s="752" t="s">
        <v>43296</v>
      </c>
      <c r="D5835" s="753" t="s">
        <v>43283</v>
      </c>
      <c r="E5835" s="752" t="s">
        <v>38299</v>
      </c>
      <c r="F5835" s="751">
        <v>4075</v>
      </c>
    </row>
    <row r="5836" spans="1:6">
      <c r="A5836" s="753"/>
      <c r="B5836" s="753"/>
      <c r="C5836" s="752" t="s">
        <v>43295</v>
      </c>
      <c r="D5836" s="753" t="s">
        <v>43283</v>
      </c>
      <c r="E5836" s="752" t="s">
        <v>43294</v>
      </c>
      <c r="F5836" s="751">
        <v>4875</v>
      </c>
    </row>
    <row r="5837" spans="1:6">
      <c r="A5837" s="753"/>
      <c r="B5837" s="753"/>
      <c r="C5837" s="752" t="s">
        <v>43293</v>
      </c>
      <c r="D5837" s="753" t="s">
        <v>43292</v>
      </c>
      <c r="E5837" s="752" t="s">
        <v>43291</v>
      </c>
      <c r="F5837" s="751">
        <v>4525</v>
      </c>
    </row>
    <row r="5838" spans="1:6">
      <c r="A5838" s="753"/>
      <c r="B5838" s="753"/>
      <c r="C5838" s="752" t="s">
        <v>43290</v>
      </c>
      <c r="D5838" s="753" t="s">
        <v>43283</v>
      </c>
      <c r="E5838" s="752" t="s">
        <v>43289</v>
      </c>
      <c r="F5838" s="751">
        <v>4875</v>
      </c>
    </row>
    <row r="5839" spans="1:6">
      <c r="A5839" s="753"/>
      <c r="B5839" s="753"/>
      <c r="C5839" s="752" t="s">
        <v>43288</v>
      </c>
      <c r="D5839" s="753" t="s">
        <v>43283</v>
      </c>
      <c r="E5839" s="752" t="s">
        <v>43287</v>
      </c>
      <c r="F5839" s="751">
        <v>4075</v>
      </c>
    </row>
    <row r="5840" spans="1:6">
      <c r="A5840" s="753"/>
      <c r="B5840" s="753"/>
      <c r="C5840" s="752" t="s">
        <v>43286</v>
      </c>
      <c r="D5840" s="753" t="s">
        <v>43283</v>
      </c>
      <c r="E5840" s="752" t="s">
        <v>43285</v>
      </c>
      <c r="F5840" s="751">
        <v>4875</v>
      </c>
    </row>
    <row r="5841" spans="1:6">
      <c r="A5841" s="753"/>
      <c r="B5841" s="753"/>
      <c r="C5841" s="752" t="s">
        <v>43284</v>
      </c>
      <c r="D5841" s="753" t="s">
        <v>43283</v>
      </c>
      <c r="E5841" s="752" t="s">
        <v>43282</v>
      </c>
      <c r="F5841" s="751">
        <v>4875</v>
      </c>
    </row>
    <row r="5842" spans="1:6">
      <c r="A5842" s="753"/>
      <c r="B5842" s="753"/>
      <c r="C5842" s="752" t="s">
        <v>43281</v>
      </c>
      <c r="D5842" s="753" t="s">
        <v>43280</v>
      </c>
      <c r="E5842" s="752" t="s">
        <v>38002</v>
      </c>
      <c r="F5842" s="751">
        <v>5225</v>
      </c>
    </row>
    <row r="5843" spans="1:6">
      <c r="A5843" s="753"/>
      <c r="B5843" s="753"/>
      <c r="C5843" s="752" t="s">
        <v>43279</v>
      </c>
      <c r="D5843" s="753" t="s">
        <v>43278</v>
      </c>
      <c r="E5843" s="752" t="s">
        <v>43277</v>
      </c>
      <c r="F5843" s="751">
        <v>4975</v>
      </c>
    </row>
    <row r="5844" spans="1:6">
      <c r="A5844" s="753"/>
      <c r="B5844" s="753"/>
      <c r="C5844" s="752" t="s">
        <v>43276</v>
      </c>
      <c r="D5844" s="753" t="s">
        <v>43275</v>
      </c>
      <c r="E5844" s="752" t="s">
        <v>43274</v>
      </c>
      <c r="F5844" s="751">
        <v>3575</v>
      </c>
    </row>
    <row r="5845" spans="1:6">
      <c r="A5845" s="753"/>
      <c r="B5845" s="753"/>
      <c r="C5845" s="752" t="s">
        <v>43273</v>
      </c>
      <c r="D5845" s="753" t="s">
        <v>43267</v>
      </c>
      <c r="E5845" s="752" t="s">
        <v>43272</v>
      </c>
      <c r="F5845" s="751">
        <v>4775</v>
      </c>
    </row>
    <row r="5846" spans="1:6">
      <c r="A5846" s="753"/>
      <c r="B5846" s="753"/>
      <c r="C5846" s="752" t="s">
        <v>43271</v>
      </c>
      <c r="D5846" s="753" t="s">
        <v>43270</v>
      </c>
      <c r="E5846" s="752" t="s">
        <v>43269</v>
      </c>
      <c r="F5846" s="751">
        <v>10795</v>
      </c>
    </row>
    <row r="5847" spans="1:6">
      <c r="A5847" s="753"/>
      <c r="B5847" s="753"/>
      <c r="C5847" s="752" t="s">
        <v>43268</v>
      </c>
      <c r="D5847" s="753" t="s">
        <v>43267</v>
      </c>
      <c r="E5847" s="752" t="s">
        <v>43266</v>
      </c>
      <c r="F5847" s="751">
        <v>3975</v>
      </c>
    </row>
    <row r="5848" spans="1:6">
      <c r="A5848" s="753"/>
      <c r="B5848" s="753"/>
      <c r="C5848" s="752" t="s">
        <v>43265</v>
      </c>
      <c r="D5848" s="753" t="s">
        <v>43264</v>
      </c>
      <c r="E5848" s="752" t="s">
        <v>43263</v>
      </c>
      <c r="F5848" s="751">
        <v>4975</v>
      </c>
    </row>
    <row r="5849" spans="1:6">
      <c r="A5849" s="753"/>
      <c r="B5849" s="753"/>
      <c r="C5849" s="752" t="s">
        <v>43262</v>
      </c>
      <c r="D5849" s="753" t="s">
        <v>43261</v>
      </c>
      <c r="E5849" s="752" t="s">
        <v>43260</v>
      </c>
      <c r="F5849" s="751">
        <v>12995</v>
      </c>
    </row>
    <row r="5850" spans="1:6">
      <c r="A5850" s="753"/>
      <c r="B5850" s="753"/>
      <c r="C5850" s="752" t="s">
        <v>43259</v>
      </c>
      <c r="D5850" s="753" t="s">
        <v>43253</v>
      </c>
      <c r="E5850" s="752" t="s">
        <v>43258</v>
      </c>
      <c r="F5850" s="751">
        <v>4275</v>
      </c>
    </row>
    <row r="5851" spans="1:6">
      <c r="A5851" s="753"/>
      <c r="B5851" s="753"/>
      <c r="C5851" s="752" t="s">
        <v>43257</v>
      </c>
      <c r="D5851" s="753" t="s">
        <v>43256</v>
      </c>
      <c r="E5851" s="752" t="s">
        <v>43255</v>
      </c>
      <c r="F5851" s="751">
        <v>2925</v>
      </c>
    </row>
    <row r="5852" spans="1:6">
      <c r="A5852" s="753"/>
      <c r="B5852" s="753"/>
      <c r="C5852" s="752" t="s">
        <v>43254</v>
      </c>
      <c r="D5852" s="753" t="s">
        <v>43253</v>
      </c>
      <c r="E5852" s="752" t="s">
        <v>43252</v>
      </c>
      <c r="F5852" s="751">
        <v>5075</v>
      </c>
    </row>
    <row r="5853" spans="1:6">
      <c r="A5853" s="753"/>
      <c r="B5853" s="753"/>
      <c r="C5853" s="752" t="s">
        <v>43251</v>
      </c>
      <c r="D5853" s="753" t="s">
        <v>43250</v>
      </c>
      <c r="E5853" s="752" t="s">
        <v>43249</v>
      </c>
      <c r="F5853" s="751">
        <v>2975</v>
      </c>
    </row>
    <row r="5854" spans="1:6">
      <c r="A5854" s="753"/>
      <c r="B5854" s="753"/>
      <c r="C5854" s="752" t="s">
        <v>43248</v>
      </c>
      <c r="D5854" s="753" t="s">
        <v>43247</v>
      </c>
      <c r="E5854" s="752" t="s">
        <v>43246</v>
      </c>
      <c r="F5854" s="751">
        <v>5170</v>
      </c>
    </row>
    <row r="5855" spans="1:6">
      <c r="A5855" s="753"/>
      <c r="B5855" s="753"/>
      <c r="C5855" s="752" t="s">
        <v>43245</v>
      </c>
      <c r="D5855" s="753" t="s">
        <v>43244</v>
      </c>
      <c r="E5855" s="752" t="s">
        <v>43243</v>
      </c>
      <c r="F5855" s="751">
        <v>4275</v>
      </c>
    </row>
    <row r="5856" spans="1:6">
      <c r="A5856" s="753"/>
      <c r="B5856" s="753" t="s">
        <v>43242</v>
      </c>
      <c r="C5856" s="752" t="s">
        <v>43241</v>
      </c>
      <c r="D5856" s="753" t="s">
        <v>43240</v>
      </c>
      <c r="E5856" s="752" t="s">
        <v>38010</v>
      </c>
      <c r="F5856" s="751">
        <v>4225</v>
      </c>
    </row>
    <row r="5857" spans="1:6">
      <c r="A5857" s="753"/>
      <c r="B5857" s="753"/>
      <c r="C5857" s="752" t="s">
        <v>43239</v>
      </c>
      <c r="D5857" s="753" t="s">
        <v>43235</v>
      </c>
      <c r="E5857" s="752" t="s">
        <v>38019</v>
      </c>
      <c r="F5857" s="751">
        <v>3975</v>
      </c>
    </row>
    <row r="5858" spans="1:6">
      <c r="A5858" s="753"/>
      <c r="B5858" s="753"/>
      <c r="C5858" s="752" t="s">
        <v>43238</v>
      </c>
      <c r="D5858" s="753" t="s">
        <v>43235</v>
      </c>
      <c r="E5858" s="752" t="s">
        <v>38002</v>
      </c>
      <c r="F5858" s="751">
        <v>5025</v>
      </c>
    </row>
    <row r="5859" spans="1:6">
      <c r="A5859" s="753"/>
      <c r="B5859" s="753"/>
      <c r="C5859" s="752" t="s">
        <v>43237</v>
      </c>
      <c r="D5859" s="753" t="s">
        <v>43235</v>
      </c>
      <c r="E5859" s="752" t="s">
        <v>38010</v>
      </c>
      <c r="F5859" s="751">
        <v>4025</v>
      </c>
    </row>
    <row r="5860" spans="1:6">
      <c r="A5860" s="753"/>
      <c r="B5860" s="753"/>
      <c r="C5860" s="752" t="s">
        <v>43236</v>
      </c>
      <c r="D5860" s="753" t="s">
        <v>43235</v>
      </c>
      <c r="E5860" s="752" t="s">
        <v>38010</v>
      </c>
      <c r="F5860" s="751">
        <v>5375</v>
      </c>
    </row>
    <row r="5861" spans="1:6">
      <c r="A5861" s="753"/>
      <c r="B5861" s="753" t="s">
        <v>43234</v>
      </c>
      <c r="C5861" s="752" t="s">
        <v>43233</v>
      </c>
      <c r="D5861" s="753" t="s">
        <v>43230</v>
      </c>
      <c r="E5861" s="752" t="s">
        <v>42893</v>
      </c>
      <c r="F5861" s="751">
        <v>2575</v>
      </c>
    </row>
    <row r="5862" spans="1:6">
      <c r="A5862" s="753"/>
      <c r="B5862" s="753"/>
      <c r="C5862" s="752" t="s">
        <v>43232</v>
      </c>
      <c r="D5862" s="753" t="s">
        <v>43230</v>
      </c>
      <c r="E5862" s="752" t="s">
        <v>42893</v>
      </c>
      <c r="F5862" s="751">
        <v>2575</v>
      </c>
    </row>
    <row r="5863" spans="1:6">
      <c r="A5863" s="753"/>
      <c r="B5863" s="753"/>
      <c r="C5863" s="752" t="s">
        <v>43231</v>
      </c>
      <c r="D5863" s="753" t="s">
        <v>43230</v>
      </c>
      <c r="E5863" s="752" t="s">
        <v>43229</v>
      </c>
      <c r="F5863" s="751">
        <v>3335</v>
      </c>
    </row>
    <row r="5864" spans="1:6">
      <c r="A5864" s="753"/>
      <c r="B5864" s="753"/>
      <c r="C5864" s="752" t="s">
        <v>43228</v>
      </c>
      <c r="D5864" s="753" t="s">
        <v>43223</v>
      </c>
      <c r="E5864" s="752" t="s">
        <v>42876</v>
      </c>
      <c r="F5864" s="751">
        <v>3875</v>
      </c>
    </row>
    <row r="5865" spans="1:6">
      <c r="A5865" s="753"/>
      <c r="B5865" s="753"/>
      <c r="C5865" s="752" t="s">
        <v>43227</v>
      </c>
      <c r="D5865" s="753" t="s">
        <v>43223</v>
      </c>
      <c r="E5865" s="752" t="s">
        <v>42946</v>
      </c>
      <c r="F5865" s="751">
        <v>4635</v>
      </c>
    </row>
    <row r="5866" spans="1:6">
      <c r="A5866" s="753"/>
      <c r="B5866" s="753"/>
      <c r="C5866" s="752" t="s">
        <v>43226</v>
      </c>
      <c r="D5866" s="753" t="s">
        <v>43223</v>
      </c>
      <c r="E5866" s="752" t="s">
        <v>42926</v>
      </c>
      <c r="F5866" s="751">
        <v>3625</v>
      </c>
    </row>
    <row r="5867" spans="1:6">
      <c r="A5867" s="753"/>
      <c r="B5867" s="753"/>
      <c r="C5867" s="752" t="s">
        <v>43225</v>
      </c>
      <c r="D5867" s="753" t="s">
        <v>43223</v>
      </c>
      <c r="E5867" s="752" t="s">
        <v>42893</v>
      </c>
      <c r="F5867" s="751">
        <v>3125</v>
      </c>
    </row>
    <row r="5868" spans="1:6">
      <c r="A5868" s="753"/>
      <c r="B5868" s="753"/>
      <c r="C5868" s="752" t="s">
        <v>43224</v>
      </c>
      <c r="D5868" s="753" t="s">
        <v>43223</v>
      </c>
      <c r="E5868" s="752" t="s">
        <v>42926</v>
      </c>
      <c r="F5868" s="751">
        <v>3625</v>
      </c>
    </row>
    <row r="5869" spans="1:6">
      <c r="A5869" s="753"/>
      <c r="B5869" s="753"/>
      <c r="C5869" s="752" t="s">
        <v>43222</v>
      </c>
      <c r="D5869" s="753" t="s">
        <v>43219</v>
      </c>
      <c r="E5869" s="752" t="s">
        <v>42876</v>
      </c>
      <c r="F5869" s="751">
        <v>3875</v>
      </c>
    </row>
    <row r="5870" spans="1:6">
      <c r="A5870" s="753"/>
      <c r="B5870" s="753"/>
      <c r="C5870" s="752" t="s">
        <v>43221</v>
      </c>
      <c r="D5870" s="753" t="s">
        <v>43219</v>
      </c>
      <c r="E5870" s="752" t="s">
        <v>42926</v>
      </c>
      <c r="F5870" s="751">
        <v>3625</v>
      </c>
    </row>
    <row r="5871" spans="1:6">
      <c r="A5871" s="753"/>
      <c r="B5871" s="753"/>
      <c r="C5871" s="752" t="s">
        <v>43220</v>
      </c>
      <c r="D5871" s="753" t="s">
        <v>43219</v>
      </c>
      <c r="E5871" s="752" t="s">
        <v>42893</v>
      </c>
      <c r="F5871" s="751">
        <v>3125</v>
      </c>
    </row>
    <row r="5872" spans="1:6">
      <c r="A5872" s="753"/>
      <c r="B5872" s="753"/>
      <c r="C5872" s="752" t="s">
        <v>43218</v>
      </c>
      <c r="D5872" s="753" t="s">
        <v>43215</v>
      </c>
      <c r="E5872" s="752" t="s">
        <v>42893</v>
      </c>
      <c r="F5872" s="751">
        <v>2375</v>
      </c>
    </row>
    <row r="5873" spans="1:6">
      <c r="A5873" s="753"/>
      <c r="B5873" s="753"/>
      <c r="C5873" s="752" t="s">
        <v>43217</v>
      </c>
      <c r="D5873" s="753" t="s">
        <v>43215</v>
      </c>
      <c r="E5873" s="752" t="s">
        <v>42893</v>
      </c>
      <c r="F5873" s="751">
        <v>2375</v>
      </c>
    </row>
    <row r="5874" spans="1:6">
      <c r="A5874" s="753"/>
      <c r="B5874" s="753"/>
      <c r="C5874" s="752" t="s">
        <v>43216</v>
      </c>
      <c r="D5874" s="753" t="s">
        <v>43215</v>
      </c>
      <c r="E5874" s="752" t="s">
        <v>42893</v>
      </c>
      <c r="F5874" s="751">
        <v>2375</v>
      </c>
    </row>
    <row r="5875" spans="1:6">
      <c r="A5875" s="753"/>
      <c r="B5875" s="753"/>
      <c r="C5875" s="752" t="s">
        <v>43214</v>
      </c>
      <c r="D5875" s="753" t="s">
        <v>43208</v>
      </c>
      <c r="E5875" s="752" t="s">
        <v>42876</v>
      </c>
      <c r="F5875" s="751">
        <v>3675</v>
      </c>
    </row>
    <row r="5876" spans="1:6">
      <c r="A5876" s="753"/>
      <c r="B5876" s="753"/>
      <c r="C5876" s="752" t="s">
        <v>43213</v>
      </c>
      <c r="D5876" s="753" t="s">
        <v>43208</v>
      </c>
      <c r="E5876" s="752" t="s">
        <v>42926</v>
      </c>
      <c r="F5876" s="751">
        <v>3425</v>
      </c>
    </row>
    <row r="5877" spans="1:6">
      <c r="A5877" s="753"/>
      <c r="B5877" s="753"/>
      <c r="C5877" s="752" t="s">
        <v>43212</v>
      </c>
      <c r="D5877" s="753" t="s">
        <v>43208</v>
      </c>
      <c r="E5877" s="752" t="s">
        <v>42893</v>
      </c>
      <c r="F5877" s="751">
        <v>2925</v>
      </c>
    </row>
    <row r="5878" spans="1:6">
      <c r="A5878" s="753"/>
      <c r="B5878" s="753"/>
      <c r="C5878" s="752" t="s">
        <v>43211</v>
      </c>
      <c r="D5878" s="753" t="s">
        <v>43208</v>
      </c>
      <c r="E5878" s="752" t="s">
        <v>42876</v>
      </c>
      <c r="F5878" s="751">
        <v>3425</v>
      </c>
    </row>
    <row r="5879" spans="1:6">
      <c r="A5879" s="753"/>
      <c r="B5879" s="753"/>
      <c r="C5879" s="752" t="s">
        <v>43210</v>
      </c>
      <c r="D5879" s="753" t="s">
        <v>43208</v>
      </c>
      <c r="E5879" s="752" t="s">
        <v>42926</v>
      </c>
      <c r="F5879" s="751">
        <v>3425</v>
      </c>
    </row>
    <row r="5880" spans="1:6">
      <c r="A5880" s="753"/>
      <c r="B5880" s="753"/>
      <c r="C5880" s="752" t="s">
        <v>43209</v>
      </c>
      <c r="D5880" s="753" t="s">
        <v>43208</v>
      </c>
      <c r="E5880" s="752" t="s">
        <v>42893</v>
      </c>
      <c r="F5880" s="751">
        <v>2925</v>
      </c>
    </row>
    <row r="5881" spans="1:6">
      <c r="A5881" s="753"/>
      <c r="B5881" s="753"/>
      <c r="C5881" s="752" t="s">
        <v>43207</v>
      </c>
      <c r="D5881" s="753" t="s">
        <v>43201</v>
      </c>
      <c r="E5881" s="752" t="s">
        <v>42876</v>
      </c>
      <c r="F5881" s="751">
        <v>3675</v>
      </c>
    </row>
    <row r="5882" spans="1:6">
      <c r="A5882" s="753"/>
      <c r="B5882" s="753"/>
      <c r="C5882" s="752" t="s">
        <v>43206</v>
      </c>
      <c r="D5882" s="753" t="s">
        <v>43201</v>
      </c>
      <c r="E5882" s="752" t="s">
        <v>42926</v>
      </c>
      <c r="F5882" s="751">
        <v>3425</v>
      </c>
    </row>
    <row r="5883" spans="1:6">
      <c r="A5883" s="753"/>
      <c r="B5883" s="753"/>
      <c r="C5883" s="752" t="s">
        <v>43205</v>
      </c>
      <c r="D5883" s="753" t="s">
        <v>43201</v>
      </c>
      <c r="E5883" s="752" t="s">
        <v>42893</v>
      </c>
      <c r="F5883" s="751">
        <v>2925</v>
      </c>
    </row>
    <row r="5884" spans="1:6">
      <c r="A5884" s="753"/>
      <c r="B5884" s="753"/>
      <c r="C5884" s="752" t="s">
        <v>43204</v>
      </c>
      <c r="D5884" s="753" t="s">
        <v>43201</v>
      </c>
      <c r="E5884" s="752" t="s">
        <v>42876</v>
      </c>
      <c r="F5884" s="751">
        <v>3675</v>
      </c>
    </row>
    <row r="5885" spans="1:6">
      <c r="A5885" s="753"/>
      <c r="B5885" s="753"/>
      <c r="C5885" s="752" t="s">
        <v>43203</v>
      </c>
      <c r="D5885" s="753" t="s">
        <v>43201</v>
      </c>
      <c r="E5885" s="752" t="s">
        <v>42926</v>
      </c>
      <c r="F5885" s="751">
        <v>3425</v>
      </c>
    </row>
    <row r="5886" spans="1:6">
      <c r="A5886" s="753"/>
      <c r="B5886" s="753"/>
      <c r="C5886" s="752" t="s">
        <v>43202</v>
      </c>
      <c r="D5886" s="753" t="s">
        <v>43201</v>
      </c>
      <c r="E5886" s="752" t="s">
        <v>42893</v>
      </c>
      <c r="F5886" s="751">
        <v>2925</v>
      </c>
    </row>
    <row r="5887" spans="1:6">
      <c r="A5887" s="753"/>
      <c r="B5887" s="753" t="s">
        <v>43200</v>
      </c>
      <c r="C5887" s="752" t="s">
        <v>43199</v>
      </c>
      <c r="D5887" s="753" t="s">
        <v>43197</v>
      </c>
      <c r="E5887" s="752" t="s">
        <v>293</v>
      </c>
      <c r="F5887" s="751">
        <v>3715</v>
      </c>
    </row>
    <row r="5888" spans="1:6">
      <c r="A5888" s="753"/>
      <c r="B5888" s="753"/>
      <c r="C5888" s="752" t="s">
        <v>43198</v>
      </c>
      <c r="D5888" s="753" t="s">
        <v>43197</v>
      </c>
      <c r="E5888" s="752" t="s">
        <v>293</v>
      </c>
      <c r="F5888" s="751">
        <v>3715</v>
      </c>
    </row>
    <row r="5889" spans="1:6">
      <c r="A5889" s="753"/>
      <c r="B5889" s="753"/>
      <c r="C5889" s="752" t="s">
        <v>43196</v>
      </c>
      <c r="D5889" s="753" t="s">
        <v>43190</v>
      </c>
      <c r="E5889" s="752" t="s">
        <v>293</v>
      </c>
      <c r="F5889" s="751">
        <v>4265</v>
      </c>
    </row>
    <row r="5890" spans="1:6">
      <c r="A5890" s="753"/>
      <c r="B5890" s="753"/>
      <c r="C5890" s="752" t="s">
        <v>43195</v>
      </c>
      <c r="D5890" s="753" t="s">
        <v>43194</v>
      </c>
      <c r="E5890" s="752" t="s">
        <v>293</v>
      </c>
      <c r="F5890" s="751">
        <v>3625</v>
      </c>
    </row>
    <row r="5891" spans="1:6">
      <c r="A5891" s="753"/>
      <c r="B5891" s="753"/>
      <c r="C5891" s="752" t="s">
        <v>43193</v>
      </c>
      <c r="D5891" s="753" t="s">
        <v>43192</v>
      </c>
      <c r="E5891" s="752" t="s">
        <v>293</v>
      </c>
      <c r="F5891" s="751">
        <v>4615</v>
      </c>
    </row>
    <row r="5892" spans="1:6">
      <c r="A5892" s="753"/>
      <c r="B5892" s="753"/>
      <c r="C5892" s="752" t="s">
        <v>43191</v>
      </c>
      <c r="D5892" s="753" t="s">
        <v>43190</v>
      </c>
      <c r="E5892" s="752" t="s">
        <v>293</v>
      </c>
      <c r="F5892" s="751">
        <v>4265</v>
      </c>
    </row>
    <row r="5893" spans="1:6">
      <c r="A5893" s="753"/>
      <c r="B5893" s="753"/>
      <c r="C5893" s="752" t="s">
        <v>43189</v>
      </c>
      <c r="D5893" s="753" t="s">
        <v>43184</v>
      </c>
      <c r="E5893" s="752" t="s">
        <v>293</v>
      </c>
      <c r="F5893" s="751">
        <v>2575</v>
      </c>
    </row>
    <row r="5894" spans="1:6">
      <c r="A5894" s="753"/>
      <c r="B5894" s="753"/>
      <c r="C5894" s="752" t="s">
        <v>43188</v>
      </c>
      <c r="D5894" s="753" t="s">
        <v>43184</v>
      </c>
      <c r="E5894" s="752" t="s">
        <v>39991</v>
      </c>
      <c r="F5894" s="751">
        <v>2775</v>
      </c>
    </row>
    <row r="5895" spans="1:6">
      <c r="A5895" s="753"/>
      <c r="B5895" s="753"/>
      <c r="C5895" s="752" t="s">
        <v>43187</v>
      </c>
      <c r="D5895" s="753" t="s">
        <v>43184</v>
      </c>
      <c r="E5895" s="752" t="s">
        <v>293</v>
      </c>
      <c r="F5895" s="751">
        <v>2575</v>
      </c>
    </row>
    <row r="5896" spans="1:6">
      <c r="A5896" s="753"/>
      <c r="B5896" s="753"/>
      <c r="C5896" s="752" t="s">
        <v>43186</v>
      </c>
      <c r="D5896" s="753" t="s">
        <v>43184</v>
      </c>
      <c r="E5896" s="752" t="s">
        <v>39991</v>
      </c>
      <c r="F5896" s="751">
        <v>2525</v>
      </c>
    </row>
    <row r="5897" spans="1:6">
      <c r="A5897" s="753"/>
      <c r="B5897" s="753"/>
      <c r="C5897" s="752" t="s">
        <v>43185</v>
      </c>
      <c r="D5897" s="753" t="s">
        <v>43184</v>
      </c>
      <c r="E5897" s="752" t="s">
        <v>38670</v>
      </c>
      <c r="F5897" s="751">
        <v>3335</v>
      </c>
    </row>
    <row r="5898" spans="1:6">
      <c r="A5898" s="753"/>
      <c r="B5898" s="753"/>
      <c r="C5898" s="752" t="s">
        <v>43183</v>
      </c>
      <c r="D5898" s="753" t="s">
        <v>43181</v>
      </c>
      <c r="E5898" s="752" t="s">
        <v>293</v>
      </c>
      <c r="F5898" s="751">
        <v>3125</v>
      </c>
    </row>
    <row r="5899" spans="1:6">
      <c r="A5899" s="753"/>
      <c r="B5899" s="753"/>
      <c r="C5899" s="752" t="s">
        <v>43182</v>
      </c>
      <c r="D5899" s="753" t="s">
        <v>43181</v>
      </c>
      <c r="E5899" s="752" t="s">
        <v>39011</v>
      </c>
      <c r="F5899" s="751">
        <v>3885</v>
      </c>
    </row>
    <row r="5900" spans="1:6">
      <c r="A5900" s="753"/>
      <c r="B5900" s="753"/>
      <c r="C5900" s="752" t="s">
        <v>43180</v>
      </c>
      <c r="D5900" s="753" t="s">
        <v>43179</v>
      </c>
      <c r="E5900" s="752" t="s">
        <v>293</v>
      </c>
      <c r="F5900" s="751">
        <v>3125</v>
      </c>
    </row>
    <row r="5901" spans="1:6">
      <c r="A5901" s="753"/>
      <c r="B5901" s="753"/>
      <c r="C5901" s="752" t="s">
        <v>43178</v>
      </c>
      <c r="D5901" s="753" t="s">
        <v>43177</v>
      </c>
      <c r="E5901" s="752" t="s">
        <v>293</v>
      </c>
      <c r="F5901" s="751">
        <v>3125</v>
      </c>
    </row>
    <row r="5902" spans="1:6">
      <c r="A5902" s="753"/>
      <c r="B5902" s="753"/>
      <c r="C5902" s="752" t="s">
        <v>43176</v>
      </c>
      <c r="D5902" s="753" t="s">
        <v>43172</v>
      </c>
      <c r="E5902" s="752" t="s">
        <v>293</v>
      </c>
      <c r="F5902" s="751">
        <v>2375</v>
      </c>
    </row>
    <row r="5903" spans="1:6">
      <c r="A5903" s="753"/>
      <c r="B5903" s="753"/>
      <c r="C5903" s="752" t="s">
        <v>43175</v>
      </c>
      <c r="D5903" s="753" t="s">
        <v>43172</v>
      </c>
      <c r="E5903" s="752" t="s">
        <v>39991</v>
      </c>
      <c r="F5903" s="751">
        <v>2575</v>
      </c>
    </row>
    <row r="5904" spans="1:6">
      <c r="A5904" s="753"/>
      <c r="B5904" s="753"/>
      <c r="C5904" s="752" t="s">
        <v>43174</v>
      </c>
      <c r="D5904" s="753" t="s">
        <v>43172</v>
      </c>
      <c r="E5904" s="752" t="s">
        <v>293</v>
      </c>
      <c r="F5904" s="751">
        <v>2375</v>
      </c>
    </row>
    <row r="5905" spans="1:6">
      <c r="A5905" s="753"/>
      <c r="B5905" s="753"/>
      <c r="C5905" s="752" t="s">
        <v>43173</v>
      </c>
      <c r="D5905" s="753" t="s">
        <v>43172</v>
      </c>
      <c r="E5905" s="752" t="s">
        <v>39991</v>
      </c>
      <c r="F5905" s="751">
        <v>2325</v>
      </c>
    </row>
    <row r="5906" spans="1:6">
      <c r="A5906" s="753"/>
      <c r="B5906" s="753"/>
      <c r="C5906" s="752" t="s">
        <v>43171</v>
      </c>
      <c r="D5906" s="753" t="s">
        <v>43169</v>
      </c>
      <c r="E5906" s="752" t="s">
        <v>293</v>
      </c>
      <c r="F5906" s="751">
        <v>2925</v>
      </c>
    </row>
    <row r="5907" spans="1:6">
      <c r="A5907" s="753"/>
      <c r="B5907" s="753"/>
      <c r="C5907" s="752" t="s">
        <v>43170</v>
      </c>
      <c r="D5907" s="753" t="s">
        <v>43169</v>
      </c>
      <c r="E5907" s="752" t="s">
        <v>293</v>
      </c>
      <c r="F5907" s="751">
        <v>2925</v>
      </c>
    </row>
    <row r="5908" spans="1:6">
      <c r="A5908" s="753"/>
      <c r="B5908" s="753"/>
      <c r="C5908" s="752" t="s">
        <v>43168</v>
      </c>
      <c r="D5908" s="753" t="s">
        <v>43167</v>
      </c>
      <c r="E5908" s="752" t="s">
        <v>293</v>
      </c>
      <c r="F5908" s="751">
        <v>2925</v>
      </c>
    </row>
    <row r="5909" spans="1:6">
      <c r="A5909" s="753"/>
      <c r="B5909" s="753"/>
      <c r="C5909" s="752" t="s">
        <v>43166</v>
      </c>
      <c r="D5909" s="753" t="s">
        <v>43162</v>
      </c>
      <c r="E5909" s="752" t="s">
        <v>39991</v>
      </c>
      <c r="F5909" s="751">
        <v>2675</v>
      </c>
    </row>
    <row r="5910" spans="1:6">
      <c r="A5910" s="753"/>
      <c r="B5910" s="753"/>
      <c r="C5910" s="752" t="s">
        <v>43165</v>
      </c>
      <c r="D5910" s="753" t="s">
        <v>43164</v>
      </c>
      <c r="E5910" s="752" t="s">
        <v>293</v>
      </c>
      <c r="F5910" s="751">
        <v>2475</v>
      </c>
    </row>
    <row r="5911" spans="1:6">
      <c r="A5911" s="753"/>
      <c r="B5911" s="753"/>
      <c r="C5911" s="752" t="s">
        <v>43163</v>
      </c>
      <c r="D5911" s="753" t="s">
        <v>43162</v>
      </c>
      <c r="E5911" s="752" t="s">
        <v>39991</v>
      </c>
      <c r="F5911" s="751">
        <v>2425</v>
      </c>
    </row>
    <row r="5912" spans="1:6">
      <c r="A5912" s="753"/>
      <c r="B5912" s="753" t="s">
        <v>43161</v>
      </c>
      <c r="C5912" s="752" t="s">
        <v>43160</v>
      </c>
      <c r="D5912" s="753" t="s">
        <v>43114</v>
      </c>
      <c r="E5912" s="752" t="s">
        <v>42876</v>
      </c>
      <c r="F5912" s="751">
        <v>4325</v>
      </c>
    </row>
    <row r="5913" spans="1:6">
      <c r="A5913" s="753"/>
      <c r="B5913" s="753"/>
      <c r="C5913" s="752" t="s">
        <v>43159</v>
      </c>
      <c r="D5913" s="753" t="s">
        <v>43142</v>
      </c>
      <c r="E5913" s="752" t="s">
        <v>293</v>
      </c>
      <c r="F5913" s="751">
        <v>4765</v>
      </c>
    </row>
    <row r="5914" spans="1:6">
      <c r="A5914" s="753"/>
      <c r="B5914" s="753"/>
      <c r="C5914" s="752" t="s">
        <v>43158</v>
      </c>
      <c r="D5914" s="753" t="s">
        <v>43142</v>
      </c>
      <c r="E5914" s="752" t="s">
        <v>43157</v>
      </c>
      <c r="F5914" s="751">
        <v>5525</v>
      </c>
    </row>
    <row r="5915" spans="1:6">
      <c r="A5915" s="753"/>
      <c r="B5915" s="753"/>
      <c r="C5915" s="752" t="s">
        <v>43156</v>
      </c>
      <c r="D5915" s="753" t="s">
        <v>43142</v>
      </c>
      <c r="E5915" s="752" t="s">
        <v>38577</v>
      </c>
      <c r="F5915" s="751">
        <v>5525</v>
      </c>
    </row>
    <row r="5916" spans="1:6">
      <c r="A5916" s="753"/>
      <c r="B5916" s="753"/>
      <c r="C5916" s="752" t="s">
        <v>43155</v>
      </c>
      <c r="D5916" s="753" t="s">
        <v>43149</v>
      </c>
      <c r="E5916" s="752" t="s">
        <v>38577</v>
      </c>
      <c r="F5916" s="751">
        <v>4635</v>
      </c>
    </row>
    <row r="5917" spans="1:6">
      <c r="A5917" s="753"/>
      <c r="B5917" s="753"/>
      <c r="C5917" s="752" t="s">
        <v>43154</v>
      </c>
      <c r="D5917" s="753" t="s">
        <v>43142</v>
      </c>
      <c r="E5917" s="752" t="s">
        <v>293</v>
      </c>
      <c r="F5917" s="751">
        <v>4765</v>
      </c>
    </row>
    <row r="5918" spans="1:6">
      <c r="A5918" s="753"/>
      <c r="B5918" s="753"/>
      <c r="C5918" s="752" t="s">
        <v>43153</v>
      </c>
      <c r="D5918" s="753" t="s">
        <v>43149</v>
      </c>
      <c r="E5918" s="752" t="s">
        <v>293</v>
      </c>
      <c r="F5918" s="751">
        <v>4125</v>
      </c>
    </row>
    <row r="5919" spans="1:6">
      <c r="A5919" s="753"/>
      <c r="B5919" s="753"/>
      <c r="C5919" s="752" t="s">
        <v>43152</v>
      </c>
      <c r="D5919" s="753" t="s">
        <v>43149</v>
      </c>
      <c r="E5919" s="752" t="s">
        <v>38577</v>
      </c>
      <c r="F5919" s="751">
        <v>4885</v>
      </c>
    </row>
    <row r="5920" spans="1:6">
      <c r="A5920" s="753"/>
      <c r="B5920" s="753"/>
      <c r="C5920" s="752" t="s">
        <v>43151</v>
      </c>
      <c r="D5920" s="753" t="s">
        <v>43142</v>
      </c>
      <c r="E5920" s="752" t="s">
        <v>293</v>
      </c>
      <c r="F5920" s="751">
        <v>4765</v>
      </c>
    </row>
    <row r="5921" spans="1:6">
      <c r="A5921" s="753"/>
      <c r="B5921" s="753"/>
      <c r="C5921" s="752" t="s">
        <v>43150</v>
      </c>
      <c r="D5921" s="753" t="s">
        <v>43149</v>
      </c>
      <c r="E5921" s="752" t="s">
        <v>293</v>
      </c>
      <c r="F5921" s="751">
        <v>4125</v>
      </c>
    </row>
    <row r="5922" spans="1:6">
      <c r="A5922" s="753"/>
      <c r="B5922" s="753"/>
      <c r="C5922" s="752" t="s">
        <v>43148</v>
      </c>
      <c r="D5922" s="753" t="s">
        <v>43146</v>
      </c>
      <c r="E5922" s="752" t="s">
        <v>39097</v>
      </c>
      <c r="F5922" s="751">
        <v>4865</v>
      </c>
    </row>
    <row r="5923" spans="1:6">
      <c r="A5923" s="753"/>
      <c r="B5923" s="753"/>
      <c r="C5923" s="752" t="s">
        <v>43147</v>
      </c>
      <c r="D5923" s="753" t="s">
        <v>43146</v>
      </c>
      <c r="E5923" s="752" t="s">
        <v>43145</v>
      </c>
      <c r="F5923" s="751">
        <v>5625</v>
      </c>
    </row>
    <row r="5924" spans="1:6">
      <c r="A5924" s="753"/>
      <c r="B5924" s="753"/>
      <c r="C5924" s="752" t="s">
        <v>43144</v>
      </c>
      <c r="D5924" s="753" t="s">
        <v>43140</v>
      </c>
      <c r="E5924" s="752" t="s">
        <v>39097</v>
      </c>
      <c r="F5924" s="751">
        <v>4675</v>
      </c>
    </row>
    <row r="5925" spans="1:6">
      <c r="A5925" s="753"/>
      <c r="B5925" s="753"/>
      <c r="C5925" s="752" t="s">
        <v>43143</v>
      </c>
      <c r="D5925" s="753" t="s">
        <v>43142</v>
      </c>
      <c r="E5925" s="752" t="s">
        <v>39097</v>
      </c>
      <c r="F5925" s="751">
        <v>4765</v>
      </c>
    </row>
    <row r="5926" spans="1:6">
      <c r="A5926" s="753"/>
      <c r="B5926" s="753"/>
      <c r="C5926" s="752" t="s">
        <v>43141</v>
      </c>
      <c r="D5926" s="753" t="s">
        <v>43140</v>
      </c>
      <c r="E5926" s="752" t="s">
        <v>39097</v>
      </c>
      <c r="F5926" s="751">
        <v>4125</v>
      </c>
    </row>
    <row r="5927" spans="1:6">
      <c r="A5927" s="753"/>
      <c r="B5927" s="753"/>
      <c r="C5927" s="752" t="s">
        <v>43139</v>
      </c>
      <c r="D5927" s="753" t="s">
        <v>43138</v>
      </c>
      <c r="E5927" s="752" t="s">
        <v>39097</v>
      </c>
      <c r="F5927" s="751">
        <v>3249</v>
      </c>
    </row>
    <row r="5928" spans="1:6">
      <c r="A5928" s="753"/>
      <c r="B5928" s="753"/>
      <c r="C5928" s="752" t="s">
        <v>43137</v>
      </c>
      <c r="D5928" s="753" t="s">
        <v>43136</v>
      </c>
      <c r="E5928" s="752" t="s">
        <v>39097</v>
      </c>
      <c r="F5928" s="751">
        <v>4375</v>
      </c>
    </row>
    <row r="5929" spans="1:6">
      <c r="A5929" s="753"/>
      <c r="B5929" s="753"/>
      <c r="C5929" s="752" t="s">
        <v>43135</v>
      </c>
      <c r="D5929" s="753" t="s">
        <v>43134</v>
      </c>
      <c r="E5929" s="752" t="s">
        <v>293</v>
      </c>
      <c r="F5929" s="751">
        <v>4445</v>
      </c>
    </row>
    <row r="5930" spans="1:6">
      <c r="A5930" s="753"/>
      <c r="B5930" s="753"/>
      <c r="C5930" s="752" t="s">
        <v>43133</v>
      </c>
      <c r="D5930" s="753" t="s">
        <v>43114</v>
      </c>
      <c r="E5930" s="752" t="s">
        <v>43132</v>
      </c>
      <c r="F5930" s="751">
        <v>6125</v>
      </c>
    </row>
    <row r="5931" spans="1:6">
      <c r="A5931" s="753"/>
      <c r="B5931" s="753"/>
      <c r="C5931" s="752" t="s">
        <v>43131</v>
      </c>
      <c r="D5931" s="753" t="s">
        <v>43118</v>
      </c>
      <c r="E5931" s="752" t="s">
        <v>293</v>
      </c>
      <c r="F5931" s="751">
        <v>5195</v>
      </c>
    </row>
    <row r="5932" spans="1:6">
      <c r="A5932" s="753"/>
      <c r="B5932" s="753"/>
      <c r="C5932" s="752" t="s">
        <v>43130</v>
      </c>
      <c r="D5932" s="753" t="s">
        <v>43118</v>
      </c>
      <c r="E5932" s="752" t="s">
        <v>293</v>
      </c>
      <c r="F5932" s="751">
        <v>5195</v>
      </c>
    </row>
    <row r="5933" spans="1:6">
      <c r="A5933" s="753"/>
      <c r="B5933" s="753"/>
      <c r="C5933" s="752" t="s">
        <v>43129</v>
      </c>
      <c r="D5933" s="753" t="s">
        <v>43118</v>
      </c>
      <c r="E5933" s="752" t="s">
        <v>293</v>
      </c>
      <c r="F5933" s="751">
        <v>5195</v>
      </c>
    </row>
    <row r="5934" spans="1:6">
      <c r="A5934" s="753"/>
      <c r="B5934" s="753"/>
      <c r="C5934" s="752" t="s">
        <v>43128</v>
      </c>
      <c r="D5934" s="753" t="s">
        <v>43127</v>
      </c>
      <c r="E5934" s="752" t="s">
        <v>43126</v>
      </c>
      <c r="F5934" s="751">
        <v>4745</v>
      </c>
    </row>
    <row r="5935" spans="1:6">
      <c r="A5935" s="753"/>
      <c r="B5935" s="753"/>
      <c r="C5935" s="752" t="s">
        <v>43125</v>
      </c>
      <c r="D5935" s="753" t="s">
        <v>43124</v>
      </c>
      <c r="E5935" s="752" t="s">
        <v>39011</v>
      </c>
      <c r="F5935" s="751">
        <v>5955</v>
      </c>
    </row>
    <row r="5936" spans="1:6">
      <c r="A5936" s="753"/>
      <c r="B5936" s="753"/>
      <c r="C5936" s="752" t="s">
        <v>43123</v>
      </c>
      <c r="D5936" s="753" t="s">
        <v>43118</v>
      </c>
      <c r="E5936" s="752" t="s">
        <v>38584</v>
      </c>
      <c r="F5936" s="751">
        <v>5345</v>
      </c>
    </row>
    <row r="5937" spans="1:6">
      <c r="A5937" s="753"/>
      <c r="B5937" s="753"/>
      <c r="C5937" s="752" t="s">
        <v>43122</v>
      </c>
      <c r="D5937" s="753" t="s">
        <v>43118</v>
      </c>
      <c r="E5937" s="752" t="s">
        <v>293</v>
      </c>
      <c r="F5937" s="751">
        <v>5495</v>
      </c>
    </row>
    <row r="5938" spans="1:6">
      <c r="A5938" s="753"/>
      <c r="B5938" s="753"/>
      <c r="C5938" s="752" t="s">
        <v>43121</v>
      </c>
      <c r="D5938" s="753" t="s">
        <v>43118</v>
      </c>
      <c r="E5938" s="752" t="s">
        <v>293</v>
      </c>
      <c r="F5938" s="751">
        <v>5495</v>
      </c>
    </row>
    <row r="5939" spans="1:6">
      <c r="A5939" s="753"/>
      <c r="B5939" s="753"/>
      <c r="C5939" s="752" t="s">
        <v>43120</v>
      </c>
      <c r="D5939" s="753" t="s">
        <v>43118</v>
      </c>
      <c r="E5939" s="752" t="s">
        <v>293</v>
      </c>
      <c r="F5939" s="751">
        <v>5495</v>
      </c>
    </row>
    <row r="5940" spans="1:6">
      <c r="A5940" s="753"/>
      <c r="B5940" s="753"/>
      <c r="C5940" s="752" t="s">
        <v>43119</v>
      </c>
      <c r="D5940" s="753" t="s">
        <v>43118</v>
      </c>
      <c r="E5940" s="752" t="s">
        <v>293</v>
      </c>
      <c r="F5940" s="751">
        <v>5495</v>
      </c>
    </row>
    <row r="5941" spans="1:6">
      <c r="A5941" s="753"/>
      <c r="B5941" s="753"/>
      <c r="C5941" s="752" t="s">
        <v>43117</v>
      </c>
      <c r="D5941" s="753" t="s">
        <v>43114</v>
      </c>
      <c r="E5941" s="752" t="s">
        <v>43116</v>
      </c>
      <c r="F5941" s="751">
        <v>4475</v>
      </c>
    </row>
    <row r="5942" spans="1:6">
      <c r="A5942" s="753"/>
      <c r="B5942" s="753"/>
      <c r="C5942" s="752" t="s">
        <v>43115</v>
      </c>
      <c r="D5942" s="753" t="s">
        <v>43114</v>
      </c>
      <c r="E5942" s="752" t="s">
        <v>42876</v>
      </c>
      <c r="F5942" s="751">
        <v>4325</v>
      </c>
    </row>
    <row r="5943" spans="1:6">
      <c r="A5943" s="753"/>
      <c r="B5943" s="753"/>
      <c r="C5943" s="752" t="s">
        <v>43113</v>
      </c>
      <c r="D5943" s="753" t="s">
        <v>43112</v>
      </c>
      <c r="E5943" s="752" t="s">
        <v>38584</v>
      </c>
      <c r="F5943" s="751">
        <v>4235</v>
      </c>
    </row>
    <row r="5944" spans="1:6">
      <c r="A5944" s="753"/>
      <c r="B5944" s="753"/>
      <c r="C5944" s="752" t="s">
        <v>43111</v>
      </c>
      <c r="D5944" s="753" t="s">
        <v>43110</v>
      </c>
      <c r="E5944" s="752" t="s">
        <v>293</v>
      </c>
      <c r="F5944" s="751">
        <v>4000</v>
      </c>
    </row>
    <row r="5945" spans="1:6">
      <c r="A5945" s="753"/>
      <c r="B5945" s="753"/>
      <c r="C5945" s="752" t="s">
        <v>43109</v>
      </c>
      <c r="D5945" s="753" t="s">
        <v>43049</v>
      </c>
      <c r="E5945" s="752" t="s">
        <v>42893</v>
      </c>
      <c r="F5945" s="751">
        <v>3125</v>
      </c>
    </row>
    <row r="5946" spans="1:6">
      <c r="A5946" s="753"/>
      <c r="B5946" s="753"/>
      <c r="C5946" s="752" t="s">
        <v>43108</v>
      </c>
      <c r="D5946" s="753" t="s">
        <v>43015</v>
      </c>
      <c r="E5946" s="752" t="s">
        <v>42893</v>
      </c>
      <c r="F5946" s="751">
        <v>2575</v>
      </c>
    </row>
    <row r="5947" spans="1:6">
      <c r="A5947" s="753"/>
      <c r="B5947" s="753"/>
      <c r="C5947" s="752" t="s">
        <v>43107</v>
      </c>
      <c r="D5947" s="753" t="s">
        <v>43015</v>
      </c>
      <c r="E5947" s="752" t="s">
        <v>43103</v>
      </c>
      <c r="F5947" s="751">
        <v>3075</v>
      </c>
    </row>
    <row r="5948" spans="1:6">
      <c r="A5948" s="753"/>
      <c r="B5948" s="753"/>
      <c r="C5948" s="752" t="s">
        <v>43106</v>
      </c>
      <c r="D5948" s="753" t="s">
        <v>43015</v>
      </c>
      <c r="E5948" s="752" t="s">
        <v>42903</v>
      </c>
      <c r="F5948" s="751">
        <v>2575</v>
      </c>
    </row>
    <row r="5949" spans="1:6">
      <c r="A5949" s="753"/>
      <c r="B5949" s="753"/>
      <c r="C5949" s="752" t="s">
        <v>43105</v>
      </c>
      <c r="D5949" s="753" t="s">
        <v>43015</v>
      </c>
      <c r="E5949" s="752" t="s">
        <v>42901</v>
      </c>
      <c r="F5949" s="751">
        <v>3335</v>
      </c>
    </row>
    <row r="5950" spans="1:6">
      <c r="A5950" s="753"/>
      <c r="B5950" s="753"/>
      <c r="C5950" s="752" t="s">
        <v>43104</v>
      </c>
      <c r="D5950" s="753" t="s">
        <v>43015</v>
      </c>
      <c r="E5950" s="752" t="s">
        <v>43103</v>
      </c>
      <c r="F5950" s="751">
        <v>3075</v>
      </c>
    </row>
    <row r="5951" spans="1:6">
      <c r="A5951" s="753"/>
      <c r="B5951" s="753"/>
      <c r="C5951" s="752" t="s">
        <v>43102</v>
      </c>
      <c r="D5951" s="753" t="s">
        <v>43015</v>
      </c>
      <c r="E5951" s="752" t="s">
        <v>42903</v>
      </c>
      <c r="F5951" s="751">
        <v>2575</v>
      </c>
    </row>
    <row r="5952" spans="1:6">
      <c r="A5952" s="753"/>
      <c r="B5952" s="753"/>
      <c r="C5952" s="752" t="s">
        <v>43101</v>
      </c>
      <c r="D5952" s="753" t="s">
        <v>43015</v>
      </c>
      <c r="E5952" s="752" t="s">
        <v>43094</v>
      </c>
      <c r="F5952" s="751">
        <v>3335</v>
      </c>
    </row>
    <row r="5953" spans="1:6">
      <c r="A5953" s="753"/>
      <c r="B5953" s="753"/>
      <c r="C5953" s="752" t="s">
        <v>43100</v>
      </c>
      <c r="D5953" s="753" t="s">
        <v>43098</v>
      </c>
      <c r="E5953" s="752" t="s">
        <v>42887</v>
      </c>
      <c r="F5953" s="751">
        <v>3075</v>
      </c>
    </row>
    <row r="5954" spans="1:6">
      <c r="A5954" s="753"/>
      <c r="B5954" s="753"/>
      <c r="C5954" s="752" t="s">
        <v>43099</v>
      </c>
      <c r="D5954" s="753" t="s">
        <v>43098</v>
      </c>
      <c r="E5954" s="752" t="s">
        <v>42871</v>
      </c>
      <c r="F5954" s="751">
        <v>2955</v>
      </c>
    </row>
    <row r="5955" spans="1:6">
      <c r="A5955" s="753"/>
      <c r="B5955" s="753"/>
      <c r="C5955" s="752" t="s">
        <v>43097</v>
      </c>
      <c r="D5955" s="753" t="s">
        <v>43015</v>
      </c>
      <c r="E5955" s="752" t="s">
        <v>42885</v>
      </c>
      <c r="F5955" s="751">
        <v>2575</v>
      </c>
    </row>
    <row r="5956" spans="1:6">
      <c r="A5956" s="753"/>
      <c r="B5956" s="753"/>
      <c r="C5956" s="752" t="s">
        <v>43096</v>
      </c>
      <c r="D5956" s="753" t="s">
        <v>43015</v>
      </c>
      <c r="E5956" s="752" t="s">
        <v>42901</v>
      </c>
      <c r="F5956" s="751">
        <v>3335</v>
      </c>
    </row>
    <row r="5957" spans="1:6">
      <c r="A5957" s="753"/>
      <c r="B5957" s="753"/>
      <c r="C5957" s="752" t="s">
        <v>43095</v>
      </c>
      <c r="D5957" s="753" t="s">
        <v>43015</v>
      </c>
      <c r="E5957" s="752" t="s">
        <v>43094</v>
      </c>
      <c r="F5957" s="751">
        <v>3335</v>
      </c>
    </row>
    <row r="5958" spans="1:6">
      <c r="A5958" s="753"/>
      <c r="B5958" s="753"/>
      <c r="C5958" s="752" t="s">
        <v>43093</v>
      </c>
      <c r="D5958" s="753" t="s">
        <v>43092</v>
      </c>
      <c r="E5958" s="752" t="s">
        <v>42869</v>
      </c>
      <c r="F5958" s="751">
        <v>3075</v>
      </c>
    </row>
    <row r="5959" spans="1:6">
      <c r="A5959" s="753"/>
      <c r="B5959" s="753"/>
      <c r="C5959" s="752" t="s">
        <v>43091</v>
      </c>
      <c r="D5959" s="753" t="s">
        <v>43015</v>
      </c>
      <c r="E5959" s="752" t="s">
        <v>42880</v>
      </c>
      <c r="F5959" s="751">
        <v>2575</v>
      </c>
    </row>
    <row r="5960" spans="1:6">
      <c r="A5960" s="753"/>
      <c r="B5960" s="753"/>
      <c r="C5960" s="752" t="s">
        <v>43090</v>
      </c>
      <c r="D5960" s="753" t="s">
        <v>43015</v>
      </c>
      <c r="E5960" s="752" t="s">
        <v>43089</v>
      </c>
      <c r="F5960" s="751">
        <v>3335</v>
      </c>
    </row>
    <row r="5961" spans="1:6">
      <c r="A5961" s="753"/>
      <c r="B5961" s="753"/>
      <c r="C5961" s="752" t="s">
        <v>43088</v>
      </c>
      <c r="D5961" s="753" t="s">
        <v>43015</v>
      </c>
      <c r="E5961" s="752" t="s">
        <v>42893</v>
      </c>
      <c r="F5961" s="751">
        <v>2575</v>
      </c>
    </row>
    <row r="5962" spans="1:6">
      <c r="A5962" s="753"/>
      <c r="B5962" s="753"/>
      <c r="C5962" s="752" t="s">
        <v>43087</v>
      </c>
      <c r="D5962" s="753" t="s">
        <v>43049</v>
      </c>
      <c r="E5962" s="752" t="s">
        <v>42876</v>
      </c>
      <c r="F5962" s="751">
        <v>3875</v>
      </c>
    </row>
    <row r="5963" spans="1:6">
      <c r="A5963" s="753"/>
      <c r="B5963" s="753"/>
      <c r="C5963" s="752" t="s">
        <v>43086</v>
      </c>
      <c r="D5963" s="753" t="s">
        <v>43049</v>
      </c>
      <c r="E5963" s="752" t="s">
        <v>42988</v>
      </c>
      <c r="F5963" s="751">
        <v>3875</v>
      </c>
    </row>
    <row r="5964" spans="1:6">
      <c r="A5964" s="753"/>
      <c r="B5964" s="753"/>
      <c r="C5964" s="752" t="s">
        <v>43085</v>
      </c>
      <c r="D5964" s="753" t="s">
        <v>43049</v>
      </c>
      <c r="E5964" s="752" t="s">
        <v>43045</v>
      </c>
      <c r="F5964" s="751">
        <v>3625</v>
      </c>
    </row>
    <row r="5965" spans="1:6">
      <c r="A5965" s="753"/>
      <c r="B5965" s="753"/>
      <c r="C5965" s="752" t="s">
        <v>43084</v>
      </c>
      <c r="D5965" s="753" t="s">
        <v>43049</v>
      </c>
      <c r="E5965" s="752" t="s">
        <v>43083</v>
      </c>
      <c r="F5965" s="751">
        <v>3625</v>
      </c>
    </row>
    <row r="5966" spans="1:6">
      <c r="A5966" s="753"/>
      <c r="B5966" s="753"/>
      <c r="C5966" s="752" t="s">
        <v>43082</v>
      </c>
      <c r="D5966" s="753" t="s">
        <v>43049</v>
      </c>
      <c r="E5966" s="752" t="s">
        <v>42946</v>
      </c>
      <c r="F5966" s="751">
        <v>4635</v>
      </c>
    </row>
    <row r="5967" spans="1:6">
      <c r="A5967" s="753"/>
      <c r="B5967" s="753"/>
      <c r="C5967" s="752" t="s">
        <v>43081</v>
      </c>
      <c r="D5967" s="753" t="s">
        <v>43049</v>
      </c>
      <c r="E5967" s="752" t="s">
        <v>42944</v>
      </c>
      <c r="F5967" s="751">
        <v>3625</v>
      </c>
    </row>
    <row r="5968" spans="1:6">
      <c r="A5968" s="753"/>
      <c r="B5968" s="753"/>
      <c r="C5968" s="752" t="s">
        <v>43080</v>
      </c>
      <c r="D5968" s="753" t="s">
        <v>43049</v>
      </c>
      <c r="E5968" s="752" t="s">
        <v>43079</v>
      </c>
      <c r="F5968" s="751">
        <v>3625</v>
      </c>
    </row>
    <row r="5969" spans="1:6">
      <c r="A5969" s="753"/>
      <c r="B5969" s="753"/>
      <c r="C5969" s="752" t="s">
        <v>43078</v>
      </c>
      <c r="D5969" s="753" t="s">
        <v>43049</v>
      </c>
      <c r="E5969" s="752" t="s">
        <v>42926</v>
      </c>
      <c r="F5969" s="751">
        <v>3625</v>
      </c>
    </row>
    <row r="5970" spans="1:6">
      <c r="A5970" s="753"/>
      <c r="B5970" s="753"/>
      <c r="C5970" s="752" t="s">
        <v>43077</v>
      </c>
      <c r="D5970" s="753" t="s">
        <v>43049</v>
      </c>
      <c r="E5970" s="752" t="s">
        <v>42941</v>
      </c>
      <c r="F5970" s="751">
        <v>3625</v>
      </c>
    </row>
    <row r="5971" spans="1:6">
      <c r="A5971" s="753"/>
      <c r="B5971" s="753"/>
      <c r="C5971" s="752" t="s">
        <v>43076</v>
      </c>
      <c r="D5971" s="753" t="s">
        <v>43049</v>
      </c>
      <c r="E5971" s="752" t="s">
        <v>43038</v>
      </c>
      <c r="F5971" s="751">
        <v>4385</v>
      </c>
    </row>
    <row r="5972" spans="1:6">
      <c r="A5972" s="753"/>
      <c r="B5972" s="753"/>
      <c r="C5972" s="752" t="s">
        <v>43075</v>
      </c>
      <c r="D5972" s="753" t="s">
        <v>43049</v>
      </c>
      <c r="E5972" s="752" t="s">
        <v>42893</v>
      </c>
      <c r="F5972" s="751">
        <v>3125</v>
      </c>
    </row>
    <row r="5973" spans="1:6">
      <c r="A5973" s="753"/>
      <c r="B5973" s="753"/>
      <c r="C5973" s="752" t="s">
        <v>43074</v>
      </c>
      <c r="D5973" s="753" t="s">
        <v>43049</v>
      </c>
      <c r="E5973" s="752" t="s">
        <v>42876</v>
      </c>
      <c r="F5973" s="751">
        <v>3875</v>
      </c>
    </row>
    <row r="5974" spans="1:6">
      <c r="A5974" s="753"/>
      <c r="B5974" s="753"/>
      <c r="C5974" s="752" t="s">
        <v>43073</v>
      </c>
      <c r="D5974" s="753" t="s">
        <v>43049</v>
      </c>
      <c r="E5974" s="752" t="s">
        <v>43072</v>
      </c>
      <c r="F5974" s="751">
        <v>4385</v>
      </c>
    </row>
    <row r="5975" spans="1:6">
      <c r="A5975" s="753"/>
      <c r="B5975" s="753"/>
      <c r="C5975" s="752" t="s">
        <v>43071</v>
      </c>
      <c r="D5975" s="753" t="s">
        <v>43049</v>
      </c>
      <c r="E5975" s="752" t="s">
        <v>42976</v>
      </c>
      <c r="F5975" s="751">
        <v>4385</v>
      </c>
    </row>
    <row r="5976" spans="1:6">
      <c r="A5976" s="753"/>
      <c r="B5976" s="753"/>
      <c r="C5976" s="752" t="s">
        <v>43070</v>
      </c>
      <c r="D5976" s="753" t="s">
        <v>43049</v>
      </c>
      <c r="E5976" s="752" t="s">
        <v>42926</v>
      </c>
      <c r="F5976" s="751">
        <v>3625</v>
      </c>
    </row>
    <row r="5977" spans="1:6">
      <c r="A5977" s="753"/>
      <c r="B5977" s="753"/>
      <c r="C5977" s="752" t="s">
        <v>43069</v>
      </c>
      <c r="D5977" s="753" t="s">
        <v>43049</v>
      </c>
      <c r="E5977" s="752" t="s">
        <v>42903</v>
      </c>
      <c r="F5977" s="751">
        <v>3125</v>
      </c>
    </row>
    <row r="5978" spans="1:6">
      <c r="A5978" s="753"/>
      <c r="B5978" s="753"/>
      <c r="C5978" s="752" t="s">
        <v>43068</v>
      </c>
      <c r="D5978" s="753" t="s">
        <v>43049</v>
      </c>
      <c r="E5978" s="752" t="s">
        <v>42876</v>
      </c>
      <c r="F5978" s="751">
        <v>3875</v>
      </c>
    </row>
    <row r="5979" spans="1:6">
      <c r="A5979" s="753"/>
      <c r="B5979" s="753"/>
      <c r="C5979" s="752" t="s">
        <v>43067</v>
      </c>
      <c r="D5979" s="753" t="s">
        <v>43049</v>
      </c>
      <c r="E5979" s="752" t="s">
        <v>42976</v>
      </c>
      <c r="F5979" s="751">
        <v>4385</v>
      </c>
    </row>
    <row r="5980" spans="1:6">
      <c r="A5980" s="753"/>
      <c r="B5980" s="753"/>
      <c r="C5980" s="752" t="s">
        <v>43066</v>
      </c>
      <c r="D5980" s="753" t="s">
        <v>43049</v>
      </c>
      <c r="E5980" s="752" t="s">
        <v>42926</v>
      </c>
      <c r="F5980" s="751">
        <v>3625</v>
      </c>
    </row>
    <row r="5981" spans="1:6">
      <c r="A5981" s="753"/>
      <c r="B5981" s="753"/>
      <c r="C5981" s="752" t="s">
        <v>43065</v>
      </c>
      <c r="D5981" s="753" t="s">
        <v>43049</v>
      </c>
      <c r="E5981" s="752" t="s">
        <v>42903</v>
      </c>
      <c r="F5981" s="751">
        <v>3125</v>
      </c>
    </row>
    <row r="5982" spans="1:6">
      <c r="A5982" s="753"/>
      <c r="B5982" s="753"/>
      <c r="C5982" s="752" t="s">
        <v>43064</v>
      </c>
      <c r="D5982" s="753" t="s">
        <v>43049</v>
      </c>
      <c r="E5982" s="752" t="s">
        <v>42891</v>
      </c>
      <c r="F5982" s="751">
        <v>3875</v>
      </c>
    </row>
    <row r="5983" spans="1:6">
      <c r="A5983" s="753"/>
      <c r="B5983" s="753"/>
      <c r="C5983" s="752" t="s">
        <v>43063</v>
      </c>
      <c r="D5983" s="753" t="s">
        <v>43049</v>
      </c>
      <c r="E5983" s="752" t="s">
        <v>43062</v>
      </c>
      <c r="F5983" s="751">
        <v>4005</v>
      </c>
    </row>
    <row r="5984" spans="1:6">
      <c r="A5984" s="753"/>
      <c r="B5984" s="753"/>
      <c r="C5984" s="752" t="s">
        <v>43061</v>
      </c>
      <c r="D5984" s="753" t="s">
        <v>43049</v>
      </c>
      <c r="E5984" s="752" t="s">
        <v>42887</v>
      </c>
      <c r="F5984" s="751">
        <v>3625</v>
      </c>
    </row>
    <row r="5985" spans="1:6">
      <c r="A5985" s="753"/>
      <c r="B5985" s="753"/>
      <c r="C5985" s="752" t="s">
        <v>43060</v>
      </c>
      <c r="D5985" s="753" t="s">
        <v>43049</v>
      </c>
      <c r="E5985" s="752" t="s">
        <v>42871</v>
      </c>
      <c r="F5985" s="751">
        <v>4005</v>
      </c>
    </row>
    <row r="5986" spans="1:6">
      <c r="A5986" s="753"/>
      <c r="B5986" s="753"/>
      <c r="C5986" s="752" t="s">
        <v>43059</v>
      </c>
      <c r="D5986" s="753" t="s">
        <v>43049</v>
      </c>
      <c r="E5986" s="752" t="s">
        <v>42903</v>
      </c>
      <c r="F5986" s="751">
        <v>3125</v>
      </c>
    </row>
    <row r="5987" spans="1:6">
      <c r="A5987" s="753"/>
      <c r="B5987" s="753"/>
      <c r="C5987" s="752" t="s">
        <v>43058</v>
      </c>
      <c r="D5987" s="753" t="s">
        <v>43049</v>
      </c>
      <c r="E5987" s="752" t="s">
        <v>43057</v>
      </c>
      <c r="F5987" s="751">
        <v>3625</v>
      </c>
    </row>
    <row r="5988" spans="1:6">
      <c r="A5988" s="753"/>
      <c r="B5988" s="753"/>
      <c r="C5988" s="752" t="s">
        <v>43056</v>
      </c>
      <c r="D5988" s="753" t="s">
        <v>43049</v>
      </c>
      <c r="E5988" s="752" t="s">
        <v>42883</v>
      </c>
      <c r="F5988" s="751">
        <v>3625</v>
      </c>
    </row>
    <row r="5989" spans="1:6">
      <c r="A5989" s="753"/>
      <c r="B5989" s="753"/>
      <c r="C5989" s="752" t="s">
        <v>43055</v>
      </c>
      <c r="D5989" s="753" t="s">
        <v>43049</v>
      </c>
      <c r="E5989" s="752" t="s">
        <v>43054</v>
      </c>
      <c r="F5989" s="751">
        <v>4385</v>
      </c>
    </row>
    <row r="5990" spans="1:6">
      <c r="A5990" s="753"/>
      <c r="B5990" s="753"/>
      <c r="C5990" s="752" t="s">
        <v>43053</v>
      </c>
      <c r="D5990" s="753" t="s">
        <v>43049</v>
      </c>
      <c r="E5990" s="752" t="s">
        <v>43052</v>
      </c>
      <c r="F5990" s="751">
        <v>3625</v>
      </c>
    </row>
    <row r="5991" spans="1:6">
      <c r="A5991" s="753"/>
      <c r="B5991" s="753"/>
      <c r="C5991" s="752" t="s">
        <v>43051</v>
      </c>
      <c r="D5991" s="753" t="s">
        <v>43049</v>
      </c>
      <c r="E5991" s="752" t="s">
        <v>42903</v>
      </c>
      <c r="F5991" s="751">
        <v>3125</v>
      </c>
    </row>
    <row r="5992" spans="1:6">
      <c r="A5992" s="753"/>
      <c r="B5992" s="753"/>
      <c r="C5992" s="752" t="s">
        <v>43050</v>
      </c>
      <c r="D5992" s="753" t="s">
        <v>43049</v>
      </c>
      <c r="E5992" s="752" t="s">
        <v>42926</v>
      </c>
      <c r="F5992" s="751">
        <v>3625</v>
      </c>
    </row>
    <row r="5993" spans="1:6">
      <c r="A5993" s="753"/>
      <c r="B5993" s="753"/>
      <c r="C5993" s="752" t="s">
        <v>43048</v>
      </c>
      <c r="D5993" s="753" t="s">
        <v>43026</v>
      </c>
      <c r="E5993" s="752" t="s">
        <v>42876</v>
      </c>
      <c r="F5993" s="751">
        <v>3875</v>
      </c>
    </row>
    <row r="5994" spans="1:6">
      <c r="A5994" s="753"/>
      <c r="B5994" s="753"/>
      <c r="C5994" s="752" t="s">
        <v>43047</v>
      </c>
      <c r="D5994" s="753" t="s">
        <v>43026</v>
      </c>
      <c r="E5994" s="752" t="s">
        <v>42988</v>
      </c>
      <c r="F5994" s="751">
        <v>3875</v>
      </c>
    </row>
    <row r="5995" spans="1:6">
      <c r="A5995" s="753"/>
      <c r="B5995" s="753"/>
      <c r="C5995" s="752" t="s">
        <v>43046</v>
      </c>
      <c r="D5995" s="753" t="s">
        <v>43026</v>
      </c>
      <c r="E5995" s="752" t="s">
        <v>43045</v>
      </c>
      <c r="F5995" s="751">
        <v>3375</v>
      </c>
    </row>
    <row r="5996" spans="1:6">
      <c r="A5996" s="753"/>
      <c r="B5996" s="753"/>
      <c r="C5996" s="752" t="s">
        <v>43044</v>
      </c>
      <c r="D5996" s="753" t="s">
        <v>43026</v>
      </c>
      <c r="E5996" s="752" t="s">
        <v>43043</v>
      </c>
      <c r="F5996" s="751">
        <v>3375</v>
      </c>
    </row>
    <row r="5997" spans="1:6">
      <c r="A5997" s="753"/>
      <c r="B5997" s="753"/>
      <c r="C5997" s="752" t="s">
        <v>43042</v>
      </c>
      <c r="D5997" s="753" t="s">
        <v>43026</v>
      </c>
      <c r="E5997" s="752" t="s">
        <v>42926</v>
      </c>
      <c r="F5997" s="751">
        <v>3625</v>
      </c>
    </row>
    <row r="5998" spans="1:6">
      <c r="A5998" s="753"/>
      <c r="B5998" s="753"/>
      <c r="C5998" s="752" t="s">
        <v>43041</v>
      </c>
      <c r="D5998" s="753" t="s">
        <v>43026</v>
      </c>
      <c r="E5998" s="752" t="s">
        <v>42941</v>
      </c>
      <c r="F5998" s="751">
        <v>3625</v>
      </c>
    </row>
    <row r="5999" spans="1:6">
      <c r="A5999" s="753"/>
      <c r="B5999" s="753"/>
      <c r="C5999" s="752" t="s">
        <v>43040</v>
      </c>
      <c r="D5999" s="753" t="s">
        <v>43039</v>
      </c>
      <c r="E5999" s="752" t="s">
        <v>43038</v>
      </c>
      <c r="F5999" s="751">
        <v>4385</v>
      </c>
    </row>
    <row r="6000" spans="1:6">
      <c r="A6000" s="753"/>
      <c r="B6000" s="753"/>
      <c r="C6000" s="752" t="s">
        <v>43037</v>
      </c>
      <c r="D6000" s="753" t="s">
        <v>43026</v>
      </c>
      <c r="E6000" s="752" t="s">
        <v>42893</v>
      </c>
      <c r="F6000" s="751">
        <v>3125</v>
      </c>
    </row>
    <row r="6001" spans="1:6">
      <c r="A6001" s="753"/>
      <c r="B6001" s="753"/>
      <c r="C6001" s="752" t="s">
        <v>43036</v>
      </c>
      <c r="D6001" s="753" t="s">
        <v>43026</v>
      </c>
      <c r="E6001" s="752" t="s">
        <v>42876</v>
      </c>
      <c r="F6001" s="751">
        <v>3875</v>
      </c>
    </row>
    <row r="6002" spans="1:6">
      <c r="A6002" s="753"/>
      <c r="B6002" s="753"/>
      <c r="C6002" s="752" t="s">
        <v>43035</v>
      </c>
      <c r="D6002" s="753" t="s">
        <v>43026</v>
      </c>
      <c r="E6002" s="752" t="s">
        <v>42946</v>
      </c>
      <c r="F6002" s="751">
        <v>4385</v>
      </c>
    </row>
    <row r="6003" spans="1:6">
      <c r="A6003" s="753"/>
      <c r="B6003" s="753"/>
      <c r="C6003" s="752" t="s">
        <v>43034</v>
      </c>
      <c r="D6003" s="753" t="s">
        <v>43026</v>
      </c>
      <c r="E6003" s="752" t="s">
        <v>42926</v>
      </c>
      <c r="F6003" s="751">
        <v>3625</v>
      </c>
    </row>
    <row r="6004" spans="1:6">
      <c r="A6004" s="753"/>
      <c r="B6004" s="753"/>
      <c r="C6004" s="752" t="s">
        <v>43033</v>
      </c>
      <c r="D6004" s="753" t="s">
        <v>43026</v>
      </c>
      <c r="E6004" s="752" t="s">
        <v>42903</v>
      </c>
      <c r="F6004" s="751">
        <v>3125</v>
      </c>
    </row>
    <row r="6005" spans="1:6">
      <c r="A6005" s="753"/>
      <c r="B6005" s="753"/>
      <c r="C6005" s="752" t="s">
        <v>43032</v>
      </c>
      <c r="D6005" s="753" t="s">
        <v>43026</v>
      </c>
      <c r="E6005" s="752" t="s">
        <v>42876</v>
      </c>
      <c r="F6005" s="751">
        <v>3875</v>
      </c>
    </row>
    <row r="6006" spans="1:6">
      <c r="A6006" s="753"/>
      <c r="B6006" s="753"/>
      <c r="C6006" s="752" t="s">
        <v>43031</v>
      </c>
      <c r="D6006" s="753" t="s">
        <v>43026</v>
      </c>
      <c r="E6006" s="752" t="s">
        <v>42946</v>
      </c>
      <c r="F6006" s="751">
        <v>4385</v>
      </c>
    </row>
    <row r="6007" spans="1:6">
      <c r="A6007" s="753"/>
      <c r="B6007" s="753"/>
      <c r="C6007" s="752" t="s">
        <v>43030</v>
      </c>
      <c r="D6007" s="753" t="s">
        <v>43026</v>
      </c>
      <c r="E6007" s="752" t="s">
        <v>42926</v>
      </c>
      <c r="F6007" s="751">
        <v>3625</v>
      </c>
    </row>
    <row r="6008" spans="1:6">
      <c r="A6008" s="753"/>
      <c r="B6008" s="753"/>
      <c r="C6008" s="752" t="s">
        <v>43029</v>
      </c>
      <c r="D6008" s="753" t="s">
        <v>43026</v>
      </c>
      <c r="E6008" s="752" t="s">
        <v>42903</v>
      </c>
      <c r="F6008" s="751">
        <v>3125</v>
      </c>
    </row>
    <row r="6009" spans="1:6">
      <c r="A6009" s="753"/>
      <c r="B6009" s="753"/>
      <c r="C6009" s="752" t="s">
        <v>43028</v>
      </c>
      <c r="D6009" s="753" t="s">
        <v>43026</v>
      </c>
      <c r="E6009" s="752" t="s">
        <v>42876</v>
      </c>
      <c r="F6009" s="751">
        <v>3875</v>
      </c>
    </row>
    <row r="6010" spans="1:6">
      <c r="A6010" s="753"/>
      <c r="B6010" s="753"/>
      <c r="C6010" s="752" t="s">
        <v>43027</v>
      </c>
      <c r="D6010" s="753" t="s">
        <v>43026</v>
      </c>
      <c r="E6010" s="752" t="s">
        <v>43025</v>
      </c>
      <c r="F6010" s="751">
        <v>4385</v>
      </c>
    </row>
    <row r="6011" spans="1:6">
      <c r="A6011" s="753"/>
      <c r="B6011" s="753"/>
      <c r="C6011" s="752" t="s">
        <v>43024</v>
      </c>
      <c r="D6011" s="753" t="s">
        <v>43020</v>
      </c>
      <c r="E6011" s="752" t="s">
        <v>42887</v>
      </c>
      <c r="F6011" s="751">
        <v>3625</v>
      </c>
    </row>
    <row r="6012" spans="1:6">
      <c r="A6012" s="753"/>
      <c r="B6012" s="753"/>
      <c r="C6012" s="752" t="s">
        <v>43023</v>
      </c>
      <c r="D6012" s="753" t="s">
        <v>43020</v>
      </c>
      <c r="E6012" s="752" t="s">
        <v>42883</v>
      </c>
      <c r="F6012" s="751">
        <v>3625</v>
      </c>
    </row>
    <row r="6013" spans="1:6">
      <c r="A6013" s="753"/>
      <c r="B6013" s="753"/>
      <c r="C6013" s="752" t="s">
        <v>43022</v>
      </c>
      <c r="D6013" s="753" t="s">
        <v>43020</v>
      </c>
      <c r="E6013" s="752" t="s">
        <v>42867</v>
      </c>
      <c r="F6013" s="751">
        <v>3625</v>
      </c>
    </row>
    <row r="6014" spans="1:6">
      <c r="A6014" s="753"/>
      <c r="B6014" s="753"/>
      <c r="C6014" s="752" t="s">
        <v>43021</v>
      </c>
      <c r="D6014" s="753" t="s">
        <v>43020</v>
      </c>
      <c r="E6014" s="752" t="s">
        <v>43019</v>
      </c>
      <c r="F6014" s="751">
        <v>4385</v>
      </c>
    </row>
    <row r="6015" spans="1:6">
      <c r="A6015" s="753"/>
      <c r="B6015" s="753"/>
      <c r="C6015" s="752" t="s">
        <v>43018</v>
      </c>
      <c r="D6015" s="753" t="s">
        <v>43017</v>
      </c>
      <c r="E6015" s="752" t="s">
        <v>42867</v>
      </c>
      <c r="F6015" s="751">
        <v>4715</v>
      </c>
    </row>
    <row r="6016" spans="1:6">
      <c r="A6016" s="753"/>
      <c r="B6016" s="753"/>
      <c r="C6016" s="752" t="s">
        <v>43016</v>
      </c>
      <c r="D6016" s="753" t="s">
        <v>43015</v>
      </c>
      <c r="E6016" s="752" t="s">
        <v>43014</v>
      </c>
      <c r="F6016" s="751">
        <v>3835</v>
      </c>
    </row>
    <row r="6017" spans="1:6">
      <c r="A6017" s="753"/>
      <c r="B6017" s="753"/>
      <c r="C6017" s="752" t="s">
        <v>43013</v>
      </c>
      <c r="D6017" s="753" t="s">
        <v>42991</v>
      </c>
      <c r="E6017" s="752" t="s">
        <v>42893</v>
      </c>
      <c r="F6017" s="751">
        <v>2375</v>
      </c>
    </row>
    <row r="6018" spans="1:6">
      <c r="A6018" s="753"/>
      <c r="B6018" s="753"/>
      <c r="C6018" s="752" t="s">
        <v>43012</v>
      </c>
      <c r="D6018" s="753" t="s">
        <v>42991</v>
      </c>
      <c r="E6018" s="752" t="s">
        <v>43006</v>
      </c>
      <c r="F6018" s="751">
        <v>3135</v>
      </c>
    </row>
    <row r="6019" spans="1:6">
      <c r="A6019" s="753"/>
      <c r="B6019" s="753"/>
      <c r="C6019" s="752" t="s">
        <v>43011</v>
      </c>
      <c r="D6019" s="753" t="s">
        <v>42991</v>
      </c>
      <c r="E6019" s="752" t="s">
        <v>42903</v>
      </c>
      <c r="F6019" s="751">
        <v>2375</v>
      </c>
    </row>
    <row r="6020" spans="1:6">
      <c r="A6020" s="753"/>
      <c r="B6020" s="753"/>
      <c r="C6020" s="752" t="s">
        <v>43010</v>
      </c>
      <c r="D6020" s="753" t="s">
        <v>42991</v>
      </c>
      <c r="E6020" s="752" t="s">
        <v>43006</v>
      </c>
      <c r="F6020" s="751">
        <v>3135</v>
      </c>
    </row>
    <row r="6021" spans="1:6">
      <c r="A6021" s="753"/>
      <c r="B6021" s="753"/>
      <c r="C6021" s="752" t="s">
        <v>43009</v>
      </c>
      <c r="D6021" s="753" t="s">
        <v>42991</v>
      </c>
      <c r="E6021" s="752" t="s">
        <v>42926</v>
      </c>
      <c r="F6021" s="751">
        <v>2875</v>
      </c>
    </row>
    <row r="6022" spans="1:6">
      <c r="A6022" s="753"/>
      <c r="B6022" s="753"/>
      <c r="C6022" s="752" t="s">
        <v>43008</v>
      </c>
      <c r="D6022" s="753" t="s">
        <v>42991</v>
      </c>
      <c r="E6022" s="752" t="s">
        <v>42903</v>
      </c>
      <c r="F6022" s="751">
        <v>2375</v>
      </c>
    </row>
    <row r="6023" spans="1:6">
      <c r="A6023" s="753"/>
      <c r="B6023" s="753"/>
      <c r="C6023" s="752" t="s">
        <v>43007</v>
      </c>
      <c r="D6023" s="753" t="s">
        <v>42991</v>
      </c>
      <c r="E6023" s="752" t="s">
        <v>43006</v>
      </c>
      <c r="F6023" s="751">
        <v>3135</v>
      </c>
    </row>
    <row r="6024" spans="1:6">
      <c r="A6024" s="753"/>
      <c r="B6024" s="753"/>
      <c r="C6024" s="752" t="s">
        <v>43005</v>
      </c>
      <c r="D6024" s="753" t="s">
        <v>42991</v>
      </c>
      <c r="E6024" s="752" t="s">
        <v>42887</v>
      </c>
      <c r="F6024" s="751">
        <v>2875</v>
      </c>
    </row>
    <row r="6025" spans="1:6">
      <c r="A6025" s="753"/>
      <c r="B6025" s="753"/>
      <c r="C6025" s="752" t="s">
        <v>43004</v>
      </c>
      <c r="D6025" s="753" t="s">
        <v>42991</v>
      </c>
      <c r="E6025" s="752" t="s">
        <v>42871</v>
      </c>
      <c r="F6025" s="751">
        <v>3255</v>
      </c>
    </row>
    <row r="6026" spans="1:6">
      <c r="A6026" s="753"/>
      <c r="B6026" s="753"/>
      <c r="C6026" s="752" t="s">
        <v>43003</v>
      </c>
      <c r="D6026" s="753" t="s">
        <v>43002</v>
      </c>
      <c r="E6026" s="752" t="s">
        <v>42887</v>
      </c>
      <c r="F6026" s="751">
        <v>3635</v>
      </c>
    </row>
    <row r="6027" spans="1:6">
      <c r="A6027" s="753"/>
      <c r="B6027" s="753"/>
      <c r="C6027" s="752" t="s">
        <v>43001</v>
      </c>
      <c r="D6027" s="753" t="s">
        <v>42991</v>
      </c>
      <c r="E6027" s="752" t="s">
        <v>43000</v>
      </c>
      <c r="F6027" s="751">
        <v>2375</v>
      </c>
    </row>
    <row r="6028" spans="1:6">
      <c r="A6028" s="753"/>
      <c r="B6028" s="753"/>
      <c r="C6028" s="752" t="s">
        <v>42999</v>
      </c>
      <c r="D6028" s="753" t="s">
        <v>42991</v>
      </c>
      <c r="E6028" s="752" t="s">
        <v>42998</v>
      </c>
      <c r="F6028" s="751">
        <v>3135</v>
      </c>
    </row>
    <row r="6029" spans="1:6">
      <c r="A6029" s="753"/>
      <c r="B6029" s="753"/>
      <c r="C6029" s="752" t="s">
        <v>42997</v>
      </c>
      <c r="D6029" s="753" t="s">
        <v>42991</v>
      </c>
      <c r="E6029" s="752" t="s">
        <v>42996</v>
      </c>
      <c r="F6029" s="751">
        <v>2875</v>
      </c>
    </row>
    <row r="6030" spans="1:6">
      <c r="A6030" s="753"/>
      <c r="B6030" s="753"/>
      <c r="C6030" s="752" t="s">
        <v>42995</v>
      </c>
      <c r="D6030" s="753" t="s">
        <v>42991</v>
      </c>
      <c r="E6030" s="752" t="s">
        <v>42994</v>
      </c>
      <c r="F6030" s="751">
        <v>2375</v>
      </c>
    </row>
    <row r="6031" spans="1:6">
      <c r="A6031" s="753"/>
      <c r="B6031" s="753"/>
      <c r="C6031" s="752" t="s">
        <v>42993</v>
      </c>
      <c r="D6031" s="753" t="s">
        <v>42991</v>
      </c>
      <c r="E6031" s="752" t="s">
        <v>42952</v>
      </c>
      <c r="F6031" s="751">
        <v>3135</v>
      </c>
    </row>
    <row r="6032" spans="1:6">
      <c r="A6032" s="753"/>
      <c r="B6032" s="753"/>
      <c r="C6032" s="752" t="s">
        <v>42992</v>
      </c>
      <c r="D6032" s="753" t="s">
        <v>42991</v>
      </c>
      <c r="E6032" s="752" t="s">
        <v>42893</v>
      </c>
      <c r="F6032" s="751">
        <v>2375</v>
      </c>
    </row>
    <row r="6033" spans="1:6">
      <c r="A6033" s="753"/>
      <c r="B6033" s="753"/>
      <c r="C6033" s="752" t="s">
        <v>42990</v>
      </c>
      <c r="D6033" s="753" t="s">
        <v>42863</v>
      </c>
      <c r="E6033" s="752" t="s">
        <v>42876</v>
      </c>
      <c r="F6033" s="751">
        <v>3675</v>
      </c>
    </row>
    <row r="6034" spans="1:6">
      <c r="A6034" s="753"/>
      <c r="B6034" s="753"/>
      <c r="C6034" s="752" t="s">
        <v>42989</v>
      </c>
      <c r="D6034" s="753" t="s">
        <v>42863</v>
      </c>
      <c r="E6034" s="752" t="s">
        <v>42988</v>
      </c>
      <c r="F6034" s="751">
        <v>3675</v>
      </c>
    </row>
    <row r="6035" spans="1:6">
      <c r="A6035" s="753"/>
      <c r="B6035" s="753"/>
      <c r="C6035" s="752" t="s">
        <v>42987</v>
      </c>
      <c r="D6035" s="753" t="s">
        <v>42863</v>
      </c>
      <c r="E6035" s="752" t="s">
        <v>42946</v>
      </c>
      <c r="F6035" s="751">
        <v>4435</v>
      </c>
    </row>
    <row r="6036" spans="1:6">
      <c r="A6036" s="753"/>
      <c r="B6036" s="753"/>
      <c r="C6036" s="752" t="s">
        <v>42986</v>
      </c>
      <c r="D6036" s="753" t="s">
        <v>42863</v>
      </c>
      <c r="E6036" s="752" t="s">
        <v>42944</v>
      </c>
      <c r="F6036" s="751">
        <v>3425</v>
      </c>
    </row>
    <row r="6037" spans="1:6">
      <c r="A6037" s="753"/>
      <c r="B6037" s="753"/>
      <c r="C6037" s="752" t="s">
        <v>42985</v>
      </c>
      <c r="D6037" s="753" t="s">
        <v>42863</v>
      </c>
      <c r="E6037" s="752" t="s">
        <v>42926</v>
      </c>
      <c r="F6037" s="751">
        <v>3425</v>
      </c>
    </row>
    <row r="6038" spans="1:6">
      <c r="A6038" s="753"/>
      <c r="B6038" s="753"/>
      <c r="C6038" s="752" t="s">
        <v>42984</v>
      </c>
      <c r="D6038" s="753" t="s">
        <v>42863</v>
      </c>
      <c r="E6038" s="752" t="s">
        <v>42941</v>
      </c>
      <c r="F6038" s="751">
        <v>3425</v>
      </c>
    </row>
    <row r="6039" spans="1:6">
      <c r="A6039" s="753"/>
      <c r="B6039" s="753"/>
      <c r="C6039" s="752" t="s">
        <v>42983</v>
      </c>
      <c r="D6039" s="753" t="s">
        <v>42863</v>
      </c>
      <c r="E6039" s="752" t="s">
        <v>42893</v>
      </c>
      <c r="F6039" s="751">
        <v>2925</v>
      </c>
    </row>
    <row r="6040" spans="1:6">
      <c r="A6040" s="753"/>
      <c r="B6040" s="753"/>
      <c r="C6040" s="752" t="s">
        <v>42982</v>
      </c>
      <c r="D6040" s="753" t="s">
        <v>42863</v>
      </c>
      <c r="E6040" s="752" t="s">
        <v>42876</v>
      </c>
      <c r="F6040" s="751">
        <v>3675</v>
      </c>
    </row>
    <row r="6041" spans="1:6">
      <c r="A6041" s="753"/>
      <c r="B6041" s="753"/>
      <c r="C6041" s="752" t="s">
        <v>42981</v>
      </c>
      <c r="D6041" s="753" t="s">
        <v>42863</v>
      </c>
      <c r="E6041" s="752" t="s">
        <v>42976</v>
      </c>
      <c r="F6041" s="751">
        <v>4435</v>
      </c>
    </row>
    <row r="6042" spans="1:6">
      <c r="A6042" s="753"/>
      <c r="B6042" s="753"/>
      <c r="C6042" s="752" t="s">
        <v>42980</v>
      </c>
      <c r="D6042" s="753" t="s">
        <v>42863</v>
      </c>
      <c r="E6042" s="752" t="s">
        <v>42926</v>
      </c>
      <c r="F6042" s="751">
        <v>3425</v>
      </c>
    </row>
    <row r="6043" spans="1:6">
      <c r="A6043" s="753"/>
      <c r="B6043" s="753"/>
      <c r="C6043" s="752" t="s">
        <v>42979</v>
      </c>
      <c r="D6043" s="753" t="s">
        <v>42863</v>
      </c>
      <c r="E6043" s="752" t="s">
        <v>42903</v>
      </c>
      <c r="F6043" s="751">
        <v>2925</v>
      </c>
    </row>
    <row r="6044" spans="1:6">
      <c r="A6044" s="753"/>
      <c r="B6044" s="753"/>
      <c r="C6044" s="752" t="s">
        <v>42978</v>
      </c>
      <c r="D6044" s="753" t="s">
        <v>42863</v>
      </c>
      <c r="E6044" s="752" t="s">
        <v>42876</v>
      </c>
      <c r="F6044" s="751">
        <v>3675</v>
      </c>
    </row>
    <row r="6045" spans="1:6">
      <c r="A6045" s="753"/>
      <c r="B6045" s="753"/>
      <c r="C6045" s="752" t="s">
        <v>42977</v>
      </c>
      <c r="D6045" s="753" t="s">
        <v>42863</v>
      </c>
      <c r="E6045" s="752" t="s">
        <v>42976</v>
      </c>
      <c r="F6045" s="751">
        <v>4435</v>
      </c>
    </row>
    <row r="6046" spans="1:6">
      <c r="A6046" s="753"/>
      <c r="B6046" s="753"/>
      <c r="C6046" s="752" t="s">
        <v>42975</v>
      </c>
      <c r="D6046" s="753" t="s">
        <v>42863</v>
      </c>
      <c r="E6046" s="752" t="s">
        <v>42926</v>
      </c>
      <c r="F6046" s="751">
        <v>3425</v>
      </c>
    </row>
    <row r="6047" spans="1:6">
      <c r="A6047" s="753"/>
      <c r="B6047" s="753"/>
      <c r="C6047" s="752" t="s">
        <v>42974</v>
      </c>
      <c r="D6047" s="753" t="s">
        <v>42863</v>
      </c>
      <c r="E6047" s="752" t="s">
        <v>42903</v>
      </c>
      <c r="F6047" s="751">
        <v>2925</v>
      </c>
    </row>
    <row r="6048" spans="1:6">
      <c r="A6048" s="753"/>
      <c r="B6048" s="753"/>
      <c r="C6048" s="752" t="s">
        <v>42973</v>
      </c>
      <c r="D6048" s="753" t="s">
        <v>42863</v>
      </c>
      <c r="E6048" s="752" t="s">
        <v>42972</v>
      </c>
      <c r="F6048" s="751">
        <v>3685</v>
      </c>
    </row>
    <row r="6049" spans="1:6">
      <c r="A6049" s="753"/>
      <c r="B6049" s="753"/>
      <c r="C6049" s="752" t="s">
        <v>42971</v>
      </c>
      <c r="D6049" s="753" t="s">
        <v>42863</v>
      </c>
      <c r="E6049" s="752" t="s">
        <v>42891</v>
      </c>
      <c r="F6049" s="751">
        <v>3675</v>
      </c>
    </row>
    <row r="6050" spans="1:6">
      <c r="A6050" s="753"/>
      <c r="B6050" s="753"/>
      <c r="C6050" s="752" t="s">
        <v>42970</v>
      </c>
      <c r="D6050" s="753" t="s">
        <v>42863</v>
      </c>
      <c r="E6050" s="752" t="s">
        <v>42920</v>
      </c>
      <c r="F6050" s="751">
        <v>3805</v>
      </c>
    </row>
    <row r="6051" spans="1:6">
      <c r="A6051" s="753"/>
      <c r="B6051" s="753"/>
      <c r="C6051" s="752" t="s">
        <v>42969</v>
      </c>
      <c r="D6051" s="753" t="s">
        <v>42863</v>
      </c>
      <c r="E6051" s="752" t="s">
        <v>42968</v>
      </c>
      <c r="F6051" s="751">
        <v>3425</v>
      </c>
    </row>
    <row r="6052" spans="1:6">
      <c r="A6052" s="753"/>
      <c r="B6052" s="753"/>
      <c r="C6052" s="752" t="s">
        <v>42967</v>
      </c>
      <c r="D6052" s="753" t="s">
        <v>42863</v>
      </c>
      <c r="E6052" s="752" t="s">
        <v>42966</v>
      </c>
      <c r="F6052" s="751">
        <v>4435</v>
      </c>
    </row>
    <row r="6053" spans="1:6">
      <c r="A6053" s="753"/>
      <c r="B6053" s="753"/>
      <c r="C6053" s="752" t="s">
        <v>42965</v>
      </c>
      <c r="D6053" s="753" t="s">
        <v>42863</v>
      </c>
      <c r="E6053" s="752" t="s">
        <v>42926</v>
      </c>
      <c r="F6053" s="751">
        <v>3425</v>
      </c>
    </row>
    <row r="6054" spans="1:6">
      <c r="A6054" s="753"/>
      <c r="B6054" s="753"/>
      <c r="C6054" s="752" t="s">
        <v>42964</v>
      </c>
      <c r="D6054" s="753" t="s">
        <v>42863</v>
      </c>
      <c r="E6054" s="752" t="s">
        <v>42871</v>
      </c>
      <c r="F6054" s="751">
        <v>3805</v>
      </c>
    </row>
    <row r="6055" spans="1:6">
      <c r="A6055" s="753"/>
      <c r="B6055" s="753"/>
      <c r="C6055" s="752" t="s">
        <v>42963</v>
      </c>
      <c r="D6055" s="753" t="s">
        <v>42863</v>
      </c>
      <c r="E6055" s="752" t="s">
        <v>42924</v>
      </c>
      <c r="F6055" s="751">
        <v>4185</v>
      </c>
    </row>
    <row r="6056" spans="1:6">
      <c r="A6056" s="753"/>
      <c r="B6056" s="753"/>
      <c r="C6056" s="752" t="s">
        <v>42962</v>
      </c>
      <c r="D6056" s="753" t="s">
        <v>42863</v>
      </c>
      <c r="E6056" s="752" t="s">
        <v>42885</v>
      </c>
      <c r="F6056" s="751">
        <v>2925</v>
      </c>
    </row>
    <row r="6057" spans="1:6">
      <c r="A6057" s="753"/>
      <c r="B6057" s="753"/>
      <c r="C6057" s="752" t="s">
        <v>42961</v>
      </c>
      <c r="D6057" s="753" t="s">
        <v>42863</v>
      </c>
      <c r="E6057" s="752" t="s">
        <v>42960</v>
      </c>
      <c r="F6057" s="751">
        <v>3685</v>
      </c>
    </row>
    <row r="6058" spans="1:6">
      <c r="A6058" s="753"/>
      <c r="B6058" s="753"/>
      <c r="C6058" s="752" t="s">
        <v>42959</v>
      </c>
      <c r="D6058" s="753" t="s">
        <v>42863</v>
      </c>
      <c r="E6058" s="752" t="s">
        <v>42957</v>
      </c>
      <c r="F6058" s="751">
        <v>3675</v>
      </c>
    </row>
    <row r="6059" spans="1:6">
      <c r="A6059" s="753"/>
      <c r="B6059" s="753"/>
      <c r="C6059" s="752" t="s">
        <v>42958</v>
      </c>
      <c r="D6059" s="753" t="s">
        <v>42863</v>
      </c>
      <c r="E6059" s="752" t="s">
        <v>42957</v>
      </c>
      <c r="F6059" s="751">
        <v>4985</v>
      </c>
    </row>
    <row r="6060" spans="1:6">
      <c r="A6060" s="753"/>
      <c r="B6060" s="753"/>
      <c r="C6060" s="752" t="s">
        <v>42956</v>
      </c>
      <c r="D6060" s="753" t="s">
        <v>42863</v>
      </c>
      <c r="E6060" s="752" t="s">
        <v>42867</v>
      </c>
      <c r="F6060" s="751">
        <v>3425</v>
      </c>
    </row>
    <row r="6061" spans="1:6">
      <c r="A6061" s="753"/>
      <c r="B6061" s="753"/>
      <c r="C6061" s="752" t="s">
        <v>42955</v>
      </c>
      <c r="D6061" s="753" t="s">
        <v>42863</v>
      </c>
      <c r="E6061" s="752" t="s">
        <v>42954</v>
      </c>
      <c r="F6061" s="751">
        <v>3685</v>
      </c>
    </row>
    <row r="6062" spans="1:6">
      <c r="A6062" s="753"/>
      <c r="B6062" s="753"/>
      <c r="C6062" s="752" t="s">
        <v>42953</v>
      </c>
      <c r="D6062" s="753" t="s">
        <v>42863</v>
      </c>
      <c r="E6062" s="752" t="s">
        <v>42952</v>
      </c>
      <c r="F6062" s="751">
        <v>3685</v>
      </c>
    </row>
    <row r="6063" spans="1:6">
      <c r="A6063" s="753"/>
      <c r="B6063" s="753"/>
      <c r="C6063" s="752" t="s">
        <v>42951</v>
      </c>
      <c r="D6063" s="753" t="s">
        <v>42863</v>
      </c>
      <c r="E6063" s="752" t="s">
        <v>42926</v>
      </c>
      <c r="F6063" s="751">
        <v>3425</v>
      </c>
    </row>
    <row r="6064" spans="1:6">
      <c r="A6064" s="753"/>
      <c r="B6064" s="753"/>
      <c r="C6064" s="752" t="s">
        <v>42950</v>
      </c>
      <c r="D6064" s="753" t="s">
        <v>42916</v>
      </c>
      <c r="E6064" s="752" t="s">
        <v>42876</v>
      </c>
      <c r="F6064" s="751">
        <v>3675</v>
      </c>
    </row>
    <row r="6065" spans="1:6">
      <c r="A6065" s="753"/>
      <c r="B6065" s="753"/>
      <c r="C6065" s="752" t="s">
        <v>42949</v>
      </c>
      <c r="D6065" s="753" t="s">
        <v>42916</v>
      </c>
      <c r="E6065" s="752" t="s">
        <v>42948</v>
      </c>
      <c r="F6065" s="751">
        <v>3675</v>
      </c>
    </row>
    <row r="6066" spans="1:6">
      <c r="A6066" s="753"/>
      <c r="B6066" s="753"/>
      <c r="C6066" s="752" t="s">
        <v>42947</v>
      </c>
      <c r="D6066" s="753" t="s">
        <v>42916</v>
      </c>
      <c r="E6066" s="752" t="s">
        <v>42946</v>
      </c>
      <c r="F6066" s="751">
        <v>4435</v>
      </c>
    </row>
    <row r="6067" spans="1:6">
      <c r="A6067" s="753"/>
      <c r="B6067" s="753"/>
      <c r="C6067" s="752" t="s">
        <v>42945</v>
      </c>
      <c r="D6067" s="753" t="s">
        <v>42916</v>
      </c>
      <c r="E6067" s="752" t="s">
        <v>42944</v>
      </c>
      <c r="F6067" s="751">
        <v>3425</v>
      </c>
    </row>
    <row r="6068" spans="1:6">
      <c r="A6068" s="753"/>
      <c r="B6068" s="753"/>
      <c r="C6068" s="752" t="s">
        <v>42943</v>
      </c>
      <c r="D6068" s="753" t="s">
        <v>42916</v>
      </c>
      <c r="E6068" s="752" t="s">
        <v>42926</v>
      </c>
      <c r="F6068" s="751">
        <v>3425</v>
      </c>
    </row>
    <row r="6069" spans="1:6">
      <c r="A6069" s="753"/>
      <c r="B6069" s="753"/>
      <c r="C6069" s="752" t="s">
        <v>42942</v>
      </c>
      <c r="D6069" s="753" t="s">
        <v>42916</v>
      </c>
      <c r="E6069" s="752" t="s">
        <v>42941</v>
      </c>
      <c r="F6069" s="751">
        <v>3425</v>
      </c>
    </row>
    <row r="6070" spans="1:6">
      <c r="A6070" s="753"/>
      <c r="B6070" s="753"/>
      <c r="C6070" s="752" t="s">
        <v>42940</v>
      </c>
      <c r="D6070" s="753" t="s">
        <v>42916</v>
      </c>
      <c r="E6070" s="752" t="s">
        <v>42924</v>
      </c>
      <c r="F6070" s="751">
        <v>4185</v>
      </c>
    </row>
    <row r="6071" spans="1:6">
      <c r="A6071" s="753"/>
      <c r="B6071" s="753"/>
      <c r="C6071" s="752" t="s">
        <v>42939</v>
      </c>
      <c r="D6071" s="753" t="s">
        <v>42916</v>
      </c>
      <c r="E6071" s="752" t="s">
        <v>42893</v>
      </c>
      <c r="F6071" s="751">
        <v>2925</v>
      </c>
    </row>
    <row r="6072" spans="1:6">
      <c r="A6072" s="753"/>
      <c r="B6072" s="753"/>
      <c r="C6072" s="752" t="s">
        <v>42938</v>
      </c>
      <c r="D6072" s="753" t="s">
        <v>42916</v>
      </c>
      <c r="E6072" s="752" t="s">
        <v>42937</v>
      </c>
      <c r="F6072" s="751">
        <v>3685</v>
      </c>
    </row>
    <row r="6073" spans="1:6">
      <c r="A6073" s="753"/>
      <c r="B6073" s="753"/>
      <c r="C6073" s="752" t="s">
        <v>42936</v>
      </c>
      <c r="D6073" s="753" t="s">
        <v>42916</v>
      </c>
      <c r="E6073" s="752" t="s">
        <v>42876</v>
      </c>
      <c r="F6073" s="751">
        <v>3675</v>
      </c>
    </row>
    <row r="6074" spans="1:6">
      <c r="A6074" s="753"/>
      <c r="B6074" s="753"/>
      <c r="C6074" s="752" t="s">
        <v>42935</v>
      </c>
      <c r="D6074" s="753" t="s">
        <v>42916</v>
      </c>
      <c r="E6074" s="752" t="s">
        <v>42876</v>
      </c>
      <c r="F6074" s="751">
        <v>3675</v>
      </c>
    </row>
    <row r="6075" spans="1:6">
      <c r="A6075" s="753"/>
      <c r="B6075" s="753"/>
      <c r="C6075" s="752" t="s">
        <v>42934</v>
      </c>
      <c r="D6075" s="753" t="s">
        <v>42916</v>
      </c>
      <c r="E6075" s="752" t="s">
        <v>42928</v>
      </c>
      <c r="F6075" s="751">
        <v>4435</v>
      </c>
    </row>
    <row r="6076" spans="1:6">
      <c r="A6076" s="753"/>
      <c r="B6076" s="753"/>
      <c r="C6076" s="752" t="s">
        <v>42933</v>
      </c>
      <c r="D6076" s="753" t="s">
        <v>42916</v>
      </c>
      <c r="E6076" s="752" t="s">
        <v>42926</v>
      </c>
      <c r="F6076" s="751">
        <v>3425</v>
      </c>
    </row>
    <row r="6077" spans="1:6">
      <c r="A6077" s="753"/>
      <c r="B6077" s="753"/>
      <c r="C6077" s="752" t="s">
        <v>42932</v>
      </c>
      <c r="D6077" s="753" t="s">
        <v>42916</v>
      </c>
      <c r="E6077" s="752" t="s">
        <v>42924</v>
      </c>
      <c r="F6077" s="751">
        <v>4185</v>
      </c>
    </row>
    <row r="6078" spans="1:6">
      <c r="A6078" s="753"/>
      <c r="B6078" s="753"/>
      <c r="C6078" s="752" t="s">
        <v>42931</v>
      </c>
      <c r="D6078" s="753" t="s">
        <v>42916</v>
      </c>
      <c r="E6078" s="752" t="s">
        <v>42903</v>
      </c>
      <c r="F6078" s="751">
        <v>2925</v>
      </c>
    </row>
    <row r="6079" spans="1:6">
      <c r="A6079" s="753"/>
      <c r="B6079" s="753"/>
      <c r="C6079" s="752" t="s">
        <v>42930</v>
      </c>
      <c r="D6079" s="753" t="s">
        <v>42916</v>
      </c>
      <c r="E6079" s="752" t="s">
        <v>42876</v>
      </c>
      <c r="F6079" s="751">
        <v>3675</v>
      </c>
    </row>
    <row r="6080" spans="1:6">
      <c r="A6080" s="753"/>
      <c r="B6080" s="753"/>
      <c r="C6080" s="752" t="s">
        <v>42929</v>
      </c>
      <c r="D6080" s="753" t="s">
        <v>42916</v>
      </c>
      <c r="E6080" s="752" t="s">
        <v>42928</v>
      </c>
      <c r="F6080" s="751">
        <v>4435</v>
      </c>
    </row>
    <row r="6081" spans="1:6">
      <c r="A6081" s="753"/>
      <c r="B6081" s="753"/>
      <c r="C6081" s="752" t="s">
        <v>42927</v>
      </c>
      <c r="D6081" s="753" t="s">
        <v>42916</v>
      </c>
      <c r="E6081" s="752" t="s">
        <v>42926</v>
      </c>
      <c r="F6081" s="751">
        <v>3425</v>
      </c>
    </row>
    <row r="6082" spans="1:6">
      <c r="A6082" s="753"/>
      <c r="B6082" s="753"/>
      <c r="C6082" s="752" t="s">
        <v>42925</v>
      </c>
      <c r="D6082" s="753" t="s">
        <v>42916</v>
      </c>
      <c r="E6082" s="752" t="s">
        <v>42924</v>
      </c>
      <c r="F6082" s="751">
        <v>4185</v>
      </c>
    </row>
    <row r="6083" spans="1:6">
      <c r="A6083" s="753"/>
      <c r="B6083" s="753"/>
      <c r="C6083" s="752" t="s">
        <v>42923</v>
      </c>
      <c r="D6083" s="753" t="s">
        <v>42916</v>
      </c>
      <c r="E6083" s="752" t="s">
        <v>42903</v>
      </c>
      <c r="F6083" s="751">
        <v>2925</v>
      </c>
    </row>
    <row r="6084" spans="1:6">
      <c r="A6084" s="753"/>
      <c r="B6084" s="753"/>
      <c r="C6084" s="752" t="s">
        <v>42922</v>
      </c>
      <c r="D6084" s="753" t="s">
        <v>42916</v>
      </c>
      <c r="E6084" s="752" t="s">
        <v>42876</v>
      </c>
      <c r="F6084" s="751">
        <v>3675</v>
      </c>
    </row>
    <row r="6085" spans="1:6">
      <c r="A6085" s="753"/>
      <c r="B6085" s="753"/>
      <c r="C6085" s="752" t="s">
        <v>42921</v>
      </c>
      <c r="D6085" s="753" t="s">
        <v>42911</v>
      </c>
      <c r="E6085" s="752" t="s">
        <v>42920</v>
      </c>
      <c r="F6085" s="751">
        <v>3805</v>
      </c>
    </row>
    <row r="6086" spans="1:6">
      <c r="A6086" s="753"/>
      <c r="B6086" s="753"/>
      <c r="C6086" s="752" t="s">
        <v>42919</v>
      </c>
      <c r="D6086" s="753" t="s">
        <v>42916</v>
      </c>
      <c r="E6086" s="752" t="s">
        <v>42918</v>
      </c>
      <c r="F6086" s="751">
        <v>4435</v>
      </c>
    </row>
    <row r="6087" spans="1:6">
      <c r="A6087" s="753"/>
      <c r="B6087" s="753"/>
      <c r="C6087" s="752" t="s">
        <v>42917</v>
      </c>
      <c r="D6087" s="753" t="s">
        <v>42916</v>
      </c>
      <c r="E6087" s="752" t="s">
        <v>42885</v>
      </c>
      <c r="F6087" s="751">
        <v>2925</v>
      </c>
    </row>
    <row r="6088" spans="1:6">
      <c r="A6088" s="753"/>
      <c r="B6088" s="753"/>
      <c r="C6088" s="752" t="s">
        <v>42915</v>
      </c>
      <c r="D6088" s="753" t="s">
        <v>42914</v>
      </c>
      <c r="E6088" s="752" t="s">
        <v>42883</v>
      </c>
      <c r="F6088" s="751">
        <v>3675</v>
      </c>
    </row>
    <row r="6089" spans="1:6">
      <c r="A6089" s="753"/>
      <c r="B6089" s="753"/>
      <c r="C6089" s="752" t="s">
        <v>42913</v>
      </c>
      <c r="D6089" s="753" t="s">
        <v>42911</v>
      </c>
      <c r="E6089" s="752" t="s">
        <v>42867</v>
      </c>
      <c r="F6089" s="751">
        <v>3425</v>
      </c>
    </row>
    <row r="6090" spans="1:6">
      <c r="A6090" s="753"/>
      <c r="B6090" s="753"/>
      <c r="C6090" s="752" t="s">
        <v>42912</v>
      </c>
      <c r="D6090" s="753" t="s">
        <v>42911</v>
      </c>
      <c r="E6090" s="752" t="s">
        <v>42910</v>
      </c>
      <c r="F6090" s="751">
        <v>4735</v>
      </c>
    </row>
    <row r="6091" spans="1:6">
      <c r="A6091" s="753"/>
      <c r="B6091" s="753"/>
      <c r="C6091" s="752" t="s">
        <v>42909</v>
      </c>
      <c r="D6091" s="753" t="s">
        <v>42863</v>
      </c>
      <c r="E6091" s="752" t="s">
        <v>42893</v>
      </c>
      <c r="F6091" s="751">
        <v>2925</v>
      </c>
    </row>
    <row r="6092" spans="1:6">
      <c r="A6092" s="753"/>
      <c r="B6092" s="753"/>
      <c r="C6092" s="752" t="s">
        <v>42908</v>
      </c>
      <c r="D6092" s="753" t="s">
        <v>42896</v>
      </c>
      <c r="E6092" s="752" t="s">
        <v>42893</v>
      </c>
      <c r="F6092" s="751">
        <v>2475</v>
      </c>
    </row>
    <row r="6093" spans="1:6">
      <c r="A6093" s="753"/>
      <c r="B6093" s="753"/>
      <c r="C6093" s="752" t="s">
        <v>42907</v>
      </c>
      <c r="D6093" s="753" t="s">
        <v>42896</v>
      </c>
      <c r="E6093" s="752" t="s">
        <v>42903</v>
      </c>
      <c r="F6093" s="751">
        <v>2475</v>
      </c>
    </row>
    <row r="6094" spans="1:6">
      <c r="A6094" s="753"/>
      <c r="B6094" s="753"/>
      <c r="C6094" s="752" t="s">
        <v>42906</v>
      </c>
      <c r="D6094" s="753" t="s">
        <v>42896</v>
      </c>
      <c r="E6094" s="752" t="s">
        <v>42905</v>
      </c>
      <c r="F6094" s="751">
        <v>4115</v>
      </c>
    </row>
    <row r="6095" spans="1:6">
      <c r="A6095" s="753"/>
      <c r="B6095" s="753"/>
      <c r="C6095" s="752" t="s">
        <v>42904</v>
      </c>
      <c r="D6095" s="753" t="s">
        <v>42896</v>
      </c>
      <c r="E6095" s="752" t="s">
        <v>42903</v>
      </c>
      <c r="F6095" s="751">
        <v>2475</v>
      </c>
    </row>
    <row r="6096" spans="1:6">
      <c r="A6096" s="753"/>
      <c r="B6096" s="753"/>
      <c r="C6096" s="752" t="s">
        <v>42902</v>
      </c>
      <c r="D6096" s="753" t="s">
        <v>42896</v>
      </c>
      <c r="E6096" s="752" t="s">
        <v>42901</v>
      </c>
      <c r="F6096" s="751">
        <v>3235</v>
      </c>
    </row>
    <row r="6097" spans="1:6">
      <c r="A6097" s="753"/>
      <c r="B6097" s="753"/>
      <c r="C6097" s="752" t="s">
        <v>42900</v>
      </c>
      <c r="D6097" s="753" t="s">
        <v>42896</v>
      </c>
      <c r="E6097" s="752" t="s">
        <v>42899</v>
      </c>
      <c r="F6097" s="751">
        <v>3235</v>
      </c>
    </row>
    <row r="6098" spans="1:6">
      <c r="A6098" s="753"/>
      <c r="B6098" s="753"/>
      <c r="C6098" s="752" t="s">
        <v>42898</v>
      </c>
      <c r="D6098" s="753" t="s">
        <v>42896</v>
      </c>
      <c r="E6098" s="752" t="s">
        <v>42880</v>
      </c>
      <c r="F6098" s="751">
        <v>2475</v>
      </c>
    </row>
    <row r="6099" spans="1:6">
      <c r="A6099" s="753"/>
      <c r="B6099" s="753"/>
      <c r="C6099" s="752" t="s">
        <v>42897</v>
      </c>
      <c r="D6099" s="753" t="s">
        <v>42896</v>
      </c>
      <c r="E6099" s="752" t="s">
        <v>42895</v>
      </c>
      <c r="F6099" s="751">
        <v>3235</v>
      </c>
    </row>
    <row r="6100" spans="1:6">
      <c r="A6100" s="753"/>
      <c r="B6100" s="753"/>
      <c r="C6100" s="752" t="s">
        <v>42894</v>
      </c>
      <c r="D6100" s="753" t="s">
        <v>42865</v>
      </c>
      <c r="E6100" s="752" t="s">
        <v>42893</v>
      </c>
      <c r="F6100" s="751">
        <v>3025</v>
      </c>
    </row>
    <row r="6101" spans="1:6">
      <c r="A6101" s="753"/>
      <c r="B6101" s="753"/>
      <c r="C6101" s="752" t="s">
        <v>42892</v>
      </c>
      <c r="D6101" s="753" t="s">
        <v>42881</v>
      </c>
      <c r="E6101" s="752" t="s">
        <v>42891</v>
      </c>
      <c r="F6101" s="751">
        <v>3775</v>
      </c>
    </row>
    <row r="6102" spans="1:6">
      <c r="A6102" s="753"/>
      <c r="B6102" s="753"/>
      <c r="C6102" s="752" t="s">
        <v>42890</v>
      </c>
      <c r="D6102" s="753" t="s">
        <v>42881</v>
      </c>
      <c r="E6102" s="752" t="s">
        <v>42889</v>
      </c>
      <c r="F6102" s="751">
        <v>4155</v>
      </c>
    </row>
    <row r="6103" spans="1:6">
      <c r="A6103" s="753"/>
      <c r="B6103" s="753"/>
      <c r="C6103" s="752" t="s">
        <v>42888</v>
      </c>
      <c r="D6103" s="753" t="s">
        <v>42881</v>
      </c>
      <c r="E6103" s="752" t="s">
        <v>42887</v>
      </c>
      <c r="F6103" s="751">
        <v>3775</v>
      </c>
    </row>
    <row r="6104" spans="1:6">
      <c r="A6104" s="753"/>
      <c r="B6104" s="753"/>
      <c r="C6104" s="752" t="s">
        <v>42886</v>
      </c>
      <c r="D6104" s="753" t="s">
        <v>42881</v>
      </c>
      <c r="E6104" s="752" t="s">
        <v>42885</v>
      </c>
      <c r="F6104" s="751">
        <v>3025</v>
      </c>
    </row>
    <row r="6105" spans="1:6">
      <c r="A6105" s="753"/>
      <c r="B6105" s="753"/>
      <c r="C6105" s="752" t="s">
        <v>42884</v>
      </c>
      <c r="D6105" s="753" t="s">
        <v>42881</v>
      </c>
      <c r="E6105" s="752" t="s">
        <v>42883</v>
      </c>
      <c r="F6105" s="751">
        <v>3525</v>
      </c>
    </row>
    <row r="6106" spans="1:6">
      <c r="A6106" s="753"/>
      <c r="B6106" s="753"/>
      <c r="C6106" s="752" t="s">
        <v>42882</v>
      </c>
      <c r="D6106" s="753" t="s">
        <v>42881</v>
      </c>
      <c r="E6106" s="752" t="s">
        <v>42880</v>
      </c>
      <c r="F6106" s="751">
        <v>3025</v>
      </c>
    </row>
    <row r="6107" spans="1:6">
      <c r="A6107" s="753"/>
      <c r="B6107" s="753"/>
      <c r="C6107" s="752" t="s">
        <v>42879</v>
      </c>
      <c r="D6107" s="753" t="s">
        <v>42865</v>
      </c>
      <c r="E6107" s="752" t="s">
        <v>42876</v>
      </c>
      <c r="F6107" s="751">
        <v>3775</v>
      </c>
    </row>
    <row r="6108" spans="1:6">
      <c r="A6108" s="753"/>
      <c r="B6108" s="753"/>
      <c r="C6108" s="752" t="s">
        <v>42878</v>
      </c>
      <c r="D6108" s="753" t="s">
        <v>42865</v>
      </c>
      <c r="E6108" s="752" t="s">
        <v>42862</v>
      </c>
      <c r="F6108" s="751">
        <v>3785</v>
      </c>
    </row>
    <row r="6109" spans="1:6">
      <c r="A6109" s="753"/>
      <c r="B6109" s="753"/>
      <c r="C6109" s="752" t="s">
        <v>42877</v>
      </c>
      <c r="D6109" s="753" t="s">
        <v>42865</v>
      </c>
      <c r="E6109" s="752" t="s">
        <v>42876</v>
      </c>
      <c r="F6109" s="751">
        <v>3525</v>
      </c>
    </row>
    <row r="6110" spans="1:6">
      <c r="A6110" s="753"/>
      <c r="B6110" s="753"/>
      <c r="C6110" s="752" t="s">
        <v>42875</v>
      </c>
      <c r="D6110" s="753" t="s">
        <v>42865</v>
      </c>
      <c r="E6110" s="752" t="s">
        <v>42874</v>
      </c>
      <c r="F6110" s="751">
        <v>4535</v>
      </c>
    </row>
    <row r="6111" spans="1:6">
      <c r="A6111" s="753"/>
      <c r="B6111" s="753"/>
      <c r="C6111" s="752" t="s">
        <v>42873</v>
      </c>
      <c r="D6111" s="753" t="s">
        <v>42872</v>
      </c>
      <c r="E6111" s="752" t="s">
        <v>42871</v>
      </c>
      <c r="F6111" s="751">
        <v>3905</v>
      </c>
    </row>
    <row r="6112" spans="1:6">
      <c r="A6112" s="753"/>
      <c r="B6112" s="753"/>
      <c r="C6112" s="752" t="s">
        <v>42870</v>
      </c>
      <c r="D6112" s="753" t="s">
        <v>42865</v>
      </c>
      <c r="E6112" s="752" t="s">
        <v>42869</v>
      </c>
      <c r="F6112" s="751">
        <v>3525</v>
      </c>
    </row>
    <row r="6113" spans="1:6">
      <c r="A6113" s="753"/>
      <c r="B6113" s="753"/>
      <c r="C6113" s="752" t="s">
        <v>42868</v>
      </c>
      <c r="D6113" s="753" t="s">
        <v>42865</v>
      </c>
      <c r="E6113" s="752" t="s">
        <v>42867</v>
      </c>
      <c r="F6113" s="751">
        <v>3525</v>
      </c>
    </row>
    <row r="6114" spans="1:6">
      <c r="A6114" s="753"/>
      <c r="B6114" s="753"/>
      <c r="C6114" s="752" t="s">
        <v>42866</v>
      </c>
      <c r="D6114" s="753" t="s">
        <v>42865</v>
      </c>
      <c r="E6114" s="752" t="s">
        <v>39499</v>
      </c>
      <c r="F6114" s="751">
        <v>3025</v>
      </c>
    </row>
    <row r="6115" spans="1:6">
      <c r="A6115" s="753"/>
      <c r="B6115" s="753"/>
      <c r="C6115" s="752" t="s">
        <v>42864</v>
      </c>
      <c r="D6115" s="753" t="s">
        <v>42863</v>
      </c>
      <c r="E6115" s="752" t="s">
        <v>42862</v>
      </c>
      <c r="F6115" s="751">
        <v>3685</v>
      </c>
    </row>
    <row r="6116" spans="1:6">
      <c r="A6116" s="753"/>
      <c r="B6116" s="753"/>
      <c r="C6116" s="752" t="s">
        <v>42861</v>
      </c>
      <c r="D6116" s="753" t="s">
        <v>42860</v>
      </c>
      <c r="E6116" s="752" t="s">
        <v>293</v>
      </c>
      <c r="F6116" s="751">
        <v>6545</v>
      </c>
    </row>
    <row r="6117" spans="1:6">
      <c r="A6117" s="753"/>
      <c r="B6117" s="753" t="s">
        <v>42859</v>
      </c>
      <c r="C6117" s="752" t="s">
        <v>42858</v>
      </c>
      <c r="D6117" s="753" t="s">
        <v>42856</v>
      </c>
      <c r="E6117" s="752" t="s">
        <v>293</v>
      </c>
      <c r="F6117" s="751">
        <v>4615</v>
      </c>
    </row>
    <row r="6118" spans="1:6">
      <c r="A6118" s="753"/>
      <c r="B6118" s="753"/>
      <c r="C6118" s="752" t="s">
        <v>42857</v>
      </c>
      <c r="D6118" s="753" t="s">
        <v>42856</v>
      </c>
      <c r="E6118" s="752" t="s">
        <v>293</v>
      </c>
      <c r="F6118" s="751">
        <v>4615</v>
      </c>
    </row>
    <row r="6119" spans="1:6">
      <c r="A6119" s="753"/>
      <c r="B6119" s="753"/>
      <c r="C6119" s="752" t="s">
        <v>42855</v>
      </c>
      <c r="D6119" s="753" t="s">
        <v>42681</v>
      </c>
      <c r="E6119" s="752" t="s">
        <v>37916</v>
      </c>
      <c r="F6119" s="751">
        <v>4515</v>
      </c>
    </row>
    <row r="6120" spans="1:6">
      <c r="A6120" s="753"/>
      <c r="B6120" s="753"/>
      <c r="C6120" s="752" t="s">
        <v>42854</v>
      </c>
      <c r="D6120" s="753" t="s">
        <v>42851</v>
      </c>
      <c r="E6120" s="752" t="s">
        <v>293</v>
      </c>
      <c r="F6120" s="751">
        <v>3875</v>
      </c>
    </row>
    <row r="6121" spans="1:6">
      <c r="A6121" s="753"/>
      <c r="B6121" s="753"/>
      <c r="C6121" s="752" t="s">
        <v>42853</v>
      </c>
      <c r="D6121" s="753" t="s">
        <v>42681</v>
      </c>
      <c r="E6121" s="752" t="s">
        <v>37916</v>
      </c>
      <c r="F6121" s="751">
        <v>4515</v>
      </c>
    </row>
    <row r="6122" spans="1:6">
      <c r="A6122" s="753"/>
      <c r="B6122" s="753"/>
      <c r="C6122" s="752" t="s">
        <v>42852</v>
      </c>
      <c r="D6122" s="753" t="s">
        <v>42851</v>
      </c>
      <c r="E6122" s="752" t="s">
        <v>293</v>
      </c>
      <c r="F6122" s="751">
        <v>3875</v>
      </c>
    </row>
    <row r="6123" spans="1:6">
      <c r="A6123" s="753"/>
      <c r="B6123" s="753"/>
      <c r="C6123" s="752" t="s">
        <v>42850</v>
      </c>
      <c r="D6123" s="753" t="s">
        <v>42849</v>
      </c>
      <c r="E6123" s="752" t="s">
        <v>42698</v>
      </c>
      <c r="F6123" s="751">
        <v>4645</v>
      </c>
    </row>
    <row r="6124" spans="1:6">
      <c r="A6124" s="753"/>
      <c r="B6124" s="753"/>
      <c r="C6124" s="752" t="s">
        <v>42848</v>
      </c>
      <c r="D6124" s="753" t="s">
        <v>42847</v>
      </c>
      <c r="E6124" s="752" t="s">
        <v>38539</v>
      </c>
      <c r="F6124" s="751">
        <v>3965</v>
      </c>
    </row>
    <row r="6125" spans="1:6">
      <c r="A6125" s="753"/>
      <c r="B6125" s="753"/>
      <c r="C6125" s="752" t="s">
        <v>42846</v>
      </c>
      <c r="D6125" s="753" t="s">
        <v>42835</v>
      </c>
      <c r="E6125" s="752" t="s">
        <v>42845</v>
      </c>
      <c r="F6125" s="751">
        <v>4445</v>
      </c>
    </row>
    <row r="6126" spans="1:6">
      <c r="A6126" s="753"/>
      <c r="B6126" s="753"/>
      <c r="C6126" s="752" t="s">
        <v>42844</v>
      </c>
      <c r="D6126" s="753" t="s">
        <v>42828</v>
      </c>
      <c r="E6126" s="752" t="s">
        <v>293</v>
      </c>
      <c r="F6126" s="751">
        <v>5195</v>
      </c>
    </row>
    <row r="6127" spans="1:6">
      <c r="A6127" s="753"/>
      <c r="B6127" s="753"/>
      <c r="C6127" s="752" t="s">
        <v>42843</v>
      </c>
      <c r="D6127" s="753" t="s">
        <v>42842</v>
      </c>
      <c r="E6127" s="752" t="s">
        <v>293</v>
      </c>
      <c r="F6127" s="751">
        <v>4995</v>
      </c>
    </row>
    <row r="6128" spans="1:6">
      <c r="A6128" s="753"/>
      <c r="B6128" s="753"/>
      <c r="C6128" s="752" t="s">
        <v>42841</v>
      </c>
      <c r="D6128" s="753" t="s">
        <v>42828</v>
      </c>
      <c r="E6128" s="752" t="s">
        <v>293</v>
      </c>
      <c r="F6128" s="751">
        <v>5195</v>
      </c>
    </row>
    <row r="6129" spans="1:6">
      <c r="A6129" s="753"/>
      <c r="B6129" s="753"/>
      <c r="C6129" s="752" t="s">
        <v>42840</v>
      </c>
      <c r="D6129" s="753" t="s">
        <v>42838</v>
      </c>
      <c r="E6129" s="752" t="s">
        <v>293</v>
      </c>
      <c r="F6129" s="751">
        <v>5145</v>
      </c>
    </row>
    <row r="6130" spans="1:6">
      <c r="A6130" s="753"/>
      <c r="B6130" s="753"/>
      <c r="C6130" s="752" t="s">
        <v>42839</v>
      </c>
      <c r="D6130" s="753" t="s">
        <v>42838</v>
      </c>
      <c r="E6130" s="752" t="s">
        <v>39011</v>
      </c>
      <c r="F6130" s="751">
        <v>5955</v>
      </c>
    </row>
    <row r="6131" spans="1:6">
      <c r="A6131" s="753"/>
      <c r="B6131" s="753"/>
      <c r="C6131" s="752" t="s">
        <v>42837</v>
      </c>
      <c r="D6131" s="753" t="s">
        <v>42828</v>
      </c>
      <c r="E6131" s="752" t="s">
        <v>293</v>
      </c>
      <c r="F6131" s="751">
        <v>5195</v>
      </c>
    </row>
    <row r="6132" spans="1:6">
      <c r="A6132" s="753"/>
      <c r="B6132" s="753"/>
      <c r="C6132" s="752" t="s">
        <v>42836</v>
      </c>
      <c r="D6132" s="753" t="s">
        <v>42835</v>
      </c>
      <c r="E6132" s="752" t="s">
        <v>42834</v>
      </c>
      <c r="F6132" s="751">
        <v>4745</v>
      </c>
    </row>
    <row r="6133" spans="1:6">
      <c r="A6133" s="753"/>
      <c r="B6133" s="753"/>
      <c r="C6133" s="752" t="s">
        <v>42833</v>
      </c>
      <c r="D6133" s="753" t="s">
        <v>42828</v>
      </c>
      <c r="E6133" s="752" t="s">
        <v>293</v>
      </c>
      <c r="F6133" s="751">
        <v>5495</v>
      </c>
    </row>
    <row r="6134" spans="1:6">
      <c r="A6134" s="753"/>
      <c r="B6134" s="753"/>
      <c r="C6134" s="752" t="s">
        <v>42832</v>
      </c>
      <c r="D6134" s="753" t="s">
        <v>42828</v>
      </c>
      <c r="E6134" s="752" t="s">
        <v>293</v>
      </c>
      <c r="F6134" s="751">
        <v>5495</v>
      </c>
    </row>
    <row r="6135" spans="1:6">
      <c r="A6135" s="753"/>
      <c r="B6135" s="753"/>
      <c r="C6135" s="752" t="s">
        <v>42831</v>
      </c>
      <c r="D6135" s="753" t="s">
        <v>42830</v>
      </c>
      <c r="E6135" s="752" t="s">
        <v>39097</v>
      </c>
      <c r="F6135" s="751">
        <v>5645</v>
      </c>
    </row>
    <row r="6136" spans="1:6">
      <c r="A6136" s="753"/>
      <c r="B6136" s="753"/>
      <c r="C6136" s="752" t="s">
        <v>42829</v>
      </c>
      <c r="D6136" s="753" t="s">
        <v>42828</v>
      </c>
      <c r="E6136" s="752" t="s">
        <v>293</v>
      </c>
      <c r="F6136" s="751">
        <v>5495</v>
      </c>
    </row>
    <row r="6137" spans="1:6">
      <c r="A6137" s="753"/>
      <c r="B6137" s="753"/>
      <c r="C6137" s="752" t="s">
        <v>42827</v>
      </c>
      <c r="D6137" s="753" t="s">
        <v>42825</v>
      </c>
      <c r="E6137" s="752" t="s">
        <v>38584</v>
      </c>
      <c r="F6137" s="751">
        <v>5995</v>
      </c>
    </row>
    <row r="6138" spans="1:6">
      <c r="A6138" s="753"/>
      <c r="B6138" s="753"/>
      <c r="C6138" s="752" t="s">
        <v>42826</v>
      </c>
      <c r="D6138" s="753" t="s">
        <v>42825</v>
      </c>
      <c r="E6138" s="752" t="s">
        <v>293</v>
      </c>
      <c r="F6138" s="751">
        <v>6545</v>
      </c>
    </row>
    <row r="6139" spans="1:6">
      <c r="A6139" s="753"/>
      <c r="B6139" s="753"/>
      <c r="C6139" s="752" t="s">
        <v>42824</v>
      </c>
      <c r="D6139" s="753" t="s">
        <v>42823</v>
      </c>
      <c r="E6139" s="752" t="s">
        <v>293</v>
      </c>
      <c r="F6139" s="751">
        <v>2749</v>
      </c>
    </row>
    <row r="6140" spans="1:6">
      <c r="A6140" s="753"/>
      <c r="B6140" s="753"/>
      <c r="C6140" s="752" t="s">
        <v>42822</v>
      </c>
      <c r="D6140" s="753" t="s">
        <v>42821</v>
      </c>
      <c r="E6140" s="752" t="s">
        <v>293</v>
      </c>
      <c r="F6140" s="751">
        <v>3249</v>
      </c>
    </row>
    <row r="6141" spans="1:6">
      <c r="A6141" s="753"/>
      <c r="B6141" s="753"/>
      <c r="C6141" s="752" t="s">
        <v>42820</v>
      </c>
      <c r="D6141" s="753" t="s">
        <v>42819</v>
      </c>
      <c r="E6141" s="752" t="s">
        <v>293</v>
      </c>
      <c r="F6141" s="751">
        <v>3349</v>
      </c>
    </row>
    <row r="6142" spans="1:6">
      <c r="A6142" s="753"/>
      <c r="B6142" s="753"/>
      <c r="C6142" s="752" t="s">
        <v>42818</v>
      </c>
      <c r="D6142" s="753" t="s">
        <v>42797</v>
      </c>
      <c r="E6142" s="752" t="s">
        <v>293</v>
      </c>
      <c r="F6142" s="751">
        <v>2825</v>
      </c>
    </row>
    <row r="6143" spans="1:6">
      <c r="A6143" s="753"/>
      <c r="B6143" s="753"/>
      <c r="C6143" s="752" t="s">
        <v>42817</v>
      </c>
      <c r="D6143" s="753" t="s">
        <v>42797</v>
      </c>
      <c r="E6143" s="752" t="s">
        <v>42816</v>
      </c>
      <c r="F6143" s="751">
        <v>2825</v>
      </c>
    </row>
    <row r="6144" spans="1:6">
      <c r="A6144" s="753"/>
      <c r="B6144" s="753"/>
      <c r="C6144" s="752" t="s">
        <v>42815</v>
      </c>
      <c r="D6144" s="753" t="s">
        <v>42797</v>
      </c>
      <c r="E6144" s="752" t="s">
        <v>38919</v>
      </c>
      <c r="F6144" s="751">
        <v>3585</v>
      </c>
    </row>
    <row r="6145" spans="1:6">
      <c r="A6145" s="753"/>
      <c r="B6145" s="753"/>
      <c r="C6145" s="752" t="s">
        <v>42814</v>
      </c>
      <c r="D6145" s="753" t="s">
        <v>42797</v>
      </c>
      <c r="E6145" s="752" t="s">
        <v>42813</v>
      </c>
      <c r="F6145" s="751">
        <v>2825</v>
      </c>
    </row>
    <row r="6146" spans="1:6">
      <c r="A6146" s="753"/>
      <c r="B6146" s="753"/>
      <c r="C6146" s="752" t="s">
        <v>42812</v>
      </c>
      <c r="D6146" s="753" t="s">
        <v>42797</v>
      </c>
      <c r="E6146" s="752" t="s">
        <v>293</v>
      </c>
      <c r="F6146" s="751">
        <v>2825</v>
      </c>
    </row>
    <row r="6147" spans="1:6">
      <c r="A6147" s="753"/>
      <c r="B6147" s="753"/>
      <c r="C6147" s="752" t="s">
        <v>42811</v>
      </c>
      <c r="D6147" s="753" t="s">
        <v>42797</v>
      </c>
      <c r="E6147" s="752" t="s">
        <v>39996</v>
      </c>
      <c r="F6147" s="751">
        <v>2575</v>
      </c>
    </row>
    <row r="6148" spans="1:6">
      <c r="A6148" s="753"/>
      <c r="B6148" s="753"/>
      <c r="C6148" s="752" t="s">
        <v>42810</v>
      </c>
      <c r="D6148" s="753" t="s">
        <v>42797</v>
      </c>
      <c r="E6148" s="752" t="s">
        <v>39011</v>
      </c>
      <c r="F6148" s="751">
        <v>3585</v>
      </c>
    </row>
    <row r="6149" spans="1:6">
      <c r="A6149" s="753"/>
      <c r="B6149" s="753"/>
      <c r="C6149" s="752" t="s">
        <v>42809</v>
      </c>
      <c r="D6149" s="753" t="s">
        <v>42797</v>
      </c>
      <c r="E6149" s="752" t="s">
        <v>293</v>
      </c>
      <c r="F6149" s="751">
        <v>2825</v>
      </c>
    </row>
    <row r="6150" spans="1:6">
      <c r="A6150" s="753"/>
      <c r="B6150" s="753"/>
      <c r="C6150" s="752" t="s">
        <v>42808</v>
      </c>
      <c r="D6150" s="753" t="s">
        <v>42797</v>
      </c>
      <c r="E6150" s="752" t="s">
        <v>39996</v>
      </c>
      <c r="F6150" s="751">
        <v>2575</v>
      </c>
    </row>
    <row r="6151" spans="1:6">
      <c r="A6151" s="753"/>
      <c r="B6151" s="753"/>
      <c r="C6151" s="752" t="s">
        <v>42807</v>
      </c>
      <c r="D6151" s="753" t="s">
        <v>42797</v>
      </c>
      <c r="E6151" s="752" t="s">
        <v>39011</v>
      </c>
      <c r="F6151" s="751">
        <v>3585</v>
      </c>
    </row>
    <row r="6152" spans="1:6">
      <c r="A6152" s="753"/>
      <c r="B6152" s="753"/>
      <c r="C6152" s="752" t="s">
        <v>42806</v>
      </c>
      <c r="D6152" s="753" t="s">
        <v>42797</v>
      </c>
      <c r="E6152" s="752" t="s">
        <v>39097</v>
      </c>
      <c r="F6152" s="751">
        <v>2825</v>
      </c>
    </row>
    <row r="6153" spans="1:6">
      <c r="A6153" s="753"/>
      <c r="B6153" s="753"/>
      <c r="C6153" s="752" t="s">
        <v>42805</v>
      </c>
      <c r="D6153" s="753" t="s">
        <v>42797</v>
      </c>
      <c r="E6153" s="752" t="s">
        <v>42775</v>
      </c>
      <c r="F6153" s="751">
        <v>3205</v>
      </c>
    </row>
    <row r="6154" spans="1:6">
      <c r="A6154" s="753"/>
      <c r="B6154" s="753"/>
      <c r="C6154" s="752" t="s">
        <v>42804</v>
      </c>
      <c r="D6154" s="753" t="s">
        <v>42803</v>
      </c>
      <c r="E6154" s="752" t="s">
        <v>42775</v>
      </c>
      <c r="F6154" s="751">
        <v>2555</v>
      </c>
    </row>
    <row r="6155" spans="1:6">
      <c r="A6155" s="753"/>
      <c r="B6155" s="753"/>
      <c r="C6155" s="752" t="s">
        <v>42802</v>
      </c>
      <c r="D6155" s="753" t="s">
        <v>42797</v>
      </c>
      <c r="E6155" s="752" t="s">
        <v>38539</v>
      </c>
      <c r="F6155" s="751">
        <v>2825</v>
      </c>
    </row>
    <row r="6156" spans="1:6">
      <c r="A6156" s="753"/>
      <c r="B6156" s="753"/>
      <c r="C6156" s="752" t="s">
        <v>42801</v>
      </c>
      <c r="D6156" s="753" t="s">
        <v>42797</v>
      </c>
      <c r="E6156" s="752" t="s">
        <v>39493</v>
      </c>
      <c r="F6156" s="751">
        <v>3585</v>
      </c>
    </row>
    <row r="6157" spans="1:6">
      <c r="A6157" s="753"/>
      <c r="B6157" s="753"/>
      <c r="C6157" s="752" t="s">
        <v>42800</v>
      </c>
      <c r="D6157" s="753" t="s">
        <v>42797</v>
      </c>
      <c r="E6157" s="752" t="s">
        <v>38783</v>
      </c>
      <c r="F6157" s="751">
        <v>2825</v>
      </c>
    </row>
    <row r="6158" spans="1:6">
      <c r="A6158" s="753"/>
      <c r="B6158" s="753"/>
      <c r="C6158" s="752" t="s">
        <v>42799</v>
      </c>
      <c r="D6158" s="753" t="s">
        <v>42797</v>
      </c>
      <c r="E6158" s="752" t="s">
        <v>39499</v>
      </c>
      <c r="F6158" s="751">
        <v>2325</v>
      </c>
    </row>
    <row r="6159" spans="1:6">
      <c r="A6159" s="753"/>
      <c r="B6159" s="753"/>
      <c r="C6159" s="752" t="s">
        <v>42798</v>
      </c>
      <c r="D6159" s="753" t="s">
        <v>42797</v>
      </c>
      <c r="E6159" s="752" t="s">
        <v>293</v>
      </c>
      <c r="F6159" s="751">
        <v>2825</v>
      </c>
    </row>
    <row r="6160" spans="1:6">
      <c r="A6160" s="753"/>
      <c r="B6160" s="753"/>
      <c r="C6160" s="752" t="s">
        <v>42796</v>
      </c>
      <c r="D6160" s="753" t="s">
        <v>42782</v>
      </c>
      <c r="E6160" s="752" t="s">
        <v>293</v>
      </c>
      <c r="F6160" s="751">
        <v>3375</v>
      </c>
    </row>
    <row r="6161" spans="1:6">
      <c r="A6161" s="753"/>
      <c r="B6161" s="753"/>
      <c r="C6161" s="752" t="s">
        <v>42795</v>
      </c>
      <c r="D6161" s="753" t="s">
        <v>42782</v>
      </c>
      <c r="E6161" s="752" t="s">
        <v>42794</v>
      </c>
      <c r="F6161" s="751">
        <v>3375</v>
      </c>
    </row>
    <row r="6162" spans="1:6">
      <c r="A6162" s="753"/>
      <c r="B6162" s="753"/>
      <c r="C6162" s="752" t="s">
        <v>42793</v>
      </c>
      <c r="D6162" s="753" t="s">
        <v>42782</v>
      </c>
      <c r="E6162" s="752" t="s">
        <v>42792</v>
      </c>
      <c r="F6162" s="751">
        <v>3375</v>
      </c>
    </row>
    <row r="6163" spans="1:6">
      <c r="A6163" s="753"/>
      <c r="B6163" s="753"/>
      <c r="C6163" s="752" t="s">
        <v>42791</v>
      </c>
      <c r="D6163" s="753" t="s">
        <v>42782</v>
      </c>
      <c r="E6163" s="752" t="s">
        <v>293</v>
      </c>
      <c r="F6163" s="751">
        <v>3375</v>
      </c>
    </row>
    <row r="6164" spans="1:6">
      <c r="A6164" s="753"/>
      <c r="B6164" s="753"/>
      <c r="C6164" s="752" t="s">
        <v>42790</v>
      </c>
      <c r="D6164" s="753" t="s">
        <v>42782</v>
      </c>
      <c r="E6164" s="752" t="s">
        <v>39996</v>
      </c>
      <c r="F6164" s="751">
        <v>3125</v>
      </c>
    </row>
    <row r="6165" spans="1:6">
      <c r="A6165" s="753"/>
      <c r="B6165" s="753"/>
      <c r="C6165" s="752" t="s">
        <v>42789</v>
      </c>
      <c r="D6165" s="753" t="s">
        <v>42782</v>
      </c>
      <c r="E6165" s="752" t="s">
        <v>293</v>
      </c>
      <c r="F6165" s="751">
        <v>3375</v>
      </c>
    </row>
    <row r="6166" spans="1:6">
      <c r="A6166" s="753"/>
      <c r="B6166" s="753"/>
      <c r="C6166" s="752" t="s">
        <v>42788</v>
      </c>
      <c r="D6166" s="753" t="s">
        <v>42782</v>
      </c>
      <c r="E6166" s="752" t="s">
        <v>39996</v>
      </c>
      <c r="F6166" s="751">
        <v>3125</v>
      </c>
    </row>
    <row r="6167" spans="1:6">
      <c r="A6167" s="753"/>
      <c r="B6167" s="753"/>
      <c r="C6167" s="752" t="s">
        <v>42787</v>
      </c>
      <c r="D6167" s="753" t="s">
        <v>42782</v>
      </c>
      <c r="E6167" s="752" t="s">
        <v>39097</v>
      </c>
      <c r="F6167" s="751">
        <v>3375</v>
      </c>
    </row>
    <row r="6168" spans="1:6">
      <c r="A6168" s="753"/>
      <c r="B6168" s="753"/>
      <c r="C6168" s="752" t="s">
        <v>42786</v>
      </c>
      <c r="D6168" s="753" t="s">
        <v>42782</v>
      </c>
      <c r="E6168" s="752" t="s">
        <v>42775</v>
      </c>
      <c r="F6168" s="751">
        <v>3505</v>
      </c>
    </row>
    <row r="6169" spans="1:6">
      <c r="A6169" s="753"/>
      <c r="B6169" s="753"/>
      <c r="C6169" s="752" t="s">
        <v>42785</v>
      </c>
      <c r="D6169" s="753" t="s">
        <v>42784</v>
      </c>
      <c r="E6169" s="752" t="s">
        <v>38539</v>
      </c>
      <c r="F6169" s="751">
        <v>4810</v>
      </c>
    </row>
    <row r="6170" spans="1:6">
      <c r="A6170" s="753"/>
      <c r="B6170" s="753"/>
      <c r="C6170" s="752" t="s">
        <v>42783</v>
      </c>
      <c r="D6170" s="753" t="s">
        <v>42782</v>
      </c>
      <c r="E6170" s="752" t="s">
        <v>293</v>
      </c>
      <c r="F6170" s="751">
        <v>3375</v>
      </c>
    </row>
    <row r="6171" spans="1:6">
      <c r="A6171" s="753"/>
      <c r="B6171" s="753"/>
      <c r="C6171" s="752" t="s">
        <v>42781</v>
      </c>
      <c r="D6171" s="753" t="s">
        <v>42768</v>
      </c>
      <c r="E6171" s="752" t="s">
        <v>293</v>
      </c>
      <c r="F6171" s="751">
        <v>3375</v>
      </c>
    </row>
    <row r="6172" spans="1:6">
      <c r="A6172" s="753"/>
      <c r="B6172" s="753"/>
      <c r="C6172" s="752" t="s">
        <v>42780</v>
      </c>
      <c r="D6172" s="753" t="s">
        <v>42768</v>
      </c>
      <c r="E6172" s="752" t="s">
        <v>293</v>
      </c>
      <c r="F6172" s="751">
        <v>3375</v>
      </c>
    </row>
    <row r="6173" spans="1:6">
      <c r="A6173" s="753"/>
      <c r="B6173" s="753"/>
      <c r="C6173" s="752" t="s">
        <v>42779</v>
      </c>
      <c r="D6173" s="753" t="s">
        <v>42768</v>
      </c>
      <c r="E6173" s="752" t="s">
        <v>293</v>
      </c>
      <c r="F6173" s="751">
        <v>3375</v>
      </c>
    </row>
    <row r="6174" spans="1:6">
      <c r="A6174" s="753"/>
      <c r="B6174" s="753"/>
      <c r="C6174" s="752" t="s">
        <v>42778</v>
      </c>
      <c r="D6174" s="753" t="s">
        <v>42768</v>
      </c>
      <c r="E6174" s="752" t="s">
        <v>39403</v>
      </c>
      <c r="F6174" s="751">
        <v>4135</v>
      </c>
    </row>
    <row r="6175" spans="1:6">
      <c r="A6175" s="753"/>
      <c r="B6175" s="753"/>
      <c r="C6175" s="752" t="s">
        <v>42777</v>
      </c>
      <c r="D6175" s="753" t="s">
        <v>42768</v>
      </c>
      <c r="E6175" s="752" t="s">
        <v>39097</v>
      </c>
      <c r="F6175" s="751">
        <v>3375</v>
      </c>
    </row>
    <row r="6176" spans="1:6">
      <c r="A6176" s="753"/>
      <c r="B6176" s="753"/>
      <c r="C6176" s="752" t="s">
        <v>42776</v>
      </c>
      <c r="D6176" s="753" t="s">
        <v>42768</v>
      </c>
      <c r="E6176" s="752" t="s">
        <v>42775</v>
      </c>
      <c r="F6176" s="751">
        <v>3755</v>
      </c>
    </row>
    <row r="6177" spans="1:6">
      <c r="A6177" s="753"/>
      <c r="B6177" s="753"/>
      <c r="C6177" s="752" t="s">
        <v>42774</v>
      </c>
      <c r="D6177" s="753" t="s">
        <v>42768</v>
      </c>
      <c r="E6177" s="752" t="s">
        <v>42773</v>
      </c>
      <c r="F6177" s="751">
        <v>4135</v>
      </c>
    </row>
    <row r="6178" spans="1:6">
      <c r="A6178" s="753"/>
      <c r="B6178" s="753"/>
      <c r="C6178" s="752" t="s">
        <v>42772</v>
      </c>
      <c r="D6178" s="753" t="s">
        <v>42768</v>
      </c>
      <c r="E6178" s="752" t="s">
        <v>38539</v>
      </c>
      <c r="F6178" s="751">
        <v>3375</v>
      </c>
    </row>
    <row r="6179" spans="1:6">
      <c r="A6179" s="753"/>
      <c r="B6179" s="753"/>
      <c r="C6179" s="752" t="s">
        <v>42771</v>
      </c>
      <c r="D6179" s="753" t="s">
        <v>42768</v>
      </c>
      <c r="E6179" s="752" t="s">
        <v>39499</v>
      </c>
      <c r="F6179" s="751">
        <v>2875</v>
      </c>
    </row>
    <row r="6180" spans="1:6">
      <c r="A6180" s="753"/>
      <c r="B6180" s="753"/>
      <c r="C6180" s="752" t="s">
        <v>42770</v>
      </c>
      <c r="D6180" s="753" t="s">
        <v>42768</v>
      </c>
      <c r="E6180" s="752" t="s">
        <v>42765</v>
      </c>
      <c r="F6180" s="751">
        <v>3375</v>
      </c>
    </row>
    <row r="6181" spans="1:6">
      <c r="A6181" s="753"/>
      <c r="B6181" s="753"/>
      <c r="C6181" s="752" t="s">
        <v>42769</v>
      </c>
      <c r="D6181" s="753" t="s">
        <v>42768</v>
      </c>
      <c r="E6181" s="752" t="s">
        <v>42767</v>
      </c>
      <c r="F6181" s="751">
        <v>3375</v>
      </c>
    </row>
    <row r="6182" spans="1:6">
      <c r="A6182" s="753"/>
      <c r="B6182" s="753"/>
      <c r="C6182" s="752" t="s">
        <v>42766</v>
      </c>
      <c r="D6182" s="753" t="s">
        <v>42761</v>
      </c>
      <c r="E6182" s="752" t="s">
        <v>42765</v>
      </c>
      <c r="F6182" s="751">
        <v>2825</v>
      </c>
    </row>
    <row r="6183" spans="1:6">
      <c r="A6183" s="753"/>
      <c r="B6183" s="753"/>
      <c r="C6183" s="752" t="s">
        <v>42764</v>
      </c>
      <c r="D6183" s="753" t="s">
        <v>42761</v>
      </c>
      <c r="E6183" s="752" t="s">
        <v>42763</v>
      </c>
      <c r="F6183" s="751">
        <v>2825</v>
      </c>
    </row>
    <row r="6184" spans="1:6">
      <c r="A6184" s="753"/>
      <c r="B6184" s="753"/>
      <c r="C6184" s="752" t="s">
        <v>42762</v>
      </c>
      <c r="D6184" s="753" t="s">
        <v>42761</v>
      </c>
      <c r="E6184" s="752" t="s">
        <v>293</v>
      </c>
      <c r="F6184" s="751">
        <v>2825</v>
      </c>
    </row>
    <row r="6185" spans="1:6">
      <c r="A6185" s="753"/>
      <c r="B6185" s="753"/>
      <c r="C6185" s="752" t="s">
        <v>42760</v>
      </c>
      <c r="D6185" s="753" t="s">
        <v>42713</v>
      </c>
      <c r="E6185" s="752" t="s">
        <v>293</v>
      </c>
      <c r="F6185" s="751">
        <v>2625</v>
      </c>
    </row>
    <row r="6186" spans="1:6">
      <c r="A6186" s="753"/>
      <c r="B6186" s="753"/>
      <c r="C6186" s="752" t="s">
        <v>42759</v>
      </c>
      <c r="D6186" s="753" t="s">
        <v>42713</v>
      </c>
      <c r="E6186" s="752" t="s">
        <v>41652</v>
      </c>
      <c r="F6186" s="751">
        <v>2625</v>
      </c>
    </row>
    <row r="6187" spans="1:6">
      <c r="A6187" s="753"/>
      <c r="B6187" s="753"/>
      <c r="C6187" s="752" t="s">
        <v>42758</v>
      </c>
      <c r="D6187" s="753" t="s">
        <v>42713</v>
      </c>
      <c r="E6187" s="752" t="s">
        <v>42751</v>
      </c>
      <c r="F6187" s="751">
        <v>3385</v>
      </c>
    </row>
    <row r="6188" spans="1:6">
      <c r="A6188" s="753"/>
      <c r="B6188" s="753"/>
      <c r="C6188" s="752" t="s">
        <v>42757</v>
      </c>
      <c r="D6188" s="753" t="s">
        <v>42713</v>
      </c>
      <c r="E6188" s="752" t="s">
        <v>42756</v>
      </c>
      <c r="F6188" s="751">
        <v>2625</v>
      </c>
    </row>
    <row r="6189" spans="1:6">
      <c r="A6189" s="753"/>
      <c r="B6189" s="753"/>
      <c r="C6189" s="752" t="s">
        <v>42755</v>
      </c>
      <c r="D6189" s="753" t="s">
        <v>42713</v>
      </c>
      <c r="E6189" s="752" t="s">
        <v>293</v>
      </c>
      <c r="F6189" s="751">
        <v>2625</v>
      </c>
    </row>
    <row r="6190" spans="1:6">
      <c r="A6190" s="753"/>
      <c r="B6190" s="753"/>
      <c r="C6190" s="752" t="s">
        <v>42754</v>
      </c>
      <c r="D6190" s="753" t="s">
        <v>42713</v>
      </c>
      <c r="E6190" s="752" t="s">
        <v>42751</v>
      </c>
      <c r="F6190" s="751">
        <v>3385</v>
      </c>
    </row>
    <row r="6191" spans="1:6">
      <c r="A6191" s="753"/>
      <c r="B6191" s="753"/>
      <c r="C6191" s="752" t="s">
        <v>42753</v>
      </c>
      <c r="D6191" s="753" t="s">
        <v>42713</v>
      </c>
      <c r="E6191" s="752" t="s">
        <v>293</v>
      </c>
      <c r="F6191" s="751">
        <v>2625</v>
      </c>
    </row>
    <row r="6192" spans="1:6">
      <c r="A6192" s="753"/>
      <c r="B6192" s="753"/>
      <c r="C6192" s="752" t="s">
        <v>42752</v>
      </c>
      <c r="D6192" s="753" t="s">
        <v>42713</v>
      </c>
      <c r="E6192" s="752" t="s">
        <v>42751</v>
      </c>
      <c r="F6192" s="751">
        <v>3385</v>
      </c>
    </row>
    <row r="6193" spans="1:6">
      <c r="A6193" s="753"/>
      <c r="B6193" s="753"/>
      <c r="C6193" s="752" t="s">
        <v>42750</v>
      </c>
      <c r="D6193" s="753" t="s">
        <v>42746</v>
      </c>
      <c r="E6193" s="752" t="s">
        <v>39097</v>
      </c>
      <c r="F6193" s="751">
        <v>2625</v>
      </c>
    </row>
    <row r="6194" spans="1:6">
      <c r="A6194" s="753"/>
      <c r="B6194" s="753"/>
      <c r="C6194" s="752" t="s">
        <v>42749</v>
      </c>
      <c r="D6194" s="753" t="s">
        <v>42746</v>
      </c>
      <c r="E6194" s="752" t="s">
        <v>42698</v>
      </c>
      <c r="F6194" s="751">
        <v>3005</v>
      </c>
    </row>
    <row r="6195" spans="1:6">
      <c r="A6195" s="753"/>
      <c r="B6195" s="753"/>
      <c r="C6195" s="752" t="s">
        <v>42748</v>
      </c>
      <c r="D6195" s="753" t="s">
        <v>42746</v>
      </c>
      <c r="E6195" s="752" t="s">
        <v>38570</v>
      </c>
      <c r="F6195" s="751">
        <v>2625</v>
      </c>
    </row>
    <row r="6196" spans="1:6">
      <c r="A6196" s="753"/>
      <c r="B6196" s="753"/>
      <c r="C6196" s="752" t="s">
        <v>42747</v>
      </c>
      <c r="D6196" s="753" t="s">
        <v>42746</v>
      </c>
      <c r="E6196" s="752" t="s">
        <v>38584</v>
      </c>
      <c r="F6196" s="751">
        <v>2475</v>
      </c>
    </row>
    <row r="6197" spans="1:6">
      <c r="A6197" s="753"/>
      <c r="B6197" s="753"/>
      <c r="C6197" s="752" t="s">
        <v>42745</v>
      </c>
      <c r="D6197" s="753" t="s">
        <v>42713</v>
      </c>
      <c r="E6197" s="752" t="s">
        <v>39499</v>
      </c>
      <c r="F6197" s="751">
        <v>2125</v>
      </c>
    </row>
    <row r="6198" spans="1:6">
      <c r="A6198" s="753"/>
      <c r="B6198" s="753"/>
      <c r="C6198" s="752" t="s">
        <v>42744</v>
      </c>
      <c r="D6198" s="753" t="s">
        <v>42713</v>
      </c>
      <c r="E6198" s="752" t="s">
        <v>293</v>
      </c>
      <c r="F6198" s="751">
        <v>2375</v>
      </c>
    </row>
    <row r="6199" spans="1:6">
      <c r="A6199" s="753"/>
      <c r="B6199" s="753"/>
      <c r="C6199" s="752" t="s">
        <v>42743</v>
      </c>
      <c r="D6199" s="753" t="s">
        <v>42713</v>
      </c>
      <c r="E6199" s="752" t="s">
        <v>293</v>
      </c>
      <c r="F6199" s="751">
        <v>2625</v>
      </c>
    </row>
    <row r="6200" spans="1:6">
      <c r="A6200" s="753"/>
      <c r="B6200" s="753"/>
      <c r="C6200" s="752" t="s">
        <v>42742</v>
      </c>
      <c r="D6200" s="753" t="s">
        <v>42684</v>
      </c>
      <c r="E6200" s="752" t="s">
        <v>293</v>
      </c>
      <c r="F6200" s="751">
        <v>3175</v>
      </c>
    </row>
    <row r="6201" spans="1:6">
      <c r="A6201" s="753"/>
      <c r="B6201" s="753"/>
      <c r="C6201" s="752" t="s">
        <v>42741</v>
      </c>
      <c r="D6201" s="753" t="s">
        <v>42684</v>
      </c>
      <c r="E6201" s="752" t="s">
        <v>293</v>
      </c>
      <c r="F6201" s="751">
        <v>3175</v>
      </c>
    </row>
    <row r="6202" spans="1:6">
      <c r="A6202" s="753"/>
      <c r="B6202" s="753"/>
      <c r="C6202" s="752" t="s">
        <v>42740</v>
      </c>
      <c r="D6202" s="753" t="s">
        <v>42684</v>
      </c>
      <c r="E6202" s="752" t="s">
        <v>39996</v>
      </c>
      <c r="F6202" s="751">
        <v>3175</v>
      </c>
    </row>
    <row r="6203" spans="1:6">
      <c r="A6203" s="753"/>
      <c r="B6203" s="753"/>
      <c r="C6203" s="752" t="s">
        <v>42739</v>
      </c>
      <c r="D6203" s="753" t="s">
        <v>42684</v>
      </c>
      <c r="E6203" s="752" t="s">
        <v>293</v>
      </c>
      <c r="F6203" s="751">
        <v>3175</v>
      </c>
    </row>
    <row r="6204" spans="1:6">
      <c r="A6204" s="753"/>
      <c r="B6204" s="753"/>
      <c r="C6204" s="752" t="s">
        <v>42738</v>
      </c>
      <c r="D6204" s="753" t="s">
        <v>42684</v>
      </c>
      <c r="E6204" s="752" t="s">
        <v>39097</v>
      </c>
      <c r="F6204" s="751">
        <v>3175</v>
      </c>
    </row>
    <row r="6205" spans="1:6">
      <c r="A6205" s="753"/>
      <c r="B6205" s="753"/>
      <c r="C6205" s="752" t="s">
        <v>42737</v>
      </c>
      <c r="D6205" s="753" t="s">
        <v>42684</v>
      </c>
      <c r="E6205" s="752" t="s">
        <v>42698</v>
      </c>
      <c r="F6205" s="751">
        <v>3555</v>
      </c>
    </row>
    <row r="6206" spans="1:6">
      <c r="A6206" s="753"/>
      <c r="B6206" s="753"/>
      <c r="C6206" s="752" t="s">
        <v>42736</v>
      </c>
      <c r="D6206" s="753" t="s">
        <v>42735</v>
      </c>
      <c r="E6206" s="752" t="s">
        <v>42734</v>
      </c>
      <c r="F6206" s="751">
        <v>3175</v>
      </c>
    </row>
    <row r="6207" spans="1:6">
      <c r="A6207" s="753"/>
      <c r="B6207" s="753"/>
      <c r="C6207" s="752" t="s">
        <v>42733</v>
      </c>
      <c r="D6207" s="753" t="s">
        <v>42684</v>
      </c>
      <c r="E6207" s="752" t="s">
        <v>38539</v>
      </c>
      <c r="F6207" s="751">
        <v>3175</v>
      </c>
    </row>
    <row r="6208" spans="1:6">
      <c r="A6208" s="753"/>
      <c r="B6208" s="753"/>
      <c r="C6208" s="752" t="s">
        <v>42732</v>
      </c>
      <c r="D6208" s="753" t="s">
        <v>42691</v>
      </c>
      <c r="E6208" s="752" t="s">
        <v>39160</v>
      </c>
      <c r="F6208" s="751">
        <v>3935</v>
      </c>
    </row>
    <row r="6209" spans="1:6">
      <c r="A6209" s="753"/>
      <c r="B6209" s="753"/>
      <c r="C6209" s="752" t="s">
        <v>42731</v>
      </c>
      <c r="D6209" s="753" t="s">
        <v>42684</v>
      </c>
      <c r="E6209" s="752" t="s">
        <v>38783</v>
      </c>
      <c r="F6209" s="751">
        <v>3175</v>
      </c>
    </row>
    <row r="6210" spans="1:6">
      <c r="A6210" s="753"/>
      <c r="B6210" s="753"/>
      <c r="C6210" s="752" t="s">
        <v>42730</v>
      </c>
      <c r="D6210" s="753" t="s">
        <v>42684</v>
      </c>
      <c r="E6210" s="752" t="s">
        <v>293</v>
      </c>
      <c r="F6210" s="751">
        <v>3175</v>
      </c>
    </row>
    <row r="6211" spans="1:6">
      <c r="A6211" s="753"/>
      <c r="B6211" s="753"/>
      <c r="C6211" s="752" t="s">
        <v>42729</v>
      </c>
      <c r="D6211" s="753" t="s">
        <v>42684</v>
      </c>
      <c r="E6211" s="752" t="s">
        <v>293</v>
      </c>
      <c r="F6211" s="751">
        <v>3175</v>
      </c>
    </row>
    <row r="6212" spans="1:6">
      <c r="A6212" s="753"/>
      <c r="B6212" s="753"/>
      <c r="C6212" s="752" t="s">
        <v>42728</v>
      </c>
      <c r="D6212" s="753" t="s">
        <v>42715</v>
      </c>
      <c r="E6212" s="752" t="s">
        <v>293</v>
      </c>
      <c r="F6212" s="751">
        <v>3175</v>
      </c>
    </row>
    <row r="6213" spans="1:6">
      <c r="A6213" s="753"/>
      <c r="B6213" s="753"/>
      <c r="C6213" s="752" t="s">
        <v>42727</v>
      </c>
      <c r="D6213" s="753" t="s">
        <v>42715</v>
      </c>
      <c r="E6213" s="752" t="s">
        <v>42726</v>
      </c>
      <c r="F6213" s="751">
        <v>3175</v>
      </c>
    </row>
    <row r="6214" spans="1:6">
      <c r="A6214" s="753"/>
      <c r="B6214" s="753"/>
      <c r="C6214" s="752" t="s">
        <v>42725</v>
      </c>
      <c r="D6214" s="753" t="s">
        <v>42715</v>
      </c>
      <c r="E6214" s="752" t="s">
        <v>39011</v>
      </c>
      <c r="F6214" s="751">
        <v>3935</v>
      </c>
    </row>
    <row r="6215" spans="1:6">
      <c r="A6215" s="753"/>
      <c r="B6215" s="753"/>
      <c r="C6215" s="752" t="s">
        <v>42724</v>
      </c>
      <c r="D6215" s="753" t="s">
        <v>42715</v>
      </c>
      <c r="E6215" s="752" t="s">
        <v>293</v>
      </c>
      <c r="F6215" s="751">
        <v>3175</v>
      </c>
    </row>
    <row r="6216" spans="1:6">
      <c r="A6216" s="753"/>
      <c r="B6216" s="753"/>
      <c r="C6216" s="752" t="s">
        <v>42723</v>
      </c>
      <c r="D6216" s="753" t="s">
        <v>42715</v>
      </c>
      <c r="E6216" s="752" t="s">
        <v>293</v>
      </c>
      <c r="F6216" s="751">
        <v>3175</v>
      </c>
    </row>
    <row r="6217" spans="1:6">
      <c r="A6217" s="753"/>
      <c r="B6217" s="753"/>
      <c r="C6217" s="752" t="s">
        <v>42722</v>
      </c>
      <c r="D6217" s="753" t="s">
        <v>42715</v>
      </c>
      <c r="E6217" s="752" t="s">
        <v>39097</v>
      </c>
      <c r="F6217" s="751">
        <v>3175</v>
      </c>
    </row>
    <row r="6218" spans="1:6">
      <c r="A6218" s="753"/>
      <c r="B6218" s="753"/>
      <c r="C6218" s="752" t="s">
        <v>42721</v>
      </c>
      <c r="D6218" s="753" t="s">
        <v>42715</v>
      </c>
      <c r="E6218" s="752" t="s">
        <v>42698</v>
      </c>
      <c r="F6218" s="751">
        <v>3555</v>
      </c>
    </row>
    <row r="6219" spans="1:6">
      <c r="A6219" s="753"/>
      <c r="B6219" s="753"/>
      <c r="C6219" s="752" t="s">
        <v>42720</v>
      </c>
      <c r="D6219" s="753" t="s">
        <v>42715</v>
      </c>
      <c r="E6219" s="752" t="s">
        <v>38570</v>
      </c>
      <c r="F6219" s="751">
        <v>3175</v>
      </c>
    </row>
    <row r="6220" spans="1:6">
      <c r="A6220" s="753"/>
      <c r="B6220" s="753"/>
      <c r="C6220" s="752" t="s">
        <v>42719</v>
      </c>
      <c r="D6220" s="753" t="s">
        <v>42715</v>
      </c>
      <c r="E6220" s="752" t="s">
        <v>42718</v>
      </c>
      <c r="F6220" s="751">
        <v>3935</v>
      </c>
    </row>
    <row r="6221" spans="1:6">
      <c r="A6221" s="753"/>
      <c r="B6221" s="753"/>
      <c r="C6221" s="752" t="s">
        <v>42717</v>
      </c>
      <c r="D6221" s="753" t="s">
        <v>42715</v>
      </c>
      <c r="E6221" s="752" t="s">
        <v>293</v>
      </c>
      <c r="F6221" s="751">
        <v>3175</v>
      </c>
    </row>
    <row r="6222" spans="1:6">
      <c r="A6222" s="753"/>
      <c r="B6222" s="753"/>
      <c r="C6222" s="752" t="s">
        <v>42716</v>
      </c>
      <c r="D6222" s="753" t="s">
        <v>42715</v>
      </c>
      <c r="E6222" s="752" t="s">
        <v>293</v>
      </c>
      <c r="F6222" s="751">
        <v>3175</v>
      </c>
    </row>
    <row r="6223" spans="1:6">
      <c r="A6223" s="753"/>
      <c r="B6223" s="753"/>
      <c r="C6223" s="752" t="s">
        <v>42714</v>
      </c>
      <c r="D6223" s="753" t="s">
        <v>42713</v>
      </c>
      <c r="E6223" s="752" t="s">
        <v>38783</v>
      </c>
      <c r="F6223" s="751">
        <v>2725</v>
      </c>
    </row>
    <row r="6224" spans="1:6">
      <c r="A6224" s="753"/>
      <c r="B6224" s="753"/>
      <c r="C6224" s="752" t="s">
        <v>42712</v>
      </c>
      <c r="D6224" s="753" t="s">
        <v>42711</v>
      </c>
      <c r="E6224" s="752" t="s">
        <v>39097</v>
      </c>
      <c r="F6224" s="751">
        <v>2725</v>
      </c>
    </row>
    <row r="6225" spans="1:6">
      <c r="A6225" s="753"/>
      <c r="B6225" s="753"/>
      <c r="C6225" s="752" t="s">
        <v>42710</v>
      </c>
      <c r="D6225" s="753" t="s">
        <v>42705</v>
      </c>
      <c r="E6225" s="752" t="s">
        <v>38539</v>
      </c>
      <c r="F6225" s="751">
        <v>2725</v>
      </c>
    </row>
    <row r="6226" spans="1:6">
      <c r="A6226" s="753"/>
      <c r="B6226" s="753"/>
      <c r="C6226" s="752" t="s">
        <v>42709</v>
      </c>
      <c r="D6226" s="753" t="s">
        <v>42705</v>
      </c>
      <c r="E6226" s="752" t="s">
        <v>39493</v>
      </c>
      <c r="F6226" s="751">
        <v>3485</v>
      </c>
    </row>
    <row r="6227" spans="1:6">
      <c r="A6227" s="753"/>
      <c r="B6227" s="753"/>
      <c r="C6227" s="752" t="s">
        <v>42708</v>
      </c>
      <c r="D6227" s="753" t="s">
        <v>42705</v>
      </c>
      <c r="E6227" s="752" t="s">
        <v>42707</v>
      </c>
      <c r="F6227" s="751">
        <v>3485</v>
      </c>
    </row>
    <row r="6228" spans="1:6">
      <c r="A6228" s="753"/>
      <c r="B6228" s="753"/>
      <c r="C6228" s="752" t="s">
        <v>42706</v>
      </c>
      <c r="D6228" s="753" t="s">
        <v>42705</v>
      </c>
      <c r="E6228" s="752" t="s">
        <v>40390</v>
      </c>
      <c r="F6228" s="751">
        <v>2225</v>
      </c>
    </row>
    <row r="6229" spans="1:6">
      <c r="A6229" s="753"/>
      <c r="B6229" s="753"/>
      <c r="C6229" s="752" t="s">
        <v>42704</v>
      </c>
      <c r="D6229" s="753" t="s">
        <v>42691</v>
      </c>
      <c r="E6229" s="752" t="s">
        <v>42703</v>
      </c>
      <c r="F6229" s="751">
        <v>4035</v>
      </c>
    </row>
    <row r="6230" spans="1:6">
      <c r="A6230" s="753"/>
      <c r="B6230" s="753"/>
      <c r="C6230" s="752" t="s">
        <v>42702</v>
      </c>
      <c r="D6230" s="753" t="s">
        <v>42691</v>
      </c>
      <c r="E6230" s="752" t="s">
        <v>42701</v>
      </c>
      <c r="F6230" s="751">
        <v>3275</v>
      </c>
    </row>
    <row r="6231" spans="1:6">
      <c r="A6231" s="753"/>
      <c r="B6231" s="753"/>
      <c r="C6231" s="752" t="s">
        <v>42700</v>
      </c>
      <c r="D6231" s="753" t="s">
        <v>42691</v>
      </c>
      <c r="E6231" s="752" t="s">
        <v>38584</v>
      </c>
      <c r="F6231" s="751">
        <v>3275</v>
      </c>
    </row>
    <row r="6232" spans="1:6">
      <c r="A6232" s="753"/>
      <c r="B6232" s="753"/>
      <c r="C6232" s="752" t="s">
        <v>42699</v>
      </c>
      <c r="D6232" s="753" t="s">
        <v>42691</v>
      </c>
      <c r="E6232" s="752" t="s">
        <v>42698</v>
      </c>
      <c r="F6232" s="751">
        <v>3655</v>
      </c>
    </row>
    <row r="6233" spans="1:6">
      <c r="A6233" s="753"/>
      <c r="B6233" s="753"/>
      <c r="C6233" s="752" t="s">
        <v>42697</v>
      </c>
      <c r="D6233" s="753" t="s">
        <v>42691</v>
      </c>
      <c r="E6233" s="752" t="s">
        <v>42696</v>
      </c>
      <c r="F6233" s="751">
        <v>3275</v>
      </c>
    </row>
    <row r="6234" spans="1:6">
      <c r="A6234" s="753"/>
      <c r="B6234" s="753"/>
      <c r="C6234" s="752" t="s">
        <v>42695</v>
      </c>
      <c r="D6234" s="753" t="s">
        <v>42691</v>
      </c>
      <c r="E6234" s="752" t="s">
        <v>42694</v>
      </c>
      <c r="F6234" s="751">
        <v>4035</v>
      </c>
    </row>
    <row r="6235" spans="1:6">
      <c r="A6235" s="753"/>
      <c r="B6235" s="753"/>
      <c r="C6235" s="752" t="s">
        <v>42693</v>
      </c>
      <c r="D6235" s="753" t="s">
        <v>42691</v>
      </c>
      <c r="E6235" s="752" t="s">
        <v>38584</v>
      </c>
      <c r="F6235" s="751">
        <v>3275</v>
      </c>
    </row>
    <row r="6236" spans="1:6">
      <c r="A6236" s="753"/>
      <c r="B6236" s="753"/>
      <c r="C6236" s="752" t="s">
        <v>42692</v>
      </c>
      <c r="D6236" s="753" t="s">
        <v>42691</v>
      </c>
      <c r="E6236" s="752" t="s">
        <v>293</v>
      </c>
      <c r="F6236" s="751">
        <v>3275</v>
      </c>
    </row>
    <row r="6237" spans="1:6">
      <c r="A6237" s="753"/>
      <c r="B6237" s="753"/>
      <c r="C6237" s="752" t="s">
        <v>42690</v>
      </c>
      <c r="D6237" s="753" t="s">
        <v>42689</v>
      </c>
      <c r="E6237" s="752" t="s">
        <v>38584</v>
      </c>
      <c r="F6237" s="751">
        <v>3275</v>
      </c>
    </row>
    <row r="6238" spans="1:6">
      <c r="A6238" s="753"/>
      <c r="B6238" s="753"/>
      <c r="C6238" s="752" t="s">
        <v>42688</v>
      </c>
      <c r="D6238" s="753" t="s">
        <v>42687</v>
      </c>
      <c r="E6238" s="752" t="s">
        <v>38584</v>
      </c>
      <c r="F6238" s="751">
        <v>3275</v>
      </c>
    </row>
    <row r="6239" spans="1:6">
      <c r="A6239" s="753"/>
      <c r="B6239" s="753"/>
      <c r="C6239" s="752" t="s">
        <v>42686</v>
      </c>
      <c r="D6239" s="753" t="s">
        <v>42684</v>
      </c>
      <c r="E6239" s="752" t="s">
        <v>39493</v>
      </c>
      <c r="F6239" s="751">
        <v>3935</v>
      </c>
    </row>
    <row r="6240" spans="1:6">
      <c r="A6240" s="753"/>
      <c r="B6240" s="753"/>
      <c r="C6240" s="752" t="s">
        <v>42685</v>
      </c>
      <c r="D6240" s="753" t="s">
        <v>42684</v>
      </c>
      <c r="E6240" s="752" t="s">
        <v>42683</v>
      </c>
      <c r="F6240" s="751">
        <v>3935</v>
      </c>
    </row>
    <row r="6241" spans="1:6">
      <c r="A6241" s="753"/>
      <c r="B6241" s="753"/>
      <c r="C6241" s="752" t="s">
        <v>42682</v>
      </c>
      <c r="D6241" s="753" t="s">
        <v>42681</v>
      </c>
      <c r="E6241" s="752" t="s">
        <v>42680</v>
      </c>
      <c r="F6241" s="751">
        <v>3865</v>
      </c>
    </row>
    <row r="6242" spans="1:6">
      <c r="A6242" s="753"/>
      <c r="B6242" s="753" t="s">
        <v>42679</v>
      </c>
      <c r="C6242" s="752" t="s">
        <v>42678</v>
      </c>
      <c r="D6242" s="753" t="s">
        <v>42677</v>
      </c>
      <c r="E6242" s="752" t="s">
        <v>293</v>
      </c>
      <c r="F6242" s="751">
        <v>4975</v>
      </c>
    </row>
    <row r="6243" spans="1:6">
      <c r="A6243" s="753" t="s">
        <v>5362</v>
      </c>
      <c r="B6243" s="753" t="s">
        <v>42676</v>
      </c>
      <c r="C6243" s="752" t="s">
        <v>42675</v>
      </c>
      <c r="D6243" s="753" t="s">
        <v>42669</v>
      </c>
      <c r="E6243" s="752" t="s">
        <v>37838</v>
      </c>
      <c r="F6243" s="751">
        <v>1975</v>
      </c>
    </row>
    <row r="6244" spans="1:6">
      <c r="A6244" s="753"/>
      <c r="B6244" s="753"/>
      <c r="C6244" s="752" t="s">
        <v>42674</v>
      </c>
      <c r="D6244" s="753" t="s">
        <v>42669</v>
      </c>
      <c r="E6244" s="752" t="s">
        <v>37838</v>
      </c>
      <c r="F6244" s="751">
        <v>1975</v>
      </c>
    </row>
    <row r="6245" spans="1:6">
      <c r="A6245" s="753"/>
      <c r="B6245" s="753"/>
      <c r="C6245" s="752" t="s">
        <v>42673</v>
      </c>
      <c r="D6245" s="753" t="s">
        <v>42669</v>
      </c>
      <c r="E6245" s="752" t="s">
        <v>40407</v>
      </c>
      <c r="F6245" s="751">
        <v>1975</v>
      </c>
    </row>
    <row r="6246" spans="1:6">
      <c r="A6246" s="753"/>
      <c r="B6246" s="753"/>
      <c r="C6246" s="752" t="s">
        <v>42672</v>
      </c>
      <c r="D6246" s="753" t="s">
        <v>42669</v>
      </c>
      <c r="E6246" s="752" t="s">
        <v>37838</v>
      </c>
      <c r="F6246" s="751">
        <v>1975</v>
      </c>
    </row>
    <row r="6247" spans="1:6">
      <c r="A6247" s="753"/>
      <c r="B6247" s="753"/>
      <c r="C6247" s="752" t="s">
        <v>42671</v>
      </c>
      <c r="D6247" s="753" t="s">
        <v>42669</v>
      </c>
      <c r="E6247" s="752" t="s">
        <v>41335</v>
      </c>
      <c r="F6247" s="751">
        <v>1975</v>
      </c>
    </row>
    <row r="6248" spans="1:6">
      <c r="A6248" s="753"/>
      <c r="B6248" s="753"/>
      <c r="C6248" s="752" t="s">
        <v>42670</v>
      </c>
      <c r="D6248" s="753" t="s">
        <v>42669</v>
      </c>
      <c r="E6248" s="752" t="s">
        <v>41335</v>
      </c>
      <c r="F6248" s="751">
        <v>1975</v>
      </c>
    </row>
    <row r="6249" spans="1:6">
      <c r="A6249" s="753"/>
      <c r="B6249" s="753"/>
      <c r="C6249" s="752" t="s">
        <v>42668</v>
      </c>
      <c r="D6249" s="753" t="s">
        <v>42667</v>
      </c>
      <c r="E6249" s="752" t="s">
        <v>41335</v>
      </c>
      <c r="F6249" s="751">
        <v>2375</v>
      </c>
    </row>
    <row r="6250" spans="1:6">
      <c r="A6250" s="753"/>
      <c r="B6250" s="753" t="s">
        <v>42666</v>
      </c>
      <c r="C6250" s="752" t="s">
        <v>42665</v>
      </c>
      <c r="D6250" s="753" t="s">
        <v>42662</v>
      </c>
      <c r="E6250" s="752" t="s">
        <v>37838</v>
      </c>
      <c r="F6250" s="751">
        <v>1975</v>
      </c>
    </row>
    <row r="6251" spans="1:6">
      <c r="A6251" s="753"/>
      <c r="B6251" s="753"/>
      <c r="C6251" s="752" t="s">
        <v>42664</v>
      </c>
      <c r="D6251" s="753" t="s">
        <v>42662</v>
      </c>
      <c r="E6251" s="752" t="s">
        <v>37838</v>
      </c>
      <c r="F6251" s="751">
        <v>1975</v>
      </c>
    </row>
    <row r="6252" spans="1:6">
      <c r="A6252" s="753"/>
      <c r="B6252" s="753"/>
      <c r="C6252" s="752" t="s">
        <v>42663</v>
      </c>
      <c r="D6252" s="753" t="s">
        <v>42662</v>
      </c>
      <c r="E6252" s="752" t="s">
        <v>37838</v>
      </c>
      <c r="F6252" s="751">
        <v>1975</v>
      </c>
    </row>
    <row r="6253" spans="1:6">
      <c r="A6253" s="753"/>
      <c r="B6253" s="753"/>
      <c r="C6253" s="752" t="s">
        <v>42661</v>
      </c>
      <c r="D6253" s="753" t="s">
        <v>42656</v>
      </c>
      <c r="E6253" s="752" t="s">
        <v>41335</v>
      </c>
      <c r="F6253" s="751">
        <v>1975</v>
      </c>
    </row>
    <row r="6254" spans="1:6">
      <c r="A6254" s="753"/>
      <c r="B6254" s="753"/>
      <c r="C6254" s="752" t="s">
        <v>42660</v>
      </c>
      <c r="D6254" s="753" t="s">
        <v>42656</v>
      </c>
      <c r="E6254" s="752" t="s">
        <v>42659</v>
      </c>
      <c r="F6254" s="751">
        <v>1975</v>
      </c>
    </row>
    <row r="6255" spans="1:6">
      <c r="A6255" s="753"/>
      <c r="B6255" s="753"/>
      <c r="C6255" s="752" t="s">
        <v>42658</v>
      </c>
      <c r="D6255" s="753" t="s">
        <v>42656</v>
      </c>
      <c r="E6255" s="752" t="s">
        <v>42655</v>
      </c>
      <c r="F6255" s="751">
        <v>1975</v>
      </c>
    </row>
    <row r="6256" spans="1:6">
      <c r="A6256" s="753"/>
      <c r="B6256" s="753"/>
      <c r="C6256" s="752" t="s">
        <v>42657</v>
      </c>
      <c r="D6256" s="753" t="s">
        <v>42656</v>
      </c>
      <c r="E6256" s="752" t="s">
        <v>42655</v>
      </c>
      <c r="F6256" s="751">
        <v>2075</v>
      </c>
    </row>
    <row r="6257" spans="1:6">
      <c r="A6257" s="753"/>
      <c r="B6257" s="753" t="s">
        <v>42654</v>
      </c>
      <c r="C6257" s="752" t="s">
        <v>42653</v>
      </c>
      <c r="D6257" s="753" t="s">
        <v>42652</v>
      </c>
      <c r="E6257" s="752" t="s">
        <v>293</v>
      </c>
      <c r="F6257" s="751">
        <v>2425</v>
      </c>
    </row>
    <row r="6258" spans="1:6">
      <c r="A6258" s="753"/>
      <c r="B6258" s="753" t="s">
        <v>42651</v>
      </c>
      <c r="C6258" s="752" t="s">
        <v>42650</v>
      </c>
      <c r="D6258" s="753" t="s">
        <v>42648</v>
      </c>
      <c r="E6258" s="752" t="s">
        <v>293</v>
      </c>
      <c r="F6258" s="751">
        <v>4215</v>
      </c>
    </row>
    <row r="6259" spans="1:6">
      <c r="A6259" s="753"/>
      <c r="B6259" s="753"/>
      <c r="C6259" s="752" t="s">
        <v>42649</v>
      </c>
      <c r="D6259" s="753" t="s">
        <v>42648</v>
      </c>
      <c r="E6259" s="752" t="s">
        <v>293</v>
      </c>
      <c r="F6259" s="751">
        <v>4215</v>
      </c>
    </row>
    <row r="6260" spans="1:6">
      <c r="A6260" s="753"/>
      <c r="B6260" s="753"/>
      <c r="C6260" s="752" t="s">
        <v>42647</v>
      </c>
      <c r="D6260" s="753" t="s">
        <v>42644</v>
      </c>
      <c r="E6260" s="752" t="s">
        <v>293</v>
      </c>
      <c r="F6260" s="751">
        <v>2575</v>
      </c>
    </row>
    <row r="6261" spans="1:6">
      <c r="A6261" s="753"/>
      <c r="B6261" s="753"/>
      <c r="C6261" s="752" t="s">
        <v>42646</v>
      </c>
      <c r="D6261" s="753" t="s">
        <v>42644</v>
      </c>
      <c r="E6261" s="752" t="s">
        <v>293</v>
      </c>
      <c r="F6261" s="751">
        <v>2575</v>
      </c>
    </row>
    <row r="6262" spans="1:6">
      <c r="A6262" s="753"/>
      <c r="B6262" s="753"/>
      <c r="C6262" s="752" t="s">
        <v>42645</v>
      </c>
      <c r="D6262" s="753" t="s">
        <v>42644</v>
      </c>
      <c r="E6262" s="752" t="s">
        <v>293</v>
      </c>
      <c r="F6262" s="751">
        <v>2575</v>
      </c>
    </row>
    <row r="6263" spans="1:6">
      <c r="A6263" s="753"/>
      <c r="B6263" s="753"/>
      <c r="C6263" s="752" t="s">
        <v>42643</v>
      </c>
      <c r="D6263" s="753" t="s">
        <v>42642</v>
      </c>
      <c r="E6263" s="752" t="s">
        <v>293</v>
      </c>
      <c r="F6263" s="751">
        <v>2575</v>
      </c>
    </row>
    <row r="6264" spans="1:6">
      <c r="A6264" s="753"/>
      <c r="B6264" s="753"/>
      <c r="C6264" s="752" t="s">
        <v>42641</v>
      </c>
      <c r="D6264" s="753" t="s">
        <v>42638</v>
      </c>
      <c r="E6264" s="752" t="s">
        <v>293</v>
      </c>
      <c r="F6264" s="751">
        <v>3125</v>
      </c>
    </row>
    <row r="6265" spans="1:6">
      <c r="A6265" s="753"/>
      <c r="B6265" s="753"/>
      <c r="C6265" s="752" t="s">
        <v>42640</v>
      </c>
      <c r="D6265" s="753" t="s">
        <v>42638</v>
      </c>
      <c r="E6265" s="752" t="s">
        <v>293</v>
      </c>
      <c r="F6265" s="751">
        <v>3125</v>
      </c>
    </row>
    <row r="6266" spans="1:6">
      <c r="A6266" s="753"/>
      <c r="B6266" s="753"/>
      <c r="C6266" s="752" t="s">
        <v>42639</v>
      </c>
      <c r="D6266" s="753" t="s">
        <v>42638</v>
      </c>
      <c r="E6266" s="752" t="s">
        <v>293</v>
      </c>
      <c r="F6266" s="751">
        <v>3125</v>
      </c>
    </row>
    <row r="6267" spans="1:6">
      <c r="A6267" s="753"/>
      <c r="B6267" s="753"/>
      <c r="C6267" s="752" t="s">
        <v>42637</v>
      </c>
      <c r="D6267" s="753" t="s">
        <v>42632</v>
      </c>
      <c r="E6267" s="752" t="s">
        <v>293</v>
      </c>
      <c r="F6267" s="751">
        <v>2375</v>
      </c>
    </row>
    <row r="6268" spans="1:6">
      <c r="A6268" s="753"/>
      <c r="B6268" s="753"/>
      <c r="C6268" s="752" t="s">
        <v>42636</v>
      </c>
      <c r="D6268" s="753" t="s">
        <v>42632</v>
      </c>
      <c r="E6268" s="752" t="s">
        <v>293</v>
      </c>
      <c r="F6268" s="751">
        <v>2375</v>
      </c>
    </row>
    <row r="6269" spans="1:6">
      <c r="A6269" s="753"/>
      <c r="B6269" s="753"/>
      <c r="C6269" s="752" t="s">
        <v>42635</v>
      </c>
      <c r="D6269" s="753" t="s">
        <v>42632</v>
      </c>
      <c r="E6269" s="752" t="s">
        <v>293</v>
      </c>
      <c r="F6269" s="751">
        <v>2375</v>
      </c>
    </row>
    <row r="6270" spans="1:6">
      <c r="A6270" s="753"/>
      <c r="B6270" s="753"/>
      <c r="C6270" s="752" t="s">
        <v>42634</v>
      </c>
      <c r="D6270" s="753" t="s">
        <v>42632</v>
      </c>
      <c r="E6270" s="752" t="s">
        <v>293</v>
      </c>
      <c r="F6270" s="751">
        <v>2375</v>
      </c>
    </row>
    <row r="6271" spans="1:6">
      <c r="A6271" s="753"/>
      <c r="B6271" s="753"/>
      <c r="C6271" s="752" t="s">
        <v>42633</v>
      </c>
      <c r="D6271" s="753" t="s">
        <v>42632</v>
      </c>
      <c r="E6271" s="752" t="s">
        <v>293</v>
      </c>
      <c r="F6271" s="751">
        <v>2175</v>
      </c>
    </row>
    <row r="6272" spans="1:6">
      <c r="A6272" s="753"/>
      <c r="B6272" s="753"/>
      <c r="C6272" s="752" t="s">
        <v>42631</v>
      </c>
      <c r="D6272" s="753" t="s">
        <v>42628</v>
      </c>
      <c r="E6272" s="752" t="s">
        <v>293</v>
      </c>
      <c r="F6272" s="751">
        <v>2925</v>
      </c>
    </row>
    <row r="6273" spans="1:6">
      <c r="A6273" s="753"/>
      <c r="B6273" s="753"/>
      <c r="C6273" s="752" t="s">
        <v>42630</v>
      </c>
      <c r="D6273" s="753" t="s">
        <v>42628</v>
      </c>
      <c r="E6273" s="752" t="s">
        <v>293</v>
      </c>
      <c r="F6273" s="751">
        <v>2925</v>
      </c>
    </row>
    <row r="6274" spans="1:6">
      <c r="A6274" s="753"/>
      <c r="B6274" s="753"/>
      <c r="C6274" s="752" t="s">
        <v>42629</v>
      </c>
      <c r="D6274" s="753" t="s">
        <v>42628</v>
      </c>
      <c r="E6274" s="752" t="s">
        <v>293</v>
      </c>
      <c r="F6274" s="751">
        <v>2925</v>
      </c>
    </row>
    <row r="6275" spans="1:6">
      <c r="A6275" s="753"/>
      <c r="B6275" s="753"/>
      <c r="C6275" s="752" t="s">
        <v>42627</v>
      </c>
      <c r="D6275" s="753" t="s">
        <v>42624</v>
      </c>
      <c r="E6275" s="752" t="s">
        <v>293</v>
      </c>
      <c r="F6275" s="751">
        <v>2475</v>
      </c>
    </row>
    <row r="6276" spans="1:6">
      <c r="A6276" s="753"/>
      <c r="B6276" s="753"/>
      <c r="C6276" s="752" t="s">
        <v>42626</v>
      </c>
      <c r="D6276" s="753" t="s">
        <v>42624</v>
      </c>
      <c r="E6276" s="752" t="s">
        <v>293</v>
      </c>
      <c r="F6276" s="751">
        <v>2475</v>
      </c>
    </row>
    <row r="6277" spans="1:6">
      <c r="A6277" s="753"/>
      <c r="B6277" s="753"/>
      <c r="C6277" s="752" t="s">
        <v>42625</v>
      </c>
      <c r="D6277" s="753" t="s">
        <v>42624</v>
      </c>
      <c r="E6277" s="752" t="s">
        <v>293</v>
      </c>
      <c r="F6277" s="751">
        <v>2475</v>
      </c>
    </row>
    <row r="6278" spans="1:6">
      <c r="A6278" s="753"/>
      <c r="B6278" s="753"/>
      <c r="C6278" s="752" t="s">
        <v>42623</v>
      </c>
      <c r="D6278" s="753" t="s">
        <v>42622</v>
      </c>
      <c r="E6278" s="752" t="s">
        <v>38670</v>
      </c>
      <c r="F6278" s="751">
        <v>3785</v>
      </c>
    </row>
    <row r="6279" spans="1:6">
      <c r="A6279" s="753"/>
      <c r="B6279" s="753" t="s">
        <v>42621</v>
      </c>
      <c r="C6279" s="752" t="s">
        <v>42620</v>
      </c>
      <c r="D6279" s="753" t="s">
        <v>42619</v>
      </c>
      <c r="E6279" s="752" t="s">
        <v>293</v>
      </c>
      <c r="F6279" s="751">
        <v>2325</v>
      </c>
    </row>
    <row r="6280" spans="1:6">
      <c r="A6280" s="753"/>
      <c r="B6280" s="753"/>
      <c r="C6280" s="752" t="s">
        <v>42618</v>
      </c>
      <c r="D6280" s="753" t="s">
        <v>42617</v>
      </c>
      <c r="E6280" s="752" t="s">
        <v>293</v>
      </c>
      <c r="F6280" s="751">
        <v>2875</v>
      </c>
    </row>
    <row r="6281" spans="1:6">
      <c r="A6281" s="753"/>
      <c r="B6281" s="753"/>
      <c r="C6281" s="752" t="s">
        <v>42616</v>
      </c>
      <c r="D6281" s="753" t="s">
        <v>42615</v>
      </c>
      <c r="E6281" s="752" t="s">
        <v>293</v>
      </c>
      <c r="F6281" s="751">
        <v>2125</v>
      </c>
    </row>
    <row r="6282" spans="1:6">
      <c r="A6282" s="753"/>
      <c r="B6282" s="753"/>
      <c r="C6282" s="752" t="s">
        <v>42614</v>
      </c>
      <c r="D6282" s="753" t="s">
        <v>42613</v>
      </c>
      <c r="E6282" s="752" t="s">
        <v>293</v>
      </c>
      <c r="F6282" s="751">
        <v>2675</v>
      </c>
    </row>
    <row r="6283" spans="1:6">
      <c r="A6283" s="753"/>
      <c r="B6283" s="753"/>
      <c r="C6283" s="752" t="s">
        <v>42612</v>
      </c>
      <c r="D6283" s="753" t="s">
        <v>42611</v>
      </c>
      <c r="E6283" s="752" t="s">
        <v>293</v>
      </c>
      <c r="F6283" s="751">
        <v>2225</v>
      </c>
    </row>
    <row r="6284" spans="1:6">
      <c r="A6284" s="753"/>
      <c r="B6284" s="753" t="s">
        <v>42610</v>
      </c>
      <c r="C6284" s="752" t="s">
        <v>42609</v>
      </c>
      <c r="D6284" s="753" t="s">
        <v>42608</v>
      </c>
      <c r="E6284" s="752" t="s">
        <v>293</v>
      </c>
      <c r="F6284" s="751">
        <v>1925</v>
      </c>
    </row>
    <row r="6285" spans="1:6">
      <c r="A6285" s="753"/>
      <c r="B6285" s="753" t="s">
        <v>42607</v>
      </c>
      <c r="C6285" s="752" t="s">
        <v>42606</v>
      </c>
      <c r="D6285" s="753" t="s">
        <v>42604</v>
      </c>
      <c r="E6285" s="752" t="s">
        <v>293</v>
      </c>
      <c r="F6285" s="751">
        <v>2375</v>
      </c>
    </row>
    <row r="6286" spans="1:6">
      <c r="A6286" s="753"/>
      <c r="B6286" s="753"/>
      <c r="C6286" s="752" t="s">
        <v>42605</v>
      </c>
      <c r="D6286" s="753" t="s">
        <v>42604</v>
      </c>
      <c r="E6286" s="752" t="s">
        <v>293</v>
      </c>
      <c r="F6286" s="751">
        <v>2375</v>
      </c>
    </row>
    <row r="6287" spans="1:6">
      <c r="A6287" s="753"/>
      <c r="B6287" s="753"/>
      <c r="C6287" s="752" t="s">
        <v>42603</v>
      </c>
      <c r="D6287" s="753" t="s">
        <v>42602</v>
      </c>
      <c r="E6287" s="752" t="s">
        <v>293</v>
      </c>
      <c r="F6287" s="751">
        <v>2925</v>
      </c>
    </row>
    <row r="6288" spans="1:6">
      <c r="A6288" s="753"/>
      <c r="B6288" s="753"/>
      <c r="C6288" s="752" t="s">
        <v>42601</v>
      </c>
      <c r="D6288" s="753" t="s">
        <v>42599</v>
      </c>
      <c r="E6288" s="752" t="s">
        <v>293</v>
      </c>
      <c r="F6288" s="751">
        <v>2475</v>
      </c>
    </row>
    <row r="6289" spans="1:6">
      <c r="A6289" s="753"/>
      <c r="B6289" s="753"/>
      <c r="C6289" s="752" t="s">
        <v>42600</v>
      </c>
      <c r="D6289" s="753" t="s">
        <v>42599</v>
      </c>
      <c r="E6289" s="752" t="s">
        <v>293</v>
      </c>
      <c r="F6289" s="751">
        <v>2475</v>
      </c>
    </row>
    <row r="6290" spans="1:6">
      <c r="A6290" s="753"/>
      <c r="B6290" s="753" t="s">
        <v>42598</v>
      </c>
      <c r="C6290" s="752" t="s">
        <v>42597</v>
      </c>
      <c r="D6290" s="753" t="s">
        <v>42596</v>
      </c>
      <c r="E6290" s="752" t="s">
        <v>39991</v>
      </c>
      <c r="F6290" s="751">
        <v>1925</v>
      </c>
    </row>
    <row r="6291" spans="1:6">
      <c r="A6291" s="753"/>
      <c r="B6291" s="753" t="s">
        <v>42595</v>
      </c>
      <c r="C6291" s="752" t="s">
        <v>42594</v>
      </c>
      <c r="D6291" s="753" t="s">
        <v>42593</v>
      </c>
      <c r="E6291" s="752" t="s">
        <v>293</v>
      </c>
      <c r="F6291" s="751">
        <v>3875</v>
      </c>
    </row>
    <row r="6292" spans="1:6">
      <c r="A6292" s="753"/>
      <c r="B6292" s="753"/>
      <c r="C6292" s="752" t="s">
        <v>42592</v>
      </c>
      <c r="D6292" s="753" t="s">
        <v>42591</v>
      </c>
      <c r="E6292" s="752" t="s">
        <v>38670</v>
      </c>
      <c r="F6292" s="751">
        <v>5225</v>
      </c>
    </row>
    <row r="6293" spans="1:6">
      <c r="A6293" s="753"/>
      <c r="B6293" s="753"/>
      <c r="C6293" s="752" t="s">
        <v>42590</v>
      </c>
      <c r="D6293" s="753" t="s">
        <v>42589</v>
      </c>
      <c r="E6293" s="752" t="s">
        <v>293</v>
      </c>
      <c r="F6293" s="751">
        <v>5495</v>
      </c>
    </row>
    <row r="6294" spans="1:6">
      <c r="A6294" s="753"/>
      <c r="B6294" s="753"/>
      <c r="C6294" s="752" t="s">
        <v>42588</v>
      </c>
      <c r="D6294" s="753" t="s">
        <v>42585</v>
      </c>
      <c r="E6294" s="752" t="s">
        <v>293</v>
      </c>
      <c r="F6294" s="751">
        <v>3075</v>
      </c>
    </row>
    <row r="6295" spans="1:6">
      <c r="A6295" s="753"/>
      <c r="B6295" s="753"/>
      <c r="C6295" s="752" t="s">
        <v>42587</v>
      </c>
      <c r="D6295" s="753" t="s">
        <v>42585</v>
      </c>
      <c r="E6295" s="752" t="s">
        <v>293</v>
      </c>
      <c r="F6295" s="751">
        <v>3075</v>
      </c>
    </row>
    <row r="6296" spans="1:6">
      <c r="A6296" s="753"/>
      <c r="B6296" s="753"/>
      <c r="C6296" s="752" t="s">
        <v>42586</v>
      </c>
      <c r="D6296" s="753" t="s">
        <v>42585</v>
      </c>
      <c r="E6296" s="752" t="s">
        <v>293</v>
      </c>
      <c r="F6296" s="751">
        <v>3075</v>
      </c>
    </row>
    <row r="6297" spans="1:6">
      <c r="A6297" s="753"/>
      <c r="B6297" s="753"/>
      <c r="C6297" s="752" t="s">
        <v>42584</v>
      </c>
      <c r="D6297" s="753" t="s">
        <v>42582</v>
      </c>
      <c r="E6297" s="752" t="s">
        <v>293</v>
      </c>
      <c r="F6297" s="751">
        <v>3625</v>
      </c>
    </row>
    <row r="6298" spans="1:6">
      <c r="A6298" s="753"/>
      <c r="B6298" s="753"/>
      <c r="C6298" s="752" t="s">
        <v>42583</v>
      </c>
      <c r="D6298" s="753" t="s">
        <v>42582</v>
      </c>
      <c r="E6298" s="752" t="s">
        <v>293</v>
      </c>
      <c r="F6298" s="751">
        <v>3625</v>
      </c>
    </row>
    <row r="6299" spans="1:6">
      <c r="A6299" s="753"/>
      <c r="B6299" s="753"/>
      <c r="C6299" s="752" t="s">
        <v>42581</v>
      </c>
      <c r="D6299" s="753" t="s">
        <v>42580</v>
      </c>
      <c r="E6299" s="752" t="s">
        <v>293</v>
      </c>
      <c r="F6299" s="751">
        <v>3625</v>
      </c>
    </row>
    <row r="6300" spans="1:6">
      <c r="A6300" s="753"/>
      <c r="B6300" s="753"/>
      <c r="C6300" s="752" t="s">
        <v>42579</v>
      </c>
      <c r="D6300" s="753" t="s">
        <v>42566</v>
      </c>
      <c r="E6300" s="752" t="s">
        <v>37750</v>
      </c>
      <c r="F6300" s="751">
        <v>1615</v>
      </c>
    </row>
    <row r="6301" spans="1:6">
      <c r="A6301" s="753"/>
      <c r="B6301" s="753"/>
      <c r="C6301" s="752" t="s">
        <v>42578</v>
      </c>
      <c r="D6301" s="753" t="s">
        <v>42577</v>
      </c>
      <c r="E6301" s="752" t="s">
        <v>293</v>
      </c>
      <c r="F6301" s="751">
        <v>2875</v>
      </c>
    </row>
    <row r="6302" spans="1:6">
      <c r="A6302" s="753"/>
      <c r="B6302" s="753"/>
      <c r="C6302" s="752" t="s">
        <v>42576</v>
      </c>
      <c r="D6302" s="753" t="s">
        <v>42573</v>
      </c>
      <c r="E6302" s="752" t="s">
        <v>293</v>
      </c>
      <c r="F6302" s="751">
        <v>3425</v>
      </c>
    </row>
    <row r="6303" spans="1:6">
      <c r="A6303" s="753"/>
      <c r="B6303" s="753"/>
      <c r="C6303" s="752" t="s">
        <v>42575</v>
      </c>
      <c r="D6303" s="753" t="s">
        <v>42573</v>
      </c>
      <c r="E6303" s="752" t="s">
        <v>293</v>
      </c>
      <c r="F6303" s="751">
        <v>3425</v>
      </c>
    </row>
    <row r="6304" spans="1:6">
      <c r="A6304" s="753"/>
      <c r="B6304" s="753"/>
      <c r="C6304" s="752" t="s">
        <v>42574</v>
      </c>
      <c r="D6304" s="753" t="s">
        <v>42573</v>
      </c>
      <c r="E6304" s="752" t="s">
        <v>293</v>
      </c>
      <c r="F6304" s="751">
        <v>3425</v>
      </c>
    </row>
    <row r="6305" spans="1:6">
      <c r="A6305" s="753"/>
      <c r="B6305" s="753"/>
      <c r="C6305" s="752" t="s">
        <v>42572</v>
      </c>
      <c r="D6305" s="753" t="s">
        <v>42569</v>
      </c>
      <c r="E6305" s="752" t="s">
        <v>40728</v>
      </c>
      <c r="F6305" s="751">
        <v>2975</v>
      </c>
    </row>
    <row r="6306" spans="1:6">
      <c r="A6306" s="753"/>
      <c r="B6306" s="753"/>
      <c r="C6306" s="752" t="s">
        <v>42571</v>
      </c>
      <c r="D6306" s="753" t="s">
        <v>42569</v>
      </c>
      <c r="E6306" s="752" t="s">
        <v>37758</v>
      </c>
      <c r="F6306" s="751">
        <v>2975</v>
      </c>
    </row>
    <row r="6307" spans="1:6">
      <c r="A6307" s="753"/>
      <c r="B6307" s="753"/>
      <c r="C6307" s="752" t="s">
        <v>42570</v>
      </c>
      <c r="D6307" s="753" t="s">
        <v>42569</v>
      </c>
      <c r="E6307" s="752" t="s">
        <v>42568</v>
      </c>
      <c r="F6307" s="751">
        <v>2225</v>
      </c>
    </row>
    <row r="6308" spans="1:6">
      <c r="A6308" s="753"/>
      <c r="B6308" s="753"/>
      <c r="C6308" s="752" t="s">
        <v>42567</v>
      </c>
      <c r="D6308" s="753" t="s">
        <v>42566</v>
      </c>
      <c r="E6308" s="752" t="s">
        <v>37750</v>
      </c>
      <c r="F6308" s="751">
        <v>1100</v>
      </c>
    </row>
    <row r="6309" spans="1:6">
      <c r="A6309" s="753"/>
      <c r="B6309" s="753" t="s">
        <v>42565</v>
      </c>
      <c r="C6309" s="752" t="s">
        <v>42564</v>
      </c>
      <c r="D6309" s="753" t="s">
        <v>42562</v>
      </c>
      <c r="E6309" s="752" t="s">
        <v>39430</v>
      </c>
      <c r="F6309" s="751">
        <v>2575</v>
      </c>
    </row>
    <row r="6310" spans="1:6">
      <c r="A6310" s="753"/>
      <c r="B6310" s="753"/>
      <c r="C6310" s="752" t="s">
        <v>42563</v>
      </c>
      <c r="D6310" s="753" t="s">
        <v>42562</v>
      </c>
      <c r="E6310" s="752" t="s">
        <v>293</v>
      </c>
      <c r="F6310" s="751">
        <v>2575</v>
      </c>
    </row>
    <row r="6311" spans="1:6">
      <c r="A6311" s="753"/>
      <c r="B6311" s="753"/>
      <c r="C6311" s="752" t="s">
        <v>42561</v>
      </c>
      <c r="D6311" s="753" t="s">
        <v>42560</v>
      </c>
      <c r="E6311" s="752" t="s">
        <v>38783</v>
      </c>
      <c r="F6311" s="751">
        <v>3125</v>
      </c>
    </row>
    <row r="6312" spans="1:6">
      <c r="A6312" s="753"/>
      <c r="B6312" s="753"/>
      <c r="C6312" s="752" t="s">
        <v>42559</v>
      </c>
      <c r="D6312" s="753" t="s">
        <v>42558</v>
      </c>
      <c r="E6312" s="752" t="s">
        <v>39430</v>
      </c>
      <c r="F6312" s="751">
        <v>2375</v>
      </c>
    </row>
    <row r="6313" spans="1:6">
      <c r="A6313" s="753"/>
      <c r="B6313" s="753"/>
      <c r="C6313" s="752" t="s">
        <v>42557</v>
      </c>
      <c r="D6313" s="753" t="s">
        <v>42556</v>
      </c>
      <c r="E6313" s="752" t="s">
        <v>42553</v>
      </c>
      <c r="F6313" s="751">
        <v>2925</v>
      </c>
    </row>
    <row r="6314" spans="1:6">
      <c r="A6314" s="753"/>
      <c r="B6314" s="753"/>
      <c r="C6314" s="752" t="s">
        <v>42555</v>
      </c>
      <c r="D6314" s="753" t="s">
        <v>42554</v>
      </c>
      <c r="E6314" s="752" t="s">
        <v>42553</v>
      </c>
      <c r="F6314" s="751">
        <v>3685</v>
      </c>
    </row>
    <row r="6315" spans="1:6">
      <c r="A6315" s="753"/>
      <c r="B6315" s="753"/>
      <c r="C6315" s="752" t="s">
        <v>42552</v>
      </c>
      <c r="D6315" s="753" t="s">
        <v>42551</v>
      </c>
      <c r="E6315" s="752" t="s">
        <v>38783</v>
      </c>
      <c r="F6315" s="751">
        <v>2475</v>
      </c>
    </row>
    <row r="6316" spans="1:6">
      <c r="A6316" s="753"/>
      <c r="B6316" s="753"/>
      <c r="C6316" s="752" t="s">
        <v>42550</v>
      </c>
      <c r="D6316" s="753" t="s">
        <v>42549</v>
      </c>
      <c r="E6316" s="752" t="s">
        <v>38783</v>
      </c>
      <c r="F6316" s="751">
        <v>3025</v>
      </c>
    </row>
    <row r="6317" spans="1:6">
      <c r="A6317" s="753"/>
      <c r="B6317" s="753" t="s">
        <v>42548</v>
      </c>
      <c r="C6317" s="752" t="s">
        <v>42547</v>
      </c>
      <c r="D6317" s="753" t="s">
        <v>42546</v>
      </c>
      <c r="E6317" s="752" t="s">
        <v>293</v>
      </c>
      <c r="F6317" s="751">
        <v>3875</v>
      </c>
    </row>
    <row r="6318" spans="1:6">
      <c r="A6318" s="753"/>
      <c r="B6318" s="753"/>
      <c r="C6318" s="752" t="s">
        <v>42545</v>
      </c>
      <c r="D6318" s="753" t="s">
        <v>42543</v>
      </c>
      <c r="E6318" s="752" t="s">
        <v>293</v>
      </c>
      <c r="F6318" s="751">
        <v>4515</v>
      </c>
    </row>
    <row r="6319" spans="1:6">
      <c r="A6319" s="753"/>
      <c r="B6319" s="753"/>
      <c r="C6319" s="752" t="s">
        <v>42544</v>
      </c>
      <c r="D6319" s="753" t="s">
        <v>42543</v>
      </c>
      <c r="E6319" s="752" t="s">
        <v>293</v>
      </c>
      <c r="F6319" s="751">
        <v>4465</v>
      </c>
    </row>
    <row r="6320" spans="1:6">
      <c r="A6320" s="753"/>
      <c r="B6320" s="753"/>
      <c r="C6320" s="752" t="s">
        <v>42542</v>
      </c>
      <c r="D6320" s="753" t="s">
        <v>42541</v>
      </c>
      <c r="E6320" s="752" t="s">
        <v>293</v>
      </c>
      <c r="F6320" s="751">
        <v>4565</v>
      </c>
    </row>
    <row r="6321" spans="1:6">
      <c r="A6321" s="753"/>
      <c r="B6321" s="753"/>
      <c r="C6321" s="752" t="s">
        <v>42540</v>
      </c>
      <c r="D6321" s="753" t="s">
        <v>42538</v>
      </c>
      <c r="E6321" s="752" t="s">
        <v>40728</v>
      </c>
      <c r="F6321" s="751">
        <v>2875</v>
      </c>
    </row>
    <row r="6322" spans="1:6">
      <c r="A6322" s="753"/>
      <c r="B6322" s="753"/>
      <c r="C6322" s="752" t="s">
        <v>42539</v>
      </c>
      <c r="D6322" s="753" t="s">
        <v>42538</v>
      </c>
      <c r="E6322" s="752" t="s">
        <v>38587</v>
      </c>
      <c r="F6322" s="751">
        <v>2725</v>
      </c>
    </row>
    <row r="6323" spans="1:6">
      <c r="A6323" s="753"/>
      <c r="B6323" s="753"/>
      <c r="C6323" s="752" t="s">
        <v>42537</v>
      </c>
      <c r="D6323" s="753" t="s">
        <v>42536</v>
      </c>
      <c r="E6323" s="752" t="s">
        <v>38587</v>
      </c>
      <c r="F6323" s="751">
        <v>3475</v>
      </c>
    </row>
    <row r="6324" spans="1:6">
      <c r="A6324" s="753"/>
      <c r="B6324" s="753"/>
      <c r="C6324" s="752" t="s">
        <v>42535</v>
      </c>
      <c r="D6324" s="753" t="s">
        <v>42534</v>
      </c>
      <c r="E6324" s="752" t="s">
        <v>38587</v>
      </c>
      <c r="F6324" s="751">
        <v>3475</v>
      </c>
    </row>
    <row r="6325" spans="1:6">
      <c r="A6325" s="753"/>
      <c r="B6325" s="753"/>
      <c r="C6325" s="752" t="s">
        <v>42533</v>
      </c>
      <c r="D6325" s="753" t="s">
        <v>42526</v>
      </c>
      <c r="E6325" s="752" t="s">
        <v>40728</v>
      </c>
      <c r="F6325" s="751">
        <v>2825</v>
      </c>
    </row>
    <row r="6326" spans="1:6">
      <c r="A6326" s="753"/>
      <c r="B6326" s="753"/>
      <c r="C6326" s="752" t="s">
        <v>42532</v>
      </c>
      <c r="D6326" s="753" t="s">
        <v>42526</v>
      </c>
      <c r="E6326" s="752" t="s">
        <v>40728</v>
      </c>
      <c r="F6326" s="751">
        <v>2825</v>
      </c>
    </row>
    <row r="6327" spans="1:6">
      <c r="A6327" s="753"/>
      <c r="B6327" s="753"/>
      <c r="C6327" s="752" t="s">
        <v>42531</v>
      </c>
      <c r="D6327" s="753" t="s">
        <v>42526</v>
      </c>
      <c r="E6327" s="752" t="s">
        <v>42530</v>
      </c>
      <c r="F6327" s="751">
        <v>3585</v>
      </c>
    </row>
    <row r="6328" spans="1:6">
      <c r="A6328" s="753"/>
      <c r="B6328" s="753"/>
      <c r="C6328" s="752" t="s">
        <v>42529</v>
      </c>
      <c r="D6328" s="753" t="s">
        <v>42514</v>
      </c>
      <c r="E6328" s="752" t="s">
        <v>38962</v>
      </c>
      <c r="F6328" s="751">
        <v>2325</v>
      </c>
    </row>
    <row r="6329" spans="1:6">
      <c r="A6329" s="753"/>
      <c r="B6329" s="753"/>
      <c r="C6329" s="752" t="s">
        <v>42528</v>
      </c>
      <c r="D6329" s="753" t="s">
        <v>42526</v>
      </c>
      <c r="E6329" s="752" t="s">
        <v>40728</v>
      </c>
      <c r="F6329" s="751">
        <v>2825</v>
      </c>
    </row>
    <row r="6330" spans="1:6">
      <c r="A6330" s="753"/>
      <c r="B6330" s="753"/>
      <c r="C6330" s="752" t="s">
        <v>42527</v>
      </c>
      <c r="D6330" s="753" t="s">
        <v>42526</v>
      </c>
      <c r="E6330" s="752" t="s">
        <v>38587</v>
      </c>
      <c r="F6330" s="751">
        <v>2725</v>
      </c>
    </row>
    <row r="6331" spans="1:6">
      <c r="A6331" s="753"/>
      <c r="B6331" s="753"/>
      <c r="C6331" s="752" t="s">
        <v>42525</v>
      </c>
      <c r="D6331" s="753" t="s">
        <v>42521</v>
      </c>
      <c r="E6331" s="752" t="s">
        <v>40728</v>
      </c>
      <c r="F6331" s="751">
        <v>3375</v>
      </c>
    </row>
    <row r="6332" spans="1:6">
      <c r="A6332" s="753"/>
      <c r="B6332" s="753"/>
      <c r="C6332" s="752" t="s">
        <v>42524</v>
      </c>
      <c r="D6332" s="753" t="s">
        <v>42521</v>
      </c>
      <c r="E6332" s="752" t="s">
        <v>40728</v>
      </c>
      <c r="F6332" s="751">
        <v>3375</v>
      </c>
    </row>
    <row r="6333" spans="1:6">
      <c r="A6333" s="753"/>
      <c r="B6333" s="753"/>
      <c r="C6333" s="752" t="s">
        <v>42523</v>
      </c>
      <c r="D6333" s="753" t="s">
        <v>42521</v>
      </c>
      <c r="E6333" s="752" t="s">
        <v>40728</v>
      </c>
      <c r="F6333" s="751">
        <v>3375</v>
      </c>
    </row>
    <row r="6334" spans="1:6">
      <c r="A6334" s="753"/>
      <c r="B6334" s="753"/>
      <c r="C6334" s="752" t="s">
        <v>42522</v>
      </c>
      <c r="D6334" s="753" t="s">
        <v>42521</v>
      </c>
      <c r="E6334" s="752" t="s">
        <v>38587</v>
      </c>
      <c r="F6334" s="751">
        <v>3375</v>
      </c>
    </row>
    <row r="6335" spans="1:6">
      <c r="A6335" s="753"/>
      <c r="B6335" s="753"/>
      <c r="C6335" s="752" t="s">
        <v>42520</v>
      </c>
      <c r="D6335" s="753" t="s">
        <v>42519</v>
      </c>
      <c r="E6335" s="752" t="s">
        <v>38587</v>
      </c>
      <c r="F6335" s="751">
        <v>3375</v>
      </c>
    </row>
    <row r="6336" spans="1:6">
      <c r="A6336" s="753"/>
      <c r="B6336" s="753"/>
      <c r="C6336" s="752" t="s">
        <v>42518</v>
      </c>
      <c r="D6336" s="753" t="s">
        <v>42514</v>
      </c>
      <c r="E6336" s="752" t="s">
        <v>40728</v>
      </c>
      <c r="F6336" s="751">
        <v>2625</v>
      </c>
    </row>
    <row r="6337" spans="1:6">
      <c r="A6337" s="753"/>
      <c r="B6337" s="753"/>
      <c r="C6337" s="752" t="s">
        <v>42517</v>
      </c>
      <c r="D6337" s="753" t="s">
        <v>42514</v>
      </c>
      <c r="E6337" s="752" t="s">
        <v>40728</v>
      </c>
      <c r="F6337" s="751">
        <v>2625</v>
      </c>
    </row>
    <row r="6338" spans="1:6">
      <c r="A6338" s="753"/>
      <c r="B6338" s="753"/>
      <c r="C6338" s="752" t="s">
        <v>42516</v>
      </c>
      <c r="D6338" s="753" t="s">
        <v>42514</v>
      </c>
      <c r="E6338" s="752" t="s">
        <v>293</v>
      </c>
      <c r="F6338" s="751">
        <v>2625</v>
      </c>
    </row>
    <row r="6339" spans="1:6">
      <c r="A6339" s="753"/>
      <c r="B6339" s="753"/>
      <c r="C6339" s="752" t="s">
        <v>42515</v>
      </c>
      <c r="D6339" s="753" t="s">
        <v>42514</v>
      </c>
      <c r="E6339" s="752" t="s">
        <v>38587</v>
      </c>
      <c r="F6339" s="751">
        <v>2725</v>
      </c>
    </row>
    <row r="6340" spans="1:6">
      <c r="A6340" s="753"/>
      <c r="B6340" s="753"/>
      <c r="C6340" s="752" t="s">
        <v>42513</v>
      </c>
      <c r="D6340" s="753" t="s">
        <v>42509</v>
      </c>
      <c r="E6340" s="752" t="s">
        <v>40728</v>
      </c>
      <c r="F6340" s="751">
        <v>3175</v>
      </c>
    </row>
    <row r="6341" spans="1:6">
      <c r="A6341" s="753"/>
      <c r="B6341" s="753"/>
      <c r="C6341" s="752" t="s">
        <v>42512</v>
      </c>
      <c r="D6341" s="753" t="s">
        <v>42509</v>
      </c>
      <c r="E6341" s="752" t="s">
        <v>40728</v>
      </c>
      <c r="F6341" s="751">
        <v>3175</v>
      </c>
    </row>
    <row r="6342" spans="1:6">
      <c r="A6342" s="753"/>
      <c r="B6342" s="753"/>
      <c r="C6342" s="752" t="s">
        <v>42511</v>
      </c>
      <c r="D6342" s="753" t="s">
        <v>42509</v>
      </c>
      <c r="E6342" s="752" t="s">
        <v>40728</v>
      </c>
      <c r="F6342" s="751">
        <v>3175</v>
      </c>
    </row>
    <row r="6343" spans="1:6">
      <c r="A6343" s="753"/>
      <c r="B6343" s="753"/>
      <c r="C6343" s="752" t="s">
        <v>42510</v>
      </c>
      <c r="D6343" s="753" t="s">
        <v>42509</v>
      </c>
      <c r="E6343" s="752" t="s">
        <v>38587</v>
      </c>
      <c r="F6343" s="751">
        <v>3175</v>
      </c>
    </row>
    <row r="6344" spans="1:6">
      <c r="A6344" s="753"/>
      <c r="B6344" s="753"/>
      <c r="C6344" s="752" t="s">
        <v>42508</v>
      </c>
      <c r="D6344" s="753" t="s">
        <v>42507</v>
      </c>
      <c r="E6344" s="752" t="s">
        <v>40728</v>
      </c>
      <c r="F6344" s="751">
        <v>3175</v>
      </c>
    </row>
    <row r="6345" spans="1:6">
      <c r="A6345" s="753"/>
      <c r="B6345" s="753"/>
      <c r="C6345" s="752" t="s">
        <v>42506</v>
      </c>
      <c r="D6345" s="753" t="s">
        <v>42505</v>
      </c>
      <c r="E6345" s="752" t="s">
        <v>38587</v>
      </c>
      <c r="F6345" s="751">
        <v>3175</v>
      </c>
    </row>
    <row r="6346" spans="1:6">
      <c r="A6346" s="753"/>
      <c r="B6346" s="753"/>
      <c r="C6346" s="752" t="s">
        <v>42504</v>
      </c>
      <c r="D6346" s="753" t="s">
        <v>42500</v>
      </c>
      <c r="E6346" s="752" t="s">
        <v>40728</v>
      </c>
      <c r="F6346" s="751">
        <v>2725</v>
      </c>
    </row>
    <row r="6347" spans="1:6">
      <c r="A6347" s="753"/>
      <c r="B6347" s="753"/>
      <c r="C6347" s="752" t="s">
        <v>42503</v>
      </c>
      <c r="D6347" s="753" t="s">
        <v>42502</v>
      </c>
      <c r="E6347" s="752" t="s">
        <v>38587</v>
      </c>
      <c r="F6347" s="751">
        <v>2725</v>
      </c>
    </row>
    <row r="6348" spans="1:6">
      <c r="A6348" s="753"/>
      <c r="B6348" s="753"/>
      <c r="C6348" s="752" t="s">
        <v>42501</v>
      </c>
      <c r="D6348" s="753" t="s">
        <v>42500</v>
      </c>
      <c r="E6348" s="752" t="s">
        <v>38587</v>
      </c>
      <c r="F6348" s="751">
        <v>3275</v>
      </c>
    </row>
    <row r="6349" spans="1:6">
      <c r="A6349" s="753"/>
      <c r="B6349" s="753"/>
      <c r="C6349" s="752" t="s">
        <v>42499</v>
      </c>
      <c r="D6349" s="753" t="s">
        <v>42497</v>
      </c>
      <c r="E6349" s="752" t="s">
        <v>40728</v>
      </c>
      <c r="F6349" s="751">
        <v>3375</v>
      </c>
    </row>
    <row r="6350" spans="1:6">
      <c r="A6350" s="753"/>
      <c r="B6350" s="753"/>
      <c r="C6350" s="752" t="s">
        <v>42498</v>
      </c>
      <c r="D6350" s="753" t="s">
        <v>42497</v>
      </c>
      <c r="E6350" s="752" t="s">
        <v>38587</v>
      </c>
      <c r="F6350" s="751">
        <v>3275</v>
      </c>
    </row>
    <row r="6351" spans="1:6">
      <c r="A6351" s="753"/>
      <c r="B6351" s="753"/>
      <c r="C6351" s="752" t="s">
        <v>42496</v>
      </c>
      <c r="D6351" s="753" t="s">
        <v>42495</v>
      </c>
      <c r="E6351" s="752" t="s">
        <v>38587</v>
      </c>
      <c r="F6351" s="751">
        <v>3275</v>
      </c>
    </row>
    <row r="6352" spans="1:6">
      <c r="A6352" s="753"/>
      <c r="B6352" s="753" t="s">
        <v>42494</v>
      </c>
      <c r="C6352" s="752" t="s">
        <v>42493</v>
      </c>
      <c r="D6352" s="753" t="s">
        <v>42492</v>
      </c>
      <c r="E6352" s="752" t="s">
        <v>42491</v>
      </c>
      <c r="F6352" s="751">
        <v>4620</v>
      </c>
    </row>
    <row r="6353" spans="1:6">
      <c r="A6353" s="753"/>
      <c r="B6353" s="753" t="s">
        <v>42490</v>
      </c>
      <c r="C6353" s="752" t="s">
        <v>42489</v>
      </c>
      <c r="D6353" s="753" t="s">
        <v>42488</v>
      </c>
      <c r="E6353" s="752" t="s">
        <v>42468</v>
      </c>
      <c r="F6353" s="751">
        <v>4720</v>
      </c>
    </row>
    <row r="6354" spans="1:6">
      <c r="A6354" s="753"/>
      <c r="B6354" s="753"/>
      <c r="C6354" s="752" t="s">
        <v>42487</v>
      </c>
      <c r="D6354" s="753" t="s">
        <v>42486</v>
      </c>
      <c r="E6354" s="752" t="s">
        <v>37895</v>
      </c>
      <c r="F6354" s="751">
        <v>2575</v>
      </c>
    </row>
    <row r="6355" spans="1:6">
      <c r="A6355" s="753"/>
      <c r="B6355" s="753"/>
      <c r="C6355" s="752" t="s">
        <v>42485</v>
      </c>
      <c r="D6355" s="753" t="s">
        <v>42481</v>
      </c>
      <c r="E6355" s="752" t="s">
        <v>293</v>
      </c>
      <c r="F6355" s="751">
        <v>1495</v>
      </c>
    </row>
    <row r="6356" spans="1:6">
      <c r="A6356" s="753"/>
      <c r="B6356" s="753"/>
      <c r="C6356" s="752" t="s">
        <v>42484</v>
      </c>
      <c r="D6356" s="753" t="s">
        <v>42481</v>
      </c>
      <c r="E6356" s="752" t="s">
        <v>293</v>
      </c>
      <c r="F6356" s="751">
        <v>1495</v>
      </c>
    </row>
    <row r="6357" spans="1:6">
      <c r="A6357" s="753"/>
      <c r="B6357" s="753"/>
      <c r="C6357" s="752" t="s">
        <v>42483</v>
      </c>
      <c r="D6357" s="753" t="s">
        <v>42481</v>
      </c>
      <c r="E6357" s="752" t="s">
        <v>42480</v>
      </c>
      <c r="F6357" s="751">
        <v>1795</v>
      </c>
    </row>
    <row r="6358" spans="1:6">
      <c r="A6358" s="753"/>
      <c r="B6358" s="753"/>
      <c r="C6358" s="752" t="s">
        <v>42482</v>
      </c>
      <c r="D6358" s="753" t="s">
        <v>42481</v>
      </c>
      <c r="E6358" s="752" t="s">
        <v>42480</v>
      </c>
      <c r="F6358" s="751">
        <v>1795</v>
      </c>
    </row>
    <row r="6359" spans="1:6">
      <c r="A6359" s="753"/>
      <c r="B6359" s="753"/>
      <c r="C6359" s="752" t="s">
        <v>42479</v>
      </c>
      <c r="D6359" s="753" t="s">
        <v>42478</v>
      </c>
      <c r="E6359" s="752" t="s">
        <v>42468</v>
      </c>
      <c r="F6359" s="751">
        <v>3925</v>
      </c>
    </row>
    <row r="6360" spans="1:6">
      <c r="A6360" s="753"/>
      <c r="B6360" s="753"/>
      <c r="C6360" s="752" t="s">
        <v>42477</v>
      </c>
      <c r="D6360" s="753" t="s">
        <v>42473</v>
      </c>
      <c r="E6360" s="752" t="s">
        <v>42465</v>
      </c>
      <c r="F6360" s="751">
        <v>4425</v>
      </c>
    </row>
    <row r="6361" spans="1:6">
      <c r="A6361" s="753"/>
      <c r="B6361" s="753"/>
      <c r="C6361" s="752" t="s">
        <v>42476</v>
      </c>
      <c r="D6361" s="753" t="s">
        <v>42473</v>
      </c>
      <c r="E6361" s="752" t="s">
        <v>42468</v>
      </c>
      <c r="F6361" s="751">
        <v>3725</v>
      </c>
    </row>
    <row r="6362" spans="1:6">
      <c r="A6362" s="753"/>
      <c r="B6362" s="753"/>
      <c r="C6362" s="752" t="s">
        <v>42475</v>
      </c>
      <c r="D6362" s="753" t="s">
        <v>42473</v>
      </c>
      <c r="E6362" s="752" t="s">
        <v>42468</v>
      </c>
      <c r="F6362" s="751">
        <v>3725</v>
      </c>
    </row>
    <row r="6363" spans="1:6">
      <c r="A6363" s="753"/>
      <c r="B6363" s="753"/>
      <c r="C6363" s="752" t="s">
        <v>42474</v>
      </c>
      <c r="D6363" s="753" t="s">
        <v>42473</v>
      </c>
      <c r="E6363" s="752" t="s">
        <v>42465</v>
      </c>
      <c r="F6363" s="751">
        <v>4425</v>
      </c>
    </row>
    <row r="6364" spans="1:6">
      <c r="A6364" s="753"/>
      <c r="B6364" s="753"/>
      <c r="C6364" s="752" t="s">
        <v>42472</v>
      </c>
      <c r="D6364" s="753" t="s">
        <v>42471</v>
      </c>
      <c r="E6364" s="752" t="s">
        <v>42465</v>
      </c>
      <c r="F6364" s="751">
        <v>4425</v>
      </c>
    </row>
    <row r="6365" spans="1:6">
      <c r="A6365" s="753"/>
      <c r="B6365" s="753"/>
      <c r="C6365" s="752" t="s">
        <v>42470</v>
      </c>
      <c r="D6365" s="753" t="s">
        <v>42469</v>
      </c>
      <c r="E6365" s="752" t="s">
        <v>42468</v>
      </c>
      <c r="F6365" s="751">
        <v>3725</v>
      </c>
    </row>
    <row r="6366" spans="1:6">
      <c r="A6366" s="753"/>
      <c r="B6366" s="753"/>
      <c r="C6366" s="752" t="s">
        <v>42467</v>
      </c>
      <c r="D6366" s="753" t="s">
        <v>42466</v>
      </c>
      <c r="E6366" s="752" t="s">
        <v>42465</v>
      </c>
      <c r="F6366" s="751">
        <v>4875</v>
      </c>
    </row>
    <row r="6367" spans="1:6">
      <c r="A6367" s="753"/>
      <c r="B6367" s="753" t="s">
        <v>42464</v>
      </c>
      <c r="C6367" s="752" t="s">
        <v>42463</v>
      </c>
      <c r="D6367" s="753" t="s">
        <v>42462</v>
      </c>
      <c r="E6367" s="752" t="s">
        <v>293</v>
      </c>
      <c r="F6367" s="751">
        <v>2925</v>
      </c>
    </row>
    <row r="6368" spans="1:6">
      <c r="A6368" s="753"/>
      <c r="B6368" s="753"/>
      <c r="C6368" s="752" t="s">
        <v>42461</v>
      </c>
      <c r="D6368" s="753" t="s">
        <v>42460</v>
      </c>
      <c r="E6368" s="752" t="s">
        <v>293</v>
      </c>
      <c r="F6368" s="751">
        <v>2375</v>
      </c>
    </row>
    <row r="6369" spans="1:6">
      <c r="A6369" s="753"/>
      <c r="B6369" s="753"/>
      <c r="C6369" s="752" t="s">
        <v>42459</v>
      </c>
      <c r="D6369" s="753" t="s">
        <v>42458</v>
      </c>
      <c r="E6369" s="752" t="s">
        <v>293</v>
      </c>
      <c r="F6369" s="751">
        <v>2475</v>
      </c>
    </row>
    <row r="6370" spans="1:6">
      <c r="A6370" s="753"/>
      <c r="B6370" s="753"/>
      <c r="C6370" s="752" t="s">
        <v>42457</v>
      </c>
      <c r="D6370" s="753" t="s">
        <v>42456</v>
      </c>
      <c r="E6370" s="752" t="s">
        <v>293</v>
      </c>
      <c r="F6370" s="751">
        <v>3125</v>
      </c>
    </row>
    <row r="6371" spans="1:6">
      <c r="A6371" s="753"/>
      <c r="B6371" s="753"/>
      <c r="C6371" s="752" t="s">
        <v>42455</v>
      </c>
      <c r="D6371" s="753" t="s">
        <v>42454</v>
      </c>
      <c r="E6371" s="752" t="s">
        <v>293</v>
      </c>
      <c r="F6371" s="751">
        <v>3025</v>
      </c>
    </row>
    <row r="6372" spans="1:6">
      <c r="A6372" s="753"/>
      <c r="B6372" s="753"/>
      <c r="C6372" s="752" t="s">
        <v>42453</v>
      </c>
      <c r="D6372" s="753" t="s">
        <v>42452</v>
      </c>
      <c r="E6372" s="752" t="s">
        <v>293</v>
      </c>
      <c r="F6372" s="751">
        <v>2575</v>
      </c>
    </row>
    <row r="6373" spans="1:6">
      <c r="A6373" s="753" t="s">
        <v>7599</v>
      </c>
      <c r="B6373" s="753" t="s">
        <v>42451</v>
      </c>
      <c r="C6373" s="752" t="s">
        <v>42450</v>
      </c>
      <c r="D6373" s="753" t="s">
        <v>42449</v>
      </c>
      <c r="E6373" s="752" t="s">
        <v>293</v>
      </c>
      <c r="F6373" s="751">
        <v>4555</v>
      </c>
    </row>
    <row r="6374" spans="1:6">
      <c r="A6374" s="753"/>
      <c r="B6374" s="753"/>
      <c r="C6374" s="752" t="s">
        <v>42448</v>
      </c>
      <c r="D6374" s="753" t="s">
        <v>42447</v>
      </c>
      <c r="E6374" s="752" t="s">
        <v>42446</v>
      </c>
      <c r="F6374" s="751">
        <v>3875</v>
      </c>
    </row>
    <row r="6375" spans="1:6">
      <c r="A6375" s="753"/>
      <c r="B6375" s="753"/>
      <c r="C6375" s="752" t="s">
        <v>42445</v>
      </c>
      <c r="D6375" s="753" t="s">
        <v>42440</v>
      </c>
      <c r="E6375" s="752" t="s">
        <v>42406</v>
      </c>
      <c r="F6375" s="751">
        <v>2825</v>
      </c>
    </row>
    <row r="6376" spans="1:6">
      <c r="A6376" s="753"/>
      <c r="B6376" s="753"/>
      <c r="C6376" s="752" t="s">
        <v>42444</v>
      </c>
      <c r="D6376" s="753" t="s">
        <v>42440</v>
      </c>
      <c r="E6376" s="752" t="s">
        <v>42420</v>
      </c>
      <c r="F6376" s="751">
        <v>2825</v>
      </c>
    </row>
    <row r="6377" spans="1:6">
      <c r="A6377" s="753"/>
      <c r="B6377" s="753"/>
      <c r="C6377" s="752" t="s">
        <v>42443</v>
      </c>
      <c r="D6377" s="753" t="s">
        <v>42440</v>
      </c>
      <c r="E6377" s="752" t="s">
        <v>42417</v>
      </c>
      <c r="F6377" s="751">
        <v>3225</v>
      </c>
    </row>
    <row r="6378" spans="1:6">
      <c r="A6378" s="753"/>
      <c r="B6378" s="753"/>
      <c r="C6378" s="752" t="s">
        <v>42442</v>
      </c>
      <c r="D6378" s="753" t="s">
        <v>42440</v>
      </c>
      <c r="E6378" s="752" t="s">
        <v>42411</v>
      </c>
      <c r="F6378" s="751">
        <v>2825</v>
      </c>
    </row>
    <row r="6379" spans="1:6">
      <c r="A6379" s="753"/>
      <c r="B6379" s="753"/>
      <c r="C6379" s="752" t="s">
        <v>42441</v>
      </c>
      <c r="D6379" s="753" t="s">
        <v>42440</v>
      </c>
      <c r="E6379" s="752" t="s">
        <v>42406</v>
      </c>
      <c r="F6379" s="751">
        <v>3585</v>
      </c>
    </row>
    <row r="6380" spans="1:6">
      <c r="A6380" s="753"/>
      <c r="B6380" s="753"/>
      <c r="C6380" s="752" t="s">
        <v>42439</v>
      </c>
      <c r="D6380" s="753" t="s">
        <v>42437</v>
      </c>
      <c r="E6380" s="752" t="s">
        <v>42417</v>
      </c>
      <c r="F6380" s="751">
        <v>3675</v>
      </c>
    </row>
    <row r="6381" spans="1:6">
      <c r="A6381" s="753"/>
      <c r="B6381" s="753"/>
      <c r="C6381" s="752" t="s">
        <v>42438</v>
      </c>
      <c r="D6381" s="753" t="s">
        <v>42437</v>
      </c>
      <c r="E6381" s="752" t="s">
        <v>293</v>
      </c>
      <c r="F6381" s="751">
        <v>3375</v>
      </c>
    </row>
    <row r="6382" spans="1:6">
      <c r="A6382" s="753"/>
      <c r="B6382" s="753"/>
      <c r="C6382" s="752" t="s">
        <v>42436</v>
      </c>
      <c r="D6382" s="753" t="s">
        <v>42432</v>
      </c>
      <c r="E6382" s="752" t="s">
        <v>42406</v>
      </c>
      <c r="F6382" s="751">
        <v>3375</v>
      </c>
    </row>
    <row r="6383" spans="1:6">
      <c r="A6383" s="753"/>
      <c r="B6383" s="753"/>
      <c r="C6383" s="752" t="s">
        <v>42435</v>
      </c>
      <c r="D6383" s="753" t="s">
        <v>42434</v>
      </c>
      <c r="E6383" s="752" t="s">
        <v>42417</v>
      </c>
      <c r="F6383" s="751">
        <v>3675</v>
      </c>
    </row>
    <row r="6384" spans="1:6">
      <c r="A6384" s="753"/>
      <c r="B6384" s="753"/>
      <c r="C6384" s="752" t="s">
        <v>42433</v>
      </c>
      <c r="D6384" s="753" t="s">
        <v>42432</v>
      </c>
      <c r="E6384" s="752" t="s">
        <v>42411</v>
      </c>
      <c r="F6384" s="751">
        <v>3375</v>
      </c>
    </row>
    <row r="6385" spans="1:6">
      <c r="A6385" s="753"/>
      <c r="B6385" s="753"/>
      <c r="C6385" s="752" t="s">
        <v>42431</v>
      </c>
      <c r="D6385" s="753" t="s">
        <v>42422</v>
      </c>
      <c r="E6385" s="752" t="s">
        <v>42406</v>
      </c>
      <c r="F6385" s="751">
        <v>2625</v>
      </c>
    </row>
    <row r="6386" spans="1:6">
      <c r="A6386" s="753"/>
      <c r="B6386" s="753"/>
      <c r="C6386" s="752" t="s">
        <v>42430</v>
      </c>
      <c r="D6386" s="753" t="s">
        <v>42422</v>
      </c>
      <c r="E6386" s="752" t="s">
        <v>42420</v>
      </c>
      <c r="F6386" s="751">
        <v>2625</v>
      </c>
    </row>
    <row r="6387" spans="1:6">
      <c r="A6387" s="753"/>
      <c r="B6387" s="753"/>
      <c r="C6387" s="752" t="s">
        <v>42429</v>
      </c>
      <c r="D6387" s="753" t="s">
        <v>42428</v>
      </c>
      <c r="E6387" s="752" t="s">
        <v>42427</v>
      </c>
      <c r="F6387" s="751">
        <v>2575</v>
      </c>
    </row>
    <row r="6388" spans="1:6">
      <c r="A6388" s="753"/>
      <c r="B6388" s="753"/>
      <c r="C6388" s="752" t="s">
        <v>42426</v>
      </c>
      <c r="D6388" s="753" t="s">
        <v>42422</v>
      </c>
      <c r="E6388" s="752" t="s">
        <v>42417</v>
      </c>
      <c r="F6388" s="751">
        <v>3025</v>
      </c>
    </row>
    <row r="6389" spans="1:6">
      <c r="A6389" s="753"/>
      <c r="B6389" s="753"/>
      <c r="C6389" s="752" t="s">
        <v>42425</v>
      </c>
      <c r="D6389" s="753" t="s">
        <v>42424</v>
      </c>
      <c r="E6389" s="752" t="s">
        <v>42406</v>
      </c>
      <c r="F6389" s="751">
        <v>3385</v>
      </c>
    </row>
    <row r="6390" spans="1:6">
      <c r="A6390" s="753"/>
      <c r="B6390" s="753"/>
      <c r="C6390" s="752" t="s">
        <v>42423</v>
      </c>
      <c r="D6390" s="753" t="s">
        <v>42422</v>
      </c>
      <c r="E6390" s="752" t="s">
        <v>42411</v>
      </c>
      <c r="F6390" s="751">
        <v>2625</v>
      </c>
    </row>
    <row r="6391" spans="1:6">
      <c r="A6391" s="753"/>
      <c r="B6391" s="753"/>
      <c r="C6391" s="752" t="s">
        <v>42421</v>
      </c>
      <c r="D6391" s="753" t="s">
        <v>42414</v>
      </c>
      <c r="E6391" s="752" t="s">
        <v>42420</v>
      </c>
      <c r="F6391" s="751">
        <v>3175</v>
      </c>
    </row>
    <row r="6392" spans="1:6">
      <c r="A6392" s="753"/>
      <c r="B6392" s="753"/>
      <c r="C6392" s="752" t="s">
        <v>42419</v>
      </c>
      <c r="D6392" s="753" t="s">
        <v>42414</v>
      </c>
      <c r="E6392" s="752" t="s">
        <v>38919</v>
      </c>
      <c r="F6392" s="751">
        <v>3935</v>
      </c>
    </row>
    <row r="6393" spans="1:6">
      <c r="A6393" s="753"/>
      <c r="B6393" s="753"/>
      <c r="C6393" s="752" t="s">
        <v>42418</v>
      </c>
      <c r="D6393" s="753" t="s">
        <v>42414</v>
      </c>
      <c r="E6393" s="752" t="s">
        <v>42417</v>
      </c>
      <c r="F6393" s="751">
        <v>3475</v>
      </c>
    </row>
    <row r="6394" spans="1:6">
      <c r="A6394" s="753"/>
      <c r="B6394" s="753"/>
      <c r="C6394" s="752" t="s">
        <v>42416</v>
      </c>
      <c r="D6394" s="753" t="s">
        <v>42414</v>
      </c>
      <c r="E6394" s="752" t="s">
        <v>42406</v>
      </c>
      <c r="F6394" s="751">
        <v>3935</v>
      </c>
    </row>
    <row r="6395" spans="1:6">
      <c r="A6395" s="753"/>
      <c r="B6395" s="753"/>
      <c r="C6395" s="752" t="s">
        <v>42415</v>
      </c>
      <c r="D6395" s="753" t="s">
        <v>42414</v>
      </c>
      <c r="E6395" s="752" t="s">
        <v>42411</v>
      </c>
      <c r="F6395" s="751">
        <v>3175</v>
      </c>
    </row>
    <row r="6396" spans="1:6">
      <c r="A6396" s="753"/>
      <c r="B6396" s="753"/>
      <c r="C6396" s="752" t="s">
        <v>42413</v>
      </c>
      <c r="D6396" s="753" t="s">
        <v>42409</v>
      </c>
      <c r="E6396" s="752" t="s">
        <v>42406</v>
      </c>
      <c r="F6396" s="751">
        <v>3175</v>
      </c>
    </row>
    <row r="6397" spans="1:6">
      <c r="A6397" s="753"/>
      <c r="B6397" s="753"/>
      <c r="C6397" s="752" t="s">
        <v>42412</v>
      </c>
      <c r="D6397" s="753" t="s">
        <v>42409</v>
      </c>
      <c r="E6397" s="752" t="s">
        <v>42411</v>
      </c>
      <c r="F6397" s="751">
        <v>3175</v>
      </c>
    </row>
    <row r="6398" spans="1:6">
      <c r="A6398" s="753"/>
      <c r="B6398" s="753"/>
      <c r="C6398" s="752" t="s">
        <v>42410</v>
      </c>
      <c r="D6398" s="753" t="s">
        <v>42409</v>
      </c>
      <c r="E6398" s="752" t="s">
        <v>42408</v>
      </c>
      <c r="F6398" s="751">
        <v>3935</v>
      </c>
    </row>
    <row r="6399" spans="1:6">
      <c r="A6399" s="753"/>
      <c r="B6399" s="753"/>
      <c r="C6399" s="752" t="s">
        <v>42407</v>
      </c>
      <c r="D6399" s="753" t="s">
        <v>42404</v>
      </c>
      <c r="E6399" s="752" t="s">
        <v>42406</v>
      </c>
      <c r="F6399" s="751">
        <v>2725</v>
      </c>
    </row>
    <row r="6400" spans="1:6">
      <c r="A6400" s="753"/>
      <c r="B6400" s="753"/>
      <c r="C6400" s="752" t="s">
        <v>42405</v>
      </c>
      <c r="D6400" s="753" t="s">
        <v>42404</v>
      </c>
      <c r="E6400" s="752" t="s">
        <v>42403</v>
      </c>
      <c r="F6400" s="751">
        <v>3575</v>
      </c>
    </row>
    <row r="6401" spans="1:6">
      <c r="A6401" s="753"/>
      <c r="B6401" s="753"/>
      <c r="C6401" s="752" t="s">
        <v>42402</v>
      </c>
      <c r="D6401" s="753" t="s">
        <v>42401</v>
      </c>
      <c r="E6401" s="752" t="s">
        <v>37794</v>
      </c>
      <c r="F6401" s="751">
        <v>4035</v>
      </c>
    </row>
    <row r="6402" spans="1:6">
      <c r="A6402" s="753"/>
      <c r="B6402" s="753" t="s">
        <v>42400</v>
      </c>
      <c r="C6402" s="752" t="s">
        <v>42399</v>
      </c>
      <c r="D6402" s="753" t="s">
        <v>42398</v>
      </c>
      <c r="E6402" s="752" t="s">
        <v>42367</v>
      </c>
      <c r="F6402" s="751">
        <v>3965</v>
      </c>
    </row>
    <row r="6403" spans="1:6">
      <c r="A6403" s="753"/>
      <c r="B6403" s="753"/>
      <c r="C6403" s="752" t="s">
        <v>42397</v>
      </c>
      <c r="D6403" s="753" t="s">
        <v>42396</v>
      </c>
      <c r="E6403" s="752" t="s">
        <v>293</v>
      </c>
      <c r="F6403" s="751">
        <v>3625</v>
      </c>
    </row>
    <row r="6404" spans="1:6">
      <c r="A6404" s="753"/>
      <c r="B6404" s="753"/>
      <c r="C6404" s="752" t="s">
        <v>42395</v>
      </c>
      <c r="D6404" s="753" t="s">
        <v>42394</v>
      </c>
      <c r="E6404" s="752" t="s">
        <v>293</v>
      </c>
      <c r="F6404" s="751">
        <v>5195</v>
      </c>
    </row>
    <row r="6405" spans="1:6">
      <c r="A6405" s="753"/>
      <c r="B6405" s="753"/>
      <c r="C6405" s="752" t="s">
        <v>42393</v>
      </c>
      <c r="D6405" s="753" t="s">
        <v>42392</v>
      </c>
      <c r="E6405" s="752" t="s">
        <v>293</v>
      </c>
      <c r="F6405" s="751">
        <v>5495</v>
      </c>
    </row>
    <row r="6406" spans="1:6">
      <c r="A6406" s="753"/>
      <c r="B6406" s="753"/>
      <c r="C6406" s="752" t="s">
        <v>42391</v>
      </c>
      <c r="D6406" s="753" t="s">
        <v>42389</v>
      </c>
      <c r="E6406" s="752" t="s">
        <v>42367</v>
      </c>
      <c r="F6406" s="751">
        <v>2575</v>
      </c>
    </row>
    <row r="6407" spans="1:6">
      <c r="A6407" s="753"/>
      <c r="B6407" s="753"/>
      <c r="C6407" s="752" t="s">
        <v>42390</v>
      </c>
      <c r="D6407" s="753" t="s">
        <v>42389</v>
      </c>
      <c r="E6407" s="752" t="s">
        <v>42376</v>
      </c>
      <c r="F6407" s="751">
        <v>2875</v>
      </c>
    </row>
    <row r="6408" spans="1:6">
      <c r="A6408" s="753"/>
      <c r="B6408" s="753"/>
      <c r="C6408" s="752" t="s">
        <v>42388</v>
      </c>
      <c r="D6408" s="753" t="s">
        <v>42386</v>
      </c>
      <c r="E6408" s="752" t="s">
        <v>42367</v>
      </c>
      <c r="F6408" s="751">
        <v>3125</v>
      </c>
    </row>
    <row r="6409" spans="1:6">
      <c r="A6409" s="753"/>
      <c r="B6409" s="753"/>
      <c r="C6409" s="752" t="s">
        <v>42387</v>
      </c>
      <c r="D6409" s="753" t="s">
        <v>42386</v>
      </c>
      <c r="E6409" s="752" t="s">
        <v>42376</v>
      </c>
      <c r="F6409" s="751">
        <v>3325</v>
      </c>
    </row>
    <row r="6410" spans="1:6">
      <c r="A6410" s="753"/>
      <c r="B6410" s="753"/>
      <c r="C6410" s="752" t="s">
        <v>42385</v>
      </c>
      <c r="D6410" s="753" t="s">
        <v>42383</v>
      </c>
      <c r="E6410" s="752" t="s">
        <v>42367</v>
      </c>
      <c r="F6410" s="751">
        <v>2625</v>
      </c>
    </row>
    <row r="6411" spans="1:6">
      <c r="A6411" s="753"/>
      <c r="B6411" s="753"/>
      <c r="C6411" s="752" t="s">
        <v>42384</v>
      </c>
      <c r="D6411" s="753" t="s">
        <v>42383</v>
      </c>
      <c r="E6411" s="752" t="s">
        <v>42382</v>
      </c>
      <c r="F6411" s="751">
        <v>3025</v>
      </c>
    </row>
    <row r="6412" spans="1:6">
      <c r="A6412" s="753"/>
      <c r="B6412" s="753"/>
      <c r="C6412" s="752" t="s">
        <v>42381</v>
      </c>
      <c r="D6412" s="753" t="s">
        <v>42377</v>
      </c>
      <c r="E6412" s="752" t="s">
        <v>42367</v>
      </c>
      <c r="F6412" s="751">
        <v>3175</v>
      </c>
    </row>
    <row r="6413" spans="1:6">
      <c r="A6413" s="753"/>
      <c r="B6413" s="753"/>
      <c r="C6413" s="752" t="s">
        <v>42380</v>
      </c>
      <c r="D6413" s="753" t="s">
        <v>42377</v>
      </c>
      <c r="E6413" s="752" t="s">
        <v>42379</v>
      </c>
      <c r="F6413" s="751">
        <v>3685</v>
      </c>
    </row>
    <row r="6414" spans="1:6">
      <c r="A6414" s="753"/>
      <c r="B6414" s="753"/>
      <c r="C6414" s="752" t="s">
        <v>42378</v>
      </c>
      <c r="D6414" s="753" t="s">
        <v>42377</v>
      </c>
      <c r="E6414" s="752" t="s">
        <v>42376</v>
      </c>
      <c r="F6414" s="751">
        <v>3125</v>
      </c>
    </row>
    <row r="6415" spans="1:6">
      <c r="A6415" s="753"/>
      <c r="B6415" s="753"/>
      <c r="C6415" s="752" t="s">
        <v>42375</v>
      </c>
      <c r="D6415" s="753" t="s">
        <v>42374</v>
      </c>
      <c r="E6415" s="752" t="s">
        <v>42367</v>
      </c>
      <c r="F6415" s="751">
        <v>3175</v>
      </c>
    </row>
    <row r="6416" spans="1:6">
      <c r="A6416" s="753"/>
      <c r="B6416" s="753"/>
      <c r="C6416" s="752" t="s">
        <v>42373</v>
      </c>
      <c r="D6416" s="753" t="s">
        <v>42371</v>
      </c>
      <c r="E6416" s="752" t="s">
        <v>42367</v>
      </c>
      <c r="F6416" s="751">
        <v>2725</v>
      </c>
    </row>
    <row r="6417" spans="1:6">
      <c r="A6417" s="753"/>
      <c r="B6417" s="753"/>
      <c r="C6417" s="752" t="s">
        <v>42372</v>
      </c>
      <c r="D6417" s="753" t="s">
        <v>42371</v>
      </c>
      <c r="E6417" s="752" t="s">
        <v>42370</v>
      </c>
      <c r="F6417" s="751">
        <v>3235</v>
      </c>
    </row>
    <row r="6418" spans="1:6">
      <c r="A6418" s="753"/>
      <c r="B6418" s="753"/>
      <c r="C6418" s="752" t="s">
        <v>42369</v>
      </c>
      <c r="D6418" s="753" t="s">
        <v>42368</v>
      </c>
      <c r="E6418" s="752" t="s">
        <v>42367</v>
      </c>
      <c r="F6418" s="751">
        <v>3275</v>
      </c>
    </row>
    <row r="6419" spans="1:6">
      <c r="A6419" s="753"/>
      <c r="B6419" s="753" t="s">
        <v>42366</v>
      </c>
      <c r="C6419" s="752" t="s">
        <v>42365</v>
      </c>
      <c r="D6419" s="753" t="s">
        <v>42363</v>
      </c>
      <c r="E6419" s="752" t="s">
        <v>293</v>
      </c>
      <c r="F6419" s="751">
        <v>2575</v>
      </c>
    </row>
    <row r="6420" spans="1:6">
      <c r="A6420" s="753"/>
      <c r="B6420" s="753"/>
      <c r="C6420" s="752" t="s">
        <v>42364</v>
      </c>
      <c r="D6420" s="753" t="s">
        <v>42363</v>
      </c>
      <c r="E6420" s="752" t="s">
        <v>38342</v>
      </c>
      <c r="F6420" s="751">
        <v>3275</v>
      </c>
    </row>
    <row r="6421" spans="1:6">
      <c r="A6421" s="753"/>
      <c r="B6421" s="753"/>
      <c r="C6421" s="752" t="s">
        <v>42362</v>
      </c>
      <c r="D6421" s="753" t="s">
        <v>42360</v>
      </c>
      <c r="E6421" s="752" t="s">
        <v>293</v>
      </c>
      <c r="F6421" s="751">
        <v>2375</v>
      </c>
    </row>
    <row r="6422" spans="1:6">
      <c r="A6422" s="753"/>
      <c r="B6422" s="753"/>
      <c r="C6422" s="752" t="s">
        <v>42361</v>
      </c>
      <c r="D6422" s="753" t="s">
        <v>42360</v>
      </c>
      <c r="E6422" s="752" t="s">
        <v>38342</v>
      </c>
      <c r="F6422" s="751">
        <v>3175</v>
      </c>
    </row>
    <row r="6423" spans="1:6">
      <c r="A6423" s="753"/>
      <c r="B6423" s="753"/>
      <c r="C6423" s="752" t="s">
        <v>42359</v>
      </c>
      <c r="D6423" s="753" t="s">
        <v>42358</v>
      </c>
      <c r="E6423" s="752" t="s">
        <v>293</v>
      </c>
      <c r="F6423" s="751">
        <v>2925</v>
      </c>
    </row>
    <row r="6424" spans="1:6">
      <c r="A6424" s="753"/>
      <c r="B6424" s="753"/>
      <c r="C6424" s="752" t="s">
        <v>42357</v>
      </c>
      <c r="D6424" s="753" t="s">
        <v>42356</v>
      </c>
      <c r="E6424" s="752" t="s">
        <v>293</v>
      </c>
      <c r="F6424" s="751">
        <v>2925</v>
      </c>
    </row>
    <row r="6425" spans="1:6">
      <c r="A6425" s="753"/>
      <c r="B6425" s="753"/>
      <c r="C6425" s="752" t="s">
        <v>42355</v>
      </c>
      <c r="D6425" s="753" t="s">
        <v>42354</v>
      </c>
      <c r="E6425" s="752" t="s">
        <v>38670</v>
      </c>
      <c r="F6425" s="751">
        <v>3785</v>
      </c>
    </row>
    <row r="6426" spans="1:6">
      <c r="A6426" s="753"/>
      <c r="B6426" s="753" t="s">
        <v>42353</v>
      </c>
      <c r="C6426" s="752" t="s">
        <v>42352</v>
      </c>
      <c r="D6426" s="753" t="s">
        <v>42351</v>
      </c>
      <c r="E6426" s="752" t="s">
        <v>42350</v>
      </c>
      <c r="F6426" s="751">
        <v>5025</v>
      </c>
    </row>
    <row r="6427" spans="1:6">
      <c r="A6427" s="753"/>
      <c r="B6427" s="753"/>
      <c r="C6427" s="752" t="s">
        <v>42349</v>
      </c>
      <c r="D6427" s="753" t="s">
        <v>42347</v>
      </c>
      <c r="E6427" s="752" t="s">
        <v>293</v>
      </c>
      <c r="F6427" s="751">
        <v>2575</v>
      </c>
    </row>
    <row r="6428" spans="1:6">
      <c r="A6428" s="753"/>
      <c r="B6428" s="753"/>
      <c r="C6428" s="752" t="s">
        <v>42348</v>
      </c>
      <c r="D6428" s="753" t="s">
        <v>42347</v>
      </c>
      <c r="E6428" s="752" t="s">
        <v>38577</v>
      </c>
      <c r="F6428" s="751">
        <v>3335</v>
      </c>
    </row>
    <row r="6429" spans="1:6">
      <c r="A6429" s="753"/>
      <c r="B6429" s="753"/>
      <c r="C6429" s="752" t="s">
        <v>42346</v>
      </c>
      <c r="D6429" s="753" t="s">
        <v>42321</v>
      </c>
      <c r="E6429" s="752" t="s">
        <v>293</v>
      </c>
      <c r="F6429" s="751">
        <v>3125</v>
      </c>
    </row>
    <row r="6430" spans="1:6">
      <c r="A6430" s="753"/>
      <c r="B6430" s="753"/>
      <c r="C6430" s="752" t="s">
        <v>42345</v>
      </c>
      <c r="D6430" s="753" t="s">
        <v>42321</v>
      </c>
      <c r="E6430" s="752" t="s">
        <v>39923</v>
      </c>
      <c r="F6430" s="751">
        <v>3325</v>
      </c>
    </row>
    <row r="6431" spans="1:6">
      <c r="A6431" s="753"/>
      <c r="B6431" s="753"/>
      <c r="C6431" s="752" t="s">
        <v>42344</v>
      </c>
      <c r="D6431" s="753" t="s">
        <v>42343</v>
      </c>
      <c r="E6431" s="752" t="s">
        <v>293</v>
      </c>
      <c r="F6431" s="751">
        <v>3125</v>
      </c>
    </row>
    <row r="6432" spans="1:6">
      <c r="A6432" s="753"/>
      <c r="B6432" s="753"/>
      <c r="C6432" s="752" t="s">
        <v>42342</v>
      </c>
      <c r="D6432" s="753" t="s">
        <v>42340</v>
      </c>
      <c r="E6432" s="752" t="s">
        <v>293</v>
      </c>
      <c r="F6432" s="751">
        <v>2375</v>
      </c>
    </row>
    <row r="6433" spans="1:6">
      <c r="A6433" s="753"/>
      <c r="B6433" s="753"/>
      <c r="C6433" s="752" t="s">
        <v>42341</v>
      </c>
      <c r="D6433" s="753" t="s">
        <v>42340</v>
      </c>
      <c r="E6433" s="752" t="s">
        <v>39028</v>
      </c>
      <c r="F6433" s="751">
        <v>3135</v>
      </c>
    </row>
    <row r="6434" spans="1:6">
      <c r="A6434" s="753"/>
      <c r="B6434" s="753"/>
      <c r="C6434" s="752" t="s">
        <v>42339</v>
      </c>
      <c r="D6434" s="753" t="s">
        <v>42337</v>
      </c>
      <c r="E6434" s="752" t="s">
        <v>293</v>
      </c>
      <c r="F6434" s="751">
        <v>2925</v>
      </c>
    </row>
    <row r="6435" spans="1:6">
      <c r="A6435" s="753"/>
      <c r="B6435" s="753"/>
      <c r="C6435" s="752" t="s">
        <v>42338</v>
      </c>
      <c r="D6435" s="753" t="s">
        <v>42337</v>
      </c>
      <c r="E6435" s="752" t="s">
        <v>38919</v>
      </c>
      <c r="F6435" s="751">
        <v>3685</v>
      </c>
    </row>
    <row r="6436" spans="1:6">
      <c r="A6436" s="753"/>
      <c r="B6436" s="753"/>
      <c r="C6436" s="752" t="s">
        <v>42336</v>
      </c>
      <c r="D6436" s="753" t="s">
        <v>42335</v>
      </c>
      <c r="E6436" s="752" t="s">
        <v>293</v>
      </c>
      <c r="F6436" s="751">
        <v>2925</v>
      </c>
    </row>
    <row r="6437" spans="1:6">
      <c r="A6437" s="753"/>
      <c r="B6437" s="753"/>
      <c r="C6437" s="752" t="s">
        <v>42334</v>
      </c>
      <c r="D6437" s="753" t="s">
        <v>42333</v>
      </c>
      <c r="E6437" s="752" t="s">
        <v>293</v>
      </c>
      <c r="F6437" s="751">
        <v>2475</v>
      </c>
    </row>
    <row r="6438" spans="1:6">
      <c r="A6438" s="753"/>
      <c r="B6438" s="753"/>
      <c r="C6438" s="752" t="s">
        <v>42332</v>
      </c>
      <c r="D6438" s="753" t="s">
        <v>42331</v>
      </c>
      <c r="E6438" s="752" t="s">
        <v>293</v>
      </c>
      <c r="F6438" s="751">
        <v>3025</v>
      </c>
    </row>
    <row r="6439" spans="1:6">
      <c r="A6439" s="753"/>
      <c r="B6439" s="753"/>
      <c r="C6439" s="752" t="s">
        <v>42330</v>
      </c>
      <c r="D6439" s="753" t="s">
        <v>42329</v>
      </c>
      <c r="E6439" s="752" t="s">
        <v>293</v>
      </c>
      <c r="F6439" s="751">
        <v>2949</v>
      </c>
    </row>
    <row r="6440" spans="1:6">
      <c r="A6440" s="753"/>
      <c r="B6440" s="753" t="s">
        <v>42328</v>
      </c>
      <c r="C6440" s="752" t="s">
        <v>42327</v>
      </c>
      <c r="D6440" s="753" t="s">
        <v>42326</v>
      </c>
      <c r="E6440" s="752" t="s">
        <v>42325</v>
      </c>
      <c r="F6440" s="751">
        <v>3125</v>
      </c>
    </row>
    <row r="6441" spans="1:6">
      <c r="A6441" s="753"/>
      <c r="B6441" s="753"/>
      <c r="C6441" s="752" t="s">
        <v>42324</v>
      </c>
      <c r="D6441" s="753" t="s">
        <v>42323</v>
      </c>
      <c r="E6441" s="752" t="s">
        <v>293</v>
      </c>
      <c r="F6441" s="751">
        <v>3625</v>
      </c>
    </row>
    <row r="6442" spans="1:6">
      <c r="A6442" s="753"/>
      <c r="B6442" s="753"/>
      <c r="C6442" s="752" t="s">
        <v>42322</v>
      </c>
      <c r="D6442" s="753" t="s">
        <v>42321</v>
      </c>
      <c r="E6442" s="752" t="s">
        <v>39923</v>
      </c>
      <c r="F6442" s="751">
        <v>4625</v>
      </c>
    </row>
    <row r="6443" spans="1:6">
      <c r="A6443" s="753"/>
      <c r="B6443" s="753"/>
      <c r="C6443" s="752" t="s">
        <v>42320</v>
      </c>
      <c r="D6443" s="753" t="s">
        <v>42319</v>
      </c>
      <c r="E6443" s="752" t="s">
        <v>293</v>
      </c>
      <c r="F6443" s="751">
        <v>3425</v>
      </c>
    </row>
    <row r="6444" spans="1:6">
      <c r="A6444" s="753"/>
      <c r="B6444" s="753"/>
      <c r="C6444" s="752" t="s">
        <v>42318</v>
      </c>
      <c r="D6444" s="753" t="s">
        <v>42317</v>
      </c>
      <c r="E6444" s="752" t="s">
        <v>39923</v>
      </c>
      <c r="F6444" s="751">
        <v>4425</v>
      </c>
    </row>
    <row r="6445" spans="1:6">
      <c r="A6445" s="753"/>
      <c r="B6445" s="753" t="s">
        <v>42316</v>
      </c>
      <c r="C6445" s="752" t="s">
        <v>42315</v>
      </c>
      <c r="D6445" s="753" t="s">
        <v>42314</v>
      </c>
      <c r="E6445" s="752" t="s">
        <v>293</v>
      </c>
      <c r="F6445" s="751">
        <v>1875</v>
      </c>
    </row>
    <row r="6446" spans="1:6">
      <c r="A6446" s="753"/>
      <c r="B6446" s="753"/>
      <c r="C6446" s="752" t="s">
        <v>42313</v>
      </c>
      <c r="D6446" s="753" t="s">
        <v>42302</v>
      </c>
      <c r="E6446" s="752" t="s">
        <v>38732</v>
      </c>
      <c r="F6446" s="751">
        <v>4025</v>
      </c>
    </row>
    <row r="6447" spans="1:6">
      <c r="A6447" s="753"/>
      <c r="B6447" s="753"/>
      <c r="C6447" s="752" t="s">
        <v>42312</v>
      </c>
      <c r="D6447" s="753" t="s">
        <v>42307</v>
      </c>
      <c r="E6447" s="752" t="s">
        <v>38732</v>
      </c>
      <c r="F6447" s="751">
        <v>3825</v>
      </c>
    </row>
    <row r="6448" spans="1:6">
      <c r="A6448" s="753"/>
      <c r="B6448" s="753"/>
      <c r="C6448" s="752" t="s">
        <v>42311</v>
      </c>
      <c r="D6448" s="753" t="s">
        <v>42310</v>
      </c>
      <c r="E6448" s="752" t="s">
        <v>293</v>
      </c>
      <c r="F6448" s="751">
        <v>3825</v>
      </c>
    </row>
    <row r="6449" spans="1:6">
      <c r="A6449" s="753"/>
      <c r="B6449" s="753"/>
      <c r="C6449" s="752" t="s">
        <v>42309</v>
      </c>
      <c r="D6449" s="753" t="s">
        <v>42299</v>
      </c>
      <c r="E6449" s="752" t="s">
        <v>38732</v>
      </c>
      <c r="F6449" s="751">
        <v>3925</v>
      </c>
    </row>
    <row r="6450" spans="1:6">
      <c r="A6450" s="753"/>
      <c r="B6450" s="753"/>
      <c r="C6450" s="752" t="s">
        <v>42308</v>
      </c>
      <c r="D6450" s="753" t="s">
        <v>42307</v>
      </c>
      <c r="E6450" s="752" t="s">
        <v>293</v>
      </c>
      <c r="F6450" s="751">
        <v>3725</v>
      </c>
    </row>
    <row r="6451" spans="1:6">
      <c r="A6451" s="753"/>
      <c r="B6451" s="753"/>
      <c r="C6451" s="752" t="s">
        <v>42306</v>
      </c>
      <c r="D6451" s="753" t="s">
        <v>42294</v>
      </c>
      <c r="E6451" s="752" t="s">
        <v>38732</v>
      </c>
      <c r="F6451" s="751">
        <v>4025</v>
      </c>
    </row>
    <row r="6452" spans="1:6">
      <c r="A6452" s="753"/>
      <c r="B6452" s="753"/>
      <c r="C6452" s="752" t="s">
        <v>42305</v>
      </c>
      <c r="D6452" s="753" t="s">
        <v>42304</v>
      </c>
      <c r="E6452" s="752" t="s">
        <v>293</v>
      </c>
      <c r="F6452" s="751">
        <v>1975</v>
      </c>
    </row>
    <row r="6453" spans="1:6">
      <c r="A6453" s="753"/>
      <c r="B6453" s="753"/>
      <c r="C6453" s="752" t="s">
        <v>42303</v>
      </c>
      <c r="D6453" s="753" t="s">
        <v>42302</v>
      </c>
      <c r="E6453" s="752" t="s">
        <v>293</v>
      </c>
      <c r="F6453" s="751">
        <v>3925</v>
      </c>
    </row>
    <row r="6454" spans="1:6">
      <c r="A6454" s="753"/>
      <c r="B6454" s="753"/>
      <c r="C6454" s="752" t="s">
        <v>42301</v>
      </c>
      <c r="D6454" s="753" t="s">
        <v>42299</v>
      </c>
      <c r="E6454" s="752" t="s">
        <v>38732</v>
      </c>
      <c r="F6454" s="751">
        <v>3925</v>
      </c>
    </row>
    <row r="6455" spans="1:6">
      <c r="A6455" s="753"/>
      <c r="B6455" s="753"/>
      <c r="C6455" s="752" t="s">
        <v>42300</v>
      </c>
      <c r="D6455" s="753" t="s">
        <v>42299</v>
      </c>
      <c r="E6455" s="752" t="s">
        <v>293</v>
      </c>
      <c r="F6455" s="751">
        <v>3825</v>
      </c>
    </row>
    <row r="6456" spans="1:6">
      <c r="A6456" s="753"/>
      <c r="B6456" s="753"/>
      <c r="C6456" s="752" t="s">
        <v>42298</v>
      </c>
      <c r="D6456" s="753" t="s">
        <v>42296</v>
      </c>
      <c r="E6456" s="752" t="s">
        <v>38732</v>
      </c>
      <c r="F6456" s="751">
        <v>3825</v>
      </c>
    </row>
    <row r="6457" spans="1:6">
      <c r="A6457" s="753"/>
      <c r="B6457" s="753"/>
      <c r="C6457" s="752" t="s">
        <v>42297</v>
      </c>
      <c r="D6457" s="753" t="s">
        <v>42296</v>
      </c>
      <c r="E6457" s="752" t="s">
        <v>293</v>
      </c>
      <c r="F6457" s="751">
        <v>3725</v>
      </c>
    </row>
    <row r="6458" spans="1:6">
      <c r="A6458" s="753"/>
      <c r="B6458" s="753"/>
      <c r="C6458" s="752" t="s">
        <v>42295</v>
      </c>
      <c r="D6458" s="753" t="s">
        <v>42294</v>
      </c>
      <c r="E6458" s="752" t="s">
        <v>293</v>
      </c>
      <c r="F6458" s="751">
        <v>3925</v>
      </c>
    </row>
    <row r="6459" spans="1:6">
      <c r="A6459" s="753" t="s">
        <v>7420</v>
      </c>
      <c r="B6459" s="753" t="s">
        <v>42293</v>
      </c>
      <c r="C6459" s="752" t="s">
        <v>42292</v>
      </c>
      <c r="D6459" s="753" t="s">
        <v>42291</v>
      </c>
      <c r="E6459" s="752" t="s">
        <v>42278</v>
      </c>
      <c r="F6459" s="751">
        <v>1975</v>
      </c>
    </row>
    <row r="6460" spans="1:6">
      <c r="A6460" s="753"/>
      <c r="B6460" s="753" t="s">
        <v>42290</v>
      </c>
      <c r="C6460" s="752" t="s">
        <v>42289</v>
      </c>
      <c r="D6460" s="753" t="s">
        <v>42285</v>
      </c>
      <c r="E6460" s="752" t="s">
        <v>37838</v>
      </c>
      <c r="F6460" s="751">
        <v>1975</v>
      </c>
    </row>
    <row r="6461" spans="1:6">
      <c r="A6461" s="753"/>
      <c r="B6461" s="753"/>
      <c r="C6461" s="752" t="s">
        <v>42288</v>
      </c>
      <c r="D6461" s="753" t="s">
        <v>42285</v>
      </c>
      <c r="E6461" s="752" t="s">
        <v>37838</v>
      </c>
      <c r="F6461" s="751">
        <v>1975</v>
      </c>
    </row>
    <row r="6462" spans="1:6">
      <c r="A6462" s="753"/>
      <c r="B6462" s="753"/>
      <c r="C6462" s="752" t="s">
        <v>42287</v>
      </c>
      <c r="D6462" s="753" t="s">
        <v>42285</v>
      </c>
      <c r="E6462" s="752" t="s">
        <v>39060</v>
      </c>
      <c r="F6462" s="751">
        <v>1975</v>
      </c>
    </row>
    <row r="6463" spans="1:6">
      <c r="A6463" s="753"/>
      <c r="B6463" s="753"/>
      <c r="C6463" s="752" t="s">
        <v>42286</v>
      </c>
      <c r="D6463" s="753" t="s">
        <v>42285</v>
      </c>
      <c r="E6463" s="752" t="s">
        <v>42278</v>
      </c>
      <c r="F6463" s="751">
        <v>1975</v>
      </c>
    </row>
    <row r="6464" spans="1:6">
      <c r="A6464" s="753"/>
      <c r="B6464" s="753" t="s">
        <v>42284</v>
      </c>
      <c r="C6464" s="752" t="s">
        <v>42283</v>
      </c>
      <c r="D6464" s="753" t="s">
        <v>42282</v>
      </c>
      <c r="E6464" s="752" t="s">
        <v>293</v>
      </c>
      <c r="F6464" s="751">
        <v>3425</v>
      </c>
    </row>
    <row r="6465" spans="1:6">
      <c r="A6465" s="753"/>
      <c r="B6465" s="753" t="s">
        <v>42281</v>
      </c>
      <c r="C6465" s="752" t="s">
        <v>42280</v>
      </c>
      <c r="D6465" s="753" t="s">
        <v>42279</v>
      </c>
      <c r="E6465" s="752" t="s">
        <v>42278</v>
      </c>
      <c r="F6465" s="751">
        <v>1925</v>
      </c>
    </row>
    <row r="6466" spans="1:6">
      <c r="A6466" s="753"/>
      <c r="B6466" s="753" t="s">
        <v>42277</v>
      </c>
      <c r="C6466" s="752" t="s">
        <v>42276</v>
      </c>
      <c r="D6466" s="753" t="s">
        <v>42275</v>
      </c>
      <c r="E6466" s="752" t="s">
        <v>293</v>
      </c>
      <c r="F6466" s="751">
        <v>1845</v>
      </c>
    </row>
    <row r="6467" spans="1:6">
      <c r="A6467" s="753"/>
      <c r="B6467" s="753"/>
      <c r="C6467" s="752" t="s">
        <v>42274</v>
      </c>
      <c r="D6467" s="753" t="s">
        <v>42273</v>
      </c>
      <c r="E6467" s="752" t="s">
        <v>37838</v>
      </c>
      <c r="F6467" s="751">
        <v>2325</v>
      </c>
    </row>
    <row r="6468" spans="1:6">
      <c r="A6468" s="753"/>
      <c r="B6468" s="753"/>
      <c r="C6468" s="752" t="s">
        <v>42272</v>
      </c>
      <c r="D6468" s="753" t="s">
        <v>42271</v>
      </c>
      <c r="E6468" s="752" t="s">
        <v>38670</v>
      </c>
      <c r="F6468" s="751">
        <v>2885</v>
      </c>
    </row>
    <row r="6469" spans="1:6">
      <c r="A6469" s="753"/>
      <c r="B6469" s="753" t="s">
        <v>42270</v>
      </c>
      <c r="C6469" s="752" t="s">
        <v>42269</v>
      </c>
      <c r="D6469" s="753" t="s">
        <v>42267</v>
      </c>
      <c r="E6469" s="752" t="s">
        <v>293</v>
      </c>
      <c r="F6469" s="751">
        <v>3965</v>
      </c>
    </row>
    <row r="6470" spans="1:6">
      <c r="A6470" s="753"/>
      <c r="B6470" s="753"/>
      <c r="C6470" s="752" t="s">
        <v>42268</v>
      </c>
      <c r="D6470" s="753" t="s">
        <v>42267</v>
      </c>
      <c r="E6470" s="752" t="s">
        <v>293</v>
      </c>
      <c r="F6470" s="751">
        <v>3965</v>
      </c>
    </row>
    <row r="6471" spans="1:6">
      <c r="A6471" s="753"/>
      <c r="B6471" s="753"/>
      <c r="C6471" s="752" t="s">
        <v>42266</v>
      </c>
      <c r="D6471" s="753" t="s">
        <v>42265</v>
      </c>
      <c r="E6471" s="752" t="s">
        <v>293</v>
      </c>
      <c r="F6471" s="751">
        <v>3965</v>
      </c>
    </row>
    <row r="6472" spans="1:6">
      <c r="A6472" s="753"/>
      <c r="B6472" s="753"/>
      <c r="C6472" s="752" t="s">
        <v>42264</v>
      </c>
      <c r="D6472" s="753" t="s">
        <v>42263</v>
      </c>
      <c r="E6472" s="752" t="s">
        <v>293</v>
      </c>
      <c r="F6472" s="751">
        <v>5925</v>
      </c>
    </row>
    <row r="6473" spans="1:6">
      <c r="A6473" s="753"/>
      <c r="B6473" s="753"/>
      <c r="C6473" s="752" t="s">
        <v>42262</v>
      </c>
      <c r="D6473" s="753" t="s">
        <v>42237</v>
      </c>
      <c r="E6473" s="752" t="s">
        <v>37758</v>
      </c>
      <c r="F6473" s="751">
        <v>2825</v>
      </c>
    </row>
    <row r="6474" spans="1:6">
      <c r="A6474" s="753"/>
      <c r="B6474" s="753"/>
      <c r="C6474" s="752" t="s">
        <v>42261</v>
      </c>
      <c r="D6474" s="753" t="s">
        <v>42237</v>
      </c>
      <c r="E6474" s="752" t="s">
        <v>42260</v>
      </c>
      <c r="F6474" s="751">
        <v>3915</v>
      </c>
    </row>
    <row r="6475" spans="1:6">
      <c r="A6475" s="753"/>
      <c r="B6475" s="753"/>
      <c r="C6475" s="752" t="s">
        <v>42259</v>
      </c>
      <c r="D6475" s="753" t="s">
        <v>42237</v>
      </c>
      <c r="E6475" s="752" t="s">
        <v>37750</v>
      </c>
      <c r="F6475" s="751">
        <v>2325</v>
      </c>
    </row>
    <row r="6476" spans="1:6">
      <c r="A6476" s="753"/>
      <c r="B6476" s="753"/>
      <c r="C6476" s="752" t="s">
        <v>42258</v>
      </c>
      <c r="D6476" s="753" t="s">
        <v>42257</v>
      </c>
      <c r="E6476" s="752" t="s">
        <v>37758</v>
      </c>
      <c r="F6476" s="751">
        <v>3375</v>
      </c>
    </row>
    <row r="6477" spans="1:6">
      <c r="A6477" s="753"/>
      <c r="B6477" s="753"/>
      <c r="C6477" s="752" t="s">
        <v>42256</v>
      </c>
      <c r="D6477" s="753" t="s">
        <v>42255</v>
      </c>
      <c r="E6477" s="752" t="s">
        <v>37758</v>
      </c>
      <c r="F6477" s="751">
        <v>3375</v>
      </c>
    </row>
    <row r="6478" spans="1:6">
      <c r="A6478" s="753"/>
      <c r="B6478" s="753"/>
      <c r="C6478" s="752" t="s">
        <v>42254</v>
      </c>
      <c r="D6478" s="753" t="s">
        <v>42252</v>
      </c>
      <c r="E6478" s="752" t="s">
        <v>37758</v>
      </c>
      <c r="F6478" s="751">
        <v>2625</v>
      </c>
    </row>
    <row r="6479" spans="1:6">
      <c r="A6479" s="753"/>
      <c r="B6479" s="753"/>
      <c r="C6479" s="752" t="s">
        <v>42253</v>
      </c>
      <c r="D6479" s="753" t="s">
        <v>42252</v>
      </c>
      <c r="E6479" s="752" t="s">
        <v>37750</v>
      </c>
      <c r="F6479" s="751">
        <v>2125</v>
      </c>
    </row>
    <row r="6480" spans="1:6">
      <c r="A6480" s="753"/>
      <c r="B6480" s="753"/>
      <c r="C6480" s="752" t="s">
        <v>42251</v>
      </c>
      <c r="D6480" s="753" t="s">
        <v>42249</v>
      </c>
      <c r="E6480" s="752" t="s">
        <v>40065</v>
      </c>
      <c r="F6480" s="751">
        <v>3175</v>
      </c>
    </row>
    <row r="6481" spans="1:6">
      <c r="A6481" s="753"/>
      <c r="B6481" s="753"/>
      <c r="C6481" s="752" t="s">
        <v>42250</v>
      </c>
      <c r="D6481" s="753" t="s">
        <v>42249</v>
      </c>
      <c r="E6481" s="752" t="s">
        <v>42248</v>
      </c>
      <c r="F6481" s="751">
        <v>3935</v>
      </c>
    </row>
    <row r="6482" spans="1:6">
      <c r="A6482" s="753"/>
      <c r="B6482" s="753"/>
      <c r="C6482" s="752" t="s">
        <v>42247</v>
      </c>
      <c r="D6482" s="753" t="s">
        <v>42246</v>
      </c>
      <c r="E6482" s="752" t="s">
        <v>40065</v>
      </c>
      <c r="F6482" s="751">
        <v>3175</v>
      </c>
    </row>
    <row r="6483" spans="1:6">
      <c r="A6483" s="753"/>
      <c r="B6483" s="753"/>
      <c r="C6483" s="752" t="s">
        <v>42245</v>
      </c>
      <c r="D6483" s="753" t="s">
        <v>42243</v>
      </c>
      <c r="E6483" s="752" t="s">
        <v>37758</v>
      </c>
      <c r="F6483" s="751">
        <v>2725</v>
      </c>
    </row>
    <row r="6484" spans="1:6">
      <c r="A6484" s="753"/>
      <c r="B6484" s="753"/>
      <c r="C6484" s="752" t="s">
        <v>42244</v>
      </c>
      <c r="D6484" s="753" t="s">
        <v>42243</v>
      </c>
      <c r="E6484" s="752" t="s">
        <v>37750</v>
      </c>
      <c r="F6484" s="751">
        <v>2225</v>
      </c>
    </row>
    <row r="6485" spans="1:6">
      <c r="A6485" s="753"/>
      <c r="B6485" s="753"/>
      <c r="C6485" s="752" t="s">
        <v>42242</v>
      </c>
      <c r="D6485" s="753" t="s">
        <v>42241</v>
      </c>
      <c r="E6485" s="752" t="s">
        <v>40065</v>
      </c>
      <c r="F6485" s="751">
        <v>3275</v>
      </c>
    </row>
    <row r="6486" spans="1:6">
      <c r="A6486" s="753"/>
      <c r="B6486" s="753"/>
      <c r="C6486" s="752" t="s">
        <v>42240</v>
      </c>
      <c r="D6486" s="753" t="s">
        <v>42239</v>
      </c>
      <c r="E6486" s="752" t="s">
        <v>40065</v>
      </c>
      <c r="F6486" s="751">
        <v>3275</v>
      </c>
    </row>
    <row r="6487" spans="1:6">
      <c r="A6487" s="753"/>
      <c r="B6487" s="753"/>
      <c r="C6487" s="752" t="s">
        <v>42238</v>
      </c>
      <c r="D6487" s="753" t="s">
        <v>42237</v>
      </c>
      <c r="E6487" s="752" t="s">
        <v>38874</v>
      </c>
      <c r="F6487" s="751">
        <v>3585</v>
      </c>
    </row>
    <row r="6488" spans="1:6">
      <c r="A6488" s="753"/>
      <c r="B6488" s="753" t="s">
        <v>42236</v>
      </c>
      <c r="C6488" s="752" t="s">
        <v>42235</v>
      </c>
      <c r="D6488" s="753" t="s">
        <v>42234</v>
      </c>
      <c r="E6488" s="752" t="s">
        <v>293</v>
      </c>
      <c r="F6488" s="751">
        <v>3375</v>
      </c>
    </row>
    <row r="6489" spans="1:6">
      <c r="A6489" s="753"/>
      <c r="B6489" s="753"/>
      <c r="C6489" s="752" t="s">
        <v>42233</v>
      </c>
      <c r="D6489" s="753" t="s">
        <v>42232</v>
      </c>
      <c r="E6489" s="752" t="s">
        <v>293</v>
      </c>
      <c r="F6489" s="751">
        <v>2625</v>
      </c>
    </row>
    <row r="6490" spans="1:6">
      <c r="A6490" s="753"/>
      <c r="B6490" s="753" t="s">
        <v>42231</v>
      </c>
      <c r="C6490" s="752" t="s">
        <v>42230</v>
      </c>
      <c r="D6490" s="753" t="s">
        <v>42228</v>
      </c>
      <c r="E6490" s="752" t="s">
        <v>293</v>
      </c>
      <c r="F6490" s="751">
        <v>3715</v>
      </c>
    </row>
    <row r="6491" spans="1:6">
      <c r="A6491" s="753"/>
      <c r="B6491" s="753"/>
      <c r="C6491" s="752" t="s">
        <v>42229</v>
      </c>
      <c r="D6491" s="753" t="s">
        <v>42228</v>
      </c>
      <c r="E6491" s="752" t="s">
        <v>293</v>
      </c>
      <c r="F6491" s="751">
        <v>4265</v>
      </c>
    </row>
    <row r="6492" spans="1:6">
      <c r="A6492" s="753"/>
      <c r="B6492" s="753"/>
      <c r="C6492" s="752" t="s">
        <v>42227</v>
      </c>
      <c r="D6492" s="753" t="s">
        <v>42226</v>
      </c>
      <c r="E6492" s="752" t="s">
        <v>39097</v>
      </c>
      <c r="F6492" s="751">
        <v>3349</v>
      </c>
    </row>
    <row r="6493" spans="1:6">
      <c r="A6493" s="753"/>
      <c r="B6493" s="753"/>
      <c r="C6493" s="752" t="s">
        <v>42225</v>
      </c>
      <c r="D6493" s="753" t="s">
        <v>42223</v>
      </c>
      <c r="E6493" s="752" t="s">
        <v>293</v>
      </c>
      <c r="F6493" s="751">
        <v>2675</v>
      </c>
    </row>
    <row r="6494" spans="1:6">
      <c r="A6494" s="753"/>
      <c r="B6494" s="753"/>
      <c r="C6494" s="752" t="s">
        <v>42224</v>
      </c>
      <c r="D6494" s="753" t="s">
        <v>42223</v>
      </c>
      <c r="E6494" s="752" t="s">
        <v>293</v>
      </c>
      <c r="F6494" s="751">
        <v>2675</v>
      </c>
    </row>
    <row r="6495" spans="1:6">
      <c r="A6495" s="753"/>
      <c r="B6495" s="753"/>
      <c r="C6495" s="752" t="s">
        <v>42222</v>
      </c>
      <c r="D6495" s="753" t="s">
        <v>42220</v>
      </c>
      <c r="E6495" s="752" t="s">
        <v>293</v>
      </c>
      <c r="F6495" s="751">
        <v>3225</v>
      </c>
    </row>
    <row r="6496" spans="1:6">
      <c r="A6496" s="753"/>
      <c r="B6496" s="753"/>
      <c r="C6496" s="752" t="s">
        <v>42221</v>
      </c>
      <c r="D6496" s="753" t="s">
        <v>42220</v>
      </c>
      <c r="E6496" s="752" t="s">
        <v>293</v>
      </c>
      <c r="F6496" s="751">
        <v>3225</v>
      </c>
    </row>
    <row r="6497" spans="1:6">
      <c r="A6497" s="753"/>
      <c r="B6497" s="753"/>
      <c r="C6497" s="752" t="s">
        <v>42219</v>
      </c>
      <c r="D6497" s="753" t="s">
        <v>42215</v>
      </c>
      <c r="E6497" s="752" t="s">
        <v>293</v>
      </c>
      <c r="F6497" s="751">
        <v>2575</v>
      </c>
    </row>
    <row r="6498" spans="1:6">
      <c r="A6498" s="753"/>
      <c r="B6498" s="753"/>
      <c r="C6498" s="752" t="s">
        <v>42218</v>
      </c>
      <c r="D6498" s="753" t="s">
        <v>42215</v>
      </c>
      <c r="E6498" s="752" t="s">
        <v>293</v>
      </c>
      <c r="F6498" s="751">
        <v>2575</v>
      </c>
    </row>
    <row r="6499" spans="1:6">
      <c r="A6499" s="753"/>
      <c r="B6499" s="753"/>
      <c r="C6499" s="752" t="s">
        <v>42217</v>
      </c>
      <c r="D6499" s="753" t="s">
        <v>42215</v>
      </c>
      <c r="E6499" s="752" t="s">
        <v>293</v>
      </c>
      <c r="F6499" s="751">
        <v>2575</v>
      </c>
    </row>
    <row r="6500" spans="1:6">
      <c r="A6500" s="753"/>
      <c r="B6500" s="753"/>
      <c r="C6500" s="752" t="s">
        <v>42216</v>
      </c>
      <c r="D6500" s="753" t="s">
        <v>42215</v>
      </c>
      <c r="E6500" s="752" t="s">
        <v>293</v>
      </c>
      <c r="F6500" s="751">
        <v>2575</v>
      </c>
    </row>
    <row r="6501" spans="1:6">
      <c r="A6501" s="753"/>
      <c r="B6501" s="753"/>
      <c r="C6501" s="752" t="s">
        <v>42214</v>
      </c>
      <c r="D6501" s="753" t="s">
        <v>42210</v>
      </c>
      <c r="E6501" s="752" t="s">
        <v>293</v>
      </c>
      <c r="F6501" s="751">
        <v>3125</v>
      </c>
    </row>
    <row r="6502" spans="1:6">
      <c r="A6502" s="753"/>
      <c r="B6502" s="753"/>
      <c r="C6502" s="752" t="s">
        <v>42213</v>
      </c>
      <c r="D6502" s="753" t="s">
        <v>42210</v>
      </c>
      <c r="E6502" s="752" t="s">
        <v>293</v>
      </c>
      <c r="F6502" s="751">
        <v>3125</v>
      </c>
    </row>
    <row r="6503" spans="1:6">
      <c r="A6503" s="753"/>
      <c r="B6503" s="753"/>
      <c r="C6503" s="752" t="s">
        <v>42212</v>
      </c>
      <c r="D6503" s="753" t="s">
        <v>42210</v>
      </c>
      <c r="E6503" s="752" t="s">
        <v>293</v>
      </c>
      <c r="F6503" s="751">
        <v>3125</v>
      </c>
    </row>
    <row r="6504" spans="1:6">
      <c r="A6504" s="753"/>
      <c r="B6504" s="753"/>
      <c r="C6504" s="752" t="s">
        <v>42211</v>
      </c>
      <c r="D6504" s="753" t="s">
        <v>42210</v>
      </c>
      <c r="E6504" s="752" t="s">
        <v>293</v>
      </c>
      <c r="F6504" s="751">
        <v>3125</v>
      </c>
    </row>
    <row r="6505" spans="1:6">
      <c r="A6505" s="753"/>
      <c r="B6505" s="753"/>
      <c r="C6505" s="752" t="s">
        <v>42209</v>
      </c>
      <c r="D6505" s="753" t="s">
        <v>42208</v>
      </c>
      <c r="E6505" s="752" t="s">
        <v>293</v>
      </c>
      <c r="F6505" s="751">
        <v>3125</v>
      </c>
    </row>
    <row r="6506" spans="1:6">
      <c r="A6506" s="753"/>
      <c r="B6506" s="753"/>
      <c r="C6506" s="752" t="s">
        <v>42207</v>
      </c>
      <c r="D6506" s="753" t="s">
        <v>42206</v>
      </c>
      <c r="E6506" s="752" t="s">
        <v>293</v>
      </c>
      <c r="F6506" s="751">
        <v>3125</v>
      </c>
    </row>
    <row r="6507" spans="1:6">
      <c r="A6507" s="753"/>
      <c r="B6507" s="753"/>
      <c r="C6507" s="752" t="s">
        <v>42205</v>
      </c>
      <c r="D6507" s="753" t="s">
        <v>42201</v>
      </c>
      <c r="E6507" s="752" t="s">
        <v>293</v>
      </c>
      <c r="F6507" s="751">
        <v>2375</v>
      </c>
    </row>
    <row r="6508" spans="1:6">
      <c r="A6508" s="753"/>
      <c r="B6508" s="753"/>
      <c r="C6508" s="752" t="s">
        <v>42204</v>
      </c>
      <c r="D6508" s="753" t="s">
        <v>42201</v>
      </c>
      <c r="E6508" s="752" t="s">
        <v>293</v>
      </c>
      <c r="F6508" s="751">
        <v>2625</v>
      </c>
    </row>
    <row r="6509" spans="1:6">
      <c r="A6509" s="753"/>
      <c r="B6509" s="753"/>
      <c r="C6509" s="752" t="s">
        <v>42203</v>
      </c>
      <c r="D6509" s="753" t="s">
        <v>42201</v>
      </c>
      <c r="E6509" s="752" t="s">
        <v>38539</v>
      </c>
      <c r="F6509" s="751">
        <v>2375</v>
      </c>
    </row>
    <row r="6510" spans="1:6">
      <c r="A6510" s="753"/>
      <c r="B6510" s="753"/>
      <c r="C6510" s="752" t="s">
        <v>42202</v>
      </c>
      <c r="D6510" s="753" t="s">
        <v>42201</v>
      </c>
      <c r="E6510" s="752" t="s">
        <v>38539</v>
      </c>
      <c r="F6510" s="751">
        <v>2375</v>
      </c>
    </row>
    <row r="6511" spans="1:6">
      <c r="A6511" s="753"/>
      <c r="B6511" s="753"/>
      <c r="C6511" s="752" t="s">
        <v>42200</v>
      </c>
      <c r="D6511" s="753" t="s">
        <v>42196</v>
      </c>
      <c r="E6511" s="752" t="s">
        <v>293</v>
      </c>
      <c r="F6511" s="751">
        <v>2925</v>
      </c>
    </row>
    <row r="6512" spans="1:6">
      <c r="A6512" s="753"/>
      <c r="B6512" s="753"/>
      <c r="C6512" s="752" t="s">
        <v>42199</v>
      </c>
      <c r="D6512" s="753" t="s">
        <v>42196</v>
      </c>
      <c r="E6512" s="752" t="s">
        <v>293</v>
      </c>
      <c r="F6512" s="751">
        <v>3175</v>
      </c>
    </row>
    <row r="6513" spans="1:6">
      <c r="A6513" s="753"/>
      <c r="B6513" s="753"/>
      <c r="C6513" s="752" t="s">
        <v>42198</v>
      </c>
      <c r="D6513" s="753" t="s">
        <v>42196</v>
      </c>
      <c r="E6513" s="752" t="s">
        <v>293</v>
      </c>
      <c r="F6513" s="751">
        <v>2925</v>
      </c>
    </row>
    <row r="6514" spans="1:6">
      <c r="A6514" s="753"/>
      <c r="B6514" s="753"/>
      <c r="C6514" s="752" t="s">
        <v>42197</v>
      </c>
      <c r="D6514" s="753" t="s">
        <v>42196</v>
      </c>
      <c r="E6514" s="752" t="s">
        <v>293</v>
      </c>
      <c r="F6514" s="751">
        <v>2925</v>
      </c>
    </row>
    <row r="6515" spans="1:6">
      <c r="A6515" s="753"/>
      <c r="B6515" s="753"/>
      <c r="C6515" s="752" t="s">
        <v>42195</v>
      </c>
      <c r="D6515" s="753" t="s">
        <v>42194</v>
      </c>
      <c r="E6515" s="752" t="s">
        <v>293</v>
      </c>
      <c r="F6515" s="751">
        <v>2925</v>
      </c>
    </row>
    <row r="6516" spans="1:6">
      <c r="A6516" s="753"/>
      <c r="B6516" s="753"/>
      <c r="C6516" s="752" t="s">
        <v>42193</v>
      </c>
      <c r="D6516" s="753" t="s">
        <v>42189</v>
      </c>
      <c r="E6516" s="752" t="s">
        <v>293</v>
      </c>
      <c r="F6516" s="751">
        <v>2725</v>
      </c>
    </row>
    <row r="6517" spans="1:6">
      <c r="A6517" s="753"/>
      <c r="B6517" s="753"/>
      <c r="C6517" s="752" t="s">
        <v>42192</v>
      </c>
      <c r="D6517" s="753" t="s">
        <v>42189</v>
      </c>
      <c r="E6517" s="752" t="s">
        <v>38878</v>
      </c>
      <c r="F6517" s="751">
        <v>2675</v>
      </c>
    </row>
    <row r="6518" spans="1:6">
      <c r="A6518" s="753"/>
      <c r="B6518" s="753"/>
      <c r="C6518" s="752" t="s">
        <v>42191</v>
      </c>
      <c r="D6518" s="753" t="s">
        <v>42189</v>
      </c>
      <c r="E6518" s="752" t="s">
        <v>293</v>
      </c>
      <c r="F6518" s="751">
        <v>2475</v>
      </c>
    </row>
    <row r="6519" spans="1:6">
      <c r="A6519" s="753"/>
      <c r="B6519" s="753"/>
      <c r="C6519" s="752" t="s">
        <v>42190</v>
      </c>
      <c r="D6519" s="753" t="s">
        <v>42189</v>
      </c>
      <c r="E6519" s="752" t="s">
        <v>293</v>
      </c>
      <c r="F6519" s="751">
        <v>2475</v>
      </c>
    </row>
    <row r="6520" spans="1:6">
      <c r="A6520" s="753"/>
      <c r="B6520" s="753"/>
      <c r="C6520" s="752" t="s">
        <v>42188</v>
      </c>
      <c r="D6520" s="753" t="s">
        <v>42186</v>
      </c>
      <c r="E6520" s="752" t="s">
        <v>293</v>
      </c>
      <c r="F6520" s="751">
        <v>3025</v>
      </c>
    </row>
    <row r="6521" spans="1:6">
      <c r="A6521" s="753"/>
      <c r="B6521" s="753"/>
      <c r="C6521" s="752" t="s">
        <v>42187</v>
      </c>
      <c r="D6521" s="753" t="s">
        <v>42186</v>
      </c>
      <c r="E6521" s="752" t="s">
        <v>293</v>
      </c>
      <c r="F6521" s="751">
        <v>3025</v>
      </c>
    </row>
    <row r="6522" spans="1:6">
      <c r="A6522" s="753"/>
      <c r="B6522" s="753" t="s">
        <v>42185</v>
      </c>
      <c r="C6522" s="752" t="s">
        <v>42184</v>
      </c>
      <c r="D6522" s="753" t="s">
        <v>42182</v>
      </c>
      <c r="E6522" s="752" t="s">
        <v>293</v>
      </c>
      <c r="F6522" s="751">
        <v>3715</v>
      </c>
    </row>
    <row r="6523" spans="1:6">
      <c r="A6523" s="753"/>
      <c r="B6523" s="753"/>
      <c r="C6523" s="752" t="s">
        <v>42183</v>
      </c>
      <c r="D6523" s="753" t="s">
        <v>42182</v>
      </c>
      <c r="E6523" s="752" t="s">
        <v>293</v>
      </c>
      <c r="F6523" s="751">
        <v>4265</v>
      </c>
    </row>
    <row r="6524" spans="1:6">
      <c r="A6524" s="753"/>
      <c r="B6524" s="753"/>
      <c r="C6524" s="752" t="s">
        <v>42181</v>
      </c>
      <c r="D6524" s="753" t="s">
        <v>42180</v>
      </c>
      <c r="E6524" s="752" t="s">
        <v>293</v>
      </c>
      <c r="F6524" s="751">
        <v>2575</v>
      </c>
    </row>
    <row r="6525" spans="1:6">
      <c r="A6525" s="753"/>
      <c r="B6525" s="753"/>
      <c r="C6525" s="752" t="s">
        <v>42179</v>
      </c>
      <c r="D6525" s="753" t="s">
        <v>42178</v>
      </c>
      <c r="E6525" s="752" t="s">
        <v>293</v>
      </c>
      <c r="F6525" s="751">
        <v>2375</v>
      </c>
    </row>
    <row r="6526" spans="1:6">
      <c r="A6526" s="753"/>
      <c r="B6526" s="753"/>
      <c r="C6526" s="752" t="s">
        <v>42177</v>
      </c>
      <c r="D6526" s="753" t="s">
        <v>42176</v>
      </c>
      <c r="E6526" s="752" t="s">
        <v>293</v>
      </c>
      <c r="F6526" s="751">
        <v>2925</v>
      </c>
    </row>
    <row r="6527" spans="1:6">
      <c r="A6527" s="753"/>
      <c r="B6527" s="753"/>
      <c r="C6527" s="752" t="s">
        <v>42175</v>
      </c>
      <c r="D6527" s="753" t="s">
        <v>42174</v>
      </c>
      <c r="E6527" s="752" t="s">
        <v>293</v>
      </c>
      <c r="F6527" s="751">
        <v>3025</v>
      </c>
    </row>
    <row r="6528" spans="1:6">
      <c r="A6528" s="753"/>
      <c r="B6528" s="753" t="s">
        <v>42173</v>
      </c>
      <c r="C6528" s="752" t="s">
        <v>42172</v>
      </c>
      <c r="D6528" s="753" t="s">
        <v>42163</v>
      </c>
      <c r="E6528" s="752" t="s">
        <v>37838</v>
      </c>
      <c r="F6528" s="751">
        <v>1975</v>
      </c>
    </row>
    <row r="6529" spans="1:6">
      <c r="A6529" s="753"/>
      <c r="B6529" s="753"/>
      <c r="C6529" s="752" t="s">
        <v>42171</v>
      </c>
      <c r="D6529" s="753" t="s">
        <v>42163</v>
      </c>
      <c r="E6529" s="752" t="s">
        <v>42170</v>
      </c>
      <c r="F6529" s="751">
        <v>1975</v>
      </c>
    </row>
    <row r="6530" spans="1:6">
      <c r="A6530" s="753"/>
      <c r="B6530" s="753"/>
      <c r="C6530" s="752" t="s">
        <v>42169</v>
      </c>
      <c r="D6530" s="753" t="s">
        <v>42163</v>
      </c>
      <c r="E6530" s="752" t="s">
        <v>37838</v>
      </c>
      <c r="F6530" s="751">
        <v>1975</v>
      </c>
    </row>
    <row r="6531" spans="1:6">
      <c r="A6531" s="753"/>
      <c r="B6531" s="753"/>
      <c r="C6531" s="752" t="s">
        <v>42168</v>
      </c>
      <c r="D6531" s="753" t="s">
        <v>42163</v>
      </c>
      <c r="E6531" s="752" t="s">
        <v>39088</v>
      </c>
      <c r="F6531" s="751">
        <v>1975</v>
      </c>
    </row>
    <row r="6532" spans="1:6">
      <c r="A6532" s="753"/>
      <c r="B6532" s="753"/>
      <c r="C6532" s="752" t="s">
        <v>42167</v>
      </c>
      <c r="D6532" s="753" t="s">
        <v>42163</v>
      </c>
      <c r="E6532" s="752" t="s">
        <v>42166</v>
      </c>
      <c r="F6532" s="751">
        <v>1975</v>
      </c>
    </row>
    <row r="6533" spans="1:6">
      <c r="A6533" s="753"/>
      <c r="B6533" s="753"/>
      <c r="C6533" s="752" t="s">
        <v>42165</v>
      </c>
      <c r="D6533" s="753" t="s">
        <v>42163</v>
      </c>
      <c r="E6533" s="752" t="s">
        <v>37838</v>
      </c>
      <c r="F6533" s="751">
        <v>1975</v>
      </c>
    </row>
    <row r="6534" spans="1:6">
      <c r="A6534" s="753"/>
      <c r="B6534" s="753"/>
      <c r="C6534" s="752" t="s">
        <v>42164</v>
      </c>
      <c r="D6534" s="753" t="s">
        <v>42163</v>
      </c>
      <c r="E6534" s="752" t="s">
        <v>42162</v>
      </c>
      <c r="F6534" s="751">
        <v>1975</v>
      </c>
    </row>
    <row r="6535" spans="1:6">
      <c r="A6535" s="753"/>
      <c r="B6535" s="753" t="s">
        <v>42161</v>
      </c>
      <c r="C6535" s="752" t="s">
        <v>42160</v>
      </c>
      <c r="D6535" s="753" t="s">
        <v>42158</v>
      </c>
      <c r="E6535" s="752" t="s">
        <v>293</v>
      </c>
      <c r="F6535" s="751">
        <v>3715</v>
      </c>
    </row>
    <row r="6536" spans="1:6">
      <c r="A6536" s="753"/>
      <c r="B6536" s="753"/>
      <c r="C6536" s="752" t="s">
        <v>42159</v>
      </c>
      <c r="D6536" s="753" t="s">
        <v>42158</v>
      </c>
      <c r="E6536" s="752" t="s">
        <v>293</v>
      </c>
      <c r="F6536" s="751">
        <v>3665</v>
      </c>
    </row>
    <row r="6537" spans="1:6">
      <c r="A6537" s="753"/>
      <c r="B6537" s="753"/>
      <c r="C6537" s="752" t="s">
        <v>42157</v>
      </c>
      <c r="D6537" s="753" t="s">
        <v>42156</v>
      </c>
      <c r="E6537" s="752" t="s">
        <v>38539</v>
      </c>
      <c r="F6537" s="751">
        <v>4065</v>
      </c>
    </row>
    <row r="6538" spans="1:6">
      <c r="A6538" s="753"/>
      <c r="B6538" s="753"/>
      <c r="C6538" s="752" t="s">
        <v>42155</v>
      </c>
      <c r="D6538" s="753" t="s">
        <v>42154</v>
      </c>
      <c r="E6538" s="752" t="s">
        <v>293</v>
      </c>
      <c r="F6538" s="751">
        <v>2675</v>
      </c>
    </row>
    <row r="6539" spans="1:6">
      <c r="A6539" s="753"/>
      <c r="B6539" s="753"/>
      <c r="C6539" s="752" t="s">
        <v>42153</v>
      </c>
      <c r="D6539" s="753" t="s">
        <v>42147</v>
      </c>
      <c r="E6539" s="752" t="s">
        <v>293</v>
      </c>
      <c r="F6539" s="751">
        <v>2575</v>
      </c>
    </row>
    <row r="6540" spans="1:6">
      <c r="A6540" s="753"/>
      <c r="B6540" s="753"/>
      <c r="C6540" s="752" t="s">
        <v>42152</v>
      </c>
      <c r="D6540" s="753" t="s">
        <v>42147</v>
      </c>
      <c r="E6540" s="752" t="s">
        <v>293</v>
      </c>
      <c r="F6540" s="751">
        <v>2575</v>
      </c>
    </row>
    <row r="6541" spans="1:6">
      <c r="A6541" s="753"/>
      <c r="B6541" s="753"/>
      <c r="C6541" s="752" t="s">
        <v>42151</v>
      </c>
      <c r="D6541" s="753" t="s">
        <v>42147</v>
      </c>
      <c r="E6541" s="752" t="s">
        <v>37876</v>
      </c>
      <c r="F6541" s="751">
        <v>2525</v>
      </c>
    </row>
    <row r="6542" spans="1:6">
      <c r="A6542" s="753"/>
      <c r="B6542" s="753"/>
      <c r="C6542" s="752" t="s">
        <v>42150</v>
      </c>
      <c r="D6542" s="753" t="s">
        <v>42147</v>
      </c>
      <c r="E6542" s="752" t="s">
        <v>39403</v>
      </c>
      <c r="F6542" s="751">
        <v>3335</v>
      </c>
    </row>
    <row r="6543" spans="1:6">
      <c r="A6543" s="753"/>
      <c r="B6543" s="753"/>
      <c r="C6543" s="752" t="s">
        <v>42149</v>
      </c>
      <c r="D6543" s="753" t="s">
        <v>42147</v>
      </c>
      <c r="E6543" s="752" t="s">
        <v>293</v>
      </c>
      <c r="F6543" s="751">
        <v>2575</v>
      </c>
    </row>
    <row r="6544" spans="1:6">
      <c r="A6544" s="753"/>
      <c r="B6544" s="753"/>
      <c r="C6544" s="752" t="s">
        <v>42148</v>
      </c>
      <c r="D6544" s="753" t="s">
        <v>42147</v>
      </c>
      <c r="E6544" s="752" t="s">
        <v>37876</v>
      </c>
      <c r="F6544" s="751">
        <v>2525</v>
      </c>
    </row>
    <row r="6545" spans="1:6">
      <c r="A6545" s="753"/>
      <c r="B6545" s="753"/>
      <c r="C6545" s="752" t="s">
        <v>42146</v>
      </c>
      <c r="D6545" s="753" t="s">
        <v>42144</v>
      </c>
      <c r="E6545" s="752" t="s">
        <v>293</v>
      </c>
      <c r="F6545" s="751">
        <v>3125</v>
      </c>
    </row>
    <row r="6546" spans="1:6">
      <c r="A6546" s="753"/>
      <c r="B6546" s="753"/>
      <c r="C6546" s="752" t="s">
        <v>42145</v>
      </c>
      <c r="D6546" s="753" t="s">
        <v>42144</v>
      </c>
      <c r="E6546" s="752" t="s">
        <v>293</v>
      </c>
      <c r="F6546" s="751">
        <v>3125</v>
      </c>
    </row>
    <row r="6547" spans="1:6">
      <c r="A6547" s="753"/>
      <c r="B6547" s="753"/>
      <c r="C6547" s="752" t="s">
        <v>42143</v>
      </c>
      <c r="D6547" s="753" t="s">
        <v>42142</v>
      </c>
      <c r="E6547" s="752" t="s">
        <v>39011</v>
      </c>
      <c r="F6547" s="751">
        <v>3635</v>
      </c>
    </row>
    <row r="6548" spans="1:6">
      <c r="A6548" s="753"/>
      <c r="B6548" s="753"/>
      <c r="C6548" s="752" t="s">
        <v>42141</v>
      </c>
      <c r="D6548" s="753" t="s">
        <v>42140</v>
      </c>
      <c r="E6548" s="752" t="s">
        <v>293</v>
      </c>
      <c r="F6548" s="751">
        <v>3125</v>
      </c>
    </row>
    <row r="6549" spans="1:6">
      <c r="A6549" s="753"/>
      <c r="B6549" s="753"/>
      <c r="C6549" s="752" t="s">
        <v>42139</v>
      </c>
      <c r="D6549" s="753" t="s">
        <v>42134</v>
      </c>
      <c r="E6549" s="752" t="s">
        <v>293</v>
      </c>
      <c r="F6549" s="751">
        <v>2375</v>
      </c>
    </row>
    <row r="6550" spans="1:6">
      <c r="A6550" s="753"/>
      <c r="B6550" s="753"/>
      <c r="C6550" s="752" t="s">
        <v>42138</v>
      </c>
      <c r="D6550" s="753" t="s">
        <v>42134</v>
      </c>
      <c r="E6550" s="752" t="s">
        <v>293</v>
      </c>
      <c r="F6550" s="751">
        <v>2375</v>
      </c>
    </row>
    <row r="6551" spans="1:6">
      <c r="A6551" s="753"/>
      <c r="B6551" s="753"/>
      <c r="C6551" s="752" t="s">
        <v>42137</v>
      </c>
      <c r="D6551" s="753" t="s">
        <v>42134</v>
      </c>
      <c r="E6551" s="752" t="s">
        <v>37876</v>
      </c>
      <c r="F6551" s="751">
        <v>2325</v>
      </c>
    </row>
    <row r="6552" spans="1:6">
      <c r="A6552" s="753"/>
      <c r="B6552" s="753"/>
      <c r="C6552" s="752" t="s">
        <v>42136</v>
      </c>
      <c r="D6552" s="753" t="s">
        <v>42134</v>
      </c>
      <c r="E6552" s="752" t="s">
        <v>293</v>
      </c>
      <c r="F6552" s="751">
        <v>2375</v>
      </c>
    </row>
    <row r="6553" spans="1:6">
      <c r="A6553" s="753"/>
      <c r="B6553" s="753"/>
      <c r="C6553" s="752" t="s">
        <v>42135</v>
      </c>
      <c r="D6553" s="753" t="s">
        <v>42134</v>
      </c>
      <c r="E6553" s="752" t="s">
        <v>37876</v>
      </c>
      <c r="F6553" s="751">
        <v>2325</v>
      </c>
    </row>
    <row r="6554" spans="1:6">
      <c r="A6554" s="753"/>
      <c r="B6554" s="753"/>
      <c r="C6554" s="752" t="s">
        <v>42133</v>
      </c>
      <c r="D6554" s="753" t="s">
        <v>42130</v>
      </c>
      <c r="E6554" s="752" t="s">
        <v>293</v>
      </c>
      <c r="F6554" s="751">
        <v>2925</v>
      </c>
    </row>
    <row r="6555" spans="1:6">
      <c r="A6555" s="753"/>
      <c r="B6555" s="753"/>
      <c r="C6555" s="752" t="s">
        <v>42132</v>
      </c>
      <c r="D6555" s="753" t="s">
        <v>42130</v>
      </c>
      <c r="E6555" s="752" t="s">
        <v>293</v>
      </c>
      <c r="F6555" s="751">
        <v>2925</v>
      </c>
    </row>
    <row r="6556" spans="1:6">
      <c r="A6556" s="753"/>
      <c r="B6556" s="753"/>
      <c r="C6556" s="752" t="s">
        <v>42131</v>
      </c>
      <c r="D6556" s="753" t="s">
        <v>42130</v>
      </c>
      <c r="E6556" s="752" t="s">
        <v>293</v>
      </c>
      <c r="F6556" s="751">
        <v>2925</v>
      </c>
    </row>
    <row r="6557" spans="1:6">
      <c r="A6557" s="753"/>
      <c r="B6557" s="753"/>
      <c r="C6557" s="752" t="s">
        <v>42129</v>
      </c>
      <c r="D6557" s="753" t="s">
        <v>42127</v>
      </c>
      <c r="E6557" s="752" t="s">
        <v>293</v>
      </c>
      <c r="F6557" s="751">
        <v>2925</v>
      </c>
    </row>
    <row r="6558" spans="1:6">
      <c r="A6558" s="753"/>
      <c r="B6558" s="753"/>
      <c r="C6558" s="752" t="s">
        <v>42128</v>
      </c>
      <c r="D6558" s="753" t="s">
        <v>42127</v>
      </c>
      <c r="E6558" s="752" t="s">
        <v>293</v>
      </c>
      <c r="F6558" s="751">
        <v>2925</v>
      </c>
    </row>
    <row r="6559" spans="1:6">
      <c r="A6559" s="753"/>
      <c r="B6559" s="753"/>
      <c r="C6559" s="752" t="s">
        <v>42126</v>
      </c>
      <c r="D6559" s="753" t="s">
        <v>42121</v>
      </c>
      <c r="E6559" s="752" t="s">
        <v>293</v>
      </c>
      <c r="F6559" s="751">
        <v>2475</v>
      </c>
    </row>
    <row r="6560" spans="1:6">
      <c r="A6560" s="753"/>
      <c r="B6560" s="753"/>
      <c r="C6560" s="752" t="s">
        <v>42125</v>
      </c>
      <c r="D6560" s="753" t="s">
        <v>42124</v>
      </c>
      <c r="E6560" s="752" t="s">
        <v>37876</v>
      </c>
      <c r="F6560" s="751">
        <v>2425</v>
      </c>
    </row>
    <row r="6561" spans="1:6">
      <c r="A6561" s="753"/>
      <c r="B6561" s="753"/>
      <c r="C6561" s="752" t="s">
        <v>42123</v>
      </c>
      <c r="D6561" s="753" t="s">
        <v>42121</v>
      </c>
      <c r="E6561" s="752" t="s">
        <v>293</v>
      </c>
      <c r="F6561" s="751">
        <v>2475</v>
      </c>
    </row>
    <row r="6562" spans="1:6">
      <c r="A6562" s="753"/>
      <c r="B6562" s="753"/>
      <c r="C6562" s="752" t="s">
        <v>42122</v>
      </c>
      <c r="D6562" s="753" t="s">
        <v>42121</v>
      </c>
      <c r="E6562" s="752" t="s">
        <v>37876</v>
      </c>
      <c r="F6562" s="751">
        <v>2425</v>
      </c>
    </row>
    <row r="6563" spans="1:6">
      <c r="A6563" s="753"/>
      <c r="B6563" s="753"/>
      <c r="C6563" s="752" t="s">
        <v>42120</v>
      </c>
      <c r="D6563" s="753" t="s">
        <v>42119</v>
      </c>
      <c r="E6563" s="752" t="s">
        <v>293</v>
      </c>
      <c r="F6563" s="751">
        <v>3025</v>
      </c>
    </row>
    <row r="6564" spans="1:6">
      <c r="A6564" s="753"/>
      <c r="B6564" s="753"/>
      <c r="C6564" s="752" t="s">
        <v>42118</v>
      </c>
      <c r="D6564" s="753" t="s">
        <v>42117</v>
      </c>
      <c r="E6564" s="752" t="s">
        <v>293</v>
      </c>
      <c r="F6564" s="751">
        <v>3025</v>
      </c>
    </row>
    <row r="6565" spans="1:6">
      <c r="A6565" s="753"/>
      <c r="B6565" s="753" t="s">
        <v>42116</v>
      </c>
      <c r="C6565" s="752" t="s">
        <v>42115</v>
      </c>
      <c r="D6565" s="753" t="s">
        <v>42114</v>
      </c>
      <c r="E6565" s="752" t="s">
        <v>293</v>
      </c>
      <c r="F6565" s="751">
        <v>1845</v>
      </c>
    </row>
    <row r="6566" spans="1:6">
      <c r="A6566" s="753"/>
      <c r="B6566" s="753" t="s">
        <v>42113</v>
      </c>
      <c r="C6566" s="752" t="s">
        <v>42112</v>
      </c>
      <c r="D6566" s="753" t="s">
        <v>42111</v>
      </c>
      <c r="E6566" s="752" t="s">
        <v>293</v>
      </c>
      <c r="F6566" s="751">
        <v>2575</v>
      </c>
    </row>
    <row r="6567" spans="1:6">
      <c r="A6567" s="753"/>
      <c r="B6567" s="753"/>
      <c r="C6567" s="752" t="s">
        <v>42110</v>
      </c>
      <c r="D6567" s="753" t="s">
        <v>42109</v>
      </c>
      <c r="E6567" s="752" t="s">
        <v>293</v>
      </c>
      <c r="F6567" s="751">
        <v>3125</v>
      </c>
    </row>
    <row r="6568" spans="1:6">
      <c r="A6568" s="753"/>
      <c r="B6568" s="753"/>
      <c r="C6568" s="752" t="s">
        <v>42108</v>
      </c>
      <c r="D6568" s="753" t="s">
        <v>42107</v>
      </c>
      <c r="E6568" s="752" t="s">
        <v>293</v>
      </c>
      <c r="F6568" s="751">
        <v>2375</v>
      </c>
    </row>
    <row r="6569" spans="1:6">
      <c r="A6569" s="753"/>
      <c r="B6569" s="753"/>
      <c r="C6569" s="752" t="s">
        <v>42106</v>
      </c>
      <c r="D6569" s="753" t="s">
        <v>42105</v>
      </c>
      <c r="E6569" s="752" t="s">
        <v>293</v>
      </c>
      <c r="F6569" s="751">
        <v>2925</v>
      </c>
    </row>
    <row r="6570" spans="1:6">
      <c r="A6570" s="753" t="s">
        <v>42104</v>
      </c>
      <c r="B6570" s="753" t="s">
        <v>42103</v>
      </c>
      <c r="C6570" s="752" t="s">
        <v>42102</v>
      </c>
      <c r="D6570" s="753" t="s">
        <v>42101</v>
      </c>
      <c r="E6570" s="752" t="s">
        <v>293</v>
      </c>
      <c r="F6570" s="751">
        <v>2575</v>
      </c>
    </row>
    <row r="6571" spans="1:6">
      <c r="A6571" s="753"/>
      <c r="B6571" s="753"/>
      <c r="C6571" s="752" t="s">
        <v>42100</v>
      </c>
      <c r="D6571" s="753" t="s">
        <v>42099</v>
      </c>
      <c r="E6571" s="752" t="s">
        <v>293</v>
      </c>
      <c r="F6571" s="751">
        <v>3125</v>
      </c>
    </row>
    <row r="6572" spans="1:6">
      <c r="A6572" s="753"/>
      <c r="B6572" s="753"/>
      <c r="C6572" s="752" t="s">
        <v>42098</v>
      </c>
      <c r="D6572" s="753" t="s">
        <v>42097</v>
      </c>
      <c r="E6572" s="752" t="s">
        <v>293</v>
      </c>
      <c r="F6572" s="751">
        <v>2375</v>
      </c>
    </row>
    <row r="6573" spans="1:6">
      <c r="A6573" s="753"/>
      <c r="B6573" s="753"/>
      <c r="C6573" s="752" t="s">
        <v>42096</v>
      </c>
      <c r="D6573" s="753" t="s">
        <v>42095</v>
      </c>
      <c r="E6573" s="752" t="s">
        <v>293</v>
      </c>
      <c r="F6573" s="751">
        <v>2925</v>
      </c>
    </row>
    <row r="6574" spans="1:6">
      <c r="A6574" s="753"/>
      <c r="B6574" s="753" t="s">
        <v>42094</v>
      </c>
      <c r="C6574" s="752" t="s">
        <v>42093</v>
      </c>
      <c r="D6574" s="753" t="s">
        <v>42092</v>
      </c>
      <c r="E6574" s="752" t="s">
        <v>293</v>
      </c>
      <c r="F6574" s="751">
        <v>2575</v>
      </c>
    </row>
    <row r="6575" spans="1:6">
      <c r="A6575" s="753"/>
      <c r="B6575" s="753"/>
      <c r="C6575" s="752" t="s">
        <v>42091</v>
      </c>
      <c r="D6575" s="753" t="s">
        <v>42090</v>
      </c>
      <c r="E6575" s="752" t="s">
        <v>293</v>
      </c>
      <c r="F6575" s="751">
        <v>3125</v>
      </c>
    </row>
    <row r="6576" spans="1:6">
      <c r="A6576" s="753"/>
      <c r="B6576" s="753"/>
      <c r="C6576" s="752" t="s">
        <v>42089</v>
      </c>
      <c r="D6576" s="753" t="s">
        <v>42087</v>
      </c>
      <c r="E6576" s="752" t="s">
        <v>293</v>
      </c>
      <c r="F6576" s="751">
        <v>2375</v>
      </c>
    </row>
    <row r="6577" spans="1:6">
      <c r="A6577" s="753"/>
      <c r="B6577" s="753"/>
      <c r="C6577" s="752" t="s">
        <v>42088</v>
      </c>
      <c r="D6577" s="753" t="s">
        <v>42087</v>
      </c>
      <c r="E6577" s="752" t="s">
        <v>293</v>
      </c>
      <c r="F6577" s="751">
        <v>2375</v>
      </c>
    </row>
    <row r="6578" spans="1:6">
      <c r="A6578" s="753"/>
      <c r="B6578" s="753"/>
      <c r="C6578" s="752" t="s">
        <v>42086</v>
      </c>
      <c r="D6578" s="753" t="s">
        <v>42084</v>
      </c>
      <c r="E6578" s="752" t="s">
        <v>293</v>
      </c>
      <c r="F6578" s="751">
        <v>2925</v>
      </c>
    </row>
    <row r="6579" spans="1:6">
      <c r="A6579" s="753"/>
      <c r="B6579" s="753"/>
      <c r="C6579" s="752" t="s">
        <v>42085</v>
      </c>
      <c r="D6579" s="753" t="s">
        <v>42084</v>
      </c>
      <c r="E6579" s="752" t="s">
        <v>293</v>
      </c>
      <c r="F6579" s="751">
        <v>2925</v>
      </c>
    </row>
    <row r="6580" spans="1:6">
      <c r="A6580" s="753"/>
      <c r="B6580" s="753"/>
      <c r="C6580" s="752" t="s">
        <v>42083</v>
      </c>
      <c r="D6580" s="753" t="s">
        <v>42082</v>
      </c>
      <c r="E6580" s="752" t="s">
        <v>293</v>
      </c>
      <c r="F6580" s="751">
        <v>2925</v>
      </c>
    </row>
    <row r="6581" spans="1:6">
      <c r="A6581" s="753"/>
      <c r="B6581" s="753" t="s">
        <v>42080</v>
      </c>
      <c r="C6581" s="752" t="s">
        <v>42081</v>
      </c>
      <c r="D6581" s="753" t="s">
        <v>42080</v>
      </c>
      <c r="E6581" s="752" t="s">
        <v>39055</v>
      </c>
      <c r="F6581" s="751">
        <v>1975</v>
      </c>
    </row>
    <row r="6582" spans="1:6">
      <c r="A6582" s="753"/>
      <c r="B6582" s="753" t="s">
        <v>42079</v>
      </c>
      <c r="C6582" s="752" t="s">
        <v>42078</v>
      </c>
      <c r="D6582" s="753" t="s">
        <v>42077</v>
      </c>
      <c r="E6582" s="752" t="s">
        <v>39088</v>
      </c>
      <c r="F6582" s="751">
        <v>1975</v>
      </c>
    </row>
    <row r="6583" spans="1:6">
      <c r="A6583" s="753"/>
      <c r="B6583" s="753" t="s">
        <v>42076</v>
      </c>
      <c r="C6583" s="752" t="s">
        <v>42075</v>
      </c>
      <c r="D6583" s="753" t="s">
        <v>42073</v>
      </c>
      <c r="E6583" s="752" t="s">
        <v>293</v>
      </c>
      <c r="F6583" s="751">
        <v>2925</v>
      </c>
    </row>
    <row r="6584" spans="1:6">
      <c r="A6584" s="753"/>
      <c r="B6584" s="753"/>
      <c r="C6584" s="752" t="s">
        <v>42074</v>
      </c>
      <c r="D6584" s="753" t="s">
        <v>42073</v>
      </c>
      <c r="E6584" s="752" t="s">
        <v>42054</v>
      </c>
      <c r="F6584" s="751">
        <v>3935</v>
      </c>
    </row>
    <row r="6585" spans="1:6">
      <c r="A6585" s="753"/>
      <c r="B6585" s="753" t="s">
        <v>42072</v>
      </c>
      <c r="C6585" s="752" t="s">
        <v>42071</v>
      </c>
      <c r="D6585" s="753" t="s">
        <v>42069</v>
      </c>
      <c r="E6585" s="752" t="s">
        <v>293</v>
      </c>
      <c r="F6585" s="751">
        <v>2825</v>
      </c>
    </row>
    <row r="6586" spans="1:6">
      <c r="A6586" s="753"/>
      <c r="B6586" s="753"/>
      <c r="C6586" s="752" t="s">
        <v>42070</v>
      </c>
      <c r="D6586" s="753" t="s">
        <v>42069</v>
      </c>
      <c r="E6586" s="752" t="s">
        <v>293</v>
      </c>
      <c r="F6586" s="751">
        <v>2825</v>
      </c>
    </row>
    <row r="6587" spans="1:6">
      <c r="A6587" s="753"/>
      <c r="B6587" s="753"/>
      <c r="C6587" s="752" t="s">
        <v>42068</v>
      </c>
      <c r="D6587" s="753" t="s">
        <v>42067</v>
      </c>
      <c r="E6587" s="752" t="s">
        <v>293</v>
      </c>
      <c r="F6587" s="751">
        <v>3375</v>
      </c>
    </row>
    <row r="6588" spans="1:6">
      <c r="A6588" s="753"/>
      <c r="B6588" s="753"/>
      <c r="C6588" s="752" t="s">
        <v>42066</v>
      </c>
      <c r="D6588" s="753" t="s">
        <v>42065</v>
      </c>
      <c r="E6588" s="752" t="s">
        <v>293</v>
      </c>
      <c r="F6588" s="751">
        <v>2625</v>
      </c>
    </row>
    <row r="6589" spans="1:6">
      <c r="A6589" s="753"/>
      <c r="B6589" s="753"/>
      <c r="C6589" s="752" t="s">
        <v>42064</v>
      </c>
      <c r="D6589" s="753" t="s">
        <v>42059</v>
      </c>
      <c r="E6589" s="752" t="s">
        <v>293</v>
      </c>
      <c r="F6589" s="751">
        <v>2625</v>
      </c>
    </row>
    <row r="6590" spans="1:6">
      <c r="A6590" s="753"/>
      <c r="B6590" s="753"/>
      <c r="C6590" s="752" t="s">
        <v>42063</v>
      </c>
      <c r="D6590" s="753" t="s">
        <v>42059</v>
      </c>
      <c r="E6590" s="752" t="s">
        <v>39011</v>
      </c>
      <c r="F6590" s="751">
        <v>2885</v>
      </c>
    </row>
    <row r="6591" spans="1:6">
      <c r="A6591" s="753"/>
      <c r="B6591" s="753"/>
      <c r="C6591" s="752" t="s">
        <v>42062</v>
      </c>
      <c r="D6591" s="753" t="s">
        <v>42059</v>
      </c>
      <c r="E6591" s="752" t="s">
        <v>42061</v>
      </c>
      <c r="F6591" s="751">
        <v>2125</v>
      </c>
    </row>
    <row r="6592" spans="1:6">
      <c r="A6592" s="753"/>
      <c r="B6592" s="753"/>
      <c r="C6592" s="752" t="s">
        <v>42060</v>
      </c>
      <c r="D6592" s="753" t="s">
        <v>42059</v>
      </c>
      <c r="E6592" s="752" t="s">
        <v>42058</v>
      </c>
      <c r="F6592" s="751">
        <v>2125</v>
      </c>
    </row>
    <row r="6593" spans="1:6">
      <c r="A6593" s="753"/>
      <c r="B6593" s="753"/>
      <c r="C6593" s="752" t="s">
        <v>42057</v>
      </c>
      <c r="D6593" s="753" t="s">
        <v>42055</v>
      </c>
      <c r="E6593" s="752" t="s">
        <v>293</v>
      </c>
      <c r="F6593" s="751">
        <v>3175</v>
      </c>
    </row>
    <row r="6594" spans="1:6">
      <c r="A6594" s="753"/>
      <c r="B6594" s="753"/>
      <c r="C6594" s="752" t="s">
        <v>42056</v>
      </c>
      <c r="D6594" s="753" t="s">
        <v>42055</v>
      </c>
      <c r="E6594" s="752" t="s">
        <v>42054</v>
      </c>
      <c r="F6594" s="751">
        <v>3935</v>
      </c>
    </row>
    <row r="6595" spans="1:6">
      <c r="A6595" s="753"/>
      <c r="B6595" s="753"/>
      <c r="C6595" s="752" t="s">
        <v>42053</v>
      </c>
      <c r="D6595" s="753" t="s">
        <v>42052</v>
      </c>
      <c r="E6595" s="752" t="s">
        <v>293</v>
      </c>
      <c r="F6595" s="751">
        <v>3175</v>
      </c>
    </row>
    <row r="6596" spans="1:6">
      <c r="A6596" s="753"/>
      <c r="B6596" s="753" t="s">
        <v>42051</v>
      </c>
      <c r="C6596" s="752" t="s">
        <v>42050</v>
      </c>
      <c r="D6596" s="753" t="s">
        <v>42049</v>
      </c>
      <c r="E6596" s="752" t="s">
        <v>293</v>
      </c>
      <c r="F6596" s="751">
        <v>2825</v>
      </c>
    </row>
    <row r="6597" spans="1:6">
      <c r="A6597" s="753"/>
      <c r="B6597" s="753"/>
      <c r="C6597" s="752" t="s">
        <v>42048</v>
      </c>
      <c r="D6597" s="753" t="s">
        <v>42047</v>
      </c>
      <c r="E6597" s="752" t="s">
        <v>293</v>
      </c>
      <c r="F6597" s="751">
        <v>2625</v>
      </c>
    </row>
    <row r="6598" spans="1:6">
      <c r="A6598" s="753"/>
      <c r="B6598" s="753"/>
      <c r="C6598" s="752" t="s">
        <v>42046</v>
      </c>
      <c r="D6598" s="753" t="s">
        <v>42038</v>
      </c>
      <c r="E6598" s="752" t="s">
        <v>38962</v>
      </c>
      <c r="F6598" s="751">
        <v>2125</v>
      </c>
    </row>
    <row r="6599" spans="1:6">
      <c r="A6599" s="753"/>
      <c r="B6599" s="753"/>
      <c r="C6599" s="752" t="s">
        <v>42045</v>
      </c>
      <c r="D6599" s="753" t="s">
        <v>42044</v>
      </c>
      <c r="E6599" s="752" t="s">
        <v>293</v>
      </c>
      <c r="F6599" s="751">
        <v>3275</v>
      </c>
    </row>
    <row r="6600" spans="1:6">
      <c r="A6600" s="753"/>
      <c r="B6600" s="753" t="s">
        <v>42043</v>
      </c>
      <c r="C6600" s="752" t="s">
        <v>42042</v>
      </c>
      <c r="D6600" s="753" t="s">
        <v>42041</v>
      </c>
      <c r="E6600" s="752" t="s">
        <v>38539</v>
      </c>
      <c r="F6600" s="751">
        <v>3075</v>
      </c>
    </row>
    <row r="6601" spans="1:6">
      <c r="A6601" s="753"/>
      <c r="B6601" s="753"/>
      <c r="C6601" s="752" t="s">
        <v>42040</v>
      </c>
      <c r="D6601" s="753" t="s">
        <v>42038</v>
      </c>
      <c r="E6601" s="752" t="s">
        <v>293</v>
      </c>
      <c r="F6601" s="751">
        <v>2425</v>
      </c>
    </row>
    <row r="6602" spans="1:6">
      <c r="A6602" s="753"/>
      <c r="B6602" s="753"/>
      <c r="C6602" s="752" t="s">
        <v>42039</v>
      </c>
      <c r="D6602" s="753" t="s">
        <v>42038</v>
      </c>
      <c r="E6602" s="752" t="s">
        <v>38962</v>
      </c>
      <c r="F6602" s="751">
        <v>2125</v>
      </c>
    </row>
    <row r="6603" spans="1:6">
      <c r="A6603" s="753"/>
      <c r="B6603" s="753"/>
      <c r="C6603" s="752" t="s">
        <v>42037</v>
      </c>
      <c r="D6603" s="753" t="s">
        <v>42036</v>
      </c>
      <c r="E6603" s="752" t="s">
        <v>293</v>
      </c>
      <c r="F6603" s="751">
        <v>2945</v>
      </c>
    </row>
    <row r="6604" spans="1:6">
      <c r="A6604" s="753" t="s">
        <v>42035</v>
      </c>
      <c r="B6604" s="753" t="s">
        <v>42034</v>
      </c>
      <c r="C6604" s="752" t="s">
        <v>42033</v>
      </c>
      <c r="D6604" s="753" t="s">
        <v>42032</v>
      </c>
      <c r="E6604" s="752" t="s">
        <v>293</v>
      </c>
      <c r="F6604" s="751">
        <v>3425</v>
      </c>
    </row>
    <row r="6605" spans="1:6">
      <c r="A6605" s="753" t="s">
        <v>42031</v>
      </c>
      <c r="B6605" s="753" t="s">
        <v>42030</v>
      </c>
      <c r="C6605" s="752" t="s">
        <v>42029</v>
      </c>
      <c r="D6605" s="753" t="s">
        <v>42028</v>
      </c>
      <c r="E6605" s="752" t="s">
        <v>293</v>
      </c>
      <c r="F6605" s="751">
        <v>2125</v>
      </c>
    </row>
    <row r="6606" spans="1:6">
      <c r="A6606" s="753"/>
      <c r="B6606" s="753" t="s">
        <v>42027</v>
      </c>
      <c r="C6606" s="752" t="s">
        <v>42026</v>
      </c>
      <c r="D6606" s="753" t="s">
        <v>42025</v>
      </c>
      <c r="E6606" s="752" t="s">
        <v>293</v>
      </c>
      <c r="F6606" s="751">
        <v>3125</v>
      </c>
    </row>
    <row r="6607" spans="1:6">
      <c r="A6607" s="753"/>
      <c r="B6607" s="753"/>
      <c r="C6607" s="752" t="s">
        <v>42024</v>
      </c>
      <c r="D6607" s="753" t="s">
        <v>42023</v>
      </c>
      <c r="E6607" s="752" t="s">
        <v>293</v>
      </c>
      <c r="F6607" s="751">
        <v>2925</v>
      </c>
    </row>
    <row r="6608" spans="1:6">
      <c r="A6608" s="753" t="s">
        <v>42022</v>
      </c>
      <c r="B6608" s="753" t="s">
        <v>42021</v>
      </c>
      <c r="C6608" s="752" t="s">
        <v>42020</v>
      </c>
      <c r="D6608" s="753" t="s">
        <v>42019</v>
      </c>
      <c r="E6608" s="752" t="s">
        <v>293</v>
      </c>
      <c r="F6608" s="751">
        <v>2125</v>
      </c>
    </row>
    <row r="6609" spans="1:6">
      <c r="A6609" s="753"/>
      <c r="B6609" s="753"/>
      <c r="C6609" s="752" t="s">
        <v>42018</v>
      </c>
      <c r="D6609" s="753" t="s">
        <v>42017</v>
      </c>
      <c r="E6609" s="752" t="s">
        <v>293</v>
      </c>
      <c r="F6609" s="751">
        <v>1925</v>
      </c>
    </row>
    <row r="6610" spans="1:6">
      <c r="A6610" s="753"/>
      <c r="B6610" s="753"/>
      <c r="C6610" s="752" t="s">
        <v>42016</v>
      </c>
      <c r="D6610" s="753" t="s">
        <v>42015</v>
      </c>
      <c r="E6610" s="752" t="s">
        <v>293</v>
      </c>
      <c r="F6610" s="751">
        <v>2025</v>
      </c>
    </row>
    <row r="6611" spans="1:6">
      <c r="A6611" s="753"/>
      <c r="B6611" s="753" t="s">
        <v>42014</v>
      </c>
      <c r="C6611" s="752" t="s">
        <v>42013</v>
      </c>
      <c r="D6611" s="753" t="s">
        <v>42012</v>
      </c>
      <c r="E6611" s="752" t="s">
        <v>293</v>
      </c>
      <c r="F6611" s="751">
        <v>2575</v>
      </c>
    </row>
    <row r="6612" spans="1:6">
      <c r="A6612" s="753"/>
      <c r="B6612" s="753"/>
      <c r="C6612" s="752" t="s">
        <v>42011</v>
      </c>
      <c r="D6612" s="753" t="s">
        <v>42010</v>
      </c>
      <c r="E6612" s="752" t="s">
        <v>293</v>
      </c>
      <c r="F6612" s="751">
        <v>3125</v>
      </c>
    </row>
    <row r="6613" spans="1:6">
      <c r="A6613" s="753"/>
      <c r="B6613" s="753"/>
      <c r="C6613" s="752" t="s">
        <v>42009</v>
      </c>
      <c r="D6613" s="753" t="s">
        <v>42008</v>
      </c>
      <c r="E6613" s="752" t="s">
        <v>293</v>
      </c>
      <c r="F6613" s="751">
        <v>2375</v>
      </c>
    </row>
    <row r="6614" spans="1:6">
      <c r="A6614" s="753"/>
      <c r="B6614" s="753"/>
      <c r="C6614" s="752" t="s">
        <v>42007</v>
      </c>
      <c r="D6614" s="753" t="s">
        <v>42006</v>
      </c>
      <c r="E6614" s="752" t="s">
        <v>293</v>
      </c>
      <c r="F6614" s="751">
        <v>2475</v>
      </c>
    </row>
    <row r="6615" spans="1:6">
      <c r="A6615" s="753"/>
      <c r="B6615" s="753"/>
      <c r="C6615" s="752" t="s">
        <v>42005</v>
      </c>
      <c r="D6615" s="753" t="s">
        <v>42004</v>
      </c>
      <c r="E6615" s="752" t="s">
        <v>293</v>
      </c>
      <c r="F6615" s="751">
        <v>2925</v>
      </c>
    </row>
    <row r="6616" spans="1:6">
      <c r="A6616" s="753"/>
      <c r="B6616" s="753"/>
      <c r="C6616" s="752" t="s">
        <v>42003</v>
      </c>
      <c r="D6616" s="753" t="s">
        <v>42002</v>
      </c>
      <c r="E6616" s="752" t="s">
        <v>293</v>
      </c>
      <c r="F6616" s="751">
        <v>2825</v>
      </c>
    </row>
    <row r="6617" spans="1:6">
      <c r="A6617" s="753"/>
      <c r="B6617" s="753" t="s">
        <v>42001</v>
      </c>
      <c r="C6617" s="752" t="s">
        <v>42000</v>
      </c>
      <c r="D6617" s="753" t="s">
        <v>41999</v>
      </c>
      <c r="E6617" s="752" t="s">
        <v>37838</v>
      </c>
      <c r="F6617" s="751">
        <v>1975</v>
      </c>
    </row>
    <row r="6618" spans="1:6">
      <c r="A6618" s="753" t="s">
        <v>5160</v>
      </c>
      <c r="B6618" s="753" t="s">
        <v>41998</v>
      </c>
      <c r="C6618" s="752" t="s">
        <v>41997</v>
      </c>
      <c r="D6618" s="753" t="s">
        <v>41996</v>
      </c>
      <c r="E6618" s="752" t="s">
        <v>41824</v>
      </c>
      <c r="F6618" s="751">
        <v>3715</v>
      </c>
    </row>
    <row r="6619" spans="1:6">
      <c r="A6619" s="753"/>
      <c r="B6619" s="753"/>
      <c r="C6619" s="752" t="s">
        <v>41995</v>
      </c>
      <c r="D6619" s="753" t="s">
        <v>41994</v>
      </c>
      <c r="E6619" s="752" t="s">
        <v>293</v>
      </c>
      <c r="F6619" s="751">
        <v>4365</v>
      </c>
    </row>
    <row r="6620" spans="1:6">
      <c r="A6620" s="753"/>
      <c r="B6620" s="753"/>
      <c r="C6620" s="752" t="s">
        <v>41993</v>
      </c>
      <c r="D6620" s="753" t="s">
        <v>41989</v>
      </c>
      <c r="E6620" s="752" t="s">
        <v>293</v>
      </c>
      <c r="F6620" s="751">
        <v>4265</v>
      </c>
    </row>
    <row r="6621" spans="1:6">
      <c r="A6621" s="753"/>
      <c r="B6621" s="753"/>
      <c r="C6621" s="752" t="s">
        <v>41992</v>
      </c>
      <c r="D6621" s="753" t="s">
        <v>41989</v>
      </c>
      <c r="E6621" s="752" t="s">
        <v>38670</v>
      </c>
      <c r="F6621" s="751">
        <v>5025</v>
      </c>
    </row>
    <row r="6622" spans="1:6">
      <c r="A6622" s="753"/>
      <c r="B6622" s="753"/>
      <c r="C6622" s="752" t="s">
        <v>41991</v>
      </c>
      <c r="D6622" s="753" t="s">
        <v>41986</v>
      </c>
      <c r="E6622" s="752" t="s">
        <v>293</v>
      </c>
      <c r="F6622" s="751">
        <v>3625</v>
      </c>
    </row>
    <row r="6623" spans="1:6">
      <c r="A6623" s="753"/>
      <c r="B6623" s="753"/>
      <c r="C6623" s="752" t="s">
        <v>41990</v>
      </c>
      <c r="D6623" s="753" t="s">
        <v>41989</v>
      </c>
      <c r="E6623" s="752" t="s">
        <v>293</v>
      </c>
      <c r="F6623" s="751">
        <v>4265</v>
      </c>
    </row>
    <row r="6624" spans="1:6">
      <c r="A6624" s="753"/>
      <c r="B6624" s="753"/>
      <c r="C6624" s="752" t="s">
        <v>41988</v>
      </c>
      <c r="D6624" s="753" t="s">
        <v>41986</v>
      </c>
      <c r="E6624" s="752" t="s">
        <v>293</v>
      </c>
      <c r="F6624" s="751">
        <v>3625</v>
      </c>
    </row>
    <row r="6625" spans="1:6">
      <c r="A6625" s="753"/>
      <c r="B6625" s="753"/>
      <c r="C6625" s="752" t="s">
        <v>41987</v>
      </c>
      <c r="D6625" s="753" t="s">
        <v>41986</v>
      </c>
      <c r="E6625" s="752" t="s">
        <v>293</v>
      </c>
      <c r="F6625" s="751">
        <v>3625</v>
      </c>
    </row>
    <row r="6626" spans="1:6">
      <c r="A6626" s="753"/>
      <c r="B6626" s="753"/>
      <c r="C6626" s="752" t="s">
        <v>41985</v>
      </c>
      <c r="D6626" s="753" t="s">
        <v>41974</v>
      </c>
      <c r="E6626" s="752" t="s">
        <v>293</v>
      </c>
      <c r="F6626" s="751">
        <v>2575</v>
      </c>
    </row>
    <row r="6627" spans="1:6">
      <c r="A6627" s="753"/>
      <c r="B6627" s="753"/>
      <c r="C6627" s="752" t="s">
        <v>41984</v>
      </c>
      <c r="D6627" s="753" t="s">
        <v>41974</v>
      </c>
      <c r="E6627" s="752" t="s">
        <v>38878</v>
      </c>
      <c r="F6627" s="751">
        <v>2525</v>
      </c>
    </row>
    <row r="6628" spans="1:6">
      <c r="A6628" s="753"/>
      <c r="B6628" s="753"/>
      <c r="C6628" s="752" t="s">
        <v>41983</v>
      </c>
      <c r="D6628" s="753" t="s">
        <v>41974</v>
      </c>
      <c r="E6628" s="752" t="s">
        <v>37794</v>
      </c>
      <c r="F6628" s="751">
        <v>3085</v>
      </c>
    </row>
    <row r="6629" spans="1:6">
      <c r="A6629" s="753"/>
      <c r="B6629" s="753"/>
      <c r="C6629" s="752" t="s">
        <v>41982</v>
      </c>
      <c r="D6629" s="753" t="s">
        <v>41974</v>
      </c>
      <c r="E6629" s="752" t="s">
        <v>293</v>
      </c>
      <c r="F6629" s="751">
        <v>2575</v>
      </c>
    </row>
    <row r="6630" spans="1:6">
      <c r="A6630" s="753"/>
      <c r="B6630" s="753"/>
      <c r="C6630" s="752" t="s">
        <v>41981</v>
      </c>
      <c r="D6630" s="753" t="s">
        <v>41974</v>
      </c>
      <c r="E6630" s="752" t="s">
        <v>38878</v>
      </c>
      <c r="F6630" s="751">
        <v>2525</v>
      </c>
    </row>
    <row r="6631" spans="1:6">
      <c r="A6631" s="753"/>
      <c r="B6631" s="753"/>
      <c r="C6631" s="752" t="s">
        <v>41980</v>
      </c>
      <c r="D6631" s="753" t="s">
        <v>41974</v>
      </c>
      <c r="E6631" s="752" t="s">
        <v>293</v>
      </c>
      <c r="F6631" s="751">
        <v>2575</v>
      </c>
    </row>
    <row r="6632" spans="1:6">
      <c r="A6632" s="753"/>
      <c r="B6632" s="753"/>
      <c r="C6632" s="752" t="s">
        <v>41979</v>
      </c>
      <c r="D6632" s="753" t="s">
        <v>41974</v>
      </c>
      <c r="E6632" s="752" t="s">
        <v>38577</v>
      </c>
      <c r="F6632" s="751">
        <v>3335</v>
      </c>
    </row>
    <row r="6633" spans="1:6">
      <c r="A6633" s="753"/>
      <c r="B6633" s="753"/>
      <c r="C6633" s="752" t="s">
        <v>41978</v>
      </c>
      <c r="D6633" s="753" t="s">
        <v>41974</v>
      </c>
      <c r="E6633" s="752" t="s">
        <v>41706</v>
      </c>
      <c r="F6633" s="751">
        <v>2575</v>
      </c>
    </row>
    <row r="6634" spans="1:6">
      <c r="A6634" s="753"/>
      <c r="B6634" s="753"/>
      <c r="C6634" s="752" t="s">
        <v>41977</v>
      </c>
      <c r="D6634" s="753" t="s">
        <v>41974</v>
      </c>
      <c r="E6634" s="752" t="s">
        <v>41719</v>
      </c>
      <c r="F6634" s="751">
        <v>2575</v>
      </c>
    </row>
    <row r="6635" spans="1:6">
      <c r="A6635" s="753"/>
      <c r="B6635" s="753"/>
      <c r="C6635" s="752" t="s">
        <v>41976</v>
      </c>
      <c r="D6635" s="753" t="s">
        <v>41974</v>
      </c>
      <c r="E6635" s="752" t="s">
        <v>293</v>
      </c>
      <c r="F6635" s="751">
        <v>2575</v>
      </c>
    </row>
    <row r="6636" spans="1:6">
      <c r="A6636" s="753"/>
      <c r="B6636" s="753"/>
      <c r="C6636" s="752" t="s">
        <v>41975</v>
      </c>
      <c r="D6636" s="753" t="s">
        <v>41974</v>
      </c>
      <c r="E6636" s="752" t="s">
        <v>41706</v>
      </c>
      <c r="F6636" s="751">
        <v>2575</v>
      </c>
    </row>
    <row r="6637" spans="1:6">
      <c r="A6637" s="753"/>
      <c r="B6637" s="753"/>
      <c r="C6637" s="752" t="s">
        <v>41973</v>
      </c>
      <c r="D6637" s="753" t="s">
        <v>41968</v>
      </c>
      <c r="E6637" s="752" t="s">
        <v>293</v>
      </c>
      <c r="F6637" s="751">
        <v>3125</v>
      </c>
    </row>
    <row r="6638" spans="1:6">
      <c r="A6638" s="753"/>
      <c r="B6638" s="753"/>
      <c r="C6638" s="752" t="s">
        <v>41972</v>
      </c>
      <c r="D6638" s="753" t="s">
        <v>41968</v>
      </c>
      <c r="E6638" s="752" t="s">
        <v>293</v>
      </c>
      <c r="F6638" s="751">
        <v>3125</v>
      </c>
    </row>
    <row r="6639" spans="1:6">
      <c r="A6639" s="753"/>
      <c r="B6639" s="753"/>
      <c r="C6639" s="752" t="s">
        <v>41971</v>
      </c>
      <c r="D6639" s="753" t="s">
        <v>41968</v>
      </c>
      <c r="E6639" s="752" t="s">
        <v>293</v>
      </c>
      <c r="F6639" s="751">
        <v>3125</v>
      </c>
    </row>
    <row r="6640" spans="1:6">
      <c r="A6640" s="753"/>
      <c r="B6640" s="753"/>
      <c r="C6640" s="752" t="s">
        <v>41970</v>
      </c>
      <c r="D6640" s="753" t="s">
        <v>41968</v>
      </c>
      <c r="E6640" s="752" t="s">
        <v>41719</v>
      </c>
      <c r="F6640" s="751">
        <v>3125</v>
      </c>
    </row>
    <row r="6641" spans="1:6">
      <c r="A6641" s="753"/>
      <c r="B6641" s="753"/>
      <c r="C6641" s="752" t="s">
        <v>41969</v>
      </c>
      <c r="D6641" s="753" t="s">
        <v>41968</v>
      </c>
      <c r="E6641" s="752" t="s">
        <v>41706</v>
      </c>
      <c r="F6641" s="751">
        <v>3125</v>
      </c>
    </row>
    <row r="6642" spans="1:6">
      <c r="A6642" s="753"/>
      <c r="B6642" s="753"/>
      <c r="C6642" s="752" t="s">
        <v>41967</v>
      </c>
      <c r="D6642" s="753" t="s">
        <v>41966</v>
      </c>
      <c r="E6642" s="752" t="s">
        <v>293</v>
      </c>
      <c r="F6642" s="751">
        <v>3125</v>
      </c>
    </row>
    <row r="6643" spans="1:6">
      <c r="A6643" s="753"/>
      <c r="B6643" s="753"/>
      <c r="C6643" s="752" t="s">
        <v>41965</v>
      </c>
      <c r="D6643" s="753" t="s">
        <v>41964</v>
      </c>
      <c r="E6643" s="752" t="s">
        <v>38919</v>
      </c>
      <c r="F6643" s="751">
        <v>3885</v>
      </c>
    </row>
    <row r="6644" spans="1:6">
      <c r="A6644" s="753"/>
      <c r="B6644" s="753"/>
      <c r="C6644" s="752" t="s">
        <v>41963</v>
      </c>
      <c r="D6644" s="753" t="s">
        <v>41936</v>
      </c>
      <c r="E6644" s="752" t="s">
        <v>293</v>
      </c>
      <c r="F6644" s="751">
        <v>2375</v>
      </c>
    </row>
    <row r="6645" spans="1:6">
      <c r="A6645" s="753"/>
      <c r="B6645" s="753"/>
      <c r="C6645" s="752" t="s">
        <v>41962</v>
      </c>
      <c r="D6645" s="753" t="s">
        <v>41936</v>
      </c>
      <c r="E6645" s="752" t="s">
        <v>38878</v>
      </c>
      <c r="F6645" s="751">
        <v>2325</v>
      </c>
    </row>
    <row r="6646" spans="1:6">
      <c r="A6646" s="753"/>
      <c r="B6646" s="753"/>
      <c r="C6646" s="752" t="s">
        <v>41961</v>
      </c>
      <c r="D6646" s="753" t="s">
        <v>41936</v>
      </c>
      <c r="E6646" s="752" t="s">
        <v>293</v>
      </c>
      <c r="F6646" s="751">
        <v>2375</v>
      </c>
    </row>
    <row r="6647" spans="1:6">
      <c r="A6647" s="753"/>
      <c r="B6647" s="753"/>
      <c r="C6647" s="752" t="s">
        <v>41960</v>
      </c>
      <c r="D6647" s="753" t="s">
        <v>41936</v>
      </c>
      <c r="E6647" s="752" t="s">
        <v>38878</v>
      </c>
      <c r="F6647" s="751">
        <v>2325</v>
      </c>
    </row>
    <row r="6648" spans="1:6">
      <c r="A6648" s="753"/>
      <c r="B6648" s="753"/>
      <c r="C6648" s="752" t="s">
        <v>41959</v>
      </c>
      <c r="D6648" s="753" t="s">
        <v>41936</v>
      </c>
      <c r="E6648" s="752" t="s">
        <v>293</v>
      </c>
      <c r="F6648" s="751">
        <v>2375</v>
      </c>
    </row>
    <row r="6649" spans="1:6">
      <c r="A6649" s="753"/>
      <c r="B6649" s="753"/>
      <c r="C6649" s="752" t="s">
        <v>41958</v>
      </c>
      <c r="D6649" s="753" t="s">
        <v>41936</v>
      </c>
      <c r="E6649" s="752" t="s">
        <v>293</v>
      </c>
      <c r="F6649" s="751">
        <v>2375</v>
      </c>
    </row>
    <row r="6650" spans="1:6">
      <c r="A6650" s="753"/>
      <c r="B6650" s="753"/>
      <c r="C6650" s="752" t="s">
        <v>41957</v>
      </c>
      <c r="D6650" s="753" t="s">
        <v>41936</v>
      </c>
      <c r="E6650" s="752" t="s">
        <v>41719</v>
      </c>
      <c r="F6650" s="751">
        <v>3425</v>
      </c>
    </row>
    <row r="6651" spans="1:6">
      <c r="A6651" s="753"/>
      <c r="B6651" s="753"/>
      <c r="C6651" s="752" t="s">
        <v>41956</v>
      </c>
      <c r="D6651" s="753" t="s">
        <v>41936</v>
      </c>
      <c r="E6651" s="752" t="s">
        <v>41706</v>
      </c>
      <c r="F6651" s="751">
        <v>2375</v>
      </c>
    </row>
    <row r="6652" spans="1:6">
      <c r="A6652" s="753"/>
      <c r="B6652" s="753"/>
      <c r="C6652" s="752" t="s">
        <v>41955</v>
      </c>
      <c r="D6652" s="753" t="s">
        <v>41936</v>
      </c>
      <c r="E6652" s="752" t="s">
        <v>41719</v>
      </c>
      <c r="F6652" s="751">
        <v>2375</v>
      </c>
    </row>
    <row r="6653" spans="1:6">
      <c r="A6653" s="753"/>
      <c r="B6653" s="753"/>
      <c r="C6653" s="752" t="s">
        <v>41954</v>
      </c>
      <c r="D6653" s="753" t="s">
        <v>41936</v>
      </c>
      <c r="E6653" s="752" t="s">
        <v>41706</v>
      </c>
      <c r="F6653" s="751">
        <v>2375</v>
      </c>
    </row>
    <row r="6654" spans="1:6">
      <c r="A6654" s="753"/>
      <c r="B6654" s="753"/>
      <c r="C6654" s="752" t="s">
        <v>41953</v>
      </c>
      <c r="D6654" s="753" t="s">
        <v>41947</v>
      </c>
      <c r="E6654" s="752" t="s">
        <v>293</v>
      </c>
      <c r="F6654" s="751">
        <v>2925</v>
      </c>
    </row>
    <row r="6655" spans="1:6">
      <c r="A6655" s="753"/>
      <c r="B6655" s="753"/>
      <c r="C6655" s="752" t="s">
        <v>41952</v>
      </c>
      <c r="D6655" s="753" t="s">
        <v>41947</v>
      </c>
      <c r="E6655" s="752" t="s">
        <v>293</v>
      </c>
      <c r="F6655" s="751">
        <v>2925</v>
      </c>
    </row>
    <row r="6656" spans="1:6">
      <c r="A6656" s="753"/>
      <c r="B6656" s="753"/>
      <c r="C6656" s="752" t="s">
        <v>41951</v>
      </c>
      <c r="D6656" s="753" t="s">
        <v>41947</v>
      </c>
      <c r="E6656" s="752" t="s">
        <v>293</v>
      </c>
      <c r="F6656" s="751">
        <v>2925</v>
      </c>
    </row>
    <row r="6657" spans="1:6">
      <c r="A6657" s="753"/>
      <c r="B6657" s="753"/>
      <c r="C6657" s="752" t="s">
        <v>41950</v>
      </c>
      <c r="D6657" s="753" t="s">
        <v>41947</v>
      </c>
      <c r="E6657" s="752" t="s">
        <v>41706</v>
      </c>
      <c r="F6657" s="751">
        <v>2925</v>
      </c>
    </row>
    <row r="6658" spans="1:6">
      <c r="A6658" s="753"/>
      <c r="B6658" s="753"/>
      <c r="C6658" s="752" t="s">
        <v>41949</v>
      </c>
      <c r="D6658" s="753" t="s">
        <v>41947</v>
      </c>
      <c r="E6658" s="752" t="s">
        <v>41719</v>
      </c>
      <c r="F6658" s="751">
        <v>2925</v>
      </c>
    </row>
    <row r="6659" spans="1:6">
      <c r="A6659" s="753"/>
      <c r="B6659" s="753"/>
      <c r="C6659" s="752" t="s">
        <v>41948</v>
      </c>
      <c r="D6659" s="753" t="s">
        <v>41947</v>
      </c>
      <c r="E6659" s="752" t="s">
        <v>41706</v>
      </c>
      <c r="F6659" s="751">
        <v>2925</v>
      </c>
    </row>
    <row r="6660" spans="1:6">
      <c r="A6660" s="753"/>
      <c r="B6660" s="753"/>
      <c r="C6660" s="752" t="s">
        <v>41946</v>
      </c>
      <c r="D6660" s="753" t="s">
        <v>41945</v>
      </c>
      <c r="E6660" s="752" t="s">
        <v>293</v>
      </c>
      <c r="F6660" s="751">
        <v>2925</v>
      </c>
    </row>
    <row r="6661" spans="1:6">
      <c r="A6661" s="753"/>
      <c r="B6661" s="753"/>
      <c r="C6661" s="752" t="s">
        <v>41944</v>
      </c>
      <c r="D6661" s="753" t="s">
        <v>41942</v>
      </c>
      <c r="E6661" s="752" t="s">
        <v>293</v>
      </c>
      <c r="F6661" s="751">
        <v>2925</v>
      </c>
    </row>
    <row r="6662" spans="1:6">
      <c r="A6662" s="753"/>
      <c r="B6662" s="753"/>
      <c r="C6662" s="752" t="s">
        <v>41943</v>
      </c>
      <c r="D6662" s="753" t="s">
        <v>41942</v>
      </c>
      <c r="E6662" s="752" t="s">
        <v>40475</v>
      </c>
      <c r="F6662" s="751">
        <v>3685</v>
      </c>
    </row>
    <row r="6663" spans="1:6">
      <c r="A6663" s="753"/>
      <c r="B6663" s="753"/>
      <c r="C6663" s="752" t="s">
        <v>41941</v>
      </c>
      <c r="D6663" s="753" t="s">
        <v>41939</v>
      </c>
      <c r="E6663" s="752" t="s">
        <v>41706</v>
      </c>
      <c r="F6663" s="751">
        <v>2925</v>
      </c>
    </row>
    <row r="6664" spans="1:6">
      <c r="A6664" s="753"/>
      <c r="B6664" s="753"/>
      <c r="C6664" s="752" t="s">
        <v>41940</v>
      </c>
      <c r="D6664" s="753" t="s">
        <v>41939</v>
      </c>
      <c r="E6664" s="752" t="s">
        <v>41706</v>
      </c>
      <c r="F6664" s="751">
        <v>2925</v>
      </c>
    </row>
    <row r="6665" spans="1:6">
      <c r="A6665" s="753"/>
      <c r="B6665" s="753"/>
      <c r="C6665" s="752" t="s">
        <v>41938</v>
      </c>
      <c r="D6665" s="753" t="s">
        <v>41933</v>
      </c>
      <c r="E6665" s="752" t="s">
        <v>293</v>
      </c>
      <c r="F6665" s="751">
        <v>2475</v>
      </c>
    </row>
    <row r="6666" spans="1:6">
      <c r="A6666" s="753"/>
      <c r="B6666" s="753"/>
      <c r="C6666" s="752" t="s">
        <v>41937</v>
      </c>
      <c r="D6666" s="753" t="s">
        <v>41936</v>
      </c>
      <c r="E6666" s="752" t="s">
        <v>38878</v>
      </c>
      <c r="F6666" s="751">
        <v>2425</v>
      </c>
    </row>
    <row r="6667" spans="1:6">
      <c r="A6667" s="753"/>
      <c r="B6667" s="753"/>
      <c r="C6667" s="752" t="s">
        <v>41935</v>
      </c>
      <c r="D6667" s="753" t="s">
        <v>41933</v>
      </c>
      <c r="E6667" s="752" t="s">
        <v>293</v>
      </c>
      <c r="F6667" s="751">
        <v>2475</v>
      </c>
    </row>
    <row r="6668" spans="1:6">
      <c r="A6668" s="753"/>
      <c r="B6668" s="753"/>
      <c r="C6668" s="752" t="s">
        <v>41934</v>
      </c>
      <c r="D6668" s="753" t="s">
        <v>41933</v>
      </c>
      <c r="E6668" s="752" t="s">
        <v>38878</v>
      </c>
      <c r="F6668" s="751">
        <v>2425</v>
      </c>
    </row>
    <row r="6669" spans="1:6">
      <c r="A6669" s="753"/>
      <c r="B6669" s="753"/>
      <c r="C6669" s="752" t="s">
        <v>41932</v>
      </c>
      <c r="D6669" s="753" t="s">
        <v>41931</v>
      </c>
      <c r="E6669" s="752" t="s">
        <v>293</v>
      </c>
      <c r="F6669" s="751">
        <v>3235</v>
      </c>
    </row>
    <row r="6670" spans="1:6">
      <c r="A6670" s="753"/>
      <c r="B6670" s="753"/>
      <c r="C6670" s="752" t="s">
        <v>41930</v>
      </c>
      <c r="D6670" s="753" t="s">
        <v>41925</v>
      </c>
      <c r="E6670" s="752" t="s">
        <v>293</v>
      </c>
      <c r="F6670" s="751">
        <v>3025</v>
      </c>
    </row>
    <row r="6671" spans="1:6">
      <c r="A6671" s="753"/>
      <c r="B6671" s="753"/>
      <c r="C6671" s="752" t="s">
        <v>41929</v>
      </c>
      <c r="D6671" s="753" t="s">
        <v>41928</v>
      </c>
      <c r="E6671" s="752" t="s">
        <v>293</v>
      </c>
      <c r="F6671" s="751">
        <v>3785</v>
      </c>
    </row>
    <row r="6672" spans="1:6">
      <c r="A6672" s="753"/>
      <c r="B6672" s="753"/>
      <c r="C6672" s="752" t="s">
        <v>41927</v>
      </c>
      <c r="D6672" s="753" t="s">
        <v>41925</v>
      </c>
      <c r="E6672" s="752" t="s">
        <v>293</v>
      </c>
      <c r="F6672" s="751">
        <v>3025</v>
      </c>
    </row>
    <row r="6673" spans="1:6">
      <c r="A6673" s="753"/>
      <c r="B6673" s="753"/>
      <c r="C6673" s="752" t="s">
        <v>41926</v>
      </c>
      <c r="D6673" s="753" t="s">
        <v>41925</v>
      </c>
      <c r="E6673" s="752" t="s">
        <v>38670</v>
      </c>
      <c r="F6673" s="751">
        <v>3785</v>
      </c>
    </row>
    <row r="6674" spans="1:6">
      <c r="A6674" s="753"/>
      <c r="B6674" s="753" t="s">
        <v>41924</v>
      </c>
      <c r="C6674" s="752" t="s">
        <v>41923</v>
      </c>
      <c r="D6674" s="753" t="s">
        <v>41921</v>
      </c>
      <c r="E6674" s="752" t="s">
        <v>39276</v>
      </c>
      <c r="F6674" s="751">
        <v>3715</v>
      </c>
    </row>
    <row r="6675" spans="1:6">
      <c r="A6675" s="753"/>
      <c r="B6675" s="753"/>
      <c r="C6675" s="752" t="s">
        <v>41922</v>
      </c>
      <c r="D6675" s="753" t="s">
        <v>41921</v>
      </c>
      <c r="E6675" s="752" t="s">
        <v>293</v>
      </c>
      <c r="F6675" s="751">
        <v>4265</v>
      </c>
    </row>
    <row r="6676" spans="1:6">
      <c r="A6676" s="753"/>
      <c r="B6676" s="753"/>
      <c r="C6676" s="752" t="s">
        <v>41920</v>
      </c>
      <c r="D6676" s="753" t="s">
        <v>41919</v>
      </c>
      <c r="E6676" s="752" t="s">
        <v>293</v>
      </c>
      <c r="F6676" s="751">
        <v>3625</v>
      </c>
    </row>
    <row r="6677" spans="1:6">
      <c r="A6677" s="753"/>
      <c r="B6677" s="753"/>
      <c r="C6677" s="752" t="s">
        <v>41918</v>
      </c>
      <c r="D6677" s="753" t="s">
        <v>41916</v>
      </c>
      <c r="E6677" s="752" t="s">
        <v>293</v>
      </c>
      <c r="F6677" s="751">
        <v>5195</v>
      </c>
    </row>
    <row r="6678" spans="1:6">
      <c r="A6678" s="753"/>
      <c r="B6678" s="753"/>
      <c r="C6678" s="752" t="s">
        <v>41917</v>
      </c>
      <c r="D6678" s="753" t="s">
        <v>41916</v>
      </c>
      <c r="E6678" s="752" t="s">
        <v>293</v>
      </c>
      <c r="F6678" s="751">
        <v>5195</v>
      </c>
    </row>
    <row r="6679" spans="1:6">
      <c r="A6679" s="753"/>
      <c r="B6679" s="753"/>
      <c r="C6679" s="752" t="s">
        <v>41915</v>
      </c>
      <c r="D6679" s="753" t="s">
        <v>41913</v>
      </c>
      <c r="E6679" s="752" t="s">
        <v>293</v>
      </c>
      <c r="F6679" s="751">
        <v>2575</v>
      </c>
    </row>
    <row r="6680" spans="1:6">
      <c r="A6680" s="753"/>
      <c r="B6680" s="753"/>
      <c r="C6680" s="752" t="s">
        <v>41914</v>
      </c>
      <c r="D6680" s="753" t="s">
        <v>41913</v>
      </c>
      <c r="E6680" s="752" t="s">
        <v>39011</v>
      </c>
      <c r="F6680" s="751">
        <v>3335</v>
      </c>
    </row>
    <row r="6681" spans="1:6">
      <c r="A6681" s="753"/>
      <c r="B6681" s="753"/>
      <c r="C6681" s="752" t="s">
        <v>41912</v>
      </c>
      <c r="D6681" s="753" t="s">
        <v>41911</v>
      </c>
      <c r="E6681" s="752" t="s">
        <v>293</v>
      </c>
      <c r="F6681" s="751">
        <v>3125</v>
      </c>
    </row>
    <row r="6682" spans="1:6">
      <c r="A6682" s="753"/>
      <c r="B6682" s="753"/>
      <c r="C6682" s="752" t="s">
        <v>41910</v>
      </c>
      <c r="D6682" s="753" t="s">
        <v>41908</v>
      </c>
      <c r="E6682" s="752" t="s">
        <v>293</v>
      </c>
      <c r="F6682" s="751">
        <v>2375</v>
      </c>
    </row>
    <row r="6683" spans="1:6">
      <c r="A6683" s="753"/>
      <c r="B6683" s="753"/>
      <c r="C6683" s="752" t="s">
        <v>41909</v>
      </c>
      <c r="D6683" s="753" t="s">
        <v>41908</v>
      </c>
      <c r="E6683" s="752" t="s">
        <v>40434</v>
      </c>
      <c r="F6683" s="751">
        <v>2375</v>
      </c>
    </row>
    <row r="6684" spans="1:6">
      <c r="A6684" s="753"/>
      <c r="B6684" s="753"/>
      <c r="C6684" s="752" t="s">
        <v>41907</v>
      </c>
      <c r="D6684" s="753" t="s">
        <v>41906</v>
      </c>
      <c r="E6684" s="752" t="s">
        <v>293</v>
      </c>
      <c r="F6684" s="751">
        <v>2925</v>
      </c>
    </row>
    <row r="6685" spans="1:6">
      <c r="A6685" s="753"/>
      <c r="B6685" s="753" t="s">
        <v>41905</v>
      </c>
      <c r="C6685" s="752" t="s">
        <v>41904</v>
      </c>
      <c r="D6685" s="753" t="s">
        <v>41903</v>
      </c>
      <c r="E6685" s="752" t="s">
        <v>293</v>
      </c>
      <c r="F6685" s="751">
        <v>3625</v>
      </c>
    </row>
    <row r="6686" spans="1:6">
      <c r="A6686" s="753"/>
      <c r="B6686" s="753"/>
      <c r="C6686" s="752" t="s">
        <v>41902</v>
      </c>
      <c r="D6686" s="753" t="s">
        <v>41900</v>
      </c>
      <c r="E6686" s="752" t="s">
        <v>293</v>
      </c>
      <c r="F6686" s="751">
        <v>2575</v>
      </c>
    </row>
    <row r="6687" spans="1:6">
      <c r="A6687" s="753"/>
      <c r="B6687" s="753"/>
      <c r="C6687" s="752" t="s">
        <v>41901</v>
      </c>
      <c r="D6687" s="753" t="s">
        <v>41900</v>
      </c>
      <c r="E6687" s="752" t="s">
        <v>293</v>
      </c>
      <c r="F6687" s="751">
        <v>2325</v>
      </c>
    </row>
    <row r="6688" spans="1:6">
      <c r="A6688" s="753"/>
      <c r="B6688" s="753"/>
      <c r="C6688" s="752" t="s">
        <v>41899</v>
      </c>
      <c r="D6688" s="753" t="s">
        <v>41897</v>
      </c>
      <c r="E6688" s="752" t="s">
        <v>293</v>
      </c>
      <c r="F6688" s="751">
        <v>3125</v>
      </c>
    </row>
    <row r="6689" spans="1:6">
      <c r="A6689" s="753"/>
      <c r="B6689" s="753"/>
      <c r="C6689" s="752" t="s">
        <v>41898</v>
      </c>
      <c r="D6689" s="753" t="s">
        <v>41897</v>
      </c>
      <c r="E6689" s="752" t="s">
        <v>293</v>
      </c>
      <c r="F6689" s="751">
        <v>2875</v>
      </c>
    </row>
    <row r="6690" spans="1:6">
      <c r="A6690" s="753"/>
      <c r="B6690" s="753"/>
      <c r="C6690" s="752" t="s">
        <v>41896</v>
      </c>
      <c r="D6690" s="753" t="s">
        <v>41893</v>
      </c>
      <c r="E6690" s="752" t="s">
        <v>293</v>
      </c>
      <c r="F6690" s="751">
        <v>2375</v>
      </c>
    </row>
    <row r="6691" spans="1:6">
      <c r="A6691" s="753"/>
      <c r="B6691" s="753"/>
      <c r="C6691" s="752" t="s">
        <v>41895</v>
      </c>
      <c r="D6691" s="753" t="s">
        <v>41893</v>
      </c>
      <c r="E6691" s="752" t="s">
        <v>293</v>
      </c>
      <c r="F6691" s="751">
        <v>2375</v>
      </c>
    </row>
    <row r="6692" spans="1:6">
      <c r="A6692" s="753"/>
      <c r="B6692" s="753"/>
      <c r="C6692" s="752" t="s">
        <v>41894</v>
      </c>
      <c r="D6692" s="753" t="s">
        <v>41893</v>
      </c>
      <c r="E6692" s="752" t="s">
        <v>39991</v>
      </c>
      <c r="F6692" s="751">
        <v>2325</v>
      </c>
    </row>
    <row r="6693" spans="1:6">
      <c r="A6693" s="753"/>
      <c r="B6693" s="753"/>
      <c r="C6693" s="752" t="s">
        <v>41892</v>
      </c>
      <c r="D6693" s="753" t="s">
        <v>41890</v>
      </c>
      <c r="E6693" s="752" t="s">
        <v>293</v>
      </c>
      <c r="F6693" s="751">
        <v>2925</v>
      </c>
    </row>
    <row r="6694" spans="1:6">
      <c r="A6694" s="753"/>
      <c r="B6694" s="753"/>
      <c r="C6694" s="752" t="s">
        <v>41891</v>
      </c>
      <c r="D6694" s="753" t="s">
        <v>41890</v>
      </c>
      <c r="E6694" s="752" t="s">
        <v>293</v>
      </c>
      <c r="F6694" s="751">
        <v>2925</v>
      </c>
    </row>
    <row r="6695" spans="1:6">
      <c r="A6695" s="753"/>
      <c r="B6695" s="753"/>
      <c r="C6695" s="752" t="s">
        <v>41889</v>
      </c>
      <c r="D6695" s="753" t="s">
        <v>41887</v>
      </c>
      <c r="E6695" s="752" t="s">
        <v>293</v>
      </c>
      <c r="F6695" s="751">
        <v>2475</v>
      </c>
    </row>
    <row r="6696" spans="1:6">
      <c r="A6696" s="753"/>
      <c r="B6696" s="753"/>
      <c r="C6696" s="752" t="s">
        <v>41888</v>
      </c>
      <c r="D6696" s="753" t="s">
        <v>41887</v>
      </c>
      <c r="E6696" s="752" t="s">
        <v>39991</v>
      </c>
      <c r="F6696" s="751">
        <v>2425</v>
      </c>
    </row>
    <row r="6697" spans="1:6">
      <c r="A6697" s="753"/>
      <c r="B6697" s="753" t="s">
        <v>41886</v>
      </c>
      <c r="C6697" s="752" t="s">
        <v>41885</v>
      </c>
      <c r="D6697" s="753" t="s">
        <v>41883</v>
      </c>
      <c r="E6697" s="752" t="s">
        <v>38509</v>
      </c>
      <c r="F6697" s="751">
        <v>3620</v>
      </c>
    </row>
    <row r="6698" spans="1:6">
      <c r="A6698" s="753"/>
      <c r="B6698" s="753"/>
      <c r="C6698" s="752" t="s">
        <v>41884</v>
      </c>
      <c r="D6698" s="753" t="s">
        <v>41883</v>
      </c>
      <c r="E6698" s="752" t="s">
        <v>37895</v>
      </c>
      <c r="F6698" s="751">
        <v>4420</v>
      </c>
    </row>
    <row r="6699" spans="1:6">
      <c r="A6699" s="753"/>
      <c r="B6699" s="753"/>
      <c r="C6699" s="752" t="s">
        <v>41882</v>
      </c>
      <c r="D6699" s="753" t="s">
        <v>41881</v>
      </c>
      <c r="E6699" s="752" t="s">
        <v>37895</v>
      </c>
      <c r="F6699" s="751">
        <v>2425</v>
      </c>
    </row>
    <row r="6700" spans="1:6">
      <c r="A6700" s="753"/>
      <c r="B6700" s="753"/>
      <c r="C6700" s="752" t="s">
        <v>41880</v>
      </c>
      <c r="D6700" s="753" t="s">
        <v>41879</v>
      </c>
      <c r="E6700" s="752" t="s">
        <v>37895</v>
      </c>
      <c r="F6700" s="751">
        <v>4220</v>
      </c>
    </row>
    <row r="6701" spans="1:6">
      <c r="A6701" s="753"/>
      <c r="B6701" s="753"/>
      <c r="C6701" s="752" t="s">
        <v>41878</v>
      </c>
      <c r="D6701" s="753" t="s">
        <v>41877</v>
      </c>
      <c r="E6701" s="752" t="s">
        <v>293</v>
      </c>
      <c r="F6701" s="751">
        <v>4425</v>
      </c>
    </row>
    <row r="6702" spans="1:6">
      <c r="A6702" s="753"/>
      <c r="B6702" s="753"/>
      <c r="C6702" s="752" t="s">
        <v>41876</v>
      </c>
      <c r="D6702" s="753" t="s">
        <v>41873</v>
      </c>
      <c r="E6702" s="752" t="s">
        <v>41875</v>
      </c>
      <c r="F6702" s="751">
        <v>4125</v>
      </c>
    </row>
    <row r="6703" spans="1:6">
      <c r="A6703" s="753"/>
      <c r="B6703" s="753"/>
      <c r="C6703" s="752" t="s">
        <v>41874</v>
      </c>
      <c r="D6703" s="753" t="s">
        <v>41873</v>
      </c>
      <c r="E6703" s="752" t="s">
        <v>38732</v>
      </c>
      <c r="F6703" s="751">
        <v>5305</v>
      </c>
    </row>
    <row r="6704" spans="1:6">
      <c r="A6704" s="753"/>
      <c r="B6704" s="753"/>
      <c r="C6704" s="752" t="s">
        <v>41872</v>
      </c>
      <c r="D6704" s="753" t="s">
        <v>41870</v>
      </c>
      <c r="E6704" s="752" t="s">
        <v>293</v>
      </c>
      <c r="F6704" s="751">
        <v>1445</v>
      </c>
    </row>
    <row r="6705" spans="1:6">
      <c r="A6705" s="753"/>
      <c r="B6705" s="753"/>
      <c r="C6705" s="752" t="s">
        <v>41871</v>
      </c>
      <c r="D6705" s="753" t="s">
        <v>41870</v>
      </c>
      <c r="E6705" s="752" t="s">
        <v>293</v>
      </c>
      <c r="F6705" s="751">
        <v>1745</v>
      </c>
    </row>
    <row r="6706" spans="1:6">
      <c r="A6706" s="753"/>
      <c r="B6706" s="753"/>
      <c r="C6706" s="752" t="s">
        <v>41869</v>
      </c>
      <c r="D6706" s="753" t="s">
        <v>41867</v>
      </c>
      <c r="E6706" s="752" t="s">
        <v>41838</v>
      </c>
      <c r="F6706" s="751">
        <v>3025</v>
      </c>
    </row>
    <row r="6707" spans="1:6">
      <c r="A6707" s="753"/>
      <c r="B6707" s="753"/>
      <c r="C6707" s="752" t="s">
        <v>41868</v>
      </c>
      <c r="D6707" s="753" t="s">
        <v>41867</v>
      </c>
      <c r="E6707" s="752" t="s">
        <v>41834</v>
      </c>
      <c r="F6707" s="751">
        <v>3025</v>
      </c>
    </row>
    <row r="6708" spans="1:6">
      <c r="A6708" s="753"/>
      <c r="B6708" s="753"/>
      <c r="C6708" s="752" t="s">
        <v>41866</v>
      </c>
      <c r="D6708" s="753" t="s">
        <v>41865</v>
      </c>
      <c r="E6708" s="752" t="s">
        <v>41864</v>
      </c>
      <c r="F6708" s="751">
        <v>4175</v>
      </c>
    </row>
    <row r="6709" spans="1:6">
      <c r="A6709" s="753"/>
      <c r="B6709" s="753"/>
      <c r="C6709" s="752" t="s">
        <v>41863</v>
      </c>
      <c r="D6709" s="753" t="s">
        <v>41861</v>
      </c>
      <c r="E6709" s="752" t="s">
        <v>293</v>
      </c>
      <c r="F6709" s="751">
        <v>3725</v>
      </c>
    </row>
    <row r="6710" spans="1:6">
      <c r="A6710" s="753"/>
      <c r="B6710" s="753"/>
      <c r="C6710" s="752" t="s">
        <v>41862</v>
      </c>
      <c r="D6710" s="753" t="s">
        <v>41861</v>
      </c>
      <c r="E6710" s="752" t="s">
        <v>39923</v>
      </c>
      <c r="F6710" s="751">
        <v>4525</v>
      </c>
    </row>
    <row r="6711" spans="1:6">
      <c r="A6711" s="753"/>
      <c r="B6711" s="753"/>
      <c r="C6711" s="752" t="s">
        <v>41860</v>
      </c>
      <c r="D6711" s="753" t="s">
        <v>41859</v>
      </c>
      <c r="E6711" s="752" t="s">
        <v>293</v>
      </c>
      <c r="F6711" s="751">
        <v>3725</v>
      </c>
    </row>
    <row r="6712" spans="1:6">
      <c r="A6712" s="753"/>
      <c r="B6712" s="753"/>
      <c r="C6712" s="752" t="s">
        <v>41858</v>
      </c>
      <c r="D6712" s="753" t="s">
        <v>41857</v>
      </c>
      <c r="E6712" s="752" t="s">
        <v>39923</v>
      </c>
      <c r="F6712" s="751">
        <v>4525</v>
      </c>
    </row>
    <row r="6713" spans="1:6">
      <c r="A6713" s="753"/>
      <c r="B6713" s="753"/>
      <c r="C6713" s="752" t="s">
        <v>41856</v>
      </c>
      <c r="D6713" s="753" t="s">
        <v>41851</v>
      </c>
      <c r="E6713" s="752" t="s">
        <v>41855</v>
      </c>
      <c r="F6713" s="751">
        <v>2975</v>
      </c>
    </row>
    <row r="6714" spans="1:6">
      <c r="A6714" s="753"/>
      <c r="B6714" s="753"/>
      <c r="C6714" s="752" t="s">
        <v>41854</v>
      </c>
      <c r="D6714" s="753" t="s">
        <v>41848</v>
      </c>
      <c r="E6714" s="752" t="s">
        <v>41853</v>
      </c>
      <c r="F6714" s="751">
        <v>2825</v>
      </c>
    </row>
    <row r="6715" spans="1:6">
      <c r="A6715" s="753"/>
      <c r="B6715" s="753"/>
      <c r="C6715" s="752" t="s">
        <v>41852</v>
      </c>
      <c r="D6715" s="753" t="s">
        <v>41851</v>
      </c>
      <c r="E6715" s="752" t="s">
        <v>41850</v>
      </c>
      <c r="F6715" s="751">
        <v>2975</v>
      </c>
    </row>
    <row r="6716" spans="1:6">
      <c r="A6716" s="753"/>
      <c r="B6716" s="753"/>
      <c r="C6716" s="752" t="s">
        <v>41849</v>
      </c>
      <c r="D6716" s="753" t="s">
        <v>41848</v>
      </c>
      <c r="E6716" s="752" t="s">
        <v>41847</v>
      </c>
      <c r="F6716" s="751">
        <v>2825</v>
      </c>
    </row>
    <row r="6717" spans="1:6">
      <c r="A6717" s="753"/>
      <c r="B6717" s="753"/>
      <c r="C6717" s="752" t="s">
        <v>41846</v>
      </c>
      <c r="D6717" s="753" t="s">
        <v>41844</v>
      </c>
      <c r="E6717" s="752" t="s">
        <v>293</v>
      </c>
      <c r="F6717" s="751">
        <v>3525</v>
      </c>
    </row>
    <row r="6718" spans="1:6">
      <c r="A6718" s="753"/>
      <c r="B6718" s="753"/>
      <c r="C6718" s="752" t="s">
        <v>41845</v>
      </c>
      <c r="D6718" s="753" t="s">
        <v>41844</v>
      </c>
      <c r="E6718" s="752" t="s">
        <v>39923</v>
      </c>
      <c r="F6718" s="751">
        <v>4325</v>
      </c>
    </row>
    <row r="6719" spans="1:6">
      <c r="A6719" s="753"/>
      <c r="B6719" s="753"/>
      <c r="C6719" s="752" t="s">
        <v>41843</v>
      </c>
      <c r="D6719" s="753" t="s">
        <v>41842</v>
      </c>
      <c r="E6719" s="752" t="s">
        <v>293</v>
      </c>
      <c r="F6719" s="751">
        <v>3535</v>
      </c>
    </row>
    <row r="6720" spans="1:6">
      <c r="A6720" s="753"/>
      <c r="B6720" s="753"/>
      <c r="C6720" s="752" t="s">
        <v>41841</v>
      </c>
      <c r="D6720" s="753" t="s">
        <v>41840</v>
      </c>
      <c r="E6720" s="752" t="s">
        <v>39923</v>
      </c>
      <c r="F6720" s="751">
        <v>4325</v>
      </c>
    </row>
    <row r="6721" spans="1:6">
      <c r="A6721" s="753"/>
      <c r="B6721" s="753"/>
      <c r="C6721" s="752" t="s">
        <v>41839</v>
      </c>
      <c r="D6721" s="753" t="s">
        <v>41835</v>
      </c>
      <c r="E6721" s="752" t="s">
        <v>41838</v>
      </c>
      <c r="F6721" s="751">
        <v>2925</v>
      </c>
    </row>
    <row r="6722" spans="1:6">
      <c r="A6722" s="753"/>
      <c r="B6722" s="753"/>
      <c r="C6722" s="752" t="s">
        <v>41837</v>
      </c>
      <c r="D6722" s="753" t="s">
        <v>41835</v>
      </c>
      <c r="E6722" s="752" t="s">
        <v>293</v>
      </c>
      <c r="F6722" s="751">
        <v>2675</v>
      </c>
    </row>
    <row r="6723" spans="1:6">
      <c r="A6723" s="753"/>
      <c r="B6723" s="753"/>
      <c r="C6723" s="752" t="s">
        <v>41836</v>
      </c>
      <c r="D6723" s="753" t="s">
        <v>41835</v>
      </c>
      <c r="E6723" s="752" t="s">
        <v>41834</v>
      </c>
      <c r="F6723" s="751">
        <v>2925</v>
      </c>
    </row>
    <row r="6724" spans="1:6">
      <c r="A6724" s="753"/>
      <c r="B6724" s="753"/>
      <c r="C6724" s="752" t="s">
        <v>41833</v>
      </c>
      <c r="D6724" s="753" t="s">
        <v>41831</v>
      </c>
      <c r="E6724" s="752" t="s">
        <v>293</v>
      </c>
      <c r="F6724" s="751">
        <v>3625</v>
      </c>
    </row>
    <row r="6725" spans="1:6">
      <c r="A6725" s="753"/>
      <c r="B6725" s="753"/>
      <c r="C6725" s="752" t="s">
        <v>41832</v>
      </c>
      <c r="D6725" s="753" t="s">
        <v>41831</v>
      </c>
      <c r="E6725" s="752" t="s">
        <v>39923</v>
      </c>
      <c r="F6725" s="751">
        <v>4425</v>
      </c>
    </row>
    <row r="6726" spans="1:6">
      <c r="A6726" s="753"/>
      <c r="B6726" s="753"/>
      <c r="C6726" s="752" t="s">
        <v>41830</v>
      </c>
      <c r="D6726" s="753" t="s">
        <v>41829</v>
      </c>
      <c r="E6726" s="752" t="s">
        <v>39923</v>
      </c>
      <c r="F6726" s="751">
        <v>4425</v>
      </c>
    </row>
    <row r="6727" spans="1:6">
      <c r="A6727" s="753"/>
      <c r="B6727" s="753" t="s">
        <v>41828</v>
      </c>
      <c r="C6727" s="752" t="s">
        <v>41827</v>
      </c>
      <c r="D6727" s="753" t="s">
        <v>41825</v>
      </c>
      <c r="E6727" s="752" t="s">
        <v>41824</v>
      </c>
      <c r="F6727" s="751">
        <v>3715</v>
      </c>
    </row>
    <row r="6728" spans="1:6">
      <c r="A6728" s="753"/>
      <c r="B6728" s="753"/>
      <c r="C6728" s="752" t="s">
        <v>41826</v>
      </c>
      <c r="D6728" s="753" t="s">
        <v>41825</v>
      </c>
      <c r="E6728" s="752" t="s">
        <v>41824</v>
      </c>
      <c r="F6728" s="751">
        <v>3665</v>
      </c>
    </row>
    <row r="6729" spans="1:6">
      <c r="A6729" s="753"/>
      <c r="B6729" s="753"/>
      <c r="C6729" s="752" t="s">
        <v>41823</v>
      </c>
      <c r="D6729" s="753" t="s">
        <v>41812</v>
      </c>
      <c r="E6729" s="752" t="s">
        <v>293</v>
      </c>
      <c r="F6729" s="751">
        <v>4365</v>
      </c>
    </row>
    <row r="6730" spans="1:6">
      <c r="A6730" s="753"/>
      <c r="B6730" s="753"/>
      <c r="C6730" s="752" t="s">
        <v>41822</v>
      </c>
      <c r="D6730" s="753" t="s">
        <v>41810</v>
      </c>
      <c r="E6730" s="752" t="s">
        <v>293</v>
      </c>
      <c r="F6730" s="751">
        <v>4265</v>
      </c>
    </row>
    <row r="6731" spans="1:6">
      <c r="A6731" s="753"/>
      <c r="B6731" s="753"/>
      <c r="C6731" s="752" t="s">
        <v>41821</v>
      </c>
      <c r="D6731" s="753" t="s">
        <v>41810</v>
      </c>
      <c r="E6731" s="752" t="s">
        <v>38919</v>
      </c>
      <c r="F6731" s="751">
        <v>5025</v>
      </c>
    </row>
    <row r="6732" spans="1:6">
      <c r="A6732" s="753"/>
      <c r="B6732" s="753"/>
      <c r="C6732" s="752" t="s">
        <v>41820</v>
      </c>
      <c r="D6732" s="753" t="s">
        <v>41812</v>
      </c>
      <c r="E6732" s="752" t="s">
        <v>293</v>
      </c>
      <c r="F6732" s="751">
        <v>4365</v>
      </c>
    </row>
    <row r="6733" spans="1:6">
      <c r="A6733" s="753"/>
      <c r="B6733" s="753"/>
      <c r="C6733" s="752" t="s">
        <v>41819</v>
      </c>
      <c r="D6733" s="753" t="s">
        <v>41810</v>
      </c>
      <c r="E6733" s="752" t="s">
        <v>293</v>
      </c>
      <c r="F6733" s="751">
        <v>4265</v>
      </c>
    </row>
    <row r="6734" spans="1:6">
      <c r="A6734" s="753"/>
      <c r="B6734" s="753"/>
      <c r="C6734" s="752" t="s">
        <v>41818</v>
      </c>
      <c r="D6734" s="753" t="s">
        <v>41810</v>
      </c>
      <c r="E6734" s="752" t="s">
        <v>39011</v>
      </c>
      <c r="F6734" s="751">
        <v>4975</v>
      </c>
    </row>
    <row r="6735" spans="1:6">
      <c r="A6735" s="753"/>
      <c r="B6735" s="753"/>
      <c r="C6735" s="752" t="s">
        <v>41817</v>
      </c>
      <c r="D6735" s="753" t="s">
        <v>41814</v>
      </c>
      <c r="E6735" s="752" t="s">
        <v>293</v>
      </c>
      <c r="F6735" s="751">
        <v>3625</v>
      </c>
    </row>
    <row r="6736" spans="1:6">
      <c r="A6736" s="753"/>
      <c r="B6736" s="753"/>
      <c r="C6736" s="752" t="s">
        <v>41816</v>
      </c>
      <c r="D6736" s="753" t="s">
        <v>41810</v>
      </c>
      <c r="E6736" s="752" t="s">
        <v>293</v>
      </c>
      <c r="F6736" s="751">
        <v>4215</v>
      </c>
    </row>
    <row r="6737" spans="1:6">
      <c r="A6737" s="753"/>
      <c r="B6737" s="753"/>
      <c r="C6737" s="752" t="s">
        <v>41815</v>
      </c>
      <c r="D6737" s="753" t="s">
        <v>41814</v>
      </c>
      <c r="E6737" s="752" t="s">
        <v>293</v>
      </c>
      <c r="F6737" s="751">
        <v>3375</v>
      </c>
    </row>
    <row r="6738" spans="1:6">
      <c r="A6738" s="753"/>
      <c r="B6738" s="753"/>
      <c r="C6738" s="752" t="s">
        <v>41813</v>
      </c>
      <c r="D6738" s="753" t="s">
        <v>41812</v>
      </c>
      <c r="E6738" s="752" t="s">
        <v>293</v>
      </c>
      <c r="F6738" s="751">
        <v>4365</v>
      </c>
    </row>
    <row r="6739" spans="1:6">
      <c r="A6739" s="753"/>
      <c r="B6739" s="753"/>
      <c r="C6739" s="752" t="s">
        <v>41811</v>
      </c>
      <c r="D6739" s="753" t="s">
        <v>41810</v>
      </c>
      <c r="E6739" s="752" t="s">
        <v>293</v>
      </c>
      <c r="F6739" s="751">
        <v>4265</v>
      </c>
    </row>
    <row r="6740" spans="1:6">
      <c r="A6740" s="753"/>
      <c r="B6740" s="753"/>
      <c r="C6740" s="752" t="s">
        <v>41809</v>
      </c>
      <c r="D6740" s="753" t="s">
        <v>41808</v>
      </c>
      <c r="E6740" s="752" t="s">
        <v>293</v>
      </c>
      <c r="F6740" s="751">
        <v>4595</v>
      </c>
    </row>
    <row r="6741" spans="1:6">
      <c r="A6741" s="753"/>
      <c r="B6741" s="753"/>
      <c r="C6741" s="752" t="s">
        <v>41807</v>
      </c>
      <c r="D6741" s="753" t="s">
        <v>41806</v>
      </c>
      <c r="E6741" s="752" t="s">
        <v>293</v>
      </c>
      <c r="F6741" s="751">
        <v>5355</v>
      </c>
    </row>
    <row r="6742" spans="1:6">
      <c r="A6742" s="753"/>
      <c r="B6742" s="753"/>
      <c r="C6742" s="752" t="s">
        <v>41805</v>
      </c>
      <c r="D6742" s="753" t="s">
        <v>41804</v>
      </c>
      <c r="E6742" s="752" t="s">
        <v>293</v>
      </c>
      <c r="F6742" s="751">
        <v>5145</v>
      </c>
    </row>
    <row r="6743" spans="1:6">
      <c r="A6743" s="753"/>
      <c r="B6743" s="753"/>
      <c r="C6743" s="752" t="s">
        <v>41803</v>
      </c>
      <c r="D6743" s="753" t="s">
        <v>41802</v>
      </c>
      <c r="E6743" s="752" t="s">
        <v>39028</v>
      </c>
      <c r="F6743" s="751">
        <v>5955</v>
      </c>
    </row>
    <row r="6744" spans="1:6">
      <c r="A6744" s="753"/>
      <c r="B6744" s="753"/>
      <c r="C6744" s="752" t="s">
        <v>41801</v>
      </c>
      <c r="D6744" s="753" t="s">
        <v>41800</v>
      </c>
      <c r="E6744" s="752" t="s">
        <v>293</v>
      </c>
      <c r="F6744" s="751">
        <v>5995</v>
      </c>
    </row>
    <row r="6745" spans="1:6">
      <c r="A6745" s="753"/>
      <c r="B6745" s="753"/>
      <c r="C6745" s="752" t="s">
        <v>41799</v>
      </c>
      <c r="D6745" s="753" t="s">
        <v>41798</v>
      </c>
      <c r="E6745" s="752" t="s">
        <v>293</v>
      </c>
      <c r="F6745" s="751">
        <v>9095</v>
      </c>
    </row>
    <row r="6746" spans="1:6">
      <c r="A6746" s="753"/>
      <c r="B6746" s="753"/>
      <c r="C6746" s="752" t="s">
        <v>41797</v>
      </c>
      <c r="D6746" s="753" t="s">
        <v>41796</v>
      </c>
      <c r="E6746" s="752" t="s">
        <v>293</v>
      </c>
      <c r="F6746" s="751">
        <v>3300</v>
      </c>
    </row>
    <row r="6747" spans="1:6">
      <c r="A6747" s="753"/>
      <c r="B6747" s="753"/>
      <c r="C6747" s="752" t="s">
        <v>41795</v>
      </c>
      <c r="D6747" s="753" t="s">
        <v>41793</v>
      </c>
      <c r="E6747" s="752" t="s">
        <v>293</v>
      </c>
      <c r="F6747" s="751">
        <v>4050</v>
      </c>
    </row>
    <row r="6748" spans="1:6">
      <c r="A6748" s="753"/>
      <c r="B6748" s="753"/>
      <c r="C6748" s="752" t="s">
        <v>41794</v>
      </c>
      <c r="D6748" s="753" t="s">
        <v>41793</v>
      </c>
      <c r="E6748" s="752" t="s">
        <v>38570</v>
      </c>
      <c r="F6748" s="751">
        <v>4050</v>
      </c>
    </row>
    <row r="6749" spans="1:6">
      <c r="A6749" s="753"/>
      <c r="B6749" s="753"/>
      <c r="C6749" s="752" t="s">
        <v>41792</v>
      </c>
      <c r="D6749" s="753" t="s">
        <v>41768</v>
      </c>
      <c r="E6749" s="752" t="s">
        <v>293</v>
      </c>
      <c r="F6749" s="751">
        <v>2575</v>
      </c>
    </row>
    <row r="6750" spans="1:6">
      <c r="A6750" s="753"/>
      <c r="B6750" s="753"/>
      <c r="C6750" s="752" t="s">
        <v>41791</v>
      </c>
      <c r="D6750" s="753" t="s">
        <v>41768</v>
      </c>
      <c r="E6750" s="752" t="s">
        <v>38577</v>
      </c>
      <c r="F6750" s="751">
        <v>3335</v>
      </c>
    </row>
    <row r="6751" spans="1:6">
      <c r="A6751" s="753"/>
      <c r="B6751" s="753"/>
      <c r="C6751" s="752" t="s">
        <v>41790</v>
      </c>
      <c r="D6751" s="753" t="s">
        <v>41768</v>
      </c>
      <c r="E6751" s="752" t="s">
        <v>293</v>
      </c>
      <c r="F6751" s="751">
        <v>2575</v>
      </c>
    </row>
    <row r="6752" spans="1:6">
      <c r="A6752" s="753"/>
      <c r="B6752" s="753"/>
      <c r="C6752" s="752" t="s">
        <v>41789</v>
      </c>
      <c r="D6752" s="753" t="s">
        <v>41768</v>
      </c>
      <c r="E6752" s="752" t="s">
        <v>38878</v>
      </c>
      <c r="F6752" s="751">
        <v>2775</v>
      </c>
    </row>
    <row r="6753" spans="1:6">
      <c r="A6753" s="753"/>
      <c r="B6753" s="753"/>
      <c r="C6753" s="752" t="s">
        <v>41788</v>
      </c>
      <c r="D6753" s="753" t="s">
        <v>41768</v>
      </c>
      <c r="E6753" s="752" t="s">
        <v>38670</v>
      </c>
      <c r="F6753" s="751">
        <v>3335</v>
      </c>
    </row>
    <row r="6754" spans="1:6">
      <c r="A6754" s="753"/>
      <c r="B6754" s="753"/>
      <c r="C6754" s="752" t="s">
        <v>41787</v>
      </c>
      <c r="D6754" s="753" t="s">
        <v>41768</v>
      </c>
      <c r="E6754" s="752" t="s">
        <v>39996</v>
      </c>
      <c r="F6754" s="751">
        <v>2575</v>
      </c>
    </row>
    <row r="6755" spans="1:6">
      <c r="A6755" s="753"/>
      <c r="B6755" s="753"/>
      <c r="C6755" s="752" t="s">
        <v>41786</v>
      </c>
      <c r="D6755" s="753" t="s">
        <v>41768</v>
      </c>
      <c r="E6755" s="752" t="s">
        <v>38919</v>
      </c>
      <c r="F6755" s="751">
        <v>3335</v>
      </c>
    </row>
    <row r="6756" spans="1:6">
      <c r="A6756" s="753"/>
      <c r="B6756" s="753"/>
      <c r="C6756" s="752" t="s">
        <v>41785</v>
      </c>
      <c r="D6756" s="753" t="s">
        <v>41784</v>
      </c>
      <c r="E6756" s="752" t="s">
        <v>41783</v>
      </c>
      <c r="F6756" s="751">
        <v>3175</v>
      </c>
    </row>
    <row r="6757" spans="1:6">
      <c r="A6757" s="753"/>
      <c r="B6757" s="753"/>
      <c r="C6757" s="752" t="s">
        <v>41782</v>
      </c>
      <c r="D6757" s="753" t="s">
        <v>41768</v>
      </c>
      <c r="E6757" s="752" t="s">
        <v>293</v>
      </c>
      <c r="F6757" s="751">
        <v>2575</v>
      </c>
    </row>
    <row r="6758" spans="1:6">
      <c r="A6758" s="753"/>
      <c r="B6758" s="753"/>
      <c r="C6758" s="752" t="s">
        <v>41781</v>
      </c>
      <c r="D6758" s="753" t="s">
        <v>41768</v>
      </c>
      <c r="E6758" s="752" t="s">
        <v>38878</v>
      </c>
      <c r="F6758" s="751">
        <v>2775</v>
      </c>
    </row>
    <row r="6759" spans="1:6">
      <c r="A6759" s="753"/>
      <c r="B6759" s="753"/>
      <c r="C6759" s="752" t="s">
        <v>41780</v>
      </c>
      <c r="D6759" s="753" t="s">
        <v>41768</v>
      </c>
      <c r="E6759" s="752" t="s">
        <v>41779</v>
      </c>
      <c r="F6759" s="751">
        <v>3335</v>
      </c>
    </row>
    <row r="6760" spans="1:6">
      <c r="A6760" s="753"/>
      <c r="B6760" s="753"/>
      <c r="C6760" s="752" t="s">
        <v>41778</v>
      </c>
      <c r="D6760" s="753" t="s">
        <v>41768</v>
      </c>
      <c r="E6760" s="752" t="s">
        <v>41777</v>
      </c>
      <c r="F6760" s="751">
        <v>3525</v>
      </c>
    </row>
    <row r="6761" spans="1:6">
      <c r="A6761" s="753"/>
      <c r="B6761" s="753"/>
      <c r="C6761" s="752" t="s">
        <v>41776</v>
      </c>
      <c r="D6761" s="753" t="s">
        <v>41768</v>
      </c>
      <c r="E6761" s="752" t="s">
        <v>38550</v>
      </c>
      <c r="F6761" s="751">
        <v>3495</v>
      </c>
    </row>
    <row r="6762" spans="1:6">
      <c r="A6762" s="753"/>
      <c r="B6762" s="753"/>
      <c r="C6762" s="752" t="s">
        <v>41775</v>
      </c>
      <c r="D6762" s="753" t="s">
        <v>41768</v>
      </c>
      <c r="E6762" s="752" t="s">
        <v>41708</v>
      </c>
      <c r="F6762" s="751">
        <v>2575</v>
      </c>
    </row>
    <row r="6763" spans="1:6">
      <c r="A6763" s="753"/>
      <c r="B6763" s="753"/>
      <c r="C6763" s="752" t="s">
        <v>41774</v>
      </c>
      <c r="D6763" s="753" t="s">
        <v>41768</v>
      </c>
      <c r="E6763" s="752" t="s">
        <v>41773</v>
      </c>
      <c r="F6763" s="751">
        <v>3335</v>
      </c>
    </row>
    <row r="6764" spans="1:6">
      <c r="A6764" s="753"/>
      <c r="B6764" s="753"/>
      <c r="C6764" s="752" t="s">
        <v>41772</v>
      </c>
      <c r="D6764" s="753" t="s">
        <v>41768</v>
      </c>
      <c r="E6764" s="752" t="s">
        <v>41719</v>
      </c>
      <c r="F6764" s="751">
        <v>2375</v>
      </c>
    </row>
    <row r="6765" spans="1:6">
      <c r="A6765" s="753"/>
      <c r="B6765" s="753"/>
      <c r="C6765" s="752" t="s">
        <v>41771</v>
      </c>
      <c r="D6765" s="753" t="s">
        <v>41768</v>
      </c>
      <c r="E6765" s="752" t="s">
        <v>41706</v>
      </c>
      <c r="F6765" s="751">
        <v>2375</v>
      </c>
    </row>
    <row r="6766" spans="1:6">
      <c r="A6766" s="753"/>
      <c r="B6766" s="753"/>
      <c r="C6766" s="752" t="s">
        <v>41770</v>
      </c>
      <c r="D6766" s="753" t="s">
        <v>41768</v>
      </c>
      <c r="E6766" s="752" t="s">
        <v>293</v>
      </c>
      <c r="F6766" s="751">
        <v>2575</v>
      </c>
    </row>
    <row r="6767" spans="1:6">
      <c r="A6767" s="753"/>
      <c r="B6767" s="753"/>
      <c r="C6767" s="752" t="s">
        <v>41769</v>
      </c>
      <c r="D6767" s="753" t="s">
        <v>41768</v>
      </c>
      <c r="E6767" s="752" t="s">
        <v>41767</v>
      </c>
      <c r="F6767" s="751">
        <v>2575</v>
      </c>
    </row>
    <row r="6768" spans="1:6">
      <c r="A6768" s="753"/>
      <c r="B6768" s="753"/>
      <c r="C6768" s="752" t="s">
        <v>41766</v>
      </c>
      <c r="D6768" s="753" t="s">
        <v>41754</v>
      </c>
      <c r="E6768" s="752" t="s">
        <v>293</v>
      </c>
      <c r="F6768" s="751">
        <v>3125</v>
      </c>
    </row>
    <row r="6769" spans="1:6">
      <c r="A6769" s="753"/>
      <c r="B6769" s="753"/>
      <c r="C6769" s="752" t="s">
        <v>41765</v>
      </c>
      <c r="D6769" s="753" t="s">
        <v>41754</v>
      </c>
      <c r="E6769" s="752" t="s">
        <v>38577</v>
      </c>
      <c r="F6769" s="751">
        <v>3885</v>
      </c>
    </row>
    <row r="6770" spans="1:6">
      <c r="A6770" s="753"/>
      <c r="B6770" s="753"/>
      <c r="C6770" s="752" t="s">
        <v>41764</v>
      </c>
      <c r="D6770" s="753" t="s">
        <v>41754</v>
      </c>
      <c r="E6770" s="752" t="s">
        <v>293</v>
      </c>
      <c r="F6770" s="751">
        <v>3125</v>
      </c>
    </row>
    <row r="6771" spans="1:6">
      <c r="A6771" s="753"/>
      <c r="B6771" s="753"/>
      <c r="C6771" s="752" t="s">
        <v>41763</v>
      </c>
      <c r="D6771" s="753" t="s">
        <v>41754</v>
      </c>
      <c r="E6771" s="752" t="s">
        <v>38670</v>
      </c>
      <c r="F6771" s="751">
        <v>3885</v>
      </c>
    </row>
    <row r="6772" spans="1:6">
      <c r="A6772" s="753"/>
      <c r="B6772" s="753"/>
      <c r="C6772" s="752" t="s">
        <v>41762</v>
      </c>
      <c r="D6772" s="753" t="s">
        <v>41754</v>
      </c>
      <c r="E6772" s="752" t="s">
        <v>41652</v>
      </c>
      <c r="F6772" s="751">
        <v>3125</v>
      </c>
    </row>
    <row r="6773" spans="1:6">
      <c r="A6773" s="753"/>
      <c r="B6773" s="753"/>
      <c r="C6773" s="752" t="s">
        <v>41761</v>
      </c>
      <c r="D6773" s="753" t="s">
        <v>41754</v>
      </c>
      <c r="E6773" s="752" t="s">
        <v>38919</v>
      </c>
      <c r="F6773" s="751">
        <v>3885</v>
      </c>
    </row>
    <row r="6774" spans="1:6">
      <c r="A6774" s="753"/>
      <c r="B6774" s="753"/>
      <c r="C6774" s="752" t="s">
        <v>41760</v>
      </c>
      <c r="D6774" s="753" t="s">
        <v>41754</v>
      </c>
      <c r="E6774" s="752" t="s">
        <v>293</v>
      </c>
      <c r="F6774" s="751">
        <v>3125</v>
      </c>
    </row>
    <row r="6775" spans="1:6">
      <c r="A6775" s="753"/>
      <c r="B6775" s="753"/>
      <c r="C6775" s="752" t="s">
        <v>41759</v>
      </c>
      <c r="D6775" s="753" t="s">
        <v>41754</v>
      </c>
      <c r="E6775" s="752" t="s">
        <v>37794</v>
      </c>
      <c r="F6775" s="751">
        <v>3785</v>
      </c>
    </row>
    <row r="6776" spans="1:6">
      <c r="A6776" s="753"/>
      <c r="B6776" s="753"/>
      <c r="C6776" s="752" t="s">
        <v>41758</v>
      </c>
      <c r="D6776" s="753" t="s">
        <v>41754</v>
      </c>
      <c r="E6776" s="752" t="s">
        <v>41708</v>
      </c>
      <c r="F6776" s="751">
        <v>3125</v>
      </c>
    </row>
    <row r="6777" spans="1:6">
      <c r="A6777" s="753"/>
      <c r="B6777" s="753"/>
      <c r="C6777" s="752" t="s">
        <v>41757</v>
      </c>
      <c r="D6777" s="753" t="s">
        <v>41754</v>
      </c>
      <c r="E6777" s="752" t="s">
        <v>41719</v>
      </c>
      <c r="F6777" s="751">
        <v>2925</v>
      </c>
    </row>
    <row r="6778" spans="1:6">
      <c r="A6778" s="753"/>
      <c r="B6778" s="753"/>
      <c r="C6778" s="752" t="s">
        <v>41756</v>
      </c>
      <c r="D6778" s="753" t="s">
        <v>41754</v>
      </c>
      <c r="E6778" s="752" t="s">
        <v>41706</v>
      </c>
      <c r="F6778" s="751">
        <v>2925</v>
      </c>
    </row>
    <row r="6779" spans="1:6">
      <c r="A6779" s="753"/>
      <c r="B6779" s="753"/>
      <c r="C6779" s="752" t="s">
        <v>41755</v>
      </c>
      <c r="D6779" s="753" t="s">
        <v>41754</v>
      </c>
      <c r="E6779" s="752" t="s">
        <v>293</v>
      </c>
      <c r="F6779" s="751">
        <v>3125</v>
      </c>
    </row>
    <row r="6780" spans="1:6">
      <c r="A6780" s="753"/>
      <c r="B6780" s="753"/>
      <c r="C6780" s="752" t="s">
        <v>41753</v>
      </c>
      <c r="D6780" s="753" t="s">
        <v>41744</v>
      </c>
      <c r="E6780" s="752" t="s">
        <v>293</v>
      </c>
      <c r="F6780" s="751">
        <v>3125</v>
      </c>
    </row>
    <row r="6781" spans="1:6">
      <c r="A6781" s="753"/>
      <c r="B6781" s="753"/>
      <c r="C6781" s="752" t="s">
        <v>41752</v>
      </c>
      <c r="D6781" s="753" t="s">
        <v>41744</v>
      </c>
      <c r="E6781" s="752" t="s">
        <v>38577</v>
      </c>
      <c r="F6781" s="751">
        <v>3885</v>
      </c>
    </row>
    <row r="6782" spans="1:6">
      <c r="A6782" s="753"/>
      <c r="B6782" s="753"/>
      <c r="C6782" s="752" t="s">
        <v>41751</v>
      </c>
      <c r="D6782" s="753" t="s">
        <v>41750</v>
      </c>
      <c r="E6782" s="752" t="s">
        <v>293</v>
      </c>
      <c r="F6782" s="751">
        <v>3125</v>
      </c>
    </row>
    <row r="6783" spans="1:6">
      <c r="A6783" s="753"/>
      <c r="B6783" s="753"/>
      <c r="C6783" s="752" t="s">
        <v>41749</v>
      </c>
      <c r="D6783" s="753" t="s">
        <v>41746</v>
      </c>
      <c r="E6783" s="752" t="s">
        <v>38878</v>
      </c>
      <c r="F6783" s="751">
        <v>3175</v>
      </c>
    </row>
    <row r="6784" spans="1:6">
      <c r="A6784" s="753"/>
      <c r="B6784" s="753"/>
      <c r="C6784" s="752" t="s">
        <v>41748</v>
      </c>
      <c r="D6784" s="753" t="s">
        <v>41746</v>
      </c>
      <c r="E6784" s="752" t="s">
        <v>293</v>
      </c>
      <c r="F6784" s="751">
        <v>3125</v>
      </c>
    </row>
    <row r="6785" spans="1:6">
      <c r="A6785" s="753"/>
      <c r="B6785" s="753"/>
      <c r="C6785" s="752" t="s">
        <v>41747</v>
      </c>
      <c r="D6785" s="753" t="s">
        <v>41746</v>
      </c>
      <c r="E6785" s="752" t="s">
        <v>38878</v>
      </c>
      <c r="F6785" s="751">
        <v>3175</v>
      </c>
    </row>
    <row r="6786" spans="1:6">
      <c r="A6786" s="753"/>
      <c r="B6786" s="753"/>
      <c r="C6786" s="752" t="s">
        <v>41745</v>
      </c>
      <c r="D6786" s="753" t="s">
        <v>41744</v>
      </c>
      <c r="E6786" s="752" t="s">
        <v>293</v>
      </c>
      <c r="F6786" s="751">
        <v>3125</v>
      </c>
    </row>
    <row r="6787" spans="1:6">
      <c r="A6787" s="753"/>
      <c r="B6787" s="753"/>
      <c r="C6787" s="752" t="s">
        <v>41743</v>
      </c>
      <c r="D6787" s="753" t="s">
        <v>41742</v>
      </c>
      <c r="E6787" s="752" t="s">
        <v>38878</v>
      </c>
      <c r="F6787" s="751">
        <v>2675</v>
      </c>
    </row>
    <row r="6788" spans="1:6">
      <c r="A6788" s="753"/>
      <c r="B6788" s="753"/>
      <c r="C6788" s="752" t="s">
        <v>41741</v>
      </c>
      <c r="D6788" s="753" t="s">
        <v>41727</v>
      </c>
      <c r="E6788" s="752" t="s">
        <v>293</v>
      </c>
      <c r="F6788" s="751">
        <v>2375</v>
      </c>
    </row>
    <row r="6789" spans="1:6">
      <c r="A6789" s="753"/>
      <c r="B6789" s="753"/>
      <c r="C6789" s="752" t="s">
        <v>41740</v>
      </c>
      <c r="D6789" s="753" t="s">
        <v>41727</v>
      </c>
      <c r="E6789" s="752" t="s">
        <v>293</v>
      </c>
      <c r="F6789" s="751">
        <v>2375</v>
      </c>
    </row>
    <row r="6790" spans="1:6">
      <c r="A6790" s="753"/>
      <c r="B6790" s="753"/>
      <c r="C6790" s="752" t="s">
        <v>41739</v>
      </c>
      <c r="D6790" s="753" t="s">
        <v>41727</v>
      </c>
      <c r="E6790" s="752" t="s">
        <v>38577</v>
      </c>
      <c r="F6790" s="751">
        <v>3135</v>
      </c>
    </row>
    <row r="6791" spans="1:6">
      <c r="A6791" s="753"/>
      <c r="B6791" s="753"/>
      <c r="C6791" s="752" t="s">
        <v>41738</v>
      </c>
      <c r="D6791" s="753" t="s">
        <v>41727</v>
      </c>
      <c r="E6791" s="752" t="s">
        <v>293</v>
      </c>
      <c r="F6791" s="751">
        <v>2625</v>
      </c>
    </row>
    <row r="6792" spans="1:6">
      <c r="A6792" s="753"/>
      <c r="B6792" s="753"/>
      <c r="C6792" s="752" t="s">
        <v>41737</v>
      </c>
      <c r="D6792" s="753" t="s">
        <v>41727</v>
      </c>
      <c r="E6792" s="752" t="s">
        <v>38878</v>
      </c>
      <c r="F6792" s="751">
        <v>2575</v>
      </c>
    </row>
    <row r="6793" spans="1:6">
      <c r="A6793" s="753"/>
      <c r="B6793" s="753"/>
      <c r="C6793" s="752" t="s">
        <v>41736</v>
      </c>
      <c r="D6793" s="753" t="s">
        <v>41727</v>
      </c>
      <c r="E6793" s="752" t="s">
        <v>38670</v>
      </c>
      <c r="F6793" s="751">
        <v>3135</v>
      </c>
    </row>
    <row r="6794" spans="1:6">
      <c r="A6794" s="753"/>
      <c r="B6794" s="753"/>
      <c r="C6794" s="752" t="s">
        <v>41735</v>
      </c>
      <c r="D6794" s="753" t="s">
        <v>41727</v>
      </c>
      <c r="E6794" s="752" t="s">
        <v>38919</v>
      </c>
      <c r="F6794" s="751">
        <v>3135</v>
      </c>
    </row>
    <row r="6795" spans="1:6">
      <c r="A6795" s="753"/>
      <c r="B6795" s="753"/>
      <c r="C6795" s="752" t="s">
        <v>41734</v>
      </c>
      <c r="D6795" s="753" t="s">
        <v>41727</v>
      </c>
      <c r="E6795" s="752" t="s">
        <v>293</v>
      </c>
      <c r="F6795" s="751">
        <v>2625</v>
      </c>
    </row>
    <row r="6796" spans="1:6">
      <c r="A6796" s="753"/>
      <c r="B6796" s="753"/>
      <c r="C6796" s="752" t="s">
        <v>41733</v>
      </c>
      <c r="D6796" s="753" t="s">
        <v>41727</v>
      </c>
      <c r="E6796" s="752" t="s">
        <v>38878</v>
      </c>
      <c r="F6796" s="751">
        <v>2575</v>
      </c>
    </row>
    <row r="6797" spans="1:6">
      <c r="A6797" s="753"/>
      <c r="B6797" s="753"/>
      <c r="C6797" s="752" t="s">
        <v>41732</v>
      </c>
      <c r="D6797" s="753" t="s">
        <v>41727</v>
      </c>
      <c r="E6797" s="752" t="s">
        <v>41708</v>
      </c>
      <c r="F6797" s="751">
        <v>2375</v>
      </c>
    </row>
    <row r="6798" spans="1:6">
      <c r="A6798" s="753"/>
      <c r="B6798" s="753"/>
      <c r="C6798" s="752" t="s">
        <v>41731</v>
      </c>
      <c r="D6798" s="753" t="s">
        <v>41727</v>
      </c>
      <c r="E6798" s="752" t="s">
        <v>41719</v>
      </c>
      <c r="F6798" s="751">
        <v>2175</v>
      </c>
    </row>
    <row r="6799" spans="1:6">
      <c r="A6799" s="753"/>
      <c r="B6799" s="753"/>
      <c r="C6799" s="752" t="s">
        <v>41730</v>
      </c>
      <c r="D6799" s="753" t="s">
        <v>41727</v>
      </c>
      <c r="E6799" s="752" t="s">
        <v>41706</v>
      </c>
      <c r="F6799" s="751">
        <v>2175</v>
      </c>
    </row>
    <row r="6800" spans="1:6">
      <c r="A6800" s="753"/>
      <c r="B6800" s="753"/>
      <c r="C6800" s="752" t="s">
        <v>41729</v>
      </c>
      <c r="D6800" s="753" t="s">
        <v>41727</v>
      </c>
      <c r="E6800" s="752" t="s">
        <v>293</v>
      </c>
      <c r="F6800" s="751">
        <v>2375</v>
      </c>
    </row>
    <row r="6801" spans="1:6">
      <c r="A6801" s="753"/>
      <c r="B6801" s="753"/>
      <c r="C6801" s="752" t="s">
        <v>41728</v>
      </c>
      <c r="D6801" s="753" t="s">
        <v>41727</v>
      </c>
      <c r="E6801" s="752" t="s">
        <v>41695</v>
      </c>
      <c r="F6801" s="751">
        <v>2375</v>
      </c>
    </row>
    <row r="6802" spans="1:6">
      <c r="A6802" s="753"/>
      <c r="B6802" s="753"/>
      <c r="C6802" s="752" t="s">
        <v>41726</v>
      </c>
      <c r="D6802" s="753" t="s">
        <v>41716</v>
      </c>
      <c r="E6802" s="752" t="s">
        <v>293</v>
      </c>
      <c r="F6802" s="751">
        <v>2925</v>
      </c>
    </row>
    <row r="6803" spans="1:6">
      <c r="A6803" s="753"/>
      <c r="B6803" s="753"/>
      <c r="C6803" s="752" t="s">
        <v>41725</v>
      </c>
      <c r="D6803" s="753" t="s">
        <v>41716</v>
      </c>
      <c r="E6803" s="752" t="s">
        <v>293</v>
      </c>
      <c r="F6803" s="751">
        <v>3175</v>
      </c>
    </row>
    <row r="6804" spans="1:6">
      <c r="A6804" s="753"/>
      <c r="B6804" s="753"/>
      <c r="C6804" s="752" t="s">
        <v>41724</v>
      </c>
      <c r="D6804" s="753" t="s">
        <v>41716</v>
      </c>
      <c r="E6804" s="752" t="s">
        <v>39170</v>
      </c>
      <c r="F6804" s="751">
        <v>3685</v>
      </c>
    </row>
    <row r="6805" spans="1:6">
      <c r="A6805" s="753"/>
      <c r="B6805" s="753"/>
      <c r="C6805" s="752" t="s">
        <v>41723</v>
      </c>
      <c r="D6805" s="753" t="s">
        <v>41716</v>
      </c>
      <c r="E6805" s="752" t="s">
        <v>41652</v>
      </c>
      <c r="F6805" s="751">
        <v>2925</v>
      </c>
    </row>
    <row r="6806" spans="1:6">
      <c r="A6806" s="753"/>
      <c r="B6806" s="753"/>
      <c r="C6806" s="752" t="s">
        <v>41722</v>
      </c>
      <c r="D6806" s="753" t="s">
        <v>41716</v>
      </c>
      <c r="E6806" s="752" t="s">
        <v>38919</v>
      </c>
      <c r="F6806" s="751">
        <v>3685</v>
      </c>
    </row>
    <row r="6807" spans="1:6">
      <c r="A6807" s="753"/>
      <c r="B6807" s="753"/>
      <c r="C6807" s="752" t="s">
        <v>41721</v>
      </c>
      <c r="D6807" s="753" t="s">
        <v>41716</v>
      </c>
      <c r="E6807" s="752" t="s">
        <v>293</v>
      </c>
      <c r="F6807" s="751">
        <v>3175</v>
      </c>
    </row>
    <row r="6808" spans="1:6">
      <c r="A6808" s="753"/>
      <c r="B6808" s="753"/>
      <c r="C6808" s="752" t="s">
        <v>41720</v>
      </c>
      <c r="D6808" s="753" t="s">
        <v>41716</v>
      </c>
      <c r="E6808" s="752" t="s">
        <v>41719</v>
      </c>
      <c r="F6808" s="751">
        <v>2725</v>
      </c>
    </row>
    <row r="6809" spans="1:6">
      <c r="A6809" s="753"/>
      <c r="B6809" s="753"/>
      <c r="C6809" s="752" t="s">
        <v>41718</v>
      </c>
      <c r="D6809" s="753" t="s">
        <v>41716</v>
      </c>
      <c r="E6809" s="752" t="s">
        <v>41706</v>
      </c>
      <c r="F6809" s="751">
        <v>2725</v>
      </c>
    </row>
    <row r="6810" spans="1:6">
      <c r="A6810" s="753"/>
      <c r="B6810" s="753"/>
      <c r="C6810" s="752" t="s">
        <v>41717</v>
      </c>
      <c r="D6810" s="753" t="s">
        <v>41716</v>
      </c>
      <c r="E6810" s="752" t="s">
        <v>293</v>
      </c>
      <c r="F6810" s="751">
        <v>2925</v>
      </c>
    </row>
    <row r="6811" spans="1:6">
      <c r="A6811" s="753"/>
      <c r="B6811" s="753"/>
      <c r="C6811" s="752" t="s">
        <v>41715</v>
      </c>
      <c r="D6811" s="753" t="s">
        <v>41683</v>
      </c>
      <c r="E6811" s="752" t="s">
        <v>293</v>
      </c>
      <c r="F6811" s="751">
        <v>2925</v>
      </c>
    </row>
    <row r="6812" spans="1:6">
      <c r="A6812" s="753"/>
      <c r="B6812" s="753"/>
      <c r="C6812" s="752" t="s">
        <v>41714</v>
      </c>
      <c r="D6812" s="753" t="s">
        <v>41713</v>
      </c>
      <c r="E6812" s="752" t="s">
        <v>293</v>
      </c>
      <c r="F6812" s="751">
        <v>2925</v>
      </c>
    </row>
    <row r="6813" spans="1:6">
      <c r="A6813" s="753"/>
      <c r="B6813" s="753"/>
      <c r="C6813" s="752" t="s">
        <v>41712</v>
      </c>
      <c r="D6813" s="753" t="s">
        <v>41711</v>
      </c>
      <c r="E6813" s="752" t="s">
        <v>39170</v>
      </c>
      <c r="F6813" s="751">
        <v>3685</v>
      </c>
    </row>
    <row r="6814" spans="1:6">
      <c r="A6814" s="753"/>
      <c r="B6814" s="753"/>
      <c r="C6814" s="752" t="s">
        <v>41710</v>
      </c>
      <c r="D6814" s="753" t="s">
        <v>41683</v>
      </c>
      <c r="E6814" s="752" t="s">
        <v>293</v>
      </c>
      <c r="F6814" s="751">
        <v>3175</v>
      </c>
    </row>
    <row r="6815" spans="1:6">
      <c r="A6815" s="753"/>
      <c r="B6815" s="753"/>
      <c r="C6815" s="752" t="s">
        <v>41709</v>
      </c>
      <c r="D6815" s="753" t="s">
        <v>41683</v>
      </c>
      <c r="E6815" s="752" t="s">
        <v>41708</v>
      </c>
      <c r="F6815" s="751">
        <v>2925</v>
      </c>
    </row>
    <row r="6816" spans="1:6">
      <c r="A6816" s="753"/>
      <c r="B6816" s="753"/>
      <c r="C6816" s="752" t="s">
        <v>41707</v>
      </c>
      <c r="D6816" s="753" t="s">
        <v>41683</v>
      </c>
      <c r="E6816" s="752" t="s">
        <v>41706</v>
      </c>
      <c r="F6816" s="751">
        <v>2725</v>
      </c>
    </row>
    <row r="6817" spans="1:6">
      <c r="A6817" s="753"/>
      <c r="B6817" s="753"/>
      <c r="C6817" s="752" t="s">
        <v>41705</v>
      </c>
      <c r="D6817" s="753" t="s">
        <v>41683</v>
      </c>
      <c r="E6817" s="752" t="s">
        <v>293</v>
      </c>
      <c r="F6817" s="751">
        <v>2925</v>
      </c>
    </row>
    <row r="6818" spans="1:6">
      <c r="A6818" s="753"/>
      <c r="B6818" s="753"/>
      <c r="C6818" s="752" t="s">
        <v>41704</v>
      </c>
      <c r="D6818" s="753" t="s">
        <v>41698</v>
      </c>
      <c r="E6818" s="752" t="s">
        <v>293</v>
      </c>
      <c r="F6818" s="751">
        <v>2475</v>
      </c>
    </row>
    <row r="6819" spans="1:6">
      <c r="A6819" s="753"/>
      <c r="B6819" s="753"/>
      <c r="C6819" s="752" t="s">
        <v>41703</v>
      </c>
      <c r="D6819" s="753" t="s">
        <v>41698</v>
      </c>
      <c r="E6819" s="752" t="s">
        <v>293</v>
      </c>
      <c r="F6819" s="751">
        <v>2475</v>
      </c>
    </row>
    <row r="6820" spans="1:6">
      <c r="A6820" s="753"/>
      <c r="B6820" s="753"/>
      <c r="C6820" s="752" t="s">
        <v>41702</v>
      </c>
      <c r="D6820" s="753" t="s">
        <v>41698</v>
      </c>
      <c r="E6820" s="752" t="s">
        <v>38878</v>
      </c>
      <c r="F6820" s="751">
        <v>2675</v>
      </c>
    </row>
    <row r="6821" spans="1:6">
      <c r="A6821" s="753"/>
      <c r="B6821" s="753"/>
      <c r="C6821" s="752" t="s">
        <v>41701</v>
      </c>
      <c r="D6821" s="753" t="s">
        <v>41698</v>
      </c>
      <c r="E6821" s="752" t="s">
        <v>37794</v>
      </c>
      <c r="F6821" s="751">
        <v>3235</v>
      </c>
    </row>
    <row r="6822" spans="1:6">
      <c r="A6822" s="753"/>
      <c r="B6822" s="753"/>
      <c r="C6822" s="752" t="s">
        <v>41700</v>
      </c>
      <c r="D6822" s="753" t="s">
        <v>41698</v>
      </c>
      <c r="E6822" s="752" t="s">
        <v>293</v>
      </c>
      <c r="F6822" s="751">
        <v>2475</v>
      </c>
    </row>
    <row r="6823" spans="1:6">
      <c r="A6823" s="753"/>
      <c r="B6823" s="753"/>
      <c r="C6823" s="752" t="s">
        <v>41699</v>
      </c>
      <c r="D6823" s="753" t="s">
        <v>41698</v>
      </c>
      <c r="E6823" s="752" t="s">
        <v>38878</v>
      </c>
      <c r="F6823" s="751">
        <v>2675</v>
      </c>
    </row>
    <row r="6824" spans="1:6">
      <c r="A6824" s="753"/>
      <c r="B6824" s="753"/>
      <c r="C6824" s="752" t="s">
        <v>41697</v>
      </c>
      <c r="D6824" s="753" t="s">
        <v>41696</v>
      </c>
      <c r="E6824" s="752" t="s">
        <v>41695</v>
      </c>
      <c r="F6824" s="751">
        <v>2475</v>
      </c>
    </row>
    <row r="6825" spans="1:6">
      <c r="A6825" s="753"/>
      <c r="B6825" s="753"/>
      <c r="C6825" s="752" t="s">
        <v>41694</v>
      </c>
      <c r="D6825" s="753" t="s">
        <v>41685</v>
      </c>
      <c r="E6825" s="752" t="s">
        <v>293</v>
      </c>
      <c r="F6825" s="751">
        <v>3025</v>
      </c>
    </row>
    <row r="6826" spans="1:6">
      <c r="A6826" s="753"/>
      <c r="B6826" s="753"/>
      <c r="C6826" s="752" t="s">
        <v>41693</v>
      </c>
      <c r="D6826" s="753" t="s">
        <v>41685</v>
      </c>
      <c r="E6826" s="752" t="s">
        <v>38670</v>
      </c>
      <c r="F6826" s="751">
        <v>3785</v>
      </c>
    </row>
    <row r="6827" spans="1:6">
      <c r="A6827" s="753"/>
      <c r="B6827" s="753"/>
      <c r="C6827" s="752" t="s">
        <v>41692</v>
      </c>
      <c r="D6827" s="753" t="s">
        <v>41685</v>
      </c>
      <c r="E6827" s="752" t="s">
        <v>293</v>
      </c>
      <c r="F6827" s="751">
        <v>3025</v>
      </c>
    </row>
    <row r="6828" spans="1:6">
      <c r="A6828" s="753"/>
      <c r="B6828" s="753"/>
      <c r="C6828" s="752" t="s">
        <v>41691</v>
      </c>
      <c r="D6828" s="753" t="s">
        <v>41685</v>
      </c>
      <c r="E6828" s="752" t="s">
        <v>38670</v>
      </c>
      <c r="F6828" s="751">
        <v>3785</v>
      </c>
    </row>
    <row r="6829" spans="1:6">
      <c r="A6829" s="753"/>
      <c r="B6829" s="753"/>
      <c r="C6829" s="752" t="s">
        <v>41690</v>
      </c>
      <c r="D6829" s="753" t="s">
        <v>41689</v>
      </c>
      <c r="E6829" s="752" t="s">
        <v>293</v>
      </c>
      <c r="F6829" s="751">
        <v>3025</v>
      </c>
    </row>
    <row r="6830" spans="1:6">
      <c r="A6830" s="753"/>
      <c r="B6830" s="753"/>
      <c r="C6830" s="752" t="s">
        <v>41688</v>
      </c>
      <c r="D6830" s="753" t="s">
        <v>41687</v>
      </c>
      <c r="E6830" s="752" t="s">
        <v>293</v>
      </c>
      <c r="F6830" s="751">
        <v>3025</v>
      </c>
    </row>
    <row r="6831" spans="1:6">
      <c r="A6831" s="753"/>
      <c r="B6831" s="753"/>
      <c r="C6831" s="752" t="s">
        <v>41686</v>
      </c>
      <c r="D6831" s="753" t="s">
        <v>41685</v>
      </c>
      <c r="E6831" s="752" t="s">
        <v>37876</v>
      </c>
      <c r="F6831" s="751">
        <v>3225</v>
      </c>
    </row>
    <row r="6832" spans="1:6">
      <c r="A6832" s="753"/>
      <c r="B6832" s="753"/>
      <c r="C6832" s="752" t="s">
        <v>41684</v>
      </c>
      <c r="D6832" s="753" t="s">
        <v>41683</v>
      </c>
      <c r="E6832" s="752" t="s">
        <v>38670</v>
      </c>
      <c r="F6832" s="751">
        <v>3685</v>
      </c>
    </row>
    <row r="6833" spans="1:6">
      <c r="A6833" s="753"/>
      <c r="B6833" s="753" t="s">
        <v>41682</v>
      </c>
      <c r="C6833" s="752" t="s">
        <v>41681</v>
      </c>
      <c r="D6833" s="753" t="s">
        <v>41680</v>
      </c>
      <c r="E6833" s="752" t="s">
        <v>38570</v>
      </c>
      <c r="F6833" s="751">
        <v>5995</v>
      </c>
    </row>
    <row r="6834" spans="1:6">
      <c r="A6834" s="753"/>
      <c r="B6834" s="753"/>
      <c r="C6834" s="752" t="s">
        <v>41679</v>
      </c>
      <c r="D6834" s="753" t="s">
        <v>41674</v>
      </c>
      <c r="E6834" s="752" t="s">
        <v>293</v>
      </c>
      <c r="F6834" s="751">
        <v>2825</v>
      </c>
    </row>
    <row r="6835" spans="1:6">
      <c r="A6835" s="753"/>
      <c r="B6835" s="753"/>
      <c r="C6835" s="752" t="s">
        <v>41678</v>
      </c>
      <c r="D6835" s="753" t="s">
        <v>41674</v>
      </c>
      <c r="E6835" s="752" t="s">
        <v>38670</v>
      </c>
      <c r="F6835" s="751">
        <v>3585</v>
      </c>
    </row>
    <row r="6836" spans="1:6">
      <c r="A6836" s="753"/>
      <c r="B6836" s="753"/>
      <c r="C6836" s="752" t="s">
        <v>41677</v>
      </c>
      <c r="D6836" s="753" t="s">
        <v>41674</v>
      </c>
      <c r="E6836" s="752" t="s">
        <v>41676</v>
      </c>
      <c r="F6836" s="751">
        <v>2575</v>
      </c>
    </row>
    <row r="6837" spans="1:6">
      <c r="A6837" s="753"/>
      <c r="B6837" s="753"/>
      <c r="C6837" s="752" t="s">
        <v>41675</v>
      </c>
      <c r="D6837" s="753" t="s">
        <v>41674</v>
      </c>
      <c r="E6837" s="752" t="s">
        <v>38878</v>
      </c>
      <c r="F6837" s="751">
        <v>2775</v>
      </c>
    </row>
    <row r="6838" spans="1:6">
      <c r="A6838" s="753"/>
      <c r="B6838" s="753"/>
      <c r="C6838" s="752" t="s">
        <v>41673</v>
      </c>
      <c r="D6838" s="753" t="s">
        <v>41672</v>
      </c>
      <c r="E6838" s="752" t="s">
        <v>293</v>
      </c>
      <c r="F6838" s="751">
        <v>3375</v>
      </c>
    </row>
    <row r="6839" spans="1:6">
      <c r="A6839" s="753"/>
      <c r="B6839" s="753"/>
      <c r="C6839" s="752" t="s">
        <v>41671</v>
      </c>
      <c r="D6839" s="753" t="s">
        <v>41669</v>
      </c>
      <c r="E6839" s="752" t="s">
        <v>293</v>
      </c>
      <c r="F6839" s="751">
        <v>2625</v>
      </c>
    </row>
    <row r="6840" spans="1:6">
      <c r="A6840" s="753"/>
      <c r="B6840" s="753"/>
      <c r="C6840" s="752" t="s">
        <v>41670</v>
      </c>
      <c r="D6840" s="753" t="s">
        <v>41669</v>
      </c>
      <c r="E6840" s="752" t="s">
        <v>38670</v>
      </c>
      <c r="F6840" s="751">
        <v>3385</v>
      </c>
    </row>
    <row r="6841" spans="1:6">
      <c r="A6841" s="753"/>
      <c r="B6841" s="753"/>
      <c r="C6841" s="752" t="s">
        <v>41668</v>
      </c>
      <c r="D6841" s="753" t="s">
        <v>41667</v>
      </c>
      <c r="E6841" s="752" t="s">
        <v>293</v>
      </c>
      <c r="F6841" s="751">
        <v>3175</v>
      </c>
    </row>
    <row r="6842" spans="1:6">
      <c r="A6842" s="753"/>
      <c r="B6842" s="753"/>
      <c r="C6842" s="752" t="s">
        <v>41666</v>
      </c>
      <c r="D6842" s="753" t="s">
        <v>41665</v>
      </c>
      <c r="E6842" s="752" t="s">
        <v>293</v>
      </c>
      <c r="F6842" s="751">
        <v>3175</v>
      </c>
    </row>
    <row r="6843" spans="1:6">
      <c r="A6843" s="753"/>
      <c r="B6843" s="753"/>
      <c r="C6843" s="752" t="s">
        <v>41664</v>
      </c>
      <c r="D6843" s="753" t="s">
        <v>41663</v>
      </c>
      <c r="E6843" s="752" t="s">
        <v>293</v>
      </c>
      <c r="F6843" s="751">
        <v>4415</v>
      </c>
    </row>
    <row r="6844" spans="1:6">
      <c r="A6844" s="753"/>
      <c r="B6844" s="753" t="s">
        <v>41662</v>
      </c>
      <c r="C6844" s="752" t="s">
        <v>41661</v>
      </c>
      <c r="D6844" s="753" t="s">
        <v>41657</v>
      </c>
      <c r="E6844" s="752" t="s">
        <v>293</v>
      </c>
      <c r="F6844" s="751">
        <v>3715</v>
      </c>
    </row>
    <row r="6845" spans="1:6">
      <c r="A6845" s="753"/>
      <c r="B6845" s="753"/>
      <c r="C6845" s="752" t="s">
        <v>41660</v>
      </c>
      <c r="D6845" s="753" t="s">
        <v>41659</v>
      </c>
      <c r="E6845" s="752" t="s">
        <v>293</v>
      </c>
      <c r="F6845" s="751">
        <v>3375</v>
      </c>
    </row>
    <row r="6846" spans="1:6">
      <c r="A6846" s="753"/>
      <c r="B6846" s="753"/>
      <c r="C6846" s="752" t="s">
        <v>41658</v>
      </c>
      <c r="D6846" s="753" t="s">
        <v>41657</v>
      </c>
      <c r="E6846" s="752" t="s">
        <v>293</v>
      </c>
      <c r="F6846" s="751">
        <v>4265</v>
      </c>
    </row>
    <row r="6847" spans="1:6">
      <c r="A6847" s="753"/>
      <c r="B6847" s="753"/>
      <c r="C6847" s="752" t="s">
        <v>41656</v>
      </c>
      <c r="D6847" s="753" t="s">
        <v>41653</v>
      </c>
      <c r="E6847" s="752" t="s">
        <v>293</v>
      </c>
      <c r="F6847" s="751">
        <v>2325</v>
      </c>
    </row>
    <row r="6848" spans="1:6">
      <c r="A6848" s="753"/>
      <c r="B6848" s="753"/>
      <c r="C6848" s="752" t="s">
        <v>41655</v>
      </c>
      <c r="D6848" s="753" t="s">
        <v>41653</v>
      </c>
      <c r="E6848" s="752" t="s">
        <v>293</v>
      </c>
      <c r="F6848" s="751">
        <v>2575</v>
      </c>
    </row>
    <row r="6849" spans="1:6">
      <c r="A6849" s="753"/>
      <c r="B6849" s="753"/>
      <c r="C6849" s="752" t="s">
        <v>41654</v>
      </c>
      <c r="D6849" s="753" t="s">
        <v>41653</v>
      </c>
      <c r="E6849" s="752" t="s">
        <v>41652</v>
      </c>
      <c r="F6849" s="751">
        <v>2575</v>
      </c>
    </row>
    <row r="6850" spans="1:6">
      <c r="A6850" s="753"/>
      <c r="B6850" s="753"/>
      <c r="C6850" s="752" t="s">
        <v>41651</v>
      </c>
      <c r="D6850" s="753" t="s">
        <v>41649</v>
      </c>
      <c r="E6850" s="752" t="s">
        <v>293</v>
      </c>
      <c r="F6850" s="751">
        <v>2875</v>
      </c>
    </row>
    <row r="6851" spans="1:6">
      <c r="A6851" s="753"/>
      <c r="B6851" s="753"/>
      <c r="C6851" s="752" t="s">
        <v>41650</v>
      </c>
      <c r="D6851" s="753" t="s">
        <v>41649</v>
      </c>
      <c r="E6851" s="752" t="s">
        <v>293</v>
      </c>
      <c r="F6851" s="751">
        <v>3125</v>
      </c>
    </row>
    <row r="6852" spans="1:6">
      <c r="A6852" s="753"/>
      <c r="B6852" s="753"/>
      <c r="C6852" s="752" t="s">
        <v>41648</v>
      </c>
      <c r="D6852" s="753" t="s">
        <v>41647</v>
      </c>
      <c r="E6852" s="752" t="s">
        <v>293</v>
      </c>
      <c r="F6852" s="751">
        <v>2875</v>
      </c>
    </row>
    <row r="6853" spans="1:6">
      <c r="A6853" s="753"/>
      <c r="B6853" s="753"/>
      <c r="C6853" s="752" t="s">
        <v>41646</v>
      </c>
      <c r="D6853" s="753" t="s">
        <v>41644</v>
      </c>
      <c r="E6853" s="752" t="s">
        <v>293</v>
      </c>
      <c r="F6853" s="751">
        <v>2125</v>
      </c>
    </row>
    <row r="6854" spans="1:6">
      <c r="A6854" s="753"/>
      <c r="B6854" s="753"/>
      <c r="C6854" s="752" t="s">
        <v>41645</v>
      </c>
      <c r="D6854" s="753" t="s">
        <v>41644</v>
      </c>
      <c r="E6854" s="752" t="s">
        <v>293</v>
      </c>
      <c r="F6854" s="751">
        <v>2375</v>
      </c>
    </row>
    <row r="6855" spans="1:6">
      <c r="A6855" s="753"/>
      <c r="B6855" s="753"/>
      <c r="C6855" s="752" t="s">
        <v>41643</v>
      </c>
      <c r="D6855" s="753" t="s">
        <v>41641</v>
      </c>
      <c r="E6855" s="752" t="s">
        <v>293</v>
      </c>
      <c r="F6855" s="751">
        <v>2675</v>
      </c>
    </row>
    <row r="6856" spans="1:6">
      <c r="A6856" s="753"/>
      <c r="B6856" s="753"/>
      <c r="C6856" s="752" t="s">
        <v>41642</v>
      </c>
      <c r="D6856" s="753" t="s">
        <v>41641</v>
      </c>
      <c r="E6856" s="752" t="s">
        <v>293</v>
      </c>
      <c r="F6856" s="751">
        <v>2925</v>
      </c>
    </row>
    <row r="6857" spans="1:6">
      <c r="A6857" s="753"/>
      <c r="B6857" s="753"/>
      <c r="C6857" s="752" t="s">
        <v>41640</v>
      </c>
      <c r="D6857" s="753" t="s">
        <v>41639</v>
      </c>
      <c r="E6857" s="752" t="s">
        <v>293</v>
      </c>
      <c r="F6857" s="751">
        <v>2675</v>
      </c>
    </row>
    <row r="6858" spans="1:6">
      <c r="A6858" s="753"/>
      <c r="B6858" s="753" t="s">
        <v>41638</v>
      </c>
      <c r="C6858" s="752" t="s">
        <v>41637</v>
      </c>
      <c r="D6858" s="753" t="s">
        <v>41636</v>
      </c>
      <c r="E6858" s="752" t="s">
        <v>293</v>
      </c>
      <c r="F6858" s="751">
        <v>4265</v>
      </c>
    </row>
    <row r="6859" spans="1:6">
      <c r="A6859" s="753"/>
      <c r="B6859" s="753"/>
      <c r="C6859" s="752" t="s">
        <v>41635</v>
      </c>
      <c r="D6859" s="753" t="s">
        <v>41634</v>
      </c>
      <c r="E6859" s="752" t="s">
        <v>293</v>
      </c>
      <c r="F6859" s="751">
        <v>3625</v>
      </c>
    </row>
    <row r="6860" spans="1:6">
      <c r="A6860" s="753"/>
      <c r="B6860" s="753"/>
      <c r="C6860" s="752" t="s">
        <v>41633</v>
      </c>
      <c r="D6860" s="753" t="s">
        <v>41632</v>
      </c>
      <c r="E6860" s="752" t="s">
        <v>293</v>
      </c>
      <c r="F6860" s="751">
        <v>2575</v>
      </c>
    </row>
    <row r="6861" spans="1:6">
      <c r="A6861" s="753"/>
      <c r="B6861" s="753"/>
      <c r="C6861" s="752" t="s">
        <v>41631</v>
      </c>
      <c r="D6861" s="753" t="s">
        <v>41626</v>
      </c>
      <c r="E6861" s="752" t="s">
        <v>293</v>
      </c>
      <c r="F6861" s="751">
        <v>3125</v>
      </c>
    </row>
    <row r="6862" spans="1:6">
      <c r="A6862" s="753"/>
      <c r="B6862" s="753"/>
      <c r="C6862" s="752" t="s">
        <v>41630</v>
      </c>
      <c r="D6862" s="753" t="s">
        <v>41626</v>
      </c>
      <c r="E6862" s="752" t="s">
        <v>38919</v>
      </c>
      <c r="F6862" s="751">
        <v>3635</v>
      </c>
    </row>
    <row r="6863" spans="1:6">
      <c r="A6863" s="753"/>
      <c r="B6863" s="753"/>
      <c r="C6863" s="752" t="s">
        <v>41629</v>
      </c>
      <c r="D6863" s="753" t="s">
        <v>41628</v>
      </c>
      <c r="E6863" s="752" t="s">
        <v>293</v>
      </c>
      <c r="F6863" s="751">
        <v>3125</v>
      </c>
    </row>
    <row r="6864" spans="1:6">
      <c r="A6864" s="753"/>
      <c r="B6864" s="753"/>
      <c r="C6864" s="752" t="s">
        <v>41627</v>
      </c>
      <c r="D6864" s="753" t="s">
        <v>41626</v>
      </c>
      <c r="E6864" s="752" t="s">
        <v>41625</v>
      </c>
      <c r="F6864" s="751">
        <v>3635</v>
      </c>
    </row>
    <row r="6865" spans="1:6">
      <c r="A6865" s="753"/>
      <c r="B6865" s="753"/>
      <c r="C6865" s="752" t="s">
        <v>41624</v>
      </c>
      <c r="D6865" s="753" t="s">
        <v>41623</v>
      </c>
      <c r="E6865" s="752" t="s">
        <v>293</v>
      </c>
      <c r="F6865" s="751">
        <v>2375</v>
      </c>
    </row>
    <row r="6866" spans="1:6">
      <c r="A6866" s="753"/>
      <c r="B6866" s="753"/>
      <c r="C6866" s="752" t="s">
        <v>41622</v>
      </c>
      <c r="D6866" s="753" t="s">
        <v>41621</v>
      </c>
      <c r="E6866" s="752" t="s">
        <v>293</v>
      </c>
      <c r="F6866" s="751">
        <v>2925</v>
      </c>
    </row>
    <row r="6867" spans="1:6">
      <c r="A6867" s="753"/>
      <c r="B6867" s="753" t="s">
        <v>41620</v>
      </c>
      <c r="C6867" s="752" t="s">
        <v>41619</v>
      </c>
      <c r="D6867" s="753" t="s">
        <v>41618</v>
      </c>
      <c r="E6867" s="752" t="s">
        <v>293</v>
      </c>
      <c r="F6867" s="751">
        <v>2325</v>
      </c>
    </row>
    <row r="6868" spans="1:6">
      <c r="A6868" s="753"/>
      <c r="B6868" s="753"/>
      <c r="C6868" s="752" t="s">
        <v>41617</v>
      </c>
      <c r="D6868" s="753" t="s">
        <v>41616</v>
      </c>
      <c r="E6868" s="752" t="s">
        <v>293</v>
      </c>
      <c r="F6868" s="751">
        <v>2745</v>
      </c>
    </row>
    <row r="6869" spans="1:6">
      <c r="A6869" s="753"/>
      <c r="B6869" s="753"/>
      <c r="C6869" s="752" t="s">
        <v>41615</v>
      </c>
      <c r="D6869" s="753" t="s">
        <v>41614</v>
      </c>
      <c r="E6869" s="752" t="s">
        <v>293</v>
      </c>
      <c r="F6869" s="751">
        <v>2125</v>
      </c>
    </row>
    <row r="6870" spans="1:6">
      <c r="A6870" s="753"/>
      <c r="B6870" s="753" t="s">
        <v>41613</v>
      </c>
      <c r="C6870" s="752" t="s">
        <v>41612</v>
      </c>
      <c r="D6870" s="753" t="s">
        <v>41610</v>
      </c>
      <c r="E6870" s="752" t="s">
        <v>293</v>
      </c>
      <c r="F6870" s="751">
        <v>4165</v>
      </c>
    </row>
    <row r="6871" spans="1:6">
      <c r="A6871" s="753"/>
      <c r="B6871" s="753"/>
      <c r="C6871" s="752" t="s">
        <v>41611</v>
      </c>
      <c r="D6871" s="753" t="s">
        <v>41610</v>
      </c>
      <c r="E6871" s="752" t="s">
        <v>293</v>
      </c>
      <c r="F6871" s="751">
        <v>4715</v>
      </c>
    </row>
    <row r="6872" spans="1:6">
      <c r="A6872" s="753"/>
      <c r="B6872" s="753"/>
      <c r="C6872" s="752" t="s">
        <v>41609</v>
      </c>
      <c r="D6872" s="753" t="s">
        <v>41608</v>
      </c>
      <c r="E6872" s="752" t="s">
        <v>293</v>
      </c>
      <c r="F6872" s="751">
        <v>3175</v>
      </c>
    </row>
    <row r="6873" spans="1:6">
      <c r="A6873" s="753"/>
      <c r="B6873" s="753"/>
      <c r="C6873" s="752" t="s">
        <v>41607</v>
      </c>
      <c r="D6873" s="753" t="s">
        <v>41601</v>
      </c>
      <c r="E6873" s="752" t="s">
        <v>293</v>
      </c>
      <c r="F6873" s="751">
        <v>3725</v>
      </c>
    </row>
    <row r="6874" spans="1:6">
      <c r="A6874" s="753"/>
      <c r="B6874" s="753"/>
      <c r="C6874" s="752" t="s">
        <v>41606</v>
      </c>
      <c r="D6874" s="753" t="s">
        <v>41605</v>
      </c>
      <c r="E6874" s="752" t="s">
        <v>293</v>
      </c>
      <c r="F6874" s="751">
        <v>3075</v>
      </c>
    </row>
    <row r="6875" spans="1:6">
      <c r="A6875" s="753"/>
      <c r="B6875" s="753"/>
      <c r="C6875" s="752" t="s">
        <v>41604</v>
      </c>
      <c r="D6875" s="753" t="s">
        <v>41603</v>
      </c>
      <c r="E6875" s="752" t="s">
        <v>293</v>
      </c>
      <c r="F6875" s="751">
        <v>3625</v>
      </c>
    </row>
    <row r="6876" spans="1:6">
      <c r="A6876" s="753"/>
      <c r="B6876" s="753"/>
      <c r="C6876" s="752" t="s">
        <v>41602</v>
      </c>
      <c r="D6876" s="753" t="s">
        <v>41601</v>
      </c>
      <c r="E6876" s="752" t="s">
        <v>293</v>
      </c>
      <c r="F6876" s="751">
        <v>3625</v>
      </c>
    </row>
    <row r="6877" spans="1:6">
      <c r="A6877" s="753"/>
      <c r="B6877" s="753"/>
      <c r="C6877" s="752" t="s">
        <v>41600</v>
      </c>
      <c r="D6877" s="753" t="s">
        <v>41599</v>
      </c>
      <c r="E6877" s="752" t="s">
        <v>293</v>
      </c>
      <c r="F6877" s="751">
        <v>2875</v>
      </c>
    </row>
    <row r="6878" spans="1:6">
      <c r="A6878" s="753"/>
      <c r="B6878" s="753"/>
      <c r="C6878" s="752" t="s">
        <v>41598</v>
      </c>
      <c r="D6878" s="753" t="s">
        <v>41597</v>
      </c>
      <c r="E6878" s="752" t="s">
        <v>293</v>
      </c>
      <c r="F6878" s="751">
        <v>3425</v>
      </c>
    </row>
    <row r="6879" spans="1:6">
      <c r="A6879" s="753"/>
      <c r="B6879" s="753"/>
      <c r="C6879" s="752" t="s">
        <v>41596</v>
      </c>
      <c r="D6879" s="753" t="s">
        <v>41595</v>
      </c>
      <c r="E6879" s="752" t="s">
        <v>293</v>
      </c>
      <c r="F6879" s="751">
        <v>3425</v>
      </c>
    </row>
    <row r="6880" spans="1:6">
      <c r="A6880" s="753"/>
      <c r="B6880" s="753"/>
      <c r="C6880" s="752" t="s">
        <v>41594</v>
      </c>
      <c r="D6880" s="753" t="s">
        <v>41592</v>
      </c>
      <c r="E6880" s="752" t="s">
        <v>293</v>
      </c>
      <c r="F6880" s="751">
        <v>2975</v>
      </c>
    </row>
    <row r="6881" spans="1:6">
      <c r="A6881" s="753"/>
      <c r="B6881" s="753"/>
      <c r="C6881" s="752" t="s">
        <v>41593</v>
      </c>
      <c r="D6881" s="753" t="s">
        <v>41592</v>
      </c>
      <c r="E6881" s="752" t="s">
        <v>38536</v>
      </c>
      <c r="F6881" s="751">
        <v>2125</v>
      </c>
    </row>
    <row r="6882" spans="1:6">
      <c r="A6882" s="753"/>
      <c r="B6882" s="753"/>
      <c r="C6882" s="752" t="s">
        <v>41591</v>
      </c>
      <c r="D6882" s="753" t="s">
        <v>41590</v>
      </c>
      <c r="E6882" s="752" t="s">
        <v>293</v>
      </c>
      <c r="F6882" s="751">
        <v>3525</v>
      </c>
    </row>
    <row r="6883" spans="1:6">
      <c r="A6883" s="753"/>
      <c r="B6883" s="753"/>
      <c r="C6883" s="752" t="s">
        <v>41589</v>
      </c>
      <c r="D6883" s="753" t="s">
        <v>41588</v>
      </c>
      <c r="E6883" s="752" t="s">
        <v>293</v>
      </c>
      <c r="F6883" s="751">
        <v>3525</v>
      </c>
    </row>
    <row r="6884" spans="1:6">
      <c r="A6884" s="753"/>
      <c r="B6884" s="753" t="s">
        <v>41587</v>
      </c>
      <c r="C6884" s="752" t="s">
        <v>41586</v>
      </c>
      <c r="D6884" s="753" t="s">
        <v>41568</v>
      </c>
      <c r="E6884" s="752" t="s">
        <v>38570</v>
      </c>
      <c r="F6884" s="751">
        <v>2175</v>
      </c>
    </row>
    <row r="6885" spans="1:6">
      <c r="A6885" s="753"/>
      <c r="B6885" s="753"/>
      <c r="C6885" s="752" t="s">
        <v>41585</v>
      </c>
      <c r="D6885" s="753" t="s">
        <v>41542</v>
      </c>
      <c r="E6885" s="752" t="s">
        <v>38570</v>
      </c>
      <c r="F6885" s="751">
        <v>2175</v>
      </c>
    </row>
    <row r="6886" spans="1:6">
      <c r="A6886" s="753"/>
      <c r="B6886" s="753"/>
      <c r="C6886" s="752" t="s">
        <v>41584</v>
      </c>
      <c r="D6886" s="753" t="s">
        <v>41583</v>
      </c>
      <c r="E6886" s="752" t="s">
        <v>38570</v>
      </c>
      <c r="F6886" s="751">
        <v>2175</v>
      </c>
    </row>
    <row r="6887" spans="1:6">
      <c r="A6887" s="753"/>
      <c r="B6887" s="753" t="s">
        <v>41582</v>
      </c>
      <c r="C6887" s="752" t="s">
        <v>41581</v>
      </c>
      <c r="D6887" s="753" t="s">
        <v>41580</v>
      </c>
      <c r="E6887" s="752" t="s">
        <v>293</v>
      </c>
      <c r="F6887" s="751">
        <v>3875</v>
      </c>
    </row>
    <row r="6888" spans="1:6">
      <c r="A6888" s="753"/>
      <c r="B6888" s="753"/>
      <c r="C6888" s="752" t="s">
        <v>41579</v>
      </c>
      <c r="D6888" s="753" t="s">
        <v>41578</v>
      </c>
      <c r="E6888" s="752" t="s">
        <v>39923</v>
      </c>
      <c r="F6888" s="751">
        <v>4105</v>
      </c>
    </row>
    <row r="6889" spans="1:6">
      <c r="A6889" s="753"/>
      <c r="B6889" s="753"/>
      <c r="C6889" s="752" t="s">
        <v>41577</v>
      </c>
      <c r="D6889" s="753" t="s">
        <v>41568</v>
      </c>
      <c r="E6889" s="752" t="s">
        <v>41528</v>
      </c>
      <c r="F6889" s="751">
        <v>2825</v>
      </c>
    </row>
    <row r="6890" spans="1:6">
      <c r="A6890" s="753"/>
      <c r="B6890" s="753"/>
      <c r="C6890" s="752" t="s">
        <v>41576</v>
      </c>
      <c r="D6890" s="753" t="s">
        <v>41568</v>
      </c>
      <c r="E6890" s="752" t="s">
        <v>41575</v>
      </c>
      <c r="F6890" s="751">
        <v>3335</v>
      </c>
    </row>
    <row r="6891" spans="1:6">
      <c r="A6891" s="753"/>
      <c r="B6891" s="753"/>
      <c r="C6891" s="752" t="s">
        <v>41574</v>
      </c>
      <c r="D6891" s="753" t="s">
        <v>41568</v>
      </c>
      <c r="E6891" s="752" t="s">
        <v>41554</v>
      </c>
      <c r="F6891" s="751">
        <v>2625</v>
      </c>
    </row>
    <row r="6892" spans="1:6">
      <c r="A6892" s="753"/>
      <c r="B6892" s="753"/>
      <c r="C6892" s="752" t="s">
        <v>41573</v>
      </c>
      <c r="D6892" s="753" t="s">
        <v>41568</v>
      </c>
      <c r="E6892" s="752" t="s">
        <v>41393</v>
      </c>
      <c r="F6892" s="751">
        <v>2825</v>
      </c>
    </row>
    <row r="6893" spans="1:6">
      <c r="A6893" s="753"/>
      <c r="B6893" s="753"/>
      <c r="C6893" s="752" t="s">
        <v>41572</v>
      </c>
      <c r="D6893" s="753" t="s">
        <v>41568</v>
      </c>
      <c r="E6893" s="752" t="s">
        <v>293</v>
      </c>
      <c r="F6893" s="751">
        <v>2625</v>
      </c>
    </row>
    <row r="6894" spans="1:6">
      <c r="A6894" s="753"/>
      <c r="B6894" s="753"/>
      <c r="C6894" s="752" t="s">
        <v>41571</v>
      </c>
      <c r="D6894" s="753" t="s">
        <v>41568</v>
      </c>
      <c r="E6894" s="752" t="s">
        <v>293</v>
      </c>
      <c r="F6894" s="751">
        <v>2375</v>
      </c>
    </row>
    <row r="6895" spans="1:6">
      <c r="A6895" s="753"/>
      <c r="B6895" s="753"/>
      <c r="C6895" s="752" t="s">
        <v>41570</v>
      </c>
      <c r="D6895" s="753" t="s">
        <v>41566</v>
      </c>
      <c r="E6895" s="752" t="s">
        <v>41393</v>
      </c>
      <c r="F6895" s="751">
        <v>2875</v>
      </c>
    </row>
    <row r="6896" spans="1:6">
      <c r="A6896" s="753"/>
      <c r="B6896" s="753"/>
      <c r="C6896" s="752" t="s">
        <v>41569</v>
      </c>
      <c r="D6896" s="753" t="s">
        <v>41568</v>
      </c>
      <c r="E6896" s="752" t="s">
        <v>38655</v>
      </c>
      <c r="F6896" s="751">
        <v>2375</v>
      </c>
    </row>
    <row r="6897" spans="1:6">
      <c r="A6897" s="753"/>
      <c r="B6897" s="753"/>
      <c r="C6897" s="752" t="s">
        <v>41567</v>
      </c>
      <c r="D6897" s="753" t="s">
        <v>41566</v>
      </c>
      <c r="E6897" s="752" t="s">
        <v>41393</v>
      </c>
      <c r="F6897" s="751">
        <v>2375</v>
      </c>
    </row>
    <row r="6898" spans="1:6">
      <c r="A6898" s="753"/>
      <c r="B6898" s="753"/>
      <c r="C6898" s="752" t="s">
        <v>41565</v>
      </c>
      <c r="D6898" s="753" t="s">
        <v>41563</v>
      </c>
      <c r="E6898" s="752" t="s">
        <v>41528</v>
      </c>
      <c r="F6898" s="751">
        <v>3375</v>
      </c>
    </row>
    <row r="6899" spans="1:6">
      <c r="A6899" s="753"/>
      <c r="B6899" s="753"/>
      <c r="C6899" s="752" t="s">
        <v>41564</v>
      </c>
      <c r="D6899" s="753" t="s">
        <v>41563</v>
      </c>
      <c r="E6899" s="752" t="s">
        <v>41561</v>
      </c>
      <c r="F6899" s="751">
        <v>3885</v>
      </c>
    </row>
    <row r="6900" spans="1:6">
      <c r="A6900" s="753"/>
      <c r="B6900" s="753"/>
      <c r="C6900" s="752" t="s">
        <v>41562</v>
      </c>
      <c r="D6900" s="753" t="s">
        <v>41557</v>
      </c>
      <c r="E6900" s="752" t="s">
        <v>41561</v>
      </c>
      <c r="F6900" s="751">
        <v>3885</v>
      </c>
    </row>
    <row r="6901" spans="1:6">
      <c r="A6901" s="753"/>
      <c r="B6901" s="753"/>
      <c r="C6901" s="752" t="s">
        <v>41560</v>
      </c>
      <c r="D6901" s="753" t="s">
        <v>41559</v>
      </c>
      <c r="E6901" s="752" t="s">
        <v>41523</v>
      </c>
      <c r="F6901" s="751">
        <v>3475</v>
      </c>
    </row>
    <row r="6902" spans="1:6">
      <c r="A6902" s="753"/>
      <c r="B6902" s="753"/>
      <c r="C6902" s="752" t="s">
        <v>41558</v>
      </c>
      <c r="D6902" s="753" t="s">
        <v>41557</v>
      </c>
      <c r="E6902" s="752" t="s">
        <v>41528</v>
      </c>
      <c r="F6902" s="751">
        <v>2925</v>
      </c>
    </row>
    <row r="6903" spans="1:6">
      <c r="A6903" s="753"/>
      <c r="B6903" s="753"/>
      <c r="C6903" s="752" t="s">
        <v>41556</v>
      </c>
      <c r="D6903" s="753" t="s">
        <v>41542</v>
      </c>
      <c r="E6903" s="752" t="s">
        <v>41528</v>
      </c>
      <c r="F6903" s="751">
        <v>2625</v>
      </c>
    </row>
    <row r="6904" spans="1:6">
      <c r="A6904" s="753"/>
      <c r="B6904" s="753"/>
      <c r="C6904" s="752" t="s">
        <v>41555</v>
      </c>
      <c r="D6904" s="753" t="s">
        <v>41542</v>
      </c>
      <c r="E6904" s="752" t="s">
        <v>41554</v>
      </c>
      <c r="F6904" s="751">
        <v>2425</v>
      </c>
    </row>
    <row r="6905" spans="1:6">
      <c r="A6905" s="753"/>
      <c r="B6905" s="753"/>
      <c r="C6905" s="752" t="s">
        <v>41553</v>
      </c>
      <c r="D6905" s="753" t="s">
        <v>41542</v>
      </c>
      <c r="E6905" s="752" t="s">
        <v>41552</v>
      </c>
      <c r="F6905" s="751">
        <v>3185</v>
      </c>
    </row>
    <row r="6906" spans="1:6">
      <c r="A6906" s="753"/>
      <c r="B6906" s="753"/>
      <c r="C6906" s="752" t="s">
        <v>41551</v>
      </c>
      <c r="D6906" s="753" t="s">
        <v>41542</v>
      </c>
      <c r="E6906" s="752" t="s">
        <v>41550</v>
      </c>
      <c r="F6906" s="751">
        <v>3385</v>
      </c>
    </row>
    <row r="6907" spans="1:6">
      <c r="A6907" s="753"/>
      <c r="B6907" s="753"/>
      <c r="C6907" s="752" t="s">
        <v>41549</v>
      </c>
      <c r="D6907" s="753" t="s">
        <v>41542</v>
      </c>
      <c r="E6907" s="752" t="s">
        <v>41523</v>
      </c>
      <c r="F6907" s="751">
        <v>2625</v>
      </c>
    </row>
    <row r="6908" spans="1:6">
      <c r="A6908" s="753"/>
      <c r="B6908" s="753"/>
      <c r="C6908" s="752" t="s">
        <v>41548</v>
      </c>
      <c r="D6908" s="753" t="s">
        <v>41542</v>
      </c>
      <c r="E6908" s="752" t="s">
        <v>293</v>
      </c>
      <c r="F6908" s="751">
        <v>2125</v>
      </c>
    </row>
    <row r="6909" spans="1:6">
      <c r="A6909" s="753"/>
      <c r="B6909" s="753"/>
      <c r="C6909" s="752" t="s">
        <v>41547</v>
      </c>
      <c r="D6909" s="753" t="s">
        <v>41542</v>
      </c>
      <c r="E6909" s="752" t="s">
        <v>293</v>
      </c>
      <c r="F6909" s="751">
        <v>2425</v>
      </c>
    </row>
    <row r="6910" spans="1:6">
      <c r="A6910" s="753"/>
      <c r="B6910" s="753"/>
      <c r="C6910" s="752" t="s">
        <v>41546</v>
      </c>
      <c r="D6910" s="753" t="s">
        <v>41542</v>
      </c>
      <c r="E6910" s="752" t="s">
        <v>293</v>
      </c>
      <c r="F6910" s="751">
        <v>2175</v>
      </c>
    </row>
    <row r="6911" spans="1:6">
      <c r="A6911" s="753"/>
      <c r="B6911" s="753"/>
      <c r="C6911" s="752" t="s">
        <v>41545</v>
      </c>
      <c r="D6911" s="753" t="s">
        <v>41542</v>
      </c>
      <c r="E6911" s="752" t="s">
        <v>41523</v>
      </c>
      <c r="F6911" s="751">
        <v>2675</v>
      </c>
    </row>
    <row r="6912" spans="1:6">
      <c r="A6912" s="753"/>
      <c r="B6912" s="753"/>
      <c r="C6912" s="752" t="s">
        <v>41544</v>
      </c>
      <c r="D6912" s="753" t="s">
        <v>41542</v>
      </c>
      <c r="E6912" s="752" t="s">
        <v>38584</v>
      </c>
      <c r="F6912" s="751">
        <v>2175</v>
      </c>
    </row>
    <row r="6913" spans="1:6">
      <c r="A6913" s="753"/>
      <c r="B6913" s="753"/>
      <c r="C6913" s="752" t="s">
        <v>41543</v>
      </c>
      <c r="D6913" s="753" t="s">
        <v>41542</v>
      </c>
      <c r="E6913" s="752" t="s">
        <v>38655</v>
      </c>
      <c r="F6913" s="751">
        <v>2175</v>
      </c>
    </row>
    <row r="6914" spans="1:6">
      <c r="A6914" s="753"/>
      <c r="B6914" s="753"/>
      <c r="C6914" s="752" t="s">
        <v>41541</v>
      </c>
      <c r="D6914" s="753" t="s">
        <v>41532</v>
      </c>
      <c r="E6914" s="752" t="s">
        <v>38655</v>
      </c>
      <c r="F6914" s="751">
        <v>3175</v>
      </c>
    </row>
    <row r="6915" spans="1:6">
      <c r="A6915" s="753"/>
      <c r="B6915" s="753"/>
      <c r="C6915" s="752" t="s">
        <v>41540</v>
      </c>
      <c r="D6915" s="753" t="s">
        <v>41532</v>
      </c>
      <c r="E6915" s="752" t="s">
        <v>41539</v>
      </c>
      <c r="F6915" s="751">
        <v>3935</v>
      </c>
    </row>
    <row r="6916" spans="1:6">
      <c r="A6916" s="753"/>
      <c r="B6916" s="753"/>
      <c r="C6916" s="752" t="s">
        <v>41538</v>
      </c>
      <c r="D6916" s="753" t="s">
        <v>41532</v>
      </c>
      <c r="E6916" s="752" t="s">
        <v>41537</v>
      </c>
      <c r="F6916" s="751">
        <v>3935</v>
      </c>
    </row>
    <row r="6917" spans="1:6">
      <c r="A6917" s="753"/>
      <c r="B6917" s="753"/>
      <c r="C6917" s="752" t="s">
        <v>41536</v>
      </c>
      <c r="D6917" s="753" t="s">
        <v>41532</v>
      </c>
      <c r="E6917" s="752" t="s">
        <v>41523</v>
      </c>
      <c r="F6917" s="751">
        <v>3175</v>
      </c>
    </row>
    <row r="6918" spans="1:6">
      <c r="A6918" s="753"/>
      <c r="B6918" s="753"/>
      <c r="C6918" s="752" t="s">
        <v>41535</v>
      </c>
      <c r="D6918" s="753" t="s">
        <v>41532</v>
      </c>
      <c r="E6918" s="752" t="s">
        <v>293</v>
      </c>
      <c r="F6918" s="751">
        <v>2725</v>
      </c>
    </row>
    <row r="6919" spans="1:6">
      <c r="A6919" s="753"/>
      <c r="B6919" s="753"/>
      <c r="C6919" s="752" t="s">
        <v>41534</v>
      </c>
      <c r="D6919" s="753" t="s">
        <v>41532</v>
      </c>
      <c r="E6919" s="752" t="s">
        <v>41523</v>
      </c>
      <c r="F6919" s="751">
        <v>2725</v>
      </c>
    </row>
    <row r="6920" spans="1:6">
      <c r="A6920" s="753"/>
      <c r="B6920" s="753"/>
      <c r="C6920" s="752" t="s">
        <v>41533</v>
      </c>
      <c r="D6920" s="753" t="s">
        <v>41532</v>
      </c>
      <c r="E6920" s="752" t="s">
        <v>38655</v>
      </c>
      <c r="F6920" s="751">
        <v>2725</v>
      </c>
    </row>
    <row r="6921" spans="1:6">
      <c r="A6921" s="753"/>
      <c r="B6921" s="753"/>
      <c r="C6921" s="752" t="s">
        <v>41531</v>
      </c>
      <c r="D6921" s="753" t="s">
        <v>41530</v>
      </c>
      <c r="E6921" s="752" t="s">
        <v>38655</v>
      </c>
      <c r="F6921" s="751">
        <v>3175</v>
      </c>
    </row>
    <row r="6922" spans="1:6">
      <c r="A6922" s="753"/>
      <c r="B6922" s="753"/>
      <c r="C6922" s="752" t="s">
        <v>41529</v>
      </c>
      <c r="D6922" s="753" t="s">
        <v>41526</v>
      </c>
      <c r="E6922" s="752" t="s">
        <v>41528</v>
      </c>
      <c r="F6922" s="751">
        <v>2725</v>
      </c>
    </row>
    <row r="6923" spans="1:6">
      <c r="A6923" s="753"/>
      <c r="B6923" s="753"/>
      <c r="C6923" s="752" t="s">
        <v>41527</v>
      </c>
      <c r="D6923" s="753" t="s">
        <v>41526</v>
      </c>
      <c r="E6923" s="752" t="s">
        <v>38539</v>
      </c>
      <c r="F6923" s="751">
        <v>2475</v>
      </c>
    </row>
    <row r="6924" spans="1:6">
      <c r="A6924" s="753"/>
      <c r="B6924" s="753"/>
      <c r="C6924" s="752" t="s">
        <v>41525</v>
      </c>
      <c r="D6924" s="753" t="s">
        <v>41524</v>
      </c>
      <c r="E6924" s="752" t="s">
        <v>41523</v>
      </c>
      <c r="F6924" s="751">
        <v>3225</v>
      </c>
    </row>
    <row r="6925" spans="1:6">
      <c r="A6925" s="753"/>
      <c r="B6925" s="753" t="s">
        <v>41522</v>
      </c>
      <c r="C6925" s="752" t="s">
        <v>41521</v>
      </c>
      <c r="D6925" s="753" t="s">
        <v>41520</v>
      </c>
      <c r="E6925" s="752" t="s">
        <v>293</v>
      </c>
      <c r="F6925" s="751">
        <v>2675</v>
      </c>
    </row>
    <row r="6926" spans="1:6">
      <c r="A6926" s="753"/>
      <c r="B6926" s="753"/>
      <c r="C6926" s="752" t="s">
        <v>41519</v>
      </c>
      <c r="D6926" s="753" t="s">
        <v>41518</v>
      </c>
      <c r="E6926" s="752" t="s">
        <v>293</v>
      </c>
      <c r="F6926" s="751">
        <v>2425</v>
      </c>
    </row>
    <row r="6927" spans="1:6">
      <c r="A6927" s="753"/>
      <c r="B6927" s="753"/>
      <c r="C6927" s="752" t="s">
        <v>41517</v>
      </c>
      <c r="D6927" s="753" t="s">
        <v>41516</v>
      </c>
      <c r="E6927" s="752" t="s">
        <v>38670</v>
      </c>
      <c r="F6927" s="751">
        <v>3085</v>
      </c>
    </row>
    <row r="6928" spans="1:6">
      <c r="A6928" s="753"/>
      <c r="B6928" s="753"/>
      <c r="C6928" s="752" t="s">
        <v>41515</v>
      </c>
      <c r="D6928" s="753" t="s">
        <v>41514</v>
      </c>
      <c r="E6928" s="752" t="s">
        <v>293</v>
      </c>
      <c r="F6928" s="751">
        <v>3375</v>
      </c>
    </row>
    <row r="6929" spans="1:6">
      <c r="A6929" s="753"/>
      <c r="B6929" s="753"/>
      <c r="C6929" s="752" t="s">
        <v>41513</v>
      </c>
      <c r="D6929" s="753" t="s">
        <v>41512</v>
      </c>
      <c r="E6929" s="752" t="s">
        <v>293</v>
      </c>
      <c r="F6929" s="751">
        <v>2175</v>
      </c>
    </row>
    <row r="6930" spans="1:6">
      <c r="A6930" s="753"/>
      <c r="B6930" s="753"/>
      <c r="C6930" s="752" t="s">
        <v>41511</v>
      </c>
      <c r="D6930" s="753" t="s">
        <v>41510</v>
      </c>
      <c r="E6930" s="752" t="s">
        <v>38550</v>
      </c>
      <c r="F6930" s="751">
        <v>4365</v>
      </c>
    </row>
    <row r="6931" spans="1:6">
      <c r="A6931" s="753"/>
      <c r="B6931" s="753" t="s">
        <v>41509</v>
      </c>
      <c r="C6931" s="752" t="s">
        <v>41508</v>
      </c>
      <c r="D6931" s="753" t="s">
        <v>41504</v>
      </c>
      <c r="E6931" s="752" t="s">
        <v>293</v>
      </c>
      <c r="F6931" s="751">
        <v>3665</v>
      </c>
    </row>
    <row r="6932" spans="1:6">
      <c r="A6932" s="753"/>
      <c r="B6932" s="753"/>
      <c r="C6932" s="752" t="s">
        <v>41507</v>
      </c>
      <c r="D6932" s="753" t="s">
        <v>41506</v>
      </c>
      <c r="E6932" s="752" t="s">
        <v>293</v>
      </c>
      <c r="F6932" s="751">
        <v>5125</v>
      </c>
    </row>
    <row r="6933" spans="1:6">
      <c r="A6933" s="753"/>
      <c r="B6933" s="753"/>
      <c r="C6933" s="752" t="s">
        <v>41505</v>
      </c>
      <c r="D6933" s="753" t="s">
        <v>41504</v>
      </c>
      <c r="E6933" s="752" t="s">
        <v>293</v>
      </c>
      <c r="F6933" s="751">
        <v>4215</v>
      </c>
    </row>
    <row r="6934" spans="1:6">
      <c r="A6934" s="753"/>
      <c r="B6934" s="753"/>
      <c r="C6934" s="752" t="s">
        <v>41503</v>
      </c>
      <c r="D6934" s="753" t="s">
        <v>41501</v>
      </c>
      <c r="E6934" s="752" t="s">
        <v>293</v>
      </c>
      <c r="F6934" s="751">
        <v>3815</v>
      </c>
    </row>
    <row r="6935" spans="1:6">
      <c r="A6935" s="753"/>
      <c r="B6935" s="753"/>
      <c r="C6935" s="752" t="s">
        <v>41502</v>
      </c>
      <c r="D6935" s="753" t="s">
        <v>41501</v>
      </c>
      <c r="E6935" s="752" t="s">
        <v>38670</v>
      </c>
      <c r="F6935" s="751">
        <v>4575</v>
      </c>
    </row>
    <row r="6936" spans="1:6">
      <c r="A6936" s="753"/>
      <c r="B6936" s="753"/>
      <c r="C6936" s="752" t="s">
        <v>41500</v>
      </c>
      <c r="D6936" s="753" t="s">
        <v>41499</v>
      </c>
      <c r="E6936" s="752" t="s">
        <v>293</v>
      </c>
      <c r="F6936" s="751">
        <v>5345</v>
      </c>
    </row>
    <row r="6937" spans="1:6">
      <c r="A6937" s="753"/>
      <c r="B6937" s="753"/>
      <c r="C6937" s="752" t="s">
        <v>41498</v>
      </c>
      <c r="D6937" s="753" t="s">
        <v>41497</v>
      </c>
      <c r="E6937" s="752" t="s">
        <v>293</v>
      </c>
      <c r="F6937" s="751">
        <v>4745</v>
      </c>
    </row>
    <row r="6938" spans="1:6">
      <c r="A6938" s="753"/>
      <c r="B6938" s="753"/>
      <c r="C6938" s="752" t="s">
        <v>41496</v>
      </c>
      <c r="D6938" s="753" t="s">
        <v>41494</v>
      </c>
      <c r="E6938" s="752" t="s">
        <v>293</v>
      </c>
      <c r="F6938" s="751">
        <v>2575</v>
      </c>
    </row>
    <row r="6939" spans="1:6">
      <c r="A6939" s="753"/>
      <c r="B6939" s="753"/>
      <c r="C6939" s="752" t="s">
        <v>41495</v>
      </c>
      <c r="D6939" s="753" t="s">
        <v>41494</v>
      </c>
      <c r="E6939" s="752" t="s">
        <v>38670</v>
      </c>
      <c r="F6939" s="751">
        <v>3335</v>
      </c>
    </row>
    <row r="6940" spans="1:6">
      <c r="A6940" s="753"/>
      <c r="B6940" s="753"/>
      <c r="C6940" s="752" t="s">
        <v>41493</v>
      </c>
      <c r="D6940" s="753" t="s">
        <v>41490</v>
      </c>
      <c r="E6940" s="752" t="s">
        <v>39011</v>
      </c>
      <c r="F6940" s="751">
        <v>3335</v>
      </c>
    </row>
    <row r="6941" spans="1:6">
      <c r="A6941" s="753"/>
      <c r="B6941" s="753"/>
      <c r="C6941" s="752" t="s">
        <v>41492</v>
      </c>
      <c r="D6941" s="753" t="s">
        <v>41490</v>
      </c>
      <c r="E6941" s="752" t="s">
        <v>293</v>
      </c>
      <c r="F6941" s="751">
        <v>3125</v>
      </c>
    </row>
    <row r="6942" spans="1:6">
      <c r="A6942" s="753"/>
      <c r="B6942" s="753"/>
      <c r="C6942" s="752" t="s">
        <v>41491</v>
      </c>
      <c r="D6942" s="753" t="s">
        <v>41490</v>
      </c>
      <c r="E6942" s="752" t="s">
        <v>41342</v>
      </c>
      <c r="F6942" s="751">
        <v>3885</v>
      </c>
    </row>
    <row r="6943" spans="1:6">
      <c r="A6943" s="753"/>
      <c r="B6943" s="753"/>
      <c r="C6943" s="752" t="s">
        <v>41489</v>
      </c>
      <c r="D6943" s="753" t="s">
        <v>41488</v>
      </c>
      <c r="E6943" s="752" t="s">
        <v>39199</v>
      </c>
      <c r="F6943" s="751">
        <v>3885</v>
      </c>
    </row>
    <row r="6944" spans="1:6">
      <c r="A6944" s="753"/>
      <c r="B6944" s="753"/>
      <c r="C6944" s="752" t="s">
        <v>41487</v>
      </c>
      <c r="D6944" s="753" t="s">
        <v>41485</v>
      </c>
      <c r="E6944" s="752" t="s">
        <v>293</v>
      </c>
      <c r="F6944" s="751">
        <v>2375</v>
      </c>
    </row>
    <row r="6945" spans="1:6">
      <c r="A6945" s="753"/>
      <c r="B6945" s="753"/>
      <c r="C6945" s="752" t="s">
        <v>41486</v>
      </c>
      <c r="D6945" s="753" t="s">
        <v>41485</v>
      </c>
      <c r="E6945" s="752" t="s">
        <v>39011</v>
      </c>
      <c r="F6945" s="751">
        <v>2955</v>
      </c>
    </row>
    <row r="6946" spans="1:6">
      <c r="A6946" s="753"/>
      <c r="B6946" s="753"/>
      <c r="C6946" s="752" t="s">
        <v>41484</v>
      </c>
      <c r="D6946" s="753" t="s">
        <v>41482</v>
      </c>
      <c r="E6946" s="752" t="s">
        <v>293</v>
      </c>
      <c r="F6946" s="751">
        <v>2925</v>
      </c>
    </row>
    <row r="6947" spans="1:6">
      <c r="A6947" s="753"/>
      <c r="B6947" s="753"/>
      <c r="C6947" s="752" t="s">
        <v>41483</v>
      </c>
      <c r="D6947" s="753" t="s">
        <v>41482</v>
      </c>
      <c r="E6947" s="752" t="s">
        <v>41342</v>
      </c>
      <c r="F6947" s="751">
        <v>3685</v>
      </c>
    </row>
    <row r="6948" spans="1:6">
      <c r="A6948" s="753"/>
      <c r="B6948" s="753"/>
      <c r="C6948" s="752" t="s">
        <v>41481</v>
      </c>
      <c r="D6948" s="753" t="s">
        <v>41480</v>
      </c>
      <c r="E6948" s="752" t="s">
        <v>293</v>
      </c>
      <c r="F6948" s="751">
        <v>2925</v>
      </c>
    </row>
    <row r="6949" spans="1:6">
      <c r="A6949" s="753"/>
      <c r="B6949" s="753"/>
      <c r="C6949" s="752" t="s">
        <v>41479</v>
      </c>
      <c r="D6949" s="753" t="s">
        <v>41478</v>
      </c>
      <c r="E6949" s="752" t="s">
        <v>39011</v>
      </c>
      <c r="F6949" s="751">
        <v>3685</v>
      </c>
    </row>
    <row r="6950" spans="1:6">
      <c r="A6950" s="753"/>
      <c r="B6950" s="753"/>
      <c r="C6950" s="752" t="s">
        <v>41477</v>
      </c>
      <c r="D6950" s="753" t="s">
        <v>41474</v>
      </c>
      <c r="E6950" s="752" t="s">
        <v>293</v>
      </c>
      <c r="F6950" s="751">
        <v>2475</v>
      </c>
    </row>
    <row r="6951" spans="1:6">
      <c r="A6951" s="753"/>
      <c r="B6951" s="753"/>
      <c r="C6951" s="752" t="s">
        <v>41476</v>
      </c>
      <c r="D6951" s="753" t="s">
        <v>41474</v>
      </c>
      <c r="E6951" s="752" t="s">
        <v>38670</v>
      </c>
      <c r="F6951" s="751">
        <v>3235</v>
      </c>
    </row>
    <row r="6952" spans="1:6">
      <c r="A6952" s="753"/>
      <c r="B6952" s="753"/>
      <c r="C6952" s="752" t="s">
        <v>41475</v>
      </c>
      <c r="D6952" s="753" t="s">
        <v>41474</v>
      </c>
      <c r="E6952" s="752" t="s">
        <v>41473</v>
      </c>
      <c r="F6952" s="751">
        <v>3235</v>
      </c>
    </row>
    <row r="6953" spans="1:6">
      <c r="A6953" s="753"/>
      <c r="B6953" s="753"/>
      <c r="C6953" s="752" t="s">
        <v>41472</v>
      </c>
      <c r="D6953" s="753" t="s">
        <v>41471</v>
      </c>
      <c r="E6953" s="752" t="s">
        <v>293</v>
      </c>
      <c r="F6953" s="751">
        <v>3025</v>
      </c>
    </row>
    <row r="6954" spans="1:6">
      <c r="A6954" s="753"/>
      <c r="B6954" s="753"/>
      <c r="C6954" s="752" t="s">
        <v>41470</v>
      </c>
      <c r="D6954" s="753" t="s">
        <v>41469</v>
      </c>
      <c r="E6954" s="752" t="s">
        <v>293</v>
      </c>
      <c r="F6954" s="751">
        <v>3025</v>
      </c>
    </row>
    <row r="6955" spans="1:6">
      <c r="A6955" s="753"/>
      <c r="B6955" s="753"/>
      <c r="C6955" s="752" t="s">
        <v>41468</v>
      </c>
      <c r="D6955" s="753" t="s">
        <v>41467</v>
      </c>
      <c r="E6955" s="752" t="s">
        <v>39011</v>
      </c>
      <c r="F6955" s="751">
        <v>3535</v>
      </c>
    </row>
    <row r="6956" spans="1:6">
      <c r="A6956" s="753"/>
      <c r="B6956" s="753"/>
      <c r="C6956" s="752" t="s">
        <v>41466</v>
      </c>
      <c r="D6956" s="753" t="s">
        <v>41465</v>
      </c>
      <c r="E6956" s="752" t="s">
        <v>293</v>
      </c>
      <c r="F6956" s="751">
        <v>5425</v>
      </c>
    </row>
    <row r="6957" spans="1:6">
      <c r="A6957" s="753"/>
      <c r="B6957" s="753" t="s">
        <v>41459</v>
      </c>
      <c r="C6957" s="752" t="s">
        <v>41464</v>
      </c>
      <c r="D6957" s="753" t="s">
        <v>41463</v>
      </c>
      <c r="E6957" s="752" t="s">
        <v>293</v>
      </c>
      <c r="F6957" s="751">
        <v>3625</v>
      </c>
    </row>
    <row r="6958" spans="1:6">
      <c r="A6958" s="753"/>
      <c r="B6958" s="753"/>
      <c r="C6958" s="752" t="s">
        <v>41462</v>
      </c>
      <c r="D6958" s="753" t="s">
        <v>41461</v>
      </c>
      <c r="E6958" s="752" t="s">
        <v>38342</v>
      </c>
      <c r="F6958" s="751">
        <v>3625</v>
      </c>
    </row>
    <row r="6959" spans="1:6">
      <c r="A6959" s="753"/>
      <c r="B6959" s="753"/>
      <c r="C6959" s="752" t="s">
        <v>41460</v>
      </c>
      <c r="D6959" s="753" t="s">
        <v>41459</v>
      </c>
      <c r="E6959" s="752" t="s">
        <v>41458</v>
      </c>
      <c r="F6959" s="751">
        <v>3425</v>
      </c>
    </row>
    <row r="6960" spans="1:6">
      <c r="A6960" s="753"/>
      <c r="B6960" s="753"/>
      <c r="C6960" s="752" t="s">
        <v>41457</v>
      </c>
      <c r="D6960" s="753" t="s">
        <v>41456</v>
      </c>
      <c r="E6960" s="752" t="s">
        <v>38342</v>
      </c>
      <c r="F6960" s="751">
        <v>3425</v>
      </c>
    </row>
    <row r="6961" spans="1:6">
      <c r="A6961" s="753"/>
      <c r="B6961" s="753" t="s">
        <v>41455</v>
      </c>
      <c r="C6961" s="752" t="s">
        <v>41454</v>
      </c>
      <c r="D6961" s="753" t="s">
        <v>41448</v>
      </c>
      <c r="E6961" s="752" t="s">
        <v>41351</v>
      </c>
      <c r="F6961" s="751">
        <v>3665</v>
      </c>
    </row>
    <row r="6962" spans="1:6">
      <c r="A6962" s="753"/>
      <c r="B6962" s="753"/>
      <c r="C6962" s="752" t="s">
        <v>41453</v>
      </c>
      <c r="D6962" s="753" t="s">
        <v>41448</v>
      </c>
      <c r="E6962" s="752" t="s">
        <v>41452</v>
      </c>
      <c r="F6962" s="751">
        <v>3725</v>
      </c>
    </row>
    <row r="6963" spans="1:6">
      <c r="A6963" s="753"/>
      <c r="B6963" s="753"/>
      <c r="C6963" s="752" t="s">
        <v>41451</v>
      </c>
      <c r="D6963" s="753" t="s">
        <v>41450</v>
      </c>
      <c r="E6963" s="752" t="s">
        <v>293</v>
      </c>
      <c r="F6963" s="751">
        <v>4365</v>
      </c>
    </row>
    <row r="6964" spans="1:6">
      <c r="A6964" s="753"/>
      <c r="B6964" s="753"/>
      <c r="C6964" s="752" t="s">
        <v>41449</v>
      </c>
      <c r="D6964" s="753" t="s">
        <v>41448</v>
      </c>
      <c r="E6964" s="752" t="s">
        <v>41351</v>
      </c>
      <c r="F6964" s="751">
        <v>3715</v>
      </c>
    </row>
    <row r="6965" spans="1:6">
      <c r="A6965" s="753"/>
      <c r="B6965" s="753"/>
      <c r="C6965" s="752" t="s">
        <v>41447</v>
      </c>
      <c r="D6965" s="753" t="s">
        <v>41446</v>
      </c>
      <c r="E6965" s="752" t="s">
        <v>38577</v>
      </c>
      <c r="F6965" s="751">
        <v>5025</v>
      </c>
    </row>
    <row r="6966" spans="1:6">
      <c r="A6966" s="753"/>
      <c r="B6966" s="753"/>
      <c r="C6966" s="752" t="s">
        <v>41445</v>
      </c>
      <c r="D6966" s="753" t="s">
        <v>41443</v>
      </c>
      <c r="E6966" s="752" t="s">
        <v>293</v>
      </c>
      <c r="F6966" s="751">
        <v>3625</v>
      </c>
    </row>
    <row r="6967" spans="1:6">
      <c r="A6967" s="753"/>
      <c r="B6967" s="753"/>
      <c r="C6967" s="752" t="s">
        <v>41444</v>
      </c>
      <c r="D6967" s="753" t="s">
        <v>41443</v>
      </c>
      <c r="E6967" s="752" t="s">
        <v>39923</v>
      </c>
      <c r="F6967" s="751">
        <v>3625</v>
      </c>
    </row>
    <row r="6968" spans="1:6">
      <c r="A6968" s="753"/>
      <c r="B6968" s="753"/>
      <c r="C6968" s="752" t="s">
        <v>41442</v>
      </c>
      <c r="D6968" s="753" t="s">
        <v>41440</v>
      </c>
      <c r="E6968" s="752" t="s">
        <v>293</v>
      </c>
      <c r="F6968" s="751">
        <v>5195</v>
      </c>
    </row>
    <row r="6969" spans="1:6">
      <c r="A6969" s="753"/>
      <c r="B6969" s="753"/>
      <c r="C6969" s="752" t="s">
        <v>41441</v>
      </c>
      <c r="D6969" s="753" t="s">
        <v>41440</v>
      </c>
      <c r="E6969" s="752" t="s">
        <v>41351</v>
      </c>
      <c r="F6969" s="751">
        <v>5195</v>
      </c>
    </row>
    <row r="6970" spans="1:6">
      <c r="A6970" s="753"/>
      <c r="B6970" s="753"/>
      <c r="C6970" s="752" t="s">
        <v>41439</v>
      </c>
      <c r="D6970" s="753" t="s">
        <v>41340</v>
      </c>
      <c r="E6970" s="752" t="s">
        <v>293</v>
      </c>
      <c r="F6970" s="751">
        <v>2125</v>
      </c>
    </row>
    <row r="6971" spans="1:6">
      <c r="A6971" s="753"/>
      <c r="B6971" s="753"/>
      <c r="C6971" s="752" t="s">
        <v>41438</v>
      </c>
      <c r="D6971" s="753" t="s">
        <v>41340</v>
      </c>
      <c r="E6971" s="752" t="s">
        <v>38587</v>
      </c>
      <c r="F6971" s="751">
        <v>2625</v>
      </c>
    </row>
    <row r="6972" spans="1:6">
      <c r="A6972" s="753"/>
      <c r="B6972" s="753"/>
      <c r="C6972" s="752" t="s">
        <v>41437</v>
      </c>
      <c r="D6972" s="753" t="s">
        <v>41340</v>
      </c>
      <c r="E6972" s="752" t="s">
        <v>38655</v>
      </c>
      <c r="F6972" s="751">
        <v>2875</v>
      </c>
    </row>
    <row r="6973" spans="1:6">
      <c r="A6973" s="753"/>
      <c r="B6973" s="753"/>
      <c r="C6973" s="752" t="s">
        <v>41436</v>
      </c>
      <c r="D6973" s="753" t="s">
        <v>41340</v>
      </c>
      <c r="E6973" s="752" t="s">
        <v>41419</v>
      </c>
      <c r="F6973" s="751">
        <v>3635</v>
      </c>
    </row>
    <row r="6974" spans="1:6">
      <c r="A6974" s="753"/>
      <c r="B6974" s="753"/>
      <c r="C6974" s="752" t="s">
        <v>41435</v>
      </c>
      <c r="D6974" s="753" t="s">
        <v>41340</v>
      </c>
      <c r="E6974" s="752" t="s">
        <v>41393</v>
      </c>
      <c r="F6974" s="751">
        <v>2875</v>
      </c>
    </row>
    <row r="6975" spans="1:6">
      <c r="A6975" s="753"/>
      <c r="B6975" s="753"/>
      <c r="C6975" s="752" t="s">
        <v>41434</v>
      </c>
      <c r="D6975" s="753" t="s">
        <v>41340</v>
      </c>
      <c r="E6975" s="752" t="s">
        <v>293</v>
      </c>
      <c r="F6975" s="751">
        <v>2575</v>
      </c>
    </row>
    <row r="6976" spans="1:6">
      <c r="A6976" s="753"/>
      <c r="B6976" s="753"/>
      <c r="C6976" s="752" t="s">
        <v>41433</v>
      </c>
      <c r="D6976" s="753" t="s">
        <v>41340</v>
      </c>
      <c r="E6976" s="752" t="s">
        <v>37794</v>
      </c>
      <c r="F6976" s="751">
        <v>3335</v>
      </c>
    </row>
    <row r="6977" spans="1:6">
      <c r="A6977" s="753"/>
      <c r="B6977" s="753"/>
      <c r="C6977" s="752" t="s">
        <v>41432</v>
      </c>
      <c r="D6977" s="753" t="s">
        <v>41340</v>
      </c>
      <c r="E6977" s="752" t="s">
        <v>41431</v>
      </c>
      <c r="F6977" s="751">
        <v>2375</v>
      </c>
    </row>
    <row r="6978" spans="1:6">
      <c r="A6978" s="753"/>
      <c r="B6978" s="753"/>
      <c r="C6978" s="752" t="s">
        <v>41430</v>
      </c>
      <c r="D6978" s="753" t="s">
        <v>41340</v>
      </c>
      <c r="E6978" s="752" t="s">
        <v>41388</v>
      </c>
      <c r="F6978" s="751">
        <v>3135</v>
      </c>
    </row>
    <row r="6979" spans="1:6">
      <c r="A6979" s="753"/>
      <c r="B6979" s="753"/>
      <c r="C6979" s="752" t="s">
        <v>41429</v>
      </c>
      <c r="D6979" s="753" t="s">
        <v>41340</v>
      </c>
      <c r="E6979" s="752" t="s">
        <v>41428</v>
      </c>
      <c r="F6979" s="751">
        <v>3135</v>
      </c>
    </row>
    <row r="6980" spans="1:6">
      <c r="A6980" s="753"/>
      <c r="B6980" s="753"/>
      <c r="C6980" s="752" t="s">
        <v>41427</v>
      </c>
      <c r="D6980" s="753" t="s">
        <v>41340</v>
      </c>
      <c r="E6980" s="752" t="s">
        <v>41384</v>
      </c>
      <c r="F6980" s="751">
        <v>2375</v>
      </c>
    </row>
    <row r="6981" spans="1:6">
      <c r="A6981" s="753"/>
      <c r="B6981" s="753"/>
      <c r="C6981" s="752" t="s">
        <v>41426</v>
      </c>
      <c r="D6981" s="753" t="s">
        <v>41340</v>
      </c>
      <c r="E6981" s="752" t="s">
        <v>39011</v>
      </c>
      <c r="F6981" s="751">
        <v>3335</v>
      </c>
    </row>
    <row r="6982" spans="1:6">
      <c r="A6982" s="753"/>
      <c r="B6982" s="753"/>
      <c r="C6982" s="752" t="s">
        <v>41425</v>
      </c>
      <c r="D6982" s="753" t="s">
        <v>41340</v>
      </c>
      <c r="E6982" s="752" t="s">
        <v>38342</v>
      </c>
      <c r="F6982" s="751">
        <v>2675</v>
      </c>
    </row>
    <row r="6983" spans="1:6">
      <c r="A6983" s="753"/>
      <c r="B6983" s="753"/>
      <c r="C6983" s="752" t="s">
        <v>41424</v>
      </c>
      <c r="D6983" s="753" t="s">
        <v>41340</v>
      </c>
      <c r="E6983" s="752" t="s">
        <v>41423</v>
      </c>
      <c r="F6983" s="751">
        <v>3575</v>
      </c>
    </row>
    <row r="6984" spans="1:6">
      <c r="A6984" s="753"/>
      <c r="B6984" s="753"/>
      <c r="C6984" s="752" t="s">
        <v>41422</v>
      </c>
      <c r="D6984" s="753" t="s">
        <v>41404</v>
      </c>
      <c r="E6984" s="752" t="s">
        <v>41421</v>
      </c>
      <c r="F6984" s="751">
        <v>3935</v>
      </c>
    </row>
    <row r="6985" spans="1:6">
      <c r="A6985" s="753"/>
      <c r="B6985" s="753"/>
      <c r="C6985" s="752" t="s">
        <v>41420</v>
      </c>
      <c r="D6985" s="753" t="s">
        <v>41404</v>
      </c>
      <c r="E6985" s="752" t="s">
        <v>41419</v>
      </c>
      <c r="F6985" s="751">
        <v>4185</v>
      </c>
    </row>
    <row r="6986" spans="1:6">
      <c r="A6986" s="753"/>
      <c r="B6986" s="753"/>
      <c r="C6986" s="752" t="s">
        <v>41418</v>
      </c>
      <c r="D6986" s="753" t="s">
        <v>41404</v>
      </c>
      <c r="E6986" s="752" t="s">
        <v>293</v>
      </c>
      <c r="F6986" s="751">
        <v>3125</v>
      </c>
    </row>
    <row r="6987" spans="1:6">
      <c r="A6987" s="753"/>
      <c r="B6987" s="753"/>
      <c r="C6987" s="752" t="s">
        <v>41417</v>
      </c>
      <c r="D6987" s="753" t="s">
        <v>41404</v>
      </c>
      <c r="E6987" s="752" t="s">
        <v>37794</v>
      </c>
      <c r="F6987" s="751">
        <v>3885</v>
      </c>
    </row>
    <row r="6988" spans="1:6">
      <c r="A6988" s="753"/>
      <c r="B6988" s="753"/>
      <c r="C6988" s="752" t="s">
        <v>41416</v>
      </c>
      <c r="D6988" s="753" t="s">
        <v>41404</v>
      </c>
      <c r="E6988" s="752" t="s">
        <v>41415</v>
      </c>
      <c r="F6988" s="751">
        <v>3685</v>
      </c>
    </row>
    <row r="6989" spans="1:6">
      <c r="A6989" s="753"/>
      <c r="B6989" s="753"/>
      <c r="C6989" s="752" t="s">
        <v>41414</v>
      </c>
      <c r="D6989" s="753" t="s">
        <v>41404</v>
      </c>
      <c r="E6989" s="752" t="s">
        <v>41351</v>
      </c>
      <c r="F6989" s="751">
        <v>2925</v>
      </c>
    </row>
    <row r="6990" spans="1:6">
      <c r="A6990" s="753"/>
      <c r="B6990" s="753"/>
      <c r="C6990" s="752" t="s">
        <v>41413</v>
      </c>
      <c r="D6990" s="753" t="s">
        <v>41404</v>
      </c>
      <c r="E6990" s="752" t="s">
        <v>41412</v>
      </c>
      <c r="F6990" s="751">
        <v>3685</v>
      </c>
    </row>
    <row r="6991" spans="1:6">
      <c r="A6991" s="753"/>
      <c r="B6991" s="753"/>
      <c r="C6991" s="752" t="s">
        <v>41411</v>
      </c>
      <c r="D6991" s="753" t="s">
        <v>41404</v>
      </c>
      <c r="E6991" s="752" t="s">
        <v>41384</v>
      </c>
      <c r="F6991" s="751">
        <v>3125</v>
      </c>
    </row>
    <row r="6992" spans="1:6">
      <c r="A6992" s="753"/>
      <c r="B6992" s="753"/>
      <c r="C6992" s="752" t="s">
        <v>41410</v>
      </c>
      <c r="D6992" s="753" t="s">
        <v>41404</v>
      </c>
      <c r="E6992" s="752" t="s">
        <v>38919</v>
      </c>
      <c r="F6992" s="751">
        <v>3885</v>
      </c>
    </row>
    <row r="6993" spans="1:6">
      <c r="A6993" s="753"/>
      <c r="B6993" s="753"/>
      <c r="C6993" s="752" t="s">
        <v>41409</v>
      </c>
      <c r="D6993" s="753" t="s">
        <v>41404</v>
      </c>
      <c r="E6993" s="752" t="s">
        <v>38342</v>
      </c>
      <c r="F6993" s="751">
        <v>3125</v>
      </c>
    </row>
    <row r="6994" spans="1:6">
      <c r="A6994" s="753"/>
      <c r="B6994" s="753"/>
      <c r="C6994" s="752" t="s">
        <v>41408</v>
      </c>
      <c r="D6994" s="753" t="s">
        <v>41404</v>
      </c>
      <c r="E6994" s="752" t="s">
        <v>41407</v>
      </c>
      <c r="F6994" s="751">
        <v>4385</v>
      </c>
    </row>
    <row r="6995" spans="1:6">
      <c r="A6995" s="753"/>
      <c r="B6995" s="753"/>
      <c r="C6995" s="752" t="s">
        <v>41406</v>
      </c>
      <c r="D6995" s="753" t="s">
        <v>41404</v>
      </c>
      <c r="E6995" s="752" t="s">
        <v>41369</v>
      </c>
      <c r="F6995" s="751">
        <v>3625</v>
      </c>
    </row>
    <row r="6996" spans="1:6">
      <c r="A6996" s="753"/>
      <c r="B6996" s="753"/>
      <c r="C6996" s="752" t="s">
        <v>41405</v>
      </c>
      <c r="D6996" s="753" t="s">
        <v>41404</v>
      </c>
      <c r="E6996" s="752" t="s">
        <v>38550</v>
      </c>
      <c r="F6996" s="751">
        <v>4215</v>
      </c>
    </row>
    <row r="6997" spans="1:6">
      <c r="A6997" s="753"/>
      <c r="B6997" s="753"/>
      <c r="C6997" s="752" t="s">
        <v>41403</v>
      </c>
      <c r="D6997" s="753" t="s">
        <v>41400</v>
      </c>
      <c r="E6997" s="752" t="s">
        <v>293</v>
      </c>
      <c r="F6997" s="751">
        <v>3125</v>
      </c>
    </row>
    <row r="6998" spans="1:6">
      <c r="A6998" s="753"/>
      <c r="B6998" s="753"/>
      <c r="C6998" s="752" t="s">
        <v>41402</v>
      </c>
      <c r="D6998" s="753" t="s">
        <v>41400</v>
      </c>
      <c r="E6998" s="752" t="s">
        <v>37794</v>
      </c>
      <c r="F6998" s="751">
        <v>3885</v>
      </c>
    </row>
    <row r="6999" spans="1:6">
      <c r="A6999" s="753"/>
      <c r="B6999" s="753"/>
      <c r="C6999" s="752" t="s">
        <v>41401</v>
      </c>
      <c r="D6999" s="753" t="s">
        <v>41400</v>
      </c>
      <c r="E6999" s="752" t="s">
        <v>41351</v>
      </c>
      <c r="F6999" s="751">
        <v>2925</v>
      </c>
    </row>
    <row r="7000" spans="1:6">
      <c r="A7000" s="753"/>
      <c r="B7000" s="753"/>
      <c r="C7000" s="752" t="s">
        <v>41399</v>
      </c>
      <c r="D7000" s="753" t="s">
        <v>41381</v>
      </c>
      <c r="E7000" s="752" t="s">
        <v>293</v>
      </c>
      <c r="F7000" s="751">
        <v>1925</v>
      </c>
    </row>
    <row r="7001" spans="1:6">
      <c r="A7001" s="753"/>
      <c r="B7001" s="753"/>
      <c r="C7001" s="752" t="s">
        <v>41398</v>
      </c>
      <c r="D7001" s="753" t="s">
        <v>41381</v>
      </c>
      <c r="E7001" s="752" t="s">
        <v>38587</v>
      </c>
      <c r="F7001" s="751">
        <v>2425</v>
      </c>
    </row>
    <row r="7002" spans="1:6">
      <c r="A7002" s="753"/>
      <c r="B7002" s="753"/>
      <c r="C7002" s="752" t="s">
        <v>41397</v>
      </c>
      <c r="D7002" s="753" t="s">
        <v>41381</v>
      </c>
      <c r="E7002" s="752" t="s">
        <v>38655</v>
      </c>
      <c r="F7002" s="751">
        <v>2675</v>
      </c>
    </row>
    <row r="7003" spans="1:6">
      <c r="A7003" s="753"/>
      <c r="B7003" s="753"/>
      <c r="C7003" s="752" t="s">
        <v>41396</v>
      </c>
      <c r="D7003" s="753" t="s">
        <v>41381</v>
      </c>
      <c r="E7003" s="752" t="s">
        <v>41395</v>
      </c>
      <c r="F7003" s="751">
        <v>3435</v>
      </c>
    </row>
    <row r="7004" spans="1:6">
      <c r="A7004" s="753"/>
      <c r="B7004" s="753"/>
      <c r="C7004" s="752" t="s">
        <v>41394</v>
      </c>
      <c r="D7004" s="753" t="s">
        <v>41381</v>
      </c>
      <c r="E7004" s="752" t="s">
        <v>41393</v>
      </c>
      <c r="F7004" s="751">
        <v>2675</v>
      </c>
    </row>
    <row r="7005" spans="1:6">
      <c r="A7005" s="753"/>
      <c r="B7005" s="753"/>
      <c r="C7005" s="752" t="s">
        <v>41392</v>
      </c>
      <c r="D7005" s="753" t="s">
        <v>41381</v>
      </c>
      <c r="E7005" s="752" t="s">
        <v>293</v>
      </c>
      <c r="F7005" s="751">
        <v>2375</v>
      </c>
    </row>
    <row r="7006" spans="1:6">
      <c r="A7006" s="753"/>
      <c r="B7006" s="753"/>
      <c r="C7006" s="752" t="s">
        <v>41391</v>
      </c>
      <c r="D7006" s="753" t="s">
        <v>41381</v>
      </c>
      <c r="E7006" s="752" t="s">
        <v>37794</v>
      </c>
      <c r="F7006" s="751">
        <v>3135</v>
      </c>
    </row>
    <row r="7007" spans="1:6">
      <c r="A7007" s="753"/>
      <c r="B7007" s="753"/>
      <c r="C7007" s="752" t="s">
        <v>41390</v>
      </c>
      <c r="D7007" s="753" t="s">
        <v>41381</v>
      </c>
      <c r="E7007" s="752" t="s">
        <v>41351</v>
      </c>
      <c r="F7007" s="751">
        <v>2175</v>
      </c>
    </row>
    <row r="7008" spans="1:6">
      <c r="A7008" s="753"/>
      <c r="B7008" s="753"/>
      <c r="C7008" s="752" t="s">
        <v>41389</v>
      </c>
      <c r="D7008" s="753" t="s">
        <v>41381</v>
      </c>
      <c r="E7008" s="752" t="s">
        <v>41388</v>
      </c>
      <c r="F7008" s="751">
        <v>2935</v>
      </c>
    </row>
    <row r="7009" spans="1:6">
      <c r="A7009" s="753"/>
      <c r="B7009" s="753"/>
      <c r="C7009" s="752" t="s">
        <v>41387</v>
      </c>
      <c r="D7009" s="753" t="s">
        <v>41381</v>
      </c>
      <c r="E7009" s="752" t="s">
        <v>41386</v>
      </c>
      <c r="F7009" s="751">
        <v>2935</v>
      </c>
    </row>
    <row r="7010" spans="1:6">
      <c r="A7010" s="753"/>
      <c r="B7010" s="753"/>
      <c r="C7010" s="752" t="s">
        <v>41385</v>
      </c>
      <c r="D7010" s="753" t="s">
        <v>41381</v>
      </c>
      <c r="E7010" s="752" t="s">
        <v>41384</v>
      </c>
      <c r="F7010" s="751">
        <v>2175</v>
      </c>
    </row>
    <row r="7011" spans="1:6">
      <c r="A7011" s="753"/>
      <c r="B7011" s="753"/>
      <c r="C7011" s="752" t="s">
        <v>41383</v>
      </c>
      <c r="D7011" s="753" t="s">
        <v>41381</v>
      </c>
      <c r="E7011" s="752" t="s">
        <v>38342</v>
      </c>
      <c r="F7011" s="751">
        <v>2375</v>
      </c>
    </row>
    <row r="7012" spans="1:6">
      <c r="A7012" s="753"/>
      <c r="B7012" s="753"/>
      <c r="C7012" s="752" t="s">
        <v>41382</v>
      </c>
      <c r="D7012" s="753" t="s">
        <v>41381</v>
      </c>
      <c r="E7012" s="752" t="s">
        <v>41369</v>
      </c>
      <c r="F7012" s="751">
        <v>2875</v>
      </c>
    </row>
    <row r="7013" spans="1:6">
      <c r="A7013" s="753"/>
      <c r="B7013" s="753"/>
      <c r="C7013" s="752" t="s">
        <v>41380</v>
      </c>
      <c r="D7013" s="753" t="s">
        <v>41366</v>
      </c>
      <c r="E7013" s="752" t="s">
        <v>38587</v>
      </c>
      <c r="F7013" s="751">
        <v>2975</v>
      </c>
    </row>
    <row r="7014" spans="1:6">
      <c r="A7014" s="753"/>
      <c r="B7014" s="753"/>
      <c r="C7014" s="752" t="s">
        <v>41379</v>
      </c>
      <c r="D7014" s="753" t="s">
        <v>41366</v>
      </c>
      <c r="E7014" s="752" t="s">
        <v>38655</v>
      </c>
      <c r="F7014" s="751">
        <v>3225</v>
      </c>
    </row>
    <row r="7015" spans="1:6">
      <c r="A7015" s="753"/>
      <c r="B7015" s="753"/>
      <c r="C7015" s="752" t="s">
        <v>41378</v>
      </c>
      <c r="D7015" s="753" t="s">
        <v>41366</v>
      </c>
      <c r="E7015" s="752" t="s">
        <v>293</v>
      </c>
      <c r="F7015" s="751">
        <v>2925</v>
      </c>
    </row>
    <row r="7016" spans="1:6">
      <c r="A7016" s="753"/>
      <c r="B7016" s="753"/>
      <c r="C7016" s="752" t="s">
        <v>41377</v>
      </c>
      <c r="D7016" s="753" t="s">
        <v>41366</v>
      </c>
      <c r="E7016" s="752" t="s">
        <v>41342</v>
      </c>
      <c r="F7016" s="751">
        <v>3685</v>
      </c>
    </row>
    <row r="7017" spans="1:6">
      <c r="A7017" s="753"/>
      <c r="B7017" s="753"/>
      <c r="C7017" s="752" t="s">
        <v>41376</v>
      </c>
      <c r="D7017" s="753" t="s">
        <v>41366</v>
      </c>
      <c r="E7017" s="752" t="s">
        <v>41351</v>
      </c>
      <c r="F7017" s="751">
        <v>2725</v>
      </c>
    </row>
    <row r="7018" spans="1:6">
      <c r="A7018" s="753"/>
      <c r="B7018" s="753"/>
      <c r="C7018" s="752" t="s">
        <v>41375</v>
      </c>
      <c r="D7018" s="753" t="s">
        <v>41366</v>
      </c>
      <c r="E7018" s="752" t="s">
        <v>41374</v>
      </c>
      <c r="F7018" s="751">
        <v>3485</v>
      </c>
    </row>
    <row r="7019" spans="1:6">
      <c r="A7019" s="753"/>
      <c r="B7019" s="753"/>
      <c r="C7019" s="752" t="s">
        <v>41373</v>
      </c>
      <c r="D7019" s="753" t="s">
        <v>41366</v>
      </c>
      <c r="E7019" s="752" t="s">
        <v>39199</v>
      </c>
      <c r="F7019" s="751">
        <v>3485</v>
      </c>
    </row>
    <row r="7020" spans="1:6">
      <c r="A7020" s="753"/>
      <c r="B7020" s="753"/>
      <c r="C7020" s="752" t="s">
        <v>41372</v>
      </c>
      <c r="D7020" s="753" t="s">
        <v>41366</v>
      </c>
      <c r="E7020" s="752" t="s">
        <v>38342</v>
      </c>
      <c r="F7020" s="751">
        <v>2925</v>
      </c>
    </row>
    <row r="7021" spans="1:6">
      <c r="A7021" s="753"/>
      <c r="B7021" s="753"/>
      <c r="C7021" s="752" t="s">
        <v>41371</v>
      </c>
      <c r="D7021" s="753" t="s">
        <v>41366</v>
      </c>
      <c r="E7021" s="752" t="s">
        <v>38655</v>
      </c>
      <c r="F7021" s="751">
        <v>3425</v>
      </c>
    </row>
    <row r="7022" spans="1:6">
      <c r="A7022" s="753"/>
      <c r="B7022" s="753"/>
      <c r="C7022" s="752" t="s">
        <v>41370</v>
      </c>
      <c r="D7022" s="753" t="s">
        <v>41366</v>
      </c>
      <c r="E7022" s="752" t="s">
        <v>41369</v>
      </c>
      <c r="F7022" s="751">
        <v>3425</v>
      </c>
    </row>
    <row r="7023" spans="1:6">
      <c r="A7023" s="753"/>
      <c r="B7023" s="753"/>
      <c r="C7023" s="752" t="s">
        <v>41368</v>
      </c>
      <c r="D7023" s="753" t="s">
        <v>41366</v>
      </c>
      <c r="E7023" s="752" t="s">
        <v>38587</v>
      </c>
      <c r="F7023" s="751">
        <v>2975</v>
      </c>
    </row>
    <row r="7024" spans="1:6">
      <c r="A7024" s="753"/>
      <c r="B7024" s="753"/>
      <c r="C7024" s="752" t="s">
        <v>41367</v>
      </c>
      <c r="D7024" s="753" t="s">
        <v>41366</v>
      </c>
      <c r="E7024" s="752" t="s">
        <v>38655</v>
      </c>
      <c r="F7024" s="751">
        <v>2975</v>
      </c>
    </row>
    <row r="7025" spans="1:6">
      <c r="A7025" s="753"/>
      <c r="B7025" s="753"/>
      <c r="C7025" s="752" t="s">
        <v>41365</v>
      </c>
      <c r="D7025" s="753" t="s">
        <v>41359</v>
      </c>
      <c r="E7025" s="752" t="s">
        <v>293</v>
      </c>
      <c r="F7025" s="751">
        <v>2925</v>
      </c>
    </row>
    <row r="7026" spans="1:6">
      <c r="A7026" s="753"/>
      <c r="B7026" s="753"/>
      <c r="C7026" s="752" t="s">
        <v>41364</v>
      </c>
      <c r="D7026" s="753" t="s">
        <v>41363</v>
      </c>
      <c r="E7026" s="752" t="s">
        <v>41342</v>
      </c>
      <c r="F7026" s="751">
        <v>3685</v>
      </c>
    </row>
    <row r="7027" spans="1:6">
      <c r="A7027" s="753"/>
      <c r="B7027" s="753"/>
      <c r="C7027" s="752" t="s">
        <v>41362</v>
      </c>
      <c r="D7027" s="753" t="s">
        <v>41359</v>
      </c>
      <c r="E7027" s="752" t="s">
        <v>41351</v>
      </c>
      <c r="F7027" s="751">
        <v>2725</v>
      </c>
    </row>
    <row r="7028" spans="1:6">
      <c r="A7028" s="753"/>
      <c r="B7028" s="753"/>
      <c r="C7028" s="752" t="s">
        <v>41361</v>
      </c>
      <c r="D7028" s="753" t="s">
        <v>41359</v>
      </c>
      <c r="E7028" s="752" t="s">
        <v>38342</v>
      </c>
      <c r="F7028" s="751">
        <v>2925</v>
      </c>
    </row>
    <row r="7029" spans="1:6">
      <c r="A7029" s="753"/>
      <c r="B7029" s="753"/>
      <c r="C7029" s="752" t="s">
        <v>41360</v>
      </c>
      <c r="D7029" s="753" t="s">
        <v>41359</v>
      </c>
      <c r="E7029" s="752" t="s">
        <v>38655</v>
      </c>
      <c r="F7029" s="751">
        <v>3425</v>
      </c>
    </row>
    <row r="7030" spans="1:6">
      <c r="A7030" s="753"/>
      <c r="B7030" s="753"/>
      <c r="C7030" s="752" t="s">
        <v>41358</v>
      </c>
      <c r="D7030" s="753" t="s">
        <v>41356</v>
      </c>
      <c r="E7030" s="752" t="s">
        <v>293</v>
      </c>
      <c r="F7030" s="751">
        <v>2475</v>
      </c>
    </row>
    <row r="7031" spans="1:6">
      <c r="A7031" s="753"/>
      <c r="B7031" s="753"/>
      <c r="C7031" s="752" t="s">
        <v>41357</v>
      </c>
      <c r="D7031" s="753" t="s">
        <v>41356</v>
      </c>
      <c r="E7031" s="752" t="s">
        <v>41351</v>
      </c>
      <c r="F7031" s="751">
        <v>2275</v>
      </c>
    </row>
    <row r="7032" spans="1:6">
      <c r="A7032" s="753"/>
      <c r="B7032" s="753"/>
      <c r="C7032" s="752" t="s">
        <v>41355</v>
      </c>
      <c r="D7032" s="753" t="s">
        <v>41354</v>
      </c>
      <c r="E7032" s="752" t="s">
        <v>38732</v>
      </c>
      <c r="F7032" s="751">
        <v>2575</v>
      </c>
    </row>
    <row r="7033" spans="1:6">
      <c r="A7033" s="753"/>
      <c r="B7033" s="753"/>
      <c r="C7033" s="752" t="s">
        <v>41353</v>
      </c>
      <c r="D7033" s="753" t="s">
        <v>41349</v>
      </c>
      <c r="E7033" s="752" t="s">
        <v>293</v>
      </c>
      <c r="F7033" s="751">
        <v>3025</v>
      </c>
    </row>
    <row r="7034" spans="1:6">
      <c r="A7034" s="753"/>
      <c r="B7034" s="753"/>
      <c r="C7034" s="752" t="s">
        <v>41352</v>
      </c>
      <c r="D7034" s="753" t="s">
        <v>41349</v>
      </c>
      <c r="E7034" s="752" t="s">
        <v>41351</v>
      </c>
      <c r="F7034" s="751">
        <v>2825</v>
      </c>
    </row>
    <row r="7035" spans="1:6">
      <c r="A7035" s="753"/>
      <c r="B7035" s="753"/>
      <c r="C7035" s="752" t="s">
        <v>41350</v>
      </c>
      <c r="D7035" s="753" t="s">
        <v>41349</v>
      </c>
      <c r="E7035" s="752" t="s">
        <v>38919</v>
      </c>
      <c r="F7035" s="751">
        <v>3785</v>
      </c>
    </row>
    <row r="7036" spans="1:6">
      <c r="A7036" s="753"/>
      <c r="B7036" s="753"/>
      <c r="C7036" s="752" t="s">
        <v>41348</v>
      </c>
      <c r="D7036" s="753" t="s">
        <v>41345</v>
      </c>
      <c r="E7036" s="752" t="s">
        <v>41347</v>
      </c>
      <c r="F7036" s="751">
        <v>3525</v>
      </c>
    </row>
    <row r="7037" spans="1:6">
      <c r="A7037" s="753"/>
      <c r="B7037" s="753"/>
      <c r="C7037" s="752" t="s">
        <v>41346</v>
      </c>
      <c r="D7037" s="753" t="s">
        <v>41345</v>
      </c>
      <c r="E7037" s="752" t="s">
        <v>293</v>
      </c>
      <c r="F7037" s="751">
        <v>3025</v>
      </c>
    </row>
    <row r="7038" spans="1:6">
      <c r="A7038" s="753"/>
      <c r="B7038" s="753"/>
      <c r="C7038" s="752" t="s">
        <v>41344</v>
      </c>
      <c r="D7038" s="753" t="s">
        <v>41343</v>
      </c>
      <c r="E7038" s="752" t="s">
        <v>41342</v>
      </c>
      <c r="F7038" s="751">
        <v>3785</v>
      </c>
    </row>
    <row r="7039" spans="1:6">
      <c r="A7039" s="753"/>
      <c r="B7039" s="753"/>
      <c r="C7039" s="752" t="s">
        <v>41341</v>
      </c>
      <c r="D7039" s="753" t="s">
        <v>41340</v>
      </c>
      <c r="E7039" s="752" t="s">
        <v>41339</v>
      </c>
      <c r="F7039" s="751">
        <v>3915</v>
      </c>
    </row>
    <row r="7040" spans="1:6">
      <c r="A7040" s="753" t="s">
        <v>41338</v>
      </c>
      <c r="B7040" s="753" t="s">
        <v>41337</v>
      </c>
      <c r="C7040" s="752" t="s">
        <v>41336</v>
      </c>
      <c r="D7040" s="753" t="s">
        <v>41333</v>
      </c>
      <c r="E7040" s="752" t="s">
        <v>41335</v>
      </c>
      <c r="F7040" s="751">
        <v>1975</v>
      </c>
    </row>
    <row r="7041" spans="1:6">
      <c r="A7041" s="753"/>
      <c r="B7041" s="753"/>
      <c r="C7041" s="752" t="s">
        <v>41334</v>
      </c>
      <c r="D7041" s="753" t="s">
        <v>41333</v>
      </c>
      <c r="E7041" s="752" t="s">
        <v>39088</v>
      </c>
      <c r="F7041" s="751">
        <v>1975</v>
      </c>
    </row>
    <row r="7042" spans="1:6">
      <c r="A7042" s="753"/>
      <c r="B7042" s="753" t="s">
        <v>41332</v>
      </c>
      <c r="C7042" s="752" t="s">
        <v>41331</v>
      </c>
      <c r="D7042" s="753" t="s">
        <v>41330</v>
      </c>
      <c r="E7042" s="752" t="s">
        <v>293</v>
      </c>
      <c r="F7042" s="751">
        <v>2025</v>
      </c>
    </row>
    <row r="7043" spans="1:6">
      <c r="A7043" s="753"/>
      <c r="B7043" s="753" t="s">
        <v>41329</v>
      </c>
      <c r="C7043" s="752" t="s">
        <v>41328</v>
      </c>
      <c r="D7043" s="753" t="s">
        <v>41323</v>
      </c>
      <c r="E7043" s="752" t="s">
        <v>37838</v>
      </c>
      <c r="F7043" s="751">
        <v>1975</v>
      </c>
    </row>
    <row r="7044" spans="1:6">
      <c r="A7044" s="753"/>
      <c r="B7044" s="753"/>
      <c r="C7044" s="752" t="s">
        <v>41327</v>
      </c>
      <c r="D7044" s="753" t="s">
        <v>41323</v>
      </c>
      <c r="E7044" s="752" t="s">
        <v>39055</v>
      </c>
      <c r="F7044" s="751">
        <v>1975</v>
      </c>
    </row>
    <row r="7045" spans="1:6">
      <c r="A7045" s="753"/>
      <c r="B7045" s="753"/>
      <c r="C7045" s="752" t="s">
        <v>41326</v>
      </c>
      <c r="D7045" s="753" t="s">
        <v>41323</v>
      </c>
      <c r="E7045" s="752" t="s">
        <v>41325</v>
      </c>
      <c r="F7045" s="751">
        <v>1975</v>
      </c>
    </row>
    <row r="7046" spans="1:6">
      <c r="A7046" s="753"/>
      <c r="B7046" s="753"/>
      <c r="C7046" s="752" t="s">
        <v>41324</v>
      </c>
      <c r="D7046" s="753" t="s">
        <v>41323</v>
      </c>
      <c r="E7046" s="752" t="s">
        <v>39055</v>
      </c>
      <c r="F7046" s="751">
        <v>1975</v>
      </c>
    </row>
    <row r="7047" spans="1:6">
      <c r="A7047" s="753"/>
      <c r="B7047" s="753"/>
      <c r="C7047" s="752" t="s">
        <v>41322</v>
      </c>
      <c r="D7047" s="753" t="s">
        <v>41321</v>
      </c>
      <c r="E7047" s="752" t="s">
        <v>39055</v>
      </c>
      <c r="F7047" s="751">
        <v>1975</v>
      </c>
    </row>
    <row r="7048" spans="1:6">
      <c r="A7048" s="753"/>
      <c r="B7048" s="753"/>
      <c r="C7048" s="752" t="s">
        <v>41320</v>
      </c>
      <c r="D7048" s="753" t="s">
        <v>41319</v>
      </c>
      <c r="E7048" s="752" t="s">
        <v>39055</v>
      </c>
      <c r="F7048" s="751">
        <v>2375</v>
      </c>
    </row>
    <row r="7049" spans="1:6">
      <c r="A7049" s="753"/>
      <c r="B7049" s="753" t="s">
        <v>41318</v>
      </c>
      <c r="C7049" s="752" t="s">
        <v>41317</v>
      </c>
      <c r="D7049" s="753" t="s">
        <v>41316</v>
      </c>
      <c r="E7049" s="752" t="s">
        <v>293</v>
      </c>
      <c r="F7049" s="751">
        <v>1615</v>
      </c>
    </row>
    <row r="7050" spans="1:6">
      <c r="A7050" s="753"/>
      <c r="B7050" s="753"/>
      <c r="C7050" s="752" t="s">
        <v>41315</v>
      </c>
      <c r="D7050" s="753" t="s">
        <v>41314</v>
      </c>
      <c r="E7050" s="752" t="s">
        <v>38539</v>
      </c>
      <c r="F7050" s="751">
        <v>2825</v>
      </c>
    </row>
    <row r="7051" spans="1:6">
      <c r="A7051" s="753"/>
      <c r="B7051" s="753"/>
      <c r="C7051" s="752" t="s">
        <v>41313</v>
      </c>
      <c r="D7051" s="753" t="s">
        <v>41312</v>
      </c>
      <c r="E7051" s="752" t="s">
        <v>293</v>
      </c>
      <c r="F7051" s="751">
        <v>3375</v>
      </c>
    </row>
    <row r="7052" spans="1:6">
      <c r="A7052" s="753"/>
      <c r="B7052" s="753"/>
      <c r="C7052" s="752" t="s">
        <v>41311</v>
      </c>
      <c r="D7052" s="753" t="s">
        <v>41309</v>
      </c>
      <c r="E7052" s="752" t="s">
        <v>293</v>
      </c>
      <c r="F7052" s="751">
        <v>2875</v>
      </c>
    </row>
    <row r="7053" spans="1:6">
      <c r="A7053" s="753"/>
      <c r="B7053" s="753"/>
      <c r="C7053" s="752" t="s">
        <v>41310</v>
      </c>
      <c r="D7053" s="753" t="s">
        <v>41309</v>
      </c>
      <c r="E7053" s="752" t="s">
        <v>293</v>
      </c>
      <c r="F7053" s="751">
        <v>2875</v>
      </c>
    </row>
    <row r="7054" spans="1:6">
      <c r="A7054" s="753"/>
      <c r="B7054" s="753"/>
      <c r="C7054" s="752" t="s">
        <v>41308</v>
      </c>
      <c r="D7054" s="753" t="s">
        <v>41306</v>
      </c>
      <c r="E7054" s="752" t="s">
        <v>293</v>
      </c>
      <c r="F7054" s="751">
        <v>3175</v>
      </c>
    </row>
    <row r="7055" spans="1:6">
      <c r="A7055" s="753"/>
      <c r="B7055" s="753"/>
      <c r="C7055" s="752" t="s">
        <v>41307</v>
      </c>
      <c r="D7055" s="753" t="s">
        <v>41306</v>
      </c>
      <c r="E7055" s="752" t="s">
        <v>293</v>
      </c>
      <c r="F7055" s="751">
        <v>3175</v>
      </c>
    </row>
    <row r="7056" spans="1:6">
      <c r="A7056" s="753"/>
      <c r="B7056" s="753" t="s">
        <v>41305</v>
      </c>
      <c r="C7056" s="752" t="s">
        <v>41304</v>
      </c>
      <c r="D7056" s="753" t="s">
        <v>41303</v>
      </c>
      <c r="E7056" s="752" t="s">
        <v>293</v>
      </c>
      <c r="F7056" s="751">
        <v>2575</v>
      </c>
    </row>
    <row r="7057" spans="1:6">
      <c r="A7057" s="753"/>
      <c r="B7057" s="753"/>
      <c r="C7057" s="752" t="s">
        <v>41302</v>
      </c>
      <c r="D7057" s="753" t="s">
        <v>41301</v>
      </c>
      <c r="E7057" s="752" t="s">
        <v>293</v>
      </c>
      <c r="F7057" s="751">
        <v>2375</v>
      </c>
    </row>
    <row r="7058" spans="1:6">
      <c r="A7058" s="753"/>
      <c r="B7058" s="753" t="s">
        <v>41300</v>
      </c>
      <c r="C7058" s="752" t="s">
        <v>41299</v>
      </c>
      <c r="D7058" s="753" t="s">
        <v>41298</v>
      </c>
      <c r="E7058" s="752" t="s">
        <v>293</v>
      </c>
      <c r="F7058" s="751">
        <v>3715</v>
      </c>
    </row>
    <row r="7059" spans="1:6">
      <c r="A7059" s="753"/>
      <c r="B7059" s="753"/>
      <c r="C7059" s="752" t="s">
        <v>41297</v>
      </c>
      <c r="D7059" s="753" t="s">
        <v>41292</v>
      </c>
      <c r="E7059" s="752" t="s">
        <v>293</v>
      </c>
      <c r="F7059" s="751">
        <v>2575</v>
      </c>
    </row>
    <row r="7060" spans="1:6">
      <c r="A7060" s="753"/>
      <c r="B7060" s="753"/>
      <c r="C7060" s="752" t="s">
        <v>41296</v>
      </c>
      <c r="D7060" s="753" t="s">
        <v>41292</v>
      </c>
      <c r="E7060" s="752" t="s">
        <v>293</v>
      </c>
      <c r="F7060" s="751">
        <v>2575</v>
      </c>
    </row>
    <row r="7061" spans="1:6">
      <c r="A7061" s="753"/>
      <c r="B7061" s="753"/>
      <c r="C7061" s="752" t="s">
        <v>41295</v>
      </c>
      <c r="D7061" s="753" t="s">
        <v>41292</v>
      </c>
      <c r="E7061" s="752" t="s">
        <v>38670</v>
      </c>
      <c r="F7061" s="751">
        <v>3335</v>
      </c>
    </row>
    <row r="7062" spans="1:6">
      <c r="A7062" s="753"/>
      <c r="B7062" s="753"/>
      <c r="C7062" s="752" t="s">
        <v>41294</v>
      </c>
      <c r="D7062" s="753" t="s">
        <v>41292</v>
      </c>
      <c r="E7062" s="752" t="s">
        <v>293</v>
      </c>
      <c r="F7062" s="751">
        <v>2575</v>
      </c>
    </row>
    <row r="7063" spans="1:6">
      <c r="A7063" s="753"/>
      <c r="B7063" s="753"/>
      <c r="C7063" s="752" t="s">
        <v>41293</v>
      </c>
      <c r="D7063" s="753" t="s">
        <v>41292</v>
      </c>
      <c r="E7063" s="752" t="s">
        <v>38670</v>
      </c>
      <c r="F7063" s="751">
        <v>3585</v>
      </c>
    </row>
    <row r="7064" spans="1:6">
      <c r="A7064" s="753"/>
      <c r="B7064" s="753"/>
      <c r="C7064" s="752" t="s">
        <v>41291</v>
      </c>
      <c r="D7064" s="753" t="s">
        <v>41290</v>
      </c>
      <c r="E7064" s="752" t="s">
        <v>293</v>
      </c>
      <c r="F7064" s="751">
        <v>2575</v>
      </c>
    </row>
    <row r="7065" spans="1:6">
      <c r="A7065" s="753"/>
      <c r="B7065" s="753"/>
      <c r="C7065" s="752" t="s">
        <v>41289</v>
      </c>
      <c r="D7065" s="753" t="s">
        <v>41286</v>
      </c>
      <c r="E7065" s="752" t="s">
        <v>293</v>
      </c>
      <c r="F7065" s="751">
        <v>3125</v>
      </c>
    </row>
    <row r="7066" spans="1:6">
      <c r="A7066" s="753"/>
      <c r="B7066" s="753"/>
      <c r="C7066" s="752" t="s">
        <v>41288</v>
      </c>
      <c r="D7066" s="753" t="s">
        <v>41286</v>
      </c>
      <c r="E7066" s="752" t="s">
        <v>293</v>
      </c>
      <c r="F7066" s="751">
        <v>3125</v>
      </c>
    </row>
    <row r="7067" spans="1:6">
      <c r="A7067" s="753"/>
      <c r="B7067" s="753"/>
      <c r="C7067" s="752" t="s">
        <v>41287</v>
      </c>
      <c r="D7067" s="753" t="s">
        <v>41286</v>
      </c>
      <c r="E7067" s="752" t="s">
        <v>41285</v>
      </c>
      <c r="F7067" s="751">
        <v>3885</v>
      </c>
    </row>
    <row r="7068" spans="1:6">
      <c r="A7068" s="753"/>
      <c r="B7068" s="753"/>
      <c r="C7068" s="752" t="s">
        <v>41284</v>
      </c>
      <c r="D7068" s="753" t="s">
        <v>41282</v>
      </c>
      <c r="E7068" s="752" t="s">
        <v>293</v>
      </c>
      <c r="F7068" s="751">
        <v>3125</v>
      </c>
    </row>
    <row r="7069" spans="1:6">
      <c r="A7069" s="753"/>
      <c r="B7069" s="753"/>
      <c r="C7069" s="752" t="s">
        <v>41283</v>
      </c>
      <c r="D7069" s="753" t="s">
        <v>41282</v>
      </c>
      <c r="E7069" s="752" t="s">
        <v>293</v>
      </c>
      <c r="F7069" s="751">
        <v>3125</v>
      </c>
    </row>
    <row r="7070" spans="1:6">
      <c r="A7070" s="753"/>
      <c r="B7070" s="753"/>
      <c r="C7070" s="752" t="s">
        <v>41281</v>
      </c>
      <c r="D7070" s="753" t="s">
        <v>41280</v>
      </c>
      <c r="E7070" s="752" t="s">
        <v>293</v>
      </c>
      <c r="F7070" s="751">
        <v>3349</v>
      </c>
    </row>
    <row r="7071" spans="1:6">
      <c r="A7071" s="753"/>
      <c r="B7071" s="753"/>
      <c r="C7071" s="752" t="s">
        <v>41279</v>
      </c>
      <c r="D7071" s="753" t="s">
        <v>41277</v>
      </c>
      <c r="E7071" s="752" t="s">
        <v>293</v>
      </c>
      <c r="F7071" s="751">
        <v>2375</v>
      </c>
    </row>
    <row r="7072" spans="1:6">
      <c r="A7072" s="753"/>
      <c r="B7072" s="753"/>
      <c r="C7072" s="752" t="s">
        <v>41278</v>
      </c>
      <c r="D7072" s="753" t="s">
        <v>41277</v>
      </c>
      <c r="E7072" s="752" t="s">
        <v>293</v>
      </c>
      <c r="F7072" s="751">
        <v>2625</v>
      </c>
    </row>
    <row r="7073" spans="1:6">
      <c r="A7073" s="753"/>
      <c r="B7073" s="753"/>
      <c r="C7073" s="752" t="s">
        <v>41276</v>
      </c>
      <c r="D7073" s="753" t="s">
        <v>41275</v>
      </c>
      <c r="E7073" s="752" t="s">
        <v>293</v>
      </c>
      <c r="F7073" s="751">
        <v>2375</v>
      </c>
    </row>
    <row r="7074" spans="1:6">
      <c r="A7074" s="753"/>
      <c r="B7074" s="753"/>
      <c r="C7074" s="752" t="s">
        <v>41274</v>
      </c>
      <c r="D7074" s="753" t="s">
        <v>41271</v>
      </c>
      <c r="E7074" s="752" t="s">
        <v>293</v>
      </c>
      <c r="F7074" s="751">
        <v>2925</v>
      </c>
    </row>
    <row r="7075" spans="1:6">
      <c r="A7075" s="753"/>
      <c r="B7075" s="753"/>
      <c r="C7075" s="752" t="s">
        <v>41273</v>
      </c>
      <c r="D7075" s="753" t="s">
        <v>41271</v>
      </c>
      <c r="E7075" s="752" t="s">
        <v>293</v>
      </c>
      <c r="F7075" s="751">
        <v>3175</v>
      </c>
    </row>
    <row r="7076" spans="1:6">
      <c r="A7076" s="753"/>
      <c r="B7076" s="753"/>
      <c r="C7076" s="752" t="s">
        <v>41272</v>
      </c>
      <c r="D7076" s="753" t="s">
        <v>41271</v>
      </c>
      <c r="E7076" s="752" t="s">
        <v>293</v>
      </c>
      <c r="F7076" s="751">
        <v>2925</v>
      </c>
    </row>
    <row r="7077" spans="1:6">
      <c r="A7077" s="753"/>
      <c r="B7077" s="753"/>
      <c r="C7077" s="752" t="s">
        <v>41270</v>
      </c>
      <c r="D7077" s="753" t="s">
        <v>41269</v>
      </c>
      <c r="E7077" s="752" t="s">
        <v>293</v>
      </c>
      <c r="F7077" s="751">
        <v>2725</v>
      </c>
    </row>
    <row r="7078" spans="1:6">
      <c r="A7078" s="753"/>
      <c r="B7078" s="753"/>
      <c r="C7078" s="752" t="s">
        <v>41268</v>
      </c>
      <c r="D7078" s="753" t="s">
        <v>41267</v>
      </c>
      <c r="E7078" s="752" t="s">
        <v>293</v>
      </c>
      <c r="F7078" s="751">
        <v>2475</v>
      </c>
    </row>
    <row r="7079" spans="1:6">
      <c r="A7079" s="753"/>
      <c r="B7079" s="753" t="s">
        <v>41266</v>
      </c>
      <c r="C7079" s="752" t="s">
        <v>41265</v>
      </c>
      <c r="D7079" s="753" t="s">
        <v>41263</v>
      </c>
      <c r="E7079" s="752" t="s">
        <v>293</v>
      </c>
      <c r="F7079" s="751">
        <v>2125</v>
      </c>
    </row>
    <row r="7080" spans="1:6">
      <c r="A7080" s="753"/>
      <c r="B7080" s="753"/>
      <c r="C7080" s="752" t="s">
        <v>41264</v>
      </c>
      <c r="D7080" s="753" t="s">
        <v>41263</v>
      </c>
      <c r="E7080" s="752" t="s">
        <v>293</v>
      </c>
      <c r="F7080" s="751">
        <v>2325</v>
      </c>
    </row>
    <row r="7081" spans="1:6">
      <c r="A7081" s="753"/>
      <c r="B7081" s="753"/>
      <c r="C7081" s="752" t="s">
        <v>41262</v>
      </c>
      <c r="D7081" s="753" t="s">
        <v>41261</v>
      </c>
      <c r="E7081" s="752" t="s">
        <v>293</v>
      </c>
      <c r="F7081" s="751">
        <v>1925</v>
      </c>
    </row>
    <row r="7082" spans="1:6">
      <c r="A7082" s="753"/>
      <c r="B7082" s="753" t="s">
        <v>41260</v>
      </c>
      <c r="C7082" s="752" t="s">
        <v>41259</v>
      </c>
      <c r="D7082" s="753" t="s">
        <v>41258</v>
      </c>
      <c r="E7082" s="752" t="s">
        <v>293</v>
      </c>
      <c r="F7082" s="751">
        <v>4265</v>
      </c>
    </row>
    <row r="7083" spans="1:6">
      <c r="A7083" s="753"/>
      <c r="B7083" s="753"/>
      <c r="C7083" s="752" t="s">
        <v>41257</v>
      </c>
      <c r="D7083" s="753" t="s">
        <v>41238</v>
      </c>
      <c r="E7083" s="752" t="s">
        <v>293</v>
      </c>
      <c r="F7083" s="751">
        <v>2625</v>
      </c>
    </row>
    <row r="7084" spans="1:6">
      <c r="A7084" s="753"/>
      <c r="B7084" s="753"/>
      <c r="C7084" s="752" t="s">
        <v>41256</v>
      </c>
      <c r="D7084" s="753" t="s">
        <v>41238</v>
      </c>
      <c r="E7084" s="752" t="s">
        <v>293</v>
      </c>
      <c r="F7084" s="751">
        <v>2575</v>
      </c>
    </row>
    <row r="7085" spans="1:6">
      <c r="A7085" s="753"/>
      <c r="B7085" s="753"/>
      <c r="C7085" s="752" t="s">
        <v>41255</v>
      </c>
      <c r="D7085" s="753" t="s">
        <v>41252</v>
      </c>
      <c r="E7085" s="752" t="s">
        <v>293</v>
      </c>
      <c r="F7085" s="751">
        <v>3175</v>
      </c>
    </row>
    <row r="7086" spans="1:6">
      <c r="A7086" s="753"/>
      <c r="B7086" s="753"/>
      <c r="C7086" s="752" t="s">
        <v>41254</v>
      </c>
      <c r="D7086" s="753" t="s">
        <v>41252</v>
      </c>
      <c r="E7086" s="752" t="s">
        <v>293</v>
      </c>
      <c r="F7086" s="751">
        <v>3125</v>
      </c>
    </row>
    <row r="7087" spans="1:6">
      <c r="A7087" s="753"/>
      <c r="B7087" s="753"/>
      <c r="C7087" s="752" t="s">
        <v>41253</v>
      </c>
      <c r="D7087" s="753" t="s">
        <v>41252</v>
      </c>
      <c r="E7087" s="752" t="s">
        <v>293</v>
      </c>
      <c r="F7087" s="751">
        <v>3125</v>
      </c>
    </row>
    <row r="7088" spans="1:6">
      <c r="A7088" s="753"/>
      <c r="B7088" s="753"/>
      <c r="C7088" s="752" t="s">
        <v>41251</v>
      </c>
      <c r="D7088" s="753" t="s">
        <v>41248</v>
      </c>
      <c r="E7088" s="752" t="s">
        <v>293</v>
      </c>
      <c r="F7088" s="751">
        <v>2375</v>
      </c>
    </row>
    <row r="7089" spans="1:6">
      <c r="A7089" s="753"/>
      <c r="B7089" s="753"/>
      <c r="C7089" s="752" t="s">
        <v>41250</v>
      </c>
      <c r="D7089" s="753" t="s">
        <v>41248</v>
      </c>
      <c r="E7089" s="752" t="s">
        <v>293</v>
      </c>
      <c r="F7089" s="751">
        <v>2375</v>
      </c>
    </row>
    <row r="7090" spans="1:6">
      <c r="A7090" s="753"/>
      <c r="B7090" s="753"/>
      <c r="C7090" s="752" t="s">
        <v>41249</v>
      </c>
      <c r="D7090" s="753" t="s">
        <v>41248</v>
      </c>
      <c r="E7090" s="752" t="s">
        <v>293</v>
      </c>
      <c r="F7090" s="751">
        <v>2375</v>
      </c>
    </row>
    <row r="7091" spans="1:6">
      <c r="A7091" s="753"/>
      <c r="B7091" s="753"/>
      <c r="C7091" s="752" t="s">
        <v>41247</v>
      </c>
      <c r="D7091" s="753" t="s">
        <v>41244</v>
      </c>
      <c r="E7091" s="752" t="s">
        <v>293</v>
      </c>
      <c r="F7091" s="751">
        <v>2975</v>
      </c>
    </row>
    <row r="7092" spans="1:6">
      <c r="A7092" s="753"/>
      <c r="B7092" s="753"/>
      <c r="C7092" s="752" t="s">
        <v>41246</v>
      </c>
      <c r="D7092" s="753" t="s">
        <v>41244</v>
      </c>
      <c r="E7092" s="752" t="s">
        <v>293</v>
      </c>
      <c r="F7092" s="751">
        <v>2925</v>
      </c>
    </row>
    <row r="7093" spans="1:6">
      <c r="A7093" s="753"/>
      <c r="B7093" s="753"/>
      <c r="C7093" s="752" t="s">
        <v>41245</v>
      </c>
      <c r="D7093" s="753" t="s">
        <v>41244</v>
      </c>
      <c r="E7093" s="752" t="s">
        <v>293</v>
      </c>
      <c r="F7093" s="751">
        <v>2925</v>
      </c>
    </row>
    <row r="7094" spans="1:6">
      <c r="A7094" s="753"/>
      <c r="B7094" s="753"/>
      <c r="C7094" s="752" t="s">
        <v>41243</v>
      </c>
      <c r="D7094" s="753" t="s">
        <v>41242</v>
      </c>
      <c r="E7094" s="752" t="s">
        <v>293</v>
      </c>
      <c r="F7094" s="751">
        <v>2325</v>
      </c>
    </row>
    <row r="7095" spans="1:6">
      <c r="A7095" s="753"/>
      <c r="B7095" s="753"/>
      <c r="C7095" s="752" t="s">
        <v>41241</v>
      </c>
      <c r="D7095" s="753" t="s">
        <v>41240</v>
      </c>
      <c r="E7095" s="752" t="s">
        <v>293</v>
      </c>
      <c r="F7095" s="751">
        <v>3025</v>
      </c>
    </row>
    <row r="7096" spans="1:6">
      <c r="A7096" s="753"/>
      <c r="B7096" s="753"/>
      <c r="C7096" s="752" t="s">
        <v>41239</v>
      </c>
      <c r="D7096" s="753" t="s">
        <v>41238</v>
      </c>
      <c r="E7096" s="752" t="s">
        <v>293</v>
      </c>
      <c r="F7096" s="751">
        <v>2575</v>
      </c>
    </row>
    <row r="7097" spans="1:6">
      <c r="A7097" s="753"/>
      <c r="B7097" s="753" t="s">
        <v>41237</v>
      </c>
      <c r="C7097" s="752" t="s">
        <v>41236</v>
      </c>
      <c r="D7097" s="753" t="s">
        <v>41234</v>
      </c>
      <c r="E7097" s="752" t="s">
        <v>293</v>
      </c>
      <c r="F7097" s="751">
        <v>2825</v>
      </c>
    </row>
    <row r="7098" spans="1:6">
      <c r="A7098" s="753"/>
      <c r="B7098" s="753"/>
      <c r="C7098" s="752" t="s">
        <v>41235</v>
      </c>
      <c r="D7098" s="753" t="s">
        <v>41234</v>
      </c>
      <c r="E7098" s="752" t="s">
        <v>38670</v>
      </c>
      <c r="F7098" s="751">
        <v>3335</v>
      </c>
    </row>
    <row r="7099" spans="1:6">
      <c r="A7099" s="753"/>
      <c r="B7099" s="753"/>
      <c r="C7099" s="752" t="s">
        <v>41233</v>
      </c>
      <c r="D7099" s="753" t="s">
        <v>41231</v>
      </c>
      <c r="E7099" s="752" t="s">
        <v>293</v>
      </c>
      <c r="F7099" s="751">
        <v>3375</v>
      </c>
    </row>
    <row r="7100" spans="1:6">
      <c r="A7100" s="753"/>
      <c r="B7100" s="753"/>
      <c r="C7100" s="752" t="s">
        <v>41232</v>
      </c>
      <c r="D7100" s="753" t="s">
        <v>41231</v>
      </c>
      <c r="E7100" s="752" t="s">
        <v>38670</v>
      </c>
      <c r="F7100" s="751">
        <v>4135</v>
      </c>
    </row>
    <row r="7101" spans="1:6">
      <c r="A7101" s="753"/>
      <c r="B7101" s="753"/>
      <c r="C7101" s="752" t="s">
        <v>41230</v>
      </c>
      <c r="D7101" s="753" t="s">
        <v>41229</v>
      </c>
      <c r="E7101" s="752" t="s">
        <v>37758</v>
      </c>
      <c r="F7101" s="751">
        <v>3375</v>
      </c>
    </row>
    <row r="7102" spans="1:6">
      <c r="A7102" s="753"/>
      <c r="B7102" s="753"/>
      <c r="C7102" s="752" t="s">
        <v>41228</v>
      </c>
      <c r="D7102" s="753" t="s">
        <v>41223</v>
      </c>
      <c r="E7102" s="752" t="s">
        <v>293</v>
      </c>
      <c r="F7102" s="751">
        <v>2625</v>
      </c>
    </row>
    <row r="7103" spans="1:6">
      <c r="A7103" s="753"/>
      <c r="B7103" s="753"/>
      <c r="C7103" s="752" t="s">
        <v>41227</v>
      </c>
      <c r="D7103" s="753" t="s">
        <v>41223</v>
      </c>
      <c r="E7103" s="752" t="s">
        <v>38670</v>
      </c>
      <c r="F7103" s="751">
        <v>3385</v>
      </c>
    </row>
    <row r="7104" spans="1:6">
      <c r="A7104" s="753"/>
      <c r="B7104" s="753"/>
      <c r="C7104" s="752" t="s">
        <v>41226</v>
      </c>
      <c r="D7104" s="753" t="s">
        <v>41223</v>
      </c>
      <c r="E7104" s="752" t="s">
        <v>293</v>
      </c>
      <c r="F7104" s="751">
        <v>2125</v>
      </c>
    </row>
    <row r="7105" spans="1:6">
      <c r="A7105" s="753"/>
      <c r="B7105" s="753"/>
      <c r="C7105" s="752" t="s">
        <v>41225</v>
      </c>
      <c r="D7105" s="753" t="s">
        <v>41223</v>
      </c>
      <c r="E7105" s="752" t="s">
        <v>293</v>
      </c>
      <c r="F7105" s="751">
        <v>3175</v>
      </c>
    </row>
    <row r="7106" spans="1:6">
      <c r="A7106" s="753"/>
      <c r="B7106" s="753"/>
      <c r="C7106" s="752" t="s">
        <v>41224</v>
      </c>
      <c r="D7106" s="753" t="s">
        <v>41223</v>
      </c>
      <c r="E7106" s="752" t="s">
        <v>40475</v>
      </c>
      <c r="F7106" s="751">
        <v>3935</v>
      </c>
    </row>
    <row r="7107" spans="1:6">
      <c r="A7107" s="753"/>
      <c r="B7107" s="753"/>
      <c r="C7107" s="752" t="s">
        <v>41222</v>
      </c>
      <c r="D7107" s="753" t="s">
        <v>41220</v>
      </c>
      <c r="E7107" s="752" t="s">
        <v>293</v>
      </c>
      <c r="F7107" s="751">
        <v>2725</v>
      </c>
    </row>
    <row r="7108" spans="1:6">
      <c r="A7108" s="753"/>
      <c r="B7108" s="753"/>
      <c r="C7108" s="752" t="s">
        <v>41221</v>
      </c>
      <c r="D7108" s="753" t="s">
        <v>41220</v>
      </c>
      <c r="E7108" s="752" t="s">
        <v>38550</v>
      </c>
      <c r="F7108" s="751">
        <v>2725</v>
      </c>
    </row>
    <row r="7109" spans="1:6">
      <c r="A7109" s="753"/>
      <c r="B7109" s="753"/>
      <c r="C7109" s="752" t="s">
        <v>41219</v>
      </c>
      <c r="D7109" s="753" t="s">
        <v>41218</v>
      </c>
      <c r="E7109" s="752" t="s">
        <v>293</v>
      </c>
      <c r="F7109" s="751">
        <v>3275</v>
      </c>
    </row>
    <row r="7110" spans="1:6">
      <c r="A7110" s="753"/>
      <c r="B7110" s="753"/>
      <c r="C7110" s="752" t="s">
        <v>41217</v>
      </c>
      <c r="D7110" s="753" t="s">
        <v>41216</v>
      </c>
      <c r="E7110" s="752" t="s">
        <v>293</v>
      </c>
      <c r="F7110" s="751">
        <v>3275</v>
      </c>
    </row>
    <row r="7111" spans="1:6">
      <c r="A7111" s="753"/>
      <c r="B7111" s="753" t="s">
        <v>41215</v>
      </c>
      <c r="C7111" s="752" t="s">
        <v>41214</v>
      </c>
      <c r="D7111" s="753" t="s">
        <v>41213</v>
      </c>
      <c r="E7111" s="752" t="s">
        <v>38539</v>
      </c>
      <c r="F7111" s="751">
        <v>3175</v>
      </c>
    </row>
    <row r="7112" spans="1:6">
      <c r="A7112" s="753"/>
      <c r="B7112" s="753"/>
      <c r="C7112" s="752" t="s">
        <v>41212</v>
      </c>
      <c r="D7112" s="753" t="s">
        <v>41211</v>
      </c>
      <c r="E7112" s="752" t="s">
        <v>38539</v>
      </c>
      <c r="F7112" s="751">
        <v>3725</v>
      </c>
    </row>
    <row r="7113" spans="1:6">
      <c r="A7113" s="753"/>
      <c r="B7113" s="753"/>
      <c r="C7113" s="752" t="s">
        <v>41210</v>
      </c>
      <c r="D7113" s="753" t="s">
        <v>41209</v>
      </c>
      <c r="E7113" s="752" t="s">
        <v>38539</v>
      </c>
      <c r="F7113" s="751">
        <v>3075</v>
      </c>
    </row>
    <row r="7114" spans="1:6">
      <c r="A7114" s="753"/>
      <c r="B7114" s="753"/>
      <c r="C7114" s="752" t="s">
        <v>41208</v>
      </c>
      <c r="D7114" s="753" t="s">
        <v>41207</v>
      </c>
      <c r="E7114" s="752" t="s">
        <v>38539</v>
      </c>
      <c r="F7114" s="751">
        <v>3625</v>
      </c>
    </row>
    <row r="7115" spans="1:6">
      <c r="A7115" s="753"/>
      <c r="B7115" s="753"/>
      <c r="C7115" s="752" t="s">
        <v>41206</v>
      </c>
      <c r="D7115" s="753" t="s">
        <v>41205</v>
      </c>
      <c r="E7115" s="752" t="s">
        <v>38539</v>
      </c>
      <c r="F7115" s="751">
        <v>2875</v>
      </c>
    </row>
    <row r="7116" spans="1:6">
      <c r="A7116" s="753"/>
      <c r="B7116" s="753"/>
      <c r="C7116" s="752" t="s">
        <v>41204</v>
      </c>
      <c r="D7116" s="753" t="s">
        <v>41203</v>
      </c>
      <c r="E7116" s="752" t="s">
        <v>38539</v>
      </c>
      <c r="F7116" s="751">
        <v>3425</v>
      </c>
    </row>
    <row r="7117" spans="1:6">
      <c r="A7117" s="753"/>
      <c r="B7117" s="753"/>
      <c r="C7117" s="752" t="s">
        <v>41202</v>
      </c>
      <c r="D7117" s="753" t="s">
        <v>41201</v>
      </c>
      <c r="E7117" s="752" t="s">
        <v>38539</v>
      </c>
      <c r="F7117" s="751">
        <v>2975</v>
      </c>
    </row>
    <row r="7118" spans="1:6">
      <c r="A7118" s="753"/>
      <c r="B7118" s="753"/>
      <c r="C7118" s="752" t="s">
        <v>41200</v>
      </c>
      <c r="D7118" s="753" t="s">
        <v>41199</v>
      </c>
      <c r="E7118" s="752" t="s">
        <v>38539</v>
      </c>
      <c r="F7118" s="751">
        <v>3525</v>
      </c>
    </row>
    <row r="7119" spans="1:6">
      <c r="A7119" s="753"/>
      <c r="B7119" s="753"/>
      <c r="C7119" s="752" t="s">
        <v>41198</v>
      </c>
      <c r="D7119" s="753" t="s">
        <v>41197</v>
      </c>
      <c r="E7119" s="752" t="s">
        <v>38570</v>
      </c>
      <c r="F7119" s="751">
        <v>5925</v>
      </c>
    </row>
    <row r="7120" spans="1:6">
      <c r="A7120" s="753" t="s">
        <v>41196</v>
      </c>
      <c r="B7120" s="753" t="s">
        <v>41195</v>
      </c>
      <c r="C7120" s="752" t="s">
        <v>41194</v>
      </c>
      <c r="D7120" s="753" t="s">
        <v>41193</v>
      </c>
      <c r="E7120" s="752" t="s">
        <v>38570</v>
      </c>
      <c r="F7120" s="751">
        <v>2575</v>
      </c>
    </row>
    <row r="7121" spans="1:6">
      <c r="A7121" s="753"/>
      <c r="B7121" s="753"/>
      <c r="C7121" s="752" t="s">
        <v>41192</v>
      </c>
      <c r="D7121" s="753" t="s">
        <v>41185</v>
      </c>
      <c r="E7121" s="752" t="s">
        <v>38570</v>
      </c>
      <c r="F7121" s="751">
        <v>2375</v>
      </c>
    </row>
    <row r="7122" spans="1:6">
      <c r="A7122" s="753"/>
      <c r="B7122" s="753"/>
      <c r="C7122" s="752" t="s">
        <v>41191</v>
      </c>
      <c r="D7122" s="753" t="s">
        <v>41190</v>
      </c>
      <c r="E7122" s="752" t="s">
        <v>38570</v>
      </c>
      <c r="F7122" s="751">
        <v>2475</v>
      </c>
    </row>
    <row r="7123" spans="1:6">
      <c r="A7123" s="753"/>
      <c r="B7123" s="753" t="s">
        <v>41189</v>
      </c>
      <c r="C7123" s="752" t="s">
        <v>41188</v>
      </c>
      <c r="D7123" s="753" t="s">
        <v>41187</v>
      </c>
      <c r="E7123" s="752" t="s">
        <v>38732</v>
      </c>
      <c r="F7123" s="751">
        <v>4875</v>
      </c>
    </row>
    <row r="7124" spans="1:6">
      <c r="A7124" s="753"/>
      <c r="B7124" s="753"/>
      <c r="C7124" s="752" t="s">
        <v>41186</v>
      </c>
      <c r="D7124" s="753" t="s">
        <v>41185</v>
      </c>
      <c r="E7124" s="752" t="s">
        <v>38732</v>
      </c>
      <c r="F7124" s="751">
        <v>4825</v>
      </c>
    </row>
    <row r="7125" spans="1:6">
      <c r="A7125" s="753"/>
      <c r="B7125" s="753" t="s">
        <v>41184</v>
      </c>
      <c r="C7125" s="752" t="s">
        <v>41183</v>
      </c>
      <c r="D7125" s="753" t="s">
        <v>41182</v>
      </c>
      <c r="E7125" s="752" t="s">
        <v>38584</v>
      </c>
      <c r="F7125" s="751">
        <v>2425</v>
      </c>
    </row>
    <row r="7126" spans="1:6">
      <c r="A7126" s="753"/>
      <c r="B7126" s="753"/>
      <c r="C7126" s="752" t="s">
        <v>41181</v>
      </c>
      <c r="D7126" s="753" t="s">
        <v>41180</v>
      </c>
      <c r="E7126" s="752" t="s">
        <v>38584</v>
      </c>
      <c r="F7126" s="751">
        <v>2725</v>
      </c>
    </row>
    <row r="7127" spans="1:6">
      <c r="A7127" s="753"/>
      <c r="B7127" s="753" t="s">
        <v>41179</v>
      </c>
      <c r="C7127" s="752" t="s">
        <v>41178</v>
      </c>
      <c r="D7127" s="753" t="s">
        <v>41177</v>
      </c>
      <c r="E7127" s="752" t="s">
        <v>293</v>
      </c>
      <c r="F7127" s="751">
        <v>2575</v>
      </c>
    </row>
    <row r="7128" spans="1:6">
      <c r="A7128" s="753"/>
      <c r="B7128" s="753"/>
      <c r="C7128" s="752" t="s">
        <v>41176</v>
      </c>
      <c r="D7128" s="753" t="s">
        <v>41175</v>
      </c>
      <c r="E7128" s="752" t="s">
        <v>293</v>
      </c>
      <c r="F7128" s="751">
        <v>3125</v>
      </c>
    </row>
    <row r="7129" spans="1:6">
      <c r="A7129" s="753"/>
      <c r="B7129" s="753"/>
      <c r="C7129" s="752" t="s">
        <v>41174</v>
      </c>
      <c r="D7129" s="753" t="s">
        <v>41173</v>
      </c>
      <c r="E7129" s="752" t="s">
        <v>293</v>
      </c>
      <c r="F7129" s="751">
        <v>2375</v>
      </c>
    </row>
    <row r="7130" spans="1:6">
      <c r="A7130" s="753"/>
      <c r="B7130" s="753"/>
      <c r="C7130" s="752" t="s">
        <v>41172</v>
      </c>
      <c r="D7130" s="753" t="s">
        <v>41171</v>
      </c>
      <c r="E7130" s="752" t="s">
        <v>293</v>
      </c>
      <c r="F7130" s="751">
        <v>2925</v>
      </c>
    </row>
    <row r="7131" spans="1:6">
      <c r="A7131" s="753"/>
      <c r="B7131" s="753" t="s">
        <v>41170</v>
      </c>
      <c r="C7131" s="752" t="s">
        <v>41169</v>
      </c>
      <c r="D7131" s="753" t="s">
        <v>41168</v>
      </c>
      <c r="E7131" s="752" t="s">
        <v>39011</v>
      </c>
      <c r="F7131" s="751">
        <v>4385</v>
      </c>
    </row>
    <row r="7132" spans="1:6">
      <c r="A7132" s="753"/>
      <c r="B7132" s="753"/>
      <c r="C7132" s="752" t="s">
        <v>41167</v>
      </c>
      <c r="D7132" s="753" t="s">
        <v>41165</v>
      </c>
      <c r="E7132" s="752" t="s">
        <v>293</v>
      </c>
      <c r="F7132" s="751">
        <v>2575</v>
      </c>
    </row>
    <row r="7133" spans="1:6">
      <c r="A7133" s="753"/>
      <c r="B7133" s="753"/>
      <c r="C7133" s="752" t="s">
        <v>41166</v>
      </c>
      <c r="D7133" s="753" t="s">
        <v>41165</v>
      </c>
      <c r="E7133" s="752" t="s">
        <v>41164</v>
      </c>
      <c r="F7133" s="751">
        <v>2575</v>
      </c>
    </row>
    <row r="7134" spans="1:6">
      <c r="A7134" s="753"/>
      <c r="B7134" s="753"/>
      <c r="C7134" s="752" t="s">
        <v>41163</v>
      </c>
      <c r="D7134" s="753" t="s">
        <v>41162</v>
      </c>
      <c r="E7134" s="752" t="s">
        <v>293</v>
      </c>
      <c r="F7134" s="751">
        <v>3125</v>
      </c>
    </row>
    <row r="7135" spans="1:6">
      <c r="A7135" s="753"/>
      <c r="B7135" s="753"/>
      <c r="C7135" s="752" t="s">
        <v>41161</v>
      </c>
      <c r="D7135" s="753" t="s">
        <v>41160</v>
      </c>
      <c r="E7135" s="752" t="s">
        <v>293</v>
      </c>
      <c r="F7135" s="751">
        <v>2375</v>
      </c>
    </row>
    <row r="7136" spans="1:6">
      <c r="A7136" s="753"/>
      <c r="B7136" s="753"/>
      <c r="C7136" s="752" t="s">
        <v>41159</v>
      </c>
      <c r="D7136" s="753" t="s">
        <v>41158</v>
      </c>
      <c r="E7136" s="752" t="s">
        <v>293</v>
      </c>
      <c r="F7136" s="751">
        <v>2925</v>
      </c>
    </row>
    <row r="7137" spans="1:6">
      <c r="A7137" s="753"/>
      <c r="B7137" s="753"/>
      <c r="C7137" s="752" t="s">
        <v>41157</v>
      </c>
      <c r="D7137" s="753" t="s">
        <v>41156</v>
      </c>
      <c r="E7137" s="752" t="s">
        <v>293</v>
      </c>
      <c r="F7137" s="751">
        <v>2925</v>
      </c>
    </row>
    <row r="7138" spans="1:6">
      <c r="A7138" s="753"/>
      <c r="B7138" s="753"/>
      <c r="C7138" s="752" t="s">
        <v>41155</v>
      </c>
      <c r="D7138" s="753" t="s">
        <v>41154</v>
      </c>
      <c r="E7138" s="752" t="s">
        <v>293</v>
      </c>
      <c r="F7138" s="751">
        <v>3025</v>
      </c>
    </row>
    <row r="7139" spans="1:6">
      <c r="A7139" s="753"/>
      <c r="B7139" s="753" t="s">
        <v>41153</v>
      </c>
      <c r="C7139" s="752" t="s">
        <v>41152</v>
      </c>
      <c r="D7139" s="753" t="s">
        <v>41151</v>
      </c>
      <c r="E7139" s="752" t="s">
        <v>39740</v>
      </c>
      <c r="F7139" s="751">
        <v>5125</v>
      </c>
    </row>
    <row r="7140" spans="1:6">
      <c r="A7140" s="753"/>
      <c r="B7140" s="753"/>
      <c r="C7140" s="752" t="s">
        <v>41150</v>
      </c>
      <c r="D7140" s="753" t="s">
        <v>41149</v>
      </c>
      <c r="E7140" s="752" t="s">
        <v>293</v>
      </c>
      <c r="F7140" s="751">
        <v>2575</v>
      </c>
    </row>
    <row r="7141" spans="1:6">
      <c r="A7141" s="753"/>
      <c r="B7141" s="753"/>
      <c r="C7141" s="752" t="s">
        <v>41148</v>
      </c>
      <c r="D7141" s="753" t="s">
        <v>41147</v>
      </c>
      <c r="E7141" s="752" t="s">
        <v>293</v>
      </c>
      <c r="F7141" s="751">
        <v>2925</v>
      </c>
    </row>
    <row r="7142" spans="1:6">
      <c r="A7142" s="753"/>
      <c r="B7142" s="753"/>
      <c r="C7142" s="752" t="s">
        <v>41146</v>
      </c>
      <c r="D7142" s="753" t="s">
        <v>41145</v>
      </c>
      <c r="E7142" s="752" t="s">
        <v>293</v>
      </c>
      <c r="F7142" s="751">
        <v>2475</v>
      </c>
    </row>
    <row r="7143" spans="1:6">
      <c r="A7143" s="753"/>
      <c r="B7143" s="753" t="s">
        <v>41144</v>
      </c>
      <c r="C7143" s="752" t="s">
        <v>41143</v>
      </c>
      <c r="D7143" s="753" t="s">
        <v>41142</v>
      </c>
      <c r="E7143" s="752" t="s">
        <v>293</v>
      </c>
      <c r="F7143" s="751">
        <v>2625</v>
      </c>
    </row>
    <row r="7144" spans="1:6">
      <c r="A7144" s="753"/>
      <c r="B7144" s="753"/>
      <c r="C7144" s="752" t="s">
        <v>41141</v>
      </c>
      <c r="D7144" s="753" t="s">
        <v>41139</v>
      </c>
      <c r="E7144" s="752" t="s">
        <v>293</v>
      </c>
      <c r="F7144" s="751">
        <v>3175</v>
      </c>
    </row>
    <row r="7145" spans="1:6">
      <c r="A7145" s="753"/>
      <c r="B7145" s="753"/>
      <c r="C7145" s="752" t="s">
        <v>41140</v>
      </c>
      <c r="D7145" s="753" t="s">
        <v>41139</v>
      </c>
      <c r="E7145" s="752" t="s">
        <v>37758</v>
      </c>
      <c r="F7145" s="751">
        <v>3175</v>
      </c>
    </row>
    <row r="7146" spans="1:6">
      <c r="A7146" s="753"/>
      <c r="B7146" s="753"/>
      <c r="C7146" s="752" t="s">
        <v>41138</v>
      </c>
      <c r="D7146" s="753" t="s">
        <v>41137</v>
      </c>
      <c r="E7146" s="752" t="s">
        <v>38539</v>
      </c>
      <c r="F7146" s="751">
        <v>2475</v>
      </c>
    </row>
    <row r="7147" spans="1:6">
      <c r="A7147" s="753"/>
      <c r="B7147" s="753"/>
      <c r="C7147" s="752" t="s">
        <v>41136</v>
      </c>
      <c r="D7147" s="753" t="s">
        <v>41135</v>
      </c>
      <c r="E7147" s="752" t="s">
        <v>38539</v>
      </c>
      <c r="F7147" s="751">
        <v>3025</v>
      </c>
    </row>
    <row r="7148" spans="1:6">
      <c r="A7148" s="753"/>
      <c r="B7148" s="753" t="s">
        <v>41134</v>
      </c>
      <c r="C7148" s="752" t="s">
        <v>41133</v>
      </c>
      <c r="D7148" s="753" t="s">
        <v>41132</v>
      </c>
      <c r="E7148" s="752" t="s">
        <v>293</v>
      </c>
      <c r="F7148" s="751">
        <v>2575</v>
      </c>
    </row>
    <row r="7149" spans="1:6">
      <c r="A7149" s="753"/>
      <c r="B7149" s="753"/>
      <c r="C7149" s="752" t="s">
        <v>41131</v>
      </c>
      <c r="D7149" s="753" t="s">
        <v>41130</v>
      </c>
      <c r="E7149" s="752" t="s">
        <v>293</v>
      </c>
      <c r="F7149" s="751">
        <v>3125</v>
      </c>
    </row>
    <row r="7150" spans="1:6">
      <c r="A7150" s="753"/>
      <c r="B7150" s="753"/>
      <c r="C7150" s="752" t="s">
        <v>41129</v>
      </c>
      <c r="D7150" s="753" t="s">
        <v>41128</v>
      </c>
      <c r="E7150" s="752" t="s">
        <v>293</v>
      </c>
      <c r="F7150" s="751">
        <v>2375</v>
      </c>
    </row>
    <row r="7151" spans="1:6">
      <c r="A7151" s="753"/>
      <c r="B7151" s="753"/>
      <c r="C7151" s="752" t="s">
        <v>41127</v>
      </c>
      <c r="D7151" s="753" t="s">
        <v>41126</v>
      </c>
      <c r="E7151" s="752" t="s">
        <v>293</v>
      </c>
      <c r="F7151" s="751">
        <v>2925</v>
      </c>
    </row>
    <row r="7152" spans="1:6">
      <c r="A7152" s="753"/>
      <c r="B7152" s="753" t="s">
        <v>41125</v>
      </c>
      <c r="C7152" s="752" t="s">
        <v>41124</v>
      </c>
      <c r="D7152" s="753" t="s">
        <v>41123</v>
      </c>
      <c r="E7152" s="752" t="s">
        <v>293</v>
      </c>
      <c r="F7152" s="751">
        <v>2575</v>
      </c>
    </row>
    <row r="7153" spans="1:6">
      <c r="A7153" s="753"/>
      <c r="B7153" s="753"/>
      <c r="C7153" s="752" t="s">
        <v>41122</v>
      </c>
      <c r="D7153" s="753" t="s">
        <v>41121</v>
      </c>
      <c r="E7153" s="752" t="s">
        <v>293</v>
      </c>
      <c r="F7153" s="751">
        <v>3125</v>
      </c>
    </row>
    <row r="7154" spans="1:6">
      <c r="A7154" s="753"/>
      <c r="B7154" s="753"/>
      <c r="C7154" s="752" t="s">
        <v>41120</v>
      </c>
      <c r="D7154" s="753" t="s">
        <v>41119</v>
      </c>
      <c r="E7154" s="752" t="s">
        <v>293</v>
      </c>
      <c r="F7154" s="751">
        <v>2625</v>
      </c>
    </row>
    <row r="7155" spans="1:6">
      <c r="A7155" s="753"/>
      <c r="B7155" s="753"/>
      <c r="C7155" s="752" t="s">
        <v>41118</v>
      </c>
      <c r="D7155" s="753" t="s">
        <v>41117</v>
      </c>
      <c r="E7155" s="752" t="s">
        <v>293</v>
      </c>
      <c r="F7155" s="751">
        <v>2925</v>
      </c>
    </row>
    <row r="7156" spans="1:6">
      <c r="A7156" s="753"/>
      <c r="B7156" s="753" t="s">
        <v>41116</v>
      </c>
      <c r="C7156" s="752" t="s">
        <v>41115</v>
      </c>
      <c r="D7156" s="753" t="s">
        <v>41114</v>
      </c>
      <c r="E7156" s="752" t="s">
        <v>293</v>
      </c>
      <c r="F7156" s="751">
        <v>3875</v>
      </c>
    </row>
    <row r="7157" spans="1:6">
      <c r="A7157" s="753"/>
      <c r="B7157" s="753"/>
      <c r="C7157" s="752" t="s">
        <v>41113</v>
      </c>
      <c r="D7157" s="753" t="s">
        <v>41111</v>
      </c>
      <c r="E7157" s="752" t="s">
        <v>293</v>
      </c>
      <c r="F7157" s="751">
        <v>2825</v>
      </c>
    </row>
    <row r="7158" spans="1:6">
      <c r="A7158" s="753"/>
      <c r="B7158" s="753"/>
      <c r="C7158" s="752" t="s">
        <v>41112</v>
      </c>
      <c r="D7158" s="753" t="s">
        <v>41111</v>
      </c>
      <c r="E7158" s="752" t="s">
        <v>39028</v>
      </c>
      <c r="F7158" s="751">
        <v>3585</v>
      </c>
    </row>
    <row r="7159" spans="1:6">
      <c r="A7159" s="753"/>
      <c r="B7159" s="753"/>
      <c r="C7159" s="752" t="s">
        <v>41110</v>
      </c>
      <c r="D7159" s="753" t="s">
        <v>41109</v>
      </c>
      <c r="E7159" s="752" t="s">
        <v>293</v>
      </c>
      <c r="F7159" s="751">
        <v>3375</v>
      </c>
    </row>
    <row r="7160" spans="1:6">
      <c r="A7160" s="753"/>
      <c r="B7160" s="753"/>
      <c r="C7160" s="752" t="s">
        <v>41108</v>
      </c>
      <c r="D7160" s="753" t="s">
        <v>41107</v>
      </c>
      <c r="E7160" s="752" t="s">
        <v>293</v>
      </c>
      <c r="F7160" s="751">
        <v>2625</v>
      </c>
    </row>
    <row r="7161" spans="1:6">
      <c r="A7161" s="753"/>
      <c r="B7161" s="753"/>
      <c r="C7161" s="752" t="s">
        <v>41106</v>
      </c>
      <c r="D7161" s="753" t="s">
        <v>41105</v>
      </c>
      <c r="E7161" s="752" t="s">
        <v>293</v>
      </c>
      <c r="F7161" s="751">
        <v>3175</v>
      </c>
    </row>
    <row r="7162" spans="1:6">
      <c r="A7162" s="753"/>
      <c r="B7162" s="753"/>
      <c r="C7162" s="752" t="s">
        <v>41104</v>
      </c>
      <c r="D7162" s="753" t="s">
        <v>41103</v>
      </c>
      <c r="E7162" s="752" t="s">
        <v>293</v>
      </c>
      <c r="F7162" s="751">
        <v>3175</v>
      </c>
    </row>
    <row r="7163" spans="1:6">
      <c r="A7163" s="753"/>
      <c r="B7163" s="753"/>
      <c r="C7163" s="752" t="s">
        <v>41102</v>
      </c>
      <c r="D7163" s="753" t="s">
        <v>41101</v>
      </c>
      <c r="E7163" s="752" t="s">
        <v>293</v>
      </c>
      <c r="F7163" s="751">
        <v>3275</v>
      </c>
    </row>
    <row r="7164" spans="1:6">
      <c r="A7164" s="753"/>
      <c r="B7164" s="753" t="s">
        <v>41100</v>
      </c>
      <c r="C7164" s="752" t="s">
        <v>41099</v>
      </c>
      <c r="D7164" s="753" t="s">
        <v>41098</v>
      </c>
      <c r="E7164" s="752" t="s">
        <v>293</v>
      </c>
      <c r="F7164" s="751">
        <v>5195</v>
      </c>
    </row>
    <row r="7165" spans="1:6">
      <c r="A7165" s="753"/>
      <c r="B7165" s="753"/>
      <c r="C7165" s="752" t="s">
        <v>41097</v>
      </c>
      <c r="D7165" s="753" t="s">
        <v>41096</v>
      </c>
      <c r="E7165" s="752" t="s">
        <v>38570</v>
      </c>
      <c r="F7165" s="751">
        <v>9095</v>
      </c>
    </row>
    <row r="7166" spans="1:6">
      <c r="A7166" s="753"/>
      <c r="B7166" s="753"/>
      <c r="C7166" s="752" t="s">
        <v>41095</v>
      </c>
      <c r="D7166" s="753" t="s">
        <v>41094</v>
      </c>
      <c r="E7166" s="752" t="s">
        <v>293</v>
      </c>
      <c r="F7166" s="751">
        <v>2825</v>
      </c>
    </row>
    <row r="7167" spans="1:6">
      <c r="A7167" s="753"/>
      <c r="B7167" s="753"/>
      <c r="C7167" s="752" t="s">
        <v>41093</v>
      </c>
      <c r="D7167" s="753" t="s">
        <v>41092</v>
      </c>
      <c r="E7167" s="752" t="s">
        <v>293</v>
      </c>
      <c r="F7167" s="751">
        <v>3375</v>
      </c>
    </row>
    <row r="7168" spans="1:6">
      <c r="A7168" s="753"/>
      <c r="B7168" s="753"/>
      <c r="C7168" s="752" t="s">
        <v>41091</v>
      </c>
      <c r="D7168" s="753" t="s">
        <v>41090</v>
      </c>
      <c r="E7168" s="752" t="s">
        <v>293</v>
      </c>
      <c r="F7168" s="751">
        <v>2625</v>
      </c>
    </row>
    <row r="7169" spans="1:6">
      <c r="A7169" s="753"/>
      <c r="B7169" s="753"/>
      <c r="C7169" s="752" t="s">
        <v>41089</v>
      </c>
      <c r="D7169" s="753" t="s">
        <v>41088</v>
      </c>
      <c r="E7169" s="752" t="s">
        <v>293</v>
      </c>
      <c r="F7169" s="751">
        <v>3175</v>
      </c>
    </row>
    <row r="7170" spans="1:6">
      <c r="A7170" s="753"/>
      <c r="B7170" s="753"/>
      <c r="C7170" s="752" t="s">
        <v>41087</v>
      </c>
      <c r="D7170" s="753" t="s">
        <v>41086</v>
      </c>
      <c r="E7170" s="752" t="s">
        <v>293</v>
      </c>
      <c r="F7170" s="751">
        <v>2725</v>
      </c>
    </row>
    <row r="7171" spans="1:6">
      <c r="A7171" s="753"/>
      <c r="B7171" s="753" t="s">
        <v>41085</v>
      </c>
      <c r="C7171" s="752" t="s">
        <v>41084</v>
      </c>
      <c r="D7171" s="753" t="s">
        <v>41083</v>
      </c>
      <c r="E7171" s="752" t="s">
        <v>39458</v>
      </c>
      <c r="F7171" s="751">
        <v>2575</v>
      </c>
    </row>
    <row r="7172" spans="1:6">
      <c r="A7172" s="753"/>
      <c r="B7172" s="753" t="s">
        <v>41082</v>
      </c>
      <c r="C7172" s="752" t="s">
        <v>41081</v>
      </c>
      <c r="D7172" s="753" t="s">
        <v>41076</v>
      </c>
      <c r="E7172" s="752" t="s">
        <v>293</v>
      </c>
      <c r="F7172" s="751">
        <v>2575</v>
      </c>
    </row>
    <row r="7173" spans="1:6">
      <c r="A7173" s="753"/>
      <c r="B7173" s="753"/>
      <c r="C7173" s="752" t="s">
        <v>41080</v>
      </c>
      <c r="D7173" s="753" t="s">
        <v>41076</v>
      </c>
      <c r="E7173" s="752" t="s">
        <v>38577</v>
      </c>
      <c r="F7173" s="751">
        <v>3335</v>
      </c>
    </row>
    <row r="7174" spans="1:6">
      <c r="A7174" s="753"/>
      <c r="B7174" s="753"/>
      <c r="C7174" s="752" t="s">
        <v>41079</v>
      </c>
      <c r="D7174" s="753" t="s">
        <v>41076</v>
      </c>
      <c r="E7174" s="752" t="s">
        <v>293</v>
      </c>
      <c r="F7174" s="751">
        <v>2575</v>
      </c>
    </row>
    <row r="7175" spans="1:6">
      <c r="A7175" s="753"/>
      <c r="B7175" s="753"/>
      <c r="C7175" s="752" t="s">
        <v>41078</v>
      </c>
      <c r="D7175" s="753" t="s">
        <v>41076</v>
      </c>
      <c r="E7175" s="752" t="s">
        <v>293</v>
      </c>
      <c r="F7175" s="751">
        <v>2575</v>
      </c>
    </row>
    <row r="7176" spans="1:6">
      <c r="A7176" s="753"/>
      <c r="B7176" s="753"/>
      <c r="C7176" s="752" t="s">
        <v>41077</v>
      </c>
      <c r="D7176" s="753" t="s">
        <v>41076</v>
      </c>
      <c r="E7176" s="752" t="s">
        <v>293</v>
      </c>
      <c r="F7176" s="751">
        <v>2575</v>
      </c>
    </row>
    <row r="7177" spans="1:6">
      <c r="A7177" s="753"/>
      <c r="B7177" s="753"/>
      <c r="C7177" s="752" t="s">
        <v>41075</v>
      </c>
      <c r="D7177" s="753" t="s">
        <v>41072</v>
      </c>
      <c r="E7177" s="752" t="s">
        <v>293</v>
      </c>
      <c r="F7177" s="751">
        <v>3125</v>
      </c>
    </row>
    <row r="7178" spans="1:6">
      <c r="A7178" s="753"/>
      <c r="B7178" s="753"/>
      <c r="C7178" s="752" t="s">
        <v>41074</v>
      </c>
      <c r="D7178" s="753" t="s">
        <v>41072</v>
      </c>
      <c r="E7178" s="752" t="s">
        <v>293</v>
      </c>
      <c r="F7178" s="751">
        <v>3885</v>
      </c>
    </row>
    <row r="7179" spans="1:6">
      <c r="A7179" s="753"/>
      <c r="B7179" s="753"/>
      <c r="C7179" s="752" t="s">
        <v>41073</v>
      </c>
      <c r="D7179" s="753" t="s">
        <v>41072</v>
      </c>
      <c r="E7179" s="752" t="s">
        <v>293</v>
      </c>
      <c r="F7179" s="751">
        <v>3125</v>
      </c>
    </row>
    <row r="7180" spans="1:6">
      <c r="A7180" s="753"/>
      <c r="B7180" s="753"/>
      <c r="C7180" s="752" t="s">
        <v>41071</v>
      </c>
      <c r="D7180" s="753" t="s">
        <v>41069</v>
      </c>
      <c r="E7180" s="752" t="s">
        <v>293</v>
      </c>
      <c r="F7180" s="751">
        <v>3125</v>
      </c>
    </row>
    <row r="7181" spans="1:6">
      <c r="A7181" s="753"/>
      <c r="B7181" s="753"/>
      <c r="C7181" s="752" t="s">
        <v>41070</v>
      </c>
      <c r="D7181" s="753" t="s">
        <v>41069</v>
      </c>
      <c r="E7181" s="752" t="s">
        <v>38919</v>
      </c>
      <c r="F7181" s="751">
        <v>3885</v>
      </c>
    </row>
    <row r="7182" spans="1:6">
      <c r="A7182" s="753"/>
      <c r="B7182" s="753"/>
      <c r="C7182" s="752" t="s">
        <v>41068</v>
      </c>
      <c r="D7182" s="753" t="s">
        <v>41064</v>
      </c>
      <c r="E7182" s="752" t="s">
        <v>293</v>
      </c>
      <c r="F7182" s="751">
        <v>2625</v>
      </c>
    </row>
    <row r="7183" spans="1:6">
      <c r="A7183" s="753"/>
      <c r="B7183" s="753"/>
      <c r="C7183" s="752" t="s">
        <v>41067</v>
      </c>
      <c r="D7183" s="753" t="s">
        <v>41064</v>
      </c>
      <c r="E7183" s="752" t="s">
        <v>293</v>
      </c>
      <c r="F7183" s="751">
        <v>2375</v>
      </c>
    </row>
    <row r="7184" spans="1:6">
      <c r="A7184" s="753"/>
      <c r="B7184" s="753"/>
      <c r="C7184" s="752" t="s">
        <v>41066</v>
      </c>
      <c r="D7184" s="753" t="s">
        <v>41064</v>
      </c>
      <c r="E7184" s="752" t="s">
        <v>38577</v>
      </c>
      <c r="F7184" s="751">
        <v>3385</v>
      </c>
    </row>
    <row r="7185" spans="1:6">
      <c r="A7185" s="753"/>
      <c r="B7185" s="753"/>
      <c r="C7185" s="752" t="s">
        <v>41065</v>
      </c>
      <c r="D7185" s="753" t="s">
        <v>41064</v>
      </c>
      <c r="E7185" s="752" t="s">
        <v>293</v>
      </c>
      <c r="F7185" s="751">
        <v>2375</v>
      </c>
    </row>
    <row r="7186" spans="1:6">
      <c r="A7186" s="753"/>
      <c r="B7186" s="753"/>
      <c r="C7186" s="752" t="s">
        <v>41063</v>
      </c>
      <c r="D7186" s="753" t="s">
        <v>41060</v>
      </c>
      <c r="E7186" s="752" t="s">
        <v>293</v>
      </c>
      <c r="F7186" s="751">
        <v>3175</v>
      </c>
    </row>
    <row r="7187" spans="1:6">
      <c r="A7187" s="753"/>
      <c r="B7187" s="753"/>
      <c r="C7187" s="752" t="s">
        <v>41062</v>
      </c>
      <c r="D7187" s="753" t="s">
        <v>41060</v>
      </c>
      <c r="E7187" s="752" t="s">
        <v>293</v>
      </c>
      <c r="F7187" s="751">
        <v>2925</v>
      </c>
    </row>
    <row r="7188" spans="1:6">
      <c r="A7188" s="753"/>
      <c r="B7188" s="753"/>
      <c r="C7188" s="752" t="s">
        <v>41061</v>
      </c>
      <c r="D7188" s="753" t="s">
        <v>41060</v>
      </c>
      <c r="E7188" s="752" t="s">
        <v>293</v>
      </c>
      <c r="F7188" s="751">
        <v>2925</v>
      </c>
    </row>
    <row r="7189" spans="1:6">
      <c r="A7189" s="753"/>
      <c r="B7189" s="753"/>
      <c r="C7189" s="752" t="s">
        <v>41059</v>
      </c>
      <c r="D7189" s="753" t="s">
        <v>41057</v>
      </c>
      <c r="E7189" s="752" t="s">
        <v>293</v>
      </c>
      <c r="F7189" s="751">
        <v>3175</v>
      </c>
    </row>
    <row r="7190" spans="1:6">
      <c r="A7190" s="753"/>
      <c r="B7190" s="753"/>
      <c r="C7190" s="752" t="s">
        <v>41058</v>
      </c>
      <c r="D7190" s="753" t="s">
        <v>41057</v>
      </c>
      <c r="E7190" s="752" t="s">
        <v>293</v>
      </c>
      <c r="F7190" s="751">
        <v>2925</v>
      </c>
    </row>
    <row r="7191" spans="1:6">
      <c r="A7191" s="753"/>
      <c r="B7191" s="753"/>
      <c r="C7191" s="752" t="s">
        <v>41056</v>
      </c>
      <c r="D7191" s="753" t="s">
        <v>41055</v>
      </c>
      <c r="E7191" s="752" t="s">
        <v>293</v>
      </c>
      <c r="F7191" s="751">
        <v>2475</v>
      </c>
    </row>
    <row r="7192" spans="1:6">
      <c r="A7192" s="753"/>
      <c r="B7192" s="753"/>
      <c r="C7192" s="752" t="s">
        <v>41054</v>
      </c>
      <c r="D7192" s="753" t="s">
        <v>41053</v>
      </c>
      <c r="E7192" s="752" t="s">
        <v>293</v>
      </c>
      <c r="F7192" s="751">
        <v>3025</v>
      </c>
    </row>
    <row r="7193" spans="1:6">
      <c r="A7193" s="753"/>
      <c r="B7193" s="753" t="s">
        <v>41052</v>
      </c>
      <c r="C7193" s="752" t="s">
        <v>41051</v>
      </c>
      <c r="D7193" s="753" t="s">
        <v>41050</v>
      </c>
      <c r="E7193" s="752" t="s">
        <v>293</v>
      </c>
      <c r="F7193" s="751">
        <v>4365</v>
      </c>
    </row>
    <row r="7194" spans="1:6">
      <c r="A7194" s="753"/>
      <c r="B7194" s="753"/>
      <c r="C7194" s="752" t="s">
        <v>41049</v>
      </c>
      <c r="D7194" s="753" t="s">
        <v>41048</v>
      </c>
      <c r="E7194" s="752" t="s">
        <v>38670</v>
      </c>
      <c r="F7194" s="751">
        <v>4385</v>
      </c>
    </row>
    <row r="7195" spans="1:6">
      <c r="A7195" s="753"/>
      <c r="B7195" s="753"/>
      <c r="C7195" s="752" t="s">
        <v>41047</v>
      </c>
      <c r="D7195" s="753" t="s">
        <v>41045</v>
      </c>
      <c r="E7195" s="752" t="s">
        <v>293</v>
      </c>
      <c r="F7195" s="751">
        <v>2575</v>
      </c>
    </row>
    <row r="7196" spans="1:6">
      <c r="A7196" s="753"/>
      <c r="B7196" s="753"/>
      <c r="C7196" s="752" t="s">
        <v>41046</v>
      </c>
      <c r="D7196" s="753" t="s">
        <v>41045</v>
      </c>
      <c r="E7196" s="752" t="s">
        <v>293</v>
      </c>
      <c r="F7196" s="751">
        <v>2575</v>
      </c>
    </row>
    <row r="7197" spans="1:6">
      <c r="A7197" s="753"/>
      <c r="B7197" s="753"/>
      <c r="C7197" s="752" t="s">
        <v>41044</v>
      </c>
      <c r="D7197" s="753" t="s">
        <v>41037</v>
      </c>
      <c r="E7197" s="752" t="s">
        <v>38670</v>
      </c>
      <c r="F7197" s="751">
        <v>3885</v>
      </c>
    </row>
    <row r="7198" spans="1:6">
      <c r="A7198" s="753"/>
      <c r="B7198" s="753"/>
      <c r="C7198" s="752" t="s">
        <v>41043</v>
      </c>
      <c r="D7198" s="753" t="s">
        <v>41042</v>
      </c>
      <c r="E7198" s="752" t="s">
        <v>293</v>
      </c>
      <c r="F7198" s="751">
        <v>3125</v>
      </c>
    </row>
    <row r="7199" spans="1:6">
      <c r="A7199" s="753"/>
      <c r="B7199" s="753"/>
      <c r="C7199" s="752" t="s">
        <v>41041</v>
      </c>
      <c r="D7199" s="753" t="s">
        <v>41035</v>
      </c>
      <c r="E7199" s="752" t="s">
        <v>293</v>
      </c>
      <c r="F7199" s="751">
        <v>2375</v>
      </c>
    </row>
    <row r="7200" spans="1:6">
      <c r="A7200" s="753"/>
      <c r="B7200" s="753"/>
      <c r="C7200" s="752" t="s">
        <v>41040</v>
      </c>
      <c r="D7200" s="753" t="s">
        <v>41035</v>
      </c>
      <c r="E7200" s="752" t="s">
        <v>293</v>
      </c>
      <c r="F7200" s="751">
        <v>2375</v>
      </c>
    </row>
    <row r="7201" spans="1:6">
      <c r="A7201" s="753"/>
      <c r="B7201" s="753"/>
      <c r="C7201" s="752" t="s">
        <v>41039</v>
      </c>
      <c r="D7201" s="753" t="s">
        <v>41035</v>
      </c>
      <c r="E7201" s="752" t="s">
        <v>39011</v>
      </c>
      <c r="F7201" s="751">
        <v>3135</v>
      </c>
    </row>
    <row r="7202" spans="1:6">
      <c r="A7202" s="753"/>
      <c r="B7202" s="753"/>
      <c r="C7202" s="752" t="s">
        <v>41038</v>
      </c>
      <c r="D7202" s="753" t="s">
        <v>41037</v>
      </c>
      <c r="E7202" s="752" t="s">
        <v>293</v>
      </c>
      <c r="F7202" s="751">
        <v>2925</v>
      </c>
    </row>
    <row r="7203" spans="1:6">
      <c r="A7203" s="753"/>
      <c r="B7203" s="753"/>
      <c r="C7203" s="752" t="s">
        <v>41036</v>
      </c>
      <c r="D7203" s="753" t="s">
        <v>41035</v>
      </c>
      <c r="E7203" s="752" t="s">
        <v>293</v>
      </c>
      <c r="F7203" s="751">
        <v>2925</v>
      </c>
    </row>
    <row r="7204" spans="1:6">
      <c r="A7204" s="753"/>
      <c r="B7204" s="753"/>
      <c r="C7204" s="752" t="s">
        <v>41034</v>
      </c>
      <c r="D7204" s="753" t="s">
        <v>41032</v>
      </c>
      <c r="E7204" s="752" t="s">
        <v>293</v>
      </c>
      <c r="F7204" s="751">
        <v>2925</v>
      </c>
    </row>
    <row r="7205" spans="1:6">
      <c r="A7205" s="753"/>
      <c r="B7205" s="753"/>
      <c r="C7205" s="752" t="s">
        <v>41033</v>
      </c>
      <c r="D7205" s="753" t="s">
        <v>41032</v>
      </c>
      <c r="E7205" s="752" t="s">
        <v>293</v>
      </c>
      <c r="F7205" s="751">
        <v>2925</v>
      </c>
    </row>
    <row r="7206" spans="1:6">
      <c r="A7206" s="753"/>
      <c r="B7206" s="753"/>
      <c r="C7206" s="752" t="s">
        <v>41031</v>
      </c>
      <c r="D7206" s="753" t="s">
        <v>41030</v>
      </c>
      <c r="E7206" s="752" t="s">
        <v>293</v>
      </c>
      <c r="F7206" s="751">
        <v>2475</v>
      </c>
    </row>
    <row r="7207" spans="1:6">
      <c r="A7207" s="753"/>
      <c r="B7207" s="753"/>
      <c r="C7207" s="752" t="s">
        <v>41029</v>
      </c>
      <c r="D7207" s="753" t="s">
        <v>41028</v>
      </c>
      <c r="E7207" s="752" t="s">
        <v>293</v>
      </c>
      <c r="F7207" s="751">
        <v>3025</v>
      </c>
    </row>
    <row r="7208" spans="1:6">
      <c r="A7208" s="753"/>
      <c r="B7208" s="753"/>
      <c r="C7208" s="752" t="s">
        <v>41027</v>
      </c>
      <c r="D7208" s="753" t="s">
        <v>41026</v>
      </c>
      <c r="E7208" s="752" t="s">
        <v>293</v>
      </c>
      <c r="F7208" s="751">
        <v>3025</v>
      </c>
    </row>
    <row r="7209" spans="1:6">
      <c r="A7209" s="753" t="s">
        <v>41025</v>
      </c>
      <c r="B7209" s="753" t="s">
        <v>41024</v>
      </c>
      <c r="C7209" s="752" t="s">
        <v>41023</v>
      </c>
      <c r="D7209" s="753" t="s">
        <v>41022</v>
      </c>
      <c r="E7209" s="752" t="s">
        <v>293</v>
      </c>
      <c r="F7209" s="751">
        <v>2125</v>
      </c>
    </row>
    <row r="7210" spans="1:6">
      <c r="A7210" s="753"/>
      <c r="B7210" s="753"/>
      <c r="C7210" s="752" t="s">
        <v>41021</v>
      </c>
      <c r="D7210" s="753" t="s">
        <v>41020</v>
      </c>
      <c r="E7210" s="752" t="s">
        <v>293</v>
      </c>
      <c r="F7210" s="751">
        <v>2225</v>
      </c>
    </row>
    <row r="7211" spans="1:6">
      <c r="A7211" s="753"/>
      <c r="B7211" s="753" t="s">
        <v>41019</v>
      </c>
      <c r="C7211" s="752" t="s">
        <v>41018</v>
      </c>
      <c r="D7211" s="753" t="s">
        <v>37876</v>
      </c>
      <c r="E7211" s="752" t="s">
        <v>37838</v>
      </c>
      <c r="F7211" s="751">
        <v>1975</v>
      </c>
    </row>
    <row r="7212" spans="1:6">
      <c r="A7212" s="753"/>
      <c r="B7212" s="753"/>
      <c r="C7212" s="752" t="s">
        <v>41017</v>
      </c>
      <c r="D7212" s="753" t="s">
        <v>37876</v>
      </c>
      <c r="E7212" s="752" t="s">
        <v>37838</v>
      </c>
      <c r="F7212" s="751">
        <v>1975</v>
      </c>
    </row>
    <row r="7213" spans="1:6">
      <c r="A7213" s="753"/>
      <c r="B7213" s="753" t="s">
        <v>41016</v>
      </c>
      <c r="C7213" s="752" t="s">
        <v>41015</v>
      </c>
      <c r="D7213" s="753" t="s">
        <v>41014</v>
      </c>
      <c r="E7213" s="752" t="s">
        <v>37838</v>
      </c>
      <c r="F7213" s="751">
        <v>1975</v>
      </c>
    </row>
    <row r="7214" spans="1:6">
      <c r="A7214" s="753"/>
      <c r="B7214" s="753" t="s">
        <v>41013</v>
      </c>
      <c r="C7214" s="752" t="s">
        <v>41012</v>
      </c>
      <c r="D7214" s="753" t="s">
        <v>41011</v>
      </c>
      <c r="E7214" s="752" t="s">
        <v>37838</v>
      </c>
      <c r="F7214" s="751">
        <v>1975</v>
      </c>
    </row>
    <row r="7215" spans="1:6">
      <c r="A7215" s="753"/>
      <c r="B7215" s="753" t="s">
        <v>41010</v>
      </c>
      <c r="C7215" s="752" t="s">
        <v>41009</v>
      </c>
      <c r="D7215" s="753" t="s">
        <v>41008</v>
      </c>
      <c r="E7215" s="752" t="s">
        <v>38655</v>
      </c>
      <c r="F7215" s="751">
        <v>2625</v>
      </c>
    </row>
    <row r="7216" spans="1:6">
      <c r="A7216" s="753"/>
      <c r="B7216" s="753" t="s">
        <v>41007</v>
      </c>
      <c r="C7216" s="752" t="s">
        <v>41006</v>
      </c>
      <c r="D7216" s="753" t="s">
        <v>41005</v>
      </c>
      <c r="E7216" s="752" t="s">
        <v>293</v>
      </c>
      <c r="F7216" s="751">
        <v>2575</v>
      </c>
    </row>
    <row r="7217" spans="1:6">
      <c r="A7217" s="753"/>
      <c r="B7217" s="753"/>
      <c r="C7217" s="752" t="s">
        <v>41004</v>
      </c>
      <c r="D7217" s="753" t="s">
        <v>41003</v>
      </c>
      <c r="E7217" s="752" t="s">
        <v>293</v>
      </c>
      <c r="F7217" s="751">
        <v>3125</v>
      </c>
    </row>
    <row r="7218" spans="1:6">
      <c r="A7218" s="753"/>
      <c r="B7218" s="753"/>
      <c r="C7218" s="752" t="s">
        <v>41002</v>
      </c>
      <c r="D7218" s="753" t="s">
        <v>41000</v>
      </c>
      <c r="E7218" s="752" t="s">
        <v>293</v>
      </c>
      <c r="F7218" s="751">
        <v>3125</v>
      </c>
    </row>
    <row r="7219" spans="1:6">
      <c r="A7219" s="753"/>
      <c r="B7219" s="753"/>
      <c r="C7219" s="752" t="s">
        <v>41001</v>
      </c>
      <c r="D7219" s="753" t="s">
        <v>41000</v>
      </c>
      <c r="E7219" s="752" t="s">
        <v>38670</v>
      </c>
      <c r="F7219" s="751">
        <v>3885</v>
      </c>
    </row>
    <row r="7220" spans="1:6">
      <c r="A7220" s="753"/>
      <c r="B7220" s="753"/>
      <c r="C7220" s="752" t="s">
        <v>40999</v>
      </c>
      <c r="D7220" s="753" t="s">
        <v>40997</v>
      </c>
      <c r="E7220" s="752" t="s">
        <v>293</v>
      </c>
      <c r="F7220" s="751">
        <v>2375</v>
      </c>
    </row>
    <row r="7221" spans="1:6">
      <c r="A7221" s="753"/>
      <c r="B7221" s="753"/>
      <c r="C7221" s="752" t="s">
        <v>40998</v>
      </c>
      <c r="D7221" s="753" t="s">
        <v>40997</v>
      </c>
      <c r="E7221" s="752" t="s">
        <v>40990</v>
      </c>
      <c r="F7221" s="751">
        <v>2175</v>
      </c>
    </row>
    <row r="7222" spans="1:6">
      <c r="A7222" s="753"/>
      <c r="B7222" s="753"/>
      <c r="C7222" s="752" t="s">
        <v>40996</v>
      </c>
      <c r="D7222" s="753" t="s">
        <v>40995</v>
      </c>
      <c r="E7222" s="752" t="s">
        <v>293</v>
      </c>
      <c r="F7222" s="751">
        <v>2925</v>
      </c>
    </row>
    <row r="7223" spans="1:6">
      <c r="A7223" s="753"/>
      <c r="B7223" s="753"/>
      <c r="C7223" s="752" t="s">
        <v>40994</v>
      </c>
      <c r="D7223" s="753" t="s">
        <v>40981</v>
      </c>
      <c r="E7223" s="752" t="s">
        <v>293</v>
      </c>
      <c r="F7223" s="751">
        <v>2925</v>
      </c>
    </row>
    <row r="7224" spans="1:6">
      <c r="A7224" s="753"/>
      <c r="B7224" s="753"/>
      <c r="C7224" s="752" t="s">
        <v>40993</v>
      </c>
      <c r="D7224" s="753" t="s">
        <v>40991</v>
      </c>
      <c r="E7224" s="752" t="s">
        <v>293</v>
      </c>
      <c r="F7224" s="751">
        <v>2475</v>
      </c>
    </row>
    <row r="7225" spans="1:6">
      <c r="A7225" s="753"/>
      <c r="B7225" s="753"/>
      <c r="C7225" s="752" t="s">
        <v>40992</v>
      </c>
      <c r="D7225" s="753" t="s">
        <v>40991</v>
      </c>
      <c r="E7225" s="752" t="s">
        <v>40990</v>
      </c>
      <c r="F7225" s="751">
        <v>2275</v>
      </c>
    </row>
    <row r="7226" spans="1:6">
      <c r="A7226" s="753"/>
      <c r="B7226" s="753"/>
      <c r="C7226" s="752" t="s">
        <v>40989</v>
      </c>
      <c r="D7226" s="753" t="s">
        <v>40987</v>
      </c>
      <c r="E7226" s="752" t="s">
        <v>293</v>
      </c>
      <c r="F7226" s="751">
        <v>3025</v>
      </c>
    </row>
    <row r="7227" spans="1:6">
      <c r="A7227" s="753"/>
      <c r="B7227" s="753"/>
      <c r="C7227" s="752" t="s">
        <v>40988</v>
      </c>
      <c r="D7227" s="753" t="s">
        <v>40987</v>
      </c>
      <c r="E7227" s="752" t="s">
        <v>293</v>
      </c>
      <c r="F7227" s="751">
        <v>3025</v>
      </c>
    </row>
    <row r="7228" spans="1:6">
      <c r="A7228" s="753"/>
      <c r="B7228" s="753"/>
      <c r="C7228" s="752" t="s">
        <v>40986</v>
      </c>
      <c r="D7228" s="753" t="s">
        <v>40985</v>
      </c>
      <c r="E7228" s="752" t="s">
        <v>293</v>
      </c>
      <c r="F7228" s="751">
        <v>3025</v>
      </c>
    </row>
    <row r="7229" spans="1:6">
      <c r="A7229" s="753"/>
      <c r="B7229" s="753"/>
      <c r="C7229" s="752" t="s">
        <v>40984</v>
      </c>
      <c r="D7229" s="753" t="s">
        <v>40983</v>
      </c>
      <c r="E7229" s="752" t="s">
        <v>38584</v>
      </c>
      <c r="F7229" s="751">
        <v>2425</v>
      </c>
    </row>
    <row r="7230" spans="1:6">
      <c r="A7230" s="753"/>
      <c r="B7230" s="753"/>
      <c r="C7230" s="752" t="s">
        <v>40982</v>
      </c>
      <c r="D7230" s="753" t="s">
        <v>40981</v>
      </c>
      <c r="E7230" s="752" t="s">
        <v>38584</v>
      </c>
      <c r="F7230" s="751">
        <v>2925</v>
      </c>
    </row>
    <row r="7231" spans="1:6">
      <c r="A7231" s="753"/>
      <c r="B7231" s="753" t="s">
        <v>40980</v>
      </c>
      <c r="C7231" s="752" t="s">
        <v>40979</v>
      </c>
      <c r="D7231" s="753" t="s">
        <v>40978</v>
      </c>
      <c r="E7231" s="752" t="s">
        <v>293</v>
      </c>
      <c r="F7231" s="751">
        <v>2825</v>
      </c>
    </row>
    <row r="7232" spans="1:6">
      <c r="A7232" s="753"/>
      <c r="B7232" s="753"/>
      <c r="C7232" s="752" t="s">
        <v>40977</v>
      </c>
      <c r="D7232" s="753" t="s">
        <v>40976</v>
      </c>
      <c r="E7232" s="752" t="s">
        <v>293</v>
      </c>
      <c r="F7232" s="751">
        <v>3125</v>
      </c>
    </row>
    <row r="7233" spans="1:6">
      <c r="A7233" s="753"/>
      <c r="B7233" s="753"/>
      <c r="C7233" s="752" t="s">
        <v>40975</v>
      </c>
      <c r="D7233" s="753" t="s">
        <v>40972</v>
      </c>
      <c r="E7233" s="752" t="s">
        <v>293</v>
      </c>
      <c r="F7233" s="751">
        <v>2625</v>
      </c>
    </row>
    <row r="7234" spans="1:6">
      <c r="A7234" s="753"/>
      <c r="B7234" s="753"/>
      <c r="C7234" s="752" t="s">
        <v>40974</v>
      </c>
      <c r="D7234" s="753" t="s">
        <v>40972</v>
      </c>
      <c r="E7234" s="752" t="s">
        <v>38655</v>
      </c>
      <c r="F7234" s="751">
        <v>2375</v>
      </c>
    </row>
    <row r="7235" spans="1:6">
      <c r="A7235" s="753"/>
      <c r="B7235" s="753"/>
      <c r="C7235" s="752" t="s">
        <v>40973</v>
      </c>
      <c r="D7235" s="753" t="s">
        <v>40972</v>
      </c>
      <c r="E7235" s="752" t="s">
        <v>38655</v>
      </c>
      <c r="F7235" s="751">
        <v>2375</v>
      </c>
    </row>
    <row r="7236" spans="1:6">
      <c r="A7236" s="753"/>
      <c r="B7236" s="753"/>
      <c r="C7236" s="752" t="s">
        <v>40971</v>
      </c>
      <c r="D7236" s="753" t="s">
        <v>40968</v>
      </c>
      <c r="E7236" s="752" t="s">
        <v>293</v>
      </c>
      <c r="F7236" s="751">
        <v>3175</v>
      </c>
    </row>
    <row r="7237" spans="1:6">
      <c r="A7237" s="753"/>
      <c r="B7237" s="753"/>
      <c r="C7237" s="752" t="s">
        <v>40970</v>
      </c>
      <c r="D7237" s="753" t="s">
        <v>40968</v>
      </c>
      <c r="E7237" s="752" t="s">
        <v>38655</v>
      </c>
      <c r="F7237" s="751">
        <v>2925</v>
      </c>
    </row>
    <row r="7238" spans="1:6">
      <c r="A7238" s="753"/>
      <c r="B7238" s="753"/>
      <c r="C7238" s="752" t="s">
        <v>40969</v>
      </c>
      <c r="D7238" s="753" t="s">
        <v>40968</v>
      </c>
      <c r="E7238" s="752" t="s">
        <v>38655</v>
      </c>
      <c r="F7238" s="751">
        <v>3440</v>
      </c>
    </row>
    <row r="7239" spans="1:6">
      <c r="A7239" s="753"/>
      <c r="B7239" s="753" t="s">
        <v>40967</v>
      </c>
      <c r="C7239" s="752" t="s">
        <v>40966</v>
      </c>
      <c r="D7239" s="753" t="s">
        <v>40965</v>
      </c>
      <c r="E7239" s="752" t="s">
        <v>293</v>
      </c>
      <c r="F7239" s="751">
        <v>2925</v>
      </c>
    </row>
    <row r="7240" spans="1:6">
      <c r="A7240" s="753"/>
      <c r="B7240" s="753"/>
      <c r="C7240" s="752" t="s">
        <v>40964</v>
      </c>
      <c r="D7240" s="753" t="s">
        <v>40963</v>
      </c>
      <c r="E7240" s="752" t="s">
        <v>293</v>
      </c>
      <c r="F7240" s="751">
        <v>3175</v>
      </c>
    </row>
    <row r="7241" spans="1:6">
      <c r="A7241" s="753"/>
      <c r="B7241" s="753"/>
      <c r="C7241" s="752" t="s">
        <v>40962</v>
      </c>
      <c r="D7241" s="753" t="s">
        <v>40961</v>
      </c>
      <c r="E7241" s="752" t="s">
        <v>293</v>
      </c>
      <c r="F7241" s="751">
        <v>2625</v>
      </c>
    </row>
    <row r="7242" spans="1:6">
      <c r="A7242" s="753"/>
      <c r="B7242" s="753"/>
      <c r="C7242" s="752" t="s">
        <v>40960</v>
      </c>
      <c r="D7242" s="753" t="s">
        <v>40959</v>
      </c>
      <c r="E7242" s="752" t="s">
        <v>293</v>
      </c>
      <c r="F7242" s="751">
        <v>3175</v>
      </c>
    </row>
    <row r="7243" spans="1:6">
      <c r="A7243" s="753"/>
      <c r="B7243" s="753"/>
      <c r="C7243" s="752" t="s">
        <v>40958</v>
      </c>
      <c r="D7243" s="753" t="s">
        <v>40957</v>
      </c>
      <c r="E7243" s="752" t="s">
        <v>293</v>
      </c>
      <c r="F7243" s="751">
        <v>2725</v>
      </c>
    </row>
    <row r="7244" spans="1:6">
      <c r="A7244" s="753"/>
      <c r="B7244" s="753"/>
      <c r="C7244" s="752" t="s">
        <v>40956</v>
      </c>
      <c r="D7244" s="753" t="s">
        <v>40955</v>
      </c>
      <c r="E7244" s="752" t="s">
        <v>293</v>
      </c>
      <c r="F7244" s="751">
        <v>2725</v>
      </c>
    </row>
    <row r="7245" spans="1:6">
      <c r="A7245" s="753"/>
      <c r="B7245" s="753" t="s">
        <v>40954</v>
      </c>
      <c r="C7245" s="752" t="s">
        <v>40953</v>
      </c>
      <c r="D7245" s="753" t="s">
        <v>40952</v>
      </c>
      <c r="E7245" s="752" t="s">
        <v>37838</v>
      </c>
      <c r="F7245" s="751">
        <v>1975</v>
      </c>
    </row>
    <row r="7246" spans="1:6">
      <c r="A7246" s="753"/>
      <c r="B7246" s="753" t="s">
        <v>40951</v>
      </c>
      <c r="C7246" s="752" t="s">
        <v>40950</v>
      </c>
      <c r="D7246" s="753" t="s">
        <v>40948</v>
      </c>
      <c r="E7246" s="752" t="s">
        <v>293</v>
      </c>
      <c r="F7246" s="751">
        <v>3875</v>
      </c>
    </row>
    <row r="7247" spans="1:6">
      <c r="A7247" s="753"/>
      <c r="B7247" s="753"/>
      <c r="C7247" s="752" t="s">
        <v>40949</v>
      </c>
      <c r="D7247" s="753" t="s">
        <v>40948</v>
      </c>
      <c r="E7247" s="752" t="s">
        <v>293</v>
      </c>
      <c r="F7247" s="751">
        <v>3625</v>
      </c>
    </row>
    <row r="7248" spans="1:6">
      <c r="A7248" s="753"/>
      <c r="B7248" s="753"/>
      <c r="C7248" s="752" t="s">
        <v>40947</v>
      </c>
      <c r="D7248" s="753" t="s">
        <v>40946</v>
      </c>
      <c r="E7248" s="752" t="s">
        <v>293</v>
      </c>
      <c r="F7248" s="751">
        <v>3485</v>
      </c>
    </row>
    <row r="7249" spans="1:6">
      <c r="A7249" s="753"/>
      <c r="B7249" s="753"/>
      <c r="C7249" s="752" t="s">
        <v>40945</v>
      </c>
      <c r="D7249" s="753" t="s">
        <v>40943</v>
      </c>
      <c r="E7249" s="752" t="s">
        <v>293</v>
      </c>
      <c r="F7249" s="751">
        <v>2825</v>
      </c>
    </row>
    <row r="7250" spans="1:6">
      <c r="A7250" s="753"/>
      <c r="B7250" s="753"/>
      <c r="C7250" s="752" t="s">
        <v>40944</v>
      </c>
      <c r="D7250" s="753" t="s">
        <v>40943</v>
      </c>
      <c r="E7250" s="752" t="s">
        <v>293</v>
      </c>
      <c r="F7250" s="751">
        <v>2825</v>
      </c>
    </row>
    <row r="7251" spans="1:6">
      <c r="A7251" s="753"/>
      <c r="B7251" s="753"/>
      <c r="C7251" s="752" t="s">
        <v>40942</v>
      </c>
      <c r="D7251" s="753" t="s">
        <v>40939</v>
      </c>
      <c r="E7251" s="752" t="s">
        <v>293</v>
      </c>
      <c r="F7251" s="751">
        <v>3375</v>
      </c>
    </row>
    <row r="7252" spans="1:6">
      <c r="A7252" s="753"/>
      <c r="B7252" s="753"/>
      <c r="C7252" s="752" t="s">
        <v>40941</v>
      </c>
      <c r="D7252" s="753" t="s">
        <v>40939</v>
      </c>
      <c r="E7252" s="752" t="s">
        <v>293</v>
      </c>
      <c r="F7252" s="751">
        <v>3375</v>
      </c>
    </row>
    <row r="7253" spans="1:6">
      <c r="A7253" s="753"/>
      <c r="B7253" s="753"/>
      <c r="C7253" s="752" t="s">
        <v>40940</v>
      </c>
      <c r="D7253" s="753" t="s">
        <v>40939</v>
      </c>
      <c r="E7253" s="752" t="s">
        <v>293</v>
      </c>
      <c r="F7253" s="751">
        <v>3375</v>
      </c>
    </row>
    <row r="7254" spans="1:6">
      <c r="A7254" s="753"/>
      <c r="B7254" s="753"/>
      <c r="C7254" s="752" t="s">
        <v>40938</v>
      </c>
      <c r="D7254" s="753" t="s">
        <v>40936</v>
      </c>
      <c r="E7254" s="752" t="s">
        <v>293</v>
      </c>
      <c r="F7254" s="751">
        <v>3375</v>
      </c>
    </row>
    <row r="7255" spans="1:6">
      <c r="A7255" s="753"/>
      <c r="B7255" s="753"/>
      <c r="C7255" s="752" t="s">
        <v>40937</v>
      </c>
      <c r="D7255" s="753" t="s">
        <v>40936</v>
      </c>
      <c r="E7255" s="752" t="s">
        <v>293</v>
      </c>
      <c r="F7255" s="751">
        <v>3375</v>
      </c>
    </row>
    <row r="7256" spans="1:6">
      <c r="A7256" s="753"/>
      <c r="B7256" s="753"/>
      <c r="C7256" s="752" t="s">
        <v>40935</v>
      </c>
      <c r="D7256" s="753" t="s">
        <v>40933</v>
      </c>
      <c r="E7256" s="752" t="s">
        <v>293</v>
      </c>
      <c r="F7256" s="751">
        <v>2625</v>
      </c>
    </row>
    <row r="7257" spans="1:6">
      <c r="A7257" s="753"/>
      <c r="B7257" s="753"/>
      <c r="C7257" s="752" t="s">
        <v>40934</v>
      </c>
      <c r="D7257" s="753" t="s">
        <v>40933</v>
      </c>
      <c r="E7257" s="752" t="s">
        <v>293</v>
      </c>
      <c r="F7257" s="751">
        <v>2625</v>
      </c>
    </row>
    <row r="7258" spans="1:6">
      <c r="A7258" s="753"/>
      <c r="B7258" s="753"/>
      <c r="C7258" s="752" t="s">
        <v>40932</v>
      </c>
      <c r="D7258" s="753" t="s">
        <v>40926</v>
      </c>
      <c r="E7258" s="752" t="s">
        <v>293</v>
      </c>
      <c r="F7258" s="751">
        <v>3175</v>
      </c>
    </row>
    <row r="7259" spans="1:6">
      <c r="A7259" s="753"/>
      <c r="B7259" s="753"/>
      <c r="C7259" s="752" t="s">
        <v>40931</v>
      </c>
      <c r="D7259" s="753" t="s">
        <v>40926</v>
      </c>
      <c r="E7259" s="752" t="s">
        <v>293</v>
      </c>
      <c r="F7259" s="751">
        <v>3175</v>
      </c>
    </row>
    <row r="7260" spans="1:6">
      <c r="A7260" s="753"/>
      <c r="B7260" s="753"/>
      <c r="C7260" s="752" t="s">
        <v>40930</v>
      </c>
      <c r="D7260" s="753" t="s">
        <v>40929</v>
      </c>
      <c r="E7260" s="752" t="s">
        <v>293</v>
      </c>
      <c r="F7260" s="751">
        <v>3175</v>
      </c>
    </row>
    <row r="7261" spans="1:6">
      <c r="A7261" s="753"/>
      <c r="B7261" s="753"/>
      <c r="C7261" s="752" t="s">
        <v>40928</v>
      </c>
      <c r="D7261" s="753" t="s">
        <v>40926</v>
      </c>
      <c r="E7261" s="752" t="s">
        <v>293</v>
      </c>
      <c r="F7261" s="751">
        <v>3175</v>
      </c>
    </row>
    <row r="7262" spans="1:6">
      <c r="A7262" s="753"/>
      <c r="B7262" s="753"/>
      <c r="C7262" s="752" t="s">
        <v>40927</v>
      </c>
      <c r="D7262" s="753" t="s">
        <v>40926</v>
      </c>
      <c r="E7262" s="752" t="s">
        <v>293</v>
      </c>
      <c r="F7262" s="751">
        <v>3175</v>
      </c>
    </row>
    <row r="7263" spans="1:6">
      <c r="A7263" s="753"/>
      <c r="B7263" s="753"/>
      <c r="C7263" s="752" t="s">
        <v>40925</v>
      </c>
      <c r="D7263" s="753" t="s">
        <v>40924</v>
      </c>
      <c r="E7263" s="752" t="s">
        <v>293</v>
      </c>
      <c r="F7263" s="751">
        <v>3935</v>
      </c>
    </row>
    <row r="7264" spans="1:6">
      <c r="A7264" s="753"/>
      <c r="B7264" s="753"/>
      <c r="C7264" s="752" t="s">
        <v>40923</v>
      </c>
      <c r="D7264" s="753" t="s">
        <v>40922</v>
      </c>
      <c r="E7264" s="752" t="s">
        <v>293</v>
      </c>
      <c r="F7264" s="751">
        <v>2725</v>
      </c>
    </row>
    <row r="7265" spans="1:6">
      <c r="A7265" s="753"/>
      <c r="B7265" s="753"/>
      <c r="C7265" s="752" t="s">
        <v>40921</v>
      </c>
      <c r="D7265" s="753" t="s">
        <v>40920</v>
      </c>
      <c r="E7265" s="752" t="s">
        <v>293</v>
      </c>
      <c r="F7265" s="751">
        <v>3275</v>
      </c>
    </row>
    <row r="7266" spans="1:6">
      <c r="A7266" s="753"/>
      <c r="B7266" s="753"/>
      <c r="C7266" s="752" t="s">
        <v>40919</v>
      </c>
      <c r="D7266" s="753" t="s">
        <v>40918</v>
      </c>
      <c r="E7266" s="752" t="s">
        <v>39119</v>
      </c>
      <c r="F7266" s="751">
        <v>2825</v>
      </c>
    </row>
    <row r="7267" spans="1:6">
      <c r="A7267" s="753"/>
      <c r="B7267" s="753" t="s">
        <v>40917</v>
      </c>
      <c r="C7267" s="752" t="s">
        <v>40916</v>
      </c>
      <c r="D7267" s="753" t="s">
        <v>40915</v>
      </c>
      <c r="E7267" s="752" t="s">
        <v>293</v>
      </c>
      <c r="F7267" s="751">
        <v>3875</v>
      </c>
    </row>
    <row r="7268" spans="1:6">
      <c r="A7268" s="753"/>
      <c r="B7268" s="753"/>
      <c r="C7268" s="752" t="s">
        <v>40914</v>
      </c>
      <c r="D7268" s="753" t="s">
        <v>40912</v>
      </c>
      <c r="E7268" s="752" t="s">
        <v>37758</v>
      </c>
      <c r="F7268" s="751">
        <v>2825</v>
      </c>
    </row>
    <row r="7269" spans="1:6">
      <c r="A7269" s="753"/>
      <c r="B7269" s="753"/>
      <c r="C7269" s="752" t="s">
        <v>40913</v>
      </c>
      <c r="D7269" s="753" t="s">
        <v>40912</v>
      </c>
      <c r="E7269" s="752" t="s">
        <v>38817</v>
      </c>
      <c r="F7269" s="751">
        <v>2825</v>
      </c>
    </row>
    <row r="7270" spans="1:6">
      <c r="A7270" s="753"/>
      <c r="B7270" s="753"/>
      <c r="C7270" s="752" t="s">
        <v>40911</v>
      </c>
      <c r="D7270" s="753" t="s">
        <v>40909</v>
      </c>
      <c r="E7270" s="752" t="s">
        <v>37758</v>
      </c>
      <c r="F7270" s="751">
        <v>3375</v>
      </c>
    </row>
    <row r="7271" spans="1:6">
      <c r="A7271" s="753"/>
      <c r="B7271" s="753"/>
      <c r="C7271" s="752" t="s">
        <v>40910</v>
      </c>
      <c r="D7271" s="753" t="s">
        <v>40909</v>
      </c>
      <c r="E7271" s="752" t="s">
        <v>38817</v>
      </c>
      <c r="F7271" s="751">
        <v>3375</v>
      </c>
    </row>
    <row r="7272" spans="1:6">
      <c r="A7272" s="753"/>
      <c r="B7272" s="753"/>
      <c r="C7272" s="752" t="s">
        <v>40908</v>
      </c>
      <c r="D7272" s="753" t="s">
        <v>40907</v>
      </c>
      <c r="E7272" s="752" t="s">
        <v>38817</v>
      </c>
      <c r="F7272" s="751">
        <v>3375</v>
      </c>
    </row>
    <row r="7273" spans="1:6">
      <c r="A7273" s="753"/>
      <c r="B7273" s="753"/>
      <c r="C7273" s="752" t="s">
        <v>40906</v>
      </c>
      <c r="D7273" s="753" t="s">
        <v>40894</v>
      </c>
      <c r="E7273" s="752" t="s">
        <v>293</v>
      </c>
      <c r="F7273" s="751">
        <v>2625</v>
      </c>
    </row>
    <row r="7274" spans="1:6">
      <c r="A7274" s="753"/>
      <c r="B7274" s="753"/>
      <c r="C7274" s="752" t="s">
        <v>40905</v>
      </c>
      <c r="D7274" s="753" t="s">
        <v>40902</v>
      </c>
      <c r="E7274" s="752" t="s">
        <v>40904</v>
      </c>
      <c r="F7274" s="751">
        <v>2225</v>
      </c>
    </row>
    <row r="7275" spans="1:6">
      <c r="A7275" s="753"/>
      <c r="B7275" s="753"/>
      <c r="C7275" s="752" t="s">
        <v>40903</v>
      </c>
      <c r="D7275" s="753" t="s">
        <v>40902</v>
      </c>
      <c r="E7275" s="752" t="s">
        <v>40901</v>
      </c>
      <c r="F7275" s="751">
        <v>2225</v>
      </c>
    </row>
    <row r="7276" spans="1:6">
      <c r="A7276" s="753"/>
      <c r="B7276" s="753"/>
      <c r="C7276" s="752" t="s">
        <v>40900</v>
      </c>
      <c r="D7276" s="753" t="s">
        <v>40894</v>
      </c>
      <c r="E7276" s="752" t="s">
        <v>40882</v>
      </c>
      <c r="F7276" s="751">
        <v>3385</v>
      </c>
    </row>
    <row r="7277" spans="1:6">
      <c r="A7277" s="753"/>
      <c r="B7277" s="753"/>
      <c r="C7277" s="752" t="s">
        <v>40899</v>
      </c>
      <c r="D7277" s="753" t="s">
        <v>40894</v>
      </c>
      <c r="E7277" s="752" t="s">
        <v>38817</v>
      </c>
      <c r="F7277" s="751">
        <v>3385</v>
      </c>
    </row>
    <row r="7278" spans="1:6">
      <c r="A7278" s="753"/>
      <c r="B7278" s="753"/>
      <c r="C7278" s="752" t="s">
        <v>40898</v>
      </c>
      <c r="D7278" s="753" t="s">
        <v>40894</v>
      </c>
      <c r="E7278" s="752" t="s">
        <v>40897</v>
      </c>
      <c r="F7278" s="751">
        <v>2625</v>
      </c>
    </row>
    <row r="7279" spans="1:6">
      <c r="A7279" s="753"/>
      <c r="B7279" s="753"/>
      <c r="C7279" s="752" t="s">
        <v>40896</v>
      </c>
      <c r="D7279" s="753" t="s">
        <v>40894</v>
      </c>
      <c r="E7279" s="752" t="s">
        <v>38817</v>
      </c>
      <c r="F7279" s="751">
        <v>2625</v>
      </c>
    </row>
    <row r="7280" spans="1:6">
      <c r="A7280" s="753"/>
      <c r="B7280" s="753"/>
      <c r="C7280" s="752" t="s">
        <v>40895</v>
      </c>
      <c r="D7280" s="753" t="s">
        <v>40894</v>
      </c>
      <c r="E7280" s="752" t="s">
        <v>40893</v>
      </c>
      <c r="F7280" s="751">
        <v>3385</v>
      </c>
    </row>
    <row r="7281" spans="1:6">
      <c r="A7281" s="753"/>
      <c r="B7281" s="753"/>
      <c r="C7281" s="752" t="s">
        <v>40892</v>
      </c>
      <c r="D7281" s="753" t="s">
        <v>40890</v>
      </c>
      <c r="E7281" s="752" t="s">
        <v>40882</v>
      </c>
      <c r="F7281" s="751">
        <v>3175</v>
      </c>
    </row>
    <row r="7282" spans="1:6">
      <c r="A7282" s="753"/>
      <c r="B7282" s="753"/>
      <c r="C7282" s="752" t="s">
        <v>40891</v>
      </c>
      <c r="D7282" s="753" t="s">
        <v>40890</v>
      </c>
      <c r="E7282" s="752" t="s">
        <v>38817</v>
      </c>
      <c r="F7282" s="751">
        <v>3175</v>
      </c>
    </row>
    <row r="7283" spans="1:6">
      <c r="A7283" s="753"/>
      <c r="B7283" s="753"/>
      <c r="C7283" s="752" t="s">
        <v>40889</v>
      </c>
      <c r="D7283" s="753" t="s">
        <v>40888</v>
      </c>
      <c r="E7283" s="752" t="s">
        <v>38817</v>
      </c>
      <c r="F7283" s="751">
        <v>2725</v>
      </c>
    </row>
    <row r="7284" spans="1:6">
      <c r="A7284" s="753"/>
      <c r="B7284" s="753"/>
      <c r="C7284" s="752" t="s">
        <v>40887</v>
      </c>
      <c r="D7284" s="753" t="s">
        <v>40885</v>
      </c>
      <c r="E7284" s="752" t="s">
        <v>40882</v>
      </c>
      <c r="F7284" s="751">
        <v>3275</v>
      </c>
    </row>
    <row r="7285" spans="1:6">
      <c r="A7285" s="753"/>
      <c r="B7285" s="753"/>
      <c r="C7285" s="752" t="s">
        <v>40886</v>
      </c>
      <c r="D7285" s="753" t="s">
        <v>40885</v>
      </c>
      <c r="E7285" s="752" t="s">
        <v>38817</v>
      </c>
      <c r="F7285" s="751">
        <v>3575</v>
      </c>
    </row>
    <row r="7286" spans="1:6">
      <c r="A7286" s="753"/>
      <c r="B7286" s="753"/>
      <c r="C7286" s="752" t="s">
        <v>40884</v>
      </c>
      <c r="D7286" s="753" t="s">
        <v>40883</v>
      </c>
      <c r="E7286" s="752" t="s">
        <v>40882</v>
      </c>
      <c r="F7286" s="751">
        <v>3275</v>
      </c>
    </row>
    <row r="7287" spans="1:6">
      <c r="A7287" s="753"/>
      <c r="B7287" s="753" t="s">
        <v>40881</v>
      </c>
      <c r="C7287" s="752" t="s">
        <v>40880</v>
      </c>
      <c r="D7287" s="753" t="s">
        <v>40879</v>
      </c>
      <c r="E7287" s="752" t="s">
        <v>38570</v>
      </c>
      <c r="F7287" s="751">
        <v>3275</v>
      </c>
    </row>
    <row r="7288" spans="1:6">
      <c r="A7288" s="753"/>
      <c r="B7288" s="753" t="s">
        <v>40878</v>
      </c>
      <c r="C7288" s="752" t="s">
        <v>40877</v>
      </c>
      <c r="D7288" s="753" t="s">
        <v>40876</v>
      </c>
      <c r="E7288" s="752" t="s">
        <v>293</v>
      </c>
      <c r="F7288" s="751">
        <v>2925</v>
      </c>
    </row>
    <row r="7289" spans="1:6">
      <c r="A7289" s="753"/>
      <c r="B7289" s="753"/>
      <c r="C7289" s="752" t="s">
        <v>40875</v>
      </c>
      <c r="D7289" s="753" t="s">
        <v>40874</v>
      </c>
      <c r="E7289" s="752" t="s">
        <v>293</v>
      </c>
      <c r="F7289" s="751">
        <v>2925</v>
      </c>
    </row>
    <row r="7290" spans="1:6">
      <c r="A7290" s="753"/>
      <c r="B7290" s="753" t="s">
        <v>40873</v>
      </c>
      <c r="C7290" s="752" t="s">
        <v>40872</v>
      </c>
      <c r="D7290" s="753" t="s">
        <v>40871</v>
      </c>
      <c r="E7290" s="752" t="s">
        <v>38878</v>
      </c>
      <c r="F7290" s="751">
        <v>2075</v>
      </c>
    </row>
    <row r="7291" spans="1:6">
      <c r="A7291" s="753"/>
      <c r="B7291" s="753" t="s">
        <v>40870</v>
      </c>
      <c r="C7291" s="752" t="s">
        <v>40869</v>
      </c>
      <c r="D7291" s="753" t="s">
        <v>40865</v>
      </c>
      <c r="E7291" s="752" t="s">
        <v>293</v>
      </c>
      <c r="F7291" s="751">
        <v>2575</v>
      </c>
    </row>
    <row r="7292" spans="1:6">
      <c r="A7292" s="753"/>
      <c r="B7292" s="753"/>
      <c r="C7292" s="752" t="s">
        <v>40868</v>
      </c>
      <c r="D7292" s="753" t="s">
        <v>40865</v>
      </c>
      <c r="E7292" s="752" t="s">
        <v>293</v>
      </c>
      <c r="F7292" s="751">
        <v>2575</v>
      </c>
    </row>
    <row r="7293" spans="1:6">
      <c r="A7293" s="753"/>
      <c r="B7293" s="753"/>
      <c r="C7293" s="752" t="s">
        <v>40867</v>
      </c>
      <c r="D7293" s="753" t="s">
        <v>40865</v>
      </c>
      <c r="E7293" s="752" t="s">
        <v>293</v>
      </c>
      <c r="F7293" s="751">
        <v>2575</v>
      </c>
    </row>
    <row r="7294" spans="1:6">
      <c r="A7294" s="753"/>
      <c r="B7294" s="753"/>
      <c r="C7294" s="752" t="s">
        <v>40866</v>
      </c>
      <c r="D7294" s="753" t="s">
        <v>40865</v>
      </c>
      <c r="E7294" s="752" t="s">
        <v>38686</v>
      </c>
      <c r="F7294" s="751">
        <v>2575</v>
      </c>
    </row>
    <row r="7295" spans="1:6">
      <c r="A7295" s="753"/>
      <c r="B7295" s="753"/>
      <c r="C7295" s="752" t="s">
        <v>40864</v>
      </c>
      <c r="D7295" s="753" t="s">
        <v>40862</v>
      </c>
      <c r="E7295" s="752" t="s">
        <v>293</v>
      </c>
      <c r="F7295" s="751">
        <v>3125</v>
      </c>
    </row>
    <row r="7296" spans="1:6">
      <c r="A7296" s="753"/>
      <c r="B7296" s="753"/>
      <c r="C7296" s="752" t="s">
        <v>40863</v>
      </c>
      <c r="D7296" s="753" t="s">
        <v>40862</v>
      </c>
      <c r="E7296" s="752" t="s">
        <v>293</v>
      </c>
      <c r="F7296" s="751">
        <v>3125</v>
      </c>
    </row>
    <row r="7297" spans="1:6">
      <c r="A7297" s="753"/>
      <c r="B7297" s="753"/>
      <c r="C7297" s="752" t="s">
        <v>40861</v>
      </c>
      <c r="D7297" s="753" t="s">
        <v>40860</v>
      </c>
      <c r="E7297" s="752" t="s">
        <v>38686</v>
      </c>
      <c r="F7297" s="751">
        <v>3125</v>
      </c>
    </row>
    <row r="7298" spans="1:6">
      <c r="A7298" s="753"/>
      <c r="B7298" s="753"/>
      <c r="C7298" s="752" t="s">
        <v>40859</v>
      </c>
      <c r="D7298" s="753" t="s">
        <v>40856</v>
      </c>
      <c r="E7298" s="752" t="s">
        <v>293</v>
      </c>
      <c r="F7298" s="751">
        <v>2375</v>
      </c>
    </row>
    <row r="7299" spans="1:6">
      <c r="A7299" s="753"/>
      <c r="B7299" s="753"/>
      <c r="C7299" s="752" t="s">
        <v>40858</v>
      </c>
      <c r="D7299" s="753" t="s">
        <v>40856</v>
      </c>
      <c r="E7299" s="752" t="s">
        <v>293</v>
      </c>
      <c r="F7299" s="751">
        <v>2375</v>
      </c>
    </row>
    <row r="7300" spans="1:6">
      <c r="A7300" s="753"/>
      <c r="B7300" s="753"/>
      <c r="C7300" s="752" t="s">
        <v>40857</v>
      </c>
      <c r="D7300" s="753" t="s">
        <v>40856</v>
      </c>
      <c r="E7300" s="752" t="s">
        <v>293</v>
      </c>
      <c r="F7300" s="751">
        <v>2195</v>
      </c>
    </row>
    <row r="7301" spans="1:6">
      <c r="A7301" s="753"/>
      <c r="B7301" s="753"/>
      <c r="C7301" s="752" t="s">
        <v>40855</v>
      </c>
      <c r="D7301" s="753" t="s">
        <v>40852</v>
      </c>
      <c r="E7301" s="752" t="s">
        <v>293</v>
      </c>
      <c r="F7301" s="751">
        <v>2925</v>
      </c>
    </row>
    <row r="7302" spans="1:6">
      <c r="A7302" s="753"/>
      <c r="B7302" s="753"/>
      <c r="C7302" s="752" t="s">
        <v>40854</v>
      </c>
      <c r="D7302" s="753" t="s">
        <v>40852</v>
      </c>
      <c r="E7302" s="752" t="s">
        <v>293</v>
      </c>
      <c r="F7302" s="751">
        <v>2925</v>
      </c>
    </row>
    <row r="7303" spans="1:6">
      <c r="A7303" s="753"/>
      <c r="B7303" s="753"/>
      <c r="C7303" s="752" t="s">
        <v>40853</v>
      </c>
      <c r="D7303" s="753" t="s">
        <v>40852</v>
      </c>
      <c r="E7303" s="752" t="s">
        <v>293</v>
      </c>
      <c r="F7303" s="751">
        <v>2925</v>
      </c>
    </row>
    <row r="7304" spans="1:6">
      <c r="A7304" s="753"/>
      <c r="B7304" s="753"/>
      <c r="C7304" s="752" t="s">
        <v>40851</v>
      </c>
      <c r="D7304" s="753" t="s">
        <v>40850</v>
      </c>
      <c r="E7304" s="752" t="s">
        <v>293</v>
      </c>
      <c r="F7304" s="751">
        <v>3025</v>
      </c>
    </row>
    <row r="7305" spans="1:6">
      <c r="A7305" s="753"/>
      <c r="B7305" s="753" t="s">
        <v>40849</v>
      </c>
      <c r="C7305" s="752" t="s">
        <v>40848</v>
      </c>
      <c r="D7305" s="753" t="s">
        <v>40846</v>
      </c>
      <c r="E7305" s="752" t="s">
        <v>293</v>
      </c>
      <c r="F7305" s="751">
        <v>1825</v>
      </c>
    </row>
    <row r="7306" spans="1:6">
      <c r="A7306" s="753"/>
      <c r="B7306" s="753"/>
      <c r="C7306" s="752" t="s">
        <v>40847</v>
      </c>
      <c r="D7306" s="753" t="s">
        <v>40846</v>
      </c>
      <c r="E7306" s="752" t="s">
        <v>38670</v>
      </c>
      <c r="F7306" s="751">
        <v>2520</v>
      </c>
    </row>
    <row r="7307" spans="1:6">
      <c r="A7307" s="753" t="s">
        <v>40845</v>
      </c>
      <c r="B7307" s="753" t="s">
        <v>40844</v>
      </c>
      <c r="C7307" s="752" t="s">
        <v>40843</v>
      </c>
      <c r="D7307" s="753" t="s">
        <v>40842</v>
      </c>
      <c r="E7307" s="752" t="s">
        <v>37758</v>
      </c>
      <c r="F7307" s="751">
        <v>4465</v>
      </c>
    </row>
    <row r="7308" spans="1:6">
      <c r="A7308" s="753"/>
      <c r="B7308" s="753"/>
      <c r="C7308" s="752" t="s">
        <v>40841</v>
      </c>
      <c r="D7308" s="753" t="s">
        <v>40840</v>
      </c>
      <c r="E7308" s="752" t="s">
        <v>293</v>
      </c>
      <c r="F7308" s="751">
        <v>5995</v>
      </c>
    </row>
    <row r="7309" spans="1:6">
      <c r="A7309" s="753"/>
      <c r="B7309" s="753"/>
      <c r="C7309" s="752" t="s">
        <v>40839</v>
      </c>
      <c r="D7309" s="753" t="s">
        <v>40835</v>
      </c>
      <c r="E7309" s="752" t="s">
        <v>293</v>
      </c>
      <c r="F7309" s="751">
        <v>2825</v>
      </c>
    </row>
    <row r="7310" spans="1:6">
      <c r="A7310" s="753"/>
      <c r="B7310" s="753"/>
      <c r="C7310" s="752" t="s">
        <v>40838</v>
      </c>
      <c r="D7310" s="753" t="s">
        <v>40837</v>
      </c>
      <c r="E7310" s="752" t="s">
        <v>37876</v>
      </c>
      <c r="F7310" s="751">
        <v>2525</v>
      </c>
    </row>
    <row r="7311" spans="1:6">
      <c r="A7311" s="753"/>
      <c r="B7311" s="753"/>
      <c r="C7311" s="752" t="s">
        <v>40836</v>
      </c>
      <c r="D7311" s="753" t="s">
        <v>40835</v>
      </c>
      <c r="E7311" s="752" t="s">
        <v>40230</v>
      </c>
      <c r="F7311" s="751">
        <v>3335</v>
      </c>
    </row>
    <row r="7312" spans="1:6">
      <c r="A7312" s="753"/>
      <c r="B7312" s="753"/>
      <c r="C7312" s="752" t="s">
        <v>40834</v>
      </c>
      <c r="D7312" s="753" t="s">
        <v>40833</v>
      </c>
      <c r="E7312" s="752" t="s">
        <v>40230</v>
      </c>
      <c r="F7312" s="751">
        <v>3885</v>
      </c>
    </row>
    <row r="7313" spans="1:6">
      <c r="A7313" s="753"/>
      <c r="B7313" s="753"/>
      <c r="C7313" s="752" t="s">
        <v>40832</v>
      </c>
      <c r="D7313" s="753" t="s">
        <v>40830</v>
      </c>
      <c r="E7313" s="752" t="s">
        <v>37758</v>
      </c>
      <c r="F7313" s="751">
        <v>2625</v>
      </c>
    </row>
    <row r="7314" spans="1:6">
      <c r="A7314" s="753"/>
      <c r="B7314" s="753"/>
      <c r="C7314" s="752" t="s">
        <v>40831</v>
      </c>
      <c r="D7314" s="753" t="s">
        <v>40830</v>
      </c>
      <c r="E7314" s="752" t="s">
        <v>40829</v>
      </c>
      <c r="F7314" s="751">
        <v>2125</v>
      </c>
    </row>
    <row r="7315" spans="1:6">
      <c r="A7315" s="753"/>
      <c r="B7315" s="753"/>
      <c r="C7315" s="752" t="s">
        <v>40828</v>
      </c>
      <c r="D7315" s="753" t="s">
        <v>40827</v>
      </c>
      <c r="E7315" s="752" t="s">
        <v>293</v>
      </c>
      <c r="F7315" s="751">
        <v>3175</v>
      </c>
    </row>
    <row r="7316" spans="1:6">
      <c r="A7316" s="753"/>
      <c r="B7316" s="753"/>
      <c r="C7316" s="752" t="s">
        <v>40826</v>
      </c>
      <c r="D7316" s="753" t="s">
        <v>40825</v>
      </c>
      <c r="E7316" s="752" t="s">
        <v>38919</v>
      </c>
      <c r="F7316" s="751">
        <v>3935</v>
      </c>
    </row>
    <row r="7317" spans="1:6">
      <c r="A7317" s="753"/>
      <c r="B7317" s="753"/>
      <c r="C7317" s="752" t="s">
        <v>40824</v>
      </c>
      <c r="D7317" s="753" t="s">
        <v>40822</v>
      </c>
      <c r="E7317" s="752" t="s">
        <v>293</v>
      </c>
      <c r="F7317" s="751">
        <v>2725</v>
      </c>
    </row>
    <row r="7318" spans="1:6">
      <c r="A7318" s="753"/>
      <c r="B7318" s="753"/>
      <c r="C7318" s="752" t="s">
        <v>40823</v>
      </c>
      <c r="D7318" s="753" t="s">
        <v>40822</v>
      </c>
      <c r="E7318" s="752" t="s">
        <v>293</v>
      </c>
      <c r="F7318" s="751">
        <v>2225</v>
      </c>
    </row>
    <row r="7319" spans="1:6">
      <c r="A7319" s="753"/>
      <c r="B7319" s="753"/>
      <c r="C7319" s="752" t="s">
        <v>40821</v>
      </c>
      <c r="D7319" s="753" t="s">
        <v>40820</v>
      </c>
      <c r="E7319" s="752" t="s">
        <v>293</v>
      </c>
      <c r="F7319" s="751">
        <v>3275</v>
      </c>
    </row>
    <row r="7320" spans="1:6">
      <c r="A7320" s="753"/>
      <c r="B7320" s="753" t="s">
        <v>40819</v>
      </c>
      <c r="C7320" s="752" t="s">
        <v>40818</v>
      </c>
      <c r="D7320" s="753" t="s">
        <v>40817</v>
      </c>
      <c r="E7320" s="752" t="s">
        <v>293</v>
      </c>
      <c r="F7320" s="751">
        <v>2575</v>
      </c>
    </row>
    <row r="7321" spans="1:6">
      <c r="A7321" s="753"/>
      <c r="B7321" s="753" t="s">
        <v>40816</v>
      </c>
      <c r="C7321" s="752" t="s">
        <v>40815</v>
      </c>
      <c r="D7321" s="753" t="s">
        <v>40813</v>
      </c>
      <c r="E7321" s="752" t="s">
        <v>40806</v>
      </c>
      <c r="F7321" s="751">
        <v>4175</v>
      </c>
    </row>
    <row r="7322" spans="1:6">
      <c r="A7322" s="753"/>
      <c r="B7322" s="753"/>
      <c r="C7322" s="752" t="s">
        <v>40814</v>
      </c>
      <c r="D7322" s="753" t="s">
        <v>40813</v>
      </c>
      <c r="E7322" s="752" t="s">
        <v>40812</v>
      </c>
      <c r="F7322" s="751">
        <v>4975</v>
      </c>
    </row>
    <row r="7323" spans="1:6">
      <c r="A7323" s="753"/>
      <c r="B7323" s="753"/>
      <c r="C7323" s="752" t="s">
        <v>40811</v>
      </c>
      <c r="D7323" s="753" t="s">
        <v>40808</v>
      </c>
      <c r="E7323" s="752" t="s">
        <v>38258</v>
      </c>
      <c r="F7323" s="751">
        <v>4225</v>
      </c>
    </row>
    <row r="7324" spans="1:6">
      <c r="A7324" s="753"/>
      <c r="B7324" s="753"/>
      <c r="C7324" s="752" t="s">
        <v>40810</v>
      </c>
      <c r="D7324" s="753" t="s">
        <v>40808</v>
      </c>
      <c r="E7324" s="752" t="s">
        <v>40806</v>
      </c>
      <c r="F7324" s="751">
        <v>3975</v>
      </c>
    </row>
    <row r="7325" spans="1:6">
      <c r="A7325" s="753"/>
      <c r="B7325" s="753"/>
      <c r="C7325" s="752" t="s">
        <v>40809</v>
      </c>
      <c r="D7325" s="753" t="s">
        <v>40808</v>
      </c>
      <c r="E7325" s="752" t="s">
        <v>40803</v>
      </c>
      <c r="F7325" s="751">
        <v>4775</v>
      </c>
    </row>
    <row r="7326" spans="1:6">
      <c r="A7326" s="753"/>
      <c r="B7326" s="753"/>
      <c r="C7326" s="752" t="s">
        <v>40807</v>
      </c>
      <c r="D7326" s="753" t="s">
        <v>40804</v>
      </c>
      <c r="E7326" s="752" t="s">
        <v>40806</v>
      </c>
      <c r="F7326" s="751">
        <v>4075</v>
      </c>
    </row>
    <row r="7327" spans="1:6">
      <c r="A7327" s="753"/>
      <c r="B7327" s="753"/>
      <c r="C7327" s="752" t="s">
        <v>40805</v>
      </c>
      <c r="D7327" s="753" t="s">
        <v>40804</v>
      </c>
      <c r="E7327" s="752" t="s">
        <v>40803</v>
      </c>
      <c r="F7327" s="751">
        <v>4875</v>
      </c>
    </row>
    <row r="7328" spans="1:6">
      <c r="A7328" s="753"/>
      <c r="B7328" s="753" t="s">
        <v>40802</v>
      </c>
      <c r="C7328" s="752" t="s">
        <v>40801</v>
      </c>
      <c r="D7328" s="753" t="s">
        <v>40800</v>
      </c>
      <c r="E7328" s="752" t="s">
        <v>293</v>
      </c>
      <c r="F7328" s="751">
        <v>2825</v>
      </c>
    </row>
    <row r="7329" spans="1:6">
      <c r="A7329" s="753"/>
      <c r="B7329" s="753"/>
      <c r="C7329" s="752" t="s">
        <v>40799</v>
      </c>
      <c r="D7329" s="753" t="s">
        <v>40798</v>
      </c>
      <c r="E7329" s="752" t="s">
        <v>293</v>
      </c>
      <c r="F7329" s="751">
        <v>3375</v>
      </c>
    </row>
    <row r="7330" spans="1:6">
      <c r="A7330" s="753"/>
      <c r="B7330" s="753"/>
      <c r="C7330" s="752" t="s">
        <v>40797</v>
      </c>
      <c r="D7330" s="753" t="s">
        <v>40796</v>
      </c>
      <c r="E7330" s="752" t="s">
        <v>293</v>
      </c>
      <c r="F7330" s="751">
        <v>2625</v>
      </c>
    </row>
    <row r="7331" spans="1:6">
      <c r="A7331" s="753"/>
      <c r="B7331" s="753"/>
      <c r="C7331" s="752" t="s">
        <v>40795</v>
      </c>
      <c r="D7331" s="753" t="s">
        <v>40794</v>
      </c>
      <c r="E7331" s="752" t="s">
        <v>293</v>
      </c>
      <c r="F7331" s="751">
        <v>3175</v>
      </c>
    </row>
    <row r="7332" spans="1:6">
      <c r="A7332" s="753"/>
      <c r="B7332" s="753" t="s">
        <v>40793</v>
      </c>
      <c r="C7332" s="752" t="s">
        <v>40792</v>
      </c>
      <c r="D7332" s="753" t="s">
        <v>40790</v>
      </c>
      <c r="E7332" s="752" t="s">
        <v>293</v>
      </c>
      <c r="F7332" s="751">
        <v>2575</v>
      </c>
    </row>
    <row r="7333" spans="1:6">
      <c r="A7333" s="753"/>
      <c r="B7333" s="753"/>
      <c r="C7333" s="752" t="s">
        <v>40791</v>
      </c>
      <c r="D7333" s="753" t="s">
        <v>40790</v>
      </c>
      <c r="E7333" s="752" t="s">
        <v>293</v>
      </c>
      <c r="F7333" s="751">
        <v>2575</v>
      </c>
    </row>
    <row r="7334" spans="1:6">
      <c r="A7334" s="753"/>
      <c r="B7334" s="753"/>
      <c r="C7334" s="752" t="s">
        <v>40789</v>
      </c>
      <c r="D7334" s="753" t="s">
        <v>40787</v>
      </c>
      <c r="E7334" s="752" t="s">
        <v>293</v>
      </c>
      <c r="F7334" s="751">
        <v>3125</v>
      </c>
    </row>
    <row r="7335" spans="1:6">
      <c r="A7335" s="753"/>
      <c r="B7335" s="753"/>
      <c r="C7335" s="752" t="s">
        <v>40788</v>
      </c>
      <c r="D7335" s="753" t="s">
        <v>40787</v>
      </c>
      <c r="E7335" s="752" t="s">
        <v>293</v>
      </c>
      <c r="F7335" s="751">
        <v>3375</v>
      </c>
    </row>
    <row r="7336" spans="1:6">
      <c r="A7336" s="753"/>
      <c r="B7336" s="753"/>
      <c r="C7336" s="752" t="s">
        <v>40786</v>
      </c>
      <c r="D7336" s="753" t="s">
        <v>40783</v>
      </c>
      <c r="E7336" s="752" t="s">
        <v>293</v>
      </c>
      <c r="F7336" s="751">
        <v>2375</v>
      </c>
    </row>
    <row r="7337" spans="1:6">
      <c r="A7337" s="753"/>
      <c r="B7337" s="753"/>
      <c r="C7337" s="752" t="s">
        <v>40785</v>
      </c>
      <c r="D7337" s="753" t="s">
        <v>40783</v>
      </c>
      <c r="E7337" s="752" t="s">
        <v>293</v>
      </c>
      <c r="F7337" s="751">
        <v>2625</v>
      </c>
    </row>
    <row r="7338" spans="1:6">
      <c r="A7338" s="753"/>
      <c r="B7338" s="753"/>
      <c r="C7338" s="752" t="s">
        <v>40784</v>
      </c>
      <c r="D7338" s="753" t="s">
        <v>40783</v>
      </c>
      <c r="E7338" s="752" t="s">
        <v>293</v>
      </c>
      <c r="F7338" s="751">
        <v>2625</v>
      </c>
    </row>
    <row r="7339" spans="1:6">
      <c r="A7339" s="753"/>
      <c r="B7339" s="753"/>
      <c r="C7339" s="752" t="s">
        <v>40782</v>
      </c>
      <c r="D7339" s="753" t="s">
        <v>40780</v>
      </c>
      <c r="E7339" s="752" t="s">
        <v>293</v>
      </c>
      <c r="F7339" s="751">
        <v>2925</v>
      </c>
    </row>
    <row r="7340" spans="1:6">
      <c r="A7340" s="753"/>
      <c r="B7340" s="753"/>
      <c r="C7340" s="752" t="s">
        <v>40781</v>
      </c>
      <c r="D7340" s="753" t="s">
        <v>40780</v>
      </c>
      <c r="E7340" s="752" t="s">
        <v>293</v>
      </c>
      <c r="F7340" s="751">
        <v>3175</v>
      </c>
    </row>
    <row r="7341" spans="1:6">
      <c r="A7341" s="753"/>
      <c r="B7341" s="753"/>
      <c r="C7341" s="752" t="s">
        <v>40779</v>
      </c>
      <c r="D7341" s="753" t="s">
        <v>40778</v>
      </c>
      <c r="E7341" s="752" t="s">
        <v>293</v>
      </c>
      <c r="F7341" s="751">
        <v>3025</v>
      </c>
    </row>
    <row r="7342" spans="1:6">
      <c r="A7342" s="753"/>
      <c r="B7342" s="753" t="s">
        <v>40777</v>
      </c>
      <c r="C7342" s="752" t="s">
        <v>40776</v>
      </c>
      <c r="D7342" s="753" t="s">
        <v>40774</v>
      </c>
      <c r="E7342" s="752" t="s">
        <v>38686</v>
      </c>
      <c r="F7342" s="751">
        <v>2075</v>
      </c>
    </row>
    <row r="7343" spans="1:6">
      <c r="A7343" s="753"/>
      <c r="B7343" s="753"/>
      <c r="C7343" s="752" t="s">
        <v>40775</v>
      </c>
      <c r="D7343" s="753" t="s">
        <v>40774</v>
      </c>
      <c r="E7343" s="752" t="s">
        <v>38686</v>
      </c>
      <c r="F7343" s="751">
        <v>2325</v>
      </c>
    </row>
    <row r="7344" spans="1:6">
      <c r="A7344" s="753"/>
      <c r="B7344" s="753" t="s">
        <v>40773</v>
      </c>
      <c r="C7344" s="752" t="s">
        <v>40772</v>
      </c>
      <c r="D7344" s="753" t="s">
        <v>40771</v>
      </c>
      <c r="E7344" s="752" t="s">
        <v>293</v>
      </c>
      <c r="F7344" s="751">
        <v>2675</v>
      </c>
    </row>
    <row r="7345" spans="1:6">
      <c r="A7345" s="753"/>
      <c r="B7345" s="753"/>
      <c r="C7345" s="752" t="s">
        <v>40770</v>
      </c>
      <c r="D7345" s="753" t="s">
        <v>40769</v>
      </c>
      <c r="E7345" s="752" t="s">
        <v>293</v>
      </c>
      <c r="F7345" s="751">
        <v>3225</v>
      </c>
    </row>
    <row r="7346" spans="1:6">
      <c r="A7346" s="753"/>
      <c r="B7346" s="753"/>
      <c r="C7346" s="752" t="s">
        <v>40768</v>
      </c>
      <c r="D7346" s="753" t="s">
        <v>40767</v>
      </c>
      <c r="E7346" s="752" t="s">
        <v>293</v>
      </c>
      <c r="F7346" s="751">
        <v>2575</v>
      </c>
    </row>
    <row r="7347" spans="1:6">
      <c r="A7347" s="753"/>
      <c r="B7347" s="753"/>
      <c r="C7347" s="752" t="s">
        <v>40766</v>
      </c>
      <c r="D7347" s="753" t="s">
        <v>40765</v>
      </c>
      <c r="E7347" s="752" t="s">
        <v>293</v>
      </c>
      <c r="F7347" s="751">
        <v>2575</v>
      </c>
    </row>
    <row r="7348" spans="1:6">
      <c r="A7348" s="753"/>
      <c r="B7348" s="753"/>
      <c r="C7348" s="752" t="s">
        <v>40764</v>
      </c>
      <c r="D7348" s="753" t="s">
        <v>40763</v>
      </c>
      <c r="E7348" s="752" t="s">
        <v>293</v>
      </c>
      <c r="F7348" s="751">
        <v>3075</v>
      </c>
    </row>
    <row r="7349" spans="1:6">
      <c r="A7349" s="753"/>
      <c r="B7349" s="753"/>
      <c r="C7349" s="752" t="s">
        <v>40762</v>
      </c>
      <c r="D7349" s="753" t="s">
        <v>40761</v>
      </c>
      <c r="E7349" s="752" t="s">
        <v>293</v>
      </c>
      <c r="F7349" s="751">
        <v>2375</v>
      </c>
    </row>
    <row r="7350" spans="1:6">
      <c r="A7350" s="753"/>
      <c r="B7350" s="753"/>
      <c r="C7350" s="752" t="s">
        <v>40760</v>
      </c>
      <c r="D7350" s="753" t="s">
        <v>40759</v>
      </c>
      <c r="E7350" s="752" t="s">
        <v>293</v>
      </c>
      <c r="F7350" s="751">
        <v>2925</v>
      </c>
    </row>
    <row r="7351" spans="1:6">
      <c r="A7351" s="753"/>
      <c r="B7351" s="753"/>
      <c r="C7351" s="752" t="s">
        <v>40758</v>
      </c>
      <c r="D7351" s="753" t="s">
        <v>40757</v>
      </c>
      <c r="E7351" s="752" t="s">
        <v>293</v>
      </c>
      <c r="F7351" s="751">
        <v>2475</v>
      </c>
    </row>
    <row r="7352" spans="1:6">
      <c r="A7352" s="753"/>
      <c r="B7352" s="753"/>
      <c r="C7352" s="752" t="s">
        <v>40756</v>
      </c>
      <c r="D7352" s="753" t="s">
        <v>40755</v>
      </c>
      <c r="E7352" s="752" t="s">
        <v>293</v>
      </c>
      <c r="F7352" s="751">
        <v>2975</v>
      </c>
    </row>
    <row r="7353" spans="1:6">
      <c r="A7353" s="753"/>
      <c r="B7353" s="753" t="s">
        <v>40754</v>
      </c>
      <c r="C7353" s="752" t="s">
        <v>40753</v>
      </c>
      <c r="D7353" s="753" t="s">
        <v>40752</v>
      </c>
      <c r="E7353" s="752" t="s">
        <v>38577</v>
      </c>
      <c r="F7353" s="751">
        <v>5375</v>
      </c>
    </row>
    <row r="7354" spans="1:6">
      <c r="A7354" s="753"/>
      <c r="B7354" s="753"/>
      <c r="C7354" s="752" t="s">
        <v>40751</v>
      </c>
      <c r="D7354" s="753" t="s">
        <v>40750</v>
      </c>
      <c r="E7354" s="752" t="s">
        <v>293</v>
      </c>
      <c r="F7354" s="751">
        <v>4515</v>
      </c>
    </row>
    <row r="7355" spans="1:6">
      <c r="A7355" s="753"/>
      <c r="B7355" s="753"/>
      <c r="C7355" s="752" t="s">
        <v>40749</v>
      </c>
      <c r="D7355" s="753" t="s">
        <v>40748</v>
      </c>
      <c r="E7355" s="752" t="s">
        <v>38670</v>
      </c>
      <c r="F7355" s="751">
        <v>4035</v>
      </c>
    </row>
    <row r="7356" spans="1:6">
      <c r="A7356" s="753"/>
      <c r="B7356" s="753"/>
      <c r="C7356" s="752" t="s">
        <v>40747</v>
      </c>
      <c r="D7356" s="753" t="s">
        <v>40742</v>
      </c>
      <c r="E7356" s="752" t="s">
        <v>293</v>
      </c>
      <c r="F7356" s="751">
        <v>2825</v>
      </c>
    </row>
    <row r="7357" spans="1:6">
      <c r="A7357" s="753"/>
      <c r="B7357" s="753"/>
      <c r="C7357" s="752" t="s">
        <v>40746</v>
      </c>
      <c r="D7357" s="753" t="s">
        <v>40744</v>
      </c>
      <c r="E7357" s="752" t="s">
        <v>38570</v>
      </c>
      <c r="F7357" s="751">
        <v>2825</v>
      </c>
    </row>
    <row r="7358" spans="1:6">
      <c r="A7358" s="753"/>
      <c r="B7358" s="753"/>
      <c r="C7358" s="752" t="s">
        <v>40745</v>
      </c>
      <c r="D7358" s="753" t="s">
        <v>40744</v>
      </c>
      <c r="E7358" s="752" t="s">
        <v>38536</v>
      </c>
      <c r="F7358" s="751">
        <v>2325</v>
      </c>
    </row>
    <row r="7359" spans="1:6">
      <c r="A7359" s="753"/>
      <c r="B7359" s="753"/>
      <c r="C7359" s="752" t="s">
        <v>40743</v>
      </c>
      <c r="D7359" s="753" t="s">
        <v>40742</v>
      </c>
      <c r="E7359" s="752" t="s">
        <v>293</v>
      </c>
      <c r="F7359" s="751">
        <v>2825</v>
      </c>
    </row>
    <row r="7360" spans="1:6">
      <c r="A7360" s="753"/>
      <c r="B7360" s="753"/>
      <c r="C7360" s="752" t="s">
        <v>40741</v>
      </c>
      <c r="D7360" s="753" t="s">
        <v>40739</v>
      </c>
      <c r="E7360" s="752" t="s">
        <v>293</v>
      </c>
      <c r="F7360" s="751">
        <v>3375</v>
      </c>
    </row>
    <row r="7361" spans="1:6">
      <c r="A7361" s="753"/>
      <c r="B7361" s="753"/>
      <c r="C7361" s="752" t="s">
        <v>40740</v>
      </c>
      <c r="D7361" s="753" t="s">
        <v>40739</v>
      </c>
      <c r="E7361" s="752" t="s">
        <v>40725</v>
      </c>
      <c r="F7361" s="751">
        <v>3375</v>
      </c>
    </row>
    <row r="7362" spans="1:6">
      <c r="A7362" s="753"/>
      <c r="B7362" s="753"/>
      <c r="C7362" s="752" t="s">
        <v>40738</v>
      </c>
      <c r="D7362" s="753" t="s">
        <v>40737</v>
      </c>
      <c r="E7362" s="752" t="s">
        <v>293</v>
      </c>
      <c r="F7362" s="751">
        <v>2825</v>
      </c>
    </row>
    <row r="7363" spans="1:6">
      <c r="A7363" s="753"/>
      <c r="B7363" s="753"/>
      <c r="C7363" s="752" t="s">
        <v>40736</v>
      </c>
      <c r="D7363" s="753" t="s">
        <v>40734</v>
      </c>
      <c r="E7363" s="752" t="s">
        <v>293</v>
      </c>
      <c r="F7363" s="751">
        <v>3375</v>
      </c>
    </row>
    <row r="7364" spans="1:6">
      <c r="A7364" s="753"/>
      <c r="B7364" s="753"/>
      <c r="C7364" s="752" t="s">
        <v>40735</v>
      </c>
      <c r="D7364" s="753" t="s">
        <v>40734</v>
      </c>
      <c r="E7364" s="752" t="s">
        <v>293</v>
      </c>
      <c r="F7364" s="751">
        <v>3375</v>
      </c>
    </row>
    <row r="7365" spans="1:6">
      <c r="A7365" s="753"/>
      <c r="B7365" s="753"/>
      <c r="C7365" s="752" t="s">
        <v>40733</v>
      </c>
      <c r="D7365" s="753" t="s">
        <v>40732</v>
      </c>
      <c r="E7365" s="752" t="s">
        <v>293</v>
      </c>
      <c r="F7365" s="751">
        <v>2825</v>
      </c>
    </row>
    <row r="7366" spans="1:6">
      <c r="A7366" s="753"/>
      <c r="B7366" s="753"/>
      <c r="C7366" s="752" t="s">
        <v>40731</v>
      </c>
      <c r="D7366" s="753" t="s">
        <v>40726</v>
      </c>
      <c r="E7366" s="752" t="s">
        <v>293</v>
      </c>
      <c r="F7366" s="751">
        <v>2625</v>
      </c>
    </row>
    <row r="7367" spans="1:6">
      <c r="A7367" s="753"/>
      <c r="B7367" s="753"/>
      <c r="C7367" s="752" t="s">
        <v>40730</v>
      </c>
      <c r="D7367" s="753" t="s">
        <v>40729</v>
      </c>
      <c r="E7367" s="752" t="s">
        <v>40728</v>
      </c>
      <c r="F7367" s="751">
        <v>2625</v>
      </c>
    </row>
    <row r="7368" spans="1:6">
      <c r="A7368" s="753"/>
      <c r="B7368" s="753"/>
      <c r="C7368" s="752" t="s">
        <v>40727</v>
      </c>
      <c r="D7368" s="753" t="s">
        <v>40726</v>
      </c>
      <c r="E7368" s="752" t="s">
        <v>40725</v>
      </c>
      <c r="F7368" s="751">
        <v>2625</v>
      </c>
    </row>
    <row r="7369" spans="1:6">
      <c r="A7369" s="753"/>
      <c r="B7369" s="753"/>
      <c r="C7369" s="752" t="s">
        <v>40724</v>
      </c>
      <c r="D7369" s="753" t="s">
        <v>40722</v>
      </c>
      <c r="E7369" s="752" t="s">
        <v>293</v>
      </c>
      <c r="F7369" s="751">
        <v>3175</v>
      </c>
    </row>
    <row r="7370" spans="1:6">
      <c r="A7370" s="753"/>
      <c r="B7370" s="753"/>
      <c r="C7370" s="752" t="s">
        <v>40723</v>
      </c>
      <c r="D7370" s="753" t="s">
        <v>40722</v>
      </c>
      <c r="E7370" s="752" t="s">
        <v>293</v>
      </c>
      <c r="F7370" s="751">
        <v>3175</v>
      </c>
    </row>
    <row r="7371" spans="1:6">
      <c r="A7371" s="753"/>
      <c r="B7371" s="753"/>
      <c r="C7371" s="752" t="s">
        <v>40721</v>
      </c>
      <c r="D7371" s="753" t="s">
        <v>40720</v>
      </c>
      <c r="E7371" s="752" t="s">
        <v>293</v>
      </c>
      <c r="F7371" s="751">
        <v>2625</v>
      </c>
    </row>
    <row r="7372" spans="1:6">
      <c r="A7372" s="753"/>
      <c r="B7372" s="753"/>
      <c r="C7372" s="752" t="s">
        <v>40719</v>
      </c>
      <c r="D7372" s="753" t="s">
        <v>40717</v>
      </c>
      <c r="E7372" s="752" t="s">
        <v>293</v>
      </c>
      <c r="F7372" s="751">
        <v>3175</v>
      </c>
    </row>
    <row r="7373" spans="1:6">
      <c r="A7373" s="753"/>
      <c r="B7373" s="753"/>
      <c r="C7373" s="752" t="s">
        <v>40718</v>
      </c>
      <c r="D7373" s="753" t="s">
        <v>40717</v>
      </c>
      <c r="E7373" s="752" t="s">
        <v>38577</v>
      </c>
      <c r="F7373" s="751">
        <v>3935</v>
      </c>
    </row>
    <row r="7374" spans="1:6">
      <c r="A7374" s="753"/>
      <c r="B7374" s="753"/>
      <c r="C7374" s="752" t="s">
        <v>40716</v>
      </c>
      <c r="D7374" s="753" t="s">
        <v>40715</v>
      </c>
      <c r="E7374" s="752" t="s">
        <v>293</v>
      </c>
      <c r="F7374" s="751">
        <v>2625</v>
      </c>
    </row>
    <row r="7375" spans="1:6">
      <c r="A7375" s="753"/>
      <c r="B7375" s="753"/>
      <c r="C7375" s="752" t="s">
        <v>40714</v>
      </c>
      <c r="D7375" s="753" t="s">
        <v>40713</v>
      </c>
      <c r="E7375" s="752" t="s">
        <v>38962</v>
      </c>
      <c r="F7375" s="751">
        <v>2475</v>
      </c>
    </row>
    <row r="7376" spans="1:6">
      <c r="A7376" s="753"/>
      <c r="B7376" s="753"/>
      <c r="C7376" s="752" t="s">
        <v>40712</v>
      </c>
      <c r="D7376" s="753" t="s">
        <v>40711</v>
      </c>
      <c r="E7376" s="752" t="s">
        <v>293</v>
      </c>
      <c r="F7376" s="751">
        <v>3275</v>
      </c>
    </row>
    <row r="7377" spans="1:6">
      <c r="A7377" s="753"/>
      <c r="B7377" s="753" t="s">
        <v>40710</v>
      </c>
      <c r="C7377" s="752" t="s">
        <v>40709</v>
      </c>
      <c r="D7377" s="753" t="s">
        <v>40707</v>
      </c>
      <c r="E7377" s="752" t="s">
        <v>40352</v>
      </c>
      <c r="F7377" s="751">
        <v>3075</v>
      </c>
    </row>
    <row r="7378" spans="1:6">
      <c r="A7378" s="753"/>
      <c r="B7378" s="753"/>
      <c r="C7378" s="752" t="s">
        <v>40708</v>
      </c>
      <c r="D7378" s="753" t="s">
        <v>40707</v>
      </c>
      <c r="E7378" s="752" t="s">
        <v>40672</v>
      </c>
      <c r="F7378" s="751">
        <v>2475</v>
      </c>
    </row>
    <row r="7379" spans="1:6">
      <c r="A7379" s="753"/>
      <c r="B7379" s="753"/>
      <c r="C7379" s="752" t="s">
        <v>40706</v>
      </c>
      <c r="D7379" s="753" t="s">
        <v>40699</v>
      </c>
      <c r="E7379" s="752" t="s">
        <v>40352</v>
      </c>
      <c r="F7379" s="751">
        <v>3625</v>
      </c>
    </row>
    <row r="7380" spans="1:6">
      <c r="A7380" s="753"/>
      <c r="B7380" s="753"/>
      <c r="C7380" s="752" t="s">
        <v>40705</v>
      </c>
      <c r="D7380" s="753" t="s">
        <v>40699</v>
      </c>
      <c r="E7380" s="752" t="s">
        <v>40704</v>
      </c>
      <c r="F7380" s="751">
        <v>4385</v>
      </c>
    </row>
    <row r="7381" spans="1:6">
      <c r="A7381" s="753"/>
      <c r="B7381" s="753"/>
      <c r="C7381" s="752" t="s">
        <v>40703</v>
      </c>
      <c r="D7381" s="753" t="s">
        <v>40699</v>
      </c>
      <c r="E7381" s="752" t="s">
        <v>40352</v>
      </c>
      <c r="F7381" s="751">
        <v>3625</v>
      </c>
    </row>
    <row r="7382" spans="1:6">
      <c r="A7382" s="753"/>
      <c r="B7382" s="753"/>
      <c r="C7382" s="752" t="s">
        <v>40702</v>
      </c>
      <c r="D7382" s="753" t="s">
        <v>40699</v>
      </c>
      <c r="E7382" s="752" t="s">
        <v>40701</v>
      </c>
      <c r="F7382" s="751">
        <v>4385</v>
      </c>
    </row>
    <row r="7383" spans="1:6">
      <c r="A7383" s="753"/>
      <c r="B7383" s="753"/>
      <c r="C7383" s="752" t="s">
        <v>40700</v>
      </c>
      <c r="D7383" s="753" t="s">
        <v>40699</v>
      </c>
      <c r="E7383" s="752" t="s">
        <v>40675</v>
      </c>
      <c r="F7383" s="751">
        <v>3625</v>
      </c>
    </row>
    <row r="7384" spans="1:6">
      <c r="A7384" s="753"/>
      <c r="B7384" s="753"/>
      <c r="C7384" s="752" t="s">
        <v>40698</v>
      </c>
      <c r="D7384" s="753" t="s">
        <v>40697</v>
      </c>
      <c r="E7384" s="752" t="s">
        <v>40352</v>
      </c>
      <c r="F7384" s="751">
        <v>3875</v>
      </c>
    </row>
    <row r="7385" spans="1:6">
      <c r="A7385" s="753"/>
      <c r="B7385" s="753"/>
      <c r="C7385" s="752" t="s">
        <v>40696</v>
      </c>
      <c r="D7385" s="753" t="s">
        <v>40692</v>
      </c>
      <c r="E7385" s="752" t="s">
        <v>40695</v>
      </c>
      <c r="F7385" s="751">
        <v>2875</v>
      </c>
    </row>
    <row r="7386" spans="1:6">
      <c r="A7386" s="753"/>
      <c r="B7386" s="753"/>
      <c r="C7386" s="752" t="s">
        <v>40694</v>
      </c>
      <c r="D7386" s="753" t="s">
        <v>40692</v>
      </c>
      <c r="E7386" s="752" t="s">
        <v>293</v>
      </c>
      <c r="F7386" s="751">
        <v>2375</v>
      </c>
    </row>
    <row r="7387" spans="1:6">
      <c r="A7387" s="753"/>
      <c r="B7387" s="753"/>
      <c r="C7387" s="752" t="s">
        <v>40693</v>
      </c>
      <c r="D7387" s="753" t="s">
        <v>40692</v>
      </c>
      <c r="E7387" s="752" t="s">
        <v>40672</v>
      </c>
      <c r="F7387" s="751">
        <v>2375</v>
      </c>
    </row>
    <row r="7388" spans="1:6">
      <c r="A7388" s="753"/>
      <c r="B7388" s="753"/>
      <c r="C7388" s="752" t="s">
        <v>40691</v>
      </c>
      <c r="D7388" s="753" t="s">
        <v>40685</v>
      </c>
      <c r="E7388" s="752" t="s">
        <v>40352</v>
      </c>
      <c r="F7388" s="751">
        <v>3675</v>
      </c>
    </row>
    <row r="7389" spans="1:6">
      <c r="A7389" s="753"/>
      <c r="B7389" s="753"/>
      <c r="C7389" s="752" t="s">
        <v>40690</v>
      </c>
      <c r="D7389" s="753" t="s">
        <v>40685</v>
      </c>
      <c r="E7389" s="752" t="s">
        <v>40689</v>
      </c>
      <c r="F7389" s="751">
        <v>4435</v>
      </c>
    </row>
    <row r="7390" spans="1:6">
      <c r="A7390" s="753"/>
      <c r="B7390" s="753"/>
      <c r="C7390" s="752" t="s">
        <v>40688</v>
      </c>
      <c r="D7390" s="753" t="s">
        <v>40685</v>
      </c>
      <c r="E7390" s="752" t="s">
        <v>40352</v>
      </c>
      <c r="F7390" s="751">
        <v>3425</v>
      </c>
    </row>
    <row r="7391" spans="1:6">
      <c r="A7391" s="753"/>
      <c r="B7391" s="753"/>
      <c r="C7391" s="752" t="s">
        <v>40687</v>
      </c>
      <c r="D7391" s="753" t="s">
        <v>40685</v>
      </c>
      <c r="E7391" s="752" t="s">
        <v>40352</v>
      </c>
      <c r="F7391" s="751">
        <v>3425</v>
      </c>
    </row>
    <row r="7392" spans="1:6">
      <c r="A7392" s="753"/>
      <c r="B7392" s="753"/>
      <c r="C7392" s="752" t="s">
        <v>40686</v>
      </c>
      <c r="D7392" s="753" t="s">
        <v>40685</v>
      </c>
      <c r="E7392" s="752" t="s">
        <v>40672</v>
      </c>
      <c r="F7392" s="751">
        <v>2675</v>
      </c>
    </row>
    <row r="7393" spans="1:6">
      <c r="A7393" s="753"/>
      <c r="B7393" s="753"/>
      <c r="C7393" s="752" t="s">
        <v>40684</v>
      </c>
      <c r="D7393" s="753" t="s">
        <v>40680</v>
      </c>
      <c r="E7393" s="752" t="s">
        <v>40352</v>
      </c>
      <c r="F7393" s="751">
        <v>3675</v>
      </c>
    </row>
    <row r="7394" spans="1:6">
      <c r="A7394" s="753"/>
      <c r="B7394" s="753"/>
      <c r="C7394" s="752" t="s">
        <v>40683</v>
      </c>
      <c r="D7394" s="753" t="s">
        <v>40680</v>
      </c>
      <c r="E7394" s="752" t="s">
        <v>40352</v>
      </c>
      <c r="F7394" s="751">
        <v>3425</v>
      </c>
    </row>
    <row r="7395" spans="1:6">
      <c r="A7395" s="753"/>
      <c r="B7395" s="753"/>
      <c r="C7395" s="752" t="s">
        <v>40682</v>
      </c>
      <c r="D7395" s="753" t="s">
        <v>40680</v>
      </c>
      <c r="E7395" s="752" t="s">
        <v>40352</v>
      </c>
      <c r="F7395" s="751">
        <v>3425</v>
      </c>
    </row>
    <row r="7396" spans="1:6">
      <c r="A7396" s="753"/>
      <c r="B7396" s="753"/>
      <c r="C7396" s="752" t="s">
        <v>40681</v>
      </c>
      <c r="D7396" s="753" t="s">
        <v>40680</v>
      </c>
      <c r="E7396" s="752" t="s">
        <v>40679</v>
      </c>
      <c r="F7396" s="751">
        <v>4185</v>
      </c>
    </row>
    <row r="7397" spans="1:6">
      <c r="A7397" s="753"/>
      <c r="B7397" s="753"/>
      <c r="C7397" s="752" t="s">
        <v>40678</v>
      </c>
      <c r="D7397" s="753" t="s">
        <v>40677</v>
      </c>
      <c r="E7397" s="752" t="s">
        <v>40672</v>
      </c>
      <c r="F7397" s="751">
        <v>2475</v>
      </c>
    </row>
    <row r="7398" spans="1:6">
      <c r="A7398" s="753"/>
      <c r="B7398" s="753"/>
      <c r="C7398" s="752" t="s">
        <v>40676</v>
      </c>
      <c r="D7398" s="753" t="s">
        <v>40673</v>
      </c>
      <c r="E7398" s="752" t="s">
        <v>40675</v>
      </c>
      <c r="F7398" s="751">
        <v>3525</v>
      </c>
    </row>
    <row r="7399" spans="1:6">
      <c r="A7399" s="753"/>
      <c r="B7399" s="753"/>
      <c r="C7399" s="752" t="s">
        <v>40674</v>
      </c>
      <c r="D7399" s="753" t="s">
        <v>40673</v>
      </c>
      <c r="E7399" s="752" t="s">
        <v>40672</v>
      </c>
      <c r="F7399" s="751">
        <v>3025</v>
      </c>
    </row>
    <row r="7400" spans="1:6">
      <c r="A7400" s="753" t="s">
        <v>6265</v>
      </c>
      <c r="B7400" s="753">
        <v>6</v>
      </c>
      <c r="C7400" s="752" t="s">
        <v>40671</v>
      </c>
      <c r="D7400" s="753" t="s">
        <v>40669</v>
      </c>
      <c r="E7400" s="752" t="s">
        <v>37838</v>
      </c>
      <c r="F7400" s="751">
        <v>1975</v>
      </c>
    </row>
    <row r="7401" spans="1:6">
      <c r="A7401" s="753"/>
      <c r="B7401" s="753"/>
      <c r="C7401" s="752" t="s">
        <v>40670</v>
      </c>
      <c r="D7401" s="753" t="s">
        <v>40669</v>
      </c>
      <c r="E7401" s="752" t="s">
        <v>37838</v>
      </c>
      <c r="F7401" s="751">
        <v>2175</v>
      </c>
    </row>
    <row r="7402" spans="1:6">
      <c r="A7402" s="753"/>
      <c r="B7402" s="753" t="s">
        <v>40668</v>
      </c>
      <c r="C7402" s="752" t="s">
        <v>40667</v>
      </c>
      <c r="D7402" s="753" t="s">
        <v>40665</v>
      </c>
      <c r="E7402" s="752" t="s">
        <v>38010</v>
      </c>
      <c r="F7402" s="751">
        <v>4225</v>
      </c>
    </row>
    <row r="7403" spans="1:6">
      <c r="A7403" s="753"/>
      <c r="B7403" s="753"/>
      <c r="C7403" s="752" t="s">
        <v>40666</v>
      </c>
      <c r="D7403" s="753" t="s">
        <v>40665</v>
      </c>
      <c r="E7403" s="752" t="s">
        <v>38019</v>
      </c>
      <c r="F7403" s="751">
        <v>3975</v>
      </c>
    </row>
    <row r="7404" spans="1:6">
      <c r="A7404" s="753"/>
      <c r="B7404" s="753"/>
      <c r="C7404" s="752" t="s">
        <v>40664</v>
      </c>
      <c r="D7404" s="753" t="s">
        <v>40660</v>
      </c>
      <c r="E7404" s="752" t="s">
        <v>38010</v>
      </c>
      <c r="F7404" s="751">
        <v>4025</v>
      </c>
    </row>
    <row r="7405" spans="1:6">
      <c r="A7405" s="753"/>
      <c r="B7405" s="753"/>
      <c r="C7405" s="752" t="s">
        <v>40663</v>
      </c>
      <c r="D7405" s="753" t="s">
        <v>40660</v>
      </c>
      <c r="E7405" s="752" t="s">
        <v>38033</v>
      </c>
      <c r="F7405" s="751">
        <v>5025</v>
      </c>
    </row>
    <row r="7406" spans="1:6">
      <c r="A7406" s="753"/>
      <c r="B7406" s="753"/>
      <c r="C7406" s="752" t="s">
        <v>40662</v>
      </c>
      <c r="D7406" s="753" t="s">
        <v>40660</v>
      </c>
      <c r="E7406" s="752" t="s">
        <v>38019</v>
      </c>
      <c r="F7406" s="751">
        <v>3775</v>
      </c>
    </row>
    <row r="7407" spans="1:6">
      <c r="A7407" s="753"/>
      <c r="B7407" s="753"/>
      <c r="C7407" s="752" t="s">
        <v>40661</v>
      </c>
      <c r="D7407" s="753" t="s">
        <v>40660</v>
      </c>
      <c r="E7407" s="752" t="s">
        <v>38002</v>
      </c>
      <c r="F7407" s="751">
        <v>4675</v>
      </c>
    </row>
    <row r="7408" spans="1:6">
      <c r="A7408" s="753"/>
      <c r="B7408" s="753" t="s">
        <v>40659</v>
      </c>
      <c r="C7408" s="752" t="s">
        <v>40658</v>
      </c>
      <c r="D7408" s="753" t="s">
        <v>40657</v>
      </c>
      <c r="E7408" s="752" t="s">
        <v>293</v>
      </c>
      <c r="F7408" s="751">
        <v>2125</v>
      </c>
    </row>
    <row r="7409" spans="1:6">
      <c r="A7409" s="753"/>
      <c r="B7409" s="753" t="s">
        <v>40656</v>
      </c>
      <c r="C7409" s="752" t="s">
        <v>40655</v>
      </c>
      <c r="D7409" s="753" t="s">
        <v>40654</v>
      </c>
      <c r="E7409" s="752" t="s">
        <v>293</v>
      </c>
      <c r="F7409" s="751">
        <v>3625</v>
      </c>
    </row>
    <row r="7410" spans="1:6">
      <c r="A7410" s="753"/>
      <c r="B7410" s="753"/>
      <c r="C7410" s="752" t="s">
        <v>40653</v>
      </c>
      <c r="D7410" s="753" t="s">
        <v>40651</v>
      </c>
      <c r="E7410" s="752" t="s">
        <v>293</v>
      </c>
      <c r="F7410" s="751">
        <v>2575</v>
      </c>
    </row>
    <row r="7411" spans="1:6">
      <c r="A7411" s="753"/>
      <c r="B7411" s="753"/>
      <c r="C7411" s="752" t="s">
        <v>40652</v>
      </c>
      <c r="D7411" s="753" t="s">
        <v>40651</v>
      </c>
      <c r="E7411" s="752" t="s">
        <v>39430</v>
      </c>
      <c r="F7411" s="751">
        <v>2575</v>
      </c>
    </row>
    <row r="7412" spans="1:6">
      <c r="A7412" s="753"/>
      <c r="B7412" s="753"/>
      <c r="C7412" s="752" t="s">
        <v>40650</v>
      </c>
      <c r="D7412" s="753" t="s">
        <v>40649</v>
      </c>
      <c r="E7412" s="752" t="s">
        <v>293</v>
      </c>
      <c r="F7412" s="751">
        <v>2375</v>
      </c>
    </row>
    <row r="7413" spans="1:6">
      <c r="A7413" s="753"/>
      <c r="B7413" s="753"/>
      <c r="C7413" s="752" t="s">
        <v>40648</v>
      </c>
      <c r="D7413" s="753" t="s">
        <v>40647</v>
      </c>
      <c r="E7413" s="752" t="s">
        <v>39430</v>
      </c>
      <c r="F7413" s="751">
        <v>2375</v>
      </c>
    </row>
    <row r="7414" spans="1:6">
      <c r="A7414" s="753"/>
      <c r="B7414" s="753"/>
      <c r="C7414" s="752" t="s">
        <v>40646</v>
      </c>
      <c r="D7414" s="753" t="s">
        <v>40645</v>
      </c>
      <c r="E7414" s="752" t="s">
        <v>39430</v>
      </c>
      <c r="F7414" s="751">
        <v>2475</v>
      </c>
    </row>
    <row r="7415" spans="1:6">
      <c r="A7415" s="753"/>
      <c r="B7415" s="753"/>
      <c r="C7415" s="752" t="s">
        <v>40644</v>
      </c>
      <c r="D7415" s="753" t="s">
        <v>40643</v>
      </c>
      <c r="E7415" s="752" t="s">
        <v>39430</v>
      </c>
      <c r="F7415" s="751">
        <v>3025</v>
      </c>
    </row>
    <row r="7416" spans="1:6">
      <c r="A7416" s="753"/>
      <c r="B7416" s="753" t="s">
        <v>40642</v>
      </c>
      <c r="C7416" s="752" t="s">
        <v>40641</v>
      </c>
      <c r="D7416" s="753" t="s">
        <v>40640</v>
      </c>
      <c r="E7416" s="752" t="s">
        <v>293</v>
      </c>
      <c r="F7416" s="751">
        <v>2475</v>
      </c>
    </row>
    <row r="7417" spans="1:6">
      <c r="A7417" s="753"/>
      <c r="B7417" s="753"/>
      <c r="C7417" s="752" t="s">
        <v>40639</v>
      </c>
      <c r="D7417" s="753" t="s">
        <v>40638</v>
      </c>
      <c r="E7417" s="752" t="s">
        <v>37876</v>
      </c>
      <c r="F7417" s="751">
        <v>2325</v>
      </c>
    </row>
    <row r="7418" spans="1:6">
      <c r="A7418" s="753"/>
      <c r="B7418" s="753"/>
      <c r="C7418" s="752" t="s">
        <v>40637</v>
      </c>
      <c r="D7418" s="753" t="s">
        <v>40636</v>
      </c>
      <c r="E7418" s="752" t="s">
        <v>293</v>
      </c>
      <c r="F7418" s="751">
        <v>2475</v>
      </c>
    </row>
    <row r="7419" spans="1:6">
      <c r="A7419" s="753"/>
      <c r="B7419" s="753" t="s">
        <v>40635</v>
      </c>
      <c r="C7419" s="752" t="s">
        <v>40634</v>
      </c>
      <c r="D7419" s="753" t="s">
        <v>40633</v>
      </c>
      <c r="E7419" s="752" t="s">
        <v>293</v>
      </c>
      <c r="F7419" s="751">
        <v>2575</v>
      </c>
    </row>
    <row r="7420" spans="1:6">
      <c r="A7420" s="753"/>
      <c r="B7420" s="753"/>
      <c r="C7420" s="752" t="s">
        <v>40632</v>
      </c>
      <c r="D7420" s="753" t="s">
        <v>40631</v>
      </c>
      <c r="E7420" s="752" t="s">
        <v>293</v>
      </c>
      <c r="F7420" s="751">
        <v>3125</v>
      </c>
    </row>
    <row r="7421" spans="1:6">
      <c r="A7421" s="753"/>
      <c r="B7421" s="753"/>
      <c r="C7421" s="752" t="s">
        <v>40630</v>
      </c>
      <c r="D7421" s="753" t="s">
        <v>40629</v>
      </c>
      <c r="E7421" s="752" t="s">
        <v>293</v>
      </c>
      <c r="F7421" s="751">
        <v>2375</v>
      </c>
    </row>
    <row r="7422" spans="1:6">
      <c r="A7422" s="753"/>
      <c r="B7422" s="753"/>
      <c r="C7422" s="752" t="s">
        <v>40628</v>
      </c>
      <c r="D7422" s="753" t="s">
        <v>40627</v>
      </c>
      <c r="E7422" s="752" t="s">
        <v>293</v>
      </c>
      <c r="F7422" s="751">
        <v>2925</v>
      </c>
    </row>
    <row r="7423" spans="1:6">
      <c r="A7423" s="753"/>
      <c r="B7423" s="753" t="s">
        <v>40626</v>
      </c>
      <c r="C7423" s="752" t="s">
        <v>40625</v>
      </c>
      <c r="D7423" s="753" t="s">
        <v>40624</v>
      </c>
      <c r="E7423" s="752" t="s">
        <v>38570</v>
      </c>
      <c r="F7423" s="751">
        <v>3915</v>
      </c>
    </row>
    <row r="7424" spans="1:6">
      <c r="A7424" s="753"/>
      <c r="B7424" s="753"/>
      <c r="C7424" s="752" t="s">
        <v>40623</v>
      </c>
      <c r="D7424" s="753" t="s">
        <v>40622</v>
      </c>
      <c r="E7424" s="752" t="s">
        <v>293</v>
      </c>
      <c r="F7424" s="751">
        <v>2825</v>
      </c>
    </row>
    <row r="7425" spans="1:6">
      <c r="A7425" s="753"/>
      <c r="B7425" s="753"/>
      <c r="C7425" s="752" t="s">
        <v>40621</v>
      </c>
      <c r="D7425" s="753" t="s">
        <v>40620</v>
      </c>
      <c r="E7425" s="752" t="s">
        <v>38570</v>
      </c>
      <c r="F7425" s="751">
        <v>2725</v>
      </c>
    </row>
    <row r="7426" spans="1:6">
      <c r="A7426" s="753"/>
      <c r="B7426" s="753"/>
      <c r="C7426" s="752" t="s">
        <v>40619</v>
      </c>
      <c r="D7426" s="753" t="s">
        <v>40618</v>
      </c>
      <c r="E7426" s="752" t="s">
        <v>293</v>
      </c>
      <c r="F7426" s="751">
        <v>3375</v>
      </c>
    </row>
    <row r="7427" spans="1:6">
      <c r="A7427" s="753"/>
      <c r="B7427" s="753"/>
      <c r="C7427" s="752" t="s">
        <v>40617</v>
      </c>
      <c r="D7427" s="753" t="s">
        <v>40611</v>
      </c>
      <c r="E7427" s="752" t="s">
        <v>38539</v>
      </c>
      <c r="F7427" s="751">
        <v>3775</v>
      </c>
    </row>
    <row r="7428" spans="1:6">
      <c r="A7428" s="753"/>
      <c r="B7428" s="753"/>
      <c r="C7428" s="752" t="s">
        <v>40616</v>
      </c>
      <c r="D7428" s="753" t="s">
        <v>40615</v>
      </c>
      <c r="E7428" s="752" t="s">
        <v>293</v>
      </c>
      <c r="F7428" s="751">
        <v>2625</v>
      </c>
    </row>
    <row r="7429" spans="1:6">
      <c r="A7429" s="753"/>
      <c r="B7429" s="753"/>
      <c r="C7429" s="752" t="s">
        <v>40614</v>
      </c>
      <c r="D7429" s="753" t="s">
        <v>40613</v>
      </c>
      <c r="E7429" s="752" t="s">
        <v>293</v>
      </c>
      <c r="F7429" s="751">
        <v>3175</v>
      </c>
    </row>
    <row r="7430" spans="1:6">
      <c r="A7430" s="753"/>
      <c r="B7430" s="753"/>
      <c r="C7430" s="752" t="s">
        <v>40612</v>
      </c>
      <c r="D7430" s="753" t="s">
        <v>40611</v>
      </c>
      <c r="E7430" s="752" t="s">
        <v>38539</v>
      </c>
      <c r="F7430" s="751">
        <v>3785</v>
      </c>
    </row>
    <row r="7431" spans="1:6">
      <c r="A7431" s="753"/>
      <c r="B7431" s="753" t="s">
        <v>40610</v>
      </c>
      <c r="C7431" s="752" t="s">
        <v>40609</v>
      </c>
      <c r="D7431" s="753" t="s">
        <v>40607</v>
      </c>
      <c r="E7431" s="752" t="s">
        <v>38570</v>
      </c>
      <c r="F7431" s="751">
        <v>3965</v>
      </c>
    </row>
    <row r="7432" spans="1:6">
      <c r="A7432" s="753"/>
      <c r="B7432" s="753"/>
      <c r="C7432" s="752" t="s">
        <v>40608</v>
      </c>
      <c r="D7432" s="753" t="s">
        <v>40607</v>
      </c>
      <c r="E7432" s="752" t="s">
        <v>38570</v>
      </c>
      <c r="F7432" s="751">
        <v>3965</v>
      </c>
    </row>
    <row r="7433" spans="1:6">
      <c r="A7433" s="753"/>
      <c r="B7433" s="753"/>
      <c r="C7433" s="752" t="s">
        <v>40606</v>
      </c>
      <c r="D7433" s="753" t="s">
        <v>40605</v>
      </c>
      <c r="E7433" s="752" t="s">
        <v>40215</v>
      </c>
      <c r="F7433" s="751">
        <v>2675</v>
      </c>
    </row>
    <row r="7434" spans="1:6">
      <c r="A7434" s="753"/>
      <c r="B7434" s="753"/>
      <c r="C7434" s="752" t="s">
        <v>40604</v>
      </c>
      <c r="D7434" s="753" t="s">
        <v>40598</v>
      </c>
      <c r="E7434" s="752" t="s">
        <v>40215</v>
      </c>
      <c r="F7434" s="751">
        <v>2575</v>
      </c>
    </row>
    <row r="7435" spans="1:6">
      <c r="A7435" s="753"/>
      <c r="B7435" s="753"/>
      <c r="C7435" s="752" t="s">
        <v>40603</v>
      </c>
      <c r="D7435" s="753" t="s">
        <v>40602</v>
      </c>
      <c r="E7435" s="752" t="s">
        <v>40215</v>
      </c>
      <c r="F7435" s="751">
        <v>2475</v>
      </c>
    </row>
    <row r="7436" spans="1:6">
      <c r="A7436" s="753"/>
      <c r="B7436" s="753"/>
      <c r="C7436" s="752" t="s">
        <v>40601</v>
      </c>
      <c r="D7436" s="753" t="s">
        <v>40600</v>
      </c>
      <c r="E7436" s="752" t="s">
        <v>40215</v>
      </c>
      <c r="F7436" s="751">
        <v>3325</v>
      </c>
    </row>
    <row r="7437" spans="1:6">
      <c r="A7437" s="753"/>
      <c r="B7437" s="753"/>
      <c r="C7437" s="752" t="s">
        <v>40599</v>
      </c>
      <c r="D7437" s="753" t="s">
        <v>40598</v>
      </c>
      <c r="E7437" s="752" t="s">
        <v>40215</v>
      </c>
      <c r="F7437" s="751">
        <v>3125</v>
      </c>
    </row>
    <row r="7438" spans="1:6">
      <c r="A7438" s="753"/>
      <c r="B7438" s="753"/>
      <c r="C7438" s="752" t="s">
        <v>40597</v>
      </c>
      <c r="D7438" s="753" t="s">
        <v>40596</v>
      </c>
      <c r="E7438" s="752" t="s">
        <v>40215</v>
      </c>
      <c r="F7438" s="751">
        <v>2775</v>
      </c>
    </row>
    <row r="7439" spans="1:6">
      <c r="A7439" s="753"/>
      <c r="B7439" s="753"/>
      <c r="C7439" s="752" t="s">
        <v>40595</v>
      </c>
      <c r="D7439" s="753" t="s">
        <v>40594</v>
      </c>
      <c r="E7439" s="752" t="s">
        <v>40215</v>
      </c>
      <c r="F7439" s="751">
        <v>3225</v>
      </c>
    </row>
    <row r="7440" spans="1:6">
      <c r="A7440" s="753"/>
      <c r="B7440" s="753"/>
      <c r="C7440" s="752" t="s">
        <v>40593</v>
      </c>
      <c r="D7440" s="753" t="s">
        <v>40592</v>
      </c>
      <c r="E7440" s="752" t="s">
        <v>40215</v>
      </c>
      <c r="F7440" s="751">
        <v>3025</v>
      </c>
    </row>
    <row r="7441" spans="1:6">
      <c r="A7441" s="753"/>
      <c r="B7441" s="753" t="s">
        <v>40591</v>
      </c>
      <c r="C7441" s="752" t="s">
        <v>40590</v>
      </c>
      <c r="D7441" s="753" t="s">
        <v>40587</v>
      </c>
      <c r="E7441" s="752" t="s">
        <v>293</v>
      </c>
      <c r="F7441" s="751">
        <v>2575</v>
      </c>
    </row>
    <row r="7442" spans="1:6">
      <c r="A7442" s="753"/>
      <c r="B7442" s="753"/>
      <c r="C7442" s="752" t="s">
        <v>40589</v>
      </c>
      <c r="D7442" s="753" t="s">
        <v>40587</v>
      </c>
      <c r="E7442" s="752" t="s">
        <v>293</v>
      </c>
      <c r="F7442" s="751">
        <v>2575</v>
      </c>
    </row>
    <row r="7443" spans="1:6">
      <c r="A7443" s="753"/>
      <c r="B7443" s="753"/>
      <c r="C7443" s="752" t="s">
        <v>40588</v>
      </c>
      <c r="D7443" s="753" t="s">
        <v>40587</v>
      </c>
      <c r="E7443" s="752" t="s">
        <v>293</v>
      </c>
      <c r="F7443" s="751">
        <v>2575</v>
      </c>
    </row>
    <row r="7444" spans="1:6">
      <c r="A7444" s="753"/>
      <c r="B7444" s="753"/>
      <c r="C7444" s="752" t="s">
        <v>40586</v>
      </c>
      <c r="D7444" s="753" t="s">
        <v>40585</v>
      </c>
      <c r="E7444" s="752" t="s">
        <v>293</v>
      </c>
      <c r="F7444" s="751">
        <v>3125</v>
      </c>
    </row>
    <row r="7445" spans="1:6">
      <c r="A7445" s="753"/>
      <c r="B7445" s="753"/>
      <c r="C7445" s="752" t="s">
        <v>40584</v>
      </c>
      <c r="D7445" s="753" t="s">
        <v>40582</v>
      </c>
      <c r="E7445" s="752" t="s">
        <v>293</v>
      </c>
      <c r="F7445" s="751">
        <v>2375</v>
      </c>
    </row>
    <row r="7446" spans="1:6">
      <c r="A7446" s="753"/>
      <c r="B7446" s="753"/>
      <c r="C7446" s="752" t="s">
        <v>40583</v>
      </c>
      <c r="D7446" s="753" t="s">
        <v>40582</v>
      </c>
      <c r="E7446" s="752" t="s">
        <v>293</v>
      </c>
      <c r="F7446" s="751">
        <v>2375</v>
      </c>
    </row>
    <row r="7447" spans="1:6">
      <c r="A7447" s="753"/>
      <c r="B7447" s="753"/>
      <c r="C7447" s="752" t="s">
        <v>40581</v>
      </c>
      <c r="D7447" s="753" t="s">
        <v>40579</v>
      </c>
      <c r="E7447" s="752" t="s">
        <v>293</v>
      </c>
      <c r="F7447" s="751">
        <v>2925</v>
      </c>
    </row>
    <row r="7448" spans="1:6">
      <c r="A7448" s="753"/>
      <c r="B7448" s="753"/>
      <c r="C7448" s="752" t="s">
        <v>40580</v>
      </c>
      <c r="D7448" s="753" t="s">
        <v>40579</v>
      </c>
      <c r="E7448" s="752" t="s">
        <v>293</v>
      </c>
      <c r="F7448" s="751">
        <v>2925</v>
      </c>
    </row>
    <row r="7449" spans="1:6">
      <c r="A7449" s="753" t="s">
        <v>40578</v>
      </c>
      <c r="B7449" s="753" t="s">
        <v>40577</v>
      </c>
      <c r="C7449" s="752" t="s">
        <v>40576</v>
      </c>
      <c r="D7449" s="753" t="s">
        <v>40575</v>
      </c>
      <c r="E7449" s="752" t="s">
        <v>37838</v>
      </c>
      <c r="F7449" s="751">
        <v>1975</v>
      </c>
    </row>
    <row r="7450" spans="1:6">
      <c r="A7450" s="753"/>
      <c r="B7450" s="753" t="s">
        <v>40574</v>
      </c>
      <c r="C7450" s="752" t="s">
        <v>40573</v>
      </c>
      <c r="D7450" s="753" t="s">
        <v>40572</v>
      </c>
      <c r="E7450" s="752" t="s">
        <v>37838</v>
      </c>
      <c r="F7450" s="751">
        <v>1975</v>
      </c>
    </row>
    <row r="7451" spans="1:6">
      <c r="A7451" s="753"/>
      <c r="B7451" s="753" t="s">
        <v>40571</v>
      </c>
      <c r="C7451" s="752" t="s">
        <v>40570</v>
      </c>
      <c r="D7451" s="753" t="s">
        <v>40567</v>
      </c>
      <c r="E7451" s="752" t="s">
        <v>37838</v>
      </c>
      <c r="F7451" s="751">
        <v>1975</v>
      </c>
    </row>
    <row r="7452" spans="1:6">
      <c r="A7452" s="753"/>
      <c r="B7452" s="753" t="s">
        <v>40569</v>
      </c>
      <c r="C7452" s="752" t="s">
        <v>40568</v>
      </c>
      <c r="D7452" s="753" t="s">
        <v>40567</v>
      </c>
      <c r="E7452" s="752" t="s">
        <v>39088</v>
      </c>
      <c r="F7452" s="751">
        <v>1975</v>
      </c>
    </row>
    <row r="7453" spans="1:6">
      <c r="A7453" s="753"/>
      <c r="B7453" s="753" t="s">
        <v>40566</v>
      </c>
      <c r="C7453" s="752" t="s">
        <v>40565</v>
      </c>
      <c r="D7453" s="753" t="s">
        <v>40564</v>
      </c>
      <c r="E7453" s="752" t="s">
        <v>293</v>
      </c>
      <c r="F7453" s="751">
        <v>2825</v>
      </c>
    </row>
    <row r="7454" spans="1:6">
      <c r="A7454" s="753"/>
      <c r="B7454" s="753"/>
      <c r="C7454" s="752" t="s">
        <v>40563</v>
      </c>
      <c r="D7454" s="753" t="s">
        <v>40562</v>
      </c>
      <c r="E7454" s="752" t="s">
        <v>293</v>
      </c>
      <c r="F7454" s="751">
        <v>3375</v>
      </c>
    </row>
    <row r="7455" spans="1:6">
      <c r="A7455" s="753"/>
      <c r="B7455" s="753"/>
      <c r="C7455" s="752" t="s">
        <v>40561</v>
      </c>
      <c r="D7455" s="753" t="s">
        <v>40560</v>
      </c>
      <c r="E7455" s="752" t="s">
        <v>293</v>
      </c>
      <c r="F7455" s="751">
        <v>2625</v>
      </c>
    </row>
    <row r="7456" spans="1:6">
      <c r="A7456" s="753"/>
      <c r="B7456" s="753"/>
      <c r="C7456" s="752" t="s">
        <v>40559</v>
      </c>
      <c r="D7456" s="753" t="s">
        <v>40558</v>
      </c>
      <c r="E7456" s="752" t="s">
        <v>293</v>
      </c>
      <c r="F7456" s="751">
        <v>3175</v>
      </c>
    </row>
    <row r="7457" spans="1:6">
      <c r="A7457" s="753"/>
      <c r="B7457" s="753"/>
      <c r="C7457" s="752" t="s">
        <v>40557</v>
      </c>
      <c r="D7457" s="753" t="s">
        <v>40556</v>
      </c>
      <c r="E7457" s="752" t="s">
        <v>37794</v>
      </c>
      <c r="F7457" s="751">
        <v>4035</v>
      </c>
    </row>
    <row r="7458" spans="1:6">
      <c r="A7458" s="753"/>
      <c r="B7458" s="753" t="s">
        <v>40555</v>
      </c>
      <c r="C7458" s="752" t="s">
        <v>40554</v>
      </c>
      <c r="D7458" s="753" t="s">
        <v>40552</v>
      </c>
      <c r="E7458" s="752" t="s">
        <v>293</v>
      </c>
      <c r="F7458" s="751">
        <v>2825</v>
      </c>
    </row>
    <row r="7459" spans="1:6">
      <c r="A7459" s="753"/>
      <c r="B7459" s="753"/>
      <c r="C7459" s="752" t="s">
        <v>40553</v>
      </c>
      <c r="D7459" s="753" t="s">
        <v>40552</v>
      </c>
      <c r="E7459" s="752" t="s">
        <v>293</v>
      </c>
      <c r="F7459" s="751">
        <v>2575</v>
      </c>
    </row>
    <row r="7460" spans="1:6">
      <c r="A7460" s="753"/>
      <c r="B7460" s="753"/>
      <c r="C7460" s="752" t="s">
        <v>40551</v>
      </c>
      <c r="D7460" s="753" t="s">
        <v>40549</v>
      </c>
      <c r="E7460" s="752" t="s">
        <v>293</v>
      </c>
      <c r="F7460" s="751">
        <v>3375</v>
      </c>
    </row>
    <row r="7461" spans="1:6">
      <c r="A7461" s="753"/>
      <c r="B7461" s="753"/>
      <c r="C7461" s="752" t="s">
        <v>40550</v>
      </c>
      <c r="D7461" s="753" t="s">
        <v>40549</v>
      </c>
      <c r="E7461" s="752" t="s">
        <v>293</v>
      </c>
      <c r="F7461" s="751">
        <v>3125</v>
      </c>
    </row>
    <row r="7462" spans="1:6">
      <c r="A7462" s="753"/>
      <c r="B7462" s="753"/>
      <c r="C7462" s="752" t="s">
        <v>40548</v>
      </c>
      <c r="D7462" s="753" t="s">
        <v>40547</v>
      </c>
      <c r="E7462" s="752" t="s">
        <v>293</v>
      </c>
      <c r="F7462" s="751">
        <v>3375</v>
      </c>
    </row>
    <row r="7463" spans="1:6">
      <c r="A7463" s="753"/>
      <c r="B7463" s="753"/>
      <c r="C7463" s="752" t="s">
        <v>40546</v>
      </c>
      <c r="D7463" s="753" t="s">
        <v>40523</v>
      </c>
      <c r="E7463" s="752" t="s">
        <v>293</v>
      </c>
      <c r="F7463" s="751">
        <v>2625</v>
      </c>
    </row>
    <row r="7464" spans="1:6">
      <c r="A7464" s="753"/>
      <c r="B7464" s="753"/>
      <c r="C7464" s="752" t="s">
        <v>40545</v>
      </c>
      <c r="D7464" s="753" t="s">
        <v>40543</v>
      </c>
      <c r="E7464" s="752" t="s">
        <v>293</v>
      </c>
      <c r="F7464" s="751">
        <v>3175</v>
      </c>
    </row>
    <row r="7465" spans="1:6">
      <c r="A7465" s="753"/>
      <c r="B7465" s="753"/>
      <c r="C7465" s="752" t="s">
        <v>40544</v>
      </c>
      <c r="D7465" s="753" t="s">
        <v>40543</v>
      </c>
      <c r="E7465" s="752" t="s">
        <v>293</v>
      </c>
      <c r="F7465" s="751">
        <v>2925</v>
      </c>
    </row>
    <row r="7466" spans="1:6">
      <c r="A7466" s="753"/>
      <c r="B7466" s="753"/>
      <c r="C7466" s="752" t="s">
        <v>40542</v>
      </c>
      <c r="D7466" s="753" t="s">
        <v>40541</v>
      </c>
      <c r="E7466" s="752" t="s">
        <v>293</v>
      </c>
      <c r="F7466" s="751">
        <v>3175</v>
      </c>
    </row>
    <row r="7467" spans="1:6">
      <c r="A7467" s="753"/>
      <c r="B7467" s="753" t="s">
        <v>40540</v>
      </c>
      <c r="C7467" s="752" t="s">
        <v>40539</v>
      </c>
      <c r="D7467" s="753" t="s">
        <v>40538</v>
      </c>
      <c r="E7467" s="752" t="s">
        <v>293</v>
      </c>
      <c r="F7467" s="751">
        <v>2125</v>
      </c>
    </row>
    <row r="7468" spans="1:6">
      <c r="A7468" s="753"/>
      <c r="B7468" s="753" t="s">
        <v>40537</v>
      </c>
      <c r="C7468" s="752" t="s">
        <v>40536</v>
      </c>
      <c r="D7468" s="753" t="s">
        <v>40535</v>
      </c>
      <c r="E7468" s="752" t="s">
        <v>39430</v>
      </c>
      <c r="F7468" s="751">
        <v>2825</v>
      </c>
    </row>
    <row r="7469" spans="1:6">
      <c r="A7469" s="753"/>
      <c r="B7469" s="753" t="s">
        <v>40534</v>
      </c>
      <c r="C7469" s="752" t="s">
        <v>40533</v>
      </c>
      <c r="D7469" s="753" t="s">
        <v>40532</v>
      </c>
      <c r="E7469" s="752" t="s">
        <v>39092</v>
      </c>
      <c r="F7469" s="751">
        <v>3025</v>
      </c>
    </row>
    <row r="7470" spans="1:6">
      <c r="A7470" s="753"/>
      <c r="B7470" s="753" t="s">
        <v>40531</v>
      </c>
      <c r="C7470" s="752" t="s">
        <v>40530</v>
      </c>
      <c r="D7470" s="753" t="s">
        <v>40529</v>
      </c>
      <c r="E7470" s="752" t="s">
        <v>40510</v>
      </c>
      <c r="F7470" s="751">
        <v>2375</v>
      </c>
    </row>
    <row r="7471" spans="1:6">
      <c r="A7471" s="753"/>
      <c r="B7471" s="753" t="s">
        <v>40528</v>
      </c>
      <c r="C7471" s="752" t="s">
        <v>40527</v>
      </c>
      <c r="D7471" s="753" t="s">
        <v>40525</v>
      </c>
      <c r="E7471" s="752" t="s">
        <v>38670</v>
      </c>
      <c r="F7471" s="751">
        <v>3335</v>
      </c>
    </row>
    <row r="7472" spans="1:6">
      <c r="A7472" s="753"/>
      <c r="B7472" s="753"/>
      <c r="C7472" s="752" t="s">
        <v>40526</v>
      </c>
      <c r="D7472" s="753" t="s">
        <v>40525</v>
      </c>
      <c r="E7472" s="752" t="s">
        <v>38670</v>
      </c>
      <c r="F7472" s="751">
        <v>3335</v>
      </c>
    </row>
    <row r="7473" spans="1:6">
      <c r="A7473" s="753"/>
      <c r="B7473" s="753"/>
      <c r="C7473" s="752" t="s">
        <v>40524</v>
      </c>
      <c r="D7473" s="753" t="s">
        <v>40523</v>
      </c>
      <c r="E7473" s="752" t="s">
        <v>293</v>
      </c>
      <c r="F7473" s="751">
        <v>2375</v>
      </c>
    </row>
    <row r="7474" spans="1:6">
      <c r="A7474" s="753"/>
      <c r="B7474" s="753" t="s">
        <v>40522</v>
      </c>
      <c r="C7474" s="752" t="s">
        <v>40521</v>
      </c>
      <c r="D7474" s="753" t="s">
        <v>40519</v>
      </c>
      <c r="E7474" s="752" t="s">
        <v>293</v>
      </c>
      <c r="F7474" s="751">
        <v>2375</v>
      </c>
    </row>
    <row r="7475" spans="1:6">
      <c r="A7475" s="753"/>
      <c r="B7475" s="753"/>
      <c r="C7475" s="752" t="s">
        <v>40520</v>
      </c>
      <c r="D7475" s="753" t="s">
        <v>40519</v>
      </c>
      <c r="E7475" s="752" t="s">
        <v>293</v>
      </c>
      <c r="F7475" s="751">
        <v>2195</v>
      </c>
    </row>
    <row r="7476" spans="1:6">
      <c r="A7476" s="753"/>
      <c r="B7476" s="753" t="s">
        <v>40518</v>
      </c>
      <c r="C7476" s="752" t="s">
        <v>40517</v>
      </c>
      <c r="D7476" s="753" t="s">
        <v>40516</v>
      </c>
      <c r="E7476" s="752" t="s">
        <v>37758</v>
      </c>
      <c r="F7476" s="751">
        <v>2575</v>
      </c>
    </row>
    <row r="7477" spans="1:6">
      <c r="A7477" s="753"/>
      <c r="B7477" s="753"/>
      <c r="C7477" s="752" t="s">
        <v>40515</v>
      </c>
      <c r="D7477" s="753" t="s">
        <v>40514</v>
      </c>
      <c r="E7477" s="752" t="s">
        <v>40510</v>
      </c>
      <c r="F7477" s="751">
        <v>2375</v>
      </c>
    </row>
    <row r="7478" spans="1:6">
      <c r="A7478" s="753"/>
      <c r="B7478" s="753"/>
      <c r="C7478" s="752" t="s">
        <v>40513</v>
      </c>
      <c r="D7478" s="753" t="s">
        <v>40511</v>
      </c>
      <c r="E7478" s="752" t="s">
        <v>40510</v>
      </c>
      <c r="F7478" s="751">
        <v>2925</v>
      </c>
    </row>
    <row r="7479" spans="1:6">
      <c r="A7479" s="753"/>
      <c r="B7479" s="753"/>
      <c r="C7479" s="752" t="s">
        <v>40512</v>
      </c>
      <c r="D7479" s="753" t="s">
        <v>40511</v>
      </c>
      <c r="E7479" s="752" t="s">
        <v>40510</v>
      </c>
      <c r="F7479" s="751">
        <v>2825</v>
      </c>
    </row>
    <row r="7480" spans="1:6">
      <c r="A7480" s="753"/>
      <c r="B7480" s="753" t="s">
        <v>40509</v>
      </c>
      <c r="C7480" s="752" t="s">
        <v>40508</v>
      </c>
      <c r="D7480" s="753" t="s">
        <v>40507</v>
      </c>
      <c r="E7480" s="752" t="s">
        <v>39430</v>
      </c>
      <c r="F7480" s="751">
        <v>2275</v>
      </c>
    </row>
    <row r="7481" spans="1:6">
      <c r="A7481" s="753"/>
      <c r="B7481" s="753" t="s">
        <v>40506</v>
      </c>
      <c r="C7481" s="752" t="s">
        <v>40505</v>
      </c>
      <c r="D7481" s="753" t="s">
        <v>40504</v>
      </c>
      <c r="E7481" s="752" t="s">
        <v>38670</v>
      </c>
      <c r="F7481" s="751">
        <v>3585</v>
      </c>
    </row>
    <row r="7482" spans="1:6">
      <c r="A7482" s="753"/>
      <c r="B7482" s="753"/>
      <c r="C7482" s="752" t="s">
        <v>40503</v>
      </c>
      <c r="D7482" s="753" t="s">
        <v>40500</v>
      </c>
      <c r="E7482" s="752" t="s">
        <v>293</v>
      </c>
      <c r="F7482" s="751">
        <v>2625</v>
      </c>
    </row>
    <row r="7483" spans="1:6">
      <c r="A7483" s="753"/>
      <c r="B7483" s="753"/>
      <c r="C7483" s="752" t="s">
        <v>40502</v>
      </c>
      <c r="D7483" s="753" t="s">
        <v>40500</v>
      </c>
      <c r="E7483" s="752" t="s">
        <v>293</v>
      </c>
      <c r="F7483" s="751">
        <v>2625</v>
      </c>
    </row>
    <row r="7484" spans="1:6">
      <c r="A7484" s="753"/>
      <c r="B7484" s="753"/>
      <c r="C7484" s="752" t="s">
        <v>40501</v>
      </c>
      <c r="D7484" s="753" t="s">
        <v>40500</v>
      </c>
      <c r="E7484" s="752" t="s">
        <v>39740</v>
      </c>
      <c r="F7484" s="751">
        <v>3385</v>
      </c>
    </row>
    <row r="7485" spans="1:6">
      <c r="A7485" s="753"/>
      <c r="B7485" s="753"/>
      <c r="C7485" s="752" t="s">
        <v>40499</v>
      </c>
      <c r="D7485" s="753" t="s">
        <v>40496</v>
      </c>
      <c r="E7485" s="752" t="s">
        <v>293</v>
      </c>
      <c r="F7485" s="751">
        <v>3175</v>
      </c>
    </row>
    <row r="7486" spans="1:6">
      <c r="A7486" s="753"/>
      <c r="B7486" s="753"/>
      <c r="C7486" s="752" t="s">
        <v>40498</v>
      </c>
      <c r="D7486" s="753" t="s">
        <v>40496</v>
      </c>
      <c r="E7486" s="752" t="s">
        <v>38539</v>
      </c>
      <c r="F7486" s="751">
        <v>3175</v>
      </c>
    </row>
    <row r="7487" spans="1:6">
      <c r="A7487" s="753"/>
      <c r="B7487" s="753"/>
      <c r="C7487" s="752" t="s">
        <v>40497</v>
      </c>
      <c r="D7487" s="753" t="s">
        <v>40496</v>
      </c>
      <c r="E7487" s="752" t="s">
        <v>39740</v>
      </c>
      <c r="F7487" s="751">
        <v>3935</v>
      </c>
    </row>
    <row r="7488" spans="1:6">
      <c r="A7488" s="753"/>
      <c r="B7488" s="753"/>
      <c r="C7488" s="752" t="s">
        <v>40495</v>
      </c>
      <c r="D7488" s="753" t="s">
        <v>40494</v>
      </c>
      <c r="E7488" s="752" t="s">
        <v>293</v>
      </c>
      <c r="F7488" s="751">
        <v>3275</v>
      </c>
    </row>
    <row r="7489" spans="1:6">
      <c r="A7489" s="753"/>
      <c r="B7489" s="753" t="s">
        <v>40493</v>
      </c>
      <c r="C7489" s="752" t="s">
        <v>40492</v>
      </c>
      <c r="D7489" s="753" t="s">
        <v>40491</v>
      </c>
      <c r="E7489" s="752" t="s">
        <v>293</v>
      </c>
      <c r="F7489" s="751">
        <v>2375</v>
      </c>
    </row>
    <row r="7490" spans="1:6">
      <c r="A7490" s="753"/>
      <c r="B7490" s="753"/>
      <c r="C7490" s="752" t="s">
        <v>40490</v>
      </c>
      <c r="D7490" s="753" t="s">
        <v>40486</v>
      </c>
      <c r="E7490" s="752" t="s">
        <v>293</v>
      </c>
      <c r="F7490" s="751">
        <v>2575</v>
      </c>
    </row>
    <row r="7491" spans="1:6">
      <c r="A7491" s="753"/>
      <c r="B7491" s="753"/>
      <c r="C7491" s="752" t="s">
        <v>40489</v>
      </c>
      <c r="D7491" s="753" t="s">
        <v>40486</v>
      </c>
      <c r="E7491" s="752" t="s">
        <v>293</v>
      </c>
      <c r="F7491" s="751">
        <v>2575</v>
      </c>
    </row>
    <row r="7492" spans="1:6">
      <c r="A7492" s="753"/>
      <c r="B7492" s="753"/>
      <c r="C7492" s="752" t="s">
        <v>40488</v>
      </c>
      <c r="D7492" s="753" t="s">
        <v>40486</v>
      </c>
      <c r="E7492" s="752" t="s">
        <v>293</v>
      </c>
      <c r="F7492" s="751">
        <v>2575</v>
      </c>
    </row>
    <row r="7493" spans="1:6">
      <c r="A7493" s="753"/>
      <c r="B7493" s="753"/>
      <c r="C7493" s="752" t="s">
        <v>40487</v>
      </c>
      <c r="D7493" s="753" t="s">
        <v>40486</v>
      </c>
      <c r="E7493" s="752" t="s">
        <v>37794</v>
      </c>
      <c r="F7493" s="751">
        <v>3335</v>
      </c>
    </row>
    <row r="7494" spans="1:6">
      <c r="A7494" s="753"/>
      <c r="B7494" s="753"/>
      <c r="C7494" s="752" t="s">
        <v>40485</v>
      </c>
      <c r="D7494" s="753" t="s">
        <v>40484</v>
      </c>
      <c r="E7494" s="752" t="s">
        <v>293</v>
      </c>
      <c r="F7494" s="751">
        <v>3125</v>
      </c>
    </row>
    <row r="7495" spans="1:6">
      <c r="A7495" s="753"/>
      <c r="B7495" s="753"/>
      <c r="C7495" s="752" t="s">
        <v>40483</v>
      </c>
      <c r="D7495" s="753" t="s">
        <v>40420</v>
      </c>
      <c r="E7495" s="752" t="s">
        <v>293</v>
      </c>
      <c r="F7495" s="751">
        <v>2375</v>
      </c>
    </row>
    <row r="7496" spans="1:6">
      <c r="A7496" s="753"/>
      <c r="B7496" s="753"/>
      <c r="C7496" s="752" t="s">
        <v>40482</v>
      </c>
      <c r="D7496" s="753" t="s">
        <v>40420</v>
      </c>
      <c r="E7496" s="752" t="s">
        <v>37794</v>
      </c>
      <c r="F7496" s="751">
        <v>3135</v>
      </c>
    </row>
    <row r="7497" spans="1:6">
      <c r="A7497" s="753"/>
      <c r="B7497" s="753"/>
      <c r="C7497" s="752" t="s">
        <v>40481</v>
      </c>
      <c r="D7497" s="753" t="s">
        <v>40420</v>
      </c>
      <c r="E7497" s="752" t="s">
        <v>40414</v>
      </c>
      <c r="F7497" s="751">
        <v>2375</v>
      </c>
    </row>
    <row r="7498" spans="1:6">
      <c r="A7498" s="753"/>
      <c r="B7498" s="753"/>
      <c r="C7498" s="752" t="s">
        <v>40480</v>
      </c>
      <c r="D7498" s="753" t="s">
        <v>40420</v>
      </c>
      <c r="E7498" s="752" t="s">
        <v>39011</v>
      </c>
      <c r="F7498" s="751">
        <v>3175</v>
      </c>
    </row>
    <row r="7499" spans="1:6">
      <c r="A7499" s="753"/>
      <c r="B7499" s="753"/>
      <c r="C7499" s="752" t="s">
        <v>40479</v>
      </c>
      <c r="D7499" s="753" t="s">
        <v>40420</v>
      </c>
      <c r="E7499" s="752" t="s">
        <v>293</v>
      </c>
      <c r="F7499" s="751">
        <v>2375</v>
      </c>
    </row>
    <row r="7500" spans="1:6">
      <c r="A7500" s="753"/>
      <c r="B7500" s="753"/>
      <c r="C7500" s="752" t="s">
        <v>40478</v>
      </c>
      <c r="D7500" s="753" t="s">
        <v>40420</v>
      </c>
      <c r="E7500" s="752" t="s">
        <v>293</v>
      </c>
      <c r="F7500" s="751">
        <v>2375</v>
      </c>
    </row>
    <row r="7501" spans="1:6">
      <c r="A7501" s="753"/>
      <c r="B7501" s="753"/>
      <c r="C7501" s="752" t="s">
        <v>40477</v>
      </c>
      <c r="D7501" s="753" t="s">
        <v>40420</v>
      </c>
      <c r="E7501" s="752" t="s">
        <v>39170</v>
      </c>
      <c r="F7501" s="751">
        <v>3135</v>
      </c>
    </row>
    <row r="7502" spans="1:6">
      <c r="A7502" s="753"/>
      <c r="B7502" s="753"/>
      <c r="C7502" s="752" t="s">
        <v>40476</v>
      </c>
      <c r="D7502" s="753" t="s">
        <v>40420</v>
      </c>
      <c r="E7502" s="752" t="s">
        <v>40475</v>
      </c>
      <c r="F7502" s="751">
        <v>3135</v>
      </c>
    </row>
    <row r="7503" spans="1:6">
      <c r="A7503" s="753"/>
      <c r="B7503" s="753"/>
      <c r="C7503" s="752" t="s">
        <v>40474</v>
      </c>
      <c r="D7503" s="753" t="s">
        <v>40471</v>
      </c>
      <c r="E7503" s="752" t="s">
        <v>293</v>
      </c>
      <c r="F7503" s="751">
        <v>2925</v>
      </c>
    </row>
    <row r="7504" spans="1:6">
      <c r="A7504" s="753"/>
      <c r="B7504" s="753"/>
      <c r="C7504" s="752" t="s">
        <v>40473</v>
      </c>
      <c r="D7504" s="753" t="s">
        <v>40471</v>
      </c>
      <c r="E7504" s="752" t="s">
        <v>293</v>
      </c>
      <c r="F7504" s="751">
        <v>2925</v>
      </c>
    </row>
    <row r="7505" spans="1:6">
      <c r="A7505" s="753"/>
      <c r="B7505" s="753"/>
      <c r="C7505" s="752" t="s">
        <v>40472</v>
      </c>
      <c r="D7505" s="753" t="s">
        <v>40471</v>
      </c>
      <c r="E7505" s="752" t="s">
        <v>38919</v>
      </c>
      <c r="F7505" s="751">
        <v>3685</v>
      </c>
    </row>
    <row r="7506" spans="1:6">
      <c r="A7506" s="753"/>
      <c r="B7506" s="753"/>
      <c r="C7506" s="752" t="s">
        <v>40470</v>
      </c>
      <c r="D7506" s="753" t="s">
        <v>40468</v>
      </c>
      <c r="E7506" s="752" t="s">
        <v>293</v>
      </c>
      <c r="F7506" s="751">
        <v>2925</v>
      </c>
    </row>
    <row r="7507" spans="1:6">
      <c r="A7507" s="753"/>
      <c r="B7507" s="753"/>
      <c r="C7507" s="752" t="s">
        <v>40469</v>
      </c>
      <c r="D7507" s="753" t="s">
        <v>40468</v>
      </c>
      <c r="E7507" s="752" t="s">
        <v>293</v>
      </c>
      <c r="F7507" s="751">
        <v>2925</v>
      </c>
    </row>
    <row r="7508" spans="1:6">
      <c r="A7508" s="753"/>
      <c r="B7508" s="753"/>
      <c r="C7508" s="752" t="s">
        <v>40467</v>
      </c>
      <c r="D7508" s="753" t="s">
        <v>40466</v>
      </c>
      <c r="E7508" s="752" t="s">
        <v>293</v>
      </c>
      <c r="F7508" s="751">
        <v>2475</v>
      </c>
    </row>
    <row r="7509" spans="1:6">
      <c r="A7509" s="753"/>
      <c r="B7509" s="753"/>
      <c r="C7509" s="752" t="s">
        <v>40465</v>
      </c>
      <c r="D7509" s="753" t="s">
        <v>40420</v>
      </c>
      <c r="E7509" s="752" t="s">
        <v>293</v>
      </c>
      <c r="F7509" s="751">
        <v>2475</v>
      </c>
    </row>
    <row r="7510" spans="1:6">
      <c r="A7510" s="753"/>
      <c r="B7510" s="753"/>
      <c r="C7510" s="752" t="s">
        <v>40464</v>
      </c>
      <c r="D7510" s="753" t="s">
        <v>40462</v>
      </c>
      <c r="E7510" s="752" t="s">
        <v>293</v>
      </c>
      <c r="F7510" s="751">
        <v>3025</v>
      </c>
    </row>
    <row r="7511" spans="1:6">
      <c r="A7511" s="753"/>
      <c r="B7511" s="753"/>
      <c r="C7511" s="752" t="s">
        <v>40463</v>
      </c>
      <c r="D7511" s="753" t="s">
        <v>40462</v>
      </c>
      <c r="E7511" s="752" t="s">
        <v>38919</v>
      </c>
      <c r="F7511" s="751">
        <v>3785</v>
      </c>
    </row>
    <row r="7512" spans="1:6">
      <c r="A7512" s="753"/>
      <c r="B7512" s="753"/>
      <c r="C7512" s="752" t="s">
        <v>40461</v>
      </c>
      <c r="D7512" s="753" t="s">
        <v>40460</v>
      </c>
      <c r="E7512" s="752" t="s">
        <v>293</v>
      </c>
      <c r="F7512" s="751">
        <v>3025</v>
      </c>
    </row>
    <row r="7513" spans="1:6">
      <c r="A7513" s="753"/>
      <c r="B7513" s="753" t="s">
        <v>40459</v>
      </c>
      <c r="C7513" s="752" t="s">
        <v>40458</v>
      </c>
      <c r="D7513" s="753" t="s">
        <v>40457</v>
      </c>
      <c r="E7513" s="752" t="s">
        <v>293</v>
      </c>
      <c r="F7513" s="751">
        <v>2575</v>
      </c>
    </row>
    <row r="7514" spans="1:6">
      <c r="A7514" s="753"/>
      <c r="B7514" s="753"/>
      <c r="C7514" s="752" t="s">
        <v>40456</v>
      </c>
      <c r="D7514" s="753" t="s">
        <v>40455</v>
      </c>
      <c r="E7514" s="752" t="s">
        <v>293</v>
      </c>
      <c r="F7514" s="751">
        <v>3125</v>
      </c>
    </row>
    <row r="7515" spans="1:6">
      <c r="A7515" s="753"/>
      <c r="B7515" s="753"/>
      <c r="C7515" s="752" t="s">
        <v>40454</v>
      </c>
      <c r="D7515" s="753" t="s">
        <v>40450</v>
      </c>
      <c r="E7515" s="752" t="s">
        <v>293</v>
      </c>
      <c r="F7515" s="751">
        <v>2375</v>
      </c>
    </row>
    <row r="7516" spans="1:6">
      <c r="A7516" s="753"/>
      <c r="B7516" s="753"/>
      <c r="C7516" s="752" t="s">
        <v>40453</v>
      </c>
      <c r="D7516" s="753" t="s">
        <v>40450</v>
      </c>
      <c r="E7516" s="752" t="s">
        <v>293</v>
      </c>
      <c r="F7516" s="751">
        <v>2375</v>
      </c>
    </row>
    <row r="7517" spans="1:6">
      <c r="A7517" s="753"/>
      <c r="B7517" s="753"/>
      <c r="C7517" s="752" t="s">
        <v>40452</v>
      </c>
      <c r="D7517" s="753" t="s">
        <v>40450</v>
      </c>
      <c r="E7517" s="752" t="s">
        <v>293</v>
      </c>
      <c r="F7517" s="751">
        <v>2375</v>
      </c>
    </row>
    <row r="7518" spans="1:6">
      <c r="A7518" s="753"/>
      <c r="B7518" s="753"/>
      <c r="C7518" s="752" t="s">
        <v>40451</v>
      </c>
      <c r="D7518" s="753" t="s">
        <v>40450</v>
      </c>
      <c r="E7518" s="752" t="s">
        <v>293</v>
      </c>
      <c r="F7518" s="751">
        <v>2375</v>
      </c>
    </row>
    <row r="7519" spans="1:6">
      <c r="A7519" s="753"/>
      <c r="B7519" s="753"/>
      <c r="C7519" s="752" t="s">
        <v>40449</v>
      </c>
      <c r="D7519" s="753" t="s">
        <v>40446</v>
      </c>
      <c r="E7519" s="752" t="s">
        <v>293</v>
      </c>
      <c r="F7519" s="751">
        <v>3175</v>
      </c>
    </row>
    <row r="7520" spans="1:6">
      <c r="A7520" s="753"/>
      <c r="B7520" s="753"/>
      <c r="C7520" s="752" t="s">
        <v>40448</v>
      </c>
      <c r="D7520" s="753" t="s">
        <v>40446</v>
      </c>
      <c r="E7520" s="752" t="s">
        <v>293</v>
      </c>
      <c r="F7520" s="751">
        <v>2925</v>
      </c>
    </row>
    <row r="7521" spans="1:6">
      <c r="A7521" s="753"/>
      <c r="B7521" s="753"/>
      <c r="C7521" s="752" t="s">
        <v>40447</v>
      </c>
      <c r="D7521" s="753" t="s">
        <v>40446</v>
      </c>
      <c r="E7521" s="752" t="s">
        <v>293</v>
      </c>
      <c r="F7521" s="751">
        <v>2925</v>
      </c>
    </row>
    <row r="7522" spans="1:6">
      <c r="A7522" s="753"/>
      <c r="B7522" s="753" t="s">
        <v>40445</v>
      </c>
      <c r="C7522" s="752" t="s">
        <v>40444</v>
      </c>
      <c r="D7522" s="753" t="s">
        <v>40442</v>
      </c>
      <c r="E7522" s="752" t="s">
        <v>40434</v>
      </c>
      <c r="F7522" s="751">
        <v>3625</v>
      </c>
    </row>
    <row r="7523" spans="1:6">
      <c r="A7523" s="753"/>
      <c r="B7523" s="753"/>
      <c r="C7523" s="752" t="s">
        <v>40443</v>
      </c>
      <c r="D7523" s="753" t="s">
        <v>40442</v>
      </c>
      <c r="E7523" s="752" t="s">
        <v>293</v>
      </c>
      <c r="F7523" s="751">
        <v>2875</v>
      </c>
    </row>
    <row r="7524" spans="1:6">
      <c r="A7524" s="753"/>
      <c r="B7524" s="753"/>
      <c r="C7524" s="752" t="s">
        <v>40441</v>
      </c>
      <c r="D7524" s="753" t="s">
        <v>40440</v>
      </c>
      <c r="E7524" s="752" t="s">
        <v>293</v>
      </c>
      <c r="F7524" s="751">
        <v>4375</v>
      </c>
    </row>
    <row r="7525" spans="1:6">
      <c r="A7525" s="753"/>
      <c r="B7525" s="753"/>
      <c r="C7525" s="752" t="s">
        <v>40439</v>
      </c>
      <c r="D7525" s="753" t="s">
        <v>40437</v>
      </c>
      <c r="E7525" s="752" t="s">
        <v>40434</v>
      </c>
      <c r="F7525" s="751">
        <v>2875</v>
      </c>
    </row>
    <row r="7526" spans="1:6">
      <c r="A7526" s="753"/>
      <c r="B7526" s="753"/>
      <c r="C7526" s="752" t="s">
        <v>40438</v>
      </c>
      <c r="D7526" s="753" t="s">
        <v>40437</v>
      </c>
      <c r="E7526" s="752" t="s">
        <v>40390</v>
      </c>
      <c r="F7526" s="751">
        <v>2125</v>
      </c>
    </row>
    <row r="7527" spans="1:6">
      <c r="A7527" s="753"/>
      <c r="B7527" s="753"/>
      <c r="C7527" s="752" t="s">
        <v>40436</v>
      </c>
      <c r="D7527" s="753" t="s">
        <v>40435</v>
      </c>
      <c r="E7527" s="752" t="s">
        <v>40434</v>
      </c>
      <c r="F7527" s="751">
        <v>3425</v>
      </c>
    </row>
    <row r="7528" spans="1:6">
      <c r="A7528" s="753"/>
      <c r="B7528" s="753" t="s">
        <v>40433</v>
      </c>
      <c r="C7528" s="752" t="s">
        <v>40432</v>
      </c>
      <c r="D7528" s="753" t="s">
        <v>40430</v>
      </c>
      <c r="E7528" s="752" t="s">
        <v>293</v>
      </c>
      <c r="F7528" s="751">
        <v>2575</v>
      </c>
    </row>
    <row r="7529" spans="1:6">
      <c r="A7529" s="753"/>
      <c r="B7529" s="753"/>
      <c r="C7529" s="752" t="s">
        <v>40431</v>
      </c>
      <c r="D7529" s="753" t="s">
        <v>40430</v>
      </c>
      <c r="E7529" s="752" t="s">
        <v>38670</v>
      </c>
      <c r="F7529" s="751">
        <v>3335</v>
      </c>
    </row>
    <row r="7530" spans="1:6">
      <c r="A7530" s="753"/>
      <c r="B7530" s="753"/>
      <c r="C7530" s="752" t="s">
        <v>40429</v>
      </c>
      <c r="D7530" s="753" t="s">
        <v>40428</v>
      </c>
      <c r="E7530" s="752" t="s">
        <v>293</v>
      </c>
      <c r="F7530" s="751">
        <v>3875</v>
      </c>
    </row>
    <row r="7531" spans="1:6">
      <c r="A7531" s="753"/>
      <c r="B7531" s="753"/>
      <c r="C7531" s="752" t="s">
        <v>40427</v>
      </c>
      <c r="D7531" s="753" t="s">
        <v>40426</v>
      </c>
      <c r="E7531" s="752" t="s">
        <v>293</v>
      </c>
      <c r="F7531" s="751">
        <v>2625</v>
      </c>
    </row>
    <row r="7532" spans="1:6">
      <c r="A7532" s="753"/>
      <c r="B7532" s="753"/>
      <c r="C7532" s="752" t="s">
        <v>40425</v>
      </c>
      <c r="D7532" s="753" t="s">
        <v>40424</v>
      </c>
      <c r="E7532" s="752" t="s">
        <v>293</v>
      </c>
      <c r="F7532" s="751">
        <v>3175</v>
      </c>
    </row>
    <row r="7533" spans="1:6">
      <c r="A7533" s="753"/>
      <c r="B7533" s="753" t="s">
        <v>40423</v>
      </c>
      <c r="C7533" s="752" t="s">
        <v>40422</v>
      </c>
      <c r="D7533" s="753" t="s">
        <v>40420</v>
      </c>
      <c r="E7533" s="752" t="s">
        <v>293</v>
      </c>
      <c r="F7533" s="751">
        <v>2375</v>
      </c>
    </row>
    <row r="7534" spans="1:6">
      <c r="A7534" s="753"/>
      <c r="B7534" s="753"/>
      <c r="C7534" s="752" t="s">
        <v>40421</v>
      </c>
      <c r="D7534" s="753" t="s">
        <v>40420</v>
      </c>
      <c r="E7534" s="752" t="s">
        <v>40414</v>
      </c>
      <c r="F7534" s="751">
        <v>2375</v>
      </c>
    </row>
    <row r="7535" spans="1:6">
      <c r="A7535" s="753"/>
      <c r="B7535" s="753"/>
      <c r="C7535" s="752" t="s">
        <v>40419</v>
      </c>
      <c r="D7535" s="753" t="s">
        <v>40418</v>
      </c>
      <c r="E7535" s="752" t="s">
        <v>293</v>
      </c>
      <c r="F7535" s="751">
        <v>3125</v>
      </c>
    </row>
    <row r="7536" spans="1:6">
      <c r="A7536" s="753"/>
      <c r="B7536" s="753"/>
      <c r="C7536" s="752" t="s">
        <v>40417</v>
      </c>
      <c r="D7536" s="753" t="s">
        <v>40415</v>
      </c>
      <c r="E7536" s="752" t="s">
        <v>293</v>
      </c>
      <c r="F7536" s="751">
        <v>2375</v>
      </c>
    </row>
    <row r="7537" spans="1:6">
      <c r="A7537" s="753"/>
      <c r="B7537" s="753"/>
      <c r="C7537" s="752" t="s">
        <v>40416</v>
      </c>
      <c r="D7537" s="753" t="s">
        <v>40415</v>
      </c>
      <c r="E7537" s="752" t="s">
        <v>40414</v>
      </c>
      <c r="F7537" s="751">
        <v>2375</v>
      </c>
    </row>
    <row r="7538" spans="1:6">
      <c r="A7538" s="753"/>
      <c r="B7538" s="753"/>
      <c r="C7538" s="752" t="s">
        <v>40413</v>
      </c>
      <c r="D7538" s="753" t="s">
        <v>40412</v>
      </c>
      <c r="E7538" s="752" t="s">
        <v>293</v>
      </c>
      <c r="F7538" s="751">
        <v>2925</v>
      </c>
    </row>
    <row r="7539" spans="1:6">
      <c r="A7539" s="753"/>
      <c r="B7539" s="753" t="s">
        <v>40411</v>
      </c>
      <c r="C7539" s="752" t="s">
        <v>40410</v>
      </c>
      <c r="D7539" s="753" t="s">
        <v>40408</v>
      </c>
      <c r="E7539" s="752" t="s">
        <v>293</v>
      </c>
      <c r="F7539" s="751">
        <v>2045</v>
      </c>
    </row>
    <row r="7540" spans="1:6">
      <c r="A7540" s="753"/>
      <c r="B7540" s="753"/>
      <c r="C7540" s="752" t="s">
        <v>40409</v>
      </c>
      <c r="D7540" s="753" t="s">
        <v>40408</v>
      </c>
      <c r="E7540" s="752" t="s">
        <v>40407</v>
      </c>
      <c r="F7540" s="751">
        <v>1975</v>
      </c>
    </row>
    <row r="7541" spans="1:6">
      <c r="A7541" s="753"/>
      <c r="B7541" s="753" t="s">
        <v>40406</v>
      </c>
      <c r="C7541" s="752" t="s">
        <v>40405</v>
      </c>
      <c r="D7541" s="753" t="s">
        <v>40404</v>
      </c>
      <c r="E7541" s="752" t="s">
        <v>293</v>
      </c>
      <c r="F7541" s="751">
        <v>5345</v>
      </c>
    </row>
    <row r="7542" spans="1:6">
      <c r="A7542" s="753"/>
      <c r="B7542" s="753"/>
      <c r="C7542" s="752" t="s">
        <v>40403</v>
      </c>
      <c r="D7542" s="753" t="s">
        <v>40402</v>
      </c>
      <c r="E7542" s="752" t="s">
        <v>38581</v>
      </c>
      <c r="F7542" s="751">
        <v>4525</v>
      </c>
    </row>
    <row r="7543" spans="1:6">
      <c r="A7543" s="753"/>
      <c r="B7543" s="753"/>
      <c r="C7543" s="752" t="s">
        <v>40401</v>
      </c>
      <c r="D7543" s="753" t="s">
        <v>40399</v>
      </c>
      <c r="E7543" s="752" t="s">
        <v>293</v>
      </c>
      <c r="F7543" s="751">
        <v>2325</v>
      </c>
    </row>
    <row r="7544" spans="1:6">
      <c r="A7544" s="753"/>
      <c r="B7544" s="753"/>
      <c r="C7544" s="752" t="s">
        <v>40400</v>
      </c>
      <c r="D7544" s="753" t="s">
        <v>40399</v>
      </c>
      <c r="E7544" s="752" t="s">
        <v>38584</v>
      </c>
      <c r="F7544" s="751">
        <v>4075</v>
      </c>
    </row>
    <row r="7545" spans="1:6">
      <c r="A7545" s="753"/>
      <c r="B7545" s="753"/>
      <c r="C7545" s="752" t="s">
        <v>40398</v>
      </c>
      <c r="D7545" s="753" t="s">
        <v>40392</v>
      </c>
      <c r="E7545" s="752" t="s">
        <v>38581</v>
      </c>
      <c r="F7545" s="751">
        <v>4425</v>
      </c>
    </row>
    <row r="7546" spans="1:6">
      <c r="A7546" s="753"/>
      <c r="B7546" s="753"/>
      <c r="C7546" s="752" t="s">
        <v>40397</v>
      </c>
      <c r="D7546" s="753" t="s">
        <v>40392</v>
      </c>
      <c r="E7546" s="752" t="s">
        <v>38581</v>
      </c>
      <c r="F7546" s="751">
        <v>4375</v>
      </c>
    </row>
    <row r="7547" spans="1:6">
      <c r="A7547" s="753"/>
      <c r="B7547" s="753"/>
      <c r="C7547" s="752" t="s">
        <v>40396</v>
      </c>
      <c r="D7547" s="753" t="s">
        <v>40392</v>
      </c>
      <c r="E7547" s="752" t="s">
        <v>37750</v>
      </c>
      <c r="F7547" s="751">
        <v>3625</v>
      </c>
    </row>
    <row r="7548" spans="1:6">
      <c r="A7548" s="753"/>
      <c r="B7548" s="753"/>
      <c r="C7548" s="752" t="s">
        <v>40395</v>
      </c>
      <c r="D7548" s="753" t="s">
        <v>40392</v>
      </c>
      <c r="E7548" s="752" t="s">
        <v>40394</v>
      </c>
      <c r="F7548" s="751">
        <v>4385</v>
      </c>
    </row>
    <row r="7549" spans="1:6">
      <c r="A7549" s="753"/>
      <c r="B7549" s="753"/>
      <c r="C7549" s="752" t="s">
        <v>40393</v>
      </c>
      <c r="D7549" s="753" t="s">
        <v>40392</v>
      </c>
      <c r="E7549" s="752" t="s">
        <v>38342</v>
      </c>
      <c r="F7549" s="751">
        <v>3625</v>
      </c>
    </row>
    <row r="7550" spans="1:6">
      <c r="A7550" s="753"/>
      <c r="B7550" s="753"/>
      <c r="C7550" s="752" t="s">
        <v>40391</v>
      </c>
      <c r="D7550" s="753" t="s">
        <v>40388</v>
      </c>
      <c r="E7550" s="752" t="s">
        <v>40390</v>
      </c>
      <c r="F7550" s="751">
        <v>3925</v>
      </c>
    </row>
    <row r="7551" spans="1:6">
      <c r="A7551" s="753"/>
      <c r="B7551" s="753"/>
      <c r="C7551" s="752" t="s">
        <v>40389</v>
      </c>
      <c r="D7551" s="753" t="s">
        <v>40388</v>
      </c>
      <c r="E7551" s="752" t="s">
        <v>40387</v>
      </c>
      <c r="F7551" s="751">
        <v>4685</v>
      </c>
    </row>
    <row r="7552" spans="1:6">
      <c r="A7552" s="753"/>
      <c r="B7552" s="753"/>
      <c r="C7552" s="752" t="s">
        <v>40386</v>
      </c>
      <c r="D7552" s="753" t="s">
        <v>40383</v>
      </c>
      <c r="E7552" s="752" t="s">
        <v>38581</v>
      </c>
      <c r="F7552" s="751">
        <v>4175</v>
      </c>
    </row>
    <row r="7553" spans="1:6">
      <c r="A7553" s="753"/>
      <c r="B7553" s="753"/>
      <c r="C7553" s="752" t="s">
        <v>40385</v>
      </c>
      <c r="D7553" s="753" t="s">
        <v>40383</v>
      </c>
      <c r="E7553" s="752" t="s">
        <v>293</v>
      </c>
      <c r="F7553" s="751">
        <v>3425</v>
      </c>
    </row>
    <row r="7554" spans="1:6">
      <c r="A7554" s="753"/>
      <c r="B7554" s="753"/>
      <c r="C7554" s="752" t="s">
        <v>40384</v>
      </c>
      <c r="D7554" s="753" t="s">
        <v>40383</v>
      </c>
      <c r="E7554" s="752" t="s">
        <v>293</v>
      </c>
      <c r="F7554" s="751">
        <v>4175</v>
      </c>
    </row>
    <row r="7555" spans="1:6">
      <c r="A7555" s="753"/>
      <c r="B7555" s="753"/>
      <c r="C7555" s="752" t="s">
        <v>40382</v>
      </c>
      <c r="D7555" s="753" t="s">
        <v>40381</v>
      </c>
      <c r="E7555" s="752" t="s">
        <v>37750</v>
      </c>
      <c r="F7555" s="751">
        <v>3275</v>
      </c>
    </row>
    <row r="7556" spans="1:6">
      <c r="A7556" s="753" t="s">
        <v>40380</v>
      </c>
      <c r="B7556" s="753" t="s">
        <v>40379</v>
      </c>
      <c r="C7556" s="752" t="s">
        <v>40378</v>
      </c>
      <c r="D7556" s="753" t="s">
        <v>40377</v>
      </c>
      <c r="E7556" s="752" t="s">
        <v>37838</v>
      </c>
      <c r="F7556" s="751">
        <v>1975</v>
      </c>
    </row>
    <row r="7557" spans="1:6">
      <c r="A7557" s="753"/>
      <c r="B7557" s="753" t="s">
        <v>40376</v>
      </c>
      <c r="C7557" s="752" t="s">
        <v>40375</v>
      </c>
      <c r="D7557" s="753" t="s">
        <v>40373</v>
      </c>
      <c r="E7557" s="752" t="s">
        <v>293</v>
      </c>
      <c r="F7557" s="751">
        <v>2575</v>
      </c>
    </row>
    <row r="7558" spans="1:6">
      <c r="A7558" s="753"/>
      <c r="B7558" s="753"/>
      <c r="C7558" s="752" t="s">
        <v>40374</v>
      </c>
      <c r="D7558" s="753" t="s">
        <v>40373</v>
      </c>
      <c r="E7558" s="752" t="s">
        <v>293</v>
      </c>
      <c r="F7558" s="751">
        <v>2825</v>
      </c>
    </row>
    <row r="7559" spans="1:6">
      <c r="A7559" s="753"/>
      <c r="B7559" s="753"/>
      <c r="C7559" s="752" t="s">
        <v>40372</v>
      </c>
      <c r="D7559" s="753" t="s">
        <v>40368</v>
      </c>
      <c r="E7559" s="752" t="s">
        <v>293</v>
      </c>
      <c r="F7559" s="751">
        <v>3125</v>
      </c>
    </row>
    <row r="7560" spans="1:6">
      <c r="A7560" s="753"/>
      <c r="B7560" s="753"/>
      <c r="C7560" s="752" t="s">
        <v>40371</v>
      </c>
      <c r="D7560" s="753" t="s">
        <v>40368</v>
      </c>
      <c r="E7560" s="752" t="s">
        <v>38577</v>
      </c>
      <c r="F7560" s="751">
        <v>3885</v>
      </c>
    </row>
    <row r="7561" spans="1:6">
      <c r="A7561" s="753"/>
      <c r="B7561" s="753"/>
      <c r="C7561" s="752" t="s">
        <v>40370</v>
      </c>
      <c r="D7561" s="753" t="s">
        <v>40368</v>
      </c>
      <c r="E7561" s="752" t="s">
        <v>293</v>
      </c>
      <c r="F7561" s="751">
        <v>3125</v>
      </c>
    </row>
    <row r="7562" spans="1:6">
      <c r="A7562" s="753"/>
      <c r="B7562" s="753"/>
      <c r="C7562" s="752" t="s">
        <v>40369</v>
      </c>
      <c r="D7562" s="753" t="s">
        <v>40368</v>
      </c>
      <c r="E7562" s="752" t="s">
        <v>38577</v>
      </c>
      <c r="F7562" s="751">
        <v>3885</v>
      </c>
    </row>
    <row r="7563" spans="1:6">
      <c r="A7563" s="753"/>
      <c r="B7563" s="753"/>
      <c r="C7563" s="752" t="s">
        <v>40367</v>
      </c>
      <c r="D7563" s="753" t="s">
        <v>40365</v>
      </c>
      <c r="E7563" s="752" t="s">
        <v>293</v>
      </c>
      <c r="F7563" s="751">
        <v>2375</v>
      </c>
    </row>
    <row r="7564" spans="1:6">
      <c r="A7564" s="753"/>
      <c r="B7564" s="753"/>
      <c r="C7564" s="752" t="s">
        <v>40366</v>
      </c>
      <c r="D7564" s="753" t="s">
        <v>40365</v>
      </c>
      <c r="E7564" s="752" t="s">
        <v>293</v>
      </c>
      <c r="F7564" s="751">
        <v>2375</v>
      </c>
    </row>
    <row r="7565" spans="1:6">
      <c r="A7565" s="753"/>
      <c r="B7565" s="753"/>
      <c r="C7565" s="752" t="s">
        <v>40364</v>
      </c>
      <c r="D7565" s="753" t="s">
        <v>40362</v>
      </c>
      <c r="E7565" s="752" t="s">
        <v>293</v>
      </c>
      <c r="F7565" s="751">
        <v>2925</v>
      </c>
    </row>
    <row r="7566" spans="1:6">
      <c r="A7566" s="753"/>
      <c r="B7566" s="753"/>
      <c r="C7566" s="752" t="s">
        <v>40363</v>
      </c>
      <c r="D7566" s="753" t="s">
        <v>40362</v>
      </c>
      <c r="E7566" s="752" t="s">
        <v>293</v>
      </c>
      <c r="F7566" s="751">
        <v>2925</v>
      </c>
    </row>
    <row r="7567" spans="1:6">
      <c r="A7567" s="753"/>
      <c r="B7567" s="753" t="s">
        <v>40361</v>
      </c>
      <c r="C7567" s="752" t="s">
        <v>40360</v>
      </c>
      <c r="D7567" s="753" t="s">
        <v>40357</v>
      </c>
      <c r="E7567" s="752" t="s">
        <v>293</v>
      </c>
      <c r="F7567" s="751">
        <v>2825</v>
      </c>
    </row>
    <row r="7568" spans="1:6">
      <c r="A7568" s="753"/>
      <c r="B7568" s="753"/>
      <c r="C7568" s="752" t="s">
        <v>40359</v>
      </c>
      <c r="D7568" s="753" t="s">
        <v>40357</v>
      </c>
      <c r="E7568" s="752" t="s">
        <v>293</v>
      </c>
      <c r="F7568" s="751">
        <v>2825</v>
      </c>
    </row>
    <row r="7569" spans="1:6">
      <c r="A7569" s="753"/>
      <c r="B7569" s="753"/>
      <c r="C7569" s="752" t="s">
        <v>40358</v>
      </c>
      <c r="D7569" s="753" t="s">
        <v>40357</v>
      </c>
      <c r="E7569" s="752" t="s">
        <v>293</v>
      </c>
      <c r="F7569" s="751">
        <v>2825</v>
      </c>
    </row>
    <row r="7570" spans="1:6">
      <c r="A7570" s="753"/>
      <c r="B7570" s="753"/>
      <c r="C7570" s="752" t="s">
        <v>40356</v>
      </c>
      <c r="D7570" s="753" t="s">
        <v>40354</v>
      </c>
      <c r="E7570" s="752" t="s">
        <v>293</v>
      </c>
      <c r="F7570" s="751">
        <v>3375</v>
      </c>
    </row>
    <row r="7571" spans="1:6">
      <c r="A7571" s="753"/>
      <c r="B7571" s="753"/>
      <c r="C7571" s="752" t="s">
        <v>40355</v>
      </c>
      <c r="D7571" s="753" t="s">
        <v>40354</v>
      </c>
      <c r="E7571" s="752" t="s">
        <v>293</v>
      </c>
      <c r="F7571" s="751">
        <v>3375</v>
      </c>
    </row>
    <row r="7572" spans="1:6">
      <c r="A7572" s="753"/>
      <c r="B7572" s="753"/>
      <c r="C7572" s="752" t="s">
        <v>40353</v>
      </c>
      <c r="D7572" s="753" t="s">
        <v>40349</v>
      </c>
      <c r="E7572" s="752" t="s">
        <v>40352</v>
      </c>
      <c r="F7572" s="751">
        <v>2625</v>
      </c>
    </row>
    <row r="7573" spans="1:6">
      <c r="A7573" s="753"/>
      <c r="B7573" s="753"/>
      <c r="C7573" s="752" t="s">
        <v>40351</v>
      </c>
      <c r="D7573" s="753" t="s">
        <v>40349</v>
      </c>
      <c r="E7573" s="752" t="s">
        <v>293</v>
      </c>
      <c r="F7573" s="751">
        <v>2625</v>
      </c>
    </row>
    <row r="7574" spans="1:6">
      <c r="A7574" s="753"/>
      <c r="B7574" s="753"/>
      <c r="C7574" s="752" t="s">
        <v>40350</v>
      </c>
      <c r="D7574" s="753" t="s">
        <v>40349</v>
      </c>
      <c r="E7574" s="752" t="s">
        <v>39011</v>
      </c>
      <c r="F7574" s="751">
        <v>3385</v>
      </c>
    </row>
    <row r="7575" spans="1:6">
      <c r="A7575" s="753"/>
      <c r="B7575" s="753"/>
      <c r="C7575" s="752" t="s">
        <v>40348</v>
      </c>
      <c r="D7575" s="753" t="s">
        <v>40346</v>
      </c>
      <c r="E7575" s="752" t="s">
        <v>293</v>
      </c>
      <c r="F7575" s="751">
        <v>3175</v>
      </c>
    </row>
    <row r="7576" spans="1:6">
      <c r="A7576" s="753"/>
      <c r="B7576" s="753"/>
      <c r="C7576" s="752" t="s">
        <v>40347</v>
      </c>
      <c r="D7576" s="753" t="s">
        <v>40346</v>
      </c>
      <c r="E7576" s="752" t="s">
        <v>293</v>
      </c>
      <c r="F7576" s="751">
        <v>3175</v>
      </c>
    </row>
    <row r="7577" spans="1:6">
      <c r="A7577" s="753"/>
      <c r="B7577" s="753"/>
      <c r="C7577" s="752" t="s">
        <v>40345</v>
      </c>
      <c r="D7577" s="753" t="s">
        <v>40344</v>
      </c>
      <c r="E7577" s="752" t="s">
        <v>293</v>
      </c>
      <c r="F7577" s="751">
        <v>3175</v>
      </c>
    </row>
    <row r="7578" spans="1:6">
      <c r="A7578" s="753"/>
      <c r="B7578" s="753" t="s">
        <v>40343</v>
      </c>
      <c r="C7578" s="752" t="s">
        <v>40342</v>
      </c>
      <c r="D7578" s="753" t="s">
        <v>40340</v>
      </c>
      <c r="E7578" s="752" t="s">
        <v>39691</v>
      </c>
      <c r="F7578" s="751">
        <v>2825</v>
      </c>
    </row>
    <row r="7579" spans="1:6">
      <c r="A7579" s="753"/>
      <c r="B7579" s="753"/>
      <c r="C7579" s="752" t="s">
        <v>40341</v>
      </c>
      <c r="D7579" s="753" t="s">
        <v>40340</v>
      </c>
      <c r="E7579" s="752" t="s">
        <v>39681</v>
      </c>
      <c r="F7579" s="751">
        <v>2825</v>
      </c>
    </row>
    <row r="7580" spans="1:6">
      <c r="A7580" s="753"/>
      <c r="B7580" s="753"/>
      <c r="C7580" s="752" t="s">
        <v>40339</v>
      </c>
      <c r="D7580" s="753" t="s">
        <v>40337</v>
      </c>
      <c r="E7580" s="752" t="s">
        <v>39691</v>
      </c>
      <c r="F7580" s="751">
        <v>3375</v>
      </c>
    </row>
    <row r="7581" spans="1:6">
      <c r="A7581" s="753"/>
      <c r="B7581" s="753"/>
      <c r="C7581" s="752" t="s">
        <v>40338</v>
      </c>
      <c r="D7581" s="753" t="s">
        <v>40337</v>
      </c>
      <c r="E7581" s="752" t="s">
        <v>39681</v>
      </c>
      <c r="F7581" s="751">
        <v>3375</v>
      </c>
    </row>
    <row r="7582" spans="1:6">
      <c r="A7582" s="753"/>
      <c r="B7582" s="753"/>
      <c r="C7582" s="752" t="s">
        <v>40336</v>
      </c>
      <c r="D7582" s="753" t="s">
        <v>40334</v>
      </c>
      <c r="E7582" s="752" t="s">
        <v>39691</v>
      </c>
      <c r="F7582" s="751">
        <v>2625</v>
      </c>
    </row>
    <row r="7583" spans="1:6">
      <c r="A7583" s="753"/>
      <c r="B7583" s="753"/>
      <c r="C7583" s="752" t="s">
        <v>40335</v>
      </c>
      <c r="D7583" s="753" t="s">
        <v>40334</v>
      </c>
      <c r="E7583" s="752" t="s">
        <v>39681</v>
      </c>
      <c r="F7583" s="751">
        <v>2625</v>
      </c>
    </row>
    <row r="7584" spans="1:6">
      <c r="A7584" s="753"/>
      <c r="B7584" s="753"/>
      <c r="C7584" s="752" t="s">
        <v>40333</v>
      </c>
      <c r="D7584" s="753" t="s">
        <v>40331</v>
      </c>
      <c r="E7584" s="752" t="s">
        <v>39691</v>
      </c>
      <c r="F7584" s="751">
        <v>3175</v>
      </c>
    </row>
    <row r="7585" spans="1:6">
      <c r="A7585" s="753"/>
      <c r="B7585" s="753"/>
      <c r="C7585" s="752" t="s">
        <v>40332</v>
      </c>
      <c r="D7585" s="753" t="s">
        <v>40331</v>
      </c>
      <c r="E7585" s="752" t="s">
        <v>39681</v>
      </c>
      <c r="F7585" s="751">
        <v>3175</v>
      </c>
    </row>
    <row r="7586" spans="1:6">
      <c r="A7586" s="753" t="s">
        <v>40330</v>
      </c>
      <c r="B7586" s="753" t="s">
        <v>40329</v>
      </c>
      <c r="C7586" s="752" t="s">
        <v>40328</v>
      </c>
      <c r="D7586" s="753" t="s">
        <v>40327</v>
      </c>
      <c r="E7586" s="752" t="s">
        <v>293</v>
      </c>
      <c r="F7586" s="751">
        <v>2125</v>
      </c>
    </row>
    <row r="7587" spans="1:6">
      <c r="A7587" s="753"/>
      <c r="B7587" s="753"/>
      <c r="C7587" s="752" t="s">
        <v>40326</v>
      </c>
      <c r="D7587" s="753" t="s">
        <v>40325</v>
      </c>
      <c r="E7587" s="752" t="s">
        <v>293</v>
      </c>
      <c r="F7587" s="751">
        <v>1925</v>
      </c>
    </row>
    <row r="7588" spans="1:6">
      <c r="A7588" s="753"/>
      <c r="B7588" s="753" t="s">
        <v>40324</v>
      </c>
      <c r="C7588" s="752" t="s">
        <v>40323</v>
      </c>
      <c r="D7588" s="753" t="s">
        <v>40322</v>
      </c>
      <c r="E7588" s="752" t="s">
        <v>293</v>
      </c>
      <c r="F7588" s="751">
        <v>2325</v>
      </c>
    </row>
    <row r="7589" spans="1:6">
      <c r="A7589" s="753"/>
      <c r="B7589" s="753"/>
      <c r="C7589" s="752" t="s">
        <v>40321</v>
      </c>
      <c r="D7589" s="753" t="s">
        <v>40320</v>
      </c>
      <c r="E7589" s="752" t="s">
        <v>293</v>
      </c>
      <c r="F7589" s="751">
        <v>2125</v>
      </c>
    </row>
    <row r="7590" spans="1:6">
      <c r="A7590" s="753"/>
      <c r="B7590" s="753" t="s">
        <v>40319</v>
      </c>
      <c r="C7590" s="752" t="s">
        <v>40318</v>
      </c>
      <c r="D7590" s="753" t="s">
        <v>40317</v>
      </c>
      <c r="E7590" s="752" t="s">
        <v>37838</v>
      </c>
      <c r="F7590" s="751">
        <v>2125</v>
      </c>
    </row>
    <row r="7591" spans="1:6">
      <c r="A7591" s="753" t="s">
        <v>7312</v>
      </c>
      <c r="B7591" s="753" t="s">
        <v>40316</v>
      </c>
      <c r="C7591" s="752" t="s">
        <v>40315</v>
      </c>
      <c r="D7591" s="753" t="s">
        <v>40314</v>
      </c>
      <c r="E7591" s="752" t="s">
        <v>293</v>
      </c>
      <c r="F7591" s="751">
        <v>2575</v>
      </c>
    </row>
    <row r="7592" spans="1:6">
      <c r="A7592" s="753"/>
      <c r="B7592" s="753"/>
      <c r="C7592" s="752" t="s">
        <v>40313</v>
      </c>
      <c r="D7592" s="753" t="s">
        <v>40312</v>
      </c>
      <c r="E7592" s="752" t="s">
        <v>293</v>
      </c>
      <c r="F7592" s="751">
        <v>3125</v>
      </c>
    </row>
    <row r="7593" spans="1:6">
      <c r="A7593" s="753"/>
      <c r="B7593" s="753"/>
      <c r="C7593" s="752" t="s">
        <v>40311</v>
      </c>
      <c r="D7593" s="753" t="s">
        <v>40310</v>
      </c>
      <c r="E7593" s="752" t="s">
        <v>293</v>
      </c>
      <c r="F7593" s="751">
        <v>2625</v>
      </c>
    </row>
    <row r="7594" spans="1:6">
      <c r="A7594" s="753"/>
      <c r="B7594" s="753"/>
      <c r="C7594" s="752" t="s">
        <v>40309</v>
      </c>
      <c r="D7594" s="753" t="s">
        <v>40308</v>
      </c>
      <c r="E7594" s="752" t="s">
        <v>293</v>
      </c>
      <c r="F7594" s="751">
        <v>3175</v>
      </c>
    </row>
    <row r="7595" spans="1:6">
      <c r="A7595" s="753"/>
      <c r="B7595" s="753" t="s">
        <v>40307</v>
      </c>
      <c r="C7595" s="752" t="s">
        <v>40306</v>
      </c>
      <c r="D7595" s="753" t="s">
        <v>40305</v>
      </c>
      <c r="E7595" s="752" t="s">
        <v>37838</v>
      </c>
      <c r="F7595" s="751">
        <v>1975</v>
      </c>
    </row>
    <row r="7596" spans="1:6">
      <c r="A7596" s="753"/>
      <c r="B7596" s="753" t="s">
        <v>40304</v>
      </c>
      <c r="C7596" s="752" t="s">
        <v>40303</v>
      </c>
      <c r="D7596" s="753" t="s">
        <v>40302</v>
      </c>
      <c r="E7596" s="752" t="s">
        <v>293</v>
      </c>
      <c r="F7596" s="751">
        <v>2575</v>
      </c>
    </row>
    <row r="7597" spans="1:6">
      <c r="A7597" s="753"/>
      <c r="B7597" s="753"/>
      <c r="C7597" s="752" t="s">
        <v>40301</v>
      </c>
      <c r="D7597" s="753" t="s">
        <v>40300</v>
      </c>
      <c r="E7597" s="752" t="s">
        <v>293</v>
      </c>
      <c r="F7597" s="751">
        <v>3125</v>
      </c>
    </row>
    <row r="7598" spans="1:6">
      <c r="A7598" s="753"/>
      <c r="B7598" s="753"/>
      <c r="C7598" s="752" t="s">
        <v>40299</v>
      </c>
      <c r="D7598" s="753" t="s">
        <v>40298</v>
      </c>
      <c r="E7598" s="752" t="s">
        <v>293</v>
      </c>
      <c r="F7598" s="751">
        <v>2625</v>
      </c>
    </row>
    <row r="7599" spans="1:6">
      <c r="A7599" s="753"/>
      <c r="B7599" s="753"/>
      <c r="C7599" s="752" t="s">
        <v>40297</v>
      </c>
      <c r="D7599" s="753" t="s">
        <v>40295</v>
      </c>
      <c r="E7599" s="752" t="s">
        <v>293</v>
      </c>
      <c r="F7599" s="751">
        <v>3175</v>
      </c>
    </row>
    <row r="7600" spans="1:6">
      <c r="A7600" s="753"/>
      <c r="B7600" s="753"/>
      <c r="C7600" s="752" t="s">
        <v>40296</v>
      </c>
      <c r="D7600" s="753" t="s">
        <v>40295</v>
      </c>
      <c r="E7600" s="752" t="s">
        <v>293</v>
      </c>
      <c r="F7600" s="751">
        <v>3175</v>
      </c>
    </row>
    <row r="7601" spans="1:6">
      <c r="A7601" s="753"/>
      <c r="B7601" s="753" t="s">
        <v>40294</v>
      </c>
      <c r="C7601" s="752" t="s">
        <v>40293</v>
      </c>
      <c r="D7601" s="753" t="s">
        <v>40292</v>
      </c>
      <c r="E7601" s="752" t="s">
        <v>38570</v>
      </c>
      <c r="F7601" s="751">
        <v>5145</v>
      </c>
    </row>
    <row r="7602" spans="1:6">
      <c r="A7602" s="753"/>
      <c r="B7602" s="753"/>
      <c r="C7602" s="752" t="s">
        <v>40291</v>
      </c>
      <c r="D7602" s="753" t="s">
        <v>40288</v>
      </c>
      <c r="E7602" s="752" t="s">
        <v>293</v>
      </c>
      <c r="F7602" s="751">
        <v>2575</v>
      </c>
    </row>
    <row r="7603" spans="1:6">
      <c r="A7603" s="753"/>
      <c r="B7603" s="753"/>
      <c r="C7603" s="752" t="s">
        <v>40290</v>
      </c>
      <c r="D7603" s="753" t="s">
        <v>40288</v>
      </c>
      <c r="E7603" s="752" t="s">
        <v>293</v>
      </c>
      <c r="F7603" s="751">
        <v>2575</v>
      </c>
    </row>
    <row r="7604" spans="1:6">
      <c r="A7604" s="753"/>
      <c r="B7604" s="753"/>
      <c r="C7604" s="752" t="s">
        <v>40289</v>
      </c>
      <c r="D7604" s="753" t="s">
        <v>40288</v>
      </c>
      <c r="E7604" s="752" t="s">
        <v>293</v>
      </c>
      <c r="F7604" s="751">
        <v>2575</v>
      </c>
    </row>
    <row r="7605" spans="1:6">
      <c r="A7605" s="753"/>
      <c r="B7605" s="753"/>
      <c r="C7605" s="752" t="s">
        <v>40287</v>
      </c>
      <c r="D7605" s="753" t="s">
        <v>40286</v>
      </c>
      <c r="E7605" s="752" t="s">
        <v>293</v>
      </c>
      <c r="F7605" s="751">
        <v>3125</v>
      </c>
    </row>
    <row r="7606" spans="1:6">
      <c r="A7606" s="753"/>
      <c r="B7606" s="753"/>
      <c r="C7606" s="752" t="s">
        <v>40285</v>
      </c>
      <c r="D7606" s="753" t="s">
        <v>40273</v>
      </c>
      <c r="E7606" s="752" t="s">
        <v>293</v>
      </c>
      <c r="F7606" s="751">
        <v>3125</v>
      </c>
    </row>
    <row r="7607" spans="1:6">
      <c r="A7607" s="753"/>
      <c r="B7607" s="753"/>
      <c r="C7607" s="752" t="s">
        <v>40284</v>
      </c>
      <c r="D7607" s="753" t="s">
        <v>40282</v>
      </c>
      <c r="E7607" s="752" t="s">
        <v>293</v>
      </c>
      <c r="F7607" s="751">
        <v>2375</v>
      </c>
    </row>
    <row r="7608" spans="1:6">
      <c r="A7608" s="753"/>
      <c r="B7608" s="753"/>
      <c r="C7608" s="752" t="s">
        <v>40283</v>
      </c>
      <c r="D7608" s="753" t="s">
        <v>40282</v>
      </c>
      <c r="E7608" s="752" t="s">
        <v>293</v>
      </c>
      <c r="F7608" s="751">
        <v>2375</v>
      </c>
    </row>
    <row r="7609" spans="1:6">
      <c r="A7609" s="753"/>
      <c r="B7609" s="753"/>
      <c r="C7609" s="752" t="s">
        <v>40281</v>
      </c>
      <c r="D7609" s="753" t="s">
        <v>40279</v>
      </c>
      <c r="E7609" s="752" t="s">
        <v>293</v>
      </c>
      <c r="F7609" s="751">
        <v>2925</v>
      </c>
    </row>
    <row r="7610" spans="1:6">
      <c r="A7610" s="753"/>
      <c r="B7610" s="753"/>
      <c r="C7610" s="752" t="s">
        <v>40280</v>
      </c>
      <c r="D7610" s="753" t="s">
        <v>40279</v>
      </c>
      <c r="E7610" s="752" t="s">
        <v>39996</v>
      </c>
      <c r="F7610" s="751">
        <v>2925</v>
      </c>
    </row>
    <row r="7611" spans="1:6">
      <c r="A7611" s="753"/>
      <c r="B7611" s="753"/>
      <c r="C7611" s="752" t="s">
        <v>40278</v>
      </c>
      <c r="D7611" s="753" t="s">
        <v>40277</v>
      </c>
      <c r="E7611" s="752" t="s">
        <v>293</v>
      </c>
      <c r="F7611" s="751">
        <v>2475</v>
      </c>
    </row>
    <row r="7612" spans="1:6">
      <c r="A7612" s="753"/>
      <c r="B7612" s="753"/>
      <c r="C7612" s="752" t="s">
        <v>40276</v>
      </c>
      <c r="D7612" s="753" t="s">
        <v>40275</v>
      </c>
      <c r="E7612" s="752" t="s">
        <v>293</v>
      </c>
      <c r="F7612" s="751">
        <v>3025</v>
      </c>
    </row>
    <row r="7613" spans="1:6">
      <c r="A7613" s="753"/>
      <c r="B7613" s="753"/>
      <c r="C7613" s="752" t="s">
        <v>40274</v>
      </c>
      <c r="D7613" s="753" t="s">
        <v>40273</v>
      </c>
      <c r="E7613" s="752" t="s">
        <v>293</v>
      </c>
      <c r="F7613" s="751">
        <v>2325</v>
      </c>
    </row>
    <row r="7614" spans="1:6">
      <c r="A7614" s="753"/>
      <c r="B7614" s="753"/>
      <c r="C7614" s="752" t="s">
        <v>40272</v>
      </c>
      <c r="D7614" s="753" t="s">
        <v>40271</v>
      </c>
      <c r="E7614" s="752" t="s">
        <v>293</v>
      </c>
      <c r="F7614" s="751">
        <v>3025</v>
      </c>
    </row>
    <row r="7615" spans="1:6">
      <c r="A7615" s="753"/>
      <c r="B7615" s="753"/>
      <c r="C7615" s="752" t="s">
        <v>40270</v>
      </c>
      <c r="D7615" s="753" t="s">
        <v>40269</v>
      </c>
      <c r="E7615" s="752" t="s">
        <v>38570</v>
      </c>
      <c r="F7615" s="751">
        <v>3615</v>
      </c>
    </row>
    <row r="7616" spans="1:6">
      <c r="A7616" s="753"/>
      <c r="B7616" s="753" t="s">
        <v>40268</v>
      </c>
      <c r="C7616" s="752" t="s">
        <v>40267</v>
      </c>
      <c r="D7616" s="753" t="s">
        <v>40265</v>
      </c>
      <c r="E7616" s="752" t="s">
        <v>293</v>
      </c>
      <c r="F7616" s="751">
        <v>3375</v>
      </c>
    </row>
    <row r="7617" spans="1:6">
      <c r="A7617" s="753"/>
      <c r="B7617" s="753"/>
      <c r="C7617" s="752" t="s">
        <v>40266</v>
      </c>
      <c r="D7617" s="753" t="s">
        <v>40265</v>
      </c>
      <c r="E7617" s="752" t="s">
        <v>39011</v>
      </c>
      <c r="F7617" s="751">
        <v>4135</v>
      </c>
    </row>
    <row r="7618" spans="1:6">
      <c r="A7618" s="753"/>
      <c r="B7618" s="753"/>
      <c r="C7618" s="752" t="s">
        <v>40264</v>
      </c>
      <c r="D7618" s="753" t="s">
        <v>40263</v>
      </c>
      <c r="E7618" s="752" t="s">
        <v>293</v>
      </c>
      <c r="F7618" s="751">
        <v>2325</v>
      </c>
    </row>
    <row r="7619" spans="1:6">
      <c r="A7619" s="753"/>
      <c r="B7619" s="753"/>
      <c r="C7619" s="752" t="s">
        <v>40262</v>
      </c>
      <c r="D7619" s="753" t="s">
        <v>40261</v>
      </c>
      <c r="E7619" s="752" t="s">
        <v>293</v>
      </c>
      <c r="F7619" s="751">
        <v>2125</v>
      </c>
    </row>
    <row r="7620" spans="1:6">
      <c r="A7620" s="753" t="s">
        <v>5158</v>
      </c>
      <c r="B7620" s="753" t="s">
        <v>40256</v>
      </c>
      <c r="C7620" s="752" t="s">
        <v>40260</v>
      </c>
      <c r="D7620" s="753" t="s">
        <v>40256</v>
      </c>
      <c r="E7620" s="752" t="s">
        <v>37838</v>
      </c>
      <c r="F7620" s="751">
        <v>1975</v>
      </c>
    </row>
    <row r="7621" spans="1:6">
      <c r="A7621" s="753"/>
      <c r="B7621" s="753"/>
      <c r="C7621" s="752" t="s">
        <v>40259</v>
      </c>
      <c r="D7621" s="753" t="s">
        <v>40256</v>
      </c>
      <c r="E7621" s="752" t="s">
        <v>37838</v>
      </c>
      <c r="F7621" s="751">
        <v>1975</v>
      </c>
    </row>
    <row r="7622" spans="1:6">
      <c r="A7622" s="753"/>
      <c r="B7622" s="753"/>
      <c r="C7622" s="752" t="s">
        <v>40258</v>
      </c>
      <c r="D7622" s="753" t="s">
        <v>40256</v>
      </c>
      <c r="E7622" s="752" t="s">
        <v>37838</v>
      </c>
      <c r="F7622" s="751">
        <v>1975</v>
      </c>
    </row>
    <row r="7623" spans="1:6">
      <c r="A7623" s="753"/>
      <c r="B7623" s="753"/>
      <c r="C7623" s="752" t="s">
        <v>40257</v>
      </c>
      <c r="D7623" s="753" t="s">
        <v>40256</v>
      </c>
      <c r="E7623" s="752" t="s">
        <v>37838</v>
      </c>
      <c r="F7623" s="751">
        <v>1975</v>
      </c>
    </row>
    <row r="7624" spans="1:6">
      <c r="A7624" s="753"/>
      <c r="B7624" s="753"/>
      <c r="C7624" s="752" t="s">
        <v>40255</v>
      </c>
      <c r="D7624" s="753" t="s">
        <v>40251</v>
      </c>
      <c r="E7624" s="752" t="s">
        <v>37838</v>
      </c>
      <c r="F7624" s="751">
        <v>1975</v>
      </c>
    </row>
    <row r="7625" spans="1:6">
      <c r="A7625" s="753"/>
      <c r="B7625" s="753"/>
      <c r="C7625" s="752" t="s">
        <v>40254</v>
      </c>
      <c r="D7625" s="753" t="s">
        <v>40253</v>
      </c>
      <c r="E7625" s="752" t="s">
        <v>37838</v>
      </c>
      <c r="F7625" s="751">
        <v>2375</v>
      </c>
    </row>
    <row r="7626" spans="1:6">
      <c r="A7626" s="753"/>
      <c r="B7626" s="753"/>
      <c r="C7626" s="752" t="s">
        <v>40252</v>
      </c>
      <c r="D7626" s="753" t="s">
        <v>40251</v>
      </c>
      <c r="E7626" s="752" t="s">
        <v>37838</v>
      </c>
      <c r="F7626" s="751">
        <v>2375</v>
      </c>
    </row>
    <row r="7627" spans="1:6">
      <c r="A7627" s="753"/>
      <c r="B7627" s="753" t="s">
        <v>40250</v>
      </c>
      <c r="C7627" s="752" t="s">
        <v>40249</v>
      </c>
      <c r="D7627" s="753" t="s">
        <v>40243</v>
      </c>
      <c r="E7627" s="752" t="s">
        <v>293</v>
      </c>
      <c r="F7627" s="751">
        <v>3915</v>
      </c>
    </row>
    <row r="7628" spans="1:6">
      <c r="A7628" s="753"/>
      <c r="B7628" s="753"/>
      <c r="C7628" s="752" t="s">
        <v>40248</v>
      </c>
      <c r="D7628" s="753" t="s">
        <v>40243</v>
      </c>
      <c r="E7628" s="752" t="s">
        <v>38584</v>
      </c>
      <c r="F7628" s="751">
        <v>3915</v>
      </c>
    </row>
    <row r="7629" spans="1:6">
      <c r="A7629" s="753"/>
      <c r="B7629" s="753"/>
      <c r="C7629" s="752" t="s">
        <v>40247</v>
      </c>
      <c r="D7629" s="753" t="s">
        <v>40243</v>
      </c>
      <c r="E7629" s="752" t="s">
        <v>40211</v>
      </c>
      <c r="F7629" s="751">
        <v>4675</v>
      </c>
    </row>
    <row r="7630" spans="1:6">
      <c r="A7630" s="753"/>
      <c r="B7630" s="753"/>
      <c r="C7630" s="752" t="s">
        <v>40246</v>
      </c>
      <c r="D7630" s="753" t="s">
        <v>40243</v>
      </c>
      <c r="E7630" s="752" t="s">
        <v>293</v>
      </c>
      <c r="F7630" s="751">
        <v>4465</v>
      </c>
    </row>
    <row r="7631" spans="1:6">
      <c r="A7631" s="753"/>
      <c r="B7631" s="753"/>
      <c r="C7631" s="752" t="s">
        <v>40245</v>
      </c>
      <c r="D7631" s="753" t="s">
        <v>40243</v>
      </c>
      <c r="E7631" s="752" t="s">
        <v>38584</v>
      </c>
      <c r="F7631" s="751">
        <v>4825</v>
      </c>
    </row>
    <row r="7632" spans="1:6">
      <c r="A7632" s="753"/>
      <c r="B7632" s="753"/>
      <c r="C7632" s="752" t="s">
        <v>40244</v>
      </c>
      <c r="D7632" s="753" t="s">
        <v>40243</v>
      </c>
      <c r="E7632" s="752" t="s">
        <v>38810</v>
      </c>
      <c r="F7632" s="751">
        <v>5225</v>
      </c>
    </row>
    <row r="7633" spans="1:6">
      <c r="A7633" s="753"/>
      <c r="B7633" s="753"/>
      <c r="C7633" s="752" t="s">
        <v>40242</v>
      </c>
      <c r="D7633" s="753" t="s">
        <v>40180</v>
      </c>
      <c r="E7633" s="752" t="s">
        <v>40215</v>
      </c>
      <c r="F7633" s="751">
        <v>3875</v>
      </c>
    </row>
    <row r="7634" spans="1:6">
      <c r="A7634" s="753"/>
      <c r="B7634" s="753"/>
      <c r="C7634" s="752" t="s">
        <v>40241</v>
      </c>
      <c r="D7634" s="753" t="s">
        <v>40180</v>
      </c>
      <c r="E7634" s="752" t="s">
        <v>39119</v>
      </c>
      <c r="F7634" s="751">
        <v>3875</v>
      </c>
    </row>
    <row r="7635" spans="1:6">
      <c r="A7635" s="753"/>
      <c r="B7635" s="753"/>
      <c r="C7635" s="752" t="s">
        <v>40240</v>
      </c>
      <c r="D7635" s="753" t="s">
        <v>40238</v>
      </c>
      <c r="E7635" s="752" t="s">
        <v>293</v>
      </c>
      <c r="F7635" s="751">
        <v>5195</v>
      </c>
    </row>
    <row r="7636" spans="1:6">
      <c r="A7636" s="753"/>
      <c r="B7636" s="753"/>
      <c r="C7636" s="752" t="s">
        <v>40239</v>
      </c>
      <c r="D7636" s="753" t="s">
        <v>40238</v>
      </c>
      <c r="E7636" s="752" t="s">
        <v>293</v>
      </c>
      <c r="F7636" s="751">
        <v>5195</v>
      </c>
    </row>
    <row r="7637" spans="1:6">
      <c r="A7637" s="753"/>
      <c r="B7637" s="753"/>
      <c r="C7637" s="752" t="s">
        <v>40237</v>
      </c>
      <c r="D7637" s="753" t="s">
        <v>40177</v>
      </c>
      <c r="E7637" s="752" t="s">
        <v>40176</v>
      </c>
      <c r="F7637" s="751">
        <v>5995</v>
      </c>
    </row>
    <row r="7638" spans="1:6">
      <c r="A7638" s="753"/>
      <c r="B7638" s="753"/>
      <c r="C7638" s="752" t="s">
        <v>40236</v>
      </c>
      <c r="D7638" s="753" t="s">
        <v>40235</v>
      </c>
      <c r="E7638" s="752" t="s">
        <v>40234</v>
      </c>
      <c r="F7638" s="751">
        <v>5925</v>
      </c>
    </row>
    <row r="7639" spans="1:6">
      <c r="A7639" s="753"/>
      <c r="B7639" s="753"/>
      <c r="C7639" s="752" t="s">
        <v>40233</v>
      </c>
      <c r="D7639" s="753" t="s">
        <v>40232</v>
      </c>
      <c r="E7639" s="752" t="s">
        <v>38570</v>
      </c>
      <c r="F7639" s="751">
        <v>2925</v>
      </c>
    </row>
    <row r="7640" spans="1:6">
      <c r="A7640" s="753"/>
      <c r="B7640" s="753"/>
      <c r="C7640" s="752" t="s">
        <v>40231</v>
      </c>
      <c r="D7640" s="753" t="s">
        <v>40228</v>
      </c>
      <c r="E7640" s="752" t="s">
        <v>40230</v>
      </c>
      <c r="F7640" s="751">
        <v>3975</v>
      </c>
    </row>
    <row r="7641" spans="1:6">
      <c r="A7641" s="753"/>
      <c r="B7641" s="753"/>
      <c r="C7641" s="752" t="s">
        <v>40229</v>
      </c>
      <c r="D7641" s="753" t="s">
        <v>40228</v>
      </c>
      <c r="E7641" s="752" t="s">
        <v>40179</v>
      </c>
      <c r="F7641" s="751">
        <v>4235</v>
      </c>
    </row>
    <row r="7642" spans="1:6">
      <c r="A7642" s="753"/>
      <c r="B7642" s="753"/>
      <c r="C7642" s="752" t="s">
        <v>40227</v>
      </c>
      <c r="D7642" s="753" t="s">
        <v>40219</v>
      </c>
      <c r="E7642" s="752" t="s">
        <v>293</v>
      </c>
      <c r="F7642" s="751">
        <v>2825</v>
      </c>
    </row>
    <row r="7643" spans="1:6">
      <c r="A7643" s="753"/>
      <c r="B7643" s="753"/>
      <c r="C7643" s="752" t="s">
        <v>40226</v>
      </c>
      <c r="D7643" s="753" t="s">
        <v>40219</v>
      </c>
      <c r="E7643" s="752" t="s">
        <v>40225</v>
      </c>
      <c r="F7643" s="751">
        <v>2425</v>
      </c>
    </row>
    <row r="7644" spans="1:6">
      <c r="A7644" s="753"/>
      <c r="B7644" s="753"/>
      <c r="C7644" s="752" t="s">
        <v>40224</v>
      </c>
      <c r="D7644" s="753" t="s">
        <v>40219</v>
      </c>
      <c r="E7644" s="752" t="s">
        <v>40176</v>
      </c>
      <c r="F7644" s="751">
        <v>2825</v>
      </c>
    </row>
    <row r="7645" spans="1:6">
      <c r="A7645" s="753"/>
      <c r="B7645" s="753"/>
      <c r="C7645" s="752" t="s">
        <v>40223</v>
      </c>
      <c r="D7645" s="753" t="s">
        <v>40219</v>
      </c>
      <c r="E7645" s="752" t="s">
        <v>40222</v>
      </c>
      <c r="F7645" s="751">
        <v>3335</v>
      </c>
    </row>
    <row r="7646" spans="1:6">
      <c r="A7646" s="753"/>
      <c r="B7646" s="753"/>
      <c r="C7646" s="752" t="s">
        <v>40221</v>
      </c>
      <c r="D7646" s="753" t="s">
        <v>40219</v>
      </c>
      <c r="E7646" s="752" t="s">
        <v>38584</v>
      </c>
      <c r="F7646" s="751">
        <v>2825</v>
      </c>
    </row>
    <row r="7647" spans="1:6">
      <c r="A7647" s="753"/>
      <c r="B7647" s="753"/>
      <c r="C7647" s="752" t="s">
        <v>40220</v>
      </c>
      <c r="D7647" s="753" t="s">
        <v>40219</v>
      </c>
      <c r="E7647" s="752" t="s">
        <v>38810</v>
      </c>
      <c r="F7647" s="751">
        <v>3585</v>
      </c>
    </row>
    <row r="7648" spans="1:6">
      <c r="A7648" s="753"/>
      <c r="B7648" s="753"/>
      <c r="C7648" s="752" t="s">
        <v>40218</v>
      </c>
      <c r="D7648" s="753" t="s">
        <v>40212</v>
      </c>
      <c r="E7648" s="752" t="s">
        <v>293</v>
      </c>
      <c r="F7648" s="751">
        <v>3375</v>
      </c>
    </row>
    <row r="7649" spans="1:6">
      <c r="A7649" s="753"/>
      <c r="B7649" s="753"/>
      <c r="C7649" s="752" t="s">
        <v>40217</v>
      </c>
      <c r="D7649" s="753" t="s">
        <v>40212</v>
      </c>
      <c r="E7649" s="752" t="s">
        <v>293</v>
      </c>
      <c r="F7649" s="751">
        <v>3375</v>
      </c>
    </row>
    <row r="7650" spans="1:6">
      <c r="A7650" s="753"/>
      <c r="B7650" s="753"/>
      <c r="C7650" s="752" t="s">
        <v>40216</v>
      </c>
      <c r="D7650" s="753" t="s">
        <v>40212</v>
      </c>
      <c r="E7650" s="752" t="s">
        <v>40215</v>
      </c>
      <c r="F7650" s="751">
        <v>3375</v>
      </c>
    </row>
    <row r="7651" spans="1:6">
      <c r="A7651" s="753"/>
      <c r="B7651" s="753"/>
      <c r="C7651" s="752" t="s">
        <v>40214</v>
      </c>
      <c r="D7651" s="753" t="s">
        <v>40212</v>
      </c>
      <c r="E7651" s="752" t="s">
        <v>38584</v>
      </c>
      <c r="F7651" s="751">
        <v>3375</v>
      </c>
    </row>
    <row r="7652" spans="1:6">
      <c r="A7652" s="753"/>
      <c r="B7652" s="753"/>
      <c r="C7652" s="752" t="s">
        <v>40213</v>
      </c>
      <c r="D7652" s="753" t="s">
        <v>40212</v>
      </c>
      <c r="E7652" s="752" t="s">
        <v>40211</v>
      </c>
      <c r="F7652" s="751">
        <v>4135</v>
      </c>
    </row>
    <row r="7653" spans="1:6">
      <c r="A7653" s="753"/>
      <c r="B7653" s="753"/>
      <c r="C7653" s="752" t="s">
        <v>40210</v>
      </c>
      <c r="D7653" s="753" t="s">
        <v>40182</v>
      </c>
      <c r="E7653" s="752" t="s">
        <v>293</v>
      </c>
      <c r="F7653" s="751">
        <v>3375</v>
      </c>
    </row>
    <row r="7654" spans="1:6">
      <c r="A7654" s="753"/>
      <c r="B7654" s="753"/>
      <c r="C7654" s="752" t="s">
        <v>40209</v>
      </c>
      <c r="D7654" s="753" t="s">
        <v>40204</v>
      </c>
      <c r="E7654" s="752" t="s">
        <v>293</v>
      </c>
      <c r="F7654" s="751">
        <v>2625</v>
      </c>
    </row>
    <row r="7655" spans="1:6">
      <c r="A7655" s="753"/>
      <c r="B7655" s="753"/>
      <c r="C7655" s="752" t="s">
        <v>40208</v>
      </c>
      <c r="D7655" s="753" t="s">
        <v>40204</v>
      </c>
      <c r="E7655" s="752" t="s">
        <v>40207</v>
      </c>
      <c r="F7655" s="751">
        <v>2125</v>
      </c>
    </row>
    <row r="7656" spans="1:6">
      <c r="A7656" s="753"/>
      <c r="B7656" s="753"/>
      <c r="C7656" s="752" t="s">
        <v>40206</v>
      </c>
      <c r="D7656" s="753" t="s">
        <v>40204</v>
      </c>
      <c r="E7656" s="752" t="s">
        <v>38584</v>
      </c>
      <c r="F7656" s="751">
        <v>2625</v>
      </c>
    </row>
    <row r="7657" spans="1:6">
      <c r="A7657" s="753"/>
      <c r="B7657" s="753"/>
      <c r="C7657" s="752" t="s">
        <v>40205</v>
      </c>
      <c r="D7657" s="753" t="s">
        <v>40204</v>
      </c>
      <c r="E7657" s="752" t="s">
        <v>38962</v>
      </c>
      <c r="F7657" s="751">
        <v>2125</v>
      </c>
    </row>
    <row r="7658" spans="1:6">
      <c r="A7658" s="753"/>
      <c r="B7658" s="753"/>
      <c r="C7658" s="752" t="s">
        <v>40203</v>
      </c>
      <c r="D7658" s="753" t="s">
        <v>40198</v>
      </c>
      <c r="E7658" s="752" t="s">
        <v>293</v>
      </c>
      <c r="F7658" s="751">
        <v>3175</v>
      </c>
    </row>
    <row r="7659" spans="1:6">
      <c r="A7659" s="753"/>
      <c r="B7659" s="753"/>
      <c r="C7659" s="752" t="s">
        <v>40202</v>
      </c>
      <c r="D7659" s="753" t="s">
        <v>40198</v>
      </c>
      <c r="E7659" s="752" t="s">
        <v>38570</v>
      </c>
      <c r="F7659" s="751">
        <v>3175</v>
      </c>
    </row>
    <row r="7660" spans="1:6">
      <c r="A7660" s="753"/>
      <c r="B7660" s="753"/>
      <c r="C7660" s="752" t="s">
        <v>40201</v>
      </c>
      <c r="D7660" s="753" t="s">
        <v>40198</v>
      </c>
      <c r="E7660" s="752" t="s">
        <v>40200</v>
      </c>
      <c r="F7660" s="751">
        <v>3935</v>
      </c>
    </row>
    <row r="7661" spans="1:6">
      <c r="A7661" s="753"/>
      <c r="B7661" s="753"/>
      <c r="C7661" s="752" t="s">
        <v>40199</v>
      </c>
      <c r="D7661" s="753" t="s">
        <v>40198</v>
      </c>
      <c r="E7661" s="752" t="s">
        <v>40197</v>
      </c>
      <c r="F7661" s="751">
        <v>3935</v>
      </c>
    </row>
    <row r="7662" spans="1:6">
      <c r="A7662" s="753"/>
      <c r="B7662" s="753"/>
      <c r="C7662" s="752" t="s">
        <v>40196</v>
      </c>
      <c r="D7662" s="753" t="s">
        <v>40195</v>
      </c>
      <c r="E7662" s="752" t="s">
        <v>293</v>
      </c>
      <c r="F7662" s="751">
        <v>3175</v>
      </c>
    </row>
    <row r="7663" spans="1:6">
      <c r="A7663" s="753"/>
      <c r="B7663" s="753"/>
      <c r="C7663" s="752" t="s">
        <v>40194</v>
      </c>
      <c r="D7663" s="753" t="s">
        <v>40192</v>
      </c>
      <c r="E7663" s="752" t="s">
        <v>38570</v>
      </c>
      <c r="F7663" s="751">
        <v>2725</v>
      </c>
    </row>
    <row r="7664" spans="1:6">
      <c r="A7664" s="753"/>
      <c r="B7664" s="753"/>
      <c r="C7664" s="752" t="s">
        <v>40193</v>
      </c>
      <c r="D7664" s="753" t="s">
        <v>40192</v>
      </c>
      <c r="E7664" s="752" t="s">
        <v>38584</v>
      </c>
      <c r="F7664" s="751">
        <v>2725</v>
      </c>
    </row>
    <row r="7665" spans="1:6">
      <c r="A7665" s="753"/>
      <c r="B7665" s="753"/>
      <c r="C7665" s="752" t="s">
        <v>40191</v>
      </c>
      <c r="D7665" s="753" t="s">
        <v>40190</v>
      </c>
      <c r="E7665" s="752" t="s">
        <v>38584</v>
      </c>
      <c r="F7665" s="751">
        <v>3275</v>
      </c>
    </row>
    <row r="7666" spans="1:6">
      <c r="A7666" s="753"/>
      <c r="B7666" s="753"/>
      <c r="C7666" s="752" t="s">
        <v>40189</v>
      </c>
      <c r="D7666" s="753" t="s">
        <v>40188</v>
      </c>
      <c r="E7666" s="752" t="s">
        <v>37794</v>
      </c>
      <c r="F7666" s="751">
        <v>4035</v>
      </c>
    </row>
    <row r="7667" spans="1:6">
      <c r="A7667" s="753"/>
      <c r="B7667" s="753"/>
      <c r="C7667" s="752" t="s">
        <v>40187</v>
      </c>
      <c r="D7667" s="753" t="s">
        <v>40186</v>
      </c>
      <c r="E7667" s="752" t="s">
        <v>38570</v>
      </c>
      <c r="F7667" s="751">
        <v>3275</v>
      </c>
    </row>
    <row r="7668" spans="1:6">
      <c r="A7668" s="753"/>
      <c r="B7668" s="753"/>
      <c r="C7668" s="752" t="s">
        <v>40185</v>
      </c>
      <c r="D7668" s="753" t="s">
        <v>40184</v>
      </c>
      <c r="E7668" s="752" t="s">
        <v>38584</v>
      </c>
      <c r="F7668" s="751">
        <v>4745</v>
      </c>
    </row>
    <row r="7669" spans="1:6">
      <c r="A7669" s="753"/>
      <c r="B7669" s="753"/>
      <c r="C7669" s="752" t="s">
        <v>40183</v>
      </c>
      <c r="D7669" s="753" t="s">
        <v>40182</v>
      </c>
      <c r="E7669" s="752" t="s">
        <v>40176</v>
      </c>
      <c r="F7669" s="751">
        <v>3375</v>
      </c>
    </row>
    <row r="7670" spans="1:6">
      <c r="A7670" s="753"/>
      <c r="B7670" s="753"/>
      <c r="C7670" s="752" t="s">
        <v>40181</v>
      </c>
      <c r="D7670" s="753" t="s">
        <v>40180</v>
      </c>
      <c r="E7670" s="752" t="s">
        <v>40179</v>
      </c>
      <c r="F7670" s="751">
        <v>4585</v>
      </c>
    </row>
    <row r="7671" spans="1:6">
      <c r="A7671" s="753"/>
      <c r="B7671" s="753"/>
      <c r="C7671" s="752" t="s">
        <v>40178</v>
      </c>
      <c r="D7671" s="753" t="s">
        <v>40177</v>
      </c>
      <c r="E7671" s="752" t="s">
        <v>40176</v>
      </c>
      <c r="F7671" s="751">
        <v>6545</v>
      </c>
    </row>
    <row r="7672" spans="1:6">
      <c r="A7672" s="753"/>
      <c r="B7672" s="753" t="s">
        <v>40175</v>
      </c>
      <c r="C7672" s="752" t="s">
        <v>40174</v>
      </c>
      <c r="D7672" s="753" t="s">
        <v>40169</v>
      </c>
      <c r="E7672" s="752" t="s">
        <v>38331</v>
      </c>
      <c r="F7672" s="751">
        <v>4670</v>
      </c>
    </row>
    <row r="7673" spans="1:6">
      <c r="A7673" s="753"/>
      <c r="B7673" s="753"/>
      <c r="C7673" s="752" t="s">
        <v>40173</v>
      </c>
      <c r="D7673" s="753" t="s">
        <v>40165</v>
      </c>
      <c r="E7673" s="752" t="s">
        <v>38331</v>
      </c>
      <c r="F7673" s="751">
        <v>4420</v>
      </c>
    </row>
    <row r="7674" spans="1:6">
      <c r="A7674" s="753"/>
      <c r="B7674" s="753"/>
      <c r="C7674" s="752" t="s">
        <v>40172</v>
      </c>
      <c r="D7674" s="753" t="s">
        <v>40169</v>
      </c>
      <c r="E7674" s="752" t="s">
        <v>38290</v>
      </c>
      <c r="F7674" s="751">
        <v>4420</v>
      </c>
    </row>
    <row r="7675" spans="1:6">
      <c r="A7675" s="753"/>
      <c r="B7675" s="753"/>
      <c r="C7675" s="752" t="s">
        <v>40171</v>
      </c>
      <c r="D7675" s="753" t="s">
        <v>40169</v>
      </c>
      <c r="E7675" s="752" t="s">
        <v>38331</v>
      </c>
      <c r="F7675" s="751">
        <v>4670</v>
      </c>
    </row>
    <row r="7676" spans="1:6">
      <c r="A7676" s="753"/>
      <c r="B7676" s="753"/>
      <c r="C7676" s="752" t="s">
        <v>40170</v>
      </c>
      <c r="D7676" s="753" t="s">
        <v>40169</v>
      </c>
      <c r="E7676" s="752" t="s">
        <v>37895</v>
      </c>
      <c r="F7676" s="751">
        <v>4620</v>
      </c>
    </row>
    <row r="7677" spans="1:6">
      <c r="A7677" s="753"/>
      <c r="B7677" s="753"/>
      <c r="C7677" s="752" t="s">
        <v>40168</v>
      </c>
      <c r="D7677" s="753" t="s">
        <v>40167</v>
      </c>
      <c r="E7677" s="752" t="s">
        <v>38331</v>
      </c>
      <c r="F7677" s="751">
        <v>2425</v>
      </c>
    </row>
    <row r="7678" spans="1:6">
      <c r="A7678" s="753"/>
      <c r="B7678" s="753"/>
      <c r="C7678" s="752" t="s">
        <v>40166</v>
      </c>
      <c r="D7678" s="753" t="s">
        <v>40165</v>
      </c>
      <c r="E7678" s="752" t="s">
        <v>38331</v>
      </c>
      <c r="F7678" s="751">
        <v>4220</v>
      </c>
    </row>
    <row r="7679" spans="1:6">
      <c r="A7679" s="753"/>
      <c r="B7679" s="753"/>
      <c r="C7679" s="752" t="s">
        <v>40164</v>
      </c>
      <c r="D7679" s="753" t="s">
        <v>40159</v>
      </c>
      <c r="E7679" s="752" t="s">
        <v>40132</v>
      </c>
      <c r="F7679" s="751">
        <v>2775</v>
      </c>
    </row>
    <row r="7680" spans="1:6">
      <c r="A7680" s="753"/>
      <c r="B7680" s="753"/>
      <c r="C7680" s="752" t="s">
        <v>40163</v>
      </c>
      <c r="D7680" s="753" t="s">
        <v>40159</v>
      </c>
      <c r="E7680" s="752" t="s">
        <v>40126</v>
      </c>
      <c r="F7680" s="751">
        <v>2775</v>
      </c>
    </row>
    <row r="7681" spans="1:6">
      <c r="A7681" s="753"/>
      <c r="B7681" s="753"/>
      <c r="C7681" s="752" t="s">
        <v>40162</v>
      </c>
      <c r="D7681" s="753" t="s">
        <v>40159</v>
      </c>
      <c r="E7681" s="752" t="s">
        <v>40161</v>
      </c>
      <c r="F7681" s="751">
        <v>2775</v>
      </c>
    </row>
    <row r="7682" spans="1:6">
      <c r="A7682" s="753"/>
      <c r="B7682" s="753"/>
      <c r="C7682" s="752" t="s">
        <v>40160</v>
      </c>
      <c r="D7682" s="753" t="s">
        <v>40159</v>
      </c>
      <c r="E7682" s="752" t="s">
        <v>40158</v>
      </c>
      <c r="F7682" s="751">
        <v>3025</v>
      </c>
    </row>
    <row r="7683" spans="1:6">
      <c r="A7683" s="753"/>
      <c r="B7683" s="753"/>
      <c r="C7683" s="752" t="s">
        <v>40157</v>
      </c>
      <c r="D7683" s="753" t="s">
        <v>40146</v>
      </c>
      <c r="E7683" s="752" t="s">
        <v>38033</v>
      </c>
      <c r="F7683" s="751">
        <v>4875</v>
      </c>
    </row>
    <row r="7684" spans="1:6">
      <c r="A7684" s="753"/>
      <c r="B7684" s="753"/>
      <c r="C7684" s="752" t="s">
        <v>40156</v>
      </c>
      <c r="D7684" s="753" t="s">
        <v>40146</v>
      </c>
      <c r="E7684" s="752" t="s">
        <v>38019</v>
      </c>
      <c r="F7684" s="751">
        <v>3975</v>
      </c>
    </row>
    <row r="7685" spans="1:6">
      <c r="A7685" s="753"/>
      <c r="B7685" s="753"/>
      <c r="C7685" s="752" t="s">
        <v>40155</v>
      </c>
      <c r="D7685" s="753" t="s">
        <v>40146</v>
      </c>
      <c r="E7685" s="752" t="s">
        <v>39779</v>
      </c>
      <c r="F7685" s="751">
        <v>3725</v>
      </c>
    </row>
    <row r="7686" spans="1:6">
      <c r="A7686" s="753"/>
      <c r="B7686" s="753"/>
      <c r="C7686" s="752" t="s">
        <v>40154</v>
      </c>
      <c r="D7686" s="753" t="s">
        <v>40146</v>
      </c>
      <c r="E7686" s="752" t="s">
        <v>39777</v>
      </c>
      <c r="F7686" s="751">
        <v>4525</v>
      </c>
    </row>
    <row r="7687" spans="1:6">
      <c r="A7687" s="753"/>
      <c r="B7687" s="753"/>
      <c r="C7687" s="752" t="s">
        <v>40153</v>
      </c>
      <c r="D7687" s="753" t="s">
        <v>40146</v>
      </c>
      <c r="E7687" s="752" t="s">
        <v>40139</v>
      </c>
      <c r="F7687" s="751">
        <v>4875</v>
      </c>
    </row>
    <row r="7688" spans="1:6">
      <c r="A7688" s="753"/>
      <c r="B7688" s="753"/>
      <c r="C7688" s="752" t="s">
        <v>40152</v>
      </c>
      <c r="D7688" s="753" t="s">
        <v>40146</v>
      </c>
      <c r="E7688" s="752" t="s">
        <v>39779</v>
      </c>
      <c r="F7688" s="751">
        <v>3925</v>
      </c>
    </row>
    <row r="7689" spans="1:6">
      <c r="A7689" s="753"/>
      <c r="B7689" s="753"/>
      <c r="C7689" s="752" t="s">
        <v>40151</v>
      </c>
      <c r="D7689" s="753" t="s">
        <v>40146</v>
      </c>
      <c r="E7689" s="752" t="s">
        <v>39777</v>
      </c>
      <c r="F7689" s="751">
        <v>4625</v>
      </c>
    </row>
    <row r="7690" spans="1:6">
      <c r="A7690" s="753"/>
      <c r="B7690" s="753"/>
      <c r="C7690" s="752" t="s">
        <v>40150</v>
      </c>
      <c r="D7690" s="753" t="s">
        <v>40146</v>
      </c>
      <c r="E7690" s="752" t="s">
        <v>38010</v>
      </c>
      <c r="F7690" s="751">
        <v>4275</v>
      </c>
    </row>
    <row r="7691" spans="1:6">
      <c r="A7691" s="753"/>
      <c r="B7691" s="753"/>
      <c r="C7691" s="752" t="s">
        <v>40149</v>
      </c>
      <c r="D7691" s="753" t="s">
        <v>40146</v>
      </c>
      <c r="E7691" s="752" t="s">
        <v>38033</v>
      </c>
      <c r="F7691" s="751">
        <v>5225</v>
      </c>
    </row>
    <row r="7692" spans="1:6">
      <c r="A7692" s="753"/>
      <c r="B7692" s="753"/>
      <c r="C7692" s="752" t="s">
        <v>40148</v>
      </c>
      <c r="D7692" s="753" t="s">
        <v>40146</v>
      </c>
      <c r="E7692" s="752" t="s">
        <v>38019</v>
      </c>
      <c r="F7692" s="751">
        <v>3975</v>
      </c>
    </row>
    <row r="7693" spans="1:6">
      <c r="A7693" s="753"/>
      <c r="B7693" s="753"/>
      <c r="C7693" s="752" t="s">
        <v>40147</v>
      </c>
      <c r="D7693" s="753" t="s">
        <v>40146</v>
      </c>
      <c r="E7693" s="752" t="s">
        <v>40139</v>
      </c>
      <c r="F7693" s="751">
        <v>4525</v>
      </c>
    </row>
    <row r="7694" spans="1:6">
      <c r="A7694" s="753"/>
      <c r="B7694" s="753"/>
      <c r="C7694" s="752" t="s">
        <v>40145</v>
      </c>
      <c r="D7694" s="753" t="s">
        <v>40137</v>
      </c>
      <c r="E7694" s="752" t="s">
        <v>38019</v>
      </c>
      <c r="F7694" s="751">
        <v>3975</v>
      </c>
    </row>
    <row r="7695" spans="1:6">
      <c r="A7695" s="753"/>
      <c r="B7695" s="753"/>
      <c r="C7695" s="752" t="s">
        <v>40144</v>
      </c>
      <c r="D7695" s="753" t="s">
        <v>40140</v>
      </c>
      <c r="E7695" s="752" t="s">
        <v>39779</v>
      </c>
      <c r="F7695" s="751">
        <v>3725</v>
      </c>
    </row>
    <row r="7696" spans="1:6">
      <c r="A7696" s="753"/>
      <c r="B7696" s="753"/>
      <c r="C7696" s="752" t="s">
        <v>40143</v>
      </c>
      <c r="D7696" s="753" t="s">
        <v>40140</v>
      </c>
      <c r="E7696" s="752" t="s">
        <v>40142</v>
      </c>
      <c r="F7696" s="751">
        <v>4525</v>
      </c>
    </row>
    <row r="7697" spans="1:6">
      <c r="A7697" s="753"/>
      <c r="B7697" s="753"/>
      <c r="C7697" s="752" t="s">
        <v>40141</v>
      </c>
      <c r="D7697" s="753" t="s">
        <v>40140</v>
      </c>
      <c r="E7697" s="752" t="s">
        <v>40139</v>
      </c>
      <c r="F7697" s="751">
        <v>4875</v>
      </c>
    </row>
    <row r="7698" spans="1:6">
      <c r="A7698" s="753"/>
      <c r="B7698" s="753"/>
      <c r="C7698" s="752" t="s">
        <v>40138</v>
      </c>
      <c r="D7698" s="753" t="s">
        <v>40137</v>
      </c>
      <c r="E7698" s="752" t="s">
        <v>38033</v>
      </c>
      <c r="F7698" s="751">
        <v>5225</v>
      </c>
    </row>
    <row r="7699" spans="1:6">
      <c r="A7699" s="753"/>
      <c r="B7699" s="753"/>
      <c r="C7699" s="752" t="s">
        <v>40136</v>
      </c>
      <c r="D7699" s="753" t="s">
        <v>40127</v>
      </c>
      <c r="E7699" s="752" t="s">
        <v>38428</v>
      </c>
      <c r="F7699" s="751">
        <v>2825</v>
      </c>
    </row>
    <row r="7700" spans="1:6">
      <c r="A7700" s="753"/>
      <c r="B7700" s="753"/>
      <c r="C7700" s="752" t="s">
        <v>40135</v>
      </c>
      <c r="D7700" s="753" t="s">
        <v>40127</v>
      </c>
      <c r="E7700" s="752" t="s">
        <v>40134</v>
      </c>
      <c r="F7700" s="751">
        <v>2675</v>
      </c>
    </row>
    <row r="7701" spans="1:6">
      <c r="A7701" s="753"/>
      <c r="B7701" s="753"/>
      <c r="C7701" s="752" t="s">
        <v>40133</v>
      </c>
      <c r="D7701" s="753" t="s">
        <v>40127</v>
      </c>
      <c r="E7701" s="752" t="s">
        <v>40132</v>
      </c>
      <c r="F7701" s="751">
        <v>2575</v>
      </c>
    </row>
    <row r="7702" spans="1:6">
      <c r="A7702" s="753"/>
      <c r="B7702" s="753"/>
      <c r="C7702" s="752" t="s">
        <v>40131</v>
      </c>
      <c r="D7702" s="753" t="s">
        <v>40130</v>
      </c>
      <c r="E7702" s="752" t="s">
        <v>40129</v>
      </c>
      <c r="F7702" s="751">
        <v>2825</v>
      </c>
    </row>
    <row r="7703" spans="1:6">
      <c r="A7703" s="753"/>
      <c r="B7703" s="753"/>
      <c r="C7703" s="752" t="s">
        <v>40128</v>
      </c>
      <c r="D7703" s="753" t="s">
        <v>40127</v>
      </c>
      <c r="E7703" s="752" t="s">
        <v>40126</v>
      </c>
      <c r="F7703" s="751">
        <v>2575</v>
      </c>
    </row>
    <row r="7704" spans="1:6">
      <c r="A7704" s="753"/>
      <c r="B7704" s="753"/>
      <c r="C7704" s="752" t="s">
        <v>40125</v>
      </c>
      <c r="D7704" s="753" t="s">
        <v>40109</v>
      </c>
      <c r="E7704" s="752" t="s">
        <v>38033</v>
      </c>
      <c r="F7704" s="751">
        <v>4675</v>
      </c>
    </row>
    <row r="7705" spans="1:6">
      <c r="A7705" s="753"/>
      <c r="B7705" s="753"/>
      <c r="C7705" s="752" t="s">
        <v>40124</v>
      </c>
      <c r="D7705" s="753" t="s">
        <v>40109</v>
      </c>
      <c r="E7705" s="752" t="s">
        <v>38019</v>
      </c>
      <c r="F7705" s="751">
        <v>3775</v>
      </c>
    </row>
    <row r="7706" spans="1:6">
      <c r="A7706" s="753"/>
      <c r="B7706" s="753"/>
      <c r="C7706" s="752" t="s">
        <v>40123</v>
      </c>
      <c r="D7706" s="753" t="s">
        <v>40109</v>
      </c>
      <c r="E7706" s="752" t="s">
        <v>39779</v>
      </c>
      <c r="F7706" s="751">
        <v>3525</v>
      </c>
    </row>
    <row r="7707" spans="1:6">
      <c r="A7707" s="753"/>
      <c r="B7707" s="753"/>
      <c r="C7707" s="752" t="s">
        <v>40122</v>
      </c>
      <c r="D7707" s="753" t="s">
        <v>40109</v>
      </c>
      <c r="E7707" s="752" t="s">
        <v>39777</v>
      </c>
      <c r="F7707" s="751">
        <v>4325</v>
      </c>
    </row>
    <row r="7708" spans="1:6">
      <c r="A7708" s="753"/>
      <c r="B7708" s="753"/>
      <c r="C7708" s="752" t="s">
        <v>40121</v>
      </c>
      <c r="D7708" s="753" t="s">
        <v>40109</v>
      </c>
      <c r="E7708" s="752" t="s">
        <v>39824</v>
      </c>
      <c r="F7708" s="751">
        <v>3475</v>
      </c>
    </row>
    <row r="7709" spans="1:6">
      <c r="A7709" s="753"/>
      <c r="B7709" s="753"/>
      <c r="C7709" s="752" t="s">
        <v>40120</v>
      </c>
      <c r="D7709" s="753" t="s">
        <v>40109</v>
      </c>
      <c r="E7709" s="752" t="s">
        <v>40119</v>
      </c>
      <c r="F7709" s="751">
        <v>4535</v>
      </c>
    </row>
    <row r="7710" spans="1:6">
      <c r="A7710" s="753"/>
      <c r="B7710" s="753"/>
      <c r="C7710" s="752" t="s">
        <v>40118</v>
      </c>
      <c r="D7710" s="753" t="s">
        <v>40109</v>
      </c>
      <c r="E7710" s="752" t="s">
        <v>38002</v>
      </c>
      <c r="F7710" s="751">
        <v>4675</v>
      </c>
    </row>
    <row r="7711" spans="1:6">
      <c r="A7711" s="753"/>
      <c r="B7711" s="753"/>
      <c r="C7711" s="752" t="s">
        <v>40117</v>
      </c>
      <c r="D7711" s="753" t="s">
        <v>40109</v>
      </c>
      <c r="E7711" s="752" t="s">
        <v>39779</v>
      </c>
      <c r="F7711" s="751">
        <v>3525</v>
      </c>
    </row>
    <row r="7712" spans="1:6">
      <c r="A7712" s="753"/>
      <c r="B7712" s="753"/>
      <c r="C7712" s="752" t="s">
        <v>40116</v>
      </c>
      <c r="D7712" s="753" t="s">
        <v>40109</v>
      </c>
      <c r="E7712" s="752" t="s">
        <v>39777</v>
      </c>
      <c r="F7712" s="751">
        <v>4325</v>
      </c>
    </row>
    <row r="7713" spans="1:6">
      <c r="A7713" s="753"/>
      <c r="B7713" s="753"/>
      <c r="C7713" s="752" t="s">
        <v>40115</v>
      </c>
      <c r="D7713" s="753" t="s">
        <v>40109</v>
      </c>
      <c r="E7713" s="752" t="s">
        <v>38010</v>
      </c>
      <c r="F7713" s="751">
        <v>4025</v>
      </c>
    </row>
    <row r="7714" spans="1:6">
      <c r="A7714" s="753"/>
      <c r="B7714" s="753"/>
      <c r="C7714" s="752" t="s">
        <v>40114</v>
      </c>
      <c r="D7714" s="753" t="s">
        <v>40109</v>
      </c>
      <c r="E7714" s="752" t="s">
        <v>38033</v>
      </c>
      <c r="F7714" s="751">
        <v>4675</v>
      </c>
    </row>
    <row r="7715" spans="1:6">
      <c r="A7715" s="753"/>
      <c r="B7715" s="753"/>
      <c r="C7715" s="752" t="s">
        <v>40113</v>
      </c>
      <c r="D7715" s="753" t="s">
        <v>40109</v>
      </c>
      <c r="E7715" s="752" t="s">
        <v>38019</v>
      </c>
      <c r="F7715" s="751">
        <v>3775</v>
      </c>
    </row>
    <row r="7716" spans="1:6">
      <c r="A7716" s="753"/>
      <c r="B7716" s="753"/>
      <c r="C7716" s="752" t="s">
        <v>40112</v>
      </c>
      <c r="D7716" s="753" t="s">
        <v>40109</v>
      </c>
      <c r="E7716" s="752" t="s">
        <v>38069</v>
      </c>
      <c r="F7716" s="751">
        <v>3525</v>
      </c>
    </row>
    <row r="7717" spans="1:6">
      <c r="A7717" s="753"/>
      <c r="B7717" s="753"/>
      <c r="C7717" s="752" t="s">
        <v>40111</v>
      </c>
      <c r="D7717" s="753" t="s">
        <v>40109</v>
      </c>
      <c r="E7717" s="752" t="s">
        <v>39777</v>
      </c>
      <c r="F7717" s="751">
        <v>4325</v>
      </c>
    </row>
    <row r="7718" spans="1:6">
      <c r="A7718" s="753"/>
      <c r="B7718" s="753"/>
      <c r="C7718" s="752" t="s">
        <v>40110</v>
      </c>
      <c r="D7718" s="753" t="s">
        <v>40109</v>
      </c>
      <c r="E7718" s="752" t="s">
        <v>38002</v>
      </c>
      <c r="F7718" s="751">
        <v>4675</v>
      </c>
    </row>
    <row r="7719" spans="1:6">
      <c r="A7719" s="753"/>
      <c r="B7719" s="753"/>
      <c r="C7719" s="752" t="s">
        <v>40108</v>
      </c>
      <c r="D7719" s="753" t="s">
        <v>40105</v>
      </c>
      <c r="E7719" s="752" t="s">
        <v>38033</v>
      </c>
      <c r="F7719" s="751">
        <v>4675</v>
      </c>
    </row>
    <row r="7720" spans="1:6">
      <c r="A7720" s="753"/>
      <c r="B7720" s="753"/>
      <c r="C7720" s="752" t="s">
        <v>40107</v>
      </c>
      <c r="D7720" s="753" t="s">
        <v>40105</v>
      </c>
      <c r="E7720" s="752" t="s">
        <v>38019</v>
      </c>
      <c r="F7720" s="751">
        <v>3775</v>
      </c>
    </row>
    <row r="7721" spans="1:6">
      <c r="A7721" s="753"/>
      <c r="B7721" s="753"/>
      <c r="C7721" s="752" t="s">
        <v>40106</v>
      </c>
      <c r="D7721" s="753" t="s">
        <v>40105</v>
      </c>
      <c r="E7721" s="752" t="s">
        <v>39777</v>
      </c>
      <c r="F7721" s="751">
        <v>4325</v>
      </c>
    </row>
    <row r="7722" spans="1:6">
      <c r="A7722" s="753"/>
      <c r="B7722" s="753"/>
      <c r="C7722" s="752" t="s">
        <v>40104</v>
      </c>
      <c r="D7722" s="753" t="s">
        <v>40102</v>
      </c>
      <c r="E7722" s="752" t="s">
        <v>39779</v>
      </c>
      <c r="F7722" s="751">
        <v>3525</v>
      </c>
    </row>
    <row r="7723" spans="1:6">
      <c r="A7723" s="753"/>
      <c r="B7723" s="753"/>
      <c r="C7723" s="752" t="s">
        <v>40103</v>
      </c>
      <c r="D7723" s="753" t="s">
        <v>40102</v>
      </c>
      <c r="E7723" s="752" t="s">
        <v>38033</v>
      </c>
      <c r="F7723" s="751">
        <v>5025</v>
      </c>
    </row>
    <row r="7724" spans="1:6">
      <c r="A7724" s="753"/>
      <c r="B7724" s="753"/>
      <c r="C7724" s="752" t="s">
        <v>40101</v>
      </c>
      <c r="D7724" s="753" t="s">
        <v>40100</v>
      </c>
      <c r="E7724" s="752" t="s">
        <v>38019</v>
      </c>
      <c r="F7724" s="751">
        <v>4025</v>
      </c>
    </row>
    <row r="7725" spans="1:6">
      <c r="A7725" s="753"/>
      <c r="B7725" s="753"/>
      <c r="C7725" s="752" t="s">
        <v>40099</v>
      </c>
      <c r="D7725" s="753" t="s">
        <v>40098</v>
      </c>
      <c r="E7725" s="752" t="s">
        <v>40097</v>
      </c>
      <c r="F7725" s="751">
        <v>2925</v>
      </c>
    </row>
    <row r="7726" spans="1:6">
      <c r="A7726" s="753"/>
      <c r="B7726" s="753"/>
      <c r="C7726" s="752" t="s">
        <v>40096</v>
      </c>
      <c r="D7726" s="753" t="s">
        <v>40092</v>
      </c>
      <c r="E7726" s="752" t="s">
        <v>39779</v>
      </c>
      <c r="F7726" s="751">
        <v>3625</v>
      </c>
    </row>
    <row r="7727" spans="1:6">
      <c r="A7727" s="753"/>
      <c r="B7727" s="753"/>
      <c r="C7727" s="752" t="s">
        <v>40095</v>
      </c>
      <c r="D7727" s="753" t="s">
        <v>40092</v>
      </c>
      <c r="E7727" s="752" t="s">
        <v>39777</v>
      </c>
      <c r="F7727" s="751">
        <v>4425</v>
      </c>
    </row>
    <row r="7728" spans="1:6">
      <c r="A7728" s="753"/>
      <c r="B7728" s="753"/>
      <c r="C7728" s="752" t="s">
        <v>40094</v>
      </c>
      <c r="D7728" s="753" t="s">
        <v>40092</v>
      </c>
      <c r="E7728" s="752" t="s">
        <v>38002</v>
      </c>
      <c r="F7728" s="751">
        <v>4775</v>
      </c>
    </row>
    <row r="7729" spans="1:6">
      <c r="A7729" s="753"/>
      <c r="B7729" s="753"/>
      <c r="C7729" s="752" t="s">
        <v>40093</v>
      </c>
      <c r="D7729" s="753" t="s">
        <v>40092</v>
      </c>
      <c r="E7729" s="752" t="s">
        <v>39779</v>
      </c>
      <c r="F7729" s="751">
        <v>3825</v>
      </c>
    </row>
    <row r="7730" spans="1:6">
      <c r="A7730" s="753"/>
      <c r="B7730" s="753"/>
      <c r="C7730" s="752" t="s">
        <v>40091</v>
      </c>
      <c r="D7730" s="753" t="s">
        <v>40090</v>
      </c>
      <c r="E7730" s="752" t="s">
        <v>39777</v>
      </c>
      <c r="F7730" s="751">
        <v>4425</v>
      </c>
    </row>
    <row r="7731" spans="1:6">
      <c r="A7731" s="753"/>
      <c r="B7731" s="753"/>
      <c r="C7731" s="752" t="s">
        <v>40089</v>
      </c>
      <c r="D7731" s="753" t="s">
        <v>40088</v>
      </c>
      <c r="E7731" s="752" t="s">
        <v>39777</v>
      </c>
      <c r="F7731" s="751">
        <v>4425</v>
      </c>
    </row>
    <row r="7732" spans="1:6">
      <c r="A7732" s="753"/>
      <c r="B7732" s="753" t="s">
        <v>40087</v>
      </c>
      <c r="C7732" s="752" t="s">
        <v>40086</v>
      </c>
      <c r="D7732" s="753" t="s">
        <v>40085</v>
      </c>
      <c r="E7732" s="752" t="s">
        <v>293</v>
      </c>
      <c r="F7732" s="751">
        <v>2575</v>
      </c>
    </row>
    <row r="7733" spans="1:6">
      <c r="A7733" s="753"/>
      <c r="B7733" s="753"/>
      <c r="C7733" s="752" t="s">
        <v>40084</v>
      </c>
      <c r="D7733" s="753" t="s">
        <v>40083</v>
      </c>
      <c r="E7733" s="752" t="s">
        <v>293</v>
      </c>
      <c r="F7733" s="751">
        <v>3125</v>
      </c>
    </row>
    <row r="7734" spans="1:6">
      <c r="A7734" s="753"/>
      <c r="B7734" s="753" t="s">
        <v>40082</v>
      </c>
      <c r="C7734" s="752" t="s">
        <v>40081</v>
      </c>
      <c r="D7734" s="753" t="s">
        <v>40080</v>
      </c>
      <c r="E7734" s="752" t="s">
        <v>38878</v>
      </c>
      <c r="F7734" s="751">
        <v>2075</v>
      </c>
    </row>
    <row r="7735" spans="1:6">
      <c r="A7735" s="753"/>
      <c r="B7735" s="753" t="s">
        <v>40079</v>
      </c>
      <c r="C7735" s="752" t="s">
        <v>40078</v>
      </c>
      <c r="D7735" s="753" t="s">
        <v>40073</v>
      </c>
      <c r="E7735" s="752" t="s">
        <v>37838</v>
      </c>
      <c r="F7735" s="751">
        <v>2025</v>
      </c>
    </row>
    <row r="7736" spans="1:6">
      <c r="A7736" s="753"/>
      <c r="B7736" s="753"/>
      <c r="C7736" s="752" t="s">
        <v>40077</v>
      </c>
      <c r="D7736" s="753" t="s">
        <v>40073</v>
      </c>
      <c r="E7736" s="752" t="s">
        <v>37838</v>
      </c>
      <c r="F7736" s="751">
        <v>1975</v>
      </c>
    </row>
    <row r="7737" spans="1:6">
      <c r="A7737" s="753"/>
      <c r="B7737" s="753"/>
      <c r="C7737" s="752" t="s">
        <v>40076</v>
      </c>
      <c r="D7737" s="753" t="s">
        <v>40073</v>
      </c>
      <c r="E7737" s="752" t="s">
        <v>37838</v>
      </c>
      <c r="F7737" s="751">
        <v>1975</v>
      </c>
    </row>
    <row r="7738" spans="1:6">
      <c r="A7738" s="753"/>
      <c r="B7738" s="753"/>
      <c r="C7738" s="752" t="s">
        <v>40075</v>
      </c>
      <c r="D7738" s="753" t="s">
        <v>40073</v>
      </c>
      <c r="E7738" s="752" t="s">
        <v>37838</v>
      </c>
      <c r="F7738" s="751">
        <v>1975</v>
      </c>
    </row>
    <row r="7739" spans="1:6">
      <c r="A7739" s="753"/>
      <c r="B7739" s="753"/>
      <c r="C7739" s="752" t="s">
        <v>40074</v>
      </c>
      <c r="D7739" s="753" t="s">
        <v>40073</v>
      </c>
      <c r="E7739" s="752" t="s">
        <v>37838</v>
      </c>
      <c r="F7739" s="751">
        <v>1975</v>
      </c>
    </row>
    <row r="7740" spans="1:6">
      <c r="A7740" s="753"/>
      <c r="B7740" s="753" t="s">
        <v>40072</v>
      </c>
      <c r="C7740" s="752" t="s">
        <v>40071</v>
      </c>
      <c r="D7740" s="753" t="s">
        <v>40070</v>
      </c>
      <c r="E7740" s="752" t="s">
        <v>40065</v>
      </c>
      <c r="F7740" s="751">
        <v>3665</v>
      </c>
    </row>
    <row r="7741" spans="1:6">
      <c r="A7741" s="753"/>
      <c r="B7741" s="753"/>
      <c r="C7741" s="752" t="s">
        <v>40069</v>
      </c>
      <c r="D7741" s="753" t="s">
        <v>40068</v>
      </c>
      <c r="E7741" s="752" t="s">
        <v>293</v>
      </c>
      <c r="F7741" s="751">
        <v>4365</v>
      </c>
    </row>
    <row r="7742" spans="1:6">
      <c r="A7742" s="753"/>
      <c r="B7742" s="753"/>
      <c r="C7742" s="752" t="s">
        <v>40067</v>
      </c>
      <c r="D7742" s="753" t="s">
        <v>40066</v>
      </c>
      <c r="E7742" s="752" t="s">
        <v>40065</v>
      </c>
      <c r="F7742" s="751">
        <v>4215</v>
      </c>
    </row>
    <row r="7743" spans="1:6">
      <c r="A7743" s="753"/>
      <c r="B7743" s="753"/>
      <c r="C7743" s="752" t="s">
        <v>40064</v>
      </c>
      <c r="D7743" s="753" t="s">
        <v>40058</v>
      </c>
      <c r="E7743" s="752" t="s">
        <v>293</v>
      </c>
      <c r="F7743" s="751">
        <v>2575</v>
      </c>
    </row>
    <row r="7744" spans="1:6">
      <c r="A7744" s="753"/>
      <c r="B7744" s="753"/>
      <c r="C7744" s="752" t="s">
        <v>40063</v>
      </c>
      <c r="D7744" s="753" t="s">
        <v>40058</v>
      </c>
      <c r="E7744" s="752" t="s">
        <v>40062</v>
      </c>
      <c r="F7744" s="751">
        <v>2325</v>
      </c>
    </row>
    <row r="7745" spans="1:6">
      <c r="A7745" s="753"/>
      <c r="B7745" s="753"/>
      <c r="C7745" s="752" t="s">
        <v>40061</v>
      </c>
      <c r="D7745" s="753" t="s">
        <v>40058</v>
      </c>
      <c r="E7745" s="752" t="s">
        <v>293</v>
      </c>
      <c r="F7745" s="751">
        <v>2575</v>
      </c>
    </row>
    <row r="7746" spans="1:6">
      <c r="A7746" s="753"/>
      <c r="B7746" s="753"/>
      <c r="C7746" s="752" t="s">
        <v>40060</v>
      </c>
      <c r="D7746" s="753" t="s">
        <v>40058</v>
      </c>
      <c r="E7746" s="752" t="s">
        <v>37876</v>
      </c>
      <c r="F7746" s="751">
        <v>2525</v>
      </c>
    </row>
    <row r="7747" spans="1:6">
      <c r="A7747" s="753"/>
      <c r="B7747" s="753"/>
      <c r="C7747" s="752" t="s">
        <v>40059</v>
      </c>
      <c r="D7747" s="753" t="s">
        <v>40058</v>
      </c>
      <c r="E7747" s="752" t="s">
        <v>38670</v>
      </c>
      <c r="F7747" s="751">
        <v>3335</v>
      </c>
    </row>
    <row r="7748" spans="1:6">
      <c r="A7748" s="753"/>
      <c r="B7748" s="753"/>
      <c r="C7748" s="752" t="s">
        <v>40057</v>
      </c>
      <c r="D7748" s="753" t="s">
        <v>40040</v>
      </c>
      <c r="E7748" s="752" t="s">
        <v>293</v>
      </c>
      <c r="F7748" s="751">
        <v>3125</v>
      </c>
    </row>
    <row r="7749" spans="1:6">
      <c r="A7749" s="753"/>
      <c r="B7749" s="753"/>
      <c r="C7749" s="752" t="s">
        <v>40056</v>
      </c>
      <c r="D7749" s="753" t="s">
        <v>40052</v>
      </c>
      <c r="E7749" s="752" t="s">
        <v>293</v>
      </c>
      <c r="F7749" s="751">
        <v>2375</v>
      </c>
    </row>
    <row r="7750" spans="1:6">
      <c r="A7750" s="753"/>
      <c r="B7750" s="753"/>
      <c r="C7750" s="752" t="s">
        <v>40055</v>
      </c>
      <c r="D7750" s="753" t="s">
        <v>40052</v>
      </c>
      <c r="E7750" s="752" t="s">
        <v>293</v>
      </c>
      <c r="F7750" s="751">
        <v>2375</v>
      </c>
    </row>
    <row r="7751" spans="1:6">
      <c r="A7751" s="753"/>
      <c r="B7751" s="753"/>
      <c r="C7751" s="752" t="s">
        <v>40054</v>
      </c>
      <c r="D7751" s="753" t="s">
        <v>40052</v>
      </c>
      <c r="E7751" s="752" t="s">
        <v>293</v>
      </c>
      <c r="F7751" s="751">
        <v>2375</v>
      </c>
    </row>
    <row r="7752" spans="1:6">
      <c r="A7752" s="753"/>
      <c r="B7752" s="753"/>
      <c r="C7752" s="752" t="s">
        <v>40053</v>
      </c>
      <c r="D7752" s="753" t="s">
        <v>40052</v>
      </c>
      <c r="E7752" s="752" t="s">
        <v>37876</v>
      </c>
      <c r="F7752" s="751">
        <v>2325</v>
      </c>
    </row>
    <row r="7753" spans="1:6">
      <c r="A7753" s="753"/>
      <c r="B7753" s="753"/>
      <c r="C7753" s="752" t="s">
        <v>40051</v>
      </c>
      <c r="D7753" s="753" t="s">
        <v>40049</v>
      </c>
      <c r="E7753" s="752" t="s">
        <v>293</v>
      </c>
      <c r="F7753" s="751">
        <v>2925</v>
      </c>
    </row>
    <row r="7754" spans="1:6">
      <c r="A7754" s="753"/>
      <c r="B7754" s="753"/>
      <c r="C7754" s="752" t="s">
        <v>40050</v>
      </c>
      <c r="D7754" s="753" t="s">
        <v>40049</v>
      </c>
      <c r="E7754" s="752" t="s">
        <v>293</v>
      </c>
      <c r="F7754" s="751">
        <v>2925</v>
      </c>
    </row>
    <row r="7755" spans="1:6">
      <c r="A7755" s="753"/>
      <c r="B7755" s="753"/>
      <c r="C7755" s="752" t="s">
        <v>40048</v>
      </c>
      <c r="D7755" s="753" t="s">
        <v>40047</v>
      </c>
      <c r="E7755" s="752" t="s">
        <v>293</v>
      </c>
      <c r="F7755" s="751">
        <v>2475</v>
      </c>
    </row>
    <row r="7756" spans="1:6">
      <c r="A7756" s="753"/>
      <c r="B7756" s="753"/>
      <c r="C7756" s="752" t="s">
        <v>40046</v>
      </c>
      <c r="D7756" s="753" t="s">
        <v>40044</v>
      </c>
      <c r="E7756" s="752" t="s">
        <v>293</v>
      </c>
      <c r="F7756" s="751">
        <v>2475</v>
      </c>
    </row>
    <row r="7757" spans="1:6">
      <c r="A7757" s="753"/>
      <c r="B7757" s="753"/>
      <c r="C7757" s="752" t="s">
        <v>40045</v>
      </c>
      <c r="D7757" s="753" t="s">
        <v>40044</v>
      </c>
      <c r="E7757" s="752" t="s">
        <v>37876</v>
      </c>
      <c r="F7757" s="751">
        <v>2425</v>
      </c>
    </row>
    <row r="7758" spans="1:6">
      <c r="A7758" s="753"/>
      <c r="B7758" s="753"/>
      <c r="C7758" s="752" t="s">
        <v>40043</v>
      </c>
      <c r="D7758" s="753" t="s">
        <v>40042</v>
      </c>
      <c r="E7758" s="752" t="s">
        <v>293</v>
      </c>
      <c r="F7758" s="751">
        <v>3025</v>
      </c>
    </row>
    <row r="7759" spans="1:6">
      <c r="A7759" s="753"/>
      <c r="B7759" s="753"/>
      <c r="C7759" s="752" t="s">
        <v>40041</v>
      </c>
      <c r="D7759" s="753" t="s">
        <v>40040</v>
      </c>
      <c r="E7759" s="752" t="s">
        <v>293</v>
      </c>
      <c r="F7759" s="751">
        <v>3125</v>
      </c>
    </row>
    <row r="7760" spans="1:6">
      <c r="A7760" s="753"/>
      <c r="B7760" s="753" t="s">
        <v>40039</v>
      </c>
      <c r="C7760" s="752" t="s">
        <v>40038</v>
      </c>
      <c r="D7760" s="753" t="s">
        <v>40037</v>
      </c>
      <c r="E7760" s="752" t="s">
        <v>293</v>
      </c>
      <c r="F7760" s="751">
        <v>4125</v>
      </c>
    </row>
    <row r="7761" spans="1:6">
      <c r="A7761" s="753"/>
      <c r="B7761" s="753"/>
      <c r="C7761" s="752" t="s">
        <v>40036</v>
      </c>
      <c r="D7761" s="753" t="s">
        <v>40035</v>
      </c>
      <c r="E7761" s="752" t="s">
        <v>293</v>
      </c>
      <c r="F7761" s="751">
        <v>3925</v>
      </c>
    </row>
    <row r="7762" spans="1:6">
      <c r="A7762" s="753"/>
      <c r="B7762" s="753"/>
      <c r="C7762" s="752" t="s">
        <v>40034</v>
      </c>
      <c r="D7762" s="753" t="s">
        <v>40033</v>
      </c>
      <c r="E7762" s="752" t="s">
        <v>293</v>
      </c>
      <c r="F7762" s="751">
        <v>4025</v>
      </c>
    </row>
    <row r="7763" spans="1:6">
      <c r="A7763" s="753"/>
      <c r="B7763" s="753" t="s">
        <v>40027</v>
      </c>
      <c r="C7763" s="752" t="s">
        <v>40032</v>
      </c>
      <c r="D7763" s="753" t="s">
        <v>40016</v>
      </c>
      <c r="E7763" s="752" t="s">
        <v>37758</v>
      </c>
      <c r="F7763" s="751">
        <v>3965</v>
      </c>
    </row>
    <row r="7764" spans="1:6">
      <c r="A7764" s="753"/>
      <c r="B7764" s="753"/>
      <c r="C7764" s="752" t="s">
        <v>40031</v>
      </c>
      <c r="D7764" s="753" t="s">
        <v>40019</v>
      </c>
      <c r="E7764" s="752" t="s">
        <v>293</v>
      </c>
      <c r="F7764" s="751">
        <v>4015</v>
      </c>
    </row>
    <row r="7765" spans="1:6">
      <c r="A7765" s="753"/>
      <c r="B7765" s="753"/>
      <c r="C7765" s="752" t="s">
        <v>40030</v>
      </c>
      <c r="D7765" s="753" t="s">
        <v>40016</v>
      </c>
      <c r="E7765" s="752" t="s">
        <v>37758</v>
      </c>
      <c r="F7765" s="751">
        <v>3915</v>
      </c>
    </row>
    <row r="7766" spans="1:6">
      <c r="A7766" s="753"/>
      <c r="B7766" s="753"/>
      <c r="C7766" s="752" t="s">
        <v>40029</v>
      </c>
      <c r="D7766" s="753" t="s">
        <v>40028</v>
      </c>
      <c r="E7766" s="752" t="s">
        <v>40027</v>
      </c>
      <c r="F7766" s="751">
        <v>3875</v>
      </c>
    </row>
    <row r="7767" spans="1:6">
      <c r="A7767" s="753"/>
      <c r="B7767" s="753"/>
      <c r="C7767" s="752" t="s">
        <v>40026</v>
      </c>
      <c r="D7767" s="753" t="s">
        <v>40019</v>
      </c>
      <c r="E7767" s="752" t="s">
        <v>293</v>
      </c>
      <c r="F7767" s="751">
        <v>4615</v>
      </c>
    </row>
    <row r="7768" spans="1:6">
      <c r="A7768" s="753"/>
      <c r="B7768" s="753"/>
      <c r="C7768" s="752" t="s">
        <v>40025</v>
      </c>
      <c r="D7768" s="753" t="s">
        <v>40024</v>
      </c>
      <c r="E7768" s="752" t="s">
        <v>293</v>
      </c>
      <c r="F7768" s="751">
        <v>5125</v>
      </c>
    </row>
    <row r="7769" spans="1:6">
      <c r="A7769" s="753"/>
      <c r="B7769" s="753"/>
      <c r="C7769" s="752" t="s">
        <v>40023</v>
      </c>
      <c r="D7769" s="753" t="s">
        <v>40016</v>
      </c>
      <c r="E7769" s="752" t="s">
        <v>37758</v>
      </c>
      <c r="F7769" s="751">
        <v>4515</v>
      </c>
    </row>
    <row r="7770" spans="1:6">
      <c r="A7770" s="753"/>
      <c r="B7770" s="753"/>
      <c r="C7770" s="752" t="s">
        <v>40022</v>
      </c>
      <c r="D7770" s="753" t="s">
        <v>40021</v>
      </c>
      <c r="E7770" s="752" t="s">
        <v>293</v>
      </c>
      <c r="F7770" s="751">
        <v>3875</v>
      </c>
    </row>
    <row r="7771" spans="1:6">
      <c r="A7771" s="753"/>
      <c r="B7771" s="753"/>
      <c r="C7771" s="752" t="s">
        <v>40020</v>
      </c>
      <c r="D7771" s="753" t="s">
        <v>40019</v>
      </c>
      <c r="E7771" s="752" t="s">
        <v>293</v>
      </c>
      <c r="F7771" s="751">
        <v>4565</v>
      </c>
    </row>
    <row r="7772" spans="1:6">
      <c r="A7772" s="753"/>
      <c r="B7772" s="753"/>
      <c r="C7772" s="752" t="s">
        <v>40018</v>
      </c>
      <c r="D7772" s="753" t="s">
        <v>40016</v>
      </c>
      <c r="E7772" s="752" t="s">
        <v>293</v>
      </c>
      <c r="F7772" s="751">
        <v>4465</v>
      </c>
    </row>
    <row r="7773" spans="1:6">
      <c r="A7773" s="753"/>
      <c r="B7773" s="753"/>
      <c r="C7773" s="752" t="s">
        <v>40017</v>
      </c>
      <c r="D7773" s="753" t="s">
        <v>40016</v>
      </c>
      <c r="E7773" s="752" t="s">
        <v>37794</v>
      </c>
      <c r="F7773" s="751">
        <v>4975</v>
      </c>
    </row>
    <row r="7774" spans="1:6">
      <c r="A7774" s="753"/>
      <c r="B7774" s="753"/>
      <c r="C7774" s="752" t="s">
        <v>40015</v>
      </c>
      <c r="D7774" s="753" t="s">
        <v>40014</v>
      </c>
      <c r="E7774" s="752" t="s">
        <v>293</v>
      </c>
      <c r="F7774" s="751">
        <v>5195</v>
      </c>
    </row>
    <row r="7775" spans="1:6">
      <c r="A7775" s="753"/>
      <c r="B7775" s="753"/>
      <c r="C7775" s="752" t="s">
        <v>40013</v>
      </c>
      <c r="D7775" s="753" t="s">
        <v>40012</v>
      </c>
      <c r="E7775" s="752" t="s">
        <v>293</v>
      </c>
      <c r="F7775" s="751">
        <v>5195</v>
      </c>
    </row>
    <row r="7776" spans="1:6">
      <c r="A7776" s="753"/>
      <c r="B7776" s="753"/>
      <c r="C7776" s="752" t="s">
        <v>40011</v>
      </c>
      <c r="D7776" s="753" t="s">
        <v>40010</v>
      </c>
      <c r="E7776" s="752" t="s">
        <v>293</v>
      </c>
      <c r="F7776" s="751">
        <v>4130</v>
      </c>
    </row>
    <row r="7777" spans="1:6">
      <c r="A7777" s="753"/>
      <c r="B7777" s="753"/>
      <c r="C7777" s="752" t="s">
        <v>40009</v>
      </c>
      <c r="D7777" s="753" t="s">
        <v>40008</v>
      </c>
      <c r="E7777" s="752" t="s">
        <v>293</v>
      </c>
      <c r="F7777" s="751">
        <v>5995</v>
      </c>
    </row>
    <row r="7778" spans="1:6">
      <c r="A7778" s="753"/>
      <c r="B7778" s="753"/>
      <c r="C7778" s="752" t="s">
        <v>40007</v>
      </c>
      <c r="D7778" s="753" t="s">
        <v>40006</v>
      </c>
      <c r="E7778" s="752" t="s">
        <v>293</v>
      </c>
      <c r="F7778" s="751">
        <v>5995</v>
      </c>
    </row>
    <row r="7779" spans="1:6">
      <c r="A7779" s="753"/>
      <c r="B7779" s="753"/>
      <c r="C7779" s="752" t="s">
        <v>40005</v>
      </c>
      <c r="D7779" s="753" t="s">
        <v>40004</v>
      </c>
      <c r="E7779" s="752" t="s">
        <v>40003</v>
      </c>
      <c r="F7779" s="751">
        <v>5975</v>
      </c>
    </row>
    <row r="7780" spans="1:6">
      <c r="A7780" s="753"/>
      <c r="B7780" s="753"/>
      <c r="C7780" s="752" t="s">
        <v>40002</v>
      </c>
      <c r="D7780" s="753" t="s">
        <v>40001</v>
      </c>
      <c r="E7780" s="752" t="s">
        <v>293</v>
      </c>
      <c r="F7780" s="751">
        <v>8995</v>
      </c>
    </row>
    <row r="7781" spans="1:6">
      <c r="A7781" s="753"/>
      <c r="B7781" s="753"/>
      <c r="C7781" s="752" t="s">
        <v>40000</v>
      </c>
      <c r="D7781" s="753" t="s">
        <v>39939</v>
      </c>
      <c r="E7781" s="752" t="s">
        <v>293</v>
      </c>
      <c r="F7781" s="751">
        <v>2825</v>
      </c>
    </row>
    <row r="7782" spans="1:6">
      <c r="A7782" s="753"/>
      <c r="B7782" s="753"/>
      <c r="C7782" s="752" t="s">
        <v>39999</v>
      </c>
      <c r="D7782" s="753" t="s">
        <v>39939</v>
      </c>
      <c r="E7782" s="752" t="s">
        <v>37794</v>
      </c>
      <c r="F7782" s="751">
        <v>3785</v>
      </c>
    </row>
    <row r="7783" spans="1:6">
      <c r="A7783" s="753"/>
      <c r="B7783" s="753"/>
      <c r="C7783" s="752" t="s">
        <v>39998</v>
      </c>
      <c r="D7783" s="753" t="s">
        <v>39939</v>
      </c>
      <c r="E7783" s="752" t="s">
        <v>293</v>
      </c>
      <c r="F7783" s="751">
        <v>2825</v>
      </c>
    </row>
    <row r="7784" spans="1:6">
      <c r="A7784" s="753"/>
      <c r="B7784" s="753"/>
      <c r="C7784" s="752" t="s">
        <v>39997</v>
      </c>
      <c r="D7784" s="753" t="s">
        <v>39939</v>
      </c>
      <c r="E7784" s="752" t="s">
        <v>39996</v>
      </c>
      <c r="F7784" s="751">
        <v>2575</v>
      </c>
    </row>
    <row r="7785" spans="1:6">
      <c r="A7785" s="753"/>
      <c r="B7785" s="753"/>
      <c r="C7785" s="752" t="s">
        <v>39995</v>
      </c>
      <c r="D7785" s="753" t="s">
        <v>39939</v>
      </c>
      <c r="E7785" s="752" t="s">
        <v>38550</v>
      </c>
      <c r="F7785" s="751">
        <v>3915</v>
      </c>
    </row>
    <row r="7786" spans="1:6">
      <c r="A7786" s="753"/>
      <c r="B7786" s="753"/>
      <c r="C7786" s="752" t="s">
        <v>39994</v>
      </c>
      <c r="D7786" s="753" t="s">
        <v>39939</v>
      </c>
      <c r="E7786" s="752" t="s">
        <v>38962</v>
      </c>
      <c r="F7786" s="751">
        <v>2325</v>
      </c>
    </row>
    <row r="7787" spans="1:6">
      <c r="A7787" s="753"/>
      <c r="B7787" s="753"/>
      <c r="C7787" s="752" t="s">
        <v>39993</v>
      </c>
      <c r="D7787" s="753" t="s">
        <v>39939</v>
      </c>
      <c r="E7787" s="752" t="s">
        <v>293</v>
      </c>
      <c r="F7787" s="751">
        <v>2825</v>
      </c>
    </row>
    <row r="7788" spans="1:6">
      <c r="A7788" s="753"/>
      <c r="B7788" s="753"/>
      <c r="C7788" s="752" t="s">
        <v>39992</v>
      </c>
      <c r="D7788" s="753" t="s">
        <v>39939</v>
      </c>
      <c r="E7788" s="752" t="s">
        <v>39991</v>
      </c>
      <c r="F7788" s="751">
        <v>2825</v>
      </c>
    </row>
    <row r="7789" spans="1:6">
      <c r="A7789" s="753"/>
      <c r="B7789" s="753"/>
      <c r="C7789" s="752" t="s">
        <v>39990</v>
      </c>
      <c r="D7789" s="753" t="s">
        <v>39939</v>
      </c>
      <c r="E7789" s="752" t="s">
        <v>38670</v>
      </c>
      <c r="F7789" s="751">
        <v>3335</v>
      </c>
    </row>
    <row r="7790" spans="1:6">
      <c r="A7790" s="753"/>
      <c r="B7790" s="753"/>
      <c r="C7790" s="752" t="s">
        <v>39989</v>
      </c>
      <c r="D7790" s="753" t="s">
        <v>39939</v>
      </c>
      <c r="E7790" s="752" t="s">
        <v>39903</v>
      </c>
      <c r="F7790" s="751">
        <v>3225</v>
      </c>
    </row>
    <row r="7791" spans="1:6">
      <c r="A7791" s="753"/>
      <c r="B7791" s="753"/>
      <c r="C7791" s="752" t="s">
        <v>39988</v>
      </c>
      <c r="D7791" s="753" t="s">
        <v>39939</v>
      </c>
      <c r="E7791" s="752" t="s">
        <v>38584</v>
      </c>
      <c r="F7791" s="751">
        <v>2825</v>
      </c>
    </row>
    <row r="7792" spans="1:6">
      <c r="A7792" s="753"/>
      <c r="B7792" s="753"/>
      <c r="C7792" s="752" t="s">
        <v>39987</v>
      </c>
      <c r="D7792" s="753" t="s">
        <v>39939</v>
      </c>
      <c r="E7792" s="752" t="s">
        <v>293</v>
      </c>
      <c r="F7792" s="751">
        <v>2575</v>
      </c>
    </row>
    <row r="7793" spans="1:6">
      <c r="A7793" s="753"/>
      <c r="B7793" s="753"/>
      <c r="C7793" s="752" t="s">
        <v>39986</v>
      </c>
      <c r="D7793" s="753" t="s">
        <v>39941</v>
      </c>
      <c r="E7793" s="752" t="s">
        <v>293</v>
      </c>
      <c r="F7793" s="751">
        <v>3375</v>
      </c>
    </row>
    <row r="7794" spans="1:6">
      <c r="A7794" s="753"/>
      <c r="B7794" s="753"/>
      <c r="C7794" s="752" t="s">
        <v>39985</v>
      </c>
      <c r="D7794" s="753" t="s">
        <v>39941</v>
      </c>
      <c r="E7794" s="752" t="s">
        <v>293</v>
      </c>
      <c r="F7794" s="751">
        <v>3375</v>
      </c>
    </row>
    <row r="7795" spans="1:6">
      <c r="A7795" s="753"/>
      <c r="B7795" s="753"/>
      <c r="C7795" s="752" t="s">
        <v>39984</v>
      </c>
      <c r="D7795" s="753" t="s">
        <v>39941</v>
      </c>
      <c r="E7795" s="752" t="s">
        <v>293</v>
      </c>
      <c r="F7795" s="751">
        <v>3375</v>
      </c>
    </row>
    <row r="7796" spans="1:6">
      <c r="A7796" s="753"/>
      <c r="B7796" s="753"/>
      <c r="C7796" s="752" t="s">
        <v>39983</v>
      </c>
      <c r="D7796" s="753" t="s">
        <v>39941</v>
      </c>
      <c r="E7796" s="752" t="s">
        <v>38584</v>
      </c>
      <c r="F7796" s="751">
        <v>3375</v>
      </c>
    </row>
    <row r="7797" spans="1:6">
      <c r="A7797" s="753"/>
      <c r="B7797" s="753"/>
      <c r="C7797" s="752" t="s">
        <v>39982</v>
      </c>
      <c r="D7797" s="753" t="s">
        <v>39941</v>
      </c>
      <c r="E7797" s="752" t="s">
        <v>39981</v>
      </c>
      <c r="F7797" s="751">
        <v>3125</v>
      </c>
    </row>
    <row r="7798" spans="1:6">
      <c r="A7798" s="753"/>
      <c r="B7798" s="753"/>
      <c r="C7798" s="752" t="s">
        <v>39980</v>
      </c>
      <c r="D7798" s="753" t="s">
        <v>39977</v>
      </c>
      <c r="E7798" s="752" t="s">
        <v>293</v>
      </c>
      <c r="F7798" s="751">
        <v>3375</v>
      </c>
    </row>
    <row r="7799" spans="1:6">
      <c r="A7799" s="753"/>
      <c r="B7799" s="753"/>
      <c r="C7799" s="752" t="s">
        <v>39979</v>
      </c>
      <c r="D7799" s="753" t="s">
        <v>39977</v>
      </c>
      <c r="E7799" s="752" t="s">
        <v>293</v>
      </c>
      <c r="F7799" s="751">
        <v>3375</v>
      </c>
    </row>
    <row r="7800" spans="1:6">
      <c r="A7800" s="753"/>
      <c r="B7800" s="753"/>
      <c r="C7800" s="752" t="s">
        <v>39978</v>
      </c>
      <c r="D7800" s="753" t="s">
        <v>39977</v>
      </c>
      <c r="E7800" s="752" t="s">
        <v>293</v>
      </c>
      <c r="F7800" s="751">
        <v>3375</v>
      </c>
    </row>
    <row r="7801" spans="1:6">
      <c r="A7801" s="753"/>
      <c r="B7801" s="753"/>
      <c r="C7801" s="752" t="s">
        <v>39976</v>
      </c>
      <c r="D7801" s="753" t="s">
        <v>39967</v>
      </c>
      <c r="E7801" s="752" t="s">
        <v>293</v>
      </c>
      <c r="F7801" s="751">
        <v>2625</v>
      </c>
    </row>
    <row r="7802" spans="1:6">
      <c r="A7802" s="753"/>
      <c r="B7802" s="753"/>
      <c r="C7802" s="752" t="s">
        <v>39975</v>
      </c>
      <c r="D7802" s="753" t="s">
        <v>39967</v>
      </c>
      <c r="E7802" s="752" t="s">
        <v>293</v>
      </c>
      <c r="F7802" s="751">
        <v>2625</v>
      </c>
    </row>
    <row r="7803" spans="1:6">
      <c r="A7803" s="753"/>
      <c r="B7803" s="753"/>
      <c r="C7803" s="752" t="s">
        <v>39974</v>
      </c>
      <c r="D7803" s="753" t="s">
        <v>39967</v>
      </c>
      <c r="E7803" s="752" t="s">
        <v>38962</v>
      </c>
      <c r="F7803" s="751">
        <v>2125</v>
      </c>
    </row>
    <row r="7804" spans="1:6">
      <c r="A7804" s="753"/>
      <c r="B7804" s="753"/>
      <c r="C7804" s="752" t="s">
        <v>39973</v>
      </c>
      <c r="D7804" s="753" t="s">
        <v>39967</v>
      </c>
      <c r="E7804" s="752" t="s">
        <v>293</v>
      </c>
      <c r="F7804" s="751">
        <v>2625</v>
      </c>
    </row>
    <row r="7805" spans="1:6">
      <c r="A7805" s="753"/>
      <c r="B7805" s="753"/>
      <c r="C7805" s="752" t="s">
        <v>39972</v>
      </c>
      <c r="D7805" s="753" t="s">
        <v>39967</v>
      </c>
      <c r="E7805" s="752" t="s">
        <v>37876</v>
      </c>
      <c r="F7805" s="751">
        <v>2625</v>
      </c>
    </row>
    <row r="7806" spans="1:6">
      <c r="A7806" s="753"/>
      <c r="B7806" s="753"/>
      <c r="C7806" s="752" t="s">
        <v>39971</v>
      </c>
      <c r="D7806" s="753" t="s">
        <v>39967</v>
      </c>
      <c r="E7806" s="752" t="s">
        <v>38584</v>
      </c>
      <c r="F7806" s="751">
        <v>2625</v>
      </c>
    </row>
    <row r="7807" spans="1:6">
      <c r="A7807" s="753"/>
      <c r="B7807" s="753"/>
      <c r="C7807" s="752" t="s">
        <v>39970</v>
      </c>
      <c r="D7807" s="753" t="s">
        <v>39967</v>
      </c>
      <c r="E7807" s="752" t="s">
        <v>39969</v>
      </c>
      <c r="F7807" s="751">
        <v>2125</v>
      </c>
    </row>
    <row r="7808" spans="1:6">
      <c r="A7808" s="753"/>
      <c r="B7808" s="753"/>
      <c r="C7808" s="752" t="s">
        <v>39968</v>
      </c>
      <c r="D7808" s="753" t="s">
        <v>39967</v>
      </c>
      <c r="E7808" s="752" t="s">
        <v>293</v>
      </c>
      <c r="F7808" s="751">
        <v>2625</v>
      </c>
    </row>
    <row r="7809" spans="1:6">
      <c r="A7809" s="753"/>
      <c r="B7809" s="753"/>
      <c r="C7809" s="752" t="s">
        <v>39966</v>
      </c>
      <c r="D7809" s="753" t="s">
        <v>39960</v>
      </c>
      <c r="E7809" s="752" t="s">
        <v>293</v>
      </c>
      <c r="F7809" s="751">
        <v>3175</v>
      </c>
    </row>
    <row r="7810" spans="1:6">
      <c r="A7810" s="753"/>
      <c r="B7810" s="753"/>
      <c r="C7810" s="752" t="s">
        <v>39965</v>
      </c>
      <c r="D7810" s="753" t="s">
        <v>39960</v>
      </c>
      <c r="E7810" s="752" t="s">
        <v>293</v>
      </c>
      <c r="F7810" s="751">
        <v>3175</v>
      </c>
    </row>
    <row r="7811" spans="1:6">
      <c r="A7811" s="753"/>
      <c r="B7811" s="753"/>
      <c r="C7811" s="752" t="s">
        <v>39964</v>
      </c>
      <c r="D7811" s="753" t="s">
        <v>39960</v>
      </c>
      <c r="E7811" s="752" t="s">
        <v>39963</v>
      </c>
      <c r="F7811" s="751">
        <v>2925</v>
      </c>
    </row>
    <row r="7812" spans="1:6">
      <c r="A7812" s="753"/>
      <c r="B7812" s="753"/>
      <c r="C7812" s="752" t="s">
        <v>39962</v>
      </c>
      <c r="D7812" s="753" t="s">
        <v>39960</v>
      </c>
      <c r="E7812" s="752" t="s">
        <v>293</v>
      </c>
      <c r="F7812" s="751">
        <v>3175</v>
      </c>
    </row>
    <row r="7813" spans="1:6">
      <c r="A7813" s="753"/>
      <c r="B7813" s="753"/>
      <c r="C7813" s="752" t="s">
        <v>39961</v>
      </c>
      <c r="D7813" s="753" t="s">
        <v>39960</v>
      </c>
      <c r="E7813" s="752" t="s">
        <v>293</v>
      </c>
      <c r="F7813" s="751">
        <v>2925</v>
      </c>
    </row>
    <row r="7814" spans="1:6">
      <c r="A7814" s="753"/>
      <c r="B7814" s="753"/>
      <c r="C7814" s="752" t="s">
        <v>39959</v>
      </c>
      <c r="D7814" s="753" t="s">
        <v>39955</v>
      </c>
      <c r="E7814" s="752" t="s">
        <v>293</v>
      </c>
      <c r="F7814" s="751">
        <v>3175</v>
      </c>
    </row>
    <row r="7815" spans="1:6">
      <c r="A7815" s="753"/>
      <c r="B7815" s="753"/>
      <c r="C7815" s="752" t="s">
        <v>39958</v>
      </c>
      <c r="D7815" s="753" t="s">
        <v>39955</v>
      </c>
      <c r="E7815" s="752" t="s">
        <v>39011</v>
      </c>
      <c r="F7815" s="751">
        <v>3935</v>
      </c>
    </row>
    <row r="7816" spans="1:6">
      <c r="A7816" s="753"/>
      <c r="B7816" s="753"/>
      <c r="C7816" s="752" t="s">
        <v>39957</v>
      </c>
      <c r="D7816" s="753" t="s">
        <v>39955</v>
      </c>
      <c r="E7816" s="752" t="s">
        <v>293</v>
      </c>
      <c r="F7816" s="751">
        <v>3175</v>
      </c>
    </row>
    <row r="7817" spans="1:6">
      <c r="A7817" s="753"/>
      <c r="B7817" s="753"/>
      <c r="C7817" s="752" t="s">
        <v>39956</v>
      </c>
      <c r="D7817" s="753" t="s">
        <v>39955</v>
      </c>
      <c r="E7817" s="752" t="s">
        <v>293</v>
      </c>
      <c r="F7817" s="751">
        <v>2925</v>
      </c>
    </row>
    <row r="7818" spans="1:6">
      <c r="A7818" s="753"/>
      <c r="B7818" s="753"/>
      <c r="C7818" s="752" t="s">
        <v>39954</v>
      </c>
      <c r="D7818" s="753" t="s">
        <v>39949</v>
      </c>
      <c r="E7818" s="752" t="s">
        <v>293</v>
      </c>
      <c r="F7818" s="751">
        <v>2725</v>
      </c>
    </row>
    <row r="7819" spans="1:6">
      <c r="A7819" s="753"/>
      <c r="B7819" s="753"/>
      <c r="C7819" s="752" t="s">
        <v>39953</v>
      </c>
      <c r="D7819" s="753" t="s">
        <v>39949</v>
      </c>
      <c r="E7819" s="752" t="s">
        <v>293</v>
      </c>
      <c r="F7819" s="751">
        <v>2725</v>
      </c>
    </row>
    <row r="7820" spans="1:6">
      <c r="A7820" s="753"/>
      <c r="B7820" s="753"/>
      <c r="C7820" s="752" t="s">
        <v>39952</v>
      </c>
      <c r="D7820" s="753" t="s">
        <v>39949</v>
      </c>
      <c r="E7820" s="752" t="s">
        <v>293</v>
      </c>
      <c r="F7820" s="751">
        <v>2725</v>
      </c>
    </row>
    <row r="7821" spans="1:6">
      <c r="A7821" s="753"/>
      <c r="B7821" s="753"/>
      <c r="C7821" s="752" t="s">
        <v>39951</v>
      </c>
      <c r="D7821" s="753" t="s">
        <v>39949</v>
      </c>
      <c r="E7821" s="752" t="s">
        <v>37876</v>
      </c>
      <c r="F7821" s="751">
        <v>2725</v>
      </c>
    </row>
    <row r="7822" spans="1:6">
      <c r="A7822" s="753"/>
      <c r="B7822" s="753"/>
      <c r="C7822" s="752" t="s">
        <v>39950</v>
      </c>
      <c r="D7822" s="753" t="s">
        <v>39949</v>
      </c>
      <c r="E7822" s="752" t="s">
        <v>38584</v>
      </c>
      <c r="F7822" s="751">
        <v>2725</v>
      </c>
    </row>
    <row r="7823" spans="1:6">
      <c r="A7823" s="753"/>
      <c r="B7823" s="753"/>
      <c r="C7823" s="752" t="s">
        <v>39948</v>
      </c>
      <c r="D7823" s="753" t="s">
        <v>39947</v>
      </c>
      <c r="E7823" s="752" t="s">
        <v>293</v>
      </c>
      <c r="F7823" s="751">
        <v>3275</v>
      </c>
    </row>
    <row r="7824" spans="1:6">
      <c r="A7824" s="753"/>
      <c r="B7824" s="753"/>
      <c r="C7824" s="752" t="s">
        <v>39946</v>
      </c>
      <c r="D7824" s="753" t="s">
        <v>39945</v>
      </c>
      <c r="E7824" s="752" t="s">
        <v>293</v>
      </c>
      <c r="F7824" s="751">
        <v>2825</v>
      </c>
    </row>
    <row r="7825" spans="1:6">
      <c r="A7825" s="753"/>
      <c r="B7825" s="753"/>
      <c r="C7825" s="752" t="s">
        <v>39944</v>
      </c>
      <c r="D7825" s="753" t="s">
        <v>39943</v>
      </c>
      <c r="E7825" s="752" t="s">
        <v>293</v>
      </c>
      <c r="F7825" s="751">
        <v>3275</v>
      </c>
    </row>
    <row r="7826" spans="1:6">
      <c r="A7826" s="753"/>
      <c r="B7826" s="753"/>
      <c r="C7826" s="752" t="s">
        <v>39942</v>
      </c>
      <c r="D7826" s="753" t="s">
        <v>39941</v>
      </c>
      <c r="E7826" s="752" t="s">
        <v>37794</v>
      </c>
      <c r="F7826" s="751">
        <v>3885</v>
      </c>
    </row>
    <row r="7827" spans="1:6">
      <c r="A7827" s="753"/>
      <c r="B7827" s="753"/>
      <c r="C7827" s="752" t="s">
        <v>39940</v>
      </c>
      <c r="D7827" s="753" t="s">
        <v>39939</v>
      </c>
      <c r="E7827" s="752" t="s">
        <v>38670</v>
      </c>
      <c r="F7827" s="751">
        <v>3335</v>
      </c>
    </row>
    <row r="7828" spans="1:6">
      <c r="A7828" s="753"/>
      <c r="B7828" s="753" t="s">
        <v>39938</v>
      </c>
      <c r="C7828" s="752" t="s">
        <v>39937</v>
      </c>
      <c r="D7828" s="753" t="s">
        <v>39934</v>
      </c>
      <c r="E7828" s="752" t="s">
        <v>293</v>
      </c>
      <c r="F7828" s="751">
        <v>3075</v>
      </c>
    </row>
    <row r="7829" spans="1:6">
      <c r="A7829" s="753"/>
      <c r="B7829" s="753"/>
      <c r="C7829" s="752" t="s">
        <v>39936</v>
      </c>
      <c r="D7829" s="753" t="s">
        <v>39934</v>
      </c>
      <c r="E7829" s="752" t="s">
        <v>293</v>
      </c>
      <c r="F7829" s="751">
        <v>2825</v>
      </c>
    </row>
    <row r="7830" spans="1:6">
      <c r="A7830" s="753"/>
      <c r="B7830" s="753"/>
      <c r="C7830" s="752" t="s">
        <v>39935</v>
      </c>
      <c r="D7830" s="753" t="s">
        <v>39934</v>
      </c>
      <c r="E7830" s="752" t="s">
        <v>293</v>
      </c>
      <c r="F7830" s="751">
        <v>2575</v>
      </c>
    </row>
    <row r="7831" spans="1:6">
      <c r="A7831" s="753"/>
      <c r="B7831" s="753"/>
      <c r="C7831" s="752" t="s">
        <v>39933</v>
      </c>
      <c r="D7831" s="753" t="s">
        <v>39932</v>
      </c>
      <c r="E7831" s="752" t="s">
        <v>293</v>
      </c>
      <c r="F7831" s="751">
        <v>3125</v>
      </c>
    </row>
    <row r="7832" spans="1:6">
      <c r="A7832" s="753"/>
      <c r="B7832" s="753"/>
      <c r="C7832" s="752" t="s">
        <v>39931</v>
      </c>
      <c r="D7832" s="753" t="s">
        <v>39929</v>
      </c>
      <c r="E7832" s="752" t="s">
        <v>293</v>
      </c>
      <c r="F7832" s="751">
        <v>2375</v>
      </c>
    </row>
    <row r="7833" spans="1:6">
      <c r="A7833" s="753"/>
      <c r="B7833" s="753"/>
      <c r="C7833" s="752" t="s">
        <v>39930</v>
      </c>
      <c r="D7833" s="753" t="s">
        <v>39929</v>
      </c>
      <c r="E7833" s="752" t="s">
        <v>293</v>
      </c>
      <c r="F7833" s="751">
        <v>2625</v>
      </c>
    </row>
    <row r="7834" spans="1:6">
      <c r="A7834" s="753"/>
      <c r="B7834" s="753"/>
      <c r="C7834" s="752" t="s">
        <v>39928</v>
      </c>
      <c r="D7834" s="753" t="s">
        <v>39927</v>
      </c>
      <c r="E7834" s="752" t="s">
        <v>293</v>
      </c>
      <c r="F7834" s="751">
        <v>2925</v>
      </c>
    </row>
    <row r="7835" spans="1:6">
      <c r="A7835" s="753"/>
      <c r="B7835" s="753" t="s">
        <v>39926</v>
      </c>
      <c r="C7835" s="752" t="s">
        <v>39925</v>
      </c>
      <c r="D7835" s="753" t="s">
        <v>39924</v>
      </c>
      <c r="E7835" s="752" t="s">
        <v>39923</v>
      </c>
      <c r="F7835" s="751">
        <v>4105</v>
      </c>
    </row>
    <row r="7836" spans="1:6">
      <c r="A7836" s="753"/>
      <c r="B7836" s="753"/>
      <c r="C7836" s="752" t="s">
        <v>39922</v>
      </c>
      <c r="D7836" s="753" t="s">
        <v>39921</v>
      </c>
      <c r="E7836" s="752" t="s">
        <v>38919</v>
      </c>
      <c r="F7836" s="751">
        <v>5505</v>
      </c>
    </row>
    <row r="7837" spans="1:6">
      <c r="A7837" s="753"/>
      <c r="B7837" s="753"/>
      <c r="C7837" s="752" t="s">
        <v>39920</v>
      </c>
      <c r="D7837" s="753" t="s">
        <v>39919</v>
      </c>
      <c r="E7837" s="752" t="s">
        <v>293</v>
      </c>
      <c r="F7837" s="751">
        <v>5345</v>
      </c>
    </row>
    <row r="7838" spans="1:6">
      <c r="A7838" s="753"/>
      <c r="B7838" s="753"/>
      <c r="C7838" s="752" t="s">
        <v>39918</v>
      </c>
      <c r="D7838" s="753" t="s">
        <v>39915</v>
      </c>
      <c r="E7838" s="752" t="s">
        <v>293</v>
      </c>
      <c r="F7838" s="751">
        <v>2575</v>
      </c>
    </row>
    <row r="7839" spans="1:6">
      <c r="A7839" s="753"/>
      <c r="B7839" s="753"/>
      <c r="C7839" s="752" t="s">
        <v>39917</v>
      </c>
      <c r="D7839" s="753" t="s">
        <v>39915</v>
      </c>
      <c r="E7839" s="752" t="s">
        <v>293</v>
      </c>
      <c r="F7839" s="751">
        <v>2575</v>
      </c>
    </row>
    <row r="7840" spans="1:6">
      <c r="A7840" s="753"/>
      <c r="B7840" s="753"/>
      <c r="C7840" s="752" t="s">
        <v>39916</v>
      </c>
      <c r="D7840" s="753" t="s">
        <v>39915</v>
      </c>
      <c r="E7840" s="752" t="s">
        <v>293</v>
      </c>
      <c r="F7840" s="751">
        <v>2575</v>
      </c>
    </row>
    <row r="7841" spans="1:6">
      <c r="A7841" s="753"/>
      <c r="B7841" s="753"/>
      <c r="C7841" s="752" t="s">
        <v>39914</v>
      </c>
      <c r="D7841" s="753" t="s">
        <v>39911</v>
      </c>
      <c r="E7841" s="752" t="s">
        <v>293</v>
      </c>
      <c r="F7841" s="751">
        <v>3125</v>
      </c>
    </row>
    <row r="7842" spans="1:6">
      <c r="A7842" s="753"/>
      <c r="B7842" s="753"/>
      <c r="C7842" s="752" t="s">
        <v>39913</v>
      </c>
      <c r="D7842" s="753" t="s">
        <v>39911</v>
      </c>
      <c r="E7842" s="752" t="s">
        <v>293</v>
      </c>
      <c r="F7842" s="751">
        <v>3125</v>
      </c>
    </row>
    <row r="7843" spans="1:6">
      <c r="A7843" s="753"/>
      <c r="B7843" s="753"/>
      <c r="C7843" s="752" t="s">
        <v>39912</v>
      </c>
      <c r="D7843" s="753" t="s">
        <v>39911</v>
      </c>
      <c r="E7843" s="752" t="s">
        <v>293</v>
      </c>
      <c r="F7843" s="751">
        <v>3125</v>
      </c>
    </row>
    <row r="7844" spans="1:6">
      <c r="A7844" s="753"/>
      <c r="B7844" s="753"/>
      <c r="C7844" s="752" t="s">
        <v>39910</v>
      </c>
      <c r="D7844" s="753" t="s">
        <v>39904</v>
      </c>
      <c r="E7844" s="752" t="s">
        <v>293</v>
      </c>
      <c r="F7844" s="751">
        <v>2375</v>
      </c>
    </row>
    <row r="7845" spans="1:6">
      <c r="A7845" s="753"/>
      <c r="B7845" s="753"/>
      <c r="C7845" s="752" t="s">
        <v>39909</v>
      </c>
      <c r="D7845" s="753" t="s">
        <v>39904</v>
      </c>
      <c r="E7845" s="752" t="s">
        <v>293</v>
      </c>
      <c r="F7845" s="751">
        <v>2375</v>
      </c>
    </row>
    <row r="7846" spans="1:6">
      <c r="A7846" s="753"/>
      <c r="B7846" s="753"/>
      <c r="C7846" s="752" t="s">
        <v>39908</v>
      </c>
      <c r="D7846" s="753" t="s">
        <v>39907</v>
      </c>
      <c r="E7846" s="752" t="s">
        <v>39430</v>
      </c>
      <c r="F7846" s="751">
        <v>2375</v>
      </c>
    </row>
    <row r="7847" spans="1:6">
      <c r="A7847" s="753"/>
      <c r="B7847" s="753"/>
      <c r="C7847" s="752" t="s">
        <v>39906</v>
      </c>
      <c r="D7847" s="753" t="s">
        <v>39904</v>
      </c>
      <c r="E7847" s="752" t="s">
        <v>293</v>
      </c>
      <c r="F7847" s="751">
        <v>2375</v>
      </c>
    </row>
    <row r="7848" spans="1:6">
      <c r="A7848" s="753"/>
      <c r="B7848" s="753"/>
      <c r="C7848" s="752" t="s">
        <v>39905</v>
      </c>
      <c r="D7848" s="753" t="s">
        <v>39904</v>
      </c>
      <c r="E7848" s="752" t="s">
        <v>39903</v>
      </c>
      <c r="F7848" s="751">
        <v>3025</v>
      </c>
    </row>
    <row r="7849" spans="1:6">
      <c r="A7849" s="753"/>
      <c r="B7849" s="753"/>
      <c r="C7849" s="752" t="s">
        <v>39902</v>
      </c>
      <c r="D7849" s="753" t="s">
        <v>39899</v>
      </c>
      <c r="E7849" s="752" t="s">
        <v>293</v>
      </c>
      <c r="F7849" s="751">
        <v>2925</v>
      </c>
    </row>
    <row r="7850" spans="1:6">
      <c r="A7850" s="753"/>
      <c r="B7850" s="753"/>
      <c r="C7850" s="752" t="s">
        <v>39901</v>
      </c>
      <c r="D7850" s="753" t="s">
        <v>39899</v>
      </c>
      <c r="E7850" s="752" t="s">
        <v>293</v>
      </c>
      <c r="F7850" s="751">
        <v>2925</v>
      </c>
    </row>
    <row r="7851" spans="1:6">
      <c r="A7851" s="753"/>
      <c r="B7851" s="753"/>
      <c r="C7851" s="752" t="s">
        <v>39900</v>
      </c>
      <c r="D7851" s="753" t="s">
        <v>39899</v>
      </c>
      <c r="E7851" s="752" t="s">
        <v>293</v>
      </c>
      <c r="F7851" s="751">
        <v>2925</v>
      </c>
    </row>
    <row r="7852" spans="1:6">
      <c r="A7852" s="753"/>
      <c r="B7852" s="753"/>
      <c r="C7852" s="752" t="s">
        <v>39898</v>
      </c>
      <c r="D7852" s="753" t="s">
        <v>39897</v>
      </c>
      <c r="E7852" s="752" t="s">
        <v>293</v>
      </c>
      <c r="F7852" s="751">
        <v>2925</v>
      </c>
    </row>
    <row r="7853" spans="1:6">
      <c r="A7853" s="753"/>
      <c r="B7853" s="753"/>
      <c r="C7853" s="752" t="s">
        <v>39896</v>
      </c>
      <c r="D7853" s="753" t="s">
        <v>39895</v>
      </c>
      <c r="E7853" s="752" t="s">
        <v>293</v>
      </c>
      <c r="F7853" s="751">
        <v>2475</v>
      </c>
    </row>
    <row r="7854" spans="1:6">
      <c r="A7854" s="753"/>
      <c r="B7854" s="753"/>
      <c r="C7854" s="752" t="s">
        <v>39894</v>
      </c>
      <c r="D7854" s="753" t="s">
        <v>39893</v>
      </c>
      <c r="E7854" s="752" t="s">
        <v>293</v>
      </c>
      <c r="F7854" s="751">
        <v>2475</v>
      </c>
    </row>
    <row r="7855" spans="1:6">
      <c r="A7855" s="753"/>
      <c r="B7855" s="753"/>
      <c r="C7855" s="752" t="s">
        <v>39892</v>
      </c>
      <c r="D7855" s="753" t="s">
        <v>39891</v>
      </c>
      <c r="E7855" s="752" t="s">
        <v>293</v>
      </c>
      <c r="F7855" s="751">
        <v>3025</v>
      </c>
    </row>
    <row r="7856" spans="1:6">
      <c r="A7856" s="753"/>
      <c r="B7856" s="753"/>
      <c r="C7856" s="752" t="s">
        <v>39890</v>
      </c>
      <c r="D7856" s="753" t="s">
        <v>39889</v>
      </c>
      <c r="E7856" s="752" t="s">
        <v>293</v>
      </c>
      <c r="F7856" s="751">
        <v>3025</v>
      </c>
    </row>
    <row r="7857" spans="1:6">
      <c r="A7857" s="753"/>
      <c r="B7857" s="753" t="s">
        <v>39888</v>
      </c>
      <c r="C7857" s="752" t="s">
        <v>39887</v>
      </c>
      <c r="D7857" s="753" t="s">
        <v>39881</v>
      </c>
      <c r="E7857" s="752" t="s">
        <v>39886</v>
      </c>
      <c r="F7857" s="751">
        <v>1975</v>
      </c>
    </row>
    <row r="7858" spans="1:6">
      <c r="A7858" s="753"/>
      <c r="B7858" s="753"/>
      <c r="C7858" s="752" t="s">
        <v>39885</v>
      </c>
      <c r="D7858" s="753" t="s">
        <v>39881</v>
      </c>
      <c r="E7858" s="752" t="s">
        <v>39055</v>
      </c>
      <c r="F7858" s="751">
        <v>1975</v>
      </c>
    </row>
    <row r="7859" spans="1:6">
      <c r="A7859" s="753"/>
      <c r="B7859" s="753"/>
      <c r="C7859" s="752" t="s">
        <v>39884</v>
      </c>
      <c r="D7859" s="753" t="s">
        <v>39881</v>
      </c>
      <c r="E7859" s="752" t="s">
        <v>37838</v>
      </c>
      <c r="F7859" s="751">
        <v>1975</v>
      </c>
    </row>
    <row r="7860" spans="1:6">
      <c r="A7860" s="753"/>
      <c r="B7860" s="753"/>
      <c r="C7860" s="752" t="s">
        <v>39883</v>
      </c>
      <c r="D7860" s="753" t="s">
        <v>39881</v>
      </c>
      <c r="E7860" s="752" t="s">
        <v>39055</v>
      </c>
      <c r="F7860" s="751">
        <v>1975</v>
      </c>
    </row>
    <row r="7861" spans="1:6">
      <c r="A7861" s="753"/>
      <c r="B7861" s="753"/>
      <c r="C7861" s="752" t="s">
        <v>39882</v>
      </c>
      <c r="D7861" s="753" t="s">
        <v>39881</v>
      </c>
      <c r="E7861" s="752" t="s">
        <v>39055</v>
      </c>
      <c r="F7861" s="751">
        <v>1975</v>
      </c>
    </row>
    <row r="7862" spans="1:6">
      <c r="A7862" s="753"/>
      <c r="B7862" s="753" t="s">
        <v>39880</v>
      </c>
      <c r="C7862" s="752" t="s">
        <v>39879</v>
      </c>
      <c r="D7862" s="753" t="s">
        <v>39878</v>
      </c>
      <c r="E7862" s="752" t="s">
        <v>38283</v>
      </c>
      <c r="F7862" s="751">
        <v>4425</v>
      </c>
    </row>
    <row r="7863" spans="1:6">
      <c r="A7863" s="753"/>
      <c r="B7863" s="753" t="s">
        <v>39877</v>
      </c>
      <c r="C7863" s="752" t="s">
        <v>39876</v>
      </c>
      <c r="D7863" s="753" t="s">
        <v>39875</v>
      </c>
      <c r="E7863" s="752" t="s">
        <v>38290</v>
      </c>
      <c r="F7863" s="751">
        <v>5170</v>
      </c>
    </row>
    <row r="7864" spans="1:6">
      <c r="A7864" s="753"/>
      <c r="B7864" s="753"/>
      <c r="C7864" s="752" t="s">
        <v>39874</v>
      </c>
      <c r="D7864" s="753" t="s">
        <v>39873</v>
      </c>
      <c r="E7864" s="752" t="s">
        <v>39779</v>
      </c>
      <c r="F7864" s="751">
        <v>4675</v>
      </c>
    </row>
    <row r="7865" spans="1:6">
      <c r="A7865" s="753"/>
      <c r="B7865" s="753"/>
      <c r="C7865" s="752" t="s">
        <v>39872</v>
      </c>
      <c r="D7865" s="753" t="s">
        <v>39871</v>
      </c>
      <c r="E7865" s="752" t="s">
        <v>39779</v>
      </c>
      <c r="F7865" s="751">
        <v>5375</v>
      </c>
    </row>
    <row r="7866" spans="1:6">
      <c r="A7866" s="753"/>
      <c r="B7866" s="753"/>
      <c r="C7866" s="752" t="s">
        <v>39870</v>
      </c>
      <c r="D7866" s="753" t="s">
        <v>39866</v>
      </c>
      <c r="E7866" s="752" t="s">
        <v>293</v>
      </c>
      <c r="F7866" s="751">
        <v>1445</v>
      </c>
    </row>
    <row r="7867" spans="1:6">
      <c r="A7867" s="753"/>
      <c r="B7867" s="753"/>
      <c r="C7867" s="752" t="s">
        <v>39869</v>
      </c>
      <c r="D7867" s="753" t="s">
        <v>39866</v>
      </c>
      <c r="E7867" s="752" t="s">
        <v>293</v>
      </c>
      <c r="F7867" s="751">
        <v>1445</v>
      </c>
    </row>
    <row r="7868" spans="1:6">
      <c r="A7868" s="753"/>
      <c r="B7868" s="753"/>
      <c r="C7868" s="752" t="s">
        <v>39868</v>
      </c>
      <c r="D7868" s="753" t="s">
        <v>39866</v>
      </c>
      <c r="E7868" s="752" t="s">
        <v>293</v>
      </c>
      <c r="F7868" s="751">
        <v>1745</v>
      </c>
    </row>
    <row r="7869" spans="1:6">
      <c r="A7869" s="753"/>
      <c r="B7869" s="753"/>
      <c r="C7869" s="752" t="s">
        <v>39867</v>
      </c>
      <c r="D7869" s="753" t="s">
        <v>39866</v>
      </c>
      <c r="E7869" s="752" t="s">
        <v>293</v>
      </c>
      <c r="F7869" s="751">
        <v>1745</v>
      </c>
    </row>
    <row r="7870" spans="1:6">
      <c r="A7870" s="753"/>
      <c r="B7870" s="753"/>
      <c r="C7870" s="752" t="s">
        <v>39865</v>
      </c>
      <c r="D7870" s="753" t="s">
        <v>39853</v>
      </c>
      <c r="E7870" s="752" t="s">
        <v>39787</v>
      </c>
      <c r="F7870" s="751">
        <v>3375</v>
      </c>
    </row>
    <row r="7871" spans="1:6">
      <c r="A7871" s="753"/>
      <c r="B7871" s="753"/>
      <c r="C7871" s="752" t="s">
        <v>39864</v>
      </c>
      <c r="D7871" s="753" t="s">
        <v>39853</v>
      </c>
      <c r="E7871" s="752" t="s">
        <v>39863</v>
      </c>
      <c r="F7871" s="751">
        <v>3725</v>
      </c>
    </row>
    <row r="7872" spans="1:6">
      <c r="A7872" s="753"/>
      <c r="B7872" s="753"/>
      <c r="C7872" s="752" t="s">
        <v>39862</v>
      </c>
      <c r="D7872" s="753" t="s">
        <v>39853</v>
      </c>
      <c r="E7872" s="752" t="s">
        <v>39861</v>
      </c>
      <c r="F7872" s="751">
        <v>3125</v>
      </c>
    </row>
    <row r="7873" spans="1:6">
      <c r="A7873" s="753"/>
      <c r="B7873" s="753"/>
      <c r="C7873" s="752" t="s">
        <v>39860</v>
      </c>
      <c r="D7873" s="753" t="s">
        <v>39853</v>
      </c>
      <c r="E7873" s="752" t="s">
        <v>39859</v>
      </c>
      <c r="F7873" s="751">
        <v>3375</v>
      </c>
    </row>
    <row r="7874" spans="1:6">
      <c r="A7874" s="753"/>
      <c r="B7874" s="753"/>
      <c r="C7874" s="752" t="s">
        <v>39858</v>
      </c>
      <c r="D7874" s="753" t="s">
        <v>39853</v>
      </c>
      <c r="E7874" s="752" t="s">
        <v>39857</v>
      </c>
      <c r="F7874" s="751">
        <v>3125</v>
      </c>
    </row>
    <row r="7875" spans="1:6">
      <c r="A7875" s="753"/>
      <c r="B7875" s="753"/>
      <c r="C7875" s="752" t="s">
        <v>39856</v>
      </c>
      <c r="D7875" s="753" t="s">
        <v>39853</v>
      </c>
      <c r="E7875" s="752" t="s">
        <v>39855</v>
      </c>
      <c r="F7875" s="751">
        <v>3375</v>
      </c>
    </row>
    <row r="7876" spans="1:6">
      <c r="A7876" s="753"/>
      <c r="B7876" s="753"/>
      <c r="C7876" s="752" t="s">
        <v>39854</v>
      </c>
      <c r="D7876" s="753" t="s">
        <v>39853</v>
      </c>
      <c r="E7876" s="752" t="s">
        <v>39852</v>
      </c>
      <c r="F7876" s="751">
        <v>2875</v>
      </c>
    </row>
    <row r="7877" spans="1:6">
      <c r="A7877" s="753"/>
      <c r="B7877" s="753"/>
      <c r="C7877" s="752" t="s">
        <v>39851</v>
      </c>
      <c r="D7877" s="753" t="s">
        <v>39835</v>
      </c>
      <c r="E7877" s="752" t="s">
        <v>38019</v>
      </c>
      <c r="F7877" s="751">
        <v>4425</v>
      </c>
    </row>
    <row r="7878" spans="1:6">
      <c r="A7878" s="753"/>
      <c r="B7878" s="753"/>
      <c r="C7878" s="752" t="s">
        <v>39850</v>
      </c>
      <c r="D7878" s="753" t="s">
        <v>39835</v>
      </c>
      <c r="E7878" s="752" t="s">
        <v>39779</v>
      </c>
      <c r="F7878" s="751">
        <v>4175</v>
      </c>
    </row>
    <row r="7879" spans="1:6">
      <c r="A7879" s="753"/>
      <c r="B7879" s="753"/>
      <c r="C7879" s="752" t="s">
        <v>39849</v>
      </c>
      <c r="D7879" s="753" t="s">
        <v>39835</v>
      </c>
      <c r="E7879" s="752" t="s">
        <v>39777</v>
      </c>
      <c r="F7879" s="751">
        <v>4975</v>
      </c>
    </row>
    <row r="7880" spans="1:6">
      <c r="A7880" s="753"/>
      <c r="B7880" s="753"/>
      <c r="C7880" s="752" t="s">
        <v>39848</v>
      </c>
      <c r="D7880" s="753" t="s">
        <v>39835</v>
      </c>
      <c r="E7880" s="752" t="s">
        <v>39847</v>
      </c>
      <c r="F7880" s="751">
        <v>3925</v>
      </c>
    </row>
    <row r="7881" spans="1:6">
      <c r="A7881" s="753"/>
      <c r="B7881" s="753"/>
      <c r="C7881" s="752" t="s">
        <v>39846</v>
      </c>
      <c r="D7881" s="753" t="s">
        <v>39835</v>
      </c>
      <c r="E7881" s="752" t="s">
        <v>39845</v>
      </c>
      <c r="F7881" s="751">
        <v>4685</v>
      </c>
    </row>
    <row r="7882" spans="1:6">
      <c r="A7882" s="753"/>
      <c r="B7882" s="753"/>
      <c r="C7882" s="752" t="s">
        <v>39844</v>
      </c>
      <c r="D7882" s="753" t="s">
        <v>39835</v>
      </c>
      <c r="E7882" s="752" t="s">
        <v>39822</v>
      </c>
      <c r="F7882" s="751">
        <v>4625</v>
      </c>
    </row>
    <row r="7883" spans="1:6">
      <c r="A7883" s="753"/>
      <c r="B7883" s="753"/>
      <c r="C7883" s="752" t="s">
        <v>39843</v>
      </c>
      <c r="D7883" s="753" t="s">
        <v>39835</v>
      </c>
      <c r="E7883" s="752" t="s">
        <v>39819</v>
      </c>
      <c r="F7883" s="751">
        <v>4985</v>
      </c>
    </row>
    <row r="7884" spans="1:6">
      <c r="A7884" s="753"/>
      <c r="B7884" s="753"/>
      <c r="C7884" s="752" t="s">
        <v>39842</v>
      </c>
      <c r="D7884" s="753" t="s">
        <v>39835</v>
      </c>
      <c r="E7884" s="752" t="s">
        <v>39841</v>
      </c>
      <c r="F7884" s="751">
        <v>5325</v>
      </c>
    </row>
    <row r="7885" spans="1:6">
      <c r="A7885" s="753"/>
      <c r="B7885" s="753"/>
      <c r="C7885" s="752" t="s">
        <v>39840</v>
      </c>
      <c r="D7885" s="753" t="s">
        <v>39835</v>
      </c>
      <c r="E7885" s="752" t="s">
        <v>39839</v>
      </c>
      <c r="F7885" s="751">
        <v>4175</v>
      </c>
    </row>
    <row r="7886" spans="1:6">
      <c r="A7886" s="753"/>
      <c r="B7886" s="753"/>
      <c r="C7886" s="752" t="s">
        <v>39838</v>
      </c>
      <c r="D7886" s="753" t="s">
        <v>39835</v>
      </c>
      <c r="E7886" s="752" t="s">
        <v>39837</v>
      </c>
      <c r="F7886" s="751">
        <v>4375</v>
      </c>
    </row>
    <row r="7887" spans="1:6">
      <c r="A7887" s="753"/>
      <c r="B7887" s="753"/>
      <c r="C7887" s="752" t="s">
        <v>39836</v>
      </c>
      <c r="D7887" s="753" t="s">
        <v>39835</v>
      </c>
      <c r="E7887" s="752" t="s">
        <v>39834</v>
      </c>
      <c r="F7887" s="751">
        <v>5225</v>
      </c>
    </row>
    <row r="7888" spans="1:6">
      <c r="A7888" s="753"/>
      <c r="B7888" s="753"/>
      <c r="C7888" s="752" t="s">
        <v>39833</v>
      </c>
      <c r="D7888" s="753" t="s">
        <v>39815</v>
      </c>
      <c r="E7888" s="752" t="s">
        <v>38019</v>
      </c>
      <c r="F7888" s="751">
        <v>4425</v>
      </c>
    </row>
    <row r="7889" spans="1:6">
      <c r="A7889" s="753"/>
      <c r="B7889" s="753"/>
      <c r="C7889" s="752" t="s">
        <v>39832</v>
      </c>
      <c r="D7889" s="753" t="s">
        <v>39825</v>
      </c>
      <c r="E7889" s="752" t="s">
        <v>39779</v>
      </c>
      <c r="F7889" s="751">
        <v>3875</v>
      </c>
    </row>
    <row r="7890" spans="1:6">
      <c r="A7890" s="753"/>
      <c r="B7890" s="753"/>
      <c r="C7890" s="752" t="s">
        <v>39831</v>
      </c>
      <c r="D7890" s="753" t="s">
        <v>39825</v>
      </c>
      <c r="E7890" s="752" t="s">
        <v>39830</v>
      </c>
      <c r="F7890" s="751">
        <v>4935</v>
      </c>
    </row>
    <row r="7891" spans="1:6">
      <c r="A7891" s="753"/>
      <c r="B7891" s="753"/>
      <c r="C7891" s="752" t="s">
        <v>39829</v>
      </c>
      <c r="D7891" s="753" t="s">
        <v>39825</v>
      </c>
      <c r="E7891" s="752" t="s">
        <v>39828</v>
      </c>
      <c r="F7891" s="751">
        <v>7935</v>
      </c>
    </row>
    <row r="7892" spans="1:6">
      <c r="A7892" s="753"/>
      <c r="B7892" s="753"/>
      <c r="C7892" s="752" t="s">
        <v>39827</v>
      </c>
      <c r="D7892" s="753" t="s">
        <v>39817</v>
      </c>
      <c r="E7892" s="752" t="s">
        <v>39777</v>
      </c>
      <c r="F7892" s="751">
        <v>4975</v>
      </c>
    </row>
    <row r="7893" spans="1:6">
      <c r="A7893" s="753"/>
      <c r="B7893" s="753"/>
      <c r="C7893" s="752" t="s">
        <v>39826</v>
      </c>
      <c r="D7893" s="753" t="s">
        <v>39825</v>
      </c>
      <c r="E7893" s="752" t="s">
        <v>39824</v>
      </c>
      <c r="F7893" s="751">
        <v>3875</v>
      </c>
    </row>
    <row r="7894" spans="1:6">
      <c r="A7894" s="753"/>
      <c r="B7894" s="753"/>
      <c r="C7894" s="752" t="s">
        <v>39823</v>
      </c>
      <c r="D7894" s="753" t="s">
        <v>39817</v>
      </c>
      <c r="E7894" s="752" t="s">
        <v>39822</v>
      </c>
      <c r="F7894" s="751">
        <v>4625</v>
      </c>
    </row>
    <row r="7895" spans="1:6">
      <c r="A7895" s="753"/>
      <c r="B7895" s="753"/>
      <c r="C7895" s="752" t="s">
        <v>39821</v>
      </c>
      <c r="D7895" s="753" t="s">
        <v>39820</v>
      </c>
      <c r="E7895" s="752" t="s">
        <v>39819</v>
      </c>
      <c r="F7895" s="751">
        <v>4885</v>
      </c>
    </row>
    <row r="7896" spans="1:6">
      <c r="A7896" s="753"/>
      <c r="B7896" s="753"/>
      <c r="C7896" s="752" t="s">
        <v>39818</v>
      </c>
      <c r="D7896" s="753" t="s">
        <v>39817</v>
      </c>
      <c r="E7896" s="752" t="s">
        <v>293</v>
      </c>
      <c r="F7896" s="751">
        <v>5325</v>
      </c>
    </row>
    <row r="7897" spans="1:6">
      <c r="A7897" s="753"/>
      <c r="B7897" s="753"/>
      <c r="C7897" s="752" t="s">
        <v>39816</v>
      </c>
      <c r="D7897" s="753" t="s">
        <v>39815</v>
      </c>
      <c r="E7897" s="752" t="s">
        <v>39774</v>
      </c>
      <c r="F7897" s="751">
        <v>4125</v>
      </c>
    </row>
    <row r="7898" spans="1:6">
      <c r="A7898" s="753"/>
      <c r="B7898" s="753"/>
      <c r="C7898" s="752" t="s">
        <v>39814</v>
      </c>
      <c r="D7898" s="753" t="s">
        <v>39809</v>
      </c>
      <c r="E7898" s="752" t="s">
        <v>39813</v>
      </c>
      <c r="F7898" s="751">
        <v>3175</v>
      </c>
    </row>
    <row r="7899" spans="1:6">
      <c r="A7899" s="753"/>
      <c r="B7899" s="753"/>
      <c r="C7899" s="752" t="s">
        <v>39812</v>
      </c>
      <c r="D7899" s="753" t="s">
        <v>39809</v>
      </c>
      <c r="E7899" s="752" t="s">
        <v>39811</v>
      </c>
      <c r="F7899" s="751">
        <v>2925</v>
      </c>
    </row>
    <row r="7900" spans="1:6">
      <c r="A7900" s="753"/>
      <c r="B7900" s="753"/>
      <c r="C7900" s="752" t="s">
        <v>39810</v>
      </c>
      <c r="D7900" s="753" t="s">
        <v>39809</v>
      </c>
      <c r="E7900" s="752" t="s">
        <v>39808</v>
      </c>
      <c r="F7900" s="751">
        <v>2925</v>
      </c>
    </row>
    <row r="7901" spans="1:6">
      <c r="A7901" s="753"/>
      <c r="B7901" s="753"/>
      <c r="C7901" s="752" t="s">
        <v>39807</v>
      </c>
      <c r="D7901" s="753" t="s">
        <v>39806</v>
      </c>
      <c r="E7901" s="752" t="s">
        <v>39805</v>
      </c>
      <c r="F7901" s="751">
        <v>3175</v>
      </c>
    </row>
    <row r="7902" spans="1:6">
      <c r="A7902" s="753"/>
      <c r="B7902" s="753"/>
      <c r="C7902" s="752" t="s">
        <v>39804</v>
      </c>
      <c r="D7902" s="753" t="s">
        <v>39796</v>
      </c>
      <c r="E7902" s="752" t="s">
        <v>38019</v>
      </c>
      <c r="F7902" s="751">
        <v>4225</v>
      </c>
    </row>
    <row r="7903" spans="1:6">
      <c r="A7903" s="753"/>
      <c r="B7903" s="753"/>
      <c r="C7903" s="752" t="s">
        <v>39803</v>
      </c>
      <c r="D7903" s="753" t="s">
        <v>39796</v>
      </c>
      <c r="E7903" s="752" t="s">
        <v>39779</v>
      </c>
      <c r="F7903" s="751">
        <v>3975</v>
      </c>
    </row>
    <row r="7904" spans="1:6">
      <c r="A7904" s="753"/>
      <c r="B7904" s="753"/>
      <c r="C7904" s="752" t="s">
        <v>39802</v>
      </c>
      <c r="D7904" s="753" t="s">
        <v>39796</v>
      </c>
      <c r="E7904" s="752" t="s">
        <v>39777</v>
      </c>
      <c r="F7904" s="751">
        <v>4775</v>
      </c>
    </row>
    <row r="7905" spans="1:6">
      <c r="A7905" s="753"/>
      <c r="B7905" s="753"/>
      <c r="C7905" s="752" t="s">
        <v>39801</v>
      </c>
      <c r="D7905" s="753" t="s">
        <v>39796</v>
      </c>
      <c r="E7905" s="752" t="s">
        <v>38002</v>
      </c>
      <c r="F7905" s="751">
        <v>5125</v>
      </c>
    </row>
    <row r="7906" spans="1:6">
      <c r="A7906" s="753"/>
      <c r="B7906" s="753"/>
      <c r="C7906" s="752" t="s">
        <v>39800</v>
      </c>
      <c r="D7906" s="753" t="s">
        <v>39796</v>
      </c>
      <c r="E7906" s="752" t="s">
        <v>38010</v>
      </c>
      <c r="F7906" s="751">
        <v>4475</v>
      </c>
    </row>
    <row r="7907" spans="1:6">
      <c r="A7907" s="753"/>
      <c r="B7907" s="753"/>
      <c r="C7907" s="752" t="s">
        <v>39799</v>
      </c>
      <c r="D7907" s="753" t="s">
        <v>39796</v>
      </c>
      <c r="E7907" s="752" t="s">
        <v>38033</v>
      </c>
      <c r="F7907" s="751">
        <v>5475</v>
      </c>
    </row>
    <row r="7908" spans="1:6">
      <c r="A7908" s="753"/>
      <c r="B7908" s="753"/>
      <c r="C7908" s="752" t="s">
        <v>39798</v>
      </c>
      <c r="D7908" s="753" t="s">
        <v>39796</v>
      </c>
      <c r="E7908" s="752" t="s">
        <v>39774</v>
      </c>
      <c r="F7908" s="751">
        <v>3925</v>
      </c>
    </row>
    <row r="7909" spans="1:6">
      <c r="A7909" s="753"/>
      <c r="B7909" s="753"/>
      <c r="C7909" s="752" t="s">
        <v>39797</v>
      </c>
      <c r="D7909" s="753" t="s">
        <v>39796</v>
      </c>
      <c r="E7909" s="752" t="s">
        <v>39771</v>
      </c>
      <c r="F7909" s="751">
        <v>5125</v>
      </c>
    </row>
    <row r="7910" spans="1:6">
      <c r="A7910" s="753"/>
      <c r="B7910" s="753"/>
      <c r="C7910" s="752" t="s">
        <v>39795</v>
      </c>
      <c r="D7910" s="753" t="s">
        <v>39789</v>
      </c>
      <c r="E7910" s="752" t="s">
        <v>38019</v>
      </c>
      <c r="F7910" s="751">
        <v>3925</v>
      </c>
    </row>
    <row r="7911" spans="1:6">
      <c r="A7911" s="753"/>
      <c r="B7911" s="753"/>
      <c r="C7911" s="752" t="s">
        <v>39794</v>
      </c>
      <c r="D7911" s="753" t="s">
        <v>39792</v>
      </c>
      <c r="E7911" s="752" t="s">
        <v>39779</v>
      </c>
      <c r="F7911" s="751">
        <v>3675</v>
      </c>
    </row>
    <row r="7912" spans="1:6">
      <c r="A7912" s="753"/>
      <c r="B7912" s="753"/>
      <c r="C7912" s="752" t="s">
        <v>39793</v>
      </c>
      <c r="D7912" s="753" t="s">
        <v>39792</v>
      </c>
      <c r="E7912" s="752" t="s">
        <v>39777</v>
      </c>
      <c r="F7912" s="751">
        <v>4775</v>
      </c>
    </row>
    <row r="7913" spans="1:6">
      <c r="A7913" s="753"/>
      <c r="B7913" s="753"/>
      <c r="C7913" s="752" t="s">
        <v>39791</v>
      </c>
      <c r="D7913" s="753" t="s">
        <v>39789</v>
      </c>
      <c r="E7913" s="752" t="s">
        <v>38002</v>
      </c>
      <c r="F7913" s="751">
        <v>5125</v>
      </c>
    </row>
    <row r="7914" spans="1:6">
      <c r="A7914" s="753"/>
      <c r="B7914" s="753"/>
      <c r="C7914" s="752" t="s">
        <v>39790</v>
      </c>
      <c r="D7914" s="753" t="s">
        <v>39789</v>
      </c>
      <c r="E7914" s="752" t="s">
        <v>39771</v>
      </c>
      <c r="F7914" s="751">
        <v>5125</v>
      </c>
    </row>
    <row r="7915" spans="1:6">
      <c r="A7915" s="753"/>
      <c r="B7915" s="753"/>
      <c r="C7915" s="752" t="s">
        <v>39788</v>
      </c>
      <c r="D7915" s="753" t="s">
        <v>39783</v>
      </c>
      <c r="E7915" s="752" t="s">
        <v>39787</v>
      </c>
      <c r="F7915" s="751">
        <v>3275</v>
      </c>
    </row>
    <row r="7916" spans="1:6">
      <c r="A7916" s="753"/>
      <c r="B7916" s="753"/>
      <c r="C7916" s="752" t="s">
        <v>39786</v>
      </c>
      <c r="D7916" s="753" t="s">
        <v>39783</v>
      </c>
      <c r="E7916" s="752" t="s">
        <v>39785</v>
      </c>
      <c r="F7916" s="751">
        <v>3025</v>
      </c>
    </row>
    <row r="7917" spans="1:6">
      <c r="A7917" s="753"/>
      <c r="B7917" s="753"/>
      <c r="C7917" s="752" t="s">
        <v>39784</v>
      </c>
      <c r="D7917" s="753" t="s">
        <v>39783</v>
      </c>
      <c r="E7917" s="752" t="s">
        <v>39782</v>
      </c>
      <c r="F7917" s="751">
        <v>3275</v>
      </c>
    </row>
    <row r="7918" spans="1:6">
      <c r="A7918" s="753"/>
      <c r="B7918" s="753"/>
      <c r="C7918" s="752" t="s">
        <v>39781</v>
      </c>
      <c r="D7918" s="753" t="s">
        <v>39772</v>
      </c>
      <c r="E7918" s="752" t="s">
        <v>293</v>
      </c>
      <c r="F7918" s="751">
        <v>4325</v>
      </c>
    </row>
    <row r="7919" spans="1:6">
      <c r="A7919" s="753"/>
      <c r="B7919" s="753"/>
      <c r="C7919" s="752" t="s">
        <v>39780</v>
      </c>
      <c r="D7919" s="753" t="s">
        <v>39772</v>
      </c>
      <c r="E7919" s="752" t="s">
        <v>39779</v>
      </c>
      <c r="F7919" s="751">
        <v>4075</v>
      </c>
    </row>
    <row r="7920" spans="1:6">
      <c r="A7920" s="753"/>
      <c r="B7920" s="753"/>
      <c r="C7920" s="752" t="s">
        <v>39778</v>
      </c>
      <c r="D7920" s="753" t="s">
        <v>39772</v>
      </c>
      <c r="E7920" s="752" t="s">
        <v>39777</v>
      </c>
      <c r="F7920" s="751">
        <v>4875</v>
      </c>
    </row>
    <row r="7921" spans="1:6">
      <c r="A7921" s="753"/>
      <c r="B7921" s="753"/>
      <c r="C7921" s="752" t="s">
        <v>39776</v>
      </c>
      <c r="D7921" s="753" t="s">
        <v>39772</v>
      </c>
      <c r="E7921" s="752" t="s">
        <v>293</v>
      </c>
      <c r="F7921" s="751">
        <v>5225</v>
      </c>
    </row>
    <row r="7922" spans="1:6">
      <c r="A7922" s="753"/>
      <c r="B7922" s="753"/>
      <c r="C7922" s="752" t="s">
        <v>39775</v>
      </c>
      <c r="D7922" s="753" t="s">
        <v>39772</v>
      </c>
      <c r="E7922" s="752" t="s">
        <v>39774</v>
      </c>
      <c r="F7922" s="751">
        <v>4025</v>
      </c>
    </row>
    <row r="7923" spans="1:6">
      <c r="A7923" s="753"/>
      <c r="B7923" s="753"/>
      <c r="C7923" s="752" t="s">
        <v>39773</v>
      </c>
      <c r="D7923" s="753" t="s">
        <v>39772</v>
      </c>
      <c r="E7923" s="752" t="s">
        <v>39771</v>
      </c>
      <c r="F7923" s="751">
        <v>5225</v>
      </c>
    </row>
    <row r="7924" spans="1:6">
      <c r="A7924" s="753"/>
      <c r="B7924" s="753"/>
      <c r="C7924" s="752" t="s">
        <v>39770</v>
      </c>
      <c r="D7924" s="753" t="s">
        <v>39769</v>
      </c>
      <c r="E7924" s="752" t="s">
        <v>38019</v>
      </c>
      <c r="F7924" s="751">
        <v>4325</v>
      </c>
    </row>
    <row r="7925" spans="1:6">
      <c r="A7925" s="753"/>
      <c r="B7925" s="753" t="s">
        <v>39768</v>
      </c>
      <c r="C7925" s="752" t="s">
        <v>39767</v>
      </c>
      <c r="D7925" s="753" t="s">
        <v>39766</v>
      </c>
      <c r="E7925" s="752" t="s">
        <v>39765</v>
      </c>
      <c r="F7925" s="751">
        <v>4265</v>
      </c>
    </row>
    <row r="7926" spans="1:6">
      <c r="A7926" s="753"/>
      <c r="B7926" s="753"/>
      <c r="C7926" s="752" t="s">
        <v>39764</v>
      </c>
      <c r="D7926" s="753" t="s">
        <v>39762</v>
      </c>
      <c r="E7926" s="752" t="s">
        <v>293</v>
      </c>
      <c r="F7926" s="751">
        <v>2575</v>
      </c>
    </row>
    <row r="7927" spans="1:6">
      <c r="A7927" s="753"/>
      <c r="B7927" s="753"/>
      <c r="C7927" s="752" t="s">
        <v>39763</v>
      </c>
      <c r="D7927" s="753" t="s">
        <v>39762</v>
      </c>
      <c r="E7927" s="752" t="s">
        <v>293</v>
      </c>
      <c r="F7927" s="751">
        <v>2575</v>
      </c>
    </row>
    <row r="7928" spans="1:6">
      <c r="A7928" s="753"/>
      <c r="B7928" s="753"/>
      <c r="C7928" s="752" t="s">
        <v>39761</v>
      </c>
      <c r="D7928" s="753" t="s">
        <v>39759</v>
      </c>
      <c r="E7928" s="752" t="s">
        <v>293</v>
      </c>
      <c r="F7928" s="751">
        <v>3125</v>
      </c>
    </row>
    <row r="7929" spans="1:6">
      <c r="A7929" s="753"/>
      <c r="B7929" s="753"/>
      <c r="C7929" s="752" t="s">
        <v>39760</v>
      </c>
      <c r="D7929" s="753" t="s">
        <v>39759</v>
      </c>
      <c r="E7929" s="752" t="s">
        <v>293</v>
      </c>
      <c r="F7929" s="751">
        <v>3125</v>
      </c>
    </row>
    <row r="7930" spans="1:6">
      <c r="A7930" s="753"/>
      <c r="B7930" s="753"/>
      <c r="C7930" s="752" t="s">
        <v>39758</v>
      </c>
      <c r="D7930" s="753" t="s">
        <v>39757</v>
      </c>
      <c r="E7930" s="752" t="s">
        <v>293</v>
      </c>
      <c r="F7930" s="751">
        <v>3125</v>
      </c>
    </row>
    <row r="7931" spans="1:6">
      <c r="A7931" s="753"/>
      <c r="B7931" s="753"/>
      <c r="C7931" s="752" t="s">
        <v>39756</v>
      </c>
      <c r="D7931" s="753" t="s">
        <v>39754</v>
      </c>
      <c r="E7931" s="752" t="s">
        <v>293</v>
      </c>
      <c r="F7931" s="751">
        <v>2375</v>
      </c>
    </row>
    <row r="7932" spans="1:6">
      <c r="A7932" s="753"/>
      <c r="B7932" s="753"/>
      <c r="C7932" s="752" t="s">
        <v>39755</v>
      </c>
      <c r="D7932" s="753" t="s">
        <v>39754</v>
      </c>
      <c r="E7932" s="752" t="s">
        <v>293</v>
      </c>
      <c r="F7932" s="751">
        <v>2375</v>
      </c>
    </row>
    <row r="7933" spans="1:6">
      <c r="A7933" s="753"/>
      <c r="B7933" s="753"/>
      <c r="C7933" s="752" t="s">
        <v>39753</v>
      </c>
      <c r="D7933" s="753" t="s">
        <v>39752</v>
      </c>
      <c r="E7933" s="752" t="s">
        <v>39751</v>
      </c>
      <c r="F7933" s="751">
        <v>1975</v>
      </c>
    </row>
    <row r="7934" spans="1:6">
      <c r="A7934" s="753"/>
      <c r="B7934" s="753"/>
      <c r="C7934" s="752" t="s">
        <v>39750</v>
      </c>
      <c r="D7934" s="753" t="s">
        <v>39747</v>
      </c>
      <c r="E7934" s="752" t="s">
        <v>293</v>
      </c>
      <c r="F7934" s="751">
        <v>2925</v>
      </c>
    </row>
    <row r="7935" spans="1:6">
      <c r="A7935" s="753"/>
      <c r="B7935" s="753"/>
      <c r="C7935" s="752" t="s">
        <v>39749</v>
      </c>
      <c r="D7935" s="753" t="s">
        <v>39747</v>
      </c>
      <c r="E7935" s="752" t="s">
        <v>293</v>
      </c>
      <c r="F7935" s="751">
        <v>2925</v>
      </c>
    </row>
    <row r="7936" spans="1:6">
      <c r="A7936" s="753"/>
      <c r="B7936" s="753"/>
      <c r="C7936" s="752" t="s">
        <v>39748</v>
      </c>
      <c r="D7936" s="753" t="s">
        <v>39747</v>
      </c>
      <c r="E7936" s="752" t="s">
        <v>39011</v>
      </c>
      <c r="F7936" s="751">
        <v>3685</v>
      </c>
    </row>
    <row r="7937" spans="1:6">
      <c r="A7937" s="753"/>
      <c r="B7937" s="753"/>
      <c r="C7937" s="752" t="s">
        <v>39746</v>
      </c>
      <c r="D7937" s="753" t="s">
        <v>39745</v>
      </c>
      <c r="E7937" s="752" t="s">
        <v>293</v>
      </c>
      <c r="F7937" s="751">
        <v>2925</v>
      </c>
    </row>
    <row r="7938" spans="1:6">
      <c r="A7938" s="753"/>
      <c r="B7938" s="753"/>
      <c r="C7938" s="752" t="s">
        <v>39744</v>
      </c>
      <c r="D7938" s="753" t="s">
        <v>39743</v>
      </c>
      <c r="E7938" s="752" t="s">
        <v>293</v>
      </c>
      <c r="F7938" s="751">
        <v>2925</v>
      </c>
    </row>
    <row r="7939" spans="1:6">
      <c r="A7939" s="753"/>
      <c r="B7939" s="753"/>
      <c r="C7939" s="752" t="s">
        <v>39742</v>
      </c>
      <c r="D7939" s="753" t="s">
        <v>39741</v>
      </c>
      <c r="E7939" s="752" t="s">
        <v>39740</v>
      </c>
      <c r="F7939" s="751">
        <v>3235</v>
      </c>
    </row>
    <row r="7940" spans="1:6">
      <c r="A7940" s="753"/>
      <c r="B7940" s="753"/>
      <c r="C7940" s="752" t="s">
        <v>39739</v>
      </c>
      <c r="D7940" s="753" t="s">
        <v>39738</v>
      </c>
      <c r="E7940" s="752" t="s">
        <v>38670</v>
      </c>
      <c r="F7940" s="751">
        <v>3785</v>
      </c>
    </row>
    <row r="7941" spans="1:6">
      <c r="A7941" s="753"/>
      <c r="B7941" s="753" t="s">
        <v>39737</v>
      </c>
      <c r="C7941" s="752" t="s">
        <v>39736</v>
      </c>
      <c r="D7941" s="753" t="s">
        <v>39735</v>
      </c>
      <c r="E7941" s="752" t="s">
        <v>293</v>
      </c>
      <c r="F7941" s="751">
        <v>2575</v>
      </c>
    </row>
    <row r="7942" spans="1:6">
      <c r="A7942" s="753"/>
      <c r="B7942" s="753"/>
      <c r="C7942" s="752" t="s">
        <v>39734</v>
      </c>
      <c r="D7942" s="753" t="s">
        <v>39733</v>
      </c>
      <c r="E7942" s="752" t="s">
        <v>293</v>
      </c>
      <c r="F7942" s="751">
        <v>3125</v>
      </c>
    </row>
    <row r="7943" spans="1:6">
      <c r="A7943" s="753"/>
      <c r="B7943" s="753"/>
      <c r="C7943" s="752" t="s">
        <v>39732</v>
      </c>
      <c r="D7943" s="753" t="s">
        <v>39731</v>
      </c>
      <c r="E7943" s="752" t="s">
        <v>293</v>
      </c>
      <c r="F7943" s="751">
        <v>2375</v>
      </c>
    </row>
    <row r="7944" spans="1:6">
      <c r="A7944" s="753"/>
      <c r="B7944" s="753"/>
      <c r="C7944" s="752" t="s">
        <v>39730</v>
      </c>
      <c r="D7944" s="753" t="s">
        <v>39729</v>
      </c>
      <c r="E7944" s="752" t="s">
        <v>293</v>
      </c>
      <c r="F7944" s="751">
        <v>2925</v>
      </c>
    </row>
    <row r="7945" spans="1:6">
      <c r="A7945" s="753" t="s">
        <v>39728</v>
      </c>
      <c r="B7945" s="753" t="s">
        <v>39727</v>
      </c>
      <c r="C7945" s="752" t="s">
        <v>39726</v>
      </c>
      <c r="D7945" s="753" t="s">
        <v>39725</v>
      </c>
      <c r="E7945" s="752" t="s">
        <v>293</v>
      </c>
      <c r="F7945" s="751">
        <v>2575</v>
      </c>
    </row>
    <row r="7946" spans="1:6">
      <c r="A7946" s="753"/>
      <c r="B7946" s="753"/>
      <c r="C7946" s="752" t="s">
        <v>39724</v>
      </c>
      <c r="D7946" s="753" t="s">
        <v>39723</v>
      </c>
      <c r="E7946" s="752" t="s">
        <v>293</v>
      </c>
      <c r="F7946" s="751">
        <v>3125</v>
      </c>
    </row>
    <row r="7947" spans="1:6">
      <c r="A7947" s="753"/>
      <c r="B7947" s="753"/>
      <c r="C7947" s="752" t="s">
        <v>39722</v>
      </c>
      <c r="D7947" s="753" t="s">
        <v>39721</v>
      </c>
      <c r="E7947" s="752" t="s">
        <v>293</v>
      </c>
      <c r="F7947" s="751">
        <v>2375</v>
      </c>
    </row>
    <row r="7948" spans="1:6">
      <c r="A7948" s="753"/>
      <c r="B7948" s="753"/>
      <c r="C7948" s="752" t="s">
        <v>39720</v>
      </c>
      <c r="D7948" s="753" t="s">
        <v>39719</v>
      </c>
      <c r="E7948" s="752" t="s">
        <v>293</v>
      </c>
      <c r="F7948" s="751">
        <v>2925</v>
      </c>
    </row>
    <row r="7949" spans="1:6">
      <c r="A7949" s="753"/>
      <c r="B7949" s="753" t="s">
        <v>39718</v>
      </c>
      <c r="C7949" s="752" t="s">
        <v>39717</v>
      </c>
      <c r="D7949" s="753" t="s">
        <v>39716</v>
      </c>
      <c r="E7949" s="752" t="s">
        <v>39681</v>
      </c>
      <c r="F7949" s="751">
        <v>3375</v>
      </c>
    </row>
    <row r="7950" spans="1:6">
      <c r="A7950" s="753"/>
      <c r="B7950" s="753"/>
      <c r="C7950" s="752" t="s">
        <v>39715</v>
      </c>
      <c r="D7950" s="753" t="s">
        <v>39714</v>
      </c>
      <c r="E7950" s="752" t="s">
        <v>39681</v>
      </c>
      <c r="F7950" s="751">
        <v>3175</v>
      </c>
    </row>
    <row r="7951" spans="1:6">
      <c r="A7951" s="753" t="s">
        <v>39713</v>
      </c>
      <c r="B7951" s="753" t="s">
        <v>39712</v>
      </c>
      <c r="C7951" s="752" t="s">
        <v>39711</v>
      </c>
      <c r="D7951" s="753" t="s">
        <v>39710</v>
      </c>
      <c r="E7951" s="752" t="s">
        <v>293</v>
      </c>
      <c r="F7951" s="751">
        <v>2825</v>
      </c>
    </row>
    <row r="7952" spans="1:6">
      <c r="A7952" s="753" t="s">
        <v>39709</v>
      </c>
      <c r="B7952" s="753" t="s">
        <v>39708</v>
      </c>
      <c r="C7952" s="752" t="s">
        <v>39707</v>
      </c>
      <c r="D7952" s="753" t="s">
        <v>39706</v>
      </c>
      <c r="E7952" s="752">
        <v>438863</v>
      </c>
      <c r="F7952" s="752">
        <v>597</v>
      </c>
    </row>
    <row r="7953" spans="1:6">
      <c r="A7953" s="753"/>
      <c r="B7953" s="753" t="s">
        <v>39705</v>
      </c>
      <c r="C7953" s="752" t="s">
        <v>39704</v>
      </c>
      <c r="D7953" s="753" t="s">
        <v>39703</v>
      </c>
      <c r="E7953" s="752" t="s">
        <v>39702</v>
      </c>
      <c r="F7953" s="752">
        <v>150</v>
      </c>
    </row>
    <row r="7954" spans="1:6">
      <c r="A7954" s="753" t="s">
        <v>39701</v>
      </c>
      <c r="B7954" s="753" t="s">
        <v>39700</v>
      </c>
      <c r="C7954" s="752" t="s">
        <v>39699</v>
      </c>
      <c r="D7954" s="753" t="s">
        <v>39698</v>
      </c>
      <c r="E7954" s="752" t="s">
        <v>39691</v>
      </c>
      <c r="F7954" s="751">
        <v>2825</v>
      </c>
    </row>
    <row r="7955" spans="1:6">
      <c r="A7955" s="753"/>
      <c r="B7955" s="753"/>
      <c r="C7955" s="752" t="s">
        <v>39697</v>
      </c>
      <c r="D7955" s="753" t="s">
        <v>39696</v>
      </c>
      <c r="E7955" s="752" t="s">
        <v>39691</v>
      </c>
      <c r="F7955" s="751">
        <v>3375</v>
      </c>
    </row>
    <row r="7956" spans="1:6">
      <c r="A7956" s="753"/>
      <c r="B7956" s="753"/>
      <c r="C7956" s="752" t="s">
        <v>39695</v>
      </c>
      <c r="D7956" s="753" t="s">
        <v>39694</v>
      </c>
      <c r="E7956" s="752" t="s">
        <v>39691</v>
      </c>
      <c r="F7956" s="751">
        <v>2625</v>
      </c>
    </row>
    <row r="7957" spans="1:6">
      <c r="A7957" s="753"/>
      <c r="B7957" s="753"/>
      <c r="C7957" s="752" t="s">
        <v>39693</v>
      </c>
      <c r="D7957" s="753" t="s">
        <v>39692</v>
      </c>
      <c r="E7957" s="752" t="s">
        <v>39691</v>
      </c>
      <c r="F7957" s="751">
        <v>3175</v>
      </c>
    </row>
    <row r="7958" spans="1:6">
      <c r="A7958" s="753"/>
      <c r="B7958" s="753" t="s">
        <v>39690</v>
      </c>
      <c r="C7958" s="752" t="s">
        <v>39689</v>
      </c>
      <c r="D7958" s="753" t="s">
        <v>39688</v>
      </c>
      <c r="E7958" s="752" t="s">
        <v>39681</v>
      </c>
      <c r="F7958" s="751">
        <v>2825</v>
      </c>
    </row>
    <row r="7959" spans="1:6">
      <c r="A7959" s="753"/>
      <c r="B7959" s="753"/>
      <c r="C7959" s="752" t="s">
        <v>39687</v>
      </c>
      <c r="D7959" s="753" t="s">
        <v>39686</v>
      </c>
      <c r="E7959" s="752" t="s">
        <v>39681</v>
      </c>
      <c r="F7959" s="751">
        <v>3375</v>
      </c>
    </row>
    <row r="7960" spans="1:6">
      <c r="A7960" s="753"/>
      <c r="B7960" s="753"/>
      <c r="C7960" s="752" t="s">
        <v>39685</v>
      </c>
      <c r="D7960" s="753" t="s">
        <v>39684</v>
      </c>
      <c r="E7960" s="752" t="s">
        <v>39681</v>
      </c>
      <c r="F7960" s="751">
        <v>2625</v>
      </c>
    </row>
    <row r="7961" spans="1:6">
      <c r="A7961" s="753"/>
      <c r="B7961" s="753"/>
      <c r="C7961" s="752" t="s">
        <v>39683</v>
      </c>
      <c r="D7961" s="753" t="s">
        <v>39682</v>
      </c>
      <c r="E7961" s="752" t="s">
        <v>39681</v>
      </c>
      <c r="F7961" s="751">
        <v>3175</v>
      </c>
    </row>
    <row r="7962" spans="1:6">
      <c r="A7962" s="753" t="s">
        <v>39680</v>
      </c>
      <c r="B7962" s="753" t="s">
        <v>39679</v>
      </c>
      <c r="C7962" s="752" t="s">
        <v>39678</v>
      </c>
      <c r="D7962" s="753" t="s">
        <v>39677</v>
      </c>
      <c r="E7962" s="752" t="s">
        <v>293</v>
      </c>
      <c r="F7962" s="751">
        <v>2575</v>
      </c>
    </row>
    <row r="7963" spans="1:6">
      <c r="A7963" s="753"/>
      <c r="B7963" s="753"/>
      <c r="C7963" s="752" t="s">
        <v>39676</v>
      </c>
      <c r="D7963" s="753" t="s">
        <v>39675</v>
      </c>
      <c r="E7963" s="752" t="s">
        <v>293</v>
      </c>
      <c r="F7963" s="751">
        <v>3125</v>
      </c>
    </row>
    <row r="7964" spans="1:6">
      <c r="A7964" s="753"/>
      <c r="B7964" s="753"/>
      <c r="C7964" s="752" t="s">
        <v>39674</v>
      </c>
      <c r="D7964" s="753" t="s">
        <v>39673</v>
      </c>
      <c r="E7964" s="752" t="s">
        <v>293</v>
      </c>
      <c r="F7964" s="751">
        <v>2375</v>
      </c>
    </row>
    <row r="7965" spans="1:6">
      <c r="A7965" s="753"/>
      <c r="B7965" s="753"/>
      <c r="C7965" s="752" t="s">
        <v>39672</v>
      </c>
      <c r="D7965" s="753" t="s">
        <v>39671</v>
      </c>
      <c r="E7965" s="752" t="s">
        <v>293</v>
      </c>
      <c r="F7965" s="751">
        <v>2925</v>
      </c>
    </row>
    <row r="7966" spans="1:6">
      <c r="A7966" s="753"/>
      <c r="B7966" s="753" t="s">
        <v>39670</v>
      </c>
      <c r="C7966" s="752" t="s">
        <v>39669</v>
      </c>
      <c r="D7966" s="753" t="s">
        <v>39668</v>
      </c>
      <c r="E7966" s="752" t="s">
        <v>37838</v>
      </c>
      <c r="F7966" s="751">
        <v>1975</v>
      </c>
    </row>
    <row r="7967" spans="1:6">
      <c r="A7967" s="753"/>
      <c r="B7967" s="753" t="s">
        <v>39667</v>
      </c>
      <c r="C7967" s="752" t="s">
        <v>39666</v>
      </c>
      <c r="D7967" s="753" t="s">
        <v>39664</v>
      </c>
      <c r="E7967" s="752" t="s">
        <v>37838</v>
      </c>
      <c r="F7967" s="751">
        <v>1975</v>
      </c>
    </row>
    <row r="7968" spans="1:6">
      <c r="A7968" s="753"/>
      <c r="B7968" s="753"/>
      <c r="C7968" s="752" t="s">
        <v>39665</v>
      </c>
      <c r="D7968" s="753" t="s">
        <v>39664</v>
      </c>
      <c r="E7968" s="752" t="s">
        <v>39055</v>
      </c>
      <c r="F7968" s="751">
        <v>1975</v>
      </c>
    </row>
    <row r="7969" spans="1:6">
      <c r="A7969" s="753"/>
      <c r="B7969" s="753" t="s">
        <v>39663</v>
      </c>
      <c r="C7969" s="752" t="s">
        <v>39662</v>
      </c>
      <c r="D7969" s="753" t="s">
        <v>39660</v>
      </c>
      <c r="E7969" s="752" t="s">
        <v>37838</v>
      </c>
      <c r="F7969" s="751">
        <v>1975</v>
      </c>
    </row>
    <row r="7970" spans="1:6">
      <c r="A7970" s="753"/>
      <c r="B7970" s="753"/>
      <c r="C7970" s="752" t="s">
        <v>39661</v>
      </c>
      <c r="D7970" s="753" t="s">
        <v>39660</v>
      </c>
      <c r="E7970" s="752" t="s">
        <v>37838</v>
      </c>
      <c r="F7970" s="751">
        <v>1975</v>
      </c>
    </row>
    <row r="7971" spans="1:6">
      <c r="A7971" s="753"/>
      <c r="B7971" s="753"/>
      <c r="C7971" s="752" t="s">
        <v>39659</v>
      </c>
      <c r="D7971" s="753" t="s">
        <v>39658</v>
      </c>
      <c r="E7971" s="752" t="s">
        <v>37838</v>
      </c>
      <c r="F7971" s="751">
        <v>2395</v>
      </c>
    </row>
    <row r="7972" spans="1:6">
      <c r="A7972" s="753"/>
      <c r="B7972" s="753" t="s">
        <v>39657</v>
      </c>
      <c r="C7972" s="752" t="s">
        <v>39656</v>
      </c>
      <c r="D7972" s="753" t="s">
        <v>39655</v>
      </c>
      <c r="E7972" s="752" t="s">
        <v>293</v>
      </c>
      <c r="F7972" s="751">
        <v>2575</v>
      </c>
    </row>
    <row r="7973" spans="1:6">
      <c r="A7973" s="753"/>
      <c r="B7973" s="753"/>
      <c r="C7973" s="752" t="s">
        <v>39654</v>
      </c>
      <c r="D7973" s="753" t="s">
        <v>39653</v>
      </c>
      <c r="E7973" s="752" t="s">
        <v>293</v>
      </c>
      <c r="F7973" s="751">
        <v>3125</v>
      </c>
    </row>
    <row r="7974" spans="1:6">
      <c r="A7974" s="753"/>
      <c r="B7974" s="753"/>
      <c r="C7974" s="752" t="s">
        <v>39652</v>
      </c>
      <c r="D7974" s="753" t="s">
        <v>39651</v>
      </c>
      <c r="E7974" s="752" t="s">
        <v>293</v>
      </c>
      <c r="F7974" s="751">
        <v>2375</v>
      </c>
    </row>
    <row r="7975" spans="1:6">
      <c r="A7975" s="753"/>
      <c r="B7975" s="753"/>
      <c r="C7975" s="752" t="s">
        <v>39650</v>
      </c>
      <c r="D7975" s="753" t="s">
        <v>39649</v>
      </c>
      <c r="E7975" s="752" t="s">
        <v>293</v>
      </c>
      <c r="F7975" s="751">
        <v>2925</v>
      </c>
    </row>
    <row r="7976" spans="1:6">
      <c r="A7976" s="753"/>
      <c r="B7976" s="753" t="s">
        <v>39648</v>
      </c>
      <c r="C7976" s="752" t="s">
        <v>39647</v>
      </c>
      <c r="D7976" s="753" t="s">
        <v>39646</v>
      </c>
      <c r="E7976" s="752" t="s">
        <v>293</v>
      </c>
      <c r="F7976" s="751">
        <v>2575</v>
      </c>
    </row>
    <row r="7977" spans="1:6">
      <c r="A7977" s="753"/>
      <c r="B7977" s="753"/>
      <c r="C7977" s="752" t="s">
        <v>39645</v>
      </c>
      <c r="D7977" s="753" t="s">
        <v>39644</v>
      </c>
      <c r="E7977" s="752" t="s">
        <v>293</v>
      </c>
      <c r="F7977" s="751">
        <v>3125</v>
      </c>
    </row>
    <row r="7978" spans="1:6">
      <c r="A7978" s="753"/>
      <c r="B7978" s="753"/>
      <c r="C7978" s="752" t="s">
        <v>39643</v>
      </c>
      <c r="D7978" s="753" t="s">
        <v>39642</v>
      </c>
      <c r="E7978" s="752" t="s">
        <v>293</v>
      </c>
      <c r="F7978" s="751">
        <v>2375</v>
      </c>
    </row>
    <row r="7979" spans="1:6">
      <c r="A7979" s="753"/>
      <c r="B7979" s="753"/>
      <c r="C7979" s="752" t="s">
        <v>39641</v>
      </c>
      <c r="D7979" s="753" t="s">
        <v>39640</v>
      </c>
      <c r="E7979" s="752" t="s">
        <v>293</v>
      </c>
      <c r="F7979" s="751">
        <v>2925</v>
      </c>
    </row>
    <row r="7980" spans="1:6">
      <c r="A7980" s="753" t="s">
        <v>39639</v>
      </c>
      <c r="B7980" s="753">
        <v>911</v>
      </c>
      <c r="C7980" s="752" t="s">
        <v>39638</v>
      </c>
      <c r="D7980" s="753" t="s">
        <v>39637</v>
      </c>
      <c r="E7980" s="752" t="s">
        <v>39636</v>
      </c>
      <c r="F7980" s="751">
        <v>1975</v>
      </c>
    </row>
    <row r="7981" spans="1:6">
      <c r="A7981" s="753"/>
      <c r="B7981" s="753" t="s">
        <v>39635</v>
      </c>
      <c r="C7981" s="752" t="s">
        <v>39634</v>
      </c>
      <c r="D7981" s="753" t="s">
        <v>39630</v>
      </c>
      <c r="E7981" s="752" t="s">
        <v>293</v>
      </c>
      <c r="F7981" s="751">
        <v>2575</v>
      </c>
    </row>
    <row r="7982" spans="1:6">
      <c r="A7982" s="753"/>
      <c r="B7982" s="753"/>
      <c r="C7982" s="752" t="s">
        <v>39633</v>
      </c>
      <c r="D7982" s="753" t="s">
        <v>39630</v>
      </c>
      <c r="E7982" s="752" t="s">
        <v>293</v>
      </c>
      <c r="F7982" s="751">
        <v>2575</v>
      </c>
    </row>
    <row r="7983" spans="1:6">
      <c r="A7983" s="753"/>
      <c r="B7983" s="753"/>
      <c r="C7983" s="752" t="s">
        <v>39632</v>
      </c>
      <c r="D7983" s="753" t="s">
        <v>39630</v>
      </c>
      <c r="E7983" s="752" t="s">
        <v>293</v>
      </c>
      <c r="F7983" s="751">
        <v>2575</v>
      </c>
    </row>
    <row r="7984" spans="1:6">
      <c r="A7984" s="753"/>
      <c r="B7984" s="753"/>
      <c r="C7984" s="752" t="s">
        <v>39631</v>
      </c>
      <c r="D7984" s="753" t="s">
        <v>39630</v>
      </c>
      <c r="E7984" s="752" t="s">
        <v>293</v>
      </c>
      <c r="F7984" s="751">
        <v>2575</v>
      </c>
    </row>
    <row r="7985" spans="1:6">
      <c r="A7985" s="753"/>
      <c r="B7985" s="753"/>
      <c r="C7985" s="752" t="s">
        <v>39629</v>
      </c>
      <c r="D7985" s="753" t="s">
        <v>39628</v>
      </c>
      <c r="E7985" s="752" t="s">
        <v>293</v>
      </c>
      <c r="F7985" s="751">
        <v>3125</v>
      </c>
    </row>
    <row r="7986" spans="1:6">
      <c r="A7986" s="753"/>
      <c r="B7986" s="753"/>
      <c r="C7986" s="752" t="s">
        <v>39627</v>
      </c>
      <c r="D7986" s="753" t="s">
        <v>39626</v>
      </c>
      <c r="E7986" s="752" t="s">
        <v>293</v>
      </c>
      <c r="F7986" s="751">
        <v>3125</v>
      </c>
    </row>
    <row r="7987" spans="1:6">
      <c r="A7987" s="753"/>
      <c r="B7987" s="753"/>
      <c r="C7987" s="752" t="s">
        <v>39625</v>
      </c>
      <c r="D7987" s="753" t="s">
        <v>39622</v>
      </c>
      <c r="E7987" s="752" t="s">
        <v>293</v>
      </c>
      <c r="F7987" s="751">
        <v>2375</v>
      </c>
    </row>
    <row r="7988" spans="1:6">
      <c r="A7988" s="753"/>
      <c r="B7988" s="753"/>
      <c r="C7988" s="752" t="s">
        <v>39624</v>
      </c>
      <c r="D7988" s="753" t="s">
        <v>39622</v>
      </c>
      <c r="E7988" s="752" t="s">
        <v>293</v>
      </c>
      <c r="F7988" s="751">
        <v>2375</v>
      </c>
    </row>
    <row r="7989" spans="1:6">
      <c r="A7989" s="753"/>
      <c r="B7989" s="753"/>
      <c r="C7989" s="752" t="s">
        <v>39623</v>
      </c>
      <c r="D7989" s="753" t="s">
        <v>39622</v>
      </c>
      <c r="E7989" s="752" t="s">
        <v>293</v>
      </c>
      <c r="F7989" s="751">
        <v>2375</v>
      </c>
    </row>
    <row r="7990" spans="1:6">
      <c r="A7990" s="753"/>
      <c r="B7990" s="753"/>
      <c r="C7990" s="752" t="s">
        <v>39621</v>
      </c>
      <c r="D7990" s="753" t="s">
        <v>39618</v>
      </c>
      <c r="E7990" s="752" t="s">
        <v>293</v>
      </c>
      <c r="F7990" s="751">
        <v>2925</v>
      </c>
    </row>
    <row r="7991" spans="1:6">
      <c r="A7991" s="753"/>
      <c r="B7991" s="753"/>
      <c r="C7991" s="752" t="s">
        <v>39620</v>
      </c>
      <c r="D7991" s="753" t="s">
        <v>39618</v>
      </c>
      <c r="E7991" s="752" t="s">
        <v>293</v>
      </c>
      <c r="F7991" s="751">
        <v>2925</v>
      </c>
    </row>
    <row r="7992" spans="1:6">
      <c r="A7992" s="753"/>
      <c r="B7992" s="753"/>
      <c r="C7992" s="752" t="s">
        <v>39619</v>
      </c>
      <c r="D7992" s="753" t="s">
        <v>39618</v>
      </c>
      <c r="E7992" s="752" t="s">
        <v>293</v>
      </c>
      <c r="F7992" s="751">
        <v>3125</v>
      </c>
    </row>
    <row r="7993" spans="1:6">
      <c r="A7993" s="753"/>
      <c r="B7993" s="753"/>
      <c r="C7993" s="752" t="s">
        <v>39617</v>
      </c>
      <c r="D7993" s="753" t="s">
        <v>39616</v>
      </c>
      <c r="E7993" s="752" t="s">
        <v>293</v>
      </c>
      <c r="F7993" s="751">
        <v>2925</v>
      </c>
    </row>
    <row r="7994" spans="1:6">
      <c r="A7994" s="753"/>
      <c r="B7994" s="753" t="s">
        <v>39615</v>
      </c>
      <c r="C7994" s="752" t="s">
        <v>39614</v>
      </c>
      <c r="D7994" s="753" t="s">
        <v>39613</v>
      </c>
      <c r="E7994" s="752" t="s">
        <v>293</v>
      </c>
      <c r="F7994" s="751">
        <v>2675</v>
      </c>
    </row>
    <row r="7995" spans="1:6">
      <c r="A7995" s="753"/>
      <c r="B7995" s="753"/>
      <c r="C7995" s="752" t="s">
        <v>39612</v>
      </c>
      <c r="D7995" s="753" t="s">
        <v>39611</v>
      </c>
      <c r="E7995" s="752" t="s">
        <v>293</v>
      </c>
      <c r="F7995" s="751">
        <v>2175</v>
      </c>
    </row>
    <row r="7996" spans="1:6">
      <c r="A7996" s="753"/>
      <c r="B7996" s="753"/>
      <c r="C7996" s="752" t="s">
        <v>39610</v>
      </c>
      <c r="D7996" s="753" t="s">
        <v>39609</v>
      </c>
      <c r="E7996" s="752" t="s">
        <v>293</v>
      </c>
      <c r="F7996" s="751">
        <v>2725</v>
      </c>
    </row>
    <row r="7997" spans="1:6">
      <c r="A7997" s="753"/>
      <c r="B7997" s="753"/>
      <c r="C7997" s="752" t="s">
        <v>39608</v>
      </c>
      <c r="D7997" s="753" t="s">
        <v>39607</v>
      </c>
      <c r="E7997" s="752" t="s">
        <v>293</v>
      </c>
      <c r="F7997" s="751">
        <v>2475</v>
      </c>
    </row>
    <row r="7998" spans="1:6">
      <c r="A7998" s="753"/>
      <c r="B7998" s="753"/>
      <c r="C7998" s="752" t="s">
        <v>39606</v>
      </c>
      <c r="D7998" s="753" t="s">
        <v>39605</v>
      </c>
      <c r="E7998" s="752" t="s">
        <v>293</v>
      </c>
      <c r="F7998" s="751">
        <v>2825</v>
      </c>
    </row>
    <row r="7999" spans="1:6">
      <c r="A7999" s="753"/>
      <c r="B7999" s="753" t="s">
        <v>39604</v>
      </c>
      <c r="C7999" s="752" t="s">
        <v>39603</v>
      </c>
      <c r="D7999" s="753" t="s">
        <v>39602</v>
      </c>
      <c r="E7999" s="752" t="s">
        <v>293</v>
      </c>
      <c r="F7999" s="751">
        <v>1925</v>
      </c>
    </row>
    <row r="8000" spans="1:6">
      <c r="A8000" s="753"/>
      <c r="B8000" s="753"/>
      <c r="C8000" s="752" t="s">
        <v>39601</v>
      </c>
      <c r="D8000" s="753" t="s">
        <v>39600</v>
      </c>
      <c r="E8000" s="752" t="s">
        <v>293</v>
      </c>
      <c r="F8000" s="751">
        <v>2475</v>
      </c>
    </row>
    <row r="8001" spans="1:6">
      <c r="A8001" s="753" t="s">
        <v>39599</v>
      </c>
      <c r="B8001" s="753" t="s">
        <v>39598</v>
      </c>
      <c r="C8001" s="752" t="s">
        <v>39597</v>
      </c>
      <c r="D8001" s="753" t="s">
        <v>39596</v>
      </c>
      <c r="E8001" s="752" t="s">
        <v>37758</v>
      </c>
      <c r="F8001" s="751">
        <v>2875</v>
      </c>
    </row>
    <row r="8002" spans="1:6">
      <c r="A8002" s="753"/>
      <c r="B8002" s="753" t="s">
        <v>39595</v>
      </c>
      <c r="C8002" s="752" t="s">
        <v>39594</v>
      </c>
      <c r="D8002" s="753" t="s">
        <v>39593</v>
      </c>
      <c r="E8002" s="752" t="s">
        <v>37895</v>
      </c>
      <c r="F8002" s="751">
        <v>4620</v>
      </c>
    </row>
    <row r="8003" spans="1:6">
      <c r="A8003" s="753"/>
      <c r="B8003" s="753"/>
      <c r="C8003" s="752" t="s">
        <v>39592</v>
      </c>
      <c r="D8003" s="753" t="s">
        <v>39591</v>
      </c>
      <c r="E8003" s="752" t="s">
        <v>37895</v>
      </c>
      <c r="F8003" s="751">
        <v>5415</v>
      </c>
    </row>
    <row r="8004" spans="1:6">
      <c r="A8004" s="753"/>
      <c r="B8004" s="753"/>
      <c r="C8004" s="752" t="s">
        <v>39590</v>
      </c>
      <c r="D8004" s="753" t="s">
        <v>39589</v>
      </c>
      <c r="E8004" s="752" t="s">
        <v>37895</v>
      </c>
      <c r="F8004" s="751">
        <v>4025</v>
      </c>
    </row>
    <row r="8005" spans="1:6">
      <c r="A8005" s="753"/>
      <c r="B8005" s="753"/>
      <c r="C8005" s="752" t="s">
        <v>39588</v>
      </c>
      <c r="D8005" s="753" t="s">
        <v>39587</v>
      </c>
      <c r="E8005" s="752" t="s">
        <v>37895</v>
      </c>
      <c r="F8005" s="751">
        <v>4025</v>
      </c>
    </row>
    <row r="8006" spans="1:6">
      <c r="A8006" s="753"/>
      <c r="B8006" s="753"/>
      <c r="C8006" s="752" t="s">
        <v>39586</v>
      </c>
      <c r="D8006" s="753" t="s">
        <v>39585</v>
      </c>
      <c r="E8006" s="752" t="s">
        <v>37895</v>
      </c>
      <c r="F8006" s="751">
        <v>3925</v>
      </c>
    </row>
    <row r="8007" spans="1:6">
      <c r="A8007" s="753"/>
      <c r="B8007" s="753"/>
      <c r="C8007" s="752" t="s">
        <v>39584</v>
      </c>
      <c r="D8007" s="753" t="s">
        <v>39583</v>
      </c>
      <c r="E8007" s="752" t="s">
        <v>37895</v>
      </c>
      <c r="F8007" s="751">
        <v>3925</v>
      </c>
    </row>
    <row r="8008" spans="1:6">
      <c r="A8008" s="753"/>
      <c r="B8008" s="753"/>
      <c r="C8008" s="752" t="s">
        <v>39582</v>
      </c>
      <c r="D8008" s="753" t="s">
        <v>39581</v>
      </c>
      <c r="E8008" s="752" t="s">
        <v>39580</v>
      </c>
      <c r="F8008" s="751">
        <v>2475</v>
      </c>
    </row>
    <row r="8009" spans="1:6">
      <c r="A8009" s="753"/>
      <c r="B8009" s="753"/>
      <c r="C8009" s="752" t="s">
        <v>39579</v>
      </c>
      <c r="D8009" s="753" t="s">
        <v>39578</v>
      </c>
      <c r="E8009" s="752" t="s">
        <v>37895</v>
      </c>
      <c r="F8009" s="751">
        <v>3725</v>
      </c>
    </row>
    <row r="8010" spans="1:6">
      <c r="A8010" s="753"/>
      <c r="B8010" s="753"/>
      <c r="C8010" s="752" t="s">
        <v>39577</v>
      </c>
      <c r="D8010" s="753" t="s">
        <v>39576</v>
      </c>
      <c r="E8010" s="752" t="s">
        <v>37895</v>
      </c>
      <c r="F8010" s="751">
        <v>3725</v>
      </c>
    </row>
    <row r="8011" spans="1:6">
      <c r="A8011" s="753"/>
      <c r="B8011" s="753"/>
      <c r="C8011" s="752" t="s">
        <v>39575</v>
      </c>
      <c r="D8011" s="753" t="s">
        <v>39574</v>
      </c>
      <c r="E8011" s="752" t="s">
        <v>37895</v>
      </c>
      <c r="F8011" s="751">
        <v>3825</v>
      </c>
    </row>
    <row r="8012" spans="1:6">
      <c r="A8012" s="753"/>
      <c r="B8012" s="753"/>
      <c r="C8012" s="752" t="s">
        <v>39573</v>
      </c>
      <c r="D8012" s="753" t="s">
        <v>39572</v>
      </c>
      <c r="E8012" s="752" t="s">
        <v>37895</v>
      </c>
      <c r="F8012" s="751">
        <v>3825</v>
      </c>
    </row>
    <row r="8013" spans="1:6">
      <c r="A8013" s="753" t="s">
        <v>39571</v>
      </c>
      <c r="B8013" s="753" t="s">
        <v>39570</v>
      </c>
      <c r="C8013" s="752" t="s">
        <v>39569</v>
      </c>
      <c r="D8013" s="753" t="s">
        <v>39568</v>
      </c>
      <c r="E8013" s="752" t="s">
        <v>37838</v>
      </c>
      <c r="F8013" s="751">
        <v>1975</v>
      </c>
    </row>
    <row r="8014" spans="1:6">
      <c r="A8014" s="753" t="s">
        <v>39567</v>
      </c>
      <c r="B8014" s="753" t="s">
        <v>39566</v>
      </c>
      <c r="C8014" s="752" t="s">
        <v>39565</v>
      </c>
      <c r="D8014" s="753" t="s">
        <v>39564</v>
      </c>
      <c r="E8014" s="752" t="s">
        <v>37838</v>
      </c>
      <c r="F8014" s="751">
        <v>1975</v>
      </c>
    </row>
    <row r="8015" spans="1:6">
      <c r="A8015" s="753"/>
      <c r="B8015" s="753" t="s">
        <v>39563</v>
      </c>
      <c r="C8015" s="752" t="s">
        <v>39562</v>
      </c>
      <c r="D8015" s="753" t="s">
        <v>39561</v>
      </c>
      <c r="E8015" s="752" t="s">
        <v>293</v>
      </c>
      <c r="F8015" s="751">
        <v>2825</v>
      </c>
    </row>
    <row r="8016" spans="1:6">
      <c r="A8016" s="753"/>
      <c r="B8016" s="753"/>
      <c r="C8016" s="752" t="s">
        <v>39560</v>
      </c>
      <c r="D8016" s="753" t="s">
        <v>39559</v>
      </c>
      <c r="E8016" s="752" t="s">
        <v>293</v>
      </c>
      <c r="F8016" s="751">
        <v>3375</v>
      </c>
    </row>
    <row r="8017" spans="1:6">
      <c r="A8017" s="753"/>
      <c r="B8017" s="753"/>
      <c r="C8017" s="752" t="s">
        <v>39558</v>
      </c>
      <c r="D8017" s="753" t="s">
        <v>39557</v>
      </c>
      <c r="E8017" s="752" t="s">
        <v>293</v>
      </c>
      <c r="F8017" s="751">
        <v>2625</v>
      </c>
    </row>
    <row r="8018" spans="1:6">
      <c r="A8018" s="753"/>
      <c r="B8018" s="753"/>
      <c r="C8018" s="752" t="s">
        <v>39556</v>
      </c>
      <c r="D8018" s="753" t="s">
        <v>39555</v>
      </c>
      <c r="E8018" s="752" t="s">
        <v>293</v>
      </c>
      <c r="F8018" s="751">
        <v>3175</v>
      </c>
    </row>
    <row r="8019" spans="1:6">
      <c r="A8019" s="753"/>
      <c r="B8019" s="753" t="s">
        <v>39554</v>
      </c>
      <c r="C8019" s="752" t="s">
        <v>39553</v>
      </c>
      <c r="D8019" s="753" t="s">
        <v>39552</v>
      </c>
      <c r="E8019" s="752" t="s">
        <v>293</v>
      </c>
      <c r="F8019" s="751">
        <v>2575</v>
      </c>
    </row>
    <row r="8020" spans="1:6">
      <c r="A8020" s="753"/>
      <c r="B8020" s="753"/>
      <c r="C8020" s="752" t="s">
        <v>39551</v>
      </c>
      <c r="D8020" s="753" t="s">
        <v>39550</v>
      </c>
      <c r="E8020" s="752" t="s">
        <v>293</v>
      </c>
      <c r="F8020" s="751">
        <v>3125</v>
      </c>
    </row>
    <row r="8021" spans="1:6">
      <c r="A8021" s="753"/>
      <c r="B8021" s="753"/>
      <c r="C8021" s="752" t="s">
        <v>39549</v>
      </c>
      <c r="D8021" s="753" t="s">
        <v>39548</v>
      </c>
      <c r="E8021" s="752" t="s">
        <v>293</v>
      </c>
      <c r="F8021" s="751">
        <v>2375</v>
      </c>
    </row>
    <row r="8022" spans="1:6">
      <c r="A8022" s="753"/>
      <c r="B8022" s="753"/>
      <c r="C8022" s="752" t="s">
        <v>39547</v>
      </c>
      <c r="D8022" s="753" t="s">
        <v>39546</v>
      </c>
      <c r="E8022" s="752" t="s">
        <v>293</v>
      </c>
      <c r="F8022" s="751">
        <v>2925</v>
      </c>
    </row>
    <row r="8023" spans="1:6">
      <c r="A8023" s="753" t="s">
        <v>39545</v>
      </c>
      <c r="B8023" s="753" t="s">
        <v>39544</v>
      </c>
      <c r="C8023" s="752" t="s">
        <v>39543</v>
      </c>
      <c r="D8023" s="753" t="s">
        <v>39542</v>
      </c>
      <c r="E8023" s="752" t="s">
        <v>37838</v>
      </c>
      <c r="F8023" s="751">
        <v>1975</v>
      </c>
    </row>
    <row r="8024" spans="1:6">
      <c r="A8024" s="753"/>
      <c r="B8024" s="753" t="s">
        <v>39541</v>
      </c>
      <c r="C8024" s="752" t="s">
        <v>39540</v>
      </c>
      <c r="D8024" s="753" t="s">
        <v>39539</v>
      </c>
      <c r="E8024" s="752" t="s">
        <v>293</v>
      </c>
      <c r="F8024" s="751">
        <v>2325</v>
      </c>
    </row>
    <row r="8025" spans="1:6">
      <c r="A8025" s="753"/>
      <c r="B8025" s="753"/>
      <c r="C8025" s="752" t="s">
        <v>39538</v>
      </c>
      <c r="D8025" s="753" t="s">
        <v>39537</v>
      </c>
      <c r="E8025" s="752" t="s">
        <v>293</v>
      </c>
      <c r="F8025" s="751">
        <v>2125</v>
      </c>
    </row>
    <row r="8026" spans="1:6">
      <c r="A8026" s="753"/>
      <c r="B8026" s="753"/>
      <c r="C8026" s="752" t="s">
        <v>39536</v>
      </c>
      <c r="D8026" s="753" t="s">
        <v>39535</v>
      </c>
      <c r="E8026" s="752" t="s">
        <v>293</v>
      </c>
      <c r="F8026" s="751">
        <v>2675</v>
      </c>
    </row>
    <row r="8027" spans="1:6">
      <c r="A8027" s="753" t="s">
        <v>39534</v>
      </c>
      <c r="B8027" s="753" t="s">
        <v>39533</v>
      </c>
      <c r="C8027" s="752" t="s">
        <v>39532</v>
      </c>
      <c r="D8027" s="753" t="s">
        <v>39528</v>
      </c>
      <c r="E8027" s="752" t="s">
        <v>38539</v>
      </c>
      <c r="F8027" s="751">
        <v>3915</v>
      </c>
    </row>
    <row r="8028" spans="1:6">
      <c r="A8028" s="753"/>
      <c r="B8028" s="753"/>
      <c r="C8028" s="752" t="s">
        <v>39531</v>
      </c>
      <c r="D8028" s="753" t="s">
        <v>39530</v>
      </c>
      <c r="E8028" s="752" t="s">
        <v>293</v>
      </c>
      <c r="F8028" s="751">
        <v>4565</v>
      </c>
    </row>
    <row r="8029" spans="1:6">
      <c r="A8029" s="753"/>
      <c r="B8029" s="753"/>
      <c r="C8029" s="752" t="s">
        <v>39529</v>
      </c>
      <c r="D8029" s="753" t="s">
        <v>39528</v>
      </c>
      <c r="E8029" s="752" t="s">
        <v>38539</v>
      </c>
      <c r="F8029" s="751">
        <v>4465</v>
      </c>
    </row>
    <row r="8030" spans="1:6">
      <c r="A8030" s="753"/>
      <c r="B8030" s="753"/>
      <c r="C8030" s="752" t="s">
        <v>39527</v>
      </c>
      <c r="D8030" s="753" t="s">
        <v>39526</v>
      </c>
      <c r="E8030" s="752" t="s">
        <v>39525</v>
      </c>
      <c r="F8030" s="751">
        <v>5925</v>
      </c>
    </row>
    <row r="8031" spans="1:6">
      <c r="A8031" s="753"/>
      <c r="B8031" s="753"/>
      <c r="C8031" s="752" t="s">
        <v>39524</v>
      </c>
      <c r="D8031" s="753" t="s">
        <v>39523</v>
      </c>
      <c r="E8031" s="752" t="s">
        <v>38539</v>
      </c>
      <c r="F8031" s="751">
        <v>2925</v>
      </c>
    </row>
    <row r="8032" spans="1:6">
      <c r="A8032" s="753"/>
      <c r="B8032" s="753"/>
      <c r="C8032" s="752" t="s">
        <v>39522</v>
      </c>
      <c r="D8032" s="753" t="s">
        <v>39520</v>
      </c>
      <c r="E8032" s="752" t="s">
        <v>38539</v>
      </c>
      <c r="F8032" s="751">
        <v>2825</v>
      </c>
    </row>
    <row r="8033" spans="1:6">
      <c r="A8033" s="753"/>
      <c r="B8033" s="753"/>
      <c r="C8033" s="752" t="s">
        <v>39521</v>
      </c>
      <c r="D8033" s="753" t="s">
        <v>39520</v>
      </c>
      <c r="E8033" s="752" t="s">
        <v>39519</v>
      </c>
      <c r="F8033" s="751">
        <v>2425</v>
      </c>
    </row>
    <row r="8034" spans="1:6">
      <c r="A8034" s="753"/>
      <c r="B8034" s="753"/>
      <c r="C8034" s="752" t="s">
        <v>39518</v>
      </c>
      <c r="D8034" s="753" t="s">
        <v>39516</v>
      </c>
      <c r="E8034" s="752" t="s">
        <v>38539</v>
      </c>
      <c r="F8034" s="751">
        <v>3375</v>
      </c>
    </row>
    <row r="8035" spans="1:6">
      <c r="A8035" s="753"/>
      <c r="B8035" s="753"/>
      <c r="C8035" s="752" t="s">
        <v>39517</v>
      </c>
      <c r="D8035" s="753" t="s">
        <v>39516</v>
      </c>
      <c r="E8035" s="752" t="s">
        <v>39493</v>
      </c>
      <c r="F8035" s="751">
        <v>4135</v>
      </c>
    </row>
    <row r="8036" spans="1:6">
      <c r="A8036" s="753"/>
      <c r="B8036" s="753"/>
      <c r="C8036" s="752" t="s">
        <v>39515</v>
      </c>
      <c r="D8036" s="753" t="s">
        <v>39513</v>
      </c>
      <c r="E8036" s="752" t="s">
        <v>38539</v>
      </c>
      <c r="F8036" s="751">
        <v>3375</v>
      </c>
    </row>
    <row r="8037" spans="1:6">
      <c r="A8037" s="753"/>
      <c r="B8037" s="753"/>
      <c r="C8037" s="752" t="s">
        <v>39514</v>
      </c>
      <c r="D8037" s="753" t="s">
        <v>39513</v>
      </c>
      <c r="E8037" s="752" t="s">
        <v>39512</v>
      </c>
      <c r="F8037" s="751">
        <v>4135</v>
      </c>
    </row>
    <row r="8038" spans="1:6">
      <c r="A8038" s="753"/>
      <c r="B8038" s="753"/>
      <c r="C8038" s="752" t="s">
        <v>39511</v>
      </c>
      <c r="D8038" s="753" t="s">
        <v>39510</v>
      </c>
      <c r="E8038" s="752" t="s">
        <v>293</v>
      </c>
      <c r="F8038" s="751">
        <v>2625</v>
      </c>
    </row>
    <row r="8039" spans="1:6">
      <c r="A8039" s="753"/>
      <c r="B8039" s="753"/>
      <c r="C8039" s="752" t="s">
        <v>39509</v>
      </c>
      <c r="D8039" s="753" t="s">
        <v>39506</v>
      </c>
      <c r="E8039" s="752" t="s">
        <v>37758</v>
      </c>
      <c r="F8039" s="751">
        <v>3175</v>
      </c>
    </row>
    <row r="8040" spans="1:6">
      <c r="A8040" s="753"/>
      <c r="B8040" s="753"/>
      <c r="C8040" s="752" t="s">
        <v>39508</v>
      </c>
      <c r="D8040" s="753" t="s">
        <v>39506</v>
      </c>
      <c r="E8040" s="752" t="s">
        <v>38866</v>
      </c>
      <c r="F8040" s="751">
        <v>3935</v>
      </c>
    </row>
    <row r="8041" spans="1:6">
      <c r="A8041" s="753"/>
      <c r="B8041" s="753"/>
      <c r="C8041" s="752" t="s">
        <v>39507</v>
      </c>
      <c r="D8041" s="753" t="s">
        <v>39506</v>
      </c>
      <c r="E8041" s="752" t="s">
        <v>39505</v>
      </c>
      <c r="F8041" s="751">
        <v>3935</v>
      </c>
    </row>
    <row r="8042" spans="1:6">
      <c r="A8042" s="753"/>
      <c r="B8042" s="753"/>
      <c r="C8042" s="752" t="s">
        <v>39504</v>
      </c>
      <c r="D8042" s="753" t="s">
        <v>39503</v>
      </c>
      <c r="E8042" s="752" t="s">
        <v>38866</v>
      </c>
      <c r="F8042" s="751">
        <v>3935</v>
      </c>
    </row>
    <row r="8043" spans="1:6">
      <c r="A8043" s="753"/>
      <c r="B8043" s="753"/>
      <c r="C8043" s="752" t="s">
        <v>39502</v>
      </c>
      <c r="D8043" s="753" t="s">
        <v>39500</v>
      </c>
      <c r="E8043" s="752" t="s">
        <v>38539</v>
      </c>
      <c r="F8043" s="751">
        <v>2725</v>
      </c>
    </row>
    <row r="8044" spans="1:6">
      <c r="A8044" s="753"/>
      <c r="B8044" s="753"/>
      <c r="C8044" s="752" t="s">
        <v>39501</v>
      </c>
      <c r="D8044" s="753" t="s">
        <v>39500</v>
      </c>
      <c r="E8044" s="752" t="s">
        <v>39499</v>
      </c>
      <c r="F8044" s="751">
        <v>2175</v>
      </c>
    </row>
    <row r="8045" spans="1:6">
      <c r="A8045" s="753"/>
      <c r="B8045" s="753"/>
      <c r="C8045" s="752" t="s">
        <v>39498</v>
      </c>
      <c r="D8045" s="753" t="s">
        <v>39497</v>
      </c>
      <c r="E8045" s="752" t="s">
        <v>38539</v>
      </c>
      <c r="F8045" s="751">
        <v>3275</v>
      </c>
    </row>
    <row r="8046" spans="1:6">
      <c r="A8046" s="753"/>
      <c r="B8046" s="753"/>
      <c r="C8046" s="752" t="s">
        <v>39496</v>
      </c>
      <c r="D8046" s="753" t="s">
        <v>39494</v>
      </c>
      <c r="E8046" s="752" t="s">
        <v>38539</v>
      </c>
      <c r="F8046" s="751">
        <v>3275</v>
      </c>
    </row>
    <row r="8047" spans="1:6">
      <c r="A8047" s="753"/>
      <c r="B8047" s="753"/>
      <c r="C8047" s="752" t="s">
        <v>39495</v>
      </c>
      <c r="D8047" s="753" t="s">
        <v>39494</v>
      </c>
      <c r="E8047" s="752" t="s">
        <v>39493</v>
      </c>
      <c r="F8047" s="751">
        <v>4035</v>
      </c>
    </row>
    <row r="8048" spans="1:6">
      <c r="A8048" s="753"/>
      <c r="B8048" s="753" t="s">
        <v>39492</v>
      </c>
      <c r="C8048" s="752" t="s">
        <v>39491</v>
      </c>
      <c r="D8048" s="753" t="s">
        <v>39490</v>
      </c>
      <c r="E8048" s="752" t="s">
        <v>38732</v>
      </c>
      <c r="F8048" s="751">
        <v>3525</v>
      </c>
    </row>
    <row r="8049" spans="1:6">
      <c r="A8049" s="753"/>
      <c r="B8049" s="753" t="s">
        <v>39489</v>
      </c>
      <c r="C8049" s="752" t="s">
        <v>39488</v>
      </c>
      <c r="D8049" s="753" t="s">
        <v>39486</v>
      </c>
      <c r="E8049" s="752" t="s">
        <v>293</v>
      </c>
      <c r="F8049" s="751">
        <v>2125</v>
      </c>
    </row>
    <row r="8050" spans="1:6">
      <c r="A8050" s="753"/>
      <c r="B8050" s="753"/>
      <c r="C8050" s="752" t="s">
        <v>39487</v>
      </c>
      <c r="D8050" s="753" t="s">
        <v>39486</v>
      </c>
      <c r="E8050" s="752" t="s">
        <v>293</v>
      </c>
      <c r="F8050" s="751">
        <v>2325</v>
      </c>
    </row>
    <row r="8051" spans="1:6">
      <c r="A8051" s="753"/>
      <c r="B8051" s="753"/>
      <c r="C8051" s="752" t="s">
        <v>39485</v>
      </c>
      <c r="D8051" s="753" t="s">
        <v>39483</v>
      </c>
      <c r="E8051" s="752" t="s">
        <v>293</v>
      </c>
      <c r="F8051" s="751">
        <v>2675</v>
      </c>
    </row>
    <row r="8052" spans="1:6">
      <c r="A8052" s="753"/>
      <c r="B8052" s="753"/>
      <c r="C8052" s="752" t="s">
        <v>39484</v>
      </c>
      <c r="D8052" s="753" t="s">
        <v>39483</v>
      </c>
      <c r="E8052" s="752" t="s">
        <v>293</v>
      </c>
      <c r="F8052" s="751">
        <v>2875</v>
      </c>
    </row>
    <row r="8053" spans="1:6">
      <c r="A8053" s="753"/>
      <c r="B8053" s="753"/>
      <c r="C8053" s="752" t="s">
        <v>39482</v>
      </c>
      <c r="D8053" s="753" t="s">
        <v>39480</v>
      </c>
      <c r="E8053" s="752" t="s">
        <v>293</v>
      </c>
      <c r="F8053" s="751">
        <v>2175</v>
      </c>
    </row>
    <row r="8054" spans="1:6">
      <c r="A8054" s="753"/>
      <c r="B8054" s="753"/>
      <c r="C8054" s="752" t="s">
        <v>39481</v>
      </c>
      <c r="D8054" s="753" t="s">
        <v>39480</v>
      </c>
      <c r="E8054" s="752" t="s">
        <v>293</v>
      </c>
      <c r="F8054" s="751">
        <v>2375</v>
      </c>
    </row>
    <row r="8055" spans="1:6">
      <c r="A8055" s="753"/>
      <c r="B8055" s="753"/>
      <c r="C8055" s="752" t="s">
        <v>39479</v>
      </c>
      <c r="D8055" s="753" t="s">
        <v>39477</v>
      </c>
      <c r="E8055" s="752" t="s">
        <v>293</v>
      </c>
      <c r="F8055" s="751">
        <v>2725</v>
      </c>
    </row>
    <row r="8056" spans="1:6">
      <c r="A8056" s="753"/>
      <c r="B8056" s="753"/>
      <c r="C8056" s="752" t="s">
        <v>39478</v>
      </c>
      <c r="D8056" s="753" t="s">
        <v>39477</v>
      </c>
      <c r="E8056" s="752" t="s">
        <v>293</v>
      </c>
      <c r="F8056" s="751">
        <v>2925</v>
      </c>
    </row>
    <row r="8057" spans="1:6">
      <c r="A8057" s="753"/>
      <c r="B8057" s="753"/>
      <c r="C8057" s="752" t="s">
        <v>39476</v>
      </c>
      <c r="D8057" s="753" t="s">
        <v>39475</v>
      </c>
      <c r="E8057" s="752" t="s">
        <v>293</v>
      </c>
      <c r="F8057" s="751">
        <v>2775</v>
      </c>
    </row>
    <row r="8058" spans="1:6">
      <c r="A8058" s="753"/>
      <c r="B8058" s="753"/>
      <c r="C8058" s="752" t="s">
        <v>39474</v>
      </c>
      <c r="D8058" s="753" t="s">
        <v>39473</v>
      </c>
      <c r="E8058" s="752" t="s">
        <v>293</v>
      </c>
      <c r="F8058" s="751">
        <v>2775</v>
      </c>
    </row>
    <row r="8059" spans="1:6">
      <c r="A8059" s="753"/>
      <c r="B8059" s="753"/>
      <c r="C8059" s="752" t="s">
        <v>39472</v>
      </c>
      <c r="D8059" s="753" t="s">
        <v>39471</v>
      </c>
      <c r="E8059" s="752" t="s">
        <v>293</v>
      </c>
      <c r="F8059" s="751">
        <v>2875</v>
      </c>
    </row>
    <row r="8060" spans="1:6">
      <c r="A8060" s="753"/>
      <c r="B8060" s="753"/>
      <c r="C8060" s="752" t="s">
        <v>39470</v>
      </c>
      <c r="D8060" s="753" t="s">
        <v>39469</v>
      </c>
      <c r="E8060" s="752" t="s">
        <v>293</v>
      </c>
      <c r="F8060" s="751">
        <v>2225</v>
      </c>
    </row>
    <row r="8061" spans="1:6">
      <c r="A8061" s="753"/>
      <c r="B8061" s="753"/>
      <c r="C8061" s="752" t="s">
        <v>39468</v>
      </c>
      <c r="D8061" s="753" t="s">
        <v>39467</v>
      </c>
      <c r="E8061" s="752" t="s">
        <v>293</v>
      </c>
      <c r="F8061" s="751">
        <v>2925</v>
      </c>
    </row>
    <row r="8062" spans="1:6">
      <c r="A8062" s="753"/>
      <c r="B8062" s="753" t="s">
        <v>39466</v>
      </c>
      <c r="C8062" s="752" t="s">
        <v>39465</v>
      </c>
      <c r="D8062" s="753" t="s">
        <v>39461</v>
      </c>
      <c r="E8062" s="752" t="s">
        <v>293</v>
      </c>
      <c r="F8062" s="751">
        <v>3665</v>
      </c>
    </row>
    <row r="8063" spans="1:6">
      <c r="A8063" s="753"/>
      <c r="B8063" s="753"/>
      <c r="C8063" s="752" t="s">
        <v>39464</v>
      </c>
      <c r="D8063" s="753" t="s">
        <v>39461</v>
      </c>
      <c r="E8063" s="752" t="s">
        <v>293</v>
      </c>
      <c r="F8063" s="751">
        <v>4265</v>
      </c>
    </row>
    <row r="8064" spans="1:6">
      <c r="A8064" s="753"/>
      <c r="B8064" s="753"/>
      <c r="C8064" s="752" t="s">
        <v>39463</v>
      </c>
      <c r="D8064" s="753" t="s">
        <v>39459</v>
      </c>
      <c r="E8064" s="752" t="s">
        <v>293</v>
      </c>
      <c r="F8064" s="751">
        <v>3625</v>
      </c>
    </row>
    <row r="8065" spans="1:6">
      <c r="A8065" s="753"/>
      <c r="B8065" s="753"/>
      <c r="C8065" s="752" t="s">
        <v>39462</v>
      </c>
      <c r="D8065" s="753" t="s">
        <v>39461</v>
      </c>
      <c r="E8065" s="752" t="s">
        <v>39458</v>
      </c>
      <c r="F8065" s="751">
        <v>3715</v>
      </c>
    </row>
    <row r="8066" spans="1:6">
      <c r="A8066" s="753"/>
      <c r="B8066" s="753"/>
      <c r="C8066" s="752" t="s">
        <v>39460</v>
      </c>
      <c r="D8066" s="753" t="s">
        <v>39459</v>
      </c>
      <c r="E8066" s="752" t="s">
        <v>39458</v>
      </c>
      <c r="F8066" s="751">
        <v>3815</v>
      </c>
    </row>
    <row r="8067" spans="1:6">
      <c r="A8067" s="753"/>
      <c r="B8067" s="753"/>
      <c r="C8067" s="752" t="s">
        <v>39457</v>
      </c>
      <c r="D8067" s="753" t="s">
        <v>39453</v>
      </c>
      <c r="E8067" s="752" t="s">
        <v>293</v>
      </c>
      <c r="F8067" s="751">
        <v>2575</v>
      </c>
    </row>
    <row r="8068" spans="1:6">
      <c r="A8068" s="753"/>
      <c r="B8068" s="753"/>
      <c r="C8068" s="752" t="s">
        <v>39456</v>
      </c>
      <c r="D8068" s="753" t="s">
        <v>39453</v>
      </c>
      <c r="E8068" s="752" t="s">
        <v>293</v>
      </c>
      <c r="F8068" s="751">
        <v>2575</v>
      </c>
    </row>
    <row r="8069" spans="1:6">
      <c r="A8069" s="753"/>
      <c r="B8069" s="753"/>
      <c r="C8069" s="752" t="s">
        <v>39455</v>
      </c>
      <c r="D8069" s="753" t="s">
        <v>39453</v>
      </c>
      <c r="E8069" s="752" t="s">
        <v>293</v>
      </c>
      <c r="F8069" s="751">
        <v>2575</v>
      </c>
    </row>
    <row r="8070" spans="1:6">
      <c r="A8070" s="753"/>
      <c r="B8070" s="753"/>
      <c r="C8070" s="752" t="s">
        <v>39454</v>
      </c>
      <c r="D8070" s="753" t="s">
        <v>39453</v>
      </c>
      <c r="E8070" s="752" t="s">
        <v>39430</v>
      </c>
      <c r="F8070" s="751">
        <v>2575</v>
      </c>
    </row>
    <row r="8071" spans="1:6">
      <c r="A8071" s="753"/>
      <c r="B8071" s="753"/>
      <c r="C8071" s="752" t="s">
        <v>39452</v>
      </c>
      <c r="D8071" s="753" t="s">
        <v>39448</v>
      </c>
      <c r="E8071" s="752" t="s">
        <v>293</v>
      </c>
      <c r="F8071" s="751">
        <v>3125</v>
      </c>
    </row>
    <row r="8072" spans="1:6">
      <c r="A8072" s="753"/>
      <c r="B8072" s="753"/>
      <c r="C8072" s="752" t="s">
        <v>39451</v>
      </c>
      <c r="D8072" s="753" t="s">
        <v>39448</v>
      </c>
      <c r="E8072" s="752" t="s">
        <v>293</v>
      </c>
      <c r="F8072" s="751">
        <v>2875</v>
      </c>
    </row>
    <row r="8073" spans="1:6">
      <c r="A8073" s="753"/>
      <c r="B8073" s="753"/>
      <c r="C8073" s="752" t="s">
        <v>39450</v>
      </c>
      <c r="D8073" s="753" t="s">
        <v>39448</v>
      </c>
      <c r="E8073" s="752" t="s">
        <v>293</v>
      </c>
      <c r="F8073" s="751">
        <v>3125</v>
      </c>
    </row>
    <row r="8074" spans="1:6">
      <c r="A8074" s="753"/>
      <c r="B8074" s="753"/>
      <c r="C8074" s="752" t="s">
        <v>39449</v>
      </c>
      <c r="D8074" s="753" t="s">
        <v>39448</v>
      </c>
      <c r="E8074" s="752" t="s">
        <v>293</v>
      </c>
      <c r="F8074" s="751">
        <v>3125</v>
      </c>
    </row>
    <row r="8075" spans="1:6">
      <c r="A8075" s="753"/>
      <c r="B8075" s="753"/>
      <c r="C8075" s="752" t="s">
        <v>39447</v>
      </c>
      <c r="D8075" s="753" t="s">
        <v>39446</v>
      </c>
      <c r="E8075" s="752" t="s">
        <v>293</v>
      </c>
      <c r="F8075" s="751">
        <v>3125</v>
      </c>
    </row>
    <row r="8076" spans="1:6">
      <c r="A8076" s="753"/>
      <c r="B8076" s="753"/>
      <c r="C8076" s="752" t="s">
        <v>39445</v>
      </c>
      <c r="D8076" s="753" t="s">
        <v>39444</v>
      </c>
      <c r="E8076" s="752" t="s">
        <v>293</v>
      </c>
      <c r="F8076" s="751">
        <v>3125</v>
      </c>
    </row>
    <row r="8077" spans="1:6">
      <c r="A8077" s="753"/>
      <c r="B8077" s="753"/>
      <c r="C8077" s="752" t="s">
        <v>39443</v>
      </c>
      <c r="D8077" s="753" t="s">
        <v>39427</v>
      </c>
      <c r="E8077" s="752" t="s">
        <v>293</v>
      </c>
      <c r="F8077" s="751">
        <v>2375</v>
      </c>
    </row>
    <row r="8078" spans="1:6">
      <c r="A8078" s="753"/>
      <c r="B8078" s="753"/>
      <c r="C8078" s="752" t="s">
        <v>39442</v>
      </c>
      <c r="D8078" s="753" t="s">
        <v>39427</v>
      </c>
      <c r="E8078" s="752" t="s">
        <v>293</v>
      </c>
      <c r="F8078" s="751">
        <v>2375</v>
      </c>
    </row>
    <row r="8079" spans="1:6">
      <c r="A8079" s="753"/>
      <c r="B8079" s="753"/>
      <c r="C8079" s="752" t="s">
        <v>39441</v>
      </c>
      <c r="D8079" s="753" t="s">
        <v>39427</v>
      </c>
      <c r="E8079" s="752" t="s">
        <v>293</v>
      </c>
      <c r="F8079" s="751">
        <v>2375</v>
      </c>
    </row>
    <row r="8080" spans="1:6">
      <c r="A8080" s="753"/>
      <c r="B8080" s="753"/>
      <c r="C8080" s="752" t="s">
        <v>39440</v>
      </c>
      <c r="D8080" s="753" t="s">
        <v>39427</v>
      </c>
      <c r="E8080" s="752" t="s">
        <v>39430</v>
      </c>
      <c r="F8080" s="751">
        <v>2375</v>
      </c>
    </row>
    <row r="8081" spans="1:6">
      <c r="A8081" s="753"/>
      <c r="B8081" s="753"/>
      <c r="C8081" s="752" t="s">
        <v>39439</v>
      </c>
      <c r="D8081" s="753" t="s">
        <v>39436</v>
      </c>
      <c r="E8081" s="752" t="s">
        <v>293</v>
      </c>
      <c r="F8081" s="751">
        <v>2925</v>
      </c>
    </row>
    <row r="8082" spans="1:6">
      <c r="A8082" s="753"/>
      <c r="B8082" s="753"/>
      <c r="C8082" s="752" t="s">
        <v>39438</v>
      </c>
      <c r="D8082" s="753" t="s">
        <v>39436</v>
      </c>
      <c r="E8082" s="752" t="s">
        <v>293</v>
      </c>
      <c r="F8082" s="751">
        <v>2925</v>
      </c>
    </row>
    <row r="8083" spans="1:6">
      <c r="A8083" s="753"/>
      <c r="B8083" s="753"/>
      <c r="C8083" s="752" t="s">
        <v>39437</v>
      </c>
      <c r="D8083" s="753" t="s">
        <v>39436</v>
      </c>
      <c r="E8083" s="752" t="s">
        <v>38670</v>
      </c>
      <c r="F8083" s="751">
        <v>3685</v>
      </c>
    </row>
    <row r="8084" spans="1:6">
      <c r="A8084" s="753"/>
      <c r="B8084" s="753"/>
      <c r="C8084" s="752" t="s">
        <v>39435</v>
      </c>
      <c r="D8084" s="753" t="s">
        <v>39433</v>
      </c>
      <c r="E8084" s="752" t="s">
        <v>293</v>
      </c>
      <c r="F8084" s="751">
        <v>2925</v>
      </c>
    </row>
    <row r="8085" spans="1:6">
      <c r="A8085" s="753"/>
      <c r="B8085" s="753"/>
      <c r="C8085" s="752" t="s">
        <v>39434</v>
      </c>
      <c r="D8085" s="753" t="s">
        <v>39433</v>
      </c>
      <c r="E8085" s="752" t="s">
        <v>293</v>
      </c>
      <c r="F8085" s="751">
        <v>2925</v>
      </c>
    </row>
    <row r="8086" spans="1:6">
      <c r="A8086" s="753"/>
      <c r="B8086" s="753"/>
      <c r="C8086" s="752" t="s">
        <v>39432</v>
      </c>
      <c r="D8086" s="753" t="s">
        <v>39431</v>
      </c>
      <c r="E8086" s="752" t="s">
        <v>39430</v>
      </c>
      <c r="F8086" s="751">
        <v>2475</v>
      </c>
    </row>
    <row r="8087" spans="1:6">
      <c r="A8087" s="753"/>
      <c r="B8087" s="753" t="s">
        <v>39429</v>
      </c>
      <c r="C8087" s="752" t="s">
        <v>39428</v>
      </c>
      <c r="D8087" s="753" t="s">
        <v>39427</v>
      </c>
      <c r="E8087" s="752" t="s">
        <v>293</v>
      </c>
      <c r="F8087" s="751">
        <v>2375</v>
      </c>
    </row>
    <row r="8088" spans="1:6">
      <c r="A8088" s="753"/>
      <c r="B8088" s="753" t="s">
        <v>39426</v>
      </c>
      <c r="C8088" s="752" t="s">
        <v>39425</v>
      </c>
      <c r="D8088" s="753" t="s">
        <v>39424</v>
      </c>
      <c r="E8088" s="752" t="s">
        <v>293</v>
      </c>
      <c r="F8088" s="751">
        <v>1925</v>
      </c>
    </row>
    <row r="8089" spans="1:6">
      <c r="A8089" s="753"/>
      <c r="B8089" s="753"/>
      <c r="C8089" s="752" t="s">
        <v>39423</v>
      </c>
      <c r="D8089" s="753" t="s">
        <v>39422</v>
      </c>
      <c r="E8089" s="752" t="s">
        <v>293</v>
      </c>
      <c r="F8089" s="751">
        <v>2475</v>
      </c>
    </row>
    <row r="8090" spans="1:6">
      <c r="A8090" s="753"/>
      <c r="B8090" s="753" t="s">
        <v>39421</v>
      </c>
      <c r="C8090" s="752" t="s">
        <v>39420</v>
      </c>
      <c r="D8090" s="753" t="s">
        <v>39418</v>
      </c>
      <c r="E8090" s="752" t="s">
        <v>39417</v>
      </c>
      <c r="F8090" s="751">
        <v>1975</v>
      </c>
    </row>
    <row r="8091" spans="1:6">
      <c r="A8091" s="753"/>
      <c r="B8091" s="753"/>
      <c r="C8091" s="752" t="s">
        <v>39419</v>
      </c>
      <c r="D8091" s="753" t="s">
        <v>39418</v>
      </c>
      <c r="E8091" s="752" t="s">
        <v>39417</v>
      </c>
      <c r="F8091" s="751">
        <v>1975</v>
      </c>
    </row>
    <row r="8092" spans="1:6">
      <c r="A8092" s="753"/>
      <c r="B8092" s="753" t="s">
        <v>39416</v>
      </c>
      <c r="C8092" s="752" t="s">
        <v>39415</v>
      </c>
      <c r="D8092" s="753" t="s">
        <v>39414</v>
      </c>
      <c r="E8092" s="752" t="s">
        <v>39011</v>
      </c>
      <c r="F8092" s="751">
        <v>5125</v>
      </c>
    </row>
    <row r="8093" spans="1:6">
      <c r="A8093" s="753"/>
      <c r="B8093" s="753"/>
      <c r="C8093" s="752" t="s">
        <v>39413</v>
      </c>
      <c r="D8093" s="753" t="s">
        <v>39412</v>
      </c>
      <c r="E8093" s="752" t="s">
        <v>293</v>
      </c>
      <c r="F8093" s="751">
        <v>4265</v>
      </c>
    </row>
    <row r="8094" spans="1:6">
      <c r="A8094" s="753"/>
      <c r="B8094" s="753"/>
      <c r="C8094" s="752" t="s">
        <v>39411</v>
      </c>
      <c r="D8094" s="753" t="s">
        <v>39410</v>
      </c>
      <c r="E8094" s="752" t="s">
        <v>39409</v>
      </c>
      <c r="F8094" s="751">
        <v>3395</v>
      </c>
    </row>
    <row r="8095" spans="1:6">
      <c r="A8095" s="753"/>
      <c r="B8095" s="753"/>
      <c r="C8095" s="752" t="s">
        <v>39408</v>
      </c>
      <c r="D8095" s="753" t="s">
        <v>39401</v>
      </c>
      <c r="E8095" s="752" t="s">
        <v>293</v>
      </c>
      <c r="F8095" s="751">
        <v>2575</v>
      </c>
    </row>
    <row r="8096" spans="1:6">
      <c r="A8096" s="753"/>
      <c r="B8096" s="753"/>
      <c r="C8096" s="752" t="s">
        <v>39407</v>
      </c>
      <c r="D8096" s="753" t="s">
        <v>39401</v>
      </c>
      <c r="E8096" s="752" t="s">
        <v>293</v>
      </c>
      <c r="F8096" s="751">
        <v>2575</v>
      </c>
    </row>
    <row r="8097" spans="1:6">
      <c r="A8097" s="753"/>
      <c r="B8097" s="753"/>
      <c r="C8097" s="752" t="s">
        <v>39406</v>
      </c>
      <c r="D8097" s="753" t="s">
        <v>39401</v>
      </c>
      <c r="E8097" s="752" t="s">
        <v>39403</v>
      </c>
      <c r="F8097" s="751">
        <v>3335</v>
      </c>
    </row>
    <row r="8098" spans="1:6">
      <c r="A8098" s="753"/>
      <c r="B8098" s="753"/>
      <c r="C8098" s="752" t="s">
        <v>39405</v>
      </c>
      <c r="D8098" s="753" t="s">
        <v>39401</v>
      </c>
      <c r="E8098" s="752" t="s">
        <v>293</v>
      </c>
      <c r="F8098" s="751">
        <v>2575</v>
      </c>
    </row>
    <row r="8099" spans="1:6">
      <c r="A8099" s="753"/>
      <c r="B8099" s="753"/>
      <c r="C8099" s="752" t="s">
        <v>39404</v>
      </c>
      <c r="D8099" s="753" t="s">
        <v>39401</v>
      </c>
      <c r="E8099" s="752" t="s">
        <v>39403</v>
      </c>
      <c r="F8099" s="751">
        <v>3335</v>
      </c>
    </row>
    <row r="8100" spans="1:6">
      <c r="A8100" s="753"/>
      <c r="B8100" s="753"/>
      <c r="C8100" s="752" t="s">
        <v>39402</v>
      </c>
      <c r="D8100" s="753" t="s">
        <v>39401</v>
      </c>
      <c r="E8100" s="752" t="s">
        <v>293</v>
      </c>
      <c r="F8100" s="751">
        <v>2825</v>
      </c>
    </row>
    <row r="8101" spans="1:6">
      <c r="A8101" s="753"/>
      <c r="B8101" s="753"/>
      <c r="C8101" s="752" t="s">
        <v>39400</v>
      </c>
      <c r="D8101" s="753" t="s">
        <v>39397</v>
      </c>
      <c r="E8101" s="752" t="s">
        <v>293</v>
      </c>
      <c r="F8101" s="751">
        <v>3125</v>
      </c>
    </row>
    <row r="8102" spans="1:6">
      <c r="A8102" s="753"/>
      <c r="B8102" s="753"/>
      <c r="C8102" s="752" t="s">
        <v>39399</v>
      </c>
      <c r="D8102" s="753" t="s">
        <v>39397</v>
      </c>
      <c r="E8102" s="752" t="s">
        <v>293</v>
      </c>
      <c r="F8102" s="751">
        <v>3125</v>
      </c>
    </row>
    <row r="8103" spans="1:6">
      <c r="A8103" s="753"/>
      <c r="B8103" s="753"/>
      <c r="C8103" s="752" t="s">
        <v>39398</v>
      </c>
      <c r="D8103" s="753" t="s">
        <v>39397</v>
      </c>
      <c r="E8103" s="752" t="s">
        <v>293</v>
      </c>
      <c r="F8103" s="751">
        <v>3125</v>
      </c>
    </row>
    <row r="8104" spans="1:6">
      <c r="A8104" s="753"/>
      <c r="B8104" s="753"/>
      <c r="C8104" s="752" t="s">
        <v>39396</v>
      </c>
      <c r="D8104" s="753" t="s">
        <v>39394</v>
      </c>
      <c r="E8104" s="752" t="s">
        <v>293</v>
      </c>
      <c r="F8104" s="751">
        <v>3125</v>
      </c>
    </row>
    <row r="8105" spans="1:6">
      <c r="A8105" s="753"/>
      <c r="B8105" s="753"/>
      <c r="C8105" s="752" t="s">
        <v>39395</v>
      </c>
      <c r="D8105" s="753" t="s">
        <v>39394</v>
      </c>
      <c r="E8105" s="752" t="s">
        <v>38919</v>
      </c>
      <c r="F8105" s="751">
        <v>3885</v>
      </c>
    </row>
    <row r="8106" spans="1:6">
      <c r="A8106" s="753"/>
      <c r="B8106" s="753"/>
      <c r="C8106" s="752" t="s">
        <v>39393</v>
      </c>
      <c r="D8106" s="753" t="s">
        <v>39389</v>
      </c>
      <c r="E8106" s="752" t="s">
        <v>293</v>
      </c>
      <c r="F8106" s="751">
        <v>3125</v>
      </c>
    </row>
    <row r="8107" spans="1:6">
      <c r="A8107" s="753"/>
      <c r="B8107" s="753"/>
      <c r="C8107" s="752" t="s">
        <v>39392</v>
      </c>
      <c r="D8107" s="753" t="s">
        <v>39391</v>
      </c>
      <c r="E8107" s="752" t="s">
        <v>293</v>
      </c>
      <c r="F8107" s="751">
        <v>3125</v>
      </c>
    </row>
    <row r="8108" spans="1:6">
      <c r="A8108" s="753"/>
      <c r="B8108" s="753"/>
      <c r="C8108" s="752" t="s">
        <v>39390</v>
      </c>
      <c r="D8108" s="753" t="s">
        <v>39389</v>
      </c>
      <c r="E8108" s="752" t="s">
        <v>293</v>
      </c>
      <c r="F8108" s="751">
        <v>3125</v>
      </c>
    </row>
    <row r="8109" spans="1:6">
      <c r="A8109" s="753"/>
      <c r="B8109" s="753"/>
      <c r="C8109" s="752" t="s">
        <v>39388</v>
      </c>
      <c r="D8109" s="753" t="s">
        <v>39383</v>
      </c>
      <c r="E8109" s="752" t="s">
        <v>293</v>
      </c>
      <c r="F8109" s="751">
        <v>2625</v>
      </c>
    </row>
    <row r="8110" spans="1:6">
      <c r="A8110" s="753"/>
      <c r="B8110" s="753"/>
      <c r="C8110" s="752" t="s">
        <v>39387</v>
      </c>
      <c r="D8110" s="753" t="s">
        <v>39383</v>
      </c>
      <c r="E8110" s="752" t="s">
        <v>293</v>
      </c>
      <c r="F8110" s="751">
        <v>2375</v>
      </c>
    </row>
    <row r="8111" spans="1:6">
      <c r="A8111" s="753"/>
      <c r="B8111" s="753"/>
      <c r="C8111" s="752" t="s">
        <v>39386</v>
      </c>
      <c r="D8111" s="753" t="s">
        <v>39383</v>
      </c>
      <c r="E8111" s="752" t="s">
        <v>293</v>
      </c>
      <c r="F8111" s="751">
        <v>2375</v>
      </c>
    </row>
    <row r="8112" spans="1:6">
      <c r="A8112" s="753"/>
      <c r="B8112" s="753"/>
      <c r="C8112" s="752" t="s">
        <v>39385</v>
      </c>
      <c r="D8112" s="753" t="s">
        <v>39383</v>
      </c>
      <c r="E8112" s="752" t="s">
        <v>293</v>
      </c>
      <c r="F8112" s="751">
        <v>2625</v>
      </c>
    </row>
    <row r="8113" spans="1:6">
      <c r="A8113" s="753"/>
      <c r="B8113" s="753"/>
      <c r="C8113" s="752" t="s">
        <v>39384</v>
      </c>
      <c r="D8113" s="753" t="s">
        <v>39383</v>
      </c>
      <c r="E8113" s="752" t="s">
        <v>39011</v>
      </c>
      <c r="F8113" s="751">
        <v>3135</v>
      </c>
    </row>
    <row r="8114" spans="1:6">
      <c r="A8114" s="753"/>
      <c r="B8114" s="753"/>
      <c r="C8114" s="752" t="s">
        <v>39382</v>
      </c>
      <c r="D8114" s="753" t="s">
        <v>39374</v>
      </c>
      <c r="E8114" s="752" t="s">
        <v>293</v>
      </c>
      <c r="F8114" s="751">
        <v>3175</v>
      </c>
    </row>
    <row r="8115" spans="1:6">
      <c r="A8115" s="753"/>
      <c r="B8115" s="753"/>
      <c r="C8115" s="752" t="s">
        <v>39381</v>
      </c>
      <c r="D8115" s="753" t="s">
        <v>39374</v>
      </c>
      <c r="E8115" s="752" t="s">
        <v>293</v>
      </c>
      <c r="F8115" s="751">
        <v>2925</v>
      </c>
    </row>
    <row r="8116" spans="1:6">
      <c r="A8116" s="753"/>
      <c r="B8116" s="753"/>
      <c r="C8116" s="752" t="s">
        <v>39380</v>
      </c>
      <c r="D8116" s="753" t="s">
        <v>39374</v>
      </c>
      <c r="E8116" s="752" t="s">
        <v>293</v>
      </c>
      <c r="F8116" s="751">
        <v>3175</v>
      </c>
    </row>
    <row r="8117" spans="1:6">
      <c r="A8117" s="753"/>
      <c r="B8117" s="753"/>
      <c r="C8117" s="752" t="s">
        <v>39379</v>
      </c>
      <c r="D8117" s="753" t="s">
        <v>39374</v>
      </c>
      <c r="E8117" s="752" t="s">
        <v>293</v>
      </c>
      <c r="F8117" s="751">
        <v>2925</v>
      </c>
    </row>
    <row r="8118" spans="1:6">
      <c r="A8118" s="753"/>
      <c r="B8118" s="753"/>
      <c r="C8118" s="752" t="s">
        <v>39378</v>
      </c>
      <c r="D8118" s="753" t="s">
        <v>39374</v>
      </c>
      <c r="E8118" s="752" t="s">
        <v>293</v>
      </c>
      <c r="F8118" s="751">
        <v>2925</v>
      </c>
    </row>
    <row r="8119" spans="1:6">
      <c r="A8119" s="753"/>
      <c r="B8119" s="753"/>
      <c r="C8119" s="752" t="s">
        <v>39377</v>
      </c>
      <c r="D8119" s="753" t="s">
        <v>39374</v>
      </c>
      <c r="E8119" s="752" t="s">
        <v>293</v>
      </c>
      <c r="F8119" s="751">
        <v>2925</v>
      </c>
    </row>
    <row r="8120" spans="1:6">
      <c r="A8120" s="753"/>
      <c r="B8120" s="753"/>
      <c r="C8120" s="752" t="s">
        <v>39376</v>
      </c>
      <c r="D8120" s="753" t="s">
        <v>39374</v>
      </c>
      <c r="E8120" s="752" t="s">
        <v>38670</v>
      </c>
      <c r="F8120" s="751">
        <v>3685</v>
      </c>
    </row>
    <row r="8121" spans="1:6">
      <c r="A8121" s="753"/>
      <c r="B8121" s="753"/>
      <c r="C8121" s="752" t="s">
        <v>39375</v>
      </c>
      <c r="D8121" s="753" t="s">
        <v>39374</v>
      </c>
      <c r="E8121" s="752" t="s">
        <v>39011</v>
      </c>
      <c r="F8121" s="751">
        <v>3685</v>
      </c>
    </row>
    <row r="8122" spans="1:6">
      <c r="A8122" s="753"/>
      <c r="B8122" s="753"/>
      <c r="C8122" s="752" t="s">
        <v>39373</v>
      </c>
      <c r="D8122" s="753" t="s">
        <v>39372</v>
      </c>
      <c r="E8122" s="752" t="s">
        <v>293</v>
      </c>
      <c r="F8122" s="751">
        <v>2925</v>
      </c>
    </row>
    <row r="8123" spans="1:6">
      <c r="A8123" s="753"/>
      <c r="B8123" s="753"/>
      <c r="C8123" s="752" t="s">
        <v>39371</v>
      </c>
      <c r="D8123" s="753" t="s">
        <v>39369</v>
      </c>
      <c r="E8123" s="752" t="s">
        <v>293</v>
      </c>
      <c r="F8123" s="751">
        <v>2925</v>
      </c>
    </row>
    <row r="8124" spans="1:6">
      <c r="A8124" s="753"/>
      <c r="B8124" s="753"/>
      <c r="C8124" s="752" t="s">
        <v>39370</v>
      </c>
      <c r="D8124" s="753" t="s">
        <v>39369</v>
      </c>
      <c r="E8124" s="752" t="s">
        <v>293</v>
      </c>
      <c r="F8124" s="751">
        <v>2925</v>
      </c>
    </row>
    <row r="8125" spans="1:6">
      <c r="A8125" s="753"/>
      <c r="B8125" s="753"/>
      <c r="C8125" s="752" t="s">
        <v>39368</v>
      </c>
      <c r="D8125" s="753" t="s">
        <v>39367</v>
      </c>
      <c r="E8125" s="752" t="s">
        <v>39011</v>
      </c>
      <c r="F8125" s="751">
        <v>3685</v>
      </c>
    </row>
    <row r="8126" spans="1:6">
      <c r="A8126" s="753"/>
      <c r="B8126" s="753"/>
      <c r="C8126" s="752" t="s">
        <v>39366</v>
      </c>
      <c r="D8126" s="753" t="s">
        <v>39364</v>
      </c>
      <c r="E8126" s="752" t="s">
        <v>293</v>
      </c>
      <c r="F8126" s="751">
        <v>2475</v>
      </c>
    </row>
    <row r="8127" spans="1:6">
      <c r="A8127" s="753"/>
      <c r="B8127" s="753"/>
      <c r="C8127" s="752" t="s">
        <v>39365</v>
      </c>
      <c r="D8127" s="753" t="s">
        <v>39364</v>
      </c>
      <c r="E8127" s="752" t="s">
        <v>293</v>
      </c>
      <c r="F8127" s="751">
        <v>2475</v>
      </c>
    </row>
    <row r="8128" spans="1:6">
      <c r="A8128" s="753"/>
      <c r="B8128" s="753"/>
      <c r="C8128" s="752" t="s">
        <v>39363</v>
      </c>
      <c r="D8128" s="753" t="s">
        <v>39361</v>
      </c>
      <c r="E8128" s="752" t="s">
        <v>293</v>
      </c>
      <c r="F8128" s="751">
        <v>3025</v>
      </c>
    </row>
    <row r="8129" spans="1:6">
      <c r="A8129" s="753"/>
      <c r="B8129" s="753"/>
      <c r="C8129" s="752" t="s">
        <v>39362</v>
      </c>
      <c r="D8129" s="753" t="s">
        <v>39361</v>
      </c>
      <c r="E8129" s="752" t="s">
        <v>293</v>
      </c>
      <c r="F8129" s="751">
        <v>3025</v>
      </c>
    </row>
    <row r="8130" spans="1:6">
      <c r="A8130" s="753"/>
      <c r="B8130" s="753"/>
      <c r="C8130" s="752" t="s">
        <v>39360</v>
      </c>
      <c r="D8130" s="753" t="s">
        <v>39358</v>
      </c>
      <c r="E8130" s="752" t="s">
        <v>39011</v>
      </c>
      <c r="F8130" s="751">
        <v>3785</v>
      </c>
    </row>
    <row r="8131" spans="1:6">
      <c r="A8131" s="753"/>
      <c r="B8131" s="753"/>
      <c r="C8131" s="752" t="s">
        <v>39359</v>
      </c>
      <c r="D8131" s="753" t="s">
        <v>39358</v>
      </c>
      <c r="E8131" s="752" t="s">
        <v>293</v>
      </c>
      <c r="F8131" s="751">
        <v>3025</v>
      </c>
    </row>
    <row r="8132" spans="1:6">
      <c r="A8132" s="753"/>
      <c r="B8132" s="753" t="s">
        <v>39357</v>
      </c>
      <c r="C8132" s="752" t="s">
        <v>39356</v>
      </c>
      <c r="D8132" s="753" t="s">
        <v>39355</v>
      </c>
      <c r="E8132" s="752" t="s">
        <v>293</v>
      </c>
      <c r="F8132" s="751">
        <v>2575</v>
      </c>
    </row>
    <row r="8133" spans="1:6">
      <c r="A8133" s="753"/>
      <c r="B8133" s="753"/>
      <c r="C8133" s="752" t="s">
        <v>39354</v>
      </c>
      <c r="D8133" s="753" t="s">
        <v>39353</v>
      </c>
      <c r="E8133" s="752" t="s">
        <v>293</v>
      </c>
      <c r="F8133" s="751">
        <v>3125</v>
      </c>
    </row>
    <row r="8134" spans="1:6">
      <c r="A8134" s="753"/>
      <c r="B8134" s="753"/>
      <c r="C8134" s="752" t="s">
        <v>39352</v>
      </c>
      <c r="D8134" s="753" t="s">
        <v>39351</v>
      </c>
      <c r="E8134" s="752" t="s">
        <v>293</v>
      </c>
      <c r="F8134" s="751">
        <v>3125</v>
      </c>
    </row>
    <row r="8135" spans="1:6">
      <c r="A8135" s="753"/>
      <c r="B8135" s="753"/>
      <c r="C8135" s="752" t="s">
        <v>39350</v>
      </c>
      <c r="D8135" s="753" t="s">
        <v>39349</v>
      </c>
      <c r="E8135" s="752" t="s">
        <v>293</v>
      </c>
      <c r="F8135" s="751">
        <v>2375</v>
      </c>
    </row>
    <row r="8136" spans="1:6">
      <c r="A8136" s="753"/>
      <c r="B8136" s="753"/>
      <c r="C8136" s="752" t="s">
        <v>39348</v>
      </c>
      <c r="D8136" s="753" t="s">
        <v>39347</v>
      </c>
      <c r="E8136" s="752" t="s">
        <v>293</v>
      </c>
      <c r="F8136" s="751">
        <v>2925</v>
      </c>
    </row>
    <row r="8137" spans="1:6">
      <c r="A8137" s="753"/>
      <c r="B8137" s="753"/>
      <c r="C8137" s="752" t="s">
        <v>39346</v>
      </c>
      <c r="D8137" s="753" t="s">
        <v>39345</v>
      </c>
      <c r="E8137" s="752" t="s">
        <v>293</v>
      </c>
      <c r="F8137" s="751">
        <v>2925</v>
      </c>
    </row>
    <row r="8138" spans="1:6">
      <c r="A8138" s="753"/>
      <c r="B8138" s="753"/>
      <c r="C8138" s="752" t="s">
        <v>39344</v>
      </c>
      <c r="D8138" s="753" t="s">
        <v>39343</v>
      </c>
      <c r="E8138" s="752" t="s">
        <v>293</v>
      </c>
      <c r="F8138" s="751">
        <v>2475</v>
      </c>
    </row>
    <row r="8139" spans="1:6">
      <c r="A8139" s="753"/>
      <c r="B8139" s="753"/>
      <c r="C8139" s="752" t="s">
        <v>39342</v>
      </c>
      <c r="D8139" s="753" t="s">
        <v>39341</v>
      </c>
      <c r="E8139" s="752" t="s">
        <v>293</v>
      </c>
      <c r="F8139" s="751">
        <v>3025</v>
      </c>
    </row>
    <row r="8140" spans="1:6">
      <c r="A8140" s="753"/>
      <c r="B8140" s="753"/>
      <c r="C8140" s="752" t="s">
        <v>39340</v>
      </c>
      <c r="D8140" s="753" t="s">
        <v>39339</v>
      </c>
      <c r="E8140" s="752" t="s">
        <v>293</v>
      </c>
      <c r="F8140" s="751">
        <v>3025</v>
      </c>
    </row>
    <row r="8141" spans="1:6">
      <c r="A8141" s="753"/>
      <c r="B8141" s="753" t="s">
        <v>39338</v>
      </c>
      <c r="C8141" s="752" t="s">
        <v>39337</v>
      </c>
      <c r="D8141" s="753" t="s">
        <v>39336</v>
      </c>
      <c r="E8141" s="752" t="s">
        <v>293</v>
      </c>
      <c r="F8141" s="751">
        <v>2575</v>
      </c>
    </row>
    <row r="8142" spans="1:6">
      <c r="A8142" s="753"/>
      <c r="B8142" s="753"/>
      <c r="C8142" s="752" t="s">
        <v>39335</v>
      </c>
      <c r="D8142" s="753" t="s">
        <v>39334</v>
      </c>
      <c r="E8142" s="752" t="s">
        <v>293</v>
      </c>
      <c r="F8142" s="751">
        <v>3125</v>
      </c>
    </row>
    <row r="8143" spans="1:6">
      <c r="A8143" s="753"/>
      <c r="B8143" s="753"/>
      <c r="C8143" s="752" t="s">
        <v>39333</v>
      </c>
      <c r="D8143" s="753" t="s">
        <v>39332</v>
      </c>
      <c r="E8143" s="752" t="s">
        <v>293</v>
      </c>
      <c r="F8143" s="751">
        <v>3125</v>
      </c>
    </row>
    <row r="8144" spans="1:6">
      <c r="A8144" s="753"/>
      <c r="B8144" s="753"/>
      <c r="C8144" s="752" t="s">
        <v>39331</v>
      </c>
      <c r="D8144" s="753" t="s">
        <v>39330</v>
      </c>
      <c r="E8144" s="752" t="s">
        <v>293</v>
      </c>
      <c r="F8144" s="751">
        <v>2375</v>
      </c>
    </row>
    <row r="8145" spans="1:6">
      <c r="A8145" s="753"/>
      <c r="B8145" s="753"/>
      <c r="C8145" s="752" t="s">
        <v>39329</v>
      </c>
      <c r="D8145" s="753" t="s">
        <v>39328</v>
      </c>
      <c r="E8145" s="752" t="s">
        <v>293</v>
      </c>
      <c r="F8145" s="751">
        <v>2925</v>
      </c>
    </row>
    <row r="8146" spans="1:6">
      <c r="A8146" s="753"/>
      <c r="B8146" s="753" t="s">
        <v>39326</v>
      </c>
      <c r="C8146" s="752" t="s">
        <v>39327</v>
      </c>
      <c r="D8146" s="753" t="s">
        <v>39326</v>
      </c>
      <c r="E8146" s="752" t="s">
        <v>39055</v>
      </c>
      <c r="F8146" s="751">
        <v>1975</v>
      </c>
    </row>
    <row r="8147" spans="1:6">
      <c r="A8147" s="753" t="s">
        <v>7318</v>
      </c>
      <c r="B8147" s="753" t="s">
        <v>39325</v>
      </c>
      <c r="C8147" s="752" t="s">
        <v>39324</v>
      </c>
      <c r="D8147" s="753" t="s">
        <v>39323</v>
      </c>
      <c r="E8147" s="752" t="s">
        <v>293</v>
      </c>
      <c r="F8147" s="751">
        <v>2325</v>
      </c>
    </row>
    <row r="8148" spans="1:6">
      <c r="A8148" s="753" t="s">
        <v>39322</v>
      </c>
      <c r="B8148" s="753" t="s">
        <v>39321</v>
      </c>
      <c r="C8148" s="752" t="s">
        <v>39320</v>
      </c>
      <c r="D8148" s="753" t="s">
        <v>39314</v>
      </c>
      <c r="E8148" s="752" t="s">
        <v>39313</v>
      </c>
      <c r="F8148" s="752">
        <v>0</v>
      </c>
    </row>
    <row r="8149" spans="1:6">
      <c r="A8149" s="753"/>
      <c r="B8149" s="753"/>
      <c r="C8149" s="752" t="s">
        <v>39319</v>
      </c>
      <c r="D8149" s="753" t="s">
        <v>39314</v>
      </c>
      <c r="E8149" s="752" t="s">
        <v>39313</v>
      </c>
      <c r="F8149" s="752">
        <v>1</v>
      </c>
    </row>
    <row r="8150" spans="1:6">
      <c r="A8150" s="753"/>
      <c r="B8150" s="753"/>
      <c r="C8150" s="752" t="s">
        <v>39318</v>
      </c>
      <c r="D8150" s="753" t="s">
        <v>39314</v>
      </c>
      <c r="E8150" s="752" t="s">
        <v>39313</v>
      </c>
      <c r="F8150" s="752">
        <v>1</v>
      </c>
    </row>
    <row r="8151" spans="1:6">
      <c r="A8151" s="753"/>
      <c r="B8151" s="753"/>
      <c r="C8151" s="752" t="s">
        <v>39317</v>
      </c>
      <c r="D8151" s="753" t="s">
        <v>39314</v>
      </c>
      <c r="E8151" s="752" t="s">
        <v>39313</v>
      </c>
      <c r="F8151" s="752">
        <v>1</v>
      </c>
    </row>
    <row r="8152" spans="1:6">
      <c r="A8152" s="753"/>
      <c r="B8152" s="753"/>
      <c r="C8152" s="752" t="s">
        <v>39316</v>
      </c>
      <c r="D8152" s="753" t="s">
        <v>39314</v>
      </c>
      <c r="E8152" s="752" t="s">
        <v>39313</v>
      </c>
      <c r="F8152" s="752">
        <v>1</v>
      </c>
    </row>
    <row r="8153" spans="1:6">
      <c r="A8153" s="753"/>
      <c r="B8153" s="753"/>
      <c r="C8153" s="752" t="s">
        <v>39315</v>
      </c>
      <c r="D8153" s="753" t="s">
        <v>39314</v>
      </c>
      <c r="E8153" s="752" t="s">
        <v>39313</v>
      </c>
      <c r="F8153" s="752">
        <v>860</v>
      </c>
    </row>
    <row r="8154" spans="1:6">
      <c r="A8154" s="753" t="s">
        <v>6447</v>
      </c>
      <c r="B8154" s="753" t="s">
        <v>39312</v>
      </c>
      <c r="C8154" s="752" t="s">
        <v>39311</v>
      </c>
      <c r="D8154" s="753" t="s">
        <v>39309</v>
      </c>
      <c r="E8154" s="752" t="s">
        <v>293</v>
      </c>
      <c r="F8154" s="751">
        <v>1445</v>
      </c>
    </row>
    <row r="8155" spans="1:6">
      <c r="A8155" s="753"/>
      <c r="B8155" s="753"/>
      <c r="C8155" s="752" t="s">
        <v>39310</v>
      </c>
      <c r="D8155" s="753" t="s">
        <v>39309</v>
      </c>
      <c r="E8155" s="752" t="s">
        <v>293</v>
      </c>
      <c r="F8155" s="751">
        <v>1745</v>
      </c>
    </row>
    <row r="8156" spans="1:6">
      <c r="A8156" s="753"/>
      <c r="B8156" s="753"/>
      <c r="C8156" s="752" t="s">
        <v>39308</v>
      </c>
      <c r="D8156" s="753" t="s">
        <v>39303</v>
      </c>
      <c r="E8156" s="752" t="s">
        <v>39307</v>
      </c>
      <c r="F8156" s="751">
        <v>4875</v>
      </c>
    </row>
    <row r="8157" spans="1:6">
      <c r="A8157" s="753"/>
      <c r="B8157" s="753"/>
      <c r="C8157" s="752" t="s">
        <v>39306</v>
      </c>
      <c r="D8157" s="753" t="s">
        <v>39303</v>
      </c>
      <c r="E8157" s="752" t="s">
        <v>39305</v>
      </c>
      <c r="F8157" s="751">
        <v>4675</v>
      </c>
    </row>
    <row r="8158" spans="1:6">
      <c r="A8158" s="753"/>
      <c r="B8158" s="753"/>
      <c r="C8158" s="752" t="s">
        <v>39304</v>
      </c>
      <c r="D8158" s="753" t="s">
        <v>39303</v>
      </c>
      <c r="E8158" s="752" t="s">
        <v>39302</v>
      </c>
      <c r="F8158" s="751">
        <v>4775</v>
      </c>
    </row>
    <row r="8159" spans="1:6">
      <c r="A8159" s="753"/>
      <c r="B8159" s="753" t="s">
        <v>39301</v>
      </c>
      <c r="C8159" s="752" t="s">
        <v>39300</v>
      </c>
      <c r="D8159" s="753" t="s">
        <v>39299</v>
      </c>
      <c r="E8159" s="752" t="s">
        <v>293</v>
      </c>
      <c r="F8159" s="751">
        <v>1845</v>
      </c>
    </row>
    <row r="8160" spans="1:6">
      <c r="A8160" s="753"/>
      <c r="B8160" s="753"/>
      <c r="C8160" s="752" t="s">
        <v>39298</v>
      </c>
      <c r="D8160" s="753" t="s">
        <v>39297</v>
      </c>
      <c r="E8160" s="752" t="s">
        <v>293</v>
      </c>
      <c r="F8160" s="751">
        <v>2125</v>
      </c>
    </row>
    <row r="8161" spans="1:6">
      <c r="A8161" s="753"/>
      <c r="B8161" s="753" t="s">
        <v>39296</v>
      </c>
      <c r="C8161" s="752" t="s">
        <v>39295</v>
      </c>
      <c r="D8161" s="753" t="s">
        <v>39294</v>
      </c>
      <c r="E8161" s="752" t="s">
        <v>293</v>
      </c>
      <c r="F8161" s="751">
        <v>2095</v>
      </c>
    </row>
    <row r="8162" spans="1:6">
      <c r="A8162" s="753"/>
      <c r="B8162" s="753" t="s">
        <v>39293</v>
      </c>
      <c r="C8162" s="752" t="s">
        <v>39292</v>
      </c>
      <c r="D8162" s="753" t="s">
        <v>39290</v>
      </c>
      <c r="E8162" s="752" t="s">
        <v>293</v>
      </c>
      <c r="F8162" s="751">
        <v>2175</v>
      </c>
    </row>
    <row r="8163" spans="1:6">
      <c r="A8163" s="753"/>
      <c r="B8163" s="753"/>
      <c r="C8163" s="752" t="s">
        <v>39291</v>
      </c>
      <c r="D8163" s="753" t="s">
        <v>39290</v>
      </c>
      <c r="E8163" s="752" t="s">
        <v>38670</v>
      </c>
      <c r="F8163" s="751">
        <v>2175</v>
      </c>
    </row>
    <row r="8164" spans="1:6">
      <c r="A8164" s="753"/>
      <c r="B8164" s="753"/>
      <c r="C8164" s="752" t="s">
        <v>39289</v>
      </c>
      <c r="D8164" s="753" t="s">
        <v>39288</v>
      </c>
      <c r="E8164" s="752" t="s">
        <v>293</v>
      </c>
      <c r="F8164" s="751">
        <v>3175</v>
      </c>
    </row>
    <row r="8165" spans="1:6">
      <c r="A8165" s="753"/>
      <c r="B8165" s="753" t="s">
        <v>39287</v>
      </c>
      <c r="C8165" s="752" t="s">
        <v>39286</v>
      </c>
      <c r="D8165" s="753" t="s">
        <v>39285</v>
      </c>
      <c r="E8165" s="752" t="s">
        <v>293</v>
      </c>
      <c r="F8165" s="751">
        <v>2275</v>
      </c>
    </row>
    <row r="8166" spans="1:6">
      <c r="A8166" s="753"/>
      <c r="B8166" s="753"/>
      <c r="C8166" s="752" t="s">
        <v>39284</v>
      </c>
      <c r="D8166" s="753" t="s">
        <v>39283</v>
      </c>
      <c r="E8166" s="752" t="s">
        <v>293</v>
      </c>
      <c r="F8166" s="751">
        <v>2325</v>
      </c>
    </row>
    <row r="8167" spans="1:6">
      <c r="A8167" s="753"/>
      <c r="B8167" s="753"/>
      <c r="C8167" s="752" t="s">
        <v>39282</v>
      </c>
      <c r="D8167" s="753" t="s">
        <v>39281</v>
      </c>
      <c r="E8167" s="752" t="s">
        <v>293</v>
      </c>
      <c r="F8167" s="751">
        <v>2225</v>
      </c>
    </row>
    <row r="8168" spans="1:6">
      <c r="A8168" s="753"/>
      <c r="B8168" s="753"/>
      <c r="C8168" s="752" t="s">
        <v>39280</v>
      </c>
      <c r="D8168" s="753" t="s">
        <v>39279</v>
      </c>
      <c r="E8168" s="752" t="s">
        <v>293</v>
      </c>
      <c r="F8168" s="751">
        <v>2125</v>
      </c>
    </row>
    <row r="8169" spans="1:6">
      <c r="A8169" s="753" t="s">
        <v>5150</v>
      </c>
      <c r="B8169" s="753" t="s">
        <v>39278</v>
      </c>
      <c r="C8169" s="752" t="s">
        <v>39277</v>
      </c>
      <c r="D8169" s="753" t="s">
        <v>39274</v>
      </c>
      <c r="E8169" s="752" t="s">
        <v>39276</v>
      </c>
      <c r="F8169" s="751">
        <v>3715</v>
      </c>
    </row>
    <row r="8170" spans="1:6">
      <c r="A8170" s="753"/>
      <c r="B8170" s="753"/>
      <c r="C8170" s="752" t="s">
        <v>39275</v>
      </c>
      <c r="D8170" s="753" t="s">
        <v>39274</v>
      </c>
      <c r="E8170" s="752" t="s">
        <v>39273</v>
      </c>
      <c r="F8170" s="751">
        <v>3715</v>
      </c>
    </row>
    <row r="8171" spans="1:6">
      <c r="A8171" s="753"/>
      <c r="B8171" s="753"/>
      <c r="C8171" s="752" t="s">
        <v>39272</v>
      </c>
      <c r="D8171" s="753" t="s">
        <v>39263</v>
      </c>
      <c r="E8171" s="752" t="s">
        <v>293</v>
      </c>
      <c r="F8171" s="751">
        <v>4265</v>
      </c>
    </row>
    <row r="8172" spans="1:6">
      <c r="A8172" s="753"/>
      <c r="B8172" s="753"/>
      <c r="C8172" s="752" t="s">
        <v>39271</v>
      </c>
      <c r="D8172" s="753" t="s">
        <v>39263</v>
      </c>
      <c r="E8172" s="752" t="s">
        <v>38919</v>
      </c>
      <c r="F8172" s="751">
        <v>4725</v>
      </c>
    </row>
    <row r="8173" spans="1:6">
      <c r="A8173" s="753"/>
      <c r="B8173" s="753"/>
      <c r="C8173" s="752" t="s">
        <v>39270</v>
      </c>
      <c r="D8173" s="753" t="s">
        <v>39260</v>
      </c>
      <c r="E8173" s="752" t="s">
        <v>293</v>
      </c>
      <c r="F8173" s="751">
        <v>3625</v>
      </c>
    </row>
    <row r="8174" spans="1:6">
      <c r="A8174" s="753"/>
      <c r="B8174" s="753"/>
      <c r="C8174" s="752" t="s">
        <v>39269</v>
      </c>
      <c r="D8174" s="753" t="s">
        <v>39266</v>
      </c>
      <c r="E8174" s="752" t="s">
        <v>293</v>
      </c>
      <c r="F8174" s="751">
        <v>4365</v>
      </c>
    </row>
    <row r="8175" spans="1:6">
      <c r="A8175" s="753"/>
      <c r="B8175" s="753"/>
      <c r="C8175" s="752" t="s">
        <v>39268</v>
      </c>
      <c r="D8175" s="753" t="s">
        <v>39266</v>
      </c>
      <c r="E8175" s="752" t="s">
        <v>38670</v>
      </c>
      <c r="F8175" s="751">
        <v>5125</v>
      </c>
    </row>
    <row r="8176" spans="1:6">
      <c r="A8176" s="753"/>
      <c r="B8176" s="753"/>
      <c r="C8176" s="752" t="s">
        <v>39267</v>
      </c>
      <c r="D8176" s="753" t="s">
        <v>39266</v>
      </c>
      <c r="E8176" s="752" t="s">
        <v>39011</v>
      </c>
      <c r="F8176" s="751">
        <v>5125</v>
      </c>
    </row>
    <row r="8177" spans="1:6">
      <c r="A8177" s="753"/>
      <c r="B8177" s="753"/>
      <c r="C8177" s="752" t="s">
        <v>39265</v>
      </c>
      <c r="D8177" s="753" t="s">
        <v>39263</v>
      </c>
      <c r="E8177" s="752" t="s">
        <v>293</v>
      </c>
      <c r="F8177" s="751">
        <v>4265</v>
      </c>
    </row>
    <row r="8178" spans="1:6">
      <c r="A8178" s="753"/>
      <c r="B8178" s="753"/>
      <c r="C8178" s="752" t="s">
        <v>39264</v>
      </c>
      <c r="D8178" s="753" t="s">
        <v>39263</v>
      </c>
      <c r="E8178" s="752" t="s">
        <v>39257</v>
      </c>
      <c r="F8178" s="751">
        <v>4265</v>
      </c>
    </row>
    <row r="8179" spans="1:6">
      <c r="A8179" s="753"/>
      <c r="B8179" s="753"/>
      <c r="C8179" s="752" t="s">
        <v>39262</v>
      </c>
      <c r="D8179" s="753" t="s">
        <v>39260</v>
      </c>
      <c r="E8179" s="752" t="s">
        <v>293</v>
      </c>
      <c r="F8179" s="751">
        <v>3625</v>
      </c>
    </row>
    <row r="8180" spans="1:6">
      <c r="A8180" s="753"/>
      <c r="B8180" s="753"/>
      <c r="C8180" s="752" t="s">
        <v>39261</v>
      </c>
      <c r="D8180" s="753" t="s">
        <v>39260</v>
      </c>
      <c r="E8180" s="752" t="s">
        <v>38670</v>
      </c>
      <c r="F8180" s="751">
        <v>4385</v>
      </c>
    </row>
    <row r="8181" spans="1:6">
      <c r="A8181" s="753"/>
      <c r="B8181" s="753"/>
      <c r="C8181" s="752" t="s">
        <v>39259</v>
      </c>
      <c r="D8181" s="753" t="s">
        <v>39258</v>
      </c>
      <c r="E8181" s="752" t="s">
        <v>39257</v>
      </c>
      <c r="F8181" s="751">
        <v>4595</v>
      </c>
    </row>
    <row r="8182" spans="1:6">
      <c r="A8182" s="753"/>
      <c r="B8182" s="753"/>
      <c r="C8182" s="752" t="s">
        <v>39256</v>
      </c>
      <c r="D8182" s="753" t="s">
        <v>39255</v>
      </c>
      <c r="E8182" s="752" t="s">
        <v>293</v>
      </c>
      <c r="F8182" s="751">
        <v>5195</v>
      </c>
    </row>
    <row r="8183" spans="1:6">
      <c r="A8183" s="753"/>
      <c r="B8183" s="753"/>
      <c r="C8183" s="752" t="s">
        <v>39254</v>
      </c>
      <c r="D8183" s="753" t="s">
        <v>39237</v>
      </c>
      <c r="E8183" s="752" t="s">
        <v>38919</v>
      </c>
      <c r="F8183" s="751">
        <v>3335</v>
      </c>
    </row>
    <row r="8184" spans="1:6">
      <c r="A8184" s="753"/>
      <c r="B8184" s="753"/>
      <c r="C8184" s="752" t="s">
        <v>39253</v>
      </c>
      <c r="D8184" s="753" t="s">
        <v>39237</v>
      </c>
      <c r="E8184" s="752" t="s">
        <v>293</v>
      </c>
      <c r="F8184" s="751">
        <v>2575</v>
      </c>
    </row>
    <row r="8185" spans="1:6">
      <c r="A8185" s="753"/>
      <c r="B8185" s="753"/>
      <c r="C8185" s="752" t="s">
        <v>39252</v>
      </c>
      <c r="D8185" s="753" t="s">
        <v>39237</v>
      </c>
      <c r="E8185" s="752" t="s">
        <v>293</v>
      </c>
      <c r="F8185" s="751">
        <v>2575</v>
      </c>
    </row>
    <row r="8186" spans="1:6">
      <c r="A8186" s="753"/>
      <c r="B8186" s="753"/>
      <c r="C8186" s="752" t="s">
        <v>39251</v>
      </c>
      <c r="D8186" s="753" t="s">
        <v>39250</v>
      </c>
      <c r="E8186" s="752" t="s">
        <v>38224</v>
      </c>
      <c r="F8186" s="751">
        <v>2425</v>
      </c>
    </row>
    <row r="8187" spans="1:6">
      <c r="A8187" s="753"/>
      <c r="B8187" s="753"/>
      <c r="C8187" s="752" t="s">
        <v>39249</v>
      </c>
      <c r="D8187" s="753" t="s">
        <v>39237</v>
      </c>
      <c r="E8187" s="752" t="s">
        <v>38670</v>
      </c>
      <c r="F8187" s="751">
        <v>3335</v>
      </c>
    </row>
    <row r="8188" spans="1:6">
      <c r="A8188" s="753"/>
      <c r="B8188" s="753"/>
      <c r="C8188" s="752" t="s">
        <v>39248</v>
      </c>
      <c r="D8188" s="753" t="s">
        <v>39237</v>
      </c>
      <c r="E8188" s="752" t="s">
        <v>39166</v>
      </c>
      <c r="F8188" s="751">
        <v>2575</v>
      </c>
    </row>
    <row r="8189" spans="1:6">
      <c r="A8189" s="753"/>
      <c r="B8189" s="753"/>
      <c r="C8189" s="752" t="s">
        <v>39247</v>
      </c>
      <c r="D8189" s="753" t="s">
        <v>39237</v>
      </c>
      <c r="E8189" s="752" t="s">
        <v>39011</v>
      </c>
      <c r="F8189" s="751">
        <v>3335</v>
      </c>
    </row>
    <row r="8190" spans="1:6">
      <c r="A8190" s="753"/>
      <c r="B8190" s="753"/>
      <c r="C8190" s="752" t="s">
        <v>39246</v>
      </c>
      <c r="D8190" s="753" t="s">
        <v>39245</v>
      </c>
      <c r="E8190" s="752" t="s">
        <v>293</v>
      </c>
      <c r="F8190" s="751">
        <v>2575</v>
      </c>
    </row>
    <row r="8191" spans="1:6">
      <c r="A8191" s="753"/>
      <c r="B8191" s="753"/>
      <c r="C8191" s="752" t="s">
        <v>39244</v>
      </c>
      <c r="D8191" s="753" t="s">
        <v>39237</v>
      </c>
      <c r="E8191" s="752" t="s">
        <v>39137</v>
      </c>
      <c r="F8191" s="751">
        <v>2575</v>
      </c>
    </row>
    <row r="8192" spans="1:6">
      <c r="A8192" s="753"/>
      <c r="B8192" s="753"/>
      <c r="C8192" s="752" t="s">
        <v>39243</v>
      </c>
      <c r="D8192" s="753" t="s">
        <v>39242</v>
      </c>
      <c r="E8192" s="752" t="s">
        <v>39137</v>
      </c>
      <c r="F8192" s="751">
        <v>3335</v>
      </c>
    </row>
    <row r="8193" spans="1:6">
      <c r="A8193" s="753"/>
      <c r="B8193" s="753"/>
      <c r="C8193" s="752" t="s">
        <v>39241</v>
      </c>
      <c r="D8193" s="753" t="s">
        <v>39237</v>
      </c>
      <c r="E8193" s="752" t="s">
        <v>293</v>
      </c>
      <c r="F8193" s="751">
        <v>2825</v>
      </c>
    </row>
    <row r="8194" spans="1:6">
      <c r="A8194" s="753"/>
      <c r="B8194" s="753"/>
      <c r="C8194" s="752" t="s">
        <v>39240</v>
      </c>
      <c r="D8194" s="753" t="s">
        <v>39237</v>
      </c>
      <c r="E8194" s="752" t="s">
        <v>293</v>
      </c>
      <c r="F8194" s="751">
        <v>2825</v>
      </c>
    </row>
    <row r="8195" spans="1:6">
      <c r="A8195" s="753"/>
      <c r="B8195" s="753"/>
      <c r="C8195" s="752" t="s">
        <v>39239</v>
      </c>
      <c r="D8195" s="753" t="s">
        <v>39237</v>
      </c>
      <c r="E8195" s="752" t="s">
        <v>293</v>
      </c>
      <c r="F8195" s="751">
        <v>2825</v>
      </c>
    </row>
    <row r="8196" spans="1:6">
      <c r="A8196" s="753"/>
      <c r="B8196" s="753"/>
      <c r="C8196" s="752" t="s">
        <v>39238</v>
      </c>
      <c r="D8196" s="753" t="s">
        <v>39237</v>
      </c>
      <c r="E8196" s="752" t="s">
        <v>38919</v>
      </c>
      <c r="F8196" s="751">
        <v>3585</v>
      </c>
    </row>
    <row r="8197" spans="1:6">
      <c r="A8197" s="753"/>
      <c r="B8197" s="753"/>
      <c r="C8197" s="752" t="s">
        <v>39236</v>
      </c>
      <c r="D8197" s="753" t="s">
        <v>39228</v>
      </c>
      <c r="E8197" s="752" t="s">
        <v>39129</v>
      </c>
      <c r="F8197" s="751">
        <v>3125</v>
      </c>
    </row>
    <row r="8198" spans="1:6">
      <c r="A8198" s="753"/>
      <c r="B8198" s="753"/>
      <c r="C8198" s="752" t="s">
        <v>39235</v>
      </c>
      <c r="D8198" s="753" t="s">
        <v>39228</v>
      </c>
      <c r="E8198" s="752" t="s">
        <v>293</v>
      </c>
      <c r="F8198" s="751">
        <v>3125</v>
      </c>
    </row>
    <row r="8199" spans="1:6">
      <c r="A8199" s="753"/>
      <c r="B8199" s="753"/>
      <c r="C8199" s="752" t="s">
        <v>39234</v>
      </c>
      <c r="D8199" s="753" t="s">
        <v>39228</v>
      </c>
      <c r="E8199" s="752" t="s">
        <v>38670</v>
      </c>
      <c r="F8199" s="751">
        <v>3885</v>
      </c>
    </row>
    <row r="8200" spans="1:6">
      <c r="A8200" s="753"/>
      <c r="B8200" s="753"/>
      <c r="C8200" s="752" t="s">
        <v>39233</v>
      </c>
      <c r="D8200" s="753" t="s">
        <v>39228</v>
      </c>
      <c r="E8200" s="752" t="s">
        <v>39166</v>
      </c>
      <c r="F8200" s="751">
        <v>3125</v>
      </c>
    </row>
    <row r="8201" spans="1:6">
      <c r="A8201" s="753"/>
      <c r="B8201" s="753"/>
      <c r="C8201" s="752" t="s">
        <v>39232</v>
      </c>
      <c r="D8201" s="753" t="s">
        <v>39228</v>
      </c>
      <c r="E8201" s="752" t="s">
        <v>39137</v>
      </c>
      <c r="F8201" s="751">
        <v>3125</v>
      </c>
    </row>
    <row r="8202" spans="1:6">
      <c r="A8202" s="753"/>
      <c r="B8202" s="753"/>
      <c r="C8202" s="752" t="s">
        <v>39231</v>
      </c>
      <c r="D8202" s="753" t="s">
        <v>39228</v>
      </c>
      <c r="E8202" s="752" t="s">
        <v>293</v>
      </c>
      <c r="F8202" s="751">
        <v>3375</v>
      </c>
    </row>
    <row r="8203" spans="1:6">
      <c r="A8203" s="753"/>
      <c r="B8203" s="753"/>
      <c r="C8203" s="752" t="s">
        <v>39230</v>
      </c>
      <c r="D8203" s="753" t="s">
        <v>39228</v>
      </c>
      <c r="E8203" s="752" t="s">
        <v>293</v>
      </c>
      <c r="F8203" s="751">
        <v>3375</v>
      </c>
    </row>
    <row r="8204" spans="1:6">
      <c r="A8204" s="753"/>
      <c r="B8204" s="753"/>
      <c r="C8204" s="752" t="s">
        <v>39229</v>
      </c>
      <c r="D8204" s="753" t="s">
        <v>39228</v>
      </c>
      <c r="E8204" s="752" t="s">
        <v>293</v>
      </c>
      <c r="F8204" s="751">
        <v>3375</v>
      </c>
    </row>
    <row r="8205" spans="1:6">
      <c r="A8205" s="753"/>
      <c r="B8205" s="753"/>
      <c r="C8205" s="752" t="s">
        <v>39227</v>
      </c>
      <c r="D8205" s="753" t="s">
        <v>39226</v>
      </c>
      <c r="E8205" s="752" t="s">
        <v>39129</v>
      </c>
      <c r="F8205" s="751">
        <v>3125</v>
      </c>
    </row>
    <row r="8206" spans="1:6">
      <c r="A8206" s="753"/>
      <c r="B8206" s="753"/>
      <c r="C8206" s="752" t="s">
        <v>39225</v>
      </c>
      <c r="D8206" s="753" t="s">
        <v>39221</v>
      </c>
      <c r="E8206" s="752" t="s">
        <v>293</v>
      </c>
      <c r="F8206" s="751">
        <v>3125</v>
      </c>
    </row>
    <row r="8207" spans="1:6">
      <c r="A8207" s="753"/>
      <c r="B8207" s="753"/>
      <c r="C8207" s="752" t="s">
        <v>39224</v>
      </c>
      <c r="D8207" s="753" t="s">
        <v>39221</v>
      </c>
      <c r="E8207" s="752" t="s">
        <v>38670</v>
      </c>
      <c r="F8207" s="751">
        <v>3885</v>
      </c>
    </row>
    <row r="8208" spans="1:6">
      <c r="A8208" s="753"/>
      <c r="B8208" s="753"/>
      <c r="C8208" s="752" t="s">
        <v>39223</v>
      </c>
      <c r="D8208" s="753" t="s">
        <v>39218</v>
      </c>
      <c r="E8208" s="752" t="s">
        <v>39166</v>
      </c>
      <c r="F8208" s="751">
        <v>3125</v>
      </c>
    </row>
    <row r="8209" spans="1:6">
      <c r="A8209" s="753"/>
      <c r="B8209" s="753"/>
      <c r="C8209" s="752" t="s">
        <v>39222</v>
      </c>
      <c r="D8209" s="753" t="s">
        <v>39221</v>
      </c>
      <c r="E8209" s="752" t="s">
        <v>39137</v>
      </c>
      <c r="F8209" s="751">
        <v>3125</v>
      </c>
    </row>
    <row r="8210" spans="1:6">
      <c r="A8210" s="753"/>
      <c r="B8210" s="753"/>
      <c r="C8210" s="752" t="s">
        <v>39220</v>
      </c>
      <c r="D8210" s="753" t="s">
        <v>39218</v>
      </c>
      <c r="E8210" s="752" t="s">
        <v>293</v>
      </c>
      <c r="F8210" s="751">
        <v>3375</v>
      </c>
    </row>
    <row r="8211" spans="1:6">
      <c r="A8211" s="753"/>
      <c r="B8211" s="753"/>
      <c r="C8211" s="752" t="s">
        <v>39219</v>
      </c>
      <c r="D8211" s="753" t="s">
        <v>39218</v>
      </c>
      <c r="E8211" s="752" t="s">
        <v>293</v>
      </c>
      <c r="F8211" s="751">
        <v>3375</v>
      </c>
    </row>
    <row r="8212" spans="1:6">
      <c r="A8212" s="753"/>
      <c r="B8212" s="753"/>
      <c r="C8212" s="752" t="s">
        <v>39217</v>
      </c>
      <c r="D8212" s="753" t="s">
        <v>39216</v>
      </c>
      <c r="E8212" s="752" t="s">
        <v>293</v>
      </c>
      <c r="F8212" s="751">
        <v>2825</v>
      </c>
    </row>
    <row r="8213" spans="1:6">
      <c r="A8213" s="753"/>
      <c r="B8213" s="753"/>
      <c r="C8213" s="752" t="s">
        <v>39215</v>
      </c>
      <c r="D8213" s="753" t="s">
        <v>39151</v>
      </c>
      <c r="E8213" s="752" t="s">
        <v>39129</v>
      </c>
      <c r="F8213" s="751">
        <v>2625</v>
      </c>
    </row>
    <row r="8214" spans="1:6">
      <c r="A8214" s="753"/>
      <c r="B8214" s="753"/>
      <c r="C8214" s="752" t="s">
        <v>39214</v>
      </c>
      <c r="D8214" s="753" t="s">
        <v>39151</v>
      </c>
      <c r="E8214" s="752" t="s">
        <v>38577</v>
      </c>
      <c r="F8214" s="751">
        <v>3385</v>
      </c>
    </row>
    <row r="8215" spans="1:6">
      <c r="A8215" s="753"/>
      <c r="B8215" s="753"/>
      <c r="C8215" s="752" t="s">
        <v>39213</v>
      </c>
      <c r="D8215" s="753" t="s">
        <v>39151</v>
      </c>
      <c r="E8215" s="752" t="s">
        <v>39195</v>
      </c>
      <c r="F8215" s="751">
        <v>2375</v>
      </c>
    </row>
    <row r="8216" spans="1:6">
      <c r="A8216" s="753"/>
      <c r="B8216" s="753"/>
      <c r="C8216" s="752" t="s">
        <v>39212</v>
      </c>
      <c r="D8216" s="753" t="s">
        <v>39151</v>
      </c>
      <c r="E8216" s="752" t="s">
        <v>293</v>
      </c>
      <c r="F8216" s="751">
        <v>2375</v>
      </c>
    </row>
    <row r="8217" spans="1:6">
      <c r="A8217" s="753"/>
      <c r="B8217" s="753"/>
      <c r="C8217" s="752" t="s">
        <v>39211</v>
      </c>
      <c r="D8217" s="753" t="s">
        <v>39151</v>
      </c>
      <c r="E8217" s="752" t="s">
        <v>38670</v>
      </c>
      <c r="F8217" s="751">
        <v>3135</v>
      </c>
    </row>
    <row r="8218" spans="1:6">
      <c r="A8218" s="753"/>
      <c r="B8218" s="753"/>
      <c r="C8218" s="752" t="s">
        <v>39210</v>
      </c>
      <c r="D8218" s="753" t="s">
        <v>39151</v>
      </c>
      <c r="E8218" s="752" t="s">
        <v>39166</v>
      </c>
      <c r="F8218" s="751">
        <v>2375</v>
      </c>
    </row>
    <row r="8219" spans="1:6">
      <c r="A8219" s="753"/>
      <c r="B8219" s="753"/>
      <c r="C8219" s="752" t="s">
        <v>39209</v>
      </c>
      <c r="D8219" s="753" t="s">
        <v>39151</v>
      </c>
      <c r="E8219" s="752" t="s">
        <v>39199</v>
      </c>
      <c r="F8219" s="751">
        <v>3135</v>
      </c>
    </row>
    <row r="8220" spans="1:6">
      <c r="A8220" s="753"/>
      <c r="B8220" s="753"/>
      <c r="C8220" s="752" t="s">
        <v>39208</v>
      </c>
      <c r="D8220" s="753" t="s">
        <v>39151</v>
      </c>
      <c r="E8220" s="752" t="s">
        <v>293</v>
      </c>
      <c r="F8220" s="751">
        <v>2375</v>
      </c>
    </row>
    <row r="8221" spans="1:6">
      <c r="A8221" s="753"/>
      <c r="B8221" s="753"/>
      <c r="C8221" s="752" t="s">
        <v>39207</v>
      </c>
      <c r="D8221" s="753" t="s">
        <v>39151</v>
      </c>
      <c r="E8221" s="752" t="s">
        <v>293</v>
      </c>
      <c r="F8221" s="751">
        <v>3135</v>
      </c>
    </row>
    <row r="8222" spans="1:6">
      <c r="A8222" s="753"/>
      <c r="B8222" s="753"/>
      <c r="C8222" s="752" t="s">
        <v>39206</v>
      </c>
      <c r="D8222" s="753" t="s">
        <v>39151</v>
      </c>
      <c r="E8222" s="752" t="s">
        <v>39137</v>
      </c>
      <c r="F8222" s="751">
        <v>2375</v>
      </c>
    </row>
    <row r="8223" spans="1:6">
      <c r="A8223" s="753"/>
      <c r="B8223" s="753"/>
      <c r="C8223" s="752" t="s">
        <v>39205</v>
      </c>
      <c r="D8223" s="753" t="s">
        <v>39204</v>
      </c>
      <c r="E8223" s="752" t="s">
        <v>39131</v>
      </c>
      <c r="F8223" s="751">
        <v>3295</v>
      </c>
    </row>
    <row r="8224" spans="1:6">
      <c r="A8224" s="753"/>
      <c r="B8224" s="753"/>
      <c r="C8224" s="752" t="s">
        <v>39203</v>
      </c>
      <c r="D8224" s="753" t="s">
        <v>39151</v>
      </c>
      <c r="E8224" s="752" t="s">
        <v>293</v>
      </c>
      <c r="F8224" s="751">
        <v>2625</v>
      </c>
    </row>
    <row r="8225" spans="1:6">
      <c r="A8225" s="753"/>
      <c r="B8225" s="753"/>
      <c r="C8225" s="752" t="s">
        <v>39202</v>
      </c>
      <c r="D8225" s="753" t="s">
        <v>39151</v>
      </c>
      <c r="E8225" s="752" t="s">
        <v>293</v>
      </c>
      <c r="F8225" s="751">
        <v>2625</v>
      </c>
    </row>
    <row r="8226" spans="1:6">
      <c r="A8226" s="753"/>
      <c r="B8226" s="753"/>
      <c r="C8226" s="752" t="s">
        <v>39201</v>
      </c>
      <c r="D8226" s="753" t="s">
        <v>39151</v>
      </c>
      <c r="E8226" s="752" t="s">
        <v>293</v>
      </c>
      <c r="F8226" s="751">
        <v>2625</v>
      </c>
    </row>
    <row r="8227" spans="1:6">
      <c r="A8227" s="753"/>
      <c r="B8227" s="753"/>
      <c r="C8227" s="752" t="s">
        <v>39200</v>
      </c>
      <c r="D8227" s="753" t="s">
        <v>39151</v>
      </c>
      <c r="E8227" s="752" t="s">
        <v>39199</v>
      </c>
      <c r="F8227" s="751">
        <v>3385</v>
      </c>
    </row>
    <row r="8228" spans="1:6">
      <c r="A8228" s="753"/>
      <c r="B8228" s="753"/>
      <c r="C8228" s="752" t="s">
        <v>39198</v>
      </c>
      <c r="D8228" s="753" t="s">
        <v>39179</v>
      </c>
      <c r="E8228" s="752" t="s">
        <v>39129</v>
      </c>
      <c r="F8228" s="751">
        <v>3175</v>
      </c>
    </row>
    <row r="8229" spans="1:6">
      <c r="A8229" s="753"/>
      <c r="B8229" s="753"/>
      <c r="C8229" s="752" t="s">
        <v>39197</v>
      </c>
      <c r="D8229" s="753" t="s">
        <v>39179</v>
      </c>
      <c r="E8229" s="752" t="s">
        <v>39174</v>
      </c>
      <c r="F8229" s="751">
        <v>3935</v>
      </c>
    </row>
    <row r="8230" spans="1:6">
      <c r="A8230" s="753"/>
      <c r="B8230" s="753"/>
      <c r="C8230" s="752" t="s">
        <v>39196</v>
      </c>
      <c r="D8230" s="753" t="s">
        <v>39179</v>
      </c>
      <c r="E8230" s="752" t="s">
        <v>39195</v>
      </c>
      <c r="F8230" s="751">
        <v>2925</v>
      </c>
    </row>
    <row r="8231" spans="1:6">
      <c r="A8231" s="753"/>
      <c r="B8231" s="753"/>
      <c r="C8231" s="752" t="s">
        <v>39194</v>
      </c>
      <c r="D8231" s="753" t="s">
        <v>39179</v>
      </c>
      <c r="E8231" s="752" t="s">
        <v>39193</v>
      </c>
      <c r="F8231" s="751">
        <v>2925</v>
      </c>
    </row>
    <row r="8232" spans="1:6">
      <c r="A8232" s="753"/>
      <c r="B8232" s="753"/>
      <c r="C8232" s="752" t="s">
        <v>39192</v>
      </c>
      <c r="D8232" s="753" t="s">
        <v>39179</v>
      </c>
      <c r="E8232" s="752" t="s">
        <v>293</v>
      </c>
      <c r="F8232" s="751">
        <v>2925</v>
      </c>
    </row>
    <row r="8233" spans="1:6">
      <c r="A8233" s="753"/>
      <c r="B8233" s="753"/>
      <c r="C8233" s="752" t="s">
        <v>39191</v>
      </c>
      <c r="D8233" s="753" t="s">
        <v>39179</v>
      </c>
      <c r="E8233" s="752" t="s">
        <v>39170</v>
      </c>
      <c r="F8233" s="751">
        <v>3685</v>
      </c>
    </row>
    <row r="8234" spans="1:6">
      <c r="A8234" s="753"/>
      <c r="B8234" s="753"/>
      <c r="C8234" s="752" t="s">
        <v>39190</v>
      </c>
      <c r="D8234" s="753" t="s">
        <v>39179</v>
      </c>
      <c r="E8234" s="752" t="s">
        <v>39170</v>
      </c>
      <c r="F8234" s="751">
        <v>3440</v>
      </c>
    </row>
    <row r="8235" spans="1:6">
      <c r="A8235" s="753"/>
      <c r="B8235" s="753"/>
      <c r="C8235" s="752" t="s">
        <v>39189</v>
      </c>
      <c r="D8235" s="753" t="s">
        <v>39179</v>
      </c>
      <c r="E8235" s="752" t="s">
        <v>39166</v>
      </c>
      <c r="F8235" s="751">
        <v>2925</v>
      </c>
    </row>
    <row r="8236" spans="1:6">
      <c r="A8236" s="753"/>
      <c r="B8236" s="753"/>
      <c r="C8236" s="752" t="s">
        <v>39188</v>
      </c>
      <c r="D8236" s="753" t="s">
        <v>39179</v>
      </c>
      <c r="E8236" s="752" t="s">
        <v>38919</v>
      </c>
      <c r="F8236" s="751">
        <v>3440</v>
      </c>
    </row>
    <row r="8237" spans="1:6">
      <c r="A8237" s="753"/>
      <c r="B8237" s="753"/>
      <c r="C8237" s="752" t="s">
        <v>39187</v>
      </c>
      <c r="D8237" s="753" t="s">
        <v>39179</v>
      </c>
      <c r="E8237" s="752" t="s">
        <v>39122</v>
      </c>
      <c r="F8237" s="751">
        <v>2925</v>
      </c>
    </row>
    <row r="8238" spans="1:6">
      <c r="A8238" s="753"/>
      <c r="B8238" s="753"/>
      <c r="C8238" s="752" t="s">
        <v>39186</v>
      </c>
      <c r="D8238" s="753" t="s">
        <v>39179</v>
      </c>
      <c r="E8238" s="752" t="s">
        <v>39137</v>
      </c>
      <c r="F8238" s="751">
        <v>2925</v>
      </c>
    </row>
    <row r="8239" spans="1:6">
      <c r="A8239" s="753"/>
      <c r="B8239" s="753"/>
      <c r="C8239" s="752" t="s">
        <v>39185</v>
      </c>
      <c r="D8239" s="753" t="s">
        <v>39179</v>
      </c>
      <c r="E8239" s="752" t="s">
        <v>39184</v>
      </c>
      <c r="F8239" s="751">
        <v>3685</v>
      </c>
    </row>
    <row r="8240" spans="1:6">
      <c r="A8240" s="753"/>
      <c r="B8240" s="753"/>
      <c r="C8240" s="752" t="s">
        <v>39183</v>
      </c>
      <c r="D8240" s="753" t="s">
        <v>39179</v>
      </c>
      <c r="E8240" s="752" t="s">
        <v>39119</v>
      </c>
      <c r="F8240" s="751">
        <v>2925</v>
      </c>
    </row>
    <row r="8241" spans="1:6">
      <c r="A8241" s="753"/>
      <c r="B8241" s="753"/>
      <c r="C8241" s="752" t="s">
        <v>39182</v>
      </c>
      <c r="D8241" s="753" t="s">
        <v>39179</v>
      </c>
      <c r="E8241" s="752" t="s">
        <v>293</v>
      </c>
      <c r="F8241" s="751">
        <v>3175</v>
      </c>
    </row>
    <row r="8242" spans="1:6">
      <c r="A8242" s="753"/>
      <c r="B8242" s="753"/>
      <c r="C8242" s="752" t="s">
        <v>39181</v>
      </c>
      <c r="D8242" s="753" t="s">
        <v>39179</v>
      </c>
      <c r="E8242" s="752" t="s">
        <v>293</v>
      </c>
      <c r="F8242" s="751">
        <v>3175</v>
      </c>
    </row>
    <row r="8243" spans="1:6">
      <c r="A8243" s="753"/>
      <c r="B8243" s="753"/>
      <c r="C8243" s="752" t="s">
        <v>39180</v>
      </c>
      <c r="D8243" s="753" t="s">
        <v>39179</v>
      </c>
      <c r="E8243" s="752" t="s">
        <v>293</v>
      </c>
      <c r="F8243" s="751">
        <v>3175</v>
      </c>
    </row>
    <row r="8244" spans="1:6">
      <c r="A8244" s="753"/>
      <c r="B8244" s="753"/>
      <c r="C8244" s="752" t="s">
        <v>39178</v>
      </c>
      <c r="D8244" s="753" t="s">
        <v>39157</v>
      </c>
      <c r="E8244" s="752" t="s">
        <v>39129</v>
      </c>
      <c r="F8244" s="751">
        <v>3175</v>
      </c>
    </row>
    <row r="8245" spans="1:6">
      <c r="A8245" s="753"/>
      <c r="B8245" s="753"/>
      <c r="C8245" s="752" t="s">
        <v>39177</v>
      </c>
      <c r="D8245" s="753" t="s">
        <v>39157</v>
      </c>
      <c r="E8245" s="752" t="s">
        <v>39176</v>
      </c>
      <c r="F8245" s="751">
        <v>3685</v>
      </c>
    </row>
    <row r="8246" spans="1:6">
      <c r="A8246" s="753"/>
      <c r="B8246" s="753"/>
      <c r="C8246" s="752" t="s">
        <v>39175</v>
      </c>
      <c r="D8246" s="753" t="s">
        <v>39157</v>
      </c>
      <c r="E8246" s="752" t="s">
        <v>39174</v>
      </c>
      <c r="F8246" s="751">
        <v>3935</v>
      </c>
    </row>
    <row r="8247" spans="1:6">
      <c r="A8247" s="753"/>
      <c r="B8247" s="753"/>
      <c r="C8247" s="752" t="s">
        <v>39173</v>
      </c>
      <c r="D8247" s="753" t="s">
        <v>39161</v>
      </c>
      <c r="E8247" s="752" t="s">
        <v>293</v>
      </c>
      <c r="F8247" s="751">
        <v>2925</v>
      </c>
    </row>
    <row r="8248" spans="1:6">
      <c r="A8248" s="753"/>
      <c r="B8248" s="753"/>
      <c r="C8248" s="752" t="s">
        <v>39172</v>
      </c>
      <c r="D8248" s="753" t="s">
        <v>39157</v>
      </c>
      <c r="E8248" s="752" t="s">
        <v>39170</v>
      </c>
      <c r="F8248" s="751">
        <v>3685</v>
      </c>
    </row>
    <row r="8249" spans="1:6">
      <c r="A8249" s="753"/>
      <c r="B8249" s="753"/>
      <c r="C8249" s="752" t="s">
        <v>39171</v>
      </c>
      <c r="D8249" s="753" t="s">
        <v>39157</v>
      </c>
      <c r="E8249" s="752" t="s">
        <v>39170</v>
      </c>
      <c r="F8249" s="751">
        <v>3685</v>
      </c>
    </row>
    <row r="8250" spans="1:6">
      <c r="A8250" s="753"/>
      <c r="B8250" s="753"/>
      <c r="C8250" s="752" t="s">
        <v>39169</v>
      </c>
      <c r="D8250" s="753" t="s">
        <v>39157</v>
      </c>
      <c r="E8250" s="752" t="s">
        <v>39168</v>
      </c>
      <c r="F8250" s="751">
        <v>3685</v>
      </c>
    </row>
    <row r="8251" spans="1:6">
      <c r="A8251" s="753"/>
      <c r="B8251" s="753"/>
      <c r="C8251" s="752" t="s">
        <v>39167</v>
      </c>
      <c r="D8251" s="753" t="s">
        <v>39157</v>
      </c>
      <c r="E8251" s="752" t="s">
        <v>39166</v>
      </c>
      <c r="F8251" s="751">
        <v>2925</v>
      </c>
    </row>
    <row r="8252" spans="1:6">
      <c r="A8252" s="753"/>
      <c r="B8252" s="753"/>
      <c r="C8252" s="752" t="s">
        <v>39165</v>
      </c>
      <c r="D8252" s="753" t="s">
        <v>39161</v>
      </c>
      <c r="E8252" s="752" t="s">
        <v>39011</v>
      </c>
      <c r="F8252" s="751">
        <v>3685</v>
      </c>
    </row>
    <row r="8253" spans="1:6">
      <c r="A8253" s="753"/>
      <c r="B8253" s="753"/>
      <c r="C8253" s="752" t="s">
        <v>39164</v>
      </c>
      <c r="D8253" s="753" t="s">
        <v>39161</v>
      </c>
      <c r="E8253" s="752" t="s">
        <v>39163</v>
      </c>
      <c r="F8253" s="751">
        <v>2925</v>
      </c>
    </row>
    <row r="8254" spans="1:6">
      <c r="A8254" s="753"/>
      <c r="B8254" s="753"/>
      <c r="C8254" s="752" t="s">
        <v>39162</v>
      </c>
      <c r="D8254" s="753" t="s">
        <v>39161</v>
      </c>
      <c r="E8254" s="752" t="s">
        <v>39160</v>
      </c>
      <c r="F8254" s="751">
        <v>3685</v>
      </c>
    </row>
    <row r="8255" spans="1:6">
      <c r="A8255" s="753"/>
      <c r="B8255" s="753"/>
      <c r="C8255" s="752" t="s">
        <v>39159</v>
      </c>
      <c r="D8255" s="753" t="s">
        <v>39157</v>
      </c>
      <c r="E8255" s="752" t="s">
        <v>293</v>
      </c>
      <c r="F8255" s="751">
        <v>3175</v>
      </c>
    </row>
    <row r="8256" spans="1:6">
      <c r="A8256" s="753"/>
      <c r="B8256" s="753"/>
      <c r="C8256" s="752" t="s">
        <v>39158</v>
      </c>
      <c r="D8256" s="753" t="s">
        <v>39157</v>
      </c>
      <c r="E8256" s="752" t="s">
        <v>293</v>
      </c>
      <c r="F8256" s="751">
        <v>3175</v>
      </c>
    </row>
    <row r="8257" spans="1:6">
      <c r="A8257" s="753"/>
      <c r="B8257" s="753"/>
      <c r="C8257" s="752" t="s">
        <v>39156</v>
      </c>
      <c r="D8257" s="753" t="s">
        <v>39154</v>
      </c>
      <c r="E8257" s="752" t="s">
        <v>293</v>
      </c>
      <c r="F8257" s="751">
        <v>2625</v>
      </c>
    </row>
    <row r="8258" spans="1:6">
      <c r="A8258" s="753"/>
      <c r="B8258" s="753"/>
      <c r="C8258" s="752" t="s">
        <v>39155</v>
      </c>
      <c r="D8258" s="753" t="s">
        <v>39154</v>
      </c>
      <c r="E8258" s="752" t="s">
        <v>293</v>
      </c>
      <c r="F8258" s="751">
        <v>2625</v>
      </c>
    </row>
    <row r="8259" spans="1:6">
      <c r="A8259" s="753"/>
      <c r="B8259" s="753"/>
      <c r="C8259" s="752" t="s">
        <v>39153</v>
      </c>
      <c r="D8259" s="753" t="s">
        <v>39132</v>
      </c>
      <c r="E8259" s="752" t="s">
        <v>39129</v>
      </c>
      <c r="F8259" s="751">
        <v>2725</v>
      </c>
    </row>
    <row r="8260" spans="1:6">
      <c r="A8260" s="753"/>
      <c r="B8260" s="753"/>
      <c r="C8260" s="752" t="s">
        <v>39152</v>
      </c>
      <c r="D8260" s="753" t="s">
        <v>39151</v>
      </c>
      <c r="E8260" s="752" t="s">
        <v>39150</v>
      </c>
      <c r="F8260" s="751">
        <v>3235</v>
      </c>
    </row>
    <row r="8261" spans="1:6">
      <c r="A8261" s="753"/>
      <c r="B8261" s="753"/>
      <c r="C8261" s="752" t="s">
        <v>39149</v>
      </c>
      <c r="D8261" s="753" t="s">
        <v>39132</v>
      </c>
      <c r="E8261" s="752" t="s">
        <v>293</v>
      </c>
      <c r="F8261" s="751">
        <v>2475</v>
      </c>
    </row>
    <row r="8262" spans="1:6">
      <c r="A8262" s="753"/>
      <c r="B8262" s="753"/>
      <c r="C8262" s="752" t="s">
        <v>39148</v>
      </c>
      <c r="D8262" s="753" t="s">
        <v>39132</v>
      </c>
      <c r="E8262" s="752" t="s">
        <v>39147</v>
      </c>
      <c r="F8262" s="751">
        <v>2075</v>
      </c>
    </row>
    <row r="8263" spans="1:6">
      <c r="A8263" s="753"/>
      <c r="B8263" s="753"/>
      <c r="C8263" s="752" t="s">
        <v>39146</v>
      </c>
      <c r="D8263" s="753" t="s">
        <v>39132</v>
      </c>
      <c r="E8263" s="752" t="s">
        <v>39145</v>
      </c>
      <c r="F8263" s="751">
        <v>2075</v>
      </c>
    </row>
    <row r="8264" spans="1:6">
      <c r="A8264" s="753"/>
      <c r="B8264" s="753"/>
      <c r="C8264" s="752" t="s">
        <v>39144</v>
      </c>
      <c r="D8264" s="753" t="s">
        <v>39132</v>
      </c>
      <c r="E8264" s="752" t="s">
        <v>37794</v>
      </c>
      <c r="F8264" s="751">
        <v>3235</v>
      </c>
    </row>
    <row r="8265" spans="1:6">
      <c r="A8265" s="753"/>
      <c r="B8265" s="753"/>
      <c r="C8265" s="752" t="s">
        <v>39143</v>
      </c>
      <c r="D8265" s="753" t="s">
        <v>39132</v>
      </c>
      <c r="E8265" s="752" t="s">
        <v>39142</v>
      </c>
      <c r="F8265" s="751">
        <v>2985</v>
      </c>
    </row>
    <row r="8266" spans="1:6">
      <c r="A8266" s="753"/>
      <c r="B8266" s="753"/>
      <c r="C8266" s="752" t="s">
        <v>39141</v>
      </c>
      <c r="D8266" s="753" t="s">
        <v>39132</v>
      </c>
      <c r="E8266" s="752" t="s">
        <v>39011</v>
      </c>
      <c r="F8266" s="751">
        <v>3235</v>
      </c>
    </row>
    <row r="8267" spans="1:6">
      <c r="A8267" s="753"/>
      <c r="B8267" s="753"/>
      <c r="C8267" s="752" t="s">
        <v>39140</v>
      </c>
      <c r="D8267" s="753" t="s">
        <v>39132</v>
      </c>
      <c r="E8267" s="752" t="s">
        <v>39139</v>
      </c>
      <c r="F8267" s="751">
        <v>3235</v>
      </c>
    </row>
    <row r="8268" spans="1:6">
      <c r="A8268" s="753"/>
      <c r="B8268" s="753"/>
      <c r="C8268" s="752" t="s">
        <v>39138</v>
      </c>
      <c r="D8268" s="753" t="s">
        <v>39132</v>
      </c>
      <c r="E8268" s="752" t="s">
        <v>39137</v>
      </c>
      <c r="F8268" s="751">
        <v>2475</v>
      </c>
    </row>
    <row r="8269" spans="1:6">
      <c r="A8269" s="753"/>
      <c r="B8269" s="753"/>
      <c r="C8269" s="752" t="s">
        <v>39136</v>
      </c>
      <c r="D8269" s="753" t="s">
        <v>39132</v>
      </c>
      <c r="E8269" s="752" t="s">
        <v>39135</v>
      </c>
      <c r="F8269" s="751">
        <v>3235</v>
      </c>
    </row>
    <row r="8270" spans="1:6">
      <c r="A8270" s="753"/>
      <c r="B8270" s="753"/>
      <c r="C8270" s="752" t="s">
        <v>39134</v>
      </c>
      <c r="D8270" s="753" t="s">
        <v>39132</v>
      </c>
      <c r="E8270" s="752" t="s">
        <v>293</v>
      </c>
      <c r="F8270" s="751">
        <v>2475</v>
      </c>
    </row>
    <row r="8271" spans="1:6">
      <c r="A8271" s="753"/>
      <c r="B8271" s="753"/>
      <c r="C8271" s="752" t="s">
        <v>39133</v>
      </c>
      <c r="D8271" s="753" t="s">
        <v>39132</v>
      </c>
      <c r="E8271" s="752" t="s">
        <v>39131</v>
      </c>
      <c r="F8271" s="751">
        <v>3395</v>
      </c>
    </row>
    <row r="8272" spans="1:6">
      <c r="A8272" s="753"/>
      <c r="B8272" s="753"/>
      <c r="C8272" s="752" t="s">
        <v>39130</v>
      </c>
      <c r="D8272" s="753" t="s">
        <v>39120</v>
      </c>
      <c r="E8272" s="752" t="s">
        <v>39129</v>
      </c>
      <c r="F8272" s="751">
        <v>3275</v>
      </c>
    </row>
    <row r="8273" spans="1:6">
      <c r="A8273" s="753"/>
      <c r="B8273" s="753"/>
      <c r="C8273" s="752" t="s">
        <v>39128</v>
      </c>
      <c r="D8273" s="753" t="s">
        <v>39120</v>
      </c>
      <c r="E8273" s="752" t="s">
        <v>293</v>
      </c>
      <c r="F8273" s="751">
        <v>3025</v>
      </c>
    </row>
    <row r="8274" spans="1:6">
      <c r="A8274" s="753"/>
      <c r="B8274" s="753"/>
      <c r="C8274" s="752" t="s">
        <v>39127</v>
      </c>
      <c r="D8274" s="753" t="s">
        <v>39120</v>
      </c>
      <c r="E8274" s="752" t="s">
        <v>37794</v>
      </c>
      <c r="F8274" s="751">
        <v>3785</v>
      </c>
    </row>
    <row r="8275" spans="1:6">
      <c r="A8275" s="753"/>
      <c r="B8275" s="753"/>
      <c r="C8275" s="752" t="s">
        <v>39126</v>
      </c>
      <c r="D8275" s="753" t="s">
        <v>39120</v>
      </c>
      <c r="E8275" s="752" t="s">
        <v>39125</v>
      </c>
      <c r="F8275" s="751">
        <v>3785</v>
      </c>
    </row>
    <row r="8276" spans="1:6">
      <c r="A8276" s="753"/>
      <c r="B8276" s="753"/>
      <c r="C8276" s="752" t="s">
        <v>39124</v>
      </c>
      <c r="D8276" s="753" t="s">
        <v>39120</v>
      </c>
      <c r="E8276" s="752" t="s">
        <v>39011</v>
      </c>
      <c r="F8276" s="751">
        <v>3785</v>
      </c>
    </row>
    <row r="8277" spans="1:6">
      <c r="A8277" s="753"/>
      <c r="B8277" s="753"/>
      <c r="C8277" s="752" t="s">
        <v>39123</v>
      </c>
      <c r="D8277" s="753" t="s">
        <v>39120</v>
      </c>
      <c r="E8277" s="752" t="s">
        <v>39122</v>
      </c>
      <c r="F8277" s="751">
        <v>3025</v>
      </c>
    </row>
    <row r="8278" spans="1:6">
      <c r="A8278" s="753"/>
      <c r="B8278" s="753"/>
      <c r="C8278" s="752" t="s">
        <v>39121</v>
      </c>
      <c r="D8278" s="753" t="s">
        <v>39120</v>
      </c>
      <c r="E8278" s="752" t="s">
        <v>39119</v>
      </c>
      <c r="F8278" s="751">
        <v>3025</v>
      </c>
    </row>
    <row r="8279" spans="1:6">
      <c r="A8279" s="753"/>
      <c r="B8279" s="753"/>
      <c r="C8279" s="752" t="s">
        <v>39118</v>
      </c>
      <c r="D8279" s="753" t="s">
        <v>39114</v>
      </c>
      <c r="E8279" s="752" t="s">
        <v>293</v>
      </c>
      <c r="F8279" s="751">
        <v>3025</v>
      </c>
    </row>
    <row r="8280" spans="1:6">
      <c r="A8280" s="753"/>
      <c r="B8280" s="753"/>
      <c r="C8280" s="752" t="s">
        <v>39117</v>
      </c>
      <c r="D8280" s="753" t="s">
        <v>39114</v>
      </c>
      <c r="E8280" s="752" t="s">
        <v>37794</v>
      </c>
      <c r="F8280" s="751">
        <v>3785</v>
      </c>
    </row>
    <row r="8281" spans="1:6">
      <c r="A8281" s="753"/>
      <c r="B8281" s="753"/>
      <c r="C8281" s="752" t="s">
        <v>39116</v>
      </c>
      <c r="D8281" s="753" t="s">
        <v>39114</v>
      </c>
      <c r="E8281" s="752" t="s">
        <v>38919</v>
      </c>
      <c r="F8281" s="751">
        <v>3785</v>
      </c>
    </row>
    <row r="8282" spans="1:6">
      <c r="A8282" s="753"/>
      <c r="B8282" s="753"/>
      <c r="C8282" s="752" t="s">
        <v>39115</v>
      </c>
      <c r="D8282" s="753" t="s">
        <v>39114</v>
      </c>
      <c r="E8282" s="752" t="s">
        <v>39113</v>
      </c>
      <c r="F8282" s="751">
        <v>3025</v>
      </c>
    </row>
    <row r="8283" spans="1:6">
      <c r="A8283" s="753"/>
      <c r="B8283" s="753"/>
      <c r="C8283" s="752" t="s">
        <v>39112</v>
      </c>
      <c r="D8283" s="753" t="s">
        <v>39111</v>
      </c>
      <c r="E8283" s="752" t="s">
        <v>293</v>
      </c>
      <c r="F8283" s="751">
        <v>3275</v>
      </c>
    </row>
    <row r="8284" spans="1:6">
      <c r="A8284" s="753"/>
      <c r="B8284" s="753"/>
      <c r="C8284" s="752" t="s">
        <v>39110</v>
      </c>
      <c r="D8284" s="753" t="s">
        <v>39109</v>
      </c>
      <c r="E8284" s="752" t="s">
        <v>38570</v>
      </c>
      <c r="F8284" s="751">
        <v>8605</v>
      </c>
    </row>
    <row r="8285" spans="1:6">
      <c r="A8285" s="753"/>
      <c r="B8285" s="753"/>
      <c r="C8285" s="752" t="s">
        <v>39108</v>
      </c>
      <c r="D8285" s="753" t="s">
        <v>39104</v>
      </c>
      <c r="E8285" s="752" t="s">
        <v>39092</v>
      </c>
      <c r="F8285" s="751">
        <v>2625</v>
      </c>
    </row>
    <row r="8286" spans="1:6">
      <c r="A8286" s="753"/>
      <c r="B8286" s="753"/>
      <c r="C8286" s="752" t="s">
        <v>39107</v>
      </c>
      <c r="D8286" s="753" t="s">
        <v>39102</v>
      </c>
      <c r="E8286" s="752" t="s">
        <v>39106</v>
      </c>
      <c r="F8286" s="751">
        <v>3375</v>
      </c>
    </row>
    <row r="8287" spans="1:6">
      <c r="A8287" s="753"/>
      <c r="B8287" s="753"/>
      <c r="C8287" s="752" t="s">
        <v>39105</v>
      </c>
      <c r="D8287" s="753" t="s">
        <v>39104</v>
      </c>
      <c r="E8287" s="752" t="s">
        <v>39092</v>
      </c>
      <c r="F8287" s="751">
        <v>3375</v>
      </c>
    </row>
    <row r="8288" spans="1:6">
      <c r="A8288" s="753"/>
      <c r="B8288" s="753"/>
      <c r="C8288" s="752" t="s">
        <v>39103</v>
      </c>
      <c r="D8288" s="753" t="s">
        <v>39102</v>
      </c>
      <c r="E8288" s="752" t="s">
        <v>39092</v>
      </c>
      <c r="F8288" s="751">
        <v>2825</v>
      </c>
    </row>
    <row r="8289" spans="1:6">
      <c r="A8289" s="753"/>
      <c r="B8289" s="753"/>
      <c r="C8289" s="752" t="s">
        <v>39101</v>
      </c>
      <c r="D8289" s="753" t="s">
        <v>39100</v>
      </c>
      <c r="E8289" s="752" t="s">
        <v>39092</v>
      </c>
      <c r="F8289" s="751">
        <v>2575</v>
      </c>
    </row>
    <row r="8290" spans="1:6">
      <c r="A8290" s="753"/>
      <c r="B8290" s="753"/>
      <c r="C8290" s="752" t="s">
        <v>39099</v>
      </c>
      <c r="D8290" s="753" t="s">
        <v>39098</v>
      </c>
      <c r="E8290" s="752" t="s">
        <v>39097</v>
      </c>
      <c r="F8290" s="751">
        <v>5925</v>
      </c>
    </row>
    <row r="8291" spans="1:6">
      <c r="A8291" s="753"/>
      <c r="B8291" s="753"/>
      <c r="C8291" s="752" t="s">
        <v>39096</v>
      </c>
      <c r="D8291" s="753" t="s">
        <v>39095</v>
      </c>
      <c r="E8291" s="752" t="s">
        <v>39092</v>
      </c>
      <c r="F8291" s="751">
        <v>3175</v>
      </c>
    </row>
    <row r="8292" spans="1:6">
      <c r="A8292" s="753"/>
      <c r="B8292" s="753"/>
      <c r="C8292" s="752" t="s">
        <v>39094</v>
      </c>
      <c r="D8292" s="753" t="s">
        <v>39093</v>
      </c>
      <c r="E8292" s="752" t="s">
        <v>39092</v>
      </c>
      <c r="F8292" s="751">
        <v>3275</v>
      </c>
    </row>
    <row r="8293" spans="1:6">
      <c r="A8293" s="753"/>
      <c r="B8293" s="753" t="s">
        <v>39091</v>
      </c>
      <c r="C8293" s="752" t="s">
        <v>39090</v>
      </c>
      <c r="D8293" s="753" t="s">
        <v>39083</v>
      </c>
      <c r="E8293" s="752" t="s">
        <v>37838</v>
      </c>
      <c r="F8293" s="751">
        <v>1975</v>
      </c>
    </row>
    <row r="8294" spans="1:6">
      <c r="A8294" s="753"/>
      <c r="B8294" s="753"/>
      <c r="C8294" s="752" t="s">
        <v>39089</v>
      </c>
      <c r="D8294" s="753" t="s">
        <v>39083</v>
      </c>
      <c r="E8294" s="752" t="s">
        <v>39088</v>
      </c>
      <c r="F8294" s="751">
        <v>1975</v>
      </c>
    </row>
    <row r="8295" spans="1:6">
      <c r="A8295" s="753"/>
      <c r="B8295" s="753"/>
      <c r="C8295" s="752" t="s">
        <v>39087</v>
      </c>
      <c r="D8295" s="753" t="s">
        <v>39086</v>
      </c>
      <c r="E8295" s="752" t="s">
        <v>37838</v>
      </c>
      <c r="F8295" s="751">
        <v>1975</v>
      </c>
    </row>
    <row r="8296" spans="1:6">
      <c r="A8296" s="753"/>
      <c r="B8296" s="753"/>
      <c r="C8296" s="752" t="s">
        <v>39085</v>
      </c>
      <c r="D8296" s="753" t="s">
        <v>39083</v>
      </c>
      <c r="E8296" s="752" t="s">
        <v>37838</v>
      </c>
      <c r="F8296" s="751">
        <v>1975</v>
      </c>
    </row>
    <row r="8297" spans="1:6">
      <c r="A8297" s="753"/>
      <c r="B8297" s="753"/>
      <c r="C8297" s="752" t="s">
        <v>39084</v>
      </c>
      <c r="D8297" s="753" t="s">
        <v>39083</v>
      </c>
      <c r="E8297" s="752" t="s">
        <v>39060</v>
      </c>
      <c r="F8297" s="751">
        <v>1975</v>
      </c>
    </row>
    <row r="8298" spans="1:6">
      <c r="A8298" s="753"/>
      <c r="B8298" s="753" t="s">
        <v>39082</v>
      </c>
      <c r="C8298" s="752" t="s">
        <v>39081</v>
      </c>
      <c r="D8298" s="753" t="s">
        <v>39080</v>
      </c>
      <c r="E8298" s="752" t="s">
        <v>293</v>
      </c>
      <c r="F8298" s="751">
        <v>2575</v>
      </c>
    </row>
    <row r="8299" spans="1:6">
      <c r="A8299" s="753"/>
      <c r="B8299" s="753"/>
      <c r="C8299" s="752" t="s">
        <v>39079</v>
      </c>
      <c r="D8299" s="753" t="s">
        <v>39078</v>
      </c>
      <c r="E8299" s="752" t="s">
        <v>293</v>
      </c>
      <c r="F8299" s="751">
        <v>3125</v>
      </c>
    </row>
    <row r="8300" spans="1:6">
      <c r="A8300" s="753"/>
      <c r="B8300" s="753"/>
      <c r="C8300" s="752" t="s">
        <v>39077</v>
      </c>
      <c r="D8300" s="753" t="s">
        <v>39076</v>
      </c>
      <c r="E8300" s="752" t="s">
        <v>293</v>
      </c>
      <c r="F8300" s="751">
        <v>3125</v>
      </c>
    </row>
    <row r="8301" spans="1:6">
      <c r="A8301" s="753"/>
      <c r="B8301" s="753"/>
      <c r="C8301" s="752" t="s">
        <v>39075</v>
      </c>
      <c r="D8301" s="753" t="s">
        <v>39074</v>
      </c>
      <c r="E8301" s="752" t="s">
        <v>293</v>
      </c>
      <c r="F8301" s="751">
        <v>2375</v>
      </c>
    </row>
    <row r="8302" spans="1:6">
      <c r="A8302" s="753"/>
      <c r="B8302" s="753"/>
      <c r="C8302" s="752" t="s">
        <v>39073</v>
      </c>
      <c r="D8302" s="753" t="s">
        <v>39072</v>
      </c>
      <c r="E8302" s="752" t="s">
        <v>293</v>
      </c>
      <c r="F8302" s="751">
        <v>2925</v>
      </c>
    </row>
    <row r="8303" spans="1:6">
      <c r="A8303" s="753"/>
      <c r="B8303" s="753"/>
      <c r="C8303" s="752" t="s">
        <v>39071</v>
      </c>
      <c r="D8303" s="753" t="s">
        <v>39070</v>
      </c>
      <c r="E8303" s="752" t="s">
        <v>293</v>
      </c>
      <c r="F8303" s="751">
        <v>2925</v>
      </c>
    </row>
    <row r="8304" spans="1:6">
      <c r="A8304" s="753"/>
      <c r="B8304" s="753"/>
      <c r="C8304" s="752" t="s">
        <v>39069</v>
      </c>
      <c r="D8304" s="753" t="s">
        <v>39068</v>
      </c>
      <c r="E8304" s="752" t="s">
        <v>293</v>
      </c>
      <c r="F8304" s="751">
        <v>2475</v>
      </c>
    </row>
    <row r="8305" spans="1:6">
      <c r="A8305" s="753"/>
      <c r="B8305" s="753"/>
      <c r="C8305" s="752" t="s">
        <v>39067</v>
      </c>
      <c r="D8305" s="753" t="s">
        <v>39066</v>
      </c>
      <c r="E8305" s="752" t="s">
        <v>293</v>
      </c>
      <c r="F8305" s="751">
        <v>3025</v>
      </c>
    </row>
    <row r="8306" spans="1:6">
      <c r="A8306" s="753"/>
      <c r="B8306" s="753"/>
      <c r="C8306" s="752" t="s">
        <v>39065</v>
      </c>
      <c r="D8306" s="753" t="s">
        <v>39064</v>
      </c>
      <c r="E8306" s="752" t="s">
        <v>293</v>
      </c>
      <c r="F8306" s="751">
        <v>3025</v>
      </c>
    </row>
    <row r="8307" spans="1:6">
      <c r="A8307" s="753"/>
      <c r="B8307" s="753" t="s">
        <v>39063</v>
      </c>
      <c r="C8307" s="752" t="s">
        <v>39062</v>
      </c>
      <c r="D8307" s="753" t="s">
        <v>39056</v>
      </c>
      <c r="E8307" s="752" t="s">
        <v>37838</v>
      </c>
      <c r="F8307" s="751">
        <v>1975</v>
      </c>
    </row>
    <row r="8308" spans="1:6">
      <c r="A8308" s="753"/>
      <c r="B8308" s="753"/>
      <c r="C8308" s="752" t="s">
        <v>39061</v>
      </c>
      <c r="D8308" s="753" t="s">
        <v>39056</v>
      </c>
      <c r="E8308" s="752" t="s">
        <v>39060</v>
      </c>
      <c r="F8308" s="751">
        <v>1975</v>
      </c>
    </row>
    <row r="8309" spans="1:6">
      <c r="A8309" s="753"/>
      <c r="B8309" s="753"/>
      <c r="C8309" s="752" t="s">
        <v>39059</v>
      </c>
      <c r="D8309" s="753" t="s">
        <v>39058</v>
      </c>
      <c r="E8309" s="752" t="s">
        <v>37838</v>
      </c>
      <c r="F8309" s="751">
        <v>1975</v>
      </c>
    </row>
    <row r="8310" spans="1:6">
      <c r="A8310" s="753"/>
      <c r="B8310" s="753"/>
      <c r="C8310" s="752" t="s">
        <v>39057</v>
      </c>
      <c r="D8310" s="753" t="s">
        <v>39056</v>
      </c>
      <c r="E8310" s="752" t="s">
        <v>39055</v>
      </c>
      <c r="F8310" s="751">
        <v>1975</v>
      </c>
    </row>
    <row r="8311" spans="1:6">
      <c r="A8311" s="753"/>
      <c r="B8311" s="753"/>
      <c r="C8311" s="752" t="s">
        <v>39054</v>
      </c>
      <c r="D8311" s="753" t="s">
        <v>39053</v>
      </c>
      <c r="E8311" s="752" t="s">
        <v>37838</v>
      </c>
      <c r="F8311" s="751">
        <v>2075</v>
      </c>
    </row>
    <row r="8312" spans="1:6">
      <c r="A8312" s="753"/>
      <c r="B8312" s="753"/>
      <c r="C8312" s="752" t="s">
        <v>39052</v>
      </c>
      <c r="D8312" s="753" t="s">
        <v>39051</v>
      </c>
      <c r="E8312" s="752" t="s">
        <v>37838</v>
      </c>
      <c r="F8312" s="751">
        <v>1975</v>
      </c>
    </row>
    <row r="8313" spans="1:6">
      <c r="A8313" s="753"/>
      <c r="B8313" s="753"/>
      <c r="C8313" s="752" t="s">
        <v>39050</v>
      </c>
      <c r="D8313" s="753" t="s">
        <v>39049</v>
      </c>
      <c r="E8313" s="752" t="s">
        <v>37838</v>
      </c>
      <c r="F8313" s="751">
        <v>2395</v>
      </c>
    </row>
    <row r="8314" spans="1:6">
      <c r="A8314" s="753"/>
      <c r="B8314" s="753" t="s">
        <v>39048</v>
      </c>
      <c r="C8314" s="752" t="s">
        <v>39047</v>
      </c>
      <c r="D8314" s="753" t="s">
        <v>39042</v>
      </c>
      <c r="E8314" s="752" t="s">
        <v>37838</v>
      </c>
      <c r="F8314" s="751">
        <v>1975</v>
      </c>
    </row>
    <row r="8315" spans="1:6">
      <c r="A8315" s="753"/>
      <c r="B8315" s="753"/>
      <c r="C8315" s="752" t="s">
        <v>39046</v>
      </c>
      <c r="D8315" s="753" t="s">
        <v>39042</v>
      </c>
      <c r="E8315" s="752" t="s">
        <v>37838</v>
      </c>
      <c r="F8315" s="751">
        <v>1975</v>
      </c>
    </row>
    <row r="8316" spans="1:6">
      <c r="A8316" s="753"/>
      <c r="B8316" s="753"/>
      <c r="C8316" s="752" t="s">
        <v>39045</v>
      </c>
      <c r="D8316" s="753" t="s">
        <v>39042</v>
      </c>
      <c r="E8316" s="752" t="s">
        <v>37838</v>
      </c>
      <c r="F8316" s="751">
        <v>1975</v>
      </c>
    </row>
    <row r="8317" spans="1:6">
      <c r="A8317" s="753"/>
      <c r="B8317" s="753"/>
      <c r="C8317" s="752" t="s">
        <v>39044</v>
      </c>
      <c r="D8317" s="753" t="s">
        <v>39042</v>
      </c>
      <c r="E8317" s="752" t="s">
        <v>37838</v>
      </c>
      <c r="F8317" s="751">
        <v>1975</v>
      </c>
    </row>
    <row r="8318" spans="1:6">
      <c r="A8318" s="753"/>
      <c r="B8318" s="753"/>
      <c r="C8318" s="752" t="s">
        <v>39043</v>
      </c>
      <c r="D8318" s="753" t="s">
        <v>39042</v>
      </c>
      <c r="E8318" s="752" t="s">
        <v>37838</v>
      </c>
      <c r="F8318" s="751">
        <v>1975</v>
      </c>
    </row>
    <row r="8319" spans="1:6">
      <c r="A8319" s="753"/>
      <c r="B8319" s="753" t="s">
        <v>39041</v>
      </c>
      <c r="C8319" s="752" t="s">
        <v>39040</v>
      </c>
      <c r="D8319" s="753" t="s">
        <v>39039</v>
      </c>
      <c r="E8319" s="752" t="s">
        <v>293</v>
      </c>
      <c r="F8319" s="751">
        <v>4365</v>
      </c>
    </row>
    <row r="8320" spans="1:6">
      <c r="A8320" s="753"/>
      <c r="B8320" s="753"/>
      <c r="C8320" s="752" t="s">
        <v>39038</v>
      </c>
      <c r="D8320" s="753" t="s">
        <v>39037</v>
      </c>
      <c r="E8320" s="752" t="s">
        <v>293</v>
      </c>
      <c r="F8320" s="751">
        <v>3625</v>
      </c>
    </row>
    <row r="8321" spans="1:6">
      <c r="A8321" s="753"/>
      <c r="B8321" s="753"/>
      <c r="C8321" s="752" t="s">
        <v>39036</v>
      </c>
      <c r="D8321" s="753" t="s">
        <v>39033</v>
      </c>
      <c r="E8321" s="752" t="s">
        <v>293</v>
      </c>
      <c r="F8321" s="751">
        <v>2575</v>
      </c>
    </row>
    <row r="8322" spans="1:6">
      <c r="A8322" s="753"/>
      <c r="B8322" s="753"/>
      <c r="C8322" s="752" t="s">
        <v>39035</v>
      </c>
      <c r="D8322" s="753" t="s">
        <v>39033</v>
      </c>
      <c r="E8322" s="752" t="s">
        <v>38670</v>
      </c>
      <c r="F8322" s="751">
        <v>3335</v>
      </c>
    </row>
    <row r="8323" spans="1:6">
      <c r="A8323" s="753"/>
      <c r="B8323" s="753"/>
      <c r="C8323" s="752" t="s">
        <v>39034</v>
      </c>
      <c r="D8323" s="753" t="s">
        <v>39033</v>
      </c>
      <c r="E8323" s="752" t="s">
        <v>39028</v>
      </c>
      <c r="F8323" s="751">
        <v>3335</v>
      </c>
    </row>
    <row r="8324" spans="1:6">
      <c r="A8324" s="753"/>
      <c r="B8324" s="753"/>
      <c r="C8324" s="752" t="s">
        <v>39032</v>
      </c>
      <c r="D8324" s="753" t="s">
        <v>39029</v>
      </c>
      <c r="E8324" s="752" t="s">
        <v>293</v>
      </c>
      <c r="F8324" s="751">
        <v>3125</v>
      </c>
    </row>
    <row r="8325" spans="1:6">
      <c r="A8325" s="753"/>
      <c r="B8325" s="753"/>
      <c r="C8325" s="752" t="s">
        <v>39031</v>
      </c>
      <c r="D8325" s="753" t="s">
        <v>39029</v>
      </c>
      <c r="E8325" s="752" t="s">
        <v>38670</v>
      </c>
      <c r="F8325" s="751">
        <v>3885</v>
      </c>
    </row>
    <row r="8326" spans="1:6">
      <c r="A8326" s="753"/>
      <c r="B8326" s="753"/>
      <c r="C8326" s="752" t="s">
        <v>39030</v>
      </c>
      <c r="D8326" s="753" t="s">
        <v>39029</v>
      </c>
      <c r="E8326" s="752" t="s">
        <v>39028</v>
      </c>
      <c r="F8326" s="751">
        <v>3885</v>
      </c>
    </row>
    <row r="8327" spans="1:6">
      <c r="A8327" s="753"/>
      <c r="B8327" s="753"/>
      <c r="C8327" s="752" t="s">
        <v>39027</v>
      </c>
      <c r="D8327" s="753" t="s">
        <v>39025</v>
      </c>
      <c r="E8327" s="752" t="s">
        <v>293</v>
      </c>
      <c r="F8327" s="751">
        <v>3125</v>
      </c>
    </row>
    <row r="8328" spans="1:6">
      <c r="A8328" s="753"/>
      <c r="B8328" s="753"/>
      <c r="C8328" s="752" t="s">
        <v>39026</v>
      </c>
      <c r="D8328" s="753" t="s">
        <v>39025</v>
      </c>
      <c r="E8328" s="752" t="s">
        <v>38919</v>
      </c>
      <c r="F8328" s="751">
        <v>3885</v>
      </c>
    </row>
    <row r="8329" spans="1:6">
      <c r="A8329" s="753"/>
      <c r="B8329" s="753"/>
      <c r="C8329" s="752" t="s">
        <v>39024</v>
      </c>
      <c r="D8329" s="753" t="s">
        <v>39021</v>
      </c>
      <c r="E8329" s="752" t="s">
        <v>293</v>
      </c>
      <c r="F8329" s="751">
        <v>2375</v>
      </c>
    </row>
    <row r="8330" spans="1:6">
      <c r="A8330" s="753"/>
      <c r="B8330" s="753"/>
      <c r="C8330" s="752" t="s">
        <v>39023</v>
      </c>
      <c r="D8330" s="753" t="s">
        <v>39021</v>
      </c>
      <c r="E8330" s="752" t="s">
        <v>38670</v>
      </c>
      <c r="F8330" s="751">
        <v>3135</v>
      </c>
    </row>
    <row r="8331" spans="1:6">
      <c r="A8331" s="753"/>
      <c r="B8331" s="753"/>
      <c r="C8331" s="752" t="s">
        <v>39022</v>
      </c>
      <c r="D8331" s="753" t="s">
        <v>39021</v>
      </c>
      <c r="E8331" s="752" t="s">
        <v>39020</v>
      </c>
      <c r="F8331" s="751">
        <v>3135</v>
      </c>
    </row>
    <row r="8332" spans="1:6">
      <c r="A8332" s="753"/>
      <c r="B8332" s="753"/>
      <c r="C8332" s="752" t="s">
        <v>39019</v>
      </c>
      <c r="D8332" s="753" t="s">
        <v>39016</v>
      </c>
      <c r="E8332" s="752" t="s">
        <v>293</v>
      </c>
      <c r="F8332" s="751">
        <v>2925</v>
      </c>
    </row>
    <row r="8333" spans="1:6">
      <c r="A8333" s="753"/>
      <c r="B8333" s="753"/>
      <c r="C8333" s="752" t="s">
        <v>39018</v>
      </c>
      <c r="D8333" s="753" t="s">
        <v>39016</v>
      </c>
      <c r="E8333" s="752" t="s">
        <v>38670</v>
      </c>
      <c r="F8333" s="751">
        <v>3685</v>
      </c>
    </row>
    <row r="8334" spans="1:6">
      <c r="A8334" s="753"/>
      <c r="B8334" s="753"/>
      <c r="C8334" s="752" t="s">
        <v>39017</v>
      </c>
      <c r="D8334" s="753" t="s">
        <v>39016</v>
      </c>
      <c r="E8334" s="752" t="s">
        <v>39015</v>
      </c>
      <c r="F8334" s="751">
        <v>3685</v>
      </c>
    </row>
    <row r="8335" spans="1:6">
      <c r="A8335" s="753"/>
      <c r="B8335" s="753"/>
      <c r="C8335" s="752" t="s">
        <v>39014</v>
      </c>
      <c r="D8335" s="753" t="s">
        <v>39012</v>
      </c>
      <c r="E8335" s="752" t="s">
        <v>293</v>
      </c>
      <c r="F8335" s="751">
        <v>2925</v>
      </c>
    </row>
    <row r="8336" spans="1:6">
      <c r="A8336" s="753"/>
      <c r="B8336" s="753"/>
      <c r="C8336" s="752" t="s">
        <v>39013</v>
      </c>
      <c r="D8336" s="753" t="s">
        <v>39012</v>
      </c>
      <c r="E8336" s="752" t="s">
        <v>39011</v>
      </c>
      <c r="F8336" s="751">
        <v>3685</v>
      </c>
    </row>
    <row r="8337" spans="1:6">
      <c r="A8337" s="753"/>
      <c r="B8337" s="753"/>
      <c r="C8337" s="752" t="s">
        <v>39010</v>
      </c>
      <c r="D8337" s="753" t="s">
        <v>39009</v>
      </c>
      <c r="E8337" s="752" t="s">
        <v>293</v>
      </c>
      <c r="F8337" s="751">
        <v>2475</v>
      </c>
    </row>
    <row r="8338" spans="1:6">
      <c r="A8338" s="753"/>
      <c r="B8338" s="753"/>
      <c r="C8338" s="752" t="s">
        <v>39008</v>
      </c>
      <c r="D8338" s="753" t="s">
        <v>39007</v>
      </c>
      <c r="E8338" s="752" t="s">
        <v>293</v>
      </c>
      <c r="F8338" s="751">
        <v>3025</v>
      </c>
    </row>
    <row r="8339" spans="1:6">
      <c r="A8339" s="753"/>
      <c r="B8339" s="753"/>
      <c r="C8339" s="752" t="s">
        <v>39006</v>
      </c>
      <c r="D8339" s="753" t="s">
        <v>39005</v>
      </c>
      <c r="E8339" s="752" t="s">
        <v>293</v>
      </c>
      <c r="F8339" s="751">
        <v>3025</v>
      </c>
    </row>
    <row r="8340" spans="1:6">
      <c r="A8340" s="753"/>
      <c r="B8340" s="753" t="s">
        <v>39004</v>
      </c>
      <c r="C8340" s="752" t="s">
        <v>39003</v>
      </c>
      <c r="D8340" s="753" t="s">
        <v>39002</v>
      </c>
      <c r="E8340" s="752" t="s">
        <v>293</v>
      </c>
      <c r="F8340" s="751">
        <v>2825</v>
      </c>
    </row>
    <row r="8341" spans="1:6">
      <c r="A8341" s="753"/>
      <c r="B8341" s="753"/>
      <c r="C8341" s="752" t="s">
        <v>39001</v>
      </c>
      <c r="D8341" s="753" t="s">
        <v>39000</v>
      </c>
      <c r="E8341" s="752" t="s">
        <v>293</v>
      </c>
      <c r="F8341" s="751">
        <v>3375</v>
      </c>
    </row>
    <row r="8342" spans="1:6">
      <c r="A8342" s="753"/>
      <c r="B8342" s="753" t="s">
        <v>38999</v>
      </c>
      <c r="C8342" s="752" t="s">
        <v>38998</v>
      </c>
      <c r="D8342" s="753" t="s">
        <v>38996</v>
      </c>
      <c r="E8342" s="752" t="s">
        <v>293</v>
      </c>
      <c r="F8342" s="751">
        <v>2875</v>
      </c>
    </row>
    <row r="8343" spans="1:6">
      <c r="A8343" s="753"/>
      <c r="B8343" s="753"/>
      <c r="C8343" s="752" t="s">
        <v>38997</v>
      </c>
      <c r="D8343" s="753" t="s">
        <v>38996</v>
      </c>
      <c r="E8343" s="752" t="s">
        <v>38962</v>
      </c>
      <c r="F8343" s="751">
        <v>2425</v>
      </c>
    </row>
    <row r="8344" spans="1:6">
      <c r="A8344" s="753"/>
      <c r="B8344" s="753"/>
      <c r="C8344" s="752" t="s">
        <v>38995</v>
      </c>
      <c r="D8344" s="753" t="s">
        <v>38993</v>
      </c>
      <c r="E8344" s="752" t="s">
        <v>293</v>
      </c>
      <c r="F8344" s="751">
        <v>3475</v>
      </c>
    </row>
    <row r="8345" spans="1:6">
      <c r="A8345" s="753"/>
      <c r="B8345" s="753"/>
      <c r="C8345" s="752" t="s">
        <v>38994</v>
      </c>
      <c r="D8345" s="753" t="s">
        <v>38993</v>
      </c>
      <c r="E8345" s="752" t="s">
        <v>38962</v>
      </c>
      <c r="F8345" s="751">
        <v>2975</v>
      </c>
    </row>
    <row r="8346" spans="1:6">
      <c r="A8346" s="753"/>
      <c r="B8346" s="753"/>
      <c r="C8346" s="752" t="s">
        <v>38992</v>
      </c>
      <c r="D8346" s="753" t="s">
        <v>38990</v>
      </c>
      <c r="E8346" s="752" t="s">
        <v>293</v>
      </c>
      <c r="F8346" s="751">
        <v>3475</v>
      </c>
    </row>
    <row r="8347" spans="1:6">
      <c r="A8347" s="753"/>
      <c r="B8347" s="753"/>
      <c r="C8347" s="752" t="s">
        <v>38991</v>
      </c>
      <c r="D8347" s="753" t="s">
        <v>38990</v>
      </c>
      <c r="E8347" s="752" t="s">
        <v>38536</v>
      </c>
      <c r="F8347" s="751">
        <v>2975</v>
      </c>
    </row>
    <row r="8348" spans="1:6">
      <c r="A8348" s="753"/>
      <c r="B8348" s="753"/>
      <c r="C8348" s="752" t="s">
        <v>38989</v>
      </c>
      <c r="D8348" s="753" t="s">
        <v>38986</v>
      </c>
      <c r="E8348" s="752" t="s">
        <v>293</v>
      </c>
      <c r="F8348" s="751">
        <v>2825</v>
      </c>
    </row>
    <row r="8349" spans="1:6">
      <c r="A8349" s="753"/>
      <c r="B8349" s="753"/>
      <c r="C8349" s="752" t="s">
        <v>38988</v>
      </c>
      <c r="D8349" s="753" t="s">
        <v>38986</v>
      </c>
      <c r="E8349" s="752" t="s">
        <v>38878</v>
      </c>
      <c r="F8349" s="751">
        <v>2525</v>
      </c>
    </row>
    <row r="8350" spans="1:6">
      <c r="A8350" s="753"/>
      <c r="B8350" s="753"/>
      <c r="C8350" s="752" t="s">
        <v>38987</v>
      </c>
      <c r="D8350" s="753" t="s">
        <v>38986</v>
      </c>
      <c r="E8350" s="752" t="s">
        <v>38962</v>
      </c>
      <c r="F8350" s="751">
        <v>2325</v>
      </c>
    </row>
    <row r="8351" spans="1:6">
      <c r="A8351" s="753"/>
      <c r="B8351" s="753"/>
      <c r="C8351" s="752" t="s">
        <v>38985</v>
      </c>
      <c r="D8351" s="753" t="s">
        <v>38983</v>
      </c>
      <c r="E8351" s="752" t="s">
        <v>293</v>
      </c>
      <c r="F8351" s="751">
        <v>3375</v>
      </c>
    </row>
    <row r="8352" spans="1:6">
      <c r="A8352" s="753"/>
      <c r="B8352" s="753"/>
      <c r="C8352" s="752" t="s">
        <v>38984</v>
      </c>
      <c r="D8352" s="753" t="s">
        <v>38983</v>
      </c>
      <c r="E8352" s="752" t="s">
        <v>38536</v>
      </c>
      <c r="F8352" s="751">
        <v>2875</v>
      </c>
    </row>
    <row r="8353" spans="1:6">
      <c r="A8353" s="753"/>
      <c r="B8353" s="753"/>
      <c r="C8353" s="752" t="s">
        <v>38982</v>
      </c>
      <c r="D8353" s="753" t="s">
        <v>38980</v>
      </c>
      <c r="E8353" s="752" t="s">
        <v>293</v>
      </c>
      <c r="F8353" s="751">
        <v>3375</v>
      </c>
    </row>
    <row r="8354" spans="1:6">
      <c r="A8354" s="753"/>
      <c r="B8354" s="753"/>
      <c r="C8354" s="752" t="s">
        <v>38981</v>
      </c>
      <c r="D8354" s="753" t="s">
        <v>38980</v>
      </c>
      <c r="E8354" s="752" t="s">
        <v>38536</v>
      </c>
      <c r="F8354" s="751">
        <v>2875</v>
      </c>
    </row>
    <row r="8355" spans="1:6">
      <c r="A8355" s="753"/>
      <c r="B8355" s="753"/>
      <c r="C8355" s="752" t="s">
        <v>38979</v>
      </c>
      <c r="D8355" s="753" t="s">
        <v>38976</v>
      </c>
      <c r="E8355" s="752" t="s">
        <v>293</v>
      </c>
      <c r="F8355" s="751">
        <v>2625</v>
      </c>
    </row>
    <row r="8356" spans="1:6">
      <c r="A8356" s="753"/>
      <c r="B8356" s="753"/>
      <c r="C8356" s="752" t="s">
        <v>38978</v>
      </c>
      <c r="D8356" s="753" t="s">
        <v>38976</v>
      </c>
      <c r="E8356" s="752" t="s">
        <v>38878</v>
      </c>
      <c r="F8356" s="751">
        <v>2325</v>
      </c>
    </row>
    <row r="8357" spans="1:6">
      <c r="A8357" s="753"/>
      <c r="B8357" s="753"/>
      <c r="C8357" s="752" t="s">
        <v>38977</v>
      </c>
      <c r="D8357" s="753" t="s">
        <v>38976</v>
      </c>
      <c r="E8357" s="752" t="s">
        <v>38962</v>
      </c>
      <c r="F8357" s="751">
        <v>2125</v>
      </c>
    </row>
    <row r="8358" spans="1:6">
      <c r="A8358" s="753"/>
      <c r="B8358" s="753"/>
      <c r="C8358" s="752" t="s">
        <v>38975</v>
      </c>
      <c r="D8358" s="753" t="s">
        <v>38973</v>
      </c>
      <c r="E8358" s="752" t="s">
        <v>293</v>
      </c>
      <c r="F8358" s="751">
        <v>3175</v>
      </c>
    </row>
    <row r="8359" spans="1:6">
      <c r="A8359" s="753"/>
      <c r="B8359" s="753"/>
      <c r="C8359" s="752" t="s">
        <v>38974</v>
      </c>
      <c r="D8359" s="753" t="s">
        <v>38973</v>
      </c>
      <c r="E8359" s="752" t="s">
        <v>38962</v>
      </c>
      <c r="F8359" s="751">
        <v>2675</v>
      </c>
    </row>
    <row r="8360" spans="1:6">
      <c r="A8360" s="753"/>
      <c r="B8360" s="753"/>
      <c r="C8360" s="752" t="s">
        <v>38972</v>
      </c>
      <c r="D8360" s="753" t="s">
        <v>38970</v>
      </c>
      <c r="E8360" s="752" t="s">
        <v>293</v>
      </c>
      <c r="F8360" s="751">
        <v>3175</v>
      </c>
    </row>
    <row r="8361" spans="1:6">
      <c r="A8361" s="753"/>
      <c r="B8361" s="753"/>
      <c r="C8361" s="752" t="s">
        <v>38971</v>
      </c>
      <c r="D8361" s="753" t="s">
        <v>38970</v>
      </c>
      <c r="E8361" s="752" t="s">
        <v>38962</v>
      </c>
      <c r="F8361" s="751">
        <v>2675</v>
      </c>
    </row>
    <row r="8362" spans="1:6">
      <c r="A8362" s="753"/>
      <c r="B8362" s="753"/>
      <c r="C8362" s="752" t="s">
        <v>38969</v>
      </c>
      <c r="D8362" s="753" t="s">
        <v>38966</v>
      </c>
      <c r="E8362" s="752" t="s">
        <v>293</v>
      </c>
      <c r="F8362" s="751">
        <v>2725</v>
      </c>
    </row>
    <row r="8363" spans="1:6">
      <c r="A8363" s="753"/>
      <c r="B8363" s="753"/>
      <c r="C8363" s="752" t="s">
        <v>38968</v>
      </c>
      <c r="D8363" s="753" t="s">
        <v>38966</v>
      </c>
      <c r="E8363" s="752" t="s">
        <v>38878</v>
      </c>
      <c r="F8363" s="751">
        <v>2425</v>
      </c>
    </row>
    <row r="8364" spans="1:6">
      <c r="A8364" s="753"/>
      <c r="B8364" s="753"/>
      <c r="C8364" s="752" t="s">
        <v>38967</v>
      </c>
      <c r="D8364" s="753" t="s">
        <v>38966</v>
      </c>
      <c r="E8364" s="752" t="s">
        <v>38962</v>
      </c>
      <c r="F8364" s="751">
        <v>2225</v>
      </c>
    </row>
    <row r="8365" spans="1:6">
      <c r="A8365" s="753"/>
      <c r="B8365" s="753"/>
      <c r="C8365" s="752" t="s">
        <v>38965</v>
      </c>
      <c r="D8365" s="753" t="s">
        <v>38963</v>
      </c>
      <c r="E8365" s="752" t="s">
        <v>293</v>
      </c>
      <c r="F8365" s="751">
        <v>3275</v>
      </c>
    </row>
    <row r="8366" spans="1:6">
      <c r="A8366" s="753"/>
      <c r="B8366" s="753"/>
      <c r="C8366" s="752" t="s">
        <v>38964</v>
      </c>
      <c r="D8366" s="753" t="s">
        <v>38963</v>
      </c>
      <c r="E8366" s="752" t="s">
        <v>38962</v>
      </c>
      <c r="F8366" s="751">
        <v>2775</v>
      </c>
    </row>
    <row r="8367" spans="1:6">
      <c r="A8367" s="753"/>
      <c r="B8367" s="753"/>
      <c r="C8367" s="752" t="s">
        <v>38961</v>
      </c>
      <c r="D8367" s="753" t="s">
        <v>38959</v>
      </c>
      <c r="E8367" s="752" t="s">
        <v>293</v>
      </c>
      <c r="F8367" s="751">
        <v>3275</v>
      </c>
    </row>
    <row r="8368" spans="1:6">
      <c r="A8368" s="753"/>
      <c r="B8368" s="753"/>
      <c r="C8368" s="752" t="s">
        <v>38960</v>
      </c>
      <c r="D8368" s="753" t="s">
        <v>38959</v>
      </c>
      <c r="E8368" s="752" t="s">
        <v>38536</v>
      </c>
      <c r="F8368" s="751">
        <v>2775</v>
      </c>
    </row>
    <row r="8369" spans="1:6">
      <c r="A8369" s="753"/>
      <c r="B8369" s="753"/>
      <c r="C8369" s="752" t="s">
        <v>38958</v>
      </c>
      <c r="D8369" s="753" t="s">
        <v>38957</v>
      </c>
      <c r="E8369" s="752" t="s">
        <v>38570</v>
      </c>
      <c r="F8369" s="751">
        <v>3865</v>
      </c>
    </row>
    <row r="8370" spans="1:6">
      <c r="A8370" s="753"/>
      <c r="B8370" s="753" t="s">
        <v>38956</v>
      </c>
      <c r="C8370" s="752" t="s">
        <v>38955</v>
      </c>
      <c r="D8370" s="753" t="s">
        <v>38954</v>
      </c>
      <c r="E8370" s="752" t="s">
        <v>293</v>
      </c>
      <c r="F8370" s="751">
        <v>3715</v>
      </c>
    </row>
    <row r="8371" spans="1:6">
      <c r="A8371" s="753"/>
      <c r="B8371" s="753"/>
      <c r="C8371" s="752" t="s">
        <v>38953</v>
      </c>
      <c r="D8371" s="753" t="s">
        <v>38942</v>
      </c>
      <c r="E8371" s="752" t="s">
        <v>38952</v>
      </c>
      <c r="F8371" s="751">
        <v>3715</v>
      </c>
    </row>
    <row r="8372" spans="1:6">
      <c r="A8372" s="753"/>
      <c r="B8372" s="753"/>
      <c r="C8372" s="752" t="s">
        <v>38951</v>
      </c>
      <c r="D8372" s="753" t="s">
        <v>38944</v>
      </c>
      <c r="E8372" s="752" t="s">
        <v>293</v>
      </c>
      <c r="F8372" s="751">
        <v>4015</v>
      </c>
    </row>
    <row r="8373" spans="1:6">
      <c r="A8373" s="753"/>
      <c r="B8373" s="753"/>
      <c r="C8373" s="752" t="s">
        <v>38950</v>
      </c>
      <c r="D8373" s="753" t="s">
        <v>38944</v>
      </c>
      <c r="E8373" s="752" t="s">
        <v>293</v>
      </c>
      <c r="F8373" s="751">
        <v>4365</v>
      </c>
    </row>
    <row r="8374" spans="1:6">
      <c r="A8374" s="753"/>
      <c r="B8374" s="753"/>
      <c r="C8374" s="752" t="s">
        <v>38949</v>
      </c>
      <c r="D8374" s="753" t="s">
        <v>38942</v>
      </c>
      <c r="E8374" s="752" t="s">
        <v>293</v>
      </c>
      <c r="F8374" s="751">
        <v>4265</v>
      </c>
    </row>
    <row r="8375" spans="1:6">
      <c r="A8375" s="753"/>
      <c r="B8375" s="753"/>
      <c r="C8375" s="752" t="s">
        <v>38948</v>
      </c>
      <c r="D8375" s="753" t="s">
        <v>38942</v>
      </c>
      <c r="E8375" s="752" t="s">
        <v>293</v>
      </c>
      <c r="F8375" s="751">
        <v>4265</v>
      </c>
    </row>
    <row r="8376" spans="1:6">
      <c r="A8376" s="753"/>
      <c r="B8376" s="753"/>
      <c r="C8376" s="752" t="s">
        <v>38947</v>
      </c>
      <c r="D8376" s="753" t="s">
        <v>38946</v>
      </c>
      <c r="E8376" s="752" t="s">
        <v>38828</v>
      </c>
      <c r="F8376" s="751">
        <v>4385</v>
      </c>
    </row>
    <row r="8377" spans="1:6">
      <c r="A8377" s="753"/>
      <c r="B8377" s="753"/>
      <c r="C8377" s="752" t="s">
        <v>38945</v>
      </c>
      <c r="D8377" s="753" t="s">
        <v>38944</v>
      </c>
      <c r="E8377" s="752" t="s">
        <v>293</v>
      </c>
      <c r="F8377" s="751">
        <v>4565</v>
      </c>
    </row>
    <row r="8378" spans="1:6">
      <c r="A8378" s="753"/>
      <c r="B8378" s="753"/>
      <c r="C8378" s="752" t="s">
        <v>38943</v>
      </c>
      <c r="D8378" s="753" t="s">
        <v>38942</v>
      </c>
      <c r="E8378" s="752" t="s">
        <v>293</v>
      </c>
      <c r="F8378" s="751">
        <v>4515</v>
      </c>
    </row>
    <row r="8379" spans="1:6">
      <c r="A8379" s="753"/>
      <c r="B8379" s="753"/>
      <c r="C8379" s="752" t="s">
        <v>38941</v>
      </c>
      <c r="D8379" s="753" t="s">
        <v>38940</v>
      </c>
      <c r="E8379" s="752" t="s">
        <v>293</v>
      </c>
      <c r="F8379" s="751">
        <v>4745</v>
      </c>
    </row>
    <row r="8380" spans="1:6">
      <c r="A8380" s="753"/>
      <c r="B8380" s="753"/>
      <c r="C8380" s="752" t="s">
        <v>38939</v>
      </c>
      <c r="D8380" s="753" t="s">
        <v>38938</v>
      </c>
      <c r="E8380" s="752" t="s">
        <v>293</v>
      </c>
      <c r="F8380" s="751">
        <v>5495</v>
      </c>
    </row>
    <row r="8381" spans="1:6">
      <c r="A8381" s="753"/>
      <c r="B8381" s="753"/>
      <c r="C8381" s="752" t="s">
        <v>38937</v>
      </c>
      <c r="D8381" s="753" t="s">
        <v>38936</v>
      </c>
      <c r="E8381" s="752" t="s">
        <v>293</v>
      </c>
      <c r="F8381" s="751">
        <v>8335</v>
      </c>
    </row>
    <row r="8382" spans="1:6">
      <c r="A8382" s="753"/>
      <c r="B8382" s="753"/>
      <c r="C8382" s="752" t="s">
        <v>38935</v>
      </c>
      <c r="D8382" s="753" t="s">
        <v>38924</v>
      </c>
      <c r="E8382" s="752" t="s">
        <v>293</v>
      </c>
      <c r="F8382" s="751">
        <v>2575</v>
      </c>
    </row>
    <row r="8383" spans="1:6">
      <c r="A8383" s="753"/>
      <c r="B8383" s="753"/>
      <c r="C8383" s="752" t="s">
        <v>38934</v>
      </c>
      <c r="D8383" s="753" t="s">
        <v>38924</v>
      </c>
      <c r="E8383" s="752" t="s">
        <v>293</v>
      </c>
      <c r="F8383" s="751">
        <v>2575</v>
      </c>
    </row>
    <row r="8384" spans="1:6">
      <c r="A8384" s="753"/>
      <c r="B8384" s="753"/>
      <c r="C8384" s="752" t="s">
        <v>38933</v>
      </c>
      <c r="D8384" s="753" t="s">
        <v>38924</v>
      </c>
      <c r="E8384" s="752" t="s">
        <v>293</v>
      </c>
      <c r="F8384" s="751">
        <v>2575</v>
      </c>
    </row>
    <row r="8385" spans="1:6">
      <c r="A8385" s="753"/>
      <c r="B8385" s="753"/>
      <c r="C8385" s="752" t="s">
        <v>38932</v>
      </c>
      <c r="D8385" s="753" t="s">
        <v>38924</v>
      </c>
      <c r="E8385" s="752" t="s">
        <v>38863</v>
      </c>
      <c r="F8385" s="751">
        <v>2575</v>
      </c>
    </row>
    <row r="8386" spans="1:6">
      <c r="A8386" s="753"/>
      <c r="B8386" s="753"/>
      <c r="C8386" s="752" t="s">
        <v>38931</v>
      </c>
      <c r="D8386" s="753" t="s">
        <v>38930</v>
      </c>
      <c r="E8386" s="752" t="s">
        <v>38929</v>
      </c>
      <c r="F8386" s="751">
        <v>2825</v>
      </c>
    </row>
    <row r="8387" spans="1:6">
      <c r="A8387" s="753"/>
      <c r="B8387" s="753"/>
      <c r="C8387" s="752" t="s">
        <v>38928</v>
      </c>
      <c r="D8387" s="753" t="s">
        <v>38924</v>
      </c>
      <c r="E8387" s="752" t="s">
        <v>37750</v>
      </c>
      <c r="F8387" s="751">
        <v>2325</v>
      </c>
    </row>
    <row r="8388" spans="1:6">
      <c r="A8388" s="753"/>
      <c r="B8388" s="753"/>
      <c r="C8388" s="752" t="s">
        <v>38927</v>
      </c>
      <c r="D8388" s="753" t="s">
        <v>38926</v>
      </c>
      <c r="E8388" s="752" t="s">
        <v>38863</v>
      </c>
      <c r="F8388" s="751">
        <v>2825</v>
      </c>
    </row>
    <row r="8389" spans="1:6">
      <c r="A8389" s="753"/>
      <c r="B8389" s="753"/>
      <c r="C8389" s="752" t="s">
        <v>38925</v>
      </c>
      <c r="D8389" s="753" t="s">
        <v>38924</v>
      </c>
      <c r="E8389" s="752" t="s">
        <v>38878</v>
      </c>
      <c r="F8389" s="751">
        <v>2775</v>
      </c>
    </row>
    <row r="8390" spans="1:6">
      <c r="A8390" s="753"/>
      <c r="B8390" s="753"/>
      <c r="C8390" s="752" t="s">
        <v>38923</v>
      </c>
      <c r="D8390" s="753" t="s">
        <v>38917</v>
      </c>
      <c r="E8390" s="752" t="s">
        <v>293</v>
      </c>
      <c r="F8390" s="751">
        <v>3125</v>
      </c>
    </row>
    <row r="8391" spans="1:6">
      <c r="A8391" s="753"/>
      <c r="B8391" s="753"/>
      <c r="C8391" s="752" t="s">
        <v>38922</v>
      </c>
      <c r="D8391" s="753" t="s">
        <v>38917</v>
      </c>
      <c r="E8391" s="752" t="s">
        <v>293</v>
      </c>
      <c r="F8391" s="751">
        <v>3125</v>
      </c>
    </row>
    <row r="8392" spans="1:6">
      <c r="A8392" s="753"/>
      <c r="B8392" s="753"/>
      <c r="C8392" s="752" t="s">
        <v>38921</v>
      </c>
      <c r="D8392" s="753" t="s">
        <v>38917</v>
      </c>
      <c r="E8392" s="752" t="s">
        <v>293</v>
      </c>
      <c r="F8392" s="751">
        <v>3125</v>
      </c>
    </row>
    <row r="8393" spans="1:6">
      <c r="A8393" s="753"/>
      <c r="B8393" s="753"/>
      <c r="C8393" s="752" t="s">
        <v>38920</v>
      </c>
      <c r="D8393" s="753" t="s">
        <v>38917</v>
      </c>
      <c r="E8393" s="752" t="s">
        <v>38919</v>
      </c>
      <c r="F8393" s="751">
        <v>3885</v>
      </c>
    </row>
    <row r="8394" spans="1:6">
      <c r="A8394" s="753"/>
      <c r="B8394" s="753"/>
      <c r="C8394" s="752" t="s">
        <v>38918</v>
      </c>
      <c r="D8394" s="753" t="s">
        <v>38917</v>
      </c>
      <c r="E8394" s="752" t="s">
        <v>38863</v>
      </c>
      <c r="F8394" s="751">
        <v>3125</v>
      </c>
    </row>
    <row r="8395" spans="1:6">
      <c r="A8395" s="753"/>
      <c r="B8395" s="753"/>
      <c r="C8395" s="752" t="s">
        <v>38916</v>
      </c>
      <c r="D8395" s="753" t="s">
        <v>38909</v>
      </c>
      <c r="E8395" s="752" t="s">
        <v>38863</v>
      </c>
      <c r="F8395" s="751">
        <v>3375</v>
      </c>
    </row>
    <row r="8396" spans="1:6">
      <c r="A8396" s="753"/>
      <c r="B8396" s="753"/>
      <c r="C8396" s="752" t="s">
        <v>38915</v>
      </c>
      <c r="D8396" s="753" t="s">
        <v>38909</v>
      </c>
      <c r="E8396" s="752" t="s">
        <v>38908</v>
      </c>
      <c r="F8396" s="751">
        <v>3175</v>
      </c>
    </row>
    <row r="8397" spans="1:6">
      <c r="A8397" s="753"/>
      <c r="B8397" s="753"/>
      <c r="C8397" s="752" t="s">
        <v>38914</v>
      </c>
      <c r="D8397" s="753" t="s">
        <v>38913</v>
      </c>
      <c r="E8397" s="752" t="s">
        <v>38863</v>
      </c>
      <c r="F8397" s="751">
        <v>3125</v>
      </c>
    </row>
    <row r="8398" spans="1:6">
      <c r="A8398" s="753"/>
      <c r="B8398" s="753"/>
      <c r="C8398" s="752" t="s">
        <v>38912</v>
      </c>
      <c r="D8398" s="753" t="s">
        <v>38911</v>
      </c>
      <c r="E8398" s="752" t="s">
        <v>38863</v>
      </c>
      <c r="F8398" s="751">
        <v>3375</v>
      </c>
    </row>
    <row r="8399" spans="1:6">
      <c r="A8399" s="753"/>
      <c r="B8399" s="753"/>
      <c r="C8399" s="752" t="s">
        <v>38910</v>
      </c>
      <c r="D8399" s="753" t="s">
        <v>38909</v>
      </c>
      <c r="E8399" s="752" t="s">
        <v>38908</v>
      </c>
      <c r="F8399" s="751">
        <v>3175</v>
      </c>
    </row>
    <row r="8400" spans="1:6">
      <c r="A8400" s="753"/>
      <c r="B8400" s="753"/>
      <c r="C8400" s="752" t="s">
        <v>38907</v>
      </c>
      <c r="D8400" s="753" t="s">
        <v>38896</v>
      </c>
      <c r="E8400" s="752" t="s">
        <v>293</v>
      </c>
      <c r="F8400" s="751">
        <v>2375</v>
      </c>
    </row>
    <row r="8401" spans="1:6">
      <c r="A8401" s="753"/>
      <c r="B8401" s="753"/>
      <c r="C8401" s="752" t="s">
        <v>38906</v>
      </c>
      <c r="D8401" s="753" t="s">
        <v>38896</v>
      </c>
      <c r="E8401" s="752" t="s">
        <v>293</v>
      </c>
      <c r="F8401" s="751">
        <v>2375</v>
      </c>
    </row>
    <row r="8402" spans="1:6">
      <c r="A8402" s="753"/>
      <c r="B8402" s="753"/>
      <c r="C8402" s="752" t="s">
        <v>38905</v>
      </c>
      <c r="D8402" s="753" t="s">
        <v>38896</v>
      </c>
      <c r="E8402" s="752" t="s">
        <v>293</v>
      </c>
      <c r="F8402" s="751">
        <v>2375</v>
      </c>
    </row>
    <row r="8403" spans="1:6">
      <c r="A8403" s="753"/>
      <c r="B8403" s="753"/>
      <c r="C8403" s="752" t="s">
        <v>38904</v>
      </c>
      <c r="D8403" s="753" t="s">
        <v>38896</v>
      </c>
      <c r="E8403" s="752" t="s">
        <v>37750</v>
      </c>
      <c r="F8403" s="751">
        <v>2125</v>
      </c>
    </row>
    <row r="8404" spans="1:6">
      <c r="A8404" s="753"/>
      <c r="B8404" s="753"/>
      <c r="C8404" s="752" t="s">
        <v>38903</v>
      </c>
      <c r="D8404" s="753" t="s">
        <v>38899</v>
      </c>
      <c r="E8404" s="752" t="s">
        <v>38863</v>
      </c>
      <c r="F8404" s="751">
        <v>2375</v>
      </c>
    </row>
    <row r="8405" spans="1:6">
      <c r="A8405" s="753"/>
      <c r="B8405" s="753"/>
      <c r="C8405" s="752" t="s">
        <v>38902</v>
      </c>
      <c r="D8405" s="753" t="s">
        <v>38896</v>
      </c>
      <c r="E8405" s="752" t="s">
        <v>38878</v>
      </c>
      <c r="F8405" s="751">
        <v>2575</v>
      </c>
    </row>
    <row r="8406" spans="1:6">
      <c r="A8406" s="753"/>
      <c r="B8406" s="753"/>
      <c r="C8406" s="752" t="s">
        <v>38901</v>
      </c>
      <c r="D8406" s="753" t="s">
        <v>38896</v>
      </c>
      <c r="E8406" s="752" t="s">
        <v>37750</v>
      </c>
      <c r="F8406" s="751">
        <v>2125</v>
      </c>
    </row>
    <row r="8407" spans="1:6">
      <c r="A8407" s="753"/>
      <c r="B8407" s="753"/>
      <c r="C8407" s="752" t="s">
        <v>38900</v>
      </c>
      <c r="D8407" s="753" t="s">
        <v>38899</v>
      </c>
      <c r="E8407" s="752" t="s">
        <v>38863</v>
      </c>
      <c r="F8407" s="751">
        <v>2625</v>
      </c>
    </row>
    <row r="8408" spans="1:6">
      <c r="A8408" s="753"/>
      <c r="B8408" s="753"/>
      <c r="C8408" s="752" t="s">
        <v>38898</v>
      </c>
      <c r="D8408" s="753" t="s">
        <v>38896</v>
      </c>
      <c r="E8408" s="752" t="s">
        <v>38878</v>
      </c>
      <c r="F8408" s="751">
        <v>2575</v>
      </c>
    </row>
    <row r="8409" spans="1:6">
      <c r="A8409" s="753"/>
      <c r="B8409" s="753"/>
      <c r="C8409" s="752" t="s">
        <v>38897</v>
      </c>
      <c r="D8409" s="753" t="s">
        <v>38896</v>
      </c>
      <c r="E8409" s="752" t="s">
        <v>37750</v>
      </c>
      <c r="F8409" s="751">
        <v>2125</v>
      </c>
    </row>
    <row r="8410" spans="1:6">
      <c r="A8410" s="753"/>
      <c r="B8410" s="753"/>
      <c r="C8410" s="752" t="s">
        <v>38895</v>
      </c>
      <c r="D8410" s="753" t="s">
        <v>38890</v>
      </c>
      <c r="E8410" s="752" t="s">
        <v>293</v>
      </c>
      <c r="F8410" s="751">
        <v>2925</v>
      </c>
    </row>
    <row r="8411" spans="1:6">
      <c r="A8411" s="753"/>
      <c r="B8411" s="753"/>
      <c r="C8411" s="752" t="s">
        <v>38894</v>
      </c>
      <c r="D8411" s="753" t="s">
        <v>38890</v>
      </c>
      <c r="E8411" s="752" t="s">
        <v>293</v>
      </c>
      <c r="F8411" s="751">
        <v>2925</v>
      </c>
    </row>
    <row r="8412" spans="1:6">
      <c r="A8412" s="753"/>
      <c r="B8412" s="753"/>
      <c r="C8412" s="752" t="s">
        <v>38893</v>
      </c>
      <c r="D8412" s="753" t="s">
        <v>38890</v>
      </c>
      <c r="E8412" s="752" t="s">
        <v>293</v>
      </c>
      <c r="F8412" s="751">
        <v>3175</v>
      </c>
    </row>
    <row r="8413" spans="1:6">
      <c r="A8413" s="753"/>
      <c r="B8413" s="753"/>
      <c r="C8413" s="752" t="s">
        <v>38892</v>
      </c>
      <c r="D8413" s="753" t="s">
        <v>38890</v>
      </c>
      <c r="E8413" s="752" t="s">
        <v>38863</v>
      </c>
      <c r="F8413" s="751">
        <v>2925</v>
      </c>
    </row>
    <row r="8414" spans="1:6">
      <c r="A8414" s="753"/>
      <c r="B8414" s="753"/>
      <c r="C8414" s="752" t="s">
        <v>38891</v>
      </c>
      <c r="D8414" s="753" t="s">
        <v>38890</v>
      </c>
      <c r="E8414" s="752" t="s">
        <v>38863</v>
      </c>
      <c r="F8414" s="751">
        <v>3075</v>
      </c>
    </row>
    <row r="8415" spans="1:6">
      <c r="A8415" s="753"/>
      <c r="B8415" s="753"/>
      <c r="C8415" s="752" t="s">
        <v>38889</v>
      </c>
      <c r="D8415" s="753" t="s">
        <v>38888</v>
      </c>
      <c r="E8415" s="752" t="s">
        <v>38863</v>
      </c>
      <c r="F8415" s="751">
        <v>3935</v>
      </c>
    </row>
    <row r="8416" spans="1:6">
      <c r="A8416" s="753"/>
      <c r="B8416" s="753"/>
      <c r="C8416" s="752" t="s">
        <v>38887</v>
      </c>
      <c r="D8416" s="753" t="s">
        <v>38886</v>
      </c>
      <c r="E8416" s="752" t="s">
        <v>293</v>
      </c>
      <c r="F8416" s="751">
        <v>2925</v>
      </c>
    </row>
    <row r="8417" spans="1:6">
      <c r="A8417" s="753"/>
      <c r="B8417" s="753"/>
      <c r="C8417" s="752" t="s">
        <v>38885</v>
      </c>
      <c r="D8417" s="753" t="s">
        <v>38876</v>
      </c>
      <c r="E8417" s="752" t="s">
        <v>293</v>
      </c>
      <c r="F8417" s="751">
        <v>2475</v>
      </c>
    </row>
    <row r="8418" spans="1:6">
      <c r="A8418" s="753"/>
      <c r="B8418" s="753"/>
      <c r="C8418" s="752" t="s">
        <v>38884</v>
      </c>
      <c r="D8418" s="753" t="s">
        <v>38880</v>
      </c>
      <c r="E8418" s="752" t="s">
        <v>38863</v>
      </c>
      <c r="F8418" s="751">
        <v>2475</v>
      </c>
    </row>
    <row r="8419" spans="1:6">
      <c r="A8419" s="753"/>
      <c r="B8419" s="753"/>
      <c r="C8419" s="752" t="s">
        <v>38883</v>
      </c>
      <c r="D8419" s="753" t="s">
        <v>38876</v>
      </c>
      <c r="E8419" s="752" t="s">
        <v>38878</v>
      </c>
      <c r="F8419" s="751">
        <v>2425</v>
      </c>
    </row>
    <row r="8420" spans="1:6">
      <c r="A8420" s="753"/>
      <c r="B8420" s="753"/>
      <c r="C8420" s="752" t="s">
        <v>38882</v>
      </c>
      <c r="D8420" s="753" t="s">
        <v>38876</v>
      </c>
      <c r="E8420" s="752" t="s">
        <v>37750</v>
      </c>
      <c r="F8420" s="751">
        <v>2225</v>
      </c>
    </row>
    <row r="8421" spans="1:6">
      <c r="A8421" s="753"/>
      <c r="B8421" s="753"/>
      <c r="C8421" s="752" t="s">
        <v>38881</v>
      </c>
      <c r="D8421" s="753" t="s">
        <v>38880</v>
      </c>
      <c r="E8421" s="752" t="s">
        <v>38863</v>
      </c>
      <c r="F8421" s="751">
        <v>2725</v>
      </c>
    </row>
    <row r="8422" spans="1:6">
      <c r="A8422" s="753"/>
      <c r="B8422" s="753"/>
      <c r="C8422" s="752" t="s">
        <v>38879</v>
      </c>
      <c r="D8422" s="753" t="s">
        <v>38876</v>
      </c>
      <c r="E8422" s="752" t="s">
        <v>38878</v>
      </c>
      <c r="F8422" s="751">
        <v>2675</v>
      </c>
    </row>
    <row r="8423" spans="1:6">
      <c r="A8423" s="753"/>
      <c r="B8423" s="753"/>
      <c r="C8423" s="752" t="s">
        <v>38877</v>
      </c>
      <c r="D8423" s="753" t="s">
        <v>38876</v>
      </c>
      <c r="E8423" s="752" t="s">
        <v>37750</v>
      </c>
      <c r="F8423" s="751">
        <v>2225</v>
      </c>
    </row>
    <row r="8424" spans="1:6">
      <c r="A8424" s="753"/>
      <c r="B8424" s="753"/>
      <c r="C8424" s="752" t="s">
        <v>38875</v>
      </c>
      <c r="D8424" s="753" t="s">
        <v>38867</v>
      </c>
      <c r="E8424" s="752" t="s">
        <v>38874</v>
      </c>
      <c r="F8424" s="751">
        <v>3785</v>
      </c>
    </row>
    <row r="8425" spans="1:6">
      <c r="A8425" s="753"/>
      <c r="B8425" s="753"/>
      <c r="C8425" s="752" t="s">
        <v>38873</v>
      </c>
      <c r="D8425" s="753" t="s">
        <v>38867</v>
      </c>
      <c r="E8425" s="752" t="s">
        <v>38872</v>
      </c>
      <c r="F8425" s="751">
        <v>3025</v>
      </c>
    </row>
    <row r="8426" spans="1:6">
      <c r="A8426" s="753"/>
      <c r="B8426" s="753"/>
      <c r="C8426" s="752" t="s">
        <v>38871</v>
      </c>
      <c r="D8426" s="753" t="s">
        <v>38870</v>
      </c>
      <c r="E8426" s="752" t="s">
        <v>38863</v>
      </c>
      <c r="F8426" s="751">
        <v>3785</v>
      </c>
    </row>
    <row r="8427" spans="1:6">
      <c r="A8427" s="753"/>
      <c r="B8427" s="753"/>
      <c r="C8427" s="752" t="s">
        <v>38869</v>
      </c>
      <c r="D8427" s="753" t="s">
        <v>38867</v>
      </c>
      <c r="E8427" s="752" t="s">
        <v>38863</v>
      </c>
      <c r="F8427" s="751">
        <v>3275</v>
      </c>
    </row>
    <row r="8428" spans="1:6">
      <c r="A8428" s="753"/>
      <c r="B8428" s="753"/>
      <c r="C8428" s="752" t="s">
        <v>38868</v>
      </c>
      <c r="D8428" s="753" t="s">
        <v>38867</v>
      </c>
      <c r="E8428" s="752" t="s">
        <v>38866</v>
      </c>
      <c r="F8428" s="751">
        <v>4035</v>
      </c>
    </row>
    <row r="8429" spans="1:6">
      <c r="A8429" s="753"/>
      <c r="B8429" s="753"/>
      <c r="C8429" s="752" t="s">
        <v>38865</v>
      </c>
      <c r="D8429" s="753" t="s">
        <v>38864</v>
      </c>
      <c r="E8429" s="752" t="s">
        <v>38863</v>
      </c>
      <c r="F8429" s="751">
        <v>3025</v>
      </c>
    </row>
    <row r="8430" spans="1:6">
      <c r="A8430" s="753"/>
      <c r="B8430" s="753" t="s">
        <v>38850</v>
      </c>
      <c r="C8430" s="752" t="s">
        <v>38862</v>
      </c>
      <c r="D8430" s="753" t="s">
        <v>38861</v>
      </c>
      <c r="E8430" s="752" t="s">
        <v>38337</v>
      </c>
      <c r="F8430" s="751">
        <v>3825</v>
      </c>
    </row>
    <row r="8431" spans="1:6">
      <c r="A8431" s="753"/>
      <c r="B8431" s="753"/>
      <c r="C8431" s="752" t="s">
        <v>38860</v>
      </c>
      <c r="D8431" s="753" t="s">
        <v>38859</v>
      </c>
      <c r="E8431" s="752" t="s">
        <v>37895</v>
      </c>
      <c r="F8431" s="751">
        <v>3525</v>
      </c>
    </row>
    <row r="8432" spans="1:6">
      <c r="A8432" s="753"/>
      <c r="B8432" s="753"/>
      <c r="C8432" s="752" t="s">
        <v>38858</v>
      </c>
      <c r="D8432" s="753" t="s">
        <v>38857</v>
      </c>
      <c r="E8432" s="752" t="s">
        <v>293</v>
      </c>
      <c r="F8432" s="751">
        <v>4525</v>
      </c>
    </row>
    <row r="8433" spans="1:6">
      <c r="A8433" s="753"/>
      <c r="B8433" s="753"/>
      <c r="C8433" s="752" t="s">
        <v>38856</v>
      </c>
      <c r="D8433" s="753" t="s">
        <v>38855</v>
      </c>
      <c r="E8433" s="752" t="s">
        <v>293</v>
      </c>
      <c r="F8433" s="751">
        <v>4525</v>
      </c>
    </row>
    <row r="8434" spans="1:6">
      <c r="A8434" s="753"/>
      <c r="B8434" s="753"/>
      <c r="C8434" s="752" t="s">
        <v>38854</v>
      </c>
      <c r="D8434" s="753" t="s">
        <v>38853</v>
      </c>
      <c r="E8434" s="752" t="s">
        <v>38852</v>
      </c>
      <c r="F8434" s="751">
        <v>2825</v>
      </c>
    </row>
    <row r="8435" spans="1:6">
      <c r="A8435" s="753"/>
      <c r="B8435" s="753"/>
      <c r="C8435" s="752" t="s">
        <v>38851</v>
      </c>
      <c r="D8435" s="753" t="s">
        <v>38850</v>
      </c>
      <c r="E8435" s="752" t="s">
        <v>37895</v>
      </c>
      <c r="F8435" s="751">
        <v>3525</v>
      </c>
    </row>
    <row r="8436" spans="1:6">
      <c r="A8436" s="753"/>
      <c r="B8436" s="753"/>
      <c r="C8436" s="752" t="s">
        <v>38849</v>
      </c>
      <c r="D8436" s="753" t="s">
        <v>38848</v>
      </c>
      <c r="E8436" s="752" t="s">
        <v>293</v>
      </c>
      <c r="F8436" s="751">
        <v>4325</v>
      </c>
    </row>
    <row r="8437" spans="1:6">
      <c r="A8437" s="753"/>
      <c r="B8437" s="753"/>
      <c r="C8437" s="752" t="s">
        <v>38847</v>
      </c>
      <c r="D8437" s="753" t="s">
        <v>38846</v>
      </c>
      <c r="E8437" s="752" t="s">
        <v>293</v>
      </c>
      <c r="F8437" s="751">
        <v>4425</v>
      </c>
    </row>
    <row r="8438" spans="1:6">
      <c r="A8438" s="753"/>
      <c r="B8438" s="753" t="s">
        <v>38845</v>
      </c>
      <c r="C8438" s="752" t="s">
        <v>38844</v>
      </c>
      <c r="D8438" s="753" t="s">
        <v>38842</v>
      </c>
      <c r="E8438" s="752" t="s">
        <v>38817</v>
      </c>
      <c r="F8438" s="751">
        <v>4615</v>
      </c>
    </row>
    <row r="8439" spans="1:6">
      <c r="A8439" s="753"/>
      <c r="B8439" s="753"/>
      <c r="C8439" s="752" t="s">
        <v>38843</v>
      </c>
      <c r="D8439" s="753" t="s">
        <v>38842</v>
      </c>
      <c r="E8439" s="752" t="s">
        <v>38841</v>
      </c>
      <c r="F8439" s="751">
        <v>5375</v>
      </c>
    </row>
    <row r="8440" spans="1:6">
      <c r="A8440" s="753"/>
      <c r="B8440" s="753"/>
      <c r="C8440" s="752" t="s">
        <v>38840</v>
      </c>
      <c r="D8440" s="753" t="s">
        <v>38839</v>
      </c>
      <c r="E8440" s="752" t="s">
        <v>38817</v>
      </c>
      <c r="F8440" s="751">
        <v>3875</v>
      </c>
    </row>
    <row r="8441" spans="1:6">
      <c r="A8441" s="753"/>
      <c r="B8441" s="753"/>
      <c r="C8441" s="752" t="s">
        <v>38838</v>
      </c>
      <c r="D8441" s="753" t="s">
        <v>38837</v>
      </c>
      <c r="E8441" s="752" t="s">
        <v>38769</v>
      </c>
      <c r="F8441" s="751">
        <v>4745</v>
      </c>
    </row>
    <row r="8442" spans="1:6">
      <c r="A8442" s="753"/>
      <c r="B8442" s="753"/>
      <c r="C8442" s="752" t="s">
        <v>38836</v>
      </c>
      <c r="D8442" s="753" t="s">
        <v>38835</v>
      </c>
      <c r="E8442" s="752" t="s">
        <v>38581</v>
      </c>
      <c r="F8442" s="751">
        <v>5195</v>
      </c>
    </row>
    <row r="8443" spans="1:6">
      <c r="A8443" s="753"/>
      <c r="B8443" s="753"/>
      <c r="C8443" s="752" t="s">
        <v>38834</v>
      </c>
      <c r="D8443" s="753" t="s">
        <v>38833</v>
      </c>
      <c r="E8443" s="752" t="s">
        <v>38581</v>
      </c>
      <c r="F8443" s="751">
        <v>8895</v>
      </c>
    </row>
    <row r="8444" spans="1:6">
      <c r="A8444" s="753"/>
      <c r="B8444" s="753"/>
      <c r="C8444" s="752" t="s">
        <v>38832</v>
      </c>
      <c r="D8444" s="753" t="s">
        <v>38831</v>
      </c>
      <c r="E8444" s="752" t="s">
        <v>38817</v>
      </c>
      <c r="F8444" s="751">
        <v>2925</v>
      </c>
    </row>
    <row r="8445" spans="1:6">
      <c r="A8445" s="753"/>
      <c r="B8445" s="753"/>
      <c r="C8445" s="752" t="s">
        <v>38830</v>
      </c>
      <c r="D8445" s="753" t="s">
        <v>38758</v>
      </c>
      <c r="E8445" s="752" t="s">
        <v>293</v>
      </c>
      <c r="F8445" s="751">
        <v>2825</v>
      </c>
    </row>
    <row r="8446" spans="1:6">
      <c r="A8446" s="753"/>
      <c r="B8446" s="753"/>
      <c r="C8446" s="752" t="s">
        <v>38829</v>
      </c>
      <c r="D8446" s="753" t="s">
        <v>38758</v>
      </c>
      <c r="E8446" s="752" t="s">
        <v>38828</v>
      </c>
      <c r="F8446" s="751">
        <v>3585</v>
      </c>
    </row>
    <row r="8447" spans="1:6">
      <c r="A8447" s="753"/>
      <c r="B8447" s="753"/>
      <c r="C8447" s="752" t="s">
        <v>38827</v>
      </c>
      <c r="D8447" s="753" t="s">
        <v>38824</v>
      </c>
      <c r="E8447" s="752" t="s">
        <v>38817</v>
      </c>
      <c r="F8447" s="751">
        <v>2825</v>
      </c>
    </row>
    <row r="8448" spans="1:6">
      <c r="A8448" s="753"/>
      <c r="B8448" s="753"/>
      <c r="C8448" s="752" t="s">
        <v>38826</v>
      </c>
      <c r="D8448" s="753" t="s">
        <v>38758</v>
      </c>
      <c r="E8448" s="752" t="s">
        <v>293</v>
      </c>
      <c r="F8448" s="751">
        <v>2825</v>
      </c>
    </row>
    <row r="8449" spans="1:6">
      <c r="A8449" s="753"/>
      <c r="B8449" s="753"/>
      <c r="C8449" s="752" t="s">
        <v>38825</v>
      </c>
      <c r="D8449" s="753" t="s">
        <v>38824</v>
      </c>
      <c r="E8449" s="752" t="s">
        <v>38817</v>
      </c>
      <c r="F8449" s="751">
        <v>2825</v>
      </c>
    </row>
    <row r="8450" spans="1:6">
      <c r="A8450" s="753"/>
      <c r="B8450" s="753"/>
      <c r="C8450" s="752" t="s">
        <v>38823</v>
      </c>
      <c r="D8450" s="753" t="s">
        <v>38820</v>
      </c>
      <c r="E8450" s="752" t="s">
        <v>293</v>
      </c>
      <c r="F8450" s="751">
        <v>3375</v>
      </c>
    </row>
    <row r="8451" spans="1:6">
      <c r="A8451" s="753"/>
      <c r="B8451" s="753"/>
      <c r="C8451" s="752" t="s">
        <v>38822</v>
      </c>
      <c r="D8451" s="753" t="s">
        <v>38820</v>
      </c>
      <c r="E8451" s="752" t="s">
        <v>38817</v>
      </c>
      <c r="F8451" s="751">
        <v>3375</v>
      </c>
    </row>
    <row r="8452" spans="1:6">
      <c r="A8452" s="753"/>
      <c r="B8452" s="753"/>
      <c r="C8452" s="752" t="s">
        <v>38821</v>
      </c>
      <c r="D8452" s="753" t="s">
        <v>38820</v>
      </c>
      <c r="E8452" s="752" t="s">
        <v>293</v>
      </c>
      <c r="F8452" s="751">
        <v>3375</v>
      </c>
    </row>
    <row r="8453" spans="1:6">
      <c r="A8453" s="753"/>
      <c r="B8453" s="753"/>
      <c r="C8453" s="752" t="s">
        <v>38819</v>
      </c>
      <c r="D8453" s="753" t="s">
        <v>38818</v>
      </c>
      <c r="E8453" s="752" t="s">
        <v>38817</v>
      </c>
      <c r="F8453" s="751">
        <v>3375</v>
      </c>
    </row>
    <row r="8454" spans="1:6">
      <c r="A8454" s="753"/>
      <c r="B8454" s="753"/>
      <c r="C8454" s="752" t="s">
        <v>38816</v>
      </c>
      <c r="D8454" s="753" t="s">
        <v>38781</v>
      </c>
      <c r="E8454" s="752" t="s">
        <v>293</v>
      </c>
      <c r="F8454" s="751">
        <v>2625</v>
      </c>
    </row>
    <row r="8455" spans="1:6">
      <c r="A8455" s="753"/>
      <c r="B8455" s="753"/>
      <c r="C8455" s="752" t="s">
        <v>38815</v>
      </c>
      <c r="D8455" s="753" t="s">
        <v>38781</v>
      </c>
      <c r="E8455" s="752" t="s">
        <v>38769</v>
      </c>
      <c r="F8455" s="751">
        <v>2625</v>
      </c>
    </row>
    <row r="8456" spans="1:6">
      <c r="A8456" s="753"/>
      <c r="B8456" s="753"/>
      <c r="C8456" s="752" t="s">
        <v>38814</v>
      </c>
      <c r="D8456" s="753" t="s">
        <v>38781</v>
      </c>
      <c r="E8456" s="752" t="s">
        <v>38813</v>
      </c>
      <c r="F8456" s="751">
        <v>3385</v>
      </c>
    </row>
    <row r="8457" spans="1:6">
      <c r="A8457" s="753"/>
      <c r="B8457" s="753"/>
      <c r="C8457" s="752" t="s">
        <v>38812</v>
      </c>
      <c r="D8457" s="753" t="s">
        <v>38781</v>
      </c>
      <c r="E8457" s="752" t="s">
        <v>38581</v>
      </c>
      <c r="F8457" s="751">
        <v>2625</v>
      </c>
    </row>
    <row r="8458" spans="1:6">
      <c r="A8458" s="753"/>
      <c r="B8458" s="753"/>
      <c r="C8458" s="752" t="s">
        <v>38811</v>
      </c>
      <c r="D8458" s="753" t="s">
        <v>38781</v>
      </c>
      <c r="E8458" s="752" t="s">
        <v>38810</v>
      </c>
      <c r="F8458" s="751">
        <v>3385</v>
      </c>
    </row>
    <row r="8459" spans="1:6">
      <c r="A8459" s="753"/>
      <c r="B8459" s="753"/>
      <c r="C8459" s="752" t="s">
        <v>38809</v>
      </c>
      <c r="D8459" s="753" t="s">
        <v>38781</v>
      </c>
      <c r="E8459" s="752" t="s">
        <v>38808</v>
      </c>
      <c r="F8459" s="751">
        <v>3385</v>
      </c>
    </row>
    <row r="8460" spans="1:6">
      <c r="A8460" s="753"/>
      <c r="B8460" s="753"/>
      <c r="C8460" s="752" t="s">
        <v>38807</v>
      </c>
      <c r="D8460" s="753" t="s">
        <v>38781</v>
      </c>
      <c r="E8460" s="752" t="s">
        <v>38550</v>
      </c>
      <c r="F8460" s="751">
        <v>3715</v>
      </c>
    </row>
    <row r="8461" spans="1:6">
      <c r="A8461" s="753"/>
      <c r="B8461" s="753"/>
      <c r="C8461" s="752" t="s">
        <v>38806</v>
      </c>
      <c r="D8461" s="753" t="s">
        <v>38781</v>
      </c>
      <c r="E8461" s="752" t="s">
        <v>293</v>
      </c>
      <c r="F8461" s="751">
        <v>2625</v>
      </c>
    </row>
    <row r="8462" spans="1:6">
      <c r="A8462" s="753"/>
      <c r="B8462" s="753"/>
      <c r="C8462" s="752" t="s">
        <v>38805</v>
      </c>
      <c r="D8462" s="753" t="s">
        <v>38781</v>
      </c>
      <c r="E8462" s="752" t="s">
        <v>38581</v>
      </c>
      <c r="F8462" s="751">
        <v>3385</v>
      </c>
    </row>
    <row r="8463" spans="1:6">
      <c r="A8463" s="753"/>
      <c r="B8463" s="753"/>
      <c r="C8463" s="752" t="s">
        <v>38804</v>
      </c>
      <c r="D8463" s="753" t="s">
        <v>38794</v>
      </c>
      <c r="E8463" s="752" t="s">
        <v>293</v>
      </c>
      <c r="F8463" s="751">
        <v>3175</v>
      </c>
    </row>
    <row r="8464" spans="1:6">
      <c r="A8464" s="753"/>
      <c r="B8464" s="753"/>
      <c r="C8464" s="752" t="s">
        <v>38803</v>
      </c>
      <c r="D8464" s="753" t="s">
        <v>38794</v>
      </c>
      <c r="E8464" s="752" t="s">
        <v>38670</v>
      </c>
      <c r="F8464" s="751">
        <v>3935</v>
      </c>
    </row>
    <row r="8465" spans="1:6">
      <c r="A8465" s="753"/>
      <c r="B8465" s="753"/>
      <c r="C8465" s="752" t="s">
        <v>38802</v>
      </c>
      <c r="D8465" s="753" t="s">
        <v>38794</v>
      </c>
      <c r="E8465" s="752" t="s">
        <v>38769</v>
      </c>
      <c r="F8465" s="751">
        <v>3175</v>
      </c>
    </row>
    <row r="8466" spans="1:6">
      <c r="A8466" s="753"/>
      <c r="B8466" s="753"/>
      <c r="C8466" s="752" t="s">
        <v>38801</v>
      </c>
      <c r="D8466" s="753" t="s">
        <v>38794</v>
      </c>
      <c r="E8466" s="752" t="s">
        <v>38581</v>
      </c>
      <c r="F8466" s="751">
        <v>3175</v>
      </c>
    </row>
    <row r="8467" spans="1:6">
      <c r="A8467" s="753"/>
      <c r="B8467" s="753"/>
      <c r="C8467" s="752" t="s">
        <v>38800</v>
      </c>
      <c r="D8467" s="753" t="s">
        <v>38794</v>
      </c>
      <c r="E8467" s="752" t="s">
        <v>38799</v>
      </c>
      <c r="F8467" s="751">
        <v>3935</v>
      </c>
    </row>
    <row r="8468" spans="1:6">
      <c r="A8468" s="753"/>
      <c r="B8468" s="753"/>
      <c r="C8468" s="752" t="s">
        <v>38798</v>
      </c>
      <c r="D8468" s="753" t="s">
        <v>38794</v>
      </c>
      <c r="E8468" s="752" t="s">
        <v>38550</v>
      </c>
      <c r="F8468" s="751">
        <v>4265</v>
      </c>
    </row>
    <row r="8469" spans="1:6">
      <c r="A8469" s="753"/>
      <c r="B8469" s="753"/>
      <c r="C8469" s="752" t="s">
        <v>38797</v>
      </c>
      <c r="D8469" s="753" t="s">
        <v>38794</v>
      </c>
      <c r="E8469" s="752" t="s">
        <v>293</v>
      </c>
      <c r="F8469" s="751">
        <v>3175</v>
      </c>
    </row>
    <row r="8470" spans="1:6">
      <c r="A8470" s="753"/>
      <c r="B8470" s="753"/>
      <c r="C8470" s="752" t="s">
        <v>38796</v>
      </c>
      <c r="D8470" s="753" t="s">
        <v>38794</v>
      </c>
      <c r="E8470" s="752" t="s">
        <v>38577</v>
      </c>
      <c r="F8470" s="751">
        <v>3935</v>
      </c>
    </row>
    <row r="8471" spans="1:6">
      <c r="A8471" s="753"/>
      <c r="B8471" s="753"/>
      <c r="C8471" s="752" t="s">
        <v>38795</v>
      </c>
      <c r="D8471" s="753" t="s">
        <v>38794</v>
      </c>
      <c r="E8471" s="752" t="s">
        <v>38581</v>
      </c>
      <c r="F8471" s="751">
        <v>3175</v>
      </c>
    </row>
    <row r="8472" spans="1:6">
      <c r="A8472" s="753"/>
      <c r="B8472" s="753"/>
      <c r="C8472" s="752" t="s">
        <v>38793</v>
      </c>
      <c r="D8472" s="753" t="s">
        <v>38790</v>
      </c>
      <c r="E8472" s="752" t="s">
        <v>293</v>
      </c>
      <c r="F8472" s="751">
        <v>3175</v>
      </c>
    </row>
    <row r="8473" spans="1:6">
      <c r="A8473" s="753"/>
      <c r="B8473" s="753"/>
      <c r="C8473" s="752" t="s">
        <v>38792</v>
      </c>
      <c r="D8473" s="753" t="s">
        <v>38790</v>
      </c>
      <c r="E8473" s="752" t="s">
        <v>38655</v>
      </c>
      <c r="F8473" s="751">
        <v>3175</v>
      </c>
    </row>
    <row r="8474" spans="1:6">
      <c r="A8474" s="753"/>
      <c r="B8474" s="753"/>
      <c r="C8474" s="752" t="s">
        <v>38791</v>
      </c>
      <c r="D8474" s="753" t="s">
        <v>38790</v>
      </c>
      <c r="E8474" s="752" t="s">
        <v>38789</v>
      </c>
      <c r="F8474" s="751">
        <v>3935</v>
      </c>
    </row>
    <row r="8475" spans="1:6">
      <c r="A8475" s="753"/>
      <c r="B8475" s="753"/>
      <c r="C8475" s="752" t="s">
        <v>38788</v>
      </c>
      <c r="D8475" s="753" t="s">
        <v>38784</v>
      </c>
      <c r="E8475" s="752" t="s">
        <v>293</v>
      </c>
      <c r="F8475" s="751">
        <v>3175</v>
      </c>
    </row>
    <row r="8476" spans="1:6">
      <c r="A8476" s="753"/>
      <c r="B8476" s="753"/>
      <c r="C8476" s="752" t="s">
        <v>38787</v>
      </c>
      <c r="D8476" s="753" t="s">
        <v>38784</v>
      </c>
      <c r="E8476" s="752" t="s">
        <v>38786</v>
      </c>
      <c r="F8476" s="751">
        <v>3935</v>
      </c>
    </row>
    <row r="8477" spans="1:6">
      <c r="A8477" s="753"/>
      <c r="B8477" s="753"/>
      <c r="C8477" s="752" t="s">
        <v>38785</v>
      </c>
      <c r="D8477" s="753" t="s">
        <v>38784</v>
      </c>
      <c r="E8477" s="752" t="s">
        <v>38783</v>
      </c>
      <c r="F8477" s="751">
        <v>3175</v>
      </c>
    </row>
    <row r="8478" spans="1:6">
      <c r="A8478" s="753"/>
      <c r="B8478" s="753"/>
      <c r="C8478" s="752" t="s">
        <v>38782</v>
      </c>
      <c r="D8478" s="753" t="s">
        <v>38781</v>
      </c>
      <c r="E8478" s="752" t="s">
        <v>38780</v>
      </c>
      <c r="F8478" s="751">
        <v>2625</v>
      </c>
    </row>
    <row r="8479" spans="1:6">
      <c r="A8479" s="753"/>
      <c r="B8479" s="753"/>
      <c r="C8479" s="752" t="s">
        <v>38779</v>
      </c>
      <c r="D8479" s="753" t="s">
        <v>38772</v>
      </c>
      <c r="E8479" s="752" t="s">
        <v>293</v>
      </c>
      <c r="F8479" s="751">
        <v>2725</v>
      </c>
    </row>
    <row r="8480" spans="1:6">
      <c r="A8480" s="753"/>
      <c r="B8480" s="753"/>
      <c r="C8480" s="752" t="s">
        <v>38778</v>
      </c>
      <c r="D8480" s="753" t="s">
        <v>38772</v>
      </c>
      <c r="E8480" s="752" t="s">
        <v>38777</v>
      </c>
      <c r="F8480" s="751">
        <v>2725</v>
      </c>
    </row>
    <row r="8481" spans="1:6">
      <c r="A8481" s="753"/>
      <c r="B8481" s="753"/>
      <c r="C8481" s="752" t="s">
        <v>38776</v>
      </c>
      <c r="D8481" s="753" t="s">
        <v>38772</v>
      </c>
      <c r="E8481" s="752" t="s">
        <v>38581</v>
      </c>
      <c r="F8481" s="751">
        <v>2725</v>
      </c>
    </row>
    <row r="8482" spans="1:6">
      <c r="A8482" s="753"/>
      <c r="B8482" s="753"/>
      <c r="C8482" s="752" t="s">
        <v>38775</v>
      </c>
      <c r="D8482" s="753" t="s">
        <v>38772</v>
      </c>
      <c r="E8482" s="752" t="s">
        <v>37750</v>
      </c>
      <c r="F8482" s="751">
        <v>2225</v>
      </c>
    </row>
    <row r="8483" spans="1:6">
      <c r="A8483" s="753"/>
      <c r="B8483" s="753"/>
      <c r="C8483" s="752" t="s">
        <v>38774</v>
      </c>
      <c r="D8483" s="753" t="s">
        <v>38772</v>
      </c>
      <c r="E8483" s="752" t="s">
        <v>38581</v>
      </c>
      <c r="F8483" s="751">
        <v>2725</v>
      </c>
    </row>
    <row r="8484" spans="1:6">
      <c r="A8484" s="753"/>
      <c r="B8484" s="753"/>
      <c r="C8484" s="752" t="s">
        <v>38773</v>
      </c>
      <c r="D8484" s="753" t="s">
        <v>38772</v>
      </c>
      <c r="E8484" s="752" t="s">
        <v>38771</v>
      </c>
      <c r="F8484" s="751">
        <v>3485</v>
      </c>
    </row>
    <row r="8485" spans="1:6">
      <c r="A8485" s="753"/>
      <c r="B8485" s="753"/>
      <c r="C8485" s="752" t="s">
        <v>38770</v>
      </c>
      <c r="D8485" s="753" t="s">
        <v>38764</v>
      </c>
      <c r="E8485" s="752" t="s">
        <v>38769</v>
      </c>
      <c r="F8485" s="751">
        <v>3275</v>
      </c>
    </row>
    <row r="8486" spans="1:6">
      <c r="A8486" s="753"/>
      <c r="B8486" s="753"/>
      <c r="C8486" s="752" t="s">
        <v>38768</v>
      </c>
      <c r="D8486" s="753" t="s">
        <v>38764</v>
      </c>
      <c r="E8486" s="752" t="s">
        <v>38581</v>
      </c>
      <c r="F8486" s="751">
        <v>3275</v>
      </c>
    </row>
    <row r="8487" spans="1:6">
      <c r="A8487" s="753"/>
      <c r="B8487" s="753"/>
      <c r="C8487" s="752" t="s">
        <v>38767</v>
      </c>
      <c r="D8487" s="753" t="s">
        <v>38764</v>
      </c>
      <c r="E8487" s="752" t="s">
        <v>38766</v>
      </c>
      <c r="F8487" s="751">
        <v>4135</v>
      </c>
    </row>
    <row r="8488" spans="1:6">
      <c r="A8488" s="753"/>
      <c r="B8488" s="753"/>
      <c r="C8488" s="752" t="s">
        <v>38765</v>
      </c>
      <c r="D8488" s="753" t="s">
        <v>38764</v>
      </c>
      <c r="E8488" s="752" t="s">
        <v>38581</v>
      </c>
      <c r="F8488" s="751">
        <v>3275</v>
      </c>
    </row>
    <row r="8489" spans="1:6">
      <c r="A8489" s="753"/>
      <c r="B8489" s="753"/>
      <c r="C8489" s="752" t="s">
        <v>38763</v>
      </c>
      <c r="D8489" s="753" t="s">
        <v>38762</v>
      </c>
      <c r="E8489" s="752" t="s">
        <v>293</v>
      </c>
      <c r="F8489" s="751">
        <v>3275</v>
      </c>
    </row>
    <row r="8490" spans="1:6">
      <c r="A8490" s="753"/>
      <c r="B8490" s="753"/>
      <c r="C8490" s="752" t="s">
        <v>38761</v>
      </c>
      <c r="D8490" s="753" t="s">
        <v>38760</v>
      </c>
      <c r="E8490" s="752" t="s">
        <v>38581</v>
      </c>
      <c r="F8490" s="751">
        <v>3275</v>
      </c>
    </row>
    <row r="8491" spans="1:6">
      <c r="A8491" s="753"/>
      <c r="B8491" s="753"/>
      <c r="C8491" s="752" t="s">
        <v>38759</v>
      </c>
      <c r="D8491" s="753" t="s">
        <v>38758</v>
      </c>
      <c r="E8491" s="752" t="s">
        <v>38757</v>
      </c>
      <c r="F8491" s="751">
        <v>2825</v>
      </c>
    </row>
    <row r="8492" spans="1:6">
      <c r="A8492" s="753"/>
      <c r="B8492" s="753" t="s">
        <v>38756</v>
      </c>
      <c r="C8492" s="752" t="s">
        <v>38755</v>
      </c>
      <c r="D8492" s="753" t="s">
        <v>38754</v>
      </c>
      <c r="E8492" s="752" t="s">
        <v>293</v>
      </c>
      <c r="F8492" s="751">
        <v>2375</v>
      </c>
    </row>
    <row r="8493" spans="1:6">
      <c r="A8493" s="753"/>
      <c r="B8493" s="753"/>
      <c r="C8493" s="752" t="s">
        <v>38753</v>
      </c>
      <c r="D8493" s="753" t="s">
        <v>38752</v>
      </c>
      <c r="E8493" s="752" t="s">
        <v>293</v>
      </c>
      <c r="F8493" s="751">
        <v>3125</v>
      </c>
    </row>
    <row r="8494" spans="1:6">
      <c r="A8494" s="753"/>
      <c r="B8494" s="753"/>
      <c r="C8494" s="752" t="s">
        <v>38751</v>
      </c>
      <c r="D8494" s="753" t="s">
        <v>38750</v>
      </c>
      <c r="E8494" s="752" t="s">
        <v>293</v>
      </c>
      <c r="F8494" s="751">
        <v>2175</v>
      </c>
    </row>
    <row r="8495" spans="1:6">
      <c r="A8495" s="753"/>
      <c r="B8495" s="753"/>
      <c r="C8495" s="752" t="s">
        <v>38749</v>
      </c>
      <c r="D8495" s="753" t="s">
        <v>38748</v>
      </c>
      <c r="E8495" s="752" t="s">
        <v>293</v>
      </c>
      <c r="F8495" s="751">
        <v>2725</v>
      </c>
    </row>
    <row r="8496" spans="1:6">
      <c r="A8496" s="753"/>
      <c r="B8496" s="753" t="s">
        <v>38747</v>
      </c>
      <c r="C8496" s="752" t="s">
        <v>38746</v>
      </c>
      <c r="D8496" s="753" t="s">
        <v>38745</v>
      </c>
      <c r="E8496" s="752" t="s">
        <v>293</v>
      </c>
      <c r="F8496" s="751">
        <v>4375</v>
      </c>
    </row>
    <row r="8497" spans="1:6">
      <c r="A8497" s="753"/>
      <c r="B8497" s="753"/>
      <c r="C8497" s="752" t="s">
        <v>38744</v>
      </c>
      <c r="D8497" s="753" t="s">
        <v>38743</v>
      </c>
      <c r="E8497" s="752" t="s">
        <v>38737</v>
      </c>
      <c r="F8497" s="751">
        <v>3025</v>
      </c>
    </row>
    <row r="8498" spans="1:6">
      <c r="A8498" s="753"/>
      <c r="B8498" s="753"/>
      <c r="C8498" s="752" t="s">
        <v>38742</v>
      </c>
      <c r="D8498" s="753" t="s">
        <v>38740</v>
      </c>
      <c r="E8498" s="752" t="s">
        <v>293</v>
      </c>
      <c r="F8498" s="751">
        <v>3975</v>
      </c>
    </row>
    <row r="8499" spans="1:6">
      <c r="A8499" s="753"/>
      <c r="B8499" s="753"/>
      <c r="C8499" s="752" t="s">
        <v>38741</v>
      </c>
      <c r="D8499" s="753" t="s">
        <v>38740</v>
      </c>
      <c r="E8499" s="752" t="s">
        <v>38002</v>
      </c>
      <c r="F8499" s="751">
        <v>4875</v>
      </c>
    </row>
    <row r="8500" spans="1:6">
      <c r="A8500" s="753"/>
      <c r="B8500" s="753"/>
      <c r="C8500" s="752" t="s">
        <v>38739</v>
      </c>
      <c r="D8500" s="753" t="s">
        <v>38738</v>
      </c>
      <c r="E8500" s="752" t="s">
        <v>38737</v>
      </c>
      <c r="F8500" s="751">
        <v>3025</v>
      </c>
    </row>
    <row r="8501" spans="1:6">
      <c r="A8501" s="753"/>
      <c r="B8501" s="753"/>
      <c r="C8501" s="752" t="s">
        <v>38736</v>
      </c>
      <c r="D8501" s="753" t="s">
        <v>38733</v>
      </c>
      <c r="E8501" s="752" t="s">
        <v>293</v>
      </c>
      <c r="F8501" s="751">
        <v>3775</v>
      </c>
    </row>
    <row r="8502" spans="1:6">
      <c r="A8502" s="753"/>
      <c r="B8502" s="753"/>
      <c r="C8502" s="752" t="s">
        <v>38735</v>
      </c>
      <c r="D8502" s="753" t="s">
        <v>38733</v>
      </c>
      <c r="E8502" s="752" t="s">
        <v>293</v>
      </c>
      <c r="F8502" s="751">
        <v>3775</v>
      </c>
    </row>
    <row r="8503" spans="1:6">
      <c r="A8503" s="753"/>
      <c r="B8503" s="753"/>
      <c r="C8503" s="752" t="s">
        <v>38734</v>
      </c>
      <c r="D8503" s="753" t="s">
        <v>38733</v>
      </c>
      <c r="E8503" s="752" t="s">
        <v>38732</v>
      </c>
      <c r="F8503" s="751">
        <v>5025</v>
      </c>
    </row>
    <row r="8504" spans="1:6">
      <c r="A8504" s="753"/>
      <c r="B8504" s="753"/>
      <c r="C8504" s="752" t="s">
        <v>38731</v>
      </c>
      <c r="D8504" s="753" t="s">
        <v>38730</v>
      </c>
      <c r="E8504" s="752" t="s">
        <v>293</v>
      </c>
      <c r="F8504" s="751">
        <v>3975</v>
      </c>
    </row>
    <row r="8505" spans="1:6">
      <c r="A8505" s="753"/>
      <c r="B8505" s="753"/>
      <c r="C8505" s="752" t="s">
        <v>38729</v>
      </c>
      <c r="D8505" s="753" t="s">
        <v>38728</v>
      </c>
      <c r="E8505" s="752" t="s">
        <v>38727</v>
      </c>
      <c r="F8505" s="751">
        <v>5125</v>
      </c>
    </row>
    <row r="8506" spans="1:6">
      <c r="A8506" s="753"/>
      <c r="B8506" s="753" t="s">
        <v>38726</v>
      </c>
      <c r="C8506" s="752" t="s">
        <v>38725</v>
      </c>
      <c r="D8506" s="753" t="s">
        <v>38724</v>
      </c>
      <c r="E8506" s="752" t="s">
        <v>293</v>
      </c>
      <c r="F8506" s="751">
        <v>3125</v>
      </c>
    </row>
    <row r="8507" spans="1:6">
      <c r="A8507" s="753"/>
      <c r="B8507" s="753"/>
      <c r="C8507" s="752" t="s">
        <v>38723</v>
      </c>
      <c r="D8507" s="753" t="s">
        <v>38722</v>
      </c>
      <c r="E8507" s="752" t="s">
        <v>293</v>
      </c>
      <c r="F8507" s="751">
        <v>3025</v>
      </c>
    </row>
    <row r="8508" spans="1:6">
      <c r="A8508" s="753"/>
      <c r="B8508" s="753" t="s">
        <v>38721</v>
      </c>
      <c r="C8508" s="752" t="s">
        <v>38720</v>
      </c>
      <c r="D8508" s="753" t="s">
        <v>38718</v>
      </c>
      <c r="E8508" s="752" t="s">
        <v>38705</v>
      </c>
      <c r="F8508" s="751">
        <v>2125</v>
      </c>
    </row>
    <row r="8509" spans="1:6">
      <c r="A8509" s="753"/>
      <c r="B8509" s="753"/>
      <c r="C8509" s="752" t="s">
        <v>38719</v>
      </c>
      <c r="D8509" s="753" t="s">
        <v>38718</v>
      </c>
      <c r="E8509" s="752" t="s">
        <v>38705</v>
      </c>
      <c r="F8509" s="751">
        <v>2575</v>
      </c>
    </row>
    <row r="8510" spans="1:6">
      <c r="A8510" s="753"/>
      <c r="B8510" s="753"/>
      <c r="C8510" s="752" t="s">
        <v>38717</v>
      </c>
      <c r="D8510" s="753" t="s">
        <v>38715</v>
      </c>
      <c r="E8510" s="752" t="s">
        <v>38705</v>
      </c>
      <c r="F8510" s="751">
        <v>2875</v>
      </c>
    </row>
    <row r="8511" spans="1:6">
      <c r="A8511" s="753"/>
      <c r="B8511" s="753"/>
      <c r="C8511" s="752" t="s">
        <v>38716</v>
      </c>
      <c r="D8511" s="753" t="s">
        <v>38715</v>
      </c>
      <c r="E8511" s="752" t="s">
        <v>38705</v>
      </c>
      <c r="F8511" s="751">
        <v>3125</v>
      </c>
    </row>
    <row r="8512" spans="1:6">
      <c r="A8512" s="753"/>
      <c r="B8512" s="753"/>
      <c r="C8512" s="752" t="s">
        <v>38714</v>
      </c>
      <c r="D8512" s="753" t="s">
        <v>38713</v>
      </c>
      <c r="E8512" s="752" t="s">
        <v>38705</v>
      </c>
      <c r="F8512" s="751">
        <v>3125</v>
      </c>
    </row>
    <row r="8513" spans="1:6">
      <c r="A8513" s="753"/>
      <c r="B8513" s="753"/>
      <c r="C8513" s="752" t="s">
        <v>38712</v>
      </c>
      <c r="D8513" s="753" t="s">
        <v>38709</v>
      </c>
      <c r="E8513" s="752" t="s">
        <v>38705</v>
      </c>
      <c r="F8513" s="751">
        <v>2175</v>
      </c>
    </row>
    <row r="8514" spans="1:6">
      <c r="A8514" s="753"/>
      <c r="B8514" s="753"/>
      <c r="C8514" s="752" t="s">
        <v>38711</v>
      </c>
      <c r="D8514" s="753" t="s">
        <v>38709</v>
      </c>
      <c r="E8514" s="752" t="s">
        <v>293</v>
      </c>
      <c r="F8514" s="751">
        <v>2375</v>
      </c>
    </row>
    <row r="8515" spans="1:6">
      <c r="A8515" s="753"/>
      <c r="B8515" s="753"/>
      <c r="C8515" s="752" t="s">
        <v>38710</v>
      </c>
      <c r="D8515" s="753" t="s">
        <v>38709</v>
      </c>
      <c r="E8515" s="752" t="s">
        <v>293</v>
      </c>
      <c r="F8515" s="751">
        <v>2375</v>
      </c>
    </row>
    <row r="8516" spans="1:6">
      <c r="A8516" s="753"/>
      <c r="B8516" s="753"/>
      <c r="C8516" s="752" t="s">
        <v>38708</v>
      </c>
      <c r="D8516" s="753" t="s">
        <v>38706</v>
      </c>
      <c r="E8516" s="752" t="s">
        <v>38705</v>
      </c>
      <c r="F8516" s="751">
        <v>2725</v>
      </c>
    </row>
    <row r="8517" spans="1:6">
      <c r="A8517" s="753"/>
      <c r="B8517" s="753"/>
      <c r="C8517" s="752" t="s">
        <v>38707</v>
      </c>
      <c r="D8517" s="753" t="s">
        <v>38706</v>
      </c>
      <c r="E8517" s="752" t="s">
        <v>38705</v>
      </c>
      <c r="F8517" s="751">
        <v>2925</v>
      </c>
    </row>
    <row r="8518" spans="1:6">
      <c r="A8518" s="753"/>
      <c r="B8518" s="753"/>
      <c r="C8518" s="752" t="s">
        <v>38704</v>
      </c>
      <c r="D8518" s="753" t="s">
        <v>38703</v>
      </c>
      <c r="E8518" s="752" t="s">
        <v>293</v>
      </c>
      <c r="F8518" s="751">
        <v>2225</v>
      </c>
    </row>
    <row r="8519" spans="1:6">
      <c r="A8519" s="753"/>
      <c r="B8519" s="753" t="s">
        <v>38702</v>
      </c>
      <c r="C8519" s="752" t="s">
        <v>38701</v>
      </c>
      <c r="D8519" s="753" t="s">
        <v>38698</v>
      </c>
      <c r="E8519" s="752" t="s">
        <v>38584</v>
      </c>
      <c r="F8519" s="751">
        <v>4595</v>
      </c>
    </row>
    <row r="8520" spans="1:6">
      <c r="A8520" s="753"/>
      <c r="B8520" s="753"/>
      <c r="C8520" s="752" t="s">
        <v>38700</v>
      </c>
      <c r="D8520" s="753" t="s">
        <v>38698</v>
      </c>
      <c r="E8520" s="752" t="s">
        <v>38584</v>
      </c>
      <c r="F8520" s="751">
        <v>4745</v>
      </c>
    </row>
    <row r="8521" spans="1:6">
      <c r="A8521" s="753"/>
      <c r="B8521" s="753"/>
      <c r="C8521" s="752" t="s">
        <v>38699</v>
      </c>
      <c r="D8521" s="753" t="s">
        <v>38698</v>
      </c>
      <c r="E8521" s="752" t="s">
        <v>38584</v>
      </c>
      <c r="F8521" s="751">
        <v>4745</v>
      </c>
    </row>
    <row r="8522" spans="1:6">
      <c r="A8522" s="753"/>
      <c r="B8522" s="753"/>
      <c r="C8522" s="752" t="s">
        <v>38697</v>
      </c>
      <c r="D8522" s="753" t="s">
        <v>38693</v>
      </c>
      <c r="E8522" s="752" t="s">
        <v>293</v>
      </c>
      <c r="F8522" s="751">
        <v>2325</v>
      </c>
    </row>
    <row r="8523" spans="1:6">
      <c r="A8523" s="753"/>
      <c r="B8523" s="753"/>
      <c r="C8523" s="752" t="s">
        <v>38696</v>
      </c>
      <c r="D8523" s="753" t="s">
        <v>38693</v>
      </c>
      <c r="E8523" s="752" t="s">
        <v>293</v>
      </c>
      <c r="F8523" s="751">
        <v>2575</v>
      </c>
    </row>
    <row r="8524" spans="1:6">
      <c r="A8524" s="753"/>
      <c r="B8524" s="753"/>
      <c r="C8524" s="752" t="s">
        <v>38695</v>
      </c>
      <c r="D8524" s="753" t="s">
        <v>38693</v>
      </c>
      <c r="E8524" s="752" t="s">
        <v>293</v>
      </c>
      <c r="F8524" s="751">
        <v>2575</v>
      </c>
    </row>
    <row r="8525" spans="1:6">
      <c r="A8525" s="753"/>
      <c r="B8525" s="753"/>
      <c r="C8525" s="752" t="s">
        <v>38694</v>
      </c>
      <c r="D8525" s="753" t="s">
        <v>38693</v>
      </c>
      <c r="E8525" s="752" t="s">
        <v>293</v>
      </c>
      <c r="F8525" s="751">
        <v>2575</v>
      </c>
    </row>
    <row r="8526" spans="1:6">
      <c r="A8526" s="753"/>
      <c r="B8526" s="753"/>
      <c r="C8526" s="752" t="s">
        <v>38692</v>
      </c>
      <c r="D8526" s="753" t="s">
        <v>38690</v>
      </c>
      <c r="E8526" s="752" t="s">
        <v>293</v>
      </c>
      <c r="F8526" s="751">
        <v>3125</v>
      </c>
    </row>
    <row r="8527" spans="1:6">
      <c r="A8527" s="753"/>
      <c r="B8527" s="753"/>
      <c r="C8527" s="752" t="s">
        <v>38691</v>
      </c>
      <c r="D8527" s="753" t="s">
        <v>38690</v>
      </c>
      <c r="E8527" s="752" t="s">
        <v>38686</v>
      </c>
      <c r="F8527" s="751">
        <v>3125</v>
      </c>
    </row>
    <row r="8528" spans="1:6">
      <c r="A8528" s="753"/>
      <c r="B8528" s="753"/>
      <c r="C8528" s="752" t="s">
        <v>38689</v>
      </c>
      <c r="D8528" s="753" t="s">
        <v>38684</v>
      </c>
      <c r="E8528" s="752" t="s">
        <v>293</v>
      </c>
      <c r="F8528" s="751">
        <v>2375</v>
      </c>
    </row>
    <row r="8529" spans="1:6">
      <c r="A8529" s="753"/>
      <c r="B8529" s="753"/>
      <c r="C8529" s="752" t="s">
        <v>38688</v>
      </c>
      <c r="D8529" s="753" t="s">
        <v>38684</v>
      </c>
      <c r="E8529" s="752" t="s">
        <v>293</v>
      </c>
      <c r="F8529" s="751">
        <v>2375</v>
      </c>
    </row>
    <row r="8530" spans="1:6">
      <c r="A8530" s="753"/>
      <c r="B8530" s="753"/>
      <c r="C8530" s="752" t="s">
        <v>38687</v>
      </c>
      <c r="D8530" s="753" t="s">
        <v>38684</v>
      </c>
      <c r="E8530" s="752" t="s">
        <v>38686</v>
      </c>
      <c r="F8530" s="751">
        <v>2125</v>
      </c>
    </row>
    <row r="8531" spans="1:6">
      <c r="A8531" s="753"/>
      <c r="B8531" s="753"/>
      <c r="C8531" s="752" t="s">
        <v>38685</v>
      </c>
      <c r="D8531" s="753" t="s">
        <v>38684</v>
      </c>
      <c r="E8531" s="752" t="s">
        <v>293</v>
      </c>
      <c r="F8531" s="751">
        <v>2375</v>
      </c>
    </row>
    <row r="8532" spans="1:6">
      <c r="A8532" s="753"/>
      <c r="B8532" s="753"/>
      <c r="C8532" s="752" t="s">
        <v>38683</v>
      </c>
      <c r="D8532" s="753" t="s">
        <v>38678</v>
      </c>
      <c r="E8532" s="752" t="s">
        <v>293</v>
      </c>
      <c r="F8532" s="751">
        <v>2925</v>
      </c>
    </row>
    <row r="8533" spans="1:6">
      <c r="A8533" s="753"/>
      <c r="B8533" s="753"/>
      <c r="C8533" s="752" t="s">
        <v>38682</v>
      </c>
      <c r="D8533" s="753" t="s">
        <v>38678</v>
      </c>
      <c r="E8533" s="752" t="s">
        <v>38577</v>
      </c>
      <c r="F8533" s="751">
        <v>3685</v>
      </c>
    </row>
    <row r="8534" spans="1:6">
      <c r="A8534" s="753"/>
      <c r="B8534" s="753"/>
      <c r="C8534" s="752" t="s">
        <v>38681</v>
      </c>
      <c r="D8534" s="753" t="s">
        <v>38678</v>
      </c>
      <c r="E8534" s="752" t="s">
        <v>293</v>
      </c>
      <c r="F8534" s="751">
        <v>2925</v>
      </c>
    </row>
    <row r="8535" spans="1:6">
      <c r="A8535" s="753"/>
      <c r="B8535" s="753"/>
      <c r="C8535" s="752" t="s">
        <v>38680</v>
      </c>
      <c r="D8535" s="753" t="s">
        <v>38678</v>
      </c>
      <c r="E8535" s="752" t="s">
        <v>293</v>
      </c>
      <c r="F8535" s="751">
        <v>2925</v>
      </c>
    </row>
    <row r="8536" spans="1:6">
      <c r="A8536" s="753"/>
      <c r="B8536" s="753"/>
      <c r="C8536" s="752" t="s">
        <v>38679</v>
      </c>
      <c r="D8536" s="753" t="s">
        <v>38678</v>
      </c>
      <c r="E8536" s="752" t="s">
        <v>293</v>
      </c>
      <c r="F8536" s="751">
        <v>2725</v>
      </c>
    </row>
    <row r="8537" spans="1:6">
      <c r="A8537" s="753"/>
      <c r="B8537" s="753"/>
      <c r="C8537" s="752" t="s">
        <v>38677</v>
      </c>
      <c r="D8537" s="753" t="s">
        <v>38676</v>
      </c>
      <c r="E8537" s="752" t="s">
        <v>38670</v>
      </c>
      <c r="F8537" s="751">
        <v>3685</v>
      </c>
    </row>
    <row r="8538" spans="1:6">
      <c r="A8538" s="753"/>
      <c r="B8538" s="753"/>
      <c r="C8538" s="752" t="s">
        <v>38675</v>
      </c>
      <c r="D8538" s="753" t="s">
        <v>38673</v>
      </c>
      <c r="E8538" s="752" t="s">
        <v>293</v>
      </c>
      <c r="F8538" s="751">
        <v>2475</v>
      </c>
    </row>
    <row r="8539" spans="1:6">
      <c r="A8539" s="753"/>
      <c r="B8539" s="753"/>
      <c r="C8539" s="752" t="s">
        <v>38674</v>
      </c>
      <c r="D8539" s="753" t="s">
        <v>38673</v>
      </c>
      <c r="E8539" s="752" t="s">
        <v>293</v>
      </c>
      <c r="F8539" s="751">
        <v>2475</v>
      </c>
    </row>
    <row r="8540" spans="1:6">
      <c r="A8540" s="753"/>
      <c r="B8540" s="753"/>
      <c r="C8540" s="752" t="s">
        <v>38672</v>
      </c>
      <c r="D8540" s="753" t="s">
        <v>38671</v>
      </c>
      <c r="E8540" s="752" t="s">
        <v>38670</v>
      </c>
      <c r="F8540" s="751">
        <v>3785</v>
      </c>
    </row>
    <row r="8541" spans="1:6">
      <c r="A8541" s="753"/>
      <c r="B8541" s="753" t="s">
        <v>38669</v>
      </c>
      <c r="C8541" s="752" t="s">
        <v>38668</v>
      </c>
      <c r="D8541" s="753" t="s">
        <v>38667</v>
      </c>
      <c r="E8541" s="752" t="s">
        <v>293</v>
      </c>
      <c r="F8541" s="751">
        <v>4765</v>
      </c>
    </row>
    <row r="8542" spans="1:6">
      <c r="A8542" s="753"/>
      <c r="B8542" s="753"/>
      <c r="C8542" s="752" t="s">
        <v>38666</v>
      </c>
      <c r="D8542" s="753" t="s">
        <v>38664</v>
      </c>
      <c r="E8542" s="752" t="s">
        <v>38587</v>
      </c>
      <c r="F8542" s="751">
        <v>3875</v>
      </c>
    </row>
    <row r="8543" spans="1:6">
      <c r="A8543" s="753"/>
      <c r="B8543" s="753"/>
      <c r="C8543" s="752" t="s">
        <v>38665</v>
      </c>
      <c r="D8543" s="753" t="s">
        <v>38664</v>
      </c>
      <c r="E8543" s="752" t="s">
        <v>38655</v>
      </c>
      <c r="F8543" s="751">
        <v>4065</v>
      </c>
    </row>
    <row r="8544" spans="1:6">
      <c r="A8544" s="753"/>
      <c r="B8544" s="753"/>
      <c r="C8544" s="752" t="s">
        <v>38663</v>
      </c>
      <c r="D8544" s="753" t="s">
        <v>38662</v>
      </c>
      <c r="E8544" s="752" t="s">
        <v>38584</v>
      </c>
      <c r="F8544" s="751">
        <v>8605</v>
      </c>
    </row>
    <row r="8545" spans="1:6">
      <c r="A8545" s="753"/>
      <c r="B8545" s="753"/>
      <c r="C8545" s="752" t="s">
        <v>38661</v>
      </c>
      <c r="D8545" s="753" t="s">
        <v>38660</v>
      </c>
      <c r="E8545" s="752" t="s">
        <v>38584</v>
      </c>
      <c r="F8545" s="751">
        <v>2925</v>
      </c>
    </row>
    <row r="8546" spans="1:6">
      <c r="A8546" s="753"/>
      <c r="B8546" s="753"/>
      <c r="C8546" s="752" t="s">
        <v>38659</v>
      </c>
      <c r="D8546" s="753" t="s">
        <v>38597</v>
      </c>
      <c r="E8546" s="752" t="s">
        <v>38587</v>
      </c>
      <c r="F8546" s="751">
        <v>2575</v>
      </c>
    </row>
    <row r="8547" spans="1:6">
      <c r="A8547" s="753"/>
      <c r="B8547" s="753"/>
      <c r="C8547" s="752" t="s">
        <v>38658</v>
      </c>
      <c r="D8547" s="753" t="s">
        <v>38597</v>
      </c>
      <c r="E8547" s="752" t="s">
        <v>38607</v>
      </c>
      <c r="F8547" s="751">
        <v>2825</v>
      </c>
    </row>
    <row r="8548" spans="1:6">
      <c r="A8548" s="753"/>
      <c r="B8548" s="753"/>
      <c r="C8548" s="752" t="s">
        <v>38657</v>
      </c>
      <c r="D8548" s="753" t="s">
        <v>38597</v>
      </c>
      <c r="E8548" s="752" t="s">
        <v>38587</v>
      </c>
      <c r="F8548" s="751">
        <v>2825</v>
      </c>
    </row>
    <row r="8549" spans="1:6">
      <c r="A8549" s="753"/>
      <c r="B8549" s="753"/>
      <c r="C8549" s="752" t="s">
        <v>38656</v>
      </c>
      <c r="D8549" s="753" t="s">
        <v>38597</v>
      </c>
      <c r="E8549" s="752" t="s">
        <v>38655</v>
      </c>
      <c r="F8549" s="751">
        <v>2825</v>
      </c>
    </row>
    <row r="8550" spans="1:6">
      <c r="A8550" s="753"/>
      <c r="B8550" s="753"/>
      <c r="C8550" s="752" t="s">
        <v>38654</v>
      </c>
      <c r="D8550" s="753" t="s">
        <v>38597</v>
      </c>
      <c r="E8550" s="752" t="s">
        <v>37750</v>
      </c>
      <c r="F8550" s="751">
        <v>2325</v>
      </c>
    </row>
    <row r="8551" spans="1:6">
      <c r="A8551" s="753"/>
      <c r="B8551" s="753"/>
      <c r="C8551" s="752" t="s">
        <v>38653</v>
      </c>
      <c r="D8551" s="753" t="s">
        <v>38597</v>
      </c>
      <c r="E8551" s="752" t="s">
        <v>38584</v>
      </c>
      <c r="F8551" s="751">
        <v>2825</v>
      </c>
    </row>
    <row r="8552" spans="1:6">
      <c r="A8552" s="753"/>
      <c r="B8552" s="753"/>
      <c r="C8552" s="752" t="s">
        <v>38652</v>
      </c>
      <c r="D8552" s="753" t="s">
        <v>38590</v>
      </c>
      <c r="E8552" s="752" t="s">
        <v>38587</v>
      </c>
      <c r="F8552" s="751">
        <v>3125</v>
      </c>
    </row>
    <row r="8553" spans="1:6">
      <c r="A8553" s="753"/>
      <c r="B8553" s="753"/>
      <c r="C8553" s="752" t="s">
        <v>38651</v>
      </c>
      <c r="D8553" s="753" t="s">
        <v>38590</v>
      </c>
      <c r="E8553" s="752" t="s">
        <v>38650</v>
      </c>
      <c r="F8553" s="751">
        <v>3885</v>
      </c>
    </row>
    <row r="8554" spans="1:6">
      <c r="A8554" s="753"/>
      <c r="B8554" s="753"/>
      <c r="C8554" s="752" t="s">
        <v>38649</v>
      </c>
      <c r="D8554" s="753" t="s">
        <v>38590</v>
      </c>
      <c r="E8554" s="752" t="s">
        <v>38607</v>
      </c>
      <c r="F8554" s="751">
        <v>3625</v>
      </c>
    </row>
    <row r="8555" spans="1:6">
      <c r="A8555" s="753"/>
      <c r="B8555" s="753"/>
      <c r="C8555" s="752" t="s">
        <v>38648</v>
      </c>
      <c r="D8555" s="753" t="s">
        <v>38590</v>
      </c>
      <c r="E8555" s="752" t="s">
        <v>38647</v>
      </c>
      <c r="F8555" s="751">
        <v>4385</v>
      </c>
    </row>
    <row r="8556" spans="1:6">
      <c r="A8556" s="753"/>
      <c r="B8556" s="753"/>
      <c r="C8556" s="752" t="s">
        <v>38646</v>
      </c>
      <c r="D8556" s="753" t="s">
        <v>38590</v>
      </c>
      <c r="E8556" s="752" t="s">
        <v>38587</v>
      </c>
      <c r="F8556" s="751">
        <v>3375</v>
      </c>
    </row>
    <row r="8557" spans="1:6">
      <c r="A8557" s="753"/>
      <c r="B8557" s="753"/>
      <c r="C8557" s="752" t="s">
        <v>38645</v>
      </c>
      <c r="D8557" s="753" t="s">
        <v>38590</v>
      </c>
      <c r="E8557" s="752" t="s">
        <v>38644</v>
      </c>
      <c r="F8557" s="751">
        <v>4135</v>
      </c>
    </row>
    <row r="8558" spans="1:6">
      <c r="A8558" s="753"/>
      <c r="B8558" s="753"/>
      <c r="C8558" s="752" t="s">
        <v>38643</v>
      </c>
      <c r="D8558" s="753" t="s">
        <v>38590</v>
      </c>
      <c r="E8558" s="752" t="s">
        <v>38584</v>
      </c>
      <c r="F8558" s="751">
        <v>3375</v>
      </c>
    </row>
    <row r="8559" spans="1:6">
      <c r="A8559" s="753"/>
      <c r="B8559" s="753"/>
      <c r="C8559" s="752" t="s">
        <v>38642</v>
      </c>
      <c r="D8559" s="753" t="s">
        <v>38639</v>
      </c>
      <c r="E8559" s="752" t="s">
        <v>38587</v>
      </c>
      <c r="F8559" s="751">
        <v>3125</v>
      </c>
    </row>
    <row r="8560" spans="1:6">
      <c r="A8560" s="753"/>
      <c r="B8560" s="753"/>
      <c r="C8560" s="752" t="s">
        <v>38641</v>
      </c>
      <c r="D8560" s="753" t="s">
        <v>38639</v>
      </c>
      <c r="E8560" s="752" t="s">
        <v>293</v>
      </c>
      <c r="F8560" s="751">
        <v>3625</v>
      </c>
    </row>
    <row r="8561" spans="1:6">
      <c r="A8561" s="753"/>
      <c r="B8561" s="753"/>
      <c r="C8561" s="752" t="s">
        <v>38640</v>
      </c>
      <c r="D8561" s="753" t="s">
        <v>38639</v>
      </c>
      <c r="E8561" s="752" t="s">
        <v>38587</v>
      </c>
      <c r="F8561" s="751">
        <v>3375</v>
      </c>
    </row>
    <row r="8562" spans="1:6">
      <c r="A8562" s="753"/>
      <c r="B8562" s="753"/>
      <c r="C8562" s="752" t="s">
        <v>38638</v>
      </c>
      <c r="D8562" s="753" t="s">
        <v>38637</v>
      </c>
      <c r="E8562" s="752" t="s">
        <v>38584</v>
      </c>
      <c r="F8562" s="751">
        <v>3375</v>
      </c>
    </row>
    <row r="8563" spans="1:6">
      <c r="A8563" s="753"/>
      <c r="B8563" s="753"/>
      <c r="C8563" s="752" t="s">
        <v>38636</v>
      </c>
      <c r="D8563" s="753" t="s">
        <v>38588</v>
      </c>
      <c r="E8563" s="752" t="s">
        <v>38587</v>
      </c>
      <c r="F8563" s="751">
        <v>2375</v>
      </c>
    </row>
    <row r="8564" spans="1:6">
      <c r="A8564" s="753"/>
      <c r="B8564" s="753"/>
      <c r="C8564" s="752" t="s">
        <v>38635</v>
      </c>
      <c r="D8564" s="753" t="s">
        <v>38588</v>
      </c>
      <c r="E8564" s="752" t="s">
        <v>38634</v>
      </c>
      <c r="F8564" s="751">
        <v>3135</v>
      </c>
    </row>
    <row r="8565" spans="1:6">
      <c r="A8565" s="753"/>
      <c r="B8565" s="753"/>
      <c r="C8565" s="752" t="s">
        <v>38633</v>
      </c>
      <c r="D8565" s="753" t="s">
        <v>38588</v>
      </c>
      <c r="E8565" s="752" t="s">
        <v>38607</v>
      </c>
      <c r="F8565" s="751">
        <v>2625</v>
      </c>
    </row>
    <row r="8566" spans="1:6">
      <c r="A8566" s="753"/>
      <c r="B8566" s="753"/>
      <c r="C8566" s="752" t="s">
        <v>38632</v>
      </c>
      <c r="D8566" s="753" t="s">
        <v>38588</v>
      </c>
      <c r="E8566" s="752" t="s">
        <v>38631</v>
      </c>
      <c r="F8566" s="751">
        <v>3385</v>
      </c>
    </row>
    <row r="8567" spans="1:6">
      <c r="A8567" s="753"/>
      <c r="B8567" s="753"/>
      <c r="C8567" s="752" t="s">
        <v>38630</v>
      </c>
      <c r="D8567" s="753" t="s">
        <v>38588</v>
      </c>
      <c r="E8567" s="752" t="s">
        <v>38629</v>
      </c>
      <c r="F8567" s="751">
        <v>2375</v>
      </c>
    </row>
    <row r="8568" spans="1:6">
      <c r="A8568" s="753"/>
      <c r="B8568" s="753"/>
      <c r="C8568" s="752" t="s">
        <v>38628</v>
      </c>
      <c r="D8568" s="753" t="s">
        <v>38588</v>
      </c>
      <c r="E8568" s="752" t="s">
        <v>38587</v>
      </c>
      <c r="F8568" s="751">
        <v>2625</v>
      </c>
    </row>
    <row r="8569" spans="1:6">
      <c r="A8569" s="753"/>
      <c r="B8569" s="753"/>
      <c r="C8569" s="752" t="s">
        <v>38627</v>
      </c>
      <c r="D8569" s="753" t="s">
        <v>38588</v>
      </c>
      <c r="E8569" s="752" t="s">
        <v>38584</v>
      </c>
      <c r="F8569" s="751">
        <v>2625</v>
      </c>
    </row>
    <row r="8570" spans="1:6">
      <c r="A8570" s="753"/>
      <c r="B8570" s="753"/>
      <c r="C8570" s="752" t="s">
        <v>38626</v>
      </c>
      <c r="D8570" s="753" t="s">
        <v>38592</v>
      </c>
      <c r="E8570" s="752" t="s">
        <v>38587</v>
      </c>
      <c r="F8570" s="751">
        <v>2925</v>
      </c>
    </row>
    <row r="8571" spans="1:6">
      <c r="A8571" s="753"/>
      <c r="B8571" s="753"/>
      <c r="C8571" s="752" t="s">
        <v>38625</v>
      </c>
      <c r="D8571" s="753" t="s">
        <v>38592</v>
      </c>
      <c r="E8571" s="752" t="s">
        <v>38607</v>
      </c>
      <c r="F8571" s="751">
        <v>3175</v>
      </c>
    </row>
    <row r="8572" spans="1:6">
      <c r="A8572" s="753"/>
      <c r="B8572" s="753"/>
      <c r="C8572" s="752" t="s">
        <v>38624</v>
      </c>
      <c r="D8572" s="753" t="s">
        <v>38592</v>
      </c>
      <c r="E8572" s="752" t="s">
        <v>38623</v>
      </c>
      <c r="F8572" s="751">
        <v>4185</v>
      </c>
    </row>
    <row r="8573" spans="1:6">
      <c r="A8573" s="753"/>
      <c r="B8573" s="753"/>
      <c r="C8573" s="752" t="s">
        <v>38622</v>
      </c>
      <c r="D8573" s="753" t="s">
        <v>38592</v>
      </c>
      <c r="E8573" s="752" t="s">
        <v>38587</v>
      </c>
      <c r="F8573" s="751">
        <v>3935</v>
      </c>
    </row>
    <row r="8574" spans="1:6">
      <c r="A8574" s="753"/>
      <c r="B8574" s="753"/>
      <c r="C8574" s="752" t="s">
        <v>38621</v>
      </c>
      <c r="D8574" s="753" t="s">
        <v>38592</v>
      </c>
      <c r="E8574" s="752" t="s">
        <v>38620</v>
      </c>
      <c r="F8574" s="751">
        <v>3935</v>
      </c>
    </row>
    <row r="8575" spans="1:6">
      <c r="A8575" s="753"/>
      <c r="B8575" s="753"/>
      <c r="C8575" s="752" t="s">
        <v>38619</v>
      </c>
      <c r="D8575" s="753" t="s">
        <v>38592</v>
      </c>
      <c r="E8575" s="752" t="s">
        <v>38607</v>
      </c>
      <c r="F8575" s="751">
        <v>3425</v>
      </c>
    </row>
    <row r="8576" spans="1:6">
      <c r="A8576" s="753"/>
      <c r="B8576" s="753"/>
      <c r="C8576" s="752" t="s">
        <v>38618</v>
      </c>
      <c r="D8576" s="753" t="s">
        <v>38617</v>
      </c>
      <c r="E8576" s="752" t="s">
        <v>38607</v>
      </c>
      <c r="F8576" s="751">
        <v>3175</v>
      </c>
    </row>
    <row r="8577" spans="1:6">
      <c r="A8577" s="753"/>
      <c r="B8577" s="753"/>
      <c r="C8577" s="752" t="s">
        <v>38616</v>
      </c>
      <c r="D8577" s="753" t="s">
        <v>38615</v>
      </c>
      <c r="E8577" s="752" t="s">
        <v>38587</v>
      </c>
      <c r="F8577" s="751">
        <v>3175</v>
      </c>
    </row>
    <row r="8578" spans="1:6">
      <c r="A8578" s="753"/>
      <c r="B8578" s="753"/>
      <c r="C8578" s="752" t="s">
        <v>38614</v>
      </c>
      <c r="D8578" s="753" t="s">
        <v>38592</v>
      </c>
      <c r="E8578" s="752" t="s">
        <v>38613</v>
      </c>
      <c r="F8578" s="751">
        <v>3935</v>
      </c>
    </row>
    <row r="8579" spans="1:6">
      <c r="A8579" s="753"/>
      <c r="B8579" s="753"/>
      <c r="C8579" s="752" t="s">
        <v>38612</v>
      </c>
      <c r="D8579" s="753" t="s">
        <v>38611</v>
      </c>
      <c r="E8579" s="752" t="s">
        <v>38610</v>
      </c>
      <c r="F8579" s="751">
        <v>2725</v>
      </c>
    </row>
    <row r="8580" spans="1:6">
      <c r="A8580" s="753"/>
      <c r="B8580" s="753"/>
      <c r="C8580" s="752" t="s">
        <v>38609</v>
      </c>
      <c r="D8580" s="753" t="s">
        <v>38595</v>
      </c>
      <c r="E8580" s="752" t="s">
        <v>38584</v>
      </c>
      <c r="F8580" s="751">
        <v>2725</v>
      </c>
    </row>
    <row r="8581" spans="1:6">
      <c r="A8581" s="753"/>
      <c r="B8581" s="753"/>
      <c r="C8581" s="752" t="s">
        <v>38608</v>
      </c>
      <c r="D8581" s="753" t="s">
        <v>38582</v>
      </c>
      <c r="E8581" s="752" t="s">
        <v>38607</v>
      </c>
      <c r="F8581" s="751">
        <v>3275</v>
      </c>
    </row>
    <row r="8582" spans="1:6">
      <c r="A8582" s="753"/>
      <c r="B8582" s="753"/>
      <c r="C8582" s="752" t="s">
        <v>38606</v>
      </c>
      <c r="D8582" s="753" t="s">
        <v>38582</v>
      </c>
      <c r="E8582" s="752" t="s">
        <v>38587</v>
      </c>
      <c r="F8582" s="751">
        <v>3275</v>
      </c>
    </row>
    <row r="8583" spans="1:6">
      <c r="A8583" s="753"/>
      <c r="B8583" s="753"/>
      <c r="C8583" s="752" t="s">
        <v>38605</v>
      </c>
      <c r="D8583" s="753" t="s">
        <v>38582</v>
      </c>
      <c r="E8583" s="752" t="s">
        <v>38604</v>
      </c>
      <c r="F8583" s="751">
        <v>4035</v>
      </c>
    </row>
    <row r="8584" spans="1:6">
      <c r="A8584" s="753"/>
      <c r="B8584" s="753"/>
      <c r="C8584" s="752" t="s">
        <v>38603</v>
      </c>
      <c r="D8584" s="753" t="s">
        <v>38582</v>
      </c>
      <c r="E8584" s="752" t="s">
        <v>38602</v>
      </c>
      <c r="F8584" s="751">
        <v>4365</v>
      </c>
    </row>
    <row r="8585" spans="1:6">
      <c r="A8585" s="753"/>
      <c r="B8585" s="753"/>
      <c r="C8585" s="752" t="s">
        <v>38601</v>
      </c>
      <c r="D8585" s="753" t="s">
        <v>38582</v>
      </c>
      <c r="E8585" s="752" t="s">
        <v>38587</v>
      </c>
      <c r="F8585" s="751">
        <v>3655</v>
      </c>
    </row>
    <row r="8586" spans="1:6">
      <c r="A8586" s="753"/>
      <c r="B8586" s="753"/>
      <c r="C8586" s="752" t="s">
        <v>38600</v>
      </c>
      <c r="D8586" s="753" t="s">
        <v>38599</v>
      </c>
      <c r="E8586" s="752" t="s">
        <v>38587</v>
      </c>
      <c r="F8586" s="751">
        <v>3275</v>
      </c>
    </row>
    <row r="8587" spans="1:6">
      <c r="A8587" s="753"/>
      <c r="B8587" s="753"/>
      <c r="C8587" s="752" t="s">
        <v>38598</v>
      </c>
      <c r="D8587" s="753" t="s">
        <v>38597</v>
      </c>
      <c r="E8587" s="752" t="s">
        <v>38587</v>
      </c>
      <c r="F8587" s="751">
        <v>3205</v>
      </c>
    </row>
    <row r="8588" spans="1:6">
      <c r="A8588" s="753"/>
      <c r="B8588" s="753"/>
      <c r="C8588" s="752" t="s">
        <v>38596</v>
      </c>
      <c r="D8588" s="753" t="s">
        <v>38595</v>
      </c>
      <c r="E8588" s="752" t="s">
        <v>38587</v>
      </c>
      <c r="F8588" s="751">
        <v>3105</v>
      </c>
    </row>
    <row r="8589" spans="1:6">
      <c r="A8589" s="753"/>
      <c r="B8589" s="753"/>
      <c r="C8589" s="752" t="s">
        <v>38594</v>
      </c>
      <c r="D8589" s="753" t="s">
        <v>38592</v>
      </c>
      <c r="E8589" s="752" t="s">
        <v>38587</v>
      </c>
      <c r="F8589" s="751">
        <v>3555</v>
      </c>
    </row>
    <row r="8590" spans="1:6">
      <c r="A8590" s="753"/>
      <c r="B8590" s="753"/>
      <c r="C8590" s="752" t="s">
        <v>38593</v>
      </c>
      <c r="D8590" s="753" t="s">
        <v>38592</v>
      </c>
      <c r="E8590" s="752" t="s">
        <v>38581</v>
      </c>
      <c r="F8590" s="751">
        <v>3175</v>
      </c>
    </row>
    <row r="8591" spans="1:6">
      <c r="A8591" s="753"/>
      <c r="B8591" s="753"/>
      <c r="C8591" s="752" t="s">
        <v>38591</v>
      </c>
      <c r="D8591" s="753" t="s">
        <v>38590</v>
      </c>
      <c r="E8591" s="752" t="s">
        <v>38570</v>
      </c>
      <c r="F8591" s="751">
        <v>3755</v>
      </c>
    </row>
    <row r="8592" spans="1:6">
      <c r="A8592" s="753"/>
      <c r="B8592" s="753"/>
      <c r="C8592" s="752" t="s">
        <v>38589</v>
      </c>
      <c r="D8592" s="753" t="s">
        <v>38588</v>
      </c>
      <c r="E8592" s="752" t="s">
        <v>38587</v>
      </c>
      <c r="F8592" s="751">
        <v>3005</v>
      </c>
    </row>
    <row r="8593" spans="1:6">
      <c r="A8593" s="753"/>
      <c r="B8593" s="753"/>
      <c r="C8593" s="752" t="s">
        <v>38586</v>
      </c>
      <c r="D8593" s="753" t="s">
        <v>38585</v>
      </c>
      <c r="E8593" s="752" t="s">
        <v>38584</v>
      </c>
      <c r="F8593" s="751">
        <v>4415</v>
      </c>
    </row>
    <row r="8594" spans="1:6">
      <c r="A8594" s="753"/>
      <c r="B8594" s="753"/>
      <c r="C8594" s="752" t="s">
        <v>38583</v>
      </c>
      <c r="D8594" s="753" t="s">
        <v>38582</v>
      </c>
      <c r="E8594" s="752" t="s">
        <v>38581</v>
      </c>
      <c r="F8594" s="751">
        <v>3655</v>
      </c>
    </row>
    <row r="8595" spans="1:6">
      <c r="A8595" s="753"/>
      <c r="B8595" s="753" t="s">
        <v>38580</v>
      </c>
      <c r="C8595" s="752" t="s">
        <v>38579</v>
      </c>
      <c r="D8595" s="753" t="s">
        <v>38578</v>
      </c>
      <c r="E8595" s="752" t="s">
        <v>38577</v>
      </c>
      <c r="F8595" s="751">
        <v>5475</v>
      </c>
    </row>
    <row r="8596" spans="1:6">
      <c r="A8596" s="753"/>
      <c r="B8596" s="753"/>
      <c r="C8596" s="752" t="s">
        <v>38576</v>
      </c>
      <c r="D8596" s="753" t="s">
        <v>38574</v>
      </c>
      <c r="E8596" s="752" t="s">
        <v>38570</v>
      </c>
      <c r="F8596" s="751">
        <v>5925</v>
      </c>
    </row>
    <row r="8597" spans="1:6">
      <c r="A8597" s="753"/>
      <c r="B8597" s="753"/>
      <c r="C8597" s="752" t="s">
        <v>38575</v>
      </c>
      <c r="D8597" s="753" t="s">
        <v>38574</v>
      </c>
      <c r="E8597" s="752" t="s">
        <v>38570</v>
      </c>
      <c r="F8597" s="751">
        <v>5925</v>
      </c>
    </row>
    <row r="8598" spans="1:6">
      <c r="A8598" s="753"/>
      <c r="B8598" s="753"/>
      <c r="C8598" s="752" t="s">
        <v>38573</v>
      </c>
      <c r="D8598" s="753" t="s">
        <v>38567</v>
      </c>
      <c r="E8598" s="752" t="s">
        <v>293</v>
      </c>
      <c r="F8598" s="751">
        <v>2825</v>
      </c>
    </row>
    <row r="8599" spans="1:6">
      <c r="A8599" s="753"/>
      <c r="B8599" s="753"/>
      <c r="C8599" s="752" t="s">
        <v>38572</v>
      </c>
      <c r="D8599" s="753" t="s">
        <v>38567</v>
      </c>
      <c r="E8599" s="752" t="s">
        <v>293</v>
      </c>
      <c r="F8599" s="751">
        <v>3075</v>
      </c>
    </row>
    <row r="8600" spans="1:6">
      <c r="A8600" s="753"/>
      <c r="B8600" s="753"/>
      <c r="C8600" s="752" t="s">
        <v>38571</v>
      </c>
      <c r="D8600" s="753" t="s">
        <v>38567</v>
      </c>
      <c r="E8600" s="752" t="s">
        <v>38570</v>
      </c>
      <c r="F8600" s="751">
        <v>2825</v>
      </c>
    </row>
    <row r="8601" spans="1:6">
      <c r="A8601" s="753"/>
      <c r="B8601" s="753"/>
      <c r="C8601" s="752" t="s">
        <v>38569</v>
      </c>
      <c r="D8601" s="753" t="s">
        <v>38567</v>
      </c>
      <c r="E8601" s="752" t="s">
        <v>38536</v>
      </c>
      <c r="F8601" s="751">
        <v>2325</v>
      </c>
    </row>
    <row r="8602" spans="1:6">
      <c r="A8602" s="753"/>
      <c r="B8602" s="753"/>
      <c r="C8602" s="752" t="s">
        <v>38568</v>
      </c>
      <c r="D8602" s="753" t="s">
        <v>38567</v>
      </c>
      <c r="E8602" s="752" t="s">
        <v>293</v>
      </c>
      <c r="F8602" s="751">
        <v>2825</v>
      </c>
    </row>
    <row r="8603" spans="1:6">
      <c r="A8603" s="753"/>
      <c r="B8603" s="753"/>
      <c r="C8603" s="752" t="s">
        <v>38566</v>
      </c>
      <c r="D8603" s="753" t="s">
        <v>38564</v>
      </c>
      <c r="E8603" s="752" t="s">
        <v>293</v>
      </c>
      <c r="F8603" s="751">
        <v>3375</v>
      </c>
    </row>
    <row r="8604" spans="1:6">
      <c r="A8604" s="753"/>
      <c r="B8604" s="753"/>
      <c r="C8604" s="752" t="s">
        <v>38565</v>
      </c>
      <c r="D8604" s="753" t="s">
        <v>38564</v>
      </c>
      <c r="E8604" s="752" t="s">
        <v>293</v>
      </c>
      <c r="F8604" s="751">
        <v>3625</v>
      </c>
    </row>
    <row r="8605" spans="1:6">
      <c r="A8605" s="753"/>
      <c r="B8605" s="753"/>
      <c r="C8605" s="752" t="s">
        <v>38563</v>
      </c>
      <c r="D8605" s="753" t="s">
        <v>38561</v>
      </c>
      <c r="E8605" s="752" t="s">
        <v>293</v>
      </c>
      <c r="F8605" s="751">
        <v>3375</v>
      </c>
    </row>
    <row r="8606" spans="1:6">
      <c r="A8606" s="753"/>
      <c r="B8606" s="753"/>
      <c r="C8606" s="752" t="s">
        <v>38562</v>
      </c>
      <c r="D8606" s="753" t="s">
        <v>38561</v>
      </c>
      <c r="E8606" s="752" t="s">
        <v>293</v>
      </c>
      <c r="F8606" s="751">
        <v>3625</v>
      </c>
    </row>
    <row r="8607" spans="1:6">
      <c r="A8607" s="753"/>
      <c r="B8607" s="753"/>
      <c r="C8607" s="752" t="s">
        <v>38560</v>
      </c>
      <c r="D8607" s="753" t="s">
        <v>38559</v>
      </c>
      <c r="E8607" s="752" t="s">
        <v>38536</v>
      </c>
      <c r="F8607" s="751">
        <v>2145</v>
      </c>
    </row>
    <row r="8608" spans="1:6">
      <c r="A8608" s="753"/>
      <c r="B8608" s="753"/>
      <c r="C8608" s="752" t="s">
        <v>38558</v>
      </c>
      <c r="D8608" s="753" t="s">
        <v>38555</v>
      </c>
      <c r="E8608" s="752" t="s">
        <v>293</v>
      </c>
      <c r="F8608" s="751">
        <v>2875</v>
      </c>
    </row>
    <row r="8609" spans="1:6">
      <c r="A8609" s="753"/>
      <c r="B8609" s="753"/>
      <c r="C8609" s="752" t="s">
        <v>38557</v>
      </c>
      <c r="D8609" s="753" t="s">
        <v>38555</v>
      </c>
      <c r="E8609" s="752" t="s">
        <v>293</v>
      </c>
      <c r="F8609" s="751">
        <v>2875</v>
      </c>
    </row>
    <row r="8610" spans="1:6">
      <c r="A8610" s="753"/>
      <c r="B8610" s="753"/>
      <c r="C8610" s="752" t="s">
        <v>38556</v>
      </c>
      <c r="D8610" s="753" t="s">
        <v>38555</v>
      </c>
      <c r="E8610" s="752" t="s">
        <v>293</v>
      </c>
      <c r="F8610" s="751">
        <v>2875</v>
      </c>
    </row>
    <row r="8611" spans="1:6">
      <c r="A8611" s="753"/>
      <c r="B8611" s="753"/>
      <c r="C8611" s="752" t="s">
        <v>38554</v>
      </c>
      <c r="D8611" s="753" t="s">
        <v>38551</v>
      </c>
      <c r="E8611" s="752" t="s">
        <v>293</v>
      </c>
      <c r="F8611" s="751">
        <v>3425</v>
      </c>
    </row>
    <row r="8612" spans="1:6">
      <c r="A8612" s="753"/>
      <c r="B8612" s="753"/>
      <c r="C8612" s="752" t="s">
        <v>38553</v>
      </c>
      <c r="D8612" s="753" t="s">
        <v>38551</v>
      </c>
      <c r="E8612" s="752" t="s">
        <v>293</v>
      </c>
      <c r="F8612" s="751">
        <v>3425</v>
      </c>
    </row>
    <row r="8613" spans="1:6">
      <c r="A8613" s="753"/>
      <c r="B8613" s="753"/>
      <c r="C8613" s="752" t="s">
        <v>38552</v>
      </c>
      <c r="D8613" s="753" t="s">
        <v>38551</v>
      </c>
      <c r="E8613" s="752" t="s">
        <v>38550</v>
      </c>
      <c r="F8613" s="751">
        <v>4515</v>
      </c>
    </row>
    <row r="8614" spans="1:6">
      <c r="A8614" s="753"/>
      <c r="B8614" s="753"/>
      <c r="C8614" s="752" t="s">
        <v>38549</v>
      </c>
      <c r="D8614" s="753" t="s">
        <v>38548</v>
      </c>
      <c r="E8614" s="752" t="s">
        <v>293</v>
      </c>
      <c r="F8614" s="751">
        <v>3425</v>
      </c>
    </row>
    <row r="8615" spans="1:6">
      <c r="A8615" s="753"/>
      <c r="B8615" s="753"/>
      <c r="C8615" s="752" t="s">
        <v>38547</v>
      </c>
      <c r="D8615" s="753" t="s">
        <v>38537</v>
      </c>
      <c r="E8615" s="752" t="s">
        <v>293</v>
      </c>
      <c r="F8615" s="751">
        <v>2975</v>
      </c>
    </row>
    <row r="8616" spans="1:6">
      <c r="A8616" s="753"/>
      <c r="B8616" s="753"/>
      <c r="C8616" s="752" t="s">
        <v>38546</v>
      </c>
      <c r="D8616" s="753" t="s">
        <v>38537</v>
      </c>
      <c r="E8616" s="752" t="s">
        <v>293</v>
      </c>
      <c r="F8616" s="751">
        <v>2975</v>
      </c>
    </row>
    <row r="8617" spans="1:6">
      <c r="A8617" s="753"/>
      <c r="B8617" s="753"/>
      <c r="C8617" s="752" t="s">
        <v>38545</v>
      </c>
      <c r="D8617" s="753" t="s">
        <v>38543</v>
      </c>
      <c r="E8617" s="752" t="s">
        <v>38539</v>
      </c>
      <c r="F8617" s="751">
        <v>3525</v>
      </c>
    </row>
    <row r="8618" spans="1:6">
      <c r="A8618" s="753"/>
      <c r="B8618" s="753"/>
      <c r="C8618" s="752" t="s">
        <v>38544</v>
      </c>
      <c r="D8618" s="753" t="s">
        <v>38543</v>
      </c>
      <c r="E8618" s="752" t="s">
        <v>38539</v>
      </c>
      <c r="F8618" s="751">
        <v>3525</v>
      </c>
    </row>
    <row r="8619" spans="1:6">
      <c r="A8619" s="753"/>
      <c r="B8619" s="753"/>
      <c r="C8619" s="752" t="s">
        <v>38542</v>
      </c>
      <c r="D8619" s="753" t="s">
        <v>38540</v>
      </c>
      <c r="E8619" s="752" t="s">
        <v>38539</v>
      </c>
      <c r="F8619" s="751">
        <v>3525</v>
      </c>
    </row>
    <row r="8620" spans="1:6">
      <c r="A8620" s="753"/>
      <c r="B8620" s="753"/>
      <c r="C8620" s="752" t="s">
        <v>38541</v>
      </c>
      <c r="D8620" s="753" t="s">
        <v>38540</v>
      </c>
      <c r="E8620" s="752" t="s">
        <v>38539</v>
      </c>
      <c r="F8620" s="751">
        <v>3525</v>
      </c>
    </row>
    <row r="8621" spans="1:6">
      <c r="A8621" s="753"/>
      <c r="B8621" s="753"/>
      <c r="C8621" s="752" t="s">
        <v>38538</v>
      </c>
      <c r="D8621" s="753" t="s">
        <v>38537</v>
      </c>
      <c r="E8621" s="752" t="s">
        <v>38536</v>
      </c>
      <c r="F8621" s="751">
        <v>2605</v>
      </c>
    </row>
    <row r="8622" spans="1:6">
      <c r="A8622" s="753"/>
      <c r="B8622" s="753"/>
      <c r="C8622" s="752" t="s">
        <v>38535</v>
      </c>
      <c r="D8622" s="753" t="s">
        <v>38534</v>
      </c>
      <c r="E8622" s="752" t="s">
        <v>293</v>
      </c>
      <c r="F8622" s="751">
        <v>5925</v>
      </c>
    </row>
    <row r="8623" spans="1:6">
      <c r="A8623" s="753"/>
      <c r="B8623" s="753" t="s">
        <v>38533</v>
      </c>
      <c r="C8623" s="752" t="s">
        <v>38532</v>
      </c>
      <c r="D8623" s="753" t="s">
        <v>38531</v>
      </c>
      <c r="E8623" s="752" t="s">
        <v>293</v>
      </c>
      <c r="F8623" s="751">
        <v>1725</v>
      </c>
    </row>
    <row r="8624" spans="1:6">
      <c r="A8624" s="753"/>
      <c r="B8624" s="753" t="s">
        <v>38530</v>
      </c>
      <c r="C8624" s="752" t="s">
        <v>38529</v>
      </c>
      <c r="D8624" s="753" t="s">
        <v>38528</v>
      </c>
      <c r="E8624" s="752" t="s">
        <v>38423</v>
      </c>
      <c r="F8624" s="751">
        <v>2975</v>
      </c>
    </row>
    <row r="8625" spans="1:6">
      <c r="A8625" s="753"/>
      <c r="B8625" s="753"/>
      <c r="C8625" s="752" t="s">
        <v>38527</v>
      </c>
      <c r="D8625" s="753" t="s">
        <v>38526</v>
      </c>
      <c r="E8625" s="752" t="s">
        <v>38423</v>
      </c>
      <c r="F8625" s="751">
        <v>2725</v>
      </c>
    </row>
    <row r="8626" spans="1:6">
      <c r="A8626" s="753"/>
      <c r="B8626" s="753" t="s">
        <v>38525</v>
      </c>
      <c r="C8626" s="752" t="s">
        <v>38524</v>
      </c>
      <c r="D8626" s="753" t="s">
        <v>38510</v>
      </c>
      <c r="E8626" s="752" t="s">
        <v>38520</v>
      </c>
      <c r="F8626" s="751">
        <v>3870</v>
      </c>
    </row>
    <row r="8627" spans="1:6">
      <c r="A8627" s="753"/>
      <c r="B8627" s="753"/>
      <c r="C8627" s="752" t="s">
        <v>38523</v>
      </c>
      <c r="D8627" s="753" t="s">
        <v>38510</v>
      </c>
      <c r="E8627" s="752" t="s">
        <v>38520</v>
      </c>
      <c r="F8627" s="751">
        <v>4070</v>
      </c>
    </row>
    <row r="8628" spans="1:6">
      <c r="A8628" s="753"/>
      <c r="B8628" s="753"/>
      <c r="C8628" s="752" t="s">
        <v>38522</v>
      </c>
      <c r="D8628" s="753" t="s">
        <v>38332</v>
      </c>
      <c r="E8628" s="752" t="s">
        <v>38331</v>
      </c>
      <c r="F8628" s="751">
        <v>4670</v>
      </c>
    </row>
    <row r="8629" spans="1:6">
      <c r="A8629" s="753"/>
      <c r="B8629" s="753"/>
      <c r="C8629" s="752" t="s">
        <v>38521</v>
      </c>
      <c r="D8629" s="753" t="s">
        <v>38510</v>
      </c>
      <c r="E8629" s="752" t="s">
        <v>38520</v>
      </c>
      <c r="F8629" s="751">
        <v>3870</v>
      </c>
    </row>
    <row r="8630" spans="1:6">
      <c r="A8630" s="753"/>
      <c r="B8630" s="753"/>
      <c r="C8630" s="752" t="s">
        <v>38519</v>
      </c>
      <c r="D8630" s="753" t="s">
        <v>38332</v>
      </c>
      <c r="E8630" s="752" t="s">
        <v>38331</v>
      </c>
      <c r="F8630" s="751">
        <v>4670</v>
      </c>
    </row>
    <row r="8631" spans="1:6">
      <c r="A8631" s="753"/>
      <c r="B8631" s="753"/>
      <c r="C8631" s="752" t="s">
        <v>38518</v>
      </c>
      <c r="D8631" s="753" t="s">
        <v>38326</v>
      </c>
      <c r="E8631" s="752" t="s">
        <v>38331</v>
      </c>
      <c r="F8631" s="751">
        <v>2475</v>
      </c>
    </row>
    <row r="8632" spans="1:6">
      <c r="A8632" s="753"/>
      <c r="B8632" s="753"/>
      <c r="C8632" s="752" t="s">
        <v>38517</v>
      </c>
      <c r="D8632" s="753" t="s">
        <v>38516</v>
      </c>
      <c r="E8632" s="752" t="s">
        <v>38331</v>
      </c>
      <c r="F8632" s="751">
        <v>4470</v>
      </c>
    </row>
    <row r="8633" spans="1:6">
      <c r="A8633" s="753"/>
      <c r="B8633" s="753"/>
      <c r="C8633" s="752" t="s">
        <v>38515</v>
      </c>
      <c r="D8633" s="753" t="s">
        <v>38510</v>
      </c>
      <c r="E8633" s="752" t="s">
        <v>37895</v>
      </c>
      <c r="F8633" s="751">
        <v>4420</v>
      </c>
    </row>
    <row r="8634" spans="1:6">
      <c r="A8634" s="753"/>
      <c r="B8634" s="753"/>
      <c r="C8634" s="752" t="s">
        <v>38514</v>
      </c>
      <c r="D8634" s="753" t="s">
        <v>38326</v>
      </c>
      <c r="E8634" s="752" t="s">
        <v>37895</v>
      </c>
      <c r="F8634" s="751">
        <v>2225</v>
      </c>
    </row>
    <row r="8635" spans="1:6">
      <c r="A8635" s="753"/>
      <c r="B8635" s="753"/>
      <c r="C8635" s="752" t="s">
        <v>38513</v>
      </c>
      <c r="D8635" s="753" t="s">
        <v>38512</v>
      </c>
      <c r="E8635" s="752" t="s">
        <v>37895</v>
      </c>
      <c r="F8635" s="751">
        <v>4220</v>
      </c>
    </row>
    <row r="8636" spans="1:6">
      <c r="A8636" s="753"/>
      <c r="B8636" s="753"/>
      <c r="C8636" s="752" t="s">
        <v>38511</v>
      </c>
      <c r="D8636" s="753" t="s">
        <v>38510</v>
      </c>
      <c r="E8636" s="752" t="s">
        <v>38509</v>
      </c>
      <c r="F8636" s="751">
        <v>3620</v>
      </c>
    </row>
    <row r="8637" spans="1:6">
      <c r="A8637" s="753"/>
      <c r="B8637" s="753"/>
      <c r="C8637" s="752" t="s">
        <v>38508</v>
      </c>
      <c r="D8637" s="753" t="s">
        <v>38332</v>
      </c>
      <c r="E8637" s="752" t="s">
        <v>38331</v>
      </c>
      <c r="F8637" s="751">
        <v>4670</v>
      </c>
    </row>
    <row r="8638" spans="1:6">
      <c r="A8638" s="753"/>
      <c r="B8638" s="753"/>
      <c r="C8638" s="752" t="s">
        <v>38507</v>
      </c>
      <c r="D8638" s="753" t="s">
        <v>38326</v>
      </c>
      <c r="E8638" s="752" t="s">
        <v>38331</v>
      </c>
      <c r="F8638" s="751">
        <v>2475</v>
      </c>
    </row>
    <row r="8639" spans="1:6">
      <c r="A8639" s="753"/>
      <c r="B8639" s="753"/>
      <c r="C8639" s="752" t="s">
        <v>38506</v>
      </c>
      <c r="D8639" s="753" t="s">
        <v>38505</v>
      </c>
      <c r="E8639" s="752" t="s">
        <v>38331</v>
      </c>
      <c r="F8639" s="751">
        <v>3970</v>
      </c>
    </row>
    <row r="8640" spans="1:6">
      <c r="A8640" s="753"/>
      <c r="B8640" s="753"/>
      <c r="C8640" s="752" t="s">
        <v>38504</v>
      </c>
      <c r="D8640" s="753" t="s">
        <v>38503</v>
      </c>
      <c r="E8640" s="752" t="s">
        <v>37895</v>
      </c>
      <c r="F8640" s="751">
        <v>3720</v>
      </c>
    </row>
    <row r="8641" spans="1:6">
      <c r="A8641" s="753"/>
      <c r="B8641" s="753"/>
      <c r="C8641" s="752" t="s">
        <v>38502</v>
      </c>
      <c r="D8641" s="753" t="s">
        <v>38501</v>
      </c>
      <c r="E8641" s="752" t="s">
        <v>38331</v>
      </c>
      <c r="F8641" s="751">
        <v>5465</v>
      </c>
    </row>
    <row r="8642" spans="1:6">
      <c r="A8642" s="753"/>
      <c r="B8642" s="753"/>
      <c r="C8642" s="752" t="s">
        <v>38500</v>
      </c>
      <c r="D8642" s="753" t="s">
        <v>38499</v>
      </c>
      <c r="E8642" s="752" t="s">
        <v>37895</v>
      </c>
      <c r="F8642" s="751">
        <v>5215</v>
      </c>
    </row>
    <row r="8643" spans="1:6">
      <c r="A8643" s="753"/>
      <c r="B8643" s="753"/>
      <c r="C8643" s="752" t="s">
        <v>38498</v>
      </c>
      <c r="D8643" s="753" t="s">
        <v>38484</v>
      </c>
      <c r="E8643" s="752" t="s">
        <v>38497</v>
      </c>
      <c r="F8643" s="751">
        <v>4475</v>
      </c>
    </row>
    <row r="8644" spans="1:6">
      <c r="A8644" s="753"/>
      <c r="B8644" s="753"/>
      <c r="C8644" s="752" t="s">
        <v>38496</v>
      </c>
      <c r="D8644" s="753" t="s">
        <v>38484</v>
      </c>
      <c r="E8644" s="752" t="s">
        <v>38495</v>
      </c>
      <c r="F8644" s="751">
        <v>4575</v>
      </c>
    </row>
    <row r="8645" spans="1:6">
      <c r="A8645" s="753"/>
      <c r="B8645" s="753"/>
      <c r="C8645" s="752" t="s">
        <v>38494</v>
      </c>
      <c r="D8645" s="753" t="s">
        <v>38324</v>
      </c>
      <c r="E8645" s="752" t="s">
        <v>38493</v>
      </c>
      <c r="F8645" s="751">
        <v>4675</v>
      </c>
    </row>
    <row r="8646" spans="1:6">
      <c r="A8646" s="753"/>
      <c r="B8646" s="753"/>
      <c r="C8646" s="752" t="s">
        <v>38492</v>
      </c>
      <c r="D8646" s="753" t="s">
        <v>38324</v>
      </c>
      <c r="E8646" s="752" t="s">
        <v>38491</v>
      </c>
      <c r="F8646" s="751">
        <v>6005</v>
      </c>
    </row>
    <row r="8647" spans="1:6">
      <c r="A8647" s="753"/>
      <c r="B8647" s="753"/>
      <c r="C8647" s="752" t="s">
        <v>38490</v>
      </c>
      <c r="D8647" s="753" t="s">
        <v>38324</v>
      </c>
      <c r="E8647" s="752" t="s">
        <v>38489</v>
      </c>
      <c r="F8647" s="751">
        <v>4425</v>
      </c>
    </row>
    <row r="8648" spans="1:6">
      <c r="A8648" s="753"/>
      <c r="B8648" s="753"/>
      <c r="C8648" s="752" t="s">
        <v>38488</v>
      </c>
      <c r="D8648" s="753" t="s">
        <v>38324</v>
      </c>
      <c r="E8648" s="752" t="s">
        <v>38323</v>
      </c>
      <c r="F8648" s="751">
        <v>5305</v>
      </c>
    </row>
    <row r="8649" spans="1:6">
      <c r="A8649" s="753"/>
      <c r="B8649" s="753"/>
      <c r="C8649" s="752" t="s">
        <v>38487</v>
      </c>
      <c r="D8649" s="753" t="s">
        <v>38324</v>
      </c>
      <c r="E8649" s="752" t="s">
        <v>38486</v>
      </c>
      <c r="F8649" s="751">
        <v>4125</v>
      </c>
    </row>
    <row r="8650" spans="1:6">
      <c r="A8650" s="753"/>
      <c r="B8650" s="753"/>
      <c r="C8650" s="752" t="s">
        <v>38485</v>
      </c>
      <c r="D8650" s="753" t="s">
        <v>38484</v>
      </c>
      <c r="E8650" s="752" t="s">
        <v>38483</v>
      </c>
      <c r="F8650" s="751">
        <v>5725</v>
      </c>
    </row>
    <row r="8651" spans="1:6">
      <c r="A8651" s="753"/>
      <c r="B8651" s="753"/>
      <c r="C8651" s="752" t="s">
        <v>38482</v>
      </c>
      <c r="D8651" s="753" t="s">
        <v>38481</v>
      </c>
      <c r="E8651" s="752" t="s">
        <v>38358</v>
      </c>
      <c r="F8651" s="751">
        <v>3125</v>
      </c>
    </row>
    <row r="8652" spans="1:6">
      <c r="A8652" s="753"/>
      <c r="B8652" s="753"/>
      <c r="C8652" s="752" t="s">
        <v>38480</v>
      </c>
      <c r="D8652" s="753" t="s">
        <v>38386</v>
      </c>
      <c r="E8652" s="752" t="s">
        <v>37895</v>
      </c>
      <c r="F8652" s="751">
        <v>4025</v>
      </c>
    </row>
    <row r="8653" spans="1:6">
      <c r="A8653" s="753"/>
      <c r="B8653" s="753"/>
      <c r="C8653" s="752" t="s">
        <v>38479</v>
      </c>
      <c r="D8653" s="753" t="s">
        <v>38386</v>
      </c>
      <c r="E8653" s="752" t="s">
        <v>38347</v>
      </c>
      <c r="F8653" s="751">
        <v>5075</v>
      </c>
    </row>
    <row r="8654" spans="1:6">
      <c r="A8654" s="753"/>
      <c r="B8654" s="753"/>
      <c r="C8654" s="752" t="s">
        <v>38478</v>
      </c>
      <c r="D8654" s="753" t="s">
        <v>38474</v>
      </c>
      <c r="E8654" s="752" t="s">
        <v>38477</v>
      </c>
      <c r="F8654" s="751">
        <v>3025</v>
      </c>
    </row>
    <row r="8655" spans="1:6">
      <c r="A8655" s="753"/>
      <c r="B8655" s="753"/>
      <c r="C8655" s="752" t="s">
        <v>38476</v>
      </c>
      <c r="D8655" s="753" t="s">
        <v>38461</v>
      </c>
      <c r="E8655" s="752" t="s">
        <v>38370</v>
      </c>
      <c r="F8655" s="751">
        <v>3525</v>
      </c>
    </row>
    <row r="8656" spans="1:6">
      <c r="A8656" s="753"/>
      <c r="B8656" s="753"/>
      <c r="C8656" s="752" t="s">
        <v>38475</v>
      </c>
      <c r="D8656" s="753" t="s">
        <v>38474</v>
      </c>
      <c r="E8656" s="752" t="s">
        <v>38368</v>
      </c>
      <c r="F8656" s="751">
        <v>3025</v>
      </c>
    </row>
    <row r="8657" spans="1:6">
      <c r="A8657" s="753"/>
      <c r="B8657" s="753"/>
      <c r="C8657" s="752" t="s">
        <v>38473</v>
      </c>
      <c r="D8657" s="753" t="s">
        <v>38461</v>
      </c>
      <c r="E8657" s="752" t="s">
        <v>38365</v>
      </c>
      <c r="F8657" s="751">
        <v>3525</v>
      </c>
    </row>
    <row r="8658" spans="1:6">
      <c r="A8658" s="753"/>
      <c r="B8658" s="753"/>
      <c r="C8658" s="752" t="s">
        <v>38472</v>
      </c>
      <c r="D8658" s="753" t="s">
        <v>38461</v>
      </c>
      <c r="E8658" s="752" t="s">
        <v>38321</v>
      </c>
      <c r="F8658" s="751">
        <v>2775</v>
      </c>
    </row>
    <row r="8659" spans="1:6">
      <c r="A8659" s="753"/>
      <c r="B8659" s="753"/>
      <c r="C8659" s="752" t="s">
        <v>38471</v>
      </c>
      <c r="D8659" s="753" t="s">
        <v>38461</v>
      </c>
      <c r="E8659" s="752" t="s">
        <v>38419</v>
      </c>
      <c r="F8659" s="751">
        <v>3025</v>
      </c>
    </row>
    <row r="8660" spans="1:6">
      <c r="A8660" s="753"/>
      <c r="B8660" s="753"/>
      <c r="C8660" s="752" t="s">
        <v>38470</v>
      </c>
      <c r="D8660" s="753" t="s">
        <v>38461</v>
      </c>
      <c r="E8660" s="752" t="s">
        <v>38361</v>
      </c>
      <c r="F8660" s="751">
        <v>2775</v>
      </c>
    </row>
    <row r="8661" spans="1:6">
      <c r="A8661" s="753"/>
      <c r="B8661" s="753"/>
      <c r="C8661" s="752" t="s">
        <v>38469</v>
      </c>
      <c r="D8661" s="753" t="s">
        <v>38461</v>
      </c>
      <c r="E8661" s="752" t="s">
        <v>38358</v>
      </c>
      <c r="F8661" s="751">
        <v>3025</v>
      </c>
    </row>
    <row r="8662" spans="1:6">
      <c r="A8662" s="753"/>
      <c r="B8662" s="753"/>
      <c r="C8662" s="752" t="s">
        <v>38468</v>
      </c>
      <c r="D8662" s="753" t="s">
        <v>38467</v>
      </c>
      <c r="E8662" s="752" t="s">
        <v>38358</v>
      </c>
      <c r="F8662" s="751">
        <v>2675</v>
      </c>
    </row>
    <row r="8663" spans="1:6">
      <c r="A8663" s="753"/>
      <c r="B8663" s="753"/>
      <c r="C8663" s="752" t="s">
        <v>38466</v>
      </c>
      <c r="D8663" s="753" t="s">
        <v>38461</v>
      </c>
      <c r="E8663" s="752" t="s">
        <v>38365</v>
      </c>
      <c r="F8663" s="751">
        <v>3025</v>
      </c>
    </row>
    <row r="8664" spans="1:6">
      <c r="A8664" s="753"/>
      <c r="B8664" s="753"/>
      <c r="C8664" s="752" t="s">
        <v>38465</v>
      </c>
      <c r="D8664" s="753" t="s">
        <v>38461</v>
      </c>
      <c r="E8664" s="752" t="s">
        <v>38358</v>
      </c>
      <c r="F8664" s="751">
        <v>3025</v>
      </c>
    </row>
    <row r="8665" spans="1:6">
      <c r="A8665" s="753"/>
      <c r="B8665" s="753"/>
      <c r="C8665" s="752" t="s">
        <v>38464</v>
      </c>
      <c r="D8665" s="753" t="s">
        <v>38463</v>
      </c>
      <c r="E8665" s="752" t="s">
        <v>38394</v>
      </c>
      <c r="F8665" s="751">
        <v>3025</v>
      </c>
    </row>
    <row r="8666" spans="1:6">
      <c r="A8666" s="753"/>
      <c r="B8666" s="753"/>
      <c r="C8666" s="752" t="s">
        <v>38462</v>
      </c>
      <c r="D8666" s="753" t="s">
        <v>38461</v>
      </c>
      <c r="E8666" s="752" t="s">
        <v>38368</v>
      </c>
      <c r="F8666" s="751">
        <v>3025</v>
      </c>
    </row>
    <row r="8667" spans="1:6">
      <c r="A8667" s="753"/>
      <c r="B8667" s="753"/>
      <c r="C8667" s="752" t="s">
        <v>38460</v>
      </c>
      <c r="D8667" s="753" t="s">
        <v>38441</v>
      </c>
      <c r="E8667" s="752" t="s">
        <v>38331</v>
      </c>
      <c r="F8667" s="751">
        <v>3975</v>
      </c>
    </row>
    <row r="8668" spans="1:6">
      <c r="A8668" s="753"/>
      <c r="B8668" s="753"/>
      <c r="C8668" s="752" t="s">
        <v>38459</v>
      </c>
      <c r="D8668" s="753" t="s">
        <v>38441</v>
      </c>
      <c r="E8668" s="752" t="s">
        <v>37895</v>
      </c>
      <c r="F8668" s="751">
        <v>3725</v>
      </c>
    </row>
    <row r="8669" spans="1:6">
      <c r="A8669" s="753"/>
      <c r="B8669" s="753"/>
      <c r="C8669" s="752" t="s">
        <v>38458</v>
      </c>
      <c r="D8669" s="753" t="s">
        <v>38441</v>
      </c>
      <c r="E8669" s="752" t="s">
        <v>38457</v>
      </c>
      <c r="F8669" s="751">
        <v>4485</v>
      </c>
    </row>
    <row r="8670" spans="1:6">
      <c r="A8670" s="753"/>
      <c r="B8670" s="753"/>
      <c r="C8670" s="752" t="s">
        <v>38456</v>
      </c>
      <c r="D8670" s="753" t="s">
        <v>38441</v>
      </c>
      <c r="E8670" s="752" t="s">
        <v>38453</v>
      </c>
      <c r="F8670" s="751">
        <v>4485</v>
      </c>
    </row>
    <row r="8671" spans="1:6">
      <c r="A8671" s="753"/>
      <c r="B8671" s="753"/>
      <c r="C8671" s="752" t="s">
        <v>38455</v>
      </c>
      <c r="D8671" s="753" t="s">
        <v>38441</v>
      </c>
      <c r="E8671" s="752" t="s">
        <v>38337</v>
      </c>
      <c r="F8671" s="751">
        <v>4525</v>
      </c>
    </row>
    <row r="8672" spans="1:6">
      <c r="A8672" s="753"/>
      <c r="B8672" s="753"/>
      <c r="C8672" s="752" t="s">
        <v>38454</v>
      </c>
      <c r="D8672" s="753" t="s">
        <v>38441</v>
      </c>
      <c r="E8672" s="752" t="s">
        <v>38453</v>
      </c>
      <c r="F8672" s="751">
        <v>4485</v>
      </c>
    </row>
    <row r="8673" spans="1:6">
      <c r="A8673" s="753"/>
      <c r="B8673" s="753"/>
      <c r="C8673" s="752" t="s">
        <v>38452</v>
      </c>
      <c r="D8673" s="753" t="s">
        <v>38441</v>
      </c>
      <c r="E8673" s="752" t="s">
        <v>38430</v>
      </c>
      <c r="F8673" s="751">
        <v>5225</v>
      </c>
    </row>
    <row r="8674" spans="1:6">
      <c r="A8674" s="753"/>
      <c r="B8674" s="753"/>
      <c r="C8674" s="752" t="s">
        <v>38451</v>
      </c>
      <c r="D8674" s="753" t="s">
        <v>38441</v>
      </c>
      <c r="E8674" s="752" t="s">
        <v>38331</v>
      </c>
      <c r="F8674" s="751">
        <v>4175</v>
      </c>
    </row>
    <row r="8675" spans="1:6">
      <c r="A8675" s="753"/>
      <c r="B8675" s="753"/>
      <c r="C8675" s="752" t="s">
        <v>38450</v>
      </c>
      <c r="D8675" s="753" t="s">
        <v>38441</v>
      </c>
      <c r="E8675" s="752" t="s">
        <v>37895</v>
      </c>
      <c r="F8675" s="751">
        <v>3925</v>
      </c>
    </row>
    <row r="8676" spans="1:6">
      <c r="A8676" s="753"/>
      <c r="B8676" s="753"/>
      <c r="C8676" s="752" t="s">
        <v>38449</v>
      </c>
      <c r="D8676" s="753" t="s">
        <v>38441</v>
      </c>
      <c r="E8676" s="752" t="s">
        <v>38350</v>
      </c>
      <c r="F8676" s="751">
        <v>4625</v>
      </c>
    </row>
    <row r="8677" spans="1:6">
      <c r="A8677" s="753"/>
      <c r="B8677" s="753"/>
      <c r="C8677" s="752" t="s">
        <v>38448</v>
      </c>
      <c r="D8677" s="753" t="s">
        <v>38441</v>
      </c>
      <c r="E8677" s="752" t="s">
        <v>38347</v>
      </c>
      <c r="F8677" s="751">
        <v>4975</v>
      </c>
    </row>
    <row r="8678" spans="1:6">
      <c r="A8678" s="753"/>
      <c r="B8678" s="753"/>
      <c r="C8678" s="752" t="s">
        <v>38447</v>
      </c>
      <c r="D8678" s="753" t="s">
        <v>38441</v>
      </c>
      <c r="E8678" s="752" t="s">
        <v>293</v>
      </c>
      <c r="F8678" s="751">
        <v>4225</v>
      </c>
    </row>
    <row r="8679" spans="1:6">
      <c r="A8679" s="753"/>
      <c r="B8679" s="753"/>
      <c r="C8679" s="752" t="s">
        <v>38446</v>
      </c>
      <c r="D8679" s="753" t="s">
        <v>38441</v>
      </c>
      <c r="E8679" s="752" t="s">
        <v>38345</v>
      </c>
      <c r="F8679" s="751">
        <v>3725</v>
      </c>
    </row>
    <row r="8680" spans="1:6">
      <c r="A8680" s="753"/>
      <c r="B8680" s="753"/>
      <c r="C8680" s="752" t="s">
        <v>38445</v>
      </c>
      <c r="D8680" s="753" t="s">
        <v>38441</v>
      </c>
      <c r="E8680" s="752" t="s">
        <v>38444</v>
      </c>
      <c r="F8680" s="751">
        <v>4485</v>
      </c>
    </row>
    <row r="8681" spans="1:6">
      <c r="A8681" s="753"/>
      <c r="B8681" s="753"/>
      <c r="C8681" s="752" t="s">
        <v>38443</v>
      </c>
      <c r="D8681" s="753" t="s">
        <v>38441</v>
      </c>
      <c r="E8681" s="752" t="s">
        <v>38394</v>
      </c>
      <c r="F8681" s="751">
        <v>4875</v>
      </c>
    </row>
    <row r="8682" spans="1:6">
      <c r="A8682" s="753"/>
      <c r="B8682" s="753"/>
      <c r="C8682" s="752" t="s">
        <v>38442</v>
      </c>
      <c r="D8682" s="753" t="s">
        <v>38441</v>
      </c>
      <c r="E8682" s="752" t="s">
        <v>38430</v>
      </c>
      <c r="F8682" s="751">
        <v>4875</v>
      </c>
    </row>
    <row r="8683" spans="1:6">
      <c r="A8683" s="753"/>
      <c r="B8683" s="753"/>
      <c r="C8683" s="752" t="s">
        <v>38440</v>
      </c>
      <c r="D8683" s="753" t="s">
        <v>38437</v>
      </c>
      <c r="E8683" s="752" t="s">
        <v>38331</v>
      </c>
      <c r="F8683" s="751">
        <v>3975</v>
      </c>
    </row>
    <row r="8684" spans="1:6">
      <c r="A8684" s="753"/>
      <c r="B8684" s="753"/>
      <c r="C8684" s="752" t="s">
        <v>38439</v>
      </c>
      <c r="D8684" s="753" t="s">
        <v>38437</v>
      </c>
      <c r="E8684" s="752" t="s">
        <v>37895</v>
      </c>
      <c r="F8684" s="751">
        <v>3725</v>
      </c>
    </row>
    <row r="8685" spans="1:6">
      <c r="A8685" s="753"/>
      <c r="B8685" s="753"/>
      <c r="C8685" s="752" t="s">
        <v>38438</v>
      </c>
      <c r="D8685" s="753" t="s">
        <v>38437</v>
      </c>
      <c r="E8685" s="752" t="s">
        <v>37895</v>
      </c>
      <c r="F8685" s="751">
        <v>4525</v>
      </c>
    </row>
    <row r="8686" spans="1:6">
      <c r="A8686" s="753"/>
      <c r="B8686" s="753"/>
      <c r="C8686" s="752" t="s">
        <v>38436</v>
      </c>
      <c r="D8686" s="753" t="s">
        <v>38431</v>
      </c>
      <c r="E8686" s="752" t="s">
        <v>38430</v>
      </c>
      <c r="F8686" s="751">
        <v>5225</v>
      </c>
    </row>
    <row r="8687" spans="1:6">
      <c r="A8687" s="753"/>
      <c r="B8687" s="753"/>
      <c r="C8687" s="752" t="s">
        <v>38435</v>
      </c>
      <c r="D8687" s="753" t="s">
        <v>38431</v>
      </c>
      <c r="E8687" s="752" t="s">
        <v>38331</v>
      </c>
      <c r="F8687" s="751">
        <v>3975</v>
      </c>
    </row>
    <row r="8688" spans="1:6">
      <c r="A8688" s="753"/>
      <c r="B8688" s="753"/>
      <c r="C8688" s="752" t="s">
        <v>38434</v>
      </c>
      <c r="D8688" s="753" t="s">
        <v>38431</v>
      </c>
      <c r="E8688" s="752" t="s">
        <v>38345</v>
      </c>
      <c r="F8688" s="751">
        <v>3725</v>
      </c>
    </row>
    <row r="8689" spans="1:6">
      <c r="A8689" s="753"/>
      <c r="B8689" s="753"/>
      <c r="C8689" s="752" t="s">
        <v>38433</v>
      </c>
      <c r="D8689" s="753" t="s">
        <v>38431</v>
      </c>
      <c r="E8689" s="752" t="s">
        <v>38394</v>
      </c>
      <c r="F8689" s="751">
        <v>4525</v>
      </c>
    </row>
    <row r="8690" spans="1:6">
      <c r="A8690" s="753"/>
      <c r="B8690" s="753"/>
      <c r="C8690" s="752" t="s">
        <v>38432</v>
      </c>
      <c r="D8690" s="753" t="s">
        <v>38431</v>
      </c>
      <c r="E8690" s="752" t="s">
        <v>38430</v>
      </c>
      <c r="F8690" s="751">
        <v>4875</v>
      </c>
    </row>
    <row r="8691" spans="1:6">
      <c r="A8691" s="753"/>
      <c r="B8691" s="753"/>
      <c r="C8691" s="752" t="s">
        <v>38429</v>
      </c>
      <c r="D8691" s="753" t="s">
        <v>38424</v>
      </c>
      <c r="E8691" s="752" t="s">
        <v>38428</v>
      </c>
      <c r="F8691" s="751">
        <v>2825</v>
      </c>
    </row>
    <row r="8692" spans="1:6">
      <c r="A8692" s="753"/>
      <c r="B8692" s="753"/>
      <c r="C8692" s="752" t="s">
        <v>38427</v>
      </c>
      <c r="D8692" s="753" t="s">
        <v>38319</v>
      </c>
      <c r="E8692" s="752" t="s">
        <v>38426</v>
      </c>
      <c r="F8692" s="751">
        <v>3425</v>
      </c>
    </row>
    <row r="8693" spans="1:6">
      <c r="A8693" s="753"/>
      <c r="B8693" s="753"/>
      <c r="C8693" s="752" t="s">
        <v>38425</v>
      </c>
      <c r="D8693" s="753" t="s">
        <v>38424</v>
      </c>
      <c r="E8693" s="752" t="s">
        <v>38423</v>
      </c>
      <c r="F8693" s="751">
        <v>2825</v>
      </c>
    </row>
    <row r="8694" spans="1:6">
      <c r="A8694" s="753"/>
      <c r="B8694" s="753"/>
      <c r="C8694" s="752" t="s">
        <v>38422</v>
      </c>
      <c r="D8694" s="753" t="s">
        <v>38319</v>
      </c>
      <c r="E8694" s="752" t="s">
        <v>38365</v>
      </c>
      <c r="F8694" s="751">
        <v>3425</v>
      </c>
    </row>
    <row r="8695" spans="1:6">
      <c r="A8695" s="753"/>
      <c r="B8695" s="753"/>
      <c r="C8695" s="752" t="s">
        <v>38421</v>
      </c>
      <c r="D8695" s="753" t="s">
        <v>38319</v>
      </c>
      <c r="E8695" s="752" t="s">
        <v>38321</v>
      </c>
      <c r="F8695" s="751">
        <v>2575</v>
      </c>
    </row>
    <row r="8696" spans="1:6">
      <c r="A8696" s="753"/>
      <c r="B8696" s="753"/>
      <c r="C8696" s="752" t="s">
        <v>38420</v>
      </c>
      <c r="D8696" s="753" t="s">
        <v>38319</v>
      </c>
      <c r="E8696" s="752" t="s">
        <v>38419</v>
      </c>
      <c r="F8696" s="751">
        <v>2825</v>
      </c>
    </row>
    <row r="8697" spans="1:6">
      <c r="A8697" s="753"/>
      <c r="B8697" s="753"/>
      <c r="C8697" s="752" t="s">
        <v>38418</v>
      </c>
      <c r="D8697" s="753" t="s">
        <v>38319</v>
      </c>
      <c r="E8697" s="752" t="s">
        <v>38417</v>
      </c>
      <c r="F8697" s="751">
        <v>2475</v>
      </c>
    </row>
    <row r="8698" spans="1:6">
      <c r="A8698" s="753"/>
      <c r="B8698" s="753"/>
      <c r="C8698" s="752" t="s">
        <v>38416</v>
      </c>
      <c r="D8698" s="753" t="s">
        <v>38319</v>
      </c>
      <c r="E8698" s="752" t="s">
        <v>38361</v>
      </c>
      <c r="F8698" s="751">
        <v>2575</v>
      </c>
    </row>
    <row r="8699" spans="1:6">
      <c r="A8699" s="753"/>
      <c r="B8699" s="753"/>
      <c r="C8699" s="752" t="s">
        <v>38415</v>
      </c>
      <c r="D8699" s="753" t="s">
        <v>38319</v>
      </c>
      <c r="E8699" s="752" t="s">
        <v>38358</v>
      </c>
      <c r="F8699" s="751">
        <v>2825</v>
      </c>
    </row>
    <row r="8700" spans="1:6">
      <c r="A8700" s="753"/>
      <c r="B8700" s="753"/>
      <c r="C8700" s="752" t="s">
        <v>38414</v>
      </c>
      <c r="D8700" s="753" t="s">
        <v>38319</v>
      </c>
      <c r="E8700" s="752" t="s">
        <v>38413</v>
      </c>
      <c r="F8700" s="751">
        <v>2825</v>
      </c>
    </row>
    <row r="8701" spans="1:6">
      <c r="A8701" s="753"/>
      <c r="B8701" s="753"/>
      <c r="C8701" s="752" t="s">
        <v>38412</v>
      </c>
      <c r="D8701" s="753" t="s">
        <v>38389</v>
      </c>
      <c r="E8701" s="752" t="s">
        <v>38331</v>
      </c>
      <c r="F8701" s="751">
        <v>3775</v>
      </c>
    </row>
    <row r="8702" spans="1:6">
      <c r="A8702" s="753"/>
      <c r="B8702" s="753"/>
      <c r="C8702" s="752" t="s">
        <v>38411</v>
      </c>
      <c r="D8702" s="753" t="s">
        <v>38389</v>
      </c>
      <c r="E8702" s="752" t="s">
        <v>37895</v>
      </c>
      <c r="F8702" s="751">
        <v>3525</v>
      </c>
    </row>
    <row r="8703" spans="1:6">
      <c r="A8703" s="753"/>
      <c r="B8703" s="753"/>
      <c r="C8703" s="752" t="s">
        <v>38410</v>
      </c>
      <c r="D8703" s="753" t="s">
        <v>38389</v>
      </c>
      <c r="E8703" s="752" t="s">
        <v>38409</v>
      </c>
      <c r="F8703" s="751">
        <v>4285</v>
      </c>
    </row>
    <row r="8704" spans="1:6">
      <c r="A8704" s="753"/>
      <c r="B8704" s="753"/>
      <c r="C8704" s="752" t="s">
        <v>38408</v>
      </c>
      <c r="D8704" s="753" t="s">
        <v>38389</v>
      </c>
      <c r="E8704" s="752" t="s">
        <v>38407</v>
      </c>
      <c r="F8704" s="751">
        <v>4325</v>
      </c>
    </row>
    <row r="8705" spans="1:6">
      <c r="A8705" s="753"/>
      <c r="B8705" s="753"/>
      <c r="C8705" s="752" t="s">
        <v>38406</v>
      </c>
      <c r="D8705" s="753" t="s">
        <v>38389</v>
      </c>
      <c r="E8705" s="752" t="s">
        <v>38405</v>
      </c>
      <c r="F8705" s="751">
        <v>4535</v>
      </c>
    </row>
    <row r="8706" spans="1:6">
      <c r="A8706" s="753"/>
      <c r="B8706" s="753"/>
      <c r="C8706" s="752" t="s">
        <v>38404</v>
      </c>
      <c r="D8706" s="753" t="s">
        <v>38389</v>
      </c>
      <c r="E8706" s="752" t="s">
        <v>38002</v>
      </c>
      <c r="F8706" s="751">
        <v>5025</v>
      </c>
    </row>
    <row r="8707" spans="1:6">
      <c r="A8707" s="753"/>
      <c r="B8707" s="753"/>
      <c r="C8707" s="752" t="s">
        <v>38403</v>
      </c>
      <c r="D8707" s="753" t="s">
        <v>38389</v>
      </c>
      <c r="E8707" s="752" t="s">
        <v>38331</v>
      </c>
      <c r="F8707" s="751">
        <v>3975</v>
      </c>
    </row>
    <row r="8708" spans="1:6">
      <c r="A8708" s="753"/>
      <c r="B8708" s="753"/>
      <c r="C8708" s="752" t="s">
        <v>38402</v>
      </c>
      <c r="D8708" s="753" t="s">
        <v>38389</v>
      </c>
      <c r="E8708" s="752" t="s">
        <v>37895</v>
      </c>
      <c r="F8708" s="751">
        <v>3725</v>
      </c>
    </row>
    <row r="8709" spans="1:6">
      <c r="A8709" s="753"/>
      <c r="B8709" s="753"/>
      <c r="C8709" s="752" t="s">
        <v>38401</v>
      </c>
      <c r="D8709" s="753" t="s">
        <v>38389</v>
      </c>
      <c r="E8709" s="752" t="s">
        <v>38350</v>
      </c>
      <c r="F8709" s="751">
        <v>4425</v>
      </c>
    </row>
    <row r="8710" spans="1:6">
      <c r="A8710" s="753"/>
      <c r="B8710" s="753"/>
      <c r="C8710" s="752" t="s">
        <v>38400</v>
      </c>
      <c r="D8710" s="753" t="s">
        <v>38389</v>
      </c>
      <c r="E8710" s="752" t="s">
        <v>38347</v>
      </c>
      <c r="F8710" s="751">
        <v>4775</v>
      </c>
    </row>
    <row r="8711" spans="1:6">
      <c r="A8711" s="753"/>
      <c r="B8711" s="753"/>
      <c r="C8711" s="752" t="s">
        <v>38399</v>
      </c>
      <c r="D8711" s="753" t="s">
        <v>38389</v>
      </c>
      <c r="E8711" s="752" t="s">
        <v>293</v>
      </c>
      <c r="F8711" s="751">
        <v>4025</v>
      </c>
    </row>
    <row r="8712" spans="1:6">
      <c r="A8712" s="753"/>
      <c r="B8712" s="753"/>
      <c r="C8712" s="752" t="s">
        <v>38398</v>
      </c>
      <c r="D8712" s="753" t="s">
        <v>38389</v>
      </c>
      <c r="E8712" s="752" t="s">
        <v>38345</v>
      </c>
      <c r="F8712" s="751">
        <v>3525</v>
      </c>
    </row>
    <row r="8713" spans="1:6">
      <c r="A8713" s="753"/>
      <c r="B8713" s="753"/>
      <c r="C8713" s="752" t="s">
        <v>38397</v>
      </c>
      <c r="D8713" s="753" t="s">
        <v>38389</v>
      </c>
      <c r="E8713" s="752" t="s">
        <v>38396</v>
      </c>
      <c r="F8713" s="751">
        <v>4285</v>
      </c>
    </row>
    <row r="8714" spans="1:6">
      <c r="A8714" s="753"/>
      <c r="B8714" s="753"/>
      <c r="C8714" s="752" t="s">
        <v>38395</v>
      </c>
      <c r="D8714" s="753" t="s">
        <v>38389</v>
      </c>
      <c r="E8714" s="752" t="s">
        <v>38394</v>
      </c>
      <c r="F8714" s="751">
        <v>4675</v>
      </c>
    </row>
    <row r="8715" spans="1:6">
      <c r="A8715" s="753"/>
      <c r="B8715" s="753"/>
      <c r="C8715" s="752" t="s">
        <v>38393</v>
      </c>
      <c r="D8715" s="753" t="s">
        <v>38389</v>
      </c>
      <c r="E8715" s="752" t="s">
        <v>38392</v>
      </c>
      <c r="F8715" s="751">
        <v>4785</v>
      </c>
    </row>
    <row r="8716" spans="1:6">
      <c r="A8716" s="753"/>
      <c r="B8716" s="753"/>
      <c r="C8716" s="752" t="s">
        <v>38391</v>
      </c>
      <c r="D8716" s="753" t="s">
        <v>38389</v>
      </c>
      <c r="E8716" s="752" t="s">
        <v>38002</v>
      </c>
      <c r="F8716" s="751">
        <v>5025</v>
      </c>
    </row>
    <row r="8717" spans="1:6">
      <c r="A8717" s="753"/>
      <c r="B8717" s="753"/>
      <c r="C8717" s="752" t="s">
        <v>38390</v>
      </c>
      <c r="D8717" s="753" t="s">
        <v>38389</v>
      </c>
      <c r="E8717" s="752" t="s">
        <v>38388</v>
      </c>
      <c r="F8717" s="751">
        <v>4325</v>
      </c>
    </row>
    <row r="8718" spans="1:6">
      <c r="A8718" s="753"/>
      <c r="B8718" s="753"/>
      <c r="C8718" s="752" t="s">
        <v>38387</v>
      </c>
      <c r="D8718" s="753" t="s">
        <v>38386</v>
      </c>
      <c r="E8718" s="752" t="s">
        <v>38350</v>
      </c>
      <c r="F8718" s="751">
        <v>4725</v>
      </c>
    </row>
    <row r="8719" spans="1:6">
      <c r="A8719" s="753"/>
      <c r="B8719" s="753"/>
      <c r="C8719" s="752" t="s">
        <v>38385</v>
      </c>
      <c r="D8719" s="753" t="s">
        <v>38375</v>
      </c>
      <c r="E8719" s="752" t="s">
        <v>38331</v>
      </c>
      <c r="F8719" s="751">
        <v>3775</v>
      </c>
    </row>
    <row r="8720" spans="1:6">
      <c r="A8720" s="753"/>
      <c r="B8720" s="753"/>
      <c r="C8720" s="752" t="s">
        <v>38384</v>
      </c>
      <c r="D8720" s="753" t="s">
        <v>38375</v>
      </c>
      <c r="E8720" s="752" t="s">
        <v>37895</v>
      </c>
      <c r="F8720" s="751">
        <v>3525</v>
      </c>
    </row>
    <row r="8721" spans="1:6">
      <c r="A8721" s="753"/>
      <c r="B8721" s="753"/>
      <c r="C8721" s="752" t="s">
        <v>38383</v>
      </c>
      <c r="D8721" s="753" t="s">
        <v>38380</v>
      </c>
      <c r="E8721" s="752" t="s">
        <v>38382</v>
      </c>
      <c r="F8721" s="751">
        <v>4325</v>
      </c>
    </row>
    <row r="8722" spans="1:6">
      <c r="A8722" s="753"/>
      <c r="B8722" s="753"/>
      <c r="C8722" s="752" t="s">
        <v>38381</v>
      </c>
      <c r="D8722" s="753" t="s">
        <v>38380</v>
      </c>
      <c r="E8722" s="752" t="s">
        <v>38334</v>
      </c>
      <c r="F8722" s="751">
        <v>5025</v>
      </c>
    </row>
    <row r="8723" spans="1:6">
      <c r="A8723" s="753"/>
      <c r="B8723" s="753"/>
      <c r="C8723" s="752" t="s">
        <v>38379</v>
      </c>
      <c r="D8723" s="753" t="s">
        <v>38378</v>
      </c>
      <c r="E8723" s="752" t="s">
        <v>293</v>
      </c>
      <c r="F8723" s="751">
        <v>3775</v>
      </c>
    </row>
    <row r="8724" spans="1:6">
      <c r="A8724" s="753"/>
      <c r="B8724" s="753"/>
      <c r="C8724" s="752" t="s">
        <v>38377</v>
      </c>
      <c r="D8724" s="753" t="s">
        <v>38375</v>
      </c>
      <c r="E8724" s="752" t="s">
        <v>38345</v>
      </c>
      <c r="F8724" s="751">
        <v>3525</v>
      </c>
    </row>
    <row r="8725" spans="1:6">
      <c r="A8725" s="753"/>
      <c r="B8725" s="753"/>
      <c r="C8725" s="752" t="s">
        <v>38376</v>
      </c>
      <c r="D8725" s="753" t="s">
        <v>38375</v>
      </c>
      <c r="E8725" s="752" t="s">
        <v>38374</v>
      </c>
      <c r="F8725" s="751">
        <v>4675</v>
      </c>
    </row>
    <row r="8726" spans="1:6">
      <c r="A8726" s="753"/>
      <c r="B8726" s="753"/>
      <c r="C8726" s="752" t="s">
        <v>38373</v>
      </c>
      <c r="D8726" s="753" t="s">
        <v>38359</v>
      </c>
      <c r="E8726" s="752" t="s">
        <v>38372</v>
      </c>
      <c r="F8726" s="751">
        <v>2925</v>
      </c>
    </row>
    <row r="8727" spans="1:6">
      <c r="A8727" s="753"/>
      <c r="B8727" s="753"/>
      <c r="C8727" s="752" t="s">
        <v>38371</v>
      </c>
      <c r="D8727" s="753" t="s">
        <v>38366</v>
      </c>
      <c r="E8727" s="752" t="s">
        <v>38370</v>
      </c>
      <c r="F8727" s="751">
        <v>3525</v>
      </c>
    </row>
    <row r="8728" spans="1:6">
      <c r="A8728" s="753"/>
      <c r="B8728" s="753"/>
      <c r="C8728" s="752" t="s">
        <v>38369</v>
      </c>
      <c r="D8728" s="753" t="s">
        <v>38359</v>
      </c>
      <c r="E8728" s="752" t="s">
        <v>38368</v>
      </c>
      <c r="F8728" s="751">
        <v>2925</v>
      </c>
    </row>
    <row r="8729" spans="1:6">
      <c r="A8729" s="753"/>
      <c r="B8729" s="753"/>
      <c r="C8729" s="752" t="s">
        <v>38367</v>
      </c>
      <c r="D8729" s="753" t="s">
        <v>38366</v>
      </c>
      <c r="E8729" s="752" t="s">
        <v>38365</v>
      </c>
      <c r="F8729" s="751">
        <v>3525</v>
      </c>
    </row>
    <row r="8730" spans="1:6">
      <c r="A8730" s="753"/>
      <c r="B8730" s="753"/>
      <c r="C8730" s="752" t="s">
        <v>38364</v>
      </c>
      <c r="D8730" s="753" t="s">
        <v>38359</v>
      </c>
      <c r="E8730" s="752" t="s">
        <v>38363</v>
      </c>
      <c r="F8730" s="751">
        <v>2925</v>
      </c>
    </row>
    <row r="8731" spans="1:6">
      <c r="A8731" s="753"/>
      <c r="B8731" s="753"/>
      <c r="C8731" s="752" t="s">
        <v>38362</v>
      </c>
      <c r="D8731" s="753" t="s">
        <v>38359</v>
      </c>
      <c r="E8731" s="752" t="s">
        <v>38361</v>
      </c>
      <c r="F8731" s="751">
        <v>2675</v>
      </c>
    </row>
    <row r="8732" spans="1:6">
      <c r="A8732" s="753"/>
      <c r="B8732" s="753"/>
      <c r="C8732" s="752" t="s">
        <v>38360</v>
      </c>
      <c r="D8732" s="753" t="s">
        <v>38359</v>
      </c>
      <c r="E8732" s="752" t="s">
        <v>38358</v>
      </c>
      <c r="F8732" s="751">
        <v>2925</v>
      </c>
    </row>
    <row r="8733" spans="1:6">
      <c r="A8733" s="753"/>
      <c r="B8733" s="753"/>
      <c r="C8733" s="752" t="s">
        <v>38357</v>
      </c>
      <c r="D8733" s="753" t="s">
        <v>38343</v>
      </c>
      <c r="E8733" s="752" t="s">
        <v>38331</v>
      </c>
      <c r="F8733" s="751">
        <v>3875</v>
      </c>
    </row>
    <row r="8734" spans="1:6">
      <c r="A8734" s="753"/>
      <c r="B8734" s="753"/>
      <c r="C8734" s="752" t="s">
        <v>38356</v>
      </c>
      <c r="D8734" s="753" t="s">
        <v>38343</v>
      </c>
      <c r="E8734" s="752" t="s">
        <v>37895</v>
      </c>
      <c r="F8734" s="751">
        <v>3625</v>
      </c>
    </row>
    <row r="8735" spans="1:6">
      <c r="A8735" s="753"/>
      <c r="B8735" s="753"/>
      <c r="C8735" s="752" t="s">
        <v>38355</v>
      </c>
      <c r="D8735" s="753" t="s">
        <v>38343</v>
      </c>
      <c r="E8735" s="752" t="s">
        <v>38337</v>
      </c>
      <c r="F8735" s="751">
        <v>4425</v>
      </c>
    </row>
    <row r="8736" spans="1:6">
      <c r="A8736" s="753"/>
      <c r="B8736" s="753"/>
      <c r="C8736" s="752" t="s">
        <v>38354</v>
      </c>
      <c r="D8736" s="753" t="s">
        <v>38343</v>
      </c>
      <c r="E8736" s="752" t="s">
        <v>38002</v>
      </c>
      <c r="F8736" s="751">
        <v>5125</v>
      </c>
    </row>
    <row r="8737" spans="1:6">
      <c r="A8737" s="753"/>
      <c r="B8737" s="753"/>
      <c r="C8737" s="752" t="s">
        <v>38353</v>
      </c>
      <c r="D8737" s="753" t="s">
        <v>38348</v>
      </c>
      <c r="E8737" s="752" t="s">
        <v>38331</v>
      </c>
      <c r="F8737" s="751">
        <v>4075</v>
      </c>
    </row>
    <row r="8738" spans="1:6">
      <c r="A8738" s="753"/>
      <c r="B8738" s="753"/>
      <c r="C8738" s="752" t="s">
        <v>38352</v>
      </c>
      <c r="D8738" s="753" t="s">
        <v>38348</v>
      </c>
      <c r="E8738" s="752" t="s">
        <v>37895</v>
      </c>
      <c r="F8738" s="751">
        <v>3825</v>
      </c>
    </row>
    <row r="8739" spans="1:6">
      <c r="A8739" s="753"/>
      <c r="B8739" s="753"/>
      <c r="C8739" s="752" t="s">
        <v>38351</v>
      </c>
      <c r="D8739" s="753" t="s">
        <v>38348</v>
      </c>
      <c r="E8739" s="752" t="s">
        <v>38350</v>
      </c>
      <c r="F8739" s="751">
        <v>4525</v>
      </c>
    </row>
    <row r="8740" spans="1:6">
      <c r="A8740" s="753"/>
      <c r="B8740" s="753"/>
      <c r="C8740" s="752" t="s">
        <v>38349</v>
      </c>
      <c r="D8740" s="753" t="s">
        <v>38348</v>
      </c>
      <c r="E8740" s="752" t="s">
        <v>38347</v>
      </c>
      <c r="F8740" s="751">
        <v>4875</v>
      </c>
    </row>
    <row r="8741" spans="1:6">
      <c r="A8741" s="753"/>
      <c r="B8741" s="753"/>
      <c r="C8741" s="752" t="s">
        <v>38346</v>
      </c>
      <c r="D8741" s="753" t="s">
        <v>38343</v>
      </c>
      <c r="E8741" s="752" t="s">
        <v>38345</v>
      </c>
      <c r="F8741" s="751">
        <v>3625</v>
      </c>
    </row>
    <row r="8742" spans="1:6">
      <c r="A8742" s="753"/>
      <c r="B8742" s="753"/>
      <c r="C8742" s="752" t="s">
        <v>38344</v>
      </c>
      <c r="D8742" s="753" t="s">
        <v>38343</v>
      </c>
      <c r="E8742" s="752" t="s">
        <v>38342</v>
      </c>
      <c r="F8742" s="751">
        <v>3625</v>
      </c>
    </row>
    <row r="8743" spans="1:6">
      <c r="A8743" s="753"/>
      <c r="B8743" s="753"/>
      <c r="C8743" s="752" t="s">
        <v>38341</v>
      </c>
      <c r="D8743" s="753" t="s">
        <v>38338</v>
      </c>
      <c r="E8743" s="752" t="s">
        <v>38331</v>
      </c>
      <c r="F8743" s="751">
        <v>3875</v>
      </c>
    </row>
    <row r="8744" spans="1:6">
      <c r="A8744" s="753"/>
      <c r="B8744" s="753"/>
      <c r="C8744" s="752" t="s">
        <v>38340</v>
      </c>
      <c r="D8744" s="753" t="s">
        <v>38338</v>
      </c>
      <c r="E8744" s="752" t="s">
        <v>37895</v>
      </c>
      <c r="F8744" s="751">
        <v>3625</v>
      </c>
    </row>
    <row r="8745" spans="1:6">
      <c r="A8745" s="753"/>
      <c r="B8745" s="753"/>
      <c r="C8745" s="752" t="s">
        <v>38339</v>
      </c>
      <c r="D8745" s="753" t="s">
        <v>38338</v>
      </c>
      <c r="E8745" s="752" t="s">
        <v>38337</v>
      </c>
      <c r="F8745" s="751">
        <v>4425</v>
      </c>
    </row>
    <row r="8746" spans="1:6">
      <c r="A8746" s="753"/>
      <c r="B8746" s="753"/>
      <c r="C8746" s="752" t="s">
        <v>38336</v>
      </c>
      <c r="D8746" s="753" t="s">
        <v>38335</v>
      </c>
      <c r="E8746" s="752" t="s">
        <v>38334</v>
      </c>
      <c r="F8746" s="751">
        <v>5125</v>
      </c>
    </row>
    <row r="8747" spans="1:6">
      <c r="A8747" s="753"/>
      <c r="B8747" s="753"/>
      <c r="C8747" s="752" t="s">
        <v>38333</v>
      </c>
      <c r="D8747" s="753" t="s">
        <v>38332</v>
      </c>
      <c r="E8747" s="752" t="s">
        <v>38331</v>
      </c>
      <c r="F8747" s="751">
        <v>5175</v>
      </c>
    </row>
    <row r="8748" spans="1:6">
      <c r="A8748" s="753"/>
      <c r="B8748" s="753"/>
      <c r="C8748" s="752" t="s">
        <v>38330</v>
      </c>
      <c r="D8748" s="753" t="s">
        <v>38329</v>
      </c>
      <c r="E8748" s="752" t="s">
        <v>38328</v>
      </c>
      <c r="F8748" s="751">
        <v>2575</v>
      </c>
    </row>
    <row r="8749" spans="1:6">
      <c r="A8749" s="753"/>
      <c r="B8749" s="753"/>
      <c r="C8749" s="752" t="s">
        <v>38327</v>
      </c>
      <c r="D8749" s="753" t="s">
        <v>38326</v>
      </c>
      <c r="E8749" s="752" t="s">
        <v>37895</v>
      </c>
      <c r="F8749" s="751">
        <v>2225</v>
      </c>
    </row>
    <row r="8750" spans="1:6">
      <c r="A8750" s="753"/>
      <c r="B8750" s="753"/>
      <c r="C8750" s="752" t="s">
        <v>38325</v>
      </c>
      <c r="D8750" s="753" t="s">
        <v>38324</v>
      </c>
      <c r="E8750" s="752" t="s">
        <v>38323</v>
      </c>
      <c r="F8750" s="751">
        <v>4975</v>
      </c>
    </row>
    <row r="8751" spans="1:6">
      <c r="A8751" s="753"/>
      <c r="B8751" s="753"/>
      <c r="C8751" s="752" t="s">
        <v>38322</v>
      </c>
      <c r="D8751" s="753" t="s">
        <v>38319</v>
      </c>
      <c r="E8751" s="752" t="s">
        <v>38321</v>
      </c>
      <c r="F8751" s="751">
        <v>2475</v>
      </c>
    </row>
    <row r="8752" spans="1:6">
      <c r="A8752" s="753"/>
      <c r="B8752" s="753"/>
      <c r="C8752" s="752" t="s">
        <v>38320</v>
      </c>
      <c r="D8752" s="753" t="s">
        <v>38319</v>
      </c>
      <c r="E8752" s="752" t="s">
        <v>38318</v>
      </c>
      <c r="F8752" s="751">
        <v>2475</v>
      </c>
    </row>
    <row r="8753" spans="1:6">
      <c r="A8753" s="753"/>
      <c r="B8753" s="753" t="s">
        <v>38317</v>
      </c>
      <c r="C8753" s="752" t="s">
        <v>38316</v>
      </c>
      <c r="D8753" s="753" t="s">
        <v>38302</v>
      </c>
      <c r="E8753" s="752" t="s">
        <v>38258</v>
      </c>
      <c r="F8753" s="751">
        <v>5420</v>
      </c>
    </row>
    <row r="8754" spans="1:6">
      <c r="A8754" s="753"/>
      <c r="B8754" s="753"/>
      <c r="C8754" s="752" t="s">
        <v>38315</v>
      </c>
      <c r="D8754" s="753" t="s">
        <v>38302</v>
      </c>
      <c r="E8754" s="752" t="s">
        <v>38294</v>
      </c>
      <c r="F8754" s="751">
        <v>5670</v>
      </c>
    </row>
    <row r="8755" spans="1:6">
      <c r="A8755" s="753"/>
      <c r="B8755" s="753"/>
      <c r="C8755" s="752" t="s">
        <v>38314</v>
      </c>
      <c r="D8755" s="753" t="s">
        <v>38302</v>
      </c>
      <c r="E8755" s="752" t="s">
        <v>38258</v>
      </c>
      <c r="F8755" s="751">
        <v>5420</v>
      </c>
    </row>
    <row r="8756" spans="1:6">
      <c r="A8756" s="753"/>
      <c r="B8756" s="753"/>
      <c r="C8756" s="752" t="s">
        <v>38313</v>
      </c>
      <c r="D8756" s="753" t="s">
        <v>38300</v>
      </c>
      <c r="E8756" s="752" t="s">
        <v>38312</v>
      </c>
      <c r="F8756" s="751">
        <v>5120</v>
      </c>
    </row>
    <row r="8757" spans="1:6">
      <c r="A8757" s="753"/>
      <c r="B8757" s="753"/>
      <c r="C8757" s="752" t="s">
        <v>38311</v>
      </c>
      <c r="D8757" s="753" t="s">
        <v>38302</v>
      </c>
      <c r="E8757" s="752" t="s">
        <v>38290</v>
      </c>
      <c r="F8757" s="751">
        <v>5170</v>
      </c>
    </row>
    <row r="8758" spans="1:6">
      <c r="A8758" s="753"/>
      <c r="B8758" s="753"/>
      <c r="C8758" s="752" t="s">
        <v>38310</v>
      </c>
      <c r="D8758" s="753" t="s">
        <v>38306</v>
      </c>
      <c r="E8758" s="752" t="s">
        <v>38290</v>
      </c>
      <c r="F8758" s="751">
        <v>2825</v>
      </c>
    </row>
    <row r="8759" spans="1:6">
      <c r="A8759" s="753"/>
      <c r="B8759" s="753"/>
      <c r="C8759" s="752" t="s">
        <v>38309</v>
      </c>
      <c r="D8759" s="753" t="s">
        <v>38300</v>
      </c>
      <c r="E8759" s="752" t="s">
        <v>38299</v>
      </c>
      <c r="F8759" s="751">
        <v>4870</v>
      </c>
    </row>
    <row r="8760" spans="1:6">
      <c r="A8760" s="753"/>
      <c r="B8760" s="753"/>
      <c r="C8760" s="752" t="s">
        <v>38308</v>
      </c>
      <c r="D8760" s="753" t="s">
        <v>38302</v>
      </c>
      <c r="E8760" s="752" t="s">
        <v>38258</v>
      </c>
      <c r="F8760" s="751">
        <v>5420</v>
      </c>
    </row>
    <row r="8761" spans="1:6">
      <c r="A8761" s="753"/>
      <c r="B8761" s="753"/>
      <c r="C8761" s="752" t="s">
        <v>38307</v>
      </c>
      <c r="D8761" s="753" t="s">
        <v>38306</v>
      </c>
      <c r="E8761" s="752" t="s">
        <v>38258</v>
      </c>
      <c r="F8761" s="751">
        <v>3075</v>
      </c>
    </row>
    <row r="8762" spans="1:6">
      <c r="A8762" s="753"/>
      <c r="B8762" s="753"/>
      <c r="C8762" s="752" t="s">
        <v>38305</v>
      </c>
      <c r="D8762" s="753" t="s">
        <v>38302</v>
      </c>
      <c r="E8762" s="752" t="s">
        <v>38304</v>
      </c>
      <c r="F8762" s="751">
        <v>4620</v>
      </c>
    </row>
    <row r="8763" spans="1:6">
      <c r="A8763" s="753"/>
      <c r="B8763" s="753"/>
      <c r="C8763" s="752" t="s">
        <v>38303</v>
      </c>
      <c r="D8763" s="753" t="s">
        <v>38302</v>
      </c>
      <c r="E8763" s="752" t="s">
        <v>38290</v>
      </c>
      <c r="F8763" s="751">
        <v>5170</v>
      </c>
    </row>
    <row r="8764" spans="1:6">
      <c r="A8764" s="753"/>
      <c r="B8764" s="753"/>
      <c r="C8764" s="752" t="s">
        <v>38301</v>
      </c>
      <c r="D8764" s="753" t="s">
        <v>38300</v>
      </c>
      <c r="E8764" s="752" t="s">
        <v>38299</v>
      </c>
      <c r="F8764" s="751">
        <v>4870</v>
      </c>
    </row>
    <row r="8765" spans="1:6">
      <c r="A8765" s="753"/>
      <c r="B8765" s="753"/>
      <c r="C8765" s="752" t="s">
        <v>38298</v>
      </c>
      <c r="D8765" s="753" t="s">
        <v>38291</v>
      </c>
      <c r="E8765" s="752" t="s">
        <v>38288</v>
      </c>
      <c r="F8765" s="751">
        <v>4420</v>
      </c>
    </row>
    <row r="8766" spans="1:6">
      <c r="A8766" s="753"/>
      <c r="B8766" s="753"/>
      <c r="C8766" s="752" t="s">
        <v>38297</v>
      </c>
      <c r="D8766" s="753" t="s">
        <v>38291</v>
      </c>
      <c r="E8766" s="752" t="s">
        <v>38296</v>
      </c>
      <c r="F8766" s="751">
        <v>4170</v>
      </c>
    </row>
    <row r="8767" spans="1:6">
      <c r="A8767" s="753"/>
      <c r="B8767" s="753"/>
      <c r="C8767" s="752" t="s">
        <v>38295</v>
      </c>
      <c r="D8767" s="753" t="s">
        <v>38291</v>
      </c>
      <c r="E8767" s="752" t="s">
        <v>38294</v>
      </c>
      <c r="F8767" s="751">
        <v>4670</v>
      </c>
    </row>
    <row r="8768" spans="1:6">
      <c r="A8768" s="753"/>
      <c r="B8768" s="753"/>
      <c r="C8768" s="752" t="s">
        <v>38293</v>
      </c>
      <c r="D8768" s="753" t="s">
        <v>38291</v>
      </c>
      <c r="E8768" s="752" t="s">
        <v>38258</v>
      </c>
      <c r="F8768" s="751">
        <v>4420</v>
      </c>
    </row>
    <row r="8769" spans="1:6">
      <c r="A8769" s="753"/>
      <c r="B8769" s="753"/>
      <c r="C8769" s="752" t="s">
        <v>38292</v>
      </c>
      <c r="D8769" s="753" t="s">
        <v>38291</v>
      </c>
      <c r="E8769" s="752" t="s">
        <v>38290</v>
      </c>
      <c r="F8769" s="751">
        <v>3970</v>
      </c>
    </row>
    <row r="8770" spans="1:6">
      <c r="A8770" s="753"/>
      <c r="B8770" s="753"/>
      <c r="C8770" s="752" t="s">
        <v>38289</v>
      </c>
      <c r="D8770" s="753" t="s">
        <v>38286</v>
      </c>
      <c r="E8770" s="752" t="s">
        <v>38288</v>
      </c>
      <c r="F8770" s="751">
        <v>5915</v>
      </c>
    </row>
    <row r="8771" spans="1:6">
      <c r="A8771" s="753"/>
      <c r="B8771" s="753"/>
      <c r="C8771" s="752" t="s">
        <v>38287</v>
      </c>
      <c r="D8771" s="753" t="s">
        <v>38286</v>
      </c>
      <c r="E8771" s="752" t="s">
        <v>38285</v>
      </c>
      <c r="F8771" s="751">
        <v>5665</v>
      </c>
    </row>
    <row r="8772" spans="1:6">
      <c r="A8772" s="753"/>
      <c r="B8772" s="753"/>
      <c r="C8772" s="752" t="s">
        <v>38284</v>
      </c>
      <c r="D8772" s="753" t="s">
        <v>38253</v>
      </c>
      <c r="E8772" s="752" t="s">
        <v>38283</v>
      </c>
      <c r="F8772" s="751">
        <v>4475</v>
      </c>
    </row>
    <row r="8773" spans="1:6">
      <c r="A8773" s="753"/>
      <c r="B8773" s="753"/>
      <c r="C8773" s="752" t="s">
        <v>38282</v>
      </c>
      <c r="D8773" s="753" t="s">
        <v>38253</v>
      </c>
      <c r="E8773" s="752" t="s">
        <v>38281</v>
      </c>
      <c r="F8773" s="751">
        <v>4575</v>
      </c>
    </row>
    <row r="8774" spans="1:6">
      <c r="A8774" s="753"/>
      <c r="B8774" s="753"/>
      <c r="C8774" s="752" t="s">
        <v>38280</v>
      </c>
      <c r="D8774" s="753" t="s">
        <v>38264</v>
      </c>
      <c r="E8774" s="752" t="s">
        <v>38263</v>
      </c>
      <c r="F8774" s="751">
        <v>6005</v>
      </c>
    </row>
    <row r="8775" spans="1:6">
      <c r="A8775" s="753"/>
      <c r="B8775" s="753"/>
      <c r="C8775" s="752" t="s">
        <v>38279</v>
      </c>
      <c r="D8775" s="753" t="s">
        <v>38266</v>
      </c>
      <c r="E8775" s="752" t="s">
        <v>38278</v>
      </c>
      <c r="F8775" s="751">
        <v>4925</v>
      </c>
    </row>
    <row r="8776" spans="1:6">
      <c r="A8776" s="753"/>
      <c r="B8776" s="753"/>
      <c r="C8776" s="752" t="s">
        <v>38277</v>
      </c>
      <c r="D8776" s="753" t="s">
        <v>38264</v>
      </c>
      <c r="E8776" s="752" t="s">
        <v>38263</v>
      </c>
      <c r="F8776" s="751">
        <v>6005</v>
      </c>
    </row>
    <row r="8777" spans="1:6">
      <c r="A8777" s="753"/>
      <c r="B8777" s="753"/>
      <c r="C8777" s="752" t="s">
        <v>38276</v>
      </c>
      <c r="D8777" s="753" t="s">
        <v>38275</v>
      </c>
      <c r="E8777" s="752" t="s">
        <v>38274</v>
      </c>
      <c r="F8777" s="751">
        <v>4675</v>
      </c>
    </row>
    <row r="8778" spans="1:6">
      <c r="A8778" s="753"/>
      <c r="B8778" s="753"/>
      <c r="C8778" s="752" t="s">
        <v>38273</v>
      </c>
      <c r="D8778" s="753" t="s">
        <v>38272</v>
      </c>
      <c r="E8778" s="752" t="s">
        <v>38015</v>
      </c>
      <c r="F8778" s="751">
        <v>5275</v>
      </c>
    </row>
    <row r="8779" spans="1:6">
      <c r="A8779" s="753"/>
      <c r="B8779" s="753"/>
      <c r="C8779" s="752" t="s">
        <v>38271</v>
      </c>
      <c r="D8779" s="753" t="s">
        <v>38266</v>
      </c>
      <c r="E8779" s="752" t="s">
        <v>38270</v>
      </c>
      <c r="F8779" s="751">
        <v>4675</v>
      </c>
    </row>
    <row r="8780" spans="1:6">
      <c r="A8780" s="753"/>
      <c r="B8780" s="753"/>
      <c r="C8780" s="752" t="s">
        <v>38269</v>
      </c>
      <c r="D8780" s="753" t="s">
        <v>38266</v>
      </c>
      <c r="E8780" s="752" t="s">
        <v>38268</v>
      </c>
      <c r="F8780" s="751">
        <v>5655</v>
      </c>
    </row>
    <row r="8781" spans="1:6">
      <c r="A8781" s="753"/>
      <c r="B8781" s="753"/>
      <c r="C8781" s="752" t="s">
        <v>38267</v>
      </c>
      <c r="D8781" s="753" t="s">
        <v>38266</v>
      </c>
      <c r="E8781" s="752" t="s">
        <v>38258</v>
      </c>
      <c r="F8781" s="751">
        <v>4925</v>
      </c>
    </row>
    <row r="8782" spans="1:6">
      <c r="A8782" s="753"/>
      <c r="B8782" s="753"/>
      <c r="C8782" s="752" t="s">
        <v>38265</v>
      </c>
      <c r="D8782" s="753" t="s">
        <v>38264</v>
      </c>
      <c r="E8782" s="752" t="s">
        <v>38263</v>
      </c>
      <c r="F8782" s="751">
        <v>5725</v>
      </c>
    </row>
    <row r="8783" spans="1:6">
      <c r="A8783" s="753"/>
      <c r="B8783" s="753"/>
      <c r="C8783" s="752" t="s">
        <v>38262</v>
      </c>
      <c r="D8783" s="753" t="s">
        <v>38261</v>
      </c>
      <c r="E8783" s="752" t="s">
        <v>38260</v>
      </c>
      <c r="F8783" s="751">
        <v>5325</v>
      </c>
    </row>
    <row r="8784" spans="1:6">
      <c r="A8784" s="753"/>
      <c r="B8784" s="753"/>
      <c r="C8784" s="752" t="s">
        <v>38259</v>
      </c>
      <c r="D8784" s="753" t="s">
        <v>38253</v>
      </c>
      <c r="E8784" s="752" t="s">
        <v>38258</v>
      </c>
      <c r="F8784" s="751">
        <v>6275</v>
      </c>
    </row>
    <row r="8785" spans="1:6">
      <c r="A8785" s="753"/>
      <c r="B8785" s="753"/>
      <c r="C8785" s="752" t="s">
        <v>38257</v>
      </c>
      <c r="D8785" s="753" t="s">
        <v>38256</v>
      </c>
      <c r="E8785" s="752" t="s">
        <v>38255</v>
      </c>
      <c r="F8785" s="751">
        <v>6255</v>
      </c>
    </row>
    <row r="8786" spans="1:6">
      <c r="A8786" s="753"/>
      <c r="B8786" s="753"/>
      <c r="C8786" s="752" t="s">
        <v>38254</v>
      </c>
      <c r="D8786" s="753" t="s">
        <v>38253</v>
      </c>
      <c r="E8786" s="752" t="s">
        <v>38252</v>
      </c>
      <c r="F8786" s="751">
        <v>4575</v>
      </c>
    </row>
    <row r="8787" spans="1:6">
      <c r="A8787" s="753"/>
      <c r="B8787" s="753"/>
      <c r="C8787" s="752" t="s">
        <v>38251</v>
      </c>
      <c r="D8787" s="753" t="s">
        <v>38250</v>
      </c>
      <c r="E8787" s="752" t="s">
        <v>38249</v>
      </c>
      <c r="F8787" s="751">
        <v>1445</v>
      </c>
    </row>
    <row r="8788" spans="1:6">
      <c r="A8788" s="753"/>
      <c r="B8788" s="753"/>
      <c r="C8788" s="752" t="s">
        <v>38248</v>
      </c>
      <c r="D8788" s="753" t="s">
        <v>38239</v>
      </c>
      <c r="E8788" s="752" t="s">
        <v>38135</v>
      </c>
      <c r="F8788" s="751">
        <v>3475</v>
      </c>
    </row>
    <row r="8789" spans="1:6">
      <c r="A8789" s="753"/>
      <c r="B8789" s="753"/>
      <c r="C8789" s="752" t="s">
        <v>38247</v>
      </c>
      <c r="D8789" s="753" t="s">
        <v>38246</v>
      </c>
      <c r="E8789" s="752" t="s">
        <v>38132</v>
      </c>
      <c r="F8789" s="751">
        <v>3225</v>
      </c>
    </row>
    <row r="8790" spans="1:6">
      <c r="A8790" s="753"/>
      <c r="B8790" s="753"/>
      <c r="C8790" s="752" t="s">
        <v>38245</v>
      </c>
      <c r="D8790" s="753" t="s">
        <v>38239</v>
      </c>
      <c r="E8790" s="752" t="s">
        <v>38203</v>
      </c>
      <c r="F8790" s="751">
        <v>3475</v>
      </c>
    </row>
    <row r="8791" spans="1:6">
      <c r="A8791" s="753"/>
      <c r="B8791" s="753"/>
      <c r="C8791" s="752" t="s">
        <v>38244</v>
      </c>
      <c r="D8791" s="753" t="s">
        <v>38239</v>
      </c>
      <c r="E8791" s="752" t="s">
        <v>38243</v>
      </c>
      <c r="F8791" s="751">
        <v>3475</v>
      </c>
    </row>
    <row r="8792" spans="1:6">
      <c r="A8792" s="753"/>
      <c r="B8792" s="753"/>
      <c r="C8792" s="752" t="s">
        <v>38242</v>
      </c>
      <c r="D8792" s="753" t="s">
        <v>38239</v>
      </c>
      <c r="E8792" s="752" t="s">
        <v>38241</v>
      </c>
      <c r="F8792" s="751">
        <v>3225</v>
      </c>
    </row>
    <row r="8793" spans="1:6">
      <c r="A8793" s="753"/>
      <c r="B8793" s="753"/>
      <c r="C8793" s="752" t="s">
        <v>38240</v>
      </c>
      <c r="D8793" s="753" t="s">
        <v>38239</v>
      </c>
      <c r="E8793" s="752" t="s">
        <v>38238</v>
      </c>
      <c r="F8793" s="751">
        <v>3475</v>
      </c>
    </row>
    <row r="8794" spans="1:6">
      <c r="A8794" s="753"/>
      <c r="B8794" s="753"/>
      <c r="C8794" s="752" t="s">
        <v>38237</v>
      </c>
      <c r="D8794" s="753" t="s">
        <v>38236</v>
      </c>
      <c r="E8794" s="752" t="s">
        <v>38015</v>
      </c>
      <c r="F8794" s="751">
        <v>5075</v>
      </c>
    </row>
    <row r="8795" spans="1:6">
      <c r="A8795" s="753"/>
      <c r="B8795" s="753"/>
      <c r="C8795" s="752" t="s">
        <v>38235</v>
      </c>
      <c r="D8795" s="753" t="s">
        <v>38198</v>
      </c>
      <c r="E8795" s="752" t="s">
        <v>38234</v>
      </c>
      <c r="F8795" s="751">
        <v>3375</v>
      </c>
    </row>
    <row r="8796" spans="1:6">
      <c r="A8796" s="753"/>
      <c r="B8796" s="753"/>
      <c r="C8796" s="752" t="s">
        <v>38233</v>
      </c>
      <c r="D8796" s="753" t="s">
        <v>38198</v>
      </c>
      <c r="E8796" s="752" t="s">
        <v>38139</v>
      </c>
      <c r="F8796" s="751">
        <v>3725</v>
      </c>
    </row>
    <row r="8797" spans="1:6">
      <c r="A8797" s="753"/>
      <c r="B8797" s="753"/>
      <c r="C8797" s="752" t="s">
        <v>38232</v>
      </c>
      <c r="D8797" s="753" t="s">
        <v>38214</v>
      </c>
      <c r="E8797" s="752" t="s">
        <v>38231</v>
      </c>
      <c r="F8797" s="751">
        <v>3275</v>
      </c>
    </row>
    <row r="8798" spans="1:6">
      <c r="A8798" s="753"/>
      <c r="B8798" s="753"/>
      <c r="C8798" s="752" t="s">
        <v>38230</v>
      </c>
      <c r="D8798" s="753" t="s">
        <v>38214</v>
      </c>
      <c r="E8798" s="752" t="s">
        <v>38229</v>
      </c>
      <c r="F8798" s="751">
        <v>3275</v>
      </c>
    </row>
    <row r="8799" spans="1:6">
      <c r="A8799" s="753"/>
      <c r="B8799" s="753"/>
      <c r="C8799" s="752" t="s">
        <v>38228</v>
      </c>
      <c r="D8799" s="753" t="s">
        <v>38198</v>
      </c>
      <c r="E8799" s="752" t="s">
        <v>38227</v>
      </c>
      <c r="F8799" s="751">
        <v>3375</v>
      </c>
    </row>
    <row r="8800" spans="1:6">
      <c r="A8800" s="753"/>
      <c r="B8800" s="753"/>
      <c r="C8800" s="752" t="s">
        <v>38226</v>
      </c>
      <c r="D8800" s="753" t="s">
        <v>38214</v>
      </c>
      <c r="E8800" s="752" t="s">
        <v>38224</v>
      </c>
      <c r="F8800" s="751">
        <v>3425</v>
      </c>
    </row>
    <row r="8801" spans="1:6">
      <c r="A8801" s="753"/>
      <c r="B8801" s="753"/>
      <c r="C8801" s="752" t="s">
        <v>38225</v>
      </c>
      <c r="D8801" s="753" t="s">
        <v>38214</v>
      </c>
      <c r="E8801" s="752" t="s">
        <v>38224</v>
      </c>
      <c r="F8801" s="751">
        <v>2995</v>
      </c>
    </row>
    <row r="8802" spans="1:6">
      <c r="A8802" s="753"/>
      <c r="B8802" s="753"/>
      <c r="C8802" s="752" t="s">
        <v>38223</v>
      </c>
      <c r="D8802" s="753" t="s">
        <v>38214</v>
      </c>
      <c r="E8802" s="752" t="s">
        <v>38055</v>
      </c>
      <c r="F8802" s="751">
        <v>3275</v>
      </c>
    </row>
    <row r="8803" spans="1:6">
      <c r="A8803" s="753"/>
      <c r="B8803" s="753"/>
      <c r="C8803" s="752" t="s">
        <v>38222</v>
      </c>
      <c r="D8803" s="753" t="s">
        <v>38198</v>
      </c>
      <c r="E8803" s="752" t="s">
        <v>38139</v>
      </c>
      <c r="F8803" s="751">
        <v>3725</v>
      </c>
    </row>
    <row r="8804" spans="1:6">
      <c r="A8804" s="753"/>
      <c r="B8804" s="753"/>
      <c r="C8804" s="752" t="s">
        <v>38221</v>
      </c>
      <c r="D8804" s="753" t="s">
        <v>38211</v>
      </c>
      <c r="E8804" s="752" t="s">
        <v>38220</v>
      </c>
      <c r="F8804" s="751">
        <v>3125</v>
      </c>
    </row>
    <row r="8805" spans="1:6">
      <c r="A8805" s="753"/>
      <c r="B8805" s="753"/>
      <c r="C8805" s="752" t="s">
        <v>38219</v>
      </c>
      <c r="D8805" s="753" t="s">
        <v>38214</v>
      </c>
      <c r="E8805" s="752" t="s">
        <v>38137</v>
      </c>
      <c r="F8805" s="751">
        <v>3025</v>
      </c>
    </row>
    <row r="8806" spans="1:6">
      <c r="A8806" s="753"/>
      <c r="B8806" s="753"/>
      <c r="C8806" s="752" t="s">
        <v>38218</v>
      </c>
      <c r="D8806" s="753" t="s">
        <v>38198</v>
      </c>
      <c r="E8806" s="752" t="s">
        <v>38135</v>
      </c>
      <c r="F8806" s="751">
        <v>3375</v>
      </c>
    </row>
    <row r="8807" spans="1:6">
      <c r="A8807" s="753"/>
      <c r="B8807" s="753"/>
      <c r="C8807" s="752" t="s">
        <v>38217</v>
      </c>
      <c r="D8807" s="753" t="s">
        <v>38211</v>
      </c>
      <c r="E8807" s="752" t="s">
        <v>38216</v>
      </c>
      <c r="F8807" s="751">
        <v>3125</v>
      </c>
    </row>
    <row r="8808" spans="1:6">
      <c r="A8808" s="753"/>
      <c r="B8808" s="753"/>
      <c r="C8808" s="752" t="s">
        <v>38215</v>
      </c>
      <c r="D8808" s="753" t="s">
        <v>38214</v>
      </c>
      <c r="E8808" s="752" t="s">
        <v>38055</v>
      </c>
      <c r="F8808" s="751">
        <v>3025</v>
      </c>
    </row>
    <row r="8809" spans="1:6">
      <c r="A8809" s="753"/>
      <c r="B8809" s="753"/>
      <c r="C8809" s="752" t="s">
        <v>38213</v>
      </c>
      <c r="D8809" s="753" t="s">
        <v>38198</v>
      </c>
      <c r="E8809" s="752" t="s">
        <v>38132</v>
      </c>
      <c r="F8809" s="751">
        <v>3375</v>
      </c>
    </row>
    <row r="8810" spans="1:6">
      <c r="A8810" s="753"/>
      <c r="B8810" s="753"/>
      <c r="C8810" s="752" t="s">
        <v>38212</v>
      </c>
      <c r="D8810" s="753" t="s">
        <v>38211</v>
      </c>
      <c r="E8810" s="752" t="s">
        <v>38132</v>
      </c>
      <c r="F8810" s="751">
        <v>3125</v>
      </c>
    </row>
    <row r="8811" spans="1:6">
      <c r="A8811" s="753"/>
      <c r="B8811" s="753"/>
      <c r="C8811" s="752" t="s">
        <v>38210</v>
      </c>
      <c r="D8811" s="753" t="s">
        <v>38198</v>
      </c>
      <c r="E8811" s="752" t="s">
        <v>38208</v>
      </c>
      <c r="F8811" s="751">
        <v>3725</v>
      </c>
    </row>
    <row r="8812" spans="1:6">
      <c r="A8812" s="753"/>
      <c r="B8812" s="753"/>
      <c r="C8812" s="752" t="s">
        <v>38209</v>
      </c>
      <c r="D8812" s="753" t="s">
        <v>38198</v>
      </c>
      <c r="E8812" s="752" t="s">
        <v>38208</v>
      </c>
      <c r="F8812" s="751">
        <v>3725</v>
      </c>
    </row>
    <row r="8813" spans="1:6">
      <c r="A8813" s="753"/>
      <c r="B8813" s="753"/>
      <c r="C8813" s="752" t="s">
        <v>38207</v>
      </c>
      <c r="D8813" s="753" t="s">
        <v>38198</v>
      </c>
      <c r="E8813" s="752" t="s">
        <v>38206</v>
      </c>
      <c r="F8813" s="751">
        <v>3375</v>
      </c>
    </row>
    <row r="8814" spans="1:6">
      <c r="A8814" s="753"/>
      <c r="B8814" s="753"/>
      <c r="C8814" s="752" t="s">
        <v>38205</v>
      </c>
      <c r="D8814" s="753" t="s">
        <v>38201</v>
      </c>
      <c r="E8814" s="752" t="s">
        <v>38124</v>
      </c>
      <c r="F8814" s="751">
        <v>3125</v>
      </c>
    </row>
    <row r="8815" spans="1:6">
      <c r="A8815" s="753"/>
      <c r="B8815" s="753"/>
      <c r="C8815" s="752" t="s">
        <v>38204</v>
      </c>
      <c r="D8815" s="753" t="s">
        <v>38198</v>
      </c>
      <c r="E8815" s="752" t="s">
        <v>38203</v>
      </c>
      <c r="F8815" s="751">
        <v>3375</v>
      </c>
    </row>
    <row r="8816" spans="1:6">
      <c r="A8816" s="753"/>
      <c r="B8816" s="753"/>
      <c r="C8816" s="752" t="s">
        <v>38202</v>
      </c>
      <c r="D8816" s="753" t="s">
        <v>38201</v>
      </c>
      <c r="E8816" s="752" t="s">
        <v>38200</v>
      </c>
      <c r="F8816" s="751">
        <v>3125</v>
      </c>
    </row>
    <row r="8817" spans="1:6">
      <c r="A8817" s="753"/>
      <c r="B8817" s="753"/>
      <c r="C8817" s="752" t="s">
        <v>38199</v>
      </c>
      <c r="D8817" s="753" t="s">
        <v>38198</v>
      </c>
      <c r="E8817" s="752" t="s">
        <v>38126</v>
      </c>
      <c r="F8817" s="751">
        <v>3375</v>
      </c>
    </row>
    <row r="8818" spans="1:6">
      <c r="A8818" s="753"/>
      <c r="B8818" s="753"/>
      <c r="C8818" s="752" t="s">
        <v>38197</v>
      </c>
      <c r="D8818" s="753" t="s">
        <v>38178</v>
      </c>
      <c r="E8818" s="752" t="s">
        <v>38010</v>
      </c>
      <c r="F8818" s="751">
        <v>4675</v>
      </c>
    </row>
    <row r="8819" spans="1:6">
      <c r="A8819" s="753"/>
      <c r="B8819" s="753"/>
      <c r="C8819" s="752" t="s">
        <v>38196</v>
      </c>
      <c r="D8819" s="753" t="s">
        <v>38178</v>
      </c>
      <c r="E8819" s="752" t="s">
        <v>38019</v>
      </c>
      <c r="F8819" s="751">
        <v>4425</v>
      </c>
    </row>
    <row r="8820" spans="1:6">
      <c r="A8820" s="753"/>
      <c r="B8820" s="753"/>
      <c r="C8820" s="752" t="s">
        <v>38195</v>
      </c>
      <c r="D8820" s="753" t="s">
        <v>38178</v>
      </c>
      <c r="E8820" s="752" t="s">
        <v>38172</v>
      </c>
      <c r="F8820" s="751">
        <v>4935</v>
      </c>
    </row>
    <row r="8821" spans="1:6">
      <c r="A8821" s="753"/>
      <c r="B8821" s="753"/>
      <c r="C8821" s="752" t="s">
        <v>38194</v>
      </c>
      <c r="D8821" s="753" t="s">
        <v>38178</v>
      </c>
      <c r="E8821" s="752" t="s">
        <v>38083</v>
      </c>
      <c r="F8821" s="751">
        <v>4425</v>
      </c>
    </row>
    <row r="8822" spans="1:6">
      <c r="A8822" s="753"/>
      <c r="B8822" s="753"/>
      <c r="C8822" s="752" t="s">
        <v>38193</v>
      </c>
      <c r="D8822" s="753" t="s">
        <v>38178</v>
      </c>
      <c r="E8822" s="752" t="s">
        <v>38172</v>
      </c>
      <c r="F8822" s="751">
        <v>5185</v>
      </c>
    </row>
    <row r="8823" spans="1:6">
      <c r="A8823" s="753"/>
      <c r="B8823" s="753"/>
      <c r="C8823" s="752" t="s">
        <v>38192</v>
      </c>
      <c r="D8823" s="753" t="s">
        <v>38178</v>
      </c>
      <c r="E8823" s="752" t="s">
        <v>38083</v>
      </c>
      <c r="F8823" s="751">
        <v>4425</v>
      </c>
    </row>
    <row r="8824" spans="1:6">
      <c r="A8824" s="753"/>
      <c r="B8824" s="753"/>
      <c r="C8824" s="752" t="s">
        <v>38191</v>
      </c>
      <c r="D8824" s="753" t="s">
        <v>38178</v>
      </c>
      <c r="E8824" s="752" t="s">
        <v>38081</v>
      </c>
      <c r="F8824" s="751">
        <v>5325</v>
      </c>
    </row>
    <row r="8825" spans="1:6">
      <c r="A8825" s="753"/>
      <c r="B8825" s="753"/>
      <c r="C8825" s="752" t="s">
        <v>38190</v>
      </c>
      <c r="D8825" s="753" t="s">
        <v>38178</v>
      </c>
      <c r="E8825" s="752" t="s">
        <v>38010</v>
      </c>
      <c r="F8825" s="751">
        <v>4675</v>
      </c>
    </row>
    <row r="8826" spans="1:6">
      <c r="A8826" s="753"/>
      <c r="B8826" s="753"/>
      <c r="C8826" s="752" t="s">
        <v>38189</v>
      </c>
      <c r="D8826" s="753" t="s">
        <v>38178</v>
      </c>
      <c r="E8826" s="752" t="s">
        <v>38166</v>
      </c>
      <c r="F8826" s="751">
        <v>5675</v>
      </c>
    </row>
    <row r="8827" spans="1:6">
      <c r="A8827" s="753"/>
      <c r="B8827" s="753"/>
      <c r="C8827" s="752" t="s">
        <v>38188</v>
      </c>
      <c r="D8827" s="753" t="s">
        <v>38178</v>
      </c>
      <c r="E8827" s="752" t="s">
        <v>38019</v>
      </c>
      <c r="F8827" s="751">
        <v>4425</v>
      </c>
    </row>
    <row r="8828" spans="1:6">
      <c r="A8828" s="753"/>
      <c r="B8828" s="753"/>
      <c r="C8828" s="752" t="s">
        <v>38187</v>
      </c>
      <c r="D8828" s="753" t="s">
        <v>38178</v>
      </c>
      <c r="E8828" s="752" t="s">
        <v>37900</v>
      </c>
      <c r="F8828" s="751">
        <v>4425</v>
      </c>
    </row>
    <row r="8829" spans="1:6">
      <c r="A8829" s="753"/>
      <c r="B8829" s="753"/>
      <c r="C8829" s="752" t="s">
        <v>38186</v>
      </c>
      <c r="D8829" s="753" t="s">
        <v>38178</v>
      </c>
      <c r="E8829" s="752" t="s">
        <v>38002</v>
      </c>
      <c r="F8829" s="751">
        <v>5325</v>
      </c>
    </row>
    <row r="8830" spans="1:6">
      <c r="A8830" s="753"/>
      <c r="B8830" s="753"/>
      <c r="C8830" s="752" t="s">
        <v>38185</v>
      </c>
      <c r="D8830" s="753" t="s">
        <v>38178</v>
      </c>
      <c r="E8830" s="752" t="s">
        <v>37995</v>
      </c>
      <c r="F8830" s="751">
        <v>4175</v>
      </c>
    </row>
    <row r="8831" spans="1:6">
      <c r="A8831" s="753"/>
      <c r="B8831" s="753"/>
      <c r="C8831" s="752" t="s">
        <v>38184</v>
      </c>
      <c r="D8831" s="753" t="s">
        <v>38178</v>
      </c>
      <c r="E8831" s="752" t="s">
        <v>38015</v>
      </c>
      <c r="F8831" s="751">
        <v>4975</v>
      </c>
    </row>
    <row r="8832" spans="1:6">
      <c r="A8832" s="753"/>
      <c r="B8832" s="753"/>
      <c r="C8832" s="752" t="s">
        <v>38183</v>
      </c>
      <c r="D8832" s="753" t="s">
        <v>38178</v>
      </c>
      <c r="E8832" s="752" t="s">
        <v>38166</v>
      </c>
      <c r="F8832" s="751">
        <v>5675</v>
      </c>
    </row>
    <row r="8833" spans="1:6">
      <c r="A8833" s="753"/>
      <c r="B8833" s="753"/>
      <c r="C8833" s="752" t="s">
        <v>38182</v>
      </c>
      <c r="D8833" s="753" t="s">
        <v>38178</v>
      </c>
      <c r="E8833" s="752" t="s">
        <v>38019</v>
      </c>
      <c r="F8833" s="751">
        <v>4425</v>
      </c>
    </row>
    <row r="8834" spans="1:6">
      <c r="A8834" s="753"/>
      <c r="B8834" s="753"/>
      <c r="C8834" s="752" t="s">
        <v>38181</v>
      </c>
      <c r="D8834" s="753" t="s">
        <v>38178</v>
      </c>
      <c r="E8834" s="752" t="s">
        <v>38069</v>
      </c>
      <c r="F8834" s="751">
        <v>4175</v>
      </c>
    </row>
    <row r="8835" spans="1:6">
      <c r="A8835" s="753"/>
      <c r="B8835" s="753"/>
      <c r="C8835" s="752" t="s">
        <v>38180</v>
      </c>
      <c r="D8835" s="753" t="s">
        <v>38178</v>
      </c>
      <c r="E8835" s="752" t="s">
        <v>38007</v>
      </c>
      <c r="F8835" s="751">
        <v>4975</v>
      </c>
    </row>
    <row r="8836" spans="1:6">
      <c r="A8836" s="753"/>
      <c r="B8836" s="753"/>
      <c r="C8836" s="752" t="s">
        <v>38179</v>
      </c>
      <c r="D8836" s="753" t="s">
        <v>38178</v>
      </c>
      <c r="E8836" s="752" t="s">
        <v>38177</v>
      </c>
      <c r="F8836" s="751">
        <v>5325</v>
      </c>
    </row>
    <row r="8837" spans="1:6">
      <c r="A8837" s="753"/>
      <c r="B8837" s="753"/>
      <c r="C8837" s="752" t="s">
        <v>38176</v>
      </c>
      <c r="D8837" s="753" t="s">
        <v>38164</v>
      </c>
      <c r="E8837" s="752" t="s">
        <v>38019</v>
      </c>
      <c r="F8837" s="751">
        <v>4425</v>
      </c>
    </row>
    <row r="8838" spans="1:6">
      <c r="A8838" s="753"/>
      <c r="B8838" s="753"/>
      <c r="C8838" s="752" t="s">
        <v>38175</v>
      </c>
      <c r="D8838" s="753" t="s">
        <v>38147</v>
      </c>
      <c r="E8838" s="752" t="s">
        <v>38146</v>
      </c>
      <c r="F8838" s="751">
        <v>5325</v>
      </c>
    </row>
    <row r="8839" spans="1:6">
      <c r="A8839" s="753"/>
      <c r="B8839" s="753"/>
      <c r="C8839" s="752" t="s">
        <v>38174</v>
      </c>
      <c r="D8839" s="753" t="s">
        <v>38164</v>
      </c>
      <c r="E8839" s="752" t="s">
        <v>38083</v>
      </c>
      <c r="F8839" s="751">
        <v>4425</v>
      </c>
    </row>
    <row r="8840" spans="1:6">
      <c r="A8840" s="753"/>
      <c r="B8840" s="753"/>
      <c r="C8840" s="752" t="s">
        <v>38173</v>
      </c>
      <c r="D8840" s="753" t="s">
        <v>38164</v>
      </c>
      <c r="E8840" s="752" t="s">
        <v>38172</v>
      </c>
      <c r="F8840" s="751">
        <v>5185</v>
      </c>
    </row>
    <row r="8841" spans="1:6">
      <c r="A8841" s="753"/>
      <c r="B8841" s="753"/>
      <c r="C8841" s="752" t="s">
        <v>38171</v>
      </c>
      <c r="D8841" s="753" t="s">
        <v>38147</v>
      </c>
      <c r="E8841" s="752" t="s">
        <v>38169</v>
      </c>
      <c r="F8841" s="751">
        <v>5325</v>
      </c>
    </row>
    <row r="8842" spans="1:6">
      <c r="A8842" s="753"/>
      <c r="B8842" s="753"/>
      <c r="C8842" s="752" t="s">
        <v>38170</v>
      </c>
      <c r="D8842" s="753" t="s">
        <v>38147</v>
      </c>
      <c r="E8842" s="752" t="s">
        <v>38169</v>
      </c>
      <c r="F8842" s="751">
        <v>4975</v>
      </c>
    </row>
    <row r="8843" spans="1:6">
      <c r="A8843" s="753"/>
      <c r="B8843" s="753"/>
      <c r="C8843" s="752" t="s">
        <v>38168</v>
      </c>
      <c r="D8843" s="753" t="s">
        <v>38147</v>
      </c>
      <c r="E8843" s="752" t="s">
        <v>38010</v>
      </c>
      <c r="F8843" s="751">
        <v>4675</v>
      </c>
    </row>
    <row r="8844" spans="1:6">
      <c r="A8844" s="753"/>
      <c r="B8844" s="753"/>
      <c r="C8844" s="752" t="s">
        <v>38167</v>
      </c>
      <c r="D8844" s="753" t="s">
        <v>38147</v>
      </c>
      <c r="E8844" s="752" t="s">
        <v>38166</v>
      </c>
      <c r="F8844" s="751">
        <v>5675</v>
      </c>
    </row>
    <row r="8845" spans="1:6">
      <c r="A8845" s="753"/>
      <c r="B8845" s="753"/>
      <c r="C8845" s="752" t="s">
        <v>38165</v>
      </c>
      <c r="D8845" s="753" t="s">
        <v>38164</v>
      </c>
      <c r="E8845" s="752" t="s">
        <v>38019</v>
      </c>
      <c r="F8845" s="751">
        <v>4425</v>
      </c>
    </row>
    <row r="8846" spans="1:6">
      <c r="A8846" s="753"/>
      <c r="B8846" s="753"/>
      <c r="C8846" s="752" t="s">
        <v>38163</v>
      </c>
      <c r="D8846" s="753" t="s">
        <v>38147</v>
      </c>
      <c r="E8846" s="752" t="s">
        <v>38162</v>
      </c>
      <c r="F8846" s="751">
        <v>5185</v>
      </c>
    </row>
    <row r="8847" spans="1:6">
      <c r="A8847" s="753"/>
      <c r="B8847" s="753"/>
      <c r="C8847" s="752" t="s">
        <v>38161</v>
      </c>
      <c r="D8847" s="753" t="s">
        <v>38147</v>
      </c>
      <c r="E8847" s="752" t="s">
        <v>38146</v>
      </c>
      <c r="F8847" s="751">
        <v>5325</v>
      </c>
    </row>
    <row r="8848" spans="1:6">
      <c r="A8848" s="753"/>
      <c r="B8848" s="753"/>
      <c r="C8848" s="752" t="s">
        <v>38160</v>
      </c>
      <c r="D8848" s="753" t="s">
        <v>38147</v>
      </c>
      <c r="E8848" s="752" t="s">
        <v>37995</v>
      </c>
      <c r="F8848" s="751">
        <v>4175</v>
      </c>
    </row>
    <row r="8849" spans="1:6">
      <c r="A8849" s="753"/>
      <c r="B8849" s="753"/>
      <c r="C8849" s="752" t="s">
        <v>38159</v>
      </c>
      <c r="D8849" s="753" t="s">
        <v>38147</v>
      </c>
      <c r="E8849" s="752" t="s">
        <v>38158</v>
      </c>
      <c r="F8849" s="751">
        <v>4685</v>
      </c>
    </row>
    <row r="8850" spans="1:6">
      <c r="A8850" s="753"/>
      <c r="B8850" s="753"/>
      <c r="C8850" s="752" t="s">
        <v>38157</v>
      </c>
      <c r="D8850" s="753" t="s">
        <v>38147</v>
      </c>
      <c r="E8850" s="752" t="s">
        <v>38156</v>
      </c>
      <c r="F8850" s="751">
        <v>4935</v>
      </c>
    </row>
    <row r="8851" spans="1:6">
      <c r="A8851" s="753"/>
      <c r="B8851" s="753"/>
      <c r="C8851" s="752" t="s">
        <v>38155</v>
      </c>
      <c r="D8851" s="753" t="s">
        <v>38147</v>
      </c>
      <c r="E8851" s="752" t="s">
        <v>38015</v>
      </c>
      <c r="F8851" s="751">
        <v>4975</v>
      </c>
    </row>
    <row r="8852" spans="1:6">
      <c r="A8852" s="753"/>
      <c r="B8852" s="753"/>
      <c r="C8852" s="752" t="s">
        <v>38154</v>
      </c>
      <c r="D8852" s="753" t="s">
        <v>38147</v>
      </c>
      <c r="E8852" s="752" t="s">
        <v>38153</v>
      </c>
      <c r="F8852" s="751">
        <v>4625</v>
      </c>
    </row>
    <row r="8853" spans="1:6">
      <c r="A8853" s="753"/>
      <c r="B8853" s="753"/>
      <c r="C8853" s="752" t="s">
        <v>38152</v>
      </c>
      <c r="D8853" s="753" t="s">
        <v>38150</v>
      </c>
      <c r="E8853" s="752" t="s">
        <v>38019</v>
      </c>
      <c r="F8853" s="751">
        <v>4425</v>
      </c>
    </row>
    <row r="8854" spans="1:6">
      <c r="A8854" s="753"/>
      <c r="B8854" s="753"/>
      <c r="C8854" s="752" t="s">
        <v>38151</v>
      </c>
      <c r="D8854" s="753" t="s">
        <v>38150</v>
      </c>
      <c r="E8854" s="752" t="s">
        <v>38069</v>
      </c>
      <c r="F8854" s="751">
        <v>4175</v>
      </c>
    </row>
    <row r="8855" spans="1:6">
      <c r="A8855" s="753"/>
      <c r="B8855" s="753"/>
      <c r="C8855" s="752" t="s">
        <v>38149</v>
      </c>
      <c r="D8855" s="753" t="s">
        <v>38147</v>
      </c>
      <c r="E8855" s="752" t="s">
        <v>38007</v>
      </c>
      <c r="F8855" s="751">
        <v>4975</v>
      </c>
    </row>
    <row r="8856" spans="1:6">
      <c r="A8856" s="753"/>
      <c r="B8856" s="753"/>
      <c r="C8856" s="752" t="s">
        <v>38148</v>
      </c>
      <c r="D8856" s="753" t="s">
        <v>38147</v>
      </c>
      <c r="E8856" s="752" t="s">
        <v>38146</v>
      </c>
      <c r="F8856" s="751">
        <v>5325</v>
      </c>
    </row>
    <row r="8857" spans="1:6">
      <c r="A8857" s="753"/>
      <c r="B8857" s="753"/>
      <c r="C8857" s="752" t="s">
        <v>38145</v>
      </c>
      <c r="D8857" s="753" t="s">
        <v>38130</v>
      </c>
      <c r="E8857" s="752" t="s">
        <v>38137</v>
      </c>
      <c r="F8857" s="751">
        <v>3175</v>
      </c>
    </row>
    <row r="8858" spans="1:6">
      <c r="A8858" s="753"/>
      <c r="B8858" s="753"/>
      <c r="C8858" s="752" t="s">
        <v>38144</v>
      </c>
      <c r="D8858" s="753" t="s">
        <v>38130</v>
      </c>
      <c r="E8858" s="752" t="s">
        <v>38052</v>
      </c>
      <c r="F8858" s="751">
        <v>3525</v>
      </c>
    </row>
    <row r="8859" spans="1:6">
      <c r="A8859" s="753"/>
      <c r="B8859" s="753"/>
      <c r="C8859" s="752" t="s">
        <v>38143</v>
      </c>
      <c r="D8859" s="753" t="s">
        <v>38130</v>
      </c>
      <c r="E8859" s="752" t="s">
        <v>38137</v>
      </c>
      <c r="F8859" s="751">
        <v>3175</v>
      </c>
    </row>
    <row r="8860" spans="1:6">
      <c r="A8860" s="753"/>
      <c r="B8860" s="753"/>
      <c r="C8860" s="752" t="s">
        <v>38142</v>
      </c>
      <c r="D8860" s="753" t="s">
        <v>38127</v>
      </c>
      <c r="E8860" s="752" t="s">
        <v>38063</v>
      </c>
      <c r="F8860" s="751">
        <v>3525</v>
      </c>
    </row>
    <row r="8861" spans="1:6">
      <c r="A8861" s="753"/>
      <c r="B8861" s="753"/>
      <c r="C8861" s="752" t="s">
        <v>38141</v>
      </c>
      <c r="D8861" s="753" t="s">
        <v>38130</v>
      </c>
      <c r="E8861" s="752" t="s">
        <v>38055</v>
      </c>
      <c r="F8861" s="751">
        <v>3175</v>
      </c>
    </row>
    <row r="8862" spans="1:6">
      <c r="A8862" s="753"/>
      <c r="B8862" s="753"/>
      <c r="C8862" s="752" t="s">
        <v>38140</v>
      </c>
      <c r="D8862" s="753" t="s">
        <v>38127</v>
      </c>
      <c r="E8862" s="752" t="s">
        <v>38139</v>
      </c>
      <c r="F8862" s="751">
        <v>3525</v>
      </c>
    </row>
    <row r="8863" spans="1:6">
      <c r="A8863" s="753"/>
      <c r="B8863" s="753"/>
      <c r="C8863" s="752" t="s">
        <v>38138</v>
      </c>
      <c r="D8863" s="753" t="s">
        <v>38130</v>
      </c>
      <c r="E8863" s="752" t="s">
        <v>38137</v>
      </c>
      <c r="F8863" s="751">
        <v>2925</v>
      </c>
    </row>
    <row r="8864" spans="1:6">
      <c r="A8864" s="753"/>
      <c r="B8864" s="753"/>
      <c r="C8864" s="752" t="s">
        <v>38136</v>
      </c>
      <c r="D8864" s="753" t="s">
        <v>38127</v>
      </c>
      <c r="E8864" s="752" t="s">
        <v>38135</v>
      </c>
      <c r="F8864" s="751">
        <v>3175</v>
      </c>
    </row>
    <row r="8865" spans="1:6">
      <c r="A8865" s="753"/>
      <c r="B8865" s="753"/>
      <c r="C8865" s="752" t="s">
        <v>38134</v>
      </c>
      <c r="D8865" s="753" t="s">
        <v>38130</v>
      </c>
      <c r="E8865" s="752" t="s">
        <v>38055</v>
      </c>
      <c r="F8865" s="751">
        <v>2825</v>
      </c>
    </row>
    <row r="8866" spans="1:6">
      <c r="A8866" s="753"/>
      <c r="B8866" s="753"/>
      <c r="C8866" s="752" t="s">
        <v>38133</v>
      </c>
      <c r="D8866" s="753" t="s">
        <v>38127</v>
      </c>
      <c r="E8866" s="752" t="s">
        <v>38132</v>
      </c>
      <c r="F8866" s="751">
        <v>3175</v>
      </c>
    </row>
    <row r="8867" spans="1:6">
      <c r="A8867" s="753"/>
      <c r="B8867" s="753"/>
      <c r="C8867" s="752" t="s">
        <v>38131</v>
      </c>
      <c r="D8867" s="753" t="s">
        <v>38130</v>
      </c>
      <c r="E8867" s="752" t="s">
        <v>38129</v>
      </c>
      <c r="F8867" s="751">
        <v>2925</v>
      </c>
    </row>
    <row r="8868" spans="1:6">
      <c r="A8868" s="753"/>
      <c r="B8868" s="753"/>
      <c r="C8868" s="752" t="s">
        <v>38128</v>
      </c>
      <c r="D8868" s="753" t="s">
        <v>38127</v>
      </c>
      <c r="E8868" s="752" t="s">
        <v>38126</v>
      </c>
      <c r="F8868" s="751">
        <v>3525</v>
      </c>
    </row>
    <row r="8869" spans="1:6">
      <c r="A8869" s="753"/>
      <c r="B8869" s="753"/>
      <c r="C8869" s="752" t="s">
        <v>38125</v>
      </c>
      <c r="D8869" s="753" t="s">
        <v>38120</v>
      </c>
      <c r="E8869" s="752" t="s">
        <v>38124</v>
      </c>
      <c r="F8869" s="751">
        <v>2925</v>
      </c>
    </row>
    <row r="8870" spans="1:6">
      <c r="A8870" s="753"/>
      <c r="B8870" s="753"/>
      <c r="C8870" s="752" t="s">
        <v>38123</v>
      </c>
      <c r="D8870" s="753" t="s">
        <v>38120</v>
      </c>
      <c r="E8870" s="752" t="s">
        <v>38122</v>
      </c>
      <c r="F8870" s="751">
        <v>3175</v>
      </c>
    </row>
    <row r="8871" spans="1:6">
      <c r="A8871" s="753"/>
      <c r="B8871" s="753"/>
      <c r="C8871" s="752" t="s">
        <v>38121</v>
      </c>
      <c r="D8871" s="753" t="s">
        <v>38120</v>
      </c>
      <c r="E8871" s="752" t="s">
        <v>38119</v>
      </c>
      <c r="F8871" s="751">
        <v>3175</v>
      </c>
    </row>
    <row r="8872" spans="1:6">
      <c r="A8872" s="753"/>
      <c r="B8872" s="753"/>
      <c r="C8872" s="752" t="s">
        <v>38118</v>
      </c>
      <c r="D8872" s="753" t="s">
        <v>37999</v>
      </c>
      <c r="E8872" s="752" t="s">
        <v>38010</v>
      </c>
      <c r="F8872" s="751">
        <v>4475</v>
      </c>
    </row>
    <row r="8873" spans="1:6">
      <c r="A8873" s="753"/>
      <c r="B8873" s="753"/>
      <c r="C8873" s="752" t="s">
        <v>38117</v>
      </c>
      <c r="D8873" s="753" t="s">
        <v>37999</v>
      </c>
      <c r="E8873" s="752" t="s">
        <v>38033</v>
      </c>
      <c r="F8873" s="751">
        <v>5475</v>
      </c>
    </row>
    <row r="8874" spans="1:6">
      <c r="A8874" s="753"/>
      <c r="B8874" s="753"/>
      <c r="C8874" s="752" t="s">
        <v>38116</v>
      </c>
      <c r="D8874" s="753" t="s">
        <v>37999</v>
      </c>
      <c r="E8874" s="752" t="s">
        <v>38019</v>
      </c>
      <c r="F8874" s="751">
        <v>4225</v>
      </c>
    </row>
    <row r="8875" spans="1:6">
      <c r="A8875" s="753"/>
      <c r="B8875" s="753"/>
      <c r="C8875" s="752" t="s">
        <v>38115</v>
      </c>
      <c r="D8875" s="753" t="s">
        <v>37999</v>
      </c>
      <c r="E8875" s="752" t="s">
        <v>38002</v>
      </c>
      <c r="F8875" s="751">
        <v>5125</v>
      </c>
    </row>
    <row r="8876" spans="1:6">
      <c r="A8876" s="753"/>
      <c r="B8876" s="753"/>
      <c r="C8876" s="752" t="s">
        <v>38114</v>
      </c>
      <c r="D8876" s="753" t="s">
        <v>37999</v>
      </c>
      <c r="E8876" s="752" t="s">
        <v>38083</v>
      </c>
      <c r="F8876" s="751">
        <v>4225</v>
      </c>
    </row>
    <row r="8877" spans="1:6">
      <c r="A8877" s="753"/>
      <c r="B8877" s="753"/>
      <c r="C8877" s="752" t="s">
        <v>38113</v>
      </c>
      <c r="D8877" s="753" t="s">
        <v>37999</v>
      </c>
      <c r="E8877" s="752" t="s">
        <v>38112</v>
      </c>
      <c r="F8877" s="751">
        <v>4985</v>
      </c>
    </row>
    <row r="8878" spans="1:6">
      <c r="A8878" s="753"/>
      <c r="B8878" s="753"/>
      <c r="C8878" s="752" t="s">
        <v>38111</v>
      </c>
      <c r="D8878" s="753" t="s">
        <v>37999</v>
      </c>
      <c r="E8878" s="752" t="s">
        <v>38081</v>
      </c>
      <c r="F8878" s="751">
        <v>5125</v>
      </c>
    </row>
    <row r="8879" spans="1:6">
      <c r="A8879" s="753"/>
      <c r="B8879" s="753"/>
      <c r="C8879" s="752" t="s">
        <v>38110</v>
      </c>
      <c r="D8879" s="753" t="s">
        <v>37999</v>
      </c>
      <c r="E8879" s="752" t="s">
        <v>38010</v>
      </c>
      <c r="F8879" s="751">
        <v>4475</v>
      </c>
    </row>
    <row r="8880" spans="1:6">
      <c r="A8880" s="753"/>
      <c r="B8880" s="753"/>
      <c r="C8880" s="752" t="s">
        <v>38109</v>
      </c>
      <c r="D8880" s="753" t="s">
        <v>37999</v>
      </c>
      <c r="E8880" s="752" t="s">
        <v>38108</v>
      </c>
      <c r="F8880" s="751">
        <v>5235</v>
      </c>
    </row>
    <row r="8881" spans="1:6">
      <c r="A8881" s="753"/>
      <c r="B8881" s="753"/>
      <c r="C8881" s="752" t="s">
        <v>38107</v>
      </c>
      <c r="D8881" s="753" t="s">
        <v>37999</v>
      </c>
      <c r="E8881" s="752" t="s">
        <v>38033</v>
      </c>
      <c r="F8881" s="751">
        <v>5475</v>
      </c>
    </row>
    <row r="8882" spans="1:6">
      <c r="A8882" s="753"/>
      <c r="B8882" s="753"/>
      <c r="C8882" s="752" t="s">
        <v>38106</v>
      </c>
      <c r="D8882" s="753" t="s">
        <v>37999</v>
      </c>
      <c r="E8882" s="752" t="s">
        <v>38019</v>
      </c>
      <c r="F8882" s="751">
        <v>4225</v>
      </c>
    </row>
    <row r="8883" spans="1:6">
      <c r="A8883" s="753"/>
      <c r="B8883" s="753"/>
      <c r="C8883" s="752" t="s">
        <v>38105</v>
      </c>
      <c r="D8883" s="753" t="s">
        <v>37999</v>
      </c>
      <c r="E8883" s="752" t="s">
        <v>38104</v>
      </c>
      <c r="F8883" s="751">
        <v>4985</v>
      </c>
    </row>
    <row r="8884" spans="1:6">
      <c r="A8884" s="753"/>
      <c r="B8884" s="753"/>
      <c r="C8884" s="752" t="s">
        <v>38103</v>
      </c>
      <c r="D8884" s="753" t="s">
        <v>37999</v>
      </c>
      <c r="E8884" s="752" t="s">
        <v>38002</v>
      </c>
      <c r="F8884" s="751">
        <v>5125</v>
      </c>
    </row>
    <row r="8885" spans="1:6">
      <c r="A8885" s="753"/>
      <c r="B8885" s="753"/>
      <c r="C8885" s="752" t="s">
        <v>38102</v>
      </c>
      <c r="D8885" s="753" t="s">
        <v>37999</v>
      </c>
      <c r="E8885" s="752" t="s">
        <v>37995</v>
      </c>
      <c r="F8885" s="751">
        <v>3975</v>
      </c>
    </row>
    <row r="8886" spans="1:6">
      <c r="A8886" s="753"/>
      <c r="B8886" s="753"/>
      <c r="C8886" s="752" t="s">
        <v>38101</v>
      </c>
      <c r="D8886" s="753" t="s">
        <v>37999</v>
      </c>
      <c r="E8886" s="752" t="s">
        <v>38100</v>
      </c>
      <c r="F8886" s="751">
        <v>4735</v>
      </c>
    </row>
    <row r="8887" spans="1:6">
      <c r="A8887" s="753"/>
      <c r="B8887" s="753"/>
      <c r="C8887" s="752" t="s">
        <v>38099</v>
      </c>
      <c r="D8887" s="753" t="s">
        <v>37999</v>
      </c>
      <c r="E8887" s="752" t="s">
        <v>38098</v>
      </c>
      <c r="F8887" s="751">
        <v>4735</v>
      </c>
    </row>
    <row r="8888" spans="1:6">
      <c r="A8888" s="753"/>
      <c r="B8888" s="753"/>
      <c r="C8888" s="752" t="s">
        <v>38097</v>
      </c>
      <c r="D8888" s="753" t="s">
        <v>37999</v>
      </c>
      <c r="E8888" s="752" t="s">
        <v>38015</v>
      </c>
      <c r="F8888" s="751">
        <v>4775</v>
      </c>
    </row>
    <row r="8889" spans="1:6">
      <c r="A8889" s="753"/>
      <c r="B8889" s="753"/>
      <c r="C8889" s="752" t="s">
        <v>38096</v>
      </c>
      <c r="D8889" s="753" t="s">
        <v>37999</v>
      </c>
      <c r="E8889" s="752" t="s">
        <v>38010</v>
      </c>
      <c r="F8889" s="751">
        <v>4475</v>
      </c>
    </row>
    <row r="8890" spans="1:6">
      <c r="A8890" s="753"/>
      <c r="B8890" s="753"/>
      <c r="C8890" s="752" t="s">
        <v>38095</v>
      </c>
      <c r="D8890" s="753" t="s">
        <v>37999</v>
      </c>
      <c r="E8890" s="752" t="s">
        <v>38094</v>
      </c>
      <c r="F8890" s="751">
        <v>5475</v>
      </c>
    </row>
    <row r="8891" spans="1:6">
      <c r="A8891" s="753"/>
      <c r="B8891" s="753"/>
      <c r="C8891" s="752" t="s">
        <v>38093</v>
      </c>
      <c r="D8891" s="753" t="s">
        <v>37999</v>
      </c>
      <c r="E8891" s="752" t="s">
        <v>38019</v>
      </c>
      <c r="F8891" s="751">
        <v>4225</v>
      </c>
    </row>
    <row r="8892" spans="1:6">
      <c r="A8892" s="753"/>
      <c r="B8892" s="753"/>
      <c r="C8892" s="752" t="s">
        <v>38092</v>
      </c>
      <c r="D8892" s="753" t="s">
        <v>37999</v>
      </c>
      <c r="E8892" s="752" t="s">
        <v>38069</v>
      </c>
      <c r="F8892" s="751">
        <v>3975</v>
      </c>
    </row>
    <row r="8893" spans="1:6">
      <c r="A8893" s="753"/>
      <c r="B8893" s="753"/>
      <c r="C8893" s="752" t="s">
        <v>38091</v>
      </c>
      <c r="D8893" s="753" t="s">
        <v>37999</v>
      </c>
      <c r="E8893" s="752" t="s">
        <v>38090</v>
      </c>
      <c r="F8893" s="751">
        <v>4775</v>
      </c>
    </row>
    <row r="8894" spans="1:6">
      <c r="A8894" s="753"/>
      <c r="B8894" s="753"/>
      <c r="C8894" s="752" t="s">
        <v>38089</v>
      </c>
      <c r="D8894" s="753" t="s">
        <v>37999</v>
      </c>
      <c r="E8894" s="752" t="s">
        <v>38002</v>
      </c>
      <c r="F8894" s="751">
        <v>5125</v>
      </c>
    </row>
    <row r="8895" spans="1:6">
      <c r="A8895" s="753"/>
      <c r="B8895" s="753"/>
      <c r="C8895" s="752" t="s">
        <v>38088</v>
      </c>
      <c r="D8895" s="753" t="s">
        <v>38072</v>
      </c>
      <c r="E8895" s="752" t="s">
        <v>38010</v>
      </c>
      <c r="F8895" s="751">
        <v>4475</v>
      </c>
    </row>
    <row r="8896" spans="1:6">
      <c r="A8896" s="753"/>
      <c r="B8896" s="753"/>
      <c r="C8896" s="752" t="s">
        <v>38087</v>
      </c>
      <c r="D8896" s="753" t="s">
        <v>38065</v>
      </c>
      <c r="E8896" s="752" t="s">
        <v>38033</v>
      </c>
      <c r="F8896" s="751">
        <v>5475</v>
      </c>
    </row>
    <row r="8897" spans="1:6">
      <c r="A8897" s="753"/>
      <c r="B8897" s="753"/>
      <c r="C8897" s="752" t="s">
        <v>38086</v>
      </c>
      <c r="D8897" s="753" t="s">
        <v>38072</v>
      </c>
      <c r="E8897" s="752" t="s">
        <v>38019</v>
      </c>
      <c r="F8897" s="751">
        <v>4225</v>
      </c>
    </row>
    <row r="8898" spans="1:6">
      <c r="A8898" s="753"/>
      <c r="B8898" s="753"/>
      <c r="C8898" s="752" t="s">
        <v>38085</v>
      </c>
      <c r="D8898" s="753" t="s">
        <v>38072</v>
      </c>
      <c r="E8898" s="752" t="s">
        <v>38002</v>
      </c>
      <c r="F8898" s="751">
        <v>5125</v>
      </c>
    </row>
    <row r="8899" spans="1:6">
      <c r="A8899" s="753"/>
      <c r="B8899" s="753"/>
      <c r="C8899" s="752" t="s">
        <v>38084</v>
      </c>
      <c r="D8899" s="753" t="s">
        <v>38072</v>
      </c>
      <c r="E8899" s="752" t="s">
        <v>38083</v>
      </c>
      <c r="F8899" s="751">
        <v>4225</v>
      </c>
    </row>
    <row r="8900" spans="1:6">
      <c r="A8900" s="753"/>
      <c r="B8900" s="753"/>
      <c r="C8900" s="752" t="s">
        <v>38082</v>
      </c>
      <c r="D8900" s="753" t="s">
        <v>38072</v>
      </c>
      <c r="E8900" s="752" t="s">
        <v>38081</v>
      </c>
      <c r="F8900" s="751">
        <v>5125</v>
      </c>
    </row>
    <row r="8901" spans="1:6">
      <c r="A8901" s="753"/>
      <c r="B8901" s="753"/>
      <c r="C8901" s="752" t="s">
        <v>38080</v>
      </c>
      <c r="D8901" s="753" t="s">
        <v>38072</v>
      </c>
      <c r="E8901" s="752" t="s">
        <v>38010</v>
      </c>
      <c r="F8901" s="751">
        <v>4475</v>
      </c>
    </row>
    <row r="8902" spans="1:6">
      <c r="A8902" s="753"/>
      <c r="B8902" s="753"/>
      <c r="C8902" s="752" t="s">
        <v>38079</v>
      </c>
      <c r="D8902" s="753" t="s">
        <v>38065</v>
      </c>
      <c r="E8902" s="752" t="s">
        <v>38033</v>
      </c>
      <c r="F8902" s="751">
        <v>5475</v>
      </c>
    </row>
    <row r="8903" spans="1:6">
      <c r="A8903" s="753"/>
      <c r="B8903" s="753"/>
      <c r="C8903" s="752" t="s">
        <v>38078</v>
      </c>
      <c r="D8903" s="753" t="s">
        <v>38072</v>
      </c>
      <c r="E8903" s="752" t="s">
        <v>38019</v>
      </c>
      <c r="F8903" s="751">
        <v>4225</v>
      </c>
    </row>
    <row r="8904" spans="1:6">
      <c r="A8904" s="753"/>
      <c r="B8904" s="753"/>
      <c r="C8904" s="752" t="s">
        <v>38077</v>
      </c>
      <c r="D8904" s="753" t="s">
        <v>38065</v>
      </c>
      <c r="E8904" s="752" t="s">
        <v>38076</v>
      </c>
      <c r="F8904" s="751">
        <v>4985</v>
      </c>
    </row>
    <row r="8905" spans="1:6">
      <c r="A8905" s="753"/>
      <c r="B8905" s="753"/>
      <c r="C8905" s="752" t="s">
        <v>38075</v>
      </c>
      <c r="D8905" s="753" t="s">
        <v>38065</v>
      </c>
      <c r="E8905" s="752" t="s">
        <v>38002</v>
      </c>
      <c r="F8905" s="751">
        <v>5125</v>
      </c>
    </row>
    <row r="8906" spans="1:6">
      <c r="A8906" s="753"/>
      <c r="B8906" s="753"/>
      <c r="C8906" s="752" t="s">
        <v>38074</v>
      </c>
      <c r="D8906" s="753" t="s">
        <v>38072</v>
      </c>
      <c r="E8906" s="752" t="s">
        <v>37995</v>
      </c>
      <c r="F8906" s="751">
        <v>3975</v>
      </c>
    </row>
    <row r="8907" spans="1:6">
      <c r="A8907" s="753"/>
      <c r="B8907" s="753"/>
      <c r="C8907" s="752" t="s">
        <v>38073</v>
      </c>
      <c r="D8907" s="753" t="s">
        <v>38072</v>
      </c>
      <c r="E8907" s="752" t="s">
        <v>38015</v>
      </c>
      <c r="F8907" s="751">
        <v>4775</v>
      </c>
    </row>
    <row r="8908" spans="1:6">
      <c r="A8908" s="753"/>
      <c r="B8908" s="753"/>
      <c r="C8908" s="752" t="s">
        <v>38071</v>
      </c>
      <c r="D8908" s="753" t="s">
        <v>38070</v>
      </c>
      <c r="E8908" s="752" t="s">
        <v>38069</v>
      </c>
      <c r="F8908" s="751">
        <v>3975</v>
      </c>
    </row>
    <row r="8909" spans="1:6">
      <c r="A8909" s="753"/>
      <c r="B8909" s="753"/>
      <c r="C8909" s="752" t="s">
        <v>38068</v>
      </c>
      <c r="D8909" s="753" t="s">
        <v>38065</v>
      </c>
      <c r="E8909" s="752" t="s">
        <v>38067</v>
      </c>
      <c r="F8909" s="751">
        <v>4775</v>
      </c>
    </row>
    <row r="8910" spans="1:6">
      <c r="A8910" s="753"/>
      <c r="B8910" s="753"/>
      <c r="C8910" s="752" t="s">
        <v>38066</v>
      </c>
      <c r="D8910" s="753" t="s">
        <v>38065</v>
      </c>
      <c r="E8910" s="752" t="s">
        <v>38002</v>
      </c>
      <c r="F8910" s="751">
        <v>5125</v>
      </c>
    </row>
    <row r="8911" spans="1:6">
      <c r="A8911" s="753"/>
      <c r="B8911" s="753"/>
      <c r="C8911" s="752" t="s">
        <v>38064</v>
      </c>
      <c r="D8911" s="753" t="s">
        <v>38046</v>
      </c>
      <c r="E8911" s="752" t="s">
        <v>38063</v>
      </c>
      <c r="F8911" s="751">
        <v>3625</v>
      </c>
    </row>
    <row r="8912" spans="1:6">
      <c r="A8912" s="753"/>
      <c r="B8912" s="753"/>
      <c r="C8912" s="752" t="s">
        <v>38062</v>
      </c>
      <c r="D8912" s="753" t="s">
        <v>38053</v>
      </c>
      <c r="E8912" s="752" t="s">
        <v>38061</v>
      </c>
      <c r="F8912" s="751">
        <v>3175</v>
      </c>
    </row>
    <row r="8913" spans="1:6">
      <c r="A8913" s="753"/>
      <c r="B8913" s="753"/>
      <c r="C8913" s="752" t="s">
        <v>38060</v>
      </c>
      <c r="D8913" s="753" t="s">
        <v>38053</v>
      </c>
      <c r="E8913" s="752" t="s">
        <v>38059</v>
      </c>
      <c r="F8913" s="751">
        <v>3025</v>
      </c>
    </row>
    <row r="8914" spans="1:6">
      <c r="A8914" s="753"/>
      <c r="B8914" s="753"/>
      <c r="C8914" s="752" t="s">
        <v>38058</v>
      </c>
      <c r="D8914" s="753" t="s">
        <v>38053</v>
      </c>
      <c r="E8914" s="752" t="s">
        <v>38057</v>
      </c>
      <c r="F8914" s="751">
        <v>3275</v>
      </c>
    </row>
    <row r="8915" spans="1:6">
      <c r="A8915" s="753"/>
      <c r="B8915" s="753"/>
      <c r="C8915" s="752" t="s">
        <v>38056</v>
      </c>
      <c r="D8915" s="753" t="s">
        <v>38053</v>
      </c>
      <c r="E8915" s="752" t="s">
        <v>38055</v>
      </c>
      <c r="F8915" s="751">
        <v>3025</v>
      </c>
    </row>
    <row r="8916" spans="1:6">
      <c r="A8916" s="753"/>
      <c r="B8916" s="753"/>
      <c r="C8916" s="752" t="s">
        <v>38054</v>
      </c>
      <c r="D8916" s="753" t="s">
        <v>38053</v>
      </c>
      <c r="E8916" s="752" t="s">
        <v>38052</v>
      </c>
      <c r="F8916" s="751">
        <v>3275</v>
      </c>
    </row>
    <row r="8917" spans="1:6">
      <c r="A8917" s="753"/>
      <c r="B8917" s="753"/>
      <c r="C8917" s="752" t="s">
        <v>38051</v>
      </c>
      <c r="D8917" s="753" t="s">
        <v>38046</v>
      </c>
      <c r="E8917" s="752" t="s">
        <v>38050</v>
      </c>
      <c r="F8917" s="751">
        <v>3625</v>
      </c>
    </row>
    <row r="8918" spans="1:6">
      <c r="A8918" s="753"/>
      <c r="B8918" s="753"/>
      <c r="C8918" s="752" t="s">
        <v>38049</v>
      </c>
      <c r="D8918" s="753" t="s">
        <v>38029</v>
      </c>
      <c r="E8918" s="752" t="s">
        <v>38048</v>
      </c>
      <c r="F8918" s="751">
        <v>3025</v>
      </c>
    </row>
    <row r="8919" spans="1:6">
      <c r="A8919" s="753"/>
      <c r="B8919" s="753"/>
      <c r="C8919" s="752" t="s">
        <v>38047</v>
      </c>
      <c r="D8919" s="753" t="s">
        <v>38046</v>
      </c>
      <c r="E8919" s="752" t="s">
        <v>38045</v>
      </c>
      <c r="F8919" s="751">
        <v>3275</v>
      </c>
    </row>
    <row r="8920" spans="1:6">
      <c r="A8920" s="753"/>
      <c r="B8920" s="753"/>
      <c r="C8920" s="752" t="s">
        <v>38044</v>
      </c>
      <c r="D8920" s="753" t="s">
        <v>38025</v>
      </c>
      <c r="E8920" s="752" t="s">
        <v>38019</v>
      </c>
      <c r="F8920" s="751">
        <v>4325</v>
      </c>
    </row>
    <row r="8921" spans="1:6">
      <c r="A8921" s="753"/>
      <c r="B8921" s="753"/>
      <c r="C8921" s="752" t="s">
        <v>38043</v>
      </c>
      <c r="D8921" s="753" t="s">
        <v>38025</v>
      </c>
      <c r="E8921" s="752" t="s">
        <v>38002</v>
      </c>
      <c r="F8921" s="751">
        <v>5225</v>
      </c>
    </row>
    <row r="8922" spans="1:6">
      <c r="A8922" s="753"/>
      <c r="B8922" s="753"/>
      <c r="C8922" s="752" t="s">
        <v>38042</v>
      </c>
      <c r="D8922" s="753" t="s">
        <v>38025</v>
      </c>
      <c r="E8922" s="752" t="s">
        <v>38010</v>
      </c>
      <c r="F8922" s="751">
        <v>4575</v>
      </c>
    </row>
    <row r="8923" spans="1:6">
      <c r="A8923" s="753"/>
      <c r="B8923" s="753"/>
      <c r="C8923" s="752" t="s">
        <v>38041</v>
      </c>
      <c r="D8923" s="753" t="s">
        <v>38025</v>
      </c>
      <c r="E8923" s="752" t="s">
        <v>38033</v>
      </c>
      <c r="F8923" s="751">
        <v>5575</v>
      </c>
    </row>
    <row r="8924" spans="1:6">
      <c r="A8924" s="753"/>
      <c r="B8924" s="753"/>
      <c r="C8924" s="752" t="s">
        <v>38040</v>
      </c>
      <c r="D8924" s="753" t="s">
        <v>38025</v>
      </c>
      <c r="E8924" s="752" t="s">
        <v>38019</v>
      </c>
      <c r="F8924" s="751">
        <v>4325</v>
      </c>
    </row>
    <row r="8925" spans="1:6">
      <c r="A8925" s="753"/>
      <c r="B8925" s="753"/>
      <c r="C8925" s="752" t="s">
        <v>38039</v>
      </c>
      <c r="D8925" s="753" t="s">
        <v>38025</v>
      </c>
      <c r="E8925" s="752" t="s">
        <v>38002</v>
      </c>
      <c r="F8925" s="751">
        <v>5225</v>
      </c>
    </row>
    <row r="8926" spans="1:6">
      <c r="A8926" s="753"/>
      <c r="B8926" s="753"/>
      <c r="C8926" s="752" t="s">
        <v>38038</v>
      </c>
      <c r="D8926" s="753" t="s">
        <v>38025</v>
      </c>
      <c r="E8926" s="752" t="s">
        <v>37995</v>
      </c>
      <c r="F8926" s="751">
        <v>4075</v>
      </c>
    </row>
    <row r="8927" spans="1:6">
      <c r="A8927" s="753"/>
      <c r="B8927" s="753"/>
      <c r="C8927" s="752" t="s">
        <v>38037</v>
      </c>
      <c r="D8927" s="753" t="s">
        <v>38025</v>
      </c>
      <c r="E8927" s="752" t="s">
        <v>38015</v>
      </c>
      <c r="F8927" s="751">
        <v>4875</v>
      </c>
    </row>
    <row r="8928" spans="1:6">
      <c r="A8928" s="753"/>
      <c r="B8928" s="753"/>
      <c r="C8928" s="752" t="s">
        <v>38036</v>
      </c>
      <c r="D8928" s="753" t="s">
        <v>38029</v>
      </c>
      <c r="E8928" s="752" t="s">
        <v>38035</v>
      </c>
      <c r="F8928" s="751">
        <v>4575</v>
      </c>
    </row>
    <row r="8929" spans="1:6">
      <c r="A8929" s="753"/>
      <c r="B8929" s="753"/>
      <c r="C8929" s="752" t="s">
        <v>38034</v>
      </c>
      <c r="D8929" s="753" t="s">
        <v>38025</v>
      </c>
      <c r="E8929" s="752" t="s">
        <v>38033</v>
      </c>
      <c r="F8929" s="751">
        <v>5675</v>
      </c>
    </row>
    <row r="8930" spans="1:6">
      <c r="A8930" s="753"/>
      <c r="B8930" s="753"/>
      <c r="C8930" s="752" t="s">
        <v>38032</v>
      </c>
      <c r="D8930" s="753" t="s">
        <v>38029</v>
      </c>
      <c r="E8930" s="752" t="s">
        <v>38031</v>
      </c>
      <c r="F8930" s="751">
        <v>3385</v>
      </c>
    </row>
    <row r="8931" spans="1:6">
      <c r="A8931" s="753"/>
      <c r="B8931" s="753"/>
      <c r="C8931" s="752" t="s">
        <v>38030</v>
      </c>
      <c r="D8931" s="753" t="s">
        <v>38029</v>
      </c>
      <c r="E8931" s="752" t="s">
        <v>38028</v>
      </c>
      <c r="F8931" s="751">
        <v>4075</v>
      </c>
    </row>
    <row r="8932" spans="1:6">
      <c r="A8932" s="753"/>
      <c r="B8932" s="753"/>
      <c r="C8932" s="752" t="s">
        <v>38027</v>
      </c>
      <c r="D8932" s="753" t="s">
        <v>38025</v>
      </c>
      <c r="E8932" s="752" t="s">
        <v>38007</v>
      </c>
      <c r="F8932" s="751">
        <v>4875</v>
      </c>
    </row>
    <row r="8933" spans="1:6">
      <c r="A8933" s="753"/>
      <c r="B8933" s="753"/>
      <c r="C8933" s="752" t="s">
        <v>38026</v>
      </c>
      <c r="D8933" s="753" t="s">
        <v>38025</v>
      </c>
      <c r="E8933" s="752" t="s">
        <v>38024</v>
      </c>
      <c r="F8933" s="751">
        <v>5325</v>
      </c>
    </row>
    <row r="8934" spans="1:6">
      <c r="A8934" s="753"/>
      <c r="B8934" s="753"/>
      <c r="C8934" s="752" t="s">
        <v>38023</v>
      </c>
      <c r="D8934" s="753" t="s">
        <v>38003</v>
      </c>
      <c r="E8934" s="752" t="s">
        <v>38019</v>
      </c>
      <c r="F8934" s="751">
        <v>4325</v>
      </c>
    </row>
    <row r="8935" spans="1:6">
      <c r="A8935" s="753"/>
      <c r="B8935" s="753"/>
      <c r="C8935" s="752" t="s">
        <v>38022</v>
      </c>
      <c r="D8935" s="753" t="s">
        <v>38003</v>
      </c>
      <c r="E8935" s="752" t="s">
        <v>38002</v>
      </c>
      <c r="F8935" s="751">
        <v>5225</v>
      </c>
    </row>
    <row r="8936" spans="1:6">
      <c r="A8936" s="753"/>
      <c r="B8936" s="753"/>
      <c r="C8936" s="752" t="s">
        <v>38021</v>
      </c>
      <c r="D8936" s="753" t="s">
        <v>38013</v>
      </c>
      <c r="E8936" s="752" t="s">
        <v>38010</v>
      </c>
      <c r="F8936" s="751">
        <v>4575</v>
      </c>
    </row>
    <row r="8937" spans="1:6">
      <c r="A8937" s="753"/>
      <c r="B8937" s="753"/>
      <c r="C8937" s="752" t="s">
        <v>38020</v>
      </c>
      <c r="D8937" s="753" t="s">
        <v>38013</v>
      </c>
      <c r="E8937" s="752" t="s">
        <v>38019</v>
      </c>
      <c r="F8937" s="751">
        <v>4325</v>
      </c>
    </row>
    <row r="8938" spans="1:6">
      <c r="A8938" s="753"/>
      <c r="B8938" s="753"/>
      <c r="C8938" s="752" t="s">
        <v>38018</v>
      </c>
      <c r="D8938" s="753" t="s">
        <v>38003</v>
      </c>
      <c r="E8938" s="752" t="s">
        <v>38002</v>
      </c>
      <c r="F8938" s="751">
        <v>5225</v>
      </c>
    </row>
    <row r="8939" spans="1:6">
      <c r="A8939" s="753"/>
      <c r="B8939" s="753"/>
      <c r="C8939" s="752" t="s">
        <v>38017</v>
      </c>
      <c r="D8939" s="753" t="s">
        <v>38003</v>
      </c>
      <c r="E8939" s="752" t="s">
        <v>37995</v>
      </c>
      <c r="F8939" s="751">
        <v>4075</v>
      </c>
    </row>
    <row r="8940" spans="1:6">
      <c r="A8940" s="753"/>
      <c r="B8940" s="753"/>
      <c r="C8940" s="752" t="s">
        <v>38016</v>
      </c>
      <c r="D8940" s="753" t="s">
        <v>38013</v>
      </c>
      <c r="E8940" s="752" t="s">
        <v>38015</v>
      </c>
      <c r="F8940" s="751">
        <v>4875</v>
      </c>
    </row>
    <row r="8941" spans="1:6">
      <c r="A8941" s="753"/>
      <c r="B8941" s="753"/>
      <c r="C8941" s="752" t="s">
        <v>38014</v>
      </c>
      <c r="D8941" s="753" t="s">
        <v>38013</v>
      </c>
      <c r="E8941" s="752" t="s">
        <v>38012</v>
      </c>
      <c r="F8941" s="751">
        <v>4525</v>
      </c>
    </row>
    <row r="8942" spans="1:6">
      <c r="A8942" s="753"/>
      <c r="B8942" s="753"/>
      <c r="C8942" s="752" t="s">
        <v>38011</v>
      </c>
      <c r="D8942" s="753" t="s">
        <v>38003</v>
      </c>
      <c r="E8942" s="752" t="s">
        <v>38010</v>
      </c>
      <c r="F8942" s="751">
        <v>4575</v>
      </c>
    </row>
    <row r="8943" spans="1:6">
      <c r="A8943" s="753"/>
      <c r="B8943" s="753"/>
      <c r="C8943" s="752" t="s">
        <v>38009</v>
      </c>
      <c r="D8943" s="753" t="s">
        <v>38003</v>
      </c>
      <c r="E8943" s="752" t="s">
        <v>37995</v>
      </c>
      <c r="F8943" s="751">
        <v>4075</v>
      </c>
    </row>
    <row r="8944" spans="1:6">
      <c r="A8944" s="753"/>
      <c r="B8944" s="753"/>
      <c r="C8944" s="752" t="s">
        <v>38008</v>
      </c>
      <c r="D8944" s="753" t="s">
        <v>38003</v>
      </c>
      <c r="E8944" s="752" t="s">
        <v>38007</v>
      </c>
      <c r="F8944" s="751">
        <v>4875</v>
      </c>
    </row>
    <row r="8945" spans="1:6">
      <c r="A8945" s="753"/>
      <c r="B8945" s="753"/>
      <c r="C8945" s="752" t="s">
        <v>38006</v>
      </c>
      <c r="D8945" s="753" t="s">
        <v>38003</v>
      </c>
      <c r="E8945" s="752" t="s">
        <v>38005</v>
      </c>
      <c r="F8945" s="751">
        <v>4525</v>
      </c>
    </row>
    <row r="8946" spans="1:6">
      <c r="A8946" s="753"/>
      <c r="B8946" s="753"/>
      <c r="C8946" s="752" t="s">
        <v>38004</v>
      </c>
      <c r="D8946" s="753" t="s">
        <v>38003</v>
      </c>
      <c r="E8946" s="752" t="s">
        <v>38002</v>
      </c>
      <c r="F8946" s="751">
        <v>5225</v>
      </c>
    </row>
    <row r="8947" spans="1:6">
      <c r="A8947" s="753"/>
      <c r="B8947" s="753" t="s">
        <v>38001</v>
      </c>
      <c r="C8947" s="752" t="s">
        <v>38000</v>
      </c>
      <c r="D8947" s="753" t="s">
        <v>37999</v>
      </c>
      <c r="E8947" s="752" t="s">
        <v>37998</v>
      </c>
      <c r="F8947" s="751">
        <v>4225</v>
      </c>
    </row>
    <row r="8948" spans="1:6">
      <c r="A8948" s="753"/>
      <c r="B8948" s="753"/>
      <c r="C8948" s="752" t="s">
        <v>37997</v>
      </c>
      <c r="D8948" s="753" t="s">
        <v>37996</v>
      </c>
      <c r="E8948" s="752" t="s">
        <v>37995</v>
      </c>
      <c r="F8948" s="751">
        <v>3975</v>
      </c>
    </row>
    <row r="8949" spans="1:6">
      <c r="A8949" s="753"/>
      <c r="B8949" s="753" t="s">
        <v>37994</v>
      </c>
      <c r="C8949" s="752" t="s">
        <v>37993</v>
      </c>
      <c r="D8949" s="753" t="s">
        <v>37992</v>
      </c>
      <c r="E8949" s="752" t="s">
        <v>293</v>
      </c>
      <c r="F8949" s="751">
        <v>2575</v>
      </c>
    </row>
    <row r="8950" spans="1:6">
      <c r="A8950" s="753"/>
      <c r="B8950" s="753"/>
      <c r="C8950" s="752" t="s">
        <v>37991</v>
      </c>
      <c r="D8950" s="753" t="s">
        <v>37990</v>
      </c>
      <c r="E8950" s="752" t="s">
        <v>293</v>
      </c>
      <c r="F8950" s="751">
        <v>3125</v>
      </c>
    </row>
    <row r="8951" spans="1:6">
      <c r="A8951" s="753"/>
      <c r="B8951" s="753"/>
      <c r="C8951" s="752" t="s">
        <v>37989</v>
      </c>
      <c r="D8951" s="753" t="s">
        <v>37988</v>
      </c>
      <c r="E8951" s="752" t="s">
        <v>293</v>
      </c>
      <c r="F8951" s="751">
        <v>2375</v>
      </c>
    </row>
    <row r="8952" spans="1:6">
      <c r="A8952" s="753"/>
      <c r="B8952" s="753"/>
      <c r="C8952" s="752" t="s">
        <v>37987</v>
      </c>
      <c r="D8952" s="753" t="s">
        <v>37986</v>
      </c>
      <c r="E8952" s="752" t="s">
        <v>293</v>
      </c>
      <c r="F8952" s="751">
        <v>2925</v>
      </c>
    </row>
    <row r="8953" spans="1:6">
      <c r="A8953" s="753"/>
      <c r="B8953" s="753" t="s">
        <v>37985</v>
      </c>
      <c r="C8953" s="752" t="s">
        <v>37984</v>
      </c>
      <c r="D8953" s="753" t="s">
        <v>37983</v>
      </c>
      <c r="E8953" s="752" t="s">
        <v>37982</v>
      </c>
      <c r="F8953" s="751">
        <v>1975</v>
      </c>
    </row>
    <row r="8954" spans="1:6">
      <c r="A8954" s="753"/>
      <c r="B8954" s="753" t="s">
        <v>37981</v>
      </c>
      <c r="C8954" s="752" t="s">
        <v>37980</v>
      </c>
      <c r="D8954" s="753" t="s">
        <v>37979</v>
      </c>
      <c r="E8954" s="752" t="s">
        <v>37838</v>
      </c>
      <c r="F8954" s="751">
        <v>1975</v>
      </c>
    </row>
    <row r="8955" spans="1:6">
      <c r="A8955" s="753" t="s">
        <v>37978</v>
      </c>
      <c r="B8955" s="753" t="s">
        <v>37977</v>
      </c>
      <c r="C8955" s="752" t="s">
        <v>37976</v>
      </c>
      <c r="D8955" s="753" t="s">
        <v>37937</v>
      </c>
      <c r="E8955" s="752" t="s">
        <v>37975</v>
      </c>
      <c r="F8955" s="751">
        <v>3945</v>
      </c>
    </row>
    <row r="8956" spans="1:6">
      <c r="A8956" s="753"/>
      <c r="B8956" s="753"/>
      <c r="C8956" s="752" t="s">
        <v>37974</v>
      </c>
      <c r="D8956" s="753" t="s">
        <v>37937</v>
      </c>
      <c r="E8956" s="752" t="s">
        <v>37973</v>
      </c>
      <c r="F8956" s="751">
        <v>3945</v>
      </c>
    </row>
    <row r="8957" spans="1:6">
      <c r="A8957" s="753"/>
      <c r="B8957" s="753"/>
      <c r="C8957" s="752" t="s">
        <v>37972</v>
      </c>
      <c r="D8957" s="753" t="s">
        <v>37937</v>
      </c>
      <c r="E8957" s="752" t="s">
        <v>37971</v>
      </c>
      <c r="F8957" s="751">
        <v>3945</v>
      </c>
    </row>
    <row r="8958" spans="1:6">
      <c r="A8958" s="753"/>
      <c r="B8958" s="753"/>
      <c r="C8958" s="752" t="s">
        <v>37970</v>
      </c>
      <c r="D8958" s="753" t="s">
        <v>37937</v>
      </c>
      <c r="E8958" s="752" t="s">
        <v>37969</v>
      </c>
      <c r="F8958" s="751">
        <v>3945</v>
      </c>
    </row>
    <row r="8959" spans="1:6">
      <c r="A8959" s="753"/>
      <c r="B8959" s="753"/>
      <c r="C8959" s="752" t="s">
        <v>37968</v>
      </c>
      <c r="D8959" s="753" t="s">
        <v>37937</v>
      </c>
      <c r="E8959" s="752" t="s">
        <v>37967</v>
      </c>
      <c r="F8959" s="751">
        <v>3945</v>
      </c>
    </row>
    <row r="8960" spans="1:6">
      <c r="A8960" s="753"/>
      <c r="B8960" s="753"/>
      <c r="C8960" s="752" t="s">
        <v>37966</v>
      </c>
      <c r="D8960" s="753" t="s">
        <v>37937</v>
      </c>
      <c r="E8960" s="752" t="s">
        <v>37965</v>
      </c>
      <c r="F8960" s="751">
        <v>3945</v>
      </c>
    </row>
    <row r="8961" spans="1:6">
      <c r="A8961" s="753"/>
      <c r="B8961" s="753"/>
      <c r="C8961" s="752" t="s">
        <v>37964</v>
      </c>
      <c r="D8961" s="753" t="s">
        <v>37937</v>
      </c>
      <c r="E8961" s="752" t="s">
        <v>37963</v>
      </c>
      <c r="F8961" s="751">
        <v>3945</v>
      </c>
    </row>
    <row r="8962" spans="1:6">
      <c r="A8962" s="753"/>
      <c r="B8962" s="753"/>
      <c r="C8962" s="752" t="s">
        <v>37962</v>
      </c>
      <c r="D8962" s="753" t="s">
        <v>37937</v>
      </c>
      <c r="E8962" s="752" t="s">
        <v>37961</v>
      </c>
      <c r="F8962" s="751">
        <v>3945</v>
      </c>
    </row>
    <row r="8963" spans="1:6">
      <c r="A8963" s="753"/>
      <c r="B8963" s="753"/>
      <c r="C8963" s="752" t="s">
        <v>37960</v>
      </c>
      <c r="D8963" s="753" t="s">
        <v>37937</v>
      </c>
      <c r="E8963" s="752" t="s">
        <v>37959</v>
      </c>
      <c r="F8963" s="751">
        <v>3945</v>
      </c>
    </row>
    <row r="8964" spans="1:6">
      <c r="A8964" s="753"/>
      <c r="B8964" s="753"/>
      <c r="C8964" s="752" t="s">
        <v>37958</v>
      </c>
      <c r="D8964" s="753" t="s">
        <v>37937</v>
      </c>
      <c r="E8964" s="752" t="s">
        <v>37957</v>
      </c>
      <c r="F8964" s="751">
        <v>3945</v>
      </c>
    </row>
    <row r="8965" spans="1:6">
      <c r="A8965" s="753"/>
      <c r="B8965" s="753"/>
      <c r="C8965" s="752" t="s">
        <v>37956</v>
      </c>
      <c r="D8965" s="753" t="s">
        <v>37937</v>
      </c>
      <c r="E8965" s="752" t="s">
        <v>37955</v>
      </c>
      <c r="F8965" s="751">
        <v>3945</v>
      </c>
    </row>
    <row r="8966" spans="1:6">
      <c r="A8966" s="753"/>
      <c r="B8966" s="753"/>
      <c r="C8966" s="752" t="s">
        <v>37954</v>
      </c>
      <c r="D8966" s="753" t="s">
        <v>37937</v>
      </c>
      <c r="E8966" s="752" t="s">
        <v>37953</v>
      </c>
      <c r="F8966" s="751">
        <v>3945</v>
      </c>
    </row>
    <row r="8967" spans="1:6">
      <c r="A8967" s="753"/>
      <c r="B8967" s="753"/>
      <c r="C8967" s="752" t="s">
        <v>37952</v>
      </c>
      <c r="D8967" s="753" t="s">
        <v>37937</v>
      </c>
      <c r="E8967" s="752" t="s">
        <v>37951</v>
      </c>
      <c r="F8967" s="751">
        <v>3945</v>
      </c>
    </row>
    <row r="8968" spans="1:6">
      <c r="A8968" s="753"/>
      <c r="B8968" s="753"/>
      <c r="C8968" s="752" t="s">
        <v>37950</v>
      </c>
      <c r="D8968" s="753" t="s">
        <v>37937</v>
      </c>
      <c r="E8968" s="752" t="s">
        <v>37949</v>
      </c>
      <c r="F8968" s="751">
        <v>3945</v>
      </c>
    </row>
    <row r="8969" spans="1:6">
      <c r="A8969" s="753"/>
      <c r="B8969" s="753"/>
      <c r="C8969" s="752" t="s">
        <v>37948</v>
      </c>
      <c r="D8969" s="753" t="s">
        <v>37937</v>
      </c>
      <c r="E8969" s="752" t="s">
        <v>37947</v>
      </c>
      <c r="F8969" s="751">
        <v>3945</v>
      </c>
    </row>
    <row r="8970" spans="1:6">
      <c r="A8970" s="753"/>
      <c r="B8970" s="753"/>
      <c r="C8970" s="752" t="s">
        <v>37946</v>
      </c>
      <c r="D8970" s="753" t="s">
        <v>37937</v>
      </c>
      <c r="E8970" s="752" t="s">
        <v>37945</v>
      </c>
      <c r="F8970" s="751">
        <v>3945</v>
      </c>
    </row>
    <row r="8971" spans="1:6">
      <c r="A8971" s="753"/>
      <c r="B8971" s="753"/>
      <c r="C8971" s="752" t="s">
        <v>37944</v>
      </c>
      <c r="D8971" s="753" t="s">
        <v>37937</v>
      </c>
      <c r="E8971" s="752" t="s">
        <v>37943</v>
      </c>
      <c r="F8971" s="751">
        <v>3945</v>
      </c>
    </row>
    <row r="8972" spans="1:6">
      <c r="A8972" s="753"/>
      <c r="B8972" s="753"/>
      <c r="C8972" s="752" t="s">
        <v>37942</v>
      </c>
      <c r="D8972" s="753" t="s">
        <v>37937</v>
      </c>
      <c r="E8972" s="752" t="s">
        <v>37941</v>
      </c>
      <c r="F8972" s="751">
        <v>3945</v>
      </c>
    </row>
    <row r="8973" spans="1:6">
      <c r="A8973" s="753"/>
      <c r="B8973" s="753"/>
      <c r="C8973" s="752" t="s">
        <v>37940</v>
      </c>
      <c r="D8973" s="753" t="s">
        <v>37937</v>
      </c>
      <c r="E8973" s="752" t="s">
        <v>37939</v>
      </c>
      <c r="F8973" s="751">
        <v>3945</v>
      </c>
    </row>
    <row r="8974" spans="1:6">
      <c r="A8974" s="753"/>
      <c r="B8974" s="753"/>
      <c r="C8974" s="752" t="s">
        <v>37938</v>
      </c>
      <c r="D8974" s="753" t="s">
        <v>37937</v>
      </c>
      <c r="E8974" s="752" t="s">
        <v>37936</v>
      </c>
      <c r="F8974" s="751">
        <v>3945</v>
      </c>
    </row>
    <row r="8975" spans="1:6">
      <c r="A8975" s="753"/>
      <c r="B8975" s="753" t="s">
        <v>37935</v>
      </c>
      <c r="C8975" s="752" t="s">
        <v>37934</v>
      </c>
      <c r="D8975" s="753" t="s">
        <v>37923</v>
      </c>
      <c r="E8975" s="752" t="s">
        <v>37933</v>
      </c>
      <c r="F8975" s="751">
        <v>4725</v>
      </c>
    </row>
    <row r="8976" spans="1:6">
      <c r="A8976" s="753"/>
      <c r="B8976" s="753"/>
      <c r="C8976" s="752" t="s">
        <v>37932</v>
      </c>
      <c r="D8976" s="753" t="s">
        <v>37923</v>
      </c>
      <c r="E8976" s="752" t="s">
        <v>37931</v>
      </c>
      <c r="F8976" s="751">
        <v>4725</v>
      </c>
    </row>
    <row r="8977" spans="1:6">
      <c r="A8977" s="753"/>
      <c r="B8977" s="753"/>
      <c r="C8977" s="752" t="s">
        <v>37930</v>
      </c>
      <c r="D8977" s="753" t="s">
        <v>37923</v>
      </c>
      <c r="E8977" s="752" t="s">
        <v>37929</v>
      </c>
      <c r="F8977" s="751">
        <v>4725</v>
      </c>
    </row>
    <row r="8978" spans="1:6">
      <c r="A8978" s="753"/>
      <c r="B8978" s="753"/>
      <c r="C8978" s="752" t="s">
        <v>37928</v>
      </c>
      <c r="D8978" s="753" t="s">
        <v>37923</v>
      </c>
      <c r="E8978" s="752" t="s">
        <v>37927</v>
      </c>
      <c r="F8978" s="751">
        <v>4725</v>
      </c>
    </row>
    <row r="8979" spans="1:6">
      <c r="A8979" s="753"/>
      <c r="B8979" s="753"/>
      <c r="C8979" s="752" t="s">
        <v>37926</v>
      </c>
      <c r="D8979" s="753" t="s">
        <v>37923</v>
      </c>
      <c r="E8979" s="752" t="s">
        <v>37925</v>
      </c>
      <c r="F8979" s="751">
        <v>4725</v>
      </c>
    </row>
    <row r="8980" spans="1:6">
      <c r="A8980" s="753"/>
      <c r="B8980" s="753"/>
      <c r="C8980" s="752" t="s">
        <v>37924</v>
      </c>
      <c r="D8980" s="753" t="s">
        <v>37923</v>
      </c>
      <c r="E8980" s="752" t="s">
        <v>37922</v>
      </c>
      <c r="F8980" s="751">
        <v>4725</v>
      </c>
    </row>
    <row r="8981" spans="1:6">
      <c r="A8981" s="753"/>
      <c r="B8981" s="753" t="s">
        <v>37921</v>
      </c>
      <c r="C8981" s="752" t="s">
        <v>37920</v>
      </c>
      <c r="D8981" s="753" t="s">
        <v>37919</v>
      </c>
      <c r="E8981" s="752" t="s">
        <v>37918</v>
      </c>
      <c r="F8981" s="751">
        <v>4725</v>
      </c>
    </row>
    <row r="8982" spans="1:6">
      <c r="A8982" s="753" t="s">
        <v>37917</v>
      </c>
      <c r="B8982" s="753" t="s">
        <v>37916</v>
      </c>
      <c r="C8982" s="752" t="s">
        <v>37915</v>
      </c>
      <c r="D8982" s="753" t="s">
        <v>37914</v>
      </c>
      <c r="E8982" s="752" t="s">
        <v>37913</v>
      </c>
      <c r="F8982" s="751">
        <v>6200</v>
      </c>
    </row>
    <row r="8983" spans="1:6">
      <c r="A8983" s="753"/>
      <c r="B8983" s="753"/>
      <c r="C8983" s="752" t="s">
        <v>37912</v>
      </c>
      <c r="D8983" s="753" t="s">
        <v>37911</v>
      </c>
      <c r="E8983" s="752" t="s">
        <v>293</v>
      </c>
      <c r="F8983" s="751">
        <v>4130</v>
      </c>
    </row>
    <row r="8984" spans="1:6">
      <c r="A8984" s="753"/>
      <c r="B8984" s="753"/>
      <c r="C8984" s="752" t="s">
        <v>37910</v>
      </c>
      <c r="D8984" s="753" t="s">
        <v>37909</v>
      </c>
      <c r="E8984" s="752" t="s">
        <v>293</v>
      </c>
      <c r="F8984" s="751">
        <v>5595</v>
      </c>
    </row>
    <row r="8985" spans="1:6">
      <c r="A8985" s="753"/>
      <c r="B8985" s="753"/>
      <c r="C8985" s="752" t="s">
        <v>37908</v>
      </c>
      <c r="D8985" s="753" t="s">
        <v>37907</v>
      </c>
      <c r="E8985" s="752" t="s">
        <v>293</v>
      </c>
      <c r="F8985" s="751">
        <v>5975</v>
      </c>
    </row>
    <row r="8986" spans="1:6">
      <c r="A8986" s="753"/>
      <c r="B8986" s="753"/>
      <c r="C8986" s="752" t="s">
        <v>37906</v>
      </c>
      <c r="D8986" s="753" t="s">
        <v>37905</v>
      </c>
      <c r="E8986" s="752" t="s">
        <v>293</v>
      </c>
      <c r="F8986" s="751">
        <v>3249</v>
      </c>
    </row>
    <row r="8987" spans="1:6">
      <c r="A8987" s="753" t="s">
        <v>37904</v>
      </c>
      <c r="B8987" s="753" t="s">
        <v>37903</v>
      </c>
      <c r="C8987" s="752" t="s">
        <v>37902</v>
      </c>
      <c r="D8987" s="753" t="s">
        <v>37901</v>
      </c>
      <c r="E8987" s="752" t="s">
        <v>37900</v>
      </c>
      <c r="F8987" s="752">
        <v>0</v>
      </c>
    </row>
    <row r="8988" spans="1:6">
      <c r="A8988" s="753" t="s">
        <v>37899</v>
      </c>
      <c r="B8988" s="753" t="s">
        <v>37898</v>
      </c>
      <c r="C8988" s="752" t="s">
        <v>37897</v>
      </c>
      <c r="D8988" s="753" t="s">
        <v>37896</v>
      </c>
      <c r="E8988" s="752" t="s">
        <v>37895</v>
      </c>
      <c r="F8988" s="751">
        <v>4620</v>
      </c>
    </row>
    <row r="8989" spans="1:6">
      <c r="A8989" s="753"/>
      <c r="B8989" s="753"/>
      <c r="C8989" s="752" t="s">
        <v>37894</v>
      </c>
      <c r="D8989" s="753" t="s">
        <v>37893</v>
      </c>
      <c r="E8989" s="752" t="s">
        <v>37892</v>
      </c>
      <c r="F8989" s="751">
        <v>4325</v>
      </c>
    </row>
    <row r="8990" spans="1:6">
      <c r="A8990" s="753"/>
      <c r="B8990" s="753" t="s">
        <v>37891</v>
      </c>
      <c r="C8990" s="752" t="s">
        <v>37890</v>
      </c>
      <c r="D8990" s="753" t="s">
        <v>37887</v>
      </c>
      <c r="E8990" s="752" t="s">
        <v>293</v>
      </c>
      <c r="F8990" s="751">
        <v>2825</v>
      </c>
    </row>
    <row r="8991" spans="1:6">
      <c r="A8991" s="753"/>
      <c r="B8991" s="753"/>
      <c r="C8991" s="752" t="s">
        <v>37889</v>
      </c>
      <c r="D8991" s="753" t="s">
        <v>37887</v>
      </c>
      <c r="E8991" s="752" t="s">
        <v>293</v>
      </c>
      <c r="F8991" s="751">
        <v>2525</v>
      </c>
    </row>
    <row r="8992" spans="1:6">
      <c r="A8992" s="753"/>
      <c r="B8992" s="753"/>
      <c r="C8992" s="752" t="s">
        <v>37888</v>
      </c>
      <c r="D8992" s="753" t="s">
        <v>37887</v>
      </c>
      <c r="E8992" s="752" t="s">
        <v>37868</v>
      </c>
      <c r="F8992" s="751">
        <v>3275</v>
      </c>
    </row>
    <row r="8993" spans="1:6">
      <c r="A8993" s="753"/>
      <c r="B8993" s="753"/>
      <c r="C8993" s="752" t="s">
        <v>37886</v>
      </c>
      <c r="D8993" s="753" t="s">
        <v>37885</v>
      </c>
      <c r="E8993" s="752" t="s">
        <v>293</v>
      </c>
      <c r="F8993" s="751">
        <v>3375</v>
      </c>
    </row>
    <row r="8994" spans="1:6">
      <c r="A8994" s="753"/>
      <c r="B8994" s="753"/>
      <c r="C8994" s="752" t="s">
        <v>37884</v>
      </c>
      <c r="D8994" s="753" t="s">
        <v>37883</v>
      </c>
      <c r="E8994" s="752" t="s">
        <v>293</v>
      </c>
      <c r="F8994" s="751">
        <v>2625</v>
      </c>
    </row>
    <row r="8995" spans="1:6">
      <c r="A8995" s="753"/>
      <c r="B8995" s="753"/>
      <c r="C8995" s="752" t="s">
        <v>37882</v>
      </c>
      <c r="D8995" s="753" t="s">
        <v>37881</v>
      </c>
      <c r="E8995" s="752" t="s">
        <v>293</v>
      </c>
      <c r="F8995" s="751">
        <v>3175</v>
      </c>
    </row>
    <row r="8996" spans="1:6">
      <c r="A8996" s="753"/>
      <c r="B8996" s="753"/>
      <c r="C8996" s="752" t="s">
        <v>37880</v>
      </c>
      <c r="D8996" s="753" t="s">
        <v>37879</v>
      </c>
      <c r="E8996" s="752" t="s">
        <v>293</v>
      </c>
      <c r="F8996" s="751">
        <v>3175</v>
      </c>
    </row>
    <row r="8997" spans="1:6">
      <c r="A8997" s="753"/>
      <c r="B8997" s="753"/>
      <c r="C8997" s="752" t="s">
        <v>37878</v>
      </c>
      <c r="D8997" s="753" t="s">
        <v>37874</v>
      </c>
      <c r="E8997" s="752" t="s">
        <v>293</v>
      </c>
      <c r="F8997" s="751">
        <v>2725</v>
      </c>
    </row>
    <row r="8998" spans="1:6">
      <c r="A8998" s="753"/>
      <c r="B8998" s="753"/>
      <c r="C8998" s="752" t="s">
        <v>37877</v>
      </c>
      <c r="D8998" s="753" t="s">
        <v>37874</v>
      </c>
      <c r="E8998" s="752" t="s">
        <v>37876</v>
      </c>
      <c r="F8998" s="751">
        <v>2675</v>
      </c>
    </row>
    <row r="8999" spans="1:6">
      <c r="A8999" s="753"/>
      <c r="B8999" s="753"/>
      <c r="C8999" s="752" t="s">
        <v>37875</v>
      </c>
      <c r="D8999" s="753" t="s">
        <v>37874</v>
      </c>
      <c r="E8999" s="752" t="s">
        <v>293</v>
      </c>
      <c r="F8999" s="751">
        <v>2225</v>
      </c>
    </row>
    <row r="9000" spans="1:6">
      <c r="A9000" s="753"/>
      <c r="B9000" s="753"/>
      <c r="C9000" s="752" t="s">
        <v>37873</v>
      </c>
      <c r="D9000" s="753" t="s">
        <v>37872</v>
      </c>
      <c r="E9000" s="752" t="s">
        <v>293</v>
      </c>
      <c r="F9000" s="751">
        <v>3275</v>
      </c>
    </row>
    <row r="9001" spans="1:6">
      <c r="A9001" s="753"/>
      <c r="B9001" s="753" t="s">
        <v>37871</v>
      </c>
      <c r="C9001" s="752" t="s">
        <v>37870</v>
      </c>
      <c r="D9001" s="753" t="s">
        <v>37869</v>
      </c>
      <c r="E9001" s="752" t="s">
        <v>37868</v>
      </c>
      <c r="F9001" s="751">
        <v>2825</v>
      </c>
    </row>
    <row r="9002" spans="1:6">
      <c r="A9002" s="753"/>
      <c r="B9002" s="753"/>
      <c r="C9002" s="752" t="s">
        <v>37867</v>
      </c>
      <c r="D9002" s="753" t="s">
        <v>37866</v>
      </c>
      <c r="E9002" s="752" t="s">
        <v>293</v>
      </c>
      <c r="F9002" s="751">
        <v>2625</v>
      </c>
    </row>
    <row r="9003" spans="1:6">
      <c r="A9003" s="753"/>
      <c r="B9003" s="753" t="s">
        <v>37865</v>
      </c>
      <c r="C9003" s="752" t="s">
        <v>37864</v>
      </c>
      <c r="D9003" s="753" t="s">
        <v>37863</v>
      </c>
      <c r="E9003" s="752" t="s">
        <v>293</v>
      </c>
      <c r="F9003" s="751">
        <v>2875</v>
      </c>
    </row>
    <row r="9004" spans="1:6">
      <c r="A9004" s="753"/>
      <c r="B9004" s="753" t="s">
        <v>37862</v>
      </c>
      <c r="C9004" s="752" t="s">
        <v>37861</v>
      </c>
      <c r="D9004" s="753" t="s">
        <v>37860</v>
      </c>
      <c r="E9004" s="752" t="s">
        <v>293</v>
      </c>
      <c r="F9004" s="751">
        <v>2575</v>
      </c>
    </row>
    <row r="9005" spans="1:6">
      <c r="A9005" s="753"/>
      <c r="B9005" s="753"/>
      <c r="C9005" s="752" t="s">
        <v>37859</v>
      </c>
      <c r="D9005" s="753" t="s">
        <v>37858</v>
      </c>
      <c r="E9005" s="752" t="s">
        <v>293</v>
      </c>
      <c r="F9005" s="751">
        <v>3125</v>
      </c>
    </row>
    <row r="9006" spans="1:6">
      <c r="A9006" s="753"/>
      <c r="B9006" s="753"/>
      <c r="C9006" s="752" t="s">
        <v>37857</v>
      </c>
      <c r="D9006" s="753" t="s">
        <v>37856</v>
      </c>
      <c r="E9006" s="752" t="s">
        <v>293</v>
      </c>
      <c r="F9006" s="751">
        <v>2925</v>
      </c>
    </row>
    <row r="9007" spans="1:6">
      <c r="A9007" s="753"/>
      <c r="B9007" s="753" t="s">
        <v>37855</v>
      </c>
      <c r="C9007" s="752" t="s">
        <v>37854</v>
      </c>
      <c r="D9007" s="753" t="s">
        <v>37853</v>
      </c>
      <c r="E9007" s="752" t="s">
        <v>293</v>
      </c>
      <c r="F9007" s="751">
        <v>2125</v>
      </c>
    </row>
    <row r="9008" spans="1:6">
      <c r="A9008" s="753"/>
      <c r="B9008" s="753" t="s">
        <v>37852</v>
      </c>
      <c r="C9008" s="752" t="s">
        <v>37851</v>
      </c>
      <c r="D9008" s="753" t="s">
        <v>37850</v>
      </c>
      <c r="E9008" s="752" t="s">
        <v>37838</v>
      </c>
      <c r="F9008" s="751">
        <v>1975</v>
      </c>
    </row>
    <row r="9009" spans="1:6">
      <c r="A9009" s="753"/>
      <c r="B9009" s="753"/>
      <c r="C9009" s="752" t="s">
        <v>37849</v>
      </c>
      <c r="D9009" s="753" t="s">
        <v>37848</v>
      </c>
      <c r="E9009" s="752" t="s">
        <v>37838</v>
      </c>
      <c r="F9009" s="751">
        <v>1975</v>
      </c>
    </row>
    <row r="9010" spans="1:6">
      <c r="A9010" s="753"/>
      <c r="B9010" s="753" t="s">
        <v>37847</v>
      </c>
      <c r="C9010" s="752" t="s">
        <v>37846</v>
      </c>
      <c r="D9010" s="753" t="s">
        <v>37845</v>
      </c>
      <c r="E9010" s="752" t="s">
        <v>293</v>
      </c>
      <c r="F9010" s="751">
        <v>2375</v>
      </c>
    </row>
    <row r="9011" spans="1:6">
      <c r="A9011" s="753"/>
      <c r="B9011" s="753"/>
      <c r="C9011" s="752" t="s">
        <v>37844</v>
      </c>
      <c r="D9011" s="753" t="s">
        <v>37843</v>
      </c>
      <c r="E9011" s="752" t="s">
        <v>293</v>
      </c>
      <c r="F9011" s="751">
        <v>2925</v>
      </c>
    </row>
    <row r="9012" spans="1:6">
      <c r="A9012" s="753"/>
      <c r="B9012" s="753" t="s">
        <v>37842</v>
      </c>
      <c r="C9012" s="752" t="s">
        <v>37841</v>
      </c>
      <c r="D9012" s="753" t="s">
        <v>37839</v>
      </c>
      <c r="E9012" s="752" t="s">
        <v>37838</v>
      </c>
      <c r="F9012" s="751">
        <v>1975</v>
      </c>
    </row>
    <row r="9013" spans="1:6">
      <c r="A9013" s="753"/>
      <c r="B9013" s="753"/>
      <c r="C9013" s="752" t="s">
        <v>37840</v>
      </c>
      <c r="D9013" s="753" t="s">
        <v>37839</v>
      </c>
      <c r="E9013" s="752" t="s">
        <v>37838</v>
      </c>
      <c r="F9013" s="751">
        <v>1975</v>
      </c>
    </row>
    <row r="9014" spans="1:6">
      <c r="A9014" s="753"/>
      <c r="B9014" s="753" t="s">
        <v>37837</v>
      </c>
      <c r="C9014" s="752" t="s">
        <v>37836</v>
      </c>
      <c r="D9014" s="753" t="s">
        <v>37835</v>
      </c>
      <c r="E9014" s="752" t="s">
        <v>293</v>
      </c>
      <c r="F9014" s="751">
        <v>3625</v>
      </c>
    </row>
    <row r="9015" spans="1:6">
      <c r="A9015" s="753"/>
      <c r="B9015" s="753"/>
      <c r="C9015" s="752" t="s">
        <v>37834</v>
      </c>
      <c r="D9015" s="753" t="s">
        <v>37833</v>
      </c>
      <c r="E9015" s="752" t="s">
        <v>293</v>
      </c>
      <c r="F9015" s="751">
        <v>2325</v>
      </c>
    </row>
    <row r="9016" spans="1:6">
      <c r="A9016" s="753"/>
      <c r="B9016" s="753"/>
      <c r="C9016" s="752" t="s">
        <v>37832</v>
      </c>
      <c r="D9016" s="753" t="s">
        <v>37831</v>
      </c>
      <c r="E9016" s="752" t="s">
        <v>293</v>
      </c>
      <c r="F9016" s="751">
        <v>3125</v>
      </c>
    </row>
    <row r="9017" spans="1:6">
      <c r="A9017" s="753"/>
      <c r="B9017" s="753"/>
      <c r="C9017" s="752" t="s">
        <v>37830</v>
      </c>
      <c r="D9017" s="753" t="s">
        <v>37829</v>
      </c>
      <c r="E9017" s="752" t="s">
        <v>293</v>
      </c>
      <c r="F9017" s="751">
        <v>2375</v>
      </c>
    </row>
    <row r="9018" spans="1:6">
      <c r="A9018" s="753"/>
      <c r="B9018" s="753"/>
      <c r="C9018" s="752" t="s">
        <v>37828</v>
      </c>
      <c r="D9018" s="753" t="s">
        <v>37827</v>
      </c>
      <c r="E9018" s="752" t="s">
        <v>293</v>
      </c>
      <c r="F9018" s="751">
        <v>2925</v>
      </c>
    </row>
    <row r="9019" spans="1:6">
      <c r="A9019" s="753"/>
      <c r="B9019" s="753"/>
      <c r="C9019" s="752" t="s">
        <v>37826</v>
      </c>
      <c r="D9019" s="753" t="s">
        <v>37825</v>
      </c>
      <c r="E9019" s="752" t="s">
        <v>293</v>
      </c>
      <c r="F9019" s="751">
        <v>3615</v>
      </c>
    </row>
    <row r="9020" spans="1:6">
      <c r="A9020" s="753"/>
      <c r="B9020" s="753" t="s">
        <v>37824</v>
      </c>
      <c r="C9020" s="752" t="s">
        <v>37823</v>
      </c>
      <c r="D9020" s="753" t="s">
        <v>37818</v>
      </c>
      <c r="E9020" s="752" t="s">
        <v>293</v>
      </c>
      <c r="F9020" s="751">
        <v>2375</v>
      </c>
    </row>
    <row r="9021" spans="1:6">
      <c r="A9021" s="753"/>
      <c r="B9021" s="753"/>
      <c r="C9021" s="752" t="s">
        <v>37822</v>
      </c>
      <c r="D9021" s="753" t="s">
        <v>37821</v>
      </c>
      <c r="E9021" s="752" t="s">
        <v>293</v>
      </c>
      <c r="F9021" s="751">
        <v>2575</v>
      </c>
    </row>
    <row r="9022" spans="1:6">
      <c r="A9022" s="753"/>
      <c r="B9022" s="753"/>
      <c r="C9022" s="752" t="s">
        <v>37820</v>
      </c>
      <c r="D9022" s="753" t="s">
        <v>37818</v>
      </c>
      <c r="E9022" s="752" t="s">
        <v>293</v>
      </c>
      <c r="F9022" s="751">
        <v>2375</v>
      </c>
    </row>
    <row r="9023" spans="1:6">
      <c r="A9023" s="753"/>
      <c r="B9023" s="753"/>
      <c r="C9023" s="752" t="s">
        <v>37819</v>
      </c>
      <c r="D9023" s="753" t="s">
        <v>37818</v>
      </c>
      <c r="E9023" s="752" t="s">
        <v>293</v>
      </c>
      <c r="F9023" s="751">
        <v>2375</v>
      </c>
    </row>
    <row r="9024" spans="1:6">
      <c r="A9024" s="753"/>
      <c r="B9024" s="753"/>
      <c r="C9024" s="752" t="s">
        <v>37817</v>
      </c>
      <c r="D9024" s="753" t="s">
        <v>37816</v>
      </c>
      <c r="E9024" s="752" t="s">
        <v>293</v>
      </c>
      <c r="F9024" s="751">
        <v>2925</v>
      </c>
    </row>
    <row r="9025" spans="1:6">
      <c r="A9025" s="753"/>
      <c r="B9025" s="753"/>
      <c r="C9025" s="752" t="s">
        <v>37815</v>
      </c>
      <c r="D9025" s="753" t="s">
        <v>37814</v>
      </c>
      <c r="E9025" s="752" t="s">
        <v>293</v>
      </c>
      <c r="F9025" s="751">
        <v>2925</v>
      </c>
    </row>
    <row r="9026" spans="1:6">
      <c r="A9026" s="753" t="s">
        <v>37813</v>
      </c>
      <c r="B9026" s="753" t="s">
        <v>37812</v>
      </c>
      <c r="C9026" s="752" t="s">
        <v>37811</v>
      </c>
      <c r="D9026" s="753" t="s">
        <v>37810</v>
      </c>
      <c r="E9026" s="752" t="s">
        <v>293</v>
      </c>
      <c r="F9026" s="751">
        <v>2275</v>
      </c>
    </row>
    <row r="9027" spans="1:6">
      <c r="A9027" s="753"/>
      <c r="B9027" s="753" t="s">
        <v>37809</v>
      </c>
      <c r="C9027" s="752" t="s">
        <v>37808</v>
      </c>
      <c r="D9027" s="753" t="s">
        <v>37807</v>
      </c>
      <c r="E9027" s="752" t="s">
        <v>293</v>
      </c>
      <c r="F9027" s="751">
        <v>2575</v>
      </c>
    </row>
    <row r="9028" spans="1:6">
      <c r="A9028" s="753"/>
      <c r="B9028" s="753"/>
      <c r="C9028" s="752" t="s">
        <v>37806</v>
      </c>
      <c r="D9028" s="753" t="s">
        <v>37805</v>
      </c>
      <c r="E9028" s="752" t="s">
        <v>293</v>
      </c>
      <c r="F9028" s="751">
        <v>3125</v>
      </c>
    </row>
    <row r="9029" spans="1:6">
      <c r="A9029" s="753"/>
      <c r="B9029" s="753"/>
      <c r="C9029" s="752" t="s">
        <v>37804</v>
      </c>
      <c r="D9029" s="753" t="s">
        <v>37803</v>
      </c>
      <c r="E9029" s="752" t="s">
        <v>293</v>
      </c>
      <c r="F9029" s="751">
        <v>2625</v>
      </c>
    </row>
    <row r="9030" spans="1:6">
      <c r="A9030" s="753"/>
      <c r="B9030" s="753"/>
      <c r="C9030" s="752" t="s">
        <v>37802</v>
      </c>
      <c r="D9030" s="753" t="s">
        <v>37801</v>
      </c>
      <c r="E9030" s="752" t="s">
        <v>293</v>
      </c>
      <c r="F9030" s="751">
        <v>3175</v>
      </c>
    </row>
    <row r="9031" spans="1:6">
      <c r="A9031" s="753"/>
      <c r="B9031" s="753" t="s">
        <v>37800</v>
      </c>
      <c r="C9031" s="752" t="s">
        <v>37799</v>
      </c>
      <c r="D9031" s="753" t="s">
        <v>37798</v>
      </c>
      <c r="E9031" s="752" t="s">
        <v>293</v>
      </c>
      <c r="F9031" s="751">
        <v>2375</v>
      </c>
    </row>
    <row r="9032" spans="1:6">
      <c r="A9032" s="753"/>
      <c r="B9032" s="753" t="s">
        <v>37797</v>
      </c>
      <c r="C9032" s="752" t="s">
        <v>37796</v>
      </c>
      <c r="D9032" s="753" t="s">
        <v>37792</v>
      </c>
      <c r="E9032" s="752" t="s">
        <v>293</v>
      </c>
      <c r="F9032" s="751">
        <v>2575</v>
      </c>
    </row>
    <row r="9033" spans="1:6">
      <c r="A9033" s="753"/>
      <c r="B9033" s="753"/>
      <c r="C9033" s="752" t="s">
        <v>37795</v>
      </c>
      <c r="D9033" s="753" t="s">
        <v>37792</v>
      </c>
      <c r="E9033" s="752" t="s">
        <v>37794</v>
      </c>
      <c r="F9033" s="751">
        <v>3335</v>
      </c>
    </row>
    <row r="9034" spans="1:6">
      <c r="A9034" s="753"/>
      <c r="B9034" s="753"/>
      <c r="C9034" s="752" t="s">
        <v>37793</v>
      </c>
      <c r="D9034" s="753" t="s">
        <v>37792</v>
      </c>
      <c r="E9034" s="752" t="s">
        <v>293</v>
      </c>
      <c r="F9034" s="751">
        <v>2575</v>
      </c>
    </row>
    <row r="9035" spans="1:6">
      <c r="A9035" s="753"/>
      <c r="B9035" s="753"/>
      <c r="C9035" s="752" t="s">
        <v>37791</v>
      </c>
      <c r="D9035" s="753" t="s">
        <v>37790</v>
      </c>
      <c r="E9035" s="752" t="s">
        <v>293</v>
      </c>
      <c r="F9035" s="751">
        <v>3125</v>
      </c>
    </row>
    <row r="9036" spans="1:6">
      <c r="A9036" s="753"/>
      <c r="B9036" s="753"/>
      <c r="C9036" s="752" t="s">
        <v>37789</v>
      </c>
      <c r="D9036" s="753" t="s">
        <v>37788</v>
      </c>
      <c r="E9036" s="752" t="s">
        <v>293</v>
      </c>
      <c r="F9036" s="751">
        <v>2375</v>
      </c>
    </row>
    <row r="9037" spans="1:6">
      <c r="A9037" s="753"/>
      <c r="B9037" s="753"/>
      <c r="C9037" s="752" t="s">
        <v>37787</v>
      </c>
      <c r="D9037" s="753" t="s">
        <v>37786</v>
      </c>
      <c r="E9037" s="752" t="s">
        <v>293</v>
      </c>
      <c r="F9037" s="751">
        <v>2925</v>
      </c>
    </row>
    <row r="9038" spans="1:6">
      <c r="A9038" s="753"/>
      <c r="B9038" s="753" t="s">
        <v>37785</v>
      </c>
      <c r="C9038" s="752" t="s">
        <v>37784</v>
      </c>
      <c r="D9038" s="753" t="s">
        <v>37783</v>
      </c>
      <c r="E9038" s="752" t="s">
        <v>37770</v>
      </c>
      <c r="F9038" s="751">
        <v>2575</v>
      </c>
    </row>
    <row r="9039" spans="1:6">
      <c r="A9039" s="753"/>
      <c r="B9039" s="753"/>
      <c r="C9039" s="752" t="s">
        <v>37782</v>
      </c>
      <c r="D9039" s="753" t="s">
        <v>37780</v>
      </c>
      <c r="E9039" s="752" t="s">
        <v>37770</v>
      </c>
      <c r="F9039" s="751">
        <v>3125</v>
      </c>
    </row>
    <row r="9040" spans="1:6">
      <c r="A9040" s="753"/>
      <c r="B9040" s="753"/>
      <c r="C9040" s="752" t="s">
        <v>37781</v>
      </c>
      <c r="D9040" s="753" t="s">
        <v>37780</v>
      </c>
      <c r="E9040" s="752" t="s">
        <v>37770</v>
      </c>
      <c r="F9040" s="751">
        <v>3125</v>
      </c>
    </row>
    <row r="9041" spans="1:6">
      <c r="A9041" s="753"/>
      <c r="B9041" s="753"/>
      <c r="C9041" s="752" t="s">
        <v>37779</v>
      </c>
      <c r="D9041" s="753" t="s">
        <v>37777</v>
      </c>
      <c r="E9041" s="752" t="s">
        <v>37770</v>
      </c>
      <c r="F9041" s="751">
        <v>3125</v>
      </c>
    </row>
    <row r="9042" spans="1:6">
      <c r="A9042" s="753"/>
      <c r="B9042" s="753"/>
      <c r="C9042" s="752" t="s">
        <v>37778</v>
      </c>
      <c r="D9042" s="753" t="s">
        <v>37777</v>
      </c>
      <c r="E9042" s="752" t="s">
        <v>37770</v>
      </c>
      <c r="F9042" s="751">
        <v>3885</v>
      </c>
    </row>
    <row r="9043" spans="1:6">
      <c r="A9043" s="753"/>
      <c r="B9043" s="753"/>
      <c r="C9043" s="752" t="s">
        <v>37776</v>
      </c>
      <c r="D9043" s="753" t="s">
        <v>37775</v>
      </c>
      <c r="E9043" s="752" t="s">
        <v>37770</v>
      </c>
      <c r="F9043" s="751">
        <v>2625</v>
      </c>
    </row>
    <row r="9044" spans="1:6">
      <c r="A9044" s="753"/>
      <c r="B9044" s="753"/>
      <c r="C9044" s="752" t="s">
        <v>37774</v>
      </c>
      <c r="D9044" s="753" t="s">
        <v>37773</v>
      </c>
      <c r="E9044" s="752" t="s">
        <v>37770</v>
      </c>
      <c r="F9044" s="751">
        <v>3175</v>
      </c>
    </row>
    <row r="9045" spans="1:6">
      <c r="A9045" s="753"/>
      <c r="B9045" s="753"/>
      <c r="C9045" s="752" t="s">
        <v>37772</v>
      </c>
      <c r="D9045" s="753" t="s">
        <v>37771</v>
      </c>
      <c r="E9045" s="752" t="s">
        <v>37770</v>
      </c>
      <c r="F9045" s="751">
        <v>2925</v>
      </c>
    </row>
    <row r="9046" spans="1:6">
      <c r="A9046" s="753"/>
      <c r="B9046" s="753" t="s">
        <v>37769</v>
      </c>
      <c r="C9046" s="752" t="s">
        <v>37768</v>
      </c>
      <c r="D9046" s="753" t="s">
        <v>37767</v>
      </c>
      <c r="E9046" s="752" t="s">
        <v>293</v>
      </c>
      <c r="F9046" s="751">
        <v>4515</v>
      </c>
    </row>
    <row r="9047" spans="1:6">
      <c r="A9047" s="753"/>
      <c r="B9047" s="753"/>
      <c r="C9047" s="752" t="s">
        <v>37766</v>
      </c>
      <c r="D9047" s="753" t="s">
        <v>37763</v>
      </c>
      <c r="E9047" s="752" t="s">
        <v>293</v>
      </c>
      <c r="F9047" s="751">
        <v>2825</v>
      </c>
    </row>
    <row r="9048" spans="1:6">
      <c r="A9048" s="753"/>
      <c r="B9048" s="753"/>
      <c r="C9048" s="752" t="s">
        <v>37765</v>
      </c>
      <c r="D9048" s="753" t="s">
        <v>37763</v>
      </c>
      <c r="E9048" s="752" t="s">
        <v>37758</v>
      </c>
      <c r="F9048" s="751">
        <v>2795</v>
      </c>
    </row>
    <row r="9049" spans="1:6">
      <c r="A9049" s="753"/>
      <c r="B9049" s="753"/>
      <c r="C9049" s="752" t="s">
        <v>37764</v>
      </c>
      <c r="D9049" s="753" t="s">
        <v>37763</v>
      </c>
      <c r="E9049" s="752" t="s">
        <v>37750</v>
      </c>
      <c r="F9049" s="751">
        <v>2325</v>
      </c>
    </row>
    <row r="9050" spans="1:6">
      <c r="A9050" s="753"/>
      <c r="B9050" s="753"/>
      <c r="C9050" s="752" t="s">
        <v>37762</v>
      </c>
      <c r="D9050" s="753" t="s">
        <v>37761</v>
      </c>
      <c r="E9050" s="752" t="s">
        <v>293</v>
      </c>
      <c r="F9050" s="751">
        <v>3375</v>
      </c>
    </row>
    <row r="9051" spans="1:6">
      <c r="A9051" s="753"/>
      <c r="B9051" s="753"/>
      <c r="C9051" s="752" t="s">
        <v>37760</v>
      </c>
      <c r="D9051" s="753" t="s">
        <v>37756</v>
      </c>
      <c r="E9051" s="752" t="s">
        <v>293</v>
      </c>
      <c r="F9051" s="751">
        <v>2625</v>
      </c>
    </row>
    <row r="9052" spans="1:6">
      <c r="A9052" s="753"/>
      <c r="B9052" s="753"/>
      <c r="C9052" s="752" t="s">
        <v>37759</v>
      </c>
      <c r="D9052" s="753" t="s">
        <v>37756</v>
      </c>
      <c r="E9052" s="752" t="s">
        <v>37758</v>
      </c>
      <c r="F9052" s="751">
        <v>2625</v>
      </c>
    </row>
    <row r="9053" spans="1:6">
      <c r="A9053" s="753"/>
      <c r="B9053" s="753"/>
      <c r="C9053" s="752" t="s">
        <v>37757</v>
      </c>
      <c r="D9053" s="753" t="s">
        <v>37756</v>
      </c>
      <c r="E9053" s="752" t="s">
        <v>37750</v>
      </c>
      <c r="F9053" s="751">
        <v>2125</v>
      </c>
    </row>
    <row r="9054" spans="1:6">
      <c r="A9054" s="753"/>
      <c r="B9054" s="753"/>
      <c r="C9054" s="752" t="s">
        <v>37755</v>
      </c>
      <c r="D9054" s="753" t="s">
        <v>37753</v>
      </c>
      <c r="E9054" s="752" t="s">
        <v>293</v>
      </c>
      <c r="F9054" s="751">
        <v>3175</v>
      </c>
    </row>
    <row r="9055" spans="1:6">
      <c r="A9055" s="753"/>
      <c r="B9055" s="753"/>
      <c r="C9055" s="752" t="s">
        <v>37754</v>
      </c>
      <c r="D9055" s="753" t="s">
        <v>37753</v>
      </c>
      <c r="E9055" s="752" t="s">
        <v>293</v>
      </c>
      <c r="F9055" s="751">
        <v>3175</v>
      </c>
    </row>
    <row r="9056" spans="1:6">
      <c r="A9056" s="753"/>
      <c r="B9056" s="753"/>
      <c r="C9056" s="752" t="s">
        <v>37752</v>
      </c>
      <c r="D9056" s="753" t="s">
        <v>37751</v>
      </c>
      <c r="E9056" s="752" t="s">
        <v>37750</v>
      </c>
      <c r="F9056" s="751">
        <v>2225</v>
      </c>
    </row>
    <row r="9057" spans="1:6">
      <c r="A9057" s="753"/>
      <c r="B9057" s="753" t="s">
        <v>37749</v>
      </c>
      <c r="C9057" s="752" t="s">
        <v>37748</v>
      </c>
      <c r="D9057" s="753" t="s">
        <v>37747</v>
      </c>
      <c r="E9057" s="752" t="s">
        <v>293</v>
      </c>
      <c r="F9057" s="751">
        <v>2575</v>
      </c>
    </row>
    <row r="9058" spans="1:6">
      <c r="A9058" s="753"/>
      <c r="B9058" s="753"/>
      <c r="C9058" s="752" t="s">
        <v>37746</v>
      </c>
      <c r="D9058" s="753" t="s">
        <v>37745</v>
      </c>
      <c r="E9058" s="752" t="s">
        <v>293</v>
      </c>
      <c r="F9058" s="751">
        <v>2475</v>
      </c>
    </row>
    <row r="9059" spans="1:6">
      <c r="A9059" s="753"/>
      <c r="B9059" s="753"/>
      <c r="C9059" s="752" t="s">
        <v>37744</v>
      </c>
      <c r="D9059" s="753" t="s">
        <v>37743</v>
      </c>
      <c r="E9059" s="752" t="s">
        <v>293</v>
      </c>
      <c r="F9059" s="751">
        <v>2375</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3552C-FC80-4FA9-96AC-5D179BC48D99}">
  <sheetPr codeName="Sheet6">
    <tabColor theme="2" tint="-9.9978637043366805E-2"/>
  </sheetPr>
  <dimension ref="A4:F3041"/>
  <sheetViews>
    <sheetView workbookViewId="0">
      <selection activeCell="C8" sqref="C8"/>
    </sheetView>
  </sheetViews>
  <sheetFormatPr defaultRowHeight="14.5"/>
  <cols>
    <col min="1" max="1" width="18.6328125" bestFit="1" customWidth="1"/>
    <col min="2" max="2" width="16.6328125" bestFit="1" customWidth="1"/>
    <col min="3" max="3" width="27.6328125" customWidth="1"/>
    <col min="4" max="4" width="14.54296875" customWidth="1"/>
    <col min="5" max="5" width="48" customWidth="1"/>
    <col min="6" max="6" width="12.1796875" customWidth="1"/>
  </cols>
  <sheetData>
    <row r="4" spans="1:6">
      <c r="A4" t="s">
        <v>53847</v>
      </c>
    </row>
    <row r="6" spans="1:6">
      <c r="A6" t="s">
        <v>7813</v>
      </c>
      <c r="B6" t="s">
        <v>7812</v>
      </c>
      <c r="C6" t="s">
        <v>7811</v>
      </c>
      <c r="D6" t="s">
        <v>7810</v>
      </c>
      <c r="E6" t="s">
        <v>7809</v>
      </c>
      <c r="F6" t="s">
        <v>263</v>
      </c>
    </row>
    <row r="7" spans="1:6">
      <c r="A7" t="str">
        <f>("09-12211-10C")</f>
        <v>09-12211-10C</v>
      </c>
      <c r="B7" t="s">
        <v>5152</v>
      </c>
      <c r="C7" t="s">
        <v>7803</v>
      </c>
      <c r="D7" t="s">
        <v>5206</v>
      </c>
      <c r="E7" t="s">
        <v>7808</v>
      </c>
      <c r="F7">
        <v>235.67</v>
      </c>
    </row>
    <row r="8" spans="1:6">
      <c r="A8" t="str">
        <f>("09-12211-20C")</f>
        <v>09-12211-20C</v>
      </c>
      <c r="B8" t="s">
        <v>5152</v>
      </c>
      <c r="C8" t="s">
        <v>7803</v>
      </c>
      <c r="D8" t="s">
        <v>5206</v>
      </c>
      <c r="E8" t="s">
        <v>7807</v>
      </c>
      <c r="F8">
        <v>386.33</v>
      </c>
    </row>
    <row r="9" spans="1:6">
      <c r="A9" t="str">
        <f>("09-12211-30C")</f>
        <v>09-12211-30C</v>
      </c>
      <c r="B9" t="s">
        <v>5152</v>
      </c>
      <c r="C9" t="s">
        <v>7803</v>
      </c>
      <c r="D9" t="s">
        <v>5206</v>
      </c>
      <c r="E9" t="s">
        <v>7806</v>
      </c>
      <c r="F9">
        <v>569</v>
      </c>
    </row>
    <row r="10" spans="1:6">
      <c r="A10" t="str">
        <f>("09-12211-40C")</f>
        <v>09-12211-40C</v>
      </c>
      <c r="B10" t="s">
        <v>5152</v>
      </c>
      <c r="C10" t="s">
        <v>7803</v>
      </c>
      <c r="D10" t="s">
        <v>5206</v>
      </c>
      <c r="E10" t="s">
        <v>7805</v>
      </c>
      <c r="F10">
        <v>594.33000000000004</v>
      </c>
    </row>
    <row r="11" spans="1:6">
      <c r="A11" t="str">
        <f>("09-12211-50C")</f>
        <v>09-12211-50C</v>
      </c>
      <c r="B11" t="s">
        <v>5152</v>
      </c>
      <c r="C11" t="s">
        <v>7803</v>
      </c>
      <c r="D11" t="s">
        <v>5206</v>
      </c>
      <c r="E11" t="s">
        <v>7804</v>
      </c>
      <c r="F11">
        <v>694.33</v>
      </c>
    </row>
    <row r="12" spans="1:6">
      <c r="A12" t="str">
        <f>("09-12211-6F")</f>
        <v>09-12211-6F</v>
      </c>
      <c r="B12" t="s">
        <v>5152</v>
      </c>
      <c r="C12" t="s">
        <v>7803</v>
      </c>
      <c r="D12" t="s">
        <v>5206</v>
      </c>
      <c r="E12" t="s">
        <v>7802</v>
      </c>
      <c r="F12">
        <v>171.67</v>
      </c>
    </row>
    <row r="13" spans="1:6">
      <c r="A13" t="str">
        <f>("09-12212-100C")</f>
        <v>09-12212-100C</v>
      </c>
      <c r="B13" t="s">
        <v>5152</v>
      </c>
      <c r="C13" t="s">
        <v>7793</v>
      </c>
      <c r="D13" t="s">
        <v>5206</v>
      </c>
      <c r="E13" t="s">
        <v>7801</v>
      </c>
      <c r="F13">
        <v>1126.17</v>
      </c>
    </row>
    <row r="14" spans="1:6">
      <c r="A14" t="str">
        <f>("09-12212-12C")</f>
        <v>09-12212-12C</v>
      </c>
      <c r="B14" t="s">
        <v>5152</v>
      </c>
      <c r="C14" t="s">
        <v>7793</v>
      </c>
      <c r="D14" t="s">
        <v>5206</v>
      </c>
      <c r="E14" t="s">
        <v>7800</v>
      </c>
      <c r="F14">
        <v>198.33</v>
      </c>
    </row>
    <row r="15" spans="1:6">
      <c r="A15" t="str">
        <f>("09-12212-20C")</f>
        <v>09-12212-20C</v>
      </c>
      <c r="B15" t="s">
        <v>5152</v>
      </c>
      <c r="C15" t="s">
        <v>7793</v>
      </c>
      <c r="D15" t="s">
        <v>5206</v>
      </c>
      <c r="E15" t="s">
        <v>7799</v>
      </c>
      <c r="F15">
        <v>241</v>
      </c>
    </row>
    <row r="16" spans="1:6">
      <c r="A16" t="str">
        <f>("09-12212-24C")</f>
        <v>09-12212-24C</v>
      </c>
      <c r="B16" t="s">
        <v>5152</v>
      </c>
      <c r="C16" t="s">
        <v>7793</v>
      </c>
      <c r="D16" t="s">
        <v>5206</v>
      </c>
      <c r="E16" t="s">
        <v>7798</v>
      </c>
      <c r="F16">
        <v>285</v>
      </c>
    </row>
    <row r="17" spans="1:6">
      <c r="A17" t="str">
        <f>("09-12212-40C")</f>
        <v>09-12212-40C</v>
      </c>
      <c r="B17" t="s">
        <v>5152</v>
      </c>
      <c r="C17" t="s">
        <v>7793</v>
      </c>
      <c r="D17" t="s">
        <v>5206</v>
      </c>
      <c r="E17" t="s">
        <v>7797</v>
      </c>
      <c r="F17">
        <v>459.67</v>
      </c>
    </row>
    <row r="18" spans="1:6">
      <c r="A18" t="str">
        <f>("09-12212-4F")</f>
        <v>09-12212-4F</v>
      </c>
      <c r="B18" t="s">
        <v>5152</v>
      </c>
      <c r="C18" t="s">
        <v>7793</v>
      </c>
      <c r="D18" t="s">
        <v>5206</v>
      </c>
      <c r="E18" t="s">
        <v>7796</v>
      </c>
      <c r="F18">
        <v>154.33000000000001</v>
      </c>
    </row>
    <row r="19" spans="1:6">
      <c r="A19" t="str">
        <f>("09-12212-60C")</f>
        <v>09-12212-60C</v>
      </c>
      <c r="B19" t="s">
        <v>5152</v>
      </c>
      <c r="C19" t="s">
        <v>7793</v>
      </c>
      <c r="D19" t="s">
        <v>5206</v>
      </c>
      <c r="E19" t="s">
        <v>7795</v>
      </c>
      <c r="F19">
        <v>688.83</v>
      </c>
    </row>
    <row r="20" spans="1:6">
      <c r="A20" t="str">
        <f>("09-12212-80C")</f>
        <v>09-12212-80C</v>
      </c>
      <c r="B20" t="s">
        <v>5152</v>
      </c>
      <c r="C20" t="s">
        <v>7793</v>
      </c>
      <c r="D20" t="s">
        <v>5206</v>
      </c>
      <c r="E20" t="s">
        <v>7794</v>
      </c>
      <c r="F20">
        <v>906.17</v>
      </c>
    </row>
    <row r="21" spans="1:6">
      <c r="A21" t="str">
        <f>("09-12212-8F")</f>
        <v>09-12212-8F</v>
      </c>
      <c r="B21" t="s">
        <v>5152</v>
      </c>
      <c r="C21" t="s">
        <v>7793</v>
      </c>
      <c r="D21" t="s">
        <v>5206</v>
      </c>
      <c r="E21" t="s">
        <v>7792</v>
      </c>
      <c r="F21">
        <v>175.67</v>
      </c>
    </row>
    <row r="22" spans="1:6">
      <c r="A22" t="str">
        <f>("09-12270-20F")</f>
        <v>09-12270-20F</v>
      </c>
      <c r="B22" t="s">
        <v>5152</v>
      </c>
      <c r="C22" t="s">
        <v>7787</v>
      </c>
      <c r="D22" t="s">
        <v>5206</v>
      </c>
      <c r="E22" t="s">
        <v>7791</v>
      </c>
      <c r="F22">
        <v>453</v>
      </c>
    </row>
    <row r="23" spans="1:6">
      <c r="A23" t="str">
        <f>("09-12270-20S")</f>
        <v>09-12270-20S</v>
      </c>
      <c r="B23" t="s">
        <v>5152</v>
      </c>
      <c r="C23" t="s">
        <v>7787</v>
      </c>
      <c r="D23" t="s">
        <v>5206</v>
      </c>
      <c r="E23" t="s">
        <v>7790</v>
      </c>
      <c r="F23">
        <v>453</v>
      </c>
    </row>
    <row r="24" spans="1:6">
      <c r="A24" t="str">
        <f>("09-12270-30F")</f>
        <v>09-12270-30F</v>
      </c>
      <c r="B24" t="s">
        <v>5152</v>
      </c>
      <c r="C24" t="s">
        <v>7787</v>
      </c>
      <c r="D24" t="s">
        <v>5206</v>
      </c>
      <c r="E24" t="s">
        <v>7789</v>
      </c>
      <c r="F24">
        <v>491.67</v>
      </c>
    </row>
    <row r="25" spans="1:6">
      <c r="A25" t="str">
        <f>("09-12270-30S")</f>
        <v>09-12270-30S</v>
      </c>
      <c r="B25" t="s">
        <v>5152</v>
      </c>
      <c r="C25" t="s">
        <v>7787</v>
      </c>
      <c r="D25" t="s">
        <v>5206</v>
      </c>
      <c r="E25" t="s">
        <v>7788</v>
      </c>
      <c r="F25">
        <v>562.33000000000004</v>
      </c>
    </row>
    <row r="26" spans="1:6">
      <c r="A26" t="str">
        <f>("09-12270-40S")</f>
        <v>09-12270-40S</v>
      </c>
      <c r="B26" t="s">
        <v>5152</v>
      </c>
      <c r="C26" t="s">
        <v>7787</v>
      </c>
      <c r="D26" t="s">
        <v>5206</v>
      </c>
      <c r="E26" t="s">
        <v>7786</v>
      </c>
      <c r="F26">
        <v>652.83000000000004</v>
      </c>
    </row>
    <row r="27" spans="1:6">
      <c r="A27" t="str">
        <f>("09-12232-PR")</f>
        <v>09-12232-PR</v>
      </c>
      <c r="B27" t="s">
        <v>5152</v>
      </c>
      <c r="C27" t="s">
        <v>7785</v>
      </c>
      <c r="D27" t="s">
        <v>5206</v>
      </c>
      <c r="E27" t="s">
        <v>7784</v>
      </c>
      <c r="F27">
        <v>224.83</v>
      </c>
    </row>
    <row r="28" spans="1:6">
      <c r="A28" t="str">
        <f>("09-13206C")</f>
        <v>09-13206C</v>
      </c>
      <c r="B28" t="s">
        <v>5152</v>
      </c>
      <c r="C28" t="s">
        <v>7775</v>
      </c>
      <c r="D28" t="s">
        <v>5206</v>
      </c>
      <c r="E28" t="s">
        <v>7783</v>
      </c>
      <c r="F28">
        <v>131.67000000000002</v>
      </c>
    </row>
    <row r="29" spans="1:6">
      <c r="A29" t="str">
        <f>("09-13206S")</f>
        <v>09-13206S</v>
      </c>
      <c r="B29" t="s">
        <v>5152</v>
      </c>
      <c r="C29" t="s">
        <v>7775</v>
      </c>
      <c r="D29" t="s">
        <v>5206</v>
      </c>
      <c r="E29" t="s">
        <v>7782</v>
      </c>
      <c r="F29">
        <v>117</v>
      </c>
    </row>
    <row r="30" spans="1:6">
      <c r="A30" t="str">
        <f>("09-13212C")</f>
        <v>09-13212C</v>
      </c>
      <c r="B30" t="s">
        <v>5152</v>
      </c>
      <c r="C30" t="s">
        <v>7775</v>
      </c>
      <c r="D30" t="s">
        <v>5206</v>
      </c>
      <c r="E30" t="s">
        <v>7781</v>
      </c>
      <c r="F30">
        <v>215.67</v>
      </c>
    </row>
    <row r="31" spans="1:6">
      <c r="A31" t="str">
        <f>("09-13220C")</f>
        <v>09-13220C</v>
      </c>
      <c r="B31" t="s">
        <v>5152</v>
      </c>
      <c r="C31" t="s">
        <v>7775</v>
      </c>
      <c r="D31" t="s">
        <v>5206</v>
      </c>
      <c r="E31" t="s">
        <v>7780</v>
      </c>
      <c r="F31">
        <v>281</v>
      </c>
    </row>
    <row r="32" spans="1:6">
      <c r="A32" t="str">
        <f>("09-13220S")</f>
        <v>09-13220S</v>
      </c>
      <c r="B32" t="s">
        <v>5152</v>
      </c>
      <c r="C32" t="s">
        <v>7775</v>
      </c>
      <c r="D32" t="s">
        <v>5206</v>
      </c>
      <c r="E32" t="s">
        <v>7779</v>
      </c>
      <c r="F32">
        <v>247.67</v>
      </c>
    </row>
    <row r="33" spans="1:6">
      <c r="A33" t="str">
        <f>("09-13230C")</f>
        <v>09-13230C</v>
      </c>
      <c r="B33" t="s">
        <v>5152</v>
      </c>
      <c r="C33" t="s">
        <v>7775</v>
      </c>
      <c r="D33" t="s">
        <v>5206</v>
      </c>
      <c r="E33" t="s">
        <v>7778</v>
      </c>
      <c r="F33">
        <v>378.17</v>
      </c>
    </row>
    <row r="34" spans="1:6">
      <c r="A34" t="str">
        <f>("09-13240C")</f>
        <v>09-13240C</v>
      </c>
      <c r="B34" t="s">
        <v>5152</v>
      </c>
      <c r="C34" t="s">
        <v>7775</v>
      </c>
      <c r="D34" t="s">
        <v>5206</v>
      </c>
      <c r="E34" t="s">
        <v>7777</v>
      </c>
      <c r="F34">
        <v>463.5</v>
      </c>
    </row>
    <row r="35" spans="1:6">
      <c r="A35" t="str">
        <f>("09-13240S")</f>
        <v>09-13240S</v>
      </c>
      <c r="B35" t="s">
        <v>5152</v>
      </c>
      <c r="C35" t="s">
        <v>7775</v>
      </c>
      <c r="D35" t="s">
        <v>5206</v>
      </c>
      <c r="E35" t="s">
        <v>7776</v>
      </c>
      <c r="F35">
        <v>407.5</v>
      </c>
    </row>
    <row r="36" spans="1:6">
      <c r="A36" t="str">
        <f>("09-13250C")</f>
        <v>09-13250C</v>
      </c>
      <c r="B36" t="s">
        <v>5152</v>
      </c>
      <c r="C36" t="s">
        <v>7775</v>
      </c>
      <c r="D36" t="s">
        <v>5206</v>
      </c>
      <c r="E36" t="s">
        <v>7774</v>
      </c>
      <c r="F36">
        <v>571.5</v>
      </c>
    </row>
    <row r="37" spans="1:6">
      <c r="A37" t="str">
        <f>("09-12007A-PR")</f>
        <v>09-12007A-PR</v>
      </c>
      <c r="B37" t="s">
        <v>5152</v>
      </c>
      <c r="C37" t="s">
        <v>7770</v>
      </c>
      <c r="D37" t="s">
        <v>5206</v>
      </c>
      <c r="E37" t="s">
        <v>7773</v>
      </c>
      <c r="F37">
        <v>395.5</v>
      </c>
    </row>
    <row r="38" spans="1:6">
      <c r="A38" t="str">
        <f>("09-12007B-PR")</f>
        <v>09-12007B-PR</v>
      </c>
      <c r="B38" t="s">
        <v>5152</v>
      </c>
      <c r="C38" t="s">
        <v>7770</v>
      </c>
      <c r="D38" t="s">
        <v>5206</v>
      </c>
      <c r="E38" t="s">
        <v>7772</v>
      </c>
      <c r="F38">
        <v>395.5</v>
      </c>
    </row>
    <row r="39" spans="1:6">
      <c r="A39" t="str">
        <f>("09-12219A-PR")</f>
        <v>09-12219A-PR</v>
      </c>
      <c r="B39" t="s">
        <v>5152</v>
      </c>
      <c r="C39" t="s">
        <v>7770</v>
      </c>
      <c r="D39" t="s">
        <v>5206</v>
      </c>
      <c r="E39" t="s">
        <v>7771</v>
      </c>
      <c r="F39">
        <v>348.83</v>
      </c>
    </row>
    <row r="40" spans="1:6">
      <c r="A40" t="str">
        <f>("09-12219B-PR")</f>
        <v>09-12219B-PR</v>
      </c>
      <c r="B40" t="s">
        <v>5152</v>
      </c>
      <c r="C40" t="s">
        <v>7770</v>
      </c>
      <c r="D40" t="s">
        <v>5206</v>
      </c>
      <c r="E40" t="s">
        <v>7769</v>
      </c>
      <c r="F40">
        <v>395.5</v>
      </c>
    </row>
    <row r="41" spans="1:6">
      <c r="A41" t="str">
        <f>("09-12005A")</f>
        <v>09-12005A</v>
      </c>
      <c r="B41" t="s">
        <v>5152</v>
      </c>
      <c r="C41" t="s">
        <v>7766</v>
      </c>
      <c r="D41" t="s">
        <v>5206</v>
      </c>
      <c r="E41" t="s">
        <v>7768</v>
      </c>
      <c r="F41">
        <v>75.67</v>
      </c>
    </row>
    <row r="42" spans="1:6">
      <c r="A42" t="str">
        <f>("09-12006A")</f>
        <v>09-12006A</v>
      </c>
      <c r="B42" t="s">
        <v>5152</v>
      </c>
      <c r="C42" t="s">
        <v>7766</v>
      </c>
      <c r="D42" t="s">
        <v>5206</v>
      </c>
      <c r="E42" t="s">
        <v>7767</v>
      </c>
      <c r="F42">
        <v>94.33</v>
      </c>
    </row>
    <row r="43" spans="1:6">
      <c r="A43" t="str">
        <f>("09-12006B")</f>
        <v>09-12006B</v>
      </c>
      <c r="B43" t="s">
        <v>5152</v>
      </c>
      <c r="C43" t="s">
        <v>7766</v>
      </c>
      <c r="D43" t="s">
        <v>5206</v>
      </c>
      <c r="E43" t="s">
        <v>7765</v>
      </c>
      <c r="F43">
        <v>94.33</v>
      </c>
    </row>
    <row r="44" spans="1:6">
      <c r="A44" t="str">
        <f>("09-12210")</f>
        <v>09-12210</v>
      </c>
      <c r="B44" t="s">
        <v>5152</v>
      </c>
      <c r="C44" t="s">
        <v>7762</v>
      </c>
      <c r="D44" t="s">
        <v>5206</v>
      </c>
      <c r="E44" t="s">
        <v>7764</v>
      </c>
      <c r="F44">
        <v>82.33</v>
      </c>
    </row>
    <row r="45" spans="1:6">
      <c r="A45" t="str">
        <f>("09-12211A")</f>
        <v>09-12211A</v>
      </c>
      <c r="B45" t="s">
        <v>5152</v>
      </c>
      <c r="C45" t="s">
        <v>7762</v>
      </c>
      <c r="D45" t="s">
        <v>5206</v>
      </c>
      <c r="E45" t="s">
        <v>7763</v>
      </c>
      <c r="F45">
        <v>98.33</v>
      </c>
    </row>
    <row r="46" spans="1:6">
      <c r="A46" t="str">
        <f>("09-12211B")</f>
        <v>09-12211B</v>
      </c>
      <c r="B46" t="s">
        <v>5152</v>
      </c>
      <c r="C46" t="s">
        <v>7762</v>
      </c>
      <c r="D46" t="s">
        <v>5206</v>
      </c>
      <c r="E46" t="s">
        <v>7761</v>
      </c>
      <c r="F46">
        <v>87.67</v>
      </c>
    </row>
    <row r="47" spans="1:6">
      <c r="A47" t="str">
        <f>("09-12000-1")</f>
        <v>09-12000-1</v>
      </c>
      <c r="B47" t="s">
        <v>5152</v>
      </c>
      <c r="C47" t="s">
        <v>7758</v>
      </c>
      <c r="D47" t="s">
        <v>5206</v>
      </c>
      <c r="E47" t="s">
        <v>7760</v>
      </c>
      <c r="F47">
        <v>110.33</v>
      </c>
    </row>
    <row r="48" spans="1:6">
      <c r="A48" t="str">
        <f>("09-12000-5")</f>
        <v>09-12000-5</v>
      </c>
      <c r="B48" t="s">
        <v>5152</v>
      </c>
      <c r="C48" t="s">
        <v>7758</v>
      </c>
      <c r="D48" t="s">
        <v>5206</v>
      </c>
      <c r="E48" t="s">
        <v>7759</v>
      </c>
      <c r="F48">
        <v>138.32999999999998</v>
      </c>
    </row>
    <row r="49" spans="1:6">
      <c r="A49" t="str">
        <f>("09-12000-8")</f>
        <v>09-12000-8</v>
      </c>
      <c r="B49" t="s">
        <v>5152</v>
      </c>
      <c r="C49" t="s">
        <v>7758</v>
      </c>
      <c r="D49" t="s">
        <v>5206</v>
      </c>
      <c r="E49" t="s">
        <v>7757</v>
      </c>
      <c r="F49">
        <v>153</v>
      </c>
    </row>
    <row r="50" spans="1:6">
      <c r="A50" t="str">
        <f>("09-1218FM4")</f>
        <v>09-1218FM4</v>
      </c>
      <c r="B50" t="s">
        <v>5152</v>
      </c>
      <c r="C50" t="s">
        <v>7756</v>
      </c>
      <c r="D50" t="s">
        <v>5206</v>
      </c>
      <c r="E50" t="s">
        <v>7755</v>
      </c>
      <c r="F50">
        <v>214.33</v>
      </c>
    </row>
    <row r="51" spans="1:6">
      <c r="A51" t="str">
        <f>("09-12200A-PR")</f>
        <v>09-12200A-PR</v>
      </c>
      <c r="B51" t="s">
        <v>5152</v>
      </c>
      <c r="C51" t="s">
        <v>7753</v>
      </c>
      <c r="D51" t="s">
        <v>5206</v>
      </c>
      <c r="E51" t="s">
        <v>7754</v>
      </c>
      <c r="F51">
        <v>269</v>
      </c>
    </row>
    <row r="52" spans="1:6">
      <c r="A52" t="str">
        <f>("09-12200B-PR")</f>
        <v>09-12200B-PR</v>
      </c>
      <c r="B52" t="s">
        <v>5152</v>
      </c>
      <c r="C52" t="s">
        <v>7753</v>
      </c>
      <c r="D52" t="s">
        <v>5206</v>
      </c>
      <c r="E52" t="s">
        <v>7752</v>
      </c>
      <c r="F52">
        <v>269</v>
      </c>
    </row>
    <row r="53" spans="1:6">
      <c r="A53" t="str">
        <f>("09-12205A-PR")</f>
        <v>09-12205A-PR</v>
      </c>
      <c r="B53" t="s">
        <v>5152</v>
      </c>
      <c r="C53" t="s">
        <v>7750</v>
      </c>
      <c r="D53" t="s">
        <v>5206</v>
      </c>
      <c r="E53" t="s">
        <v>7751</v>
      </c>
      <c r="F53">
        <v>277</v>
      </c>
    </row>
    <row r="54" spans="1:6">
      <c r="A54" t="str">
        <f>("09-12205B-PR")</f>
        <v>09-12205B-PR</v>
      </c>
      <c r="B54" t="s">
        <v>5152</v>
      </c>
      <c r="C54" t="s">
        <v>7750</v>
      </c>
      <c r="D54" t="s">
        <v>5206</v>
      </c>
      <c r="E54" t="s">
        <v>7749</v>
      </c>
      <c r="F54">
        <v>277</v>
      </c>
    </row>
    <row r="55" spans="1:6">
      <c r="A55" t="str">
        <f>("09-12252B-PR")</f>
        <v>09-12252B-PR</v>
      </c>
      <c r="B55" t="s">
        <v>5152</v>
      </c>
      <c r="C55" t="s">
        <v>7748</v>
      </c>
      <c r="D55" t="s">
        <v>5206</v>
      </c>
      <c r="E55" t="s">
        <v>7747</v>
      </c>
      <c r="F55">
        <v>348.83</v>
      </c>
    </row>
    <row r="56" spans="1:6">
      <c r="A56" t="str">
        <f>("09-1918FM6")</f>
        <v>09-1918FM6</v>
      </c>
      <c r="B56" t="s">
        <v>5152</v>
      </c>
      <c r="C56" t="s">
        <v>7746</v>
      </c>
      <c r="D56" t="s">
        <v>5206</v>
      </c>
      <c r="E56" t="s">
        <v>7745</v>
      </c>
      <c r="F56">
        <v>194.33</v>
      </c>
    </row>
    <row r="57" spans="1:6">
      <c r="A57" t="str">
        <f>("09-80005")</f>
        <v>09-80005</v>
      </c>
      <c r="B57" t="s">
        <v>5152</v>
      </c>
      <c r="C57" t="s">
        <v>7743</v>
      </c>
      <c r="D57" t="s">
        <v>5206</v>
      </c>
      <c r="E57" t="s">
        <v>7744</v>
      </c>
      <c r="F57">
        <v>342.33</v>
      </c>
    </row>
    <row r="58" spans="1:6">
      <c r="A58" t="str">
        <f>("09-80015")</f>
        <v>09-80015</v>
      </c>
      <c r="B58" t="s">
        <v>5152</v>
      </c>
      <c r="C58" t="s">
        <v>7743</v>
      </c>
      <c r="D58" t="s">
        <v>5160</v>
      </c>
      <c r="E58" t="s">
        <v>6413</v>
      </c>
      <c r="F58">
        <v>301</v>
      </c>
    </row>
    <row r="59" spans="1:6">
      <c r="A59" t="str">
        <f>("62-41005")</f>
        <v>62-41005</v>
      </c>
      <c r="B59" t="s">
        <v>5152</v>
      </c>
      <c r="C59" t="s">
        <v>7742</v>
      </c>
      <c r="D59" t="s">
        <v>5160</v>
      </c>
      <c r="E59" t="s">
        <v>6407</v>
      </c>
      <c r="F59">
        <v>526.32999999999993</v>
      </c>
    </row>
    <row r="60" spans="1:6">
      <c r="A60" t="str">
        <f>("62-41015")</f>
        <v>62-41015</v>
      </c>
      <c r="B60" t="s">
        <v>5152</v>
      </c>
      <c r="C60" t="s">
        <v>7741</v>
      </c>
      <c r="D60" t="s">
        <v>5160</v>
      </c>
      <c r="E60" t="s">
        <v>6407</v>
      </c>
      <c r="F60">
        <v>131.67000000000002</v>
      </c>
    </row>
    <row r="61" spans="1:6">
      <c r="A61" t="str">
        <f>("62-41025")</f>
        <v>62-41025</v>
      </c>
      <c r="B61" t="s">
        <v>5152</v>
      </c>
      <c r="C61" t="s">
        <v>7737</v>
      </c>
      <c r="D61" t="s">
        <v>5160</v>
      </c>
      <c r="E61" t="s">
        <v>6407</v>
      </c>
      <c r="F61">
        <v>131.67000000000002</v>
      </c>
    </row>
    <row r="62" spans="1:6">
      <c r="A62" t="str">
        <f>("62-41035")</f>
        <v>62-41035</v>
      </c>
      <c r="B62" t="s">
        <v>5152</v>
      </c>
      <c r="C62" t="s">
        <v>7736</v>
      </c>
      <c r="D62" t="s">
        <v>5160</v>
      </c>
      <c r="E62" t="s">
        <v>6407</v>
      </c>
      <c r="F62">
        <v>285</v>
      </c>
    </row>
    <row r="63" spans="1:6">
      <c r="A63" t="str">
        <f>("62-41045")</f>
        <v>62-41045</v>
      </c>
      <c r="B63" t="s">
        <v>5152</v>
      </c>
      <c r="C63" t="s">
        <v>7740</v>
      </c>
      <c r="D63" t="s">
        <v>5160</v>
      </c>
      <c r="E63" t="s">
        <v>6407</v>
      </c>
      <c r="F63">
        <v>111.67</v>
      </c>
    </row>
    <row r="64" spans="1:6">
      <c r="A64" t="str">
        <f>("62-41055")</f>
        <v>62-41055</v>
      </c>
      <c r="B64" t="s">
        <v>5152</v>
      </c>
      <c r="C64" t="s">
        <v>7739</v>
      </c>
      <c r="D64" t="s">
        <v>5160</v>
      </c>
      <c r="E64" t="s">
        <v>6407</v>
      </c>
      <c r="F64">
        <v>197</v>
      </c>
    </row>
    <row r="65" spans="1:6">
      <c r="A65" t="str">
        <f>("62-41065")</f>
        <v>62-41065</v>
      </c>
      <c r="B65" t="s">
        <v>5152</v>
      </c>
      <c r="C65" t="s">
        <v>7738</v>
      </c>
      <c r="D65" t="s">
        <v>5160</v>
      </c>
      <c r="E65" t="s">
        <v>6407</v>
      </c>
      <c r="F65">
        <v>285</v>
      </c>
    </row>
    <row r="66" spans="1:6">
      <c r="A66" t="str">
        <f>("62-41075")</f>
        <v>62-41075</v>
      </c>
      <c r="B66" t="s">
        <v>5152</v>
      </c>
      <c r="C66" t="s">
        <v>7737</v>
      </c>
      <c r="D66" t="s">
        <v>5160</v>
      </c>
      <c r="E66" t="s">
        <v>7735</v>
      </c>
      <c r="F66">
        <v>131.67000000000002</v>
      </c>
    </row>
    <row r="67" spans="1:6">
      <c r="A67" t="str">
        <f>("62-41085")</f>
        <v>62-41085</v>
      </c>
      <c r="B67" t="s">
        <v>5152</v>
      </c>
      <c r="C67" t="s">
        <v>7736</v>
      </c>
      <c r="D67" t="s">
        <v>5160</v>
      </c>
      <c r="E67" t="s">
        <v>7735</v>
      </c>
      <c r="F67">
        <v>315.67</v>
      </c>
    </row>
    <row r="68" spans="1:6">
      <c r="A68" t="str">
        <f>("62-41115")</f>
        <v>62-41115</v>
      </c>
      <c r="B68" t="s">
        <v>5152</v>
      </c>
      <c r="C68" t="s">
        <v>7734</v>
      </c>
      <c r="D68" t="s">
        <v>5160</v>
      </c>
      <c r="E68" t="s">
        <v>7733</v>
      </c>
      <c r="F68">
        <v>591.66999999999996</v>
      </c>
    </row>
    <row r="69" spans="1:6">
      <c r="A69" t="str">
        <f>("10-3000")</f>
        <v>10-3000</v>
      </c>
      <c r="B69" t="s">
        <v>5152</v>
      </c>
      <c r="C69" t="s">
        <v>7732</v>
      </c>
      <c r="D69" t="s">
        <v>5206</v>
      </c>
      <c r="E69" t="s">
        <v>7732</v>
      </c>
      <c r="F69">
        <v>315.67</v>
      </c>
    </row>
    <row r="70" spans="1:6">
      <c r="A70" t="str">
        <f>("21-50010")</f>
        <v>21-50010</v>
      </c>
      <c r="B70" t="s">
        <v>5152</v>
      </c>
      <c r="C70" t="s">
        <v>7731</v>
      </c>
      <c r="D70" t="s">
        <v>5206</v>
      </c>
      <c r="E70" t="s">
        <v>7728</v>
      </c>
      <c r="F70">
        <v>301</v>
      </c>
    </row>
    <row r="71" spans="1:6">
      <c r="A71" t="str">
        <f>("21-50015")</f>
        <v>21-50015</v>
      </c>
      <c r="B71" t="s">
        <v>5152</v>
      </c>
      <c r="C71" t="s">
        <v>7731</v>
      </c>
      <c r="D71" t="s">
        <v>5206</v>
      </c>
      <c r="E71" t="s">
        <v>7728</v>
      </c>
      <c r="F71">
        <v>266.33000000000004</v>
      </c>
    </row>
    <row r="72" spans="1:6">
      <c r="A72" t="str">
        <f>("27-70015")</f>
        <v>27-70015</v>
      </c>
      <c r="B72" t="s">
        <v>5152</v>
      </c>
      <c r="C72" t="s">
        <v>7730</v>
      </c>
      <c r="D72" t="s">
        <v>5206</v>
      </c>
      <c r="E72" t="s">
        <v>7725</v>
      </c>
      <c r="F72">
        <v>283.5</v>
      </c>
    </row>
    <row r="73" spans="1:6">
      <c r="A73" t="str">
        <f>("28-50010")</f>
        <v>28-50010</v>
      </c>
      <c r="B73" t="s">
        <v>5152</v>
      </c>
      <c r="C73" t="s">
        <v>7729</v>
      </c>
      <c r="D73" t="s">
        <v>5206</v>
      </c>
      <c r="E73" t="s">
        <v>7728</v>
      </c>
      <c r="F73">
        <v>289</v>
      </c>
    </row>
    <row r="74" spans="1:6">
      <c r="A74" t="str">
        <f>("28-50015")</f>
        <v>28-50015</v>
      </c>
      <c r="B74" t="s">
        <v>5152</v>
      </c>
      <c r="C74" t="s">
        <v>7729</v>
      </c>
      <c r="D74" t="s">
        <v>5206</v>
      </c>
      <c r="E74" t="s">
        <v>7728</v>
      </c>
      <c r="F74">
        <v>250.33</v>
      </c>
    </row>
    <row r="75" spans="1:6">
      <c r="A75" t="str">
        <f>("56-10015")</f>
        <v>56-10015</v>
      </c>
      <c r="B75" t="s">
        <v>5152</v>
      </c>
      <c r="C75" t="s">
        <v>7727</v>
      </c>
      <c r="D75" t="s">
        <v>5206</v>
      </c>
      <c r="E75" t="s">
        <v>7725</v>
      </c>
      <c r="F75">
        <v>273</v>
      </c>
    </row>
    <row r="76" spans="1:6">
      <c r="A76" t="str">
        <f>("56-100152")</f>
        <v>56-100152</v>
      </c>
      <c r="B76" t="s">
        <v>5152</v>
      </c>
      <c r="C76" t="s">
        <v>7726</v>
      </c>
      <c r="D76" t="s">
        <v>5206</v>
      </c>
      <c r="E76" t="s">
        <v>7725</v>
      </c>
      <c r="F76">
        <v>313</v>
      </c>
    </row>
    <row r="77" spans="1:6">
      <c r="A77" t="str">
        <f>("20-11335")</f>
        <v>20-11335</v>
      </c>
      <c r="B77" t="s">
        <v>5152</v>
      </c>
      <c r="C77" t="s">
        <v>7723</v>
      </c>
      <c r="D77" t="s">
        <v>5174</v>
      </c>
      <c r="E77" t="s">
        <v>6381</v>
      </c>
      <c r="F77">
        <v>755.33</v>
      </c>
    </row>
    <row r="78" spans="1:6">
      <c r="A78" t="str">
        <f>("20-11685")</f>
        <v>20-11685</v>
      </c>
      <c r="B78" t="s">
        <v>5152</v>
      </c>
      <c r="C78" t="s">
        <v>7723</v>
      </c>
      <c r="D78" t="s">
        <v>5163</v>
      </c>
      <c r="E78" t="s">
        <v>6691</v>
      </c>
      <c r="F78">
        <v>755.33</v>
      </c>
    </row>
    <row r="79" spans="1:6">
      <c r="A79" t="str">
        <f>("20-11955")</f>
        <v>20-11955</v>
      </c>
      <c r="B79" t="s">
        <v>5152</v>
      </c>
      <c r="C79" t="s">
        <v>7723</v>
      </c>
      <c r="D79" t="s">
        <v>5163</v>
      </c>
      <c r="E79" t="s">
        <v>6690</v>
      </c>
      <c r="F79">
        <v>757.83</v>
      </c>
    </row>
    <row r="80" spans="1:6">
      <c r="A80" t="str">
        <f>("20-12775")</f>
        <v>20-12775</v>
      </c>
      <c r="B80" t="s">
        <v>5152</v>
      </c>
      <c r="C80" t="s">
        <v>7723</v>
      </c>
      <c r="D80" t="s">
        <v>5150</v>
      </c>
      <c r="E80" t="s">
        <v>5254</v>
      </c>
      <c r="F80">
        <v>710</v>
      </c>
    </row>
    <row r="81" spans="1:6">
      <c r="A81" t="str">
        <f>("20-12785")</f>
        <v>20-12785</v>
      </c>
      <c r="B81" t="s">
        <v>5152</v>
      </c>
      <c r="C81" t="s">
        <v>7723</v>
      </c>
      <c r="D81" t="s">
        <v>5150</v>
      </c>
      <c r="E81" t="s">
        <v>5253</v>
      </c>
      <c r="F81">
        <v>710</v>
      </c>
    </row>
    <row r="82" spans="1:6">
      <c r="A82" t="str">
        <f>("20-13245")</f>
        <v>20-13245</v>
      </c>
      <c r="B82" t="s">
        <v>5152</v>
      </c>
      <c r="C82" t="s">
        <v>7723</v>
      </c>
      <c r="D82" t="s">
        <v>5150</v>
      </c>
      <c r="E82" t="s">
        <v>5252</v>
      </c>
      <c r="F82">
        <v>755.33</v>
      </c>
    </row>
    <row r="83" spans="1:6">
      <c r="A83" t="str">
        <f>("20-13255")</f>
        <v>20-13255</v>
      </c>
      <c r="B83" t="s">
        <v>5152</v>
      </c>
      <c r="C83" t="s">
        <v>7723</v>
      </c>
      <c r="D83" t="s">
        <v>5150</v>
      </c>
      <c r="E83" t="s">
        <v>5155</v>
      </c>
      <c r="F83">
        <v>880.33</v>
      </c>
    </row>
    <row r="84" spans="1:6">
      <c r="A84" t="str">
        <f>("20-13295")</f>
        <v>20-13295</v>
      </c>
      <c r="B84" t="s">
        <v>5152</v>
      </c>
      <c r="C84" t="s">
        <v>7723</v>
      </c>
      <c r="D84" t="s">
        <v>5160</v>
      </c>
      <c r="E84" t="s">
        <v>5161</v>
      </c>
      <c r="F84">
        <v>710</v>
      </c>
    </row>
    <row r="85" spans="1:6">
      <c r="A85" t="str">
        <f>("20-13555")</f>
        <v>20-13555</v>
      </c>
      <c r="B85" t="s">
        <v>5152</v>
      </c>
      <c r="C85" t="s">
        <v>7723</v>
      </c>
      <c r="D85" t="s">
        <v>5181</v>
      </c>
      <c r="E85" t="s">
        <v>5251</v>
      </c>
      <c r="F85">
        <v>755.33</v>
      </c>
    </row>
    <row r="86" spans="1:6">
      <c r="A86" t="str">
        <f>("20-13565")</f>
        <v>20-13565</v>
      </c>
      <c r="B86" t="s">
        <v>5152</v>
      </c>
      <c r="C86" t="s">
        <v>7723</v>
      </c>
      <c r="D86" t="s">
        <v>5181</v>
      </c>
      <c r="E86" t="s">
        <v>6684</v>
      </c>
      <c r="F86">
        <v>755.33</v>
      </c>
    </row>
    <row r="87" spans="1:6">
      <c r="A87" t="str">
        <f>("20-13715")</f>
        <v>20-13715</v>
      </c>
      <c r="B87" t="s">
        <v>5152</v>
      </c>
      <c r="C87" t="s">
        <v>7723</v>
      </c>
      <c r="D87" t="s">
        <v>5163</v>
      </c>
      <c r="E87" t="s">
        <v>7576</v>
      </c>
      <c r="F87">
        <v>755.33</v>
      </c>
    </row>
    <row r="88" spans="1:6">
      <c r="A88" t="str">
        <f>("20-13725")</f>
        <v>20-13725</v>
      </c>
      <c r="B88" t="s">
        <v>5152</v>
      </c>
      <c r="C88" t="s">
        <v>7723</v>
      </c>
      <c r="D88" t="s">
        <v>5163</v>
      </c>
      <c r="E88" t="s">
        <v>7724</v>
      </c>
      <c r="F88">
        <v>755.33</v>
      </c>
    </row>
    <row r="89" spans="1:6">
      <c r="A89" t="str">
        <f>("20-13835")</f>
        <v>20-13835</v>
      </c>
      <c r="B89" t="s">
        <v>5152</v>
      </c>
      <c r="C89" t="s">
        <v>7723</v>
      </c>
      <c r="D89" t="s">
        <v>5150</v>
      </c>
      <c r="E89" t="s">
        <v>5248</v>
      </c>
      <c r="F89">
        <v>710</v>
      </c>
    </row>
    <row r="90" spans="1:6">
      <c r="A90" t="str">
        <f>("20-13935")</f>
        <v>20-13935</v>
      </c>
      <c r="B90" t="s">
        <v>5152</v>
      </c>
      <c r="C90" t="s">
        <v>7723</v>
      </c>
      <c r="D90" t="s">
        <v>5174</v>
      </c>
      <c r="E90" t="s">
        <v>5247</v>
      </c>
      <c r="F90">
        <v>755.33</v>
      </c>
    </row>
    <row r="91" spans="1:6">
      <c r="A91" t="str">
        <f>("20-13945")</f>
        <v>20-13945</v>
      </c>
      <c r="B91" t="s">
        <v>5152</v>
      </c>
      <c r="C91" t="s">
        <v>7723</v>
      </c>
      <c r="D91" t="s">
        <v>5174</v>
      </c>
      <c r="E91" t="s">
        <v>5246</v>
      </c>
      <c r="F91">
        <v>880.33</v>
      </c>
    </row>
    <row r="92" spans="1:6">
      <c r="A92" t="str">
        <f>("20-14015")</f>
        <v>20-14015</v>
      </c>
      <c r="B92" t="s">
        <v>5152</v>
      </c>
      <c r="C92" t="s">
        <v>7723</v>
      </c>
      <c r="D92" t="s">
        <v>5163</v>
      </c>
      <c r="E92" t="s">
        <v>5245</v>
      </c>
      <c r="F92">
        <v>710</v>
      </c>
    </row>
    <row r="93" spans="1:6">
      <c r="A93" t="str">
        <f>("20-14065")</f>
        <v>20-14065</v>
      </c>
      <c r="B93" t="s">
        <v>5152</v>
      </c>
      <c r="C93" t="s">
        <v>7723</v>
      </c>
      <c r="D93" t="s">
        <v>5160</v>
      </c>
      <c r="E93" t="s">
        <v>5237</v>
      </c>
      <c r="F93">
        <v>735</v>
      </c>
    </row>
    <row r="94" spans="1:6">
      <c r="A94" t="str">
        <f>("20-14085")</f>
        <v>20-14085</v>
      </c>
      <c r="B94" t="s">
        <v>5152</v>
      </c>
      <c r="C94" t="s">
        <v>7723</v>
      </c>
      <c r="D94" t="s">
        <v>5178</v>
      </c>
      <c r="E94" t="s">
        <v>6679</v>
      </c>
      <c r="F94">
        <v>755.33</v>
      </c>
    </row>
    <row r="95" spans="1:6">
      <c r="A95" t="str">
        <f>("20-14095")</f>
        <v>20-14095</v>
      </c>
      <c r="B95" t="s">
        <v>5152</v>
      </c>
      <c r="C95" t="s">
        <v>7723</v>
      </c>
      <c r="D95" t="s">
        <v>5178</v>
      </c>
      <c r="E95" t="s">
        <v>6678</v>
      </c>
      <c r="F95">
        <v>755.33</v>
      </c>
    </row>
    <row r="96" spans="1:6">
      <c r="A96" t="str">
        <f>("20-14125")</f>
        <v>20-14125</v>
      </c>
      <c r="B96" t="s">
        <v>5152</v>
      </c>
      <c r="C96" t="s">
        <v>7723</v>
      </c>
      <c r="D96" t="s">
        <v>5163</v>
      </c>
      <c r="E96" t="s">
        <v>5243</v>
      </c>
      <c r="F96">
        <v>755.33</v>
      </c>
    </row>
    <row r="97" spans="1:6">
      <c r="A97" t="str">
        <f>("20-14135")</f>
        <v>20-14135</v>
      </c>
      <c r="B97" t="s">
        <v>5152</v>
      </c>
      <c r="C97" t="s">
        <v>7723</v>
      </c>
      <c r="D97" t="s">
        <v>5163</v>
      </c>
      <c r="E97" t="s">
        <v>5242</v>
      </c>
      <c r="F97">
        <v>880.33</v>
      </c>
    </row>
    <row r="98" spans="1:6">
      <c r="A98" t="str">
        <f>("20-14165")</f>
        <v>20-14165</v>
      </c>
      <c r="B98" t="s">
        <v>5152</v>
      </c>
      <c r="C98" t="s">
        <v>7723</v>
      </c>
      <c r="D98" t="s">
        <v>5160</v>
      </c>
      <c r="E98" t="s">
        <v>5236</v>
      </c>
      <c r="F98">
        <v>835</v>
      </c>
    </row>
    <row r="99" spans="1:6">
      <c r="A99" t="str">
        <f>("20-14185")</f>
        <v>20-14185</v>
      </c>
      <c r="B99" t="s">
        <v>5152</v>
      </c>
      <c r="C99" t="s">
        <v>7723</v>
      </c>
      <c r="D99" t="s">
        <v>5174</v>
      </c>
      <c r="E99" t="s">
        <v>5235</v>
      </c>
      <c r="F99">
        <v>710</v>
      </c>
    </row>
    <row r="100" spans="1:6">
      <c r="A100" t="str">
        <f>("20-14195")</f>
        <v>20-14195</v>
      </c>
      <c r="B100" t="s">
        <v>5152</v>
      </c>
      <c r="C100" t="s">
        <v>7723</v>
      </c>
      <c r="D100" t="s">
        <v>5174</v>
      </c>
      <c r="E100" t="s">
        <v>5233</v>
      </c>
      <c r="F100">
        <v>710</v>
      </c>
    </row>
    <row r="101" spans="1:6">
      <c r="A101" t="str">
        <f>("20-14225")</f>
        <v>20-14225</v>
      </c>
      <c r="B101" t="s">
        <v>5152</v>
      </c>
      <c r="C101" t="s">
        <v>7723</v>
      </c>
      <c r="D101" t="s">
        <v>5150</v>
      </c>
      <c r="E101" t="s">
        <v>5238</v>
      </c>
      <c r="F101">
        <v>755.33</v>
      </c>
    </row>
    <row r="102" spans="1:6">
      <c r="A102" t="str">
        <f>("20-14235")</f>
        <v>20-14235</v>
      </c>
      <c r="B102" t="s">
        <v>5152</v>
      </c>
      <c r="C102" t="s">
        <v>7723</v>
      </c>
      <c r="D102" t="s">
        <v>5150</v>
      </c>
      <c r="E102" t="s">
        <v>5149</v>
      </c>
      <c r="F102">
        <v>880.33</v>
      </c>
    </row>
    <row r="103" spans="1:6">
      <c r="A103" t="str">
        <f>("20-42785")</f>
        <v>20-42785</v>
      </c>
      <c r="B103" t="s">
        <v>5152</v>
      </c>
      <c r="C103" t="s">
        <v>7721</v>
      </c>
      <c r="D103" t="s">
        <v>5150</v>
      </c>
      <c r="E103" t="s">
        <v>7722</v>
      </c>
      <c r="F103">
        <v>898</v>
      </c>
    </row>
    <row r="104" spans="1:6">
      <c r="A104" t="str">
        <f>("20-43945")</f>
        <v>20-43945</v>
      </c>
      <c r="B104" t="s">
        <v>5152</v>
      </c>
      <c r="C104" t="s">
        <v>7721</v>
      </c>
      <c r="D104" t="s">
        <v>5174</v>
      </c>
      <c r="E104" t="s">
        <v>7720</v>
      </c>
      <c r="F104">
        <v>1135</v>
      </c>
    </row>
    <row r="105" spans="1:6">
      <c r="A105" t="str">
        <f>("21-1315")</f>
        <v>21-1315</v>
      </c>
      <c r="B105" t="s">
        <v>5152</v>
      </c>
      <c r="C105" t="s">
        <v>7708</v>
      </c>
      <c r="D105" t="s">
        <v>5174</v>
      </c>
      <c r="E105" t="s">
        <v>7719</v>
      </c>
      <c r="F105">
        <v>587.33000000000004</v>
      </c>
    </row>
    <row r="106" spans="1:6">
      <c r="A106" t="str">
        <f>("21-1335")</f>
        <v>21-1335</v>
      </c>
      <c r="B106" t="s">
        <v>5152</v>
      </c>
      <c r="C106" t="s">
        <v>7708</v>
      </c>
      <c r="D106" t="s">
        <v>5174</v>
      </c>
      <c r="E106" t="s">
        <v>7616</v>
      </c>
      <c r="F106">
        <v>712.33</v>
      </c>
    </row>
    <row r="107" spans="1:6">
      <c r="A107" t="str">
        <f>("21-1400")</f>
        <v>21-1400</v>
      </c>
      <c r="B107" t="s">
        <v>5152</v>
      </c>
      <c r="C107" t="s">
        <v>7708</v>
      </c>
      <c r="D107" t="s">
        <v>5163</v>
      </c>
      <c r="E107" t="s">
        <v>7718</v>
      </c>
      <c r="F107">
        <v>820.67</v>
      </c>
    </row>
    <row r="108" spans="1:6">
      <c r="A108" t="str">
        <f>("21-1405")</f>
        <v>21-1405</v>
      </c>
      <c r="B108" t="s">
        <v>5152</v>
      </c>
      <c r="C108" t="s">
        <v>7708</v>
      </c>
      <c r="D108" t="s">
        <v>5163</v>
      </c>
      <c r="E108" t="s">
        <v>7718</v>
      </c>
      <c r="F108">
        <v>510</v>
      </c>
    </row>
    <row r="109" spans="1:6">
      <c r="A109" t="str">
        <f>("21-1680")</f>
        <v>21-1680</v>
      </c>
      <c r="B109" t="s">
        <v>5152</v>
      </c>
      <c r="C109" t="s">
        <v>7708</v>
      </c>
      <c r="D109" t="s">
        <v>5163</v>
      </c>
      <c r="E109" t="s">
        <v>7544</v>
      </c>
      <c r="F109">
        <v>975.33</v>
      </c>
    </row>
    <row r="110" spans="1:6">
      <c r="A110" t="str">
        <f>("21-1685")</f>
        <v>21-1685</v>
      </c>
      <c r="B110" t="s">
        <v>5152</v>
      </c>
      <c r="C110" t="s">
        <v>7708</v>
      </c>
      <c r="D110" t="s">
        <v>5163</v>
      </c>
      <c r="E110" t="s">
        <v>7544</v>
      </c>
      <c r="F110">
        <v>587.33000000000004</v>
      </c>
    </row>
    <row r="111" spans="1:6">
      <c r="A111" t="str">
        <f>("21-1950")</f>
        <v>21-1950</v>
      </c>
      <c r="B111" t="s">
        <v>5152</v>
      </c>
      <c r="C111" t="s">
        <v>7708</v>
      </c>
      <c r="D111" t="s">
        <v>5163</v>
      </c>
      <c r="E111" t="s">
        <v>7717</v>
      </c>
      <c r="F111">
        <v>1100.33</v>
      </c>
    </row>
    <row r="112" spans="1:6">
      <c r="A112" t="str">
        <f>("21-1955")</f>
        <v>21-1955</v>
      </c>
      <c r="B112" t="s">
        <v>5152</v>
      </c>
      <c r="C112" t="s">
        <v>7708</v>
      </c>
      <c r="D112" t="s">
        <v>5163</v>
      </c>
      <c r="E112" t="s">
        <v>7717</v>
      </c>
      <c r="F112">
        <v>712.33</v>
      </c>
    </row>
    <row r="113" spans="1:6">
      <c r="A113" t="str">
        <f>("21-2310")</f>
        <v>21-2310</v>
      </c>
      <c r="B113" t="s">
        <v>5152</v>
      </c>
      <c r="C113" t="s">
        <v>7708</v>
      </c>
      <c r="D113" t="s">
        <v>5184</v>
      </c>
      <c r="E113" t="s">
        <v>7450</v>
      </c>
      <c r="F113">
        <v>975.33</v>
      </c>
    </row>
    <row r="114" spans="1:6">
      <c r="A114" t="str">
        <f>("21-2315")</f>
        <v>21-2315</v>
      </c>
      <c r="B114" t="s">
        <v>5152</v>
      </c>
      <c r="C114" t="s">
        <v>7708</v>
      </c>
      <c r="D114" t="s">
        <v>5184</v>
      </c>
      <c r="E114" t="s">
        <v>7450</v>
      </c>
      <c r="F114">
        <v>587.33000000000004</v>
      </c>
    </row>
    <row r="115" spans="1:6">
      <c r="A115" t="str">
        <f>("21-2325")</f>
        <v>21-2325</v>
      </c>
      <c r="B115" t="s">
        <v>5152</v>
      </c>
      <c r="C115" t="s">
        <v>7708</v>
      </c>
      <c r="D115" t="s">
        <v>5184</v>
      </c>
      <c r="E115" t="s">
        <v>7716</v>
      </c>
      <c r="F115">
        <v>510</v>
      </c>
    </row>
    <row r="116" spans="1:6">
      <c r="A116" t="str">
        <f>("21-2345")</f>
        <v>21-2345</v>
      </c>
      <c r="B116" t="s">
        <v>5152</v>
      </c>
      <c r="C116" t="s">
        <v>7708</v>
      </c>
      <c r="D116" t="s">
        <v>5174</v>
      </c>
      <c r="E116" t="s">
        <v>7715</v>
      </c>
      <c r="F116">
        <v>510</v>
      </c>
    </row>
    <row r="117" spans="1:6">
      <c r="A117" t="str">
        <f>("21-2355")</f>
        <v>21-2355</v>
      </c>
      <c r="B117" t="s">
        <v>5152</v>
      </c>
      <c r="C117" t="s">
        <v>7708</v>
      </c>
      <c r="D117" t="s">
        <v>5174</v>
      </c>
      <c r="E117" t="s">
        <v>7714</v>
      </c>
      <c r="F117">
        <v>712.33</v>
      </c>
    </row>
    <row r="118" spans="1:6">
      <c r="A118" t="str">
        <f>("21-2365")</f>
        <v>21-2365</v>
      </c>
      <c r="B118" t="s">
        <v>5152</v>
      </c>
      <c r="C118" t="s">
        <v>7708</v>
      </c>
      <c r="D118" t="s">
        <v>7292</v>
      </c>
      <c r="E118" t="s">
        <v>7713</v>
      </c>
      <c r="F118">
        <v>712.33</v>
      </c>
    </row>
    <row r="119" spans="1:6">
      <c r="A119" t="str">
        <f>("21-2770")</f>
        <v>21-2770</v>
      </c>
      <c r="B119" t="s">
        <v>5152</v>
      </c>
      <c r="C119" t="s">
        <v>7708</v>
      </c>
      <c r="D119" t="s">
        <v>5150</v>
      </c>
      <c r="E119" t="s">
        <v>5254</v>
      </c>
      <c r="F119">
        <v>975.33</v>
      </c>
    </row>
    <row r="120" spans="1:6">
      <c r="A120" t="str">
        <f>("21-2775")</f>
        <v>21-2775</v>
      </c>
      <c r="B120" t="s">
        <v>5152</v>
      </c>
      <c r="C120" t="s">
        <v>7708</v>
      </c>
      <c r="D120" t="s">
        <v>5150</v>
      </c>
      <c r="E120" t="s">
        <v>5254</v>
      </c>
      <c r="F120">
        <v>587.33000000000004</v>
      </c>
    </row>
    <row r="121" spans="1:6">
      <c r="A121" t="str">
        <f>("21-2905")</f>
        <v>21-2905</v>
      </c>
      <c r="B121" t="s">
        <v>5152</v>
      </c>
      <c r="C121" t="s">
        <v>7708</v>
      </c>
      <c r="D121" t="s">
        <v>5184</v>
      </c>
      <c r="E121" t="s">
        <v>7712</v>
      </c>
      <c r="F121">
        <v>789.67</v>
      </c>
    </row>
    <row r="122" spans="1:6">
      <c r="A122" t="str">
        <f>("21-2995")</f>
        <v>21-2995</v>
      </c>
      <c r="B122" t="s">
        <v>5152</v>
      </c>
      <c r="C122" t="s">
        <v>7708</v>
      </c>
      <c r="D122" t="s">
        <v>5163</v>
      </c>
      <c r="E122" t="s">
        <v>7711</v>
      </c>
      <c r="F122">
        <v>712.33</v>
      </c>
    </row>
    <row r="123" spans="1:6">
      <c r="A123" t="str">
        <f>("21-3005")</f>
        <v>21-3005</v>
      </c>
      <c r="B123" t="s">
        <v>5152</v>
      </c>
      <c r="C123" t="s">
        <v>7708</v>
      </c>
      <c r="D123" t="s">
        <v>5163</v>
      </c>
      <c r="E123" t="s">
        <v>7710</v>
      </c>
      <c r="F123">
        <v>587.33000000000004</v>
      </c>
    </row>
    <row r="124" spans="1:6">
      <c r="A124" t="str">
        <f>("21-3245")</f>
        <v>21-3245</v>
      </c>
      <c r="B124" t="s">
        <v>5152</v>
      </c>
      <c r="C124" t="s">
        <v>7708</v>
      </c>
      <c r="D124" t="s">
        <v>5150</v>
      </c>
      <c r="E124" t="s">
        <v>5252</v>
      </c>
      <c r="F124">
        <v>587.33000000000004</v>
      </c>
    </row>
    <row r="125" spans="1:6">
      <c r="A125" t="str">
        <f>("21-3525")</f>
        <v>21-3525</v>
      </c>
      <c r="B125" t="s">
        <v>5152</v>
      </c>
      <c r="C125" t="s">
        <v>7708</v>
      </c>
      <c r="D125" t="s">
        <v>5174</v>
      </c>
      <c r="E125" t="s">
        <v>5176</v>
      </c>
      <c r="F125">
        <v>712.33</v>
      </c>
    </row>
    <row r="126" spans="1:6">
      <c r="A126" t="str">
        <f>("21-3540")</f>
        <v>21-3540</v>
      </c>
      <c r="B126" t="s">
        <v>5152</v>
      </c>
      <c r="C126" t="s">
        <v>7708</v>
      </c>
      <c r="D126" t="s">
        <v>5181</v>
      </c>
      <c r="E126" t="s">
        <v>7540</v>
      </c>
      <c r="F126">
        <v>820.67</v>
      </c>
    </row>
    <row r="127" spans="1:6">
      <c r="A127" t="str">
        <f>("21-3545")</f>
        <v>21-3545</v>
      </c>
      <c r="B127" t="s">
        <v>5152</v>
      </c>
      <c r="C127" t="s">
        <v>7708</v>
      </c>
      <c r="D127" t="s">
        <v>5181</v>
      </c>
      <c r="E127" t="s">
        <v>7540</v>
      </c>
      <c r="F127">
        <v>510</v>
      </c>
    </row>
    <row r="128" spans="1:6">
      <c r="A128" t="str">
        <f>("21-3550")</f>
        <v>21-3550</v>
      </c>
      <c r="B128" t="s">
        <v>5152</v>
      </c>
      <c r="C128" t="s">
        <v>7708</v>
      </c>
      <c r="D128" t="s">
        <v>5181</v>
      </c>
      <c r="E128" t="s">
        <v>5251</v>
      </c>
      <c r="F128">
        <v>975.33</v>
      </c>
    </row>
    <row r="129" spans="1:6">
      <c r="A129" t="str">
        <f>("21-3555")</f>
        <v>21-3555</v>
      </c>
      <c r="B129" t="s">
        <v>5152</v>
      </c>
      <c r="C129" t="s">
        <v>7708</v>
      </c>
      <c r="D129" t="s">
        <v>5181</v>
      </c>
      <c r="E129" t="s">
        <v>5251</v>
      </c>
      <c r="F129">
        <v>587.33000000000004</v>
      </c>
    </row>
    <row r="130" spans="1:6">
      <c r="A130" t="str">
        <f>("21-3560")</f>
        <v>21-3560</v>
      </c>
      <c r="B130" t="s">
        <v>5152</v>
      </c>
      <c r="C130" t="s">
        <v>7708</v>
      </c>
      <c r="D130" t="s">
        <v>5181</v>
      </c>
      <c r="E130" t="s">
        <v>6684</v>
      </c>
      <c r="F130">
        <v>975.33</v>
      </c>
    </row>
    <row r="131" spans="1:6">
      <c r="A131" t="str">
        <f>("21-3565")</f>
        <v>21-3565</v>
      </c>
      <c r="B131" t="s">
        <v>5152</v>
      </c>
      <c r="C131" t="s">
        <v>7708</v>
      </c>
      <c r="D131" t="s">
        <v>5181</v>
      </c>
      <c r="E131" t="s">
        <v>6684</v>
      </c>
      <c r="F131">
        <v>587.33000000000004</v>
      </c>
    </row>
    <row r="132" spans="1:6">
      <c r="A132" t="str">
        <f>("21-3575")</f>
        <v>21-3575</v>
      </c>
      <c r="B132" t="s">
        <v>5152</v>
      </c>
      <c r="C132" t="s">
        <v>7708</v>
      </c>
      <c r="D132" t="s">
        <v>5181</v>
      </c>
      <c r="E132" t="s">
        <v>7580</v>
      </c>
      <c r="F132">
        <v>789.67</v>
      </c>
    </row>
    <row r="133" spans="1:6">
      <c r="A133" t="str">
        <f>("21-3585")</f>
        <v>21-3585</v>
      </c>
      <c r="B133" t="s">
        <v>5152</v>
      </c>
      <c r="C133" t="s">
        <v>7708</v>
      </c>
      <c r="D133" t="s">
        <v>5150</v>
      </c>
      <c r="E133" t="s">
        <v>7709</v>
      </c>
      <c r="F133">
        <v>712.33</v>
      </c>
    </row>
    <row r="134" spans="1:6">
      <c r="A134" t="str">
        <f>("21-3605")</f>
        <v>21-3605</v>
      </c>
      <c r="B134" t="s">
        <v>5152</v>
      </c>
      <c r="C134" t="s">
        <v>7708</v>
      </c>
      <c r="D134" t="s">
        <v>5174</v>
      </c>
      <c r="E134" t="s">
        <v>7578</v>
      </c>
      <c r="F134">
        <v>587.33000000000004</v>
      </c>
    </row>
    <row r="135" spans="1:6">
      <c r="A135" t="str">
        <f>("21-3615")</f>
        <v>21-3615</v>
      </c>
      <c r="B135" t="s">
        <v>5152</v>
      </c>
      <c r="C135" t="s">
        <v>7708</v>
      </c>
      <c r="D135" t="s">
        <v>5160</v>
      </c>
      <c r="E135" t="s">
        <v>7577</v>
      </c>
      <c r="F135">
        <v>587.33000000000004</v>
      </c>
    </row>
    <row r="136" spans="1:6">
      <c r="A136" t="str">
        <f>("21-3810")</f>
        <v>21-3810</v>
      </c>
      <c r="B136" t="s">
        <v>5152</v>
      </c>
      <c r="C136" t="s">
        <v>7708</v>
      </c>
      <c r="D136" t="s">
        <v>5163</v>
      </c>
      <c r="E136" t="s">
        <v>7575</v>
      </c>
      <c r="F136">
        <v>1100.33</v>
      </c>
    </row>
    <row r="137" spans="1:6">
      <c r="A137" t="str">
        <f>("21-3815")</f>
        <v>21-3815</v>
      </c>
      <c r="B137" t="s">
        <v>5152</v>
      </c>
      <c r="C137" t="s">
        <v>7708</v>
      </c>
      <c r="D137" t="s">
        <v>5163</v>
      </c>
      <c r="E137" t="s">
        <v>7575</v>
      </c>
      <c r="F137">
        <v>712.33</v>
      </c>
    </row>
    <row r="138" spans="1:6">
      <c r="A138" t="str">
        <f>("21-3825")</f>
        <v>21-3825</v>
      </c>
      <c r="B138" t="s">
        <v>5152</v>
      </c>
      <c r="C138" t="s">
        <v>7708</v>
      </c>
      <c r="D138" t="s">
        <v>5163</v>
      </c>
      <c r="E138" t="s">
        <v>7574</v>
      </c>
      <c r="F138">
        <v>712.33</v>
      </c>
    </row>
    <row r="139" spans="1:6">
      <c r="A139" t="str">
        <f>("21-3835")</f>
        <v>21-3835</v>
      </c>
      <c r="B139" t="s">
        <v>5152</v>
      </c>
      <c r="C139" t="s">
        <v>7708</v>
      </c>
      <c r="D139" t="s">
        <v>5150</v>
      </c>
      <c r="E139" t="s">
        <v>5248</v>
      </c>
      <c r="F139">
        <v>587.33000000000004</v>
      </c>
    </row>
    <row r="140" spans="1:6">
      <c r="A140" t="str">
        <f>("21-3855")</f>
        <v>21-3855</v>
      </c>
      <c r="B140" t="s">
        <v>5152</v>
      </c>
      <c r="C140" t="s">
        <v>7708</v>
      </c>
      <c r="D140" t="s">
        <v>5163</v>
      </c>
      <c r="E140" t="s">
        <v>7571</v>
      </c>
      <c r="F140">
        <v>712.33</v>
      </c>
    </row>
    <row r="141" spans="1:6">
      <c r="A141" t="str">
        <f>("21-3865")</f>
        <v>21-3865</v>
      </c>
      <c r="B141" t="s">
        <v>5152</v>
      </c>
      <c r="C141" t="s">
        <v>7708</v>
      </c>
      <c r="D141" t="s">
        <v>5163</v>
      </c>
      <c r="E141" t="s">
        <v>7570</v>
      </c>
      <c r="F141">
        <v>712.33</v>
      </c>
    </row>
    <row r="142" spans="1:6">
      <c r="A142" t="str">
        <f>("21-3920")</f>
        <v>21-3920</v>
      </c>
      <c r="B142" t="s">
        <v>5152</v>
      </c>
      <c r="C142" t="s">
        <v>7708</v>
      </c>
      <c r="D142" t="s">
        <v>5174</v>
      </c>
      <c r="E142" t="s">
        <v>7538</v>
      </c>
      <c r="F142">
        <v>820.67</v>
      </c>
    </row>
    <row r="143" spans="1:6">
      <c r="A143" t="str">
        <f>("21-3925")</f>
        <v>21-3925</v>
      </c>
      <c r="B143" t="s">
        <v>5152</v>
      </c>
      <c r="C143" t="s">
        <v>7708</v>
      </c>
      <c r="D143" t="s">
        <v>5174</v>
      </c>
      <c r="E143" t="s">
        <v>7538</v>
      </c>
      <c r="F143">
        <v>510</v>
      </c>
    </row>
    <row r="144" spans="1:6">
      <c r="A144" t="str">
        <f>("21-3935")</f>
        <v>21-3935</v>
      </c>
      <c r="B144" t="s">
        <v>5152</v>
      </c>
      <c r="C144" t="s">
        <v>7708</v>
      </c>
      <c r="D144" t="s">
        <v>5174</v>
      </c>
      <c r="E144" t="s">
        <v>5247</v>
      </c>
      <c r="F144">
        <v>712.33</v>
      </c>
    </row>
    <row r="145" spans="1:6">
      <c r="A145" t="str">
        <f>("21-3945")</f>
        <v>21-3945</v>
      </c>
      <c r="B145" t="s">
        <v>5152</v>
      </c>
      <c r="C145" t="s">
        <v>7708</v>
      </c>
      <c r="D145" t="s">
        <v>5174</v>
      </c>
      <c r="E145" t="s">
        <v>5246</v>
      </c>
      <c r="F145">
        <v>712.33</v>
      </c>
    </row>
    <row r="146" spans="1:6">
      <c r="A146" t="str">
        <f>("21-4015")</f>
        <v>21-4015</v>
      </c>
      <c r="B146" t="s">
        <v>5152</v>
      </c>
      <c r="C146" t="s">
        <v>7708</v>
      </c>
      <c r="D146" t="s">
        <v>5163</v>
      </c>
      <c r="E146" t="s">
        <v>5245</v>
      </c>
      <c r="F146">
        <v>712.33</v>
      </c>
    </row>
    <row r="147" spans="1:6">
      <c r="A147" t="str">
        <f>("21-4020")</f>
        <v>21-4020</v>
      </c>
      <c r="B147" t="s">
        <v>5152</v>
      </c>
      <c r="C147" t="s">
        <v>7708</v>
      </c>
      <c r="D147" t="s">
        <v>5158</v>
      </c>
      <c r="E147" t="s">
        <v>7569</v>
      </c>
      <c r="F147">
        <v>1100.33</v>
      </c>
    </row>
    <row r="148" spans="1:6">
      <c r="A148" t="str">
        <f>("21-4065")</f>
        <v>21-4065</v>
      </c>
      <c r="B148" t="s">
        <v>5152</v>
      </c>
      <c r="C148" t="s">
        <v>7708</v>
      </c>
      <c r="D148" t="s">
        <v>5160</v>
      </c>
      <c r="E148" t="s">
        <v>5237</v>
      </c>
      <c r="F148">
        <v>587.33000000000004</v>
      </c>
    </row>
    <row r="149" spans="1:6">
      <c r="A149" t="str">
        <f>("21-4080")</f>
        <v>21-4080</v>
      </c>
      <c r="B149" t="s">
        <v>5152</v>
      </c>
      <c r="C149" t="s">
        <v>7708</v>
      </c>
      <c r="D149" t="s">
        <v>5178</v>
      </c>
      <c r="E149" t="s">
        <v>6679</v>
      </c>
      <c r="F149">
        <v>975.33</v>
      </c>
    </row>
    <row r="150" spans="1:6">
      <c r="A150" t="str">
        <f>("21-4085")</f>
        <v>21-4085</v>
      </c>
      <c r="B150" t="s">
        <v>5152</v>
      </c>
      <c r="C150" t="s">
        <v>7708</v>
      </c>
      <c r="D150" t="s">
        <v>5178</v>
      </c>
      <c r="E150" t="s">
        <v>6679</v>
      </c>
      <c r="F150">
        <v>587.33000000000004</v>
      </c>
    </row>
    <row r="151" spans="1:6">
      <c r="A151" t="str">
        <f>("21-4095")</f>
        <v>21-4095</v>
      </c>
      <c r="B151" t="s">
        <v>5152</v>
      </c>
      <c r="C151" t="s">
        <v>7708</v>
      </c>
      <c r="D151" t="s">
        <v>5178</v>
      </c>
      <c r="E151" t="s">
        <v>6678</v>
      </c>
      <c r="F151">
        <v>587.33000000000004</v>
      </c>
    </row>
    <row r="152" spans="1:6">
      <c r="A152" t="str">
        <f>("21-4120")</f>
        <v>21-4120</v>
      </c>
      <c r="B152" t="s">
        <v>5152</v>
      </c>
      <c r="C152" t="s">
        <v>7708</v>
      </c>
      <c r="D152" t="s">
        <v>5163</v>
      </c>
      <c r="E152" t="s">
        <v>7567</v>
      </c>
      <c r="F152">
        <v>1099</v>
      </c>
    </row>
    <row r="153" spans="1:6">
      <c r="A153" t="str">
        <f>("21-4125")</f>
        <v>21-4125</v>
      </c>
      <c r="B153" t="s">
        <v>5152</v>
      </c>
      <c r="C153" t="s">
        <v>7708</v>
      </c>
      <c r="D153" t="s">
        <v>5163</v>
      </c>
      <c r="E153" t="s">
        <v>7567</v>
      </c>
      <c r="F153">
        <v>712.33</v>
      </c>
    </row>
    <row r="154" spans="1:6">
      <c r="A154" t="str">
        <f>("21-4130")</f>
        <v>21-4130</v>
      </c>
      <c r="B154" t="s">
        <v>5152</v>
      </c>
      <c r="C154" t="s">
        <v>7708</v>
      </c>
      <c r="D154" t="s">
        <v>5163</v>
      </c>
      <c r="E154" t="s">
        <v>5164</v>
      </c>
      <c r="F154">
        <v>1099</v>
      </c>
    </row>
    <row r="155" spans="1:6">
      <c r="A155" t="str">
        <f>("21-4135")</f>
        <v>21-4135</v>
      </c>
      <c r="B155" t="s">
        <v>5152</v>
      </c>
      <c r="C155" t="s">
        <v>7708</v>
      </c>
      <c r="D155" t="s">
        <v>5163</v>
      </c>
      <c r="E155" t="s">
        <v>5164</v>
      </c>
      <c r="F155">
        <v>712.33</v>
      </c>
    </row>
    <row r="156" spans="1:6">
      <c r="A156" t="str">
        <f>("21-4165")</f>
        <v>21-4165</v>
      </c>
      <c r="B156" t="s">
        <v>5152</v>
      </c>
      <c r="C156" t="s">
        <v>7708</v>
      </c>
      <c r="D156" t="s">
        <v>5160</v>
      </c>
      <c r="E156" t="s">
        <v>5236</v>
      </c>
      <c r="F156">
        <v>587.33000000000004</v>
      </c>
    </row>
    <row r="157" spans="1:6">
      <c r="A157" t="str">
        <f>("21-21310")</f>
        <v>21-21310</v>
      </c>
      <c r="B157" t="s">
        <v>5152</v>
      </c>
      <c r="C157" t="s">
        <v>7704</v>
      </c>
      <c r="D157" t="s">
        <v>5174</v>
      </c>
      <c r="E157" t="s">
        <v>6686</v>
      </c>
      <c r="F157">
        <v>842</v>
      </c>
    </row>
    <row r="158" spans="1:6">
      <c r="A158" t="str">
        <f>("21-21315")</f>
        <v>21-21315</v>
      </c>
      <c r="B158" t="s">
        <v>5152</v>
      </c>
      <c r="C158" t="s">
        <v>7704</v>
      </c>
      <c r="D158" t="s">
        <v>5174</v>
      </c>
      <c r="E158" t="s">
        <v>6686</v>
      </c>
      <c r="F158">
        <v>550</v>
      </c>
    </row>
    <row r="159" spans="1:6">
      <c r="A159" t="str">
        <f>("21-21330")</f>
        <v>21-21330</v>
      </c>
      <c r="B159" t="s">
        <v>5152</v>
      </c>
      <c r="C159" t="s">
        <v>7704</v>
      </c>
      <c r="D159" t="s">
        <v>5174</v>
      </c>
      <c r="E159" t="s">
        <v>6381</v>
      </c>
      <c r="F159">
        <v>967</v>
      </c>
    </row>
    <row r="160" spans="1:6">
      <c r="A160" t="str">
        <f>("21-21335")</f>
        <v>21-21335</v>
      </c>
      <c r="B160" t="s">
        <v>5152</v>
      </c>
      <c r="C160" t="s">
        <v>7704</v>
      </c>
      <c r="D160" t="s">
        <v>5174</v>
      </c>
      <c r="E160" t="s">
        <v>6381</v>
      </c>
      <c r="F160">
        <v>675</v>
      </c>
    </row>
    <row r="161" spans="1:6">
      <c r="A161" t="str">
        <f>("21-21400")</f>
        <v>21-21400</v>
      </c>
      <c r="B161" t="s">
        <v>5152</v>
      </c>
      <c r="C161" t="s">
        <v>7704</v>
      </c>
      <c r="D161" t="s">
        <v>5163</v>
      </c>
      <c r="E161" t="s">
        <v>7707</v>
      </c>
      <c r="F161">
        <v>704.67</v>
      </c>
    </row>
    <row r="162" spans="1:6">
      <c r="A162" t="str">
        <f>("21-21405")</f>
        <v>21-21405</v>
      </c>
      <c r="B162" t="s">
        <v>5152</v>
      </c>
      <c r="C162" t="s">
        <v>7704</v>
      </c>
      <c r="D162" t="s">
        <v>5163</v>
      </c>
      <c r="E162" t="s">
        <v>7707</v>
      </c>
      <c r="F162">
        <v>446</v>
      </c>
    </row>
    <row r="163" spans="1:6">
      <c r="A163" t="str">
        <f>("21-21680")</f>
        <v>21-21680</v>
      </c>
      <c r="B163" t="s">
        <v>5152</v>
      </c>
      <c r="C163" t="s">
        <v>7704</v>
      </c>
      <c r="D163" t="s">
        <v>5163</v>
      </c>
      <c r="E163" t="s">
        <v>7703</v>
      </c>
      <c r="F163">
        <v>842</v>
      </c>
    </row>
    <row r="164" spans="1:6">
      <c r="A164" t="str">
        <f>("21-21685")</f>
        <v>21-21685</v>
      </c>
      <c r="B164" t="s">
        <v>5152</v>
      </c>
      <c r="C164" t="s">
        <v>7704</v>
      </c>
      <c r="D164" t="s">
        <v>5163</v>
      </c>
      <c r="E164" t="s">
        <v>7703</v>
      </c>
      <c r="F164">
        <v>550</v>
      </c>
    </row>
    <row r="165" spans="1:6">
      <c r="A165" t="str">
        <f>("21-21950")</f>
        <v>21-21950</v>
      </c>
      <c r="B165" t="s">
        <v>5152</v>
      </c>
      <c r="C165" t="s">
        <v>7704</v>
      </c>
      <c r="D165" t="s">
        <v>5163</v>
      </c>
      <c r="E165" t="s">
        <v>7702</v>
      </c>
      <c r="F165">
        <v>842</v>
      </c>
    </row>
    <row r="166" spans="1:6">
      <c r="A166" t="str">
        <f>("21-21955")</f>
        <v>21-21955</v>
      </c>
      <c r="B166" t="s">
        <v>5152</v>
      </c>
      <c r="C166" t="s">
        <v>7704</v>
      </c>
      <c r="D166" t="s">
        <v>5163</v>
      </c>
      <c r="E166" t="s">
        <v>7702</v>
      </c>
      <c r="F166">
        <v>550</v>
      </c>
    </row>
    <row r="167" spans="1:6">
      <c r="A167" t="str">
        <f>("21-22670")</f>
        <v>21-22670</v>
      </c>
      <c r="B167" t="s">
        <v>5152</v>
      </c>
      <c r="C167" t="s">
        <v>7704</v>
      </c>
      <c r="D167" t="s">
        <v>5150</v>
      </c>
      <c r="E167" t="s">
        <v>6695</v>
      </c>
      <c r="F167">
        <v>842</v>
      </c>
    </row>
    <row r="168" spans="1:6">
      <c r="A168" t="str">
        <f>("21-22675")</f>
        <v>21-22675</v>
      </c>
      <c r="B168" t="s">
        <v>5152</v>
      </c>
      <c r="C168" t="s">
        <v>7704</v>
      </c>
      <c r="D168" t="s">
        <v>5150</v>
      </c>
      <c r="E168" t="s">
        <v>6695</v>
      </c>
      <c r="F168">
        <v>550</v>
      </c>
    </row>
    <row r="169" spans="1:6">
      <c r="A169" t="str">
        <f>("21-22770")</f>
        <v>21-22770</v>
      </c>
      <c r="B169" t="s">
        <v>5152</v>
      </c>
      <c r="C169" t="s">
        <v>7704</v>
      </c>
      <c r="D169" t="s">
        <v>5150</v>
      </c>
      <c r="E169" t="s">
        <v>5254</v>
      </c>
      <c r="F169">
        <v>842</v>
      </c>
    </row>
    <row r="170" spans="1:6">
      <c r="A170" t="str">
        <f>("21-22775")</f>
        <v>21-22775</v>
      </c>
      <c r="B170" t="s">
        <v>5152</v>
      </c>
      <c r="C170" t="s">
        <v>7704</v>
      </c>
      <c r="D170" t="s">
        <v>5150</v>
      </c>
      <c r="E170" t="s">
        <v>5254</v>
      </c>
      <c r="F170">
        <v>550</v>
      </c>
    </row>
    <row r="171" spans="1:6">
      <c r="A171" t="str">
        <f>("21-22785")</f>
        <v>21-22785</v>
      </c>
      <c r="B171" t="s">
        <v>5152</v>
      </c>
      <c r="C171" t="s">
        <v>7704</v>
      </c>
      <c r="D171" t="s">
        <v>5150</v>
      </c>
      <c r="E171" t="s">
        <v>5253</v>
      </c>
      <c r="F171">
        <v>550</v>
      </c>
    </row>
    <row r="172" spans="1:6">
      <c r="A172" t="str">
        <f>("21-22790")</f>
        <v>21-22790</v>
      </c>
      <c r="B172" t="s">
        <v>5152</v>
      </c>
      <c r="C172" t="s">
        <v>7704</v>
      </c>
      <c r="D172" t="s">
        <v>5150</v>
      </c>
      <c r="E172" t="s">
        <v>7706</v>
      </c>
      <c r="F172">
        <v>911</v>
      </c>
    </row>
    <row r="173" spans="1:6">
      <c r="A173" t="str">
        <f>("21-22795")</f>
        <v>21-22795</v>
      </c>
      <c r="B173" t="s">
        <v>5152</v>
      </c>
      <c r="C173" t="s">
        <v>7704</v>
      </c>
      <c r="D173" t="s">
        <v>5150</v>
      </c>
      <c r="E173" t="s">
        <v>7706</v>
      </c>
      <c r="F173">
        <v>526</v>
      </c>
    </row>
    <row r="174" spans="1:6">
      <c r="A174" t="str">
        <f>("21-23240")</f>
        <v>21-23240</v>
      </c>
      <c r="B174" t="s">
        <v>5152</v>
      </c>
      <c r="C174" t="s">
        <v>7704</v>
      </c>
      <c r="D174" t="s">
        <v>5150</v>
      </c>
      <c r="E174" t="s">
        <v>5252</v>
      </c>
      <c r="F174">
        <v>842</v>
      </c>
    </row>
    <row r="175" spans="1:6">
      <c r="A175" t="str">
        <f>("21-23245")</f>
        <v>21-23245</v>
      </c>
      <c r="B175" t="s">
        <v>5152</v>
      </c>
      <c r="C175" t="s">
        <v>7704</v>
      </c>
      <c r="D175" t="s">
        <v>5150</v>
      </c>
      <c r="E175" t="s">
        <v>5252</v>
      </c>
      <c r="F175">
        <v>550</v>
      </c>
    </row>
    <row r="176" spans="1:6">
      <c r="A176" t="str">
        <f>("21-23250")</f>
        <v>21-23250</v>
      </c>
      <c r="B176" t="s">
        <v>5152</v>
      </c>
      <c r="C176" t="s">
        <v>7704</v>
      </c>
      <c r="D176" t="s">
        <v>5150</v>
      </c>
      <c r="E176" t="s">
        <v>5155</v>
      </c>
      <c r="F176">
        <v>967</v>
      </c>
    </row>
    <row r="177" spans="1:6">
      <c r="A177" t="str">
        <f>("21-23255")</f>
        <v>21-23255</v>
      </c>
      <c r="B177" t="s">
        <v>5152</v>
      </c>
      <c r="C177" t="s">
        <v>7704</v>
      </c>
      <c r="D177" t="s">
        <v>5150</v>
      </c>
      <c r="E177" t="s">
        <v>5155</v>
      </c>
      <c r="F177">
        <v>675</v>
      </c>
    </row>
    <row r="178" spans="1:6">
      <c r="A178" t="str">
        <f>("21-23290")</f>
        <v>21-23290</v>
      </c>
      <c r="B178" t="s">
        <v>5152</v>
      </c>
      <c r="C178" t="s">
        <v>7704</v>
      </c>
      <c r="D178" t="s">
        <v>5160</v>
      </c>
      <c r="E178" t="s">
        <v>5161</v>
      </c>
      <c r="F178">
        <v>842</v>
      </c>
    </row>
    <row r="179" spans="1:6">
      <c r="A179" t="str">
        <f>("21-23295")</f>
        <v>21-23295</v>
      </c>
      <c r="B179" t="s">
        <v>5152</v>
      </c>
      <c r="C179" t="s">
        <v>7704</v>
      </c>
      <c r="D179" t="s">
        <v>5160</v>
      </c>
      <c r="E179" t="s">
        <v>5161</v>
      </c>
      <c r="F179">
        <v>550</v>
      </c>
    </row>
    <row r="180" spans="1:6">
      <c r="A180" t="str">
        <f>("21-23310")</f>
        <v>21-23310</v>
      </c>
      <c r="B180" t="s">
        <v>5152</v>
      </c>
      <c r="C180" t="s">
        <v>7704</v>
      </c>
      <c r="D180" t="s">
        <v>5160</v>
      </c>
      <c r="E180" t="s">
        <v>6685</v>
      </c>
      <c r="F180">
        <v>704.67</v>
      </c>
    </row>
    <row r="181" spans="1:6">
      <c r="A181" t="str">
        <f>("21-23315")</f>
        <v>21-23315</v>
      </c>
      <c r="B181" t="s">
        <v>5152</v>
      </c>
      <c r="C181" t="s">
        <v>7704</v>
      </c>
      <c r="D181" t="s">
        <v>5160</v>
      </c>
      <c r="E181" t="s">
        <v>6685</v>
      </c>
      <c r="F181">
        <v>446</v>
      </c>
    </row>
    <row r="182" spans="1:6">
      <c r="A182" t="str">
        <f>("21-23510")</f>
        <v>21-23510</v>
      </c>
      <c r="B182" t="s">
        <v>5152</v>
      </c>
      <c r="C182" t="s">
        <v>7704</v>
      </c>
      <c r="D182" t="s">
        <v>5174</v>
      </c>
      <c r="E182" t="s">
        <v>7582</v>
      </c>
      <c r="F182">
        <v>842</v>
      </c>
    </row>
    <row r="183" spans="1:6">
      <c r="A183" t="str">
        <f>("21-23515")</f>
        <v>21-23515</v>
      </c>
      <c r="B183" t="s">
        <v>5152</v>
      </c>
      <c r="C183" t="s">
        <v>7704</v>
      </c>
      <c r="D183" t="s">
        <v>5174</v>
      </c>
      <c r="E183" t="s">
        <v>7582</v>
      </c>
      <c r="F183">
        <v>550</v>
      </c>
    </row>
    <row r="184" spans="1:6">
      <c r="A184" t="str">
        <f>("21-23520")</f>
        <v>21-23520</v>
      </c>
      <c r="B184" t="s">
        <v>5152</v>
      </c>
      <c r="C184" t="s">
        <v>7704</v>
      </c>
      <c r="D184" t="s">
        <v>5174</v>
      </c>
      <c r="E184" t="s">
        <v>5176</v>
      </c>
      <c r="F184">
        <v>967</v>
      </c>
    </row>
    <row r="185" spans="1:6">
      <c r="A185" t="str">
        <f>("21-23525")</f>
        <v>21-23525</v>
      </c>
      <c r="B185" t="s">
        <v>5152</v>
      </c>
      <c r="C185" t="s">
        <v>7704</v>
      </c>
      <c r="D185" t="s">
        <v>5174</v>
      </c>
      <c r="E185" t="s">
        <v>5176</v>
      </c>
      <c r="F185">
        <v>675</v>
      </c>
    </row>
    <row r="186" spans="1:6">
      <c r="A186" t="str">
        <f>("21-23550")</f>
        <v>21-23550</v>
      </c>
      <c r="B186" t="s">
        <v>5152</v>
      </c>
      <c r="C186" t="s">
        <v>7704</v>
      </c>
      <c r="D186" t="s">
        <v>5181</v>
      </c>
      <c r="E186" t="s">
        <v>5251</v>
      </c>
      <c r="F186">
        <v>842</v>
      </c>
    </row>
    <row r="187" spans="1:6">
      <c r="A187" t="str">
        <f>("21-23555")</f>
        <v>21-23555</v>
      </c>
      <c r="B187" t="s">
        <v>5152</v>
      </c>
      <c r="C187" t="s">
        <v>7704</v>
      </c>
      <c r="D187" t="s">
        <v>5181</v>
      </c>
      <c r="E187" t="s">
        <v>5251</v>
      </c>
      <c r="F187">
        <v>550</v>
      </c>
    </row>
    <row r="188" spans="1:6">
      <c r="A188" t="str">
        <f>("21-23560")</f>
        <v>21-23560</v>
      </c>
      <c r="B188" t="s">
        <v>5152</v>
      </c>
      <c r="C188" t="s">
        <v>7704</v>
      </c>
      <c r="D188" t="s">
        <v>5181</v>
      </c>
      <c r="E188" t="s">
        <v>6684</v>
      </c>
      <c r="F188">
        <v>842</v>
      </c>
    </row>
    <row r="189" spans="1:6">
      <c r="A189" t="str">
        <f>("21-23565")</f>
        <v>21-23565</v>
      </c>
      <c r="B189" t="s">
        <v>5152</v>
      </c>
      <c r="C189" t="s">
        <v>7704</v>
      </c>
      <c r="D189" t="s">
        <v>5181</v>
      </c>
      <c r="E189" t="s">
        <v>6684</v>
      </c>
      <c r="F189">
        <v>550</v>
      </c>
    </row>
    <row r="190" spans="1:6">
      <c r="A190" t="str">
        <f>("21-23580")</f>
        <v>21-23580</v>
      </c>
      <c r="B190" t="s">
        <v>5152</v>
      </c>
      <c r="C190" t="s">
        <v>7704</v>
      </c>
      <c r="D190" t="s">
        <v>5150</v>
      </c>
      <c r="E190" t="s">
        <v>7700</v>
      </c>
      <c r="F190">
        <v>842</v>
      </c>
    </row>
    <row r="191" spans="1:6">
      <c r="A191" t="str">
        <f>("21-23585")</f>
        <v>21-23585</v>
      </c>
      <c r="B191" t="s">
        <v>5152</v>
      </c>
      <c r="C191" t="s">
        <v>7704</v>
      </c>
      <c r="D191" t="s">
        <v>5150</v>
      </c>
      <c r="E191" t="s">
        <v>7700</v>
      </c>
      <c r="F191">
        <v>550</v>
      </c>
    </row>
    <row r="192" spans="1:6">
      <c r="A192" t="str">
        <f>("21-23700")</f>
        <v>21-23700</v>
      </c>
      <c r="B192" t="s">
        <v>5152</v>
      </c>
      <c r="C192" t="s">
        <v>7704</v>
      </c>
      <c r="D192" t="s">
        <v>5163</v>
      </c>
      <c r="E192" t="s">
        <v>7705</v>
      </c>
      <c r="F192">
        <v>704.67</v>
      </c>
    </row>
    <row r="193" spans="1:6">
      <c r="A193" t="str">
        <f>("21-23705")</f>
        <v>21-23705</v>
      </c>
      <c r="B193" t="s">
        <v>5152</v>
      </c>
      <c r="C193" t="s">
        <v>7704</v>
      </c>
      <c r="D193" t="s">
        <v>5163</v>
      </c>
      <c r="E193" t="s">
        <v>7705</v>
      </c>
      <c r="F193">
        <v>446</v>
      </c>
    </row>
    <row r="194" spans="1:6">
      <c r="A194" t="str">
        <f>("21-23710")</f>
        <v>21-23710</v>
      </c>
      <c r="B194" t="s">
        <v>5152</v>
      </c>
      <c r="C194" t="s">
        <v>7704</v>
      </c>
      <c r="D194" t="s">
        <v>5163</v>
      </c>
      <c r="E194" t="s">
        <v>7699</v>
      </c>
      <c r="F194">
        <v>842</v>
      </c>
    </row>
    <row r="195" spans="1:6">
      <c r="A195" t="str">
        <f>("21-23715")</f>
        <v>21-23715</v>
      </c>
      <c r="B195" t="s">
        <v>5152</v>
      </c>
      <c r="C195" t="s">
        <v>7704</v>
      </c>
      <c r="D195" t="s">
        <v>5163</v>
      </c>
      <c r="E195" t="s">
        <v>7699</v>
      </c>
      <c r="F195">
        <v>550</v>
      </c>
    </row>
    <row r="196" spans="1:6">
      <c r="A196" t="str">
        <f>("21-23720")</f>
        <v>21-23720</v>
      </c>
      <c r="B196" t="s">
        <v>5152</v>
      </c>
      <c r="C196" t="s">
        <v>7704</v>
      </c>
      <c r="D196" t="s">
        <v>5163</v>
      </c>
      <c r="E196" t="s">
        <v>6376</v>
      </c>
      <c r="F196">
        <v>842</v>
      </c>
    </row>
    <row r="197" spans="1:6">
      <c r="A197" t="str">
        <f>("21-23725")</f>
        <v>21-23725</v>
      </c>
      <c r="B197" t="s">
        <v>5152</v>
      </c>
      <c r="C197" t="s">
        <v>7704</v>
      </c>
      <c r="D197" t="s">
        <v>5163</v>
      </c>
      <c r="E197" t="s">
        <v>6376</v>
      </c>
      <c r="F197">
        <v>550</v>
      </c>
    </row>
    <row r="198" spans="1:6">
      <c r="A198" t="str">
        <f>("21-23830")</f>
        <v>21-23830</v>
      </c>
      <c r="B198" t="s">
        <v>5152</v>
      </c>
      <c r="C198" t="s">
        <v>7704</v>
      </c>
      <c r="D198" t="s">
        <v>5150</v>
      </c>
      <c r="E198" t="s">
        <v>7698</v>
      </c>
      <c r="F198">
        <v>842</v>
      </c>
    </row>
    <row r="199" spans="1:6">
      <c r="A199" t="str">
        <f>("21-23835")</f>
        <v>21-23835</v>
      </c>
      <c r="B199" t="s">
        <v>5152</v>
      </c>
      <c r="C199" t="s">
        <v>7704</v>
      </c>
      <c r="D199" t="s">
        <v>5150</v>
      </c>
      <c r="E199" t="s">
        <v>7698</v>
      </c>
      <c r="F199">
        <v>550</v>
      </c>
    </row>
    <row r="200" spans="1:6">
      <c r="A200" t="str">
        <f>("21-23840")</f>
        <v>21-23840</v>
      </c>
      <c r="B200" t="s">
        <v>5152</v>
      </c>
      <c r="C200" t="s">
        <v>7704</v>
      </c>
      <c r="D200" t="s">
        <v>5163</v>
      </c>
      <c r="E200" t="s">
        <v>7697</v>
      </c>
      <c r="F200">
        <v>704.67</v>
      </c>
    </row>
    <row r="201" spans="1:6">
      <c r="A201" t="str">
        <f>("21-23930")</f>
        <v>21-23930</v>
      </c>
      <c r="B201" t="s">
        <v>5152</v>
      </c>
      <c r="C201" t="s">
        <v>7704</v>
      </c>
      <c r="D201" t="s">
        <v>5174</v>
      </c>
      <c r="E201" t="s">
        <v>5247</v>
      </c>
      <c r="F201">
        <v>842</v>
      </c>
    </row>
    <row r="202" spans="1:6">
      <c r="A202" t="str">
        <f>("21-23935")</f>
        <v>21-23935</v>
      </c>
      <c r="B202" t="s">
        <v>5152</v>
      </c>
      <c r="C202" t="s">
        <v>7704</v>
      </c>
      <c r="D202" t="s">
        <v>5174</v>
      </c>
      <c r="E202" t="s">
        <v>5247</v>
      </c>
      <c r="F202">
        <v>550</v>
      </c>
    </row>
    <row r="203" spans="1:6">
      <c r="A203" t="str">
        <f>("21-23940")</f>
        <v>21-23940</v>
      </c>
      <c r="B203" t="s">
        <v>5152</v>
      </c>
      <c r="C203" t="s">
        <v>7704</v>
      </c>
      <c r="D203" t="s">
        <v>5174</v>
      </c>
      <c r="E203" t="s">
        <v>5246</v>
      </c>
      <c r="F203">
        <v>967</v>
      </c>
    </row>
    <row r="204" spans="1:6">
      <c r="A204" t="str">
        <f>("21-23945")</f>
        <v>21-23945</v>
      </c>
      <c r="B204" t="s">
        <v>5152</v>
      </c>
      <c r="C204" t="s">
        <v>7704</v>
      </c>
      <c r="D204" t="s">
        <v>5174</v>
      </c>
      <c r="E204" t="s">
        <v>5246</v>
      </c>
      <c r="F204">
        <v>675</v>
      </c>
    </row>
    <row r="205" spans="1:6">
      <c r="A205" t="str">
        <f>("21-24000")</f>
        <v>21-24000</v>
      </c>
      <c r="B205" t="s">
        <v>5152</v>
      </c>
      <c r="C205" t="s">
        <v>7704</v>
      </c>
      <c r="D205" t="s">
        <v>5163</v>
      </c>
      <c r="E205" t="s">
        <v>6681</v>
      </c>
      <c r="F205">
        <v>842</v>
      </c>
    </row>
    <row r="206" spans="1:6">
      <c r="A206" t="str">
        <f>("21-24005")</f>
        <v>21-24005</v>
      </c>
      <c r="B206" t="s">
        <v>5152</v>
      </c>
      <c r="C206" t="s">
        <v>7704</v>
      </c>
      <c r="D206" t="s">
        <v>5163</v>
      </c>
      <c r="E206" t="s">
        <v>6681</v>
      </c>
      <c r="F206">
        <v>550</v>
      </c>
    </row>
    <row r="207" spans="1:6">
      <c r="A207" t="str">
        <f>("21-24010")</f>
        <v>21-24010</v>
      </c>
      <c r="B207" t="s">
        <v>5152</v>
      </c>
      <c r="C207" t="s">
        <v>7704</v>
      </c>
      <c r="D207" t="s">
        <v>5163</v>
      </c>
      <c r="E207" t="s">
        <v>5245</v>
      </c>
      <c r="F207">
        <v>842</v>
      </c>
    </row>
    <row r="208" spans="1:6">
      <c r="A208" t="str">
        <f>("21-24015")</f>
        <v>21-24015</v>
      </c>
      <c r="B208" t="s">
        <v>5152</v>
      </c>
      <c r="C208" t="s">
        <v>7704</v>
      </c>
      <c r="D208" t="s">
        <v>5163</v>
      </c>
      <c r="E208" t="s">
        <v>5245</v>
      </c>
      <c r="F208">
        <v>550</v>
      </c>
    </row>
    <row r="209" spans="1:6">
      <c r="A209" t="str">
        <f>("21-24020")</f>
        <v>21-24020</v>
      </c>
      <c r="B209" t="s">
        <v>5152</v>
      </c>
      <c r="C209" t="s">
        <v>7704</v>
      </c>
      <c r="D209" t="s">
        <v>5158</v>
      </c>
      <c r="E209" t="s">
        <v>7343</v>
      </c>
      <c r="F209">
        <v>842</v>
      </c>
    </row>
    <row r="210" spans="1:6">
      <c r="A210" t="str">
        <f>("21-24025")</f>
        <v>21-24025</v>
      </c>
      <c r="B210" t="s">
        <v>5152</v>
      </c>
      <c r="C210" t="s">
        <v>7704</v>
      </c>
      <c r="D210" t="s">
        <v>5158</v>
      </c>
      <c r="E210" t="s">
        <v>7343</v>
      </c>
      <c r="F210">
        <v>550</v>
      </c>
    </row>
    <row r="211" spans="1:6">
      <c r="A211" t="str">
        <f>("21-24050")</f>
        <v>21-24050</v>
      </c>
      <c r="B211" t="s">
        <v>5152</v>
      </c>
      <c r="C211" t="s">
        <v>7704</v>
      </c>
      <c r="D211" t="s">
        <v>5160</v>
      </c>
      <c r="E211" t="s">
        <v>6388</v>
      </c>
      <c r="F211">
        <v>704.67</v>
      </c>
    </row>
    <row r="212" spans="1:6">
      <c r="A212" t="str">
        <f>("21-24055")</f>
        <v>21-24055</v>
      </c>
      <c r="B212" t="s">
        <v>5152</v>
      </c>
      <c r="C212" t="s">
        <v>7704</v>
      </c>
      <c r="D212" t="s">
        <v>5160</v>
      </c>
      <c r="E212" t="s">
        <v>6388</v>
      </c>
      <c r="F212">
        <v>446</v>
      </c>
    </row>
    <row r="213" spans="1:6">
      <c r="A213" t="str">
        <f>("21-24060")</f>
        <v>21-24060</v>
      </c>
      <c r="B213" t="s">
        <v>5152</v>
      </c>
      <c r="C213" t="s">
        <v>7704</v>
      </c>
      <c r="D213" t="s">
        <v>5160</v>
      </c>
      <c r="E213" t="s">
        <v>5237</v>
      </c>
      <c r="F213">
        <v>842</v>
      </c>
    </row>
    <row r="214" spans="1:6">
      <c r="A214" t="str">
        <f>("21-24065")</f>
        <v>21-24065</v>
      </c>
      <c r="B214" t="s">
        <v>5152</v>
      </c>
      <c r="C214" t="s">
        <v>7704</v>
      </c>
      <c r="D214" t="s">
        <v>5160</v>
      </c>
      <c r="E214" t="s">
        <v>5237</v>
      </c>
      <c r="F214">
        <v>550</v>
      </c>
    </row>
    <row r="215" spans="1:6">
      <c r="A215" t="str">
        <f>("21-24080")</f>
        <v>21-24080</v>
      </c>
      <c r="B215" t="s">
        <v>5152</v>
      </c>
      <c r="C215" t="s">
        <v>7704</v>
      </c>
      <c r="D215" t="s">
        <v>5178</v>
      </c>
      <c r="E215" t="s">
        <v>6679</v>
      </c>
      <c r="F215">
        <v>842</v>
      </c>
    </row>
    <row r="216" spans="1:6">
      <c r="A216" t="str">
        <f>("21-24085")</f>
        <v>21-24085</v>
      </c>
      <c r="B216" t="s">
        <v>5152</v>
      </c>
      <c r="C216" t="s">
        <v>7704</v>
      </c>
      <c r="D216" t="s">
        <v>5178</v>
      </c>
      <c r="E216" t="s">
        <v>6679</v>
      </c>
      <c r="F216">
        <v>550</v>
      </c>
    </row>
    <row r="217" spans="1:6">
      <c r="A217" t="str">
        <f>("21-24090")</f>
        <v>21-24090</v>
      </c>
      <c r="B217" t="s">
        <v>5152</v>
      </c>
      <c r="C217" t="s">
        <v>7704</v>
      </c>
      <c r="D217" t="s">
        <v>5178</v>
      </c>
      <c r="E217" t="s">
        <v>6678</v>
      </c>
      <c r="F217">
        <v>842</v>
      </c>
    </row>
    <row r="218" spans="1:6">
      <c r="A218" t="str">
        <f>("21-24095")</f>
        <v>21-24095</v>
      </c>
      <c r="B218" t="s">
        <v>5152</v>
      </c>
      <c r="C218" t="s">
        <v>7704</v>
      </c>
      <c r="D218" t="s">
        <v>5178</v>
      </c>
      <c r="E218" t="s">
        <v>6678</v>
      </c>
      <c r="F218">
        <v>550</v>
      </c>
    </row>
    <row r="219" spans="1:6">
      <c r="A219" t="str">
        <f>("21-24110")</f>
        <v>21-24110</v>
      </c>
      <c r="B219" t="s">
        <v>5152</v>
      </c>
      <c r="C219" t="s">
        <v>7704</v>
      </c>
      <c r="D219" t="s">
        <v>5163</v>
      </c>
      <c r="E219" t="s">
        <v>6693</v>
      </c>
      <c r="F219">
        <v>704.67</v>
      </c>
    </row>
    <row r="220" spans="1:6">
      <c r="A220" t="str">
        <f>("21-24115")</f>
        <v>21-24115</v>
      </c>
      <c r="B220" t="s">
        <v>5152</v>
      </c>
      <c r="C220" t="s">
        <v>7704</v>
      </c>
      <c r="D220" t="s">
        <v>5163</v>
      </c>
      <c r="E220" t="s">
        <v>6693</v>
      </c>
      <c r="F220">
        <v>446</v>
      </c>
    </row>
    <row r="221" spans="1:6">
      <c r="A221" t="str">
        <f>("21-24120")</f>
        <v>21-24120</v>
      </c>
      <c r="B221" t="s">
        <v>5152</v>
      </c>
      <c r="C221" t="s">
        <v>7704</v>
      </c>
      <c r="D221" t="s">
        <v>5163</v>
      </c>
      <c r="E221" t="s">
        <v>5243</v>
      </c>
      <c r="F221">
        <v>842</v>
      </c>
    </row>
    <row r="222" spans="1:6">
      <c r="A222" t="str">
        <f>("21-24125")</f>
        <v>21-24125</v>
      </c>
      <c r="B222" t="s">
        <v>5152</v>
      </c>
      <c r="C222" t="s">
        <v>7704</v>
      </c>
      <c r="D222" t="s">
        <v>5163</v>
      </c>
      <c r="E222" t="s">
        <v>5243</v>
      </c>
      <c r="F222">
        <v>550</v>
      </c>
    </row>
    <row r="223" spans="1:6">
      <c r="A223" t="str">
        <f>("21-24130")</f>
        <v>21-24130</v>
      </c>
      <c r="B223" t="s">
        <v>5152</v>
      </c>
      <c r="C223" t="s">
        <v>7704</v>
      </c>
      <c r="D223" t="s">
        <v>5163</v>
      </c>
      <c r="E223" t="s">
        <v>5242</v>
      </c>
      <c r="F223">
        <v>842</v>
      </c>
    </row>
    <row r="224" spans="1:6">
      <c r="A224" t="str">
        <f>("21-24135")</f>
        <v>21-24135</v>
      </c>
      <c r="B224" t="s">
        <v>5152</v>
      </c>
      <c r="C224" t="s">
        <v>7704</v>
      </c>
      <c r="D224" t="s">
        <v>5163</v>
      </c>
      <c r="E224" t="s">
        <v>5242</v>
      </c>
      <c r="F224">
        <v>550</v>
      </c>
    </row>
    <row r="225" spans="1:6">
      <c r="A225" t="str">
        <f>("21-24140")</f>
        <v>21-24140</v>
      </c>
      <c r="B225" t="s">
        <v>5152</v>
      </c>
      <c r="C225" t="s">
        <v>7704</v>
      </c>
      <c r="D225" t="s">
        <v>5174</v>
      </c>
      <c r="E225" t="s">
        <v>6677</v>
      </c>
      <c r="F225">
        <v>842</v>
      </c>
    </row>
    <row r="226" spans="1:6">
      <c r="A226" t="str">
        <f>("21-24145")</f>
        <v>21-24145</v>
      </c>
      <c r="B226" t="s">
        <v>5152</v>
      </c>
      <c r="C226" t="s">
        <v>7704</v>
      </c>
      <c r="D226" t="s">
        <v>5174</v>
      </c>
      <c r="E226" t="s">
        <v>6677</v>
      </c>
      <c r="F226">
        <v>550</v>
      </c>
    </row>
    <row r="227" spans="1:6">
      <c r="A227" t="str">
        <f>("21-24150")</f>
        <v>21-24150</v>
      </c>
      <c r="B227" t="s">
        <v>5152</v>
      </c>
      <c r="C227" t="s">
        <v>7704</v>
      </c>
      <c r="D227" t="s">
        <v>5174</v>
      </c>
      <c r="E227" t="s">
        <v>5241</v>
      </c>
      <c r="F227">
        <v>842</v>
      </c>
    </row>
    <row r="228" spans="1:6">
      <c r="A228" t="str">
        <f>("21-24155")</f>
        <v>21-24155</v>
      </c>
      <c r="B228" t="s">
        <v>5152</v>
      </c>
      <c r="C228" t="s">
        <v>7704</v>
      </c>
      <c r="D228" t="s">
        <v>5174</v>
      </c>
      <c r="E228" t="s">
        <v>5241</v>
      </c>
      <c r="F228">
        <v>550</v>
      </c>
    </row>
    <row r="229" spans="1:6">
      <c r="A229" t="str">
        <f>("21-24160")</f>
        <v>21-24160</v>
      </c>
      <c r="B229" t="s">
        <v>5152</v>
      </c>
      <c r="C229" t="s">
        <v>7704</v>
      </c>
      <c r="D229" t="s">
        <v>5160</v>
      </c>
      <c r="E229" t="s">
        <v>5236</v>
      </c>
      <c r="F229">
        <v>842</v>
      </c>
    </row>
    <row r="230" spans="1:6">
      <c r="A230" t="str">
        <f>("21-24165")</f>
        <v>21-24165</v>
      </c>
      <c r="B230" t="s">
        <v>5152</v>
      </c>
      <c r="C230" t="s">
        <v>7704</v>
      </c>
      <c r="D230" t="s">
        <v>5160</v>
      </c>
      <c r="E230" t="s">
        <v>5236</v>
      </c>
      <c r="F230">
        <v>550</v>
      </c>
    </row>
    <row r="231" spans="1:6">
      <c r="A231" t="str">
        <f>("21-24170")</f>
        <v>21-24170</v>
      </c>
      <c r="B231" t="s">
        <v>5152</v>
      </c>
      <c r="C231" t="s">
        <v>7704</v>
      </c>
      <c r="D231" t="s">
        <v>5174</v>
      </c>
      <c r="E231" t="s">
        <v>7357</v>
      </c>
      <c r="F231">
        <v>842</v>
      </c>
    </row>
    <row r="232" spans="1:6">
      <c r="A232" t="str">
        <f>("21-24175")</f>
        <v>21-24175</v>
      </c>
      <c r="B232" t="s">
        <v>5152</v>
      </c>
      <c r="C232" t="s">
        <v>7704</v>
      </c>
      <c r="D232" t="s">
        <v>5174</v>
      </c>
      <c r="E232" t="s">
        <v>7357</v>
      </c>
      <c r="F232">
        <v>550</v>
      </c>
    </row>
    <row r="233" spans="1:6">
      <c r="A233" t="str">
        <f>("21-24180")</f>
        <v>21-24180</v>
      </c>
      <c r="B233" t="s">
        <v>5152</v>
      </c>
      <c r="C233" t="s">
        <v>7704</v>
      </c>
      <c r="D233" t="s">
        <v>5174</v>
      </c>
      <c r="E233" t="s">
        <v>5235</v>
      </c>
      <c r="F233">
        <v>739.33</v>
      </c>
    </row>
    <row r="234" spans="1:6">
      <c r="A234" t="str">
        <f>("21-24185")</f>
        <v>21-24185</v>
      </c>
      <c r="B234" t="s">
        <v>5152</v>
      </c>
      <c r="C234" t="s">
        <v>7704</v>
      </c>
      <c r="D234" t="s">
        <v>5174</v>
      </c>
      <c r="E234" t="s">
        <v>5235</v>
      </c>
      <c r="F234">
        <v>550</v>
      </c>
    </row>
    <row r="235" spans="1:6">
      <c r="A235" t="str">
        <f>("21-24190")</f>
        <v>21-24190</v>
      </c>
      <c r="B235" t="s">
        <v>5152</v>
      </c>
      <c r="C235" t="s">
        <v>7704</v>
      </c>
      <c r="D235" t="s">
        <v>5174</v>
      </c>
      <c r="E235" t="s">
        <v>5233</v>
      </c>
      <c r="F235">
        <v>739.33</v>
      </c>
    </row>
    <row r="236" spans="1:6">
      <c r="A236" t="str">
        <f>("21-24195")</f>
        <v>21-24195</v>
      </c>
      <c r="B236" t="s">
        <v>5152</v>
      </c>
      <c r="C236" t="s">
        <v>7704</v>
      </c>
      <c r="D236" t="s">
        <v>5174</v>
      </c>
      <c r="E236" t="s">
        <v>5233</v>
      </c>
      <c r="F236">
        <v>550</v>
      </c>
    </row>
    <row r="237" spans="1:6">
      <c r="A237" t="str">
        <f>("21-24210")</f>
        <v>21-24210</v>
      </c>
      <c r="B237" t="s">
        <v>5152</v>
      </c>
      <c r="C237" t="s">
        <v>7704</v>
      </c>
      <c r="D237" t="s">
        <v>5158</v>
      </c>
      <c r="E237" t="s">
        <v>6688</v>
      </c>
      <c r="F237">
        <v>842</v>
      </c>
    </row>
    <row r="238" spans="1:6">
      <c r="A238" t="str">
        <f>("21-24215")</f>
        <v>21-24215</v>
      </c>
      <c r="B238" t="s">
        <v>5152</v>
      </c>
      <c r="C238" t="s">
        <v>7704</v>
      </c>
      <c r="D238" t="s">
        <v>5158</v>
      </c>
      <c r="E238" t="s">
        <v>6688</v>
      </c>
      <c r="F238">
        <v>550</v>
      </c>
    </row>
    <row r="239" spans="1:6">
      <c r="A239" t="str">
        <f>("21-24220")</f>
        <v>21-24220</v>
      </c>
      <c r="B239" t="s">
        <v>5152</v>
      </c>
      <c r="C239" t="s">
        <v>7704</v>
      </c>
      <c r="D239" t="s">
        <v>5150</v>
      </c>
      <c r="E239" t="s">
        <v>5238</v>
      </c>
      <c r="F239">
        <v>842</v>
      </c>
    </row>
    <row r="240" spans="1:6">
      <c r="A240" t="str">
        <f>("21-24225")</f>
        <v>21-24225</v>
      </c>
      <c r="B240" t="s">
        <v>5152</v>
      </c>
      <c r="C240" t="s">
        <v>7704</v>
      </c>
      <c r="D240" t="s">
        <v>5150</v>
      </c>
      <c r="E240" t="s">
        <v>5238</v>
      </c>
      <c r="F240">
        <v>550</v>
      </c>
    </row>
    <row r="241" spans="1:6">
      <c r="A241" t="str">
        <f>("21-24230")</f>
        <v>21-24230</v>
      </c>
      <c r="B241" t="s">
        <v>5152</v>
      </c>
      <c r="C241" t="s">
        <v>7704</v>
      </c>
      <c r="D241" t="s">
        <v>5150</v>
      </c>
      <c r="E241" t="s">
        <v>5149</v>
      </c>
      <c r="F241">
        <v>967</v>
      </c>
    </row>
    <row r="242" spans="1:6">
      <c r="A242" t="str">
        <f>("21-24235")</f>
        <v>21-24235</v>
      </c>
      <c r="B242" t="s">
        <v>5152</v>
      </c>
      <c r="C242" t="s">
        <v>7704</v>
      </c>
      <c r="D242" t="s">
        <v>5150</v>
      </c>
      <c r="E242" t="s">
        <v>5149</v>
      </c>
      <c r="F242">
        <v>675</v>
      </c>
    </row>
    <row r="243" spans="1:6">
      <c r="A243" t="str">
        <f>("21-51310")</f>
        <v>21-51310</v>
      </c>
      <c r="B243" t="s">
        <v>5152</v>
      </c>
      <c r="C243" t="s">
        <v>7696</v>
      </c>
      <c r="D243" t="s">
        <v>5174</v>
      </c>
      <c r="E243" t="s">
        <v>6686</v>
      </c>
      <c r="F243">
        <v>1006</v>
      </c>
    </row>
    <row r="244" spans="1:6">
      <c r="A244" t="str">
        <f>("21-51315")</f>
        <v>21-51315</v>
      </c>
      <c r="B244" t="s">
        <v>5152</v>
      </c>
      <c r="C244" t="s">
        <v>7696</v>
      </c>
      <c r="D244" t="s">
        <v>5174</v>
      </c>
      <c r="E244" t="s">
        <v>6686</v>
      </c>
      <c r="F244">
        <v>834</v>
      </c>
    </row>
    <row r="245" spans="1:6">
      <c r="A245" t="str">
        <f>("21-51330")</f>
        <v>21-51330</v>
      </c>
      <c r="B245" t="s">
        <v>5152</v>
      </c>
      <c r="C245" t="s">
        <v>7696</v>
      </c>
      <c r="D245" t="s">
        <v>5174</v>
      </c>
      <c r="E245" t="s">
        <v>6381</v>
      </c>
      <c r="F245">
        <v>1131</v>
      </c>
    </row>
    <row r="246" spans="1:6">
      <c r="A246" t="str">
        <f>("21-51335")</f>
        <v>21-51335</v>
      </c>
      <c r="B246" t="s">
        <v>5152</v>
      </c>
      <c r="C246" t="s">
        <v>7696</v>
      </c>
      <c r="D246" t="s">
        <v>5174</v>
      </c>
      <c r="E246" t="s">
        <v>6381</v>
      </c>
      <c r="F246">
        <v>959</v>
      </c>
    </row>
    <row r="247" spans="1:6">
      <c r="A247" t="str">
        <f>("21-51685")</f>
        <v>21-51685</v>
      </c>
      <c r="B247" t="s">
        <v>5152</v>
      </c>
      <c r="C247" t="s">
        <v>7696</v>
      </c>
      <c r="D247" t="s">
        <v>5163</v>
      </c>
      <c r="E247" t="s">
        <v>7703</v>
      </c>
      <c r="F247">
        <v>834</v>
      </c>
    </row>
    <row r="248" spans="1:6">
      <c r="A248" t="str">
        <f>("21-51950")</f>
        <v>21-51950</v>
      </c>
      <c r="B248" t="s">
        <v>5152</v>
      </c>
      <c r="C248" t="s">
        <v>7696</v>
      </c>
      <c r="D248" t="s">
        <v>5163</v>
      </c>
      <c r="E248" t="s">
        <v>7702</v>
      </c>
      <c r="F248">
        <v>1006</v>
      </c>
    </row>
    <row r="249" spans="1:6">
      <c r="A249" t="str">
        <f>("21-51955")</f>
        <v>21-51955</v>
      </c>
      <c r="B249" t="s">
        <v>5152</v>
      </c>
      <c r="C249" t="s">
        <v>7696</v>
      </c>
      <c r="D249" t="s">
        <v>5163</v>
      </c>
      <c r="E249" t="s">
        <v>7702</v>
      </c>
      <c r="F249">
        <v>834</v>
      </c>
    </row>
    <row r="250" spans="1:6">
      <c r="A250" t="str">
        <f>("21-52770")</f>
        <v>21-52770</v>
      </c>
      <c r="B250" t="s">
        <v>5152</v>
      </c>
      <c r="C250" t="s">
        <v>7696</v>
      </c>
      <c r="D250" t="s">
        <v>5150</v>
      </c>
      <c r="E250" t="s">
        <v>5254</v>
      </c>
      <c r="F250">
        <v>1006</v>
      </c>
    </row>
    <row r="251" spans="1:6">
      <c r="A251" t="str">
        <f>("21-52775")</f>
        <v>21-52775</v>
      </c>
      <c r="B251" t="s">
        <v>5152</v>
      </c>
      <c r="C251" t="s">
        <v>7696</v>
      </c>
      <c r="D251" t="s">
        <v>5150</v>
      </c>
      <c r="E251" t="s">
        <v>5254</v>
      </c>
      <c r="F251">
        <v>834</v>
      </c>
    </row>
    <row r="252" spans="1:6">
      <c r="A252" t="str">
        <f>("21-52785")</f>
        <v>21-52785</v>
      </c>
      <c r="B252" t="s">
        <v>5152</v>
      </c>
      <c r="C252" t="s">
        <v>7696</v>
      </c>
      <c r="D252" t="s">
        <v>5150</v>
      </c>
      <c r="E252" t="s">
        <v>5253</v>
      </c>
      <c r="F252">
        <v>1006</v>
      </c>
    </row>
    <row r="253" spans="1:6">
      <c r="A253" t="str">
        <f>("21-53240")</f>
        <v>21-53240</v>
      </c>
      <c r="B253" t="s">
        <v>5152</v>
      </c>
      <c r="C253" t="s">
        <v>7696</v>
      </c>
      <c r="D253" t="s">
        <v>5150</v>
      </c>
      <c r="E253" t="s">
        <v>5252</v>
      </c>
      <c r="F253">
        <v>1006</v>
      </c>
    </row>
    <row r="254" spans="1:6">
      <c r="A254" t="str">
        <f>("21-53245")</f>
        <v>21-53245</v>
      </c>
      <c r="B254" t="s">
        <v>5152</v>
      </c>
      <c r="C254" t="s">
        <v>7696</v>
      </c>
      <c r="D254" t="s">
        <v>5150</v>
      </c>
      <c r="E254" t="s">
        <v>5252</v>
      </c>
      <c r="F254">
        <v>834</v>
      </c>
    </row>
    <row r="255" spans="1:6">
      <c r="A255" t="str">
        <f>("21-53250")</f>
        <v>21-53250</v>
      </c>
      <c r="B255" t="s">
        <v>5152</v>
      </c>
      <c r="C255" t="s">
        <v>7696</v>
      </c>
      <c r="D255" t="s">
        <v>5150</v>
      </c>
      <c r="E255" t="s">
        <v>5155</v>
      </c>
      <c r="F255">
        <v>1131</v>
      </c>
    </row>
    <row r="256" spans="1:6">
      <c r="A256" t="str">
        <f>("21-53255")</f>
        <v>21-53255</v>
      </c>
      <c r="B256" t="s">
        <v>5152</v>
      </c>
      <c r="C256" t="s">
        <v>7696</v>
      </c>
      <c r="D256" t="s">
        <v>5150</v>
      </c>
      <c r="E256" t="s">
        <v>5155</v>
      </c>
      <c r="F256">
        <v>959</v>
      </c>
    </row>
    <row r="257" spans="1:6">
      <c r="A257" t="str">
        <f>("21-53515")</f>
        <v>21-53515</v>
      </c>
      <c r="B257" t="s">
        <v>5152</v>
      </c>
      <c r="C257" t="s">
        <v>7696</v>
      </c>
      <c r="D257" t="s">
        <v>5174</v>
      </c>
      <c r="E257" t="s">
        <v>7582</v>
      </c>
      <c r="F257">
        <v>834</v>
      </c>
    </row>
    <row r="258" spans="1:6">
      <c r="A258" t="str">
        <f>("21-53520")</f>
        <v>21-53520</v>
      </c>
      <c r="B258" t="s">
        <v>5152</v>
      </c>
      <c r="C258" t="s">
        <v>7696</v>
      </c>
      <c r="D258" t="s">
        <v>5174</v>
      </c>
      <c r="E258" t="s">
        <v>5176</v>
      </c>
      <c r="F258">
        <v>1131</v>
      </c>
    </row>
    <row r="259" spans="1:6">
      <c r="A259" t="str">
        <f>("21-53525")</f>
        <v>21-53525</v>
      </c>
      <c r="B259" t="s">
        <v>5152</v>
      </c>
      <c r="C259" t="s">
        <v>7696</v>
      </c>
      <c r="D259" t="s">
        <v>5174</v>
      </c>
      <c r="E259" t="s">
        <v>5176</v>
      </c>
      <c r="F259">
        <v>959</v>
      </c>
    </row>
    <row r="260" spans="1:6">
      <c r="A260" t="str">
        <f>("21-53550")</f>
        <v>21-53550</v>
      </c>
      <c r="B260" t="s">
        <v>5152</v>
      </c>
      <c r="C260" t="s">
        <v>7696</v>
      </c>
      <c r="D260" t="s">
        <v>5181</v>
      </c>
      <c r="E260" t="s">
        <v>5251</v>
      </c>
      <c r="F260">
        <v>1006</v>
      </c>
    </row>
    <row r="261" spans="1:6">
      <c r="A261" t="str">
        <f>("21-53555")</f>
        <v>21-53555</v>
      </c>
      <c r="B261" t="s">
        <v>5152</v>
      </c>
      <c r="C261" t="s">
        <v>7696</v>
      </c>
      <c r="D261" t="s">
        <v>5181</v>
      </c>
      <c r="E261" t="s">
        <v>5251</v>
      </c>
      <c r="F261">
        <v>834</v>
      </c>
    </row>
    <row r="262" spans="1:6">
      <c r="A262" t="str">
        <f>("21-53560")</f>
        <v>21-53560</v>
      </c>
      <c r="B262" t="s">
        <v>5152</v>
      </c>
      <c r="C262" t="s">
        <v>7696</v>
      </c>
      <c r="D262" t="s">
        <v>5181</v>
      </c>
      <c r="E262" t="s">
        <v>6684</v>
      </c>
      <c r="F262">
        <v>1131</v>
      </c>
    </row>
    <row r="263" spans="1:6">
      <c r="A263" t="str">
        <f>("21-53565")</f>
        <v>21-53565</v>
      </c>
      <c r="B263" t="s">
        <v>5152</v>
      </c>
      <c r="C263" t="s">
        <v>7696</v>
      </c>
      <c r="D263" t="s">
        <v>5181</v>
      </c>
      <c r="E263" t="s">
        <v>7701</v>
      </c>
      <c r="F263">
        <v>959</v>
      </c>
    </row>
    <row r="264" spans="1:6">
      <c r="A264" t="str">
        <f>("21-53580")</f>
        <v>21-53580</v>
      </c>
      <c r="B264" t="s">
        <v>5152</v>
      </c>
      <c r="C264" t="s">
        <v>7696</v>
      </c>
      <c r="D264" t="s">
        <v>5150</v>
      </c>
      <c r="E264" t="s">
        <v>7700</v>
      </c>
      <c r="F264">
        <v>1006</v>
      </c>
    </row>
    <row r="265" spans="1:6">
      <c r="A265" t="str">
        <f>("21-53585")</f>
        <v>21-53585</v>
      </c>
      <c r="B265" t="s">
        <v>5152</v>
      </c>
      <c r="C265" t="s">
        <v>7696</v>
      </c>
      <c r="D265" t="s">
        <v>5150</v>
      </c>
      <c r="E265" t="s">
        <v>7700</v>
      </c>
      <c r="F265">
        <v>834</v>
      </c>
    </row>
    <row r="266" spans="1:6">
      <c r="A266" t="str">
        <f>("21-53705")</f>
        <v>21-53705</v>
      </c>
      <c r="B266" t="s">
        <v>5152</v>
      </c>
      <c r="C266" t="s">
        <v>7696</v>
      </c>
      <c r="D266" t="s">
        <v>5163</v>
      </c>
      <c r="E266" t="s">
        <v>7627</v>
      </c>
      <c r="F266">
        <v>592.66999999999996</v>
      </c>
    </row>
    <row r="267" spans="1:6">
      <c r="A267" t="str">
        <f>("21-53710")</f>
        <v>21-53710</v>
      </c>
      <c r="B267" t="s">
        <v>5152</v>
      </c>
      <c r="C267" t="s">
        <v>7696</v>
      </c>
      <c r="D267" t="s">
        <v>5163</v>
      </c>
      <c r="E267" t="s">
        <v>7699</v>
      </c>
      <c r="F267">
        <v>1006</v>
      </c>
    </row>
    <row r="268" spans="1:6">
      <c r="A268" t="str">
        <f>("21-53715")</f>
        <v>21-53715</v>
      </c>
      <c r="B268" t="s">
        <v>5152</v>
      </c>
      <c r="C268" t="s">
        <v>7696</v>
      </c>
      <c r="D268" t="s">
        <v>5163</v>
      </c>
      <c r="E268" t="s">
        <v>7699</v>
      </c>
      <c r="F268">
        <v>834</v>
      </c>
    </row>
    <row r="269" spans="1:6">
      <c r="A269" t="str">
        <f>("21-53720")</f>
        <v>21-53720</v>
      </c>
      <c r="B269" t="s">
        <v>5152</v>
      </c>
      <c r="C269" t="s">
        <v>7696</v>
      </c>
      <c r="D269" t="s">
        <v>5163</v>
      </c>
      <c r="E269" t="s">
        <v>6376</v>
      </c>
      <c r="F269">
        <v>1006</v>
      </c>
    </row>
    <row r="270" spans="1:6">
      <c r="A270" t="str">
        <f>("21-53725")</f>
        <v>21-53725</v>
      </c>
      <c r="B270" t="s">
        <v>5152</v>
      </c>
      <c r="C270" t="s">
        <v>7696</v>
      </c>
      <c r="D270" t="s">
        <v>5163</v>
      </c>
      <c r="E270" t="s">
        <v>6376</v>
      </c>
      <c r="F270">
        <v>834</v>
      </c>
    </row>
    <row r="271" spans="1:6">
      <c r="A271" t="str">
        <f>("21-53830")</f>
        <v>21-53830</v>
      </c>
      <c r="B271" t="s">
        <v>5152</v>
      </c>
      <c r="C271" t="s">
        <v>7696</v>
      </c>
      <c r="D271" t="s">
        <v>5150</v>
      </c>
      <c r="E271" t="s">
        <v>7698</v>
      </c>
      <c r="F271">
        <v>1006</v>
      </c>
    </row>
    <row r="272" spans="1:6">
      <c r="A272" t="str">
        <f>("21-53835")</f>
        <v>21-53835</v>
      </c>
      <c r="B272" t="s">
        <v>5152</v>
      </c>
      <c r="C272" t="s">
        <v>7696</v>
      </c>
      <c r="D272" t="s">
        <v>5150</v>
      </c>
      <c r="E272" t="s">
        <v>7698</v>
      </c>
      <c r="F272">
        <v>834</v>
      </c>
    </row>
    <row r="273" spans="1:6">
      <c r="A273" t="str">
        <f>("21-53840")</f>
        <v>21-53840</v>
      </c>
      <c r="B273" t="s">
        <v>5152</v>
      </c>
      <c r="C273" t="s">
        <v>7696</v>
      </c>
      <c r="D273" t="s">
        <v>5163</v>
      </c>
      <c r="E273" t="s">
        <v>7697</v>
      </c>
      <c r="F273">
        <v>694</v>
      </c>
    </row>
    <row r="274" spans="1:6">
      <c r="A274" t="str">
        <f>("21-53930")</f>
        <v>21-53930</v>
      </c>
      <c r="B274" t="s">
        <v>5152</v>
      </c>
      <c r="C274" t="s">
        <v>7696</v>
      </c>
      <c r="D274" t="s">
        <v>5174</v>
      </c>
      <c r="E274" t="s">
        <v>5247</v>
      </c>
      <c r="F274">
        <v>1006</v>
      </c>
    </row>
    <row r="275" spans="1:6">
      <c r="A275" t="str">
        <f>("21-53935")</f>
        <v>21-53935</v>
      </c>
      <c r="B275" t="s">
        <v>5152</v>
      </c>
      <c r="C275" t="s">
        <v>7696</v>
      </c>
      <c r="D275" t="s">
        <v>5174</v>
      </c>
      <c r="E275" t="s">
        <v>5247</v>
      </c>
      <c r="F275">
        <v>834</v>
      </c>
    </row>
    <row r="276" spans="1:6">
      <c r="A276" t="str">
        <f>("21-53940")</f>
        <v>21-53940</v>
      </c>
      <c r="B276" t="s">
        <v>5152</v>
      </c>
      <c r="C276" t="s">
        <v>7696</v>
      </c>
      <c r="D276" t="s">
        <v>5174</v>
      </c>
      <c r="E276" t="s">
        <v>5246</v>
      </c>
      <c r="F276">
        <v>1131</v>
      </c>
    </row>
    <row r="277" spans="1:6">
      <c r="A277" t="str">
        <f>("21-53945")</f>
        <v>21-53945</v>
      </c>
      <c r="B277" t="s">
        <v>5152</v>
      </c>
      <c r="C277" t="s">
        <v>7696</v>
      </c>
      <c r="D277" t="s">
        <v>5174</v>
      </c>
      <c r="E277" t="s">
        <v>5246</v>
      </c>
      <c r="F277">
        <v>959</v>
      </c>
    </row>
    <row r="278" spans="1:6">
      <c r="A278" t="str">
        <f>("21-54000")</f>
        <v>21-54000</v>
      </c>
      <c r="B278" t="s">
        <v>5152</v>
      </c>
      <c r="C278" t="s">
        <v>7696</v>
      </c>
      <c r="D278" t="s">
        <v>5163</v>
      </c>
      <c r="E278" t="s">
        <v>6681</v>
      </c>
      <c r="F278">
        <v>1006</v>
      </c>
    </row>
    <row r="279" spans="1:6">
      <c r="A279" t="str">
        <f>("21-54005")</f>
        <v>21-54005</v>
      </c>
      <c r="B279" t="s">
        <v>5152</v>
      </c>
      <c r="C279" t="s">
        <v>7696</v>
      </c>
      <c r="D279" t="s">
        <v>5163</v>
      </c>
      <c r="E279" t="s">
        <v>6681</v>
      </c>
      <c r="F279">
        <v>834</v>
      </c>
    </row>
    <row r="280" spans="1:6">
      <c r="A280" t="str">
        <f>("21-54010")</f>
        <v>21-54010</v>
      </c>
      <c r="B280" t="s">
        <v>5152</v>
      </c>
      <c r="C280" t="s">
        <v>7696</v>
      </c>
      <c r="D280" t="s">
        <v>5163</v>
      </c>
      <c r="E280" t="s">
        <v>5245</v>
      </c>
      <c r="F280">
        <v>1006</v>
      </c>
    </row>
    <row r="281" spans="1:6">
      <c r="A281" t="str">
        <f>("21-54015")</f>
        <v>21-54015</v>
      </c>
      <c r="B281" t="s">
        <v>5152</v>
      </c>
      <c r="C281" t="s">
        <v>7696</v>
      </c>
      <c r="D281" t="s">
        <v>5163</v>
      </c>
      <c r="E281" t="s">
        <v>5245</v>
      </c>
      <c r="F281">
        <v>834</v>
      </c>
    </row>
    <row r="282" spans="1:6">
      <c r="A282" t="str">
        <f>("21-54020")</f>
        <v>21-54020</v>
      </c>
      <c r="B282" t="s">
        <v>5152</v>
      </c>
      <c r="C282" t="s">
        <v>7696</v>
      </c>
      <c r="D282" t="s">
        <v>5158</v>
      </c>
      <c r="E282" t="s">
        <v>7343</v>
      </c>
      <c r="F282">
        <v>1006</v>
      </c>
    </row>
    <row r="283" spans="1:6">
      <c r="A283" t="str">
        <f>("21-54025")</f>
        <v>21-54025</v>
      </c>
      <c r="B283" t="s">
        <v>5152</v>
      </c>
      <c r="C283" t="s">
        <v>7696</v>
      </c>
      <c r="D283" t="s">
        <v>5158</v>
      </c>
      <c r="E283" t="s">
        <v>7343</v>
      </c>
      <c r="F283">
        <v>834</v>
      </c>
    </row>
    <row r="284" spans="1:6">
      <c r="A284" t="str">
        <f>("21-54060")</f>
        <v>21-54060</v>
      </c>
      <c r="B284" t="s">
        <v>5152</v>
      </c>
      <c r="C284" t="s">
        <v>7696</v>
      </c>
      <c r="D284" t="s">
        <v>5160</v>
      </c>
      <c r="E284" t="s">
        <v>5237</v>
      </c>
      <c r="F284">
        <v>1006</v>
      </c>
    </row>
    <row r="285" spans="1:6">
      <c r="A285" t="str">
        <f>("21-54065")</f>
        <v>21-54065</v>
      </c>
      <c r="B285" t="s">
        <v>5152</v>
      </c>
      <c r="C285" t="s">
        <v>7696</v>
      </c>
      <c r="D285" t="s">
        <v>5160</v>
      </c>
      <c r="E285" t="s">
        <v>5237</v>
      </c>
      <c r="F285">
        <v>834</v>
      </c>
    </row>
    <row r="286" spans="1:6">
      <c r="A286" t="str">
        <f>("21-54080")</f>
        <v>21-54080</v>
      </c>
      <c r="B286" t="s">
        <v>5152</v>
      </c>
      <c r="C286" t="s">
        <v>7696</v>
      </c>
      <c r="D286" t="s">
        <v>5178</v>
      </c>
      <c r="E286" t="s">
        <v>6679</v>
      </c>
      <c r="F286">
        <v>1131</v>
      </c>
    </row>
    <row r="287" spans="1:6">
      <c r="A287" t="str">
        <f>("21-54085")</f>
        <v>21-54085</v>
      </c>
      <c r="B287" t="s">
        <v>5152</v>
      </c>
      <c r="C287" t="s">
        <v>7696</v>
      </c>
      <c r="D287" t="s">
        <v>5178</v>
      </c>
      <c r="E287" t="s">
        <v>6679</v>
      </c>
      <c r="F287">
        <v>959</v>
      </c>
    </row>
    <row r="288" spans="1:6">
      <c r="A288" t="str">
        <f>("21-54090")</f>
        <v>21-54090</v>
      </c>
      <c r="B288" t="s">
        <v>5152</v>
      </c>
      <c r="C288" t="s">
        <v>7696</v>
      </c>
      <c r="D288" t="s">
        <v>5178</v>
      </c>
      <c r="E288" t="s">
        <v>6678</v>
      </c>
      <c r="F288">
        <v>1006</v>
      </c>
    </row>
    <row r="289" spans="1:6">
      <c r="A289" t="str">
        <f>("21-54095")</f>
        <v>21-54095</v>
      </c>
      <c r="B289" t="s">
        <v>5152</v>
      </c>
      <c r="C289" t="s">
        <v>7696</v>
      </c>
      <c r="D289" t="s">
        <v>5178</v>
      </c>
      <c r="E289" t="s">
        <v>6678</v>
      </c>
      <c r="F289">
        <v>834</v>
      </c>
    </row>
    <row r="290" spans="1:6">
      <c r="A290" t="str">
        <f>("21-54120")</f>
        <v>21-54120</v>
      </c>
      <c r="B290" t="s">
        <v>5152</v>
      </c>
      <c r="C290" t="s">
        <v>7696</v>
      </c>
      <c r="D290" t="s">
        <v>5163</v>
      </c>
      <c r="E290" t="s">
        <v>5243</v>
      </c>
      <c r="F290">
        <v>1006</v>
      </c>
    </row>
    <row r="291" spans="1:6">
      <c r="A291" t="str">
        <f>("21-54125")</f>
        <v>21-54125</v>
      </c>
      <c r="B291" t="s">
        <v>5152</v>
      </c>
      <c r="C291" t="s">
        <v>7696</v>
      </c>
      <c r="D291" t="s">
        <v>5163</v>
      </c>
      <c r="E291" t="s">
        <v>5243</v>
      </c>
      <c r="F291">
        <v>834</v>
      </c>
    </row>
    <row r="292" spans="1:6">
      <c r="A292" t="str">
        <f>("21-54130")</f>
        <v>21-54130</v>
      </c>
      <c r="B292" t="s">
        <v>5152</v>
      </c>
      <c r="C292" t="s">
        <v>7696</v>
      </c>
      <c r="D292" t="s">
        <v>5163</v>
      </c>
      <c r="E292" t="s">
        <v>5242</v>
      </c>
      <c r="F292">
        <v>1131</v>
      </c>
    </row>
    <row r="293" spans="1:6">
      <c r="A293" t="str">
        <f>("21-54135")</f>
        <v>21-54135</v>
      </c>
      <c r="B293" t="s">
        <v>5152</v>
      </c>
      <c r="C293" t="s">
        <v>7696</v>
      </c>
      <c r="D293" t="s">
        <v>5163</v>
      </c>
      <c r="E293" t="s">
        <v>5242</v>
      </c>
      <c r="F293">
        <v>959</v>
      </c>
    </row>
    <row r="294" spans="1:6">
      <c r="A294" t="str">
        <f>("21-54140")</f>
        <v>21-54140</v>
      </c>
      <c r="B294" t="s">
        <v>5152</v>
      </c>
      <c r="C294" t="s">
        <v>7696</v>
      </c>
      <c r="D294" t="s">
        <v>5174</v>
      </c>
      <c r="E294" t="s">
        <v>6677</v>
      </c>
      <c r="F294">
        <v>1006</v>
      </c>
    </row>
    <row r="295" spans="1:6">
      <c r="A295" t="str">
        <f>("21-54145")</f>
        <v>21-54145</v>
      </c>
      <c r="B295" t="s">
        <v>5152</v>
      </c>
      <c r="C295" t="s">
        <v>7696</v>
      </c>
      <c r="D295" t="s">
        <v>5174</v>
      </c>
      <c r="E295" t="s">
        <v>6677</v>
      </c>
      <c r="F295">
        <v>834</v>
      </c>
    </row>
    <row r="296" spans="1:6">
      <c r="A296" t="str">
        <f>("21-54150")</f>
        <v>21-54150</v>
      </c>
      <c r="B296" t="s">
        <v>5152</v>
      </c>
      <c r="C296" t="s">
        <v>7696</v>
      </c>
      <c r="D296" t="s">
        <v>5174</v>
      </c>
      <c r="E296" t="s">
        <v>5241</v>
      </c>
      <c r="F296">
        <v>1006</v>
      </c>
    </row>
    <row r="297" spans="1:6">
      <c r="A297" t="str">
        <f>("21-54155")</f>
        <v>21-54155</v>
      </c>
      <c r="B297" t="s">
        <v>5152</v>
      </c>
      <c r="C297" t="s">
        <v>7696</v>
      </c>
      <c r="D297" t="s">
        <v>5174</v>
      </c>
      <c r="E297" t="s">
        <v>5241</v>
      </c>
      <c r="F297">
        <v>834</v>
      </c>
    </row>
    <row r="298" spans="1:6">
      <c r="A298" t="str">
        <f>("21-54160")</f>
        <v>21-54160</v>
      </c>
      <c r="B298" t="s">
        <v>5152</v>
      </c>
      <c r="C298" t="s">
        <v>7696</v>
      </c>
      <c r="D298" t="s">
        <v>5160</v>
      </c>
      <c r="E298" t="s">
        <v>5236</v>
      </c>
      <c r="F298">
        <v>1006</v>
      </c>
    </row>
    <row r="299" spans="1:6">
      <c r="A299" t="str">
        <f>("21-54165")</f>
        <v>21-54165</v>
      </c>
      <c r="B299" t="s">
        <v>5152</v>
      </c>
      <c r="C299" t="s">
        <v>7696</v>
      </c>
      <c r="D299" t="s">
        <v>5160</v>
      </c>
      <c r="E299" t="s">
        <v>5236</v>
      </c>
      <c r="F299">
        <v>834</v>
      </c>
    </row>
    <row r="300" spans="1:6">
      <c r="A300" t="str">
        <f>("21-54170")</f>
        <v>21-54170</v>
      </c>
      <c r="B300" t="s">
        <v>5152</v>
      </c>
      <c r="C300" t="s">
        <v>7696</v>
      </c>
      <c r="D300" t="s">
        <v>5174</v>
      </c>
      <c r="E300" t="s">
        <v>7357</v>
      </c>
      <c r="F300">
        <v>1006</v>
      </c>
    </row>
    <row r="301" spans="1:6">
      <c r="A301" t="str">
        <f>("21-54175")</f>
        <v>21-54175</v>
      </c>
      <c r="B301" t="s">
        <v>5152</v>
      </c>
      <c r="C301" t="s">
        <v>7696</v>
      </c>
      <c r="D301" t="s">
        <v>5174</v>
      </c>
      <c r="E301" t="s">
        <v>7357</v>
      </c>
      <c r="F301">
        <v>834</v>
      </c>
    </row>
    <row r="302" spans="1:6">
      <c r="A302" t="str">
        <f>("21-54195")</f>
        <v>21-54195</v>
      </c>
      <c r="B302" t="s">
        <v>5152</v>
      </c>
      <c r="C302" t="s">
        <v>7696</v>
      </c>
      <c r="D302" t="s">
        <v>5174</v>
      </c>
      <c r="E302" t="s">
        <v>5233</v>
      </c>
      <c r="F302">
        <v>834</v>
      </c>
    </row>
    <row r="303" spans="1:6">
      <c r="A303" t="str">
        <f>("21-533510")</f>
        <v>21-533510</v>
      </c>
      <c r="B303" t="s">
        <v>5152</v>
      </c>
      <c r="C303" t="s">
        <v>7679</v>
      </c>
      <c r="D303" t="s">
        <v>5174</v>
      </c>
      <c r="E303" t="s">
        <v>7695</v>
      </c>
      <c r="F303">
        <v>1602.33</v>
      </c>
    </row>
    <row r="304" spans="1:6">
      <c r="A304" t="str">
        <f>("21-534015")</f>
        <v>21-534015</v>
      </c>
      <c r="B304" t="s">
        <v>5152</v>
      </c>
      <c r="C304" t="s">
        <v>7679</v>
      </c>
      <c r="D304" t="s">
        <v>5174</v>
      </c>
      <c r="E304" t="s">
        <v>6671</v>
      </c>
      <c r="F304">
        <v>1281</v>
      </c>
    </row>
    <row r="305" spans="1:6">
      <c r="A305" t="str">
        <f>("21-534170")</f>
        <v>21-534170</v>
      </c>
      <c r="B305" t="s">
        <v>5152</v>
      </c>
      <c r="C305" t="s">
        <v>7679</v>
      </c>
      <c r="D305" t="s">
        <v>5150</v>
      </c>
      <c r="E305" t="s">
        <v>7694</v>
      </c>
      <c r="F305">
        <v>1643</v>
      </c>
    </row>
    <row r="306" spans="1:6">
      <c r="A306" t="str">
        <f>("21-534175")</f>
        <v>21-534175</v>
      </c>
      <c r="B306" t="s">
        <v>5152</v>
      </c>
      <c r="C306" t="s">
        <v>7679</v>
      </c>
      <c r="D306" t="s">
        <v>5150</v>
      </c>
      <c r="E306" t="s">
        <v>7694</v>
      </c>
      <c r="F306">
        <v>1131</v>
      </c>
    </row>
    <row r="307" spans="1:6">
      <c r="A307" t="str">
        <f>("21-534230")</f>
        <v>21-534230</v>
      </c>
      <c r="B307" t="s">
        <v>5152</v>
      </c>
      <c r="C307" t="s">
        <v>7679</v>
      </c>
      <c r="D307" t="s">
        <v>5174</v>
      </c>
      <c r="E307" t="s">
        <v>7693</v>
      </c>
      <c r="F307">
        <v>2034.33</v>
      </c>
    </row>
    <row r="308" spans="1:6">
      <c r="A308" t="str">
        <f>("21-534235")</f>
        <v>21-534235</v>
      </c>
      <c r="B308" t="s">
        <v>5152</v>
      </c>
      <c r="C308" t="s">
        <v>7679</v>
      </c>
      <c r="D308" t="s">
        <v>5174</v>
      </c>
      <c r="E308" t="s">
        <v>7693</v>
      </c>
      <c r="F308">
        <v>1715.67</v>
      </c>
    </row>
    <row r="309" spans="1:6">
      <c r="A309" t="str">
        <f>("21-534255")</f>
        <v>21-534255</v>
      </c>
      <c r="B309" t="s">
        <v>5152</v>
      </c>
      <c r="C309" t="s">
        <v>7679</v>
      </c>
      <c r="D309" t="s">
        <v>5174</v>
      </c>
      <c r="E309" t="s">
        <v>7692</v>
      </c>
      <c r="F309">
        <v>1131</v>
      </c>
    </row>
    <row r="310" spans="1:6">
      <c r="A310" t="str">
        <f>("21-534310")</f>
        <v>21-534310</v>
      </c>
      <c r="B310" t="s">
        <v>5152</v>
      </c>
      <c r="C310" t="s">
        <v>7679</v>
      </c>
      <c r="D310" t="s">
        <v>5181</v>
      </c>
      <c r="E310" t="s">
        <v>7691</v>
      </c>
      <c r="F310">
        <v>1643</v>
      </c>
    </row>
    <row r="311" spans="1:6">
      <c r="A311" t="str">
        <f>("21-534315")</f>
        <v>21-534315</v>
      </c>
      <c r="B311" t="s">
        <v>5152</v>
      </c>
      <c r="C311" t="s">
        <v>7679</v>
      </c>
      <c r="D311" t="s">
        <v>5181</v>
      </c>
      <c r="E311" t="s">
        <v>7691</v>
      </c>
      <c r="F311">
        <v>1131</v>
      </c>
    </row>
    <row r="312" spans="1:6">
      <c r="A312" t="str">
        <f>("21-534320")</f>
        <v>21-534320</v>
      </c>
      <c r="B312" t="s">
        <v>5152</v>
      </c>
      <c r="C312" t="s">
        <v>7679</v>
      </c>
      <c r="D312" t="s">
        <v>5181</v>
      </c>
      <c r="E312" t="s">
        <v>7690</v>
      </c>
      <c r="F312">
        <v>1793</v>
      </c>
    </row>
    <row r="313" spans="1:6">
      <c r="A313" t="str">
        <f>("21-534325")</f>
        <v>21-534325</v>
      </c>
      <c r="B313" t="s">
        <v>5152</v>
      </c>
      <c r="C313" t="s">
        <v>7679</v>
      </c>
      <c r="D313" t="s">
        <v>5181</v>
      </c>
      <c r="E313" t="s">
        <v>7690</v>
      </c>
      <c r="F313">
        <v>1281</v>
      </c>
    </row>
    <row r="314" spans="1:6">
      <c r="A314" t="str">
        <f>("21-534330")</f>
        <v>21-534330</v>
      </c>
      <c r="B314" t="s">
        <v>5152</v>
      </c>
      <c r="C314" t="s">
        <v>7679</v>
      </c>
      <c r="D314" t="s">
        <v>5178</v>
      </c>
      <c r="E314" t="s">
        <v>7689</v>
      </c>
      <c r="F314">
        <v>2034.33</v>
      </c>
    </row>
    <row r="315" spans="1:6">
      <c r="A315" t="str">
        <f>("21-534335")</f>
        <v>21-534335</v>
      </c>
      <c r="B315" t="s">
        <v>5152</v>
      </c>
      <c r="C315" t="s">
        <v>7679</v>
      </c>
      <c r="D315" t="s">
        <v>5178</v>
      </c>
      <c r="E315" t="s">
        <v>7689</v>
      </c>
      <c r="F315">
        <v>1715.67</v>
      </c>
    </row>
    <row r="316" spans="1:6">
      <c r="A316" t="str">
        <f>("21-534340")</f>
        <v>21-534340</v>
      </c>
      <c r="B316" t="s">
        <v>5152</v>
      </c>
      <c r="C316" t="s">
        <v>7679</v>
      </c>
      <c r="D316" t="s">
        <v>5178</v>
      </c>
      <c r="E316" t="s">
        <v>6665</v>
      </c>
      <c r="F316">
        <v>2034.33</v>
      </c>
    </row>
    <row r="317" spans="1:6">
      <c r="A317" t="str">
        <f>("21-534345")</f>
        <v>21-534345</v>
      </c>
      <c r="B317" t="s">
        <v>5152</v>
      </c>
      <c r="C317" t="s">
        <v>7679</v>
      </c>
      <c r="D317" t="s">
        <v>5178</v>
      </c>
      <c r="E317" t="s">
        <v>6665</v>
      </c>
      <c r="F317">
        <v>1715.67</v>
      </c>
    </row>
    <row r="318" spans="1:6">
      <c r="A318" t="str">
        <f>("21-534560")</f>
        <v>21-534560</v>
      </c>
      <c r="B318" t="s">
        <v>5152</v>
      </c>
      <c r="C318" t="s">
        <v>7679</v>
      </c>
      <c r="D318" t="s">
        <v>5163</v>
      </c>
      <c r="E318" t="s">
        <v>7688</v>
      </c>
      <c r="F318">
        <v>1643</v>
      </c>
    </row>
    <row r="319" spans="1:6">
      <c r="A319" t="str">
        <f>("21-534565")</f>
        <v>21-534565</v>
      </c>
      <c r="B319" t="s">
        <v>5152</v>
      </c>
      <c r="C319" t="s">
        <v>7679</v>
      </c>
      <c r="D319" t="s">
        <v>5163</v>
      </c>
      <c r="E319" t="s">
        <v>7688</v>
      </c>
      <c r="F319">
        <v>1131</v>
      </c>
    </row>
    <row r="320" spans="1:6">
      <c r="A320" t="str">
        <f>("21-534570")</f>
        <v>21-534570</v>
      </c>
      <c r="B320" t="s">
        <v>5152</v>
      </c>
      <c r="C320" t="s">
        <v>7679</v>
      </c>
      <c r="D320" t="s">
        <v>5163</v>
      </c>
      <c r="E320" t="s">
        <v>6664</v>
      </c>
      <c r="F320">
        <v>1793</v>
      </c>
    </row>
    <row r="321" spans="1:6">
      <c r="A321" t="str">
        <f>("21-534575")</f>
        <v>21-534575</v>
      </c>
      <c r="B321" t="s">
        <v>5152</v>
      </c>
      <c r="C321" t="s">
        <v>7679</v>
      </c>
      <c r="D321" t="s">
        <v>5163</v>
      </c>
      <c r="E321" t="s">
        <v>6664</v>
      </c>
      <c r="F321">
        <v>1281</v>
      </c>
    </row>
    <row r="322" spans="1:6">
      <c r="A322" t="str">
        <f>("21-534580")</f>
        <v>21-534580</v>
      </c>
      <c r="B322" t="s">
        <v>5152</v>
      </c>
      <c r="C322" t="s">
        <v>7679</v>
      </c>
      <c r="D322" t="s">
        <v>5163</v>
      </c>
      <c r="E322" t="s">
        <v>7687</v>
      </c>
      <c r="F322">
        <v>2034.33</v>
      </c>
    </row>
    <row r="323" spans="1:6">
      <c r="A323" t="str">
        <f>("21-534585")</f>
        <v>21-534585</v>
      </c>
      <c r="B323" t="s">
        <v>5152</v>
      </c>
      <c r="C323" t="s">
        <v>7679</v>
      </c>
      <c r="D323" t="s">
        <v>5163</v>
      </c>
      <c r="E323" t="s">
        <v>7687</v>
      </c>
      <c r="F323">
        <v>1715.67</v>
      </c>
    </row>
    <row r="324" spans="1:6">
      <c r="A324" t="str">
        <f>("21-534590")</f>
        <v>21-534590</v>
      </c>
      <c r="B324" t="s">
        <v>5152</v>
      </c>
      <c r="C324" t="s">
        <v>7679</v>
      </c>
      <c r="D324" t="s">
        <v>5163</v>
      </c>
      <c r="E324" t="s">
        <v>7350</v>
      </c>
      <c r="F324">
        <v>1643</v>
      </c>
    </row>
    <row r="325" spans="1:6">
      <c r="A325" t="str">
        <f>("21-534595")</f>
        <v>21-534595</v>
      </c>
      <c r="B325" t="s">
        <v>5152</v>
      </c>
      <c r="C325" t="s">
        <v>7679</v>
      </c>
      <c r="D325" t="s">
        <v>5163</v>
      </c>
      <c r="E325" t="s">
        <v>7350</v>
      </c>
      <c r="F325">
        <v>1131</v>
      </c>
    </row>
    <row r="326" spans="1:6">
      <c r="A326" t="str">
        <f>("21-534600")</f>
        <v>21-534600</v>
      </c>
      <c r="B326" t="s">
        <v>5152</v>
      </c>
      <c r="C326" t="s">
        <v>7679</v>
      </c>
      <c r="D326" t="s">
        <v>5163</v>
      </c>
      <c r="E326" t="s">
        <v>7686</v>
      </c>
      <c r="F326">
        <v>2034.33</v>
      </c>
    </row>
    <row r="327" spans="1:6">
      <c r="A327" t="str">
        <f>("21-534605")</f>
        <v>21-534605</v>
      </c>
      <c r="B327" t="s">
        <v>5152</v>
      </c>
      <c r="C327" t="s">
        <v>7679</v>
      </c>
      <c r="D327" t="s">
        <v>5163</v>
      </c>
      <c r="E327" t="s">
        <v>7686</v>
      </c>
      <c r="F327">
        <v>1715.67</v>
      </c>
    </row>
    <row r="328" spans="1:6">
      <c r="A328" t="str">
        <f>("21-534610")</f>
        <v>21-534610</v>
      </c>
      <c r="B328" t="s">
        <v>5152</v>
      </c>
      <c r="C328" t="s">
        <v>7679</v>
      </c>
      <c r="D328" t="s">
        <v>5174</v>
      </c>
      <c r="E328" t="s">
        <v>7685</v>
      </c>
      <c r="F328">
        <v>1643</v>
      </c>
    </row>
    <row r="329" spans="1:6">
      <c r="A329" t="str">
        <f>("21-534615")</f>
        <v>21-534615</v>
      </c>
      <c r="B329" t="s">
        <v>5152</v>
      </c>
      <c r="C329" t="s">
        <v>7679</v>
      </c>
      <c r="D329" t="s">
        <v>5174</v>
      </c>
      <c r="E329" t="s">
        <v>7685</v>
      </c>
      <c r="F329">
        <v>1131</v>
      </c>
    </row>
    <row r="330" spans="1:6">
      <c r="A330" t="str">
        <f>("21-534630")</f>
        <v>21-534630</v>
      </c>
      <c r="B330" t="s">
        <v>5152</v>
      </c>
      <c r="C330" t="s">
        <v>7679</v>
      </c>
      <c r="D330" t="s">
        <v>5174</v>
      </c>
      <c r="E330" t="s">
        <v>7684</v>
      </c>
      <c r="F330">
        <v>1793</v>
      </c>
    </row>
    <row r="331" spans="1:6">
      <c r="A331" t="str">
        <f>("21-534635")</f>
        <v>21-534635</v>
      </c>
      <c r="B331" t="s">
        <v>5152</v>
      </c>
      <c r="C331" t="s">
        <v>7679</v>
      </c>
      <c r="D331" t="s">
        <v>5174</v>
      </c>
      <c r="E331" t="s">
        <v>7684</v>
      </c>
      <c r="F331">
        <v>1281</v>
      </c>
    </row>
    <row r="332" spans="1:6">
      <c r="A332" t="str">
        <f>("21-534645")</f>
        <v>21-534645</v>
      </c>
      <c r="B332" t="s">
        <v>5152</v>
      </c>
      <c r="C332" t="s">
        <v>7679</v>
      </c>
      <c r="D332" t="s">
        <v>5174</v>
      </c>
      <c r="E332" t="s">
        <v>7683</v>
      </c>
      <c r="F332">
        <v>1281</v>
      </c>
    </row>
    <row r="333" spans="1:6">
      <c r="A333" t="str">
        <f>("21-534655")</f>
        <v>21-534655</v>
      </c>
      <c r="B333" t="s">
        <v>5152</v>
      </c>
      <c r="C333" t="s">
        <v>7679</v>
      </c>
      <c r="D333" t="s">
        <v>5174</v>
      </c>
      <c r="E333" t="s">
        <v>7682</v>
      </c>
      <c r="F333">
        <v>1715.67</v>
      </c>
    </row>
    <row r="334" spans="1:6">
      <c r="A334" t="str">
        <f>("21-534665")</f>
        <v>21-534665</v>
      </c>
      <c r="B334" t="s">
        <v>5152</v>
      </c>
      <c r="C334" t="s">
        <v>7679</v>
      </c>
      <c r="D334" t="s">
        <v>5174</v>
      </c>
      <c r="E334" t="s">
        <v>7681</v>
      </c>
      <c r="F334">
        <v>1131</v>
      </c>
    </row>
    <row r="335" spans="1:6">
      <c r="A335" t="str">
        <f>("21-534675")</f>
        <v>21-534675</v>
      </c>
      <c r="B335" t="s">
        <v>5152</v>
      </c>
      <c r="C335" t="s">
        <v>7679</v>
      </c>
      <c r="D335" t="s">
        <v>5174</v>
      </c>
      <c r="E335" t="s">
        <v>7680</v>
      </c>
      <c r="F335">
        <v>1715.67</v>
      </c>
    </row>
    <row r="336" spans="1:6">
      <c r="A336" t="str">
        <f>("21-534680")</f>
        <v>21-534680</v>
      </c>
      <c r="B336" t="s">
        <v>5152</v>
      </c>
      <c r="C336" t="s">
        <v>7679</v>
      </c>
      <c r="D336" t="s">
        <v>5163</v>
      </c>
      <c r="E336" t="s">
        <v>6661</v>
      </c>
      <c r="F336">
        <v>1643</v>
      </c>
    </row>
    <row r="337" spans="1:6">
      <c r="A337" t="str">
        <f>("21-534685")</f>
        <v>21-534685</v>
      </c>
      <c r="B337" t="s">
        <v>5152</v>
      </c>
      <c r="C337" t="s">
        <v>7679</v>
      </c>
      <c r="D337" t="s">
        <v>5163</v>
      </c>
      <c r="E337" t="s">
        <v>6661</v>
      </c>
      <c r="F337">
        <v>1131</v>
      </c>
    </row>
    <row r="338" spans="1:6">
      <c r="A338" t="str">
        <f>("21-534690")</f>
        <v>21-534690</v>
      </c>
      <c r="B338" t="s">
        <v>5152</v>
      </c>
      <c r="C338" t="s">
        <v>7679</v>
      </c>
      <c r="D338" t="s">
        <v>5163</v>
      </c>
      <c r="E338" t="s">
        <v>6660</v>
      </c>
      <c r="F338">
        <v>1793</v>
      </c>
    </row>
    <row r="339" spans="1:6">
      <c r="A339" t="str">
        <f>("21-534695")</f>
        <v>21-534695</v>
      </c>
      <c r="B339" t="s">
        <v>5152</v>
      </c>
      <c r="C339" t="s">
        <v>7679</v>
      </c>
      <c r="D339" t="s">
        <v>5163</v>
      </c>
      <c r="E339" t="s">
        <v>6660</v>
      </c>
      <c r="F339">
        <v>1281</v>
      </c>
    </row>
    <row r="340" spans="1:6">
      <c r="A340" t="str">
        <f>("21-534700")</f>
        <v>21-534700</v>
      </c>
      <c r="B340" t="s">
        <v>5152</v>
      </c>
      <c r="C340" t="s">
        <v>7679</v>
      </c>
      <c r="D340" t="s">
        <v>5178</v>
      </c>
      <c r="E340" t="s">
        <v>6659</v>
      </c>
      <c r="F340">
        <v>1643</v>
      </c>
    </row>
    <row r="341" spans="1:6">
      <c r="A341" t="str">
        <f>("21-534705")</f>
        <v>21-534705</v>
      </c>
      <c r="B341" t="s">
        <v>5152</v>
      </c>
      <c r="C341" t="s">
        <v>7679</v>
      </c>
      <c r="D341" t="s">
        <v>5178</v>
      </c>
      <c r="E341" t="s">
        <v>6659</v>
      </c>
      <c r="F341">
        <v>1131</v>
      </c>
    </row>
    <row r="342" spans="1:6">
      <c r="A342" t="str">
        <f>("21-534710")</f>
        <v>21-534710</v>
      </c>
      <c r="B342" t="s">
        <v>5152</v>
      </c>
      <c r="C342" t="s">
        <v>7679</v>
      </c>
      <c r="D342" t="s">
        <v>5163</v>
      </c>
      <c r="E342" t="s">
        <v>6658</v>
      </c>
      <c r="F342">
        <v>1643</v>
      </c>
    </row>
    <row r="343" spans="1:6">
      <c r="A343" t="str">
        <f>("21-534715")</f>
        <v>21-534715</v>
      </c>
      <c r="B343" t="s">
        <v>5152</v>
      </c>
      <c r="C343" t="s">
        <v>7679</v>
      </c>
      <c r="D343" t="s">
        <v>5163</v>
      </c>
      <c r="E343" t="s">
        <v>6658</v>
      </c>
      <c r="F343">
        <v>1131</v>
      </c>
    </row>
    <row r="344" spans="1:6">
      <c r="A344" t="str">
        <f>("21-534720")</f>
        <v>21-534720</v>
      </c>
      <c r="B344" t="s">
        <v>5152</v>
      </c>
      <c r="C344" t="s">
        <v>7679</v>
      </c>
      <c r="D344" t="s">
        <v>5178</v>
      </c>
      <c r="E344" t="s">
        <v>6657</v>
      </c>
      <c r="F344">
        <v>1793</v>
      </c>
    </row>
    <row r="345" spans="1:6">
      <c r="A345" t="str">
        <f>("21-534725")</f>
        <v>21-534725</v>
      </c>
      <c r="B345" t="s">
        <v>5152</v>
      </c>
      <c r="C345" t="s">
        <v>7679</v>
      </c>
      <c r="D345" t="s">
        <v>5178</v>
      </c>
      <c r="E345" t="s">
        <v>6657</v>
      </c>
      <c r="F345">
        <v>1281</v>
      </c>
    </row>
    <row r="346" spans="1:6">
      <c r="A346" t="str">
        <f>("21-534730")</f>
        <v>21-534730</v>
      </c>
      <c r="B346" t="s">
        <v>5152</v>
      </c>
      <c r="C346" t="s">
        <v>7679</v>
      </c>
      <c r="D346" t="s">
        <v>5178</v>
      </c>
      <c r="E346" t="s">
        <v>6656</v>
      </c>
      <c r="F346">
        <v>1643</v>
      </c>
    </row>
    <row r="347" spans="1:6">
      <c r="A347" t="str">
        <f>("21-534735")</f>
        <v>21-534735</v>
      </c>
      <c r="B347" t="s">
        <v>5152</v>
      </c>
      <c r="C347" t="s">
        <v>7679</v>
      </c>
      <c r="D347" t="s">
        <v>5178</v>
      </c>
      <c r="E347" t="s">
        <v>6656</v>
      </c>
      <c r="F347">
        <v>1131</v>
      </c>
    </row>
    <row r="348" spans="1:6">
      <c r="A348" t="str">
        <f>("21-534750")</f>
        <v>21-534750</v>
      </c>
      <c r="B348" t="s">
        <v>5152</v>
      </c>
      <c r="C348" t="s">
        <v>7679</v>
      </c>
      <c r="D348" t="s">
        <v>5163</v>
      </c>
      <c r="E348" t="s">
        <v>6655</v>
      </c>
      <c r="F348">
        <v>2034.33</v>
      </c>
    </row>
    <row r="349" spans="1:6">
      <c r="A349" t="str">
        <f>("21-534755")</f>
        <v>21-534755</v>
      </c>
      <c r="B349" t="s">
        <v>5152</v>
      </c>
      <c r="C349" t="s">
        <v>7679</v>
      </c>
      <c r="D349" t="s">
        <v>5163</v>
      </c>
      <c r="E349" t="s">
        <v>6655</v>
      </c>
      <c r="F349">
        <v>1715.67</v>
      </c>
    </row>
    <row r="350" spans="1:6">
      <c r="A350" t="str">
        <f>("21-534760")</f>
        <v>21-534760</v>
      </c>
      <c r="B350" t="s">
        <v>5152</v>
      </c>
      <c r="C350" t="s">
        <v>7679</v>
      </c>
      <c r="D350" t="s">
        <v>5163</v>
      </c>
      <c r="E350" t="s">
        <v>5306</v>
      </c>
      <c r="F350">
        <v>1793</v>
      </c>
    </row>
    <row r="351" spans="1:6">
      <c r="A351" t="str">
        <f>("21-534765")</f>
        <v>21-534765</v>
      </c>
      <c r="B351" t="s">
        <v>5152</v>
      </c>
      <c r="C351" t="s">
        <v>7679</v>
      </c>
      <c r="D351" t="s">
        <v>5163</v>
      </c>
      <c r="E351" t="s">
        <v>5306</v>
      </c>
      <c r="F351">
        <v>1281</v>
      </c>
    </row>
    <row r="352" spans="1:6">
      <c r="A352" t="str">
        <f>("21-534770")</f>
        <v>21-534770</v>
      </c>
      <c r="B352" t="s">
        <v>5152</v>
      </c>
      <c r="C352" t="s">
        <v>7679</v>
      </c>
      <c r="D352" t="s">
        <v>5163</v>
      </c>
      <c r="E352" t="s">
        <v>6654</v>
      </c>
      <c r="F352">
        <v>2034.33</v>
      </c>
    </row>
    <row r="353" spans="1:6">
      <c r="A353" t="str">
        <f>("21-534775")</f>
        <v>21-534775</v>
      </c>
      <c r="B353" t="s">
        <v>5152</v>
      </c>
      <c r="C353" t="s">
        <v>7679</v>
      </c>
      <c r="D353" t="s">
        <v>5163</v>
      </c>
      <c r="E353" t="s">
        <v>6654</v>
      </c>
      <c r="F353">
        <v>1715.67</v>
      </c>
    </row>
    <row r="354" spans="1:6">
      <c r="A354" t="str">
        <f>("21-63560")</f>
        <v>21-63560</v>
      </c>
      <c r="B354" t="s">
        <v>5152</v>
      </c>
      <c r="C354" t="s">
        <v>7678</v>
      </c>
      <c r="D354" t="s">
        <v>5181</v>
      </c>
      <c r="E354" t="s">
        <v>6684</v>
      </c>
      <c r="F354">
        <v>1268.33</v>
      </c>
    </row>
    <row r="355" spans="1:6">
      <c r="A355" t="str">
        <f>("21-63565")</f>
        <v>21-63565</v>
      </c>
      <c r="B355" t="s">
        <v>5152</v>
      </c>
      <c r="C355" t="s">
        <v>7678</v>
      </c>
      <c r="D355" t="s">
        <v>5181</v>
      </c>
      <c r="E355" t="s">
        <v>6684</v>
      </c>
      <c r="F355">
        <v>1113.67</v>
      </c>
    </row>
    <row r="356" spans="1:6">
      <c r="A356" t="str">
        <f>("21-64130")</f>
        <v>21-64130</v>
      </c>
      <c r="B356" t="s">
        <v>5152</v>
      </c>
      <c r="C356" t="s">
        <v>7678</v>
      </c>
      <c r="D356" t="s">
        <v>5163</v>
      </c>
      <c r="E356" t="s">
        <v>5242</v>
      </c>
      <c r="F356">
        <v>1268.33</v>
      </c>
    </row>
    <row r="357" spans="1:6">
      <c r="A357" t="str">
        <f>("21-64135")</f>
        <v>21-64135</v>
      </c>
      <c r="B357" t="s">
        <v>5152</v>
      </c>
      <c r="C357" t="s">
        <v>7678</v>
      </c>
      <c r="D357" t="s">
        <v>5163</v>
      </c>
      <c r="E357" t="s">
        <v>5242</v>
      </c>
      <c r="F357">
        <v>1113.67</v>
      </c>
    </row>
    <row r="358" spans="1:6">
      <c r="A358" t="str">
        <f>("22-5000")</f>
        <v>22-5000</v>
      </c>
      <c r="B358" t="s">
        <v>5152</v>
      </c>
      <c r="C358" t="s">
        <v>7666</v>
      </c>
      <c r="D358" t="s">
        <v>5206</v>
      </c>
      <c r="E358" t="s">
        <v>7677</v>
      </c>
      <c r="F358">
        <v>584.66999999999996</v>
      </c>
    </row>
    <row r="359" spans="1:6">
      <c r="A359" t="str">
        <f>("22-5005")</f>
        <v>22-5005</v>
      </c>
      <c r="B359" t="s">
        <v>5152</v>
      </c>
      <c r="C359" t="s">
        <v>7666</v>
      </c>
      <c r="D359" t="s">
        <v>5206</v>
      </c>
      <c r="E359" t="s">
        <v>7676</v>
      </c>
      <c r="F359">
        <v>408.67</v>
      </c>
    </row>
    <row r="360" spans="1:6">
      <c r="A360" t="str">
        <f>("22-5020")</f>
        <v>22-5020</v>
      </c>
      <c r="B360" t="s">
        <v>5152</v>
      </c>
      <c r="C360" t="s">
        <v>7666</v>
      </c>
      <c r="D360" t="s">
        <v>5206</v>
      </c>
      <c r="E360" t="s">
        <v>7675</v>
      </c>
      <c r="F360">
        <v>759.33</v>
      </c>
    </row>
    <row r="361" spans="1:6">
      <c r="A361" t="str">
        <f>("22-5025")</f>
        <v>22-5025</v>
      </c>
      <c r="B361" t="s">
        <v>5152</v>
      </c>
      <c r="C361" t="s">
        <v>7666</v>
      </c>
      <c r="D361" t="s">
        <v>5206</v>
      </c>
      <c r="E361" t="s">
        <v>7674</v>
      </c>
      <c r="F361">
        <v>451.33</v>
      </c>
    </row>
    <row r="362" spans="1:6">
      <c r="A362" t="str">
        <f>("22-5030")</f>
        <v>22-5030</v>
      </c>
      <c r="B362" t="s">
        <v>5152</v>
      </c>
      <c r="C362" t="s">
        <v>7666</v>
      </c>
      <c r="D362" t="s">
        <v>5206</v>
      </c>
      <c r="E362" t="s">
        <v>7673</v>
      </c>
      <c r="F362">
        <v>842</v>
      </c>
    </row>
    <row r="363" spans="1:6">
      <c r="A363" t="str">
        <f>("22-5035")</f>
        <v>22-5035</v>
      </c>
      <c r="B363" t="s">
        <v>5152</v>
      </c>
      <c r="C363" t="s">
        <v>7666</v>
      </c>
      <c r="D363" t="s">
        <v>5206</v>
      </c>
      <c r="E363" t="s">
        <v>7672</v>
      </c>
      <c r="F363">
        <v>488.67</v>
      </c>
    </row>
    <row r="364" spans="1:6">
      <c r="A364" t="str">
        <f>("22-5040")</f>
        <v>22-5040</v>
      </c>
      <c r="B364" t="s">
        <v>5152</v>
      </c>
      <c r="C364" t="s">
        <v>7666</v>
      </c>
      <c r="D364" t="s">
        <v>5206</v>
      </c>
      <c r="E364" t="s">
        <v>7671</v>
      </c>
      <c r="F364">
        <v>1016.33</v>
      </c>
    </row>
    <row r="365" spans="1:6">
      <c r="A365" t="str">
        <f>("22-5045")</f>
        <v>22-5045</v>
      </c>
      <c r="B365" t="s">
        <v>5152</v>
      </c>
      <c r="C365" t="s">
        <v>7666</v>
      </c>
      <c r="D365" t="s">
        <v>5206</v>
      </c>
      <c r="E365" t="s">
        <v>7670</v>
      </c>
      <c r="F365">
        <v>625.67000000000007</v>
      </c>
    </row>
    <row r="366" spans="1:6">
      <c r="A366" t="str">
        <f>("22-5050")</f>
        <v>22-5050</v>
      </c>
      <c r="B366" t="s">
        <v>5152</v>
      </c>
      <c r="C366" t="s">
        <v>7666</v>
      </c>
      <c r="D366" t="s">
        <v>5206</v>
      </c>
      <c r="E366" t="s">
        <v>7669</v>
      </c>
      <c r="F366">
        <v>734</v>
      </c>
    </row>
    <row r="367" spans="1:6">
      <c r="A367" t="str">
        <f>("22-5055")</f>
        <v>22-5055</v>
      </c>
      <c r="B367" t="s">
        <v>5152</v>
      </c>
      <c r="C367" t="s">
        <v>7666</v>
      </c>
      <c r="D367" t="s">
        <v>5206</v>
      </c>
      <c r="E367" t="s">
        <v>7668</v>
      </c>
      <c r="F367">
        <v>440.67</v>
      </c>
    </row>
    <row r="368" spans="1:6">
      <c r="A368" t="str">
        <f>("22-5060")</f>
        <v>22-5060</v>
      </c>
      <c r="B368" t="s">
        <v>5152</v>
      </c>
      <c r="C368" t="s">
        <v>7666</v>
      </c>
      <c r="D368" t="s">
        <v>5206</v>
      </c>
      <c r="E368" t="s">
        <v>7667</v>
      </c>
      <c r="F368">
        <v>662</v>
      </c>
    </row>
    <row r="369" spans="1:6">
      <c r="A369" t="str">
        <f>("22-5065")</f>
        <v>22-5065</v>
      </c>
      <c r="B369" t="s">
        <v>5152</v>
      </c>
      <c r="C369" t="s">
        <v>7666</v>
      </c>
      <c r="D369" t="s">
        <v>5206</v>
      </c>
      <c r="E369" t="s">
        <v>7665</v>
      </c>
      <c r="F369">
        <v>419.33</v>
      </c>
    </row>
    <row r="370" spans="1:6">
      <c r="A370" t="str">
        <f>("22-6000")</f>
        <v>22-6000</v>
      </c>
      <c r="B370" t="s">
        <v>5152</v>
      </c>
      <c r="C370" t="s">
        <v>7657</v>
      </c>
      <c r="D370" t="s">
        <v>5206</v>
      </c>
      <c r="E370" t="s">
        <v>7664</v>
      </c>
      <c r="F370">
        <v>790</v>
      </c>
    </row>
    <row r="371" spans="1:6">
      <c r="A371" t="str">
        <f>("22-6005")</f>
        <v>22-6005</v>
      </c>
      <c r="B371" t="s">
        <v>5152</v>
      </c>
      <c r="C371" t="s">
        <v>7657</v>
      </c>
      <c r="D371" t="s">
        <v>5206</v>
      </c>
      <c r="E371" t="s">
        <v>7663</v>
      </c>
      <c r="F371">
        <v>456.67</v>
      </c>
    </row>
    <row r="372" spans="1:6">
      <c r="A372" t="str">
        <f>("22-6020")</f>
        <v>22-6020</v>
      </c>
      <c r="B372" t="s">
        <v>5152</v>
      </c>
      <c r="C372" t="s">
        <v>7657</v>
      </c>
      <c r="D372" t="s">
        <v>5206</v>
      </c>
      <c r="E372" t="s">
        <v>7662</v>
      </c>
      <c r="F372">
        <v>892.67</v>
      </c>
    </row>
    <row r="373" spans="1:6">
      <c r="A373" t="str">
        <f>("22-6025")</f>
        <v>22-6025</v>
      </c>
      <c r="B373" t="s">
        <v>5152</v>
      </c>
      <c r="C373" t="s">
        <v>7657</v>
      </c>
      <c r="D373" t="s">
        <v>5206</v>
      </c>
      <c r="E373" t="s">
        <v>7661</v>
      </c>
      <c r="F373">
        <v>632.66999999999996</v>
      </c>
    </row>
    <row r="374" spans="1:6">
      <c r="A374" t="str">
        <f>("22-6030")</f>
        <v>22-6030</v>
      </c>
      <c r="B374" t="s">
        <v>5152</v>
      </c>
      <c r="C374" t="s">
        <v>7657</v>
      </c>
      <c r="D374" t="s">
        <v>5206</v>
      </c>
      <c r="E374" t="s">
        <v>7660</v>
      </c>
      <c r="F374">
        <v>954</v>
      </c>
    </row>
    <row r="375" spans="1:6">
      <c r="A375" t="str">
        <f>("22-6035")</f>
        <v>22-6035</v>
      </c>
      <c r="B375" t="s">
        <v>5152</v>
      </c>
      <c r="C375" t="s">
        <v>7657</v>
      </c>
      <c r="D375" t="s">
        <v>5206</v>
      </c>
      <c r="E375" t="s">
        <v>7659</v>
      </c>
      <c r="F375">
        <v>670</v>
      </c>
    </row>
    <row r="376" spans="1:6">
      <c r="A376" t="str">
        <f>("22-6040")</f>
        <v>22-6040</v>
      </c>
      <c r="B376" t="s">
        <v>5152</v>
      </c>
      <c r="C376" t="s">
        <v>7657</v>
      </c>
      <c r="D376" t="s">
        <v>5206</v>
      </c>
      <c r="E376" t="s">
        <v>7658</v>
      </c>
      <c r="F376">
        <v>1124.33</v>
      </c>
    </row>
    <row r="377" spans="1:6">
      <c r="A377" t="str">
        <f>("22-6045")</f>
        <v>22-6045</v>
      </c>
      <c r="B377" t="s">
        <v>5152</v>
      </c>
      <c r="C377" t="s">
        <v>7657</v>
      </c>
      <c r="D377" t="s">
        <v>5206</v>
      </c>
      <c r="E377" t="s">
        <v>7656</v>
      </c>
      <c r="F377">
        <v>815</v>
      </c>
    </row>
    <row r="378" spans="1:6">
      <c r="A378" t="str">
        <f>("22-1005")</f>
        <v>22-1005</v>
      </c>
      <c r="B378" t="s">
        <v>5152</v>
      </c>
      <c r="C378" t="s">
        <v>7623</v>
      </c>
      <c r="D378" t="s">
        <v>5184</v>
      </c>
      <c r="E378" t="s">
        <v>7655</v>
      </c>
      <c r="F378">
        <v>299.67</v>
      </c>
    </row>
    <row r="379" spans="1:6">
      <c r="A379" t="str">
        <f>("22-1015")</f>
        <v>22-1015</v>
      </c>
      <c r="B379" t="s">
        <v>5152</v>
      </c>
      <c r="C379" t="s">
        <v>7623</v>
      </c>
      <c r="D379" t="s">
        <v>5184</v>
      </c>
      <c r="E379" t="s">
        <v>7654</v>
      </c>
      <c r="F379">
        <v>299.67</v>
      </c>
    </row>
    <row r="380" spans="1:6">
      <c r="A380" t="str">
        <f>("22-1025")</f>
        <v>22-1025</v>
      </c>
      <c r="B380" t="s">
        <v>5152</v>
      </c>
      <c r="C380" t="s">
        <v>7623</v>
      </c>
      <c r="D380" t="s">
        <v>5184</v>
      </c>
      <c r="E380" t="s">
        <v>7653</v>
      </c>
      <c r="F380">
        <v>299.67</v>
      </c>
    </row>
    <row r="381" spans="1:6">
      <c r="A381" t="str">
        <f>("22-1035")</f>
        <v>22-1035</v>
      </c>
      <c r="B381" t="s">
        <v>5152</v>
      </c>
      <c r="C381" t="s">
        <v>7623</v>
      </c>
      <c r="D381" t="s">
        <v>5174</v>
      </c>
      <c r="E381" t="s">
        <v>7652</v>
      </c>
      <c r="F381">
        <v>299.67</v>
      </c>
    </row>
    <row r="382" spans="1:6">
      <c r="A382" t="str">
        <f>("22-1045")</f>
        <v>22-1045</v>
      </c>
      <c r="B382" t="s">
        <v>5152</v>
      </c>
      <c r="C382" t="s">
        <v>7623</v>
      </c>
      <c r="D382" t="s">
        <v>5174</v>
      </c>
      <c r="E382" t="s">
        <v>7651</v>
      </c>
      <c r="F382">
        <v>299.67</v>
      </c>
    </row>
    <row r="383" spans="1:6">
      <c r="A383" t="str">
        <f>("22-1055")</f>
        <v>22-1055</v>
      </c>
      <c r="B383" t="s">
        <v>5152</v>
      </c>
      <c r="C383" t="s">
        <v>7623</v>
      </c>
      <c r="D383" t="s">
        <v>5174</v>
      </c>
      <c r="E383" t="s">
        <v>7650</v>
      </c>
      <c r="F383">
        <v>299.67</v>
      </c>
    </row>
    <row r="384" spans="1:6">
      <c r="A384" t="str">
        <f>("22-1065")</f>
        <v>22-1065</v>
      </c>
      <c r="B384" t="s">
        <v>5152</v>
      </c>
      <c r="C384" t="s">
        <v>7623</v>
      </c>
      <c r="D384" t="s">
        <v>5163</v>
      </c>
      <c r="E384" t="s">
        <v>7649</v>
      </c>
      <c r="F384">
        <v>299.67</v>
      </c>
    </row>
    <row r="385" spans="1:6">
      <c r="A385" t="str">
        <f>("22-1075")</f>
        <v>22-1075</v>
      </c>
      <c r="B385" t="s">
        <v>5152</v>
      </c>
      <c r="C385" t="s">
        <v>7623</v>
      </c>
      <c r="D385" t="s">
        <v>5163</v>
      </c>
      <c r="E385" t="s">
        <v>7648</v>
      </c>
      <c r="F385">
        <v>299.67</v>
      </c>
    </row>
    <row r="386" spans="1:6">
      <c r="A386" t="str">
        <f>("22-1085")</f>
        <v>22-1085</v>
      </c>
      <c r="B386" t="s">
        <v>5152</v>
      </c>
      <c r="C386" t="s">
        <v>7623</v>
      </c>
      <c r="D386" t="s">
        <v>5163</v>
      </c>
      <c r="E386" t="s">
        <v>7647</v>
      </c>
      <c r="F386">
        <v>299.67</v>
      </c>
    </row>
    <row r="387" spans="1:6">
      <c r="A387" t="str">
        <f>("22-1105")</f>
        <v>22-1105</v>
      </c>
      <c r="B387" t="s">
        <v>5152</v>
      </c>
      <c r="C387" t="s">
        <v>7623</v>
      </c>
      <c r="D387" t="s">
        <v>5174</v>
      </c>
      <c r="E387" t="s">
        <v>7646</v>
      </c>
      <c r="F387">
        <v>299.67</v>
      </c>
    </row>
    <row r="388" spans="1:6">
      <c r="A388" t="str">
        <f>("22-1125")</f>
        <v>22-1125</v>
      </c>
      <c r="B388" t="s">
        <v>5152</v>
      </c>
      <c r="C388" t="s">
        <v>7623</v>
      </c>
      <c r="D388" t="s">
        <v>5163</v>
      </c>
      <c r="E388" t="s">
        <v>7645</v>
      </c>
      <c r="F388">
        <v>299.67</v>
      </c>
    </row>
    <row r="389" spans="1:6">
      <c r="A389" t="str">
        <f>("22-1135")</f>
        <v>22-1135</v>
      </c>
      <c r="B389" t="s">
        <v>5152</v>
      </c>
      <c r="C389" t="s">
        <v>7623</v>
      </c>
      <c r="D389" t="s">
        <v>5163</v>
      </c>
      <c r="E389" t="s">
        <v>7644</v>
      </c>
      <c r="F389">
        <v>299.67</v>
      </c>
    </row>
    <row r="390" spans="1:6">
      <c r="A390" t="str">
        <f>("22-1165")</f>
        <v>22-1165</v>
      </c>
      <c r="B390" t="s">
        <v>5152</v>
      </c>
      <c r="C390" t="s">
        <v>7623</v>
      </c>
      <c r="D390" t="s">
        <v>5174</v>
      </c>
      <c r="E390" t="s">
        <v>7643</v>
      </c>
      <c r="F390">
        <v>299.67</v>
      </c>
    </row>
    <row r="391" spans="1:6">
      <c r="A391" t="str">
        <f>("22-1345")</f>
        <v>22-1345</v>
      </c>
      <c r="B391" t="s">
        <v>5152</v>
      </c>
      <c r="C391" t="s">
        <v>7623</v>
      </c>
      <c r="D391" t="s">
        <v>5150</v>
      </c>
      <c r="E391" t="s">
        <v>7642</v>
      </c>
      <c r="F391">
        <v>299.67</v>
      </c>
    </row>
    <row r="392" spans="1:6">
      <c r="A392" t="str">
        <f>("22-1395")</f>
        <v>22-1395</v>
      </c>
      <c r="B392" t="s">
        <v>5152</v>
      </c>
      <c r="C392" t="s">
        <v>7623</v>
      </c>
      <c r="D392" t="s">
        <v>7589</v>
      </c>
      <c r="E392" t="s">
        <v>7588</v>
      </c>
      <c r="F392">
        <v>299.67</v>
      </c>
    </row>
    <row r="393" spans="1:6">
      <c r="A393" t="str">
        <f>("22-1415")</f>
        <v>22-1415</v>
      </c>
      <c r="B393" t="s">
        <v>5152</v>
      </c>
      <c r="C393" t="s">
        <v>7623</v>
      </c>
      <c r="D393" t="s">
        <v>7441</v>
      </c>
      <c r="E393" t="s">
        <v>7641</v>
      </c>
      <c r="F393">
        <v>299.67</v>
      </c>
    </row>
    <row r="394" spans="1:6">
      <c r="A394" t="str">
        <f>("22-1445")</f>
        <v>22-1445</v>
      </c>
      <c r="B394" t="s">
        <v>5152</v>
      </c>
      <c r="C394" t="s">
        <v>7623</v>
      </c>
      <c r="D394" t="s">
        <v>5174</v>
      </c>
      <c r="E394" t="s">
        <v>7640</v>
      </c>
      <c r="F394">
        <v>299.67</v>
      </c>
    </row>
    <row r="395" spans="1:6">
      <c r="A395" t="str">
        <f>("22-1455")</f>
        <v>22-1455</v>
      </c>
      <c r="B395" t="s">
        <v>5152</v>
      </c>
      <c r="C395" t="s">
        <v>7623</v>
      </c>
      <c r="D395" t="s">
        <v>5174</v>
      </c>
      <c r="E395" t="s">
        <v>7639</v>
      </c>
      <c r="F395">
        <v>299.67</v>
      </c>
    </row>
    <row r="396" spans="1:6">
      <c r="A396" t="str">
        <f>("22-1475")</f>
        <v>22-1475</v>
      </c>
      <c r="B396" t="s">
        <v>5152</v>
      </c>
      <c r="C396" t="s">
        <v>7623</v>
      </c>
      <c r="D396" t="s">
        <v>5150</v>
      </c>
      <c r="E396" t="s">
        <v>7437</v>
      </c>
      <c r="F396">
        <v>299.67</v>
      </c>
    </row>
    <row r="397" spans="1:6">
      <c r="A397" t="str">
        <f>("22-1525")</f>
        <v>22-1525</v>
      </c>
      <c r="B397" t="s">
        <v>5152</v>
      </c>
      <c r="C397" t="s">
        <v>7623</v>
      </c>
      <c r="D397" t="s">
        <v>5158</v>
      </c>
      <c r="E397" t="s">
        <v>7638</v>
      </c>
      <c r="F397">
        <v>299.67</v>
      </c>
    </row>
    <row r="398" spans="1:6">
      <c r="A398" t="str">
        <f>("22-1535")</f>
        <v>22-1535</v>
      </c>
      <c r="B398" t="s">
        <v>5152</v>
      </c>
      <c r="C398" t="s">
        <v>7623</v>
      </c>
      <c r="D398" t="s">
        <v>5163</v>
      </c>
      <c r="E398" t="s">
        <v>7637</v>
      </c>
      <c r="F398">
        <v>299.67</v>
      </c>
    </row>
    <row r="399" spans="1:6">
      <c r="A399" t="str">
        <f>("22-1575")</f>
        <v>22-1575</v>
      </c>
      <c r="B399" t="s">
        <v>5152</v>
      </c>
      <c r="C399" t="s">
        <v>7623</v>
      </c>
      <c r="D399" t="s">
        <v>7433</v>
      </c>
      <c r="E399" t="s">
        <v>7636</v>
      </c>
      <c r="F399">
        <v>299.67</v>
      </c>
    </row>
    <row r="400" spans="1:6">
      <c r="A400" t="str">
        <f>("22-1615")</f>
        <v>22-1615</v>
      </c>
      <c r="B400" t="s">
        <v>5152</v>
      </c>
      <c r="C400" t="s">
        <v>7623</v>
      </c>
      <c r="D400" t="s">
        <v>5150</v>
      </c>
      <c r="E400" t="s">
        <v>7250</v>
      </c>
      <c r="F400">
        <v>299.67</v>
      </c>
    </row>
    <row r="401" spans="1:6">
      <c r="A401" t="str">
        <f>("22-1635")</f>
        <v>22-1635</v>
      </c>
      <c r="B401" t="s">
        <v>5152</v>
      </c>
      <c r="C401" t="s">
        <v>7623</v>
      </c>
      <c r="D401" t="s">
        <v>7599</v>
      </c>
      <c r="E401" t="s">
        <v>7598</v>
      </c>
      <c r="F401">
        <v>299.67</v>
      </c>
    </row>
    <row r="402" spans="1:6">
      <c r="A402" t="str">
        <f>("22-1645")</f>
        <v>22-1645</v>
      </c>
      <c r="B402" t="s">
        <v>5152</v>
      </c>
      <c r="C402" t="s">
        <v>7623</v>
      </c>
      <c r="D402" t="s">
        <v>5160</v>
      </c>
      <c r="E402" t="s">
        <v>7635</v>
      </c>
      <c r="F402">
        <v>299.67</v>
      </c>
    </row>
    <row r="403" spans="1:6">
      <c r="A403" t="str">
        <f>("22-1665")</f>
        <v>22-1665</v>
      </c>
      <c r="B403" t="s">
        <v>5152</v>
      </c>
      <c r="C403" t="s">
        <v>7623</v>
      </c>
      <c r="D403" t="s">
        <v>5150</v>
      </c>
      <c r="E403" t="s">
        <v>7431</v>
      </c>
      <c r="F403">
        <v>299.67</v>
      </c>
    </row>
    <row r="404" spans="1:6">
      <c r="A404" t="str">
        <f>("22-1675")</f>
        <v>22-1675</v>
      </c>
      <c r="B404" t="s">
        <v>5152</v>
      </c>
      <c r="C404" t="s">
        <v>7623</v>
      </c>
      <c r="D404" t="s">
        <v>5362</v>
      </c>
      <c r="E404" t="s">
        <v>7427</v>
      </c>
      <c r="F404">
        <v>299.67</v>
      </c>
    </row>
    <row r="405" spans="1:6">
      <c r="A405" t="str">
        <f>("22-1725")</f>
        <v>22-1725</v>
      </c>
      <c r="B405" t="s">
        <v>5152</v>
      </c>
      <c r="C405" t="s">
        <v>7623</v>
      </c>
      <c r="D405" t="s">
        <v>5160</v>
      </c>
      <c r="E405" t="s">
        <v>6407</v>
      </c>
      <c r="F405">
        <v>299.67</v>
      </c>
    </row>
    <row r="406" spans="1:6">
      <c r="A406" t="str">
        <f>("22-1775")</f>
        <v>22-1775</v>
      </c>
      <c r="B406" t="s">
        <v>5152</v>
      </c>
      <c r="C406" t="s">
        <v>7623</v>
      </c>
      <c r="D406" t="s">
        <v>7634</v>
      </c>
      <c r="E406" t="s">
        <v>7633</v>
      </c>
      <c r="F406">
        <v>299.67</v>
      </c>
    </row>
    <row r="407" spans="1:6">
      <c r="A407" t="str">
        <f>("22-1795")</f>
        <v>22-1795</v>
      </c>
      <c r="B407" t="s">
        <v>5152</v>
      </c>
      <c r="C407" t="s">
        <v>7623</v>
      </c>
      <c r="D407" t="s">
        <v>7422</v>
      </c>
      <c r="E407" t="s">
        <v>7632</v>
      </c>
      <c r="F407">
        <v>299.67</v>
      </c>
    </row>
    <row r="408" spans="1:6">
      <c r="A408" t="str">
        <f>("22-1825")</f>
        <v>22-1825</v>
      </c>
      <c r="B408" t="s">
        <v>5152</v>
      </c>
      <c r="C408" t="s">
        <v>7623</v>
      </c>
      <c r="D408" t="s">
        <v>5150</v>
      </c>
      <c r="E408" t="s">
        <v>7418</v>
      </c>
      <c r="F408">
        <v>299.67</v>
      </c>
    </row>
    <row r="409" spans="1:6">
      <c r="A409" t="str">
        <f>("22-1885")</f>
        <v>22-1885</v>
      </c>
      <c r="B409" t="s">
        <v>5152</v>
      </c>
      <c r="C409" t="s">
        <v>7623</v>
      </c>
      <c r="D409" t="s">
        <v>7292</v>
      </c>
      <c r="E409" t="s">
        <v>7631</v>
      </c>
      <c r="F409">
        <v>299.67</v>
      </c>
    </row>
    <row r="410" spans="1:6">
      <c r="A410" t="str">
        <f>("22-1895")</f>
        <v>22-1895</v>
      </c>
      <c r="B410" t="s">
        <v>5152</v>
      </c>
      <c r="C410" t="s">
        <v>7623</v>
      </c>
      <c r="D410" t="s">
        <v>5181</v>
      </c>
      <c r="E410" t="s">
        <v>7540</v>
      </c>
      <c r="F410">
        <v>299.67</v>
      </c>
    </row>
    <row r="411" spans="1:6">
      <c r="A411" t="str">
        <f>("22-1905")</f>
        <v>22-1905</v>
      </c>
      <c r="B411" t="s">
        <v>5152</v>
      </c>
      <c r="C411" t="s">
        <v>7623</v>
      </c>
      <c r="D411" t="s">
        <v>5181</v>
      </c>
      <c r="E411" t="s">
        <v>7630</v>
      </c>
      <c r="F411">
        <v>299.67</v>
      </c>
    </row>
    <row r="412" spans="1:6">
      <c r="A412" t="str">
        <f>("22-1945")</f>
        <v>22-1945</v>
      </c>
      <c r="B412" t="s">
        <v>5152</v>
      </c>
      <c r="C412" t="s">
        <v>7623</v>
      </c>
      <c r="D412" t="s">
        <v>5150</v>
      </c>
      <c r="E412" t="s">
        <v>7629</v>
      </c>
      <c r="F412">
        <v>299.67</v>
      </c>
    </row>
    <row r="413" spans="1:6">
      <c r="A413" t="str">
        <f>("22-1975")</f>
        <v>22-1975</v>
      </c>
      <c r="B413" t="s">
        <v>5152</v>
      </c>
      <c r="C413" t="s">
        <v>7623</v>
      </c>
      <c r="D413" t="s">
        <v>5174</v>
      </c>
      <c r="E413" t="s">
        <v>7628</v>
      </c>
      <c r="F413">
        <v>299.67</v>
      </c>
    </row>
    <row r="414" spans="1:6">
      <c r="A414" t="str">
        <f>("22-1985")</f>
        <v>22-1985</v>
      </c>
      <c r="B414" t="s">
        <v>5152</v>
      </c>
      <c r="C414" t="s">
        <v>7623</v>
      </c>
      <c r="D414" t="s">
        <v>6288</v>
      </c>
      <c r="E414" t="s">
        <v>7412</v>
      </c>
      <c r="F414">
        <v>299.67</v>
      </c>
    </row>
    <row r="415" spans="1:6">
      <c r="A415" t="str">
        <f>("22-2005")</f>
        <v>22-2005</v>
      </c>
      <c r="B415" t="s">
        <v>5152</v>
      </c>
      <c r="C415" t="s">
        <v>7623</v>
      </c>
      <c r="D415" t="s">
        <v>5163</v>
      </c>
      <c r="E415" t="s">
        <v>7627</v>
      </c>
      <c r="F415">
        <v>293</v>
      </c>
    </row>
    <row r="416" spans="1:6">
      <c r="A416" t="str">
        <f>("22-2015")</f>
        <v>22-2015</v>
      </c>
      <c r="B416" t="s">
        <v>5152</v>
      </c>
      <c r="C416" t="s">
        <v>7623</v>
      </c>
      <c r="D416" t="s">
        <v>5163</v>
      </c>
      <c r="E416" t="s">
        <v>7626</v>
      </c>
      <c r="F416">
        <v>293</v>
      </c>
    </row>
    <row r="417" spans="1:6">
      <c r="A417" t="str">
        <f>("22-2055")</f>
        <v>22-2055</v>
      </c>
      <c r="B417" t="s">
        <v>5152</v>
      </c>
      <c r="C417" t="s">
        <v>7623</v>
      </c>
      <c r="D417" t="s">
        <v>5174</v>
      </c>
      <c r="E417" t="s">
        <v>7625</v>
      </c>
      <c r="F417">
        <v>299.67</v>
      </c>
    </row>
    <row r="418" spans="1:6">
      <c r="A418" t="str">
        <f>("22-2075")</f>
        <v>22-2075</v>
      </c>
      <c r="B418" t="s">
        <v>5152</v>
      </c>
      <c r="C418" t="s">
        <v>7623</v>
      </c>
      <c r="D418" t="s">
        <v>5163</v>
      </c>
      <c r="E418" t="s">
        <v>5245</v>
      </c>
      <c r="F418">
        <v>299.67</v>
      </c>
    </row>
    <row r="419" spans="1:6">
      <c r="A419" t="str">
        <f>("22-2225")</f>
        <v>22-2225</v>
      </c>
      <c r="B419" t="s">
        <v>5152</v>
      </c>
      <c r="C419" t="s">
        <v>7623</v>
      </c>
      <c r="D419" t="s">
        <v>5158</v>
      </c>
      <c r="E419" t="s">
        <v>7343</v>
      </c>
      <c r="F419">
        <v>299.67</v>
      </c>
    </row>
    <row r="420" spans="1:6">
      <c r="A420" t="str">
        <f>("22-2245")</f>
        <v>22-2245</v>
      </c>
      <c r="B420" t="s">
        <v>5152</v>
      </c>
      <c r="C420" t="s">
        <v>7623</v>
      </c>
      <c r="D420" t="s">
        <v>5178</v>
      </c>
      <c r="E420" t="s">
        <v>7624</v>
      </c>
      <c r="F420">
        <v>293</v>
      </c>
    </row>
    <row r="421" spans="1:6">
      <c r="A421" t="str">
        <f>("22-2255")</f>
        <v>22-2255</v>
      </c>
      <c r="B421" t="s">
        <v>5152</v>
      </c>
      <c r="C421" t="s">
        <v>7623</v>
      </c>
      <c r="D421" t="s">
        <v>5163</v>
      </c>
      <c r="E421" t="s">
        <v>7405</v>
      </c>
      <c r="F421">
        <v>293</v>
      </c>
    </row>
    <row r="422" spans="1:6">
      <c r="A422" t="str">
        <f>("22-2265")</f>
        <v>22-2265</v>
      </c>
      <c r="B422" t="s">
        <v>5152</v>
      </c>
      <c r="C422" t="s">
        <v>7623</v>
      </c>
      <c r="D422" t="s">
        <v>5174</v>
      </c>
      <c r="E422" t="s">
        <v>7404</v>
      </c>
      <c r="F422">
        <v>293</v>
      </c>
    </row>
    <row r="423" spans="1:6">
      <c r="A423" t="str">
        <f>("23-0500")</f>
        <v>23-0500</v>
      </c>
      <c r="B423" t="s">
        <v>5152</v>
      </c>
      <c r="C423" t="s">
        <v>7566</v>
      </c>
      <c r="D423" t="s">
        <v>5163</v>
      </c>
      <c r="E423" t="s">
        <v>7561</v>
      </c>
      <c r="F423">
        <v>556.67000000000007</v>
      </c>
    </row>
    <row r="424" spans="1:6">
      <c r="A424" t="str">
        <f>("23-0505")</f>
        <v>23-0505</v>
      </c>
      <c r="B424" t="s">
        <v>5152</v>
      </c>
      <c r="C424" t="s">
        <v>7566</v>
      </c>
      <c r="D424" t="s">
        <v>5163</v>
      </c>
      <c r="E424" t="s">
        <v>7561</v>
      </c>
      <c r="F424">
        <v>504.67</v>
      </c>
    </row>
    <row r="425" spans="1:6">
      <c r="A425" t="str">
        <f>("23-0530")</f>
        <v>23-0530</v>
      </c>
      <c r="B425" t="s">
        <v>5152</v>
      </c>
      <c r="C425" t="s">
        <v>7566</v>
      </c>
      <c r="D425" t="s">
        <v>5174</v>
      </c>
      <c r="E425" t="s">
        <v>7622</v>
      </c>
      <c r="F425">
        <v>556.67000000000007</v>
      </c>
    </row>
    <row r="426" spans="1:6">
      <c r="A426" t="str">
        <f>("23-0535")</f>
        <v>23-0535</v>
      </c>
      <c r="B426" t="s">
        <v>5152</v>
      </c>
      <c r="C426" t="s">
        <v>7566</v>
      </c>
      <c r="D426" t="s">
        <v>5174</v>
      </c>
      <c r="E426" t="s">
        <v>7622</v>
      </c>
      <c r="F426">
        <v>504.67</v>
      </c>
    </row>
    <row r="427" spans="1:6">
      <c r="A427" t="str">
        <f>("23-0925")</f>
        <v>23-0925</v>
      </c>
      <c r="B427" t="s">
        <v>5152</v>
      </c>
      <c r="C427" t="s">
        <v>7566</v>
      </c>
      <c r="D427" t="s">
        <v>5174</v>
      </c>
      <c r="E427" t="s">
        <v>7621</v>
      </c>
      <c r="F427">
        <v>634</v>
      </c>
    </row>
    <row r="428" spans="1:6">
      <c r="A428" t="str">
        <f>("23-0930")</f>
        <v>23-0930</v>
      </c>
      <c r="B428" t="s">
        <v>5152</v>
      </c>
      <c r="C428" t="s">
        <v>7566</v>
      </c>
      <c r="D428" t="s">
        <v>5174</v>
      </c>
      <c r="E428" t="s">
        <v>7621</v>
      </c>
      <c r="F428">
        <v>579.33000000000004</v>
      </c>
    </row>
    <row r="429" spans="1:6">
      <c r="A429" t="str">
        <f>("23-0975")</f>
        <v>23-0975</v>
      </c>
      <c r="B429" t="s">
        <v>5152</v>
      </c>
      <c r="C429" t="s">
        <v>7566</v>
      </c>
      <c r="D429" t="s">
        <v>5160</v>
      </c>
      <c r="E429" t="s">
        <v>7620</v>
      </c>
      <c r="F429">
        <v>579.33000000000004</v>
      </c>
    </row>
    <row r="430" spans="1:6">
      <c r="A430" t="str">
        <f>("23-1100")</f>
        <v>23-1100</v>
      </c>
      <c r="B430" t="s">
        <v>5152</v>
      </c>
      <c r="C430" t="s">
        <v>7566</v>
      </c>
      <c r="D430" t="s">
        <v>5174</v>
      </c>
      <c r="E430" t="s">
        <v>7619</v>
      </c>
      <c r="F430">
        <v>556.67000000000007</v>
      </c>
    </row>
    <row r="431" spans="1:6">
      <c r="A431" t="str">
        <f>("23-1105")</f>
        <v>23-1105</v>
      </c>
      <c r="B431" t="s">
        <v>5152</v>
      </c>
      <c r="C431" t="s">
        <v>7566</v>
      </c>
      <c r="D431" t="s">
        <v>5174</v>
      </c>
      <c r="E431" t="s">
        <v>7619</v>
      </c>
      <c r="F431">
        <v>504.67</v>
      </c>
    </row>
    <row r="432" spans="1:6">
      <c r="A432" t="str">
        <f>("23-1310")</f>
        <v>23-1310</v>
      </c>
      <c r="B432" t="s">
        <v>5152</v>
      </c>
      <c r="C432" t="s">
        <v>7566</v>
      </c>
      <c r="D432" t="s">
        <v>5174</v>
      </c>
      <c r="E432" t="s">
        <v>7618</v>
      </c>
      <c r="F432">
        <v>634</v>
      </c>
    </row>
    <row r="433" spans="1:6">
      <c r="A433" t="str">
        <f>("23-1315")</f>
        <v>23-1315</v>
      </c>
      <c r="B433" t="s">
        <v>5152</v>
      </c>
      <c r="C433" t="s">
        <v>7566</v>
      </c>
      <c r="D433" t="s">
        <v>5174</v>
      </c>
      <c r="E433" t="s">
        <v>7618</v>
      </c>
      <c r="F433">
        <v>579.33000000000004</v>
      </c>
    </row>
    <row r="434" spans="1:6">
      <c r="A434" t="str">
        <f>("23-1320")</f>
        <v>23-1320</v>
      </c>
      <c r="B434" t="s">
        <v>5152</v>
      </c>
      <c r="C434" t="s">
        <v>7566</v>
      </c>
      <c r="D434" t="s">
        <v>5174</v>
      </c>
      <c r="E434" t="s">
        <v>7617</v>
      </c>
      <c r="F434">
        <v>556.67000000000007</v>
      </c>
    </row>
    <row r="435" spans="1:6">
      <c r="A435" t="str">
        <f>("23-1325")</f>
        <v>23-1325</v>
      </c>
      <c r="B435" t="s">
        <v>5152</v>
      </c>
      <c r="C435" t="s">
        <v>7566</v>
      </c>
      <c r="D435" t="s">
        <v>5174</v>
      </c>
      <c r="E435" t="s">
        <v>7617</v>
      </c>
      <c r="F435">
        <v>504.67</v>
      </c>
    </row>
    <row r="436" spans="1:6">
      <c r="A436" t="str">
        <f>("23-1330")</f>
        <v>23-1330</v>
      </c>
      <c r="B436" t="s">
        <v>5152</v>
      </c>
      <c r="C436" t="s">
        <v>7566</v>
      </c>
      <c r="D436" t="s">
        <v>5174</v>
      </c>
      <c r="E436" t="s">
        <v>7616</v>
      </c>
      <c r="F436">
        <v>759</v>
      </c>
    </row>
    <row r="437" spans="1:6">
      <c r="A437" t="str">
        <f>("23-1335")</f>
        <v>23-1335</v>
      </c>
      <c r="B437" t="s">
        <v>5152</v>
      </c>
      <c r="C437" t="s">
        <v>7566</v>
      </c>
      <c r="D437" t="s">
        <v>5174</v>
      </c>
      <c r="E437" t="s">
        <v>7616</v>
      </c>
      <c r="F437">
        <v>704.33</v>
      </c>
    </row>
    <row r="438" spans="1:6">
      <c r="A438" t="str">
        <f>("23-1400")</f>
        <v>23-1400</v>
      </c>
      <c r="B438" t="s">
        <v>5152</v>
      </c>
      <c r="C438" t="s">
        <v>7566</v>
      </c>
      <c r="D438" t="s">
        <v>5163</v>
      </c>
      <c r="E438" t="s">
        <v>7615</v>
      </c>
      <c r="F438">
        <v>556.67000000000007</v>
      </c>
    </row>
    <row r="439" spans="1:6">
      <c r="A439" t="str">
        <f>("23-1405")</f>
        <v>23-1405</v>
      </c>
      <c r="B439" t="s">
        <v>5152</v>
      </c>
      <c r="C439" t="s">
        <v>7566</v>
      </c>
      <c r="D439" t="s">
        <v>5163</v>
      </c>
      <c r="E439" t="s">
        <v>7615</v>
      </c>
      <c r="F439">
        <v>504.67</v>
      </c>
    </row>
    <row r="440" spans="1:6">
      <c r="A440" t="str">
        <f>("23-1430")</f>
        <v>23-1430</v>
      </c>
      <c r="B440" t="s">
        <v>5152</v>
      </c>
      <c r="C440" t="s">
        <v>7566</v>
      </c>
      <c r="D440" t="s">
        <v>5174</v>
      </c>
      <c r="E440" t="s">
        <v>7614</v>
      </c>
      <c r="F440">
        <v>634</v>
      </c>
    </row>
    <row r="441" spans="1:6">
      <c r="A441" t="str">
        <f>("23-1435")</f>
        <v>23-1435</v>
      </c>
      <c r="B441" t="s">
        <v>5152</v>
      </c>
      <c r="C441" t="s">
        <v>7566</v>
      </c>
      <c r="D441" t="s">
        <v>5174</v>
      </c>
      <c r="E441" t="s">
        <v>7614</v>
      </c>
      <c r="F441">
        <v>579.33000000000004</v>
      </c>
    </row>
    <row r="442" spans="1:6">
      <c r="A442" t="str">
        <f>("23-1550")</f>
        <v>23-1550</v>
      </c>
      <c r="B442" t="s">
        <v>5152</v>
      </c>
      <c r="C442" t="s">
        <v>7566</v>
      </c>
      <c r="D442" t="s">
        <v>7265</v>
      </c>
      <c r="E442" t="s">
        <v>7613</v>
      </c>
      <c r="F442">
        <v>634</v>
      </c>
    </row>
    <row r="443" spans="1:6">
      <c r="A443" t="str">
        <f>("23-1555")</f>
        <v>23-1555</v>
      </c>
      <c r="B443" t="s">
        <v>5152</v>
      </c>
      <c r="C443" t="s">
        <v>7566</v>
      </c>
      <c r="D443" t="s">
        <v>7265</v>
      </c>
      <c r="E443" t="s">
        <v>7613</v>
      </c>
      <c r="F443">
        <v>579.33000000000004</v>
      </c>
    </row>
    <row r="444" spans="1:6">
      <c r="A444" t="str">
        <f>("23-1680")</f>
        <v>23-1680</v>
      </c>
      <c r="B444" t="s">
        <v>5152</v>
      </c>
      <c r="C444" t="s">
        <v>7566</v>
      </c>
      <c r="D444" t="s">
        <v>5163</v>
      </c>
      <c r="E444" t="s">
        <v>7612</v>
      </c>
      <c r="F444">
        <v>759</v>
      </c>
    </row>
    <row r="445" spans="1:6">
      <c r="A445" t="str">
        <f>("23-1685")</f>
        <v>23-1685</v>
      </c>
      <c r="B445" t="s">
        <v>5152</v>
      </c>
      <c r="C445" t="s">
        <v>7566</v>
      </c>
      <c r="D445" t="s">
        <v>5163</v>
      </c>
      <c r="E445" t="s">
        <v>7612</v>
      </c>
      <c r="F445">
        <v>704.33</v>
      </c>
    </row>
    <row r="446" spans="1:6">
      <c r="A446" t="str">
        <f>("23-1880")</f>
        <v>23-1880</v>
      </c>
      <c r="B446" t="s">
        <v>5152</v>
      </c>
      <c r="C446" t="s">
        <v>7566</v>
      </c>
      <c r="D446" t="s">
        <v>5174</v>
      </c>
      <c r="E446" t="s">
        <v>7611</v>
      </c>
      <c r="F446">
        <v>759</v>
      </c>
    </row>
    <row r="447" spans="1:6">
      <c r="A447" t="str">
        <f>("23-1885")</f>
        <v>23-1885</v>
      </c>
      <c r="B447" t="s">
        <v>5152</v>
      </c>
      <c r="C447" t="s">
        <v>7566</v>
      </c>
      <c r="D447" t="s">
        <v>5174</v>
      </c>
      <c r="E447" t="s">
        <v>7611</v>
      </c>
      <c r="F447">
        <v>704.33</v>
      </c>
    </row>
    <row r="448" spans="1:6">
      <c r="A448" t="str">
        <f>("23-1950")</f>
        <v>23-1950</v>
      </c>
      <c r="B448" t="s">
        <v>5152</v>
      </c>
      <c r="C448" t="s">
        <v>7566</v>
      </c>
      <c r="D448" t="s">
        <v>5163</v>
      </c>
      <c r="E448" t="s">
        <v>7543</v>
      </c>
      <c r="F448">
        <v>759</v>
      </c>
    </row>
    <row r="449" spans="1:6">
      <c r="A449" t="str">
        <f>("23-1955")</f>
        <v>23-1955</v>
      </c>
      <c r="B449" t="s">
        <v>5152</v>
      </c>
      <c r="C449" t="s">
        <v>7566</v>
      </c>
      <c r="D449" t="s">
        <v>5163</v>
      </c>
      <c r="E449" t="s">
        <v>7543</v>
      </c>
      <c r="F449">
        <v>704.33</v>
      </c>
    </row>
    <row r="450" spans="1:6">
      <c r="A450" t="str">
        <f>("23-2110")</f>
        <v>23-2110</v>
      </c>
      <c r="B450" t="s">
        <v>5152</v>
      </c>
      <c r="C450" t="s">
        <v>7566</v>
      </c>
      <c r="D450" t="s">
        <v>7265</v>
      </c>
      <c r="E450" t="s">
        <v>7610</v>
      </c>
      <c r="F450">
        <v>556.67000000000007</v>
      </c>
    </row>
    <row r="451" spans="1:6">
      <c r="A451" t="str">
        <f>("23-2115")</f>
        <v>23-2115</v>
      </c>
      <c r="B451" t="s">
        <v>5152</v>
      </c>
      <c r="C451" t="s">
        <v>7566</v>
      </c>
      <c r="D451" t="s">
        <v>7265</v>
      </c>
      <c r="E451" t="s">
        <v>7610</v>
      </c>
      <c r="F451">
        <v>504.67</v>
      </c>
    </row>
    <row r="452" spans="1:6">
      <c r="A452" t="str">
        <f>("23-2135")</f>
        <v>23-2135</v>
      </c>
      <c r="B452" t="s">
        <v>5152</v>
      </c>
      <c r="C452" t="s">
        <v>7566</v>
      </c>
      <c r="D452" t="s">
        <v>7609</v>
      </c>
      <c r="E452" t="s">
        <v>7608</v>
      </c>
      <c r="F452">
        <v>579.33000000000004</v>
      </c>
    </row>
    <row r="453" spans="1:6">
      <c r="A453" t="str">
        <f>("23-2310")</f>
        <v>23-2310</v>
      </c>
      <c r="B453" t="s">
        <v>5152</v>
      </c>
      <c r="C453" t="s">
        <v>7566</v>
      </c>
      <c r="D453" t="s">
        <v>5184</v>
      </c>
      <c r="E453" t="s">
        <v>7450</v>
      </c>
      <c r="F453">
        <v>634</v>
      </c>
    </row>
    <row r="454" spans="1:6">
      <c r="A454" t="str">
        <f>("23-2315")</f>
        <v>23-2315</v>
      </c>
      <c r="B454" t="s">
        <v>5152</v>
      </c>
      <c r="C454" t="s">
        <v>7566</v>
      </c>
      <c r="D454" t="s">
        <v>5181</v>
      </c>
      <c r="E454" t="s">
        <v>7450</v>
      </c>
      <c r="F454">
        <v>579.33000000000004</v>
      </c>
    </row>
    <row r="455" spans="1:6">
      <c r="A455" t="str">
        <f>("23-2320")</f>
        <v>23-2320</v>
      </c>
      <c r="B455" t="s">
        <v>5152</v>
      </c>
      <c r="C455" t="s">
        <v>7566</v>
      </c>
      <c r="D455" t="s">
        <v>5184</v>
      </c>
      <c r="E455" t="s">
        <v>7607</v>
      </c>
      <c r="F455">
        <v>556.67000000000007</v>
      </c>
    </row>
    <row r="456" spans="1:6">
      <c r="A456" t="str">
        <f>("23-2325")</f>
        <v>23-2325</v>
      </c>
      <c r="B456" t="s">
        <v>5152</v>
      </c>
      <c r="C456" t="s">
        <v>7566</v>
      </c>
      <c r="D456" t="s">
        <v>5181</v>
      </c>
      <c r="E456" t="s">
        <v>7607</v>
      </c>
      <c r="F456">
        <v>504.67</v>
      </c>
    </row>
    <row r="457" spans="1:6">
      <c r="A457" t="str">
        <f>("23-2345")</f>
        <v>23-2345</v>
      </c>
      <c r="B457" t="s">
        <v>5152</v>
      </c>
      <c r="C457" t="s">
        <v>7566</v>
      </c>
      <c r="D457" t="s">
        <v>5174</v>
      </c>
      <c r="E457" t="s">
        <v>7606</v>
      </c>
      <c r="F457">
        <v>504.67</v>
      </c>
    </row>
    <row r="458" spans="1:6">
      <c r="A458" t="str">
        <f>("23-2350")</f>
        <v>23-2350</v>
      </c>
      <c r="B458" t="s">
        <v>5152</v>
      </c>
      <c r="C458" t="s">
        <v>7566</v>
      </c>
      <c r="D458" t="s">
        <v>5174</v>
      </c>
      <c r="E458" t="s">
        <v>7605</v>
      </c>
      <c r="F458">
        <v>759</v>
      </c>
    </row>
    <row r="459" spans="1:6">
      <c r="A459" t="str">
        <f>("23-2355")</f>
        <v>23-2355</v>
      </c>
      <c r="B459" t="s">
        <v>5152</v>
      </c>
      <c r="C459" t="s">
        <v>7566</v>
      </c>
      <c r="D459" t="s">
        <v>5174</v>
      </c>
      <c r="E459" t="s">
        <v>7605</v>
      </c>
      <c r="F459">
        <v>704.33</v>
      </c>
    </row>
    <row r="460" spans="1:6">
      <c r="A460" t="str">
        <f>("23-2360")</f>
        <v>23-2360</v>
      </c>
      <c r="B460" t="s">
        <v>5152</v>
      </c>
      <c r="C460" t="s">
        <v>7566</v>
      </c>
      <c r="D460" t="s">
        <v>7292</v>
      </c>
      <c r="E460" t="s">
        <v>7604</v>
      </c>
      <c r="F460">
        <v>759</v>
      </c>
    </row>
    <row r="461" spans="1:6">
      <c r="A461" t="str">
        <f>("23-2365")</f>
        <v>23-2365</v>
      </c>
      <c r="B461" t="s">
        <v>5152</v>
      </c>
      <c r="C461" t="s">
        <v>7566</v>
      </c>
      <c r="D461" t="s">
        <v>7292</v>
      </c>
      <c r="E461" t="s">
        <v>7603</v>
      </c>
      <c r="F461">
        <v>704.33</v>
      </c>
    </row>
    <row r="462" spans="1:6">
      <c r="A462" t="str">
        <f>("23-2400")</f>
        <v>23-2400</v>
      </c>
      <c r="B462" t="s">
        <v>5152</v>
      </c>
      <c r="C462" t="s">
        <v>7566</v>
      </c>
      <c r="D462" t="s">
        <v>5150</v>
      </c>
      <c r="E462" t="s">
        <v>7602</v>
      </c>
      <c r="F462">
        <v>759</v>
      </c>
    </row>
    <row r="463" spans="1:6">
      <c r="A463" t="str">
        <f>("23-2405")</f>
        <v>23-2405</v>
      </c>
      <c r="B463" t="s">
        <v>5152</v>
      </c>
      <c r="C463" t="s">
        <v>7566</v>
      </c>
      <c r="D463" t="s">
        <v>5150</v>
      </c>
      <c r="E463" t="s">
        <v>7602</v>
      </c>
      <c r="F463">
        <v>704.33</v>
      </c>
    </row>
    <row r="464" spans="1:6">
      <c r="A464" t="str">
        <f>("23-2510")</f>
        <v>23-2510</v>
      </c>
      <c r="B464" t="s">
        <v>5152</v>
      </c>
      <c r="C464" t="s">
        <v>7566</v>
      </c>
      <c r="D464" t="s">
        <v>5150</v>
      </c>
      <c r="E464" t="s">
        <v>7460</v>
      </c>
      <c r="F464">
        <v>759</v>
      </c>
    </row>
    <row r="465" spans="1:6">
      <c r="A465" t="str">
        <f>("23-2515")</f>
        <v>23-2515</v>
      </c>
      <c r="B465" t="s">
        <v>5152</v>
      </c>
      <c r="C465" t="s">
        <v>7566</v>
      </c>
      <c r="D465" t="s">
        <v>5150</v>
      </c>
      <c r="E465" t="s">
        <v>7460</v>
      </c>
      <c r="F465">
        <v>704.33</v>
      </c>
    </row>
    <row r="466" spans="1:6">
      <c r="A466" t="str">
        <f>("23-2670")</f>
        <v>23-2670</v>
      </c>
      <c r="B466" t="s">
        <v>5152</v>
      </c>
      <c r="C466" t="s">
        <v>7566</v>
      </c>
      <c r="D466" t="s">
        <v>5150</v>
      </c>
      <c r="E466" t="s">
        <v>6695</v>
      </c>
      <c r="F466">
        <v>634</v>
      </c>
    </row>
    <row r="467" spans="1:6">
      <c r="A467" t="str">
        <f>("23-2675")</f>
        <v>23-2675</v>
      </c>
      <c r="B467" t="s">
        <v>5152</v>
      </c>
      <c r="C467" t="s">
        <v>7566</v>
      </c>
      <c r="D467" t="s">
        <v>5150</v>
      </c>
      <c r="E467" t="s">
        <v>6695</v>
      </c>
      <c r="F467">
        <v>579.33000000000004</v>
      </c>
    </row>
    <row r="468" spans="1:6">
      <c r="A468" t="str">
        <f>("23-2750")</f>
        <v>23-2750</v>
      </c>
      <c r="B468" t="s">
        <v>5152</v>
      </c>
      <c r="C468" t="s">
        <v>7566</v>
      </c>
      <c r="D468" t="s">
        <v>5158</v>
      </c>
      <c r="E468" t="s">
        <v>6368</v>
      </c>
      <c r="F468">
        <v>759</v>
      </c>
    </row>
    <row r="469" spans="1:6">
      <c r="A469" t="str">
        <f>("23-2770")</f>
        <v>23-2770</v>
      </c>
      <c r="B469" t="s">
        <v>5152</v>
      </c>
      <c r="C469" t="s">
        <v>7566</v>
      </c>
      <c r="D469" t="s">
        <v>5150</v>
      </c>
      <c r="E469" t="s">
        <v>5254</v>
      </c>
      <c r="F469">
        <v>759</v>
      </c>
    </row>
    <row r="470" spans="1:6">
      <c r="A470" t="str">
        <f>("23-2775")</f>
        <v>23-2775</v>
      </c>
      <c r="B470" t="s">
        <v>5152</v>
      </c>
      <c r="C470" t="s">
        <v>7566</v>
      </c>
      <c r="D470" t="s">
        <v>5150</v>
      </c>
      <c r="E470" t="s">
        <v>5254</v>
      </c>
      <c r="F470">
        <v>704.33</v>
      </c>
    </row>
    <row r="471" spans="1:6">
      <c r="A471" t="str">
        <f>("23-2790")</f>
        <v>23-2790</v>
      </c>
      <c r="B471" t="s">
        <v>5152</v>
      </c>
      <c r="C471" t="s">
        <v>7566</v>
      </c>
      <c r="D471" t="s">
        <v>5184</v>
      </c>
      <c r="E471" t="s">
        <v>7601</v>
      </c>
      <c r="F471">
        <v>759</v>
      </c>
    </row>
    <row r="472" spans="1:6">
      <c r="A472" t="str">
        <f>("23-2795")</f>
        <v>23-2795</v>
      </c>
      <c r="B472" t="s">
        <v>5152</v>
      </c>
      <c r="C472" t="s">
        <v>7566</v>
      </c>
      <c r="D472" t="s">
        <v>5184</v>
      </c>
      <c r="E472" t="s">
        <v>7601</v>
      </c>
      <c r="F472">
        <v>704.33</v>
      </c>
    </row>
    <row r="473" spans="1:6">
      <c r="A473" t="str">
        <f>("23-2800")</f>
        <v>23-2800</v>
      </c>
      <c r="B473" t="s">
        <v>5152</v>
      </c>
      <c r="C473" t="s">
        <v>7566</v>
      </c>
      <c r="D473" t="s">
        <v>5184</v>
      </c>
      <c r="E473" t="s">
        <v>7600</v>
      </c>
      <c r="F473">
        <v>634</v>
      </c>
    </row>
    <row r="474" spans="1:6">
      <c r="A474" t="str">
        <f>("23-2805")</f>
        <v>23-2805</v>
      </c>
      <c r="B474" t="s">
        <v>5152</v>
      </c>
      <c r="C474" t="s">
        <v>7566</v>
      </c>
      <c r="D474" t="s">
        <v>5184</v>
      </c>
      <c r="E474" t="s">
        <v>7600</v>
      </c>
      <c r="F474">
        <v>579.33000000000004</v>
      </c>
    </row>
    <row r="475" spans="1:6">
      <c r="A475" t="str">
        <f>("23-2860")</f>
        <v>23-2860</v>
      </c>
      <c r="B475" t="s">
        <v>5152</v>
      </c>
      <c r="C475" t="s">
        <v>7566</v>
      </c>
      <c r="D475" t="s">
        <v>7599</v>
      </c>
      <c r="E475" t="s">
        <v>7598</v>
      </c>
      <c r="F475">
        <v>634</v>
      </c>
    </row>
    <row r="476" spans="1:6">
      <c r="A476" t="str">
        <f>("23-2880")</f>
        <v>23-2880</v>
      </c>
      <c r="B476" t="s">
        <v>5152</v>
      </c>
      <c r="C476" t="s">
        <v>7566</v>
      </c>
      <c r="D476" t="s">
        <v>5362</v>
      </c>
      <c r="E476" t="s">
        <v>7427</v>
      </c>
      <c r="F476">
        <v>759</v>
      </c>
    </row>
    <row r="477" spans="1:6">
      <c r="A477" t="str">
        <f>("23-2885")</f>
        <v>23-2885</v>
      </c>
      <c r="B477" t="s">
        <v>5152</v>
      </c>
      <c r="C477" t="s">
        <v>7566</v>
      </c>
      <c r="D477" t="s">
        <v>5362</v>
      </c>
      <c r="E477" t="s">
        <v>7427</v>
      </c>
      <c r="F477">
        <v>704.33</v>
      </c>
    </row>
    <row r="478" spans="1:6">
      <c r="A478" t="str">
        <f>("23-2890")</f>
        <v>23-2890</v>
      </c>
      <c r="B478" t="s">
        <v>5152</v>
      </c>
      <c r="C478" t="s">
        <v>7566</v>
      </c>
      <c r="D478" t="s">
        <v>5150</v>
      </c>
      <c r="E478" t="s">
        <v>7597</v>
      </c>
      <c r="F478">
        <v>688.33</v>
      </c>
    </row>
    <row r="479" spans="1:6">
      <c r="A479" t="str">
        <f>("23-2895")</f>
        <v>23-2895</v>
      </c>
      <c r="B479" t="s">
        <v>5152</v>
      </c>
      <c r="C479" t="s">
        <v>7566</v>
      </c>
      <c r="D479" t="s">
        <v>5150</v>
      </c>
      <c r="E479" t="s">
        <v>7597</v>
      </c>
      <c r="F479">
        <v>604.32999999999993</v>
      </c>
    </row>
    <row r="480" spans="1:6">
      <c r="A480" t="str">
        <f>("23-2900")</f>
        <v>23-2900</v>
      </c>
      <c r="B480" t="s">
        <v>5152</v>
      </c>
      <c r="C480" t="s">
        <v>7566</v>
      </c>
      <c r="D480" t="s">
        <v>5184</v>
      </c>
      <c r="E480" t="s">
        <v>7596</v>
      </c>
      <c r="F480">
        <v>951.67</v>
      </c>
    </row>
    <row r="481" spans="1:6">
      <c r="A481" t="str">
        <f>("23-2975")</f>
        <v>23-2975</v>
      </c>
      <c r="B481" t="s">
        <v>5152</v>
      </c>
      <c r="C481" t="s">
        <v>7566</v>
      </c>
      <c r="D481" t="s">
        <v>5160</v>
      </c>
      <c r="E481" t="s">
        <v>7595</v>
      </c>
      <c r="F481">
        <v>579.33000000000004</v>
      </c>
    </row>
    <row r="482" spans="1:6">
      <c r="A482" t="str">
        <f>("23-2990")</f>
        <v>23-2990</v>
      </c>
      <c r="B482" t="s">
        <v>5152</v>
      </c>
      <c r="C482" t="s">
        <v>7566</v>
      </c>
      <c r="D482" t="s">
        <v>5163</v>
      </c>
      <c r="E482" t="s">
        <v>7594</v>
      </c>
      <c r="F482">
        <v>759</v>
      </c>
    </row>
    <row r="483" spans="1:6">
      <c r="A483" t="str">
        <f>("23-2995")</f>
        <v>23-2995</v>
      </c>
      <c r="B483" t="s">
        <v>5152</v>
      </c>
      <c r="C483" t="s">
        <v>7566</v>
      </c>
      <c r="D483" t="s">
        <v>5163</v>
      </c>
      <c r="E483" t="s">
        <v>7593</v>
      </c>
      <c r="F483">
        <v>704.33</v>
      </c>
    </row>
    <row r="484" spans="1:6">
      <c r="A484" t="str">
        <f>("23-3000")</f>
        <v>23-3000</v>
      </c>
      <c r="B484" t="s">
        <v>5152</v>
      </c>
      <c r="C484" t="s">
        <v>7566</v>
      </c>
      <c r="D484" t="s">
        <v>5163</v>
      </c>
      <c r="E484" t="s">
        <v>7592</v>
      </c>
      <c r="F484">
        <v>634</v>
      </c>
    </row>
    <row r="485" spans="1:6">
      <c r="A485" t="str">
        <f>("23-3005")</f>
        <v>23-3005</v>
      </c>
      <c r="B485" t="s">
        <v>5152</v>
      </c>
      <c r="C485" t="s">
        <v>7566</v>
      </c>
      <c r="D485" t="s">
        <v>5163</v>
      </c>
      <c r="E485" t="s">
        <v>7592</v>
      </c>
      <c r="F485">
        <v>579.33000000000004</v>
      </c>
    </row>
    <row r="486" spans="1:6">
      <c r="A486" t="str">
        <f>("23-3040")</f>
        <v>23-3040</v>
      </c>
      <c r="B486" t="s">
        <v>5152</v>
      </c>
      <c r="C486" t="s">
        <v>7566</v>
      </c>
      <c r="D486" t="s">
        <v>5174</v>
      </c>
      <c r="E486" t="s">
        <v>7591</v>
      </c>
      <c r="F486">
        <v>634</v>
      </c>
    </row>
    <row r="487" spans="1:6">
      <c r="A487" t="str">
        <f>("23-3140")</f>
        <v>23-3140</v>
      </c>
      <c r="B487" t="s">
        <v>5152</v>
      </c>
      <c r="C487" t="s">
        <v>7566</v>
      </c>
      <c r="D487" t="s">
        <v>7589</v>
      </c>
      <c r="E487" t="s">
        <v>7590</v>
      </c>
      <c r="F487">
        <v>634</v>
      </c>
    </row>
    <row r="488" spans="1:6">
      <c r="A488" t="str">
        <f>("23-3150")</f>
        <v>23-3150</v>
      </c>
      <c r="B488" t="s">
        <v>5152</v>
      </c>
      <c r="C488" t="s">
        <v>7566</v>
      </c>
      <c r="D488" t="s">
        <v>7589</v>
      </c>
      <c r="E488" t="s">
        <v>7588</v>
      </c>
      <c r="F488">
        <v>634</v>
      </c>
    </row>
    <row r="489" spans="1:6">
      <c r="A489" t="str">
        <f>("23-3155")</f>
        <v>23-3155</v>
      </c>
      <c r="B489" t="s">
        <v>5152</v>
      </c>
      <c r="C489" t="s">
        <v>7566</v>
      </c>
      <c r="D489" t="s">
        <v>7589</v>
      </c>
      <c r="E489" t="s">
        <v>7588</v>
      </c>
      <c r="F489">
        <v>579.33000000000004</v>
      </c>
    </row>
    <row r="490" spans="1:6">
      <c r="A490" t="str">
        <f>("23-3240")</f>
        <v>23-3240</v>
      </c>
      <c r="B490" t="s">
        <v>5152</v>
      </c>
      <c r="C490" t="s">
        <v>7566</v>
      </c>
      <c r="D490" t="s">
        <v>5150</v>
      </c>
      <c r="E490" t="s">
        <v>5252</v>
      </c>
      <c r="F490">
        <v>759</v>
      </c>
    </row>
    <row r="491" spans="1:6">
      <c r="A491" t="str">
        <f>("23-3245")</f>
        <v>23-3245</v>
      </c>
      <c r="B491" t="s">
        <v>5152</v>
      </c>
      <c r="C491" t="s">
        <v>7566</v>
      </c>
      <c r="D491" t="s">
        <v>5150</v>
      </c>
      <c r="E491" t="s">
        <v>5252</v>
      </c>
      <c r="F491">
        <v>704.33</v>
      </c>
    </row>
    <row r="492" spans="1:6">
      <c r="A492" t="str">
        <f>("23-3250")</f>
        <v>23-3250</v>
      </c>
      <c r="B492" t="s">
        <v>5152</v>
      </c>
      <c r="C492" t="s">
        <v>7566</v>
      </c>
      <c r="D492" t="s">
        <v>5150</v>
      </c>
      <c r="E492" t="s">
        <v>5155</v>
      </c>
      <c r="F492">
        <v>801.67</v>
      </c>
    </row>
    <row r="493" spans="1:6">
      <c r="A493" t="str">
        <f>("23-3255")</f>
        <v>23-3255</v>
      </c>
      <c r="B493" t="s">
        <v>5152</v>
      </c>
      <c r="C493" t="s">
        <v>7566</v>
      </c>
      <c r="D493" t="s">
        <v>5150</v>
      </c>
      <c r="E493" t="s">
        <v>5155</v>
      </c>
      <c r="F493">
        <v>731</v>
      </c>
    </row>
    <row r="494" spans="1:6">
      <c r="A494" t="str">
        <f>("23-3265")</f>
        <v>23-3265</v>
      </c>
      <c r="B494" t="s">
        <v>5152</v>
      </c>
      <c r="C494" t="s">
        <v>7566</v>
      </c>
      <c r="D494" t="s">
        <v>5150</v>
      </c>
      <c r="E494" t="s">
        <v>7587</v>
      </c>
      <c r="F494">
        <v>504.67</v>
      </c>
    </row>
    <row r="495" spans="1:6">
      <c r="A495" t="str">
        <f>("23-3295")</f>
        <v>23-3295</v>
      </c>
      <c r="B495" t="s">
        <v>5152</v>
      </c>
      <c r="C495" t="s">
        <v>7566</v>
      </c>
      <c r="D495" t="s">
        <v>5160</v>
      </c>
      <c r="E495" t="s">
        <v>5161</v>
      </c>
      <c r="F495">
        <v>579.33000000000004</v>
      </c>
    </row>
    <row r="496" spans="1:6">
      <c r="A496" t="str">
        <f>("23-3315")</f>
        <v>23-3315</v>
      </c>
      <c r="B496" t="s">
        <v>5152</v>
      </c>
      <c r="C496" t="s">
        <v>7566</v>
      </c>
      <c r="D496" t="s">
        <v>5160</v>
      </c>
      <c r="E496" t="s">
        <v>6685</v>
      </c>
      <c r="F496">
        <v>504.67</v>
      </c>
    </row>
    <row r="497" spans="1:6">
      <c r="A497" t="str">
        <f>("23-3380")</f>
        <v>23-3380</v>
      </c>
      <c r="B497" t="s">
        <v>5152</v>
      </c>
      <c r="C497" t="s">
        <v>7566</v>
      </c>
      <c r="D497" t="s">
        <v>7586</v>
      </c>
      <c r="E497" t="s">
        <v>7585</v>
      </c>
      <c r="F497">
        <v>634</v>
      </c>
    </row>
    <row r="498" spans="1:6">
      <c r="A498" t="str">
        <f>("23-3405")</f>
        <v>23-3405</v>
      </c>
      <c r="B498" t="s">
        <v>5152</v>
      </c>
      <c r="C498" t="s">
        <v>7566</v>
      </c>
      <c r="D498" t="s">
        <v>5184</v>
      </c>
      <c r="E498" t="s">
        <v>7584</v>
      </c>
      <c r="F498">
        <v>579.33000000000004</v>
      </c>
    </row>
    <row r="499" spans="1:6">
      <c r="A499" t="str">
        <f>("23-3500")</f>
        <v>23-3500</v>
      </c>
      <c r="B499" t="s">
        <v>5152</v>
      </c>
      <c r="C499" t="s">
        <v>7566</v>
      </c>
      <c r="D499" t="s">
        <v>5174</v>
      </c>
      <c r="E499" t="s">
        <v>7583</v>
      </c>
      <c r="F499">
        <v>556.67000000000007</v>
      </c>
    </row>
    <row r="500" spans="1:6">
      <c r="A500" t="str">
        <f>("23-3505")</f>
        <v>23-3505</v>
      </c>
      <c r="B500" t="s">
        <v>5152</v>
      </c>
      <c r="C500" t="s">
        <v>7566</v>
      </c>
      <c r="D500" t="s">
        <v>5174</v>
      </c>
      <c r="E500" t="s">
        <v>7583</v>
      </c>
      <c r="F500">
        <v>504.67</v>
      </c>
    </row>
    <row r="501" spans="1:6">
      <c r="A501" t="str">
        <f>("23-3510")</f>
        <v>23-3510</v>
      </c>
      <c r="B501" t="s">
        <v>5152</v>
      </c>
      <c r="C501" t="s">
        <v>7566</v>
      </c>
      <c r="D501" t="s">
        <v>5174</v>
      </c>
      <c r="E501" t="s">
        <v>7582</v>
      </c>
      <c r="F501">
        <v>634</v>
      </c>
    </row>
    <row r="502" spans="1:6">
      <c r="A502" t="str">
        <f>("23-3515")</f>
        <v>23-3515</v>
      </c>
      <c r="B502" t="s">
        <v>5152</v>
      </c>
      <c r="C502" t="s">
        <v>7566</v>
      </c>
      <c r="D502" t="s">
        <v>5174</v>
      </c>
      <c r="E502" t="s">
        <v>7582</v>
      </c>
      <c r="F502">
        <v>579.33000000000004</v>
      </c>
    </row>
    <row r="503" spans="1:6">
      <c r="A503" t="str">
        <f>("23-3520")</f>
        <v>23-3520</v>
      </c>
      <c r="B503" t="s">
        <v>5152</v>
      </c>
      <c r="C503" t="s">
        <v>7566</v>
      </c>
      <c r="D503" t="s">
        <v>5174</v>
      </c>
      <c r="E503" t="s">
        <v>5176</v>
      </c>
      <c r="F503">
        <v>759</v>
      </c>
    </row>
    <row r="504" spans="1:6">
      <c r="A504" t="str">
        <f>("23-3525")</f>
        <v>23-3525</v>
      </c>
      <c r="B504" t="s">
        <v>5152</v>
      </c>
      <c r="C504" t="s">
        <v>7566</v>
      </c>
      <c r="D504" t="s">
        <v>5174</v>
      </c>
      <c r="E504" t="s">
        <v>5176</v>
      </c>
      <c r="F504">
        <v>704.33</v>
      </c>
    </row>
    <row r="505" spans="1:6">
      <c r="A505" t="str">
        <f>("23-3540")</f>
        <v>23-3540</v>
      </c>
      <c r="B505" t="s">
        <v>5152</v>
      </c>
      <c r="C505" t="s">
        <v>7566</v>
      </c>
      <c r="D505" t="s">
        <v>5181</v>
      </c>
      <c r="E505" t="s">
        <v>7540</v>
      </c>
      <c r="F505">
        <v>556.67000000000007</v>
      </c>
    </row>
    <row r="506" spans="1:6">
      <c r="A506" t="str">
        <f>("23-3545")</f>
        <v>23-3545</v>
      </c>
      <c r="B506" t="s">
        <v>5152</v>
      </c>
      <c r="C506" t="s">
        <v>7566</v>
      </c>
      <c r="D506" t="s">
        <v>5181</v>
      </c>
      <c r="E506" t="s">
        <v>7540</v>
      </c>
      <c r="F506">
        <v>504.67</v>
      </c>
    </row>
    <row r="507" spans="1:6">
      <c r="A507" t="str">
        <f>("23-3550")</f>
        <v>23-3550</v>
      </c>
      <c r="B507" t="s">
        <v>5152</v>
      </c>
      <c r="C507" t="s">
        <v>7566</v>
      </c>
      <c r="D507" t="s">
        <v>5181</v>
      </c>
      <c r="E507" t="s">
        <v>5251</v>
      </c>
      <c r="F507">
        <v>634</v>
      </c>
    </row>
    <row r="508" spans="1:6">
      <c r="A508" t="str">
        <f>("23-3555")</f>
        <v>23-3555</v>
      </c>
      <c r="B508" t="s">
        <v>5152</v>
      </c>
      <c r="C508" t="s">
        <v>7566</v>
      </c>
      <c r="D508" t="s">
        <v>5181</v>
      </c>
      <c r="E508" t="s">
        <v>5251</v>
      </c>
      <c r="F508">
        <v>579.33000000000004</v>
      </c>
    </row>
    <row r="509" spans="1:6">
      <c r="A509" t="str">
        <f>("23-3560")</f>
        <v>23-3560</v>
      </c>
      <c r="B509" t="s">
        <v>5152</v>
      </c>
      <c r="C509" t="s">
        <v>7566</v>
      </c>
      <c r="D509" t="s">
        <v>5181</v>
      </c>
      <c r="E509" t="s">
        <v>7581</v>
      </c>
      <c r="F509">
        <v>759</v>
      </c>
    </row>
    <row r="510" spans="1:6">
      <c r="A510" t="str">
        <f>("23-3565")</f>
        <v>23-3565</v>
      </c>
      <c r="B510" t="s">
        <v>5152</v>
      </c>
      <c r="C510" t="s">
        <v>7566</v>
      </c>
      <c r="D510" t="s">
        <v>5181</v>
      </c>
      <c r="E510" t="s">
        <v>7581</v>
      </c>
      <c r="F510">
        <v>731</v>
      </c>
    </row>
    <row r="511" spans="1:6">
      <c r="A511" t="str">
        <f>("23-3570")</f>
        <v>23-3570</v>
      </c>
      <c r="B511" t="s">
        <v>5152</v>
      </c>
      <c r="C511" t="s">
        <v>7566</v>
      </c>
      <c r="D511" t="s">
        <v>5178</v>
      </c>
      <c r="E511" t="s">
        <v>7580</v>
      </c>
      <c r="F511">
        <v>801.67</v>
      </c>
    </row>
    <row r="512" spans="1:6">
      <c r="A512" t="str">
        <f>("23-3575")</f>
        <v>23-3575</v>
      </c>
      <c r="B512" t="s">
        <v>5152</v>
      </c>
      <c r="C512" t="s">
        <v>7566</v>
      </c>
      <c r="D512" t="s">
        <v>5178</v>
      </c>
      <c r="E512" t="s">
        <v>7580</v>
      </c>
      <c r="F512">
        <v>731</v>
      </c>
    </row>
    <row r="513" spans="1:6">
      <c r="A513" t="str">
        <f>("23-3585")</f>
        <v>23-3585</v>
      </c>
      <c r="B513" t="s">
        <v>5152</v>
      </c>
      <c r="C513" t="s">
        <v>7566</v>
      </c>
      <c r="D513" t="s">
        <v>5150</v>
      </c>
      <c r="E513" t="s">
        <v>7579</v>
      </c>
      <c r="F513">
        <v>579.33000000000004</v>
      </c>
    </row>
    <row r="514" spans="1:6">
      <c r="A514" t="str">
        <f>("23-3600")</f>
        <v>23-3600</v>
      </c>
      <c r="B514" t="s">
        <v>5152</v>
      </c>
      <c r="C514" t="s">
        <v>7566</v>
      </c>
      <c r="D514" t="s">
        <v>5174</v>
      </c>
      <c r="E514" t="s">
        <v>7578</v>
      </c>
      <c r="F514">
        <v>634</v>
      </c>
    </row>
    <row r="515" spans="1:6">
      <c r="A515" t="str">
        <f>("23-3605")</f>
        <v>23-3605</v>
      </c>
      <c r="B515" t="s">
        <v>5152</v>
      </c>
      <c r="C515" t="s">
        <v>7566</v>
      </c>
      <c r="D515" t="s">
        <v>5174</v>
      </c>
      <c r="E515" t="s">
        <v>7578</v>
      </c>
      <c r="F515">
        <v>579.33000000000004</v>
      </c>
    </row>
    <row r="516" spans="1:6">
      <c r="A516" t="str">
        <f>("23-3610")</f>
        <v>23-3610</v>
      </c>
      <c r="B516" t="s">
        <v>5152</v>
      </c>
      <c r="C516" t="s">
        <v>7566</v>
      </c>
      <c r="D516" t="s">
        <v>5160</v>
      </c>
      <c r="E516" t="s">
        <v>7577</v>
      </c>
      <c r="F516">
        <v>634</v>
      </c>
    </row>
    <row r="517" spans="1:6">
      <c r="A517" t="str">
        <f>("23-3615")</f>
        <v>23-3615</v>
      </c>
      <c r="B517" t="s">
        <v>5152</v>
      </c>
      <c r="C517" t="s">
        <v>7566</v>
      </c>
      <c r="D517" t="s">
        <v>5160</v>
      </c>
      <c r="E517" t="s">
        <v>7577</v>
      </c>
      <c r="F517">
        <v>579.33000000000004</v>
      </c>
    </row>
    <row r="518" spans="1:6">
      <c r="A518" t="str">
        <f>("23-3690")</f>
        <v>23-3690</v>
      </c>
      <c r="B518" t="s">
        <v>5152</v>
      </c>
      <c r="C518" t="s">
        <v>7566</v>
      </c>
      <c r="D518" t="s">
        <v>5150</v>
      </c>
      <c r="E518" t="s">
        <v>7436</v>
      </c>
      <c r="F518">
        <v>556.67000000000007</v>
      </c>
    </row>
    <row r="519" spans="1:6">
      <c r="A519" t="str">
        <f>("23-3695")</f>
        <v>23-3695</v>
      </c>
      <c r="B519" t="s">
        <v>5152</v>
      </c>
      <c r="C519" t="s">
        <v>7566</v>
      </c>
      <c r="D519" t="s">
        <v>5150</v>
      </c>
      <c r="E519" t="s">
        <v>7436</v>
      </c>
      <c r="F519">
        <v>504.67</v>
      </c>
    </row>
    <row r="520" spans="1:6">
      <c r="A520" t="str">
        <f>("23-3710")</f>
        <v>23-3710</v>
      </c>
      <c r="B520" t="s">
        <v>5152</v>
      </c>
      <c r="C520" t="s">
        <v>7566</v>
      </c>
      <c r="D520" t="s">
        <v>5163</v>
      </c>
      <c r="E520" t="s">
        <v>7576</v>
      </c>
      <c r="F520">
        <v>788.33</v>
      </c>
    </row>
    <row r="521" spans="1:6">
      <c r="A521" t="str">
        <f>("23-3715")</f>
        <v>23-3715</v>
      </c>
      <c r="B521" t="s">
        <v>5152</v>
      </c>
      <c r="C521" t="s">
        <v>7566</v>
      </c>
      <c r="D521" t="s">
        <v>5163</v>
      </c>
      <c r="E521" t="s">
        <v>7576</v>
      </c>
      <c r="F521">
        <v>729.67</v>
      </c>
    </row>
    <row r="522" spans="1:6">
      <c r="A522" t="str">
        <f>("23-3810")</f>
        <v>23-3810</v>
      </c>
      <c r="B522" t="s">
        <v>5152</v>
      </c>
      <c r="C522" t="s">
        <v>7566</v>
      </c>
      <c r="D522" t="s">
        <v>5163</v>
      </c>
      <c r="E522" t="s">
        <v>7575</v>
      </c>
      <c r="F522">
        <v>759</v>
      </c>
    </row>
    <row r="523" spans="1:6">
      <c r="A523" t="str">
        <f>("23-3815")</f>
        <v>23-3815</v>
      </c>
      <c r="B523" t="s">
        <v>5152</v>
      </c>
      <c r="C523" t="s">
        <v>7566</v>
      </c>
      <c r="D523" t="s">
        <v>5163</v>
      </c>
      <c r="E523" t="s">
        <v>7575</v>
      </c>
      <c r="F523">
        <v>704.33</v>
      </c>
    </row>
    <row r="524" spans="1:6">
      <c r="A524" t="str">
        <f>("23-3820")</f>
        <v>23-3820</v>
      </c>
      <c r="B524" t="s">
        <v>5152</v>
      </c>
      <c r="C524" t="s">
        <v>7566</v>
      </c>
      <c r="D524" t="s">
        <v>5163</v>
      </c>
      <c r="E524" t="s">
        <v>7574</v>
      </c>
      <c r="F524">
        <v>759</v>
      </c>
    </row>
    <row r="525" spans="1:6">
      <c r="A525" t="str">
        <f>("23-3825")</f>
        <v>23-3825</v>
      </c>
      <c r="B525" t="s">
        <v>5152</v>
      </c>
      <c r="C525" t="s">
        <v>7566</v>
      </c>
      <c r="D525" t="s">
        <v>5163</v>
      </c>
      <c r="E525" t="s">
        <v>7574</v>
      </c>
      <c r="F525">
        <v>704.33</v>
      </c>
    </row>
    <row r="526" spans="1:6">
      <c r="A526" t="str">
        <f>("23-3835")</f>
        <v>23-3835</v>
      </c>
      <c r="B526" t="s">
        <v>5152</v>
      </c>
      <c r="C526" t="s">
        <v>7566</v>
      </c>
      <c r="D526" t="s">
        <v>5150</v>
      </c>
      <c r="E526" t="s">
        <v>7573</v>
      </c>
      <c r="F526">
        <v>579.33000000000004</v>
      </c>
    </row>
    <row r="527" spans="1:6">
      <c r="A527" t="str">
        <f>("23-3840")</f>
        <v>23-3840</v>
      </c>
      <c r="B527" t="s">
        <v>5152</v>
      </c>
      <c r="C527" t="s">
        <v>7566</v>
      </c>
      <c r="D527" t="s">
        <v>5163</v>
      </c>
      <c r="E527" t="s">
        <v>7572</v>
      </c>
      <c r="F527">
        <v>556.67000000000007</v>
      </c>
    </row>
    <row r="528" spans="1:6">
      <c r="A528" t="str">
        <f>("23-3845")</f>
        <v>23-3845</v>
      </c>
      <c r="B528" t="s">
        <v>5152</v>
      </c>
      <c r="C528" t="s">
        <v>7566</v>
      </c>
      <c r="D528" t="s">
        <v>5163</v>
      </c>
      <c r="E528" t="s">
        <v>7572</v>
      </c>
      <c r="F528">
        <v>504.67</v>
      </c>
    </row>
    <row r="529" spans="1:6">
      <c r="A529" t="str">
        <f>("23-3855")</f>
        <v>23-3855</v>
      </c>
      <c r="B529" t="s">
        <v>5152</v>
      </c>
      <c r="C529" t="s">
        <v>7566</v>
      </c>
      <c r="D529" t="s">
        <v>5163</v>
      </c>
      <c r="E529" t="s">
        <v>7571</v>
      </c>
      <c r="F529">
        <v>704.33</v>
      </c>
    </row>
    <row r="530" spans="1:6">
      <c r="A530" t="str">
        <f>("23-3865")</f>
        <v>23-3865</v>
      </c>
      <c r="B530" t="s">
        <v>5152</v>
      </c>
      <c r="C530" t="s">
        <v>7566</v>
      </c>
      <c r="D530" t="s">
        <v>5163</v>
      </c>
      <c r="E530" t="s">
        <v>7570</v>
      </c>
      <c r="F530">
        <v>704.33</v>
      </c>
    </row>
    <row r="531" spans="1:6">
      <c r="A531" t="str">
        <f>("23-3925")</f>
        <v>23-3925</v>
      </c>
      <c r="B531" t="s">
        <v>5152</v>
      </c>
      <c r="C531" t="s">
        <v>7566</v>
      </c>
      <c r="D531" t="s">
        <v>5174</v>
      </c>
      <c r="E531" t="s">
        <v>7538</v>
      </c>
      <c r="F531">
        <v>504.67</v>
      </c>
    </row>
    <row r="532" spans="1:6">
      <c r="A532" t="str">
        <f>("23-3930")</f>
        <v>23-3930</v>
      </c>
      <c r="B532" t="s">
        <v>5152</v>
      </c>
      <c r="C532" t="s">
        <v>7566</v>
      </c>
      <c r="D532" t="s">
        <v>5174</v>
      </c>
      <c r="E532" t="s">
        <v>5247</v>
      </c>
      <c r="F532">
        <v>634</v>
      </c>
    </row>
    <row r="533" spans="1:6">
      <c r="A533" t="str">
        <f>("23-3935")</f>
        <v>23-3935</v>
      </c>
      <c r="B533" t="s">
        <v>5152</v>
      </c>
      <c r="C533" t="s">
        <v>7566</v>
      </c>
      <c r="D533" t="s">
        <v>5174</v>
      </c>
      <c r="E533" t="s">
        <v>5247</v>
      </c>
      <c r="F533">
        <v>579.33000000000004</v>
      </c>
    </row>
    <row r="534" spans="1:6">
      <c r="A534" t="str">
        <f>("23-3940")</f>
        <v>23-3940</v>
      </c>
      <c r="B534" t="s">
        <v>5152</v>
      </c>
      <c r="C534" t="s">
        <v>7566</v>
      </c>
      <c r="D534" t="s">
        <v>5174</v>
      </c>
      <c r="E534" t="s">
        <v>5246</v>
      </c>
      <c r="F534">
        <v>759</v>
      </c>
    </row>
    <row r="535" spans="1:6">
      <c r="A535" t="str">
        <f>("23-3945")</f>
        <v>23-3945</v>
      </c>
      <c r="B535" t="s">
        <v>5152</v>
      </c>
      <c r="C535" t="s">
        <v>7566</v>
      </c>
      <c r="D535" t="s">
        <v>5174</v>
      </c>
      <c r="E535" t="s">
        <v>5246</v>
      </c>
      <c r="F535">
        <v>704.33</v>
      </c>
    </row>
    <row r="536" spans="1:6">
      <c r="A536" t="str">
        <f>("23-4000")</f>
        <v>23-4000</v>
      </c>
      <c r="B536" t="s">
        <v>5152</v>
      </c>
      <c r="C536" t="s">
        <v>7566</v>
      </c>
      <c r="D536" t="s">
        <v>5163</v>
      </c>
      <c r="E536" t="s">
        <v>6681</v>
      </c>
      <c r="F536">
        <v>634</v>
      </c>
    </row>
    <row r="537" spans="1:6">
      <c r="A537" t="str">
        <f>("23-4005")</f>
        <v>23-4005</v>
      </c>
      <c r="B537" t="s">
        <v>5152</v>
      </c>
      <c r="C537" t="s">
        <v>7566</v>
      </c>
      <c r="D537" t="s">
        <v>5163</v>
      </c>
      <c r="E537" t="s">
        <v>6681</v>
      </c>
      <c r="F537">
        <v>579.33000000000004</v>
      </c>
    </row>
    <row r="538" spans="1:6">
      <c r="A538" t="str">
        <f>("23-4010")</f>
        <v>23-4010</v>
      </c>
      <c r="B538" t="s">
        <v>5152</v>
      </c>
      <c r="C538" t="s">
        <v>7566</v>
      </c>
      <c r="D538" t="s">
        <v>5163</v>
      </c>
      <c r="E538" t="s">
        <v>5245</v>
      </c>
      <c r="F538">
        <v>634</v>
      </c>
    </row>
    <row r="539" spans="1:6">
      <c r="A539" t="str">
        <f>("23-4015")</f>
        <v>23-4015</v>
      </c>
      <c r="B539" t="s">
        <v>5152</v>
      </c>
      <c r="C539" t="s">
        <v>7566</v>
      </c>
      <c r="D539" t="s">
        <v>5163</v>
      </c>
      <c r="E539" t="s">
        <v>5245</v>
      </c>
      <c r="F539">
        <v>579.33000000000004</v>
      </c>
    </row>
    <row r="540" spans="1:6">
      <c r="A540" t="str">
        <f>("23-4020")</f>
        <v>23-4020</v>
      </c>
      <c r="B540" t="s">
        <v>5152</v>
      </c>
      <c r="C540" t="s">
        <v>7566</v>
      </c>
      <c r="D540" t="s">
        <v>5158</v>
      </c>
      <c r="E540" t="s">
        <v>7569</v>
      </c>
      <c r="F540">
        <v>759</v>
      </c>
    </row>
    <row r="541" spans="1:6">
      <c r="A541" t="str">
        <f>("23-4025")</f>
        <v>23-4025</v>
      </c>
      <c r="B541" t="s">
        <v>5152</v>
      </c>
      <c r="C541" t="s">
        <v>7566</v>
      </c>
      <c r="D541" t="s">
        <v>5158</v>
      </c>
      <c r="E541" t="s">
        <v>7569</v>
      </c>
      <c r="F541">
        <v>704.33</v>
      </c>
    </row>
    <row r="542" spans="1:6">
      <c r="A542" t="str">
        <f>("23-4065")</f>
        <v>23-4065</v>
      </c>
      <c r="B542" t="s">
        <v>5152</v>
      </c>
      <c r="C542" t="s">
        <v>7566</v>
      </c>
      <c r="D542" t="s">
        <v>5160</v>
      </c>
      <c r="E542" t="s">
        <v>5237</v>
      </c>
      <c r="F542">
        <v>579.33000000000004</v>
      </c>
    </row>
    <row r="543" spans="1:6">
      <c r="A543" t="str">
        <f>("23-4080")</f>
        <v>23-4080</v>
      </c>
      <c r="B543" t="s">
        <v>5152</v>
      </c>
      <c r="C543" t="s">
        <v>7566</v>
      </c>
      <c r="D543" t="s">
        <v>5178</v>
      </c>
      <c r="E543" t="s">
        <v>6679</v>
      </c>
      <c r="F543">
        <v>759</v>
      </c>
    </row>
    <row r="544" spans="1:6">
      <c r="A544" t="str">
        <f>("23-4085")</f>
        <v>23-4085</v>
      </c>
      <c r="B544" t="s">
        <v>5152</v>
      </c>
      <c r="C544" t="s">
        <v>7566</v>
      </c>
      <c r="D544" t="s">
        <v>5178</v>
      </c>
      <c r="E544" t="s">
        <v>6679</v>
      </c>
      <c r="F544">
        <v>731</v>
      </c>
    </row>
    <row r="545" spans="1:6">
      <c r="A545" t="str">
        <f>("23-4090")</f>
        <v>23-4090</v>
      </c>
      <c r="B545" t="s">
        <v>5152</v>
      </c>
      <c r="C545" t="s">
        <v>7566</v>
      </c>
      <c r="D545" t="s">
        <v>5178</v>
      </c>
      <c r="E545" t="s">
        <v>6678</v>
      </c>
      <c r="F545">
        <v>634</v>
      </c>
    </row>
    <row r="546" spans="1:6">
      <c r="A546" t="str">
        <f>("23-4095")</f>
        <v>23-4095</v>
      </c>
      <c r="B546" t="s">
        <v>5152</v>
      </c>
      <c r="C546" t="s">
        <v>7566</v>
      </c>
      <c r="D546" t="s">
        <v>5178</v>
      </c>
      <c r="E546" t="s">
        <v>6678</v>
      </c>
      <c r="F546">
        <v>579.33000000000004</v>
      </c>
    </row>
    <row r="547" spans="1:6">
      <c r="A547" t="str">
        <f>("23-4110")</f>
        <v>23-4110</v>
      </c>
      <c r="B547" t="s">
        <v>5152</v>
      </c>
      <c r="C547" t="s">
        <v>7566</v>
      </c>
      <c r="D547" t="s">
        <v>5163</v>
      </c>
      <c r="E547" t="s">
        <v>7568</v>
      </c>
      <c r="F547">
        <v>556.67000000000007</v>
      </c>
    </row>
    <row r="548" spans="1:6">
      <c r="A548" t="str">
        <f>("23-4115")</f>
        <v>23-4115</v>
      </c>
      <c r="B548" t="s">
        <v>5152</v>
      </c>
      <c r="C548" t="s">
        <v>7566</v>
      </c>
      <c r="D548" t="s">
        <v>5163</v>
      </c>
      <c r="E548" t="s">
        <v>7568</v>
      </c>
      <c r="F548">
        <v>504.67</v>
      </c>
    </row>
    <row r="549" spans="1:6">
      <c r="A549" t="str">
        <f>("23-4120")</f>
        <v>23-4120</v>
      </c>
      <c r="B549" t="s">
        <v>5152</v>
      </c>
      <c r="C549" t="s">
        <v>7566</v>
      </c>
      <c r="D549" t="s">
        <v>5163</v>
      </c>
      <c r="E549" t="s">
        <v>7567</v>
      </c>
      <c r="F549">
        <v>788.33</v>
      </c>
    </row>
    <row r="550" spans="1:6">
      <c r="A550" t="str">
        <f>("23-4125")</f>
        <v>23-4125</v>
      </c>
      <c r="B550" t="s">
        <v>5152</v>
      </c>
      <c r="C550" t="s">
        <v>7566</v>
      </c>
      <c r="D550" t="s">
        <v>5163</v>
      </c>
      <c r="E550" t="s">
        <v>7567</v>
      </c>
      <c r="F550">
        <v>729.67</v>
      </c>
    </row>
    <row r="551" spans="1:6">
      <c r="A551" t="str">
        <f>("23-4130")</f>
        <v>23-4130</v>
      </c>
      <c r="B551" t="s">
        <v>5152</v>
      </c>
      <c r="C551" t="s">
        <v>7566</v>
      </c>
      <c r="D551" t="s">
        <v>5163</v>
      </c>
      <c r="E551" t="s">
        <v>5164</v>
      </c>
      <c r="F551">
        <v>759</v>
      </c>
    </row>
    <row r="552" spans="1:6">
      <c r="A552" t="str">
        <f>("23-4135")</f>
        <v>23-4135</v>
      </c>
      <c r="B552" t="s">
        <v>5152</v>
      </c>
      <c r="C552" t="s">
        <v>7566</v>
      </c>
      <c r="D552" t="s">
        <v>5163</v>
      </c>
      <c r="E552" t="s">
        <v>5164</v>
      </c>
      <c r="F552">
        <v>704.33</v>
      </c>
    </row>
    <row r="553" spans="1:6">
      <c r="A553" t="str">
        <f>("23-4150")</f>
        <v>23-4150</v>
      </c>
      <c r="B553" t="s">
        <v>5152</v>
      </c>
      <c r="C553" t="s">
        <v>7566</v>
      </c>
      <c r="D553" t="s">
        <v>5174</v>
      </c>
      <c r="E553" t="s">
        <v>5241</v>
      </c>
      <c r="F553">
        <v>634</v>
      </c>
    </row>
    <row r="554" spans="1:6">
      <c r="A554" t="str">
        <f>("23-4155")</f>
        <v>23-4155</v>
      </c>
      <c r="B554" t="s">
        <v>5152</v>
      </c>
      <c r="C554" t="s">
        <v>7566</v>
      </c>
      <c r="D554" t="s">
        <v>5174</v>
      </c>
      <c r="E554" t="s">
        <v>5241</v>
      </c>
      <c r="F554">
        <v>579.33000000000004</v>
      </c>
    </row>
    <row r="555" spans="1:6">
      <c r="A555" t="str">
        <f>("24-54565")</f>
        <v>24-54565</v>
      </c>
      <c r="B555" t="s">
        <v>5152</v>
      </c>
      <c r="C555" t="s">
        <v>7563</v>
      </c>
      <c r="D555" t="s">
        <v>5163</v>
      </c>
      <c r="E555" t="s">
        <v>7565</v>
      </c>
      <c r="F555">
        <v>1101.67</v>
      </c>
    </row>
    <row r="556" spans="1:6">
      <c r="A556" t="str">
        <f>("24-54590")</f>
        <v>24-54590</v>
      </c>
      <c r="B556" t="s">
        <v>5152</v>
      </c>
      <c r="C556" t="s">
        <v>7563</v>
      </c>
      <c r="D556" t="s">
        <v>5163</v>
      </c>
      <c r="E556" t="s">
        <v>7564</v>
      </c>
      <c r="F556">
        <v>1730.33</v>
      </c>
    </row>
    <row r="557" spans="1:6">
      <c r="A557" t="str">
        <f>("24-54610")</f>
        <v>24-54610</v>
      </c>
      <c r="B557" t="s">
        <v>5152</v>
      </c>
      <c r="C557" t="s">
        <v>7563</v>
      </c>
      <c r="D557" t="s">
        <v>5174</v>
      </c>
      <c r="E557" t="s">
        <v>7562</v>
      </c>
      <c r="F557">
        <v>1288.33</v>
      </c>
    </row>
    <row r="558" spans="1:6">
      <c r="A558" t="str">
        <f>("25-4000")</f>
        <v>25-4000</v>
      </c>
      <c r="B558" t="s">
        <v>5152</v>
      </c>
      <c r="C558" t="s">
        <v>7539</v>
      </c>
      <c r="D558" t="s">
        <v>5163</v>
      </c>
      <c r="E558" t="s">
        <v>6681</v>
      </c>
      <c r="F558">
        <v>653.66999999999996</v>
      </c>
    </row>
    <row r="559" spans="1:6">
      <c r="A559" t="str">
        <f>("25-0505")</f>
        <v>25-0505</v>
      </c>
      <c r="B559" t="s">
        <v>5152</v>
      </c>
      <c r="C559" t="s">
        <v>7539</v>
      </c>
      <c r="D559" t="s">
        <v>5163</v>
      </c>
      <c r="E559" t="s">
        <v>7561</v>
      </c>
      <c r="F559">
        <v>527.32999999999993</v>
      </c>
    </row>
    <row r="560" spans="1:6">
      <c r="A560" t="str">
        <f>("25-0565")</f>
        <v>25-0565</v>
      </c>
      <c r="B560" t="s">
        <v>5152</v>
      </c>
      <c r="C560" t="s">
        <v>7539</v>
      </c>
      <c r="D560" t="s">
        <v>7265</v>
      </c>
      <c r="E560" t="s">
        <v>7560</v>
      </c>
      <c r="F560">
        <v>527.32999999999993</v>
      </c>
    </row>
    <row r="561" spans="1:6">
      <c r="A561" t="str">
        <f>("25-0575")</f>
        <v>25-0575</v>
      </c>
      <c r="B561" t="s">
        <v>5152</v>
      </c>
      <c r="C561" t="s">
        <v>7539</v>
      </c>
      <c r="D561" t="s">
        <v>5150</v>
      </c>
      <c r="E561" t="s">
        <v>7559</v>
      </c>
      <c r="F561">
        <v>502.33</v>
      </c>
    </row>
    <row r="562" spans="1:6">
      <c r="A562" t="str">
        <f>("25-0625")</f>
        <v>25-0625</v>
      </c>
      <c r="B562" t="s">
        <v>5152</v>
      </c>
      <c r="C562" t="s">
        <v>7539</v>
      </c>
      <c r="D562" t="s">
        <v>5174</v>
      </c>
      <c r="E562" t="s">
        <v>7558</v>
      </c>
      <c r="F562">
        <v>741.67</v>
      </c>
    </row>
    <row r="563" spans="1:6">
      <c r="A563" t="str">
        <f>("25-0645")</f>
        <v>25-0645</v>
      </c>
      <c r="B563" t="s">
        <v>5152</v>
      </c>
      <c r="C563" t="s">
        <v>7539</v>
      </c>
      <c r="D563" t="s">
        <v>5216</v>
      </c>
      <c r="E563" t="s">
        <v>7557</v>
      </c>
      <c r="F563">
        <v>741.67</v>
      </c>
    </row>
    <row r="564" spans="1:6">
      <c r="A564" t="str">
        <f>("25-0655")</f>
        <v>25-0655</v>
      </c>
      <c r="B564" t="s">
        <v>5152</v>
      </c>
      <c r="C564" t="s">
        <v>7539</v>
      </c>
      <c r="D564" t="s">
        <v>5184</v>
      </c>
      <c r="E564" t="s">
        <v>7556</v>
      </c>
      <c r="F564">
        <v>527.32999999999993</v>
      </c>
    </row>
    <row r="565" spans="1:6">
      <c r="A565" t="str">
        <f>("25-0675")</f>
        <v>25-0675</v>
      </c>
      <c r="B565" t="s">
        <v>5152</v>
      </c>
      <c r="C565" t="s">
        <v>7539</v>
      </c>
      <c r="D565" t="s">
        <v>7555</v>
      </c>
      <c r="E565" t="s">
        <v>7554</v>
      </c>
      <c r="F565">
        <v>616.66999999999996</v>
      </c>
    </row>
    <row r="566" spans="1:6">
      <c r="A566" t="str">
        <f>("25-0685")</f>
        <v>25-0685</v>
      </c>
      <c r="B566" t="s">
        <v>5152</v>
      </c>
      <c r="C566" t="s">
        <v>7539</v>
      </c>
      <c r="D566" t="s">
        <v>5184</v>
      </c>
      <c r="E566" t="s">
        <v>7553</v>
      </c>
      <c r="F566">
        <v>741.67</v>
      </c>
    </row>
    <row r="567" spans="1:6">
      <c r="A567" t="str">
        <f>("25-0735")</f>
        <v>25-0735</v>
      </c>
      <c r="B567" t="s">
        <v>5152</v>
      </c>
      <c r="C567" t="s">
        <v>7539</v>
      </c>
      <c r="D567" t="s">
        <v>7552</v>
      </c>
      <c r="E567" t="s">
        <v>7551</v>
      </c>
      <c r="F567">
        <v>616.66999999999996</v>
      </c>
    </row>
    <row r="568" spans="1:6">
      <c r="A568" t="str">
        <f>("25-0835")</f>
        <v>25-0835</v>
      </c>
      <c r="B568" t="s">
        <v>5152</v>
      </c>
      <c r="C568" t="s">
        <v>7539</v>
      </c>
      <c r="D568" t="s">
        <v>5150</v>
      </c>
      <c r="E568" t="s">
        <v>7550</v>
      </c>
      <c r="F568">
        <v>502.33</v>
      </c>
    </row>
    <row r="569" spans="1:6">
      <c r="A569" t="str">
        <f>("25-0855")</f>
        <v>25-0855</v>
      </c>
      <c r="B569" t="s">
        <v>5152</v>
      </c>
      <c r="C569" t="s">
        <v>7539</v>
      </c>
      <c r="D569" t="s">
        <v>5216</v>
      </c>
      <c r="E569" t="s">
        <v>7549</v>
      </c>
      <c r="F569">
        <v>741.67</v>
      </c>
    </row>
    <row r="570" spans="1:6">
      <c r="A570" t="str">
        <f>("25-0975")</f>
        <v>25-0975</v>
      </c>
      <c r="B570" t="s">
        <v>5152</v>
      </c>
      <c r="C570" t="s">
        <v>7539</v>
      </c>
      <c r="D570" t="s">
        <v>5160</v>
      </c>
      <c r="E570" t="s">
        <v>7548</v>
      </c>
      <c r="F570">
        <v>527.32999999999993</v>
      </c>
    </row>
    <row r="571" spans="1:6">
      <c r="A571" t="str">
        <f>("25-1245")</f>
        <v>25-1245</v>
      </c>
      <c r="B571" t="s">
        <v>5152</v>
      </c>
      <c r="C571" t="s">
        <v>7539</v>
      </c>
      <c r="D571" t="s">
        <v>5184</v>
      </c>
      <c r="E571" t="s">
        <v>7547</v>
      </c>
      <c r="F571">
        <v>741.67</v>
      </c>
    </row>
    <row r="572" spans="1:6">
      <c r="A572" t="str">
        <f>("25-1325")</f>
        <v>25-1325</v>
      </c>
      <c r="B572" t="s">
        <v>5152</v>
      </c>
      <c r="C572" t="s">
        <v>7539</v>
      </c>
      <c r="D572" t="s">
        <v>5174</v>
      </c>
      <c r="E572" t="s">
        <v>7546</v>
      </c>
      <c r="F572">
        <v>527.32999999999993</v>
      </c>
    </row>
    <row r="573" spans="1:6">
      <c r="A573" t="str">
        <f>("25-1455")</f>
        <v>25-1455</v>
      </c>
      <c r="B573" t="s">
        <v>5152</v>
      </c>
      <c r="C573" t="s">
        <v>7539</v>
      </c>
      <c r="D573" t="s">
        <v>5150</v>
      </c>
      <c r="E573" t="s">
        <v>7545</v>
      </c>
      <c r="F573">
        <v>616.66999999999996</v>
      </c>
    </row>
    <row r="574" spans="1:6">
      <c r="A574" t="str">
        <f>("25-1685")</f>
        <v>25-1685</v>
      </c>
      <c r="B574" t="s">
        <v>5152</v>
      </c>
      <c r="C574" t="s">
        <v>7539</v>
      </c>
      <c r="D574" t="s">
        <v>5163</v>
      </c>
      <c r="E574" t="s">
        <v>7544</v>
      </c>
      <c r="F574">
        <v>616.66999999999996</v>
      </c>
    </row>
    <row r="575" spans="1:6">
      <c r="A575" t="str">
        <f>("25-1955")</f>
        <v>25-1955</v>
      </c>
      <c r="B575" t="s">
        <v>5152</v>
      </c>
      <c r="C575" t="s">
        <v>7539</v>
      </c>
      <c r="D575" t="s">
        <v>5163</v>
      </c>
      <c r="E575" t="s">
        <v>7543</v>
      </c>
      <c r="F575">
        <v>741.67</v>
      </c>
    </row>
    <row r="576" spans="1:6">
      <c r="A576" t="str">
        <f>("25-2015")</f>
        <v>25-2015</v>
      </c>
      <c r="B576" t="s">
        <v>5152</v>
      </c>
      <c r="C576" t="s">
        <v>7539</v>
      </c>
      <c r="D576" t="s">
        <v>5150</v>
      </c>
      <c r="E576" t="s">
        <v>7438</v>
      </c>
      <c r="F576">
        <v>741.67</v>
      </c>
    </row>
    <row r="577" spans="1:6">
      <c r="A577" t="str">
        <f>("25-2105")</f>
        <v>25-2105</v>
      </c>
      <c r="B577" t="s">
        <v>5152</v>
      </c>
      <c r="C577" t="s">
        <v>7539</v>
      </c>
      <c r="D577" t="s">
        <v>7265</v>
      </c>
      <c r="E577" t="s">
        <v>7542</v>
      </c>
      <c r="F577">
        <v>527.32999999999993</v>
      </c>
    </row>
    <row r="578" spans="1:6">
      <c r="A578" t="str">
        <f>("25-2115")</f>
        <v>25-2115</v>
      </c>
      <c r="B578" t="s">
        <v>5152</v>
      </c>
      <c r="C578" t="s">
        <v>7539</v>
      </c>
      <c r="D578" t="s">
        <v>7265</v>
      </c>
      <c r="E578" t="s">
        <v>7541</v>
      </c>
      <c r="F578">
        <v>616.66999999999996</v>
      </c>
    </row>
    <row r="579" spans="1:6">
      <c r="A579" t="str">
        <f>("25-2755")</f>
        <v>25-2755</v>
      </c>
      <c r="B579" t="s">
        <v>5152</v>
      </c>
      <c r="C579" t="s">
        <v>7539</v>
      </c>
      <c r="D579" t="s">
        <v>5158</v>
      </c>
      <c r="E579" t="s">
        <v>6368</v>
      </c>
      <c r="F579">
        <v>616.66999999999996</v>
      </c>
    </row>
    <row r="580" spans="1:6">
      <c r="A580" t="str">
        <f>("25-3545")</f>
        <v>25-3545</v>
      </c>
      <c r="B580" t="s">
        <v>5152</v>
      </c>
      <c r="C580" t="s">
        <v>7539</v>
      </c>
      <c r="D580" t="s">
        <v>5181</v>
      </c>
      <c r="E580" t="s">
        <v>7540</v>
      </c>
      <c r="F580">
        <v>527.32999999999993</v>
      </c>
    </row>
    <row r="581" spans="1:6">
      <c r="A581" t="str">
        <f>("25-3565")</f>
        <v>25-3565</v>
      </c>
      <c r="B581" t="s">
        <v>5152</v>
      </c>
      <c r="C581" t="s">
        <v>7539</v>
      </c>
      <c r="D581" t="s">
        <v>5181</v>
      </c>
      <c r="E581" t="s">
        <v>6684</v>
      </c>
      <c r="F581">
        <v>741.67</v>
      </c>
    </row>
    <row r="582" spans="1:6">
      <c r="A582" t="str">
        <f>("25-3925")</f>
        <v>25-3925</v>
      </c>
      <c r="B582" t="s">
        <v>5152</v>
      </c>
      <c r="C582" t="s">
        <v>7539</v>
      </c>
      <c r="D582" t="s">
        <v>5174</v>
      </c>
      <c r="E582" t="s">
        <v>7538</v>
      </c>
      <c r="F582">
        <v>527.32999999999993</v>
      </c>
    </row>
    <row r="583" spans="1:6">
      <c r="A583" t="str">
        <f>("27-6100")</f>
        <v>27-6100</v>
      </c>
      <c r="B583" t="s">
        <v>5152</v>
      </c>
      <c r="C583" t="s">
        <v>7520</v>
      </c>
      <c r="D583" t="s">
        <v>5206</v>
      </c>
      <c r="E583" t="s">
        <v>7537</v>
      </c>
      <c r="F583">
        <v>515.32999999999993</v>
      </c>
    </row>
    <row r="584" spans="1:6">
      <c r="A584" t="str">
        <f>("27-6105")</f>
        <v>27-6105</v>
      </c>
      <c r="B584" t="s">
        <v>5152</v>
      </c>
      <c r="C584" t="s">
        <v>7520</v>
      </c>
      <c r="D584" t="s">
        <v>5206</v>
      </c>
      <c r="E584" t="s">
        <v>7536</v>
      </c>
      <c r="F584">
        <v>494</v>
      </c>
    </row>
    <row r="585" spans="1:6">
      <c r="A585" t="str">
        <f>("27-6110")</f>
        <v>27-6110</v>
      </c>
      <c r="B585" t="s">
        <v>5152</v>
      </c>
      <c r="C585" t="s">
        <v>7520</v>
      </c>
      <c r="D585" t="s">
        <v>5206</v>
      </c>
      <c r="E585" t="s">
        <v>7535</v>
      </c>
      <c r="F585">
        <v>643.33000000000004</v>
      </c>
    </row>
    <row r="586" spans="1:6">
      <c r="A586" t="str">
        <f>("27-6115")</f>
        <v>27-6115</v>
      </c>
      <c r="B586" t="s">
        <v>5152</v>
      </c>
      <c r="C586" t="s">
        <v>7520</v>
      </c>
      <c r="D586" t="s">
        <v>5206</v>
      </c>
      <c r="E586" t="s">
        <v>7534</v>
      </c>
      <c r="F586">
        <v>595.33000000000004</v>
      </c>
    </row>
    <row r="587" spans="1:6">
      <c r="A587" t="str">
        <f>("27-6120")</f>
        <v>27-6120</v>
      </c>
      <c r="B587" t="s">
        <v>5152</v>
      </c>
      <c r="C587" t="s">
        <v>7520</v>
      </c>
      <c r="D587" t="s">
        <v>5206</v>
      </c>
      <c r="E587" t="s">
        <v>7533</v>
      </c>
      <c r="F587">
        <v>670</v>
      </c>
    </row>
    <row r="588" spans="1:6">
      <c r="A588" t="str">
        <f>("27-6125")</f>
        <v>27-6125</v>
      </c>
      <c r="B588" t="s">
        <v>5152</v>
      </c>
      <c r="C588" t="s">
        <v>7520</v>
      </c>
      <c r="D588" t="s">
        <v>5206</v>
      </c>
      <c r="E588" t="s">
        <v>7532</v>
      </c>
      <c r="F588">
        <v>615.33000000000004</v>
      </c>
    </row>
    <row r="589" spans="1:6">
      <c r="A589" t="str">
        <f>("27-6130")</f>
        <v>27-6130</v>
      </c>
      <c r="B589" t="s">
        <v>5152</v>
      </c>
      <c r="C589" t="s">
        <v>7520</v>
      </c>
      <c r="D589" t="s">
        <v>5206</v>
      </c>
      <c r="E589" t="s">
        <v>7531</v>
      </c>
      <c r="F589">
        <v>742</v>
      </c>
    </row>
    <row r="590" spans="1:6">
      <c r="A590" t="str">
        <f>("27-6135")</f>
        <v>27-6135</v>
      </c>
      <c r="B590" t="s">
        <v>5152</v>
      </c>
      <c r="C590" t="s">
        <v>7520</v>
      </c>
      <c r="D590" t="s">
        <v>5206</v>
      </c>
      <c r="E590" t="s">
        <v>7530</v>
      </c>
      <c r="F590">
        <v>679.33</v>
      </c>
    </row>
    <row r="591" spans="1:6">
      <c r="A591" t="str">
        <f>("27-6140")</f>
        <v>27-6140</v>
      </c>
      <c r="B591" t="s">
        <v>5152</v>
      </c>
      <c r="C591" t="s">
        <v>7520</v>
      </c>
      <c r="D591" t="s">
        <v>5206</v>
      </c>
      <c r="E591" t="s">
        <v>7529</v>
      </c>
      <c r="F591">
        <v>864.67</v>
      </c>
    </row>
    <row r="592" spans="1:6">
      <c r="A592" t="str">
        <f>("27-6145")</f>
        <v>27-6145</v>
      </c>
      <c r="B592" t="s">
        <v>5152</v>
      </c>
      <c r="C592" t="s">
        <v>7520</v>
      </c>
      <c r="D592" t="s">
        <v>5206</v>
      </c>
      <c r="E592" t="s">
        <v>7528</v>
      </c>
      <c r="F592">
        <v>790</v>
      </c>
    </row>
    <row r="593" spans="1:6">
      <c r="A593" t="str">
        <f>("27-6150")</f>
        <v>27-6150</v>
      </c>
      <c r="B593" t="s">
        <v>5152</v>
      </c>
      <c r="C593" t="s">
        <v>7520</v>
      </c>
      <c r="D593" t="s">
        <v>5206</v>
      </c>
      <c r="E593" t="s">
        <v>7527</v>
      </c>
      <c r="F593">
        <v>774</v>
      </c>
    </row>
    <row r="594" spans="1:6">
      <c r="A594" t="str">
        <f>("27-6155")</f>
        <v>27-6155</v>
      </c>
      <c r="B594" t="s">
        <v>5152</v>
      </c>
      <c r="C594" t="s">
        <v>7520</v>
      </c>
      <c r="D594" t="s">
        <v>5206</v>
      </c>
      <c r="E594" t="s">
        <v>7526</v>
      </c>
      <c r="F594">
        <v>734</v>
      </c>
    </row>
    <row r="595" spans="1:6">
      <c r="A595" t="str">
        <f>("27-6600")</f>
        <v>27-6600</v>
      </c>
      <c r="B595" t="s">
        <v>5152</v>
      </c>
      <c r="C595" t="s">
        <v>7520</v>
      </c>
      <c r="D595" t="s">
        <v>5206</v>
      </c>
      <c r="E595" t="s">
        <v>7525</v>
      </c>
      <c r="F595">
        <v>515.32999999999993</v>
      </c>
    </row>
    <row r="596" spans="1:6">
      <c r="A596" t="str">
        <f>("27-6610")</f>
        <v>27-6610</v>
      </c>
      <c r="B596" t="s">
        <v>5152</v>
      </c>
      <c r="C596" t="s">
        <v>7520</v>
      </c>
      <c r="D596" t="s">
        <v>5206</v>
      </c>
      <c r="E596" t="s">
        <v>7524</v>
      </c>
      <c r="F596">
        <v>643.33000000000004</v>
      </c>
    </row>
    <row r="597" spans="1:6">
      <c r="A597" t="str">
        <f>("27-6620")</f>
        <v>27-6620</v>
      </c>
      <c r="B597" t="s">
        <v>5152</v>
      </c>
      <c r="C597" t="s">
        <v>7520</v>
      </c>
      <c r="D597" t="s">
        <v>5206</v>
      </c>
      <c r="E597" t="s">
        <v>7523</v>
      </c>
      <c r="F597">
        <v>670</v>
      </c>
    </row>
    <row r="598" spans="1:6">
      <c r="A598" t="str">
        <f>("27-6630")</f>
        <v>27-6630</v>
      </c>
      <c r="B598" t="s">
        <v>5152</v>
      </c>
      <c r="C598" t="s">
        <v>7520</v>
      </c>
      <c r="D598" t="s">
        <v>5206</v>
      </c>
      <c r="E598" t="s">
        <v>7522</v>
      </c>
      <c r="F598">
        <v>742</v>
      </c>
    </row>
    <row r="599" spans="1:6">
      <c r="A599" t="str">
        <f>("27-6640")</f>
        <v>27-6640</v>
      </c>
      <c r="B599" t="s">
        <v>5152</v>
      </c>
      <c r="C599" t="s">
        <v>7520</v>
      </c>
      <c r="D599" t="s">
        <v>5206</v>
      </c>
      <c r="E599" t="s">
        <v>7521</v>
      </c>
      <c r="F599">
        <v>989.67</v>
      </c>
    </row>
    <row r="600" spans="1:6">
      <c r="A600" t="str">
        <f>("27-6650")</f>
        <v>27-6650</v>
      </c>
      <c r="B600" t="s">
        <v>5152</v>
      </c>
      <c r="C600" t="s">
        <v>7520</v>
      </c>
      <c r="D600" t="s">
        <v>5206</v>
      </c>
      <c r="E600" t="s">
        <v>7519</v>
      </c>
      <c r="F600">
        <v>774</v>
      </c>
    </row>
    <row r="601" spans="1:6">
      <c r="A601" t="str">
        <f>("27-74705")</f>
        <v>27-74705</v>
      </c>
      <c r="B601" t="s">
        <v>5152</v>
      </c>
      <c r="C601" t="s">
        <v>7500</v>
      </c>
      <c r="D601" t="s">
        <v>5206</v>
      </c>
      <c r="E601" t="s">
        <v>7518</v>
      </c>
      <c r="F601">
        <v>596.66999999999996</v>
      </c>
    </row>
    <row r="602" spans="1:6">
      <c r="A602" t="str">
        <f>("27-74715")</f>
        <v>27-74715</v>
      </c>
      <c r="B602" t="s">
        <v>5152</v>
      </c>
      <c r="C602" t="s">
        <v>7500</v>
      </c>
      <c r="D602" t="s">
        <v>5206</v>
      </c>
      <c r="E602" t="s">
        <v>7517</v>
      </c>
      <c r="F602">
        <v>659.5</v>
      </c>
    </row>
    <row r="603" spans="1:6">
      <c r="A603" t="str">
        <f>("27-74725")</f>
        <v>27-74725</v>
      </c>
      <c r="B603" t="s">
        <v>5152</v>
      </c>
      <c r="C603" t="s">
        <v>7500</v>
      </c>
      <c r="D603" t="s">
        <v>5206</v>
      </c>
      <c r="E603" t="s">
        <v>7516</v>
      </c>
      <c r="F603">
        <v>674</v>
      </c>
    </row>
    <row r="604" spans="1:6">
      <c r="A604" t="str">
        <f>("27-74735")</f>
        <v>27-74735</v>
      </c>
      <c r="B604" t="s">
        <v>5152</v>
      </c>
      <c r="C604" t="s">
        <v>7500</v>
      </c>
      <c r="D604" t="s">
        <v>5206</v>
      </c>
      <c r="E604" t="s">
        <v>7515</v>
      </c>
      <c r="F604">
        <v>696.83</v>
      </c>
    </row>
    <row r="605" spans="1:6">
      <c r="A605" t="str">
        <f>("27-74745")</f>
        <v>27-74745</v>
      </c>
      <c r="B605" t="s">
        <v>5152</v>
      </c>
      <c r="C605" t="s">
        <v>7500</v>
      </c>
      <c r="D605" t="s">
        <v>5206</v>
      </c>
      <c r="E605" t="s">
        <v>7514</v>
      </c>
      <c r="F605">
        <v>751.33</v>
      </c>
    </row>
    <row r="606" spans="1:6">
      <c r="A606" t="str">
        <f>("27-74755")</f>
        <v>27-74755</v>
      </c>
      <c r="B606" t="s">
        <v>5152</v>
      </c>
      <c r="C606" t="s">
        <v>7500</v>
      </c>
      <c r="D606" t="s">
        <v>5206</v>
      </c>
      <c r="E606" t="s">
        <v>7513</v>
      </c>
      <c r="F606">
        <v>751.33</v>
      </c>
    </row>
    <row r="607" spans="1:6">
      <c r="A607" t="str">
        <f>("27-74765")</f>
        <v>27-74765</v>
      </c>
      <c r="B607" t="s">
        <v>5152</v>
      </c>
      <c r="C607" t="s">
        <v>7500</v>
      </c>
      <c r="D607" t="s">
        <v>5206</v>
      </c>
      <c r="E607" t="s">
        <v>7512</v>
      </c>
      <c r="F607">
        <v>711.33</v>
      </c>
    </row>
    <row r="608" spans="1:6">
      <c r="A608" t="str">
        <f>("27-74775")</f>
        <v>27-74775</v>
      </c>
      <c r="B608" t="s">
        <v>5152</v>
      </c>
      <c r="C608" t="s">
        <v>7500</v>
      </c>
      <c r="D608" t="s">
        <v>5178</v>
      </c>
      <c r="E608" t="s">
        <v>7503</v>
      </c>
      <c r="F608">
        <v>324.67</v>
      </c>
    </row>
    <row r="609" spans="1:6">
      <c r="A609" t="str">
        <f>("27-80005")</f>
        <v>27-80005</v>
      </c>
      <c r="B609" t="s">
        <v>5152</v>
      </c>
      <c r="C609" t="s">
        <v>7500</v>
      </c>
      <c r="D609" t="s">
        <v>5174</v>
      </c>
      <c r="E609" t="s">
        <v>7511</v>
      </c>
      <c r="F609">
        <v>1124.33</v>
      </c>
    </row>
    <row r="610" spans="1:6">
      <c r="A610" t="str">
        <f>("27-80015")</f>
        <v>27-80015</v>
      </c>
      <c r="B610" t="s">
        <v>5152</v>
      </c>
      <c r="C610" t="s">
        <v>7500</v>
      </c>
      <c r="D610" t="s">
        <v>5174</v>
      </c>
      <c r="E610" t="s">
        <v>7510</v>
      </c>
      <c r="F610">
        <v>504.67</v>
      </c>
    </row>
    <row r="611" spans="1:6">
      <c r="A611" t="str">
        <f>("27-80035")</f>
        <v>27-80035</v>
      </c>
      <c r="B611" t="s">
        <v>5152</v>
      </c>
      <c r="C611" t="s">
        <v>7500</v>
      </c>
      <c r="D611" t="s">
        <v>5163</v>
      </c>
      <c r="E611" t="s">
        <v>7509</v>
      </c>
      <c r="F611">
        <v>1083</v>
      </c>
    </row>
    <row r="612" spans="1:6">
      <c r="A612" t="str">
        <f>("27-80055")</f>
        <v>27-80055</v>
      </c>
      <c r="B612" t="s">
        <v>5152</v>
      </c>
      <c r="C612" t="s">
        <v>7500</v>
      </c>
      <c r="D612" t="s">
        <v>5163</v>
      </c>
      <c r="E612" t="s">
        <v>7508</v>
      </c>
      <c r="F612">
        <v>314.67</v>
      </c>
    </row>
    <row r="613" spans="1:6">
      <c r="A613" t="str">
        <f>("27-80065")</f>
        <v>27-80065</v>
      </c>
      <c r="B613" t="s">
        <v>5152</v>
      </c>
      <c r="C613" t="s">
        <v>7500</v>
      </c>
      <c r="D613" t="s">
        <v>5163</v>
      </c>
      <c r="E613" t="s">
        <v>7507</v>
      </c>
      <c r="F613">
        <v>314.67</v>
      </c>
    </row>
    <row r="614" spans="1:6">
      <c r="A614" t="str">
        <f>("27-80075")</f>
        <v>27-80075</v>
      </c>
      <c r="B614" t="s">
        <v>5152</v>
      </c>
      <c r="C614" t="s">
        <v>7500</v>
      </c>
      <c r="D614" t="s">
        <v>5178</v>
      </c>
      <c r="E614" t="s">
        <v>7506</v>
      </c>
      <c r="F614">
        <v>989.33</v>
      </c>
    </row>
    <row r="615" spans="1:6">
      <c r="A615" t="str">
        <f>("27-80085")</f>
        <v>27-80085</v>
      </c>
      <c r="B615" t="s">
        <v>5152</v>
      </c>
      <c r="C615" t="s">
        <v>7500</v>
      </c>
      <c r="D615" t="s">
        <v>5178</v>
      </c>
      <c r="E615" t="s">
        <v>7505</v>
      </c>
      <c r="F615">
        <v>825.67</v>
      </c>
    </row>
    <row r="616" spans="1:6">
      <c r="A616" t="str">
        <f>("27-80095")</f>
        <v>27-80095</v>
      </c>
      <c r="B616" t="s">
        <v>5152</v>
      </c>
      <c r="C616" t="s">
        <v>7500</v>
      </c>
      <c r="D616" t="s">
        <v>5178</v>
      </c>
      <c r="E616" t="s">
        <v>7504</v>
      </c>
      <c r="F616">
        <v>314.67</v>
      </c>
    </row>
    <row r="617" spans="1:6">
      <c r="A617" t="str">
        <f>("27-80105")</f>
        <v>27-80105</v>
      </c>
      <c r="B617" t="s">
        <v>5152</v>
      </c>
      <c r="C617" t="s">
        <v>7500</v>
      </c>
      <c r="D617" t="s">
        <v>5178</v>
      </c>
      <c r="E617" t="s">
        <v>7503</v>
      </c>
      <c r="F617">
        <v>314.67</v>
      </c>
    </row>
    <row r="618" spans="1:6">
      <c r="A618" t="str">
        <f>("27-81005")</f>
        <v>27-81005</v>
      </c>
      <c r="B618" t="s">
        <v>5152</v>
      </c>
      <c r="C618" t="s">
        <v>7500</v>
      </c>
      <c r="D618" t="s">
        <v>5206</v>
      </c>
      <c r="E618" t="s">
        <v>7502</v>
      </c>
      <c r="F618">
        <v>824.33</v>
      </c>
    </row>
    <row r="619" spans="1:6">
      <c r="A619" t="str">
        <f>("27-81015")</f>
        <v>27-81015</v>
      </c>
      <c r="B619" t="s">
        <v>5152</v>
      </c>
      <c r="C619" t="s">
        <v>7500</v>
      </c>
      <c r="D619" t="s">
        <v>5206</v>
      </c>
      <c r="E619" t="s">
        <v>7501</v>
      </c>
      <c r="F619">
        <v>323.33</v>
      </c>
    </row>
    <row r="620" spans="1:6">
      <c r="A620" t="str">
        <f>("27-81025")</f>
        <v>27-81025</v>
      </c>
      <c r="B620" t="s">
        <v>5152</v>
      </c>
      <c r="C620" t="s">
        <v>7500</v>
      </c>
      <c r="D620" t="s">
        <v>5206</v>
      </c>
      <c r="E620" t="s">
        <v>7499</v>
      </c>
      <c r="F620">
        <v>686.17</v>
      </c>
    </row>
    <row r="621" spans="1:6">
      <c r="A621" t="str">
        <f>("K27-61102205")</f>
        <v>K27-61102205</v>
      </c>
      <c r="B621" t="s">
        <v>5152</v>
      </c>
      <c r="C621" t="s">
        <v>7492</v>
      </c>
      <c r="D621" t="s">
        <v>5163</v>
      </c>
      <c r="E621" t="s">
        <v>7497</v>
      </c>
      <c r="F621">
        <v>902</v>
      </c>
    </row>
    <row r="622" spans="1:6">
      <c r="A622" t="str">
        <f>("K27-61302205")</f>
        <v>K27-61302205</v>
      </c>
      <c r="B622" t="s">
        <v>5152</v>
      </c>
      <c r="C622" t="s">
        <v>7492</v>
      </c>
      <c r="D622" t="s">
        <v>5163</v>
      </c>
      <c r="E622" t="s">
        <v>7495</v>
      </c>
      <c r="F622">
        <v>1000.67</v>
      </c>
    </row>
    <row r="623" spans="1:6">
      <c r="A623" t="str">
        <f>("K27-61302255")</f>
        <v>K27-61302255</v>
      </c>
      <c r="B623" t="s">
        <v>5152</v>
      </c>
      <c r="C623" t="s">
        <v>7492</v>
      </c>
      <c r="D623" t="s">
        <v>5163</v>
      </c>
      <c r="E623" t="s">
        <v>7494</v>
      </c>
      <c r="F623">
        <v>994</v>
      </c>
    </row>
    <row r="624" spans="1:6">
      <c r="A624" t="str">
        <f>("K27-61502255")</f>
        <v>K27-61502255</v>
      </c>
      <c r="B624" t="s">
        <v>5152</v>
      </c>
      <c r="C624" t="s">
        <v>7492</v>
      </c>
      <c r="D624" t="s">
        <v>5163</v>
      </c>
      <c r="E624" t="s">
        <v>7491</v>
      </c>
      <c r="F624">
        <v>1026</v>
      </c>
    </row>
    <row r="625" spans="1:6">
      <c r="A625" t="str">
        <f>("K27-66002175")</f>
        <v>K27-66002175</v>
      </c>
      <c r="B625" t="s">
        <v>5152</v>
      </c>
      <c r="C625" t="s">
        <v>7492</v>
      </c>
      <c r="D625" t="s">
        <v>5174</v>
      </c>
      <c r="E625" t="s">
        <v>7498</v>
      </c>
      <c r="F625">
        <v>774</v>
      </c>
    </row>
    <row r="626" spans="1:6">
      <c r="A626" t="str">
        <f>("K27-66102205")</f>
        <v>K27-66102205</v>
      </c>
      <c r="B626" t="s">
        <v>5152</v>
      </c>
      <c r="C626" t="s">
        <v>7492</v>
      </c>
      <c r="D626" t="s">
        <v>5163</v>
      </c>
      <c r="E626" t="s">
        <v>7497</v>
      </c>
      <c r="F626">
        <v>902</v>
      </c>
    </row>
    <row r="627" spans="1:6">
      <c r="A627" t="str">
        <f>("K27-66302175")</f>
        <v>K27-66302175</v>
      </c>
      <c r="B627" t="s">
        <v>5152</v>
      </c>
      <c r="C627" t="s">
        <v>7492</v>
      </c>
      <c r="D627" t="s">
        <v>5174</v>
      </c>
      <c r="E627" t="s">
        <v>7496</v>
      </c>
      <c r="F627">
        <v>1000.67</v>
      </c>
    </row>
    <row r="628" spans="1:6">
      <c r="A628" t="str">
        <f>("K27-66302205")</f>
        <v>K27-66302205</v>
      </c>
      <c r="B628" t="s">
        <v>5152</v>
      </c>
      <c r="C628" t="s">
        <v>7492</v>
      </c>
      <c r="D628" t="s">
        <v>5163</v>
      </c>
      <c r="E628" t="s">
        <v>7495</v>
      </c>
      <c r="F628">
        <v>1000.67</v>
      </c>
    </row>
    <row r="629" spans="1:6">
      <c r="A629" t="str">
        <f>("K27-66302255")</f>
        <v>K27-66302255</v>
      </c>
      <c r="B629" t="s">
        <v>5152</v>
      </c>
      <c r="C629" t="s">
        <v>7492</v>
      </c>
      <c r="D629" t="s">
        <v>5163</v>
      </c>
      <c r="E629" t="s">
        <v>7494</v>
      </c>
      <c r="F629">
        <v>994</v>
      </c>
    </row>
    <row r="630" spans="1:6">
      <c r="A630" t="str">
        <f>("K27-66402195")</f>
        <v>K27-66402195</v>
      </c>
      <c r="B630" t="s">
        <v>5152</v>
      </c>
      <c r="C630" t="s">
        <v>7492</v>
      </c>
      <c r="D630" t="s">
        <v>5174</v>
      </c>
      <c r="E630" t="s">
        <v>7493</v>
      </c>
      <c r="F630">
        <v>1123.33</v>
      </c>
    </row>
    <row r="631" spans="1:6">
      <c r="A631" t="str">
        <f>("K27-66502255")</f>
        <v>K27-66502255</v>
      </c>
      <c r="B631" t="s">
        <v>5152</v>
      </c>
      <c r="C631" t="s">
        <v>7492</v>
      </c>
      <c r="D631" t="s">
        <v>5163</v>
      </c>
      <c r="E631" t="s">
        <v>7491</v>
      </c>
      <c r="F631">
        <v>1026</v>
      </c>
    </row>
    <row r="632" spans="1:6">
      <c r="A632" t="str">
        <f>("27-6000")</f>
        <v>27-6000</v>
      </c>
      <c r="B632" t="s">
        <v>5152</v>
      </c>
      <c r="C632" t="s">
        <v>7490</v>
      </c>
      <c r="D632" t="s">
        <v>5206</v>
      </c>
      <c r="E632" t="s">
        <v>7489</v>
      </c>
      <c r="F632">
        <v>191.67</v>
      </c>
    </row>
    <row r="633" spans="1:6">
      <c r="A633" t="str">
        <f>("27-9901")</f>
        <v>27-9901</v>
      </c>
      <c r="B633" t="s">
        <v>5152</v>
      </c>
      <c r="C633" t="s">
        <v>7488</v>
      </c>
      <c r="D633" t="s">
        <v>5206</v>
      </c>
      <c r="E633" t="s">
        <v>7487</v>
      </c>
      <c r="F633">
        <v>101</v>
      </c>
    </row>
    <row r="634" spans="1:6">
      <c r="A634" t="str">
        <f>("27-9902")</f>
        <v>27-9902</v>
      </c>
      <c r="B634" t="s">
        <v>5152</v>
      </c>
      <c r="C634" t="s">
        <v>7486</v>
      </c>
      <c r="D634" t="s">
        <v>5206</v>
      </c>
      <c r="E634" t="s">
        <v>7485</v>
      </c>
      <c r="F634">
        <v>190.33</v>
      </c>
    </row>
    <row r="635" spans="1:6">
      <c r="A635" t="str">
        <f>("27-9903")</f>
        <v>27-9903</v>
      </c>
      <c r="B635" t="s">
        <v>5152</v>
      </c>
      <c r="C635" t="s">
        <v>7484</v>
      </c>
      <c r="D635" t="s">
        <v>5206</v>
      </c>
      <c r="E635" t="s">
        <v>7483</v>
      </c>
      <c r="F635">
        <v>233</v>
      </c>
    </row>
    <row r="636" spans="1:6">
      <c r="A636" t="str">
        <f>("27-9904")</f>
        <v>27-9904</v>
      </c>
      <c r="B636" t="s">
        <v>5152</v>
      </c>
      <c r="C636" t="s">
        <v>7482</v>
      </c>
      <c r="D636" t="s">
        <v>5206</v>
      </c>
      <c r="E636" t="s">
        <v>7481</v>
      </c>
      <c r="F636">
        <v>94.33</v>
      </c>
    </row>
    <row r="637" spans="1:6">
      <c r="A637" t="str">
        <f>("27-9905")</f>
        <v>27-9905</v>
      </c>
      <c r="B637" t="s">
        <v>5152</v>
      </c>
      <c r="C637" t="s">
        <v>7480</v>
      </c>
      <c r="D637" t="s">
        <v>5206</v>
      </c>
      <c r="E637" t="s">
        <v>7479</v>
      </c>
      <c r="F637">
        <v>165</v>
      </c>
    </row>
    <row r="638" spans="1:6">
      <c r="A638" t="str">
        <f>("27-9907")</f>
        <v>27-9907</v>
      </c>
      <c r="B638" t="s">
        <v>5152</v>
      </c>
      <c r="C638" t="s">
        <v>7478</v>
      </c>
      <c r="D638" t="s">
        <v>5206</v>
      </c>
      <c r="E638" t="s">
        <v>7477</v>
      </c>
      <c r="F638">
        <v>105</v>
      </c>
    </row>
    <row r="639" spans="1:6">
      <c r="A639" t="str">
        <f>("27-0000")</f>
        <v>27-0000</v>
      </c>
      <c r="B639" t="s">
        <v>5152</v>
      </c>
      <c r="C639" t="s">
        <v>7471</v>
      </c>
      <c r="D639" t="s">
        <v>5206</v>
      </c>
      <c r="E639" t="s">
        <v>7476</v>
      </c>
      <c r="F639">
        <v>616.66999999999996</v>
      </c>
    </row>
    <row r="640" spans="1:6">
      <c r="A640" t="str">
        <f>("27-0005")</f>
        <v>27-0005</v>
      </c>
      <c r="B640" t="s">
        <v>5152</v>
      </c>
      <c r="C640" t="s">
        <v>7471</v>
      </c>
      <c r="D640" t="s">
        <v>5206</v>
      </c>
      <c r="E640" t="s">
        <v>7475</v>
      </c>
      <c r="F640">
        <v>704.67</v>
      </c>
    </row>
    <row r="641" spans="1:6">
      <c r="A641" t="str">
        <f>("27-0010")</f>
        <v>27-0010</v>
      </c>
      <c r="B641" t="s">
        <v>5152</v>
      </c>
      <c r="C641" t="s">
        <v>7471</v>
      </c>
      <c r="D641" t="s">
        <v>5206</v>
      </c>
      <c r="E641" t="s">
        <v>7474</v>
      </c>
      <c r="F641">
        <v>628.66999999999996</v>
      </c>
    </row>
    <row r="642" spans="1:6">
      <c r="A642" t="str">
        <f>("27-0015")</f>
        <v>27-0015</v>
      </c>
      <c r="B642" t="s">
        <v>5152</v>
      </c>
      <c r="C642" t="s">
        <v>7471</v>
      </c>
      <c r="D642" t="s">
        <v>5206</v>
      </c>
      <c r="E642" t="s">
        <v>7473</v>
      </c>
      <c r="F642">
        <v>720.67</v>
      </c>
    </row>
    <row r="643" spans="1:6">
      <c r="A643" t="str">
        <f>("27-0020")</f>
        <v>27-0020</v>
      </c>
      <c r="B643" t="s">
        <v>5152</v>
      </c>
      <c r="C643" t="s">
        <v>7471</v>
      </c>
      <c r="D643" t="s">
        <v>5206</v>
      </c>
      <c r="E643" t="s">
        <v>7472</v>
      </c>
      <c r="F643">
        <v>642</v>
      </c>
    </row>
    <row r="644" spans="1:6">
      <c r="A644" t="str">
        <f>("27-0025")</f>
        <v>27-0025</v>
      </c>
      <c r="B644" t="s">
        <v>5152</v>
      </c>
      <c r="C644" t="s">
        <v>7471</v>
      </c>
      <c r="D644" t="s">
        <v>5206</v>
      </c>
      <c r="E644" t="s">
        <v>7470</v>
      </c>
      <c r="F644">
        <v>783.33</v>
      </c>
    </row>
    <row r="645" spans="1:6">
      <c r="A645" t="str">
        <f>("27-1005")</f>
        <v>27-1005</v>
      </c>
      <c r="B645" t="s">
        <v>5152</v>
      </c>
      <c r="C645" t="s">
        <v>7385</v>
      </c>
      <c r="D645" t="s">
        <v>5216</v>
      </c>
      <c r="E645" t="s">
        <v>7469</v>
      </c>
      <c r="F645">
        <v>239.67</v>
      </c>
    </row>
    <row r="646" spans="1:6">
      <c r="A646" t="str">
        <f>("27-1015")</f>
        <v>27-1015</v>
      </c>
      <c r="B646" t="s">
        <v>5152</v>
      </c>
      <c r="C646" t="s">
        <v>7385</v>
      </c>
      <c r="D646" t="s">
        <v>5163</v>
      </c>
      <c r="E646" t="s">
        <v>7468</v>
      </c>
      <c r="F646">
        <v>239.67</v>
      </c>
    </row>
    <row r="647" spans="1:6">
      <c r="A647" t="str">
        <f>("27-1025")</f>
        <v>27-1025</v>
      </c>
      <c r="B647" t="s">
        <v>5152</v>
      </c>
      <c r="C647" t="s">
        <v>7385</v>
      </c>
      <c r="D647" t="s">
        <v>5163</v>
      </c>
      <c r="E647" t="s">
        <v>7467</v>
      </c>
      <c r="F647">
        <v>239.67</v>
      </c>
    </row>
    <row r="648" spans="1:6">
      <c r="A648" t="str">
        <f>("27-1035")</f>
        <v>27-1035</v>
      </c>
      <c r="B648" t="s">
        <v>5152</v>
      </c>
      <c r="C648" t="s">
        <v>7385</v>
      </c>
      <c r="D648" t="s">
        <v>5163</v>
      </c>
      <c r="E648" t="s">
        <v>7466</v>
      </c>
      <c r="F648">
        <v>239.67</v>
      </c>
    </row>
    <row r="649" spans="1:6">
      <c r="A649" t="str">
        <f>("27-1045")</f>
        <v>27-1045</v>
      </c>
      <c r="B649" t="s">
        <v>5152</v>
      </c>
      <c r="C649" t="s">
        <v>7385</v>
      </c>
      <c r="D649" t="s">
        <v>5216</v>
      </c>
      <c r="E649" t="s">
        <v>7465</v>
      </c>
      <c r="F649">
        <v>239.67</v>
      </c>
    </row>
    <row r="650" spans="1:6">
      <c r="A650" t="str">
        <f>("27-1085")</f>
        <v>27-1085</v>
      </c>
      <c r="B650" t="s">
        <v>5152</v>
      </c>
      <c r="C650" t="s">
        <v>7385</v>
      </c>
      <c r="D650" t="s">
        <v>5150</v>
      </c>
      <c r="E650" t="s">
        <v>7464</v>
      </c>
      <c r="F650">
        <v>239.67</v>
      </c>
    </row>
    <row r="651" spans="1:6">
      <c r="A651" t="str">
        <f>("27-1105")</f>
        <v>27-1105</v>
      </c>
      <c r="B651" t="s">
        <v>5152</v>
      </c>
      <c r="C651" t="s">
        <v>7385</v>
      </c>
      <c r="D651" t="s">
        <v>5163</v>
      </c>
      <c r="E651" t="s">
        <v>7463</v>
      </c>
      <c r="F651">
        <v>239.67</v>
      </c>
    </row>
    <row r="652" spans="1:6">
      <c r="A652" t="str">
        <f>("27-1115")</f>
        <v>27-1115</v>
      </c>
      <c r="B652" t="s">
        <v>5152</v>
      </c>
      <c r="C652" t="s">
        <v>7385</v>
      </c>
      <c r="D652" t="s">
        <v>5174</v>
      </c>
      <c r="E652" t="s">
        <v>7462</v>
      </c>
      <c r="F652">
        <v>239.67</v>
      </c>
    </row>
    <row r="653" spans="1:6">
      <c r="A653" t="str">
        <f>("27-1145")</f>
        <v>27-1145</v>
      </c>
      <c r="B653" t="s">
        <v>5152</v>
      </c>
      <c r="C653" t="s">
        <v>7385</v>
      </c>
      <c r="D653" t="s">
        <v>5174</v>
      </c>
      <c r="E653" t="s">
        <v>7461</v>
      </c>
      <c r="F653">
        <v>239.67</v>
      </c>
    </row>
    <row r="654" spans="1:6">
      <c r="A654" t="str">
        <f>("27-1155")</f>
        <v>27-1155</v>
      </c>
      <c r="B654" t="s">
        <v>5152</v>
      </c>
      <c r="C654" t="s">
        <v>7385</v>
      </c>
      <c r="D654" t="s">
        <v>5150</v>
      </c>
      <c r="E654" t="s">
        <v>7460</v>
      </c>
      <c r="F654">
        <v>239.67</v>
      </c>
    </row>
    <row r="655" spans="1:6">
      <c r="A655" t="str">
        <f>("27-1185")</f>
        <v>27-1185</v>
      </c>
      <c r="B655" t="s">
        <v>5152</v>
      </c>
      <c r="C655" t="s">
        <v>7385</v>
      </c>
      <c r="D655" t="s">
        <v>5184</v>
      </c>
      <c r="E655" t="s">
        <v>7459</v>
      </c>
      <c r="F655">
        <v>239.67</v>
      </c>
    </row>
    <row r="656" spans="1:6">
      <c r="A656" t="str">
        <f>("27-1205")</f>
        <v>27-1205</v>
      </c>
      <c r="B656" t="s">
        <v>5152</v>
      </c>
      <c r="C656" t="s">
        <v>7385</v>
      </c>
      <c r="D656" t="s">
        <v>5174</v>
      </c>
      <c r="E656" t="s">
        <v>7458</v>
      </c>
      <c r="F656">
        <v>239.67</v>
      </c>
    </row>
    <row r="657" spans="1:6">
      <c r="A657" t="str">
        <f>("27-1215")</f>
        <v>27-1215</v>
      </c>
      <c r="B657" t="s">
        <v>5152</v>
      </c>
      <c r="C657" t="s">
        <v>7385</v>
      </c>
      <c r="D657" t="s">
        <v>5174</v>
      </c>
      <c r="E657" t="s">
        <v>7457</v>
      </c>
      <c r="F657">
        <v>283.67</v>
      </c>
    </row>
    <row r="658" spans="1:6">
      <c r="A658" t="str">
        <f>("27-1265")</f>
        <v>27-1265</v>
      </c>
      <c r="B658" t="s">
        <v>5152</v>
      </c>
      <c r="C658" t="s">
        <v>7385</v>
      </c>
      <c r="D658" t="s">
        <v>5174</v>
      </c>
      <c r="E658" t="s">
        <v>7456</v>
      </c>
      <c r="F658">
        <v>239.67</v>
      </c>
    </row>
    <row r="659" spans="1:6">
      <c r="A659" t="str">
        <f>("27-1285")</f>
        <v>27-1285</v>
      </c>
      <c r="B659" t="s">
        <v>5152</v>
      </c>
      <c r="C659" t="s">
        <v>7385</v>
      </c>
      <c r="D659" t="s">
        <v>5163</v>
      </c>
      <c r="E659" t="s">
        <v>7455</v>
      </c>
      <c r="F659">
        <v>239.67</v>
      </c>
    </row>
    <row r="660" spans="1:6">
      <c r="A660" t="str">
        <f>("27-1325")</f>
        <v>27-1325</v>
      </c>
      <c r="B660" t="s">
        <v>5152</v>
      </c>
      <c r="C660" t="s">
        <v>7385</v>
      </c>
      <c r="D660" t="s">
        <v>5150</v>
      </c>
      <c r="E660" t="s">
        <v>7454</v>
      </c>
      <c r="F660">
        <v>283.67</v>
      </c>
    </row>
    <row r="661" spans="1:6">
      <c r="A661" t="str">
        <f>("27-1345")</f>
        <v>27-1345</v>
      </c>
      <c r="B661" t="s">
        <v>5152</v>
      </c>
      <c r="C661" t="s">
        <v>7385</v>
      </c>
      <c r="D661" t="s">
        <v>7433</v>
      </c>
      <c r="E661" t="s">
        <v>7453</v>
      </c>
      <c r="F661">
        <v>239.67</v>
      </c>
    </row>
    <row r="662" spans="1:6">
      <c r="A662" t="str">
        <f>("27-1355")</f>
        <v>27-1355</v>
      </c>
      <c r="B662" t="s">
        <v>5152</v>
      </c>
      <c r="C662" t="s">
        <v>7385</v>
      </c>
      <c r="D662" t="s">
        <v>7334</v>
      </c>
      <c r="E662" t="s">
        <v>7452</v>
      </c>
      <c r="F662">
        <v>239.67</v>
      </c>
    </row>
    <row r="663" spans="1:6">
      <c r="A663" t="str">
        <f>("27-1365")</f>
        <v>27-1365</v>
      </c>
      <c r="B663" t="s">
        <v>5152</v>
      </c>
      <c r="C663" t="s">
        <v>7385</v>
      </c>
      <c r="D663" t="s">
        <v>5150</v>
      </c>
      <c r="E663" t="s">
        <v>7451</v>
      </c>
      <c r="F663">
        <v>239.67</v>
      </c>
    </row>
    <row r="664" spans="1:6">
      <c r="A664" t="str">
        <f>("27-1375")</f>
        <v>27-1375</v>
      </c>
      <c r="B664" t="s">
        <v>5152</v>
      </c>
      <c r="C664" t="s">
        <v>7385</v>
      </c>
      <c r="D664" t="s">
        <v>5181</v>
      </c>
      <c r="E664" t="s">
        <v>7450</v>
      </c>
      <c r="F664">
        <v>239.67</v>
      </c>
    </row>
    <row r="665" spans="1:6">
      <c r="A665" t="str">
        <f>("27-1435")</f>
        <v>27-1435</v>
      </c>
      <c r="B665" t="s">
        <v>5152</v>
      </c>
      <c r="C665" t="s">
        <v>7385</v>
      </c>
      <c r="D665" t="s">
        <v>5362</v>
      </c>
      <c r="E665" t="s">
        <v>7449</v>
      </c>
      <c r="F665">
        <v>239.67</v>
      </c>
    </row>
    <row r="666" spans="1:6">
      <c r="A666" t="str">
        <f>("27-1445")</f>
        <v>27-1445</v>
      </c>
      <c r="B666" t="s">
        <v>5152</v>
      </c>
      <c r="C666" t="s">
        <v>7385</v>
      </c>
      <c r="D666" t="s">
        <v>5362</v>
      </c>
      <c r="E666" t="s">
        <v>7448</v>
      </c>
      <c r="F666">
        <v>239.67</v>
      </c>
    </row>
    <row r="667" spans="1:6">
      <c r="A667" t="str">
        <f>("27-1455")</f>
        <v>27-1455</v>
      </c>
      <c r="B667" t="s">
        <v>5152</v>
      </c>
      <c r="C667" t="s">
        <v>7385</v>
      </c>
      <c r="D667" t="s">
        <v>5163</v>
      </c>
      <c r="E667" t="s">
        <v>7447</v>
      </c>
      <c r="F667">
        <v>239.67</v>
      </c>
    </row>
    <row r="668" spans="1:6">
      <c r="A668" t="str">
        <f>("27-1505")</f>
        <v>27-1505</v>
      </c>
      <c r="B668" t="s">
        <v>5152</v>
      </c>
      <c r="C668" t="s">
        <v>7385</v>
      </c>
      <c r="D668" t="s">
        <v>5150</v>
      </c>
      <c r="E668" t="s">
        <v>7446</v>
      </c>
      <c r="F668">
        <v>283.67</v>
      </c>
    </row>
    <row r="669" spans="1:6">
      <c r="A669" t="str">
        <f>("27-1525")</f>
        <v>27-1525</v>
      </c>
      <c r="B669" t="s">
        <v>5152</v>
      </c>
      <c r="C669" t="s">
        <v>7385</v>
      </c>
      <c r="D669" t="s">
        <v>5174</v>
      </c>
      <c r="E669" t="s">
        <v>7445</v>
      </c>
      <c r="F669">
        <v>283.67</v>
      </c>
    </row>
    <row r="670" spans="1:6">
      <c r="A670" t="str">
        <f>("27-1535")</f>
        <v>27-1535</v>
      </c>
      <c r="B670" t="s">
        <v>5152</v>
      </c>
      <c r="C670" t="s">
        <v>7385</v>
      </c>
      <c r="D670" t="s">
        <v>7292</v>
      </c>
      <c r="E670" t="s">
        <v>7444</v>
      </c>
      <c r="F670">
        <v>283.67</v>
      </c>
    </row>
    <row r="671" spans="1:6">
      <c r="A671" t="str">
        <f>("27-1545")</f>
        <v>27-1545</v>
      </c>
      <c r="B671" t="s">
        <v>5152</v>
      </c>
      <c r="C671" t="s">
        <v>7385</v>
      </c>
      <c r="D671" t="s">
        <v>7443</v>
      </c>
      <c r="E671" t="s">
        <v>7442</v>
      </c>
      <c r="F671">
        <v>283.67</v>
      </c>
    </row>
    <row r="672" spans="1:6">
      <c r="A672" t="str">
        <f>("27-1565")</f>
        <v>27-1565</v>
      </c>
      <c r="B672" t="s">
        <v>5152</v>
      </c>
      <c r="C672" t="s">
        <v>7385</v>
      </c>
      <c r="D672" t="s">
        <v>7441</v>
      </c>
      <c r="E672" t="s">
        <v>7440</v>
      </c>
      <c r="F672">
        <v>283.67</v>
      </c>
    </row>
    <row r="673" spans="1:6">
      <c r="A673" t="str">
        <f>("27-1595")</f>
        <v>27-1595</v>
      </c>
      <c r="B673" t="s">
        <v>5152</v>
      </c>
      <c r="C673" t="s">
        <v>7385</v>
      </c>
      <c r="D673" t="s">
        <v>5163</v>
      </c>
      <c r="E673" t="s">
        <v>7439</v>
      </c>
      <c r="F673">
        <v>283.67</v>
      </c>
    </row>
    <row r="674" spans="1:6">
      <c r="A674" t="str">
        <f>("27-1605")</f>
        <v>27-1605</v>
      </c>
      <c r="B674" t="s">
        <v>5152</v>
      </c>
      <c r="C674" t="s">
        <v>7385</v>
      </c>
      <c r="D674" t="s">
        <v>5150</v>
      </c>
      <c r="E674" t="s">
        <v>7438</v>
      </c>
      <c r="F674">
        <v>283.67</v>
      </c>
    </row>
    <row r="675" spans="1:6">
      <c r="A675" t="str">
        <f>("27-1615")</f>
        <v>27-1615</v>
      </c>
      <c r="B675" t="s">
        <v>5152</v>
      </c>
      <c r="C675" t="s">
        <v>7385</v>
      </c>
      <c r="D675" t="s">
        <v>5150</v>
      </c>
      <c r="E675" t="s">
        <v>7437</v>
      </c>
      <c r="F675">
        <v>283.67</v>
      </c>
    </row>
    <row r="676" spans="1:6">
      <c r="A676" t="str">
        <f>("27-1625")</f>
        <v>27-1625</v>
      </c>
      <c r="B676" t="s">
        <v>5152</v>
      </c>
      <c r="C676" t="s">
        <v>7385</v>
      </c>
      <c r="D676" t="s">
        <v>5150</v>
      </c>
      <c r="E676" t="s">
        <v>7436</v>
      </c>
      <c r="F676">
        <v>283.67</v>
      </c>
    </row>
    <row r="677" spans="1:6">
      <c r="A677" t="str">
        <f>("27-1635")</f>
        <v>27-1635</v>
      </c>
      <c r="B677" t="s">
        <v>5152</v>
      </c>
      <c r="C677" t="s">
        <v>7385</v>
      </c>
      <c r="D677" t="s">
        <v>5158</v>
      </c>
      <c r="E677" t="s">
        <v>7435</v>
      </c>
      <c r="F677">
        <v>283.67</v>
      </c>
    </row>
    <row r="678" spans="1:6">
      <c r="A678" t="str">
        <f>("27-1645")</f>
        <v>27-1645</v>
      </c>
      <c r="B678" t="s">
        <v>5152</v>
      </c>
      <c r="C678" t="s">
        <v>7385</v>
      </c>
      <c r="D678" t="s">
        <v>5163</v>
      </c>
      <c r="E678" t="s">
        <v>7434</v>
      </c>
      <c r="F678">
        <v>283.67</v>
      </c>
    </row>
    <row r="679" spans="1:6">
      <c r="A679" t="str">
        <f>("27-1675")</f>
        <v>27-1675</v>
      </c>
      <c r="B679" t="s">
        <v>5152</v>
      </c>
      <c r="C679" t="s">
        <v>7385</v>
      </c>
      <c r="D679" t="s">
        <v>7433</v>
      </c>
      <c r="E679" t="s">
        <v>7432</v>
      </c>
      <c r="F679">
        <v>283.67</v>
      </c>
    </row>
    <row r="680" spans="1:6">
      <c r="A680" t="str">
        <f>("27-1725")</f>
        <v>27-1725</v>
      </c>
      <c r="B680" t="s">
        <v>5152</v>
      </c>
      <c r="C680" t="s">
        <v>7385</v>
      </c>
      <c r="D680" t="s">
        <v>5150</v>
      </c>
      <c r="E680" t="s">
        <v>7431</v>
      </c>
      <c r="F680">
        <v>283.67</v>
      </c>
    </row>
    <row r="681" spans="1:6">
      <c r="A681" t="str">
        <f>("27-1735")</f>
        <v>27-1735</v>
      </c>
      <c r="B681" t="s">
        <v>5152</v>
      </c>
      <c r="C681" t="s">
        <v>7385</v>
      </c>
      <c r="D681" t="s">
        <v>6393</v>
      </c>
      <c r="E681" t="s">
        <v>7430</v>
      </c>
      <c r="F681">
        <v>283.67</v>
      </c>
    </row>
    <row r="682" spans="1:6">
      <c r="A682" t="str">
        <f>("27-1745")</f>
        <v>27-1745</v>
      </c>
      <c r="B682" t="s">
        <v>5152</v>
      </c>
      <c r="C682" t="s">
        <v>7385</v>
      </c>
      <c r="D682" t="s">
        <v>5163</v>
      </c>
      <c r="E682" t="s">
        <v>7429</v>
      </c>
      <c r="F682">
        <v>283.67</v>
      </c>
    </row>
    <row r="683" spans="1:6">
      <c r="A683" t="str">
        <f>("27-1755")</f>
        <v>27-1755</v>
      </c>
      <c r="B683" t="s">
        <v>5152</v>
      </c>
      <c r="C683" t="s">
        <v>7385</v>
      </c>
      <c r="D683" t="s">
        <v>5163</v>
      </c>
      <c r="E683" t="s">
        <v>7428</v>
      </c>
      <c r="F683">
        <v>283.67</v>
      </c>
    </row>
    <row r="684" spans="1:6">
      <c r="A684" t="str">
        <f>("27-1775")</f>
        <v>27-1775</v>
      </c>
      <c r="B684" t="s">
        <v>5152</v>
      </c>
      <c r="C684" t="s">
        <v>7385</v>
      </c>
      <c r="D684" t="s">
        <v>5362</v>
      </c>
      <c r="E684" t="s">
        <v>7427</v>
      </c>
      <c r="F684">
        <v>283.67</v>
      </c>
    </row>
    <row r="685" spans="1:6">
      <c r="A685" t="str">
        <f>("27-1785")</f>
        <v>27-1785</v>
      </c>
      <c r="B685" t="s">
        <v>5152</v>
      </c>
      <c r="C685" t="s">
        <v>7385</v>
      </c>
      <c r="D685" t="s">
        <v>5160</v>
      </c>
      <c r="E685" t="s">
        <v>7426</v>
      </c>
      <c r="F685">
        <v>283.67</v>
      </c>
    </row>
    <row r="686" spans="1:6">
      <c r="A686" t="str">
        <f>("27-1795")</f>
        <v>27-1795</v>
      </c>
      <c r="B686" t="s">
        <v>5152</v>
      </c>
      <c r="C686" t="s">
        <v>7385</v>
      </c>
      <c r="D686" t="s">
        <v>5174</v>
      </c>
      <c r="E686" t="s">
        <v>7425</v>
      </c>
      <c r="F686">
        <v>283.67</v>
      </c>
    </row>
    <row r="687" spans="1:6">
      <c r="A687" t="str">
        <f>("27-1815")</f>
        <v>27-1815</v>
      </c>
      <c r="B687" t="s">
        <v>5152</v>
      </c>
      <c r="C687" t="s">
        <v>7385</v>
      </c>
      <c r="D687" t="s">
        <v>5174</v>
      </c>
      <c r="E687" t="s">
        <v>7424</v>
      </c>
      <c r="F687">
        <v>283.67</v>
      </c>
    </row>
    <row r="688" spans="1:6">
      <c r="A688" t="str">
        <f>("27-1825")</f>
        <v>27-1825</v>
      </c>
      <c r="B688" t="s">
        <v>5152</v>
      </c>
      <c r="C688" t="s">
        <v>7385</v>
      </c>
      <c r="D688" t="s">
        <v>7292</v>
      </c>
      <c r="E688" t="s">
        <v>7423</v>
      </c>
      <c r="F688">
        <v>283.67</v>
      </c>
    </row>
    <row r="689" spans="1:6">
      <c r="A689" t="str">
        <f>("27-1835")</f>
        <v>27-1835</v>
      </c>
      <c r="B689" t="s">
        <v>5152</v>
      </c>
      <c r="C689" t="s">
        <v>7385</v>
      </c>
      <c r="D689" t="s">
        <v>7422</v>
      </c>
      <c r="E689" t="s">
        <v>7421</v>
      </c>
      <c r="F689">
        <v>283.67</v>
      </c>
    </row>
    <row r="690" spans="1:6">
      <c r="A690" t="str">
        <f>("27-1845")</f>
        <v>27-1845</v>
      </c>
      <c r="B690" t="s">
        <v>5152</v>
      </c>
      <c r="C690" t="s">
        <v>7385</v>
      </c>
      <c r="D690" t="s">
        <v>7420</v>
      </c>
      <c r="E690" t="s">
        <v>7419</v>
      </c>
      <c r="F690">
        <v>283.67</v>
      </c>
    </row>
    <row r="691" spans="1:6">
      <c r="A691" t="str">
        <f>("27-1855")</f>
        <v>27-1855</v>
      </c>
      <c r="B691" t="s">
        <v>5152</v>
      </c>
      <c r="C691" t="s">
        <v>7385</v>
      </c>
      <c r="D691" t="s">
        <v>5150</v>
      </c>
      <c r="E691" t="s">
        <v>7418</v>
      </c>
      <c r="F691">
        <v>283.67</v>
      </c>
    </row>
    <row r="692" spans="1:6">
      <c r="A692" t="str">
        <f>("27-1875")</f>
        <v>27-1875</v>
      </c>
      <c r="B692" t="s">
        <v>5152</v>
      </c>
      <c r="C692" t="s">
        <v>7385</v>
      </c>
      <c r="D692" t="s">
        <v>5150</v>
      </c>
      <c r="E692" t="s">
        <v>7417</v>
      </c>
      <c r="F692">
        <v>283.67</v>
      </c>
    </row>
    <row r="693" spans="1:6">
      <c r="A693" t="str">
        <f>("27-1885")</f>
        <v>27-1885</v>
      </c>
      <c r="B693" t="s">
        <v>5152</v>
      </c>
      <c r="C693" t="s">
        <v>7385</v>
      </c>
      <c r="D693" t="s">
        <v>5174</v>
      </c>
      <c r="E693" t="s">
        <v>5176</v>
      </c>
      <c r="F693">
        <v>283.67</v>
      </c>
    </row>
    <row r="694" spans="1:6">
      <c r="A694" t="str">
        <f>("27-1895")</f>
        <v>27-1895</v>
      </c>
      <c r="B694" t="s">
        <v>5152</v>
      </c>
      <c r="C694" t="s">
        <v>7385</v>
      </c>
      <c r="D694" t="s">
        <v>5181</v>
      </c>
      <c r="E694" t="s">
        <v>7416</v>
      </c>
      <c r="F694">
        <v>283.67</v>
      </c>
    </row>
    <row r="695" spans="1:6">
      <c r="A695" t="str">
        <f>("27-1905")</f>
        <v>27-1905</v>
      </c>
      <c r="B695" t="s">
        <v>5152</v>
      </c>
      <c r="C695" t="s">
        <v>7385</v>
      </c>
      <c r="D695" t="s">
        <v>5181</v>
      </c>
      <c r="E695" t="s">
        <v>7415</v>
      </c>
      <c r="F695">
        <v>283.67</v>
      </c>
    </row>
    <row r="696" spans="1:6">
      <c r="A696" t="str">
        <f>("27-1945")</f>
        <v>27-1945</v>
      </c>
      <c r="B696" t="s">
        <v>5152</v>
      </c>
      <c r="C696" t="s">
        <v>7385</v>
      </c>
      <c r="D696" t="s">
        <v>5150</v>
      </c>
      <c r="E696" t="s">
        <v>7414</v>
      </c>
      <c r="F696">
        <v>283.67</v>
      </c>
    </row>
    <row r="697" spans="1:6">
      <c r="A697" t="str">
        <f>("27-1965")</f>
        <v>27-1965</v>
      </c>
      <c r="B697" t="s">
        <v>5152</v>
      </c>
      <c r="C697" t="s">
        <v>7385</v>
      </c>
      <c r="D697" t="s">
        <v>5174</v>
      </c>
      <c r="E697" t="s">
        <v>7413</v>
      </c>
      <c r="F697">
        <v>283.67</v>
      </c>
    </row>
    <row r="698" spans="1:6">
      <c r="A698" t="str">
        <f>("27-1975")</f>
        <v>27-1975</v>
      </c>
      <c r="B698" t="s">
        <v>5152</v>
      </c>
      <c r="C698" t="s">
        <v>7385</v>
      </c>
      <c r="D698" t="s">
        <v>6288</v>
      </c>
      <c r="E698" t="s">
        <v>7412</v>
      </c>
      <c r="F698">
        <v>283.67</v>
      </c>
    </row>
    <row r="699" spans="1:6">
      <c r="A699" t="str">
        <f>("27-1985")</f>
        <v>27-1985</v>
      </c>
      <c r="B699" t="s">
        <v>5152</v>
      </c>
      <c r="C699" t="s">
        <v>7385</v>
      </c>
      <c r="D699" t="s">
        <v>7321</v>
      </c>
      <c r="E699" t="s">
        <v>7411</v>
      </c>
      <c r="F699">
        <v>283.67</v>
      </c>
    </row>
    <row r="700" spans="1:6">
      <c r="A700" t="str">
        <f>("27-2135")</f>
        <v>27-2135</v>
      </c>
      <c r="B700" t="s">
        <v>5152</v>
      </c>
      <c r="C700" t="s">
        <v>7385</v>
      </c>
      <c r="D700" t="s">
        <v>5163</v>
      </c>
      <c r="E700" t="s">
        <v>7410</v>
      </c>
      <c r="F700">
        <v>275.66999999999996</v>
      </c>
    </row>
    <row r="701" spans="1:6">
      <c r="A701" t="str">
        <f>("27-2145")</f>
        <v>27-2145</v>
      </c>
      <c r="B701" t="s">
        <v>5152</v>
      </c>
      <c r="C701" t="s">
        <v>7385</v>
      </c>
      <c r="D701" t="s">
        <v>5163</v>
      </c>
      <c r="E701" t="s">
        <v>7409</v>
      </c>
      <c r="F701">
        <v>275.66999999999996</v>
      </c>
    </row>
    <row r="702" spans="1:6">
      <c r="A702" t="str">
        <f>("27-2165")</f>
        <v>27-2165</v>
      </c>
      <c r="B702" t="s">
        <v>5152</v>
      </c>
      <c r="C702" t="s">
        <v>7385</v>
      </c>
      <c r="D702" t="s">
        <v>5150</v>
      </c>
      <c r="E702" t="s">
        <v>5301</v>
      </c>
      <c r="F702">
        <v>283.67</v>
      </c>
    </row>
    <row r="703" spans="1:6">
      <c r="A703" t="str">
        <f>("27-2175")</f>
        <v>27-2175</v>
      </c>
      <c r="B703" t="s">
        <v>5152</v>
      </c>
      <c r="C703" t="s">
        <v>7385</v>
      </c>
      <c r="D703" t="s">
        <v>5174</v>
      </c>
      <c r="E703" t="s">
        <v>7408</v>
      </c>
      <c r="F703">
        <v>283.67</v>
      </c>
    </row>
    <row r="704" spans="1:6">
      <c r="A704" t="str">
        <f>("27-2195")</f>
        <v>27-2195</v>
      </c>
      <c r="B704" t="s">
        <v>5152</v>
      </c>
      <c r="C704" t="s">
        <v>7385</v>
      </c>
      <c r="D704" t="s">
        <v>5174</v>
      </c>
      <c r="E704" t="s">
        <v>5246</v>
      </c>
      <c r="F704">
        <v>283.67</v>
      </c>
    </row>
    <row r="705" spans="1:6">
      <c r="A705" t="str">
        <f>("27-2205")</f>
        <v>27-2205</v>
      </c>
      <c r="B705" t="s">
        <v>5152</v>
      </c>
      <c r="C705" t="s">
        <v>7385</v>
      </c>
      <c r="D705" t="s">
        <v>5163</v>
      </c>
      <c r="E705" t="s">
        <v>7407</v>
      </c>
      <c r="F705">
        <v>283.67</v>
      </c>
    </row>
    <row r="706" spans="1:6">
      <c r="A706" t="str">
        <f>("27-2245")</f>
        <v>27-2245</v>
      </c>
      <c r="B706" t="s">
        <v>5152</v>
      </c>
      <c r="C706" t="s">
        <v>7385</v>
      </c>
      <c r="D706" t="s">
        <v>5178</v>
      </c>
      <c r="E706" t="s">
        <v>7406</v>
      </c>
      <c r="F706">
        <v>275.66999999999996</v>
      </c>
    </row>
    <row r="707" spans="1:6">
      <c r="A707" t="str">
        <f>("27-2255")</f>
        <v>27-2255</v>
      </c>
      <c r="B707" t="s">
        <v>5152</v>
      </c>
      <c r="C707" t="s">
        <v>7385</v>
      </c>
      <c r="D707" t="s">
        <v>5163</v>
      </c>
      <c r="E707" t="s">
        <v>7405</v>
      </c>
      <c r="F707">
        <v>275.66999999999996</v>
      </c>
    </row>
    <row r="708" spans="1:6">
      <c r="A708" t="str">
        <f>("27-2265")</f>
        <v>27-2265</v>
      </c>
      <c r="B708" t="s">
        <v>5152</v>
      </c>
      <c r="C708" t="s">
        <v>7385</v>
      </c>
      <c r="D708" t="s">
        <v>5174</v>
      </c>
      <c r="E708" t="s">
        <v>7404</v>
      </c>
      <c r="F708">
        <v>275.66999999999996</v>
      </c>
    </row>
    <row r="709" spans="1:6">
      <c r="A709" t="str">
        <f>("27-2275")</f>
        <v>27-2275</v>
      </c>
      <c r="B709" t="s">
        <v>5152</v>
      </c>
      <c r="C709" t="s">
        <v>7385</v>
      </c>
      <c r="D709" t="s">
        <v>5216</v>
      </c>
      <c r="E709" t="s">
        <v>7403</v>
      </c>
      <c r="F709">
        <v>275.66999999999996</v>
      </c>
    </row>
    <row r="710" spans="1:6">
      <c r="A710" t="str">
        <f>("27-2285")</f>
        <v>27-2285</v>
      </c>
      <c r="B710" t="s">
        <v>5152</v>
      </c>
      <c r="C710" t="s">
        <v>7385</v>
      </c>
      <c r="D710" t="s">
        <v>5174</v>
      </c>
      <c r="E710" t="s">
        <v>7357</v>
      </c>
      <c r="F710">
        <v>275.66999999999996</v>
      </c>
    </row>
    <row r="711" spans="1:6">
      <c r="A711" t="str">
        <f>("27-2295")</f>
        <v>27-2295</v>
      </c>
      <c r="B711" t="s">
        <v>5152</v>
      </c>
      <c r="C711" t="s">
        <v>7385</v>
      </c>
      <c r="D711" t="s">
        <v>5174</v>
      </c>
      <c r="E711" t="s">
        <v>7402</v>
      </c>
      <c r="F711">
        <v>325</v>
      </c>
    </row>
    <row r="712" spans="1:6">
      <c r="A712" t="str">
        <f>("27-2305")</f>
        <v>27-2305</v>
      </c>
      <c r="B712" t="s">
        <v>5152</v>
      </c>
      <c r="C712" t="s">
        <v>7385</v>
      </c>
      <c r="D712" t="s">
        <v>5174</v>
      </c>
      <c r="E712" t="s">
        <v>7401</v>
      </c>
      <c r="F712">
        <v>205</v>
      </c>
    </row>
    <row r="713" spans="1:6">
      <c r="A713" t="str">
        <f>("27-2315")</f>
        <v>27-2315</v>
      </c>
      <c r="B713" t="s">
        <v>5152</v>
      </c>
      <c r="C713" t="s">
        <v>7385</v>
      </c>
      <c r="D713" t="s">
        <v>5174</v>
      </c>
      <c r="E713" t="s">
        <v>7400</v>
      </c>
      <c r="F713">
        <v>205</v>
      </c>
    </row>
    <row r="714" spans="1:6">
      <c r="A714" t="str">
        <f>("27-2325")</f>
        <v>27-2325</v>
      </c>
      <c r="B714" t="s">
        <v>5152</v>
      </c>
      <c r="C714" t="s">
        <v>7385</v>
      </c>
      <c r="D714" t="s">
        <v>5163</v>
      </c>
      <c r="E714" t="s">
        <v>7399</v>
      </c>
      <c r="F714">
        <v>274.17</v>
      </c>
    </row>
    <row r="715" spans="1:6">
      <c r="A715" t="str">
        <f>("27-2335")</f>
        <v>27-2335</v>
      </c>
      <c r="B715" t="s">
        <v>5152</v>
      </c>
      <c r="C715" t="s">
        <v>7385</v>
      </c>
      <c r="D715" t="s">
        <v>5163</v>
      </c>
      <c r="E715" t="s">
        <v>7398</v>
      </c>
      <c r="F715">
        <v>283.67</v>
      </c>
    </row>
    <row r="716" spans="1:6">
      <c r="A716" t="str">
        <f>("27-2345")</f>
        <v>27-2345</v>
      </c>
      <c r="B716" t="s">
        <v>5152</v>
      </c>
      <c r="C716" t="s">
        <v>7385</v>
      </c>
      <c r="D716" t="s">
        <v>5163</v>
      </c>
      <c r="E716" t="s">
        <v>7397</v>
      </c>
      <c r="F716">
        <v>196.83</v>
      </c>
    </row>
    <row r="717" spans="1:6">
      <c r="A717" t="str">
        <f>("27-2355")</f>
        <v>27-2355</v>
      </c>
      <c r="B717" t="s">
        <v>5152</v>
      </c>
      <c r="C717" t="s">
        <v>7385</v>
      </c>
      <c r="D717" t="s">
        <v>5163</v>
      </c>
      <c r="E717" t="s">
        <v>7396</v>
      </c>
      <c r="F717">
        <v>196.83</v>
      </c>
    </row>
    <row r="718" spans="1:6">
      <c r="A718" t="str">
        <f>("27-2365")</f>
        <v>27-2365</v>
      </c>
      <c r="B718" t="s">
        <v>5152</v>
      </c>
      <c r="C718" t="s">
        <v>7385</v>
      </c>
      <c r="D718" t="s">
        <v>5178</v>
      </c>
      <c r="E718" t="s">
        <v>7395</v>
      </c>
      <c r="F718">
        <v>274.17</v>
      </c>
    </row>
    <row r="719" spans="1:6">
      <c r="A719" t="str">
        <f>("27-2375")</f>
        <v>27-2375</v>
      </c>
      <c r="B719" t="s">
        <v>5152</v>
      </c>
      <c r="C719" t="s">
        <v>7385</v>
      </c>
      <c r="D719" t="s">
        <v>5178</v>
      </c>
      <c r="E719" t="s">
        <v>7394</v>
      </c>
      <c r="F719">
        <v>274.17</v>
      </c>
    </row>
    <row r="720" spans="1:6">
      <c r="A720" t="str">
        <f>("27-2385")</f>
        <v>27-2385</v>
      </c>
      <c r="B720" t="s">
        <v>5152</v>
      </c>
      <c r="C720" t="s">
        <v>7385</v>
      </c>
      <c r="D720" t="s">
        <v>5178</v>
      </c>
      <c r="E720" t="s">
        <v>7393</v>
      </c>
      <c r="F720">
        <v>196.83</v>
      </c>
    </row>
    <row r="721" spans="1:6">
      <c r="A721" t="str">
        <f>("27-2395")</f>
        <v>27-2395</v>
      </c>
      <c r="B721" t="s">
        <v>5152</v>
      </c>
      <c r="C721" t="s">
        <v>7385</v>
      </c>
      <c r="D721" t="s">
        <v>5178</v>
      </c>
      <c r="E721" t="s">
        <v>7392</v>
      </c>
      <c r="F721">
        <v>196.83</v>
      </c>
    </row>
    <row r="722" spans="1:6">
      <c r="A722" t="str">
        <f>("27-2425")</f>
        <v>27-2425</v>
      </c>
      <c r="B722" t="s">
        <v>5152</v>
      </c>
      <c r="C722" t="s">
        <v>7385</v>
      </c>
      <c r="D722" t="s">
        <v>5174</v>
      </c>
      <c r="E722" t="s">
        <v>5233</v>
      </c>
      <c r="F722">
        <v>283.67</v>
      </c>
    </row>
    <row r="723" spans="1:6">
      <c r="A723" t="str">
        <f>("27-2435")</f>
        <v>27-2435</v>
      </c>
      <c r="B723" t="s">
        <v>5152</v>
      </c>
      <c r="C723" t="s">
        <v>7385</v>
      </c>
      <c r="D723" t="s">
        <v>5158</v>
      </c>
      <c r="E723" t="s">
        <v>7391</v>
      </c>
      <c r="F723">
        <v>283.67</v>
      </c>
    </row>
    <row r="724" spans="1:6">
      <c r="A724" t="str">
        <f>("27-2445")</f>
        <v>27-2445</v>
      </c>
      <c r="B724" t="s">
        <v>5152</v>
      </c>
      <c r="C724" t="s">
        <v>7385</v>
      </c>
      <c r="D724" t="s">
        <v>5190</v>
      </c>
      <c r="E724" t="s">
        <v>7390</v>
      </c>
      <c r="F724">
        <v>283.67</v>
      </c>
    </row>
    <row r="725" spans="1:6">
      <c r="A725" t="str">
        <f>("27-2455")</f>
        <v>27-2455</v>
      </c>
      <c r="B725" t="s">
        <v>5152</v>
      </c>
      <c r="C725" t="s">
        <v>7385</v>
      </c>
      <c r="D725" t="s">
        <v>5190</v>
      </c>
      <c r="E725" t="s">
        <v>7389</v>
      </c>
      <c r="F725">
        <v>196.83</v>
      </c>
    </row>
    <row r="726" spans="1:6">
      <c r="A726" t="str">
        <f>("27-2465")</f>
        <v>27-2465</v>
      </c>
      <c r="B726" t="s">
        <v>5152</v>
      </c>
      <c r="C726" t="s">
        <v>7385</v>
      </c>
      <c r="D726" t="s">
        <v>5190</v>
      </c>
      <c r="E726" t="s">
        <v>7388</v>
      </c>
      <c r="F726">
        <v>196.83</v>
      </c>
    </row>
    <row r="727" spans="1:6">
      <c r="A727" t="str">
        <f>("27-2485")</f>
        <v>27-2485</v>
      </c>
      <c r="B727" t="s">
        <v>5152</v>
      </c>
      <c r="C727" t="s">
        <v>7385</v>
      </c>
      <c r="D727" t="s">
        <v>5150</v>
      </c>
      <c r="E727" t="s">
        <v>5149</v>
      </c>
      <c r="F727">
        <v>283.67</v>
      </c>
    </row>
    <row r="728" spans="1:6">
      <c r="A728" t="str">
        <f>("27-2495")</f>
        <v>27-2495</v>
      </c>
      <c r="B728" t="s">
        <v>5152</v>
      </c>
      <c r="C728" t="s">
        <v>7385</v>
      </c>
      <c r="D728" t="s">
        <v>5178</v>
      </c>
      <c r="E728" t="s">
        <v>7387</v>
      </c>
      <c r="F728">
        <v>206.33</v>
      </c>
    </row>
    <row r="729" spans="1:6">
      <c r="A729" t="str">
        <f>("27-2505")</f>
        <v>27-2505</v>
      </c>
      <c r="B729" t="s">
        <v>5152</v>
      </c>
      <c r="C729" t="s">
        <v>7385</v>
      </c>
      <c r="D729" t="s">
        <v>5216</v>
      </c>
      <c r="E729" t="s">
        <v>7386</v>
      </c>
      <c r="F729">
        <v>206.33</v>
      </c>
    </row>
    <row r="730" spans="1:6">
      <c r="A730" t="str">
        <f>("27-2785")</f>
        <v>27-2785</v>
      </c>
      <c r="B730" t="s">
        <v>5152</v>
      </c>
      <c r="C730" t="s">
        <v>7385</v>
      </c>
      <c r="D730" t="s">
        <v>5150</v>
      </c>
      <c r="E730" t="s">
        <v>7384</v>
      </c>
      <c r="F730">
        <v>283.67</v>
      </c>
    </row>
    <row r="731" spans="1:6">
      <c r="A731" t="str">
        <f>("K27-61301905")</f>
        <v>K27-61301905</v>
      </c>
      <c r="B731" t="s">
        <v>5152</v>
      </c>
      <c r="C731" t="s">
        <v>7382</v>
      </c>
      <c r="D731" t="s">
        <v>5181</v>
      </c>
      <c r="E731" t="s">
        <v>7383</v>
      </c>
      <c r="F731">
        <v>975.67</v>
      </c>
    </row>
    <row r="732" spans="1:6">
      <c r="A732" t="str">
        <f>("K27-61351905")</f>
        <v>K27-61351905</v>
      </c>
      <c r="B732" t="s">
        <v>5152</v>
      </c>
      <c r="C732" t="s">
        <v>7382</v>
      </c>
      <c r="D732" t="s">
        <v>5181</v>
      </c>
      <c r="E732" t="s">
        <v>7383</v>
      </c>
      <c r="F732">
        <v>911.67</v>
      </c>
    </row>
    <row r="733" spans="1:6">
      <c r="A733" t="str">
        <f>("K27-61501905")</f>
        <v>K27-61501905</v>
      </c>
      <c r="B733" t="s">
        <v>5152</v>
      </c>
      <c r="C733" t="s">
        <v>7382</v>
      </c>
      <c r="D733" t="s">
        <v>5181</v>
      </c>
      <c r="E733" t="s">
        <v>7381</v>
      </c>
      <c r="F733">
        <v>1007.67</v>
      </c>
    </row>
    <row r="734" spans="1:6">
      <c r="A734" t="str">
        <f>("K27-61551905")</f>
        <v>K27-61551905</v>
      </c>
      <c r="B734" t="s">
        <v>5152</v>
      </c>
      <c r="C734" t="s">
        <v>7382</v>
      </c>
      <c r="D734" t="s">
        <v>5181</v>
      </c>
      <c r="E734" t="s">
        <v>7381</v>
      </c>
      <c r="F734">
        <v>966.33</v>
      </c>
    </row>
    <row r="735" spans="1:6">
      <c r="A735" t="str">
        <f>("K27-66301905")</f>
        <v>K27-66301905</v>
      </c>
      <c r="B735" t="s">
        <v>5152</v>
      </c>
      <c r="C735" t="s">
        <v>7382</v>
      </c>
      <c r="D735" t="s">
        <v>5181</v>
      </c>
      <c r="E735" t="s">
        <v>7383</v>
      </c>
      <c r="F735">
        <v>975.67</v>
      </c>
    </row>
    <row r="736" spans="1:6">
      <c r="A736" t="str">
        <f>("K27-66501905")</f>
        <v>K27-66501905</v>
      </c>
      <c r="B736" t="s">
        <v>5152</v>
      </c>
      <c r="C736" t="s">
        <v>7382</v>
      </c>
      <c r="D736" t="s">
        <v>5181</v>
      </c>
      <c r="E736" t="s">
        <v>7381</v>
      </c>
      <c r="F736">
        <v>1007.67</v>
      </c>
    </row>
    <row r="737" spans="1:6">
      <c r="A737" t="str">
        <f>("27-64710")</f>
        <v>27-64710</v>
      </c>
      <c r="B737" t="s">
        <v>5152</v>
      </c>
      <c r="C737" t="s">
        <v>7369</v>
      </c>
      <c r="D737" t="s">
        <v>5206</v>
      </c>
      <c r="E737" t="s">
        <v>7380</v>
      </c>
      <c r="F737">
        <v>835.33</v>
      </c>
    </row>
    <row r="738" spans="1:6">
      <c r="A738" t="str">
        <f>("27-64715")</f>
        <v>27-64715</v>
      </c>
      <c r="B738" t="s">
        <v>5152</v>
      </c>
      <c r="C738" t="s">
        <v>7369</v>
      </c>
      <c r="D738" t="s">
        <v>5206</v>
      </c>
      <c r="E738" t="s">
        <v>7379</v>
      </c>
      <c r="F738">
        <v>704.67</v>
      </c>
    </row>
    <row r="739" spans="1:6">
      <c r="A739" t="str">
        <f>("27-64720")</f>
        <v>27-64720</v>
      </c>
      <c r="B739" t="s">
        <v>5152</v>
      </c>
      <c r="C739" t="s">
        <v>7369</v>
      </c>
      <c r="D739" t="s">
        <v>5206</v>
      </c>
      <c r="E739" t="s">
        <v>7378</v>
      </c>
      <c r="F739">
        <v>900.67</v>
      </c>
    </row>
    <row r="740" spans="1:6">
      <c r="A740" t="str">
        <f>("27-64725")</f>
        <v>27-64725</v>
      </c>
      <c r="B740" t="s">
        <v>5152</v>
      </c>
      <c r="C740" t="s">
        <v>7369</v>
      </c>
      <c r="D740" t="s">
        <v>5206</v>
      </c>
      <c r="E740" t="s">
        <v>7377</v>
      </c>
      <c r="F740">
        <v>770</v>
      </c>
    </row>
    <row r="741" spans="1:6">
      <c r="A741" t="str">
        <f>("27-64730")</f>
        <v>27-64730</v>
      </c>
      <c r="B741" t="s">
        <v>5152</v>
      </c>
      <c r="C741" t="s">
        <v>7369</v>
      </c>
      <c r="D741" t="s">
        <v>5206</v>
      </c>
      <c r="E741" t="s">
        <v>7376</v>
      </c>
      <c r="F741">
        <v>988.67</v>
      </c>
    </row>
    <row r="742" spans="1:6">
      <c r="A742" t="str">
        <f>("27-64735")</f>
        <v>27-64735</v>
      </c>
      <c r="B742" t="s">
        <v>5152</v>
      </c>
      <c r="C742" t="s">
        <v>7369</v>
      </c>
      <c r="D742" t="s">
        <v>5206</v>
      </c>
      <c r="E742" t="s">
        <v>7375</v>
      </c>
      <c r="F742">
        <v>835.33</v>
      </c>
    </row>
    <row r="743" spans="1:6">
      <c r="A743" t="str">
        <f>("27-64740")</f>
        <v>27-64740</v>
      </c>
      <c r="B743" t="s">
        <v>5152</v>
      </c>
      <c r="C743" t="s">
        <v>7369</v>
      </c>
      <c r="D743" t="s">
        <v>5206</v>
      </c>
      <c r="E743" t="s">
        <v>7374</v>
      </c>
      <c r="F743">
        <v>1119.33</v>
      </c>
    </row>
    <row r="744" spans="1:6">
      <c r="A744" t="str">
        <f>("27-64745")</f>
        <v>27-64745</v>
      </c>
      <c r="B744" t="s">
        <v>5152</v>
      </c>
      <c r="C744" t="s">
        <v>7369</v>
      </c>
      <c r="D744" t="s">
        <v>5206</v>
      </c>
      <c r="E744" t="s">
        <v>7373</v>
      </c>
      <c r="F744">
        <v>966</v>
      </c>
    </row>
    <row r="745" spans="1:6">
      <c r="A745" t="str">
        <f>("27-64750")</f>
        <v>27-64750</v>
      </c>
      <c r="B745" t="s">
        <v>5152</v>
      </c>
      <c r="C745" t="s">
        <v>7369</v>
      </c>
      <c r="D745" t="s">
        <v>5206</v>
      </c>
      <c r="E745" t="s">
        <v>7372</v>
      </c>
      <c r="F745">
        <v>1076.67</v>
      </c>
    </row>
    <row r="746" spans="1:6">
      <c r="A746" t="str">
        <f>("27-64755")</f>
        <v>27-64755</v>
      </c>
      <c r="B746" t="s">
        <v>5152</v>
      </c>
      <c r="C746" t="s">
        <v>7369</v>
      </c>
      <c r="D746" t="s">
        <v>5206</v>
      </c>
      <c r="E746" t="s">
        <v>7371</v>
      </c>
      <c r="F746">
        <v>923.33</v>
      </c>
    </row>
    <row r="747" spans="1:6">
      <c r="A747" t="str">
        <f>("27-64760")</f>
        <v>27-64760</v>
      </c>
      <c r="B747" t="s">
        <v>5152</v>
      </c>
      <c r="C747" t="s">
        <v>7369</v>
      </c>
      <c r="D747" t="s">
        <v>5206</v>
      </c>
      <c r="E747" t="s">
        <v>7370</v>
      </c>
      <c r="F747">
        <v>1054</v>
      </c>
    </row>
    <row r="748" spans="1:6">
      <c r="A748" t="str">
        <f>("27-64765")</f>
        <v>27-64765</v>
      </c>
      <c r="B748" t="s">
        <v>5152</v>
      </c>
      <c r="C748" t="s">
        <v>7369</v>
      </c>
      <c r="D748" t="s">
        <v>5206</v>
      </c>
      <c r="E748" t="s">
        <v>7368</v>
      </c>
      <c r="F748">
        <v>900.67</v>
      </c>
    </row>
    <row r="749" spans="1:6">
      <c r="A749" t="str">
        <f>("27-65750")</f>
        <v>27-65750</v>
      </c>
      <c r="B749" t="s">
        <v>5152</v>
      </c>
      <c r="C749" t="s">
        <v>7365</v>
      </c>
      <c r="D749" t="s">
        <v>5206</v>
      </c>
      <c r="E749" t="s">
        <v>7367</v>
      </c>
      <c r="F749">
        <v>1368.83</v>
      </c>
    </row>
    <row r="750" spans="1:6">
      <c r="A750" t="str">
        <f>("27-65760")</f>
        <v>27-65760</v>
      </c>
      <c r="B750" t="s">
        <v>5152</v>
      </c>
      <c r="C750" t="s">
        <v>7365</v>
      </c>
      <c r="D750" t="s">
        <v>5206</v>
      </c>
      <c r="E750" t="s">
        <v>7366</v>
      </c>
      <c r="F750">
        <v>1346.17</v>
      </c>
    </row>
    <row r="751" spans="1:6">
      <c r="A751" t="str">
        <f>("27-65765")</f>
        <v>27-65765</v>
      </c>
      <c r="B751" t="s">
        <v>5152</v>
      </c>
      <c r="C751" t="s">
        <v>7365</v>
      </c>
      <c r="D751" t="s">
        <v>5206</v>
      </c>
      <c r="E751" t="s">
        <v>7364</v>
      </c>
      <c r="F751">
        <v>1192.83</v>
      </c>
    </row>
    <row r="752" spans="1:6">
      <c r="A752" t="str">
        <f>("28-51003")</f>
        <v>28-51003</v>
      </c>
      <c r="B752" t="s">
        <v>5152</v>
      </c>
      <c r="C752" t="s">
        <v>7363</v>
      </c>
      <c r="D752" t="s">
        <v>5206</v>
      </c>
      <c r="E752" t="s">
        <v>7362</v>
      </c>
      <c r="F752">
        <v>379.33</v>
      </c>
    </row>
    <row r="753" spans="1:6">
      <c r="A753" t="str">
        <f>("28-51005")</f>
        <v>28-51005</v>
      </c>
      <c r="B753" t="s">
        <v>5152</v>
      </c>
      <c r="C753" t="s">
        <v>7355</v>
      </c>
      <c r="D753" t="s">
        <v>5163</v>
      </c>
      <c r="E753" t="s">
        <v>6681</v>
      </c>
      <c r="F753">
        <v>835.33</v>
      </c>
    </row>
    <row r="754" spans="1:6">
      <c r="A754" t="str">
        <f>("28-51010")</f>
        <v>28-51010</v>
      </c>
      <c r="B754" t="s">
        <v>5152</v>
      </c>
      <c r="C754" t="s">
        <v>7355</v>
      </c>
      <c r="D754" t="s">
        <v>5163</v>
      </c>
      <c r="E754" t="s">
        <v>5245</v>
      </c>
      <c r="F754">
        <v>880.67</v>
      </c>
    </row>
    <row r="755" spans="1:6">
      <c r="A755" t="str">
        <f>("28-51015")</f>
        <v>28-51015</v>
      </c>
      <c r="B755" t="s">
        <v>5152</v>
      </c>
      <c r="C755" t="s">
        <v>7355</v>
      </c>
      <c r="D755" t="s">
        <v>5163</v>
      </c>
      <c r="E755" t="s">
        <v>5245</v>
      </c>
      <c r="F755">
        <v>835.33</v>
      </c>
    </row>
    <row r="756" spans="1:6">
      <c r="A756" t="str">
        <f>("28-51020")</f>
        <v>28-51020</v>
      </c>
      <c r="B756" t="s">
        <v>5152</v>
      </c>
      <c r="C756" t="s">
        <v>7355</v>
      </c>
      <c r="D756" t="s">
        <v>5163</v>
      </c>
      <c r="E756" t="s">
        <v>6683</v>
      </c>
      <c r="F756">
        <v>923.33</v>
      </c>
    </row>
    <row r="757" spans="1:6">
      <c r="A757" t="str">
        <f>("28-51025")</f>
        <v>28-51025</v>
      </c>
      <c r="B757" t="s">
        <v>5152</v>
      </c>
      <c r="C757" t="s">
        <v>7355</v>
      </c>
      <c r="D757" t="s">
        <v>5163</v>
      </c>
      <c r="E757" t="s">
        <v>6683</v>
      </c>
      <c r="F757">
        <v>880.67</v>
      </c>
    </row>
    <row r="758" spans="1:6">
      <c r="A758" t="str">
        <f>("28-51030")</f>
        <v>28-51030</v>
      </c>
      <c r="B758" t="s">
        <v>5152</v>
      </c>
      <c r="C758" t="s">
        <v>7355</v>
      </c>
      <c r="D758" t="s">
        <v>5163</v>
      </c>
      <c r="E758" t="s">
        <v>7346</v>
      </c>
      <c r="F758">
        <v>988.67</v>
      </c>
    </row>
    <row r="759" spans="1:6">
      <c r="A759" t="str">
        <f>("28-51035")</f>
        <v>28-51035</v>
      </c>
      <c r="B759" t="s">
        <v>5152</v>
      </c>
      <c r="C759" t="s">
        <v>7355</v>
      </c>
      <c r="D759" t="s">
        <v>5163</v>
      </c>
      <c r="E759" t="s">
        <v>7346</v>
      </c>
      <c r="F759">
        <v>923.33</v>
      </c>
    </row>
    <row r="760" spans="1:6">
      <c r="A760" t="str">
        <f>("28-51040")</f>
        <v>28-51040</v>
      </c>
      <c r="B760" t="s">
        <v>5152</v>
      </c>
      <c r="C760" t="s">
        <v>7355</v>
      </c>
      <c r="D760" t="s">
        <v>5181</v>
      </c>
      <c r="E760" t="s">
        <v>5251</v>
      </c>
      <c r="F760">
        <v>923.33</v>
      </c>
    </row>
    <row r="761" spans="1:6">
      <c r="A761" t="str">
        <f>("28-51045")</f>
        <v>28-51045</v>
      </c>
      <c r="B761" t="s">
        <v>5152</v>
      </c>
      <c r="C761" t="s">
        <v>7355</v>
      </c>
      <c r="D761" t="s">
        <v>5181</v>
      </c>
      <c r="E761" t="s">
        <v>5251</v>
      </c>
      <c r="F761">
        <v>880.67</v>
      </c>
    </row>
    <row r="762" spans="1:6">
      <c r="A762" t="str">
        <f>("28-51050")</f>
        <v>28-51050</v>
      </c>
      <c r="B762" t="s">
        <v>5152</v>
      </c>
      <c r="C762" t="s">
        <v>7355</v>
      </c>
      <c r="D762" t="s">
        <v>5181</v>
      </c>
      <c r="E762" t="s">
        <v>6684</v>
      </c>
      <c r="F762">
        <v>988.67</v>
      </c>
    </row>
    <row r="763" spans="1:6">
      <c r="A763" t="str">
        <f>("28-51055")</f>
        <v>28-51055</v>
      </c>
      <c r="B763" t="s">
        <v>5152</v>
      </c>
      <c r="C763" t="s">
        <v>7355</v>
      </c>
      <c r="D763" t="s">
        <v>5181</v>
      </c>
      <c r="E763" t="s">
        <v>6684</v>
      </c>
      <c r="F763">
        <v>923.33</v>
      </c>
    </row>
    <row r="764" spans="1:6">
      <c r="A764" t="str">
        <f>("28-51080")</f>
        <v>28-51080</v>
      </c>
      <c r="B764" t="s">
        <v>5152</v>
      </c>
      <c r="C764" t="s">
        <v>7355</v>
      </c>
      <c r="D764" t="s">
        <v>5174</v>
      </c>
      <c r="E764" t="s">
        <v>5247</v>
      </c>
      <c r="F764">
        <v>923.33</v>
      </c>
    </row>
    <row r="765" spans="1:6">
      <c r="A765" t="str">
        <f>("28-51085")</f>
        <v>28-51085</v>
      </c>
      <c r="B765" t="s">
        <v>5152</v>
      </c>
      <c r="C765" t="s">
        <v>7355</v>
      </c>
      <c r="D765" t="s">
        <v>5174</v>
      </c>
      <c r="E765" t="s">
        <v>5247</v>
      </c>
      <c r="F765">
        <v>880.67</v>
      </c>
    </row>
    <row r="766" spans="1:6">
      <c r="A766" t="str">
        <f>("28-51090")</f>
        <v>28-51090</v>
      </c>
      <c r="B766" t="s">
        <v>5152</v>
      </c>
      <c r="C766" t="s">
        <v>7355</v>
      </c>
      <c r="D766" t="s">
        <v>5174</v>
      </c>
      <c r="E766" t="s">
        <v>5246</v>
      </c>
      <c r="F766">
        <v>988.67</v>
      </c>
    </row>
    <row r="767" spans="1:6">
      <c r="A767" t="str">
        <f>("28-51095")</f>
        <v>28-51095</v>
      </c>
      <c r="B767" t="s">
        <v>5152</v>
      </c>
      <c r="C767" t="s">
        <v>7355</v>
      </c>
      <c r="D767" t="s">
        <v>5174</v>
      </c>
      <c r="E767" t="s">
        <v>5246</v>
      </c>
      <c r="F767">
        <v>923.33</v>
      </c>
    </row>
    <row r="768" spans="1:6">
      <c r="A768" t="str">
        <f>("28-51125")</f>
        <v>28-51125</v>
      </c>
      <c r="B768" t="s">
        <v>5152</v>
      </c>
      <c r="C768" t="s">
        <v>7355</v>
      </c>
      <c r="D768" t="s">
        <v>5150</v>
      </c>
      <c r="E768" t="s">
        <v>6695</v>
      </c>
      <c r="F768">
        <v>835.33</v>
      </c>
    </row>
    <row r="769" spans="1:6">
      <c r="A769" t="str">
        <f>("28-51130")</f>
        <v>28-51130</v>
      </c>
      <c r="B769" t="s">
        <v>5152</v>
      </c>
      <c r="C769" t="s">
        <v>7355</v>
      </c>
      <c r="D769" t="s">
        <v>5150</v>
      </c>
      <c r="E769" t="s">
        <v>5254</v>
      </c>
      <c r="F769">
        <v>923.33</v>
      </c>
    </row>
    <row r="770" spans="1:6">
      <c r="A770" t="str">
        <f>("28-51135")</f>
        <v>28-51135</v>
      </c>
      <c r="B770" t="s">
        <v>5152</v>
      </c>
      <c r="C770" t="s">
        <v>7355</v>
      </c>
      <c r="D770" t="s">
        <v>5150</v>
      </c>
      <c r="E770" t="s">
        <v>5254</v>
      </c>
      <c r="F770">
        <v>880.67</v>
      </c>
    </row>
    <row r="771" spans="1:6">
      <c r="A771" t="str">
        <f>("28-51140")</f>
        <v>28-51140</v>
      </c>
      <c r="B771" t="s">
        <v>5152</v>
      </c>
      <c r="C771" t="s">
        <v>7355</v>
      </c>
      <c r="D771" t="s">
        <v>5150</v>
      </c>
      <c r="E771" t="s">
        <v>5252</v>
      </c>
      <c r="F771">
        <v>923.33</v>
      </c>
    </row>
    <row r="772" spans="1:6">
      <c r="A772" t="str">
        <f>("28-51145")</f>
        <v>28-51145</v>
      </c>
      <c r="B772" t="s">
        <v>5152</v>
      </c>
      <c r="C772" t="s">
        <v>7355</v>
      </c>
      <c r="D772" t="s">
        <v>5150</v>
      </c>
      <c r="E772" t="s">
        <v>5252</v>
      </c>
      <c r="F772">
        <v>880.67</v>
      </c>
    </row>
    <row r="773" spans="1:6">
      <c r="A773" t="str">
        <f>("28-51150")</f>
        <v>28-51150</v>
      </c>
      <c r="B773" t="s">
        <v>5152</v>
      </c>
      <c r="C773" t="s">
        <v>7355</v>
      </c>
      <c r="D773" t="s">
        <v>5150</v>
      </c>
      <c r="E773" t="s">
        <v>5155</v>
      </c>
      <c r="F773">
        <v>1113.67</v>
      </c>
    </row>
    <row r="774" spans="1:6">
      <c r="A774" t="str">
        <f>("28-51155")</f>
        <v>28-51155</v>
      </c>
      <c r="B774" t="s">
        <v>5152</v>
      </c>
      <c r="C774" t="s">
        <v>7355</v>
      </c>
      <c r="D774" t="s">
        <v>5150</v>
      </c>
      <c r="E774" t="s">
        <v>5155</v>
      </c>
      <c r="F774">
        <v>1048.33</v>
      </c>
    </row>
    <row r="775" spans="1:6">
      <c r="A775" t="str">
        <f>("28-51160")</f>
        <v>28-51160</v>
      </c>
      <c r="B775" t="s">
        <v>5152</v>
      </c>
      <c r="C775" t="s">
        <v>7355</v>
      </c>
      <c r="D775" t="s">
        <v>5158</v>
      </c>
      <c r="E775" t="s">
        <v>7343</v>
      </c>
      <c r="F775">
        <v>988.67</v>
      </c>
    </row>
    <row r="776" spans="1:6">
      <c r="A776" t="str">
        <f>("28-51165")</f>
        <v>28-51165</v>
      </c>
      <c r="B776" t="s">
        <v>5152</v>
      </c>
      <c r="C776" t="s">
        <v>7355</v>
      </c>
      <c r="D776" t="s">
        <v>5158</v>
      </c>
      <c r="E776" t="s">
        <v>7343</v>
      </c>
      <c r="F776">
        <v>923.33</v>
      </c>
    </row>
    <row r="777" spans="1:6">
      <c r="A777" t="str">
        <f>("28-51175")</f>
        <v>28-51175</v>
      </c>
      <c r="B777" t="s">
        <v>5152</v>
      </c>
      <c r="C777" t="s">
        <v>7355</v>
      </c>
      <c r="D777" t="s">
        <v>5158</v>
      </c>
      <c r="E777" t="s">
        <v>6368</v>
      </c>
      <c r="F777">
        <v>880.67</v>
      </c>
    </row>
    <row r="778" spans="1:6">
      <c r="A778" t="str">
        <f>("28-51180")</f>
        <v>28-51180</v>
      </c>
      <c r="B778" t="s">
        <v>5152</v>
      </c>
      <c r="C778" t="s">
        <v>7355</v>
      </c>
      <c r="D778" t="s">
        <v>5158</v>
      </c>
      <c r="E778" t="s">
        <v>7361</v>
      </c>
      <c r="F778">
        <v>880.67</v>
      </c>
    </row>
    <row r="779" spans="1:6">
      <c r="A779" t="str">
        <f>("28-51185")</f>
        <v>28-51185</v>
      </c>
      <c r="B779" t="s">
        <v>5152</v>
      </c>
      <c r="C779" t="s">
        <v>7355</v>
      </c>
      <c r="D779" t="s">
        <v>5158</v>
      </c>
      <c r="E779" t="s">
        <v>7361</v>
      </c>
      <c r="F779">
        <v>835.33</v>
      </c>
    </row>
    <row r="780" spans="1:6">
      <c r="A780" t="str">
        <f>("28-51190")</f>
        <v>28-51190</v>
      </c>
      <c r="B780" t="s">
        <v>5152</v>
      </c>
      <c r="C780" t="s">
        <v>7355</v>
      </c>
      <c r="D780" t="s">
        <v>5150</v>
      </c>
      <c r="E780" t="s">
        <v>7360</v>
      </c>
      <c r="F780">
        <v>880.67</v>
      </c>
    </row>
    <row r="781" spans="1:6">
      <c r="A781" t="str">
        <f>("28-51195")</f>
        <v>28-51195</v>
      </c>
      <c r="B781" t="s">
        <v>5152</v>
      </c>
      <c r="C781" t="s">
        <v>7355</v>
      </c>
      <c r="D781" t="s">
        <v>5150</v>
      </c>
      <c r="E781" t="s">
        <v>7359</v>
      </c>
      <c r="F781">
        <v>835.33</v>
      </c>
    </row>
    <row r="782" spans="1:6">
      <c r="A782" t="str">
        <f>("28-51200")</f>
        <v>28-51200</v>
      </c>
      <c r="B782" t="s">
        <v>5152</v>
      </c>
      <c r="C782" t="s">
        <v>7355</v>
      </c>
      <c r="D782" t="s">
        <v>5150</v>
      </c>
      <c r="E782" t="s">
        <v>7358</v>
      </c>
      <c r="F782">
        <v>880.67</v>
      </c>
    </row>
    <row r="783" spans="1:6">
      <c r="A783" t="str">
        <f>("28-51205")</f>
        <v>28-51205</v>
      </c>
      <c r="B783" t="s">
        <v>5152</v>
      </c>
      <c r="C783" t="s">
        <v>7355</v>
      </c>
      <c r="D783" t="s">
        <v>5150</v>
      </c>
      <c r="E783" t="s">
        <v>7358</v>
      </c>
      <c r="F783">
        <v>835.33</v>
      </c>
    </row>
    <row r="784" spans="1:6">
      <c r="A784" t="str">
        <f>("28-51220")</f>
        <v>28-51220</v>
      </c>
      <c r="B784" t="s">
        <v>5152</v>
      </c>
      <c r="C784" t="s">
        <v>7355</v>
      </c>
      <c r="D784" t="s">
        <v>5178</v>
      </c>
      <c r="E784" t="s">
        <v>6679</v>
      </c>
      <c r="F784">
        <v>988.67</v>
      </c>
    </row>
    <row r="785" spans="1:6">
      <c r="A785" t="str">
        <f>("28-51225")</f>
        <v>28-51225</v>
      </c>
      <c r="B785" t="s">
        <v>5152</v>
      </c>
      <c r="C785" t="s">
        <v>7355</v>
      </c>
      <c r="D785" t="s">
        <v>5178</v>
      </c>
      <c r="E785" t="s">
        <v>6679</v>
      </c>
      <c r="F785">
        <v>923.33</v>
      </c>
    </row>
    <row r="786" spans="1:6">
      <c r="A786" t="str">
        <f>("28-51230")</f>
        <v>28-51230</v>
      </c>
      <c r="B786" t="s">
        <v>5152</v>
      </c>
      <c r="C786" t="s">
        <v>7355</v>
      </c>
      <c r="D786" t="s">
        <v>5178</v>
      </c>
      <c r="E786" t="s">
        <v>6678</v>
      </c>
      <c r="F786">
        <v>923.33</v>
      </c>
    </row>
    <row r="787" spans="1:6">
      <c r="A787" t="str">
        <f>("28-51235")</f>
        <v>28-51235</v>
      </c>
      <c r="B787" t="s">
        <v>5152</v>
      </c>
      <c r="C787" t="s">
        <v>7355</v>
      </c>
      <c r="D787" t="s">
        <v>5178</v>
      </c>
      <c r="E787" t="s">
        <v>6678</v>
      </c>
      <c r="F787">
        <v>880.67</v>
      </c>
    </row>
    <row r="788" spans="1:6">
      <c r="A788" t="str">
        <f>("28-51250")</f>
        <v>28-51250</v>
      </c>
      <c r="B788" t="s">
        <v>5152</v>
      </c>
      <c r="C788" t="s">
        <v>7355</v>
      </c>
      <c r="D788" t="s">
        <v>5174</v>
      </c>
      <c r="E788" t="s">
        <v>7357</v>
      </c>
      <c r="F788">
        <v>844.67</v>
      </c>
    </row>
    <row r="789" spans="1:6">
      <c r="A789" t="str">
        <f>("28-51255")</f>
        <v>28-51255</v>
      </c>
      <c r="B789" t="s">
        <v>5152</v>
      </c>
      <c r="C789" t="s">
        <v>7355</v>
      </c>
      <c r="D789" t="s">
        <v>5174</v>
      </c>
      <c r="E789" t="s">
        <v>7357</v>
      </c>
      <c r="F789">
        <v>804.67</v>
      </c>
    </row>
    <row r="790" spans="1:6">
      <c r="A790" t="str">
        <f>("28-51260")</f>
        <v>28-51260</v>
      </c>
      <c r="B790" t="s">
        <v>5152</v>
      </c>
      <c r="C790" t="s">
        <v>7355</v>
      </c>
      <c r="D790" t="s">
        <v>5163</v>
      </c>
      <c r="E790" t="s">
        <v>5243</v>
      </c>
      <c r="F790">
        <v>923.33</v>
      </c>
    </row>
    <row r="791" spans="1:6">
      <c r="A791" t="str">
        <f>("28-51265")</f>
        <v>28-51265</v>
      </c>
      <c r="B791" t="s">
        <v>5152</v>
      </c>
      <c r="C791" t="s">
        <v>7355</v>
      </c>
      <c r="D791" t="s">
        <v>5163</v>
      </c>
      <c r="E791" t="s">
        <v>5243</v>
      </c>
      <c r="F791">
        <v>880.67</v>
      </c>
    </row>
    <row r="792" spans="1:6">
      <c r="A792" t="str">
        <f>("28-51270")</f>
        <v>28-51270</v>
      </c>
      <c r="B792" t="s">
        <v>5152</v>
      </c>
      <c r="C792" t="s">
        <v>7355</v>
      </c>
      <c r="D792" t="s">
        <v>5163</v>
      </c>
      <c r="E792" t="s">
        <v>5302</v>
      </c>
      <c r="F792">
        <v>988.67</v>
      </c>
    </row>
    <row r="793" spans="1:6">
      <c r="A793" t="str">
        <f>("28-51275")</f>
        <v>28-51275</v>
      </c>
      <c r="B793" t="s">
        <v>5152</v>
      </c>
      <c r="C793" t="s">
        <v>7355</v>
      </c>
      <c r="D793" t="s">
        <v>5163</v>
      </c>
      <c r="E793" t="s">
        <v>5302</v>
      </c>
      <c r="F793">
        <v>923.33</v>
      </c>
    </row>
    <row r="794" spans="1:6">
      <c r="A794" t="str">
        <f>("28-51285")</f>
        <v>28-51285</v>
      </c>
      <c r="B794" t="s">
        <v>5152</v>
      </c>
      <c r="C794" t="s">
        <v>7355</v>
      </c>
      <c r="D794" t="s">
        <v>5174</v>
      </c>
      <c r="E794" t="s">
        <v>6677</v>
      </c>
      <c r="F794">
        <v>764.67</v>
      </c>
    </row>
    <row r="795" spans="1:6">
      <c r="A795" t="str">
        <f>("28-51290")</f>
        <v>28-51290</v>
      </c>
      <c r="B795" t="s">
        <v>5152</v>
      </c>
      <c r="C795" t="s">
        <v>7355</v>
      </c>
      <c r="D795" t="s">
        <v>5174</v>
      </c>
      <c r="E795" t="s">
        <v>5241</v>
      </c>
      <c r="F795">
        <v>844.67</v>
      </c>
    </row>
    <row r="796" spans="1:6">
      <c r="A796" t="str">
        <f>("28-51295")</f>
        <v>28-51295</v>
      </c>
      <c r="B796" t="s">
        <v>5152</v>
      </c>
      <c r="C796" t="s">
        <v>7355</v>
      </c>
      <c r="D796" t="s">
        <v>5174</v>
      </c>
      <c r="E796" t="s">
        <v>5241</v>
      </c>
      <c r="F796">
        <v>804.67</v>
      </c>
    </row>
    <row r="797" spans="1:6">
      <c r="A797" t="str">
        <f>("28-51315")</f>
        <v>28-51315</v>
      </c>
      <c r="B797" t="s">
        <v>5152</v>
      </c>
      <c r="C797" t="s">
        <v>7355</v>
      </c>
      <c r="D797" t="s">
        <v>5160</v>
      </c>
      <c r="E797" t="s">
        <v>5237</v>
      </c>
      <c r="F797">
        <v>880.67</v>
      </c>
    </row>
    <row r="798" spans="1:6">
      <c r="A798" t="str">
        <f>("28-51325")</f>
        <v>28-51325</v>
      </c>
      <c r="B798" t="s">
        <v>5152</v>
      </c>
      <c r="C798" t="s">
        <v>7355</v>
      </c>
      <c r="D798" t="s">
        <v>5160</v>
      </c>
      <c r="E798" t="s">
        <v>5236</v>
      </c>
      <c r="F798">
        <v>880.67</v>
      </c>
    </row>
    <row r="799" spans="1:6">
      <c r="A799" t="str">
        <f>("28-51330")</f>
        <v>28-51330</v>
      </c>
      <c r="B799" t="s">
        <v>5152</v>
      </c>
      <c r="C799" t="s">
        <v>7355</v>
      </c>
      <c r="D799" t="s">
        <v>5150</v>
      </c>
      <c r="E799" t="s">
        <v>5238</v>
      </c>
      <c r="F799">
        <v>923.33</v>
      </c>
    </row>
    <row r="800" spans="1:6">
      <c r="A800" t="str">
        <f>("28-51335")</f>
        <v>28-51335</v>
      </c>
      <c r="B800" t="s">
        <v>5152</v>
      </c>
      <c r="C800" t="s">
        <v>7355</v>
      </c>
      <c r="D800" t="s">
        <v>5150</v>
      </c>
      <c r="E800" t="s">
        <v>5238</v>
      </c>
      <c r="F800">
        <v>880.67</v>
      </c>
    </row>
    <row r="801" spans="1:6">
      <c r="A801" t="str">
        <f>("28-51340")</f>
        <v>28-51340</v>
      </c>
      <c r="B801" t="s">
        <v>5152</v>
      </c>
      <c r="C801" t="s">
        <v>7355</v>
      </c>
      <c r="D801" t="s">
        <v>5150</v>
      </c>
      <c r="E801" t="s">
        <v>5149</v>
      </c>
      <c r="F801">
        <v>988.67</v>
      </c>
    </row>
    <row r="802" spans="1:6">
      <c r="A802" t="str">
        <f>("28-51345")</f>
        <v>28-51345</v>
      </c>
      <c r="B802" t="s">
        <v>5152</v>
      </c>
      <c r="C802" t="s">
        <v>7355</v>
      </c>
      <c r="D802" t="s">
        <v>5150</v>
      </c>
      <c r="E802" t="s">
        <v>5149</v>
      </c>
      <c r="F802">
        <v>923.33</v>
      </c>
    </row>
    <row r="803" spans="1:6">
      <c r="A803" t="str">
        <f>("28-521050")</f>
        <v>28-521050</v>
      </c>
      <c r="B803" t="s">
        <v>5152</v>
      </c>
      <c r="C803" t="s">
        <v>7356</v>
      </c>
      <c r="D803" t="s">
        <v>5181</v>
      </c>
      <c r="E803" t="s">
        <v>6684</v>
      </c>
      <c r="F803">
        <v>1171</v>
      </c>
    </row>
    <row r="804" spans="1:6">
      <c r="A804" t="str">
        <f>("28-521055")</f>
        <v>28-521055</v>
      </c>
      <c r="B804" t="s">
        <v>5152</v>
      </c>
      <c r="C804" t="s">
        <v>7356</v>
      </c>
      <c r="D804" t="s">
        <v>5181</v>
      </c>
      <c r="E804" t="s">
        <v>6684</v>
      </c>
      <c r="F804">
        <v>1101.67</v>
      </c>
    </row>
    <row r="805" spans="1:6">
      <c r="A805" t="str">
        <f>("28-521095")</f>
        <v>28-521095</v>
      </c>
      <c r="B805" t="s">
        <v>5152</v>
      </c>
      <c r="C805" t="s">
        <v>7356</v>
      </c>
      <c r="D805" t="s">
        <v>5174</v>
      </c>
      <c r="E805" t="s">
        <v>5246</v>
      </c>
      <c r="F805">
        <v>1101.67</v>
      </c>
    </row>
    <row r="806" spans="1:6">
      <c r="A806" t="str">
        <f>("28-521270")</f>
        <v>28-521270</v>
      </c>
      <c r="B806" t="s">
        <v>5152</v>
      </c>
      <c r="C806" t="s">
        <v>7356</v>
      </c>
      <c r="D806" t="s">
        <v>5163</v>
      </c>
      <c r="E806" t="s">
        <v>5302</v>
      </c>
      <c r="F806">
        <v>1171</v>
      </c>
    </row>
    <row r="807" spans="1:6">
      <c r="A807" t="str">
        <f>("28-521275")</f>
        <v>28-521275</v>
      </c>
      <c r="B807" t="s">
        <v>5152</v>
      </c>
      <c r="C807" t="s">
        <v>7356</v>
      </c>
      <c r="D807" t="s">
        <v>5163</v>
      </c>
      <c r="E807" t="s">
        <v>5302</v>
      </c>
      <c r="F807">
        <v>1101.67</v>
      </c>
    </row>
    <row r="808" spans="1:6">
      <c r="A808" t="str">
        <f>("28-52785")</f>
        <v>28-52785</v>
      </c>
      <c r="B808" t="s">
        <v>5152</v>
      </c>
      <c r="C808" t="s">
        <v>7355</v>
      </c>
      <c r="D808" t="s">
        <v>5150</v>
      </c>
      <c r="E808" t="s">
        <v>5253</v>
      </c>
      <c r="F808">
        <v>880.67</v>
      </c>
    </row>
    <row r="809" spans="1:6">
      <c r="A809" t="str">
        <f>("28-5234760")</f>
        <v>28-5234760</v>
      </c>
      <c r="B809" t="s">
        <v>5152</v>
      </c>
      <c r="C809" t="s">
        <v>7354</v>
      </c>
      <c r="D809" t="s">
        <v>5163</v>
      </c>
      <c r="E809" t="s">
        <v>5306</v>
      </c>
      <c r="F809">
        <v>1715.33</v>
      </c>
    </row>
    <row r="810" spans="1:6">
      <c r="A810" t="str">
        <f>("28-5234765")</f>
        <v>28-5234765</v>
      </c>
      <c r="B810" t="s">
        <v>5152</v>
      </c>
      <c r="C810" t="s">
        <v>7354</v>
      </c>
      <c r="D810" t="s">
        <v>5163</v>
      </c>
      <c r="E810" t="s">
        <v>5306</v>
      </c>
      <c r="F810">
        <v>1299.33</v>
      </c>
    </row>
    <row r="811" spans="1:6">
      <c r="A811" t="str">
        <f>("28-5234770")</f>
        <v>28-5234770</v>
      </c>
      <c r="B811" t="s">
        <v>5152</v>
      </c>
      <c r="C811" t="s">
        <v>7354</v>
      </c>
      <c r="D811" t="s">
        <v>5163</v>
      </c>
      <c r="E811" t="s">
        <v>6654</v>
      </c>
      <c r="F811">
        <v>1715.33</v>
      </c>
    </row>
    <row r="812" spans="1:6">
      <c r="A812" t="str">
        <f>("28-5234775")</f>
        <v>28-5234775</v>
      </c>
      <c r="B812" t="s">
        <v>5152</v>
      </c>
      <c r="C812" t="s">
        <v>7354</v>
      </c>
      <c r="D812" t="s">
        <v>5163</v>
      </c>
      <c r="E812" t="s">
        <v>6654</v>
      </c>
      <c r="F812">
        <v>1299.33</v>
      </c>
    </row>
    <row r="813" spans="1:6">
      <c r="A813" t="str">
        <f>("28-534015")</f>
        <v>28-534015</v>
      </c>
      <c r="B813" t="s">
        <v>5152</v>
      </c>
      <c r="C813" t="s">
        <v>7348</v>
      </c>
      <c r="D813" t="s">
        <v>5174</v>
      </c>
      <c r="E813" t="s">
        <v>6671</v>
      </c>
      <c r="F813">
        <v>1252.67</v>
      </c>
    </row>
    <row r="814" spans="1:6">
      <c r="A814" t="str">
        <f>("28-534180")</f>
        <v>28-534180</v>
      </c>
      <c r="B814" t="s">
        <v>5152</v>
      </c>
      <c r="C814" t="s">
        <v>7348</v>
      </c>
      <c r="D814" t="s">
        <v>5150</v>
      </c>
      <c r="E814" t="s">
        <v>6669</v>
      </c>
      <c r="F814">
        <v>1491.33</v>
      </c>
    </row>
    <row r="815" spans="1:6">
      <c r="A815" t="str">
        <f>("28-534185")</f>
        <v>28-534185</v>
      </c>
      <c r="B815" t="s">
        <v>5152</v>
      </c>
      <c r="C815" t="s">
        <v>7348</v>
      </c>
      <c r="D815" t="s">
        <v>5150</v>
      </c>
      <c r="E815" t="s">
        <v>6669</v>
      </c>
      <c r="F815">
        <v>1142</v>
      </c>
    </row>
    <row r="816" spans="1:6">
      <c r="A816" t="str">
        <f>("28-534310")</f>
        <v>28-534310</v>
      </c>
      <c r="B816" t="s">
        <v>5152</v>
      </c>
      <c r="C816" t="s">
        <v>7348</v>
      </c>
      <c r="D816" t="s">
        <v>5181</v>
      </c>
      <c r="E816" t="s">
        <v>7353</v>
      </c>
      <c r="F816">
        <v>1667.33</v>
      </c>
    </row>
    <row r="817" spans="1:6">
      <c r="A817" t="str">
        <f>("28-534315")</f>
        <v>28-534315</v>
      </c>
      <c r="B817" t="s">
        <v>5152</v>
      </c>
      <c r="C817" t="s">
        <v>7348</v>
      </c>
      <c r="D817" t="s">
        <v>5181</v>
      </c>
      <c r="E817" t="s">
        <v>7353</v>
      </c>
      <c r="F817">
        <v>1252.67</v>
      </c>
    </row>
    <row r="818" spans="1:6">
      <c r="A818" t="str">
        <f>("28-534320")</f>
        <v>28-534320</v>
      </c>
      <c r="B818" t="s">
        <v>5152</v>
      </c>
      <c r="C818" t="s">
        <v>7348</v>
      </c>
      <c r="D818" t="s">
        <v>5178</v>
      </c>
      <c r="E818" t="s">
        <v>7352</v>
      </c>
      <c r="F818">
        <v>1667.33</v>
      </c>
    </row>
    <row r="819" spans="1:6">
      <c r="A819" t="str">
        <f>("28-534325")</f>
        <v>28-534325</v>
      </c>
      <c r="B819" t="s">
        <v>5152</v>
      </c>
      <c r="C819" t="s">
        <v>7348</v>
      </c>
      <c r="D819" t="s">
        <v>5178</v>
      </c>
      <c r="E819" t="s">
        <v>7352</v>
      </c>
      <c r="F819">
        <v>1252.67</v>
      </c>
    </row>
    <row r="820" spans="1:6">
      <c r="A820" t="str">
        <f>("28-534330")</f>
        <v>28-534330</v>
      </c>
      <c r="B820" t="s">
        <v>5152</v>
      </c>
      <c r="C820" t="s">
        <v>7348</v>
      </c>
      <c r="D820" t="s">
        <v>5178</v>
      </c>
      <c r="E820" t="s">
        <v>6674</v>
      </c>
      <c r="F820">
        <v>1792.33</v>
      </c>
    </row>
    <row r="821" spans="1:6">
      <c r="A821" t="str">
        <f>("28-534335")</f>
        <v>28-534335</v>
      </c>
      <c r="B821" t="s">
        <v>5152</v>
      </c>
      <c r="C821" t="s">
        <v>7348</v>
      </c>
      <c r="D821" t="s">
        <v>5178</v>
      </c>
      <c r="E821" t="s">
        <v>6674</v>
      </c>
      <c r="F821">
        <v>1377.67</v>
      </c>
    </row>
    <row r="822" spans="1:6">
      <c r="A822" t="str">
        <f>("28-534340")</f>
        <v>28-534340</v>
      </c>
      <c r="B822" t="s">
        <v>5152</v>
      </c>
      <c r="C822" t="s">
        <v>7348</v>
      </c>
      <c r="D822" t="s">
        <v>5178</v>
      </c>
      <c r="E822" t="s">
        <v>6665</v>
      </c>
      <c r="F822">
        <v>1792.33</v>
      </c>
    </row>
    <row r="823" spans="1:6">
      <c r="A823" t="str">
        <f>("28-534345")</f>
        <v>28-534345</v>
      </c>
      <c r="B823" t="s">
        <v>5152</v>
      </c>
      <c r="C823" t="s">
        <v>7348</v>
      </c>
      <c r="D823" t="s">
        <v>5178</v>
      </c>
      <c r="E823" t="s">
        <v>6665</v>
      </c>
      <c r="F823">
        <v>1377.67</v>
      </c>
    </row>
    <row r="824" spans="1:6">
      <c r="A824" t="str">
        <f>("28-534565")</f>
        <v>28-534565</v>
      </c>
      <c r="B824" t="s">
        <v>5152</v>
      </c>
      <c r="C824" t="s">
        <v>7348</v>
      </c>
      <c r="D824" t="s">
        <v>5163</v>
      </c>
      <c r="E824" t="s">
        <v>7351</v>
      </c>
      <c r="F824">
        <v>1142</v>
      </c>
    </row>
    <row r="825" spans="1:6">
      <c r="A825" t="str">
        <f>("28-534570")</f>
        <v>28-534570</v>
      </c>
      <c r="B825" t="s">
        <v>5152</v>
      </c>
      <c r="C825" t="s">
        <v>7348</v>
      </c>
      <c r="D825" t="s">
        <v>5163</v>
      </c>
      <c r="E825" t="s">
        <v>6664</v>
      </c>
      <c r="F825">
        <v>1667.33</v>
      </c>
    </row>
    <row r="826" spans="1:6">
      <c r="A826" t="str">
        <f>("28-534575")</f>
        <v>28-534575</v>
      </c>
      <c r="B826" t="s">
        <v>5152</v>
      </c>
      <c r="C826" t="s">
        <v>7348</v>
      </c>
      <c r="D826" t="s">
        <v>5163</v>
      </c>
      <c r="E826" t="s">
        <v>6664</v>
      </c>
      <c r="F826">
        <v>1252.67</v>
      </c>
    </row>
    <row r="827" spans="1:6">
      <c r="A827" t="str">
        <f>("28-534585")</f>
        <v>28-534585</v>
      </c>
      <c r="B827" t="s">
        <v>5152</v>
      </c>
      <c r="C827" t="s">
        <v>7348</v>
      </c>
      <c r="D827" t="s">
        <v>5163</v>
      </c>
      <c r="E827" t="s">
        <v>6663</v>
      </c>
      <c r="F827">
        <v>1252.67</v>
      </c>
    </row>
    <row r="828" spans="1:6">
      <c r="A828" t="str">
        <f>("28-534590")</f>
        <v>28-534590</v>
      </c>
      <c r="B828" t="s">
        <v>5152</v>
      </c>
      <c r="C828" t="s">
        <v>7348</v>
      </c>
      <c r="D828" t="s">
        <v>5163</v>
      </c>
      <c r="E828" t="s">
        <v>7350</v>
      </c>
      <c r="F828">
        <v>1667.33</v>
      </c>
    </row>
    <row r="829" spans="1:6">
      <c r="A829" t="str">
        <f>("28-534680")</f>
        <v>28-534680</v>
      </c>
      <c r="B829" t="s">
        <v>5152</v>
      </c>
      <c r="C829" t="s">
        <v>7348</v>
      </c>
      <c r="D829" t="s">
        <v>5163</v>
      </c>
      <c r="E829" t="s">
        <v>7349</v>
      </c>
      <c r="F829">
        <v>1491.33</v>
      </c>
    </row>
    <row r="830" spans="1:6">
      <c r="A830" t="str">
        <f>("28-534685")</f>
        <v>28-534685</v>
      </c>
      <c r="B830" t="s">
        <v>5152</v>
      </c>
      <c r="C830" t="s">
        <v>7348</v>
      </c>
      <c r="D830" t="s">
        <v>5163</v>
      </c>
      <c r="E830" t="s">
        <v>7349</v>
      </c>
      <c r="F830">
        <v>1142</v>
      </c>
    </row>
    <row r="831" spans="1:6">
      <c r="A831" t="str">
        <f>("28-534690")</f>
        <v>28-534690</v>
      </c>
      <c r="B831" t="s">
        <v>5152</v>
      </c>
      <c r="C831" t="s">
        <v>7348</v>
      </c>
      <c r="D831" t="s">
        <v>5163</v>
      </c>
      <c r="E831" t="s">
        <v>6660</v>
      </c>
      <c r="F831">
        <v>1667.33</v>
      </c>
    </row>
    <row r="832" spans="1:6">
      <c r="A832" t="str">
        <f>("28-534695")</f>
        <v>28-534695</v>
      </c>
      <c r="B832" t="s">
        <v>5152</v>
      </c>
      <c r="C832" t="s">
        <v>7348</v>
      </c>
      <c r="D832" t="s">
        <v>5163</v>
      </c>
      <c r="E832" t="s">
        <v>6660</v>
      </c>
      <c r="F832">
        <v>1252.67</v>
      </c>
    </row>
    <row r="833" spans="1:6">
      <c r="A833" t="str">
        <f>("28-534700")</f>
        <v>28-534700</v>
      </c>
      <c r="B833" t="s">
        <v>5152</v>
      </c>
      <c r="C833" t="s">
        <v>7348</v>
      </c>
      <c r="D833" t="s">
        <v>5178</v>
      </c>
      <c r="E833" t="s">
        <v>6659</v>
      </c>
      <c r="F833">
        <v>1667.33</v>
      </c>
    </row>
    <row r="834" spans="1:6">
      <c r="A834" t="str">
        <f>("28-534705")</f>
        <v>28-534705</v>
      </c>
      <c r="B834" t="s">
        <v>5152</v>
      </c>
      <c r="C834" t="s">
        <v>7348</v>
      </c>
      <c r="D834" t="s">
        <v>5178</v>
      </c>
      <c r="E834" t="s">
        <v>6659</v>
      </c>
      <c r="F834">
        <v>1252.67</v>
      </c>
    </row>
    <row r="835" spans="1:6">
      <c r="A835" t="str">
        <f>("28-534720")</f>
        <v>28-534720</v>
      </c>
      <c r="B835" t="s">
        <v>5152</v>
      </c>
      <c r="C835" t="s">
        <v>7348</v>
      </c>
      <c r="D835" t="s">
        <v>5178</v>
      </c>
      <c r="E835" t="s">
        <v>6657</v>
      </c>
      <c r="F835">
        <v>1667.33</v>
      </c>
    </row>
    <row r="836" spans="1:6">
      <c r="A836" t="str">
        <f>("28-534725")</f>
        <v>28-534725</v>
      </c>
      <c r="B836" t="s">
        <v>5152</v>
      </c>
      <c r="C836" t="s">
        <v>7348</v>
      </c>
      <c r="D836" t="s">
        <v>5178</v>
      </c>
      <c r="E836" t="s">
        <v>6657</v>
      </c>
      <c r="F836">
        <v>1252.67</v>
      </c>
    </row>
    <row r="837" spans="1:6">
      <c r="A837" t="str">
        <f>("28-534730")</f>
        <v>28-534730</v>
      </c>
      <c r="B837" t="s">
        <v>5152</v>
      </c>
      <c r="C837" t="s">
        <v>7348</v>
      </c>
      <c r="D837" t="s">
        <v>5178</v>
      </c>
      <c r="E837" t="s">
        <v>6656</v>
      </c>
      <c r="F837">
        <v>1667.33</v>
      </c>
    </row>
    <row r="838" spans="1:6">
      <c r="A838" t="str">
        <f>("28-534735")</f>
        <v>28-534735</v>
      </c>
      <c r="B838" t="s">
        <v>5152</v>
      </c>
      <c r="C838" t="s">
        <v>7348</v>
      </c>
      <c r="D838" t="s">
        <v>5178</v>
      </c>
      <c r="E838" t="s">
        <v>6656</v>
      </c>
      <c r="F838">
        <v>1252.67</v>
      </c>
    </row>
    <row r="839" spans="1:6">
      <c r="A839" t="str">
        <f>("28-534780")</f>
        <v>28-534780</v>
      </c>
      <c r="B839" t="s">
        <v>5152</v>
      </c>
      <c r="C839" t="s">
        <v>7348</v>
      </c>
      <c r="D839" t="s">
        <v>5178</v>
      </c>
      <c r="E839" t="s">
        <v>7347</v>
      </c>
      <c r="F839">
        <v>1667.33</v>
      </c>
    </row>
    <row r="840" spans="1:6">
      <c r="A840" t="str">
        <f>("28-534785")</f>
        <v>28-534785</v>
      </c>
      <c r="B840" t="s">
        <v>5152</v>
      </c>
      <c r="C840" t="s">
        <v>7348</v>
      </c>
      <c r="D840" t="s">
        <v>5178</v>
      </c>
      <c r="E840" t="s">
        <v>7347</v>
      </c>
      <c r="F840">
        <v>1252.67</v>
      </c>
    </row>
    <row r="841" spans="1:6">
      <c r="A841" t="str">
        <f>("28-71015")</f>
        <v>28-71015</v>
      </c>
      <c r="B841" t="s">
        <v>5152</v>
      </c>
      <c r="C841" t="s">
        <v>7345</v>
      </c>
      <c r="D841" t="s">
        <v>5163</v>
      </c>
      <c r="E841" t="s">
        <v>5245</v>
      </c>
      <c r="F841">
        <v>1142</v>
      </c>
    </row>
    <row r="842" spans="1:6">
      <c r="A842" t="str">
        <f>("28-71020")</f>
        <v>28-71020</v>
      </c>
      <c r="B842" t="s">
        <v>5152</v>
      </c>
      <c r="C842" t="s">
        <v>7345</v>
      </c>
      <c r="D842" t="s">
        <v>5163</v>
      </c>
      <c r="E842" t="s">
        <v>6683</v>
      </c>
      <c r="F842">
        <v>1207.33</v>
      </c>
    </row>
    <row r="843" spans="1:6">
      <c r="A843" t="str">
        <f>("28-71025")</f>
        <v>28-71025</v>
      </c>
      <c r="B843" t="s">
        <v>5152</v>
      </c>
      <c r="C843" t="s">
        <v>7345</v>
      </c>
      <c r="D843" t="s">
        <v>5163</v>
      </c>
      <c r="E843" t="s">
        <v>6683</v>
      </c>
      <c r="F843">
        <v>988.67</v>
      </c>
    </row>
    <row r="844" spans="1:6">
      <c r="A844" t="str">
        <f>("28-71030")</f>
        <v>28-71030</v>
      </c>
      <c r="B844" t="s">
        <v>5152</v>
      </c>
      <c r="C844" t="s">
        <v>7345</v>
      </c>
      <c r="D844" t="s">
        <v>5163</v>
      </c>
      <c r="E844" t="s">
        <v>7346</v>
      </c>
      <c r="F844">
        <v>1360.67</v>
      </c>
    </row>
    <row r="845" spans="1:6">
      <c r="A845" t="str">
        <f>("28-71035")</f>
        <v>28-71035</v>
      </c>
      <c r="B845" t="s">
        <v>5152</v>
      </c>
      <c r="C845" t="s">
        <v>7345</v>
      </c>
      <c r="D845" t="s">
        <v>5163</v>
      </c>
      <c r="E845" t="s">
        <v>7346</v>
      </c>
      <c r="F845">
        <v>1142</v>
      </c>
    </row>
    <row r="846" spans="1:6">
      <c r="A846" t="str">
        <f>("28-71040")</f>
        <v>28-71040</v>
      </c>
      <c r="B846" t="s">
        <v>5152</v>
      </c>
      <c r="C846" t="s">
        <v>7345</v>
      </c>
      <c r="D846" t="s">
        <v>5181</v>
      </c>
      <c r="E846" t="s">
        <v>5251</v>
      </c>
      <c r="F846">
        <v>1207.33</v>
      </c>
    </row>
    <row r="847" spans="1:6">
      <c r="A847" t="str">
        <f>("28-71045")</f>
        <v>28-71045</v>
      </c>
      <c r="B847" t="s">
        <v>5152</v>
      </c>
      <c r="C847" t="s">
        <v>7345</v>
      </c>
      <c r="D847" t="s">
        <v>5181</v>
      </c>
      <c r="E847" t="s">
        <v>5251</v>
      </c>
      <c r="F847">
        <v>988.67</v>
      </c>
    </row>
    <row r="848" spans="1:6">
      <c r="A848" t="str">
        <f>("28-71050")</f>
        <v>28-71050</v>
      </c>
      <c r="B848" t="s">
        <v>5152</v>
      </c>
      <c r="C848" t="s">
        <v>7345</v>
      </c>
      <c r="D848" t="s">
        <v>5181</v>
      </c>
      <c r="E848" t="s">
        <v>6684</v>
      </c>
      <c r="F848">
        <v>1360.67</v>
      </c>
    </row>
    <row r="849" spans="1:6">
      <c r="A849" t="str">
        <f>("28-71055")</f>
        <v>28-71055</v>
      </c>
      <c r="B849" t="s">
        <v>5152</v>
      </c>
      <c r="C849" t="s">
        <v>7345</v>
      </c>
      <c r="D849" t="s">
        <v>5181</v>
      </c>
      <c r="E849" t="s">
        <v>6684</v>
      </c>
      <c r="F849">
        <v>1142</v>
      </c>
    </row>
    <row r="850" spans="1:6">
      <c r="A850" t="str">
        <f>("28-71085")</f>
        <v>28-71085</v>
      </c>
      <c r="B850" t="s">
        <v>5152</v>
      </c>
      <c r="C850" t="s">
        <v>7345</v>
      </c>
      <c r="D850" t="s">
        <v>5174</v>
      </c>
      <c r="E850" t="s">
        <v>5247</v>
      </c>
      <c r="F850">
        <v>988.67</v>
      </c>
    </row>
    <row r="851" spans="1:6">
      <c r="A851" t="str">
        <f>("28-71090")</f>
        <v>28-71090</v>
      </c>
      <c r="B851" t="s">
        <v>5152</v>
      </c>
      <c r="C851" t="s">
        <v>7345</v>
      </c>
      <c r="D851" t="s">
        <v>5174</v>
      </c>
      <c r="E851" t="s">
        <v>5246</v>
      </c>
      <c r="F851">
        <v>1360.67</v>
      </c>
    </row>
    <row r="852" spans="1:6">
      <c r="A852" t="str">
        <f>("28-71095")</f>
        <v>28-71095</v>
      </c>
      <c r="B852" t="s">
        <v>5152</v>
      </c>
      <c r="C852" t="s">
        <v>7345</v>
      </c>
      <c r="D852" t="s">
        <v>5174</v>
      </c>
      <c r="E852" t="s">
        <v>5246</v>
      </c>
      <c r="F852">
        <v>1142</v>
      </c>
    </row>
    <row r="853" spans="1:6">
      <c r="A853" t="str">
        <f>("28-71115")</f>
        <v>28-71115</v>
      </c>
      <c r="B853" t="s">
        <v>5152</v>
      </c>
      <c r="C853" t="s">
        <v>7345</v>
      </c>
      <c r="D853" t="s">
        <v>5174</v>
      </c>
      <c r="E853" t="s">
        <v>6381</v>
      </c>
      <c r="F853">
        <v>1267</v>
      </c>
    </row>
    <row r="854" spans="1:6">
      <c r="A854" t="str">
        <f>("28-71125")</f>
        <v>28-71125</v>
      </c>
      <c r="B854" t="s">
        <v>5152</v>
      </c>
      <c r="C854" t="s">
        <v>7345</v>
      </c>
      <c r="D854" t="s">
        <v>5150</v>
      </c>
      <c r="E854" t="s">
        <v>6695</v>
      </c>
      <c r="F854">
        <v>988.67</v>
      </c>
    </row>
    <row r="855" spans="1:6">
      <c r="A855" t="str">
        <f>("28-71165")</f>
        <v>28-71165</v>
      </c>
      <c r="B855" t="s">
        <v>5152</v>
      </c>
      <c r="C855" t="s">
        <v>7345</v>
      </c>
      <c r="D855" t="s">
        <v>5158</v>
      </c>
      <c r="E855" t="s">
        <v>7343</v>
      </c>
      <c r="F855">
        <v>1124.33</v>
      </c>
    </row>
    <row r="856" spans="1:6">
      <c r="A856" t="str">
        <f>("28-71220")</f>
        <v>28-71220</v>
      </c>
      <c r="B856" t="s">
        <v>5152</v>
      </c>
      <c r="C856" t="s">
        <v>7345</v>
      </c>
      <c r="D856" t="s">
        <v>5178</v>
      </c>
      <c r="E856" t="s">
        <v>6679</v>
      </c>
      <c r="F856">
        <v>1360.67</v>
      </c>
    </row>
    <row r="857" spans="1:6">
      <c r="A857" t="str">
        <f>("28-71225")</f>
        <v>28-71225</v>
      </c>
      <c r="B857" t="s">
        <v>5152</v>
      </c>
      <c r="C857" t="s">
        <v>7345</v>
      </c>
      <c r="D857" t="s">
        <v>5178</v>
      </c>
      <c r="E857" t="s">
        <v>6679</v>
      </c>
      <c r="F857">
        <v>1142</v>
      </c>
    </row>
    <row r="858" spans="1:6">
      <c r="A858" t="str">
        <f>("28-71250")</f>
        <v>28-71250</v>
      </c>
      <c r="B858" t="s">
        <v>5152</v>
      </c>
      <c r="C858" t="s">
        <v>7345</v>
      </c>
      <c r="D858" t="s">
        <v>5163</v>
      </c>
      <c r="E858" t="s">
        <v>6693</v>
      </c>
      <c r="F858">
        <v>1207.33</v>
      </c>
    </row>
    <row r="859" spans="1:6">
      <c r="A859" t="str">
        <f>("28-71255")</f>
        <v>28-71255</v>
      </c>
      <c r="B859" t="s">
        <v>5152</v>
      </c>
      <c r="C859" t="s">
        <v>7345</v>
      </c>
      <c r="D859" t="s">
        <v>5163</v>
      </c>
      <c r="E859" t="s">
        <v>6693</v>
      </c>
      <c r="F859">
        <v>988.67</v>
      </c>
    </row>
    <row r="860" spans="1:6">
      <c r="A860" t="str">
        <f>("28-71260")</f>
        <v>28-71260</v>
      </c>
      <c r="B860" t="s">
        <v>5152</v>
      </c>
      <c r="C860" t="s">
        <v>7345</v>
      </c>
      <c r="D860" t="s">
        <v>5163</v>
      </c>
      <c r="E860" t="s">
        <v>5243</v>
      </c>
      <c r="F860">
        <v>1207.33</v>
      </c>
    </row>
    <row r="861" spans="1:6">
      <c r="A861" t="str">
        <f>("28-71265")</f>
        <v>28-71265</v>
      </c>
      <c r="B861" t="s">
        <v>5152</v>
      </c>
      <c r="C861" t="s">
        <v>7345</v>
      </c>
      <c r="D861" t="s">
        <v>5163</v>
      </c>
      <c r="E861" t="s">
        <v>5243</v>
      </c>
      <c r="F861">
        <v>988.67</v>
      </c>
    </row>
    <row r="862" spans="1:6">
      <c r="A862" t="str">
        <f>("28-71270")</f>
        <v>28-71270</v>
      </c>
      <c r="B862" t="s">
        <v>5152</v>
      </c>
      <c r="C862" t="s">
        <v>7345</v>
      </c>
      <c r="D862" t="s">
        <v>5163</v>
      </c>
      <c r="E862" t="s">
        <v>5242</v>
      </c>
      <c r="F862">
        <v>1360.67</v>
      </c>
    </row>
    <row r="863" spans="1:6">
      <c r="A863" t="str">
        <f>("28-71275")</f>
        <v>28-71275</v>
      </c>
      <c r="B863" t="s">
        <v>5152</v>
      </c>
      <c r="C863" t="s">
        <v>7345</v>
      </c>
      <c r="D863" t="s">
        <v>5163</v>
      </c>
      <c r="E863" t="s">
        <v>5242</v>
      </c>
      <c r="F863">
        <v>1142</v>
      </c>
    </row>
    <row r="864" spans="1:6">
      <c r="A864" t="str">
        <f>("28-81055")</f>
        <v>28-81055</v>
      </c>
      <c r="B864" t="s">
        <v>5152</v>
      </c>
      <c r="C864" t="s">
        <v>7342</v>
      </c>
      <c r="D864" t="s">
        <v>5181</v>
      </c>
      <c r="E864" t="s">
        <v>7344</v>
      </c>
      <c r="F864">
        <v>1142</v>
      </c>
    </row>
    <row r="865" spans="1:6">
      <c r="A865" t="str">
        <f>("28-81095")</f>
        <v>28-81095</v>
      </c>
      <c r="B865" t="s">
        <v>5152</v>
      </c>
      <c r="C865" t="s">
        <v>7342</v>
      </c>
      <c r="D865" t="s">
        <v>5174</v>
      </c>
      <c r="E865" t="s">
        <v>5246</v>
      </c>
      <c r="F865">
        <v>1267</v>
      </c>
    </row>
    <row r="866" spans="1:6">
      <c r="A866" t="str">
        <f>("28-81165")</f>
        <v>28-81165</v>
      </c>
      <c r="B866" t="s">
        <v>5152</v>
      </c>
      <c r="C866" t="s">
        <v>7342</v>
      </c>
      <c r="D866" t="s">
        <v>5158</v>
      </c>
      <c r="E866" t="s">
        <v>7343</v>
      </c>
      <c r="F866">
        <v>1142</v>
      </c>
    </row>
    <row r="867" spans="1:6">
      <c r="A867" t="str">
        <f>("28-81275")</f>
        <v>28-81275</v>
      </c>
      <c r="B867" t="s">
        <v>5152</v>
      </c>
      <c r="C867" t="s">
        <v>7342</v>
      </c>
      <c r="D867" t="s">
        <v>5163</v>
      </c>
      <c r="E867" t="s">
        <v>5242</v>
      </c>
      <c r="F867">
        <v>1267</v>
      </c>
    </row>
    <row r="868" spans="1:6">
      <c r="A868" t="str">
        <f>("30-0005")</f>
        <v>30-0005</v>
      </c>
      <c r="B868" t="s">
        <v>5152</v>
      </c>
      <c r="C868" t="s">
        <v>7339</v>
      </c>
      <c r="D868" t="s">
        <v>5206</v>
      </c>
      <c r="E868" t="s">
        <v>7341</v>
      </c>
      <c r="F868">
        <v>331.67</v>
      </c>
    </row>
    <row r="869" spans="1:6">
      <c r="A869" t="str">
        <f>("30-0015")</f>
        <v>30-0015</v>
      </c>
      <c r="B869" t="s">
        <v>5152</v>
      </c>
      <c r="C869" t="s">
        <v>7339</v>
      </c>
      <c r="D869" t="s">
        <v>5206</v>
      </c>
      <c r="E869" t="s">
        <v>7340</v>
      </c>
      <c r="F869">
        <v>331.67</v>
      </c>
    </row>
    <row r="870" spans="1:6">
      <c r="A870" t="str">
        <f>("30-0025")</f>
        <v>30-0025</v>
      </c>
      <c r="B870" t="s">
        <v>5152</v>
      </c>
      <c r="C870" t="s">
        <v>7339</v>
      </c>
      <c r="D870" t="s">
        <v>5206</v>
      </c>
      <c r="E870" t="s">
        <v>7338</v>
      </c>
      <c r="F870">
        <v>331.67</v>
      </c>
    </row>
    <row r="871" spans="1:6">
      <c r="A871" t="str">
        <f>("30-1005")</f>
        <v>30-1005</v>
      </c>
      <c r="B871" t="s">
        <v>5152</v>
      </c>
      <c r="C871" t="s">
        <v>7308</v>
      </c>
      <c r="D871" t="s">
        <v>5362</v>
      </c>
      <c r="E871" t="s">
        <v>7337</v>
      </c>
      <c r="F871">
        <v>121</v>
      </c>
    </row>
    <row r="872" spans="1:6">
      <c r="A872" t="str">
        <f>("30-1055")</f>
        <v>30-1055</v>
      </c>
      <c r="B872" t="s">
        <v>5152</v>
      </c>
      <c r="C872" t="s">
        <v>7308</v>
      </c>
      <c r="D872" t="s">
        <v>7336</v>
      </c>
      <c r="E872" t="s">
        <v>7335</v>
      </c>
      <c r="F872">
        <v>121</v>
      </c>
    </row>
    <row r="873" spans="1:6">
      <c r="A873" t="str">
        <f>("30-1065")</f>
        <v>30-1065</v>
      </c>
      <c r="B873" t="s">
        <v>5152</v>
      </c>
      <c r="C873" t="s">
        <v>7308</v>
      </c>
      <c r="D873" t="s">
        <v>7334</v>
      </c>
      <c r="E873" t="s">
        <v>7333</v>
      </c>
      <c r="F873">
        <v>121</v>
      </c>
    </row>
    <row r="874" spans="1:6">
      <c r="A874" t="str">
        <f>("30-1085")</f>
        <v>30-1085</v>
      </c>
      <c r="B874" t="s">
        <v>5152</v>
      </c>
      <c r="C874" t="s">
        <v>7308</v>
      </c>
      <c r="D874" t="s">
        <v>5184</v>
      </c>
      <c r="E874" t="s">
        <v>7332</v>
      </c>
      <c r="F874">
        <v>121</v>
      </c>
    </row>
    <row r="875" spans="1:6">
      <c r="A875" t="str">
        <f>("30-1105")</f>
        <v>30-1105</v>
      </c>
      <c r="B875" t="s">
        <v>5152</v>
      </c>
      <c r="C875" t="s">
        <v>7308</v>
      </c>
      <c r="D875" t="s">
        <v>5150</v>
      </c>
      <c r="E875" t="s">
        <v>7331</v>
      </c>
      <c r="F875">
        <v>121</v>
      </c>
    </row>
    <row r="876" spans="1:6">
      <c r="A876" t="str">
        <f>("30-1115")</f>
        <v>30-1115</v>
      </c>
      <c r="B876" t="s">
        <v>5152</v>
      </c>
      <c r="C876" t="s">
        <v>7308</v>
      </c>
      <c r="D876" t="s">
        <v>7330</v>
      </c>
      <c r="E876" t="s">
        <v>7329</v>
      </c>
      <c r="F876">
        <v>121</v>
      </c>
    </row>
    <row r="877" spans="1:6">
      <c r="A877" t="str">
        <f>("30-1135")</f>
        <v>30-1135</v>
      </c>
      <c r="B877" t="s">
        <v>5152</v>
      </c>
      <c r="C877" t="s">
        <v>7308</v>
      </c>
      <c r="D877" t="s">
        <v>5160</v>
      </c>
      <c r="E877" t="s">
        <v>7328</v>
      </c>
      <c r="F877">
        <v>121</v>
      </c>
    </row>
    <row r="878" spans="1:6">
      <c r="A878" t="str">
        <f>("30-1145")</f>
        <v>30-1145</v>
      </c>
      <c r="B878" t="s">
        <v>5152</v>
      </c>
      <c r="C878" t="s">
        <v>7308</v>
      </c>
      <c r="D878" t="s">
        <v>5174</v>
      </c>
      <c r="E878" t="s">
        <v>7327</v>
      </c>
      <c r="F878">
        <v>121</v>
      </c>
    </row>
    <row r="879" spans="1:6">
      <c r="A879" t="str">
        <f>("30-1155")</f>
        <v>30-1155</v>
      </c>
      <c r="B879" t="s">
        <v>5152</v>
      </c>
      <c r="C879" t="s">
        <v>7308</v>
      </c>
      <c r="D879" t="s">
        <v>7326</v>
      </c>
      <c r="E879" t="s">
        <v>7325</v>
      </c>
      <c r="F879">
        <v>121</v>
      </c>
    </row>
    <row r="880" spans="1:6">
      <c r="A880" t="str">
        <f>("30-1165")</f>
        <v>30-1165</v>
      </c>
      <c r="B880" t="s">
        <v>5152</v>
      </c>
      <c r="C880" t="s">
        <v>7308</v>
      </c>
      <c r="D880" t="s">
        <v>7265</v>
      </c>
      <c r="E880" t="s">
        <v>7324</v>
      </c>
      <c r="F880">
        <v>121</v>
      </c>
    </row>
    <row r="881" spans="1:6">
      <c r="A881" t="str">
        <f>("30-1185")</f>
        <v>30-1185</v>
      </c>
      <c r="B881" t="s">
        <v>5152</v>
      </c>
      <c r="C881" t="s">
        <v>7308</v>
      </c>
      <c r="D881" t="s">
        <v>5174</v>
      </c>
      <c r="E881" t="s">
        <v>7323</v>
      </c>
      <c r="F881">
        <v>121</v>
      </c>
    </row>
    <row r="882" spans="1:6">
      <c r="A882" t="str">
        <f>("30-1235")</f>
        <v>30-1235</v>
      </c>
      <c r="B882" t="s">
        <v>5152</v>
      </c>
      <c r="C882" t="s">
        <v>7308</v>
      </c>
      <c r="D882" t="s">
        <v>5362</v>
      </c>
      <c r="E882" t="s">
        <v>7322</v>
      </c>
      <c r="F882">
        <v>121</v>
      </c>
    </row>
    <row r="883" spans="1:6">
      <c r="A883" t="str">
        <f>("30-1255")</f>
        <v>30-1255</v>
      </c>
      <c r="B883" t="s">
        <v>5152</v>
      </c>
      <c r="C883" t="s">
        <v>7308</v>
      </c>
      <c r="D883" t="s">
        <v>7321</v>
      </c>
      <c r="E883" t="s">
        <v>7320</v>
      </c>
      <c r="F883">
        <v>121</v>
      </c>
    </row>
    <row r="884" spans="1:6">
      <c r="A884" t="str">
        <f>("30-1275")</f>
        <v>30-1275</v>
      </c>
      <c r="B884" t="s">
        <v>5152</v>
      </c>
      <c r="C884" t="s">
        <v>7308</v>
      </c>
      <c r="D884" t="s">
        <v>5216</v>
      </c>
      <c r="E884" t="s">
        <v>7319</v>
      </c>
      <c r="F884">
        <v>121</v>
      </c>
    </row>
    <row r="885" spans="1:6">
      <c r="A885" t="str">
        <f>("30-1305")</f>
        <v>30-1305</v>
      </c>
      <c r="B885" t="s">
        <v>5152</v>
      </c>
      <c r="C885" t="s">
        <v>7308</v>
      </c>
      <c r="D885" t="s">
        <v>7318</v>
      </c>
      <c r="E885" t="s">
        <v>7317</v>
      </c>
      <c r="F885">
        <v>121</v>
      </c>
    </row>
    <row r="886" spans="1:6">
      <c r="A886" t="str">
        <f>("30-1325")</f>
        <v>30-1325</v>
      </c>
      <c r="B886" t="s">
        <v>5152</v>
      </c>
      <c r="C886" t="s">
        <v>7308</v>
      </c>
      <c r="D886" t="s">
        <v>7316</v>
      </c>
      <c r="E886" t="s">
        <v>7315</v>
      </c>
      <c r="F886">
        <v>121</v>
      </c>
    </row>
    <row r="887" spans="1:6">
      <c r="A887" t="str">
        <f>("30-1345")</f>
        <v>30-1345</v>
      </c>
      <c r="B887" t="s">
        <v>5152</v>
      </c>
      <c r="C887" t="s">
        <v>7308</v>
      </c>
      <c r="D887" t="s">
        <v>7314</v>
      </c>
      <c r="E887" t="s">
        <v>7313</v>
      </c>
      <c r="F887">
        <v>121</v>
      </c>
    </row>
    <row r="888" spans="1:6">
      <c r="A888" t="str">
        <f>("30-1355")</f>
        <v>30-1355</v>
      </c>
      <c r="B888" t="s">
        <v>5152</v>
      </c>
      <c r="C888" t="s">
        <v>7308</v>
      </c>
      <c r="D888" t="s">
        <v>7312</v>
      </c>
      <c r="E888" t="s">
        <v>7311</v>
      </c>
      <c r="F888">
        <v>121</v>
      </c>
    </row>
    <row r="889" spans="1:6">
      <c r="A889" t="str">
        <f>("30-1375")</f>
        <v>30-1375</v>
      </c>
      <c r="B889" t="s">
        <v>5152</v>
      </c>
      <c r="C889" t="s">
        <v>7308</v>
      </c>
      <c r="D889" t="s">
        <v>7310</v>
      </c>
      <c r="E889" t="s">
        <v>7309</v>
      </c>
      <c r="F889">
        <v>121</v>
      </c>
    </row>
    <row r="890" spans="1:6">
      <c r="A890" t="str">
        <f>("30-1435")</f>
        <v>30-1435</v>
      </c>
      <c r="B890" t="s">
        <v>5152</v>
      </c>
      <c r="C890" t="s">
        <v>7308</v>
      </c>
      <c r="D890" t="s">
        <v>5362</v>
      </c>
      <c r="E890" t="s">
        <v>7307</v>
      </c>
      <c r="F890">
        <v>121</v>
      </c>
    </row>
    <row r="891" spans="1:6">
      <c r="A891" t="str">
        <f>("31-3950")</f>
        <v>31-3950</v>
      </c>
      <c r="B891" t="s">
        <v>5152</v>
      </c>
      <c r="C891" t="s">
        <v>7301</v>
      </c>
      <c r="D891" t="s">
        <v>5216</v>
      </c>
      <c r="E891" t="s">
        <v>7284</v>
      </c>
      <c r="F891">
        <v>788.67</v>
      </c>
    </row>
    <row r="892" spans="1:6">
      <c r="A892" t="str">
        <f>("31-3955")</f>
        <v>31-3955</v>
      </c>
      <c r="B892" t="s">
        <v>5152</v>
      </c>
      <c r="C892" t="s">
        <v>7301</v>
      </c>
      <c r="D892" t="s">
        <v>5216</v>
      </c>
      <c r="E892" t="s">
        <v>7284</v>
      </c>
      <c r="F892">
        <v>487.33</v>
      </c>
    </row>
    <row r="893" spans="1:6">
      <c r="A893" t="str">
        <f>("31-3970")</f>
        <v>31-3970</v>
      </c>
      <c r="B893" t="s">
        <v>5152</v>
      </c>
      <c r="C893" t="s">
        <v>7301</v>
      </c>
      <c r="D893" t="s">
        <v>5178</v>
      </c>
      <c r="E893" t="s">
        <v>6493</v>
      </c>
      <c r="F893">
        <v>763.67</v>
      </c>
    </row>
    <row r="894" spans="1:6">
      <c r="A894" t="str">
        <f>("31-3975")</f>
        <v>31-3975</v>
      </c>
      <c r="B894" t="s">
        <v>5152</v>
      </c>
      <c r="C894" t="s">
        <v>7301</v>
      </c>
      <c r="D894" t="s">
        <v>5178</v>
      </c>
      <c r="E894" t="s">
        <v>6493</v>
      </c>
      <c r="F894">
        <v>462.33</v>
      </c>
    </row>
    <row r="895" spans="1:6">
      <c r="A895" t="str">
        <f>("31-3980")</f>
        <v>31-3980</v>
      </c>
      <c r="B895" t="s">
        <v>5152</v>
      </c>
      <c r="C895" t="s">
        <v>7301</v>
      </c>
      <c r="D895" t="s">
        <v>5174</v>
      </c>
      <c r="E895" t="s">
        <v>6495</v>
      </c>
      <c r="F895">
        <v>788.67</v>
      </c>
    </row>
    <row r="896" spans="1:6">
      <c r="A896" t="str">
        <f>("31-3985")</f>
        <v>31-3985</v>
      </c>
      <c r="B896" t="s">
        <v>5152</v>
      </c>
      <c r="C896" t="s">
        <v>7301</v>
      </c>
      <c r="D896" t="s">
        <v>5174</v>
      </c>
      <c r="E896" t="s">
        <v>6495</v>
      </c>
      <c r="F896">
        <v>487.33</v>
      </c>
    </row>
    <row r="897" spans="1:6">
      <c r="A897" t="str">
        <f>("31-4020")</f>
        <v>31-4020</v>
      </c>
      <c r="B897" t="s">
        <v>5152</v>
      </c>
      <c r="C897" t="s">
        <v>7301</v>
      </c>
      <c r="D897" t="s">
        <v>5178</v>
      </c>
      <c r="E897" t="s">
        <v>6490</v>
      </c>
      <c r="F897">
        <v>788.67</v>
      </c>
    </row>
    <row r="898" spans="1:6">
      <c r="A898" t="str">
        <f>("31-4025")</f>
        <v>31-4025</v>
      </c>
      <c r="B898" t="s">
        <v>5152</v>
      </c>
      <c r="C898" t="s">
        <v>7301</v>
      </c>
      <c r="D898" t="s">
        <v>5178</v>
      </c>
      <c r="E898" t="s">
        <v>6490</v>
      </c>
      <c r="F898">
        <v>487.33</v>
      </c>
    </row>
    <row r="899" spans="1:6">
      <c r="A899" t="str">
        <f>("31-5120")</f>
        <v>31-5120</v>
      </c>
      <c r="B899" t="s">
        <v>5152</v>
      </c>
      <c r="C899" t="s">
        <v>7301</v>
      </c>
      <c r="D899" t="s">
        <v>5163</v>
      </c>
      <c r="E899" t="s">
        <v>7289</v>
      </c>
      <c r="F899">
        <v>763.67</v>
      </c>
    </row>
    <row r="900" spans="1:6">
      <c r="A900" t="str">
        <f>("31-5170")</f>
        <v>31-5170</v>
      </c>
      <c r="B900" t="s">
        <v>5152</v>
      </c>
      <c r="C900" t="s">
        <v>7301</v>
      </c>
      <c r="D900" t="s">
        <v>5163</v>
      </c>
      <c r="E900" t="s">
        <v>7306</v>
      </c>
      <c r="F900">
        <v>788.67</v>
      </c>
    </row>
    <row r="901" spans="1:6">
      <c r="A901" t="str">
        <f>("31-5175")</f>
        <v>31-5175</v>
      </c>
      <c r="B901" t="s">
        <v>5152</v>
      </c>
      <c r="C901" t="s">
        <v>7301</v>
      </c>
      <c r="D901" t="s">
        <v>5163</v>
      </c>
      <c r="E901" t="s">
        <v>7306</v>
      </c>
      <c r="F901">
        <v>487.33</v>
      </c>
    </row>
    <row r="902" spans="1:6">
      <c r="A902" t="str">
        <f>("31-5240")</f>
        <v>31-5240</v>
      </c>
      <c r="B902" t="s">
        <v>5152</v>
      </c>
      <c r="C902" t="s">
        <v>7301</v>
      </c>
      <c r="D902" t="s">
        <v>5163</v>
      </c>
      <c r="E902" t="s">
        <v>7305</v>
      </c>
      <c r="F902">
        <v>788.67</v>
      </c>
    </row>
    <row r="903" spans="1:6">
      <c r="A903" t="str">
        <f>("31-5250")</f>
        <v>31-5250</v>
      </c>
      <c r="B903" t="s">
        <v>5152</v>
      </c>
      <c r="C903" t="s">
        <v>7301</v>
      </c>
      <c r="D903" t="s">
        <v>5150</v>
      </c>
      <c r="E903" t="s">
        <v>7287</v>
      </c>
      <c r="F903">
        <v>788.67</v>
      </c>
    </row>
    <row r="904" spans="1:6">
      <c r="A904" t="str">
        <f>("31-5255")</f>
        <v>31-5255</v>
      </c>
      <c r="B904" t="s">
        <v>5152</v>
      </c>
      <c r="C904" t="s">
        <v>7301</v>
      </c>
      <c r="D904" t="s">
        <v>5150</v>
      </c>
      <c r="E904" t="s">
        <v>7304</v>
      </c>
      <c r="F904">
        <v>487.33</v>
      </c>
    </row>
    <row r="905" spans="1:6">
      <c r="A905" t="str">
        <f>("31-5270")</f>
        <v>31-5270</v>
      </c>
      <c r="B905" t="s">
        <v>5152</v>
      </c>
      <c r="C905" t="s">
        <v>7301</v>
      </c>
      <c r="D905" t="s">
        <v>5163</v>
      </c>
      <c r="E905" t="s">
        <v>7209</v>
      </c>
      <c r="F905">
        <v>788.67</v>
      </c>
    </row>
    <row r="906" spans="1:6">
      <c r="A906" t="str">
        <f>("31-5275")</f>
        <v>31-5275</v>
      </c>
      <c r="B906" t="s">
        <v>5152</v>
      </c>
      <c r="C906" t="s">
        <v>7301</v>
      </c>
      <c r="D906" t="s">
        <v>5163</v>
      </c>
      <c r="E906" t="s">
        <v>7209</v>
      </c>
      <c r="F906">
        <v>487.33</v>
      </c>
    </row>
    <row r="907" spans="1:6">
      <c r="A907" t="str">
        <f>("31-5370")</f>
        <v>31-5370</v>
      </c>
      <c r="B907" t="s">
        <v>5152</v>
      </c>
      <c r="C907" t="s">
        <v>7301</v>
      </c>
      <c r="D907" t="s">
        <v>5174</v>
      </c>
      <c r="E907" t="s">
        <v>6452</v>
      </c>
      <c r="F907">
        <v>788.67</v>
      </c>
    </row>
    <row r="908" spans="1:6">
      <c r="A908" t="str">
        <f>("31-5490")</f>
        <v>31-5490</v>
      </c>
      <c r="B908" t="s">
        <v>5152</v>
      </c>
      <c r="C908" t="s">
        <v>7301</v>
      </c>
      <c r="D908" t="s">
        <v>5174</v>
      </c>
      <c r="E908" t="s">
        <v>6633</v>
      </c>
      <c r="F908">
        <v>788.67</v>
      </c>
    </row>
    <row r="909" spans="1:6">
      <c r="A909" t="str">
        <f>("31-5495")</f>
        <v>31-5495</v>
      </c>
      <c r="B909" t="s">
        <v>5152</v>
      </c>
      <c r="C909" t="s">
        <v>7301</v>
      </c>
      <c r="D909" t="s">
        <v>5174</v>
      </c>
      <c r="E909" t="s">
        <v>6633</v>
      </c>
      <c r="F909">
        <v>487.33</v>
      </c>
    </row>
    <row r="910" spans="1:6">
      <c r="A910" t="str">
        <f>("31-5550")</f>
        <v>31-5550</v>
      </c>
      <c r="B910" t="s">
        <v>5152</v>
      </c>
      <c r="C910" t="s">
        <v>7301</v>
      </c>
      <c r="D910" t="s">
        <v>5178</v>
      </c>
      <c r="E910" t="s">
        <v>6399</v>
      </c>
      <c r="F910">
        <v>788.67</v>
      </c>
    </row>
    <row r="911" spans="1:6">
      <c r="A911" t="str">
        <f>("31-5555")</f>
        <v>31-5555</v>
      </c>
      <c r="B911" t="s">
        <v>5152</v>
      </c>
      <c r="C911" t="s">
        <v>7301</v>
      </c>
      <c r="D911" t="s">
        <v>5178</v>
      </c>
      <c r="E911" t="s">
        <v>6399</v>
      </c>
      <c r="F911">
        <v>487.33</v>
      </c>
    </row>
    <row r="912" spans="1:6">
      <c r="A912" t="str">
        <f>("31-5600")</f>
        <v>31-5600</v>
      </c>
      <c r="B912" t="s">
        <v>5152</v>
      </c>
      <c r="C912" t="s">
        <v>7301</v>
      </c>
      <c r="D912" t="s">
        <v>5150</v>
      </c>
      <c r="E912" t="s">
        <v>6708</v>
      </c>
      <c r="F912">
        <v>763.67</v>
      </c>
    </row>
    <row r="913" spans="1:6">
      <c r="A913" t="str">
        <f>("31-5605")</f>
        <v>31-5605</v>
      </c>
      <c r="B913" t="s">
        <v>5152</v>
      </c>
      <c r="C913" t="s">
        <v>7301</v>
      </c>
      <c r="D913" t="s">
        <v>5150</v>
      </c>
      <c r="E913" t="s">
        <v>6708</v>
      </c>
      <c r="F913">
        <v>462.33</v>
      </c>
    </row>
    <row r="914" spans="1:6">
      <c r="A914" t="str">
        <f>("31-5610")</f>
        <v>31-5610</v>
      </c>
      <c r="B914" t="s">
        <v>5152</v>
      </c>
      <c r="C914" t="s">
        <v>7301</v>
      </c>
      <c r="D914" t="s">
        <v>5150</v>
      </c>
      <c r="E914" t="s">
        <v>7285</v>
      </c>
      <c r="F914">
        <v>788.67</v>
      </c>
    </row>
    <row r="915" spans="1:6">
      <c r="A915" t="str">
        <f>("31-5615")</f>
        <v>31-5615</v>
      </c>
      <c r="B915" t="s">
        <v>5152</v>
      </c>
      <c r="C915" t="s">
        <v>7301</v>
      </c>
      <c r="D915" t="s">
        <v>5150</v>
      </c>
      <c r="E915" t="s">
        <v>7285</v>
      </c>
      <c r="F915">
        <v>487.33</v>
      </c>
    </row>
    <row r="916" spans="1:6">
      <c r="A916" t="str">
        <f>("31-5630")</f>
        <v>31-5630</v>
      </c>
      <c r="B916" t="s">
        <v>5152</v>
      </c>
      <c r="C916" t="s">
        <v>7301</v>
      </c>
      <c r="D916" t="s">
        <v>5163</v>
      </c>
      <c r="E916" t="s">
        <v>7303</v>
      </c>
      <c r="F916">
        <v>788.67</v>
      </c>
    </row>
    <row r="917" spans="1:6">
      <c r="A917" t="str">
        <f>("31-5900")</f>
        <v>31-5900</v>
      </c>
      <c r="B917" t="s">
        <v>5152</v>
      </c>
      <c r="C917" t="s">
        <v>7301</v>
      </c>
      <c r="D917" t="s">
        <v>5174</v>
      </c>
      <c r="E917" t="s">
        <v>5222</v>
      </c>
      <c r="F917">
        <v>763.67</v>
      </c>
    </row>
    <row r="918" spans="1:6">
      <c r="A918" t="str">
        <f>("31-5905")</f>
        <v>31-5905</v>
      </c>
      <c r="B918" t="s">
        <v>5152</v>
      </c>
      <c r="C918" t="s">
        <v>7301</v>
      </c>
      <c r="D918" t="s">
        <v>5174</v>
      </c>
      <c r="E918" t="s">
        <v>5222</v>
      </c>
      <c r="F918">
        <v>487.33</v>
      </c>
    </row>
    <row r="919" spans="1:6">
      <c r="A919" t="str">
        <f>("31-5960")</f>
        <v>31-5960</v>
      </c>
      <c r="B919" t="s">
        <v>5152</v>
      </c>
      <c r="C919" t="s">
        <v>7301</v>
      </c>
      <c r="D919" t="s">
        <v>5181</v>
      </c>
      <c r="E919" t="s">
        <v>5228</v>
      </c>
      <c r="F919">
        <v>788.67</v>
      </c>
    </row>
    <row r="920" spans="1:6">
      <c r="A920" t="str">
        <f>("31-5965")</f>
        <v>31-5965</v>
      </c>
      <c r="B920" t="s">
        <v>5152</v>
      </c>
      <c r="C920" t="s">
        <v>7301</v>
      </c>
      <c r="D920" t="s">
        <v>5181</v>
      </c>
      <c r="E920" t="s">
        <v>5228</v>
      </c>
      <c r="F920">
        <v>487.33</v>
      </c>
    </row>
    <row r="921" spans="1:6">
      <c r="A921" t="str">
        <f>("31-5990")</f>
        <v>31-5990</v>
      </c>
      <c r="B921" t="s">
        <v>5152</v>
      </c>
      <c r="C921" t="s">
        <v>7301</v>
      </c>
      <c r="D921" t="s">
        <v>5174</v>
      </c>
      <c r="E921" t="s">
        <v>6397</v>
      </c>
      <c r="F921">
        <v>788.67</v>
      </c>
    </row>
    <row r="922" spans="1:6">
      <c r="A922" t="str">
        <f>("31-6000")</f>
        <v>31-6000</v>
      </c>
      <c r="B922" t="s">
        <v>5152</v>
      </c>
      <c r="C922" t="s">
        <v>7301</v>
      </c>
      <c r="D922" t="s">
        <v>5150</v>
      </c>
      <c r="E922" t="s">
        <v>6395</v>
      </c>
      <c r="F922">
        <v>763.67</v>
      </c>
    </row>
    <row r="923" spans="1:6">
      <c r="A923" t="str">
        <f>("31-6005")</f>
        <v>31-6005</v>
      </c>
      <c r="B923" t="s">
        <v>5152</v>
      </c>
      <c r="C923" t="s">
        <v>7301</v>
      </c>
      <c r="D923" t="s">
        <v>5150</v>
      </c>
      <c r="E923" t="s">
        <v>6395</v>
      </c>
      <c r="F923">
        <v>462.33</v>
      </c>
    </row>
    <row r="924" spans="1:6">
      <c r="A924" t="str">
        <f>("31-6010")</f>
        <v>31-6010</v>
      </c>
      <c r="B924" t="s">
        <v>5152</v>
      </c>
      <c r="C924" t="s">
        <v>7301</v>
      </c>
      <c r="D924" t="s">
        <v>5163</v>
      </c>
      <c r="E924" t="s">
        <v>7302</v>
      </c>
      <c r="F924">
        <v>788.67</v>
      </c>
    </row>
    <row r="925" spans="1:6">
      <c r="A925" t="str">
        <f>("31-6015")</f>
        <v>31-6015</v>
      </c>
      <c r="B925" t="s">
        <v>5152</v>
      </c>
      <c r="C925" t="s">
        <v>7301</v>
      </c>
      <c r="D925" t="s">
        <v>5163</v>
      </c>
      <c r="E925" t="s">
        <v>7302</v>
      </c>
      <c r="F925">
        <v>487.33</v>
      </c>
    </row>
    <row r="926" spans="1:6">
      <c r="A926" t="str">
        <f>("31-6025")</f>
        <v>31-6025</v>
      </c>
      <c r="B926" t="s">
        <v>5152</v>
      </c>
      <c r="C926" t="s">
        <v>7301</v>
      </c>
      <c r="D926" t="s">
        <v>5216</v>
      </c>
      <c r="E926" t="s">
        <v>6524</v>
      </c>
      <c r="F926">
        <v>487.33</v>
      </c>
    </row>
    <row r="927" spans="1:6">
      <c r="A927" t="str">
        <f>("31-6035")</f>
        <v>31-6035</v>
      </c>
      <c r="B927" t="s">
        <v>5152</v>
      </c>
      <c r="C927" t="s">
        <v>7301</v>
      </c>
      <c r="D927" t="s">
        <v>5158</v>
      </c>
      <c r="E927" t="s">
        <v>5208</v>
      </c>
      <c r="F927">
        <v>487.33</v>
      </c>
    </row>
    <row r="928" spans="1:6">
      <c r="A928" t="str">
        <f>("32-0045")</f>
        <v>32-0045</v>
      </c>
      <c r="B928" t="s">
        <v>5152</v>
      </c>
      <c r="C928" t="s">
        <v>7300</v>
      </c>
      <c r="D928" t="s">
        <v>5206</v>
      </c>
      <c r="E928" t="s">
        <v>7299</v>
      </c>
      <c r="F928">
        <v>82.33</v>
      </c>
    </row>
    <row r="929" spans="1:6">
      <c r="A929" t="str">
        <f>("32-0055")</f>
        <v>32-0055</v>
      </c>
      <c r="B929" t="s">
        <v>5152</v>
      </c>
      <c r="C929" t="s">
        <v>7297</v>
      </c>
      <c r="D929" t="s">
        <v>5206</v>
      </c>
      <c r="E929" t="s">
        <v>7298</v>
      </c>
      <c r="F929">
        <v>74.33</v>
      </c>
    </row>
    <row r="930" spans="1:6">
      <c r="A930" t="str">
        <f>("32-0065")</f>
        <v>32-0065</v>
      </c>
      <c r="B930" t="s">
        <v>5152</v>
      </c>
      <c r="C930" t="s">
        <v>7297</v>
      </c>
      <c r="D930" t="s">
        <v>5174</v>
      </c>
      <c r="E930" t="s">
        <v>7296</v>
      </c>
      <c r="F930">
        <v>74.33</v>
      </c>
    </row>
    <row r="931" spans="1:6">
      <c r="A931" t="str">
        <f>("32-20005")</f>
        <v>32-20005</v>
      </c>
      <c r="B931" t="s">
        <v>5152</v>
      </c>
      <c r="C931" t="s">
        <v>7295</v>
      </c>
      <c r="D931" t="s">
        <v>5206</v>
      </c>
      <c r="E931" t="s">
        <v>7294</v>
      </c>
      <c r="F931">
        <v>109</v>
      </c>
    </row>
    <row r="932" spans="1:6">
      <c r="A932" t="str">
        <f>("32-1365")</f>
        <v>32-1365</v>
      </c>
      <c r="B932" t="s">
        <v>5152</v>
      </c>
      <c r="C932" t="s">
        <v>7288</v>
      </c>
      <c r="D932" t="s">
        <v>5150</v>
      </c>
      <c r="E932" t="s">
        <v>7293</v>
      </c>
      <c r="F932">
        <v>734</v>
      </c>
    </row>
    <row r="933" spans="1:6">
      <c r="A933" t="str">
        <f>("32-1395")</f>
        <v>32-1395</v>
      </c>
      <c r="B933" t="s">
        <v>5152</v>
      </c>
      <c r="C933" t="s">
        <v>7288</v>
      </c>
      <c r="D933" t="s">
        <v>7292</v>
      </c>
      <c r="E933" t="s">
        <v>7291</v>
      </c>
      <c r="F933">
        <v>734</v>
      </c>
    </row>
    <row r="934" spans="1:6">
      <c r="A934" t="str">
        <f>("32-1605")</f>
        <v>32-1605</v>
      </c>
      <c r="B934" t="s">
        <v>5152</v>
      </c>
      <c r="C934" t="s">
        <v>7288</v>
      </c>
      <c r="D934" t="s">
        <v>5150</v>
      </c>
      <c r="E934" t="s">
        <v>6708</v>
      </c>
      <c r="F934">
        <v>734</v>
      </c>
    </row>
    <row r="935" spans="1:6">
      <c r="A935" t="str">
        <f>("32-1695")</f>
        <v>32-1695</v>
      </c>
      <c r="B935" t="s">
        <v>5152</v>
      </c>
      <c r="C935" t="s">
        <v>7288</v>
      </c>
      <c r="D935" t="s">
        <v>5158</v>
      </c>
      <c r="E935" t="s">
        <v>7290</v>
      </c>
      <c r="F935">
        <v>734</v>
      </c>
    </row>
    <row r="936" spans="1:6">
      <c r="A936" t="str">
        <f>("32-2215")</f>
        <v>32-2215</v>
      </c>
      <c r="B936" t="s">
        <v>5152</v>
      </c>
      <c r="C936" t="s">
        <v>7288</v>
      </c>
      <c r="D936" t="s">
        <v>5150</v>
      </c>
      <c r="E936" t="s">
        <v>7250</v>
      </c>
      <c r="F936">
        <v>734</v>
      </c>
    </row>
    <row r="937" spans="1:6">
      <c r="A937" t="str">
        <f>("32-2255")</f>
        <v>32-2255</v>
      </c>
      <c r="B937" t="s">
        <v>5152</v>
      </c>
      <c r="C937" t="s">
        <v>7288</v>
      </c>
      <c r="D937" t="s">
        <v>5150</v>
      </c>
      <c r="E937" t="s">
        <v>7287</v>
      </c>
      <c r="F937">
        <v>734</v>
      </c>
    </row>
    <row r="938" spans="1:6">
      <c r="A938" t="str">
        <f>("32-2455")</f>
        <v>32-2455</v>
      </c>
      <c r="B938" t="s">
        <v>5152</v>
      </c>
      <c r="C938" t="s">
        <v>7288</v>
      </c>
      <c r="D938" t="s">
        <v>5174</v>
      </c>
      <c r="E938" t="s">
        <v>7286</v>
      </c>
      <c r="F938">
        <v>734</v>
      </c>
    </row>
    <row r="939" spans="1:6">
      <c r="A939" t="str">
        <f>("32-3605")</f>
        <v>32-3605</v>
      </c>
      <c r="B939" t="s">
        <v>5152</v>
      </c>
      <c r="C939" t="s">
        <v>7288</v>
      </c>
      <c r="D939" t="s">
        <v>5150</v>
      </c>
      <c r="E939" t="s">
        <v>7285</v>
      </c>
      <c r="F939">
        <v>734</v>
      </c>
    </row>
    <row r="940" spans="1:6">
      <c r="A940" t="str">
        <f>("32-3645")</f>
        <v>32-3645</v>
      </c>
      <c r="B940" t="s">
        <v>5152</v>
      </c>
      <c r="C940" t="s">
        <v>7288</v>
      </c>
      <c r="D940" t="s">
        <v>5163</v>
      </c>
      <c r="E940" t="s">
        <v>7289</v>
      </c>
      <c r="F940">
        <v>734</v>
      </c>
    </row>
    <row r="941" spans="1:6">
      <c r="A941" t="str">
        <f>("32-3885")</f>
        <v>32-3885</v>
      </c>
      <c r="B941" t="s">
        <v>5152</v>
      </c>
      <c r="C941" t="s">
        <v>7288</v>
      </c>
      <c r="D941" t="s">
        <v>5150</v>
      </c>
      <c r="E941" t="s">
        <v>6395</v>
      </c>
      <c r="F941">
        <v>734</v>
      </c>
    </row>
    <row r="942" spans="1:6">
      <c r="A942" t="str">
        <f>("32-3985")</f>
        <v>32-3985</v>
      </c>
      <c r="B942" t="s">
        <v>5152</v>
      </c>
      <c r="C942" t="s">
        <v>7288</v>
      </c>
      <c r="D942" t="s">
        <v>5174</v>
      </c>
      <c r="E942" t="s">
        <v>6495</v>
      </c>
      <c r="F942">
        <v>734</v>
      </c>
    </row>
    <row r="943" spans="1:6">
      <c r="A943" t="str">
        <f>("32-3995")</f>
        <v>32-3995</v>
      </c>
      <c r="B943" t="s">
        <v>5152</v>
      </c>
      <c r="C943" t="s">
        <v>7288</v>
      </c>
      <c r="D943" t="s">
        <v>5216</v>
      </c>
      <c r="E943" t="s">
        <v>6524</v>
      </c>
      <c r="F943">
        <v>734</v>
      </c>
    </row>
    <row r="944" spans="1:6">
      <c r="A944" t="str">
        <f>("32-1605L")</f>
        <v>32-1605L</v>
      </c>
      <c r="B944" t="s">
        <v>5152</v>
      </c>
      <c r="C944" t="s">
        <v>7283</v>
      </c>
      <c r="D944" t="s">
        <v>5150</v>
      </c>
      <c r="E944" t="s">
        <v>6708</v>
      </c>
      <c r="F944">
        <v>906.17</v>
      </c>
    </row>
    <row r="945" spans="1:6">
      <c r="A945" t="str">
        <f>("32-1965L")</f>
        <v>32-1965L</v>
      </c>
      <c r="B945" t="s">
        <v>5152</v>
      </c>
      <c r="C945" t="s">
        <v>7283</v>
      </c>
      <c r="D945" t="s">
        <v>5181</v>
      </c>
      <c r="E945" t="s">
        <v>5228</v>
      </c>
      <c r="F945">
        <v>946.17</v>
      </c>
    </row>
    <row r="946" spans="1:6">
      <c r="A946" t="str">
        <f>("32-2255L")</f>
        <v>32-2255L</v>
      </c>
      <c r="B946" t="s">
        <v>5152</v>
      </c>
      <c r="C946" t="s">
        <v>7283</v>
      </c>
      <c r="D946" t="s">
        <v>5150</v>
      </c>
      <c r="E946" t="s">
        <v>7287</v>
      </c>
      <c r="F946">
        <v>906.17</v>
      </c>
    </row>
    <row r="947" spans="1:6">
      <c r="A947" t="str">
        <f>("32-2455L")</f>
        <v>32-2455L</v>
      </c>
      <c r="B947" t="s">
        <v>5152</v>
      </c>
      <c r="C947" t="s">
        <v>7283</v>
      </c>
      <c r="D947" t="s">
        <v>5174</v>
      </c>
      <c r="E947" t="s">
        <v>7286</v>
      </c>
      <c r="F947">
        <v>906.17</v>
      </c>
    </row>
    <row r="948" spans="1:6">
      <c r="A948" t="str">
        <f>("32-3605L")</f>
        <v>32-3605L</v>
      </c>
      <c r="B948" t="s">
        <v>5152</v>
      </c>
      <c r="C948" t="s">
        <v>7283</v>
      </c>
      <c r="D948" t="s">
        <v>5150</v>
      </c>
      <c r="E948" t="s">
        <v>7285</v>
      </c>
      <c r="F948">
        <v>906.17</v>
      </c>
    </row>
    <row r="949" spans="1:6">
      <c r="A949" t="str">
        <f>("32-3875L")</f>
        <v>32-3875L</v>
      </c>
      <c r="B949" t="s">
        <v>5152</v>
      </c>
      <c r="C949" t="s">
        <v>7283</v>
      </c>
      <c r="D949" t="s">
        <v>5216</v>
      </c>
      <c r="E949" t="s">
        <v>5224</v>
      </c>
      <c r="F949">
        <v>906.17</v>
      </c>
    </row>
    <row r="950" spans="1:6">
      <c r="A950" t="str">
        <f>("32-3885L")</f>
        <v>32-3885L</v>
      </c>
      <c r="B950" t="s">
        <v>5152</v>
      </c>
      <c r="C950" t="s">
        <v>7283</v>
      </c>
      <c r="D950" t="s">
        <v>5150</v>
      </c>
      <c r="E950" t="s">
        <v>6395</v>
      </c>
      <c r="F950">
        <v>906.17</v>
      </c>
    </row>
    <row r="951" spans="1:6">
      <c r="A951" t="str">
        <f>("32-3905L")</f>
        <v>32-3905L</v>
      </c>
      <c r="B951" t="s">
        <v>5152</v>
      </c>
      <c r="C951" t="s">
        <v>7283</v>
      </c>
      <c r="D951" t="s">
        <v>5174</v>
      </c>
      <c r="E951" t="s">
        <v>5222</v>
      </c>
      <c r="F951">
        <v>906.17</v>
      </c>
    </row>
    <row r="952" spans="1:6">
      <c r="A952" t="str">
        <f>("32-3955L")</f>
        <v>32-3955L</v>
      </c>
      <c r="B952" t="s">
        <v>5152</v>
      </c>
      <c r="C952" t="s">
        <v>7283</v>
      </c>
      <c r="D952" t="s">
        <v>5216</v>
      </c>
      <c r="E952" t="s">
        <v>7284</v>
      </c>
      <c r="F952">
        <v>906.17</v>
      </c>
    </row>
    <row r="953" spans="1:6">
      <c r="A953" t="str">
        <f>("32-3975L")</f>
        <v>32-3975L</v>
      </c>
      <c r="B953" t="s">
        <v>5152</v>
      </c>
      <c r="C953" t="s">
        <v>7283</v>
      </c>
      <c r="D953" t="s">
        <v>5178</v>
      </c>
      <c r="E953" t="s">
        <v>6493</v>
      </c>
      <c r="F953">
        <v>946.17</v>
      </c>
    </row>
    <row r="954" spans="1:6">
      <c r="A954" t="str">
        <f>("32-3980L")</f>
        <v>32-3980L</v>
      </c>
      <c r="B954" t="s">
        <v>5152</v>
      </c>
      <c r="C954" t="s">
        <v>7283</v>
      </c>
      <c r="D954" t="s">
        <v>5174</v>
      </c>
      <c r="E954" t="s">
        <v>6495</v>
      </c>
      <c r="F954">
        <v>912.83</v>
      </c>
    </row>
    <row r="955" spans="1:6">
      <c r="A955" t="str">
        <f>("32-4025L")</f>
        <v>32-4025L</v>
      </c>
      <c r="B955" t="s">
        <v>5152</v>
      </c>
      <c r="C955" t="s">
        <v>7283</v>
      </c>
      <c r="D955" t="s">
        <v>5178</v>
      </c>
      <c r="E955" t="s">
        <v>6490</v>
      </c>
      <c r="F955">
        <v>906.17</v>
      </c>
    </row>
    <row r="956" spans="1:6">
      <c r="A956" t="str">
        <f>("32-4075L")</f>
        <v>32-4075L</v>
      </c>
      <c r="B956" t="s">
        <v>5152</v>
      </c>
      <c r="C956" t="s">
        <v>7283</v>
      </c>
      <c r="D956" t="s">
        <v>5158</v>
      </c>
      <c r="E956" t="s">
        <v>5208</v>
      </c>
      <c r="F956">
        <v>906.17</v>
      </c>
    </row>
    <row r="957" spans="1:6">
      <c r="A957" t="str">
        <f>("37-711255")</f>
        <v>37-711255</v>
      </c>
      <c r="B957" t="s">
        <v>5152</v>
      </c>
      <c r="C957" t="s">
        <v>7282</v>
      </c>
      <c r="D957" t="s">
        <v>5174</v>
      </c>
      <c r="E957" t="s">
        <v>5195</v>
      </c>
      <c r="F957">
        <v>562.33000000000004</v>
      </c>
    </row>
    <row r="958" spans="1:6">
      <c r="A958" t="str">
        <f>("40-0005S")</f>
        <v>40-0005S</v>
      </c>
      <c r="B958" t="s">
        <v>5152</v>
      </c>
      <c r="C958" t="s">
        <v>7280</v>
      </c>
      <c r="D958" t="s">
        <v>5163</v>
      </c>
      <c r="E958" t="s">
        <v>7281</v>
      </c>
      <c r="F958">
        <v>169</v>
      </c>
    </row>
    <row r="959" spans="1:6">
      <c r="A959" t="str">
        <f>("40-0015S")</f>
        <v>40-0015S</v>
      </c>
      <c r="B959" t="s">
        <v>5152</v>
      </c>
      <c r="C959" t="s">
        <v>7280</v>
      </c>
      <c r="D959" t="s">
        <v>5178</v>
      </c>
      <c r="E959" t="s">
        <v>7279</v>
      </c>
      <c r="F959">
        <v>169</v>
      </c>
    </row>
    <row r="960" spans="1:6">
      <c r="A960" t="str">
        <f>("40-0045S")</f>
        <v>40-0045S</v>
      </c>
      <c r="B960" t="s">
        <v>5152</v>
      </c>
      <c r="C960" t="s">
        <v>7278</v>
      </c>
      <c r="D960" t="s">
        <v>5178</v>
      </c>
      <c r="E960" t="s">
        <v>7277</v>
      </c>
      <c r="F960">
        <v>169</v>
      </c>
    </row>
    <row r="961" spans="1:6">
      <c r="A961" t="str">
        <f>("45-0000S")</f>
        <v>45-0000S</v>
      </c>
      <c r="B961" t="s">
        <v>5152</v>
      </c>
      <c r="C961" t="s">
        <v>7280</v>
      </c>
      <c r="D961" t="s">
        <v>5163</v>
      </c>
      <c r="E961" t="s">
        <v>7281</v>
      </c>
      <c r="F961">
        <v>189</v>
      </c>
    </row>
    <row r="962" spans="1:6">
      <c r="A962" t="str">
        <f>("45-0010S")</f>
        <v>45-0010S</v>
      </c>
      <c r="B962" t="s">
        <v>5152</v>
      </c>
      <c r="C962" t="s">
        <v>7280</v>
      </c>
      <c r="D962" t="s">
        <v>5178</v>
      </c>
      <c r="E962" t="s">
        <v>7279</v>
      </c>
      <c r="F962">
        <v>189</v>
      </c>
    </row>
    <row r="963" spans="1:6">
      <c r="A963" t="str">
        <f>("45-0040S")</f>
        <v>45-0040S</v>
      </c>
      <c r="B963" t="s">
        <v>5152</v>
      </c>
      <c r="C963" t="s">
        <v>7278</v>
      </c>
      <c r="D963" t="s">
        <v>5178</v>
      </c>
      <c r="E963" t="s">
        <v>7277</v>
      </c>
      <c r="F963">
        <v>189</v>
      </c>
    </row>
    <row r="964" spans="1:6">
      <c r="A964" t="str">
        <f>("58-40005")</f>
        <v>58-40005</v>
      </c>
      <c r="B964" t="s">
        <v>5152</v>
      </c>
      <c r="C964" t="s">
        <v>7275</v>
      </c>
      <c r="D964" t="s">
        <v>5174</v>
      </c>
      <c r="E964" t="s">
        <v>7276</v>
      </c>
      <c r="F964">
        <v>79.67</v>
      </c>
    </row>
    <row r="965" spans="1:6">
      <c r="A965" t="str">
        <f>("58-40015")</f>
        <v>58-40015</v>
      </c>
      <c r="B965" t="s">
        <v>5152</v>
      </c>
      <c r="C965" t="s">
        <v>7275</v>
      </c>
      <c r="D965" t="s">
        <v>5174</v>
      </c>
      <c r="E965" t="s">
        <v>7274</v>
      </c>
      <c r="F965">
        <v>86.33</v>
      </c>
    </row>
    <row r="966" spans="1:6">
      <c r="A966" t="str">
        <f>("58-40035")</f>
        <v>58-40035</v>
      </c>
      <c r="B966" t="s">
        <v>5152</v>
      </c>
      <c r="C966" t="s">
        <v>7273</v>
      </c>
      <c r="D966" t="s">
        <v>5190</v>
      </c>
      <c r="E966" t="s">
        <v>7272</v>
      </c>
      <c r="F966">
        <v>71.33</v>
      </c>
    </row>
    <row r="967" spans="1:6">
      <c r="A967" t="str">
        <f>("40-0145")</f>
        <v>40-0145</v>
      </c>
      <c r="B967" t="s">
        <v>5152</v>
      </c>
      <c r="C967" t="s">
        <v>7245</v>
      </c>
      <c r="D967" t="s">
        <v>5184</v>
      </c>
      <c r="E967" t="s">
        <v>7271</v>
      </c>
      <c r="F967">
        <v>1627.67</v>
      </c>
    </row>
    <row r="968" spans="1:6">
      <c r="A968" t="str">
        <f>("40-0185")</f>
        <v>40-0185</v>
      </c>
      <c r="B968" t="s">
        <v>5152</v>
      </c>
      <c r="C968" t="s">
        <v>7245</v>
      </c>
      <c r="D968" t="s">
        <v>5216</v>
      </c>
      <c r="E968" t="s">
        <v>7270</v>
      </c>
      <c r="F968">
        <v>1627.67</v>
      </c>
    </row>
    <row r="969" spans="1:6">
      <c r="A969" t="str">
        <f>("40-0225")</f>
        <v>40-0225</v>
      </c>
      <c r="B969" t="s">
        <v>5152</v>
      </c>
      <c r="C969" t="s">
        <v>7245</v>
      </c>
      <c r="D969" t="s">
        <v>5174</v>
      </c>
      <c r="E969" t="s">
        <v>7269</v>
      </c>
      <c r="F969">
        <v>1627.67</v>
      </c>
    </row>
    <row r="970" spans="1:6">
      <c r="A970" t="str">
        <f>("40-0245")</f>
        <v>40-0245</v>
      </c>
      <c r="B970" t="s">
        <v>5152</v>
      </c>
      <c r="C970" t="s">
        <v>7245</v>
      </c>
      <c r="D970" t="s">
        <v>5174</v>
      </c>
      <c r="E970" t="s">
        <v>7268</v>
      </c>
      <c r="F970">
        <v>1627.67</v>
      </c>
    </row>
    <row r="971" spans="1:6">
      <c r="A971" t="str">
        <f>("40-0335")</f>
        <v>40-0335</v>
      </c>
      <c r="B971" t="s">
        <v>5152</v>
      </c>
      <c r="C971" t="s">
        <v>7245</v>
      </c>
      <c r="D971" t="s">
        <v>6393</v>
      </c>
      <c r="E971" t="s">
        <v>7267</v>
      </c>
      <c r="F971">
        <v>1627.67</v>
      </c>
    </row>
    <row r="972" spans="1:6">
      <c r="A972" t="str">
        <f>("40-0805")</f>
        <v>40-0805</v>
      </c>
      <c r="B972" t="s">
        <v>5152</v>
      </c>
      <c r="C972" t="s">
        <v>7245</v>
      </c>
      <c r="D972" t="s">
        <v>5174</v>
      </c>
      <c r="E972" t="s">
        <v>7266</v>
      </c>
      <c r="F972">
        <v>1627.67</v>
      </c>
    </row>
    <row r="973" spans="1:6">
      <c r="A973" t="str">
        <f>("40-0885")</f>
        <v>40-0885</v>
      </c>
      <c r="B973" t="s">
        <v>5152</v>
      </c>
      <c r="C973" t="s">
        <v>7245</v>
      </c>
      <c r="D973" t="s">
        <v>7265</v>
      </c>
      <c r="E973" t="s">
        <v>7264</v>
      </c>
      <c r="F973">
        <v>1627.67</v>
      </c>
    </row>
    <row r="974" spans="1:6">
      <c r="A974" t="str">
        <f>("40-0905")</f>
        <v>40-0905</v>
      </c>
      <c r="B974" t="s">
        <v>5152</v>
      </c>
      <c r="C974" t="s">
        <v>7245</v>
      </c>
      <c r="D974" t="s">
        <v>5150</v>
      </c>
      <c r="E974" t="s">
        <v>7263</v>
      </c>
      <c r="F974">
        <v>1627.67</v>
      </c>
    </row>
    <row r="975" spans="1:6">
      <c r="A975" t="str">
        <f>("40-1175")</f>
        <v>40-1175</v>
      </c>
      <c r="B975" t="s">
        <v>5152</v>
      </c>
      <c r="C975" t="s">
        <v>7245</v>
      </c>
      <c r="D975" t="s">
        <v>5216</v>
      </c>
      <c r="E975" t="s">
        <v>7262</v>
      </c>
      <c r="F975">
        <v>1627.67</v>
      </c>
    </row>
    <row r="976" spans="1:6">
      <c r="A976" t="str">
        <f>("40-1205")</f>
        <v>40-1205</v>
      </c>
      <c r="B976" t="s">
        <v>5152</v>
      </c>
      <c r="C976" t="s">
        <v>7245</v>
      </c>
      <c r="D976" t="s">
        <v>5184</v>
      </c>
      <c r="E976" t="s">
        <v>7261</v>
      </c>
      <c r="F976">
        <v>1627.67</v>
      </c>
    </row>
    <row r="977" spans="1:6">
      <c r="A977" t="str">
        <f>("40-1225")</f>
        <v>40-1225</v>
      </c>
      <c r="B977" t="s">
        <v>5152</v>
      </c>
      <c r="C977" t="s">
        <v>7245</v>
      </c>
      <c r="D977" t="s">
        <v>6393</v>
      </c>
      <c r="E977" t="s">
        <v>7260</v>
      </c>
      <c r="F977">
        <v>1627.67</v>
      </c>
    </row>
    <row r="978" spans="1:6">
      <c r="A978" t="str">
        <f>("40-1245")</f>
        <v>40-1245</v>
      </c>
      <c r="B978" t="s">
        <v>5152</v>
      </c>
      <c r="C978" t="s">
        <v>7245</v>
      </c>
      <c r="D978" t="s">
        <v>5216</v>
      </c>
      <c r="E978" t="s">
        <v>7259</v>
      </c>
      <c r="F978">
        <v>1627.67</v>
      </c>
    </row>
    <row r="979" spans="1:6">
      <c r="A979" t="str">
        <f>("40-1365")</f>
        <v>40-1365</v>
      </c>
      <c r="B979" t="s">
        <v>5152</v>
      </c>
      <c r="C979" t="s">
        <v>7245</v>
      </c>
      <c r="D979" t="s">
        <v>5150</v>
      </c>
      <c r="E979" t="s">
        <v>7258</v>
      </c>
      <c r="F979">
        <v>1627.67</v>
      </c>
    </row>
    <row r="980" spans="1:6">
      <c r="A980" t="str">
        <f>("40-1485")</f>
        <v>40-1485</v>
      </c>
      <c r="B980" t="s">
        <v>5152</v>
      </c>
      <c r="C980" t="s">
        <v>7245</v>
      </c>
      <c r="D980" t="s">
        <v>5158</v>
      </c>
      <c r="E980" t="s">
        <v>7257</v>
      </c>
      <c r="F980">
        <v>1457</v>
      </c>
    </row>
    <row r="981" spans="1:6">
      <c r="A981" t="str">
        <f>("40-1515")</f>
        <v>40-1515</v>
      </c>
      <c r="B981" t="s">
        <v>5152</v>
      </c>
      <c r="C981" t="s">
        <v>7245</v>
      </c>
      <c r="D981" t="s">
        <v>5163</v>
      </c>
      <c r="E981" t="s">
        <v>7256</v>
      </c>
      <c r="F981">
        <v>1627.67</v>
      </c>
    </row>
    <row r="982" spans="1:6">
      <c r="A982" t="str">
        <f>("40-1605")</f>
        <v>40-1605</v>
      </c>
      <c r="B982" t="s">
        <v>5152</v>
      </c>
      <c r="C982" t="s">
        <v>7245</v>
      </c>
      <c r="D982" t="s">
        <v>5150</v>
      </c>
      <c r="E982" t="s">
        <v>6708</v>
      </c>
      <c r="F982">
        <v>1627.67</v>
      </c>
    </row>
    <row r="983" spans="1:6">
      <c r="A983" t="str">
        <f>("40-1645")</f>
        <v>40-1645</v>
      </c>
      <c r="B983" t="s">
        <v>5152</v>
      </c>
      <c r="C983" t="s">
        <v>7245</v>
      </c>
      <c r="D983" t="s">
        <v>5174</v>
      </c>
      <c r="E983" t="s">
        <v>7255</v>
      </c>
      <c r="F983">
        <v>1627.67</v>
      </c>
    </row>
    <row r="984" spans="1:6">
      <c r="A984" t="str">
        <f>("40-1955")</f>
        <v>40-1955</v>
      </c>
      <c r="B984" t="s">
        <v>5152</v>
      </c>
      <c r="C984" t="s">
        <v>7245</v>
      </c>
      <c r="D984" t="s">
        <v>5184</v>
      </c>
      <c r="E984" t="s">
        <v>7254</v>
      </c>
      <c r="F984">
        <v>1627.67</v>
      </c>
    </row>
    <row r="985" spans="1:6">
      <c r="A985" t="str">
        <f>("40-2015")</f>
        <v>40-2015</v>
      </c>
      <c r="B985" t="s">
        <v>5152</v>
      </c>
      <c r="C985" t="s">
        <v>7245</v>
      </c>
      <c r="D985" t="s">
        <v>5174</v>
      </c>
      <c r="E985" t="s">
        <v>7253</v>
      </c>
      <c r="F985">
        <v>1627.67</v>
      </c>
    </row>
    <row r="986" spans="1:6">
      <c r="A986" t="str">
        <f>("40-2075")</f>
        <v>40-2075</v>
      </c>
      <c r="B986" t="s">
        <v>5152</v>
      </c>
      <c r="C986" t="s">
        <v>7245</v>
      </c>
      <c r="D986" t="s">
        <v>5158</v>
      </c>
      <c r="E986" t="s">
        <v>7233</v>
      </c>
      <c r="F986">
        <v>1627.67</v>
      </c>
    </row>
    <row r="987" spans="1:6">
      <c r="A987" t="str">
        <f>("40-2135")</f>
        <v>40-2135</v>
      </c>
      <c r="B987" t="s">
        <v>5152</v>
      </c>
      <c r="C987" t="s">
        <v>7245</v>
      </c>
      <c r="D987" t="s">
        <v>7252</v>
      </c>
      <c r="E987" t="s">
        <v>7251</v>
      </c>
      <c r="F987">
        <v>1627.67</v>
      </c>
    </row>
    <row r="988" spans="1:6">
      <c r="A988" t="str">
        <f>("40-2215")</f>
        <v>40-2215</v>
      </c>
      <c r="B988" t="s">
        <v>5152</v>
      </c>
      <c r="C988" t="s">
        <v>7245</v>
      </c>
      <c r="D988" t="s">
        <v>5150</v>
      </c>
      <c r="E988" t="s">
        <v>7250</v>
      </c>
      <c r="F988">
        <v>1627.67</v>
      </c>
    </row>
    <row r="989" spans="1:6">
      <c r="A989" t="str">
        <f>("40-2275")</f>
        <v>40-2275</v>
      </c>
      <c r="B989" t="s">
        <v>5152</v>
      </c>
      <c r="C989" t="s">
        <v>7245</v>
      </c>
      <c r="D989" t="s">
        <v>5216</v>
      </c>
      <c r="E989" t="s">
        <v>7249</v>
      </c>
      <c r="F989">
        <v>1693</v>
      </c>
    </row>
    <row r="990" spans="1:6">
      <c r="A990" t="str">
        <f>("40-2505")</f>
        <v>40-2505</v>
      </c>
      <c r="B990" t="s">
        <v>5152</v>
      </c>
      <c r="C990" t="s">
        <v>7245</v>
      </c>
      <c r="D990" t="s">
        <v>5174</v>
      </c>
      <c r="E990" t="s">
        <v>6633</v>
      </c>
      <c r="F990">
        <v>1693</v>
      </c>
    </row>
    <row r="991" spans="1:6">
      <c r="A991" t="str">
        <f>("40-3625")</f>
        <v>40-3625</v>
      </c>
      <c r="B991" t="s">
        <v>5152</v>
      </c>
      <c r="C991" t="s">
        <v>7245</v>
      </c>
      <c r="D991" t="s">
        <v>5174</v>
      </c>
      <c r="E991" t="s">
        <v>7248</v>
      </c>
      <c r="F991">
        <v>1693</v>
      </c>
    </row>
    <row r="992" spans="1:6">
      <c r="A992" t="str">
        <f>("40-3705")</f>
        <v>40-3705</v>
      </c>
      <c r="B992" t="s">
        <v>5152</v>
      </c>
      <c r="C992" t="s">
        <v>7245</v>
      </c>
      <c r="D992" t="s">
        <v>5150</v>
      </c>
      <c r="E992" t="s">
        <v>5225</v>
      </c>
      <c r="F992">
        <v>1693</v>
      </c>
    </row>
    <row r="993" spans="1:6">
      <c r="A993" t="str">
        <f>("40-3805")</f>
        <v>40-3805</v>
      </c>
      <c r="B993" t="s">
        <v>5152</v>
      </c>
      <c r="C993" t="s">
        <v>7245</v>
      </c>
      <c r="D993" t="s">
        <v>5216</v>
      </c>
      <c r="E993" t="s">
        <v>5971</v>
      </c>
      <c r="F993">
        <v>1693</v>
      </c>
    </row>
    <row r="994" spans="1:6">
      <c r="A994" t="str">
        <f>("40-3825")</f>
        <v>40-3825</v>
      </c>
      <c r="B994" t="s">
        <v>5152</v>
      </c>
      <c r="C994" t="s">
        <v>7245</v>
      </c>
      <c r="D994" t="s">
        <v>5150</v>
      </c>
      <c r="E994" t="s">
        <v>6478</v>
      </c>
      <c r="F994">
        <v>1627.67</v>
      </c>
    </row>
    <row r="995" spans="1:6">
      <c r="A995" t="str">
        <f>("40-3835")</f>
        <v>40-3835</v>
      </c>
      <c r="B995" t="s">
        <v>5152</v>
      </c>
      <c r="C995" t="s">
        <v>7245</v>
      </c>
      <c r="D995" t="s">
        <v>5174</v>
      </c>
      <c r="E995" t="s">
        <v>6510</v>
      </c>
      <c r="F995">
        <v>1693</v>
      </c>
    </row>
    <row r="996" spans="1:6">
      <c r="A996" t="str">
        <f>("40-3845")</f>
        <v>40-3845</v>
      </c>
      <c r="B996" t="s">
        <v>5152</v>
      </c>
      <c r="C996" t="s">
        <v>7245</v>
      </c>
      <c r="D996" t="s">
        <v>5216</v>
      </c>
      <c r="E996" t="s">
        <v>7247</v>
      </c>
      <c r="F996">
        <v>1627.67</v>
      </c>
    </row>
    <row r="997" spans="1:6">
      <c r="A997" t="str">
        <f>("40-3885")</f>
        <v>40-3885</v>
      </c>
      <c r="B997" t="s">
        <v>5152</v>
      </c>
      <c r="C997" t="s">
        <v>7245</v>
      </c>
      <c r="D997" t="s">
        <v>5150</v>
      </c>
      <c r="E997" t="s">
        <v>6395</v>
      </c>
      <c r="F997">
        <v>1693</v>
      </c>
    </row>
    <row r="998" spans="1:6">
      <c r="A998" t="str">
        <f>("40-3955")</f>
        <v>40-3955</v>
      </c>
      <c r="B998" t="s">
        <v>5152</v>
      </c>
      <c r="C998" t="s">
        <v>7245</v>
      </c>
      <c r="D998" t="s">
        <v>5216</v>
      </c>
      <c r="E998" t="s">
        <v>7246</v>
      </c>
      <c r="F998">
        <v>1693</v>
      </c>
    </row>
    <row r="999" spans="1:6">
      <c r="A999" t="str">
        <f>("40-3975")</f>
        <v>40-3975</v>
      </c>
      <c r="B999" t="s">
        <v>5152</v>
      </c>
      <c r="C999" t="s">
        <v>7245</v>
      </c>
      <c r="D999" t="s">
        <v>5178</v>
      </c>
      <c r="E999" t="s">
        <v>6502</v>
      </c>
      <c r="F999">
        <v>1693</v>
      </c>
    </row>
    <row r="1000" spans="1:6">
      <c r="A1000" t="str">
        <f>("40-3985")</f>
        <v>40-3985</v>
      </c>
      <c r="B1000" t="s">
        <v>5152</v>
      </c>
      <c r="C1000" t="s">
        <v>7245</v>
      </c>
      <c r="D1000" t="s">
        <v>5174</v>
      </c>
      <c r="E1000" t="s">
        <v>6495</v>
      </c>
      <c r="F1000">
        <v>1627.67</v>
      </c>
    </row>
    <row r="1001" spans="1:6">
      <c r="A1001" t="str">
        <f>("40-13005")</f>
        <v>40-13005</v>
      </c>
      <c r="B1001" t="s">
        <v>5152</v>
      </c>
      <c r="C1001" t="s">
        <v>7239</v>
      </c>
      <c r="D1001" t="s">
        <v>7244</v>
      </c>
      <c r="E1001" t="s">
        <v>7243</v>
      </c>
      <c r="F1001">
        <v>123.67</v>
      </c>
    </row>
    <row r="1002" spans="1:6">
      <c r="A1002" t="str">
        <f>("40-13015")</f>
        <v>40-13015</v>
      </c>
      <c r="B1002" t="s">
        <v>5152</v>
      </c>
      <c r="C1002" t="s">
        <v>7239</v>
      </c>
      <c r="D1002" t="s">
        <v>5927</v>
      </c>
      <c r="E1002" t="s">
        <v>7242</v>
      </c>
      <c r="F1002">
        <v>123.67</v>
      </c>
    </row>
    <row r="1003" spans="1:6">
      <c r="A1003" t="str">
        <f>("40-13025")</f>
        <v>40-13025</v>
      </c>
      <c r="B1003" t="s">
        <v>5152</v>
      </c>
      <c r="C1003" t="s">
        <v>7239</v>
      </c>
      <c r="D1003" t="s">
        <v>7241</v>
      </c>
      <c r="E1003" t="s">
        <v>7240</v>
      </c>
      <c r="F1003">
        <v>123.67</v>
      </c>
    </row>
    <row r="1004" spans="1:6">
      <c r="A1004" t="str">
        <f>("40-13035")</f>
        <v>40-13035</v>
      </c>
      <c r="B1004" t="s">
        <v>5152</v>
      </c>
      <c r="C1004" t="s">
        <v>7239</v>
      </c>
      <c r="D1004" t="s">
        <v>5206</v>
      </c>
      <c r="E1004" t="s">
        <v>7238</v>
      </c>
      <c r="F1004">
        <v>123.67</v>
      </c>
    </row>
    <row r="1005" spans="1:6">
      <c r="A1005" t="str">
        <f>("40-21005")</f>
        <v>40-21005</v>
      </c>
      <c r="B1005" t="s">
        <v>5152</v>
      </c>
      <c r="C1005" t="s">
        <v>7236</v>
      </c>
      <c r="D1005" t="s">
        <v>5163</v>
      </c>
      <c r="E1005" t="s">
        <v>7237</v>
      </c>
      <c r="F1005">
        <v>186.33</v>
      </c>
    </row>
    <row r="1006" spans="1:6">
      <c r="A1006" t="str">
        <f>("40-21015")</f>
        <v>40-21015</v>
      </c>
      <c r="B1006" t="s">
        <v>5152</v>
      </c>
      <c r="C1006" t="s">
        <v>7236</v>
      </c>
      <c r="D1006" t="s">
        <v>5216</v>
      </c>
      <c r="E1006" t="s">
        <v>5224</v>
      </c>
      <c r="F1006">
        <v>186.33</v>
      </c>
    </row>
    <row r="1007" spans="1:6">
      <c r="A1007" t="str">
        <f>("40-21025")</f>
        <v>40-21025</v>
      </c>
      <c r="B1007" t="s">
        <v>5152</v>
      </c>
      <c r="C1007" t="s">
        <v>7236</v>
      </c>
      <c r="D1007" t="s">
        <v>5178</v>
      </c>
      <c r="E1007" t="s">
        <v>5228</v>
      </c>
      <c r="F1007">
        <v>186.33</v>
      </c>
    </row>
    <row r="1008" spans="1:6">
      <c r="A1008" t="str">
        <f>("40-23005")</f>
        <v>40-23005</v>
      </c>
      <c r="B1008" t="s">
        <v>5152</v>
      </c>
      <c r="C1008" t="s">
        <v>7235</v>
      </c>
      <c r="D1008" t="s">
        <v>5206</v>
      </c>
      <c r="E1008" t="s">
        <v>7234</v>
      </c>
      <c r="F1008">
        <v>563.66999999999996</v>
      </c>
    </row>
    <row r="1009" spans="1:6">
      <c r="A1009" t="str">
        <f>("40-32075")</f>
        <v>40-32075</v>
      </c>
      <c r="B1009" t="s">
        <v>5152</v>
      </c>
      <c r="C1009" t="s">
        <v>7229</v>
      </c>
      <c r="D1009" t="s">
        <v>5158</v>
      </c>
      <c r="E1009" t="s">
        <v>7233</v>
      </c>
      <c r="F1009">
        <v>1795.67</v>
      </c>
    </row>
    <row r="1010" spans="1:6">
      <c r="A1010" t="str">
        <f>("40-33545")</f>
        <v>40-33545</v>
      </c>
      <c r="B1010" t="s">
        <v>5152</v>
      </c>
      <c r="C1010" t="s">
        <v>7229</v>
      </c>
      <c r="D1010" t="s">
        <v>5181</v>
      </c>
      <c r="E1010" t="s">
        <v>5228</v>
      </c>
      <c r="F1010">
        <v>1795.67</v>
      </c>
    </row>
    <row r="1011" spans="1:6">
      <c r="A1011" t="str">
        <f>("40-33705")</f>
        <v>40-33705</v>
      </c>
      <c r="B1011" t="s">
        <v>5152</v>
      </c>
      <c r="C1011" t="s">
        <v>7229</v>
      </c>
      <c r="D1011" t="s">
        <v>5150</v>
      </c>
      <c r="E1011" t="s">
        <v>5225</v>
      </c>
      <c r="F1011">
        <v>1795.67</v>
      </c>
    </row>
    <row r="1012" spans="1:6">
      <c r="A1012" t="str">
        <f>("40-33815")</f>
        <v>40-33815</v>
      </c>
      <c r="B1012" t="s">
        <v>5152</v>
      </c>
      <c r="C1012" t="s">
        <v>7229</v>
      </c>
      <c r="D1012" t="s">
        <v>5160</v>
      </c>
      <c r="E1012" t="s">
        <v>7232</v>
      </c>
      <c r="F1012">
        <v>1795.67</v>
      </c>
    </row>
    <row r="1013" spans="1:6">
      <c r="A1013" t="str">
        <f>("40-33825")</f>
        <v>40-33825</v>
      </c>
      <c r="B1013" t="s">
        <v>5152</v>
      </c>
      <c r="C1013" t="s">
        <v>7229</v>
      </c>
      <c r="D1013" t="s">
        <v>5150</v>
      </c>
      <c r="E1013" t="s">
        <v>6478</v>
      </c>
      <c r="F1013">
        <v>1795.67</v>
      </c>
    </row>
    <row r="1014" spans="1:6">
      <c r="A1014" t="str">
        <f>("40-33835")</f>
        <v>40-33835</v>
      </c>
      <c r="B1014" t="s">
        <v>5152</v>
      </c>
      <c r="C1014" t="s">
        <v>7229</v>
      </c>
      <c r="D1014" t="s">
        <v>5174</v>
      </c>
      <c r="E1014" t="s">
        <v>6510</v>
      </c>
      <c r="F1014">
        <v>1795.67</v>
      </c>
    </row>
    <row r="1015" spans="1:6">
      <c r="A1015" t="str">
        <f>("40-33845")</f>
        <v>40-33845</v>
      </c>
      <c r="B1015" t="s">
        <v>5152</v>
      </c>
      <c r="C1015" t="s">
        <v>7229</v>
      </c>
      <c r="D1015" t="s">
        <v>5216</v>
      </c>
      <c r="E1015" t="s">
        <v>6600</v>
      </c>
      <c r="F1015">
        <v>1795.67</v>
      </c>
    </row>
    <row r="1016" spans="1:6">
      <c r="A1016" t="str">
        <f>("40-33875")</f>
        <v>40-33875</v>
      </c>
      <c r="B1016" t="s">
        <v>5152</v>
      </c>
      <c r="C1016" t="s">
        <v>7229</v>
      </c>
      <c r="D1016" t="s">
        <v>5216</v>
      </c>
      <c r="E1016" t="s">
        <v>5224</v>
      </c>
      <c r="F1016">
        <v>1795.67</v>
      </c>
    </row>
    <row r="1017" spans="1:6">
      <c r="A1017" t="str">
        <f>("40-33885")</f>
        <v>40-33885</v>
      </c>
      <c r="B1017" t="s">
        <v>5152</v>
      </c>
      <c r="C1017" t="s">
        <v>7229</v>
      </c>
      <c r="D1017" t="s">
        <v>5150</v>
      </c>
      <c r="E1017" t="s">
        <v>6395</v>
      </c>
      <c r="F1017">
        <v>1795.67</v>
      </c>
    </row>
    <row r="1018" spans="1:6">
      <c r="A1018" t="str">
        <f>("40-33955")</f>
        <v>40-33955</v>
      </c>
      <c r="B1018" t="s">
        <v>5152</v>
      </c>
      <c r="C1018" t="s">
        <v>7229</v>
      </c>
      <c r="D1018" t="s">
        <v>5216</v>
      </c>
      <c r="E1018" t="s">
        <v>7231</v>
      </c>
      <c r="F1018">
        <v>1795.67</v>
      </c>
    </row>
    <row r="1019" spans="1:6">
      <c r="A1019" t="str">
        <f>("40-33975")</f>
        <v>40-33975</v>
      </c>
      <c r="B1019" t="s">
        <v>5152</v>
      </c>
      <c r="C1019" t="s">
        <v>7229</v>
      </c>
      <c r="D1019" t="s">
        <v>5178</v>
      </c>
      <c r="E1019" t="s">
        <v>7230</v>
      </c>
      <c r="F1019">
        <v>1795.67</v>
      </c>
    </row>
    <row r="1020" spans="1:6">
      <c r="A1020" t="str">
        <f>("40-33995")</f>
        <v>40-33995</v>
      </c>
      <c r="B1020" t="s">
        <v>5152</v>
      </c>
      <c r="C1020" t="s">
        <v>7229</v>
      </c>
      <c r="D1020" t="s">
        <v>5216</v>
      </c>
      <c r="E1020" t="s">
        <v>6524</v>
      </c>
      <c r="F1020">
        <v>1795.67</v>
      </c>
    </row>
    <row r="1021" spans="1:6">
      <c r="A1021" t="str">
        <f>("40-34015")</f>
        <v>40-34015</v>
      </c>
      <c r="B1021" t="s">
        <v>5152</v>
      </c>
      <c r="C1021" t="s">
        <v>7229</v>
      </c>
      <c r="D1021" t="s">
        <v>5174</v>
      </c>
      <c r="E1021" t="s">
        <v>5222</v>
      </c>
      <c r="F1021">
        <v>1795.67</v>
      </c>
    </row>
    <row r="1022" spans="1:6">
      <c r="A1022" t="str">
        <f>("40-34025")</f>
        <v>40-34025</v>
      </c>
      <c r="B1022" t="s">
        <v>5152</v>
      </c>
      <c r="C1022" t="s">
        <v>7229</v>
      </c>
      <c r="D1022" t="s">
        <v>5178</v>
      </c>
      <c r="E1022" t="s">
        <v>6617</v>
      </c>
      <c r="F1022">
        <v>1795.67</v>
      </c>
    </row>
    <row r="1023" spans="1:6">
      <c r="A1023" t="str">
        <f>("58-30005")</f>
        <v>58-30005</v>
      </c>
      <c r="B1023" t="s">
        <v>5152</v>
      </c>
      <c r="C1023" t="s">
        <v>7228</v>
      </c>
      <c r="D1023" t="s">
        <v>5216</v>
      </c>
      <c r="E1023" t="s">
        <v>7227</v>
      </c>
      <c r="F1023">
        <v>203.67</v>
      </c>
    </row>
    <row r="1024" spans="1:6">
      <c r="A1024" t="str">
        <f>("42-6005")</f>
        <v>42-6005</v>
      </c>
      <c r="B1024" t="s">
        <v>5152</v>
      </c>
      <c r="C1024" t="s">
        <v>7226</v>
      </c>
      <c r="D1024" t="s">
        <v>5160</v>
      </c>
      <c r="E1024" t="s">
        <v>6685</v>
      </c>
      <c r="F1024">
        <v>776.67</v>
      </c>
    </row>
    <row r="1025" spans="1:6">
      <c r="A1025" t="str">
        <f>("42-6015")</f>
        <v>42-6015</v>
      </c>
      <c r="B1025" t="s">
        <v>5152</v>
      </c>
      <c r="C1025" t="s">
        <v>7226</v>
      </c>
      <c r="D1025" t="s">
        <v>5160</v>
      </c>
      <c r="E1025" t="s">
        <v>5161</v>
      </c>
      <c r="F1025">
        <v>882</v>
      </c>
    </row>
    <row r="1026" spans="1:6">
      <c r="A1026" t="str">
        <f>("42-6025")</f>
        <v>42-6025</v>
      </c>
      <c r="B1026" t="s">
        <v>5152</v>
      </c>
      <c r="C1026" t="s">
        <v>7226</v>
      </c>
      <c r="D1026" t="s">
        <v>5160</v>
      </c>
      <c r="E1026" t="s">
        <v>5237</v>
      </c>
      <c r="F1026">
        <v>1007</v>
      </c>
    </row>
    <row r="1027" spans="1:6">
      <c r="A1027" t="str">
        <f>("42-7015")</f>
        <v>42-7015</v>
      </c>
      <c r="B1027" t="s">
        <v>5152</v>
      </c>
      <c r="C1027" t="s">
        <v>7225</v>
      </c>
      <c r="D1027" t="s">
        <v>5160</v>
      </c>
      <c r="E1027" t="s">
        <v>5161</v>
      </c>
      <c r="F1027">
        <v>1215</v>
      </c>
    </row>
    <row r="1028" spans="1:6">
      <c r="A1028" t="str">
        <f>("42-21005")</f>
        <v>42-21005</v>
      </c>
      <c r="B1028" t="s">
        <v>5152</v>
      </c>
      <c r="C1028" t="s">
        <v>7215</v>
      </c>
      <c r="D1028" t="s">
        <v>5160</v>
      </c>
      <c r="E1028" t="s">
        <v>6685</v>
      </c>
      <c r="F1028">
        <v>527.32999999999993</v>
      </c>
    </row>
    <row r="1029" spans="1:6">
      <c r="A1029" t="str">
        <f>("42-21015")</f>
        <v>42-21015</v>
      </c>
      <c r="B1029" t="s">
        <v>5152</v>
      </c>
      <c r="C1029" t="s">
        <v>7224</v>
      </c>
      <c r="D1029" t="s">
        <v>5160</v>
      </c>
      <c r="E1029" t="s">
        <v>7222</v>
      </c>
      <c r="F1029">
        <v>357</v>
      </c>
    </row>
    <row r="1030" spans="1:6">
      <c r="A1030" t="str">
        <f>("42-21025")</f>
        <v>42-21025</v>
      </c>
      <c r="B1030" t="s">
        <v>5152</v>
      </c>
      <c r="C1030" t="s">
        <v>7220</v>
      </c>
      <c r="D1030" t="s">
        <v>5160</v>
      </c>
      <c r="E1030" t="s">
        <v>6407</v>
      </c>
      <c r="F1030">
        <v>378.33</v>
      </c>
    </row>
    <row r="1031" spans="1:6">
      <c r="A1031" t="str">
        <f>("42-21035")</f>
        <v>42-21035</v>
      </c>
      <c r="B1031" t="s">
        <v>5152</v>
      </c>
      <c r="C1031" t="s">
        <v>7223</v>
      </c>
      <c r="D1031" t="s">
        <v>5160</v>
      </c>
      <c r="E1031" t="s">
        <v>7222</v>
      </c>
      <c r="F1031">
        <v>147.67000000000002</v>
      </c>
    </row>
    <row r="1032" spans="1:6">
      <c r="A1032" t="str">
        <f>("42-21045")</f>
        <v>42-21045</v>
      </c>
      <c r="B1032" t="s">
        <v>5152</v>
      </c>
      <c r="C1032" t="s">
        <v>7217</v>
      </c>
      <c r="D1032" t="s">
        <v>5160</v>
      </c>
      <c r="E1032" t="s">
        <v>6407</v>
      </c>
      <c r="F1032">
        <v>481</v>
      </c>
    </row>
    <row r="1033" spans="1:6">
      <c r="A1033" t="str">
        <f>("42-21055")</f>
        <v>42-21055</v>
      </c>
      <c r="B1033" t="s">
        <v>5152</v>
      </c>
      <c r="C1033" t="s">
        <v>7215</v>
      </c>
      <c r="D1033" t="s">
        <v>5160</v>
      </c>
      <c r="E1033" t="s">
        <v>5161</v>
      </c>
      <c r="F1033">
        <v>776.67</v>
      </c>
    </row>
    <row r="1034" spans="1:6">
      <c r="A1034" t="str">
        <f>("42-21075")</f>
        <v>42-21075</v>
      </c>
      <c r="B1034" t="s">
        <v>5152</v>
      </c>
      <c r="C1034" t="s">
        <v>7213</v>
      </c>
      <c r="D1034" t="s">
        <v>5160</v>
      </c>
      <c r="E1034" t="s">
        <v>7221</v>
      </c>
      <c r="F1034">
        <v>369</v>
      </c>
    </row>
    <row r="1035" spans="1:6">
      <c r="A1035" t="str">
        <f>("42-21085")</f>
        <v>42-21085</v>
      </c>
      <c r="B1035" t="s">
        <v>5152</v>
      </c>
      <c r="C1035" t="s">
        <v>7220</v>
      </c>
      <c r="D1035" t="s">
        <v>5160</v>
      </c>
      <c r="E1035" t="s">
        <v>5201</v>
      </c>
      <c r="F1035">
        <v>378.33</v>
      </c>
    </row>
    <row r="1036" spans="1:6">
      <c r="A1036" t="str">
        <f>("42-21095")</f>
        <v>42-21095</v>
      </c>
      <c r="B1036" t="s">
        <v>5152</v>
      </c>
      <c r="C1036" t="s">
        <v>7219</v>
      </c>
      <c r="D1036" t="s">
        <v>5160</v>
      </c>
      <c r="E1036" t="s">
        <v>7218</v>
      </c>
      <c r="F1036">
        <v>289</v>
      </c>
    </row>
    <row r="1037" spans="1:6">
      <c r="A1037" t="str">
        <f>("42-21105")</f>
        <v>42-21105</v>
      </c>
      <c r="B1037" t="s">
        <v>5152</v>
      </c>
      <c r="C1037" t="s">
        <v>7217</v>
      </c>
      <c r="D1037" t="s">
        <v>5160</v>
      </c>
      <c r="E1037" t="s">
        <v>7216</v>
      </c>
      <c r="F1037">
        <v>481</v>
      </c>
    </row>
    <row r="1038" spans="1:6">
      <c r="A1038" t="str">
        <f>("42-21115")</f>
        <v>42-21115</v>
      </c>
      <c r="B1038" t="s">
        <v>5152</v>
      </c>
      <c r="C1038" t="s">
        <v>7215</v>
      </c>
      <c r="D1038" t="s">
        <v>5160</v>
      </c>
      <c r="E1038" t="s">
        <v>7214</v>
      </c>
      <c r="F1038">
        <v>776.67</v>
      </c>
    </row>
    <row r="1039" spans="1:6">
      <c r="A1039" t="str">
        <f>("42-21125")</f>
        <v>42-21125</v>
      </c>
      <c r="B1039" t="s">
        <v>5152</v>
      </c>
      <c r="C1039" t="s">
        <v>7213</v>
      </c>
      <c r="D1039" t="s">
        <v>5160</v>
      </c>
      <c r="E1039" t="s">
        <v>7212</v>
      </c>
      <c r="F1039">
        <v>378.33</v>
      </c>
    </row>
    <row r="1040" spans="1:6">
      <c r="A1040" t="str">
        <f>("46-21175")</f>
        <v>46-21175</v>
      </c>
      <c r="B1040" t="s">
        <v>5152</v>
      </c>
      <c r="C1040" t="s">
        <v>7197</v>
      </c>
      <c r="D1040" t="s">
        <v>5163</v>
      </c>
      <c r="E1040" t="s">
        <v>7211</v>
      </c>
      <c r="F1040">
        <v>870</v>
      </c>
    </row>
    <row r="1041" spans="1:6">
      <c r="A1041" t="str">
        <f>("46-21245")</f>
        <v>46-21245</v>
      </c>
      <c r="B1041" t="s">
        <v>5152</v>
      </c>
      <c r="C1041" t="s">
        <v>7197</v>
      </c>
      <c r="D1041" t="s">
        <v>5216</v>
      </c>
      <c r="E1041" t="s">
        <v>7210</v>
      </c>
      <c r="F1041">
        <v>574</v>
      </c>
    </row>
    <row r="1042" spans="1:6">
      <c r="A1042" t="str">
        <f>("46-21605")</f>
        <v>46-21605</v>
      </c>
      <c r="B1042" t="s">
        <v>5152</v>
      </c>
      <c r="C1042" t="s">
        <v>7197</v>
      </c>
      <c r="D1042" t="s">
        <v>5150</v>
      </c>
      <c r="E1042" t="s">
        <v>6708</v>
      </c>
      <c r="F1042">
        <v>750</v>
      </c>
    </row>
    <row r="1043" spans="1:6">
      <c r="A1043" t="str">
        <f>("46-22235")</f>
        <v>46-22235</v>
      </c>
      <c r="B1043" t="s">
        <v>5152</v>
      </c>
      <c r="C1043" t="s">
        <v>7197</v>
      </c>
      <c r="D1043" t="s">
        <v>5150</v>
      </c>
      <c r="E1043" t="s">
        <v>6555</v>
      </c>
      <c r="F1043">
        <v>664.67</v>
      </c>
    </row>
    <row r="1044" spans="1:6">
      <c r="A1044" t="str">
        <f>("46-22275")</f>
        <v>46-22275</v>
      </c>
      <c r="B1044" t="s">
        <v>5152</v>
      </c>
      <c r="C1044" t="s">
        <v>7197</v>
      </c>
      <c r="D1044" t="s">
        <v>5163</v>
      </c>
      <c r="E1044" t="s">
        <v>7209</v>
      </c>
      <c r="F1044">
        <v>548.67000000000007</v>
      </c>
    </row>
    <row r="1045" spans="1:6">
      <c r="A1045" t="str">
        <f>("46-23555")</f>
        <v>46-23555</v>
      </c>
      <c r="B1045" t="s">
        <v>5152</v>
      </c>
      <c r="C1045" t="s">
        <v>7197</v>
      </c>
      <c r="D1045" t="s">
        <v>5178</v>
      </c>
      <c r="E1045" t="s">
        <v>5226</v>
      </c>
      <c r="F1045">
        <v>614</v>
      </c>
    </row>
    <row r="1046" spans="1:6">
      <c r="A1046" t="str">
        <f>("46-23685")</f>
        <v>46-23685</v>
      </c>
      <c r="B1046" t="s">
        <v>5152</v>
      </c>
      <c r="C1046" t="s">
        <v>7197</v>
      </c>
      <c r="D1046" t="s">
        <v>5163</v>
      </c>
      <c r="E1046" t="s">
        <v>7208</v>
      </c>
      <c r="F1046">
        <v>614</v>
      </c>
    </row>
    <row r="1047" spans="1:6">
      <c r="A1047" t="str">
        <f>("46-23715")</f>
        <v>46-23715</v>
      </c>
      <c r="B1047" t="s">
        <v>5152</v>
      </c>
      <c r="C1047" t="s">
        <v>7197</v>
      </c>
      <c r="D1047" t="s">
        <v>5216</v>
      </c>
      <c r="E1047" t="s">
        <v>7207</v>
      </c>
      <c r="F1047">
        <v>614</v>
      </c>
    </row>
    <row r="1048" spans="1:6">
      <c r="A1048" t="str">
        <f>("46-23735")</f>
        <v>46-23735</v>
      </c>
      <c r="B1048" t="s">
        <v>5152</v>
      </c>
      <c r="C1048" t="s">
        <v>7197</v>
      </c>
      <c r="D1048" t="s">
        <v>5174</v>
      </c>
      <c r="E1048" t="s">
        <v>7191</v>
      </c>
      <c r="F1048">
        <v>870</v>
      </c>
    </row>
    <row r="1049" spans="1:6">
      <c r="A1049" t="str">
        <f>("46-23745")</f>
        <v>46-23745</v>
      </c>
      <c r="B1049" t="s">
        <v>5152</v>
      </c>
      <c r="C1049" t="s">
        <v>7197</v>
      </c>
      <c r="D1049" t="s">
        <v>5174</v>
      </c>
      <c r="E1049" t="s">
        <v>6633</v>
      </c>
      <c r="F1049">
        <v>664.67</v>
      </c>
    </row>
    <row r="1050" spans="1:6">
      <c r="A1050" t="str">
        <f>("46-23755")</f>
        <v>46-23755</v>
      </c>
      <c r="B1050" t="s">
        <v>5152</v>
      </c>
      <c r="C1050" t="s">
        <v>7197</v>
      </c>
      <c r="D1050" t="s">
        <v>5181</v>
      </c>
      <c r="E1050" t="s">
        <v>7206</v>
      </c>
      <c r="F1050">
        <v>870</v>
      </c>
    </row>
    <row r="1051" spans="1:6">
      <c r="A1051" t="str">
        <f>("46-23785")</f>
        <v>46-23785</v>
      </c>
      <c r="B1051" t="s">
        <v>5152</v>
      </c>
      <c r="C1051" t="s">
        <v>7197</v>
      </c>
      <c r="D1051" t="s">
        <v>5216</v>
      </c>
      <c r="E1051" t="s">
        <v>6472</v>
      </c>
      <c r="F1051">
        <v>664.67</v>
      </c>
    </row>
    <row r="1052" spans="1:6">
      <c r="A1052" t="str">
        <f>("46-23805")</f>
        <v>46-23805</v>
      </c>
      <c r="B1052" t="s">
        <v>5152</v>
      </c>
      <c r="C1052" t="s">
        <v>7197</v>
      </c>
      <c r="D1052" t="s">
        <v>5216</v>
      </c>
      <c r="E1052" t="s">
        <v>5971</v>
      </c>
      <c r="F1052">
        <v>870</v>
      </c>
    </row>
    <row r="1053" spans="1:6">
      <c r="A1053" t="str">
        <f>("46-23835")</f>
        <v>46-23835</v>
      </c>
      <c r="B1053" t="s">
        <v>5152</v>
      </c>
      <c r="C1053" t="s">
        <v>7197</v>
      </c>
      <c r="D1053" t="s">
        <v>5174</v>
      </c>
      <c r="E1053" t="s">
        <v>7205</v>
      </c>
      <c r="F1053">
        <v>664.67</v>
      </c>
    </row>
    <row r="1054" spans="1:6">
      <c r="A1054" t="str">
        <f>("46-23845")</f>
        <v>46-23845</v>
      </c>
      <c r="B1054" t="s">
        <v>5152</v>
      </c>
      <c r="C1054" t="s">
        <v>7197</v>
      </c>
      <c r="D1054" t="s">
        <v>5163</v>
      </c>
      <c r="E1054" t="s">
        <v>7204</v>
      </c>
      <c r="F1054">
        <v>750</v>
      </c>
    </row>
    <row r="1055" spans="1:6">
      <c r="A1055" t="str">
        <f>("46-23875")</f>
        <v>46-23875</v>
      </c>
      <c r="B1055" t="s">
        <v>5152</v>
      </c>
      <c r="C1055" t="s">
        <v>7197</v>
      </c>
      <c r="D1055" t="s">
        <v>5216</v>
      </c>
      <c r="E1055" t="s">
        <v>5224</v>
      </c>
      <c r="F1055">
        <v>664.67</v>
      </c>
    </row>
    <row r="1056" spans="1:6">
      <c r="A1056" t="str">
        <f>("46-23885")</f>
        <v>46-23885</v>
      </c>
      <c r="B1056" t="s">
        <v>5152</v>
      </c>
      <c r="C1056" t="s">
        <v>7197</v>
      </c>
      <c r="D1056" t="s">
        <v>5150</v>
      </c>
      <c r="E1056" t="s">
        <v>6395</v>
      </c>
      <c r="F1056">
        <v>750</v>
      </c>
    </row>
    <row r="1057" spans="1:6">
      <c r="A1057" t="str">
        <f>("46-23905")</f>
        <v>46-23905</v>
      </c>
      <c r="B1057" t="s">
        <v>5152</v>
      </c>
      <c r="C1057" t="s">
        <v>7197</v>
      </c>
      <c r="D1057" t="s">
        <v>5174</v>
      </c>
      <c r="E1057" t="s">
        <v>7203</v>
      </c>
      <c r="F1057">
        <v>870</v>
      </c>
    </row>
    <row r="1058" spans="1:6">
      <c r="A1058" t="str">
        <f>("46-23925")</f>
        <v>46-23925</v>
      </c>
      <c r="B1058" t="s">
        <v>5152</v>
      </c>
      <c r="C1058" t="s">
        <v>7202</v>
      </c>
      <c r="D1058" t="s">
        <v>5160</v>
      </c>
      <c r="E1058" t="s">
        <v>7201</v>
      </c>
      <c r="F1058">
        <v>486.33</v>
      </c>
    </row>
    <row r="1059" spans="1:6">
      <c r="A1059" t="str">
        <f>("46-23955")</f>
        <v>46-23955</v>
      </c>
      <c r="B1059" t="s">
        <v>5152</v>
      </c>
      <c r="C1059" t="s">
        <v>7197</v>
      </c>
      <c r="D1059" t="s">
        <v>5216</v>
      </c>
      <c r="E1059" t="s">
        <v>7200</v>
      </c>
      <c r="F1059">
        <v>664.67</v>
      </c>
    </row>
    <row r="1060" spans="1:6">
      <c r="A1060" t="str">
        <f>("46-23975")</f>
        <v>46-23975</v>
      </c>
      <c r="B1060" t="s">
        <v>5152</v>
      </c>
      <c r="C1060" t="s">
        <v>7197</v>
      </c>
      <c r="D1060" t="s">
        <v>5178</v>
      </c>
      <c r="E1060" t="s">
        <v>7199</v>
      </c>
      <c r="F1060">
        <v>870</v>
      </c>
    </row>
    <row r="1061" spans="1:6">
      <c r="A1061" t="str">
        <f>("46-23995")</f>
        <v>46-23995</v>
      </c>
      <c r="B1061" t="s">
        <v>5152</v>
      </c>
      <c r="C1061" t="s">
        <v>7197</v>
      </c>
      <c r="D1061" t="s">
        <v>5216</v>
      </c>
      <c r="E1061" t="s">
        <v>6524</v>
      </c>
      <c r="F1061">
        <v>664.67</v>
      </c>
    </row>
    <row r="1062" spans="1:6">
      <c r="A1062" t="str">
        <f>("46-24025")</f>
        <v>46-24025</v>
      </c>
      <c r="B1062" t="s">
        <v>5152</v>
      </c>
      <c r="C1062" t="s">
        <v>7197</v>
      </c>
      <c r="D1062" t="s">
        <v>5178</v>
      </c>
      <c r="E1062" t="s">
        <v>7198</v>
      </c>
      <c r="F1062">
        <v>614</v>
      </c>
    </row>
    <row r="1063" spans="1:6">
      <c r="A1063" t="str">
        <f>("46-24045")</f>
        <v>46-24045</v>
      </c>
      <c r="B1063" t="s">
        <v>5152</v>
      </c>
      <c r="C1063" t="s">
        <v>7197</v>
      </c>
      <c r="D1063" t="s">
        <v>5216</v>
      </c>
      <c r="E1063" t="s">
        <v>6521</v>
      </c>
      <c r="F1063">
        <v>870</v>
      </c>
    </row>
    <row r="1064" spans="1:6">
      <c r="A1064" t="str">
        <f>("46-24075")</f>
        <v>46-24075</v>
      </c>
      <c r="B1064" t="s">
        <v>5152</v>
      </c>
      <c r="C1064" t="s">
        <v>7197</v>
      </c>
      <c r="D1064" t="s">
        <v>5158</v>
      </c>
      <c r="E1064" t="s">
        <v>5208</v>
      </c>
      <c r="F1064">
        <v>750</v>
      </c>
    </row>
    <row r="1065" spans="1:6">
      <c r="A1065" t="str">
        <f>("46-41600")</f>
        <v>46-41600</v>
      </c>
      <c r="B1065" t="s">
        <v>5152</v>
      </c>
      <c r="C1065" t="s">
        <v>7189</v>
      </c>
      <c r="D1065" t="s">
        <v>7195</v>
      </c>
      <c r="E1065" t="s">
        <v>7196</v>
      </c>
      <c r="F1065">
        <v>665</v>
      </c>
    </row>
    <row r="1066" spans="1:6">
      <c r="A1066" t="str">
        <f>("46-41605")</f>
        <v>46-41605</v>
      </c>
      <c r="B1066" t="s">
        <v>5152</v>
      </c>
      <c r="C1066" t="s">
        <v>7189</v>
      </c>
      <c r="D1066" t="s">
        <v>7195</v>
      </c>
      <c r="E1066" t="s">
        <v>7194</v>
      </c>
      <c r="F1066">
        <v>471.67</v>
      </c>
    </row>
    <row r="1067" spans="1:6">
      <c r="A1067" t="str">
        <f>("46-42235")</f>
        <v>46-42235</v>
      </c>
      <c r="B1067" t="s">
        <v>5152</v>
      </c>
      <c r="C1067" t="s">
        <v>7189</v>
      </c>
      <c r="D1067" t="s">
        <v>5150</v>
      </c>
      <c r="E1067" t="s">
        <v>6555</v>
      </c>
      <c r="F1067">
        <v>496.67</v>
      </c>
    </row>
    <row r="1068" spans="1:6">
      <c r="A1068" t="str">
        <f>("46-42275")</f>
        <v>46-42275</v>
      </c>
      <c r="B1068" t="s">
        <v>5152</v>
      </c>
      <c r="C1068" t="s">
        <v>7189</v>
      </c>
      <c r="D1068" t="s">
        <v>5163</v>
      </c>
      <c r="E1068" t="s">
        <v>7193</v>
      </c>
      <c r="F1068">
        <v>471.67</v>
      </c>
    </row>
    <row r="1069" spans="1:6">
      <c r="A1069" t="str">
        <f>("46-43555")</f>
        <v>46-43555</v>
      </c>
      <c r="B1069" t="s">
        <v>5152</v>
      </c>
      <c r="C1069" t="s">
        <v>7189</v>
      </c>
      <c r="D1069" t="s">
        <v>5178</v>
      </c>
      <c r="E1069" t="s">
        <v>7192</v>
      </c>
      <c r="F1069">
        <v>496.67</v>
      </c>
    </row>
    <row r="1070" spans="1:6">
      <c r="A1070" t="str">
        <f>("46-43635")</f>
        <v>46-43635</v>
      </c>
      <c r="B1070" t="s">
        <v>5152</v>
      </c>
      <c r="C1070" t="s">
        <v>7189</v>
      </c>
      <c r="D1070" t="s">
        <v>5160</v>
      </c>
      <c r="E1070" t="s">
        <v>6407</v>
      </c>
      <c r="F1070">
        <v>155.66999999999999</v>
      </c>
    </row>
    <row r="1071" spans="1:6">
      <c r="A1071" t="str">
        <f>("46-43725")</f>
        <v>46-43725</v>
      </c>
      <c r="B1071" t="s">
        <v>5152</v>
      </c>
      <c r="C1071" t="s">
        <v>7189</v>
      </c>
      <c r="D1071" t="s">
        <v>5174</v>
      </c>
      <c r="E1071" t="s">
        <v>7191</v>
      </c>
      <c r="F1071">
        <v>496.67</v>
      </c>
    </row>
    <row r="1072" spans="1:6">
      <c r="A1072" t="str">
        <f>("46-43740")</f>
        <v>46-43740</v>
      </c>
      <c r="B1072" t="s">
        <v>5152</v>
      </c>
      <c r="C1072" t="s">
        <v>7189</v>
      </c>
      <c r="D1072" t="s">
        <v>5174</v>
      </c>
      <c r="E1072" t="s">
        <v>7190</v>
      </c>
      <c r="F1072">
        <v>690</v>
      </c>
    </row>
    <row r="1073" spans="1:6">
      <c r="A1073" t="str">
        <f>("46-43745")</f>
        <v>46-43745</v>
      </c>
      <c r="B1073" t="s">
        <v>5152</v>
      </c>
      <c r="C1073" t="s">
        <v>7189</v>
      </c>
      <c r="D1073" t="s">
        <v>5174</v>
      </c>
      <c r="E1073" t="s">
        <v>7190</v>
      </c>
      <c r="F1073">
        <v>496.67</v>
      </c>
    </row>
    <row r="1074" spans="1:6">
      <c r="A1074" t="str">
        <f>("46-43750")</f>
        <v>46-43750</v>
      </c>
      <c r="B1074" t="s">
        <v>5152</v>
      </c>
      <c r="C1074" t="s">
        <v>7189</v>
      </c>
      <c r="D1074" t="s">
        <v>5181</v>
      </c>
      <c r="E1074" t="s">
        <v>7188</v>
      </c>
      <c r="F1074">
        <v>665</v>
      </c>
    </row>
    <row r="1075" spans="1:6">
      <c r="A1075" t="str">
        <f>("46-43755")</f>
        <v>46-43755</v>
      </c>
      <c r="B1075" t="s">
        <v>5152</v>
      </c>
      <c r="C1075" t="s">
        <v>7189</v>
      </c>
      <c r="D1075" t="s">
        <v>5181</v>
      </c>
      <c r="E1075" t="s">
        <v>7188</v>
      </c>
      <c r="F1075">
        <v>471.67</v>
      </c>
    </row>
    <row r="1076" spans="1:6">
      <c r="A1076" t="str">
        <f>("46-20055")</f>
        <v>46-20055</v>
      </c>
      <c r="B1076" t="s">
        <v>5152</v>
      </c>
      <c r="C1076" t="s">
        <v>7186</v>
      </c>
      <c r="D1076" t="s">
        <v>5206</v>
      </c>
      <c r="E1076" t="s">
        <v>7187</v>
      </c>
      <c r="F1076">
        <v>117</v>
      </c>
    </row>
    <row r="1077" spans="1:6">
      <c r="A1077" t="str">
        <f>("46-20065")</f>
        <v>46-20065</v>
      </c>
      <c r="B1077" t="s">
        <v>5152</v>
      </c>
      <c r="C1077" t="s">
        <v>7186</v>
      </c>
      <c r="D1077" t="s">
        <v>5206</v>
      </c>
      <c r="E1077" t="s">
        <v>7185</v>
      </c>
      <c r="F1077">
        <v>117</v>
      </c>
    </row>
    <row r="1078" spans="1:6">
      <c r="A1078" t="str">
        <f>("46-3005")</f>
        <v>46-3005</v>
      </c>
      <c r="B1078" t="s">
        <v>5152</v>
      </c>
      <c r="C1078" t="s">
        <v>7184</v>
      </c>
      <c r="D1078" t="s">
        <v>5206</v>
      </c>
      <c r="E1078" t="s">
        <v>7183</v>
      </c>
      <c r="F1078">
        <v>87.67</v>
      </c>
    </row>
    <row r="1079" spans="1:6">
      <c r="A1079" t="str">
        <f>("46-70060")</f>
        <v>46-70060</v>
      </c>
      <c r="B1079" t="s">
        <v>5152</v>
      </c>
      <c r="C1079" t="s">
        <v>7181</v>
      </c>
      <c r="D1079" t="s">
        <v>5216</v>
      </c>
      <c r="E1079" t="s">
        <v>7182</v>
      </c>
      <c r="F1079">
        <v>146.32999999999998</v>
      </c>
    </row>
    <row r="1080" spans="1:6">
      <c r="A1080" t="str">
        <f>("46-70100")</f>
        <v>46-70100</v>
      </c>
      <c r="B1080" t="s">
        <v>5152</v>
      </c>
      <c r="C1080" t="s">
        <v>7181</v>
      </c>
      <c r="D1080" t="s">
        <v>5178</v>
      </c>
      <c r="E1080" t="s">
        <v>5226</v>
      </c>
      <c r="F1080">
        <v>146.32999999999998</v>
      </c>
    </row>
    <row r="1081" spans="1:6">
      <c r="A1081" t="str">
        <f>("46-70150")</f>
        <v>46-70150</v>
      </c>
      <c r="B1081" t="s">
        <v>5152</v>
      </c>
      <c r="C1081" t="s">
        <v>7181</v>
      </c>
      <c r="D1081" t="s">
        <v>5174</v>
      </c>
      <c r="E1081" t="s">
        <v>7180</v>
      </c>
      <c r="F1081">
        <v>146.32999999999998</v>
      </c>
    </row>
    <row r="1082" spans="1:6">
      <c r="A1082" t="str">
        <f>("1511200")</f>
        <v>1511200</v>
      </c>
      <c r="B1082" t="s">
        <v>6090</v>
      </c>
      <c r="C1082" t="s">
        <v>7179</v>
      </c>
      <c r="D1082" t="s">
        <v>5206</v>
      </c>
      <c r="E1082" t="s">
        <v>7178</v>
      </c>
      <c r="F1082">
        <v>1123.33</v>
      </c>
    </row>
    <row r="1083" spans="1:6">
      <c r="A1083" t="str">
        <f>("1511201")</f>
        <v>1511201</v>
      </c>
      <c r="B1083" t="s">
        <v>6090</v>
      </c>
      <c r="C1083" t="s">
        <v>7177</v>
      </c>
      <c r="D1083" t="s">
        <v>5206</v>
      </c>
      <c r="E1083" t="s">
        <v>7176</v>
      </c>
      <c r="F1083">
        <v>1447.5</v>
      </c>
    </row>
    <row r="1084" spans="1:6">
      <c r="A1084" t="str">
        <f>("1515000")</f>
        <v>1515000</v>
      </c>
      <c r="B1084" t="s">
        <v>6090</v>
      </c>
      <c r="C1084" t="s">
        <v>7175</v>
      </c>
      <c r="D1084" t="s">
        <v>5206</v>
      </c>
      <c r="E1084" t="s">
        <v>7174</v>
      </c>
      <c r="F1084">
        <v>2005</v>
      </c>
    </row>
    <row r="1085" spans="1:6">
      <c r="A1085" t="str">
        <f>("1515001")</f>
        <v>1515001</v>
      </c>
      <c r="B1085" t="s">
        <v>6090</v>
      </c>
      <c r="C1085" t="s">
        <v>7173</v>
      </c>
      <c r="D1085" t="s">
        <v>5206</v>
      </c>
      <c r="E1085" t="s">
        <v>7172</v>
      </c>
      <c r="F1085">
        <v>2075</v>
      </c>
    </row>
    <row r="1086" spans="1:6">
      <c r="A1086" t="str">
        <f>("1518000")</f>
        <v>1518000</v>
      </c>
      <c r="B1086" t="s">
        <v>6090</v>
      </c>
      <c r="C1086" t="s">
        <v>7171</v>
      </c>
      <c r="D1086" t="s">
        <v>5206</v>
      </c>
      <c r="E1086" t="s">
        <v>7170</v>
      </c>
      <c r="F1086">
        <v>2243.67</v>
      </c>
    </row>
    <row r="1087" spans="1:6">
      <c r="A1087" t="str">
        <f>("1518001")</f>
        <v>1518001</v>
      </c>
      <c r="B1087" t="s">
        <v>6090</v>
      </c>
      <c r="C1087" t="s">
        <v>7169</v>
      </c>
      <c r="D1087" t="s">
        <v>5206</v>
      </c>
      <c r="E1087" t="s">
        <v>7168</v>
      </c>
      <c r="F1087">
        <v>2208.67</v>
      </c>
    </row>
    <row r="1088" spans="1:6">
      <c r="A1088" t="str">
        <f>("1518100")</f>
        <v>1518100</v>
      </c>
      <c r="B1088" t="s">
        <v>6090</v>
      </c>
      <c r="C1088" t="s">
        <v>7167</v>
      </c>
      <c r="D1088" t="s">
        <v>5206</v>
      </c>
      <c r="E1088" t="s">
        <v>7166</v>
      </c>
      <c r="F1088">
        <v>2243.67</v>
      </c>
    </row>
    <row r="1089" spans="1:6">
      <c r="A1089" t="str">
        <f>("1518200")</f>
        <v>1518200</v>
      </c>
      <c r="B1089" t="s">
        <v>6090</v>
      </c>
      <c r="C1089" t="s">
        <v>7165</v>
      </c>
      <c r="D1089" t="s">
        <v>5206</v>
      </c>
      <c r="E1089" t="s">
        <v>7164</v>
      </c>
      <c r="F1089">
        <v>2243.67</v>
      </c>
    </row>
    <row r="1090" spans="1:6">
      <c r="A1090" t="str">
        <f>("1518201")</f>
        <v>1518201</v>
      </c>
      <c r="B1090" t="s">
        <v>6090</v>
      </c>
      <c r="C1090" t="s">
        <v>7163</v>
      </c>
      <c r="D1090" t="s">
        <v>5206</v>
      </c>
      <c r="E1090" t="s">
        <v>7162</v>
      </c>
      <c r="F1090">
        <v>2483.67</v>
      </c>
    </row>
    <row r="1091" spans="1:6">
      <c r="A1091" t="str">
        <f>("1595200")</f>
        <v>1595200</v>
      </c>
      <c r="B1091" t="s">
        <v>6090</v>
      </c>
      <c r="C1091" t="s">
        <v>7161</v>
      </c>
      <c r="D1091" t="s">
        <v>5206</v>
      </c>
      <c r="E1091" t="s">
        <v>7160</v>
      </c>
      <c r="F1091">
        <v>935.33</v>
      </c>
    </row>
    <row r="1092" spans="1:6">
      <c r="A1092" t="str">
        <f>("1595201")</f>
        <v>1595201</v>
      </c>
      <c r="B1092" t="s">
        <v>6090</v>
      </c>
      <c r="C1092" t="s">
        <v>7159</v>
      </c>
      <c r="D1092" t="s">
        <v>5206</v>
      </c>
      <c r="E1092" t="s">
        <v>7158</v>
      </c>
      <c r="F1092">
        <v>1243</v>
      </c>
    </row>
    <row r="1093" spans="1:6">
      <c r="A1093" t="str">
        <f>("1710001")</f>
        <v>1710001</v>
      </c>
      <c r="B1093" t="s">
        <v>6090</v>
      </c>
      <c r="C1093" t="s">
        <v>7157</v>
      </c>
      <c r="D1093" t="s">
        <v>5206</v>
      </c>
      <c r="E1093" t="s">
        <v>7156</v>
      </c>
      <c r="F1093">
        <v>890.33</v>
      </c>
    </row>
    <row r="1094" spans="1:6">
      <c r="A1094" t="str">
        <f>("1710011")</f>
        <v>1710011</v>
      </c>
      <c r="B1094" t="s">
        <v>6090</v>
      </c>
      <c r="C1094" t="s">
        <v>7155</v>
      </c>
      <c r="D1094" t="s">
        <v>5206</v>
      </c>
      <c r="E1094" t="s">
        <v>7154</v>
      </c>
      <c r="F1094">
        <v>194.33</v>
      </c>
    </row>
    <row r="1095" spans="1:6">
      <c r="A1095" t="str">
        <f>("1710021")</f>
        <v>1710021</v>
      </c>
      <c r="B1095" t="s">
        <v>6090</v>
      </c>
      <c r="C1095" t="s">
        <v>7153</v>
      </c>
      <c r="D1095" t="s">
        <v>5206</v>
      </c>
      <c r="E1095" t="s">
        <v>7152</v>
      </c>
      <c r="F1095">
        <v>65</v>
      </c>
    </row>
    <row r="1096" spans="1:6">
      <c r="A1096" t="str">
        <f>("1710041")</f>
        <v>1710041</v>
      </c>
      <c r="B1096" t="s">
        <v>6090</v>
      </c>
      <c r="C1096" t="s">
        <v>7151</v>
      </c>
      <c r="D1096" t="s">
        <v>5206</v>
      </c>
      <c r="E1096" t="s">
        <v>7150</v>
      </c>
      <c r="F1096">
        <v>90.33</v>
      </c>
    </row>
    <row r="1097" spans="1:6">
      <c r="A1097" t="str">
        <f>("1710051")</f>
        <v>1710051</v>
      </c>
      <c r="B1097" t="s">
        <v>6090</v>
      </c>
      <c r="C1097" t="s">
        <v>7149</v>
      </c>
      <c r="D1097" t="s">
        <v>5206</v>
      </c>
      <c r="E1097" t="s">
        <v>7148</v>
      </c>
      <c r="F1097">
        <v>129</v>
      </c>
    </row>
    <row r="1098" spans="1:6">
      <c r="A1098" t="str">
        <f>("1710200")</f>
        <v>1710200</v>
      </c>
      <c r="B1098" t="s">
        <v>6090</v>
      </c>
      <c r="C1098" t="s">
        <v>7147</v>
      </c>
      <c r="D1098" t="s">
        <v>5206</v>
      </c>
      <c r="E1098" t="s">
        <v>7146</v>
      </c>
      <c r="F1098">
        <v>1020.67</v>
      </c>
    </row>
    <row r="1099" spans="1:6">
      <c r="A1099" t="str">
        <f>("1710201")</f>
        <v>1710201</v>
      </c>
      <c r="B1099" t="s">
        <v>6090</v>
      </c>
      <c r="C1099" t="s">
        <v>7144</v>
      </c>
      <c r="D1099" t="s">
        <v>5206</v>
      </c>
      <c r="E1099" t="s">
        <v>7145</v>
      </c>
      <c r="F1099">
        <v>1272.67</v>
      </c>
    </row>
    <row r="1100" spans="1:6">
      <c r="A1100" t="str">
        <f>("1710203")</f>
        <v>1710203</v>
      </c>
      <c r="B1100" t="s">
        <v>6090</v>
      </c>
      <c r="C1100" t="s">
        <v>7144</v>
      </c>
      <c r="D1100" t="s">
        <v>5206</v>
      </c>
      <c r="E1100" t="s">
        <v>7143</v>
      </c>
      <c r="F1100">
        <v>1272.67</v>
      </c>
    </row>
    <row r="1101" spans="1:6">
      <c r="A1101" t="str">
        <f>("1710204")</f>
        <v>1710204</v>
      </c>
      <c r="B1101" t="s">
        <v>6090</v>
      </c>
      <c r="C1101" t="s">
        <v>7144</v>
      </c>
      <c r="D1101" t="s">
        <v>5206</v>
      </c>
      <c r="E1101" t="s">
        <v>7143</v>
      </c>
      <c r="F1101">
        <v>1272.67</v>
      </c>
    </row>
    <row r="1102" spans="1:6">
      <c r="A1102" t="str">
        <f>("1712200")</f>
        <v>1712200</v>
      </c>
      <c r="B1102" t="s">
        <v>6090</v>
      </c>
      <c r="C1102" t="s">
        <v>7142</v>
      </c>
      <c r="D1102" t="s">
        <v>5206</v>
      </c>
      <c r="E1102" t="s">
        <v>7141</v>
      </c>
      <c r="F1102">
        <v>1128.67</v>
      </c>
    </row>
    <row r="1103" spans="1:6">
      <c r="A1103" t="str">
        <f>("1712201")</f>
        <v>1712201</v>
      </c>
      <c r="B1103" t="s">
        <v>6090</v>
      </c>
      <c r="C1103" t="s">
        <v>7139</v>
      </c>
      <c r="D1103" t="s">
        <v>5206</v>
      </c>
      <c r="E1103" t="s">
        <v>7140</v>
      </c>
      <c r="F1103">
        <v>1405.67</v>
      </c>
    </row>
    <row r="1104" spans="1:6">
      <c r="A1104" t="str">
        <f>("1712203")</f>
        <v>1712203</v>
      </c>
      <c r="B1104" t="s">
        <v>6090</v>
      </c>
      <c r="C1104" t="s">
        <v>7139</v>
      </c>
      <c r="D1104" t="s">
        <v>5206</v>
      </c>
      <c r="E1104" t="s">
        <v>7138</v>
      </c>
      <c r="F1104">
        <v>1380.67</v>
      </c>
    </row>
    <row r="1105" spans="1:6">
      <c r="A1105" t="str">
        <f>("1712204")</f>
        <v>1712204</v>
      </c>
      <c r="B1105" t="s">
        <v>6090</v>
      </c>
      <c r="C1105" t="s">
        <v>7139</v>
      </c>
      <c r="D1105" t="s">
        <v>5206</v>
      </c>
      <c r="E1105" t="s">
        <v>7138</v>
      </c>
      <c r="F1105">
        <v>1380.67</v>
      </c>
    </row>
    <row r="1106" spans="1:6">
      <c r="A1106" t="str">
        <f>("1715001")</f>
        <v>1715001</v>
      </c>
      <c r="B1106" t="s">
        <v>6090</v>
      </c>
      <c r="C1106" t="s">
        <v>7137</v>
      </c>
      <c r="D1106" t="s">
        <v>5206</v>
      </c>
      <c r="E1106" t="s">
        <v>7136</v>
      </c>
      <c r="F1106">
        <v>617</v>
      </c>
    </row>
    <row r="1107" spans="1:6">
      <c r="A1107" t="str">
        <f>("6150001NR")</f>
        <v>6150001NR</v>
      </c>
      <c r="B1107" t="s">
        <v>6090</v>
      </c>
      <c r="C1107" t="s">
        <v>7132</v>
      </c>
      <c r="D1107" t="s">
        <v>5206</v>
      </c>
      <c r="E1107" t="s">
        <v>7135</v>
      </c>
      <c r="F1107">
        <v>1086</v>
      </c>
    </row>
    <row r="1108" spans="1:6">
      <c r="A1108" t="str">
        <f>("6150003")</f>
        <v>6150003</v>
      </c>
      <c r="B1108" t="s">
        <v>6090</v>
      </c>
      <c r="C1108" t="s">
        <v>7132</v>
      </c>
      <c r="D1108" t="s">
        <v>5206</v>
      </c>
      <c r="E1108" t="s">
        <v>7134</v>
      </c>
      <c r="F1108">
        <v>1200.67</v>
      </c>
    </row>
    <row r="1109" spans="1:6">
      <c r="A1109" t="str">
        <f>("6150003NR")</f>
        <v>6150003NR</v>
      </c>
      <c r="B1109" t="s">
        <v>6090</v>
      </c>
      <c r="C1109" t="s">
        <v>7132</v>
      </c>
      <c r="D1109" t="s">
        <v>5206</v>
      </c>
      <c r="E1109" t="s">
        <v>7133</v>
      </c>
      <c r="F1109">
        <v>1115.33</v>
      </c>
    </row>
    <row r="1110" spans="1:6">
      <c r="A1110" t="str">
        <f>("6150004")</f>
        <v>6150004</v>
      </c>
      <c r="B1110" t="s">
        <v>6090</v>
      </c>
      <c r="C1110" t="s">
        <v>7132</v>
      </c>
      <c r="D1110" t="s">
        <v>5206</v>
      </c>
      <c r="E1110" t="s">
        <v>7131</v>
      </c>
      <c r="F1110">
        <v>1227.33</v>
      </c>
    </row>
    <row r="1111" spans="1:6">
      <c r="A1111" t="str">
        <f>("6150004NR")</f>
        <v>6150004NR</v>
      </c>
      <c r="B1111" t="s">
        <v>6090</v>
      </c>
      <c r="C1111" t="s">
        <v>7130</v>
      </c>
      <c r="D1111" t="s">
        <v>5206</v>
      </c>
      <c r="E1111" t="s">
        <v>7129</v>
      </c>
      <c r="F1111">
        <v>1115.33</v>
      </c>
    </row>
    <row r="1112" spans="1:6">
      <c r="A1112" t="str">
        <f>("1120210")</f>
        <v>1120210</v>
      </c>
      <c r="B1112" t="s">
        <v>6090</v>
      </c>
      <c r="C1112" t="s">
        <v>7121</v>
      </c>
      <c r="D1112" t="s">
        <v>5206</v>
      </c>
      <c r="E1112" t="s">
        <v>7128</v>
      </c>
      <c r="F1112">
        <v>260.83000000000004</v>
      </c>
    </row>
    <row r="1113" spans="1:6">
      <c r="A1113" t="str">
        <f>("1130220")</f>
        <v>1130220</v>
      </c>
      <c r="B1113" t="s">
        <v>6090</v>
      </c>
      <c r="C1113" t="s">
        <v>7127</v>
      </c>
      <c r="D1113" t="s">
        <v>5206</v>
      </c>
      <c r="E1113" t="s">
        <v>7126</v>
      </c>
      <c r="F1113">
        <v>446.17</v>
      </c>
    </row>
    <row r="1114" spans="1:6">
      <c r="A1114" t="str">
        <f>("1140220")</f>
        <v>1140220</v>
      </c>
      <c r="B1114" t="s">
        <v>6090</v>
      </c>
      <c r="C1114" t="s">
        <v>7125</v>
      </c>
      <c r="D1114" t="s">
        <v>5206</v>
      </c>
      <c r="E1114" t="s">
        <v>7124</v>
      </c>
      <c r="F1114">
        <v>480.83</v>
      </c>
    </row>
    <row r="1115" spans="1:6">
      <c r="A1115" t="str">
        <f>("1140230")</f>
        <v>1140230</v>
      </c>
      <c r="B1115" t="s">
        <v>6090</v>
      </c>
      <c r="C1115" t="s">
        <v>7123</v>
      </c>
      <c r="D1115" t="s">
        <v>5206</v>
      </c>
      <c r="E1115" t="s">
        <v>7122</v>
      </c>
      <c r="F1115">
        <v>583.5</v>
      </c>
    </row>
    <row r="1116" spans="1:6">
      <c r="A1116" t="str">
        <f>("1220210")</f>
        <v>1220210</v>
      </c>
      <c r="B1116" t="s">
        <v>6090</v>
      </c>
      <c r="C1116" t="s">
        <v>7121</v>
      </c>
      <c r="D1116" t="s">
        <v>5206</v>
      </c>
      <c r="E1116" t="s">
        <v>7120</v>
      </c>
      <c r="F1116">
        <v>192.83</v>
      </c>
    </row>
    <row r="1117" spans="1:6">
      <c r="A1117" t="str">
        <f>("1331200")</f>
        <v>1331200</v>
      </c>
      <c r="B1117" t="s">
        <v>6090</v>
      </c>
      <c r="C1117" t="s">
        <v>7119</v>
      </c>
      <c r="D1117" t="s">
        <v>5206</v>
      </c>
      <c r="E1117" t="s">
        <v>7118</v>
      </c>
      <c r="F1117">
        <v>392.83</v>
      </c>
    </row>
    <row r="1118" spans="1:6">
      <c r="A1118" t="str">
        <f>("1455200")</f>
        <v>1455200</v>
      </c>
      <c r="B1118" t="s">
        <v>6090</v>
      </c>
      <c r="C1118" t="s">
        <v>7115</v>
      </c>
      <c r="D1118" t="s">
        <v>5206</v>
      </c>
      <c r="E1118" t="s">
        <v>7117</v>
      </c>
      <c r="F1118">
        <v>1092.67</v>
      </c>
    </row>
    <row r="1119" spans="1:6">
      <c r="A1119" t="str">
        <f>("1455201")</f>
        <v>1455201</v>
      </c>
      <c r="B1119" t="s">
        <v>6090</v>
      </c>
      <c r="C1119" t="s">
        <v>7113</v>
      </c>
      <c r="D1119" t="s">
        <v>5206</v>
      </c>
      <c r="E1119" t="s">
        <v>7116</v>
      </c>
      <c r="F1119">
        <v>1222.17</v>
      </c>
    </row>
    <row r="1120" spans="1:6">
      <c r="A1120" t="str">
        <f>("1455300")</f>
        <v>1455300</v>
      </c>
      <c r="B1120" t="s">
        <v>6090</v>
      </c>
      <c r="C1120" t="s">
        <v>7115</v>
      </c>
      <c r="D1120" t="s">
        <v>5206</v>
      </c>
      <c r="E1120" t="s">
        <v>7114</v>
      </c>
      <c r="F1120">
        <v>1082.17</v>
      </c>
    </row>
    <row r="1121" spans="1:6">
      <c r="A1121" t="str">
        <f>("1455301")</f>
        <v>1455301</v>
      </c>
      <c r="B1121" t="s">
        <v>6090</v>
      </c>
      <c r="C1121" t="s">
        <v>7113</v>
      </c>
      <c r="D1121" t="s">
        <v>5206</v>
      </c>
      <c r="E1121" t="s">
        <v>7112</v>
      </c>
      <c r="F1121">
        <v>1228.83</v>
      </c>
    </row>
    <row r="1122" spans="1:6">
      <c r="A1122" t="str">
        <f>("1475200")</f>
        <v>1475200</v>
      </c>
      <c r="B1122" t="s">
        <v>6090</v>
      </c>
      <c r="C1122" t="s">
        <v>7109</v>
      </c>
      <c r="D1122" t="s">
        <v>5206</v>
      </c>
      <c r="E1122" t="s">
        <v>7111</v>
      </c>
      <c r="F1122">
        <v>1128.67</v>
      </c>
    </row>
    <row r="1123" spans="1:6">
      <c r="A1123" t="str">
        <f>("1475201")</f>
        <v>1475201</v>
      </c>
      <c r="B1123" t="s">
        <v>6090</v>
      </c>
      <c r="C1123" t="s">
        <v>7107</v>
      </c>
      <c r="D1123" t="s">
        <v>5206</v>
      </c>
      <c r="E1123" t="s">
        <v>7110</v>
      </c>
      <c r="F1123">
        <v>1294.17</v>
      </c>
    </row>
    <row r="1124" spans="1:6">
      <c r="A1124" t="str">
        <f>("1475300")</f>
        <v>1475300</v>
      </c>
      <c r="B1124" t="s">
        <v>6090</v>
      </c>
      <c r="C1124" t="s">
        <v>7109</v>
      </c>
      <c r="D1124" t="s">
        <v>5206</v>
      </c>
      <c r="E1124" t="s">
        <v>7108</v>
      </c>
      <c r="F1124">
        <v>1114.17</v>
      </c>
    </row>
    <row r="1125" spans="1:6">
      <c r="A1125" t="str">
        <f>("1475301")</f>
        <v>1475301</v>
      </c>
      <c r="B1125" t="s">
        <v>6090</v>
      </c>
      <c r="C1125" t="s">
        <v>7107</v>
      </c>
      <c r="D1125" t="s">
        <v>5206</v>
      </c>
      <c r="E1125" t="s">
        <v>7106</v>
      </c>
      <c r="F1125">
        <v>1342.17</v>
      </c>
    </row>
    <row r="1126" spans="1:6">
      <c r="A1126" t="str">
        <f>("S106105")</f>
        <v>S106105</v>
      </c>
      <c r="B1126" t="s">
        <v>6090</v>
      </c>
      <c r="C1126" t="s">
        <v>7105</v>
      </c>
      <c r="D1126" t="s">
        <v>5206</v>
      </c>
      <c r="E1126" t="s">
        <v>7104</v>
      </c>
      <c r="F1126">
        <v>125</v>
      </c>
    </row>
    <row r="1127" spans="1:6">
      <c r="A1127" t="str">
        <f>("1125260")</f>
        <v>1125260</v>
      </c>
      <c r="B1127" t="s">
        <v>6090</v>
      </c>
      <c r="C1127" t="s">
        <v>7103</v>
      </c>
      <c r="D1127" t="s">
        <v>5206</v>
      </c>
      <c r="E1127" t="s">
        <v>7102</v>
      </c>
      <c r="F1127">
        <v>451.5</v>
      </c>
    </row>
    <row r="1128" spans="1:6">
      <c r="A1128" t="str">
        <f>("1125270")</f>
        <v>1125270</v>
      </c>
      <c r="B1128" t="s">
        <v>6090</v>
      </c>
      <c r="C1128" t="s">
        <v>7101</v>
      </c>
      <c r="D1128" t="s">
        <v>5206</v>
      </c>
      <c r="E1128" t="s">
        <v>7100</v>
      </c>
      <c r="F1128">
        <v>563.5</v>
      </c>
    </row>
    <row r="1129" spans="1:6">
      <c r="A1129" t="str">
        <f>("1135240")</f>
        <v>1135240</v>
      </c>
      <c r="B1129" t="s">
        <v>6090</v>
      </c>
      <c r="C1129" t="s">
        <v>7099</v>
      </c>
      <c r="D1129" t="s">
        <v>5206</v>
      </c>
      <c r="E1129" t="s">
        <v>7098</v>
      </c>
      <c r="F1129">
        <v>743.67</v>
      </c>
    </row>
    <row r="1130" spans="1:6">
      <c r="A1130" t="str">
        <f>("1135250")</f>
        <v>1135250</v>
      </c>
      <c r="B1130" t="s">
        <v>6090</v>
      </c>
      <c r="C1130" t="s">
        <v>7097</v>
      </c>
      <c r="D1130" t="s">
        <v>5206</v>
      </c>
      <c r="E1130" t="s">
        <v>7096</v>
      </c>
      <c r="F1130">
        <v>775.67</v>
      </c>
    </row>
    <row r="1131" spans="1:6">
      <c r="A1131" t="str">
        <f>("1135260")</f>
        <v>1135260</v>
      </c>
      <c r="B1131" t="s">
        <v>6090</v>
      </c>
      <c r="C1131" t="s">
        <v>7095</v>
      </c>
      <c r="D1131" t="s">
        <v>5206</v>
      </c>
      <c r="E1131" t="s">
        <v>7094</v>
      </c>
      <c r="F1131">
        <v>531.5</v>
      </c>
    </row>
    <row r="1132" spans="1:6">
      <c r="A1132" t="str">
        <f>("1135270")</f>
        <v>1135270</v>
      </c>
      <c r="B1132" t="s">
        <v>6090</v>
      </c>
      <c r="C1132" t="s">
        <v>7093</v>
      </c>
      <c r="D1132" t="s">
        <v>5206</v>
      </c>
      <c r="E1132" t="s">
        <v>7092</v>
      </c>
      <c r="F1132">
        <v>659.5</v>
      </c>
    </row>
    <row r="1133" spans="1:6">
      <c r="A1133" t="str">
        <f>("1140222")</f>
        <v>1140222</v>
      </c>
      <c r="B1133" t="s">
        <v>6090</v>
      </c>
      <c r="C1133" t="s">
        <v>7091</v>
      </c>
      <c r="D1133" t="s">
        <v>5206</v>
      </c>
      <c r="E1133" t="s">
        <v>7090</v>
      </c>
      <c r="F1133">
        <v>754.17</v>
      </c>
    </row>
    <row r="1134" spans="1:6">
      <c r="A1134" t="str">
        <f>("1140232")</f>
        <v>1140232</v>
      </c>
      <c r="B1134" t="s">
        <v>6090</v>
      </c>
      <c r="C1134" t="s">
        <v>7089</v>
      </c>
      <c r="D1134" t="s">
        <v>5206</v>
      </c>
      <c r="E1134" t="s">
        <v>7088</v>
      </c>
      <c r="F1134">
        <v>934.17</v>
      </c>
    </row>
    <row r="1135" spans="1:6">
      <c r="A1135" t="str">
        <f>("1145240")</f>
        <v>1145240</v>
      </c>
      <c r="B1135" t="s">
        <v>6090</v>
      </c>
      <c r="C1135" t="s">
        <v>7087</v>
      </c>
      <c r="D1135" t="s">
        <v>5206</v>
      </c>
      <c r="E1135" t="s">
        <v>7086</v>
      </c>
      <c r="F1135">
        <v>903.67</v>
      </c>
    </row>
    <row r="1136" spans="1:6">
      <c r="A1136" t="str">
        <f>("1145250")</f>
        <v>1145250</v>
      </c>
      <c r="B1136" t="s">
        <v>6090</v>
      </c>
      <c r="C1136" t="s">
        <v>7085</v>
      </c>
      <c r="D1136" t="s">
        <v>5206</v>
      </c>
      <c r="E1136" t="s">
        <v>7084</v>
      </c>
      <c r="F1136">
        <v>935.67</v>
      </c>
    </row>
    <row r="1137" spans="1:6">
      <c r="A1137" t="str">
        <f>("1145260")</f>
        <v>1145260</v>
      </c>
      <c r="B1137" t="s">
        <v>6090</v>
      </c>
      <c r="C1137" t="s">
        <v>7083</v>
      </c>
      <c r="D1137" t="s">
        <v>5206</v>
      </c>
      <c r="E1137" t="s">
        <v>7082</v>
      </c>
      <c r="F1137">
        <v>627.5</v>
      </c>
    </row>
    <row r="1138" spans="1:6">
      <c r="A1138" t="str">
        <f>("1145270")</f>
        <v>1145270</v>
      </c>
      <c r="B1138" t="s">
        <v>6090</v>
      </c>
      <c r="C1138" t="s">
        <v>7081</v>
      </c>
      <c r="D1138" t="s">
        <v>5206</v>
      </c>
      <c r="E1138" t="s">
        <v>7080</v>
      </c>
      <c r="F1138">
        <v>755.5</v>
      </c>
    </row>
    <row r="1139" spans="1:6">
      <c r="A1139" t="str">
        <f>("1570")</f>
        <v>1570</v>
      </c>
      <c r="B1139" t="s">
        <v>6090</v>
      </c>
      <c r="C1139" t="s">
        <v>7047</v>
      </c>
      <c r="D1139" t="s">
        <v>5206</v>
      </c>
      <c r="E1139" t="s">
        <v>7079</v>
      </c>
      <c r="F1139">
        <v>97</v>
      </c>
    </row>
    <row r="1140" spans="1:6">
      <c r="A1140" t="str">
        <f>("1571")</f>
        <v>1571</v>
      </c>
      <c r="B1140" t="s">
        <v>6090</v>
      </c>
      <c r="C1140" t="s">
        <v>7047</v>
      </c>
      <c r="D1140" t="s">
        <v>5206</v>
      </c>
      <c r="E1140" t="s">
        <v>7078</v>
      </c>
      <c r="F1140">
        <v>106.33</v>
      </c>
    </row>
    <row r="1141" spans="1:6">
      <c r="A1141" t="str">
        <f>("1572")</f>
        <v>1572</v>
      </c>
      <c r="B1141" t="s">
        <v>6090</v>
      </c>
      <c r="C1141" t="s">
        <v>7047</v>
      </c>
      <c r="D1141" t="s">
        <v>5206</v>
      </c>
      <c r="E1141" t="s">
        <v>7077</v>
      </c>
      <c r="F1141">
        <v>106.33</v>
      </c>
    </row>
    <row r="1142" spans="1:6">
      <c r="A1142" t="str">
        <f>("1576")</f>
        <v>1576</v>
      </c>
      <c r="B1142" t="s">
        <v>6090</v>
      </c>
      <c r="C1142" t="s">
        <v>7076</v>
      </c>
      <c r="D1142" t="s">
        <v>5206</v>
      </c>
      <c r="E1142" t="s">
        <v>7075</v>
      </c>
      <c r="F1142">
        <v>106.33</v>
      </c>
    </row>
    <row r="1143" spans="1:6">
      <c r="A1143" t="str">
        <f>("2007")</f>
        <v>2007</v>
      </c>
      <c r="B1143" t="s">
        <v>6090</v>
      </c>
      <c r="C1143" t="s">
        <v>7074</v>
      </c>
      <c r="D1143" t="s">
        <v>5206</v>
      </c>
      <c r="E1143" t="s">
        <v>7073</v>
      </c>
      <c r="F1143">
        <v>150.32999999999998</v>
      </c>
    </row>
    <row r="1144" spans="1:6">
      <c r="A1144" t="str">
        <f>("2009")</f>
        <v>2009</v>
      </c>
      <c r="B1144" t="s">
        <v>6090</v>
      </c>
      <c r="C1144" t="s">
        <v>7072</v>
      </c>
      <c r="D1144" t="s">
        <v>5206</v>
      </c>
      <c r="E1144" t="s">
        <v>7071</v>
      </c>
      <c r="F1144">
        <v>502.33</v>
      </c>
    </row>
    <row r="1145" spans="1:6">
      <c r="A1145" t="str">
        <f>("2050")</f>
        <v>2050</v>
      </c>
      <c r="B1145" t="s">
        <v>6090</v>
      </c>
      <c r="C1145" t="s">
        <v>7070</v>
      </c>
      <c r="D1145" t="s">
        <v>5206</v>
      </c>
      <c r="E1145" t="s">
        <v>7069</v>
      </c>
      <c r="F1145">
        <v>402.17</v>
      </c>
    </row>
    <row r="1146" spans="1:6">
      <c r="A1146" t="str">
        <f>("2124800")</f>
        <v>2124800</v>
      </c>
      <c r="B1146" t="s">
        <v>6090</v>
      </c>
      <c r="C1146" t="s">
        <v>7068</v>
      </c>
      <c r="D1146" t="s">
        <v>5206</v>
      </c>
      <c r="E1146" t="s">
        <v>7067</v>
      </c>
      <c r="F1146">
        <v>42.33</v>
      </c>
    </row>
    <row r="1147" spans="1:6">
      <c r="A1147" t="str">
        <f>("2227A")</f>
        <v>2227A</v>
      </c>
      <c r="B1147" t="s">
        <v>6090</v>
      </c>
      <c r="C1147" t="s">
        <v>7066</v>
      </c>
      <c r="D1147" t="s">
        <v>5206</v>
      </c>
      <c r="E1147" t="s">
        <v>7065</v>
      </c>
      <c r="F1147">
        <v>82.33</v>
      </c>
    </row>
    <row r="1148" spans="1:6">
      <c r="A1148" t="str">
        <f>("2229A")</f>
        <v>2229A</v>
      </c>
      <c r="B1148" t="s">
        <v>6090</v>
      </c>
      <c r="C1148" t="s">
        <v>7064</v>
      </c>
      <c r="D1148" t="s">
        <v>5206</v>
      </c>
      <c r="E1148" t="s">
        <v>7063</v>
      </c>
      <c r="F1148">
        <v>93</v>
      </c>
    </row>
    <row r="1149" spans="1:6">
      <c r="A1149" t="str">
        <f>("2236")</f>
        <v>2236</v>
      </c>
      <c r="B1149" t="s">
        <v>6090</v>
      </c>
      <c r="C1149" t="s">
        <v>7062</v>
      </c>
      <c r="D1149" t="s">
        <v>5206</v>
      </c>
      <c r="E1149" t="s">
        <v>7061</v>
      </c>
      <c r="F1149">
        <v>115.67</v>
      </c>
    </row>
    <row r="1150" spans="1:6">
      <c r="A1150" t="str">
        <f>("2271")</f>
        <v>2271</v>
      </c>
      <c r="B1150" t="s">
        <v>6090</v>
      </c>
      <c r="C1150" t="s">
        <v>6892</v>
      </c>
      <c r="D1150" t="s">
        <v>5206</v>
      </c>
      <c r="E1150" t="s">
        <v>7060</v>
      </c>
      <c r="F1150">
        <v>130.32999999999998</v>
      </c>
    </row>
    <row r="1151" spans="1:6">
      <c r="A1151" t="str">
        <f>("2272")</f>
        <v>2272</v>
      </c>
      <c r="B1151" t="s">
        <v>6090</v>
      </c>
      <c r="C1151" t="s">
        <v>6892</v>
      </c>
      <c r="D1151" t="s">
        <v>5206</v>
      </c>
      <c r="E1151" t="s">
        <v>7059</v>
      </c>
      <c r="F1151">
        <v>99.67</v>
      </c>
    </row>
    <row r="1152" spans="1:6">
      <c r="A1152" t="str">
        <f>("2274")</f>
        <v>2274</v>
      </c>
      <c r="B1152" t="s">
        <v>6090</v>
      </c>
      <c r="C1152" t="s">
        <v>6892</v>
      </c>
      <c r="D1152" t="s">
        <v>5206</v>
      </c>
      <c r="E1152" t="s">
        <v>7058</v>
      </c>
      <c r="F1152">
        <v>89</v>
      </c>
    </row>
    <row r="1153" spans="1:6">
      <c r="A1153" t="str">
        <f>("2275")</f>
        <v>2275</v>
      </c>
      <c r="B1153" t="s">
        <v>6090</v>
      </c>
      <c r="C1153" t="s">
        <v>6892</v>
      </c>
      <c r="D1153" t="s">
        <v>5206</v>
      </c>
      <c r="E1153" t="s">
        <v>7057</v>
      </c>
      <c r="F1153">
        <v>102.33</v>
      </c>
    </row>
    <row r="1154" spans="1:6">
      <c r="A1154" t="str">
        <f>("2277")</f>
        <v>2277</v>
      </c>
      <c r="B1154" t="s">
        <v>6090</v>
      </c>
      <c r="C1154" t="s">
        <v>7056</v>
      </c>
      <c r="D1154" t="s">
        <v>5206</v>
      </c>
      <c r="E1154" t="s">
        <v>7055</v>
      </c>
      <c r="F1154">
        <v>237</v>
      </c>
    </row>
    <row r="1155" spans="1:6">
      <c r="A1155" t="str">
        <f>("2277R")</f>
        <v>2277R</v>
      </c>
      <c r="B1155" t="s">
        <v>6090</v>
      </c>
      <c r="C1155" t="s">
        <v>7054</v>
      </c>
      <c r="D1155" t="s">
        <v>5206</v>
      </c>
      <c r="E1155" t="s">
        <v>7053</v>
      </c>
      <c r="F1155">
        <v>95.17</v>
      </c>
    </row>
    <row r="1156" spans="1:6">
      <c r="A1156" t="str">
        <f>("2278R")</f>
        <v>2278R</v>
      </c>
      <c r="B1156" t="s">
        <v>6090</v>
      </c>
      <c r="C1156" t="s">
        <v>7052</v>
      </c>
      <c r="D1156" t="s">
        <v>5206</v>
      </c>
      <c r="E1156" t="s">
        <v>7051</v>
      </c>
      <c r="F1156">
        <v>95.17</v>
      </c>
    </row>
    <row r="1157" spans="1:6">
      <c r="A1157" t="str">
        <f>("2302284")</f>
        <v>2302284</v>
      </c>
      <c r="B1157" t="s">
        <v>6090</v>
      </c>
      <c r="C1157" t="s">
        <v>7012</v>
      </c>
      <c r="D1157" t="s">
        <v>5206</v>
      </c>
      <c r="E1157" t="s">
        <v>7050</v>
      </c>
      <c r="F1157">
        <v>63.67</v>
      </c>
    </row>
    <row r="1158" spans="1:6">
      <c r="A1158" t="str">
        <f>("2302285")</f>
        <v>2302285</v>
      </c>
      <c r="B1158" t="s">
        <v>6090</v>
      </c>
      <c r="C1158" t="s">
        <v>7036</v>
      </c>
      <c r="D1158" t="s">
        <v>5206</v>
      </c>
      <c r="E1158" t="s">
        <v>7049</v>
      </c>
      <c r="F1158">
        <v>54.33</v>
      </c>
    </row>
    <row r="1159" spans="1:6">
      <c r="A1159" t="str">
        <f>("2302293")</f>
        <v>2302293</v>
      </c>
      <c r="B1159" t="s">
        <v>6090</v>
      </c>
      <c r="C1159" t="s">
        <v>6759</v>
      </c>
      <c r="D1159" t="s">
        <v>5206</v>
      </c>
      <c r="E1159" t="s">
        <v>7048</v>
      </c>
      <c r="F1159">
        <v>151.67000000000002</v>
      </c>
    </row>
    <row r="1160" spans="1:6">
      <c r="A1160" t="str">
        <f>("2302297")</f>
        <v>2302297</v>
      </c>
      <c r="B1160" t="s">
        <v>6090</v>
      </c>
      <c r="C1160" t="s">
        <v>7047</v>
      </c>
      <c r="D1160" t="s">
        <v>5206</v>
      </c>
      <c r="E1160" t="s">
        <v>7046</v>
      </c>
      <c r="F1160">
        <v>78.33</v>
      </c>
    </row>
    <row r="1161" spans="1:6">
      <c r="A1161" t="str">
        <f>("2320200")</f>
        <v>2320200</v>
      </c>
      <c r="B1161" t="s">
        <v>6090</v>
      </c>
      <c r="C1161" t="s">
        <v>7045</v>
      </c>
      <c r="D1161" t="s">
        <v>5206</v>
      </c>
      <c r="E1161" t="s">
        <v>7044</v>
      </c>
      <c r="F1161">
        <v>110.33</v>
      </c>
    </row>
    <row r="1162" spans="1:6">
      <c r="A1162" t="str">
        <f>("2402785")</f>
        <v>2402785</v>
      </c>
      <c r="B1162" t="s">
        <v>6090</v>
      </c>
      <c r="C1162" t="s">
        <v>7043</v>
      </c>
      <c r="D1162" t="s">
        <v>5150</v>
      </c>
      <c r="E1162" t="s">
        <v>6545</v>
      </c>
      <c r="F1162">
        <v>941.67</v>
      </c>
    </row>
    <row r="1163" spans="1:6">
      <c r="A1163" t="str">
        <f>("2404095")</f>
        <v>2404095</v>
      </c>
      <c r="B1163" t="s">
        <v>6090</v>
      </c>
      <c r="C1163" t="s">
        <v>7043</v>
      </c>
      <c r="D1163" t="s">
        <v>5150</v>
      </c>
      <c r="E1163" t="s">
        <v>6453</v>
      </c>
      <c r="F1163">
        <v>940.33</v>
      </c>
    </row>
    <row r="1164" spans="1:6">
      <c r="A1164" t="str">
        <f>("2404185")</f>
        <v>2404185</v>
      </c>
      <c r="B1164" t="s">
        <v>6090</v>
      </c>
      <c r="C1164" t="s">
        <v>7043</v>
      </c>
      <c r="D1164" t="s">
        <v>5174</v>
      </c>
      <c r="E1164" t="s">
        <v>7042</v>
      </c>
      <c r="F1164">
        <v>1217.67</v>
      </c>
    </row>
    <row r="1165" spans="1:6">
      <c r="A1165" t="str">
        <f>("2501005")</f>
        <v>2501005</v>
      </c>
      <c r="B1165" t="s">
        <v>6090</v>
      </c>
      <c r="C1165" t="s">
        <v>7041</v>
      </c>
      <c r="D1165" t="s">
        <v>5206</v>
      </c>
      <c r="E1165" t="s">
        <v>7040</v>
      </c>
      <c r="F1165">
        <v>717</v>
      </c>
    </row>
    <row r="1166" spans="1:6">
      <c r="A1166" t="str">
        <f>("2501015")</f>
        <v>2501015</v>
      </c>
      <c r="B1166" t="s">
        <v>6090</v>
      </c>
      <c r="C1166" t="s">
        <v>7039</v>
      </c>
      <c r="D1166" t="s">
        <v>5206</v>
      </c>
      <c r="E1166" t="s">
        <v>7038</v>
      </c>
      <c r="F1166">
        <v>717</v>
      </c>
    </row>
    <row r="1167" spans="1:6">
      <c r="A1167" t="str">
        <f>("2518")</f>
        <v>2518</v>
      </c>
      <c r="B1167" t="s">
        <v>6090</v>
      </c>
      <c r="C1167" t="s">
        <v>7015</v>
      </c>
      <c r="D1167" t="s">
        <v>5206</v>
      </c>
      <c r="E1167" t="s">
        <v>7037</v>
      </c>
      <c r="F1167">
        <v>121</v>
      </c>
    </row>
    <row r="1168" spans="1:6">
      <c r="A1168" t="str">
        <f>("2538")</f>
        <v>2538</v>
      </c>
      <c r="B1168" t="s">
        <v>6090</v>
      </c>
      <c r="C1168" t="s">
        <v>7036</v>
      </c>
      <c r="D1168" t="s">
        <v>5206</v>
      </c>
      <c r="E1168" t="s">
        <v>7035</v>
      </c>
      <c r="F1168">
        <v>63.67</v>
      </c>
    </row>
    <row r="1169" spans="1:6">
      <c r="A1169" t="str">
        <f>("2570")</f>
        <v>2570</v>
      </c>
      <c r="B1169" t="s">
        <v>6090</v>
      </c>
      <c r="C1169" t="s">
        <v>7034</v>
      </c>
      <c r="D1169" t="s">
        <v>5206</v>
      </c>
      <c r="E1169" t="s">
        <v>7033</v>
      </c>
      <c r="F1169">
        <v>70.33</v>
      </c>
    </row>
    <row r="1170" spans="1:6">
      <c r="A1170" t="str">
        <f>("2573")</f>
        <v>2573</v>
      </c>
      <c r="B1170" t="s">
        <v>6090</v>
      </c>
      <c r="C1170" t="s">
        <v>7032</v>
      </c>
      <c r="D1170" t="s">
        <v>5206</v>
      </c>
      <c r="E1170" t="s">
        <v>7031</v>
      </c>
      <c r="F1170">
        <v>93</v>
      </c>
    </row>
    <row r="1171" spans="1:6">
      <c r="A1171" t="str">
        <f>("2574")</f>
        <v>2574</v>
      </c>
      <c r="B1171" t="s">
        <v>6090</v>
      </c>
      <c r="C1171" t="s">
        <v>7030</v>
      </c>
      <c r="D1171" t="s">
        <v>5206</v>
      </c>
      <c r="E1171" t="s">
        <v>7029</v>
      </c>
      <c r="F1171">
        <v>121</v>
      </c>
    </row>
    <row r="1172" spans="1:6">
      <c r="A1172" t="str">
        <f>("2575")</f>
        <v>2575</v>
      </c>
      <c r="B1172" t="s">
        <v>6090</v>
      </c>
      <c r="C1172" t="s">
        <v>7028</v>
      </c>
      <c r="D1172" t="s">
        <v>5206</v>
      </c>
      <c r="E1172" t="s">
        <v>7027</v>
      </c>
      <c r="F1172">
        <v>701</v>
      </c>
    </row>
    <row r="1173" spans="1:6">
      <c r="A1173" t="str">
        <f>("2576")</f>
        <v>2576</v>
      </c>
      <c r="B1173" t="s">
        <v>6090</v>
      </c>
      <c r="C1173" t="s">
        <v>7026</v>
      </c>
      <c r="D1173" t="s">
        <v>5206</v>
      </c>
      <c r="E1173" t="s">
        <v>7025</v>
      </c>
      <c r="F1173">
        <v>425</v>
      </c>
    </row>
    <row r="1174" spans="1:6">
      <c r="A1174" t="str">
        <f>("2577")</f>
        <v>2577</v>
      </c>
      <c r="B1174" t="s">
        <v>6090</v>
      </c>
      <c r="C1174" t="s">
        <v>7024</v>
      </c>
      <c r="D1174" t="s">
        <v>5206</v>
      </c>
      <c r="E1174" t="s">
        <v>7023</v>
      </c>
      <c r="F1174">
        <v>215.67</v>
      </c>
    </row>
    <row r="1175" spans="1:6">
      <c r="A1175" t="str">
        <f>("2578")</f>
        <v>2578</v>
      </c>
      <c r="B1175" t="s">
        <v>6090</v>
      </c>
      <c r="C1175" t="s">
        <v>7022</v>
      </c>
      <c r="D1175" t="s">
        <v>5206</v>
      </c>
      <c r="E1175" t="s">
        <v>7021</v>
      </c>
      <c r="F1175">
        <v>311.67</v>
      </c>
    </row>
    <row r="1176" spans="1:6">
      <c r="A1176" t="str">
        <f>("2579")</f>
        <v>2579</v>
      </c>
      <c r="B1176" t="s">
        <v>6090</v>
      </c>
      <c r="C1176" t="s">
        <v>7017</v>
      </c>
      <c r="D1176" t="s">
        <v>5206</v>
      </c>
      <c r="E1176" t="s">
        <v>7020</v>
      </c>
      <c r="F1176">
        <v>41</v>
      </c>
    </row>
    <row r="1177" spans="1:6">
      <c r="A1177" t="str">
        <f>("2580")</f>
        <v>2580</v>
      </c>
      <c r="B1177" t="s">
        <v>6090</v>
      </c>
      <c r="C1177" t="s">
        <v>7019</v>
      </c>
      <c r="D1177" t="s">
        <v>5206</v>
      </c>
      <c r="E1177" t="s">
        <v>7018</v>
      </c>
      <c r="F1177">
        <v>59.67</v>
      </c>
    </row>
    <row r="1178" spans="1:6">
      <c r="A1178" t="str">
        <f>("2586")</f>
        <v>2586</v>
      </c>
      <c r="B1178" t="s">
        <v>6090</v>
      </c>
      <c r="C1178" t="s">
        <v>7017</v>
      </c>
      <c r="D1178" t="s">
        <v>5206</v>
      </c>
      <c r="E1178" t="s">
        <v>7016</v>
      </c>
      <c r="F1178">
        <v>42.33</v>
      </c>
    </row>
    <row r="1179" spans="1:6">
      <c r="A1179" t="str">
        <f>("2587")</f>
        <v>2587</v>
      </c>
      <c r="B1179" t="s">
        <v>6090</v>
      </c>
      <c r="C1179" t="s">
        <v>7015</v>
      </c>
      <c r="D1179" t="s">
        <v>5206</v>
      </c>
      <c r="E1179" t="s">
        <v>7014</v>
      </c>
      <c r="F1179">
        <v>150.32999999999998</v>
      </c>
    </row>
    <row r="1180" spans="1:6">
      <c r="A1180" t="str">
        <f>("2588")</f>
        <v>2588</v>
      </c>
      <c r="B1180" t="s">
        <v>6090</v>
      </c>
      <c r="C1180" t="s">
        <v>7012</v>
      </c>
      <c r="D1180" t="s">
        <v>5206</v>
      </c>
      <c r="E1180" t="s">
        <v>7013</v>
      </c>
      <c r="F1180">
        <v>82.33</v>
      </c>
    </row>
    <row r="1181" spans="1:6">
      <c r="A1181" t="str">
        <f>("2589")</f>
        <v>2589</v>
      </c>
      <c r="B1181" t="s">
        <v>6090</v>
      </c>
      <c r="C1181" t="s">
        <v>7012</v>
      </c>
      <c r="D1181" t="s">
        <v>5206</v>
      </c>
      <c r="E1181" t="s">
        <v>7011</v>
      </c>
      <c r="F1181">
        <v>121</v>
      </c>
    </row>
    <row r="1182" spans="1:6">
      <c r="A1182" t="str">
        <f>("2593")</f>
        <v>2593</v>
      </c>
      <c r="B1182" t="s">
        <v>6090</v>
      </c>
      <c r="C1182" t="s">
        <v>7010</v>
      </c>
      <c r="D1182" t="s">
        <v>5160</v>
      </c>
      <c r="E1182" t="s">
        <v>6405</v>
      </c>
      <c r="F1182">
        <v>337</v>
      </c>
    </row>
    <row r="1183" spans="1:6">
      <c r="A1183" t="str">
        <f>("2597")</f>
        <v>2597</v>
      </c>
      <c r="B1183" t="s">
        <v>6090</v>
      </c>
      <c r="C1183" t="s">
        <v>7004</v>
      </c>
      <c r="D1183" t="s">
        <v>5206</v>
      </c>
      <c r="E1183" t="s">
        <v>7009</v>
      </c>
      <c r="F1183">
        <v>58.33</v>
      </c>
    </row>
    <row r="1184" spans="1:6">
      <c r="A1184" t="str">
        <f>("2598")</f>
        <v>2598</v>
      </c>
      <c r="B1184" t="s">
        <v>6090</v>
      </c>
      <c r="C1184" t="s">
        <v>7008</v>
      </c>
      <c r="D1184" t="s">
        <v>5206</v>
      </c>
      <c r="E1184" t="s">
        <v>7007</v>
      </c>
      <c r="F1184">
        <v>265</v>
      </c>
    </row>
    <row r="1185" spans="1:6">
      <c r="A1185" t="str">
        <f>("2599")</f>
        <v>2599</v>
      </c>
      <c r="B1185" t="s">
        <v>6090</v>
      </c>
      <c r="C1185" t="s">
        <v>7006</v>
      </c>
      <c r="D1185" t="s">
        <v>5206</v>
      </c>
      <c r="E1185" t="s">
        <v>7005</v>
      </c>
      <c r="F1185">
        <v>275.5</v>
      </c>
    </row>
    <row r="1186" spans="1:6">
      <c r="A1186" t="str">
        <f>("2600")</f>
        <v>2600</v>
      </c>
      <c r="B1186" t="s">
        <v>6090</v>
      </c>
      <c r="C1186" t="s">
        <v>7004</v>
      </c>
      <c r="D1186" t="s">
        <v>5174</v>
      </c>
      <c r="E1186" t="s">
        <v>6410</v>
      </c>
      <c r="F1186">
        <v>58.33</v>
      </c>
    </row>
    <row r="1187" spans="1:6">
      <c r="A1187" t="str">
        <f>("2601")</f>
        <v>2601</v>
      </c>
      <c r="B1187" t="s">
        <v>6090</v>
      </c>
      <c r="C1187" t="s">
        <v>7004</v>
      </c>
      <c r="D1187" t="s">
        <v>5160</v>
      </c>
      <c r="E1187" t="s">
        <v>7003</v>
      </c>
      <c r="F1187">
        <v>75.67</v>
      </c>
    </row>
    <row r="1188" spans="1:6">
      <c r="A1188" t="str">
        <f>("35-40711")</f>
        <v>35-40711</v>
      </c>
      <c r="B1188" t="s">
        <v>6090</v>
      </c>
      <c r="C1188" t="s">
        <v>7002</v>
      </c>
      <c r="D1188" t="s">
        <v>5206</v>
      </c>
      <c r="E1188" t="s">
        <v>7001</v>
      </c>
      <c r="F1188">
        <v>27.67</v>
      </c>
    </row>
    <row r="1189" spans="1:6">
      <c r="A1189" t="str">
        <f>("4-22-6573653")</f>
        <v>4-22-6573653</v>
      </c>
      <c r="B1189" t="s">
        <v>6090</v>
      </c>
      <c r="C1189" t="s">
        <v>7000</v>
      </c>
      <c r="D1189" t="s">
        <v>5206</v>
      </c>
      <c r="E1189" t="s">
        <v>6999</v>
      </c>
      <c r="F1189">
        <v>26.33</v>
      </c>
    </row>
    <row r="1190" spans="1:6">
      <c r="A1190" t="str">
        <f>("5600")</f>
        <v>5600</v>
      </c>
      <c r="B1190" t="s">
        <v>6090</v>
      </c>
      <c r="C1190" t="s">
        <v>6759</v>
      </c>
      <c r="D1190" t="s">
        <v>5206</v>
      </c>
      <c r="E1190" t="s">
        <v>6998</v>
      </c>
      <c r="F1190">
        <v>205</v>
      </c>
    </row>
    <row r="1191" spans="1:6">
      <c r="A1191" t="str">
        <f>("5603")</f>
        <v>5603</v>
      </c>
      <c r="B1191" t="s">
        <v>6090</v>
      </c>
      <c r="C1191" t="s">
        <v>6997</v>
      </c>
      <c r="D1191" t="s">
        <v>5206</v>
      </c>
      <c r="E1191" t="s">
        <v>6996</v>
      </c>
      <c r="F1191">
        <v>190.33</v>
      </c>
    </row>
    <row r="1192" spans="1:6">
      <c r="A1192" t="str">
        <f>("5637")</f>
        <v>5637</v>
      </c>
      <c r="B1192" t="s">
        <v>6090</v>
      </c>
      <c r="C1192" t="s">
        <v>6995</v>
      </c>
      <c r="D1192" t="s">
        <v>5206</v>
      </c>
      <c r="E1192" t="s">
        <v>6873</v>
      </c>
      <c r="F1192">
        <v>700.83</v>
      </c>
    </row>
    <row r="1193" spans="1:6">
      <c r="A1193" t="str">
        <f>("6150001-8")</f>
        <v>6150001-8</v>
      </c>
      <c r="B1193" t="s">
        <v>6090</v>
      </c>
      <c r="C1193" t="s">
        <v>6994</v>
      </c>
      <c r="D1193" t="s">
        <v>5206</v>
      </c>
      <c r="E1193" t="s">
        <v>6993</v>
      </c>
      <c r="F1193">
        <v>113</v>
      </c>
    </row>
    <row r="1194" spans="1:6">
      <c r="A1194" t="str">
        <f>("6150003-6")</f>
        <v>6150003-6</v>
      </c>
      <c r="B1194" t="s">
        <v>6090</v>
      </c>
      <c r="C1194" t="s">
        <v>6992</v>
      </c>
      <c r="D1194" t="s">
        <v>5206</v>
      </c>
      <c r="E1194" t="s">
        <v>6991</v>
      </c>
      <c r="F1194">
        <v>394.33</v>
      </c>
    </row>
    <row r="1195" spans="1:6">
      <c r="A1195" t="str">
        <f>("7694-I")</f>
        <v>7694-I</v>
      </c>
      <c r="B1195" t="s">
        <v>6090</v>
      </c>
      <c r="C1195" t="s">
        <v>6990</v>
      </c>
      <c r="D1195" t="s">
        <v>5206</v>
      </c>
      <c r="E1195" t="s">
        <v>6989</v>
      </c>
      <c r="F1195">
        <v>575.66999999999996</v>
      </c>
    </row>
    <row r="1196" spans="1:6">
      <c r="A1196" t="str">
        <f>("7750A")</f>
        <v>7750A</v>
      </c>
      <c r="B1196" t="s">
        <v>6090</v>
      </c>
      <c r="C1196" t="s">
        <v>6937</v>
      </c>
      <c r="D1196" t="s">
        <v>5206</v>
      </c>
      <c r="E1196" t="s">
        <v>6988</v>
      </c>
      <c r="F1196">
        <v>147.67000000000002</v>
      </c>
    </row>
    <row r="1197" spans="1:6">
      <c r="A1197" t="str">
        <f>("7755")</f>
        <v>7755</v>
      </c>
      <c r="B1197" t="s">
        <v>6090</v>
      </c>
      <c r="C1197" t="s">
        <v>6937</v>
      </c>
      <c r="D1197" t="s">
        <v>5206</v>
      </c>
      <c r="E1197" t="s">
        <v>6987</v>
      </c>
      <c r="F1197">
        <v>199.67</v>
      </c>
    </row>
    <row r="1198" spans="1:6">
      <c r="A1198" t="str">
        <f>("87-12869")</f>
        <v>87-12869</v>
      </c>
      <c r="B1198" t="s">
        <v>6090</v>
      </c>
      <c r="C1198" t="s">
        <v>6986</v>
      </c>
      <c r="D1198" t="s">
        <v>5206</v>
      </c>
      <c r="E1198" t="s">
        <v>6985</v>
      </c>
      <c r="F1198">
        <v>123.67</v>
      </c>
    </row>
    <row r="1199" spans="1:6">
      <c r="A1199" t="str">
        <f>("87-12890")</f>
        <v>87-12890</v>
      </c>
      <c r="B1199" t="s">
        <v>6090</v>
      </c>
      <c r="C1199" t="s">
        <v>6753</v>
      </c>
      <c r="D1199" t="s">
        <v>5206</v>
      </c>
      <c r="E1199" t="s">
        <v>6984</v>
      </c>
      <c r="F1199">
        <v>250.33</v>
      </c>
    </row>
    <row r="1200" spans="1:6">
      <c r="A1200" t="str">
        <f>("87-12891")</f>
        <v>87-12891</v>
      </c>
      <c r="B1200" t="s">
        <v>6090</v>
      </c>
      <c r="C1200" t="s">
        <v>6949</v>
      </c>
      <c r="D1200" t="s">
        <v>5206</v>
      </c>
      <c r="E1200" t="s">
        <v>6983</v>
      </c>
      <c r="F1200">
        <v>38.17</v>
      </c>
    </row>
    <row r="1201" spans="1:6">
      <c r="A1201" t="str">
        <f>("87-12893")</f>
        <v>87-12893</v>
      </c>
      <c r="B1201" t="s">
        <v>6090</v>
      </c>
      <c r="C1201" t="s">
        <v>6941</v>
      </c>
      <c r="D1201" t="s">
        <v>5206</v>
      </c>
      <c r="E1201" t="s">
        <v>6982</v>
      </c>
      <c r="F1201">
        <v>93</v>
      </c>
    </row>
    <row r="1202" spans="1:6">
      <c r="A1202" t="str">
        <f>("87-12894")</f>
        <v>87-12894</v>
      </c>
      <c r="B1202" t="s">
        <v>6090</v>
      </c>
      <c r="C1202" t="s">
        <v>6981</v>
      </c>
      <c r="D1202" t="s">
        <v>5206</v>
      </c>
      <c r="E1202" t="s">
        <v>6980</v>
      </c>
      <c r="F1202">
        <v>50.33</v>
      </c>
    </row>
    <row r="1203" spans="1:6">
      <c r="A1203" t="str">
        <f>("87-12895")</f>
        <v>87-12895</v>
      </c>
      <c r="B1203" t="s">
        <v>6090</v>
      </c>
      <c r="C1203" t="s">
        <v>6892</v>
      </c>
      <c r="D1203" t="s">
        <v>5206</v>
      </c>
      <c r="E1203" t="s">
        <v>6979</v>
      </c>
      <c r="F1203">
        <v>50.33</v>
      </c>
    </row>
    <row r="1204" spans="1:6">
      <c r="A1204" t="str">
        <f>("87-12911")</f>
        <v>87-12911</v>
      </c>
      <c r="B1204" t="s">
        <v>6090</v>
      </c>
      <c r="C1204" t="s">
        <v>6759</v>
      </c>
      <c r="D1204" t="s">
        <v>5206</v>
      </c>
      <c r="E1204" t="s">
        <v>6978</v>
      </c>
      <c r="F1204">
        <v>71.67</v>
      </c>
    </row>
    <row r="1205" spans="1:6">
      <c r="A1205" t="str">
        <f>("87-14151")</f>
        <v>87-14151</v>
      </c>
      <c r="B1205" t="s">
        <v>6090</v>
      </c>
      <c r="C1205" t="s">
        <v>6842</v>
      </c>
      <c r="D1205" t="s">
        <v>5206</v>
      </c>
      <c r="E1205" t="s">
        <v>6977</v>
      </c>
      <c r="F1205">
        <v>32.83</v>
      </c>
    </row>
    <row r="1206" spans="1:6">
      <c r="A1206" t="str">
        <f>("87-14541")</f>
        <v>87-14541</v>
      </c>
      <c r="B1206" t="s">
        <v>6090</v>
      </c>
      <c r="C1206" t="s">
        <v>6976</v>
      </c>
      <c r="D1206" t="s">
        <v>5206</v>
      </c>
      <c r="E1206" t="s">
        <v>6975</v>
      </c>
      <c r="F1206">
        <v>30.33</v>
      </c>
    </row>
    <row r="1207" spans="1:6">
      <c r="A1207" t="str">
        <f>("87-17428")</f>
        <v>87-17428</v>
      </c>
      <c r="B1207" t="s">
        <v>6090</v>
      </c>
      <c r="C1207" t="s">
        <v>6788</v>
      </c>
      <c r="D1207" t="s">
        <v>5206</v>
      </c>
      <c r="E1207" t="s">
        <v>6974</v>
      </c>
      <c r="F1207">
        <v>93</v>
      </c>
    </row>
    <row r="1208" spans="1:6">
      <c r="A1208" t="str">
        <f>("87-24077")</f>
        <v>87-24077</v>
      </c>
      <c r="B1208" t="s">
        <v>6090</v>
      </c>
      <c r="C1208" t="s">
        <v>6855</v>
      </c>
      <c r="D1208" t="s">
        <v>5206</v>
      </c>
      <c r="E1208" t="s">
        <v>6973</v>
      </c>
      <c r="F1208">
        <v>81</v>
      </c>
    </row>
    <row r="1209" spans="1:6">
      <c r="A1209" t="str">
        <f>("87-24078")</f>
        <v>87-24078</v>
      </c>
      <c r="B1209" t="s">
        <v>6090</v>
      </c>
      <c r="C1209" t="s">
        <v>6753</v>
      </c>
      <c r="D1209" t="s">
        <v>5206</v>
      </c>
      <c r="E1209" t="s">
        <v>6972</v>
      </c>
      <c r="F1209">
        <v>266.33000000000004</v>
      </c>
    </row>
    <row r="1210" spans="1:6">
      <c r="A1210" t="str">
        <f>("87-33373")</f>
        <v>87-33373</v>
      </c>
      <c r="B1210" t="s">
        <v>6090</v>
      </c>
      <c r="C1210" t="s">
        <v>6971</v>
      </c>
      <c r="D1210" t="s">
        <v>5206</v>
      </c>
      <c r="E1210" t="s">
        <v>6971</v>
      </c>
      <c r="F1210">
        <v>67.67</v>
      </c>
    </row>
    <row r="1211" spans="1:6">
      <c r="A1211" t="str">
        <f>("87-41340")</f>
        <v>87-41340</v>
      </c>
      <c r="B1211" t="s">
        <v>6090</v>
      </c>
      <c r="C1211" t="s">
        <v>6759</v>
      </c>
      <c r="D1211" t="s">
        <v>5206</v>
      </c>
      <c r="E1211" t="s">
        <v>6970</v>
      </c>
      <c r="F1211">
        <v>58.33</v>
      </c>
    </row>
    <row r="1212" spans="1:6">
      <c r="A1212" t="str">
        <f>("87-41340-01")</f>
        <v>87-41340-01</v>
      </c>
      <c r="B1212" t="s">
        <v>6090</v>
      </c>
      <c r="C1212" t="s">
        <v>6759</v>
      </c>
      <c r="D1212" t="s">
        <v>5206</v>
      </c>
      <c r="E1212" t="s">
        <v>6969</v>
      </c>
      <c r="F1212">
        <v>45.67</v>
      </c>
    </row>
    <row r="1213" spans="1:6">
      <c r="A1213" t="str">
        <f>("87-42601")</f>
        <v>87-42601</v>
      </c>
      <c r="B1213" t="s">
        <v>6090</v>
      </c>
      <c r="C1213" t="s">
        <v>6753</v>
      </c>
      <c r="D1213" t="s">
        <v>5206</v>
      </c>
      <c r="E1213" t="s">
        <v>6968</v>
      </c>
      <c r="F1213">
        <v>186.33</v>
      </c>
    </row>
    <row r="1214" spans="1:6">
      <c r="A1214" t="str">
        <f>("87-42611")</f>
        <v>87-42611</v>
      </c>
      <c r="B1214" t="s">
        <v>6090</v>
      </c>
      <c r="C1214" t="s">
        <v>6922</v>
      </c>
      <c r="D1214" t="s">
        <v>5206</v>
      </c>
      <c r="E1214" t="s">
        <v>6967</v>
      </c>
      <c r="F1214">
        <v>61</v>
      </c>
    </row>
    <row r="1215" spans="1:6">
      <c r="A1215" t="str">
        <f>("87-42612")</f>
        <v>87-42612</v>
      </c>
      <c r="B1215" t="s">
        <v>6090</v>
      </c>
      <c r="C1215" t="s">
        <v>6922</v>
      </c>
      <c r="D1215" t="s">
        <v>5206</v>
      </c>
      <c r="E1215" t="s">
        <v>6966</v>
      </c>
      <c r="F1215">
        <v>71.67</v>
      </c>
    </row>
    <row r="1216" spans="1:6">
      <c r="A1216" t="str">
        <f>("87-42613")</f>
        <v>87-42613</v>
      </c>
      <c r="B1216" t="s">
        <v>6090</v>
      </c>
      <c r="C1216" t="s">
        <v>6913</v>
      </c>
      <c r="D1216" t="s">
        <v>5206</v>
      </c>
      <c r="E1216" t="s">
        <v>6965</v>
      </c>
      <c r="F1216">
        <v>150.32999999999998</v>
      </c>
    </row>
    <row r="1217" spans="1:6">
      <c r="A1217" t="str">
        <f>("87-42614")</f>
        <v>87-42614</v>
      </c>
      <c r="B1217" t="s">
        <v>6090</v>
      </c>
      <c r="C1217" t="s">
        <v>6913</v>
      </c>
      <c r="D1217" t="s">
        <v>5206</v>
      </c>
      <c r="E1217" t="s">
        <v>6964</v>
      </c>
      <c r="F1217">
        <v>241</v>
      </c>
    </row>
    <row r="1218" spans="1:6">
      <c r="A1218" t="str">
        <f>("87-42618")</f>
        <v>87-42618</v>
      </c>
      <c r="B1218" t="s">
        <v>6090</v>
      </c>
      <c r="C1218" t="s">
        <v>6842</v>
      </c>
      <c r="D1218" t="s">
        <v>5206</v>
      </c>
      <c r="E1218" t="s">
        <v>6963</v>
      </c>
      <c r="F1218">
        <v>31.5</v>
      </c>
    </row>
    <row r="1219" spans="1:6">
      <c r="A1219" t="str">
        <f>("87-42619")</f>
        <v>87-42619</v>
      </c>
      <c r="B1219" t="s">
        <v>6090</v>
      </c>
      <c r="C1219" t="s">
        <v>6855</v>
      </c>
      <c r="D1219" t="s">
        <v>5206</v>
      </c>
      <c r="E1219" t="s">
        <v>6962</v>
      </c>
      <c r="F1219">
        <v>94.33</v>
      </c>
    </row>
    <row r="1220" spans="1:6">
      <c r="A1220" t="str">
        <f>("87-42620")</f>
        <v>87-42620</v>
      </c>
      <c r="B1220" t="s">
        <v>6090</v>
      </c>
      <c r="C1220" t="s">
        <v>6855</v>
      </c>
      <c r="D1220" t="s">
        <v>5206</v>
      </c>
      <c r="E1220" t="s">
        <v>6961</v>
      </c>
      <c r="F1220">
        <v>106.33</v>
      </c>
    </row>
    <row r="1221" spans="1:6">
      <c r="A1221" t="str">
        <f>("89-10917")</f>
        <v>89-10917</v>
      </c>
      <c r="B1221" t="s">
        <v>6090</v>
      </c>
      <c r="C1221" t="s">
        <v>6766</v>
      </c>
      <c r="D1221" t="s">
        <v>5206</v>
      </c>
      <c r="E1221" t="s">
        <v>6960</v>
      </c>
      <c r="F1221">
        <v>138.32999999999998</v>
      </c>
    </row>
    <row r="1222" spans="1:6">
      <c r="A1222" t="str">
        <f>("89-24640")</f>
        <v>89-24640</v>
      </c>
      <c r="B1222" t="s">
        <v>6090</v>
      </c>
      <c r="C1222" t="s">
        <v>6922</v>
      </c>
      <c r="D1222" t="s">
        <v>5206</v>
      </c>
      <c r="E1222" t="s">
        <v>6959</v>
      </c>
      <c r="F1222">
        <v>103.5</v>
      </c>
    </row>
    <row r="1223" spans="1:6">
      <c r="A1223" t="str">
        <f>("89-24642")</f>
        <v>89-24642</v>
      </c>
      <c r="B1223" t="s">
        <v>6090</v>
      </c>
      <c r="C1223" t="s">
        <v>6913</v>
      </c>
      <c r="D1223" t="s">
        <v>5206</v>
      </c>
      <c r="E1223" t="s">
        <v>6958</v>
      </c>
      <c r="F1223">
        <v>385</v>
      </c>
    </row>
    <row r="1224" spans="1:6">
      <c r="A1224" t="str">
        <f>("89-30154")</f>
        <v>89-30154</v>
      </c>
      <c r="B1224" t="s">
        <v>6090</v>
      </c>
      <c r="C1224" t="s">
        <v>6885</v>
      </c>
      <c r="D1224" t="s">
        <v>5206</v>
      </c>
      <c r="E1224" t="s">
        <v>6957</v>
      </c>
      <c r="F1224">
        <v>39.67</v>
      </c>
    </row>
    <row r="1225" spans="1:6">
      <c r="A1225" t="str">
        <f>("89-30155")</f>
        <v>89-30155</v>
      </c>
      <c r="B1225" t="s">
        <v>6090</v>
      </c>
      <c r="C1225" t="s">
        <v>6956</v>
      </c>
      <c r="D1225" t="s">
        <v>5206</v>
      </c>
      <c r="E1225" t="s">
        <v>6955</v>
      </c>
      <c r="F1225">
        <v>30.33</v>
      </c>
    </row>
    <row r="1226" spans="1:6">
      <c r="A1226" t="str">
        <f>("89-30156")</f>
        <v>89-30156</v>
      </c>
      <c r="B1226" t="s">
        <v>6090</v>
      </c>
      <c r="C1226" t="s">
        <v>6954</v>
      </c>
      <c r="D1226" t="s">
        <v>5206</v>
      </c>
      <c r="E1226" t="s">
        <v>6954</v>
      </c>
      <c r="F1226">
        <v>86.33</v>
      </c>
    </row>
    <row r="1227" spans="1:6">
      <c r="A1227" t="str">
        <f>("89-30158")</f>
        <v>89-30158</v>
      </c>
      <c r="B1227" t="s">
        <v>6090</v>
      </c>
      <c r="C1227" t="s">
        <v>6753</v>
      </c>
      <c r="D1227" t="s">
        <v>5206</v>
      </c>
      <c r="E1227" t="s">
        <v>6953</v>
      </c>
      <c r="F1227">
        <v>275.66999999999996</v>
      </c>
    </row>
    <row r="1228" spans="1:6">
      <c r="A1228" t="str">
        <f>("89-30159")</f>
        <v>89-30159</v>
      </c>
      <c r="B1228" t="s">
        <v>6090</v>
      </c>
      <c r="C1228" t="s">
        <v>6753</v>
      </c>
      <c r="D1228" t="s">
        <v>5206</v>
      </c>
      <c r="E1228" t="s">
        <v>6952</v>
      </c>
      <c r="F1228">
        <v>306.33</v>
      </c>
    </row>
    <row r="1229" spans="1:6">
      <c r="A1229" t="str">
        <f>("89-30160")</f>
        <v>89-30160</v>
      </c>
      <c r="B1229" t="s">
        <v>6090</v>
      </c>
      <c r="C1229" t="s">
        <v>6951</v>
      </c>
      <c r="F1229">
        <v>42.67</v>
      </c>
    </row>
    <row r="1230" spans="1:6">
      <c r="A1230" t="str">
        <f>("89-42676")</f>
        <v>89-42676</v>
      </c>
      <c r="B1230" t="s">
        <v>6090</v>
      </c>
      <c r="C1230" t="s">
        <v>6949</v>
      </c>
      <c r="D1230" t="s">
        <v>5206</v>
      </c>
      <c r="E1230" t="s">
        <v>6950</v>
      </c>
      <c r="F1230">
        <v>115.67</v>
      </c>
    </row>
    <row r="1231" spans="1:6">
      <c r="A1231" t="str">
        <f>("89-42677")</f>
        <v>89-42677</v>
      </c>
      <c r="B1231" t="s">
        <v>6090</v>
      </c>
      <c r="C1231" t="s">
        <v>6949</v>
      </c>
      <c r="D1231" t="s">
        <v>5206</v>
      </c>
      <c r="E1231" t="s">
        <v>6948</v>
      </c>
      <c r="F1231">
        <v>115.67</v>
      </c>
    </row>
    <row r="1232" spans="1:6">
      <c r="A1232" t="str">
        <f>("89-42678")</f>
        <v>89-42678</v>
      </c>
      <c r="B1232" t="s">
        <v>6090</v>
      </c>
      <c r="C1232" t="s">
        <v>6947</v>
      </c>
      <c r="D1232" t="s">
        <v>5206</v>
      </c>
      <c r="E1232" t="s">
        <v>6946</v>
      </c>
      <c r="F1232">
        <v>93</v>
      </c>
    </row>
    <row r="1233" spans="1:6">
      <c r="A1233" t="str">
        <f>("89-42680")</f>
        <v>89-42680</v>
      </c>
      <c r="B1233" t="s">
        <v>6090</v>
      </c>
      <c r="C1233" t="s">
        <v>6945</v>
      </c>
      <c r="D1233" t="s">
        <v>5206</v>
      </c>
      <c r="E1233" t="s">
        <v>6944</v>
      </c>
      <c r="F1233">
        <v>28.83</v>
      </c>
    </row>
    <row r="1234" spans="1:6">
      <c r="A1234" t="str">
        <f>("89-42681")</f>
        <v>89-42681</v>
      </c>
      <c r="B1234" t="s">
        <v>6090</v>
      </c>
      <c r="C1234" t="s">
        <v>6892</v>
      </c>
      <c r="D1234" t="s">
        <v>5206</v>
      </c>
      <c r="E1234" t="s">
        <v>6943</v>
      </c>
      <c r="F1234">
        <v>59.67</v>
      </c>
    </row>
    <row r="1235" spans="1:6">
      <c r="A1235" t="str">
        <f>("90-12865")</f>
        <v>90-12865</v>
      </c>
      <c r="B1235" t="s">
        <v>6090</v>
      </c>
      <c r="C1235" t="s">
        <v>6855</v>
      </c>
      <c r="D1235" t="s">
        <v>5206</v>
      </c>
      <c r="E1235" t="s">
        <v>6942</v>
      </c>
      <c r="F1235">
        <v>73</v>
      </c>
    </row>
    <row r="1236" spans="1:6">
      <c r="A1236" t="str">
        <f>("90-12877")</f>
        <v>90-12877</v>
      </c>
      <c r="B1236" t="s">
        <v>6090</v>
      </c>
      <c r="C1236" t="s">
        <v>6941</v>
      </c>
      <c r="D1236" t="s">
        <v>5206</v>
      </c>
      <c r="E1236" t="s">
        <v>6940</v>
      </c>
      <c r="F1236">
        <v>177</v>
      </c>
    </row>
    <row r="1237" spans="1:6">
      <c r="A1237" t="str">
        <f>("90-12879")</f>
        <v>90-12879</v>
      </c>
      <c r="B1237" t="s">
        <v>6090</v>
      </c>
      <c r="C1237" t="s">
        <v>6922</v>
      </c>
      <c r="D1237" t="s">
        <v>5206</v>
      </c>
      <c r="E1237" t="s">
        <v>6939</v>
      </c>
      <c r="F1237">
        <v>187.5</v>
      </c>
    </row>
    <row r="1238" spans="1:6">
      <c r="A1238" t="str">
        <f>("90-14140")</f>
        <v>90-14140</v>
      </c>
      <c r="B1238" t="s">
        <v>6090</v>
      </c>
      <c r="C1238" t="s">
        <v>6842</v>
      </c>
      <c r="D1238" t="s">
        <v>5206</v>
      </c>
      <c r="E1238" t="s">
        <v>6938</v>
      </c>
      <c r="F1238">
        <v>54.33</v>
      </c>
    </row>
    <row r="1239" spans="1:6">
      <c r="A1239" t="str">
        <f>("90-20508")</f>
        <v>90-20508</v>
      </c>
      <c r="B1239" t="s">
        <v>6090</v>
      </c>
      <c r="C1239" t="s">
        <v>6937</v>
      </c>
      <c r="D1239" t="s">
        <v>5206</v>
      </c>
      <c r="E1239" t="s">
        <v>6936</v>
      </c>
      <c r="F1239">
        <v>106.33</v>
      </c>
    </row>
    <row r="1240" spans="1:6">
      <c r="A1240" t="str">
        <f>("90-24542")</f>
        <v>90-24542</v>
      </c>
      <c r="B1240" t="s">
        <v>6090</v>
      </c>
      <c r="C1240" t="s">
        <v>6935</v>
      </c>
      <c r="D1240" t="s">
        <v>5206</v>
      </c>
      <c r="E1240" t="s">
        <v>6934</v>
      </c>
      <c r="F1240">
        <v>26.33</v>
      </c>
    </row>
    <row r="1241" spans="1:6">
      <c r="A1241" t="str">
        <f>("90-24546")</f>
        <v>90-24546</v>
      </c>
      <c r="B1241" t="s">
        <v>6090</v>
      </c>
      <c r="C1241" t="s">
        <v>6933</v>
      </c>
      <c r="D1241" t="s">
        <v>5206</v>
      </c>
      <c r="E1241" t="s">
        <v>6932</v>
      </c>
      <c r="F1241">
        <v>30.33</v>
      </c>
    </row>
    <row r="1242" spans="1:6">
      <c r="A1242" t="str">
        <f>("90-24547")</f>
        <v>90-24547</v>
      </c>
      <c r="B1242" t="s">
        <v>6090</v>
      </c>
      <c r="C1242" t="s">
        <v>6885</v>
      </c>
      <c r="D1242" t="s">
        <v>5206</v>
      </c>
      <c r="E1242" t="s">
        <v>6931</v>
      </c>
      <c r="F1242">
        <v>43.67</v>
      </c>
    </row>
    <row r="1243" spans="1:6">
      <c r="A1243" t="str">
        <f>("90-24563")</f>
        <v>90-24563</v>
      </c>
      <c r="B1243" t="s">
        <v>6090</v>
      </c>
      <c r="C1243" t="s">
        <v>6930</v>
      </c>
      <c r="D1243" t="s">
        <v>5206</v>
      </c>
      <c r="E1243" t="s">
        <v>6929</v>
      </c>
      <c r="F1243">
        <v>386.17</v>
      </c>
    </row>
    <row r="1244" spans="1:6">
      <c r="A1244" t="str">
        <f>("90-24564")</f>
        <v>90-24564</v>
      </c>
      <c r="B1244" t="s">
        <v>6090</v>
      </c>
      <c r="C1244" t="s">
        <v>6913</v>
      </c>
      <c r="D1244" t="s">
        <v>5206</v>
      </c>
      <c r="E1244" t="s">
        <v>6928</v>
      </c>
      <c r="F1244">
        <v>1095.67</v>
      </c>
    </row>
    <row r="1245" spans="1:6">
      <c r="A1245" t="str">
        <f>("90-24569")</f>
        <v>90-24569</v>
      </c>
      <c r="B1245" t="s">
        <v>6090</v>
      </c>
      <c r="C1245" t="s">
        <v>6885</v>
      </c>
      <c r="D1245" t="s">
        <v>5206</v>
      </c>
      <c r="E1245" t="s">
        <v>6927</v>
      </c>
      <c r="F1245">
        <v>34.17</v>
      </c>
    </row>
    <row r="1246" spans="1:6">
      <c r="A1246" t="str">
        <f>("90-24571")</f>
        <v>90-24571</v>
      </c>
      <c r="B1246" t="s">
        <v>6090</v>
      </c>
      <c r="C1246" t="s">
        <v>6885</v>
      </c>
      <c r="D1246" t="s">
        <v>5206</v>
      </c>
      <c r="E1246" t="s">
        <v>6926</v>
      </c>
      <c r="F1246">
        <v>71.67</v>
      </c>
    </row>
    <row r="1247" spans="1:6">
      <c r="A1247" t="str">
        <f>("90-24572")</f>
        <v>90-24572</v>
      </c>
      <c r="B1247" t="s">
        <v>6090</v>
      </c>
      <c r="C1247" t="s">
        <v>6855</v>
      </c>
      <c r="D1247" t="s">
        <v>5206</v>
      </c>
      <c r="E1247" t="s">
        <v>6925</v>
      </c>
      <c r="F1247">
        <v>138.32999999999998</v>
      </c>
    </row>
    <row r="1248" spans="1:6">
      <c r="A1248" t="str">
        <f>("90-24573")</f>
        <v>90-24573</v>
      </c>
      <c r="B1248" t="s">
        <v>6090</v>
      </c>
      <c r="C1248" t="s">
        <v>6842</v>
      </c>
      <c r="D1248" t="s">
        <v>5206</v>
      </c>
      <c r="E1248" t="s">
        <v>6924</v>
      </c>
      <c r="F1248">
        <v>42.33</v>
      </c>
    </row>
    <row r="1249" spans="1:6">
      <c r="A1249" t="str">
        <f>("90-24575")</f>
        <v>90-24575</v>
      </c>
      <c r="B1249" t="s">
        <v>6090</v>
      </c>
      <c r="C1249" t="s">
        <v>6922</v>
      </c>
      <c r="D1249" t="s">
        <v>5206</v>
      </c>
      <c r="E1249" t="s">
        <v>6923</v>
      </c>
      <c r="F1249">
        <v>177</v>
      </c>
    </row>
    <row r="1250" spans="1:6">
      <c r="A1250" t="str">
        <f>("90-24576")</f>
        <v>90-24576</v>
      </c>
      <c r="B1250" t="s">
        <v>6090</v>
      </c>
      <c r="C1250" t="s">
        <v>6922</v>
      </c>
      <c r="D1250" t="s">
        <v>5206</v>
      </c>
      <c r="E1250" t="s">
        <v>6921</v>
      </c>
      <c r="F1250">
        <v>194.33</v>
      </c>
    </row>
    <row r="1251" spans="1:6">
      <c r="A1251" t="str">
        <f>("90-24577")</f>
        <v>90-24577</v>
      </c>
      <c r="B1251" t="s">
        <v>6090</v>
      </c>
      <c r="C1251" t="s">
        <v>6834</v>
      </c>
      <c r="D1251" t="s">
        <v>5206</v>
      </c>
      <c r="E1251" t="s">
        <v>6920</v>
      </c>
      <c r="F1251">
        <v>51.67</v>
      </c>
    </row>
    <row r="1252" spans="1:6">
      <c r="A1252" t="str">
        <f>("90-24579")</f>
        <v>90-24579</v>
      </c>
      <c r="B1252" t="s">
        <v>6090</v>
      </c>
      <c r="C1252" t="s">
        <v>6885</v>
      </c>
      <c r="D1252" t="s">
        <v>5206</v>
      </c>
      <c r="E1252" t="s">
        <v>6919</v>
      </c>
      <c r="F1252">
        <v>43.67</v>
      </c>
    </row>
    <row r="1253" spans="1:6">
      <c r="A1253" t="str">
        <f>("90-24581")</f>
        <v>90-24581</v>
      </c>
      <c r="B1253" t="s">
        <v>6090</v>
      </c>
      <c r="C1253" t="s">
        <v>6918</v>
      </c>
      <c r="D1253" t="s">
        <v>5206</v>
      </c>
      <c r="E1253" t="s">
        <v>6917</v>
      </c>
      <c r="F1253">
        <v>20.83</v>
      </c>
    </row>
    <row r="1254" spans="1:6">
      <c r="A1254" t="str">
        <f>("90-24595")</f>
        <v>90-24595</v>
      </c>
      <c r="B1254" t="s">
        <v>6090</v>
      </c>
      <c r="C1254" t="s">
        <v>6913</v>
      </c>
      <c r="D1254" t="s">
        <v>5206</v>
      </c>
      <c r="E1254" t="s">
        <v>6916</v>
      </c>
      <c r="F1254">
        <v>526.32999999999993</v>
      </c>
    </row>
    <row r="1255" spans="1:6">
      <c r="A1255" t="str">
        <f>("90-24597")</f>
        <v>90-24597</v>
      </c>
      <c r="B1255" t="s">
        <v>6090</v>
      </c>
      <c r="C1255" t="s">
        <v>6915</v>
      </c>
      <c r="D1255" t="s">
        <v>5206</v>
      </c>
      <c r="E1255" t="s">
        <v>6914</v>
      </c>
      <c r="F1255">
        <v>73</v>
      </c>
    </row>
    <row r="1256" spans="1:6">
      <c r="A1256" t="str">
        <f>("90-24598")</f>
        <v>90-24598</v>
      </c>
      <c r="B1256" t="s">
        <v>6090</v>
      </c>
      <c r="C1256" t="s">
        <v>6913</v>
      </c>
      <c r="D1256" t="s">
        <v>5206</v>
      </c>
      <c r="E1256" t="s">
        <v>6912</v>
      </c>
      <c r="F1256">
        <v>565</v>
      </c>
    </row>
    <row r="1257" spans="1:6">
      <c r="A1257" t="str">
        <f>("90-24599")</f>
        <v>90-24599</v>
      </c>
      <c r="B1257" t="s">
        <v>6090</v>
      </c>
      <c r="C1257" t="s">
        <v>6911</v>
      </c>
      <c r="D1257" t="s">
        <v>5206</v>
      </c>
      <c r="E1257" t="s">
        <v>6910</v>
      </c>
      <c r="F1257">
        <v>71.5</v>
      </c>
    </row>
    <row r="1258" spans="1:6">
      <c r="A1258" t="str">
        <f>("90-24600")</f>
        <v>90-24600</v>
      </c>
      <c r="B1258" t="s">
        <v>6090</v>
      </c>
      <c r="C1258" t="s">
        <v>6909</v>
      </c>
      <c r="D1258" t="s">
        <v>5206</v>
      </c>
      <c r="E1258" t="s">
        <v>6908</v>
      </c>
      <c r="F1258">
        <v>90.33</v>
      </c>
    </row>
    <row r="1259" spans="1:6">
      <c r="A1259" t="str">
        <f>("90-24601")</f>
        <v>90-24601</v>
      </c>
      <c r="B1259" t="s">
        <v>6090</v>
      </c>
      <c r="C1259" t="s">
        <v>6907</v>
      </c>
      <c r="D1259" t="s">
        <v>5206</v>
      </c>
      <c r="E1259" t="s">
        <v>6906</v>
      </c>
      <c r="F1259">
        <v>470.33</v>
      </c>
    </row>
    <row r="1260" spans="1:6">
      <c r="A1260" t="str">
        <f>("90-24602")</f>
        <v>90-24602</v>
      </c>
      <c r="B1260" t="s">
        <v>6090</v>
      </c>
      <c r="C1260" t="s">
        <v>6905</v>
      </c>
      <c r="D1260" t="s">
        <v>5206</v>
      </c>
      <c r="E1260" t="s">
        <v>6904</v>
      </c>
      <c r="F1260">
        <v>231.5</v>
      </c>
    </row>
    <row r="1261" spans="1:6">
      <c r="A1261" t="str">
        <f>("90-32487")</f>
        <v>90-32487</v>
      </c>
      <c r="B1261" t="s">
        <v>6090</v>
      </c>
      <c r="C1261" t="s">
        <v>6903</v>
      </c>
      <c r="D1261" t="s">
        <v>5206</v>
      </c>
      <c r="E1261" t="s">
        <v>6902</v>
      </c>
      <c r="F1261">
        <v>71.67</v>
      </c>
    </row>
    <row r="1262" spans="1:6">
      <c r="A1262" t="str">
        <f>("90-32492")</f>
        <v>90-32492</v>
      </c>
      <c r="B1262" t="s">
        <v>6090</v>
      </c>
      <c r="C1262" t="s">
        <v>6901</v>
      </c>
      <c r="D1262" t="s">
        <v>5206</v>
      </c>
      <c r="E1262" t="s">
        <v>6900</v>
      </c>
      <c r="F1262">
        <v>159.66999999999999</v>
      </c>
    </row>
    <row r="1263" spans="1:6">
      <c r="A1263" t="str">
        <f>("90-32493")</f>
        <v>90-32493</v>
      </c>
      <c r="B1263" t="s">
        <v>6090</v>
      </c>
      <c r="C1263" t="s">
        <v>6759</v>
      </c>
      <c r="D1263" t="s">
        <v>5206</v>
      </c>
      <c r="E1263" t="s">
        <v>6899</v>
      </c>
      <c r="F1263">
        <v>186.33</v>
      </c>
    </row>
    <row r="1264" spans="1:6">
      <c r="A1264" t="str">
        <f>("90-32494")</f>
        <v>90-32494</v>
      </c>
      <c r="B1264" t="s">
        <v>6090</v>
      </c>
      <c r="C1264" t="s">
        <v>6892</v>
      </c>
      <c r="D1264" t="s">
        <v>5206</v>
      </c>
      <c r="E1264" t="s">
        <v>6898</v>
      </c>
      <c r="F1264">
        <v>93</v>
      </c>
    </row>
    <row r="1265" spans="1:6">
      <c r="A1265" t="str">
        <f>("90-32505")</f>
        <v>90-32505</v>
      </c>
      <c r="B1265" t="s">
        <v>6090</v>
      </c>
      <c r="C1265" t="s">
        <v>6759</v>
      </c>
      <c r="D1265" t="s">
        <v>5206</v>
      </c>
      <c r="E1265" t="s">
        <v>6897</v>
      </c>
      <c r="F1265">
        <v>162.33000000000001</v>
      </c>
    </row>
    <row r="1266" spans="1:6">
      <c r="A1266" t="str">
        <f>("90-32512")</f>
        <v>90-32512</v>
      </c>
      <c r="B1266" t="s">
        <v>6090</v>
      </c>
      <c r="C1266" t="s">
        <v>6896</v>
      </c>
      <c r="D1266" t="s">
        <v>5206</v>
      </c>
      <c r="E1266" t="s">
        <v>6895</v>
      </c>
      <c r="F1266">
        <v>73</v>
      </c>
    </row>
    <row r="1267" spans="1:6">
      <c r="A1267" t="str">
        <f>("90-32513")</f>
        <v>90-32513</v>
      </c>
      <c r="B1267" t="s">
        <v>6090</v>
      </c>
      <c r="C1267" t="s">
        <v>6753</v>
      </c>
      <c r="D1267" t="s">
        <v>5206</v>
      </c>
      <c r="E1267" t="s">
        <v>6894</v>
      </c>
      <c r="F1267">
        <v>406.33</v>
      </c>
    </row>
    <row r="1268" spans="1:6">
      <c r="A1268" t="str">
        <f>("90-32514")</f>
        <v>90-32514</v>
      </c>
      <c r="B1268" t="s">
        <v>6090</v>
      </c>
      <c r="C1268" t="s">
        <v>6753</v>
      </c>
      <c r="D1268" t="s">
        <v>5206</v>
      </c>
      <c r="E1268" t="s">
        <v>6893</v>
      </c>
      <c r="F1268">
        <v>406.33</v>
      </c>
    </row>
    <row r="1269" spans="1:6">
      <c r="A1269" t="str">
        <f>("90-40308-01")</f>
        <v>90-40308-01</v>
      </c>
      <c r="B1269" t="s">
        <v>6090</v>
      </c>
      <c r="C1269" t="s">
        <v>6892</v>
      </c>
      <c r="D1269" t="s">
        <v>5206</v>
      </c>
      <c r="E1269" t="s">
        <v>6891</v>
      </c>
      <c r="F1269">
        <v>103.67</v>
      </c>
    </row>
    <row r="1270" spans="1:6">
      <c r="A1270" t="str">
        <f>("90-41409")</f>
        <v>90-41409</v>
      </c>
      <c r="B1270" t="s">
        <v>6090</v>
      </c>
      <c r="C1270" t="s">
        <v>6753</v>
      </c>
      <c r="D1270" t="s">
        <v>5206</v>
      </c>
      <c r="E1270" t="s">
        <v>6890</v>
      </c>
      <c r="F1270">
        <v>422.17</v>
      </c>
    </row>
    <row r="1271" spans="1:6">
      <c r="A1271" t="str">
        <f>("90-41436")</f>
        <v>90-41436</v>
      </c>
      <c r="B1271" t="s">
        <v>6090</v>
      </c>
      <c r="C1271" t="s">
        <v>6889</v>
      </c>
      <c r="D1271" t="s">
        <v>5206</v>
      </c>
      <c r="E1271" t="s">
        <v>6888</v>
      </c>
      <c r="F1271">
        <v>46.33</v>
      </c>
    </row>
    <row r="1272" spans="1:6">
      <c r="A1272" t="str">
        <f>("90-41437")</f>
        <v>90-41437</v>
      </c>
      <c r="B1272" t="s">
        <v>6090</v>
      </c>
      <c r="C1272" t="s">
        <v>6842</v>
      </c>
      <c r="D1272" t="s">
        <v>5206</v>
      </c>
      <c r="E1272" t="s">
        <v>6887</v>
      </c>
      <c r="F1272">
        <v>39.67</v>
      </c>
    </row>
    <row r="1273" spans="1:6">
      <c r="A1273" t="str">
        <f>("90-41438")</f>
        <v>90-41438</v>
      </c>
      <c r="B1273" t="s">
        <v>6090</v>
      </c>
      <c r="C1273" t="s">
        <v>6830</v>
      </c>
      <c r="D1273" t="s">
        <v>5206</v>
      </c>
      <c r="E1273" t="s">
        <v>6886</v>
      </c>
      <c r="F1273">
        <v>58.33</v>
      </c>
    </row>
    <row r="1274" spans="1:6">
      <c r="A1274" t="str">
        <f>("90-41440")</f>
        <v>90-41440</v>
      </c>
      <c r="B1274" t="s">
        <v>6090</v>
      </c>
      <c r="C1274" t="s">
        <v>6885</v>
      </c>
      <c r="D1274" t="s">
        <v>5206</v>
      </c>
      <c r="E1274" t="s">
        <v>6884</v>
      </c>
      <c r="F1274">
        <v>46.33</v>
      </c>
    </row>
    <row r="1275" spans="1:6">
      <c r="A1275" t="str">
        <f>("90-41443")</f>
        <v>90-41443</v>
      </c>
      <c r="B1275" t="s">
        <v>6090</v>
      </c>
      <c r="C1275" t="s">
        <v>6883</v>
      </c>
      <c r="D1275" t="s">
        <v>5206</v>
      </c>
      <c r="E1275" t="s">
        <v>6882</v>
      </c>
      <c r="F1275">
        <v>102.33</v>
      </c>
    </row>
    <row r="1276" spans="1:6">
      <c r="A1276" t="str">
        <f>("90-41446")</f>
        <v>90-41446</v>
      </c>
      <c r="B1276" t="s">
        <v>6090</v>
      </c>
      <c r="C1276" t="s">
        <v>6855</v>
      </c>
      <c r="D1276" t="s">
        <v>5206</v>
      </c>
      <c r="E1276" t="s">
        <v>6881</v>
      </c>
      <c r="F1276">
        <v>111.67</v>
      </c>
    </row>
    <row r="1277" spans="1:6">
      <c r="A1277" t="str">
        <f>("90-41449")</f>
        <v>90-41449</v>
      </c>
      <c r="B1277" t="s">
        <v>6090</v>
      </c>
      <c r="C1277" t="s">
        <v>6880</v>
      </c>
      <c r="D1277" t="s">
        <v>5206</v>
      </c>
      <c r="E1277" t="s">
        <v>6879</v>
      </c>
      <c r="F1277">
        <v>97</v>
      </c>
    </row>
    <row r="1278" spans="1:6">
      <c r="A1278" t="str">
        <f>("90-41452")</f>
        <v>90-41452</v>
      </c>
      <c r="B1278" t="s">
        <v>6090</v>
      </c>
      <c r="C1278" t="s">
        <v>6753</v>
      </c>
      <c r="D1278" t="s">
        <v>5206</v>
      </c>
      <c r="E1278" t="s">
        <v>6878</v>
      </c>
      <c r="F1278">
        <v>546.33000000000004</v>
      </c>
    </row>
    <row r="1279" spans="1:6">
      <c r="A1279" t="str">
        <f>("90-41455")</f>
        <v>90-41455</v>
      </c>
      <c r="B1279" t="s">
        <v>6090</v>
      </c>
      <c r="C1279" t="s">
        <v>6753</v>
      </c>
      <c r="D1279" t="s">
        <v>5206</v>
      </c>
      <c r="E1279" t="s">
        <v>6877</v>
      </c>
      <c r="F1279">
        <v>546.33000000000004</v>
      </c>
    </row>
    <row r="1280" spans="1:6">
      <c r="A1280" t="str">
        <f>("90-42471")</f>
        <v>90-42471</v>
      </c>
      <c r="B1280" t="s">
        <v>6090</v>
      </c>
      <c r="C1280" t="s">
        <v>6853</v>
      </c>
      <c r="D1280" t="s">
        <v>5206</v>
      </c>
      <c r="E1280" t="s">
        <v>6876</v>
      </c>
      <c r="F1280">
        <v>46.33</v>
      </c>
    </row>
    <row r="1281" spans="1:6">
      <c r="A1281" t="str">
        <f>("90-42615")</f>
        <v>90-42615</v>
      </c>
      <c r="B1281" t="s">
        <v>6090</v>
      </c>
      <c r="C1281" t="s">
        <v>6875</v>
      </c>
      <c r="D1281" t="s">
        <v>5206</v>
      </c>
      <c r="E1281" t="s">
        <v>6875</v>
      </c>
      <c r="F1281">
        <v>43.67</v>
      </c>
    </row>
    <row r="1282" spans="1:6">
      <c r="A1282" t="str">
        <f>("90-42639")</f>
        <v>90-42639</v>
      </c>
      <c r="B1282" t="s">
        <v>6090</v>
      </c>
      <c r="C1282" t="s">
        <v>6874</v>
      </c>
      <c r="D1282" t="s">
        <v>5206</v>
      </c>
      <c r="E1282" t="s">
        <v>6873</v>
      </c>
      <c r="F1282">
        <v>162.17000000000002</v>
      </c>
    </row>
    <row r="1283" spans="1:6">
      <c r="A1283" t="str">
        <f>("90-42642")</f>
        <v>90-42642</v>
      </c>
      <c r="B1283" t="s">
        <v>6090</v>
      </c>
      <c r="C1283" t="s">
        <v>6871</v>
      </c>
      <c r="D1283" t="s">
        <v>5206</v>
      </c>
      <c r="E1283" t="s">
        <v>6872</v>
      </c>
      <c r="F1283">
        <v>404.33</v>
      </c>
    </row>
    <row r="1284" spans="1:6">
      <c r="A1284" t="str">
        <f>("90-42643")</f>
        <v>90-42643</v>
      </c>
      <c r="B1284" t="s">
        <v>6090</v>
      </c>
      <c r="C1284" t="s">
        <v>6871</v>
      </c>
      <c r="D1284" t="s">
        <v>5206</v>
      </c>
      <c r="E1284" t="s">
        <v>6870</v>
      </c>
      <c r="F1284">
        <v>579.66999999999996</v>
      </c>
    </row>
    <row r="1285" spans="1:6">
      <c r="A1285" t="str">
        <f>("90-42645")</f>
        <v>90-42645</v>
      </c>
      <c r="B1285" t="s">
        <v>6090</v>
      </c>
      <c r="C1285" t="s">
        <v>6869</v>
      </c>
      <c r="D1285" t="s">
        <v>5206</v>
      </c>
      <c r="E1285" t="s">
        <v>6868</v>
      </c>
      <c r="F1285">
        <v>51</v>
      </c>
    </row>
    <row r="1286" spans="1:6">
      <c r="A1286" t="str">
        <f>("90-42646")</f>
        <v>90-42646</v>
      </c>
      <c r="B1286" t="s">
        <v>6090</v>
      </c>
      <c r="C1286" t="s">
        <v>6753</v>
      </c>
      <c r="D1286" t="s">
        <v>5206</v>
      </c>
      <c r="E1286" t="s">
        <v>6867</v>
      </c>
      <c r="F1286">
        <v>559.5</v>
      </c>
    </row>
    <row r="1287" spans="1:6">
      <c r="A1287" t="str">
        <f>("90-42648")</f>
        <v>90-42648</v>
      </c>
      <c r="B1287" t="s">
        <v>6090</v>
      </c>
      <c r="C1287" t="s">
        <v>6753</v>
      </c>
      <c r="D1287" t="s">
        <v>5206</v>
      </c>
      <c r="E1287" t="s">
        <v>6866</v>
      </c>
      <c r="F1287">
        <v>391</v>
      </c>
    </row>
    <row r="1288" spans="1:6">
      <c r="A1288" t="str">
        <f>("90-42649")</f>
        <v>90-42649</v>
      </c>
      <c r="B1288" t="s">
        <v>6090</v>
      </c>
      <c r="C1288" t="s">
        <v>6865</v>
      </c>
      <c r="D1288" t="s">
        <v>5206</v>
      </c>
      <c r="E1288" t="s">
        <v>6864</v>
      </c>
      <c r="F1288">
        <v>42.33</v>
      </c>
    </row>
    <row r="1289" spans="1:6">
      <c r="A1289" t="str">
        <f>("90-42651")</f>
        <v>90-42651</v>
      </c>
      <c r="B1289" t="s">
        <v>6090</v>
      </c>
      <c r="C1289" t="s">
        <v>6753</v>
      </c>
      <c r="D1289" t="s">
        <v>5206</v>
      </c>
      <c r="E1289" t="s">
        <v>6863</v>
      </c>
      <c r="F1289">
        <v>451</v>
      </c>
    </row>
    <row r="1290" spans="1:6">
      <c r="A1290" t="str">
        <f>("90-42652")</f>
        <v>90-42652</v>
      </c>
      <c r="B1290" t="s">
        <v>6090</v>
      </c>
      <c r="C1290" t="s">
        <v>6830</v>
      </c>
      <c r="D1290" t="s">
        <v>5206</v>
      </c>
      <c r="E1290" t="s">
        <v>6862</v>
      </c>
      <c r="F1290">
        <v>107.67</v>
      </c>
    </row>
    <row r="1291" spans="1:6">
      <c r="A1291" t="str">
        <f>("90-42654")</f>
        <v>90-42654</v>
      </c>
      <c r="B1291" t="s">
        <v>6090</v>
      </c>
      <c r="C1291" t="s">
        <v>6861</v>
      </c>
      <c r="D1291" t="s">
        <v>5206</v>
      </c>
      <c r="E1291" t="s">
        <v>6860</v>
      </c>
      <c r="F1291">
        <v>137.67000000000002</v>
      </c>
    </row>
    <row r="1292" spans="1:6">
      <c r="A1292" t="str">
        <f>("90-42655")</f>
        <v>90-42655</v>
      </c>
      <c r="B1292" t="s">
        <v>6090</v>
      </c>
      <c r="C1292" t="s">
        <v>6853</v>
      </c>
      <c r="D1292" t="s">
        <v>5206</v>
      </c>
      <c r="E1292" t="s">
        <v>6833</v>
      </c>
      <c r="F1292">
        <v>61</v>
      </c>
    </row>
    <row r="1293" spans="1:6">
      <c r="A1293" t="str">
        <f>("90-42657")</f>
        <v>90-42657</v>
      </c>
      <c r="B1293" t="s">
        <v>6090</v>
      </c>
      <c r="C1293" t="s">
        <v>6832</v>
      </c>
      <c r="D1293" t="s">
        <v>5206</v>
      </c>
      <c r="E1293" t="s">
        <v>6859</v>
      </c>
      <c r="F1293">
        <v>63</v>
      </c>
    </row>
    <row r="1294" spans="1:6">
      <c r="A1294" t="str">
        <f>("90-42658")</f>
        <v>90-42658</v>
      </c>
      <c r="B1294" t="s">
        <v>6090</v>
      </c>
      <c r="C1294" t="s">
        <v>6766</v>
      </c>
      <c r="D1294" t="s">
        <v>5206</v>
      </c>
      <c r="E1294" t="s">
        <v>6858</v>
      </c>
      <c r="F1294">
        <v>159.66999999999999</v>
      </c>
    </row>
    <row r="1295" spans="1:6">
      <c r="A1295" t="str">
        <f>("90-42660")</f>
        <v>90-42660</v>
      </c>
      <c r="B1295" t="s">
        <v>6090</v>
      </c>
      <c r="C1295" t="s">
        <v>6830</v>
      </c>
      <c r="D1295" t="s">
        <v>5206</v>
      </c>
      <c r="E1295" t="s">
        <v>6857</v>
      </c>
      <c r="F1295">
        <v>73.67</v>
      </c>
    </row>
    <row r="1296" spans="1:6">
      <c r="A1296" t="str">
        <f>("90-42661")</f>
        <v>90-42661</v>
      </c>
      <c r="B1296" t="s">
        <v>6090</v>
      </c>
      <c r="C1296" t="s">
        <v>6846</v>
      </c>
      <c r="D1296" t="s">
        <v>5206</v>
      </c>
      <c r="E1296" t="s">
        <v>6856</v>
      </c>
      <c r="F1296">
        <v>159.5</v>
      </c>
    </row>
    <row r="1297" spans="1:6">
      <c r="A1297" t="str">
        <f>("90-42663")</f>
        <v>90-42663</v>
      </c>
      <c r="B1297" t="s">
        <v>6090</v>
      </c>
      <c r="C1297" t="s">
        <v>6855</v>
      </c>
      <c r="D1297" t="s">
        <v>5206</v>
      </c>
      <c r="E1297" t="s">
        <v>6854</v>
      </c>
      <c r="F1297">
        <v>88.33</v>
      </c>
    </row>
    <row r="1298" spans="1:6">
      <c r="A1298" t="str">
        <f>("90-42666")</f>
        <v>90-42666</v>
      </c>
      <c r="B1298" t="s">
        <v>6090</v>
      </c>
      <c r="C1298" t="s">
        <v>6853</v>
      </c>
      <c r="D1298" t="s">
        <v>5206</v>
      </c>
      <c r="E1298" t="s">
        <v>6852</v>
      </c>
      <c r="F1298">
        <v>89.67</v>
      </c>
    </row>
    <row r="1299" spans="1:6">
      <c r="A1299" t="str">
        <f>("90-42669")</f>
        <v>90-42669</v>
      </c>
      <c r="B1299" t="s">
        <v>6090</v>
      </c>
      <c r="C1299" t="s">
        <v>6836</v>
      </c>
      <c r="D1299" t="s">
        <v>5206</v>
      </c>
      <c r="E1299" t="s">
        <v>6851</v>
      </c>
      <c r="F1299">
        <v>248.33</v>
      </c>
    </row>
    <row r="1300" spans="1:6">
      <c r="A1300" t="str">
        <f>("90-42672")</f>
        <v>90-42672</v>
      </c>
      <c r="B1300" t="s">
        <v>6090</v>
      </c>
      <c r="C1300" t="s">
        <v>6753</v>
      </c>
      <c r="D1300" t="s">
        <v>5206</v>
      </c>
      <c r="E1300" t="s">
        <v>6850</v>
      </c>
      <c r="F1300">
        <v>261.66999999999996</v>
      </c>
    </row>
    <row r="1301" spans="1:6">
      <c r="A1301" t="str">
        <f>("90-42675")</f>
        <v>90-42675</v>
      </c>
      <c r="B1301" t="s">
        <v>6090</v>
      </c>
      <c r="C1301" t="s">
        <v>6753</v>
      </c>
      <c r="D1301" t="s">
        <v>5206</v>
      </c>
      <c r="E1301" t="s">
        <v>6849</v>
      </c>
      <c r="F1301">
        <v>277.66999999999996</v>
      </c>
    </row>
    <row r="1302" spans="1:6">
      <c r="A1302" t="str">
        <f>("90-42678")</f>
        <v>90-42678</v>
      </c>
      <c r="B1302" t="s">
        <v>6090</v>
      </c>
      <c r="C1302" t="s">
        <v>6753</v>
      </c>
      <c r="D1302" t="s">
        <v>5206</v>
      </c>
      <c r="E1302" t="s">
        <v>6848</v>
      </c>
      <c r="F1302">
        <v>301</v>
      </c>
    </row>
    <row r="1303" spans="1:6">
      <c r="A1303" t="str">
        <f>("90-42681")</f>
        <v>90-42681</v>
      </c>
      <c r="B1303" t="s">
        <v>6090</v>
      </c>
      <c r="C1303" t="s">
        <v>6766</v>
      </c>
      <c r="D1303" t="s">
        <v>5206</v>
      </c>
      <c r="E1303" t="s">
        <v>6847</v>
      </c>
      <c r="F1303">
        <v>124.33</v>
      </c>
    </row>
    <row r="1304" spans="1:6">
      <c r="A1304" t="str">
        <f>("90-42684")</f>
        <v>90-42684</v>
      </c>
      <c r="B1304" t="s">
        <v>6090</v>
      </c>
      <c r="C1304" t="s">
        <v>6846</v>
      </c>
      <c r="D1304" t="s">
        <v>5206</v>
      </c>
      <c r="E1304" t="s">
        <v>6845</v>
      </c>
      <c r="F1304">
        <v>337.67</v>
      </c>
    </row>
    <row r="1305" spans="1:6">
      <c r="A1305" t="str">
        <f>("90-42687")</f>
        <v>90-42687</v>
      </c>
      <c r="B1305" t="s">
        <v>6090</v>
      </c>
      <c r="C1305" t="s">
        <v>6844</v>
      </c>
      <c r="D1305" t="s">
        <v>5206</v>
      </c>
      <c r="E1305" t="s">
        <v>6843</v>
      </c>
      <c r="F1305">
        <v>104.33</v>
      </c>
    </row>
    <row r="1306" spans="1:6">
      <c r="A1306" t="str">
        <f>("90-42690")</f>
        <v>90-42690</v>
      </c>
      <c r="B1306" t="s">
        <v>6090</v>
      </c>
      <c r="C1306" t="s">
        <v>6842</v>
      </c>
      <c r="D1306" t="s">
        <v>5206</v>
      </c>
      <c r="E1306" t="s">
        <v>6841</v>
      </c>
      <c r="F1306">
        <v>105.67</v>
      </c>
    </row>
    <row r="1307" spans="1:6">
      <c r="A1307" t="str">
        <f>("90-42693")</f>
        <v>90-42693</v>
      </c>
      <c r="B1307" t="s">
        <v>6090</v>
      </c>
      <c r="C1307" t="s">
        <v>6830</v>
      </c>
      <c r="D1307" t="s">
        <v>5206</v>
      </c>
      <c r="E1307" t="s">
        <v>6840</v>
      </c>
      <c r="F1307">
        <v>73.67</v>
      </c>
    </row>
    <row r="1308" spans="1:6">
      <c r="A1308" t="str">
        <f>("90-42739")</f>
        <v>90-42739</v>
      </c>
      <c r="B1308" t="s">
        <v>6090</v>
      </c>
      <c r="C1308" t="s">
        <v>6839</v>
      </c>
      <c r="D1308" t="s">
        <v>5206</v>
      </c>
      <c r="E1308" t="s">
        <v>6838</v>
      </c>
      <c r="F1308">
        <v>237</v>
      </c>
    </row>
    <row r="1309" spans="1:6">
      <c r="A1309" t="str">
        <f>("90-42740")</f>
        <v>90-42740</v>
      </c>
      <c r="B1309" t="s">
        <v>6090</v>
      </c>
      <c r="C1309" t="s">
        <v>6830</v>
      </c>
      <c r="D1309" t="s">
        <v>5206</v>
      </c>
      <c r="E1309" t="s">
        <v>6837</v>
      </c>
      <c r="F1309">
        <v>57</v>
      </c>
    </row>
    <row r="1310" spans="1:6">
      <c r="A1310" t="str">
        <f>("90-42742")</f>
        <v>90-42742</v>
      </c>
      <c r="B1310" t="s">
        <v>6090</v>
      </c>
      <c r="C1310" t="s">
        <v>6836</v>
      </c>
      <c r="D1310" t="s">
        <v>5206</v>
      </c>
      <c r="E1310" t="s">
        <v>6835</v>
      </c>
      <c r="F1310">
        <v>89</v>
      </c>
    </row>
    <row r="1311" spans="1:6">
      <c r="A1311" t="str">
        <f>("90-42744")</f>
        <v>90-42744</v>
      </c>
      <c r="B1311" t="s">
        <v>6090</v>
      </c>
      <c r="C1311" t="s">
        <v>6834</v>
      </c>
      <c r="D1311" t="s">
        <v>5206</v>
      </c>
      <c r="E1311" t="s">
        <v>6833</v>
      </c>
      <c r="F1311">
        <v>79.67</v>
      </c>
    </row>
    <row r="1312" spans="1:6">
      <c r="A1312" t="str">
        <f>("90-42745")</f>
        <v>90-42745</v>
      </c>
      <c r="B1312" t="s">
        <v>6090</v>
      </c>
      <c r="C1312" t="s">
        <v>6832</v>
      </c>
      <c r="D1312" t="s">
        <v>5206</v>
      </c>
      <c r="E1312" t="s">
        <v>6831</v>
      </c>
      <c r="F1312">
        <v>73.67</v>
      </c>
    </row>
    <row r="1313" spans="1:6">
      <c r="A1313" t="str">
        <f>("90-42746")</f>
        <v>90-42746</v>
      </c>
      <c r="B1313" t="s">
        <v>6090</v>
      </c>
      <c r="C1313" t="s">
        <v>6830</v>
      </c>
      <c r="D1313" t="s">
        <v>5206</v>
      </c>
      <c r="E1313" t="s">
        <v>6829</v>
      </c>
      <c r="F1313">
        <v>120.33</v>
      </c>
    </row>
    <row r="1314" spans="1:6">
      <c r="A1314" t="str">
        <f>("90-42747")</f>
        <v>90-42747</v>
      </c>
      <c r="B1314" t="s">
        <v>6090</v>
      </c>
      <c r="C1314" t="s">
        <v>6828</v>
      </c>
      <c r="D1314" t="s">
        <v>5206</v>
      </c>
      <c r="E1314" t="s">
        <v>6827</v>
      </c>
      <c r="F1314">
        <v>167</v>
      </c>
    </row>
    <row r="1315" spans="1:6">
      <c r="A1315" t="str">
        <f>("90-42748")</f>
        <v>90-42748</v>
      </c>
      <c r="B1315" t="s">
        <v>6090</v>
      </c>
      <c r="C1315" t="s">
        <v>6826</v>
      </c>
      <c r="D1315" t="s">
        <v>5206</v>
      </c>
      <c r="E1315" t="s">
        <v>6825</v>
      </c>
      <c r="F1315">
        <v>465</v>
      </c>
    </row>
    <row r="1316" spans="1:6">
      <c r="A1316" t="str">
        <f>("90-42749")</f>
        <v>90-42749</v>
      </c>
      <c r="B1316" t="s">
        <v>6090</v>
      </c>
      <c r="C1316" t="s">
        <v>6753</v>
      </c>
      <c r="D1316" t="s">
        <v>5206</v>
      </c>
      <c r="E1316" t="s">
        <v>6824</v>
      </c>
      <c r="F1316">
        <v>595.66999999999996</v>
      </c>
    </row>
    <row r="1317" spans="1:6">
      <c r="A1317" t="str">
        <f>("90-42752")</f>
        <v>90-42752</v>
      </c>
      <c r="B1317" t="s">
        <v>6090</v>
      </c>
      <c r="C1317" t="s">
        <v>6823</v>
      </c>
      <c r="D1317" t="s">
        <v>5206</v>
      </c>
      <c r="E1317" t="s">
        <v>6823</v>
      </c>
      <c r="F1317">
        <v>71.5</v>
      </c>
    </row>
    <row r="1318" spans="1:6">
      <c r="A1318" t="str">
        <f>("90-42753")</f>
        <v>90-42753</v>
      </c>
      <c r="B1318" t="s">
        <v>6090</v>
      </c>
      <c r="C1318" t="s">
        <v>6822</v>
      </c>
      <c r="D1318" t="s">
        <v>5206</v>
      </c>
      <c r="E1318" t="s">
        <v>6821</v>
      </c>
      <c r="F1318">
        <v>55</v>
      </c>
    </row>
    <row r="1319" spans="1:6">
      <c r="A1319" t="str">
        <f>("90-42754")</f>
        <v>90-42754</v>
      </c>
      <c r="B1319" t="s">
        <v>6090</v>
      </c>
      <c r="C1319" t="s">
        <v>6820</v>
      </c>
      <c r="D1319" t="s">
        <v>5206</v>
      </c>
      <c r="E1319" t="s">
        <v>6819</v>
      </c>
      <c r="F1319">
        <v>276.33000000000004</v>
      </c>
    </row>
    <row r="1320" spans="1:6">
      <c r="A1320" t="str">
        <f>("90-42755")</f>
        <v>90-42755</v>
      </c>
      <c r="B1320" t="s">
        <v>6090</v>
      </c>
      <c r="C1320" t="s">
        <v>6818</v>
      </c>
      <c r="D1320" t="s">
        <v>5206</v>
      </c>
      <c r="E1320" t="s">
        <v>6817</v>
      </c>
      <c r="F1320">
        <v>359</v>
      </c>
    </row>
    <row r="1321" spans="1:6">
      <c r="A1321" t="str">
        <f>("90-42756")</f>
        <v>90-42756</v>
      </c>
      <c r="B1321" t="s">
        <v>6090</v>
      </c>
      <c r="C1321" t="s">
        <v>6816</v>
      </c>
      <c r="D1321" t="s">
        <v>5206</v>
      </c>
      <c r="E1321" t="s">
        <v>6815</v>
      </c>
      <c r="F1321">
        <v>399</v>
      </c>
    </row>
    <row r="1322" spans="1:6">
      <c r="A1322" t="str">
        <f>("90-42759")</f>
        <v>90-42759</v>
      </c>
      <c r="B1322" t="s">
        <v>6090</v>
      </c>
      <c r="C1322" t="s">
        <v>6814</v>
      </c>
      <c r="D1322" t="s">
        <v>5206</v>
      </c>
      <c r="E1322" t="s">
        <v>6813</v>
      </c>
      <c r="F1322">
        <v>49.67</v>
      </c>
    </row>
    <row r="1323" spans="1:6">
      <c r="A1323" t="str">
        <f>("90-42760")</f>
        <v>90-42760</v>
      </c>
      <c r="B1323" t="s">
        <v>6090</v>
      </c>
      <c r="C1323" t="s">
        <v>6812</v>
      </c>
      <c r="D1323" t="s">
        <v>5206</v>
      </c>
      <c r="E1323" t="s">
        <v>6811</v>
      </c>
      <c r="F1323">
        <v>95</v>
      </c>
    </row>
    <row r="1324" spans="1:6">
      <c r="A1324" t="str">
        <f>("90-42761")</f>
        <v>90-42761</v>
      </c>
      <c r="B1324" t="s">
        <v>6090</v>
      </c>
      <c r="C1324" t="s">
        <v>6810</v>
      </c>
      <c r="D1324" t="s">
        <v>5206</v>
      </c>
      <c r="E1324" t="s">
        <v>6809</v>
      </c>
      <c r="F1324">
        <v>52.33</v>
      </c>
    </row>
    <row r="1325" spans="1:6">
      <c r="A1325" t="str">
        <f>("90-42762")</f>
        <v>90-42762</v>
      </c>
      <c r="B1325" t="s">
        <v>6090</v>
      </c>
      <c r="C1325" t="s">
        <v>6808</v>
      </c>
      <c r="D1325" t="s">
        <v>5206</v>
      </c>
      <c r="E1325" t="s">
        <v>6807</v>
      </c>
      <c r="F1325">
        <v>44.33</v>
      </c>
    </row>
    <row r="1326" spans="1:6">
      <c r="A1326" t="str">
        <f>("90-42763")</f>
        <v>90-42763</v>
      </c>
      <c r="B1326" t="s">
        <v>6090</v>
      </c>
      <c r="C1326" t="s">
        <v>6806</v>
      </c>
      <c r="D1326" t="s">
        <v>5206</v>
      </c>
      <c r="E1326" t="s">
        <v>6805</v>
      </c>
      <c r="F1326">
        <v>134.32999999999998</v>
      </c>
    </row>
    <row r="1327" spans="1:6">
      <c r="A1327" t="str">
        <f>("90-42764")</f>
        <v>90-42764</v>
      </c>
      <c r="B1327" t="s">
        <v>6090</v>
      </c>
      <c r="C1327" t="s">
        <v>6804</v>
      </c>
      <c r="D1327" t="s">
        <v>5206</v>
      </c>
      <c r="E1327" t="s">
        <v>6803</v>
      </c>
      <c r="F1327">
        <v>41.67</v>
      </c>
    </row>
    <row r="1328" spans="1:6">
      <c r="A1328" t="str">
        <f>("90-42765")</f>
        <v>90-42765</v>
      </c>
      <c r="B1328" t="s">
        <v>6090</v>
      </c>
      <c r="C1328" t="s">
        <v>6802</v>
      </c>
      <c r="D1328" t="s">
        <v>5206</v>
      </c>
      <c r="E1328" t="s">
        <v>6801</v>
      </c>
      <c r="F1328">
        <v>186.33</v>
      </c>
    </row>
    <row r="1329" spans="1:6">
      <c r="A1329" t="str">
        <f>("90-42766")</f>
        <v>90-42766</v>
      </c>
      <c r="B1329" t="s">
        <v>6090</v>
      </c>
      <c r="C1329" t="s">
        <v>6800</v>
      </c>
      <c r="D1329" t="s">
        <v>5206</v>
      </c>
      <c r="E1329" t="s">
        <v>6799</v>
      </c>
      <c r="F1329">
        <v>50.33</v>
      </c>
    </row>
    <row r="1330" spans="1:6">
      <c r="A1330" t="str">
        <f>("90-42767")</f>
        <v>90-42767</v>
      </c>
      <c r="B1330" t="s">
        <v>6090</v>
      </c>
      <c r="C1330" t="s">
        <v>6798</v>
      </c>
      <c r="D1330" t="s">
        <v>5206</v>
      </c>
      <c r="E1330" t="s">
        <v>6797</v>
      </c>
      <c r="F1330">
        <v>69.67</v>
      </c>
    </row>
    <row r="1331" spans="1:6">
      <c r="A1331" t="str">
        <f>("90-42768")</f>
        <v>90-42768</v>
      </c>
      <c r="B1331" t="s">
        <v>6090</v>
      </c>
      <c r="C1331" t="s">
        <v>6796</v>
      </c>
      <c r="D1331" t="s">
        <v>5206</v>
      </c>
      <c r="E1331" t="s">
        <v>6795</v>
      </c>
      <c r="F1331">
        <v>83</v>
      </c>
    </row>
    <row r="1332" spans="1:6">
      <c r="A1332" t="str">
        <f>("90-42769")</f>
        <v>90-42769</v>
      </c>
      <c r="B1332" t="s">
        <v>6090</v>
      </c>
      <c r="C1332" t="s">
        <v>6794</v>
      </c>
      <c r="D1332" t="s">
        <v>5206</v>
      </c>
      <c r="E1332" t="s">
        <v>6793</v>
      </c>
      <c r="F1332">
        <v>49.67</v>
      </c>
    </row>
    <row r="1333" spans="1:6">
      <c r="A1333" t="str">
        <f>("90-42770")</f>
        <v>90-42770</v>
      </c>
      <c r="B1333" t="s">
        <v>6090</v>
      </c>
      <c r="C1333" t="s">
        <v>6792</v>
      </c>
      <c r="D1333" t="s">
        <v>5206</v>
      </c>
      <c r="E1333" t="s">
        <v>6791</v>
      </c>
      <c r="F1333">
        <v>339</v>
      </c>
    </row>
    <row r="1334" spans="1:6">
      <c r="A1334" t="str">
        <f>("90-42771")</f>
        <v>90-42771</v>
      </c>
      <c r="B1334" t="s">
        <v>6090</v>
      </c>
      <c r="C1334" t="s">
        <v>6790</v>
      </c>
      <c r="D1334" t="s">
        <v>5206</v>
      </c>
      <c r="E1334" t="s">
        <v>6789</v>
      </c>
      <c r="F1334">
        <v>47</v>
      </c>
    </row>
    <row r="1335" spans="1:6">
      <c r="A1335" t="str">
        <f>("90-42772")</f>
        <v>90-42772</v>
      </c>
      <c r="B1335" t="s">
        <v>6090</v>
      </c>
      <c r="C1335" t="s">
        <v>6788</v>
      </c>
      <c r="D1335" t="s">
        <v>5206</v>
      </c>
      <c r="E1335" t="s">
        <v>6787</v>
      </c>
      <c r="F1335">
        <v>193</v>
      </c>
    </row>
    <row r="1336" spans="1:6">
      <c r="A1336" t="str">
        <f>("90-42774")</f>
        <v>90-42774</v>
      </c>
      <c r="B1336" t="s">
        <v>6090</v>
      </c>
      <c r="C1336" t="s">
        <v>6786</v>
      </c>
      <c r="D1336" t="s">
        <v>5206</v>
      </c>
      <c r="E1336" t="s">
        <v>6785</v>
      </c>
      <c r="F1336">
        <v>71</v>
      </c>
    </row>
    <row r="1337" spans="1:6">
      <c r="A1337" t="str">
        <f>("90-42775")</f>
        <v>90-42775</v>
      </c>
      <c r="B1337" t="s">
        <v>6090</v>
      </c>
      <c r="C1337" t="s">
        <v>6784</v>
      </c>
      <c r="D1337" t="s">
        <v>5206</v>
      </c>
      <c r="E1337" t="s">
        <v>6783</v>
      </c>
      <c r="F1337">
        <v>45.67</v>
      </c>
    </row>
    <row r="1338" spans="1:6">
      <c r="A1338" t="str">
        <f>("90-42776")</f>
        <v>90-42776</v>
      </c>
      <c r="B1338" t="s">
        <v>6090</v>
      </c>
      <c r="C1338" t="s">
        <v>6782</v>
      </c>
      <c r="D1338" t="s">
        <v>5206</v>
      </c>
      <c r="E1338" t="s">
        <v>6781</v>
      </c>
      <c r="F1338">
        <v>47</v>
      </c>
    </row>
    <row r="1339" spans="1:6">
      <c r="A1339" t="str">
        <f>("90-42777")</f>
        <v>90-42777</v>
      </c>
      <c r="B1339" t="s">
        <v>6090</v>
      </c>
      <c r="C1339" t="s">
        <v>6780</v>
      </c>
      <c r="D1339" t="s">
        <v>5206</v>
      </c>
      <c r="E1339" t="s">
        <v>6779</v>
      </c>
      <c r="F1339">
        <v>59</v>
      </c>
    </row>
    <row r="1340" spans="1:6">
      <c r="A1340" t="str">
        <f>("90-42778")</f>
        <v>90-42778</v>
      </c>
      <c r="B1340" t="s">
        <v>6090</v>
      </c>
      <c r="C1340" t="s">
        <v>6778</v>
      </c>
      <c r="D1340" t="s">
        <v>5206</v>
      </c>
      <c r="E1340" t="s">
        <v>6777</v>
      </c>
      <c r="F1340">
        <v>61.67</v>
      </c>
    </row>
    <row r="1341" spans="1:6">
      <c r="A1341" t="str">
        <f>("90-42779")</f>
        <v>90-42779</v>
      </c>
      <c r="B1341" t="s">
        <v>6090</v>
      </c>
      <c r="C1341" t="s">
        <v>6776</v>
      </c>
      <c r="D1341" t="s">
        <v>5206</v>
      </c>
      <c r="E1341" t="s">
        <v>6775</v>
      </c>
      <c r="F1341">
        <v>75</v>
      </c>
    </row>
    <row r="1342" spans="1:6">
      <c r="A1342" t="str">
        <f>("90-42780")</f>
        <v>90-42780</v>
      </c>
      <c r="B1342" t="s">
        <v>6090</v>
      </c>
      <c r="C1342" t="s">
        <v>6774</v>
      </c>
      <c r="D1342" t="s">
        <v>5206</v>
      </c>
      <c r="E1342" t="s">
        <v>6773</v>
      </c>
      <c r="F1342">
        <v>83</v>
      </c>
    </row>
    <row r="1343" spans="1:6">
      <c r="A1343" t="str">
        <f>("90-42781")</f>
        <v>90-42781</v>
      </c>
      <c r="B1343" t="s">
        <v>6090</v>
      </c>
      <c r="C1343" t="s">
        <v>6772</v>
      </c>
      <c r="D1343" t="s">
        <v>5206</v>
      </c>
      <c r="E1343" t="s">
        <v>6771</v>
      </c>
      <c r="F1343">
        <v>46.17</v>
      </c>
    </row>
    <row r="1344" spans="1:6">
      <c r="A1344" t="str">
        <f>("90-42782")</f>
        <v>90-42782</v>
      </c>
      <c r="B1344" t="s">
        <v>6090</v>
      </c>
      <c r="C1344" t="s">
        <v>6770</v>
      </c>
      <c r="D1344" t="s">
        <v>5206</v>
      </c>
      <c r="E1344" t="s">
        <v>6769</v>
      </c>
      <c r="F1344">
        <v>239.67</v>
      </c>
    </row>
    <row r="1345" spans="1:6">
      <c r="A1345" t="str">
        <f>("95095")</f>
        <v>95095</v>
      </c>
      <c r="B1345" t="s">
        <v>6090</v>
      </c>
      <c r="C1345" t="s">
        <v>6768</v>
      </c>
      <c r="F1345">
        <v>1809.33</v>
      </c>
    </row>
    <row r="1346" spans="1:6">
      <c r="A1346" t="str">
        <f>("98-10880")</f>
        <v>98-10880</v>
      </c>
      <c r="B1346" t="s">
        <v>6090</v>
      </c>
      <c r="C1346" t="s">
        <v>6766</v>
      </c>
      <c r="D1346" t="s">
        <v>5206</v>
      </c>
      <c r="E1346" t="s">
        <v>6767</v>
      </c>
      <c r="F1346">
        <v>138.32999999999998</v>
      </c>
    </row>
    <row r="1347" spans="1:6">
      <c r="A1347" t="str">
        <f>("S100233-01")</f>
        <v>S100233-01</v>
      </c>
      <c r="B1347" t="s">
        <v>6090</v>
      </c>
      <c r="C1347" t="s">
        <v>6766</v>
      </c>
      <c r="D1347" t="s">
        <v>5206</v>
      </c>
      <c r="E1347" t="s">
        <v>6765</v>
      </c>
      <c r="F1347">
        <v>202.33</v>
      </c>
    </row>
    <row r="1348" spans="1:6">
      <c r="A1348" t="str">
        <f>("S100501")</f>
        <v>S100501</v>
      </c>
      <c r="B1348" t="s">
        <v>6090</v>
      </c>
      <c r="C1348" t="s">
        <v>6764</v>
      </c>
      <c r="D1348" t="s">
        <v>5206</v>
      </c>
      <c r="E1348" t="s">
        <v>6763</v>
      </c>
      <c r="F1348">
        <v>227.33</v>
      </c>
    </row>
    <row r="1349" spans="1:6">
      <c r="A1349" t="str">
        <f>("S100507")</f>
        <v>S100507</v>
      </c>
      <c r="B1349" t="s">
        <v>6090</v>
      </c>
      <c r="C1349" t="s">
        <v>6759</v>
      </c>
      <c r="D1349" t="s">
        <v>5206</v>
      </c>
      <c r="E1349" t="s">
        <v>6762</v>
      </c>
      <c r="F1349">
        <v>296.66999999999996</v>
      </c>
    </row>
    <row r="1350" spans="1:6">
      <c r="A1350" t="str">
        <f>("S103138-01")</f>
        <v>S103138-01</v>
      </c>
      <c r="B1350" t="s">
        <v>6090</v>
      </c>
      <c r="C1350" t="s">
        <v>6761</v>
      </c>
      <c r="D1350" t="s">
        <v>5206</v>
      </c>
      <c r="E1350" t="s">
        <v>6760</v>
      </c>
      <c r="F1350">
        <v>20.83</v>
      </c>
    </row>
    <row r="1351" spans="1:6">
      <c r="A1351" t="str">
        <f>("S105650")</f>
        <v>S105650</v>
      </c>
      <c r="B1351" t="s">
        <v>6090</v>
      </c>
      <c r="C1351" t="s">
        <v>6759</v>
      </c>
      <c r="D1351" t="s">
        <v>5206</v>
      </c>
      <c r="E1351" t="s">
        <v>6758</v>
      </c>
      <c r="F1351">
        <v>55.5</v>
      </c>
    </row>
    <row r="1352" spans="1:6">
      <c r="A1352" t="str">
        <f>("S106058")</f>
        <v>S106058</v>
      </c>
      <c r="B1352" t="s">
        <v>6090</v>
      </c>
      <c r="C1352" t="s">
        <v>6757</v>
      </c>
      <c r="D1352" t="s">
        <v>5206</v>
      </c>
      <c r="E1352" t="s">
        <v>6756</v>
      </c>
      <c r="F1352">
        <v>97</v>
      </c>
    </row>
    <row r="1353" spans="1:6">
      <c r="A1353" t="str">
        <f>("S106100")</f>
        <v>S106100</v>
      </c>
      <c r="B1353" t="s">
        <v>6090</v>
      </c>
      <c r="C1353" t="s">
        <v>6753</v>
      </c>
      <c r="D1353" t="s">
        <v>5206</v>
      </c>
      <c r="E1353" t="s">
        <v>6755</v>
      </c>
      <c r="F1353">
        <v>1077</v>
      </c>
    </row>
    <row r="1354" spans="1:6">
      <c r="A1354" t="str">
        <f>("S106102")</f>
        <v>S106102</v>
      </c>
      <c r="B1354" t="s">
        <v>6090</v>
      </c>
      <c r="C1354" t="s">
        <v>6753</v>
      </c>
      <c r="D1354" t="s">
        <v>5206</v>
      </c>
      <c r="E1354" t="s">
        <v>6754</v>
      </c>
      <c r="F1354">
        <v>1013</v>
      </c>
    </row>
    <row r="1355" spans="1:6">
      <c r="A1355" t="str">
        <f>("S106104")</f>
        <v>S106104</v>
      </c>
      <c r="B1355" t="s">
        <v>6090</v>
      </c>
      <c r="C1355" t="s">
        <v>6753</v>
      </c>
      <c r="D1355" t="s">
        <v>5206</v>
      </c>
      <c r="E1355" t="s">
        <v>6752</v>
      </c>
      <c r="F1355">
        <v>993</v>
      </c>
    </row>
    <row r="1356" spans="1:6">
      <c r="A1356" t="str">
        <f>("50-2000")</f>
        <v>50-2000</v>
      </c>
      <c r="B1356" t="s">
        <v>5152</v>
      </c>
      <c r="C1356" t="s">
        <v>6745</v>
      </c>
      <c r="D1356" t="s">
        <v>5206</v>
      </c>
      <c r="E1356" t="s">
        <v>6751</v>
      </c>
      <c r="F1356">
        <v>317</v>
      </c>
    </row>
    <row r="1357" spans="1:6">
      <c r="A1357" t="str">
        <f>("50-2010")</f>
        <v>50-2010</v>
      </c>
      <c r="B1357" t="s">
        <v>5152</v>
      </c>
      <c r="C1357" t="s">
        <v>6745</v>
      </c>
      <c r="D1357" t="s">
        <v>5206</v>
      </c>
      <c r="E1357" t="s">
        <v>6750</v>
      </c>
      <c r="F1357">
        <v>383.33</v>
      </c>
    </row>
    <row r="1358" spans="1:6">
      <c r="A1358" t="str">
        <f>("50-2020")</f>
        <v>50-2020</v>
      </c>
      <c r="B1358" t="s">
        <v>5152</v>
      </c>
      <c r="C1358" t="s">
        <v>6745</v>
      </c>
      <c r="D1358" t="s">
        <v>5150</v>
      </c>
      <c r="E1358" t="s">
        <v>6749</v>
      </c>
      <c r="F1358">
        <v>383.33</v>
      </c>
    </row>
    <row r="1359" spans="1:6">
      <c r="A1359" t="str">
        <f>("50-2030")</f>
        <v>50-2030</v>
      </c>
      <c r="B1359" t="s">
        <v>5152</v>
      </c>
      <c r="C1359" t="s">
        <v>6745</v>
      </c>
      <c r="D1359" t="s">
        <v>6744</v>
      </c>
      <c r="E1359" t="s">
        <v>6748</v>
      </c>
      <c r="F1359">
        <v>426</v>
      </c>
    </row>
    <row r="1360" spans="1:6">
      <c r="A1360" t="str">
        <f>("50-2040")</f>
        <v>50-2040</v>
      </c>
      <c r="B1360" t="s">
        <v>5152</v>
      </c>
      <c r="C1360" t="s">
        <v>6745</v>
      </c>
      <c r="D1360" t="s">
        <v>6744</v>
      </c>
      <c r="E1360" t="s">
        <v>6747</v>
      </c>
      <c r="F1360">
        <v>426</v>
      </c>
    </row>
    <row r="1361" spans="1:6">
      <c r="A1361" t="str">
        <f>("50-2050")</f>
        <v>50-2050</v>
      </c>
      <c r="B1361" t="s">
        <v>5152</v>
      </c>
      <c r="C1361" t="s">
        <v>6745</v>
      </c>
      <c r="D1361" t="s">
        <v>5174</v>
      </c>
      <c r="E1361" t="s">
        <v>6746</v>
      </c>
      <c r="F1361">
        <v>467.33</v>
      </c>
    </row>
    <row r="1362" spans="1:6">
      <c r="A1362" t="str">
        <f>("50-2070")</f>
        <v>50-2070</v>
      </c>
      <c r="B1362" t="s">
        <v>5152</v>
      </c>
      <c r="C1362" t="s">
        <v>6745</v>
      </c>
      <c r="D1362" t="s">
        <v>6744</v>
      </c>
      <c r="E1362" t="s">
        <v>6743</v>
      </c>
      <c r="F1362">
        <v>507.33</v>
      </c>
    </row>
    <row r="1363" spans="1:6">
      <c r="A1363" t="str">
        <f>("50-2785")</f>
        <v>50-2785</v>
      </c>
      <c r="B1363" t="s">
        <v>5152</v>
      </c>
      <c r="C1363" t="s">
        <v>6713</v>
      </c>
      <c r="D1363" t="s">
        <v>5150</v>
      </c>
      <c r="E1363" t="s">
        <v>6742</v>
      </c>
      <c r="F1363">
        <v>282</v>
      </c>
    </row>
    <row r="1364" spans="1:6">
      <c r="A1364" t="str">
        <f>("50-6105")</f>
        <v>50-6105</v>
      </c>
      <c r="B1364" t="s">
        <v>5152</v>
      </c>
      <c r="C1364" t="s">
        <v>6713</v>
      </c>
      <c r="D1364" t="s">
        <v>5174</v>
      </c>
      <c r="E1364" t="s">
        <v>6741</v>
      </c>
      <c r="F1364">
        <v>282</v>
      </c>
    </row>
    <row r="1365" spans="1:6">
      <c r="A1365" t="str">
        <f>("50-6115")</f>
        <v>50-6115</v>
      </c>
      <c r="B1365" t="s">
        <v>5152</v>
      </c>
      <c r="C1365" t="s">
        <v>6713</v>
      </c>
      <c r="D1365" t="s">
        <v>5174</v>
      </c>
      <c r="E1365" t="s">
        <v>6740</v>
      </c>
      <c r="F1365">
        <v>290</v>
      </c>
    </row>
    <row r="1366" spans="1:6">
      <c r="A1366" t="str">
        <f>("50-6125")</f>
        <v>50-6125</v>
      </c>
      <c r="B1366" t="s">
        <v>5152</v>
      </c>
      <c r="C1366" t="s">
        <v>6713</v>
      </c>
      <c r="D1366" t="s">
        <v>5174</v>
      </c>
      <c r="E1366" t="s">
        <v>6739</v>
      </c>
      <c r="F1366">
        <v>290</v>
      </c>
    </row>
    <row r="1367" spans="1:6">
      <c r="A1367" t="str">
        <f>("50-6135")</f>
        <v>50-6135</v>
      </c>
      <c r="B1367" t="s">
        <v>5152</v>
      </c>
      <c r="C1367" t="s">
        <v>6713</v>
      </c>
      <c r="D1367" t="s">
        <v>5174</v>
      </c>
      <c r="E1367" t="s">
        <v>6738</v>
      </c>
      <c r="F1367">
        <v>355</v>
      </c>
    </row>
    <row r="1368" spans="1:6">
      <c r="A1368" t="str">
        <f>("50-6145")</f>
        <v>50-6145</v>
      </c>
      <c r="B1368" t="s">
        <v>5152</v>
      </c>
      <c r="C1368" t="s">
        <v>6713</v>
      </c>
      <c r="D1368" t="s">
        <v>5163</v>
      </c>
      <c r="E1368" t="s">
        <v>6737</v>
      </c>
      <c r="F1368">
        <v>290</v>
      </c>
    </row>
    <row r="1369" spans="1:6">
      <c r="A1369" t="str">
        <f>("50-6155")</f>
        <v>50-6155</v>
      </c>
      <c r="B1369" t="s">
        <v>5152</v>
      </c>
      <c r="C1369" t="s">
        <v>6713</v>
      </c>
      <c r="D1369" t="s">
        <v>5163</v>
      </c>
      <c r="E1369" t="s">
        <v>6736</v>
      </c>
      <c r="F1369">
        <v>282</v>
      </c>
    </row>
    <row r="1370" spans="1:6">
      <c r="A1370" t="str">
        <f>("50-6165")</f>
        <v>50-6165</v>
      </c>
      <c r="B1370" t="s">
        <v>5152</v>
      </c>
      <c r="C1370" t="s">
        <v>6713</v>
      </c>
      <c r="D1370" t="s">
        <v>5163</v>
      </c>
      <c r="E1370" t="s">
        <v>6735</v>
      </c>
      <c r="F1370">
        <v>355</v>
      </c>
    </row>
    <row r="1371" spans="1:6">
      <c r="A1371" t="str">
        <f>("50-6175")</f>
        <v>50-6175</v>
      </c>
      <c r="B1371" t="s">
        <v>5152</v>
      </c>
      <c r="C1371" t="s">
        <v>6713</v>
      </c>
      <c r="D1371" t="s">
        <v>5163</v>
      </c>
      <c r="E1371" t="s">
        <v>6734</v>
      </c>
      <c r="F1371">
        <v>290</v>
      </c>
    </row>
    <row r="1372" spans="1:6">
      <c r="A1372" t="str">
        <f>("50-6195")</f>
        <v>50-6195</v>
      </c>
      <c r="B1372" t="s">
        <v>5152</v>
      </c>
      <c r="C1372" t="s">
        <v>6713</v>
      </c>
      <c r="D1372" t="s">
        <v>5181</v>
      </c>
      <c r="E1372" t="s">
        <v>6733</v>
      </c>
      <c r="F1372">
        <v>290</v>
      </c>
    </row>
    <row r="1373" spans="1:6">
      <c r="A1373" t="str">
        <f>("50-6205")</f>
        <v>50-6205</v>
      </c>
      <c r="B1373" t="s">
        <v>5152</v>
      </c>
      <c r="C1373" t="s">
        <v>6713</v>
      </c>
      <c r="D1373" t="s">
        <v>5181</v>
      </c>
      <c r="E1373" t="s">
        <v>6732</v>
      </c>
      <c r="F1373">
        <v>282</v>
      </c>
    </row>
    <row r="1374" spans="1:6">
      <c r="A1374" t="str">
        <f>("50-6215")</f>
        <v>50-6215</v>
      </c>
      <c r="B1374" t="s">
        <v>5152</v>
      </c>
      <c r="C1374" t="s">
        <v>6713</v>
      </c>
      <c r="D1374" t="s">
        <v>5150</v>
      </c>
      <c r="E1374" t="s">
        <v>6731</v>
      </c>
      <c r="F1374">
        <v>290</v>
      </c>
    </row>
    <row r="1375" spans="1:6">
      <c r="A1375" t="str">
        <f>("50-6225")</f>
        <v>50-6225</v>
      </c>
      <c r="B1375" t="s">
        <v>5152</v>
      </c>
      <c r="C1375" t="s">
        <v>6713</v>
      </c>
      <c r="D1375" t="s">
        <v>5150</v>
      </c>
      <c r="E1375" t="s">
        <v>6730</v>
      </c>
      <c r="F1375">
        <v>372.67</v>
      </c>
    </row>
    <row r="1376" spans="1:6">
      <c r="A1376" t="str">
        <f>("50-6235")</f>
        <v>50-6235</v>
      </c>
      <c r="B1376" t="s">
        <v>5152</v>
      </c>
      <c r="C1376" t="s">
        <v>6713</v>
      </c>
      <c r="D1376" t="s">
        <v>5150</v>
      </c>
      <c r="E1376" t="s">
        <v>6729</v>
      </c>
      <c r="F1376">
        <v>282</v>
      </c>
    </row>
    <row r="1377" spans="1:6">
      <c r="A1377" t="str">
        <f>("50-6245")</f>
        <v>50-6245</v>
      </c>
      <c r="B1377" t="s">
        <v>5152</v>
      </c>
      <c r="C1377" t="s">
        <v>6713</v>
      </c>
      <c r="D1377" t="s">
        <v>5150</v>
      </c>
      <c r="E1377" t="s">
        <v>6728</v>
      </c>
      <c r="F1377">
        <v>372.67</v>
      </c>
    </row>
    <row r="1378" spans="1:6">
      <c r="A1378" t="str">
        <f>("50-6305")</f>
        <v>50-6305</v>
      </c>
      <c r="B1378" t="s">
        <v>5152</v>
      </c>
      <c r="C1378" t="s">
        <v>6713</v>
      </c>
      <c r="D1378" t="s">
        <v>5181</v>
      </c>
      <c r="E1378" t="s">
        <v>6727</v>
      </c>
      <c r="F1378">
        <v>355</v>
      </c>
    </row>
    <row r="1379" spans="1:6">
      <c r="A1379" t="str">
        <f>("50-6315")</f>
        <v>50-6315</v>
      </c>
      <c r="B1379" t="s">
        <v>5152</v>
      </c>
      <c r="C1379" t="s">
        <v>6713</v>
      </c>
      <c r="D1379" t="s">
        <v>5150</v>
      </c>
      <c r="E1379" t="s">
        <v>6726</v>
      </c>
      <c r="F1379">
        <v>282</v>
      </c>
    </row>
    <row r="1380" spans="1:6">
      <c r="A1380" t="str">
        <f>("50-6355")</f>
        <v>50-6355</v>
      </c>
      <c r="B1380" t="s">
        <v>5152</v>
      </c>
      <c r="C1380" t="s">
        <v>6713</v>
      </c>
      <c r="D1380" t="s">
        <v>5174</v>
      </c>
      <c r="E1380" t="s">
        <v>6725</v>
      </c>
      <c r="F1380">
        <v>282</v>
      </c>
    </row>
    <row r="1381" spans="1:6">
      <c r="A1381" t="str">
        <f>("50-6365")</f>
        <v>50-6365</v>
      </c>
      <c r="B1381" t="s">
        <v>5152</v>
      </c>
      <c r="C1381" t="s">
        <v>6713</v>
      </c>
      <c r="D1381" t="s">
        <v>5174</v>
      </c>
      <c r="E1381" t="s">
        <v>6724</v>
      </c>
      <c r="F1381">
        <v>290</v>
      </c>
    </row>
    <row r="1382" spans="1:6">
      <c r="A1382" t="str">
        <f>("50-6375")</f>
        <v>50-6375</v>
      </c>
      <c r="B1382" t="s">
        <v>5152</v>
      </c>
      <c r="C1382" t="s">
        <v>6713</v>
      </c>
      <c r="D1382" t="s">
        <v>5174</v>
      </c>
      <c r="E1382" t="s">
        <v>6723</v>
      </c>
      <c r="F1382">
        <v>330</v>
      </c>
    </row>
    <row r="1383" spans="1:6">
      <c r="A1383" t="str">
        <f>("50-6385")</f>
        <v>50-6385</v>
      </c>
      <c r="B1383" t="s">
        <v>5152</v>
      </c>
      <c r="C1383" t="s">
        <v>6713</v>
      </c>
      <c r="D1383" t="s">
        <v>5163</v>
      </c>
      <c r="E1383" t="s">
        <v>6722</v>
      </c>
      <c r="F1383">
        <v>282</v>
      </c>
    </row>
    <row r="1384" spans="1:6">
      <c r="A1384" t="str">
        <f>("50-6395")</f>
        <v>50-6395</v>
      </c>
      <c r="B1384" t="s">
        <v>5152</v>
      </c>
      <c r="C1384" t="s">
        <v>6713</v>
      </c>
      <c r="D1384" t="s">
        <v>5163</v>
      </c>
      <c r="E1384" t="s">
        <v>6721</v>
      </c>
      <c r="F1384">
        <v>290</v>
      </c>
    </row>
    <row r="1385" spans="1:6">
      <c r="A1385" t="str">
        <f>("50-6405")</f>
        <v>50-6405</v>
      </c>
      <c r="B1385" t="s">
        <v>5152</v>
      </c>
      <c r="C1385" t="s">
        <v>6713</v>
      </c>
      <c r="D1385" t="s">
        <v>5174</v>
      </c>
      <c r="E1385" t="s">
        <v>6720</v>
      </c>
      <c r="F1385">
        <v>290</v>
      </c>
    </row>
    <row r="1386" spans="1:6">
      <c r="A1386" t="str">
        <f>("50-6415")</f>
        <v>50-6415</v>
      </c>
      <c r="B1386" t="s">
        <v>5152</v>
      </c>
      <c r="C1386" t="s">
        <v>6713</v>
      </c>
      <c r="D1386" t="s">
        <v>5174</v>
      </c>
      <c r="E1386" t="s">
        <v>6719</v>
      </c>
      <c r="F1386">
        <v>330</v>
      </c>
    </row>
    <row r="1387" spans="1:6">
      <c r="A1387" t="str">
        <f>("50-6425")</f>
        <v>50-6425</v>
      </c>
      <c r="B1387" t="s">
        <v>5152</v>
      </c>
      <c r="C1387" t="s">
        <v>6713</v>
      </c>
      <c r="D1387" t="s">
        <v>5178</v>
      </c>
      <c r="E1387" t="s">
        <v>6718</v>
      </c>
      <c r="F1387">
        <v>282</v>
      </c>
    </row>
    <row r="1388" spans="1:6">
      <c r="A1388" t="str">
        <f>("50-6435")</f>
        <v>50-6435</v>
      </c>
      <c r="B1388" t="s">
        <v>5152</v>
      </c>
      <c r="C1388" t="s">
        <v>6713</v>
      </c>
      <c r="D1388" t="s">
        <v>5178</v>
      </c>
      <c r="E1388" t="s">
        <v>6717</v>
      </c>
      <c r="F1388">
        <v>290</v>
      </c>
    </row>
    <row r="1389" spans="1:6">
      <c r="A1389" t="str">
        <f>("50-6455")</f>
        <v>50-6455</v>
      </c>
      <c r="B1389" t="s">
        <v>5152</v>
      </c>
      <c r="C1389" t="s">
        <v>6713</v>
      </c>
      <c r="D1389" t="s">
        <v>5174</v>
      </c>
      <c r="E1389" t="s">
        <v>6716</v>
      </c>
      <c r="F1389">
        <v>267.5</v>
      </c>
    </row>
    <row r="1390" spans="1:6">
      <c r="A1390" t="str">
        <f>("50-6465")</f>
        <v>50-6465</v>
      </c>
      <c r="B1390" t="s">
        <v>5152</v>
      </c>
      <c r="C1390" t="s">
        <v>6713</v>
      </c>
      <c r="D1390" t="s">
        <v>5163</v>
      </c>
      <c r="E1390" t="s">
        <v>6715</v>
      </c>
      <c r="F1390">
        <v>282</v>
      </c>
    </row>
    <row r="1391" spans="1:6">
      <c r="A1391" t="str">
        <f>("50-6475")</f>
        <v>50-6475</v>
      </c>
      <c r="B1391" t="s">
        <v>5152</v>
      </c>
      <c r="C1391" t="s">
        <v>6713</v>
      </c>
      <c r="D1391" t="s">
        <v>5163</v>
      </c>
      <c r="E1391" t="s">
        <v>6714</v>
      </c>
      <c r="F1391">
        <v>290</v>
      </c>
    </row>
    <row r="1392" spans="1:6">
      <c r="A1392" t="str">
        <f>("50-6485")</f>
        <v>50-6485</v>
      </c>
      <c r="B1392" t="s">
        <v>5152</v>
      </c>
      <c r="C1392" t="s">
        <v>6713</v>
      </c>
      <c r="D1392" t="s">
        <v>5174</v>
      </c>
      <c r="E1392" t="s">
        <v>6712</v>
      </c>
      <c r="F1392">
        <v>275.5</v>
      </c>
    </row>
    <row r="1393" spans="1:6">
      <c r="A1393" t="str">
        <f>("50-6505")</f>
        <v>50-6505</v>
      </c>
      <c r="B1393" t="s">
        <v>5152</v>
      </c>
      <c r="C1393" t="s">
        <v>6705</v>
      </c>
      <c r="D1393" t="s">
        <v>5174</v>
      </c>
      <c r="E1393" t="s">
        <v>6711</v>
      </c>
      <c r="F1393">
        <v>140.82999999999998</v>
      </c>
    </row>
    <row r="1394" spans="1:6">
      <c r="A1394" t="str">
        <f>("50-6515")</f>
        <v>50-6515</v>
      </c>
      <c r="B1394" t="s">
        <v>5152</v>
      </c>
      <c r="C1394" t="s">
        <v>6705</v>
      </c>
      <c r="D1394" t="s">
        <v>5163</v>
      </c>
      <c r="E1394" t="s">
        <v>6710</v>
      </c>
      <c r="F1394">
        <v>140.82999999999998</v>
      </c>
    </row>
    <row r="1395" spans="1:6">
      <c r="A1395" t="str">
        <f>("50-6525")</f>
        <v>50-6525</v>
      </c>
      <c r="B1395" t="s">
        <v>5152</v>
      </c>
      <c r="C1395" t="s">
        <v>6705</v>
      </c>
      <c r="D1395" t="s">
        <v>5163</v>
      </c>
      <c r="E1395" t="s">
        <v>6709</v>
      </c>
      <c r="F1395">
        <v>140.82999999999998</v>
      </c>
    </row>
    <row r="1396" spans="1:6">
      <c r="A1396" t="str">
        <f>("50-6535")</f>
        <v>50-6535</v>
      </c>
      <c r="B1396" t="s">
        <v>5152</v>
      </c>
      <c r="C1396" t="s">
        <v>6705</v>
      </c>
      <c r="D1396" t="s">
        <v>5150</v>
      </c>
      <c r="E1396" t="s">
        <v>6708</v>
      </c>
      <c r="F1396">
        <v>140.82999999999998</v>
      </c>
    </row>
    <row r="1397" spans="1:6">
      <c r="A1397" t="str">
        <f>("50-6545")</f>
        <v>50-6545</v>
      </c>
      <c r="B1397" t="s">
        <v>5152</v>
      </c>
      <c r="C1397" t="s">
        <v>6705</v>
      </c>
      <c r="D1397" t="s">
        <v>5150</v>
      </c>
      <c r="E1397" t="s">
        <v>6707</v>
      </c>
      <c r="F1397">
        <v>140.82999999999998</v>
      </c>
    </row>
    <row r="1398" spans="1:6">
      <c r="A1398" t="str">
        <f>("50-6555")</f>
        <v>50-6555</v>
      </c>
      <c r="B1398" t="s">
        <v>5152</v>
      </c>
      <c r="C1398" t="s">
        <v>6705</v>
      </c>
      <c r="D1398" t="s">
        <v>5206</v>
      </c>
      <c r="E1398" t="s">
        <v>6706</v>
      </c>
      <c r="F1398">
        <v>140.82999999999998</v>
      </c>
    </row>
    <row r="1399" spans="1:6">
      <c r="A1399" t="str">
        <f>("50-6565")</f>
        <v>50-6565</v>
      </c>
      <c r="B1399" t="s">
        <v>5152</v>
      </c>
      <c r="C1399" t="s">
        <v>6705</v>
      </c>
      <c r="D1399" t="s">
        <v>5178</v>
      </c>
      <c r="E1399" t="s">
        <v>6398</v>
      </c>
      <c r="F1399">
        <v>140.82999999999998</v>
      </c>
    </row>
    <row r="1400" spans="1:6">
      <c r="A1400" t="str">
        <f>("51-10005")</f>
        <v>51-10005</v>
      </c>
      <c r="B1400" t="s">
        <v>5152</v>
      </c>
      <c r="C1400" t="s">
        <v>6703</v>
      </c>
      <c r="D1400" t="s">
        <v>5160</v>
      </c>
      <c r="E1400" t="s">
        <v>5236</v>
      </c>
      <c r="F1400">
        <v>1365.67</v>
      </c>
    </row>
    <row r="1401" spans="1:6">
      <c r="A1401" t="str">
        <f>("51-10015")</f>
        <v>51-10015</v>
      </c>
      <c r="B1401" t="s">
        <v>5152</v>
      </c>
      <c r="C1401" t="s">
        <v>6703</v>
      </c>
      <c r="D1401" t="s">
        <v>5150</v>
      </c>
      <c r="E1401" t="s">
        <v>6704</v>
      </c>
      <c r="F1401">
        <v>1365.67</v>
      </c>
    </row>
    <row r="1402" spans="1:6">
      <c r="A1402" t="str">
        <f>("51-10025")</f>
        <v>51-10025</v>
      </c>
      <c r="B1402" t="s">
        <v>5152</v>
      </c>
      <c r="C1402" t="s">
        <v>6703</v>
      </c>
      <c r="D1402" t="s">
        <v>5150</v>
      </c>
      <c r="E1402" t="s">
        <v>6702</v>
      </c>
      <c r="F1402">
        <v>1417.67</v>
      </c>
    </row>
    <row r="1403" spans="1:6">
      <c r="A1403" t="str">
        <f>("51-20005")</f>
        <v>51-20005</v>
      </c>
      <c r="B1403" t="s">
        <v>5152</v>
      </c>
      <c r="C1403" t="s">
        <v>6701</v>
      </c>
      <c r="D1403" t="s">
        <v>5160</v>
      </c>
      <c r="E1403" t="s">
        <v>5236</v>
      </c>
      <c r="F1403">
        <v>840.67</v>
      </c>
    </row>
    <row r="1404" spans="1:6">
      <c r="A1404" t="str">
        <f>("51-20015")</f>
        <v>51-20015</v>
      </c>
      <c r="B1404" t="s">
        <v>5152</v>
      </c>
      <c r="C1404" t="s">
        <v>6701</v>
      </c>
      <c r="D1404" t="s">
        <v>5150</v>
      </c>
      <c r="E1404" t="s">
        <v>6700</v>
      </c>
      <c r="F1404">
        <v>840.67</v>
      </c>
    </row>
    <row r="1405" spans="1:6">
      <c r="A1405" t="str">
        <f>("51-30005")</f>
        <v>51-30005</v>
      </c>
      <c r="B1405" t="s">
        <v>5152</v>
      </c>
      <c r="C1405" t="s">
        <v>6699</v>
      </c>
      <c r="D1405" t="s">
        <v>5206</v>
      </c>
      <c r="E1405" t="s">
        <v>6698</v>
      </c>
      <c r="F1405">
        <v>550</v>
      </c>
    </row>
    <row r="1406" spans="1:6">
      <c r="A1406" t="str">
        <f>("51-30015")</f>
        <v>51-30015</v>
      </c>
      <c r="B1406" t="s">
        <v>5152</v>
      </c>
      <c r="C1406" t="s">
        <v>6697</v>
      </c>
      <c r="D1406" t="s">
        <v>5206</v>
      </c>
      <c r="E1406" t="s">
        <v>6696</v>
      </c>
      <c r="F1406">
        <v>600.66999999999996</v>
      </c>
    </row>
    <row r="1407" spans="1:6">
      <c r="A1407" t="str">
        <f>("56-11315")</f>
        <v>56-11315</v>
      </c>
      <c r="B1407" t="s">
        <v>5152</v>
      </c>
      <c r="C1407" t="s">
        <v>6692</v>
      </c>
      <c r="D1407" t="s">
        <v>5174</v>
      </c>
      <c r="E1407" t="s">
        <v>6686</v>
      </c>
      <c r="F1407">
        <v>923.33</v>
      </c>
    </row>
    <row r="1408" spans="1:6">
      <c r="A1408" t="str">
        <f>("56-11335")</f>
        <v>56-11335</v>
      </c>
      <c r="B1408" t="s">
        <v>5152</v>
      </c>
      <c r="C1408" t="s">
        <v>6692</v>
      </c>
      <c r="D1408" t="s">
        <v>5174</v>
      </c>
      <c r="E1408" t="s">
        <v>6381</v>
      </c>
      <c r="F1408">
        <v>923.33</v>
      </c>
    </row>
    <row r="1409" spans="1:6">
      <c r="A1409" t="str">
        <f>("56-11685")</f>
        <v>56-11685</v>
      </c>
      <c r="B1409" t="s">
        <v>5152</v>
      </c>
      <c r="C1409" t="s">
        <v>6692</v>
      </c>
      <c r="D1409" t="s">
        <v>5163</v>
      </c>
      <c r="E1409" t="s">
        <v>6691</v>
      </c>
      <c r="F1409">
        <v>923.33</v>
      </c>
    </row>
    <row r="1410" spans="1:6">
      <c r="A1410" t="str">
        <f>("56-11955")</f>
        <v>56-11955</v>
      </c>
      <c r="B1410" t="s">
        <v>5152</v>
      </c>
      <c r="C1410" t="s">
        <v>6692</v>
      </c>
      <c r="D1410" t="s">
        <v>5163</v>
      </c>
      <c r="E1410" t="s">
        <v>6690</v>
      </c>
      <c r="F1410">
        <v>923.33</v>
      </c>
    </row>
    <row r="1411" spans="1:6">
      <c r="A1411" t="str">
        <f>("56-12675")</f>
        <v>56-12675</v>
      </c>
      <c r="B1411" t="s">
        <v>5152</v>
      </c>
      <c r="C1411" t="s">
        <v>6692</v>
      </c>
      <c r="D1411" t="s">
        <v>5150</v>
      </c>
      <c r="E1411" t="s">
        <v>6695</v>
      </c>
      <c r="F1411">
        <v>923.33</v>
      </c>
    </row>
    <row r="1412" spans="1:6">
      <c r="A1412" t="str">
        <f>("56-12775")</f>
        <v>56-12775</v>
      </c>
      <c r="B1412" t="s">
        <v>5152</v>
      </c>
      <c r="C1412" t="s">
        <v>6692</v>
      </c>
      <c r="D1412" t="s">
        <v>5150</v>
      </c>
      <c r="E1412" t="s">
        <v>5254</v>
      </c>
      <c r="F1412">
        <v>923.33</v>
      </c>
    </row>
    <row r="1413" spans="1:6">
      <c r="A1413" t="str">
        <f>("56-12785")</f>
        <v>56-12785</v>
      </c>
      <c r="B1413" t="s">
        <v>5152</v>
      </c>
      <c r="C1413" t="s">
        <v>6692</v>
      </c>
      <c r="D1413" t="s">
        <v>5150</v>
      </c>
      <c r="E1413" t="s">
        <v>5253</v>
      </c>
      <c r="F1413">
        <v>922</v>
      </c>
    </row>
    <row r="1414" spans="1:6">
      <c r="A1414" t="str">
        <f>("56-12795")</f>
        <v>56-12795</v>
      </c>
      <c r="B1414" t="s">
        <v>5152</v>
      </c>
      <c r="C1414" t="s">
        <v>6692</v>
      </c>
      <c r="D1414" t="s">
        <v>5150</v>
      </c>
      <c r="E1414" t="s">
        <v>6694</v>
      </c>
      <c r="F1414">
        <v>924.67</v>
      </c>
    </row>
    <row r="1415" spans="1:6">
      <c r="A1415" t="str">
        <f>("56-13245")</f>
        <v>56-13245</v>
      </c>
      <c r="B1415" t="s">
        <v>5152</v>
      </c>
      <c r="C1415" t="s">
        <v>6692</v>
      </c>
      <c r="D1415" t="s">
        <v>5150</v>
      </c>
      <c r="E1415" t="s">
        <v>5252</v>
      </c>
      <c r="F1415">
        <v>923.33</v>
      </c>
    </row>
    <row r="1416" spans="1:6">
      <c r="A1416" t="str">
        <f>("56-13255")</f>
        <v>56-13255</v>
      </c>
      <c r="B1416" t="s">
        <v>5152</v>
      </c>
      <c r="C1416" t="s">
        <v>6692</v>
      </c>
      <c r="D1416" t="s">
        <v>5150</v>
      </c>
      <c r="E1416" t="s">
        <v>5155</v>
      </c>
      <c r="F1416">
        <v>1048.33</v>
      </c>
    </row>
    <row r="1417" spans="1:6">
      <c r="A1417" t="str">
        <f>("56-13295")</f>
        <v>56-13295</v>
      </c>
      <c r="B1417" t="s">
        <v>5152</v>
      </c>
      <c r="C1417" t="s">
        <v>6692</v>
      </c>
      <c r="D1417" t="s">
        <v>5160</v>
      </c>
      <c r="E1417" t="s">
        <v>5161</v>
      </c>
      <c r="F1417">
        <v>923.33</v>
      </c>
    </row>
    <row r="1418" spans="1:6">
      <c r="A1418" t="str">
        <f>("56-13315")</f>
        <v>56-13315</v>
      </c>
      <c r="B1418" t="s">
        <v>5152</v>
      </c>
      <c r="C1418" t="s">
        <v>6692</v>
      </c>
      <c r="D1418" t="s">
        <v>5160</v>
      </c>
      <c r="E1418" t="s">
        <v>6685</v>
      </c>
      <c r="F1418">
        <v>792.67</v>
      </c>
    </row>
    <row r="1419" spans="1:6">
      <c r="A1419" t="str">
        <f>("56-13525")</f>
        <v>56-13525</v>
      </c>
      <c r="B1419" t="s">
        <v>5152</v>
      </c>
      <c r="C1419" t="s">
        <v>6692</v>
      </c>
      <c r="D1419" t="s">
        <v>5174</v>
      </c>
      <c r="E1419" t="s">
        <v>5176</v>
      </c>
      <c r="F1419">
        <v>923.33</v>
      </c>
    </row>
    <row r="1420" spans="1:6">
      <c r="A1420" t="str">
        <f>("56-13555")</f>
        <v>56-13555</v>
      </c>
      <c r="B1420" t="s">
        <v>5152</v>
      </c>
      <c r="C1420" t="s">
        <v>6692</v>
      </c>
      <c r="D1420" t="s">
        <v>5181</v>
      </c>
      <c r="E1420" t="s">
        <v>5251</v>
      </c>
      <c r="F1420">
        <v>923.33</v>
      </c>
    </row>
    <row r="1421" spans="1:6">
      <c r="A1421" t="str">
        <f>("56-13565")</f>
        <v>56-13565</v>
      </c>
      <c r="B1421" t="s">
        <v>5152</v>
      </c>
      <c r="C1421" t="s">
        <v>6692</v>
      </c>
      <c r="D1421" t="s">
        <v>5181</v>
      </c>
      <c r="E1421" t="s">
        <v>6684</v>
      </c>
      <c r="F1421">
        <v>923.33</v>
      </c>
    </row>
    <row r="1422" spans="1:6">
      <c r="A1422" t="str">
        <f>("56-13715")</f>
        <v>56-13715</v>
      </c>
      <c r="B1422" t="s">
        <v>5152</v>
      </c>
      <c r="C1422" t="s">
        <v>6692</v>
      </c>
      <c r="D1422" t="s">
        <v>5163</v>
      </c>
      <c r="E1422" t="s">
        <v>6683</v>
      </c>
      <c r="F1422">
        <v>923.33</v>
      </c>
    </row>
    <row r="1423" spans="1:6">
      <c r="A1423" t="str">
        <f>("56-13725")</f>
        <v>56-13725</v>
      </c>
      <c r="B1423" t="s">
        <v>5152</v>
      </c>
      <c r="C1423" t="s">
        <v>6692</v>
      </c>
      <c r="D1423" t="s">
        <v>5163</v>
      </c>
      <c r="E1423" t="s">
        <v>5249</v>
      </c>
      <c r="F1423">
        <v>923.33</v>
      </c>
    </row>
    <row r="1424" spans="1:6">
      <c r="A1424" t="str">
        <f>("56-13835")</f>
        <v>56-13835</v>
      </c>
      <c r="B1424" t="s">
        <v>5152</v>
      </c>
      <c r="C1424" t="s">
        <v>6692</v>
      </c>
      <c r="D1424" t="s">
        <v>5150</v>
      </c>
      <c r="E1424" t="s">
        <v>5248</v>
      </c>
      <c r="F1424">
        <v>923.33</v>
      </c>
    </row>
    <row r="1425" spans="1:6">
      <c r="A1425" t="str">
        <f>("56-13935")</f>
        <v>56-13935</v>
      </c>
      <c r="B1425" t="s">
        <v>5152</v>
      </c>
      <c r="C1425" t="s">
        <v>6692</v>
      </c>
      <c r="D1425" t="s">
        <v>5174</v>
      </c>
      <c r="E1425" t="s">
        <v>5247</v>
      </c>
      <c r="F1425">
        <v>923.33</v>
      </c>
    </row>
    <row r="1426" spans="1:6">
      <c r="A1426" t="str">
        <f>("56-13945")</f>
        <v>56-13945</v>
      </c>
      <c r="B1426" t="s">
        <v>5152</v>
      </c>
      <c r="C1426" t="s">
        <v>6692</v>
      </c>
      <c r="D1426" t="s">
        <v>5174</v>
      </c>
      <c r="E1426" t="s">
        <v>5246</v>
      </c>
      <c r="F1426">
        <v>1048.33</v>
      </c>
    </row>
    <row r="1427" spans="1:6">
      <c r="A1427" t="str">
        <f>("56-14005")</f>
        <v>56-14005</v>
      </c>
      <c r="B1427" t="s">
        <v>5152</v>
      </c>
      <c r="C1427" t="s">
        <v>6692</v>
      </c>
      <c r="D1427" t="s">
        <v>5163</v>
      </c>
      <c r="E1427" t="s">
        <v>6681</v>
      </c>
      <c r="F1427">
        <v>923.33</v>
      </c>
    </row>
    <row r="1428" spans="1:6">
      <c r="A1428" t="str">
        <f>("56-14015")</f>
        <v>56-14015</v>
      </c>
      <c r="B1428" t="s">
        <v>5152</v>
      </c>
      <c r="C1428" t="s">
        <v>6692</v>
      </c>
      <c r="D1428" t="s">
        <v>5163</v>
      </c>
      <c r="E1428" t="s">
        <v>5245</v>
      </c>
      <c r="F1428">
        <v>923.33</v>
      </c>
    </row>
    <row r="1429" spans="1:6">
      <c r="A1429" t="str">
        <f>("56-14025")</f>
        <v>56-14025</v>
      </c>
      <c r="B1429" t="s">
        <v>5152</v>
      </c>
      <c r="C1429" t="s">
        <v>6692</v>
      </c>
      <c r="D1429" t="s">
        <v>5158</v>
      </c>
      <c r="E1429" t="s">
        <v>6680</v>
      </c>
      <c r="F1429">
        <v>923.33</v>
      </c>
    </row>
    <row r="1430" spans="1:6">
      <c r="A1430" t="str">
        <f>("56-14055")</f>
        <v>56-14055</v>
      </c>
      <c r="B1430" t="s">
        <v>5152</v>
      </c>
      <c r="C1430" t="s">
        <v>6692</v>
      </c>
      <c r="D1430" t="s">
        <v>5160</v>
      </c>
      <c r="E1430" t="s">
        <v>6388</v>
      </c>
      <c r="F1430">
        <v>792.67</v>
      </c>
    </row>
    <row r="1431" spans="1:6">
      <c r="A1431" t="str">
        <f>("56-14065")</f>
        <v>56-14065</v>
      </c>
      <c r="B1431" t="s">
        <v>5152</v>
      </c>
      <c r="C1431" t="s">
        <v>6692</v>
      </c>
      <c r="D1431" t="s">
        <v>5160</v>
      </c>
      <c r="E1431" t="s">
        <v>5237</v>
      </c>
      <c r="F1431">
        <v>923.33</v>
      </c>
    </row>
    <row r="1432" spans="1:6">
      <c r="A1432" t="str">
        <f>("56-14085")</f>
        <v>56-14085</v>
      </c>
      <c r="B1432" t="s">
        <v>5152</v>
      </c>
      <c r="C1432" t="s">
        <v>6692</v>
      </c>
      <c r="D1432" t="s">
        <v>5178</v>
      </c>
      <c r="E1432" t="s">
        <v>6679</v>
      </c>
      <c r="F1432">
        <v>923.33</v>
      </c>
    </row>
    <row r="1433" spans="1:6">
      <c r="A1433" t="str">
        <f>("56-14095")</f>
        <v>56-14095</v>
      </c>
      <c r="B1433" t="s">
        <v>5152</v>
      </c>
      <c r="C1433" t="s">
        <v>6692</v>
      </c>
      <c r="D1433" t="s">
        <v>5178</v>
      </c>
      <c r="E1433" t="s">
        <v>6678</v>
      </c>
      <c r="F1433">
        <v>923.33</v>
      </c>
    </row>
    <row r="1434" spans="1:6">
      <c r="A1434" t="str">
        <f>("56-14115")</f>
        <v>56-14115</v>
      </c>
      <c r="B1434" t="s">
        <v>5152</v>
      </c>
      <c r="C1434" t="s">
        <v>6692</v>
      </c>
      <c r="D1434" t="s">
        <v>5163</v>
      </c>
      <c r="E1434" t="s">
        <v>6693</v>
      </c>
      <c r="F1434">
        <v>923.33</v>
      </c>
    </row>
    <row r="1435" spans="1:6">
      <c r="A1435" t="str">
        <f>("56-14125")</f>
        <v>56-14125</v>
      </c>
      <c r="B1435" t="s">
        <v>5152</v>
      </c>
      <c r="C1435" t="s">
        <v>6692</v>
      </c>
      <c r="D1435" t="s">
        <v>5163</v>
      </c>
      <c r="E1435" t="s">
        <v>5243</v>
      </c>
      <c r="F1435">
        <v>923.33</v>
      </c>
    </row>
    <row r="1436" spans="1:6">
      <c r="A1436" t="str">
        <f>("56-14135")</f>
        <v>56-14135</v>
      </c>
      <c r="B1436" t="s">
        <v>5152</v>
      </c>
      <c r="C1436" t="s">
        <v>6692</v>
      </c>
      <c r="D1436" t="s">
        <v>5163</v>
      </c>
      <c r="E1436" t="s">
        <v>5242</v>
      </c>
      <c r="F1436">
        <v>1048.33</v>
      </c>
    </row>
    <row r="1437" spans="1:6">
      <c r="A1437" t="str">
        <f>("56-14145")</f>
        <v>56-14145</v>
      </c>
      <c r="B1437" t="s">
        <v>5152</v>
      </c>
      <c r="C1437" t="s">
        <v>6692</v>
      </c>
      <c r="D1437" t="s">
        <v>5174</v>
      </c>
      <c r="E1437" t="s">
        <v>6677</v>
      </c>
      <c r="F1437">
        <v>923.33</v>
      </c>
    </row>
    <row r="1438" spans="1:6">
      <c r="A1438" t="str">
        <f>("56-14155")</f>
        <v>56-14155</v>
      </c>
      <c r="B1438" t="s">
        <v>5152</v>
      </c>
      <c r="C1438" t="s">
        <v>6692</v>
      </c>
      <c r="D1438" t="s">
        <v>5174</v>
      </c>
      <c r="E1438" t="s">
        <v>5241</v>
      </c>
      <c r="F1438">
        <v>923.33</v>
      </c>
    </row>
    <row r="1439" spans="1:6">
      <c r="A1439" t="str">
        <f>("56-14165")</f>
        <v>56-14165</v>
      </c>
      <c r="B1439" t="s">
        <v>5152</v>
      </c>
      <c r="C1439" t="s">
        <v>6692</v>
      </c>
      <c r="D1439" t="s">
        <v>5160</v>
      </c>
      <c r="E1439" t="s">
        <v>5236</v>
      </c>
      <c r="F1439">
        <v>923.33</v>
      </c>
    </row>
    <row r="1440" spans="1:6">
      <c r="A1440" t="str">
        <f>("56-14185")</f>
        <v>56-14185</v>
      </c>
      <c r="B1440" t="s">
        <v>5152</v>
      </c>
      <c r="C1440" t="s">
        <v>6692</v>
      </c>
      <c r="D1440" t="s">
        <v>5174</v>
      </c>
      <c r="E1440" t="s">
        <v>5235</v>
      </c>
      <c r="F1440">
        <v>792.67</v>
      </c>
    </row>
    <row r="1441" spans="1:6">
      <c r="A1441" t="str">
        <f>("56-14195")</f>
        <v>56-14195</v>
      </c>
      <c r="B1441" t="s">
        <v>5152</v>
      </c>
      <c r="C1441" t="s">
        <v>6692</v>
      </c>
      <c r="D1441" t="s">
        <v>5174</v>
      </c>
      <c r="E1441" t="s">
        <v>5233</v>
      </c>
      <c r="F1441">
        <v>923.33</v>
      </c>
    </row>
    <row r="1442" spans="1:6">
      <c r="A1442" t="str">
        <f>("56-14215")</f>
        <v>56-14215</v>
      </c>
      <c r="B1442" t="s">
        <v>5152</v>
      </c>
      <c r="C1442" t="s">
        <v>6692</v>
      </c>
      <c r="D1442" t="s">
        <v>5158</v>
      </c>
      <c r="E1442" t="s">
        <v>6688</v>
      </c>
      <c r="F1442">
        <v>923.33</v>
      </c>
    </row>
    <row r="1443" spans="1:6">
      <c r="A1443" t="str">
        <f>("56-14225")</f>
        <v>56-14225</v>
      </c>
      <c r="B1443" t="s">
        <v>5152</v>
      </c>
      <c r="C1443" t="s">
        <v>6692</v>
      </c>
      <c r="D1443" t="s">
        <v>5150</v>
      </c>
      <c r="E1443" t="s">
        <v>5238</v>
      </c>
      <c r="F1443">
        <v>923.33</v>
      </c>
    </row>
    <row r="1444" spans="1:6">
      <c r="A1444" t="str">
        <f>("56-14235")</f>
        <v>56-14235</v>
      </c>
      <c r="B1444" t="s">
        <v>5152</v>
      </c>
      <c r="C1444" t="s">
        <v>6692</v>
      </c>
      <c r="D1444" t="s">
        <v>5150</v>
      </c>
      <c r="E1444" t="s">
        <v>5149</v>
      </c>
      <c r="F1444">
        <v>1048.33</v>
      </c>
    </row>
    <row r="1445" spans="1:6">
      <c r="A1445" t="str">
        <f>("56-113152")</f>
        <v>56-113152</v>
      </c>
      <c r="B1445" t="s">
        <v>5152</v>
      </c>
      <c r="C1445" t="s">
        <v>6687</v>
      </c>
      <c r="D1445" t="s">
        <v>5174</v>
      </c>
      <c r="E1445" t="s">
        <v>6686</v>
      </c>
      <c r="F1445">
        <v>1239.33</v>
      </c>
    </row>
    <row r="1446" spans="1:6">
      <c r="A1446" t="str">
        <f>("56-113352")</f>
        <v>56-113352</v>
      </c>
      <c r="B1446" t="s">
        <v>5152</v>
      </c>
      <c r="C1446" t="s">
        <v>6687</v>
      </c>
      <c r="D1446" t="s">
        <v>5174</v>
      </c>
      <c r="E1446" t="s">
        <v>6381</v>
      </c>
      <c r="F1446">
        <v>1239.33</v>
      </c>
    </row>
    <row r="1447" spans="1:6">
      <c r="A1447" t="str">
        <f>("56-116852")</f>
        <v>56-116852</v>
      </c>
      <c r="B1447" t="s">
        <v>5152</v>
      </c>
      <c r="C1447" t="s">
        <v>6687</v>
      </c>
      <c r="D1447" t="s">
        <v>5163</v>
      </c>
      <c r="E1447" t="s">
        <v>6691</v>
      </c>
      <c r="F1447">
        <v>1239.33</v>
      </c>
    </row>
    <row r="1448" spans="1:6">
      <c r="A1448" t="str">
        <f>("56-119552")</f>
        <v>56-119552</v>
      </c>
      <c r="B1448" t="s">
        <v>5152</v>
      </c>
      <c r="C1448" t="s">
        <v>6687</v>
      </c>
      <c r="D1448" t="s">
        <v>5163</v>
      </c>
      <c r="E1448" t="s">
        <v>6690</v>
      </c>
      <c r="F1448">
        <v>1239.33</v>
      </c>
    </row>
    <row r="1449" spans="1:6">
      <c r="A1449" t="str">
        <f>("56-127752")</f>
        <v>56-127752</v>
      </c>
      <c r="B1449" t="s">
        <v>5152</v>
      </c>
      <c r="C1449" t="s">
        <v>6687</v>
      </c>
      <c r="D1449" t="s">
        <v>5150</v>
      </c>
      <c r="E1449" t="s">
        <v>5254</v>
      </c>
      <c r="F1449">
        <v>1239.33</v>
      </c>
    </row>
    <row r="1450" spans="1:6">
      <c r="A1450" t="str">
        <f>("56-127852")</f>
        <v>56-127852</v>
      </c>
      <c r="B1450" t="s">
        <v>5152</v>
      </c>
      <c r="C1450" t="s">
        <v>6687</v>
      </c>
      <c r="D1450" t="s">
        <v>5150</v>
      </c>
      <c r="E1450" t="s">
        <v>5253</v>
      </c>
      <c r="F1450">
        <v>1238</v>
      </c>
    </row>
    <row r="1451" spans="1:6">
      <c r="A1451" t="str">
        <f>("56-132452")</f>
        <v>56-132452</v>
      </c>
      <c r="B1451" t="s">
        <v>5152</v>
      </c>
      <c r="C1451" t="s">
        <v>6687</v>
      </c>
      <c r="D1451" t="s">
        <v>5150</v>
      </c>
      <c r="E1451" t="s">
        <v>5252</v>
      </c>
      <c r="F1451">
        <v>1239.33</v>
      </c>
    </row>
    <row r="1452" spans="1:6">
      <c r="A1452" t="str">
        <f>("56-132552")</f>
        <v>56-132552</v>
      </c>
      <c r="B1452" t="s">
        <v>5152</v>
      </c>
      <c r="C1452" t="s">
        <v>6687</v>
      </c>
      <c r="D1452" t="s">
        <v>5150</v>
      </c>
      <c r="E1452" t="s">
        <v>5155</v>
      </c>
      <c r="F1452">
        <v>1239.33</v>
      </c>
    </row>
    <row r="1453" spans="1:6">
      <c r="A1453" t="str">
        <f>("56-132952")</f>
        <v>56-132952</v>
      </c>
      <c r="B1453" t="s">
        <v>5152</v>
      </c>
      <c r="C1453" t="s">
        <v>6687</v>
      </c>
      <c r="D1453" t="s">
        <v>5160</v>
      </c>
      <c r="E1453" t="s">
        <v>5161</v>
      </c>
      <c r="F1453">
        <v>1239.33</v>
      </c>
    </row>
    <row r="1454" spans="1:6">
      <c r="A1454" t="str">
        <f>("56-133152")</f>
        <v>56-133152</v>
      </c>
      <c r="B1454" t="s">
        <v>5152</v>
      </c>
      <c r="C1454" t="s">
        <v>6687</v>
      </c>
      <c r="D1454" t="s">
        <v>5160</v>
      </c>
      <c r="E1454" t="s">
        <v>6685</v>
      </c>
      <c r="F1454">
        <v>1036.67</v>
      </c>
    </row>
    <row r="1455" spans="1:6">
      <c r="A1455" t="str">
        <f>("56-135252")</f>
        <v>56-135252</v>
      </c>
      <c r="B1455" t="s">
        <v>5152</v>
      </c>
      <c r="C1455" t="s">
        <v>6687</v>
      </c>
      <c r="D1455" t="s">
        <v>5174</v>
      </c>
      <c r="E1455" t="s">
        <v>5176</v>
      </c>
      <c r="F1455">
        <v>1239.33</v>
      </c>
    </row>
    <row r="1456" spans="1:6">
      <c r="A1456" t="str">
        <f>("56-135552")</f>
        <v>56-135552</v>
      </c>
      <c r="B1456" t="s">
        <v>5152</v>
      </c>
      <c r="C1456" t="s">
        <v>6687</v>
      </c>
      <c r="D1456" t="s">
        <v>5181</v>
      </c>
      <c r="E1456" t="s">
        <v>5251</v>
      </c>
      <c r="F1456">
        <v>1239.33</v>
      </c>
    </row>
    <row r="1457" spans="1:6">
      <c r="A1457" t="str">
        <f>("56-135652")</f>
        <v>56-135652</v>
      </c>
      <c r="B1457" t="s">
        <v>5152</v>
      </c>
      <c r="C1457" t="s">
        <v>6687</v>
      </c>
      <c r="D1457" t="s">
        <v>5181</v>
      </c>
      <c r="E1457" t="s">
        <v>6684</v>
      </c>
      <c r="F1457">
        <v>1239.33</v>
      </c>
    </row>
    <row r="1458" spans="1:6">
      <c r="A1458" t="str">
        <f>("56-137152")</f>
        <v>56-137152</v>
      </c>
      <c r="B1458" t="s">
        <v>5152</v>
      </c>
      <c r="C1458" t="s">
        <v>6687</v>
      </c>
      <c r="D1458" t="s">
        <v>5163</v>
      </c>
      <c r="E1458" t="s">
        <v>6683</v>
      </c>
      <c r="F1458">
        <v>1239.33</v>
      </c>
    </row>
    <row r="1459" spans="1:6">
      <c r="A1459" t="str">
        <f>("56-137252")</f>
        <v>56-137252</v>
      </c>
      <c r="B1459" t="s">
        <v>5152</v>
      </c>
      <c r="C1459" t="s">
        <v>6687</v>
      </c>
      <c r="D1459" t="s">
        <v>5163</v>
      </c>
      <c r="E1459" t="s">
        <v>6689</v>
      </c>
      <c r="F1459">
        <v>1239.33</v>
      </c>
    </row>
    <row r="1460" spans="1:6">
      <c r="A1460" t="str">
        <f>("56-138352")</f>
        <v>56-138352</v>
      </c>
      <c r="B1460" t="s">
        <v>5152</v>
      </c>
      <c r="C1460" t="s">
        <v>6687</v>
      </c>
      <c r="D1460" t="s">
        <v>5150</v>
      </c>
      <c r="E1460" t="s">
        <v>5248</v>
      </c>
      <c r="F1460">
        <v>1239.33</v>
      </c>
    </row>
    <row r="1461" spans="1:6">
      <c r="A1461" t="str">
        <f>("56-139352")</f>
        <v>56-139352</v>
      </c>
      <c r="B1461" t="s">
        <v>5152</v>
      </c>
      <c r="C1461" t="s">
        <v>6687</v>
      </c>
      <c r="D1461" t="s">
        <v>5174</v>
      </c>
      <c r="E1461" t="s">
        <v>5247</v>
      </c>
      <c r="F1461">
        <v>1239.33</v>
      </c>
    </row>
    <row r="1462" spans="1:6">
      <c r="A1462" t="str">
        <f>("56-139452")</f>
        <v>56-139452</v>
      </c>
      <c r="B1462" t="s">
        <v>5152</v>
      </c>
      <c r="C1462" t="s">
        <v>6687</v>
      </c>
      <c r="D1462" t="s">
        <v>5174</v>
      </c>
      <c r="E1462" t="s">
        <v>5246</v>
      </c>
      <c r="F1462">
        <v>1239.33</v>
      </c>
    </row>
    <row r="1463" spans="1:6">
      <c r="A1463" t="str">
        <f>("56-140052")</f>
        <v>56-140052</v>
      </c>
      <c r="B1463" t="s">
        <v>5152</v>
      </c>
      <c r="C1463" t="s">
        <v>6687</v>
      </c>
      <c r="D1463" t="s">
        <v>5163</v>
      </c>
      <c r="E1463" t="s">
        <v>6681</v>
      </c>
      <c r="F1463">
        <v>1239.33</v>
      </c>
    </row>
    <row r="1464" spans="1:6">
      <c r="A1464" t="str">
        <f>("56-140152")</f>
        <v>56-140152</v>
      </c>
      <c r="B1464" t="s">
        <v>5152</v>
      </c>
      <c r="C1464" t="s">
        <v>6687</v>
      </c>
      <c r="D1464" t="s">
        <v>5163</v>
      </c>
      <c r="E1464" t="s">
        <v>5245</v>
      </c>
      <c r="F1464">
        <v>1239.33</v>
      </c>
    </row>
    <row r="1465" spans="1:6">
      <c r="A1465" t="str">
        <f>("56-140252")</f>
        <v>56-140252</v>
      </c>
      <c r="B1465" t="s">
        <v>5152</v>
      </c>
      <c r="C1465" t="s">
        <v>6687</v>
      </c>
      <c r="D1465" t="s">
        <v>5158</v>
      </c>
      <c r="E1465" t="s">
        <v>6680</v>
      </c>
      <c r="F1465">
        <v>1239.33</v>
      </c>
    </row>
    <row r="1466" spans="1:6">
      <c r="A1466" t="str">
        <f>("56-140552")</f>
        <v>56-140552</v>
      </c>
      <c r="B1466" t="s">
        <v>5152</v>
      </c>
      <c r="C1466" t="s">
        <v>6687</v>
      </c>
      <c r="D1466" t="s">
        <v>5160</v>
      </c>
      <c r="E1466" t="s">
        <v>6388</v>
      </c>
      <c r="F1466">
        <v>1036.67</v>
      </c>
    </row>
    <row r="1467" spans="1:6">
      <c r="A1467" t="str">
        <f>("56-140652")</f>
        <v>56-140652</v>
      </c>
      <c r="B1467" t="s">
        <v>5152</v>
      </c>
      <c r="C1467" t="s">
        <v>6687</v>
      </c>
      <c r="D1467" t="s">
        <v>5160</v>
      </c>
      <c r="E1467" t="s">
        <v>5237</v>
      </c>
      <c r="F1467">
        <v>1239.33</v>
      </c>
    </row>
    <row r="1468" spans="1:6">
      <c r="A1468" t="str">
        <f>("56-140852")</f>
        <v>56-140852</v>
      </c>
      <c r="B1468" t="s">
        <v>5152</v>
      </c>
      <c r="C1468" t="s">
        <v>6687</v>
      </c>
      <c r="D1468" t="s">
        <v>5178</v>
      </c>
      <c r="E1468" t="s">
        <v>6679</v>
      </c>
      <c r="F1468">
        <v>1239.33</v>
      </c>
    </row>
    <row r="1469" spans="1:6">
      <c r="A1469" t="str">
        <f>("56-140952")</f>
        <v>56-140952</v>
      </c>
      <c r="B1469" t="s">
        <v>5152</v>
      </c>
      <c r="C1469" t="s">
        <v>6687</v>
      </c>
      <c r="D1469" t="s">
        <v>5178</v>
      </c>
      <c r="E1469" t="s">
        <v>6678</v>
      </c>
      <c r="F1469">
        <v>1239.33</v>
      </c>
    </row>
    <row r="1470" spans="1:6">
      <c r="A1470" t="str">
        <f>("56-141252")</f>
        <v>56-141252</v>
      </c>
      <c r="B1470" t="s">
        <v>5152</v>
      </c>
      <c r="C1470" t="s">
        <v>6687</v>
      </c>
      <c r="D1470" t="s">
        <v>5163</v>
      </c>
      <c r="E1470" t="s">
        <v>5243</v>
      </c>
      <c r="F1470">
        <v>1239.33</v>
      </c>
    </row>
    <row r="1471" spans="1:6">
      <c r="A1471" t="str">
        <f>("56-141352")</f>
        <v>56-141352</v>
      </c>
      <c r="B1471" t="s">
        <v>5152</v>
      </c>
      <c r="C1471" t="s">
        <v>6687</v>
      </c>
      <c r="D1471" t="s">
        <v>5163</v>
      </c>
      <c r="E1471" t="s">
        <v>5242</v>
      </c>
      <c r="F1471">
        <v>1364.33</v>
      </c>
    </row>
    <row r="1472" spans="1:6">
      <c r="A1472" t="str">
        <f>("56-141452")</f>
        <v>56-141452</v>
      </c>
      <c r="B1472" t="s">
        <v>5152</v>
      </c>
      <c r="C1472" t="s">
        <v>6687</v>
      </c>
      <c r="D1472" t="s">
        <v>5174</v>
      </c>
      <c r="E1472" t="s">
        <v>6677</v>
      </c>
      <c r="F1472">
        <v>1239.33</v>
      </c>
    </row>
    <row r="1473" spans="1:6">
      <c r="A1473" t="str">
        <f>("56-141552")</f>
        <v>56-141552</v>
      </c>
      <c r="B1473" t="s">
        <v>5152</v>
      </c>
      <c r="C1473" t="s">
        <v>6687</v>
      </c>
      <c r="D1473" t="s">
        <v>5174</v>
      </c>
      <c r="E1473" t="s">
        <v>5241</v>
      </c>
      <c r="F1473">
        <v>1239.33</v>
      </c>
    </row>
    <row r="1474" spans="1:6">
      <c r="A1474" t="str">
        <f>("56-141652")</f>
        <v>56-141652</v>
      </c>
      <c r="B1474" t="s">
        <v>5152</v>
      </c>
      <c r="C1474" t="s">
        <v>6687</v>
      </c>
      <c r="D1474" t="s">
        <v>5160</v>
      </c>
      <c r="E1474" t="s">
        <v>5236</v>
      </c>
      <c r="F1474">
        <v>1239.33</v>
      </c>
    </row>
    <row r="1475" spans="1:6">
      <c r="A1475" t="str">
        <f>("56-141952")</f>
        <v>56-141952</v>
      </c>
      <c r="B1475" t="s">
        <v>5152</v>
      </c>
      <c r="C1475" t="s">
        <v>6687</v>
      </c>
      <c r="D1475" t="s">
        <v>5174</v>
      </c>
      <c r="E1475" t="s">
        <v>5233</v>
      </c>
      <c r="F1475">
        <v>1239.33</v>
      </c>
    </row>
    <row r="1476" spans="1:6">
      <c r="A1476" t="str">
        <f>("56-142152")</f>
        <v>56-142152</v>
      </c>
      <c r="B1476" t="s">
        <v>5152</v>
      </c>
      <c r="C1476" t="s">
        <v>6687</v>
      </c>
      <c r="D1476" t="s">
        <v>5158</v>
      </c>
      <c r="E1476" t="s">
        <v>6688</v>
      </c>
      <c r="F1476">
        <v>1239.33</v>
      </c>
    </row>
    <row r="1477" spans="1:6">
      <c r="A1477" t="str">
        <f>("56-142252")</f>
        <v>56-142252</v>
      </c>
      <c r="B1477" t="s">
        <v>5152</v>
      </c>
      <c r="C1477" t="s">
        <v>6687</v>
      </c>
      <c r="D1477" t="s">
        <v>5150</v>
      </c>
      <c r="E1477" t="s">
        <v>5238</v>
      </c>
      <c r="F1477">
        <v>1239.33</v>
      </c>
    </row>
    <row r="1478" spans="1:6">
      <c r="A1478" t="str">
        <f>("56-142352")</f>
        <v>56-142352</v>
      </c>
      <c r="B1478" t="s">
        <v>5152</v>
      </c>
      <c r="C1478" t="s">
        <v>6687</v>
      </c>
      <c r="D1478" t="s">
        <v>5150</v>
      </c>
      <c r="E1478" t="s">
        <v>5149</v>
      </c>
      <c r="F1478">
        <v>1364.33</v>
      </c>
    </row>
    <row r="1479" spans="1:6">
      <c r="A1479" t="str">
        <f>("56-21315")</f>
        <v>56-21315</v>
      </c>
      <c r="B1479" t="s">
        <v>5152</v>
      </c>
      <c r="C1479" t="s">
        <v>6676</v>
      </c>
      <c r="D1479" t="s">
        <v>5174</v>
      </c>
      <c r="E1479" t="s">
        <v>6686</v>
      </c>
      <c r="F1479">
        <v>988.67</v>
      </c>
    </row>
    <row r="1480" spans="1:6">
      <c r="A1480" t="str">
        <f>("56-21335")</f>
        <v>56-21335</v>
      </c>
      <c r="B1480" t="s">
        <v>5152</v>
      </c>
      <c r="C1480" t="s">
        <v>6676</v>
      </c>
      <c r="D1480" t="s">
        <v>5174</v>
      </c>
      <c r="E1480" t="s">
        <v>6381</v>
      </c>
      <c r="F1480">
        <v>988.67</v>
      </c>
    </row>
    <row r="1481" spans="1:6">
      <c r="A1481" t="str">
        <f>("56-22775")</f>
        <v>56-22775</v>
      </c>
      <c r="B1481" t="s">
        <v>5152</v>
      </c>
      <c r="C1481" t="s">
        <v>6676</v>
      </c>
      <c r="D1481" t="s">
        <v>5150</v>
      </c>
      <c r="E1481" t="s">
        <v>5254</v>
      </c>
      <c r="F1481">
        <v>988.67</v>
      </c>
    </row>
    <row r="1482" spans="1:6">
      <c r="A1482" t="str">
        <f>("56-22785")</f>
        <v>56-22785</v>
      </c>
      <c r="B1482" t="s">
        <v>5152</v>
      </c>
      <c r="C1482" t="s">
        <v>6676</v>
      </c>
      <c r="D1482" t="s">
        <v>5150</v>
      </c>
      <c r="E1482" t="s">
        <v>5253</v>
      </c>
      <c r="F1482">
        <v>988.67</v>
      </c>
    </row>
    <row r="1483" spans="1:6">
      <c r="A1483" t="str">
        <f>("56-23255")</f>
        <v>56-23255</v>
      </c>
      <c r="B1483" t="s">
        <v>5152</v>
      </c>
      <c r="C1483" t="s">
        <v>6676</v>
      </c>
      <c r="D1483" t="s">
        <v>5150</v>
      </c>
      <c r="E1483" t="s">
        <v>5155</v>
      </c>
      <c r="F1483">
        <v>988.67</v>
      </c>
    </row>
    <row r="1484" spans="1:6">
      <c r="A1484" t="str">
        <f>("56-23295")</f>
        <v>56-23295</v>
      </c>
      <c r="B1484" t="s">
        <v>5152</v>
      </c>
      <c r="C1484" t="s">
        <v>6676</v>
      </c>
      <c r="D1484" t="s">
        <v>5160</v>
      </c>
      <c r="E1484" t="s">
        <v>5161</v>
      </c>
      <c r="F1484">
        <v>988.67</v>
      </c>
    </row>
    <row r="1485" spans="1:6">
      <c r="A1485" t="str">
        <f>("56-23315")</f>
        <v>56-23315</v>
      </c>
      <c r="B1485" t="s">
        <v>5152</v>
      </c>
      <c r="C1485" t="s">
        <v>6676</v>
      </c>
      <c r="D1485" t="s">
        <v>5160</v>
      </c>
      <c r="E1485" t="s">
        <v>6685</v>
      </c>
      <c r="F1485">
        <v>835.33</v>
      </c>
    </row>
    <row r="1486" spans="1:6">
      <c r="A1486" t="str">
        <f>("56-23525")</f>
        <v>56-23525</v>
      </c>
      <c r="B1486" t="s">
        <v>5152</v>
      </c>
      <c r="C1486" t="s">
        <v>6676</v>
      </c>
      <c r="D1486" t="s">
        <v>5174</v>
      </c>
      <c r="E1486" t="s">
        <v>5176</v>
      </c>
      <c r="F1486">
        <v>988.67</v>
      </c>
    </row>
    <row r="1487" spans="1:6">
      <c r="A1487" t="str">
        <f>("56-23555")</f>
        <v>56-23555</v>
      </c>
      <c r="B1487" t="s">
        <v>5152</v>
      </c>
      <c r="C1487" t="s">
        <v>6676</v>
      </c>
      <c r="D1487" t="s">
        <v>5181</v>
      </c>
      <c r="E1487" t="s">
        <v>5251</v>
      </c>
      <c r="F1487">
        <v>988.67</v>
      </c>
    </row>
    <row r="1488" spans="1:6">
      <c r="A1488" t="str">
        <f>("56-23565")</f>
        <v>56-23565</v>
      </c>
      <c r="B1488" t="s">
        <v>5152</v>
      </c>
      <c r="C1488" t="s">
        <v>6676</v>
      </c>
      <c r="D1488" t="s">
        <v>5181</v>
      </c>
      <c r="E1488" t="s">
        <v>6684</v>
      </c>
      <c r="F1488">
        <v>988.67</v>
      </c>
    </row>
    <row r="1489" spans="1:6">
      <c r="A1489" t="str">
        <f>("56-23715")</f>
        <v>56-23715</v>
      </c>
      <c r="B1489" t="s">
        <v>5152</v>
      </c>
      <c r="C1489" t="s">
        <v>6676</v>
      </c>
      <c r="D1489" t="s">
        <v>5163</v>
      </c>
      <c r="E1489" t="s">
        <v>6683</v>
      </c>
      <c r="F1489">
        <v>988.67</v>
      </c>
    </row>
    <row r="1490" spans="1:6">
      <c r="A1490" t="str">
        <f>("56-23725")</f>
        <v>56-23725</v>
      </c>
      <c r="B1490" t="s">
        <v>5152</v>
      </c>
      <c r="C1490" t="s">
        <v>6676</v>
      </c>
      <c r="D1490" t="s">
        <v>5163</v>
      </c>
      <c r="E1490" t="s">
        <v>6682</v>
      </c>
      <c r="F1490">
        <v>988.67</v>
      </c>
    </row>
    <row r="1491" spans="1:6">
      <c r="A1491" t="str">
        <f>("56-23935")</f>
        <v>56-23935</v>
      </c>
      <c r="B1491" t="s">
        <v>5152</v>
      </c>
      <c r="C1491" t="s">
        <v>6676</v>
      </c>
      <c r="D1491" t="s">
        <v>5174</v>
      </c>
      <c r="E1491" t="s">
        <v>5247</v>
      </c>
      <c r="F1491">
        <v>988.67</v>
      </c>
    </row>
    <row r="1492" spans="1:6">
      <c r="A1492" t="str">
        <f>("56-23945")</f>
        <v>56-23945</v>
      </c>
      <c r="B1492" t="s">
        <v>5152</v>
      </c>
      <c r="C1492" t="s">
        <v>6676</v>
      </c>
      <c r="D1492" t="s">
        <v>5174</v>
      </c>
      <c r="E1492" t="s">
        <v>5246</v>
      </c>
      <c r="F1492">
        <v>988.67</v>
      </c>
    </row>
    <row r="1493" spans="1:6">
      <c r="A1493" t="str">
        <f>("56-24005")</f>
        <v>56-24005</v>
      </c>
      <c r="B1493" t="s">
        <v>5152</v>
      </c>
      <c r="C1493" t="s">
        <v>6676</v>
      </c>
      <c r="D1493" t="s">
        <v>5163</v>
      </c>
      <c r="E1493" t="s">
        <v>6681</v>
      </c>
      <c r="F1493">
        <v>1013.67</v>
      </c>
    </row>
    <row r="1494" spans="1:6">
      <c r="A1494" t="str">
        <f>("56-24015")</f>
        <v>56-24015</v>
      </c>
      <c r="B1494" t="s">
        <v>5152</v>
      </c>
      <c r="C1494" t="s">
        <v>6676</v>
      </c>
      <c r="D1494" t="s">
        <v>5163</v>
      </c>
      <c r="E1494" t="s">
        <v>5245</v>
      </c>
      <c r="F1494">
        <v>988.67</v>
      </c>
    </row>
    <row r="1495" spans="1:6">
      <c r="A1495" t="str">
        <f>("56-24025")</f>
        <v>56-24025</v>
      </c>
      <c r="B1495" t="s">
        <v>5152</v>
      </c>
      <c r="C1495" t="s">
        <v>6676</v>
      </c>
      <c r="D1495" t="s">
        <v>5158</v>
      </c>
      <c r="E1495" t="s">
        <v>6680</v>
      </c>
      <c r="F1495">
        <v>988.67</v>
      </c>
    </row>
    <row r="1496" spans="1:6">
      <c r="A1496" t="str">
        <f>("56-24055")</f>
        <v>56-24055</v>
      </c>
      <c r="B1496" t="s">
        <v>5152</v>
      </c>
      <c r="C1496" t="s">
        <v>6676</v>
      </c>
      <c r="D1496" t="s">
        <v>5160</v>
      </c>
      <c r="E1496" t="s">
        <v>6388</v>
      </c>
      <c r="F1496">
        <v>835.33</v>
      </c>
    </row>
    <row r="1497" spans="1:6">
      <c r="A1497" t="str">
        <f>("56-24075")</f>
        <v>56-24075</v>
      </c>
      <c r="B1497" t="s">
        <v>5152</v>
      </c>
      <c r="C1497" t="s">
        <v>6676</v>
      </c>
      <c r="D1497" t="s">
        <v>5160</v>
      </c>
      <c r="E1497" t="s">
        <v>5237</v>
      </c>
      <c r="F1497">
        <v>988.67</v>
      </c>
    </row>
    <row r="1498" spans="1:6">
      <c r="A1498" t="str">
        <f>("56-24085")</f>
        <v>56-24085</v>
      </c>
      <c r="B1498" t="s">
        <v>5152</v>
      </c>
      <c r="C1498" t="s">
        <v>6676</v>
      </c>
      <c r="D1498" t="s">
        <v>5178</v>
      </c>
      <c r="E1498" t="s">
        <v>6679</v>
      </c>
      <c r="F1498">
        <v>1028.67</v>
      </c>
    </row>
    <row r="1499" spans="1:6">
      <c r="A1499" t="str">
        <f>("56-24095")</f>
        <v>56-24095</v>
      </c>
      <c r="B1499" t="s">
        <v>5152</v>
      </c>
      <c r="C1499" t="s">
        <v>6676</v>
      </c>
      <c r="D1499" t="s">
        <v>5178</v>
      </c>
      <c r="E1499" t="s">
        <v>6678</v>
      </c>
      <c r="F1499">
        <v>988.67</v>
      </c>
    </row>
    <row r="1500" spans="1:6">
      <c r="A1500" t="str">
        <f>("56-24125")</f>
        <v>56-24125</v>
      </c>
      <c r="B1500" t="s">
        <v>5152</v>
      </c>
      <c r="C1500" t="s">
        <v>6676</v>
      </c>
      <c r="D1500" t="s">
        <v>5163</v>
      </c>
      <c r="E1500" t="s">
        <v>5243</v>
      </c>
      <c r="F1500">
        <v>988.67</v>
      </c>
    </row>
    <row r="1501" spans="1:6">
      <c r="A1501" t="str">
        <f>("56-24135")</f>
        <v>56-24135</v>
      </c>
      <c r="B1501" t="s">
        <v>5152</v>
      </c>
      <c r="C1501" t="s">
        <v>6676</v>
      </c>
      <c r="D1501" t="s">
        <v>5163</v>
      </c>
      <c r="E1501" t="s">
        <v>5242</v>
      </c>
      <c r="F1501">
        <v>988.67</v>
      </c>
    </row>
    <row r="1502" spans="1:6">
      <c r="A1502" t="str">
        <f>("56-24145")</f>
        <v>56-24145</v>
      </c>
      <c r="B1502" t="s">
        <v>5152</v>
      </c>
      <c r="C1502" t="s">
        <v>6676</v>
      </c>
      <c r="D1502" t="s">
        <v>5174</v>
      </c>
      <c r="E1502" t="s">
        <v>6677</v>
      </c>
      <c r="F1502">
        <v>988.67</v>
      </c>
    </row>
    <row r="1503" spans="1:6">
      <c r="A1503" t="str">
        <f>("56-24155")</f>
        <v>56-24155</v>
      </c>
      <c r="B1503" t="s">
        <v>5152</v>
      </c>
      <c r="C1503" t="s">
        <v>6676</v>
      </c>
      <c r="D1503" t="s">
        <v>5174</v>
      </c>
      <c r="E1503" t="s">
        <v>5241</v>
      </c>
      <c r="F1503">
        <v>988.67</v>
      </c>
    </row>
    <row r="1504" spans="1:6">
      <c r="A1504" t="str">
        <f>("56-24165")</f>
        <v>56-24165</v>
      </c>
      <c r="B1504" t="s">
        <v>5152</v>
      </c>
      <c r="C1504" t="s">
        <v>6676</v>
      </c>
      <c r="D1504" t="s">
        <v>5160</v>
      </c>
      <c r="E1504" t="s">
        <v>5236</v>
      </c>
      <c r="F1504">
        <v>1113.67</v>
      </c>
    </row>
    <row r="1505" spans="1:6">
      <c r="A1505" t="str">
        <f>("56-26095")</f>
        <v>56-26095</v>
      </c>
      <c r="B1505" t="s">
        <v>5152</v>
      </c>
      <c r="C1505" t="s">
        <v>6676</v>
      </c>
      <c r="D1505" t="s">
        <v>6447</v>
      </c>
      <c r="E1505" t="s">
        <v>6675</v>
      </c>
      <c r="F1505">
        <v>1707</v>
      </c>
    </row>
    <row r="1506" spans="1:6">
      <c r="A1506" t="str">
        <f>("56-534015")</f>
        <v>56-534015</v>
      </c>
      <c r="B1506" t="s">
        <v>5152</v>
      </c>
      <c r="C1506" t="s">
        <v>6672</v>
      </c>
      <c r="D1506" t="s">
        <v>5174</v>
      </c>
      <c r="E1506" t="s">
        <v>6671</v>
      </c>
      <c r="F1506">
        <v>1697</v>
      </c>
    </row>
    <row r="1507" spans="1:6">
      <c r="A1507" t="str">
        <f>("56-534025")</f>
        <v>56-534025</v>
      </c>
      <c r="B1507" t="s">
        <v>5152</v>
      </c>
      <c r="C1507" t="s">
        <v>6672</v>
      </c>
      <c r="D1507" t="s">
        <v>5174</v>
      </c>
      <c r="E1507" t="s">
        <v>6670</v>
      </c>
      <c r="F1507">
        <v>1697</v>
      </c>
    </row>
    <row r="1508" spans="1:6">
      <c r="A1508" t="str">
        <f>("56-534185")</f>
        <v>56-534185</v>
      </c>
      <c r="B1508" t="s">
        <v>5152</v>
      </c>
      <c r="C1508" t="s">
        <v>6672</v>
      </c>
      <c r="D1508" t="s">
        <v>5150</v>
      </c>
      <c r="E1508" t="s">
        <v>6669</v>
      </c>
      <c r="F1508">
        <v>1547</v>
      </c>
    </row>
    <row r="1509" spans="1:6">
      <c r="A1509" t="str">
        <f>("56-534315")</f>
        <v>56-534315</v>
      </c>
      <c r="B1509" t="s">
        <v>5152</v>
      </c>
      <c r="C1509" t="s">
        <v>6672</v>
      </c>
      <c r="D1509" t="s">
        <v>5181</v>
      </c>
      <c r="E1509" t="s">
        <v>6668</v>
      </c>
      <c r="F1509">
        <v>1547</v>
      </c>
    </row>
    <row r="1510" spans="1:6">
      <c r="A1510" t="str">
        <f>("56-534325")</f>
        <v>56-534325</v>
      </c>
      <c r="B1510" t="s">
        <v>5152</v>
      </c>
      <c r="C1510" t="s">
        <v>6672</v>
      </c>
      <c r="D1510" t="s">
        <v>5181</v>
      </c>
      <c r="E1510" t="s">
        <v>6667</v>
      </c>
      <c r="F1510">
        <v>1547</v>
      </c>
    </row>
    <row r="1511" spans="1:6">
      <c r="A1511" t="str">
        <f>("56-534335")</f>
        <v>56-534335</v>
      </c>
      <c r="B1511" t="s">
        <v>5152</v>
      </c>
      <c r="C1511" t="s">
        <v>6672</v>
      </c>
      <c r="D1511" t="s">
        <v>5178</v>
      </c>
      <c r="E1511" t="s">
        <v>6674</v>
      </c>
      <c r="F1511">
        <v>1822.33</v>
      </c>
    </row>
    <row r="1512" spans="1:6">
      <c r="A1512" t="str">
        <f>("56-534345")</f>
        <v>56-534345</v>
      </c>
      <c r="B1512" t="s">
        <v>5152</v>
      </c>
      <c r="C1512" t="s">
        <v>6672</v>
      </c>
      <c r="D1512" t="s">
        <v>5178</v>
      </c>
      <c r="E1512" t="s">
        <v>6665</v>
      </c>
      <c r="F1512">
        <v>1822.33</v>
      </c>
    </row>
    <row r="1513" spans="1:6">
      <c r="A1513" t="str">
        <f>("56-534565")</f>
        <v>56-534565</v>
      </c>
      <c r="B1513" t="s">
        <v>5152</v>
      </c>
      <c r="C1513" t="s">
        <v>6672</v>
      </c>
      <c r="D1513" t="s">
        <v>5163</v>
      </c>
      <c r="E1513" t="s">
        <v>6673</v>
      </c>
      <c r="F1513">
        <v>1547</v>
      </c>
    </row>
    <row r="1514" spans="1:6">
      <c r="A1514" t="str">
        <f>("56-534575")</f>
        <v>56-534575</v>
      </c>
      <c r="B1514" t="s">
        <v>5152</v>
      </c>
      <c r="C1514" t="s">
        <v>6672</v>
      </c>
      <c r="D1514" t="s">
        <v>5163</v>
      </c>
      <c r="E1514" t="s">
        <v>6664</v>
      </c>
      <c r="F1514">
        <v>1697</v>
      </c>
    </row>
    <row r="1515" spans="1:6">
      <c r="A1515" t="str">
        <f>("56-534585")</f>
        <v>56-534585</v>
      </c>
      <c r="B1515" t="s">
        <v>5152</v>
      </c>
      <c r="C1515" t="s">
        <v>6672</v>
      </c>
      <c r="D1515" t="s">
        <v>5163</v>
      </c>
      <c r="E1515" t="s">
        <v>6663</v>
      </c>
      <c r="F1515">
        <v>1822.33</v>
      </c>
    </row>
    <row r="1516" spans="1:6">
      <c r="A1516" t="str">
        <f>("56-534595")</f>
        <v>56-534595</v>
      </c>
      <c r="B1516" t="s">
        <v>5152</v>
      </c>
      <c r="C1516" t="s">
        <v>6672</v>
      </c>
      <c r="D1516" t="s">
        <v>5163</v>
      </c>
      <c r="E1516" t="s">
        <v>6662</v>
      </c>
      <c r="F1516">
        <v>1547</v>
      </c>
    </row>
    <row r="1517" spans="1:6">
      <c r="A1517" t="str">
        <f>("56-534685")</f>
        <v>56-534685</v>
      </c>
      <c r="B1517" t="s">
        <v>5152</v>
      </c>
      <c r="C1517" t="s">
        <v>6672</v>
      </c>
      <c r="D1517" t="s">
        <v>5163</v>
      </c>
      <c r="E1517" t="s">
        <v>6661</v>
      </c>
      <c r="F1517">
        <v>1547</v>
      </c>
    </row>
    <row r="1518" spans="1:6">
      <c r="A1518" t="str">
        <f>("56-534695")</f>
        <v>56-534695</v>
      </c>
      <c r="B1518" t="s">
        <v>5152</v>
      </c>
      <c r="C1518" t="s">
        <v>6672</v>
      </c>
      <c r="D1518" t="s">
        <v>5163</v>
      </c>
      <c r="E1518" t="s">
        <v>6660</v>
      </c>
      <c r="F1518">
        <v>1697</v>
      </c>
    </row>
    <row r="1519" spans="1:6">
      <c r="A1519" t="str">
        <f>("56-534705")</f>
        <v>56-534705</v>
      </c>
      <c r="B1519" t="s">
        <v>5152</v>
      </c>
      <c r="C1519" t="s">
        <v>6672</v>
      </c>
      <c r="D1519" t="s">
        <v>5178</v>
      </c>
      <c r="E1519" t="s">
        <v>6659</v>
      </c>
      <c r="F1519">
        <v>1697</v>
      </c>
    </row>
    <row r="1520" spans="1:6">
      <c r="A1520" t="str">
        <f>("56-534715")</f>
        <v>56-534715</v>
      </c>
      <c r="B1520" t="s">
        <v>5152</v>
      </c>
      <c r="C1520" t="s">
        <v>6672</v>
      </c>
      <c r="D1520" t="s">
        <v>5163</v>
      </c>
      <c r="E1520" t="s">
        <v>6658</v>
      </c>
      <c r="F1520">
        <v>1547</v>
      </c>
    </row>
    <row r="1521" spans="1:6">
      <c r="A1521" t="str">
        <f>("56-534725")</f>
        <v>56-534725</v>
      </c>
      <c r="B1521" t="s">
        <v>5152</v>
      </c>
      <c r="C1521" t="s">
        <v>6672</v>
      </c>
      <c r="D1521" t="s">
        <v>5178</v>
      </c>
      <c r="E1521" t="s">
        <v>6657</v>
      </c>
      <c r="F1521">
        <v>1697</v>
      </c>
    </row>
    <row r="1522" spans="1:6">
      <c r="A1522" t="str">
        <f>("56-534735")</f>
        <v>56-534735</v>
      </c>
      <c r="B1522" t="s">
        <v>5152</v>
      </c>
      <c r="C1522" t="s">
        <v>6672</v>
      </c>
      <c r="D1522" t="s">
        <v>5178</v>
      </c>
      <c r="E1522" t="s">
        <v>6656</v>
      </c>
      <c r="F1522">
        <v>1697</v>
      </c>
    </row>
    <row r="1523" spans="1:6">
      <c r="A1523" t="str">
        <f>("56-534755")</f>
        <v>56-534755</v>
      </c>
      <c r="B1523" t="s">
        <v>5152</v>
      </c>
      <c r="C1523" t="s">
        <v>6672</v>
      </c>
      <c r="D1523" t="s">
        <v>5163</v>
      </c>
      <c r="E1523" t="s">
        <v>6655</v>
      </c>
      <c r="F1523">
        <v>1822.33</v>
      </c>
    </row>
    <row r="1524" spans="1:6">
      <c r="A1524" t="str">
        <f>("56-534765")</f>
        <v>56-534765</v>
      </c>
      <c r="B1524" t="s">
        <v>5152</v>
      </c>
      <c r="C1524" t="s">
        <v>6672</v>
      </c>
      <c r="D1524" t="s">
        <v>5163</v>
      </c>
      <c r="E1524" t="s">
        <v>5306</v>
      </c>
      <c r="F1524">
        <v>1697</v>
      </c>
    </row>
    <row r="1525" spans="1:6">
      <c r="A1525" t="str">
        <f>("56-534775")</f>
        <v>56-534775</v>
      </c>
      <c r="B1525" t="s">
        <v>5152</v>
      </c>
      <c r="C1525" t="s">
        <v>6672</v>
      </c>
      <c r="D1525" t="s">
        <v>5163</v>
      </c>
      <c r="E1525" t="s">
        <v>6654</v>
      </c>
      <c r="F1525">
        <v>1822.33</v>
      </c>
    </row>
    <row r="1526" spans="1:6">
      <c r="A1526" t="str">
        <f>("56-534785")</f>
        <v>56-534785</v>
      </c>
      <c r="B1526" t="s">
        <v>5152</v>
      </c>
      <c r="C1526" t="s">
        <v>6672</v>
      </c>
      <c r="D1526" t="s">
        <v>5178</v>
      </c>
      <c r="E1526" t="s">
        <v>6652</v>
      </c>
      <c r="F1526">
        <v>1697</v>
      </c>
    </row>
    <row r="1527" spans="1:6">
      <c r="A1527" t="str">
        <f>("56-5340152")</f>
        <v>56-5340152</v>
      </c>
      <c r="B1527" t="s">
        <v>5152</v>
      </c>
      <c r="C1527" t="s">
        <v>6653</v>
      </c>
      <c r="D1527" t="s">
        <v>5174</v>
      </c>
      <c r="E1527" t="s">
        <v>6671</v>
      </c>
      <c r="F1527">
        <v>1959.67</v>
      </c>
    </row>
    <row r="1528" spans="1:6">
      <c r="A1528" t="str">
        <f>("56-5340252")</f>
        <v>56-5340252</v>
      </c>
      <c r="B1528" t="s">
        <v>5152</v>
      </c>
      <c r="C1528" t="s">
        <v>6653</v>
      </c>
      <c r="D1528" t="s">
        <v>5174</v>
      </c>
      <c r="E1528" t="s">
        <v>6670</v>
      </c>
      <c r="F1528">
        <v>1954.33</v>
      </c>
    </row>
    <row r="1529" spans="1:6">
      <c r="A1529" t="str">
        <f>("56-5341852")</f>
        <v>56-5341852</v>
      </c>
      <c r="B1529" t="s">
        <v>5152</v>
      </c>
      <c r="C1529" t="s">
        <v>6653</v>
      </c>
      <c r="D1529" t="s">
        <v>5150</v>
      </c>
      <c r="E1529" t="s">
        <v>6669</v>
      </c>
      <c r="F1529">
        <v>1809.67</v>
      </c>
    </row>
    <row r="1530" spans="1:6">
      <c r="A1530" t="str">
        <f>("56-5343152")</f>
        <v>56-5343152</v>
      </c>
      <c r="B1530" t="s">
        <v>5152</v>
      </c>
      <c r="C1530" t="s">
        <v>6653</v>
      </c>
      <c r="D1530" t="s">
        <v>5181</v>
      </c>
      <c r="E1530" t="s">
        <v>6668</v>
      </c>
      <c r="F1530">
        <v>1804.33</v>
      </c>
    </row>
    <row r="1531" spans="1:6">
      <c r="A1531" t="str">
        <f>("56-5343252")</f>
        <v>56-5343252</v>
      </c>
      <c r="B1531" t="s">
        <v>5152</v>
      </c>
      <c r="C1531" t="s">
        <v>6653</v>
      </c>
      <c r="D1531" t="s">
        <v>5181</v>
      </c>
      <c r="E1531" t="s">
        <v>6667</v>
      </c>
      <c r="F1531">
        <v>1804.33</v>
      </c>
    </row>
    <row r="1532" spans="1:6">
      <c r="A1532" t="str">
        <f>("56-5343352")</f>
        <v>56-5343352</v>
      </c>
      <c r="B1532" t="s">
        <v>5152</v>
      </c>
      <c r="C1532" t="s">
        <v>6653</v>
      </c>
      <c r="D1532" t="s">
        <v>5178</v>
      </c>
      <c r="E1532" t="s">
        <v>6666</v>
      </c>
      <c r="F1532">
        <v>2081</v>
      </c>
    </row>
    <row r="1533" spans="1:6">
      <c r="A1533" t="str">
        <f>("56-5343452")</f>
        <v>56-5343452</v>
      </c>
      <c r="B1533" t="s">
        <v>5152</v>
      </c>
      <c r="C1533" t="s">
        <v>6653</v>
      </c>
      <c r="D1533" t="s">
        <v>5178</v>
      </c>
      <c r="E1533" t="s">
        <v>6665</v>
      </c>
      <c r="F1533">
        <v>2073</v>
      </c>
    </row>
    <row r="1534" spans="1:6">
      <c r="A1534" t="str">
        <f>("56-5345752")</f>
        <v>56-5345752</v>
      </c>
      <c r="B1534" t="s">
        <v>5152</v>
      </c>
      <c r="C1534" t="s">
        <v>6653</v>
      </c>
      <c r="D1534" t="s">
        <v>5163</v>
      </c>
      <c r="E1534" t="s">
        <v>6664</v>
      </c>
      <c r="F1534">
        <v>1959.67</v>
      </c>
    </row>
    <row r="1535" spans="1:6">
      <c r="A1535" t="str">
        <f>("56-5345852")</f>
        <v>56-5345852</v>
      </c>
      <c r="B1535" t="s">
        <v>5152</v>
      </c>
      <c r="C1535" t="s">
        <v>6653</v>
      </c>
      <c r="D1535" t="s">
        <v>5163</v>
      </c>
      <c r="E1535" t="s">
        <v>6663</v>
      </c>
      <c r="F1535">
        <v>2081</v>
      </c>
    </row>
    <row r="1536" spans="1:6">
      <c r="A1536" t="str">
        <f>("56-5345952")</f>
        <v>56-5345952</v>
      </c>
      <c r="B1536" t="s">
        <v>5152</v>
      </c>
      <c r="C1536" t="s">
        <v>6653</v>
      </c>
      <c r="D1536" t="s">
        <v>5163</v>
      </c>
      <c r="E1536" t="s">
        <v>6662</v>
      </c>
      <c r="F1536">
        <v>1804.33</v>
      </c>
    </row>
    <row r="1537" spans="1:6">
      <c r="A1537" t="str">
        <f>("56-5346852")</f>
        <v>56-5346852</v>
      </c>
      <c r="B1537" t="s">
        <v>5152</v>
      </c>
      <c r="C1537" t="s">
        <v>6653</v>
      </c>
      <c r="D1537" t="s">
        <v>5163</v>
      </c>
      <c r="E1537" t="s">
        <v>6661</v>
      </c>
      <c r="F1537">
        <v>1809.67</v>
      </c>
    </row>
    <row r="1538" spans="1:6">
      <c r="A1538" t="str">
        <f>("56-5346952")</f>
        <v>56-5346952</v>
      </c>
      <c r="B1538" t="s">
        <v>5152</v>
      </c>
      <c r="C1538" t="s">
        <v>6653</v>
      </c>
      <c r="D1538" t="s">
        <v>5163</v>
      </c>
      <c r="E1538" t="s">
        <v>6660</v>
      </c>
      <c r="F1538">
        <v>1959.67</v>
      </c>
    </row>
    <row r="1539" spans="1:6">
      <c r="A1539" t="str">
        <f>("56-5347052")</f>
        <v>56-5347052</v>
      </c>
      <c r="B1539" t="s">
        <v>5152</v>
      </c>
      <c r="C1539" t="s">
        <v>6653</v>
      </c>
      <c r="D1539" t="s">
        <v>5178</v>
      </c>
      <c r="E1539" t="s">
        <v>6659</v>
      </c>
      <c r="F1539">
        <v>1959.67</v>
      </c>
    </row>
    <row r="1540" spans="1:6">
      <c r="A1540" t="str">
        <f>("56-5347152")</f>
        <v>56-5347152</v>
      </c>
      <c r="B1540" t="s">
        <v>5152</v>
      </c>
      <c r="C1540" t="s">
        <v>6653</v>
      </c>
      <c r="D1540" t="s">
        <v>5163</v>
      </c>
      <c r="E1540" t="s">
        <v>6658</v>
      </c>
      <c r="F1540">
        <v>1811</v>
      </c>
    </row>
    <row r="1541" spans="1:6">
      <c r="A1541" t="str">
        <f>("56-5347252")</f>
        <v>56-5347252</v>
      </c>
      <c r="B1541" t="s">
        <v>5152</v>
      </c>
      <c r="C1541" t="s">
        <v>6653</v>
      </c>
      <c r="D1541" t="s">
        <v>5178</v>
      </c>
      <c r="E1541" t="s">
        <v>6657</v>
      </c>
      <c r="F1541">
        <v>1961</v>
      </c>
    </row>
    <row r="1542" spans="1:6">
      <c r="A1542" t="str">
        <f>("56-5347352")</f>
        <v>56-5347352</v>
      </c>
      <c r="B1542" t="s">
        <v>5152</v>
      </c>
      <c r="C1542" t="s">
        <v>6653</v>
      </c>
      <c r="D1542" t="s">
        <v>5178</v>
      </c>
      <c r="E1542" t="s">
        <v>6656</v>
      </c>
      <c r="F1542">
        <v>1811</v>
      </c>
    </row>
    <row r="1543" spans="1:6">
      <c r="A1543" t="str">
        <f>("56-5347552")</f>
        <v>56-5347552</v>
      </c>
      <c r="B1543" t="s">
        <v>5152</v>
      </c>
      <c r="C1543" t="s">
        <v>6653</v>
      </c>
      <c r="D1543" t="s">
        <v>5163</v>
      </c>
      <c r="E1543" t="s">
        <v>6655</v>
      </c>
      <c r="F1543">
        <v>2073</v>
      </c>
    </row>
    <row r="1544" spans="1:6">
      <c r="A1544" t="str">
        <f>("56-5347652")</f>
        <v>56-5347652</v>
      </c>
      <c r="B1544" t="s">
        <v>5152</v>
      </c>
      <c r="C1544" t="s">
        <v>6653</v>
      </c>
      <c r="D1544" t="s">
        <v>5163</v>
      </c>
      <c r="E1544" t="s">
        <v>5306</v>
      </c>
      <c r="F1544">
        <v>1954.33</v>
      </c>
    </row>
    <row r="1545" spans="1:6">
      <c r="A1545" t="str">
        <f>("56-5347752")</f>
        <v>56-5347752</v>
      </c>
      <c r="B1545" t="s">
        <v>5152</v>
      </c>
      <c r="C1545" t="s">
        <v>6653</v>
      </c>
      <c r="D1545" t="s">
        <v>5163</v>
      </c>
      <c r="E1545" t="s">
        <v>6654</v>
      </c>
      <c r="F1545">
        <v>2073</v>
      </c>
    </row>
    <row r="1546" spans="1:6">
      <c r="A1546" t="str">
        <f>("56-5347852")</f>
        <v>56-5347852</v>
      </c>
      <c r="B1546" t="s">
        <v>5152</v>
      </c>
      <c r="C1546" t="s">
        <v>6653</v>
      </c>
      <c r="D1546" t="s">
        <v>5178</v>
      </c>
      <c r="E1546" t="s">
        <v>6652</v>
      </c>
      <c r="F1546">
        <v>1954.33</v>
      </c>
    </row>
    <row r="1547" spans="1:6">
      <c r="A1547" t="str">
        <f>("57-0000")</f>
        <v>57-0000</v>
      </c>
      <c r="B1547" t="s">
        <v>5152</v>
      </c>
      <c r="C1547" t="s">
        <v>6651</v>
      </c>
      <c r="D1547" t="s">
        <v>5206</v>
      </c>
      <c r="E1547" t="s">
        <v>6650</v>
      </c>
      <c r="F1547">
        <v>87.67</v>
      </c>
    </row>
    <row r="1548" spans="1:6">
      <c r="A1548" t="str">
        <f>("57-0005")</f>
        <v>57-0005</v>
      </c>
      <c r="B1548" t="s">
        <v>5152</v>
      </c>
      <c r="C1548" t="s">
        <v>6651</v>
      </c>
      <c r="D1548" t="s">
        <v>5206</v>
      </c>
      <c r="E1548" t="s">
        <v>6650</v>
      </c>
      <c r="F1548">
        <v>66.33</v>
      </c>
    </row>
    <row r="1549" spans="1:6">
      <c r="A1549" t="str">
        <f>("57-0010")</f>
        <v>57-0010</v>
      </c>
      <c r="B1549" t="s">
        <v>5152</v>
      </c>
      <c r="C1549" t="s">
        <v>6649</v>
      </c>
      <c r="D1549" t="s">
        <v>5206</v>
      </c>
      <c r="E1549" t="s">
        <v>6648</v>
      </c>
      <c r="F1549">
        <v>87.67</v>
      </c>
    </row>
    <row r="1550" spans="1:6">
      <c r="A1550" t="str">
        <f>("57-0015")</f>
        <v>57-0015</v>
      </c>
      <c r="B1550" t="s">
        <v>5152</v>
      </c>
      <c r="C1550" t="s">
        <v>6649</v>
      </c>
      <c r="D1550" t="s">
        <v>5206</v>
      </c>
      <c r="E1550" t="s">
        <v>6648</v>
      </c>
      <c r="F1550">
        <v>66.33</v>
      </c>
    </row>
    <row r="1551" spans="1:6">
      <c r="A1551" t="str">
        <f>("57-0025")</f>
        <v>57-0025</v>
      </c>
      <c r="B1551" t="s">
        <v>5152</v>
      </c>
      <c r="C1551" t="s">
        <v>6646</v>
      </c>
      <c r="D1551" t="s">
        <v>5206</v>
      </c>
      <c r="E1551" t="s">
        <v>6647</v>
      </c>
      <c r="F1551">
        <v>467.67</v>
      </c>
    </row>
    <row r="1552" spans="1:6">
      <c r="A1552" t="str">
        <f>("57-0035")</f>
        <v>57-0035</v>
      </c>
      <c r="B1552" t="s">
        <v>5152</v>
      </c>
      <c r="C1552" t="s">
        <v>6646</v>
      </c>
      <c r="D1552" t="s">
        <v>5206</v>
      </c>
      <c r="E1552" t="s">
        <v>6645</v>
      </c>
      <c r="F1552">
        <v>563.66999999999996</v>
      </c>
    </row>
    <row r="1553" spans="1:6">
      <c r="A1553" t="str">
        <f>("57-11005")</f>
        <v>57-11005</v>
      </c>
      <c r="B1553" t="s">
        <v>5152</v>
      </c>
      <c r="C1553" t="s">
        <v>6644</v>
      </c>
      <c r="D1553" t="s">
        <v>5163</v>
      </c>
      <c r="E1553" t="s">
        <v>6643</v>
      </c>
      <c r="F1553">
        <v>379.67</v>
      </c>
    </row>
    <row r="1554" spans="1:6">
      <c r="A1554" t="str">
        <f>("57-1175")</f>
        <v>57-1175</v>
      </c>
      <c r="B1554" t="s">
        <v>5152</v>
      </c>
      <c r="C1554" t="s">
        <v>6614</v>
      </c>
      <c r="D1554" t="s">
        <v>5216</v>
      </c>
      <c r="E1554" t="s">
        <v>6642</v>
      </c>
      <c r="F1554">
        <v>1854.33</v>
      </c>
    </row>
    <row r="1555" spans="1:6">
      <c r="A1555" t="str">
        <f>("57-1915")</f>
        <v>57-1915</v>
      </c>
      <c r="B1555" t="s">
        <v>5152</v>
      </c>
      <c r="C1555" t="s">
        <v>6614</v>
      </c>
      <c r="D1555" t="s">
        <v>5216</v>
      </c>
      <c r="E1555" t="s">
        <v>6641</v>
      </c>
      <c r="F1555">
        <v>1854.33</v>
      </c>
    </row>
    <row r="1556" spans="1:6">
      <c r="A1556" t="str">
        <f>("57-1950")</f>
        <v>57-1950</v>
      </c>
      <c r="B1556" t="s">
        <v>5152</v>
      </c>
      <c r="C1556" t="s">
        <v>6614</v>
      </c>
      <c r="D1556" t="s">
        <v>5184</v>
      </c>
      <c r="E1556" t="s">
        <v>6640</v>
      </c>
      <c r="F1556">
        <v>3001</v>
      </c>
    </row>
    <row r="1557" spans="1:6">
      <c r="A1557" t="str">
        <f>("57-1955")</f>
        <v>57-1955</v>
      </c>
      <c r="B1557" t="s">
        <v>5152</v>
      </c>
      <c r="C1557" t="s">
        <v>6614</v>
      </c>
      <c r="D1557" t="s">
        <v>5184</v>
      </c>
      <c r="E1557" t="s">
        <v>6640</v>
      </c>
      <c r="F1557">
        <v>1854.33</v>
      </c>
    </row>
    <row r="1558" spans="1:6">
      <c r="A1558" t="str">
        <f>("57-2010")</f>
        <v>57-2010</v>
      </c>
      <c r="B1558" t="s">
        <v>5152</v>
      </c>
      <c r="C1558" t="s">
        <v>6614</v>
      </c>
      <c r="D1558" t="s">
        <v>5174</v>
      </c>
      <c r="E1558" t="s">
        <v>6639</v>
      </c>
      <c r="F1558">
        <v>3001</v>
      </c>
    </row>
    <row r="1559" spans="1:6">
      <c r="A1559" t="str">
        <f>("57-2015")</f>
        <v>57-2015</v>
      </c>
      <c r="B1559" t="s">
        <v>5152</v>
      </c>
      <c r="C1559" t="s">
        <v>6614</v>
      </c>
      <c r="D1559" t="s">
        <v>5174</v>
      </c>
      <c r="E1559" t="s">
        <v>6639</v>
      </c>
      <c r="F1559">
        <v>1854.33</v>
      </c>
    </row>
    <row r="1560" spans="1:6">
      <c r="A1560" t="str">
        <f>("57-2235")</f>
        <v>57-2235</v>
      </c>
      <c r="B1560" t="s">
        <v>5152</v>
      </c>
      <c r="C1560" t="s">
        <v>6614</v>
      </c>
      <c r="D1560" t="s">
        <v>5150</v>
      </c>
      <c r="E1560" t="s">
        <v>6638</v>
      </c>
      <c r="F1560">
        <v>1854.33</v>
      </c>
    </row>
    <row r="1561" spans="1:6">
      <c r="A1561" t="str">
        <f>("57-2270")</f>
        <v>57-2270</v>
      </c>
      <c r="B1561" t="s">
        <v>5152</v>
      </c>
      <c r="C1561" t="s">
        <v>6614</v>
      </c>
      <c r="D1561" t="s">
        <v>5216</v>
      </c>
      <c r="E1561" t="s">
        <v>6533</v>
      </c>
      <c r="F1561">
        <v>3001</v>
      </c>
    </row>
    <row r="1562" spans="1:6">
      <c r="A1562" t="str">
        <f>("57-2275")</f>
        <v>57-2275</v>
      </c>
      <c r="B1562" t="s">
        <v>5152</v>
      </c>
      <c r="C1562" t="s">
        <v>6614</v>
      </c>
      <c r="D1562" t="s">
        <v>5216</v>
      </c>
      <c r="E1562" t="s">
        <v>6533</v>
      </c>
      <c r="F1562">
        <v>1854.33</v>
      </c>
    </row>
    <row r="1563" spans="1:6">
      <c r="A1563" t="str">
        <f>("57-2295")</f>
        <v>57-2295</v>
      </c>
      <c r="B1563" t="s">
        <v>5152</v>
      </c>
      <c r="C1563" t="s">
        <v>6614</v>
      </c>
      <c r="D1563" t="s">
        <v>6393</v>
      </c>
      <c r="E1563" t="s">
        <v>6637</v>
      </c>
      <c r="F1563">
        <v>1854.33</v>
      </c>
    </row>
    <row r="1564" spans="1:6">
      <c r="A1564" t="str">
        <f>("57-2315")</f>
        <v>57-2315</v>
      </c>
      <c r="B1564" t="s">
        <v>5152</v>
      </c>
      <c r="C1564" t="s">
        <v>6614</v>
      </c>
      <c r="D1564" t="s">
        <v>5216</v>
      </c>
      <c r="E1564" t="s">
        <v>6636</v>
      </c>
      <c r="F1564">
        <v>1854.33</v>
      </c>
    </row>
    <row r="1565" spans="1:6">
      <c r="A1565" t="str">
        <f>("57-2335")</f>
        <v>57-2335</v>
      </c>
      <c r="B1565" t="s">
        <v>5152</v>
      </c>
      <c r="C1565" t="s">
        <v>6614</v>
      </c>
      <c r="D1565" t="s">
        <v>6393</v>
      </c>
      <c r="E1565" t="s">
        <v>6635</v>
      </c>
      <c r="F1565">
        <v>1854.33</v>
      </c>
    </row>
    <row r="1566" spans="1:6">
      <c r="A1566" t="str">
        <f>("57-2360")</f>
        <v>57-2360</v>
      </c>
      <c r="B1566" t="s">
        <v>5152</v>
      </c>
      <c r="C1566" t="s">
        <v>6614</v>
      </c>
      <c r="D1566" t="s">
        <v>5174</v>
      </c>
      <c r="E1566" t="s">
        <v>6634</v>
      </c>
      <c r="F1566">
        <v>3001</v>
      </c>
    </row>
    <row r="1567" spans="1:6">
      <c r="A1567" t="str">
        <f>("57-2365")</f>
        <v>57-2365</v>
      </c>
      <c r="B1567" t="s">
        <v>5152</v>
      </c>
      <c r="C1567" t="s">
        <v>6614</v>
      </c>
      <c r="D1567" t="s">
        <v>5174</v>
      </c>
      <c r="E1567" t="s">
        <v>6634</v>
      </c>
      <c r="F1567">
        <v>1854.33</v>
      </c>
    </row>
    <row r="1568" spans="1:6">
      <c r="A1568" t="str">
        <f>("57-2370")</f>
        <v>57-2370</v>
      </c>
      <c r="B1568" t="s">
        <v>5152</v>
      </c>
      <c r="C1568" t="s">
        <v>6614</v>
      </c>
      <c r="D1568" t="s">
        <v>5174</v>
      </c>
      <c r="E1568" t="s">
        <v>6612</v>
      </c>
      <c r="F1568">
        <v>3001</v>
      </c>
    </row>
    <row r="1569" spans="1:6">
      <c r="A1569" t="str">
        <f>("57-2375")</f>
        <v>57-2375</v>
      </c>
      <c r="B1569" t="s">
        <v>5152</v>
      </c>
      <c r="C1569" t="s">
        <v>6614</v>
      </c>
      <c r="D1569" t="s">
        <v>5174</v>
      </c>
      <c r="E1569" t="s">
        <v>6612</v>
      </c>
      <c r="F1569">
        <v>1854.33</v>
      </c>
    </row>
    <row r="1570" spans="1:6">
      <c r="A1570" t="str">
        <f>("57-2500")</f>
        <v>57-2500</v>
      </c>
      <c r="B1570" t="s">
        <v>5152</v>
      </c>
      <c r="C1570" t="s">
        <v>6614</v>
      </c>
      <c r="D1570" t="s">
        <v>5174</v>
      </c>
      <c r="E1570" t="s">
        <v>6633</v>
      </c>
      <c r="F1570">
        <v>3001</v>
      </c>
    </row>
    <row r="1571" spans="1:6">
      <c r="A1571" t="str">
        <f>("57-2505")</f>
        <v>57-2505</v>
      </c>
      <c r="B1571" t="s">
        <v>5152</v>
      </c>
      <c r="C1571" t="s">
        <v>6614</v>
      </c>
      <c r="D1571" t="s">
        <v>5174</v>
      </c>
      <c r="E1571" t="s">
        <v>6633</v>
      </c>
      <c r="F1571">
        <v>1854.33</v>
      </c>
    </row>
    <row r="1572" spans="1:6">
      <c r="A1572" t="str">
        <f>("57-2785")</f>
        <v>57-2785</v>
      </c>
      <c r="B1572" t="s">
        <v>5152</v>
      </c>
      <c r="C1572" t="s">
        <v>6614</v>
      </c>
      <c r="D1572" t="s">
        <v>5150</v>
      </c>
      <c r="E1572" t="s">
        <v>6545</v>
      </c>
      <c r="F1572">
        <v>1655.67</v>
      </c>
    </row>
    <row r="1573" spans="1:6">
      <c r="A1573" t="str">
        <f>("57-3540")</f>
        <v>57-3540</v>
      </c>
      <c r="B1573" t="s">
        <v>5152</v>
      </c>
      <c r="C1573" t="s">
        <v>6614</v>
      </c>
      <c r="D1573" t="s">
        <v>5181</v>
      </c>
      <c r="E1573" t="s">
        <v>6609</v>
      </c>
      <c r="F1573">
        <v>3001</v>
      </c>
    </row>
    <row r="1574" spans="1:6">
      <c r="A1574" t="str">
        <f>("57-3545")</f>
        <v>57-3545</v>
      </c>
      <c r="B1574" t="s">
        <v>5152</v>
      </c>
      <c r="C1574" t="s">
        <v>6614</v>
      </c>
      <c r="D1574" t="s">
        <v>5181</v>
      </c>
      <c r="E1574" t="s">
        <v>6609</v>
      </c>
      <c r="F1574">
        <v>1854.33</v>
      </c>
    </row>
    <row r="1575" spans="1:6">
      <c r="A1575" t="str">
        <f>("57-3550")</f>
        <v>57-3550</v>
      </c>
      <c r="B1575" t="s">
        <v>5152</v>
      </c>
      <c r="C1575" t="s">
        <v>6614</v>
      </c>
      <c r="D1575" t="s">
        <v>5178</v>
      </c>
      <c r="E1575" t="s">
        <v>5226</v>
      </c>
      <c r="F1575">
        <v>3001</v>
      </c>
    </row>
    <row r="1576" spans="1:6">
      <c r="A1576" t="str">
        <f>("57-3555")</f>
        <v>57-3555</v>
      </c>
      <c r="B1576" t="s">
        <v>5152</v>
      </c>
      <c r="C1576" t="s">
        <v>6614</v>
      </c>
      <c r="D1576" t="s">
        <v>5178</v>
      </c>
      <c r="E1576" t="s">
        <v>5226</v>
      </c>
      <c r="F1576">
        <v>1854.33</v>
      </c>
    </row>
    <row r="1577" spans="1:6">
      <c r="A1577" t="str">
        <f>("57-3610")</f>
        <v>57-3610</v>
      </c>
      <c r="B1577" t="s">
        <v>5152</v>
      </c>
      <c r="C1577" t="s">
        <v>6614</v>
      </c>
      <c r="D1577" t="s">
        <v>5216</v>
      </c>
      <c r="E1577" t="s">
        <v>6632</v>
      </c>
      <c r="F1577">
        <v>3001</v>
      </c>
    </row>
    <row r="1578" spans="1:6">
      <c r="A1578" t="str">
        <f>("57-3615")</f>
        <v>57-3615</v>
      </c>
      <c r="B1578" t="s">
        <v>5152</v>
      </c>
      <c r="C1578" t="s">
        <v>6614</v>
      </c>
      <c r="D1578" t="s">
        <v>5216</v>
      </c>
      <c r="E1578" t="s">
        <v>6632</v>
      </c>
      <c r="F1578">
        <v>1854.33</v>
      </c>
    </row>
    <row r="1579" spans="1:6">
      <c r="A1579" t="str">
        <f>("57-3665")</f>
        <v>57-3665</v>
      </c>
      <c r="B1579" t="s">
        <v>5152</v>
      </c>
      <c r="C1579" t="s">
        <v>6614</v>
      </c>
      <c r="D1579" t="s">
        <v>6393</v>
      </c>
      <c r="E1579" t="s">
        <v>6631</v>
      </c>
      <c r="F1579">
        <v>1854.33</v>
      </c>
    </row>
    <row r="1580" spans="1:6">
      <c r="A1580" t="str">
        <f>("57-3680")</f>
        <v>57-3680</v>
      </c>
      <c r="B1580" t="s">
        <v>5152</v>
      </c>
      <c r="C1580" t="s">
        <v>6614</v>
      </c>
      <c r="D1580" t="s">
        <v>5216</v>
      </c>
      <c r="E1580" t="s">
        <v>6531</v>
      </c>
      <c r="F1580">
        <v>3001</v>
      </c>
    </row>
    <row r="1581" spans="1:6">
      <c r="A1581" t="str">
        <f>("57-3685")</f>
        <v>57-3685</v>
      </c>
      <c r="B1581" t="s">
        <v>5152</v>
      </c>
      <c r="C1581" t="s">
        <v>6614</v>
      </c>
      <c r="D1581" t="s">
        <v>5216</v>
      </c>
      <c r="E1581" t="s">
        <v>6531</v>
      </c>
      <c r="F1581">
        <v>1854.33</v>
      </c>
    </row>
    <row r="1582" spans="1:6">
      <c r="A1582" t="str">
        <f>("57-3695")</f>
        <v>57-3695</v>
      </c>
      <c r="B1582" t="s">
        <v>5152</v>
      </c>
      <c r="C1582" t="s">
        <v>6614</v>
      </c>
      <c r="D1582" t="s">
        <v>6393</v>
      </c>
      <c r="E1582" t="s">
        <v>6630</v>
      </c>
      <c r="F1582">
        <v>1854.33</v>
      </c>
    </row>
    <row r="1583" spans="1:6">
      <c r="A1583" t="str">
        <f>("57-3700")</f>
        <v>57-3700</v>
      </c>
      <c r="B1583" t="s">
        <v>5152</v>
      </c>
      <c r="C1583" t="s">
        <v>6614</v>
      </c>
      <c r="D1583" t="s">
        <v>5150</v>
      </c>
      <c r="E1583" t="s">
        <v>6629</v>
      </c>
      <c r="F1583">
        <v>3001</v>
      </c>
    </row>
    <row r="1584" spans="1:6">
      <c r="A1584" t="str">
        <f>("57-3705")</f>
        <v>57-3705</v>
      </c>
      <c r="B1584" t="s">
        <v>5152</v>
      </c>
      <c r="C1584" t="s">
        <v>6614</v>
      </c>
      <c r="D1584" t="s">
        <v>5150</v>
      </c>
      <c r="E1584" t="s">
        <v>6628</v>
      </c>
      <c r="F1584">
        <v>1854.33</v>
      </c>
    </row>
    <row r="1585" spans="1:6">
      <c r="A1585" t="str">
        <f>("57-3780")</f>
        <v>57-3780</v>
      </c>
      <c r="B1585" t="s">
        <v>5152</v>
      </c>
      <c r="C1585" t="s">
        <v>6614</v>
      </c>
      <c r="D1585" t="s">
        <v>5216</v>
      </c>
      <c r="E1585" t="s">
        <v>6472</v>
      </c>
      <c r="F1585">
        <v>3001</v>
      </c>
    </row>
    <row r="1586" spans="1:6">
      <c r="A1586" t="str">
        <f>("57-3785")</f>
        <v>57-3785</v>
      </c>
      <c r="B1586" t="s">
        <v>5152</v>
      </c>
      <c r="C1586" t="s">
        <v>6614</v>
      </c>
      <c r="D1586" t="s">
        <v>5216</v>
      </c>
      <c r="E1586" t="s">
        <v>6472</v>
      </c>
      <c r="F1586">
        <v>1854.33</v>
      </c>
    </row>
    <row r="1587" spans="1:6">
      <c r="A1587" t="str">
        <f>("57-3790")</f>
        <v>57-3790</v>
      </c>
      <c r="B1587" t="s">
        <v>5152</v>
      </c>
      <c r="C1587" t="s">
        <v>6614</v>
      </c>
      <c r="D1587" t="s">
        <v>6393</v>
      </c>
      <c r="E1587" t="s">
        <v>6604</v>
      </c>
      <c r="F1587">
        <v>3001</v>
      </c>
    </row>
    <row r="1588" spans="1:6">
      <c r="A1588" t="str">
        <f>("57-3795")</f>
        <v>57-3795</v>
      </c>
      <c r="B1588" t="s">
        <v>5152</v>
      </c>
      <c r="C1588" t="s">
        <v>6614</v>
      </c>
      <c r="D1588" t="s">
        <v>6393</v>
      </c>
      <c r="E1588" t="s">
        <v>6604</v>
      </c>
      <c r="F1588">
        <v>1854.33</v>
      </c>
    </row>
    <row r="1589" spans="1:6">
      <c r="A1589" t="str">
        <f>("57-3805")</f>
        <v>57-3805</v>
      </c>
      <c r="B1589" t="s">
        <v>5152</v>
      </c>
      <c r="C1589" t="s">
        <v>6614</v>
      </c>
      <c r="D1589" t="s">
        <v>5216</v>
      </c>
      <c r="E1589" t="s">
        <v>5971</v>
      </c>
      <c r="F1589">
        <v>1854.33</v>
      </c>
    </row>
    <row r="1590" spans="1:6">
      <c r="A1590" t="str">
        <f>("57-3825")</f>
        <v>57-3825</v>
      </c>
      <c r="B1590" t="s">
        <v>5152</v>
      </c>
      <c r="C1590" t="s">
        <v>6614</v>
      </c>
      <c r="D1590" t="s">
        <v>5150</v>
      </c>
      <c r="E1590" t="s">
        <v>6627</v>
      </c>
      <c r="F1590">
        <v>1854.33</v>
      </c>
    </row>
    <row r="1591" spans="1:6">
      <c r="A1591" t="str">
        <f>("57-3830")</f>
        <v>57-3830</v>
      </c>
      <c r="B1591" t="s">
        <v>5152</v>
      </c>
      <c r="C1591" t="s">
        <v>6614</v>
      </c>
      <c r="D1591" t="s">
        <v>5174</v>
      </c>
      <c r="E1591" t="s">
        <v>6626</v>
      </c>
      <c r="F1591">
        <v>3001</v>
      </c>
    </row>
    <row r="1592" spans="1:6">
      <c r="A1592" t="str">
        <f>("57-3835")</f>
        <v>57-3835</v>
      </c>
      <c r="B1592" t="s">
        <v>5152</v>
      </c>
      <c r="C1592" t="s">
        <v>6614</v>
      </c>
      <c r="D1592" t="s">
        <v>5174</v>
      </c>
      <c r="E1592" t="s">
        <v>6626</v>
      </c>
      <c r="F1592">
        <v>1854.33</v>
      </c>
    </row>
    <row r="1593" spans="1:6">
      <c r="A1593" t="str">
        <f>("57-3845")</f>
        <v>57-3845</v>
      </c>
      <c r="B1593" t="s">
        <v>5152</v>
      </c>
      <c r="C1593" t="s">
        <v>6614</v>
      </c>
      <c r="D1593" t="s">
        <v>5216</v>
      </c>
      <c r="E1593" t="s">
        <v>6494</v>
      </c>
      <c r="F1593">
        <v>1854.33</v>
      </c>
    </row>
    <row r="1594" spans="1:6">
      <c r="A1594" t="str">
        <f>("57-3870")</f>
        <v>57-3870</v>
      </c>
      <c r="B1594" t="s">
        <v>5152</v>
      </c>
      <c r="C1594" t="s">
        <v>6614</v>
      </c>
      <c r="D1594" t="s">
        <v>5216</v>
      </c>
      <c r="E1594" t="s">
        <v>5224</v>
      </c>
      <c r="F1594">
        <v>3001</v>
      </c>
    </row>
    <row r="1595" spans="1:6">
      <c r="A1595" t="str">
        <f>("57-3875")</f>
        <v>57-3875</v>
      </c>
      <c r="B1595" t="s">
        <v>5152</v>
      </c>
      <c r="C1595" t="s">
        <v>6614</v>
      </c>
      <c r="D1595" t="s">
        <v>5216</v>
      </c>
      <c r="E1595" t="s">
        <v>5224</v>
      </c>
      <c r="F1595">
        <v>1854.33</v>
      </c>
    </row>
    <row r="1596" spans="1:6">
      <c r="A1596" t="str">
        <f>("57-3885")</f>
        <v>57-3885</v>
      </c>
      <c r="B1596" t="s">
        <v>5152</v>
      </c>
      <c r="C1596" t="s">
        <v>6614</v>
      </c>
      <c r="D1596" t="s">
        <v>5150</v>
      </c>
      <c r="E1596" t="s">
        <v>6395</v>
      </c>
      <c r="F1596">
        <v>1854.33</v>
      </c>
    </row>
    <row r="1597" spans="1:6">
      <c r="A1597" t="str">
        <f>("57-3900")</f>
        <v>57-3900</v>
      </c>
      <c r="B1597" t="s">
        <v>5152</v>
      </c>
      <c r="C1597" t="s">
        <v>6614</v>
      </c>
      <c r="D1597" t="s">
        <v>5174</v>
      </c>
      <c r="E1597" t="s">
        <v>5222</v>
      </c>
      <c r="F1597">
        <v>3001</v>
      </c>
    </row>
    <row r="1598" spans="1:6">
      <c r="A1598" t="str">
        <f>("57-3905")</f>
        <v>57-3905</v>
      </c>
      <c r="B1598" t="s">
        <v>5152</v>
      </c>
      <c r="C1598" t="s">
        <v>6614</v>
      </c>
      <c r="D1598" t="s">
        <v>5174</v>
      </c>
      <c r="E1598" t="s">
        <v>5222</v>
      </c>
      <c r="F1598">
        <v>1854.33</v>
      </c>
    </row>
    <row r="1599" spans="1:6">
      <c r="A1599" t="str">
        <f>("57-3915")</f>
        <v>57-3915</v>
      </c>
      <c r="B1599" t="s">
        <v>5152</v>
      </c>
      <c r="C1599" t="s">
        <v>6614</v>
      </c>
      <c r="D1599" t="s">
        <v>5158</v>
      </c>
      <c r="E1599" t="s">
        <v>6625</v>
      </c>
      <c r="F1599">
        <v>1854.33</v>
      </c>
    </row>
    <row r="1600" spans="1:6">
      <c r="A1600" t="str">
        <f>("57-3925")</f>
        <v>57-3925</v>
      </c>
      <c r="B1600" t="s">
        <v>5152</v>
      </c>
      <c r="C1600" t="s">
        <v>6614</v>
      </c>
      <c r="D1600" t="s">
        <v>6393</v>
      </c>
      <c r="E1600" t="s">
        <v>6624</v>
      </c>
      <c r="F1600">
        <v>1854.33</v>
      </c>
    </row>
    <row r="1601" spans="1:6">
      <c r="A1601" t="str">
        <f>("57-3935")</f>
        <v>57-3935</v>
      </c>
      <c r="B1601" t="s">
        <v>5152</v>
      </c>
      <c r="C1601" t="s">
        <v>6614</v>
      </c>
      <c r="D1601" t="s">
        <v>5174</v>
      </c>
      <c r="E1601" t="s">
        <v>6623</v>
      </c>
      <c r="F1601">
        <v>1854.33</v>
      </c>
    </row>
    <row r="1602" spans="1:6">
      <c r="A1602" t="str">
        <f>("57-3945")</f>
        <v>57-3945</v>
      </c>
      <c r="B1602" t="s">
        <v>5152</v>
      </c>
      <c r="C1602" t="s">
        <v>6614</v>
      </c>
      <c r="D1602" t="s">
        <v>5174</v>
      </c>
      <c r="E1602" t="s">
        <v>6622</v>
      </c>
      <c r="F1602">
        <v>1854.33</v>
      </c>
    </row>
    <row r="1603" spans="1:6">
      <c r="A1603" t="str">
        <f>("57-3950")</f>
        <v>57-3950</v>
      </c>
      <c r="B1603" t="s">
        <v>5152</v>
      </c>
      <c r="C1603" t="s">
        <v>6614</v>
      </c>
      <c r="D1603" t="s">
        <v>5216</v>
      </c>
      <c r="E1603" t="s">
        <v>6621</v>
      </c>
      <c r="F1603">
        <v>3001</v>
      </c>
    </row>
    <row r="1604" spans="1:6">
      <c r="A1604" t="str">
        <f>("57-3955")</f>
        <v>57-3955</v>
      </c>
      <c r="B1604" t="s">
        <v>5152</v>
      </c>
      <c r="C1604" t="s">
        <v>6614</v>
      </c>
      <c r="D1604" t="s">
        <v>5216</v>
      </c>
      <c r="E1604" t="s">
        <v>6595</v>
      </c>
      <c r="F1604">
        <v>1854.33</v>
      </c>
    </row>
    <row r="1605" spans="1:6">
      <c r="A1605" t="str">
        <f>("57-3955S")</f>
        <v>57-3955S</v>
      </c>
      <c r="B1605" t="s">
        <v>5152</v>
      </c>
      <c r="C1605" t="s">
        <v>6614</v>
      </c>
      <c r="D1605" t="s">
        <v>5216</v>
      </c>
      <c r="E1605" t="s">
        <v>6620</v>
      </c>
      <c r="F1605">
        <v>2005</v>
      </c>
    </row>
    <row r="1606" spans="1:6">
      <c r="A1606" t="str">
        <f>("57-3960")</f>
        <v>57-3960</v>
      </c>
      <c r="B1606" t="s">
        <v>5152</v>
      </c>
      <c r="C1606" t="s">
        <v>6614</v>
      </c>
      <c r="D1606" t="s">
        <v>6393</v>
      </c>
      <c r="E1606" t="s">
        <v>6619</v>
      </c>
      <c r="F1606">
        <v>3001</v>
      </c>
    </row>
    <row r="1607" spans="1:6">
      <c r="A1607" t="str">
        <f>("57-3965")</f>
        <v>57-3965</v>
      </c>
      <c r="B1607" t="s">
        <v>5152</v>
      </c>
      <c r="C1607" t="s">
        <v>6614</v>
      </c>
      <c r="D1607" t="s">
        <v>6393</v>
      </c>
      <c r="E1607" t="s">
        <v>6619</v>
      </c>
      <c r="F1607">
        <v>1854.33</v>
      </c>
    </row>
    <row r="1608" spans="1:6">
      <c r="A1608" t="str">
        <f>("57-3970")</f>
        <v>57-3970</v>
      </c>
      <c r="B1608" t="s">
        <v>5152</v>
      </c>
      <c r="C1608" t="s">
        <v>6614</v>
      </c>
      <c r="D1608" t="s">
        <v>5178</v>
      </c>
      <c r="E1608" t="s">
        <v>6502</v>
      </c>
      <c r="F1608">
        <v>3001</v>
      </c>
    </row>
    <row r="1609" spans="1:6">
      <c r="A1609" t="str">
        <f>("57-3975")</f>
        <v>57-3975</v>
      </c>
      <c r="B1609" t="s">
        <v>5152</v>
      </c>
      <c r="C1609" t="s">
        <v>6614</v>
      </c>
      <c r="D1609" t="s">
        <v>5178</v>
      </c>
      <c r="E1609" t="s">
        <v>6502</v>
      </c>
      <c r="F1609">
        <v>1854.33</v>
      </c>
    </row>
    <row r="1610" spans="1:6">
      <c r="A1610" t="str">
        <f>("57-3985")</f>
        <v>57-3985</v>
      </c>
      <c r="B1610" t="s">
        <v>5152</v>
      </c>
      <c r="C1610" t="s">
        <v>6614</v>
      </c>
      <c r="D1610" t="s">
        <v>5174</v>
      </c>
      <c r="E1610" t="s">
        <v>6495</v>
      </c>
      <c r="F1610">
        <v>1854.33</v>
      </c>
    </row>
    <row r="1611" spans="1:6">
      <c r="A1611" t="str">
        <f>("57-3990")</f>
        <v>57-3990</v>
      </c>
      <c r="B1611" t="s">
        <v>5152</v>
      </c>
      <c r="C1611" t="s">
        <v>6614</v>
      </c>
      <c r="D1611" t="s">
        <v>5216</v>
      </c>
      <c r="E1611" t="s">
        <v>6524</v>
      </c>
      <c r="F1611">
        <v>3001</v>
      </c>
    </row>
    <row r="1612" spans="1:6">
      <c r="A1612" t="str">
        <f>("57-3995")</f>
        <v>57-3995</v>
      </c>
      <c r="B1612" t="s">
        <v>5152</v>
      </c>
      <c r="C1612" t="s">
        <v>6614</v>
      </c>
      <c r="D1612" t="s">
        <v>5216</v>
      </c>
      <c r="E1612" t="s">
        <v>6524</v>
      </c>
      <c r="F1612">
        <v>1854.33</v>
      </c>
    </row>
    <row r="1613" spans="1:6">
      <c r="A1613" t="str">
        <f>("57-3995S")</f>
        <v>57-3995S</v>
      </c>
      <c r="B1613" t="s">
        <v>5152</v>
      </c>
      <c r="C1613" t="s">
        <v>6614</v>
      </c>
      <c r="D1613" t="s">
        <v>5216</v>
      </c>
      <c r="E1613" t="s">
        <v>6618</v>
      </c>
      <c r="F1613">
        <v>2005</v>
      </c>
    </row>
    <row r="1614" spans="1:6">
      <c r="A1614" t="str">
        <f>("57-4020")</f>
        <v>57-4020</v>
      </c>
      <c r="B1614" t="s">
        <v>5152</v>
      </c>
      <c r="C1614" t="s">
        <v>6614</v>
      </c>
      <c r="D1614" t="s">
        <v>5178</v>
      </c>
      <c r="E1614" t="s">
        <v>6490</v>
      </c>
      <c r="F1614">
        <v>3001</v>
      </c>
    </row>
    <row r="1615" spans="1:6">
      <c r="A1615" t="str">
        <f>("57-4025")</f>
        <v>57-4025</v>
      </c>
      <c r="B1615" t="s">
        <v>5152</v>
      </c>
      <c r="C1615" t="s">
        <v>6614</v>
      </c>
      <c r="D1615" t="s">
        <v>5178</v>
      </c>
      <c r="E1615" t="s">
        <v>6617</v>
      </c>
      <c r="F1615">
        <v>1854.33</v>
      </c>
    </row>
    <row r="1616" spans="1:6">
      <c r="A1616" t="str">
        <f>("57-4045")</f>
        <v>57-4045</v>
      </c>
      <c r="B1616" t="s">
        <v>5152</v>
      </c>
      <c r="C1616" t="s">
        <v>6614</v>
      </c>
      <c r="D1616" t="s">
        <v>5216</v>
      </c>
      <c r="E1616" t="s">
        <v>6521</v>
      </c>
      <c r="F1616">
        <v>1858.33</v>
      </c>
    </row>
    <row r="1617" spans="1:6">
      <c r="A1617" t="str">
        <f>("57-4055")</f>
        <v>57-4055</v>
      </c>
      <c r="B1617" t="s">
        <v>5152</v>
      </c>
      <c r="C1617" t="s">
        <v>6614</v>
      </c>
      <c r="D1617" t="s">
        <v>5174</v>
      </c>
      <c r="E1617" t="s">
        <v>6616</v>
      </c>
      <c r="F1617">
        <v>1858.33</v>
      </c>
    </row>
    <row r="1618" spans="1:6">
      <c r="A1618" t="str">
        <f>("57-4060")</f>
        <v>57-4060</v>
      </c>
      <c r="B1618" t="s">
        <v>5152</v>
      </c>
      <c r="C1618" t="s">
        <v>6614</v>
      </c>
      <c r="D1618" t="s">
        <v>5174</v>
      </c>
      <c r="E1618" t="s">
        <v>6615</v>
      </c>
      <c r="F1618">
        <v>3010.33</v>
      </c>
    </row>
    <row r="1619" spans="1:6">
      <c r="A1619" t="str">
        <f>("57-4065")</f>
        <v>57-4065</v>
      </c>
      <c r="B1619" t="s">
        <v>5152</v>
      </c>
      <c r="C1619" t="s">
        <v>6614</v>
      </c>
      <c r="D1619" t="s">
        <v>5174</v>
      </c>
      <c r="E1619" t="s">
        <v>6615</v>
      </c>
      <c r="F1619">
        <v>1858.33</v>
      </c>
    </row>
    <row r="1620" spans="1:6">
      <c r="A1620" t="str">
        <f>("57-4095")</f>
        <v>57-4095</v>
      </c>
      <c r="B1620" t="s">
        <v>5152</v>
      </c>
      <c r="C1620" t="s">
        <v>6614</v>
      </c>
      <c r="D1620" t="s">
        <v>5150</v>
      </c>
      <c r="E1620" t="s">
        <v>6453</v>
      </c>
      <c r="F1620">
        <v>1854.33</v>
      </c>
    </row>
    <row r="1621" spans="1:6">
      <c r="A1621" t="str">
        <f>("57-4100")</f>
        <v>57-4100</v>
      </c>
      <c r="B1621" t="s">
        <v>5152</v>
      </c>
      <c r="C1621" t="s">
        <v>6614</v>
      </c>
      <c r="D1621" t="s">
        <v>5174</v>
      </c>
      <c r="E1621" t="s">
        <v>6514</v>
      </c>
      <c r="F1621">
        <v>3001</v>
      </c>
    </row>
    <row r="1622" spans="1:6">
      <c r="A1622" t="str">
        <f>("57-4105")</f>
        <v>57-4105</v>
      </c>
      <c r="B1622" t="s">
        <v>5152</v>
      </c>
      <c r="C1622" t="s">
        <v>6614</v>
      </c>
      <c r="D1622" t="s">
        <v>5174</v>
      </c>
      <c r="E1622" t="s">
        <v>6514</v>
      </c>
      <c r="F1622">
        <v>1630.33</v>
      </c>
    </row>
    <row r="1623" spans="1:6">
      <c r="A1623" t="str">
        <f>("57-4120")</f>
        <v>57-4120</v>
      </c>
      <c r="B1623" t="s">
        <v>5152</v>
      </c>
      <c r="C1623" t="s">
        <v>6614</v>
      </c>
      <c r="D1623" t="s">
        <v>6393</v>
      </c>
      <c r="E1623" t="s">
        <v>6613</v>
      </c>
      <c r="F1623">
        <v>3001</v>
      </c>
    </row>
    <row r="1624" spans="1:6">
      <c r="A1624" t="str">
        <f>("57-4125")</f>
        <v>57-4125</v>
      </c>
      <c r="B1624" t="s">
        <v>5152</v>
      </c>
      <c r="C1624" t="s">
        <v>6614</v>
      </c>
      <c r="D1624" t="s">
        <v>6393</v>
      </c>
      <c r="E1624" t="s">
        <v>6613</v>
      </c>
      <c r="F1624">
        <v>1854.33</v>
      </c>
    </row>
    <row r="1625" spans="1:6">
      <c r="A1625" t="str">
        <f>("57-94100")</f>
        <v>57-94100</v>
      </c>
      <c r="B1625" t="s">
        <v>5152</v>
      </c>
      <c r="C1625" t="s">
        <v>6516</v>
      </c>
      <c r="D1625" t="s">
        <v>5174</v>
      </c>
      <c r="E1625" t="s">
        <v>6450</v>
      </c>
      <c r="F1625">
        <v>3821</v>
      </c>
    </row>
    <row r="1626" spans="1:6">
      <c r="A1626" t="str">
        <f>("57-22275")</f>
        <v>57-22275</v>
      </c>
      <c r="B1626" t="s">
        <v>5152</v>
      </c>
      <c r="C1626" t="s">
        <v>5230</v>
      </c>
      <c r="D1626" t="s">
        <v>5216</v>
      </c>
      <c r="E1626" t="s">
        <v>6533</v>
      </c>
      <c r="F1626">
        <v>1397.67</v>
      </c>
    </row>
    <row r="1627" spans="1:6">
      <c r="A1627" t="str">
        <f>("57-22370")</f>
        <v>57-22370</v>
      </c>
      <c r="B1627" t="s">
        <v>5152</v>
      </c>
      <c r="C1627" t="s">
        <v>5230</v>
      </c>
      <c r="D1627" t="s">
        <v>5174</v>
      </c>
      <c r="E1627" t="s">
        <v>6612</v>
      </c>
      <c r="F1627">
        <v>2315</v>
      </c>
    </row>
    <row r="1628" spans="1:6">
      <c r="A1628" t="str">
        <f>("57-22375")</f>
        <v>57-22375</v>
      </c>
      <c r="B1628" t="s">
        <v>5152</v>
      </c>
      <c r="C1628" t="s">
        <v>5230</v>
      </c>
      <c r="D1628" t="s">
        <v>5174</v>
      </c>
      <c r="E1628" t="s">
        <v>6611</v>
      </c>
      <c r="F1628">
        <v>1399</v>
      </c>
    </row>
    <row r="1629" spans="1:6">
      <c r="A1629" t="str">
        <f>("57-22505")</f>
        <v>57-22505</v>
      </c>
      <c r="B1629" t="s">
        <v>5152</v>
      </c>
      <c r="C1629" t="s">
        <v>5230</v>
      </c>
      <c r="D1629" t="s">
        <v>5174</v>
      </c>
      <c r="E1629" t="s">
        <v>6610</v>
      </c>
      <c r="F1629">
        <v>1399</v>
      </c>
    </row>
    <row r="1630" spans="1:6">
      <c r="A1630" t="str">
        <f>("57-22785")</f>
        <v>57-22785</v>
      </c>
      <c r="B1630" t="s">
        <v>5152</v>
      </c>
      <c r="C1630" t="s">
        <v>5230</v>
      </c>
      <c r="D1630" t="s">
        <v>5150</v>
      </c>
      <c r="E1630" t="s">
        <v>6545</v>
      </c>
      <c r="F1630">
        <v>1839</v>
      </c>
    </row>
    <row r="1631" spans="1:6">
      <c r="A1631" t="str">
        <f>("57-23540")</f>
        <v>57-23540</v>
      </c>
      <c r="B1631" t="s">
        <v>5152</v>
      </c>
      <c r="C1631" t="s">
        <v>5230</v>
      </c>
      <c r="D1631" t="s">
        <v>5181</v>
      </c>
      <c r="E1631" t="s">
        <v>6609</v>
      </c>
      <c r="F1631">
        <v>2315</v>
      </c>
    </row>
    <row r="1632" spans="1:6">
      <c r="A1632" t="str">
        <f>("57-23545")</f>
        <v>57-23545</v>
      </c>
      <c r="B1632" t="s">
        <v>5152</v>
      </c>
      <c r="C1632" t="s">
        <v>5230</v>
      </c>
      <c r="D1632" t="s">
        <v>5181</v>
      </c>
      <c r="E1632" t="s">
        <v>6608</v>
      </c>
      <c r="F1632">
        <v>1399</v>
      </c>
    </row>
    <row r="1633" spans="1:6">
      <c r="A1633" t="str">
        <f>("57-23550")</f>
        <v>57-23550</v>
      </c>
      <c r="B1633" t="s">
        <v>5152</v>
      </c>
      <c r="C1633" t="s">
        <v>5230</v>
      </c>
      <c r="D1633" t="s">
        <v>5178</v>
      </c>
      <c r="E1633" t="s">
        <v>5226</v>
      </c>
      <c r="F1633">
        <v>2315</v>
      </c>
    </row>
    <row r="1634" spans="1:6">
      <c r="A1634" t="str">
        <f>("57-23555")</f>
        <v>57-23555</v>
      </c>
      <c r="B1634" t="s">
        <v>5152</v>
      </c>
      <c r="C1634" t="s">
        <v>5230</v>
      </c>
      <c r="D1634" t="s">
        <v>5178</v>
      </c>
      <c r="E1634" t="s">
        <v>5226</v>
      </c>
      <c r="F1634">
        <v>1399</v>
      </c>
    </row>
    <row r="1635" spans="1:6">
      <c r="A1635" t="str">
        <f>("57-23685")</f>
        <v>57-23685</v>
      </c>
      <c r="B1635" t="s">
        <v>5152</v>
      </c>
      <c r="C1635" t="s">
        <v>5230</v>
      </c>
      <c r="D1635" t="s">
        <v>5216</v>
      </c>
      <c r="E1635" t="s">
        <v>6531</v>
      </c>
      <c r="F1635">
        <v>1274</v>
      </c>
    </row>
    <row r="1636" spans="1:6">
      <c r="A1636" t="str">
        <f>("57-23700")</f>
        <v>57-23700</v>
      </c>
      <c r="B1636" t="s">
        <v>5152</v>
      </c>
      <c r="C1636" t="s">
        <v>5230</v>
      </c>
      <c r="D1636" t="s">
        <v>5150</v>
      </c>
      <c r="E1636" t="s">
        <v>6607</v>
      </c>
      <c r="F1636">
        <v>2638.67</v>
      </c>
    </row>
    <row r="1637" spans="1:6">
      <c r="A1637" t="str">
        <f>("57-23705")</f>
        <v>57-23705</v>
      </c>
      <c r="B1637" t="s">
        <v>5152</v>
      </c>
      <c r="C1637" t="s">
        <v>5230</v>
      </c>
      <c r="D1637" t="s">
        <v>5150</v>
      </c>
      <c r="E1637" t="s">
        <v>6606</v>
      </c>
      <c r="F1637">
        <v>1399</v>
      </c>
    </row>
    <row r="1638" spans="1:6">
      <c r="A1638" t="str">
        <f>("57-23780")</f>
        <v>57-23780</v>
      </c>
      <c r="B1638" t="s">
        <v>5152</v>
      </c>
      <c r="C1638" t="s">
        <v>5230</v>
      </c>
      <c r="D1638" t="s">
        <v>5216</v>
      </c>
      <c r="E1638" t="s">
        <v>6472</v>
      </c>
      <c r="F1638">
        <v>2315</v>
      </c>
    </row>
    <row r="1639" spans="1:6">
      <c r="A1639" t="str">
        <f>("57-23785")</f>
        <v>57-23785</v>
      </c>
      <c r="B1639" t="s">
        <v>5152</v>
      </c>
      <c r="C1639" t="s">
        <v>5230</v>
      </c>
      <c r="D1639" t="s">
        <v>5216</v>
      </c>
      <c r="E1639" t="s">
        <v>6605</v>
      </c>
      <c r="F1639">
        <v>1399</v>
      </c>
    </row>
    <row r="1640" spans="1:6">
      <c r="A1640" t="str">
        <f>("57-23790")</f>
        <v>57-23790</v>
      </c>
      <c r="B1640" t="s">
        <v>5152</v>
      </c>
      <c r="C1640" t="s">
        <v>5230</v>
      </c>
      <c r="D1640" t="s">
        <v>6393</v>
      </c>
      <c r="E1640" t="s">
        <v>6604</v>
      </c>
      <c r="F1640">
        <v>2313.67</v>
      </c>
    </row>
    <row r="1641" spans="1:6">
      <c r="A1641" t="str">
        <f>("57-23795")</f>
        <v>57-23795</v>
      </c>
      <c r="B1641" t="s">
        <v>5152</v>
      </c>
      <c r="C1641" t="s">
        <v>5230</v>
      </c>
      <c r="D1641" t="s">
        <v>6393</v>
      </c>
      <c r="E1641" t="s">
        <v>6603</v>
      </c>
      <c r="F1641">
        <v>1399</v>
      </c>
    </row>
    <row r="1642" spans="1:6">
      <c r="A1642" t="str">
        <f>("57-23805")</f>
        <v>57-23805</v>
      </c>
      <c r="B1642" t="s">
        <v>5152</v>
      </c>
      <c r="C1642" t="s">
        <v>5230</v>
      </c>
      <c r="D1642" t="s">
        <v>5216</v>
      </c>
      <c r="E1642" t="s">
        <v>5971</v>
      </c>
      <c r="F1642">
        <v>1399</v>
      </c>
    </row>
    <row r="1643" spans="1:6">
      <c r="A1643" t="str">
        <f>("57-23825")</f>
        <v>57-23825</v>
      </c>
      <c r="B1643" t="s">
        <v>5152</v>
      </c>
      <c r="C1643" t="s">
        <v>5230</v>
      </c>
      <c r="D1643" t="s">
        <v>5150</v>
      </c>
      <c r="E1643" t="s">
        <v>6602</v>
      </c>
      <c r="F1643">
        <v>1399</v>
      </c>
    </row>
    <row r="1644" spans="1:6">
      <c r="A1644" t="str">
        <f>("57-23835")</f>
        <v>57-23835</v>
      </c>
      <c r="B1644" t="s">
        <v>5152</v>
      </c>
      <c r="C1644" t="s">
        <v>5230</v>
      </c>
      <c r="D1644" t="s">
        <v>5174</v>
      </c>
      <c r="E1644" t="s">
        <v>6601</v>
      </c>
      <c r="F1644">
        <v>1399</v>
      </c>
    </row>
    <row r="1645" spans="1:6">
      <c r="A1645" t="str">
        <f>("57-23845")</f>
        <v>57-23845</v>
      </c>
      <c r="B1645" t="s">
        <v>5152</v>
      </c>
      <c r="C1645" t="s">
        <v>5230</v>
      </c>
      <c r="D1645" t="s">
        <v>5216</v>
      </c>
      <c r="E1645" t="s">
        <v>6600</v>
      </c>
      <c r="F1645">
        <v>1399</v>
      </c>
    </row>
    <row r="1646" spans="1:6">
      <c r="A1646" t="str">
        <f>("57-23870")</f>
        <v>57-23870</v>
      </c>
      <c r="B1646" t="s">
        <v>5152</v>
      </c>
      <c r="C1646" t="s">
        <v>5230</v>
      </c>
      <c r="D1646" t="s">
        <v>5216</v>
      </c>
      <c r="E1646" t="s">
        <v>5224</v>
      </c>
      <c r="F1646">
        <v>2313.67</v>
      </c>
    </row>
    <row r="1647" spans="1:6">
      <c r="A1647" t="str">
        <f>("57-23875")</f>
        <v>57-23875</v>
      </c>
      <c r="B1647" t="s">
        <v>5152</v>
      </c>
      <c r="C1647" t="s">
        <v>5230</v>
      </c>
      <c r="D1647" t="s">
        <v>5216</v>
      </c>
      <c r="E1647" t="s">
        <v>6599</v>
      </c>
      <c r="F1647">
        <v>1399</v>
      </c>
    </row>
    <row r="1648" spans="1:6">
      <c r="A1648" t="str">
        <f>("57-23885")</f>
        <v>57-23885</v>
      </c>
      <c r="B1648" t="s">
        <v>5152</v>
      </c>
      <c r="C1648" t="s">
        <v>5230</v>
      </c>
      <c r="D1648" t="s">
        <v>5150</v>
      </c>
      <c r="E1648" t="s">
        <v>6598</v>
      </c>
      <c r="F1648">
        <v>1399</v>
      </c>
    </row>
    <row r="1649" spans="1:6">
      <c r="A1649" t="str">
        <f>("57-23905")</f>
        <v>57-23905</v>
      </c>
      <c r="B1649" t="s">
        <v>5152</v>
      </c>
      <c r="C1649" t="s">
        <v>5230</v>
      </c>
      <c r="D1649" t="s">
        <v>5174</v>
      </c>
      <c r="E1649" t="s">
        <v>5229</v>
      </c>
      <c r="F1649">
        <v>1399</v>
      </c>
    </row>
    <row r="1650" spans="1:6">
      <c r="A1650" t="str">
        <f>("57-23935")</f>
        <v>57-23935</v>
      </c>
      <c r="B1650" t="s">
        <v>5152</v>
      </c>
      <c r="C1650" t="s">
        <v>5230</v>
      </c>
      <c r="D1650" t="s">
        <v>5174</v>
      </c>
      <c r="E1650" t="s">
        <v>6597</v>
      </c>
      <c r="F1650">
        <v>1399</v>
      </c>
    </row>
    <row r="1651" spans="1:6">
      <c r="A1651" t="str">
        <f>("57-23945")</f>
        <v>57-23945</v>
      </c>
      <c r="B1651" t="s">
        <v>5152</v>
      </c>
      <c r="C1651" t="s">
        <v>5230</v>
      </c>
      <c r="D1651" t="s">
        <v>5174</v>
      </c>
      <c r="E1651" t="s">
        <v>6596</v>
      </c>
      <c r="F1651">
        <v>1399</v>
      </c>
    </row>
    <row r="1652" spans="1:6">
      <c r="A1652" t="str">
        <f>("57-23955")</f>
        <v>57-23955</v>
      </c>
      <c r="B1652" t="s">
        <v>5152</v>
      </c>
      <c r="C1652" t="s">
        <v>5230</v>
      </c>
      <c r="D1652" t="s">
        <v>5216</v>
      </c>
      <c r="E1652" t="s">
        <v>6595</v>
      </c>
      <c r="F1652">
        <v>1549</v>
      </c>
    </row>
    <row r="1653" spans="1:6">
      <c r="A1653" t="str">
        <f>("57-23960")</f>
        <v>57-23960</v>
      </c>
      <c r="B1653" t="s">
        <v>5152</v>
      </c>
      <c r="C1653" t="s">
        <v>5230</v>
      </c>
      <c r="D1653" t="s">
        <v>6393</v>
      </c>
      <c r="E1653" t="s">
        <v>6594</v>
      </c>
      <c r="F1653">
        <v>2463.67</v>
      </c>
    </row>
    <row r="1654" spans="1:6">
      <c r="A1654" t="str">
        <f>("57-23965")</f>
        <v>57-23965</v>
      </c>
      <c r="B1654" t="s">
        <v>5152</v>
      </c>
      <c r="C1654" t="s">
        <v>5230</v>
      </c>
      <c r="D1654" t="s">
        <v>6393</v>
      </c>
      <c r="E1654" t="s">
        <v>6593</v>
      </c>
      <c r="F1654">
        <v>1549</v>
      </c>
    </row>
    <row r="1655" spans="1:6">
      <c r="A1655" t="str">
        <f>("57-23970")</f>
        <v>57-23970</v>
      </c>
      <c r="B1655" t="s">
        <v>5152</v>
      </c>
      <c r="C1655" t="s">
        <v>5230</v>
      </c>
      <c r="D1655" t="s">
        <v>5178</v>
      </c>
      <c r="E1655" t="s">
        <v>6592</v>
      </c>
      <c r="F1655">
        <v>2315</v>
      </c>
    </row>
    <row r="1656" spans="1:6">
      <c r="A1656" t="str">
        <f>("57-23975")</f>
        <v>57-23975</v>
      </c>
      <c r="B1656" t="s">
        <v>5152</v>
      </c>
      <c r="C1656" t="s">
        <v>5230</v>
      </c>
      <c r="D1656" t="s">
        <v>5178</v>
      </c>
      <c r="E1656" t="s">
        <v>6592</v>
      </c>
      <c r="F1656">
        <v>1397.67</v>
      </c>
    </row>
    <row r="1657" spans="1:6">
      <c r="A1657" t="str">
        <f>("57-23990")</f>
        <v>57-23990</v>
      </c>
      <c r="B1657" t="s">
        <v>5152</v>
      </c>
      <c r="C1657" t="s">
        <v>5230</v>
      </c>
      <c r="D1657" t="s">
        <v>5216</v>
      </c>
      <c r="E1657" t="s">
        <v>5217</v>
      </c>
      <c r="F1657">
        <v>2638.67</v>
      </c>
    </row>
    <row r="1658" spans="1:6">
      <c r="A1658" t="str">
        <f>("57-23995")</f>
        <v>57-23995</v>
      </c>
      <c r="B1658" t="s">
        <v>5152</v>
      </c>
      <c r="C1658" t="s">
        <v>5230</v>
      </c>
      <c r="D1658" t="s">
        <v>5216</v>
      </c>
      <c r="E1658" t="s">
        <v>5217</v>
      </c>
      <c r="F1658">
        <v>1549</v>
      </c>
    </row>
    <row r="1659" spans="1:6">
      <c r="A1659" t="str">
        <f>("57-24020")</f>
        <v>57-24020</v>
      </c>
      <c r="B1659" t="s">
        <v>5152</v>
      </c>
      <c r="C1659" t="s">
        <v>5230</v>
      </c>
      <c r="D1659" t="s">
        <v>5178</v>
      </c>
      <c r="E1659" t="s">
        <v>6490</v>
      </c>
      <c r="F1659">
        <v>2640</v>
      </c>
    </row>
    <row r="1660" spans="1:6">
      <c r="A1660" t="str">
        <f>("57-24025")</f>
        <v>57-24025</v>
      </c>
      <c r="B1660" t="s">
        <v>5152</v>
      </c>
      <c r="C1660" t="s">
        <v>5230</v>
      </c>
      <c r="D1660" t="s">
        <v>5178</v>
      </c>
      <c r="E1660" t="s">
        <v>6591</v>
      </c>
      <c r="F1660">
        <v>1399</v>
      </c>
    </row>
    <row r="1661" spans="1:6">
      <c r="A1661" t="str">
        <f>("57-24045")</f>
        <v>57-24045</v>
      </c>
      <c r="B1661" t="s">
        <v>5152</v>
      </c>
      <c r="C1661" t="s">
        <v>5230</v>
      </c>
      <c r="D1661" t="s">
        <v>5216</v>
      </c>
      <c r="E1661" t="s">
        <v>6521</v>
      </c>
      <c r="F1661">
        <v>1399</v>
      </c>
    </row>
    <row r="1662" spans="1:6">
      <c r="A1662" t="str">
        <f>("57-24055")</f>
        <v>57-24055</v>
      </c>
      <c r="B1662" t="s">
        <v>5152</v>
      </c>
      <c r="C1662" t="s">
        <v>5230</v>
      </c>
      <c r="D1662" t="s">
        <v>5174</v>
      </c>
      <c r="E1662" t="s">
        <v>6590</v>
      </c>
      <c r="F1662">
        <v>1399</v>
      </c>
    </row>
    <row r="1663" spans="1:6">
      <c r="A1663" t="str">
        <f>("57-24065")</f>
        <v>57-24065</v>
      </c>
      <c r="B1663" t="s">
        <v>5152</v>
      </c>
      <c r="C1663" t="s">
        <v>5230</v>
      </c>
      <c r="D1663" t="s">
        <v>5174</v>
      </c>
      <c r="E1663" t="s">
        <v>6589</v>
      </c>
      <c r="F1663">
        <v>1399</v>
      </c>
    </row>
    <row r="1664" spans="1:6">
      <c r="A1664" t="str">
        <f>("57-24075")</f>
        <v>57-24075</v>
      </c>
      <c r="B1664" t="s">
        <v>5152</v>
      </c>
      <c r="C1664" t="s">
        <v>5230</v>
      </c>
      <c r="D1664" t="s">
        <v>5158</v>
      </c>
      <c r="E1664" t="s">
        <v>5208</v>
      </c>
      <c r="F1664">
        <v>1399</v>
      </c>
    </row>
    <row r="1665" spans="1:6">
      <c r="A1665" t="str">
        <f>("57-24085")</f>
        <v>57-24085</v>
      </c>
      <c r="B1665" t="s">
        <v>5152</v>
      </c>
      <c r="C1665" t="s">
        <v>5230</v>
      </c>
      <c r="D1665" t="s">
        <v>5174</v>
      </c>
      <c r="E1665" t="s">
        <v>6588</v>
      </c>
      <c r="F1665">
        <v>1399</v>
      </c>
    </row>
    <row r="1666" spans="1:6">
      <c r="A1666" t="str">
        <f>("57-24095")</f>
        <v>57-24095</v>
      </c>
      <c r="B1666" t="s">
        <v>5152</v>
      </c>
      <c r="C1666" t="s">
        <v>5230</v>
      </c>
      <c r="D1666" t="s">
        <v>5150</v>
      </c>
      <c r="E1666" t="s">
        <v>6453</v>
      </c>
      <c r="F1666">
        <v>1299</v>
      </c>
    </row>
    <row r="1667" spans="1:6">
      <c r="A1667" t="str">
        <f>("57-24105")</f>
        <v>57-24105</v>
      </c>
      <c r="B1667" t="s">
        <v>5152</v>
      </c>
      <c r="C1667" t="s">
        <v>5230</v>
      </c>
      <c r="D1667" t="s">
        <v>5174</v>
      </c>
      <c r="E1667" t="s">
        <v>6514</v>
      </c>
      <c r="F1667">
        <v>1168.33</v>
      </c>
    </row>
    <row r="1668" spans="1:6">
      <c r="A1668" t="str">
        <f>("57-24125")</f>
        <v>57-24125</v>
      </c>
      <c r="B1668" t="s">
        <v>5152</v>
      </c>
      <c r="C1668" t="s">
        <v>5230</v>
      </c>
      <c r="D1668" t="s">
        <v>6393</v>
      </c>
      <c r="E1668" t="s">
        <v>6587</v>
      </c>
      <c r="F1668">
        <v>1549</v>
      </c>
    </row>
    <row r="1669" spans="1:6">
      <c r="A1669" t="str">
        <f>("57-924105")</f>
        <v>57-924105</v>
      </c>
      <c r="B1669" t="s">
        <v>5152</v>
      </c>
      <c r="C1669" t="s">
        <v>5210</v>
      </c>
      <c r="D1669" t="s">
        <v>5174</v>
      </c>
      <c r="E1669" t="s">
        <v>6450</v>
      </c>
      <c r="F1669">
        <v>1988.33</v>
      </c>
    </row>
    <row r="1670" spans="1:6">
      <c r="A1670" t="str">
        <f>("55-32375")</f>
        <v>55-32375</v>
      </c>
      <c r="B1670" t="s">
        <v>5152</v>
      </c>
      <c r="C1670" t="s">
        <v>6582</v>
      </c>
      <c r="D1670" t="s">
        <v>5174</v>
      </c>
      <c r="E1670" t="s">
        <v>6586</v>
      </c>
      <c r="F1670">
        <v>1276.67</v>
      </c>
    </row>
    <row r="1671" spans="1:6">
      <c r="A1671" t="str">
        <f>("55-32775")</f>
        <v>55-32775</v>
      </c>
      <c r="B1671" t="s">
        <v>5152</v>
      </c>
      <c r="C1671" t="s">
        <v>6582</v>
      </c>
      <c r="D1671" t="s">
        <v>5150</v>
      </c>
      <c r="E1671" t="s">
        <v>5254</v>
      </c>
      <c r="F1671">
        <v>1276.67</v>
      </c>
    </row>
    <row r="1672" spans="1:6">
      <c r="A1672" t="str">
        <f>("55-32785")</f>
        <v>55-32785</v>
      </c>
      <c r="B1672" t="s">
        <v>5152</v>
      </c>
      <c r="C1672" t="s">
        <v>6582</v>
      </c>
      <c r="D1672" t="s">
        <v>5150</v>
      </c>
      <c r="E1672" t="s">
        <v>5253</v>
      </c>
      <c r="F1672">
        <v>1276.67</v>
      </c>
    </row>
    <row r="1673" spans="1:6">
      <c r="A1673" t="str">
        <f>("55-33565")</f>
        <v>55-33565</v>
      </c>
      <c r="B1673" t="s">
        <v>5152</v>
      </c>
      <c r="C1673" t="s">
        <v>6582</v>
      </c>
      <c r="D1673" t="s">
        <v>5181</v>
      </c>
      <c r="E1673" t="s">
        <v>6585</v>
      </c>
      <c r="F1673">
        <v>1276.67</v>
      </c>
    </row>
    <row r="1674" spans="1:6">
      <c r="A1674" t="str">
        <f>("55-34015")</f>
        <v>55-34015</v>
      </c>
      <c r="B1674" t="s">
        <v>5152</v>
      </c>
      <c r="C1674" t="s">
        <v>6582</v>
      </c>
      <c r="D1674" t="s">
        <v>5163</v>
      </c>
      <c r="E1674" t="s">
        <v>5245</v>
      </c>
      <c r="F1674">
        <v>1276.67</v>
      </c>
    </row>
    <row r="1675" spans="1:6">
      <c r="A1675" t="str">
        <f>("55-34085")</f>
        <v>55-34085</v>
      </c>
      <c r="B1675" t="s">
        <v>5152</v>
      </c>
      <c r="C1675" t="s">
        <v>6582</v>
      </c>
      <c r="D1675" t="s">
        <v>5178</v>
      </c>
      <c r="E1675" t="s">
        <v>5244</v>
      </c>
      <c r="F1675">
        <v>1276.67</v>
      </c>
    </row>
    <row r="1676" spans="1:6">
      <c r="A1676" t="str">
        <f>("55-34125")</f>
        <v>55-34125</v>
      </c>
      <c r="B1676" t="s">
        <v>5152</v>
      </c>
      <c r="C1676" t="s">
        <v>6582</v>
      </c>
      <c r="D1676" t="s">
        <v>5163</v>
      </c>
      <c r="E1676" t="s">
        <v>5243</v>
      </c>
      <c r="F1676">
        <v>1276.67</v>
      </c>
    </row>
    <row r="1677" spans="1:6">
      <c r="A1677" t="str">
        <f>("55-34135")</f>
        <v>55-34135</v>
      </c>
      <c r="B1677" t="s">
        <v>5152</v>
      </c>
      <c r="C1677" t="s">
        <v>6582</v>
      </c>
      <c r="D1677" t="s">
        <v>5163</v>
      </c>
      <c r="E1677" t="s">
        <v>5242</v>
      </c>
      <c r="F1677">
        <v>1276.67</v>
      </c>
    </row>
    <row r="1678" spans="1:6">
      <c r="A1678" t="str">
        <f>("55-34155")</f>
        <v>55-34155</v>
      </c>
      <c r="B1678" t="s">
        <v>5152</v>
      </c>
      <c r="C1678" t="s">
        <v>6582</v>
      </c>
      <c r="D1678" t="s">
        <v>5174</v>
      </c>
      <c r="E1678" t="s">
        <v>6584</v>
      </c>
      <c r="F1678">
        <v>1276.67</v>
      </c>
    </row>
    <row r="1679" spans="1:6">
      <c r="A1679" t="str">
        <f>("55-34165")</f>
        <v>55-34165</v>
      </c>
      <c r="B1679" t="s">
        <v>5152</v>
      </c>
      <c r="C1679" t="s">
        <v>6582</v>
      </c>
      <c r="D1679" t="s">
        <v>5160</v>
      </c>
      <c r="E1679" t="s">
        <v>6583</v>
      </c>
      <c r="F1679">
        <v>1276.67</v>
      </c>
    </row>
    <row r="1680" spans="1:6">
      <c r="A1680" t="str">
        <f>("55-34235")</f>
        <v>55-34235</v>
      </c>
      <c r="B1680" t="s">
        <v>5152</v>
      </c>
      <c r="C1680" t="s">
        <v>6582</v>
      </c>
      <c r="D1680" t="s">
        <v>5150</v>
      </c>
      <c r="E1680" t="s">
        <v>5149</v>
      </c>
      <c r="F1680">
        <v>1276.67</v>
      </c>
    </row>
    <row r="1681" spans="1:6">
      <c r="A1681" t="str">
        <f>("57-8095")</f>
        <v>57-8095</v>
      </c>
      <c r="B1681" t="s">
        <v>5152</v>
      </c>
      <c r="C1681" t="s">
        <v>6581</v>
      </c>
      <c r="D1681" t="s">
        <v>5206</v>
      </c>
      <c r="E1681" t="s">
        <v>6580</v>
      </c>
      <c r="F1681">
        <v>83.67</v>
      </c>
    </row>
    <row r="1682" spans="1:6">
      <c r="A1682" t="str">
        <f>("57-8003")</f>
        <v>57-8003</v>
      </c>
      <c r="B1682" t="s">
        <v>5152</v>
      </c>
      <c r="C1682" t="s">
        <v>6573</v>
      </c>
      <c r="D1682" t="s">
        <v>5174</v>
      </c>
      <c r="E1682" t="s">
        <v>6579</v>
      </c>
      <c r="F1682">
        <v>971</v>
      </c>
    </row>
    <row r="1683" spans="1:6">
      <c r="A1683" t="str">
        <f>("57-8005")</f>
        <v>57-8005</v>
      </c>
      <c r="B1683" t="s">
        <v>5152</v>
      </c>
      <c r="C1683" t="s">
        <v>6573</v>
      </c>
      <c r="D1683" t="s">
        <v>5174</v>
      </c>
      <c r="E1683" t="s">
        <v>6578</v>
      </c>
      <c r="F1683">
        <v>971</v>
      </c>
    </row>
    <row r="1684" spans="1:6">
      <c r="A1684" t="str">
        <f>("57-8023")</f>
        <v>57-8023</v>
      </c>
      <c r="B1684" t="s">
        <v>5152</v>
      </c>
      <c r="C1684" t="s">
        <v>6573</v>
      </c>
      <c r="D1684" t="s">
        <v>6577</v>
      </c>
      <c r="E1684" t="s">
        <v>6576</v>
      </c>
      <c r="F1684">
        <v>971</v>
      </c>
    </row>
    <row r="1685" spans="1:6">
      <c r="A1685" t="str">
        <f>("57-8025")</f>
        <v>57-8025</v>
      </c>
      <c r="B1685" t="s">
        <v>5152</v>
      </c>
      <c r="C1685" t="s">
        <v>6573</v>
      </c>
      <c r="D1685" t="s">
        <v>6575</v>
      </c>
      <c r="E1685" t="s">
        <v>6574</v>
      </c>
      <c r="F1685">
        <v>971</v>
      </c>
    </row>
    <row r="1686" spans="1:6">
      <c r="A1686" t="str">
        <f>("57-8033")</f>
        <v>57-8033</v>
      </c>
      <c r="B1686" t="s">
        <v>5152</v>
      </c>
      <c r="C1686" t="s">
        <v>6573</v>
      </c>
      <c r="D1686" t="s">
        <v>5181</v>
      </c>
      <c r="E1686" t="s">
        <v>6572</v>
      </c>
      <c r="F1686">
        <v>971</v>
      </c>
    </row>
    <row r="1687" spans="1:6">
      <c r="A1687" t="str">
        <f>("57-8035")</f>
        <v>57-8035</v>
      </c>
      <c r="B1687" t="s">
        <v>5152</v>
      </c>
      <c r="C1687" t="s">
        <v>6573</v>
      </c>
      <c r="D1687" t="s">
        <v>5181</v>
      </c>
      <c r="E1687" t="s">
        <v>6572</v>
      </c>
      <c r="F1687">
        <v>971</v>
      </c>
    </row>
    <row r="1688" spans="1:6">
      <c r="A1688" t="str">
        <f>("57-81005")</f>
        <v>57-81005</v>
      </c>
      <c r="B1688" t="s">
        <v>5152</v>
      </c>
      <c r="C1688" t="s">
        <v>6546</v>
      </c>
      <c r="D1688" t="s">
        <v>5216</v>
      </c>
      <c r="E1688" t="s">
        <v>6568</v>
      </c>
      <c r="F1688">
        <v>1215</v>
      </c>
    </row>
    <row r="1689" spans="1:6">
      <c r="A1689" t="str">
        <f>("57-81005A")</f>
        <v>57-81005A</v>
      </c>
      <c r="B1689" t="s">
        <v>5152</v>
      </c>
      <c r="C1689" t="s">
        <v>6571</v>
      </c>
      <c r="D1689" t="s">
        <v>6570</v>
      </c>
      <c r="E1689" t="s">
        <v>6569</v>
      </c>
      <c r="F1689">
        <v>969.67</v>
      </c>
    </row>
    <row r="1690" spans="1:6">
      <c r="A1690" t="str">
        <f>("57-81005B")</f>
        <v>57-81005B</v>
      </c>
      <c r="B1690" t="s">
        <v>5152</v>
      </c>
      <c r="C1690" t="s">
        <v>6548</v>
      </c>
      <c r="D1690" t="s">
        <v>5163</v>
      </c>
      <c r="E1690" t="s">
        <v>6568</v>
      </c>
      <c r="F1690">
        <v>271.66999999999996</v>
      </c>
    </row>
    <row r="1691" spans="1:6">
      <c r="A1691" t="str">
        <f>("57-81025")</f>
        <v>57-81025</v>
      </c>
      <c r="B1691" t="s">
        <v>5152</v>
      </c>
      <c r="C1691" t="s">
        <v>6546</v>
      </c>
      <c r="D1691" t="s">
        <v>5181</v>
      </c>
      <c r="E1691" t="s">
        <v>6567</v>
      </c>
      <c r="F1691">
        <v>1215</v>
      </c>
    </row>
    <row r="1692" spans="1:6">
      <c r="A1692" t="str">
        <f>("57-81025B")</f>
        <v>57-81025B</v>
      </c>
      <c r="B1692" t="s">
        <v>5152</v>
      </c>
      <c r="C1692" t="s">
        <v>6548</v>
      </c>
      <c r="D1692" t="s">
        <v>5181</v>
      </c>
      <c r="E1692" t="s">
        <v>6566</v>
      </c>
      <c r="F1692">
        <v>271.66999999999996</v>
      </c>
    </row>
    <row r="1693" spans="1:6">
      <c r="A1693" t="str">
        <f>("57-81035")</f>
        <v>57-81035</v>
      </c>
      <c r="B1693" t="s">
        <v>5152</v>
      </c>
      <c r="C1693" t="s">
        <v>6546</v>
      </c>
      <c r="D1693" t="s">
        <v>5174</v>
      </c>
      <c r="E1693" t="s">
        <v>6565</v>
      </c>
      <c r="F1693">
        <v>1215</v>
      </c>
    </row>
    <row r="1694" spans="1:6">
      <c r="A1694" t="str">
        <f>("57-81035B")</f>
        <v>57-81035B</v>
      </c>
      <c r="B1694" t="s">
        <v>5152</v>
      </c>
      <c r="C1694" t="s">
        <v>6548</v>
      </c>
      <c r="D1694" t="s">
        <v>5174</v>
      </c>
      <c r="E1694" t="s">
        <v>6564</v>
      </c>
      <c r="F1694">
        <v>271.66999999999996</v>
      </c>
    </row>
    <row r="1695" spans="1:6">
      <c r="A1695" t="str">
        <f>("57-81045")</f>
        <v>57-81045</v>
      </c>
      <c r="B1695" t="s">
        <v>5152</v>
      </c>
      <c r="C1695" t="s">
        <v>6546</v>
      </c>
      <c r="D1695" t="s">
        <v>5174</v>
      </c>
      <c r="E1695" t="s">
        <v>6563</v>
      </c>
      <c r="F1695">
        <v>1215</v>
      </c>
    </row>
    <row r="1696" spans="1:6">
      <c r="A1696" t="str">
        <f>("57-81045A")</f>
        <v>57-81045A</v>
      </c>
      <c r="B1696" t="s">
        <v>5152</v>
      </c>
      <c r="C1696" t="s">
        <v>6562</v>
      </c>
      <c r="D1696" t="s">
        <v>5174</v>
      </c>
      <c r="E1696" t="s">
        <v>6561</v>
      </c>
      <c r="F1696">
        <v>969.67</v>
      </c>
    </row>
    <row r="1697" spans="1:6">
      <c r="A1697" t="str">
        <f>("57-81045B")</f>
        <v>57-81045B</v>
      </c>
      <c r="B1697" t="s">
        <v>5152</v>
      </c>
      <c r="C1697" t="s">
        <v>6548</v>
      </c>
      <c r="D1697" t="s">
        <v>5174</v>
      </c>
      <c r="E1697" t="s">
        <v>6560</v>
      </c>
      <c r="F1697">
        <v>271.66999999999996</v>
      </c>
    </row>
    <row r="1698" spans="1:6">
      <c r="A1698" t="str">
        <f>("57-81055")</f>
        <v>57-81055</v>
      </c>
      <c r="B1698" t="s">
        <v>5152</v>
      </c>
      <c r="C1698" t="s">
        <v>6546</v>
      </c>
      <c r="D1698" t="s">
        <v>5174</v>
      </c>
      <c r="E1698" t="s">
        <v>6559</v>
      </c>
      <c r="F1698">
        <v>1215</v>
      </c>
    </row>
    <row r="1699" spans="1:6">
      <c r="A1699" t="str">
        <f>("57-81055B")</f>
        <v>57-81055B</v>
      </c>
      <c r="B1699" t="s">
        <v>5152</v>
      </c>
      <c r="C1699" t="s">
        <v>6548</v>
      </c>
      <c r="D1699" t="s">
        <v>5174</v>
      </c>
      <c r="E1699" t="s">
        <v>6558</v>
      </c>
      <c r="F1699">
        <v>271.66999999999996</v>
      </c>
    </row>
    <row r="1700" spans="1:6">
      <c r="A1700" t="str">
        <f>("57-81065")</f>
        <v>57-81065</v>
      </c>
      <c r="B1700" t="s">
        <v>5152</v>
      </c>
      <c r="C1700" t="s">
        <v>6546</v>
      </c>
      <c r="D1700" t="s">
        <v>5150</v>
      </c>
      <c r="E1700" t="s">
        <v>6556</v>
      </c>
      <c r="F1700">
        <v>1090</v>
      </c>
    </row>
    <row r="1701" spans="1:6">
      <c r="A1701" t="str">
        <f>("57-81065A")</f>
        <v>57-81065A</v>
      </c>
      <c r="B1701" t="s">
        <v>5152</v>
      </c>
      <c r="C1701" t="s">
        <v>6557</v>
      </c>
      <c r="D1701" t="s">
        <v>5150</v>
      </c>
      <c r="E1701" t="s">
        <v>6556</v>
      </c>
      <c r="F1701">
        <v>844.67</v>
      </c>
    </row>
    <row r="1702" spans="1:6">
      <c r="A1702" t="str">
        <f>("57-81065B")</f>
        <v>57-81065B</v>
      </c>
      <c r="B1702" t="s">
        <v>5152</v>
      </c>
      <c r="C1702" t="s">
        <v>6548</v>
      </c>
      <c r="D1702" t="s">
        <v>5150</v>
      </c>
      <c r="E1702" t="s">
        <v>6556</v>
      </c>
      <c r="F1702">
        <v>271.66999999999996</v>
      </c>
    </row>
    <row r="1703" spans="1:6">
      <c r="A1703" t="str">
        <f>("57-81075")</f>
        <v>57-81075</v>
      </c>
      <c r="B1703" t="s">
        <v>5152</v>
      </c>
      <c r="C1703" t="s">
        <v>6546</v>
      </c>
      <c r="D1703" t="s">
        <v>5150</v>
      </c>
      <c r="E1703" t="s">
        <v>6555</v>
      </c>
      <c r="F1703">
        <v>1215</v>
      </c>
    </row>
    <row r="1704" spans="1:6">
      <c r="A1704" t="str">
        <f>("57-81075B")</f>
        <v>57-81075B</v>
      </c>
      <c r="B1704" t="s">
        <v>5152</v>
      </c>
      <c r="C1704" t="s">
        <v>6548</v>
      </c>
      <c r="D1704" t="s">
        <v>5150</v>
      </c>
      <c r="E1704" t="s">
        <v>6555</v>
      </c>
      <c r="F1704">
        <v>321.66999999999996</v>
      </c>
    </row>
    <row r="1705" spans="1:6">
      <c r="A1705" t="str">
        <f>("57-81085")</f>
        <v>57-81085</v>
      </c>
      <c r="B1705" t="s">
        <v>5152</v>
      </c>
      <c r="C1705" t="s">
        <v>6546</v>
      </c>
      <c r="D1705" t="s">
        <v>5178</v>
      </c>
      <c r="E1705" t="s">
        <v>6488</v>
      </c>
      <c r="F1705">
        <v>1215</v>
      </c>
    </row>
    <row r="1706" spans="1:6">
      <c r="A1706" t="str">
        <f>("57-81085B")</f>
        <v>57-81085B</v>
      </c>
      <c r="B1706" t="s">
        <v>5152</v>
      </c>
      <c r="C1706" t="s">
        <v>6548</v>
      </c>
      <c r="D1706" t="s">
        <v>5181</v>
      </c>
      <c r="E1706" t="s">
        <v>6554</v>
      </c>
      <c r="F1706">
        <v>271.66999999999996</v>
      </c>
    </row>
    <row r="1707" spans="1:6">
      <c r="A1707" t="str">
        <f>("57-81095")</f>
        <v>57-81095</v>
      </c>
      <c r="B1707" t="s">
        <v>5152</v>
      </c>
      <c r="C1707" t="s">
        <v>6546</v>
      </c>
      <c r="D1707" t="s">
        <v>5163</v>
      </c>
      <c r="E1707" t="s">
        <v>6553</v>
      </c>
      <c r="F1707">
        <v>1090</v>
      </c>
    </row>
    <row r="1708" spans="1:6">
      <c r="A1708" t="str">
        <f>("57-81095A")</f>
        <v>57-81095A</v>
      </c>
      <c r="B1708" t="s">
        <v>5152</v>
      </c>
      <c r="C1708" t="s">
        <v>6552</v>
      </c>
      <c r="D1708" t="s">
        <v>5163</v>
      </c>
      <c r="E1708" t="s">
        <v>6551</v>
      </c>
      <c r="F1708">
        <v>844.67</v>
      </c>
    </row>
    <row r="1709" spans="1:6">
      <c r="A1709" t="str">
        <f>("57-81095B")</f>
        <v>57-81095B</v>
      </c>
      <c r="B1709" t="s">
        <v>5152</v>
      </c>
      <c r="C1709" t="s">
        <v>6548</v>
      </c>
      <c r="D1709" t="s">
        <v>5163</v>
      </c>
      <c r="E1709" t="s">
        <v>6550</v>
      </c>
      <c r="F1709">
        <v>271.66999999999996</v>
      </c>
    </row>
    <row r="1710" spans="1:6">
      <c r="A1710" t="str">
        <f>("57-81135")</f>
        <v>57-81135</v>
      </c>
      <c r="B1710" t="s">
        <v>5152</v>
      </c>
      <c r="C1710" t="s">
        <v>6546</v>
      </c>
      <c r="D1710" t="s">
        <v>5163</v>
      </c>
      <c r="E1710" t="s">
        <v>6549</v>
      </c>
      <c r="F1710">
        <v>1090</v>
      </c>
    </row>
    <row r="1711" spans="1:6">
      <c r="A1711" t="str">
        <f>("57-81135B")</f>
        <v>57-81135B</v>
      </c>
      <c r="B1711" t="s">
        <v>5152</v>
      </c>
      <c r="C1711" t="s">
        <v>6548</v>
      </c>
      <c r="D1711" t="s">
        <v>5163</v>
      </c>
      <c r="E1711" t="s">
        <v>6547</v>
      </c>
      <c r="F1711">
        <v>321.66999999999996</v>
      </c>
    </row>
    <row r="1712" spans="1:6">
      <c r="A1712" t="str">
        <f>("57-82785")</f>
        <v>57-82785</v>
      </c>
      <c r="B1712" t="s">
        <v>5152</v>
      </c>
      <c r="C1712" t="s">
        <v>6546</v>
      </c>
      <c r="D1712" t="s">
        <v>5150</v>
      </c>
      <c r="E1712" t="s">
        <v>6545</v>
      </c>
      <c r="F1712">
        <v>1090</v>
      </c>
    </row>
    <row r="1713" spans="1:6">
      <c r="A1713" t="str">
        <f>("57-89005")</f>
        <v>57-89005</v>
      </c>
      <c r="B1713" t="s">
        <v>5152</v>
      </c>
      <c r="C1713" t="s">
        <v>6544</v>
      </c>
      <c r="D1713" t="s">
        <v>5206</v>
      </c>
      <c r="E1713" t="s">
        <v>6537</v>
      </c>
      <c r="F1713">
        <v>74.33</v>
      </c>
    </row>
    <row r="1714" spans="1:6">
      <c r="A1714" t="str">
        <f>("57-89015")</f>
        <v>57-89015</v>
      </c>
      <c r="B1714" t="s">
        <v>5152</v>
      </c>
      <c r="C1714" t="s">
        <v>6543</v>
      </c>
      <c r="D1714" t="s">
        <v>5206</v>
      </c>
      <c r="E1714" t="s">
        <v>6537</v>
      </c>
      <c r="F1714">
        <v>83.67</v>
      </c>
    </row>
    <row r="1715" spans="1:6">
      <c r="A1715" t="str">
        <f>("57-89035")</f>
        <v>57-89035</v>
      </c>
      <c r="B1715" t="s">
        <v>5152</v>
      </c>
      <c r="C1715" t="s">
        <v>6542</v>
      </c>
      <c r="D1715" t="s">
        <v>5206</v>
      </c>
      <c r="E1715" t="s">
        <v>6537</v>
      </c>
      <c r="F1715">
        <v>103.67</v>
      </c>
    </row>
    <row r="1716" spans="1:6">
      <c r="A1716" t="str">
        <f>("57-89045")</f>
        <v>57-89045</v>
      </c>
      <c r="B1716" t="s">
        <v>5152</v>
      </c>
      <c r="C1716" t="s">
        <v>6541</v>
      </c>
      <c r="D1716" t="s">
        <v>5206</v>
      </c>
      <c r="E1716" t="s">
        <v>6537</v>
      </c>
      <c r="F1716">
        <v>71.67</v>
      </c>
    </row>
    <row r="1717" spans="1:6">
      <c r="A1717" t="str">
        <f>("57-89055")</f>
        <v>57-89055</v>
      </c>
      <c r="B1717" t="s">
        <v>5152</v>
      </c>
      <c r="C1717" t="s">
        <v>6540</v>
      </c>
      <c r="D1717" t="s">
        <v>5206</v>
      </c>
      <c r="E1717" t="s">
        <v>6537</v>
      </c>
      <c r="F1717">
        <v>87.67</v>
      </c>
    </row>
    <row r="1718" spans="1:6">
      <c r="A1718" t="str">
        <f>("57-89065")</f>
        <v>57-89065</v>
      </c>
      <c r="B1718" t="s">
        <v>5152</v>
      </c>
      <c r="C1718" t="s">
        <v>6539</v>
      </c>
      <c r="D1718" t="s">
        <v>5206</v>
      </c>
      <c r="E1718" t="s">
        <v>6537</v>
      </c>
      <c r="F1718">
        <v>103.67</v>
      </c>
    </row>
    <row r="1719" spans="1:6">
      <c r="A1719" t="str">
        <f>("57-89075")</f>
        <v>57-89075</v>
      </c>
      <c r="B1719" t="s">
        <v>5152</v>
      </c>
      <c r="C1719" t="s">
        <v>6538</v>
      </c>
      <c r="D1719" t="s">
        <v>5206</v>
      </c>
      <c r="E1719" t="s">
        <v>6537</v>
      </c>
      <c r="F1719">
        <v>69</v>
      </c>
    </row>
    <row r="1720" spans="1:6">
      <c r="A1720" t="str">
        <f>("57-9005")</f>
        <v>57-9005</v>
      </c>
      <c r="B1720" t="s">
        <v>5152</v>
      </c>
      <c r="C1720" t="s">
        <v>6535</v>
      </c>
      <c r="D1720" t="s">
        <v>5206</v>
      </c>
      <c r="E1720" t="s">
        <v>6536</v>
      </c>
      <c r="F1720">
        <v>503</v>
      </c>
    </row>
    <row r="1721" spans="1:6">
      <c r="A1721" t="str">
        <f>("57-9015")</f>
        <v>57-9015</v>
      </c>
      <c r="B1721" t="s">
        <v>5152</v>
      </c>
      <c r="C1721" t="s">
        <v>6535</v>
      </c>
      <c r="D1721" t="s">
        <v>5206</v>
      </c>
      <c r="E1721" t="s">
        <v>6534</v>
      </c>
      <c r="F1721">
        <v>656.67</v>
      </c>
    </row>
    <row r="1722" spans="1:6">
      <c r="A1722" t="str">
        <f>("57-92275")</f>
        <v>57-92275</v>
      </c>
      <c r="B1722" t="s">
        <v>5152</v>
      </c>
      <c r="C1722" t="s">
        <v>6516</v>
      </c>
      <c r="D1722" t="s">
        <v>5216</v>
      </c>
      <c r="E1722" t="s">
        <v>6533</v>
      </c>
      <c r="F1722">
        <v>2506.33</v>
      </c>
    </row>
    <row r="1723" spans="1:6">
      <c r="A1723" t="str">
        <f>("57-92275A")</f>
        <v>57-92275A</v>
      </c>
      <c r="B1723" t="s">
        <v>5152</v>
      </c>
      <c r="C1723" t="s">
        <v>6518</v>
      </c>
      <c r="D1723" t="s">
        <v>5216</v>
      </c>
      <c r="E1723" t="s">
        <v>6533</v>
      </c>
      <c r="F1723">
        <v>2007.67</v>
      </c>
    </row>
    <row r="1724" spans="1:6">
      <c r="A1724" t="str">
        <f>("57-92375")</f>
        <v>57-92375</v>
      </c>
      <c r="B1724" t="s">
        <v>5152</v>
      </c>
      <c r="C1724" t="s">
        <v>6516</v>
      </c>
      <c r="D1724" t="s">
        <v>5174</v>
      </c>
      <c r="E1724" t="s">
        <v>6509</v>
      </c>
      <c r="F1724">
        <v>2450.33</v>
      </c>
    </row>
    <row r="1725" spans="1:6">
      <c r="A1725" t="str">
        <f>("57-92375A")</f>
        <v>57-92375A</v>
      </c>
      <c r="B1725" t="s">
        <v>5152</v>
      </c>
      <c r="C1725" t="s">
        <v>6518</v>
      </c>
      <c r="D1725" t="s">
        <v>5174</v>
      </c>
      <c r="E1725" t="s">
        <v>6509</v>
      </c>
      <c r="F1725">
        <v>1630.33</v>
      </c>
    </row>
    <row r="1726" spans="1:6">
      <c r="A1726" t="str">
        <f>("57-92505")</f>
        <v>57-92505</v>
      </c>
      <c r="B1726" t="s">
        <v>5152</v>
      </c>
      <c r="C1726" t="s">
        <v>6516</v>
      </c>
      <c r="D1726" t="s">
        <v>5174</v>
      </c>
      <c r="E1726" t="s">
        <v>6532</v>
      </c>
      <c r="F1726">
        <v>2487.67</v>
      </c>
    </row>
    <row r="1727" spans="1:6">
      <c r="A1727" t="str">
        <f>("57-92505A")</f>
        <v>57-92505A</v>
      </c>
      <c r="B1727" t="s">
        <v>5152</v>
      </c>
      <c r="C1727" t="s">
        <v>6518</v>
      </c>
      <c r="D1727" t="s">
        <v>5174</v>
      </c>
      <c r="E1727" t="s">
        <v>6532</v>
      </c>
      <c r="F1727">
        <v>1871.67</v>
      </c>
    </row>
    <row r="1728" spans="1:6">
      <c r="A1728" t="str">
        <f>("57-93545")</f>
        <v>57-93545</v>
      </c>
      <c r="B1728" t="s">
        <v>5152</v>
      </c>
      <c r="C1728" t="s">
        <v>6516</v>
      </c>
      <c r="D1728" t="s">
        <v>5181</v>
      </c>
      <c r="E1728" t="s">
        <v>5228</v>
      </c>
      <c r="F1728">
        <v>2450.33</v>
      </c>
    </row>
    <row r="1729" spans="1:6">
      <c r="A1729" t="str">
        <f>("57-93545A")</f>
        <v>57-93545A</v>
      </c>
      <c r="B1729" t="s">
        <v>5152</v>
      </c>
      <c r="C1729" t="s">
        <v>6518</v>
      </c>
      <c r="D1729" t="s">
        <v>5181</v>
      </c>
      <c r="E1729" t="s">
        <v>5227</v>
      </c>
      <c r="F1729">
        <v>1630.33</v>
      </c>
    </row>
    <row r="1730" spans="1:6">
      <c r="A1730" t="str">
        <f>("57-93555")</f>
        <v>57-93555</v>
      </c>
      <c r="B1730" t="s">
        <v>5152</v>
      </c>
      <c r="C1730" t="s">
        <v>6516</v>
      </c>
      <c r="D1730" t="s">
        <v>5178</v>
      </c>
      <c r="E1730" t="s">
        <v>5226</v>
      </c>
      <c r="F1730">
        <v>2495.67</v>
      </c>
    </row>
    <row r="1731" spans="1:6">
      <c r="A1731" t="str">
        <f>("57-93555A")</f>
        <v>57-93555A</v>
      </c>
      <c r="B1731" t="s">
        <v>5152</v>
      </c>
      <c r="C1731" t="s">
        <v>6518</v>
      </c>
      <c r="D1731" t="s">
        <v>5181</v>
      </c>
      <c r="E1731" t="s">
        <v>5226</v>
      </c>
      <c r="F1731">
        <v>1931.67</v>
      </c>
    </row>
    <row r="1732" spans="1:6">
      <c r="A1732" t="str">
        <f>("57-93685")</f>
        <v>57-93685</v>
      </c>
      <c r="B1732" t="s">
        <v>5152</v>
      </c>
      <c r="C1732" t="s">
        <v>6516</v>
      </c>
      <c r="D1732" t="s">
        <v>5216</v>
      </c>
      <c r="E1732" t="s">
        <v>6531</v>
      </c>
      <c r="F1732">
        <v>2495.67</v>
      </c>
    </row>
    <row r="1733" spans="1:6">
      <c r="A1733" t="str">
        <f>("57-93685A")</f>
        <v>57-93685A</v>
      </c>
      <c r="B1733" t="s">
        <v>5152</v>
      </c>
      <c r="C1733" t="s">
        <v>6518</v>
      </c>
      <c r="D1733" t="s">
        <v>5216</v>
      </c>
      <c r="E1733" t="s">
        <v>6531</v>
      </c>
      <c r="F1733">
        <v>1931.67</v>
      </c>
    </row>
    <row r="1734" spans="1:6">
      <c r="A1734" t="str">
        <f>("57-93705")</f>
        <v>57-93705</v>
      </c>
      <c r="B1734" t="s">
        <v>5152</v>
      </c>
      <c r="C1734" t="s">
        <v>6516</v>
      </c>
      <c r="D1734" t="s">
        <v>5150</v>
      </c>
      <c r="E1734" t="s">
        <v>5225</v>
      </c>
      <c r="F1734">
        <v>2487.67</v>
      </c>
    </row>
    <row r="1735" spans="1:6">
      <c r="A1735" t="str">
        <f>("57-93705A")</f>
        <v>57-93705A</v>
      </c>
      <c r="B1735" t="s">
        <v>5152</v>
      </c>
      <c r="C1735" t="s">
        <v>6518</v>
      </c>
      <c r="D1735" t="s">
        <v>5150</v>
      </c>
      <c r="E1735" t="s">
        <v>5225</v>
      </c>
      <c r="F1735">
        <v>1871.67</v>
      </c>
    </row>
    <row r="1736" spans="1:6">
      <c r="A1736" t="str">
        <f>("57-93785")</f>
        <v>57-93785</v>
      </c>
      <c r="B1736" t="s">
        <v>5152</v>
      </c>
      <c r="C1736" t="s">
        <v>6516</v>
      </c>
      <c r="D1736" t="s">
        <v>5216</v>
      </c>
      <c r="E1736" t="s">
        <v>6472</v>
      </c>
      <c r="F1736">
        <v>2487.67</v>
      </c>
    </row>
    <row r="1737" spans="1:6">
      <c r="A1737" t="str">
        <f>("57-93785A")</f>
        <v>57-93785A</v>
      </c>
      <c r="B1737" t="s">
        <v>5152</v>
      </c>
      <c r="C1737" t="s">
        <v>6518</v>
      </c>
      <c r="D1737" t="s">
        <v>5216</v>
      </c>
      <c r="E1737" t="s">
        <v>6472</v>
      </c>
      <c r="F1737">
        <v>1871.67</v>
      </c>
    </row>
    <row r="1738" spans="1:6">
      <c r="A1738" t="str">
        <f>("57-93805")</f>
        <v>57-93805</v>
      </c>
      <c r="B1738" t="s">
        <v>5152</v>
      </c>
      <c r="C1738" t="s">
        <v>6516</v>
      </c>
      <c r="D1738" t="s">
        <v>5216</v>
      </c>
      <c r="E1738" t="s">
        <v>5971</v>
      </c>
      <c r="F1738">
        <v>2134.33</v>
      </c>
    </row>
    <row r="1739" spans="1:6">
      <c r="A1739" t="str">
        <f>("57-93805A")</f>
        <v>57-93805A</v>
      </c>
      <c r="B1739" t="s">
        <v>5152</v>
      </c>
      <c r="C1739" t="s">
        <v>6518</v>
      </c>
      <c r="D1739" t="s">
        <v>5216</v>
      </c>
      <c r="E1739" t="s">
        <v>5971</v>
      </c>
      <c r="F1739">
        <v>1630.33</v>
      </c>
    </row>
    <row r="1740" spans="1:6">
      <c r="A1740" t="str">
        <f>("57-93835")</f>
        <v>57-93835</v>
      </c>
      <c r="B1740" t="s">
        <v>5152</v>
      </c>
      <c r="C1740" t="s">
        <v>6516</v>
      </c>
      <c r="D1740" t="s">
        <v>5174</v>
      </c>
      <c r="E1740" t="s">
        <v>6530</v>
      </c>
      <c r="F1740">
        <v>2487.67</v>
      </c>
    </row>
    <row r="1741" spans="1:6">
      <c r="A1741" t="str">
        <f>("57-93835A")</f>
        <v>57-93835A</v>
      </c>
      <c r="B1741" t="s">
        <v>5152</v>
      </c>
      <c r="C1741" t="s">
        <v>6518</v>
      </c>
      <c r="D1741" t="s">
        <v>5174</v>
      </c>
      <c r="E1741" t="s">
        <v>6530</v>
      </c>
      <c r="F1741">
        <v>1871.67</v>
      </c>
    </row>
    <row r="1742" spans="1:6">
      <c r="A1742" t="str">
        <f>("57-93875")</f>
        <v>57-93875</v>
      </c>
      <c r="B1742" t="s">
        <v>5152</v>
      </c>
      <c r="C1742" t="s">
        <v>6516</v>
      </c>
      <c r="D1742" t="s">
        <v>5216</v>
      </c>
      <c r="E1742" t="s">
        <v>5224</v>
      </c>
      <c r="F1742">
        <v>2487.67</v>
      </c>
    </row>
    <row r="1743" spans="1:6">
      <c r="A1743" t="str">
        <f>("57-93875A")</f>
        <v>57-93875A</v>
      </c>
      <c r="B1743" t="s">
        <v>5152</v>
      </c>
      <c r="C1743" t="s">
        <v>6518</v>
      </c>
      <c r="D1743" t="s">
        <v>5216</v>
      </c>
      <c r="E1743" t="s">
        <v>5224</v>
      </c>
      <c r="F1743">
        <v>1871.67</v>
      </c>
    </row>
    <row r="1744" spans="1:6">
      <c r="A1744" t="str">
        <f>("57-93905")</f>
        <v>57-93905</v>
      </c>
      <c r="B1744" t="s">
        <v>5152</v>
      </c>
      <c r="C1744" t="s">
        <v>6516</v>
      </c>
      <c r="D1744" t="s">
        <v>5174</v>
      </c>
      <c r="E1744" t="s">
        <v>6529</v>
      </c>
      <c r="F1744">
        <v>2450.33</v>
      </c>
    </row>
    <row r="1745" spans="1:6">
      <c r="A1745" t="str">
        <f>("57-93905A")</f>
        <v>57-93905A</v>
      </c>
      <c r="B1745" t="s">
        <v>5152</v>
      </c>
      <c r="C1745" t="s">
        <v>6518</v>
      </c>
      <c r="D1745" t="s">
        <v>5174</v>
      </c>
      <c r="E1745" t="s">
        <v>6529</v>
      </c>
      <c r="F1745">
        <v>1630.33</v>
      </c>
    </row>
    <row r="1746" spans="1:6">
      <c r="A1746" t="str">
        <f>("57-93955")</f>
        <v>57-93955</v>
      </c>
      <c r="B1746" t="s">
        <v>5152</v>
      </c>
      <c r="C1746" t="s">
        <v>6516</v>
      </c>
      <c r="D1746" t="s">
        <v>5216</v>
      </c>
      <c r="E1746" t="s">
        <v>6528</v>
      </c>
      <c r="F1746">
        <v>2487.67</v>
      </c>
    </row>
    <row r="1747" spans="1:6">
      <c r="A1747" t="str">
        <f>("57-93955A")</f>
        <v>57-93955A</v>
      </c>
      <c r="B1747" t="s">
        <v>5152</v>
      </c>
      <c r="C1747" t="s">
        <v>6518</v>
      </c>
      <c r="D1747" t="s">
        <v>5216</v>
      </c>
      <c r="E1747" t="s">
        <v>6527</v>
      </c>
      <c r="F1747">
        <v>1871.67</v>
      </c>
    </row>
    <row r="1748" spans="1:6">
      <c r="A1748" t="str">
        <f>("57-93975")</f>
        <v>57-93975</v>
      </c>
      <c r="B1748" t="s">
        <v>5152</v>
      </c>
      <c r="C1748" t="s">
        <v>6516</v>
      </c>
      <c r="D1748" t="s">
        <v>5178</v>
      </c>
      <c r="E1748" t="s">
        <v>6526</v>
      </c>
      <c r="F1748">
        <v>2450.33</v>
      </c>
    </row>
    <row r="1749" spans="1:6">
      <c r="A1749" t="str">
        <f>("57-93975A")</f>
        <v>57-93975A</v>
      </c>
      <c r="B1749" t="s">
        <v>5152</v>
      </c>
      <c r="C1749" t="s">
        <v>6518</v>
      </c>
      <c r="D1749" t="s">
        <v>5181</v>
      </c>
      <c r="E1749" t="s">
        <v>6525</v>
      </c>
      <c r="F1749">
        <v>1630.33</v>
      </c>
    </row>
    <row r="1750" spans="1:6">
      <c r="A1750" t="str">
        <f>("57-93995")</f>
        <v>57-93995</v>
      </c>
      <c r="B1750" t="s">
        <v>5152</v>
      </c>
      <c r="C1750" t="s">
        <v>6516</v>
      </c>
      <c r="D1750" t="s">
        <v>5216</v>
      </c>
      <c r="E1750" t="s">
        <v>6524</v>
      </c>
      <c r="F1750">
        <v>2487.67</v>
      </c>
    </row>
    <row r="1751" spans="1:6">
      <c r="A1751" t="str">
        <f>("57-93995A")</f>
        <v>57-93995A</v>
      </c>
      <c r="B1751" t="s">
        <v>5152</v>
      </c>
      <c r="C1751" t="s">
        <v>6518</v>
      </c>
      <c r="D1751" t="s">
        <v>5216</v>
      </c>
      <c r="E1751" t="s">
        <v>5215</v>
      </c>
      <c r="F1751">
        <v>1871.67</v>
      </c>
    </row>
    <row r="1752" spans="1:6">
      <c r="A1752" t="str">
        <f>("57-94015")</f>
        <v>57-94015</v>
      </c>
      <c r="B1752" t="s">
        <v>5152</v>
      </c>
      <c r="C1752" t="s">
        <v>6516</v>
      </c>
      <c r="D1752" t="s">
        <v>5174</v>
      </c>
      <c r="E1752" t="s">
        <v>6523</v>
      </c>
      <c r="F1752">
        <v>2450.33</v>
      </c>
    </row>
    <row r="1753" spans="1:6">
      <c r="A1753" t="str">
        <f>("57-94015A")</f>
        <v>57-94015A</v>
      </c>
      <c r="B1753" t="s">
        <v>5152</v>
      </c>
      <c r="C1753" t="s">
        <v>6518</v>
      </c>
      <c r="D1753" t="s">
        <v>5174</v>
      </c>
      <c r="E1753" t="s">
        <v>6523</v>
      </c>
      <c r="F1753">
        <v>1630.33</v>
      </c>
    </row>
    <row r="1754" spans="1:6">
      <c r="A1754" t="str">
        <f>("57-94025")</f>
        <v>57-94025</v>
      </c>
      <c r="B1754" t="s">
        <v>5152</v>
      </c>
      <c r="C1754" t="s">
        <v>6516</v>
      </c>
      <c r="D1754" t="s">
        <v>5178</v>
      </c>
      <c r="E1754" t="s">
        <v>6522</v>
      </c>
      <c r="F1754">
        <v>2495.67</v>
      </c>
    </row>
    <row r="1755" spans="1:6">
      <c r="A1755" t="str">
        <f>("57-94025A")</f>
        <v>57-94025A</v>
      </c>
      <c r="B1755" t="s">
        <v>5152</v>
      </c>
      <c r="C1755" t="s">
        <v>6518</v>
      </c>
      <c r="D1755" t="s">
        <v>5181</v>
      </c>
      <c r="E1755" t="s">
        <v>5213</v>
      </c>
      <c r="F1755">
        <v>1931.67</v>
      </c>
    </row>
    <row r="1756" spans="1:6">
      <c r="A1756" t="str">
        <f>("57-94045")</f>
        <v>57-94045</v>
      </c>
      <c r="B1756" t="s">
        <v>5152</v>
      </c>
      <c r="C1756" t="s">
        <v>6516</v>
      </c>
      <c r="D1756" t="s">
        <v>5216</v>
      </c>
      <c r="E1756" t="s">
        <v>6521</v>
      </c>
      <c r="F1756">
        <v>2625.33</v>
      </c>
    </row>
    <row r="1757" spans="1:6">
      <c r="A1757" t="str">
        <f>("57-94045A")</f>
        <v>57-94045A</v>
      </c>
      <c r="B1757" t="s">
        <v>5152</v>
      </c>
      <c r="C1757" t="s">
        <v>6518</v>
      </c>
      <c r="D1757" t="s">
        <v>5216</v>
      </c>
      <c r="E1757" t="s">
        <v>6520</v>
      </c>
      <c r="F1757">
        <v>1630.33</v>
      </c>
    </row>
    <row r="1758" spans="1:6">
      <c r="A1758" t="str">
        <f>("57-94065")</f>
        <v>57-94065</v>
      </c>
      <c r="B1758" t="s">
        <v>5152</v>
      </c>
      <c r="C1758" t="s">
        <v>6516</v>
      </c>
      <c r="D1758" t="s">
        <v>5174</v>
      </c>
      <c r="E1758" t="s">
        <v>6519</v>
      </c>
      <c r="F1758">
        <v>2662.67</v>
      </c>
    </row>
    <row r="1759" spans="1:6">
      <c r="A1759" t="str">
        <f>("57-94065A")</f>
        <v>57-94065A</v>
      </c>
      <c r="B1759" t="s">
        <v>5152</v>
      </c>
      <c r="C1759" t="s">
        <v>6518</v>
      </c>
      <c r="D1759" t="s">
        <v>5174</v>
      </c>
      <c r="E1759" t="s">
        <v>6517</v>
      </c>
      <c r="F1759">
        <v>1871.67</v>
      </c>
    </row>
    <row r="1760" spans="1:6">
      <c r="A1760" t="str">
        <f>("57-94105")</f>
        <v>57-94105</v>
      </c>
      <c r="B1760" t="s">
        <v>5152</v>
      </c>
      <c r="C1760" t="s">
        <v>6516</v>
      </c>
      <c r="D1760" t="s">
        <v>5174</v>
      </c>
      <c r="E1760" t="s">
        <v>6450</v>
      </c>
      <c r="F1760">
        <v>2450.33</v>
      </c>
    </row>
    <row r="1761" spans="1:6">
      <c r="A1761" t="str">
        <f>("58-31105")</f>
        <v>58-31105</v>
      </c>
      <c r="B1761" t="s">
        <v>5152</v>
      </c>
      <c r="C1761" t="s">
        <v>6511</v>
      </c>
      <c r="D1761" t="s">
        <v>5174</v>
      </c>
      <c r="E1761" t="s">
        <v>6515</v>
      </c>
      <c r="F1761">
        <v>3167.67</v>
      </c>
    </row>
    <row r="1762" spans="1:6">
      <c r="A1762" t="str">
        <f>("58-31115")</f>
        <v>58-31115</v>
      </c>
      <c r="B1762" t="s">
        <v>5152</v>
      </c>
      <c r="C1762" t="s">
        <v>6511</v>
      </c>
      <c r="D1762" t="s">
        <v>5174</v>
      </c>
      <c r="E1762" t="s">
        <v>6509</v>
      </c>
      <c r="F1762">
        <v>3167.67</v>
      </c>
    </row>
    <row r="1763" spans="1:6">
      <c r="A1763" t="str">
        <f>("58-311205")</f>
        <v>58-311205</v>
      </c>
      <c r="B1763" t="s">
        <v>5152</v>
      </c>
      <c r="C1763" t="s">
        <v>6511</v>
      </c>
      <c r="D1763" t="s">
        <v>5174</v>
      </c>
      <c r="E1763" t="s">
        <v>6514</v>
      </c>
      <c r="F1763">
        <v>3342.67</v>
      </c>
    </row>
    <row r="1764" spans="1:6">
      <c r="A1764" t="str">
        <f>("58-31125")</f>
        <v>58-31125</v>
      </c>
      <c r="B1764" t="s">
        <v>5152</v>
      </c>
      <c r="C1764" t="s">
        <v>6511</v>
      </c>
      <c r="D1764" t="s">
        <v>5174</v>
      </c>
      <c r="E1764" t="s">
        <v>5222</v>
      </c>
      <c r="F1764">
        <v>3167.67</v>
      </c>
    </row>
    <row r="1765" spans="1:6">
      <c r="A1765" t="str">
        <f>("58-31135")</f>
        <v>58-31135</v>
      </c>
      <c r="B1765" t="s">
        <v>5152</v>
      </c>
      <c r="C1765" t="s">
        <v>6511</v>
      </c>
      <c r="D1765" t="s">
        <v>5216</v>
      </c>
      <c r="E1765" t="s">
        <v>6513</v>
      </c>
      <c r="F1765">
        <v>3167.67</v>
      </c>
    </row>
    <row r="1766" spans="1:6">
      <c r="A1766" t="str">
        <f>("58-31145")</f>
        <v>58-31145</v>
      </c>
      <c r="B1766" t="s">
        <v>5152</v>
      </c>
      <c r="C1766" t="s">
        <v>6511</v>
      </c>
      <c r="D1766" t="s">
        <v>5216</v>
      </c>
      <c r="E1766" t="s">
        <v>6512</v>
      </c>
      <c r="F1766">
        <v>3167.67</v>
      </c>
    </row>
    <row r="1767" spans="1:6">
      <c r="A1767" t="str">
        <f>("58-31155")</f>
        <v>58-31155</v>
      </c>
      <c r="B1767" t="s">
        <v>5152</v>
      </c>
      <c r="C1767" t="s">
        <v>6511</v>
      </c>
      <c r="D1767" t="s">
        <v>5216</v>
      </c>
      <c r="E1767" t="s">
        <v>6472</v>
      </c>
      <c r="F1767">
        <v>3167.67</v>
      </c>
    </row>
    <row r="1768" spans="1:6">
      <c r="A1768" t="str">
        <f>("58-31175")</f>
        <v>58-31175</v>
      </c>
      <c r="B1768" t="s">
        <v>5152</v>
      </c>
      <c r="C1768" t="s">
        <v>6511</v>
      </c>
      <c r="D1768" t="s">
        <v>5178</v>
      </c>
      <c r="E1768" t="s">
        <v>5226</v>
      </c>
      <c r="F1768">
        <v>3167.67</v>
      </c>
    </row>
    <row r="1769" spans="1:6">
      <c r="A1769" t="str">
        <f>("58-31185")</f>
        <v>58-31185</v>
      </c>
      <c r="B1769" t="s">
        <v>5152</v>
      </c>
      <c r="C1769" t="s">
        <v>6511</v>
      </c>
      <c r="D1769" t="s">
        <v>5216</v>
      </c>
      <c r="E1769" t="s">
        <v>6469</v>
      </c>
      <c r="F1769">
        <v>3167.67</v>
      </c>
    </row>
    <row r="1770" spans="1:6">
      <c r="A1770" t="str">
        <f>("58-31195")</f>
        <v>58-31195</v>
      </c>
      <c r="B1770" t="s">
        <v>5152</v>
      </c>
      <c r="C1770" t="s">
        <v>6511</v>
      </c>
      <c r="D1770" t="s">
        <v>5178</v>
      </c>
      <c r="E1770" t="s">
        <v>5214</v>
      </c>
      <c r="F1770">
        <v>3167.67</v>
      </c>
    </row>
    <row r="1771" spans="1:6">
      <c r="A1771" t="str">
        <f>("58-31215")</f>
        <v>58-31215</v>
      </c>
      <c r="B1771" t="s">
        <v>5152</v>
      </c>
      <c r="C1771" t="s">
        <v>6511</v>
      </c>
      <c r="D1771" t="s">
        <v>5216</v>
      </c>
      <c r="E1771" t="s">
        <v>6463</v>
      </c>
      <c r="F1771">
        <v>3167.67</v>
      </c>
    </row>
    <row r="1772" spans="1:6">
      <c r="A1772" t="str">
        <f>("58-341105")</f>
        <v>58-341105</v>
      </c>
      <c r="B1772" t="s">
        <v>5152</v>
      </c>
      <c r="C1772" t="s">
        <v>6507</v>
      </c>
      <c r="D1772" t="s">
        <v>5174</v>
      </c>
      <c r="E1772" t="s">
        <v>6510</v>
      </c>
      <c r="F1772">
        <v>1424.33</v>
      </c>
    </row>
    <row r="1773" spans="1:6">
      <c r="A1773" t="str">
        <f>("58-341115")</f>
        <v>58-341115</v>
      </c>
      <c r="B1773" t="s">
        <v>5152</v>
      </c>
      <c r="C1773" t="s">
        <v>6507</v>
      </c>
      <c r="D1773" t="s">
        <v>5174</v>
      </c>
      <c r="E1773" t="s">
        <v>6509</v>
      </c>
      <c r="F1773">
        <v>1424.33</v>
      </c>
    </row>
    <row r="1774" spans="1:6">
      <c r="A1774" t="str">
        <f>("58-341125")</f>
        <v>58-341125</v>
      </c>
      <c r="B1774" t="s">
        <v>5152</v>
      </c>
      <c r="C1774" t="s">
        <v>6507</v>
      </c>
      <c r="D1774" t="s">
        <v>5174</v>
      </c>
      <c r="E1774" t="s">
        <v>5222</v>
      </c>
      <c r="F1774">
        <v>1424.33</v>
      </c>
    </row>
    <row r="1775" spans="1:6">
      <c r="A1775" t="str">
        <f>("58-341155")</f>
        <v>58-341155</v>
      </c>
      <c r="B1775" t="s">
        <v>5152</v>
      </c>
      <c r="C1775" t="s">
        <v>6507</v>
      </c>
      <c r="D1775" t="s">
        <v>5216</v>
      </c>
      <c r="E1775" t="s">
        <v>6508</v>
      </c>
      <c r="F1775">
        <v>1424.33</v>
      </c>
    </row>
    <row r="1776" spans="1:6">
      <c r="A1776" t="str">
        <f>("58-341175")</f>
        <v>58-341175</v>
      </c>
      <c r="B1776" t="s">
        <v>5152</v>
      </c>
      <c r="C1776" t="s">
        <v>6507</v>
      </c>
      <c r="D1776" t="s">
        <v>5178</v>
      </c>
      <c r="E1776" t="s">
        <v>6459</v>
      </c>
      <c r="F1776">
        <v>1424.33</v>
      </c>
    </row>
    <row r="1777" spans="1:6">
      <c r="A1777" t="str">
        <f>("58-341185")</f>
        <v>58-341185</v>
      </c>
      <c r="B1777" t="s">
        <v>5152</v>
      </c>
      <c r="C1777" t="s">
        <v>6507</v>
      </c>
      <c r="D1777" t="s">
        <v>5163</v>
      </c>
      <c r="E1777" t="s">
        <v>6451</v>
      </c>
      <c r="F1777">
        <v>1424.33</v>
      </c>
    </row>
    <row r="1778" spans="1:6">
      <c r="A1778" t="str">
        <f>("58-341205")</f>
        <v>58-341205</v>
      </c>
      <c r="B1778" t="s">
        <v>5152</v>
      </c>
      <c r="C1778" t="s">
        <v>6507</v>
      </c>
      <c r="D1778" t="s">
        <v>5174</v>
      </c>
      <c r="E1778" t="s">
        <v>6450</v>
      </c>
      <c r="F1778">
        <v>1424.33</v>
      </c>
    </row>
    <row r="1779" spans="1:6">
      <c r="A1779" t="str">
        <f>("58-41005")</f>
        <v>58-41005</v>
      </c>
      <c r="B1779" t="s">
        <v>5152</v>
      </c>
      <c r="C1779" t="s">
        <v>6501</v>
      </c>
      <c r="D1779" t="s">
        <v>5216</v>
      </c>
      <c r="E1779" t="s">
        <v>6506</v>
      </c>
      <c r="F1779">
        <v>1715.33</v>
      </c>
    </row>
    <row r="1780" spans="1:6">
      <c r="A1780" t="str">
        <f>("58-41025")</f>
        <v>58-41025</v>
      </c>
      <c r="B1780" t="s">
        <v>5152</v>
      </c>
      <c r="C1780" t="s">
        <v>6501</v>
      </c>
      <c r="D1780" t="s">
        <v>5178</v>
      </c>
      <c r="E1780" t="s">
        <v>6505</v>
      </c>
      <c r="F1780">
        <v>1715.33</v>
      </c>
    </row>
    <row r="1781" spans="1:6">
      <c r="A1781" t="str">
        <f>("58-41035")</f>
        <v>58-41035</v>
      </c>
      <c r="B1781" t="s">
        <v>5152</v>
      </c>
      <c r="C1781" t="s">
        <v>6501</v>
      </c>
      <c r="D1781" t="s">
        <v>5150</v>
      </c>
      <c r="E1781" t="s">
        <v>5225</v>
      </c>
      <c r="F1781">
        <v>1715.33</v>
      </c>
    </row>
    <row r="1782" spans="1:6">
      <c r="A1782" t="str">
        <f>("58-41045")</f>
        <v>58-41045</v>
      </c>
      <c r="B1782" t="s">
        <v>5152</v>
      </c>
      <c r="C1782" t="s">
        <v>6501</v>
      </c>
      <c r="D1782" t="s">
        <v>5150</v>
      </c>
      <c r="E1782" t="s">
        <v>6395</v>
      </c>
      <c r="F1782">
        <v>1715.33</v>
      </c>
    </row>
    <row r="1783" spans="1:6">
      <c r="A1783" t="str">
        <f>("58-41055")</f>
        <v>58-41055</v>
      </c>
      <c r="B1783" t="s">
        <v>5152</v>
      </c>
      <c r="C1783" t="s">
        <v>6501</v>
      </c>
      <c r="D1783" t="s">
        <v>5216</v>
      </c>
      <c r="E1783" t="s">
        <v>6504</v>
      </c>
      <c r="F1783">
        <v>1715.33</v>
      </c>
    </row>
    <row r="1784" spans="1:6">
      <c r="A1784" t="str">
        <f>("58-41065")</f>
        <v>58-41065</v>
      </c>
      <c r="B1784" t="s">
        <v>5152</v>
      </c>
      <c r="C1784" t="s">
        <v>6501</v>
      </c>
      <c r="D1784" t="s">
        <v>5174</v>
      </c>
      <c r="E1784" t="s">
        <v>6503</v>
      </c>
      <c r="F1784">
        <v>1715.33</v>
      </c>
    </row>
    <row r="1785" spans="1:6">
      <c r="A1785" t="str">
        <f>("58-41075")</f>
        <v>58-41075</v>
      </c>
      <c r="B1785" t="s">
        <v>5152</v>
      </c>
      <c r="C1785" t="s">
        <v>6501</v>
      </c>
      <c r="D1785" t="s">
        <v>5178</v>
      </c>
      <c r="E1785" t="s">
        <v>6502</v>
      </c>
      <c r="F1785">
        <v>1715.33</v>
      </c>
    </row>
    <row r="1786" spans="1:6">
      <c r="A1786" t="str">
        <f>("58-41085")</f>
        <v>58-41085</v>
      </c>
      <c r="B1786" t="s">
        <v>5152</v>
      </c>
      <c r="C1786" t="s">
        <v>6501</v>
      </c>
      <c r="D1786" t="s">
        <v>5174</v>
      </c>
      <c r="E1786" t="s">
        <v>6495</v>
      </c>
      <c r="F1786">
        <v>1715.33</v>
      </c>
    </row>
    <row r="1787" spans="1:6">
      <c r="A1787" t="str">
        <f>("58-41165")</f>
        <v>58-41165</v>
      </c>
      <c r="B1787" t="s">
        <v>5152</v>
      </c>
      <c r="C1787" t="s">
        <v>6501</v>
      </c>
      <c r="D1787" t="s">
        <v>5216</v>
      </c>
      <c r="E1787" t="s">
        <v>6472</v>
      </c>
      <c r="F1787">
        <v>1715.33</v>
      </c>
    </row>
    <row r="1788" spans="1:6">
      <c r="A1788" t="str">
        <f>("58-41175")</f>
        <v>58-41175</v>
      </c>
      <c r="B1788" t="s">
        <v>5152</v>
      </c>
      <c r="C1788" t="s">
        <v>6501</v>
      </c>
      <c r="D1788" t="s">
        <v>5174</v>
      </c>
      <c r="E1788" t="s">
        <v>5222</v>
      </c>
      <c r="F1788">
        <v>1715.33</v>
      </c>
    </row>
    <row r="1789" spans="1:6">
      <c r="A1789" t="str">
        <f>("58-41195")</f>
        <v>58-41195</v>
      </c>
      <c r="B1789" t="s">
        <v>5152</v>
      </c>
      <c r="C1789" t="s">
        <v>6501</v>
      </c>
      <c r="D1789" t="s">
        <v>5178</v>
      </c>
      <c r="E1789" t="s">
        <v>6399</v>
      </c>
      <c r="F1789">
        <v>1715.33</v>
      </c>
    </row>
    <row r="1790" spans="1:6">
      <c r="A1790" t="str">
        <f>("58-41205")</f>
        <v>58-41205</v>
      </c>
      <c r="B1790" t="s">
        <v>5152</v>
      </c>
      <c r="C1790" t="s">
        <v>6501</v>
      </c>
      <c r="D1790" t="s">
        <v>5174</v>
      </c>
      <c r="E1790" t="s">
        <v>6452</v>
      </c>
      <c r="F1790">
        <v>1715.33</v>
      </c>
    </row>
    <row r="1791" spans="1:6">
      <c r="A1791" t="str">
        <f>("58-41215")</f>
        <v>58-41215</v>
      </c>
      <c r="B1791" t="s">
        <v>5152</v>
      </c>
      <c r="C1791" t="s">
        <v>6501</v>
      </c>
      <c r="D1791" t="s">
        <v>5216</v>
      </c>
      <c r="E1791" t="s">
        <v>6491</v>
      </c>
      <c r="F1791">
        <v>1715.33</v>
      </c>
    </row>
    <row r="1792" spans="1:6">
      <c r="A1792" t="str">
        <f>("58-41225")</f>
        <v>58-41225</v>
      </c>
      <c r="B1792" t="s">
        <v>5152</v>
      </c>
      <c r="C1792" t="s">
        <v>6501</v>
      </c>
      <c r="D1792" t="s">
        <v>5216</v>
      </c>
      <c r="E1792" t="s">
        <v>6469</v>
      </c>
      <c r="F1792">
        <v>1715.33</v>
      </c>
    </row>
    <row r="1793" spans="1:6">
      <c r="A1793" t="str">
        <f>("58-41235")</f>
        <v>58-41235</v>
      </c>
      <c r="B1793" t="s">
        <v>5152</v>
      </c>
      <c r="C1793" t="s">
        <v>6501</v>
      </c>
      <c r="D1793" t="s">
        <v>5178</v>
      </c>
      <c r="E1793" t="s">
        <v>5214</v>
      </c>
      <c r="F1793">
        <v>1715.33</v>
      </c>
    </row>
    <row r="1794" spans="1:6">
      <c r="A1794" t="str">
        <f>("58-41245")</f>
        <v>58-41245</v>
      </c>
      <c r="B1794" t="s">
        <v>5152</v>
      </c>
      <c r="C1794" t="s">
        <v>6501</v>
      </c>
      <c r="D1794" t="s">
        <v>5174</v>
      </c>
      <c r="E1794" t="s">
        <v>6468</v>
      </c>
      <c r="F1794">
        <v>1715.33</v>
      </c>
    </row>
    <row r="1795" spans="1:6">
      <c r="A1795" t="str">
        <f>("58-41255")</f>
        <v>58-41255</v>
      </c>
      <c r="B1795" t="s">
        <v>5152</v>
      </c>
      <c r="C1795" t="s">
        <v>6501</v>
      </c>
      <c r="D1795" t="s">
        <v>5174</v>
      </c>
      <c r="E1795" t="s">
        <v>5195</v>
      </c>
      <c r="F1795">
        <v>1715.33</v>
      </c>
    </row>
    <row r="1796" spans="1:6">
      <c r="A1796" t="str">
        <f>("58-53715")</f>
        <v>58-53715</v>
      </c>
      <c r="B1796" t="s">
        <v>5152</v>
      </c>
      <c r="C1796" t="s">
        <v>6499</v>
      </c>
      <c r="D1796" t="s">
        <v>5163</v>
      </c>
      <c r="E1796" t="s">
        <v>6500</v>
      </c>
      <c r="F1796">
        <v>1039</v>
      </c>
    </row>
    <row r="1797" spans="1:6">
      <c r="A1797" t="str">
        <f>("58-53725")</f>
        <v>58-53725</v>
      </c>
      <c r="B1797" t="s">
        <v>5152</v>
      </c>
      <c r="C1797" t="s">
        <v>6499</v>
      </c>
      <c r="D1797" t="s">
        <v>5163</v>
      </c>
      <c r="E1797" t="s">
        <v>6376</v>
      </c>
      <c r="F1797">
        <v>1096.33</v>
      </c>
    </row>
    <row r="1798" spans="1:6">
      <c r="A1798" t="str">
        <f>("58-62025")</f>
        <v>58-62025</v>
      </c>
      <c r="B1798" t="s">
        <v>5152</v>
      </c>
      <c r="C1798" t="s">
        <v>6498</v>
      </c>
      <c r="D1798" t="s">
        <v>5174</v>
      </c>
      <c r="E1798" t="s">
        <v>6454</v>
      </c>
      <c r="F1798">
        <v>2073</v>
      </c>
    </row>
    <row r="1799" spans="1:6">
      <c r="A1799" t="str">
        <f>("58-71005")</f>
        <v>58-71005</v>
      </c>
      <c r="B1799" t="s">
        <v>5152</v>
      </c>
      <c r="C1799" t="s">
        <v>6492</v>
      </c>
      <c r="D1799" t="s">
        <v>5216</v>
      </c>
      <c r="E1799" t="s">
        <v>5224</v>
      </c>
      <c r="F1799">
        <v>486</v>
      </c>
    </row>
    <row r="1800" spans="1:6">
      <c r="A1800" t="str">
        <f>("58-71015")</f>
        <v>58-71015</v>
      </c>
      <c r="B1800" t="s">
        <v>5152</v>
      </c>
      <c r="C1800" t="s">
        <v>6492</v>
      </c>
      <c r="D1800" t="s">
        <v>5174</v>
      </c>
      <c r="E1800" t="s">
        <v>6497</v>
      </c>
      <c r="F1800">
        <v>461</v>
      </c>
    </row>
    <row r="1801" spans="1:6">
      <c r="A1801" t="str">
        <f>("58-71025")</f>
        <v>58-71025</v>
      </c>
      <c r="B1801" t="s">
        <v>5152</v>
      </c>
      <c r="C1801" t="s">
        <v>6492</v>
      </c>
      <c r="D1801" t="s">
        <v>5178</v>
      </c>
      <c r="E1801" t="s">
        <v>6496</v>
      </c>
      <c r="F1801">
        <v>486</v>
      </c>
    </row>
    <row r="1802" spans="1:6">
      <c r="A1802" t="str">
        <f>("58-71085")</f>
        <v>58-71085</v>
      </c>
      <c r="B1802" t="s">
        <v>5152</v>
      </c>
      <c r="C1802" t="s">
        <v>6492</v>
      </c>
      <c r="D1802" t="s">
        <v>5174</v>
      </c>
      <c r="E1802" t="s">
        <v>6495</v>
      </c>
      <c r="F1802">
        <v>479.67</v>
      </c>
    </row>
    <row r="1803" spans="1:6">
      <c r="A1803" t="str">
        <f>("58-71155")</f>
        <v>58-71155</v>
      </c>
      <c r="B1803" t="s">
        <v>5152</v>
      </c>
      <c r="C1803" t="s">
        <v>6489</v>
      </c>
      <c r="D1803" t="s">
        <v>5216</v>
      </c>
      <c r="E1803" t="s">
        <v>6494</v>
      </c>
      <c r="F1803">
        <v>439.67</v>
      </c>
    </row>
    <row r="1804" spans="1:6">
      <c r="A1804" t="str">
        <f>("58-71165")</f>
        <v>58-71165</v>
      </c>
      <c r="B1804" t="s">
        <v>5152</v>
      </c>
      <c r="C1804" t="s">
        <v>6489</v>
      </c>
      <c r="D1804" t="s">
        <v>5216</v>
      </c>
      <c r="E1804" t="s">
        <v>6472</v>
      </c>
      <c r="F1804">
        <v>464.67</v>
      </c>
    </row>
    <row r="1805" spans="1:6">
      <c r="A1805" t="str">
        <f>("58-71175")</f>
        <v>58-71175</v>
      </c>
      <c r="B1805" t="s">
        <v>5152</v>
      </c>
      <c r="C1805" t="s">
        <v>6489</v>
      </c>
      <c r="D1805" t="s">
        <v>5174</v>
      </c>
      <c r="E1805" t="s">
        <v>5222</v>
      </c>
      <c r="F1805">
        <v>464.67</v>
      </c>
    </row>
    <row r="1806" spans="1:6">
      <c r="A1806" t="str">
        <f>("58-71185")</f>
        <v>58-71185</v>
      </c>
      <c r="B1806" t="s">
        <v>5152</v>
      </c>
      <c r="C1806" t="s">
        <v>6489</v>
      </c>
      <c r="D1806" t="s">
        <v>5178</v>
      </c>
      <c r="E1806" t="s">
        <v>6493</v>
      </c>
      <c r="F1806">
        <v>464.67</v>
      </c>
    </row>
    <row r="1807" spans="1:6">
      <c r="A1807" t="str">
        <f>("58-71205")</f>
        <v>58-71205</v>
      </c>
      <c r="B1807" t="s">
        <v>5152</v>
      </c>
      <c r="C1807" t="s">
        <v>6489</v>
      </c>
      <c r="D1807" t="s">
        <v>5174</v>
      </c>
      <c r="E1807" t="s">
        <v>6452</v>
      </c>
      <c r="F1807">
        <v>464.67</v>
      </c>
    </row>
    <row r="1808" spans="1:6">
      <c r="A1808" t="str">
        <f>("58-71215")</f>
        <v>58-71215</v>
      </c>
      <c r="B1808" t="s">
        <v>5152</v>
      </c>
      <c r="C1808" t="s">
        <v>6492</v>
      </c>
      <c r="D1808" t="s">
        <v>5216</v>
      </c>
      <c r="E1808" t="s">
        <v>6491</v>
      </c>
      <c r="F1808">
        <v>479.67</v>
      </c>
    </row>
    <row r="1809" spans="1:6">
      <c r="A1809" t="str">
        <f>("58-71225")</f>
        <v>58-71225</v>
      </c>
      <c r="B1809" t="s">
        <v>5152</v>
      </c>
      <c r="C1809" t="s">
        <v>6489</v>
      </c>
      <c r="D1809" t="s">
        <v>5216</v>
      </c>
      <c r="E1809" t="s">
        <v>6469</v>
      </c>
      <c r="F1809">
        <v>464.67</v>
      </c>
    </row>
    <row r="1810" spans="1:6">
      <c r="A1810" t="str">
        <f>("58-71235")</f>
        <v>58-71235</v>
      </c>
      <c r="B1810" t="s">
        <v>5152</v>
      </c>
      <c r="C1810" t="s">
        <v>6489</v>
      </c>
      <c r="D1810" t="s">
        <v>5178</v>
      </c>
      <c r="E1810" t="s">
        <v>6490</v>
      </c>
      <c r="F1810">
        <v>464.67</v>
      </c>
    </row>
    <row r="1811" spans="1:6">
      <c r="A1811" t="str">
        <f>("58-72005")</f>
        <v>58-72005</v>
      </c>
      <c r="B1811" t="s">
        <v>5152</v>
      </c>
      <c r="C1811" t="s">
        <v>6489</v>
      </c>
      <c r="D1811" t="s">
        <v>5150</v>
      </c>
      <c r="E1811" t="s">
        <v>6395</v>
      </c>
      <c r="F1811">
        <v>439.67</v>
      </c>
    </row>
    <row r="1812" spans="1:6">
      <c r="A1812" t="str">
        <f>("58-72015")</f>
        <v>58-72015</v>
      </c>
      <c r="B1812" t="s">
        <v>5152</v>
      </c>
      <c r="C1812" t="s">
        <v>6489</v>
      </c>
      <c r="D1812" t="s">
        <v>5150</v>
      </c>
      <c r="E1812" t="s">
        <v>5225</v>
      </c>
      <c r="F1812">
        <v>439.67</v>
      </c>
    </row>
    <row r="1813" spans="1:6">
      <c r="A1813" t="str">
        <f>("58-81075")</f>
        <v>58-81075</v>
      </c>
      <c r="B1813" t="s">
        <v>5152</v>
      </c>
      <c r="C1813" t="s">
        <v>6485</v>
      </c>
      <c r="D1813" t="s">
        <v>5178</v>
      </c>
      <c r="E1813" t="s">
        <v>6488</v>
      </c>
      <c r="F1813">
        <v>1704.33</v>
      </c>
    </row>
    <row r="1814" spans="1:6">
      <c r="A1814" t="str">
        <f>("58-81215H")</f>
        <v>58-81215H</v>
      </c>
      <c r="B1814" t="s">
        <v>5152</v>
      </c>
      <c r="C1814" t="s">
        <v>6487</v>
      </c>
      <c r="D1814" t="s">
        <v>5163</v>
      </c>
      <c r="E1814" t="s">
        <v>6486</v>
      </c>
      <c r="F1814">
        <v>594</v>
      </c>
    </row>
    <row r="1815" spans="1:6">
      <c r="A1815" t="str">
        <f>("58-82025")</f>
        <v>58-82025</v>
      </c>
      <c r="B1815" t="s">
        <v>5152</v>
      </c>
      <c r="C1815" t="s">
        <v>6485</v>
      </c>
      <c r="D1815" t="s">
        <v>5174</v>
      </c>
      <c r="E1815" t="s">
        <v>6454</v>
      </c>
      <c r="F1815">
        <v>1579.33</v>
      </c>
    </row>
    <row r="1816" spans="1:6">
      <c r="A1816" t="str">
        <f>("58-9905")</f>
        <v>58-9905</v>
      </c>
      <c r="B1816" t="s">
        <v>5152</v>
      </c>
      <c r="C1816" t="s">
        <v>6484</v>
      </c>
      <c r="D1816" t="s">
        <v>5206</v>
      </c>
      <c r="E1816" t="s">
        <v>6483</v>
      </c>
      <c r="F1816">
        <v>649</v>
      </c>
    </row>
    <row r="1817" spans="1:6">
      <c r="A1817" t="str">
        <f>("58-9915")</f>
        <v>58-9915</v>
      </c>
      <c r="B1817" t="s">
        <v>5152</v>
      </c>
      <c r="C1817" t="s">
        <v>6482</v>
      </c>
      <c r="D1817" t="s">
        <v>5206</v>
      </c>
      <c r="E1817" t="s">
        <v>6481</v>
      </c>
      <c r="F1817">
        <v>649</v>
      </c>
    </row>
    <row r="1818" spans="1:6">
      <c r="A1818" t="str">
        <f>("58-311045")</f>
        <v>58-311045</v>
      </c>
      <c r="B1818" t="s">
        <v>5152</v>
      </c>
      <c r="C1818" t="s">
        <v>6465</v>
      </c>
      <c r="D1818" t="s">
        <v>5150</v>
      </c>
      <c r="E1818" t="s">
        <v>6395</v>
      </c>
      <c r="F1818">
        <v>1326</v>
      </c>
    </row>
    <row r="1819" spans="1:6">
      <c r="A1819" t="str">
        <f>("58-311295")</f>
        <v>58-311295</v>
      </c>
      <c r="B1819" t="s">
        <v>5152</v>
      </c>
      <c r="C1819" t="s">
        <v>6465</v>
      </c>
      <c r="D1819" t="s">
        <v>5190</v>
      </c>
      <c r="E1819" t="s">
        <v>5189</v>
      </c>
      <c r="F1819">
        <v>1841</v>
      </c>
    </row>
    <row r="1820" spans="1:6">
      <c r="A1820" t="str">
        <f>("58-411005")</f>
        <v>58-411005</v>
      </c>
      <c r="B1820" t="s">
        <v>5152</v>
      </c>
      <c r="C1820" t="s">
        <v>6464</v>
      </c>
      <c r="D1820" t="s">
        <v>5216</v>
      </c>
      <c r="E1820" t="s">
        <v>5224</v>
      </c>
      <c r="F1820">
        <v>2643.67</v>
      </c>
    </row>
    <row r="1821" spans="1:6">
      <c r="A1821" t="str">
        <f>("58-411035")</f>
        <v>58-411035</v>
      </c>
      <c r="B1821" t="s">
        <v>5152</v>
      </c>
      <c r="C1821" t="s">
        <v>6464</v>
      </c>
      <c r="D1821" t="s">
        <v>5150</v>
      </c>
      <c r="E1821" t="s">
        <v>5225</v>
      </c>
      <c r="F1821">
        <v>2717</v>
      </c>
    </row>
    <row r="1822" spans="1:6">
      <c r="A1822" t="str">
        <f>("58-411045")</f>
        <v>58-411045</v>
      </c>
      <c r="B1822" t="s">
        <v>5152</v>
      </c>
      <c r="C1822" t="s">
        <v>6464</v>
      </c>
      <c r="D1822" t="s">
        <v>5150</v>
      </c>
      <c r="E1822" t="s">
        <v>6395</v>
      </c>
      <c r="F1822">
        <v>2643.67</v>
      </c>
    </row>
    <row r="1823" spans="1:6">
      <c r="A1823" t="str">
        <f>("58-411065")</f>
        <v>58-411065</v>
      </c>
      <c r="B1823" t="s">
        <v>5152</v>
      </c>
      <c r="C1823" t="s">
        <v>6464</v>
      </c>
      <c r="D1823" t="s">
        <v>5174</v>
      </c>
      <c r="E1823" t="s">
        <v>6480</v>
      </c>
      <c r="F1823">
        <v>2643.67</v>
      </c>
    </row>
    <row r="1824" spans="1:6">
      <c r="A1824" t="str">
        <f>("58-411075")</f>
        <v>58-411075</v>
      </c>
      <c r="B1824" t="s">
        <v>5152</v>
      </c>
      <c r="C1824" t="s">
        <v>6464</v>
      </c>
      <c r="D1824" t="s">
        <v>5178</v>
      </c>
      <c r="E1824" t="s">
        <v>6479</v>
      </c>
      <c r="F1824">
        <v>2643.67</v>
      </c>
    </row>
    <row r="1825" spans="1:6">
      <c r="A1825" t="str">
        <f>("58-411155")</f>
        <v>58-411155</v>
      </c>
      <c r="B1825" t="s">
        <v>5152</v>
      </c>
      <c r="C1825" t="s">
        <v>6464</v>
      </c>
      <c r="D1825" t="s">
        <v>5150</v>
      </c>
      <c r="E1825" t="s">
        <v>6478</v>
      </c>
      <c r="F1825">
        <v>1349.67</v>
      </c>
    </row>
    <row r="1826" spans="1:6">
      <c r="A1826" t="str">
        <f>("58-411155AB")</f>
        <v>58-411155AB</v>
      </c>
      <c r="B1826" t="s">
        <v>5152</v>
      </c>
      <c r="C1826" t="s">
        <v>6477</v>
      </c>
      <c r="D1826" t="s">
        <v>5150</v>
      </c>
      <c r="E1826" t="s">
        <v>6473</v>
      </c>
      <c r="F1826">
        <v>151.67000000000002</v>
      </c>
    </row>
    <row r="1827" spans="1:6">
      <c r="A1827" t="str">
        <f>("58-411155ABK")</f>
        <v>58-411155ABK</v>
      </c>
      <c r="B1827" t="s">
        <v>5152</v>
      </c>
      <c r="C1827" t="s">
        <v>6476</v>
      </c>
      <c r="D1827" t="s">
        <v>5150</v>
      </c>
      <c r="E1827" t="s">
        <v>6473</v>
      </c>
      <c r="F1827">
        <v>1476.33</v>
      </c>
    </row>
    <row r="1828" spans="1:6">
      <c r="A1828" t="str">
        <f>("58-411155RB")</f>
        <v>58-411155RB</v>
      </c>
      <c r="B1828" t="s">
        <v>5152</v>
      </c>
      <c r="C1828" t="s">
        <v>6475</v>
      </c>
      <c r="D1828" t="s">
        <v>5150</v>
      </c>
      <c r="E1828" t="s">
        <v>6473</v>
      </c>
      <c r="F1828">
        <v>151.67000000000002</v>
      </c>
    </row>
    <row r="1829" spans="1:6">
      <c r="A1829" t="str">
        <f>("58-411155RBK")</f>
        <v>58-411155RBK</v>
      </c>
      <c r="B1829" t="s">
        <v>5152</v>
      </c>
      <c r="C1829" t="s">
        <v>6474</v>
      </c>
      <c r="D1829" t="s">
        <v>5150</v>
      </c>
      <c r="E1829" t="s">
        <v>6473</v>
      </c>
      <c r="F1829">
        <v>1476.33</v>
      </c>
    </row>
    <row r="1830" spans="1:6">
      <c r="A1830" t="str">
        <f>("58-411165")</f>
        <v>58-411165</v>
      </c>
      <c r="B1830" t="s">
        <v>5152</v>
      </c>
      <c r="C1830" t="s">
        <v>6464</v>
      </c>
      <c r="D1830" t="s">
        <v>5216</v>
      </c>
      <c r="E1830" t="s">
        <v>6472</v>
      </c>
      <c r="F1830">
        <v>2717</v>
      </c>
    </row>
    <row r="1831" spans="1:6">
      <c r="A1831" t="str">
        <f>("58-411175")</f>
        <v>58-411175</v>
      </c>
      <c r="B1831" t="s">
        <v>5152</v>
      </c>
      <c r="C1831" t="s">
        <v>6464</v>
      </c>
      <c r="D1831" t="s">
        <v>5174</v>
      </c>
      <c r="E1831" t="s">
        <v>5222</v>
      </c>
      <c r="F1831">
        <v>2643.67</v>
      </c>
    </row>
    <row r="1832" spans="1:6">
      <c r="A1832" t="str">
        <f>("58-411195")</f>
        <v>58-411195</v>
      </c>
      <c r="B1832" t="s">
        <v>5152</v>
      </c>
      <c r="C1832" t="s">
        <v>6464</v>
      </c>
      <c r="D1832" t="s">
        <v>5178</v>
      </c>
      <c r="E1832" t="s">
        <v>6471</v>
      </c>
      <c r="F1832">
        <v>2643.67</v>
      </c>
    </row>
    <row r="1833" spans="1:6">
      <c r="A1833" t="str">
        <f>("58-411215")</f>
        <v>58-411215</v>
      </c>
      <c r="B1833" t="s">
        <v>5152</v>
      </c>
      <c r="C1833" t="s">
        <v>6464</v>
      </c>
      <c r="D1833" t="s">
        <v>5216</v>
      </c>
      <c r="E1833" t="s">
        <v>6470</v>
      </c>
      <c r="F1833">
        <v>2643.67</v>
      </c>
    </row>
    <row r="1834" spans="1:6">
      <c r="A1834" t="str">
        <f>("58-411225")</f>
        <v>58-411225</v>
      </c>
      <c r="B1834" t="s">
        <v>5152</v>
      </c>
      <c r="C1834" t="s">
        <v>6464</v>
      </c>
      <c r="D1834" t="s">
        <v>5216</v>
      </c>
      <c r="E1834" t="s">
        <v>6469</v>
      </c>
      <c r="F1834">
        <v>2643.67</v>
      </c>
    </row>
    <row r="1835" spans="1:6">
      <c r="A1835" t="str">
        <f>("58-411235")</f>
        <v>58-411235</v>
      </c>
      <c r="B1835" t="s">
        <v>5152</v>
      </c>
      <c r="C1835" t="s">
        <v>6464</v>
      </c>
      <c r="D1835" t="s">
        <v>5178</v>
      </c>
      <c r="E1835" t="s">
        <v>5214</v>
      </c>
      <c r="F1835">
        <v>2717</v>
      </c>
    </row>
    <row r="1836" spans="1:6">
      <c r="A1836" t="str">
        <f>("58-411245")</f>
        <v>58-411245</v>
      </c>
      <c r="B1836" t="s">
        <v>5152</v>
      </c>
      <c r="C1836" t="s">
        <v>6464</v>
      </c>
      <c r="D1836" t="s">
        <v>5174</v>
      </c>
      <c r="E1836" t="s">
        <v>6468</v>
      </c>
      <c r="F1836">
        <v>2643.67</v>
      </c>
    </row>
    <row r="1837" spans="1:6">
      <c r="A1837" t="str">
        <f>("58-411285")</f>
        <v>58-411285</v>
      </c>
      <c r="B1837" t="s">
        <v>5152</v>
      </c>
      <c r="C1837" t="s">
        <v>6464</v>
      </c>
      <c r="D1837" t="s">
        <v>5150</v>
      </c>
      <c r="E1837" t="s">
        <v>6453</v>
      </c>
      <c r="F1837">
        <v>1566</v>
      </c>
    </row>
    <row r="1838" spans="1:6">
      <c r="A1838" t="str">
        <f>("58-411295")</f>
        <v>58-411295</v>
      </c>
      <c r="B1838" t="s">
        <v>5152</v>
      </c>
      <c r="C1838" t="s">
        <v>6464</v>
      </c>
      <c r="D1838" t="s">
        <v>5158</v>
      </c>
      <c r="E1838" t="s">
        <v>6467</v>
      </c>
      <c r="F1838">
        <v>1326</v>
      </c>
    </row>
    <row r="1839" spans="1:6">
      <c r="A1839" t="str">
        <f>("58-411305")</f>
        <v>58-411305</v>
      </c>
      <c r="B1839" t="s">
        <v>5152</v>
      </c>
      <c r="C1839" t="s">
        <v>6464</v>
      </c>
      <c r="D1839" t="s">
        <v>5174</v>
      </c>
      <c r="E1839" t="s">
        <v>6450</v>
      </c>
      <c r="F1839">
        <v>2643.67</v>
      </c>
    </row>
    <row r="1840" spans="1:6">
      <c r="A1840" t="str">
        <f>("58-411315")</f>
        <v>58-411315</v>
      </c>
      <c r="B1840" t="s">
        <v>5152</v>
      </c>
      <c r="C1840" t="s">
        <v>6464</v>
      </c>
      <c r="D1840" t="s">
        <v>5216</v>
      </c>
      <c r="E1840" t="s">
        <v>6466</v>
      </c>
      <c r="F1840">
        <v>2643.67</v>
      </c>
    </row>
    <row r="1841" spans="1:6">
      <c r="A1841" t="str">
        <f>("58-412785")</f>
        <v>58-412785</v>
      </c>
      <c r="B1841" t="s">
        <v>5152</v>
      </c>
      <c r="C1841" t="s">
        <v>6465</v>
      </c>
      <c r="D1841" t="s">
        <v>5150</v>
      </c>
      <c r="E1841" t="s">
        <v>6449</v>
      </c>
      <c r="F1841">
        <v>1601</v>
      </c>
    </row>
    <row r="1842" spans="1:6">
      <c r="A1842" t="str">
        <f>("58-414215")</f>
        <v>58-414215</v>
      </c>
      <c r="B1842" t="s">
        <v>5152</v>
      </c>
      <c r="C1842" t="s">
        <v>6464</v>
      </c>
      <c r="D1842" t="s">
        <v>5216</v>
      </c>
      <c r="E1842" t="s">
        <v>6463</v>
      </c>
      <c r="F1842">
        <v>2643.67</v>
      </c>
    </row>
    <row r="1843" spans="1:6">
      <c r="A1843" t="str">
        <f>("58-420055")</f>
        <v>58-420055</v>
      </c>
      <c r="B1843" t="s">
        <v>5152</v>
      </c>
      <c r="C1843" t="s">
        <v>6462</v>
      </c>
      <c r="D1843" t="s">
        <v>5174</v>
      </c>
      <c r="E1843" t="s">
        <v>5195</v>
      </c>
      <c r="F1843">
        <v>203.67</v>
      </c>
    </row>
    <row r="1844" spans="1:6">
      <c r="A1844" t="str">
        <f>("58-421005")</f>
        <v>58-421005</v>
      </c>
      <c r="B1844" t="s">
        <v>5152</v>
      </c>
      <c r="C1844" t="s">
        <v>6448</v>
      </c>
      <c r="D1844" t="s">
        <v>5163</v>
      </c>
      <c r="E1844" t="s">
        <v>6461</v>
      </c>
      <c r="F1844">
        <v>1959</v>
      </c>
    </row>
    <row r="1845" spans="1:6">
      <c r="A1845" t="str">
        <f>("58-421015")</f>
        <v>58-421015</v>
      </c>
      <c r="B1845" t="s">
        <v>5152</v>
      </c>
      <c r="C1845" t="s">
        <v>6448</v>
      </c>
      <c r="D1845" t="s">
        <v>5174</v>
      </c>
      <c r="E1845" t="s">
        <v>6460</v>
      </c>
      <c r="F1845">
        <v>1834</v>
      </c>
    </row>
    <row r="1846" spans="1:6">
      <c r="A1846" t="str">
        <f>("58-421025")</f>
        <v>58-421025</v>
      </c>
      <c r="B1846" t="s">
        <v>5152</v>
      </c>
      <c r="C1846" t="s">
        <v>6448</v>
      </c>
      <c r="D1846" t="s">
        <v>5178</v>
      </c>
      <c r="E1846" t="s">
        <v>6459</v>
      </c>
      <c r="F1846">
        <v>1959</v>
      </c>
    </row>
    <row r="1847" spans="1:6">
      <c r="A1847" t="str">
        <f>("58-421035")</f>
        <v>58-421035</v>
      </c>
      <c r="B1847" t="s">
        <v>5152</v>
      </c>
      <c r="C1847" t="s">
        <v>6448</v>
      </c>
      <c r="D1847" t="s">
        <v>5150</v>
      </c>
      <c r="E1847" t="s">
        <v>6458</v>
      </c>
      <c r="F1847">
        <v>1784.67</v>
      </c>
    </row>
    <row r="1848" spans="1:6">
      <c r="A1848" t="str">
        <f>("58-421045")</f>
        <v>58-421045</v>
      </c>
      <c r="B1848" t="s">
        <v>5152</v>
      </c>
      <c r="C1848" t="s">
        <v>6448</v>
      </c>
      <c r="D1848" t="s">
        <v>5150</v>
      </c>
      <c r="E1848" t="s">
        <v>6457</v>
      </c>
      <c r="F1848">
        <v>1959</v>
      </c>
    </row>
    <row r="1849" spans="1:6">
      <c r="A1849" t="str">
        <f>("58-421055")</f>
        <v>58-421055</v>
      </c>
      <c r="B1849" t="s">
        <v>5152</v>
      </c>
      <c r="C1849" t="s">
        <v>6448</v>
      </c>
      <c r="D1849" t="s">
        <v>5163</v>
      </c>
      <c r="E1849" t="s">
        <v>6456</v>
      </c>
      <c r="F1849">
        <v>1784.67</v>
      </c>
    </row>
    <row r="1850" spans="1:6">
      <c r="A1850" t="str">
        <f>("58-421075")</f>
        <v>58-421075</v>
      </c>
      <c r="B1850" t="s">
        <v>5152</v>
      </c>
      <c r="C1850" t="s">
        <v>6448</v>
      </c>
      <c r="D1850" t="s">
        <v>5178</v>
      </c>
      <c r="E1850" t="s">
        <v>6455</v>
      </c>
      <c r="F1850">
        <v>1909.67</v>
      </c>
    </row>
    <row r="1851" spans="1:6">
      <c r="A1851" t="str">
        <f>("58-421145")</f>
        <v>58-421145</v>
      </c>
      <c r="B1851" t="s">
        <v>5152</v>
      </c>
      <c r="C1851" t="s">
        <v>6448</v>
      </c>
      <c r="D1851" t="s">
        <v>5174</v>
      </c>
      <c r="E1851" t="s">
        <v>6454</v>
      </c>
      <c r="F1851">
        <v>1600.67</v>
      </c>
    </row>
    <row r="1852" spans="1:6">
      <c r="A1852" t="str">
        <f>("58-421175")</f>
        <v>58-421175</v>
      </c>
      <c r="B1852" t="s">
        <v>5152</v>
      </c>
      <c r="C1852" t="s">
        <v>6448</v>
      </c>
      <c r="D1852" t="s">
        <v>5174</v>
      </c>
      <c r="E1852" t="s">
        <v>5222</v>
      </c>
      <c r="F1852">
        <v>1834</v>
      </c>
    </row>
    <row r="1853" spans="1:6">
      <c r="A1853" t="str">
        <f>("58-421185")</f>
        <v>58-421185</v>
      </c>
      <c r="B1853" t="s">
        <v>5152</v>
      </c>
      <c r="C1853" t="s">
        <v>6448</v>
      </c>
      <c r="D1853" t="s">
        <v>5150</v>
      </c>
      <c r="E1853" t="s">
        <v>6453</v>
      </c>
      <c r="F1853">
        <v>1428.67</v>
      </c>
    </row>
    <row r="1854" spans="1:6">
      <c r="A1854" t="str">
        <f>("58-421205")</f>
        <v>58-421205</v>
      </c>
      <c r="B1854" t="s">
        <v>5152</v>
      </c>
      <c r="C1854" t="s">
        <v>6448</v>
      </c>
      <c r="D1854" t="s">
        <v>5174</v>
      </c>
      <c r="E1854" t="s">
        <v>6452</v>
      </c>
      <c r="F1854">
        <v>1834</v>
      </c>
    </row>
    <row r="1855" spans="1:6">
      <c r="A1855" t="str">
        <f>("58-421215")</f>
        <v>58-421215</v>
      </c>
      <c r="B1855" t="s">
        <v>5152</v>
      </c>
      <c r="C1855" t="s">
        <v>6448</v>
      </c>
      <c r="D1855" t="s">
        <v>5216</v>
      </c>
      <c r="E1855" t="s">
        <v>6451</v>
      </c>
      <c r="F1855">
        <v>1959</v>
      </c>
    </row>
    <row r="1856" spans="1:6">
      <c r="A1856" t="str">
        <f>("58-421255")</f>
        <v>58-421255</v>
      </c>
      <c r="B1856" t="s">
        <v>5152</v>
      </c>
      <c r="C1856" t="s">
        <v>6448</v>
      </c>
      <c r="D1856" t="s">
        <v>5174</v>
      </c>
      <c r="E1856" t="s">
        <v>5195</v>
      </c>
      <c r="F1856">
        <v>1784.67</v>
      </c>
    </row>
    <row r="1857" spans="1:6">
      <c r="A1857" t="str">
        <f>("58-421275")</f>
        <v>58-421275</v>
      </c>
      <c r="B1857" t="s">
        <v>5152</v>
      </c>
      <c r="C1857" t="s">
        <v>6448</v>
      </c>
      <c r="D1857" t="s">
        <v>5174</v>
      </c>
      <c r="E1857" t="s">
        <v>6450</v>
      </c>
      <c r="F1857">
        <v>1834</v>
      </c>
    </row>
    <row r="1858" spans="1:6">
      <c r="A1858" t="str">
        <f>("58-422785")</f>
        <v>58-422785</v>
      </c>
      <c r="B1858" t="s">
        <v>5152</v>
      </c>
      <c r="C1858" t="s">
        <v>6448</v>
      </c>
      <c r="D1858" t="s">
        <v>5150</v>
      </c>
      <c r="E1858" t="s">
        <v>6449</v>
      </c>
      <c r="F1858">
        <v>1957.67</v>
      </c>
    </row>
    <row r="1859" spans="1:6">
      <c r="A1859" t="str">
        <f>("58-426095")</f>
        <v>58-426095</v>
      </c>
      <c r="B1859" t="s">
        <v>5152</v>
      </c>
      <c r="C1859" t="s">
        <v>6448</v>
      </c>
      <c r="D1859" t="s">
        <v>6447</v>
      </c>
      <c r="E1859" t="s">
        <v>6446</v>
      </c>
      <c r="F1859">
        <v>2351.17</v>
      </c>
    </row>
    <row r="1860" spans="1:6">
      <c r="A1860" t="str">
        <f>("59-711195")</f>
        <v>59-711195</v>
      </c>
      <c r="B1860" t="s">
        <v>5152</v>
      </c>
      <c r="C1860" t="s">
        <v>6445</v>
      </c>
      <c r="D1860" t="s">
        <v>5160</v>
      </c>
      <c r="E1860" t="s">
        <v>5201</v>
      </c>
      <c r="F1860">
        <v>1401.67</v>
      </c>
    </row>
    <row r="1861" spans="1:6">
      <c r="A1861" t="str">
        <f>("59-712255")</f>
        <v>59-712255</v>
      </c>
      <c r="B1861" t="s">
        <v>5152</v>
      </c>
      <c r="C1861" t="s">
        <v>5202</v>
      </c>
      <c r="D1861" t="s">
        <v>5174</v>
      </c>
      <c r="E1861" t="s">
        <v>5195</v>
      </c>
      <c r="F1861">
        <v>1401.67</v>
      </c>
    </row>
    <row r="1862" spans="1:6">
      <c r="A1862" t="str">
        <f>("59-721295")</f>
        <v>59-721295</v>
      </c>
      <c r="B1862" t="s">
        <v>5152</v>
      </c>
      <c r="C1862" t="s">
        <v>6444</v>
      </c>
      <c r="D1862" t="s">
        <v>5190</v>
      </c>
      <c r="E1862" t="s">
        <v>5189</v>
      </c>
      <c r="F1862">
        <v>177</v>
      </c>
    </row>
    <row r="1863" spans="1:6">
      <c r="A1863" t="str">
        <f>("59-722255")</f>
        <v>59-722255</v>
      </c>
      <c r="B1863" t="s">
        <v>5152</v>
      </c>
      <c r="C1863" t="s">
        <v>6443</v>
      </c>
      <c r="D1863" t="s">
        <v>6441</v>
      </c>
      <c r="E1863" t="s">
        <v>6440</v>
      </c>
      <c r="F1863">
        <v>1010</v>
      </c>
    </row>
    <row r="1864" spans="1:6">
      <c r="A1864" t="str">
        <f>("59-732255")</f>
        <v>59-732255</v>
      </c>
      <c r="B1864" t="s">
        <v>5152</v>
      </c>
      <c r="C1864" t="s">
        <v>6442</v>
      </c>
      <c r="D1864" t="s">
        <v>6441</v>
      </c>
      <c r="E1864" t="s">
        <v>6440</v>
      </c>
      <c r="F1864">
        <v>1010</v>
      </c>
    </row>
    <row r="1865" spans="1:6">
      <c r="A1865" t="str">
        <f>("59-741195")</f>
        <v>59-741195</v>
      </c>
      <c r="B1865" t="s">
        <v>5152</v>
      </c>
      <c r="C1865" t="s">
        <v>5198</v>
      </c>
      <c r="D1865" t="s">
        <v>5160</v>
      </c>
      <c r="E1865" t="s">
        <v>5201</v>
      </c>
      <c r="F1865">
        <v>426</v>
      </c>
    </row>
    <row r="1866" spans="1:6">
      <c r="A1866" t="str">
        <f>("59-761205")</f>
        <v>59-761205</v>
      </c>
      <c r="B1866" t="s">
        <v>5152</v>
      </c>
      <c r="C1866" t="s">
        <v>6439</v>
      </c>
      <c r="D1866" t="s">
        <v>5160</v>
      </c>
      <c r="E1866" t="s">
        <v>5201</v>
      </c>
      <c r="F1866">
        <v>177</v>
      </c>
    </row>
    <row r="1867" spans="1:6">
      <c r="A1867" t="str">
        <f>("59-80005-SP")</f>
        <v>59-80005-SP</v>
      </c>
      <c r="B1867" t="s">
        <v>5152</v>
      </c>
      <c r="C1867" t="s">
        <v>6438</v>
      </c>
      <c r="D1867" t="s">
        <v>5160</v>
      </c>
      <c r="E1867" t="s">
        <v>6407</v>
      </c>
      <c r="F1867">
        <v>242.33</v>
      </c>
    </row>
    <row r="1868" spans="1:6">
      <c r="A1868" t="str">
        <f>("59-80035")</f>
        <v>59-80035</v>
      </c>
      <c r="B1868" t="s">
        <v>5152</v>
      </c>
      <c r="C1868" t="s">
        <v>6432</v>
      </c>
      <c r="D1868" t="s">
        <v>5160</v>
      </c>
      <c r="E1868" t="s">
        <v>6407</v>
      </c>
      <c r="F1868">
        <v>1485.67</v>
      </c>
    </row>
    <row r="1869" spans="1:6">
      <c r="A1869" t="str">
        <f>("59-80045")</f>
        <v>59-80045</v>
      </c>
      <c r="B1869" t="s">
        <v>5152</v>
      </c>
      <c r="C1869" t="s">
        <v>6431</v>
      </c>
      <c r="D1869" t="s">
        <v>5160</v>
      </c>
      <c r="E1869" t="s">
        <v>6407</v>
      </c>
      <c r="F1869">
        <v>1704.33</v>
      </c>
    </row>
    <row r="1870" spans="1:6">
      <c r="A1870" t="str">
        <f>("59-80055")</f>
        <v>59-80055</v>
      </c>
      <c r="B1870" t="s">
        <v>5152</v>
      </c>
      <c r="C1870" t="s">
        <v>6437</v>
      </c>
      <c r="D1870" t="s">
        <v>5160</v>
      </c>
      <c r="E1870" t="s">
        <v>6407</v>
      </c>
      <c r="F1870">
        <v>1704.33</v>
      </c>
    </row>
    <row r="1871" spans="1:6">
      <c r="A1871" t="str">
        <f>("59-80065")</f>
        <v>59-80065</v>
      </c>
      <c r="B1871" t="s">
        <v>5152</v>
      </c>
      <c r="C1871" t="s">
        <v>6436</v>
      </c>
      <c r="D1871" t="s">
        <v>5160</v>
      </c>
      <c r="E1871" t="s">
        <v>6405</v>
      </c>
      <c r="F1871">
        <v>1142</v>
      </c>
    </row>
    <row r="1872" spans="1:6">
      <c r="A1872" t="str">
        <f>("59-80075")</f>
        <v>59-80075</v>
      </c>
      <c r="B1872" t="s">
        <v>5152</v>
      </c>
      <c r="C1872" t="s">
        <v>6435</v>
      </c>
      <c r="D1872" t="s">
        <v>5160</v>
      </c>
      <c r="E1872" t="s">
        <v>6405</v>
      </c>
      <c r="F1872">
        <v>1360.67</v>
      </c>
    </row>
    <row r="1873" spans="1:6">
      <c r="A1873" t="str">
        <f>("59-80085")</f>
        <v>59-80085</v>
      </c>
      <c r="B1873" t="s">
        <v>5152</v>
      </c>
      <c r="C1873" t="s">
        <v>6434</v>
      </c>
      <c r="D1873" t="s">
        <v>5160</v>
      </c>
      <c r="E1873" t="s">
        <v>6405</v>
      </c>
      <c r="F1873">
        <v>1360.67</v>
      </c>
    </row>
    <row r="1874" spans="1:6">
      <c r="A1874" t="str">
        <f>("59-80095")</f>
        <v>59-80095</v>
      </c>
      <c r="B1874" t="s">
        <v>5152</v>
      </c>
      <c r="C1874" t="s">
        <v>6433</v>
      </c>
      <c r="D1874" t="s">
        <v>5160</v>
      </c>
      <c r="E1874" t="s">
        <v>6405</v>
      </c>
      <c r="F1874">
        <v>242.33</v>
      </c>
    </row>
    <row r="1875" spans="1:6">
      <c r="A1875" t="str">
        <f>("59-80105")</f>
        <v>59-80105</v>
      </c>
      <c r="B1875" t="s">
        <v>5152</v>
      </c>
      <c r="C1875" t="s">
        <v>6432</v>
      </c>
      <c r="D1875" t="s">
        <v>5160</v>
      </c>
      <c r="E1875" t="s">
        <v>6405</v>
      </c>
      <c r="F1875">
        <v>1485.67</v>
      </c>
    </row>
    <row r="1876" spans="1:6">
      <c r="A1876" t="str">
        <f>("59-80115")</f>
        <v>59-80115</v>
      </c>
      <c r="B1876" t="s">
        <v>5152</v>
      </c>
      <c r="C1876" t="s">
        <v>6431</v>
      </c>
      <c r="D1876" t="s">
        <v>5160</v>
      </c>
      <c r="E1876" t="s">
        <v>6405</v>
      </c>
      <c r="F1876">
        <v>1704.33</v>
      </c>
    </row>
    <row r="1877" spans="1:6">
      <c r="A1877" t="str">
        <f>("59-80125")</f>
        <v>59-80125</v>
      </c>
      <c r="B1877" t="s">
        <v>5152</v>
      </c>
      <c r="C1877" t="s">
        <v>6430</v>
      </c>
      <c r="D1877" t="s">
        <v>5160</v>
      </c>
      <c r="E1877" t="s">
        <v>6405</v>
      </c>
      <c r="F1877">
        <v>1704.33</v>
      </c>
    </row>
    <row r="1878" spans="1:6">
      <c r="A1878" t="str">
        <f>("59-82005")</f>
        <v>59-82005</v>
      </c>
      <c r="B1878" t="s">
        <v>5152</v>
      </c>
      <c r="C1878" t="s">
        <v>6420</v>
      </c>
      <c r="D1878" t="s">
        <v>5160</v>
      </c>
      <c r="E1878" t="s">
        <v>6407</v>
      </c>
      <c r="F1878">
        <v>1142</v>
      </c>
    </row>
    <row r="1879" spans="1:6">
      <c r="A1879" t="str">
        <f>("59-82015")</f>
        <v>59-82015</v>
      </c>
      <c r="B1879" t="s">
        <v>5152</v>
      </c>
      <c r="C1879" t="s">
        <v>6429</v>
      </c>
      <c r="D1879" t="s">
        <v>5160</v>
      </c>
      <c r="E1879" t="s">
        <v>6407</v>
      </c>
      <c r="F1879">
        <v>2511.67</v>
      </c>
    </row>
    <row r="1880" spans="1:6">
      <c r="A1880" t="str">
        <f>("59-82015A")</f>
        <v>59-82015A</v>
      </c>
      <c r="B1880" t="s">
        <v>5152</v>
      </c>
      <c r="C1880" t="s">
        <v>6420</v>
      </c>
      <c r="D1880" t="s">
        <v>5160</v>
      </c>
      <c r="E1880" t="s">
        <v>6428</v>
      </c>
      <c r="F1880">
        <v>1195.33</v>
      </c>
    </row>
    <row r="1881" spans="1:6">
      <c r="A1881" t="str">
        <f>("59-82015B")</f>
        <v>59-82015B</v>
      </c>
      <c r="B1881" t="s">
        <v>5152</v>
      </c>
      <c r="C1881" t="s">
        <v>6426</v>
      </c>
      <c r="D1881" t="s">
        <v>5160</v>
      </c>
      <c r="E1881" t="s">
        <v>6428</v>
      </c>
      <c r="F1881">
        <v>1090</v>
      </c>
    </row>
    <row r="1882" spans="1:6">
      <c r="A1882" t="str">
        <f>("59-82025")</f>
        <v>59-82025</v>
      </c>
      <c r="B1882" t="s">
        <v>5152</v>
      </c>
      <c r="C1882" t="s">
        <v>6420</v>
      </c>
      <c r="D1882" t="s">
        <v>5160</v>
      </c>
      <c r="E1882" t="s">
        <v>5201</v>
      </c>
      <c r="F1882">
        <v>1142</v>
      </c>
    </row>
    <row r="1883" spans="1:6">
      <c r="A1883" t="str">
        <f>("59-82035")</f>
        <v>59-82035</v>
      </c>
      <c r="B1883" t="s">
        <v>5152</v>
      </c>
      <c r="C1883" t="s">
        <v>6427</v>
      </c>
      <c r="D1883" t="s">
        <v>5160</v>
      </c>
      <c r="E1883" t="s">
        <v>5201</v>
      </c>
      <c r="F1883">
        <v>2730.33</v>
      </c>
    </row>
    <row r="1884" spans="1:6">
      <c r="A1884" t="str">
        <f>("59-82035A")</f>
        <v>59-82035A</v>
      </c>
      <c r="B1884" t="s">
        <v>5152</v>
      </c>
      <c r="C1884" t="s">
        <v>6420</v>
      </c>
      <c r="D1884" t="s">
        <v>5160</v>
      </c>
      <c r="E1884" t="s">
        <v>6425</v>
      </c>
      <c r="F1884">
        <v>1336.67</v>
      </c>
    </row>
    <row r="1885" spans="1:6">
      <c r="A1885" t="str">
        <f>("59-82035B")</f>
        <v>59-82035B</v>
      </c>
      <c r="B1885" t="s">
        <v>5152</v>
      </c>
      <c r="C1885" t="s">
        <v>6426</v>
      </c>
      <c r="D1885" t="s">
        <v>5160</v>
      </c>
      <c r="E1885" t="s">
        <v>6425</v>
      </c>
      <c r="F1885">
        <v>1168.67</v>
      </c>
    </row>
    <row r="1886" spans="1:6">
      <c r="A1886" t="str">
        <f>("59-82045")</f>
        <v>59-82045</v>
      </c>
      <c r="B1886" t="s">
        <v>5152</v>
      </c>
      <c r="C1886" t="s">
        <v>6422</v>
      </c>
      <c r="D1886" t="s">
        <v>5160</v>
      </c>
      <c r="E1886" t="s">
        <v>6423</v>
      </c>
      <c r="F1886">
        <v>1142</v>
      </c>
    </row>
    <row r="1887" spans="1:6">
      <c r="A1887" t="str">
        <f>("59-82055")</f>
        <v>59-82055</v>
      </c>
      <c r="B1887" t="s">
        <v>5152</v>
      </c>
      <c r="C1887" t="s">
        <v>6424</v>
      </c>
      <c r="D1887" t="s">
        <v>5160</v>
      </c>
      <c r="E1887" t="s">
        <v>6423</v>
      </c>
      <c r="F1887">
        <v>2730.33</v>
      </c>
    </row>
    <row r="1888" spans="1:6">
      <c r="A1888" t="str">
        <f>("59-82055A")</f>
        <v>59-82055A</v>
      </c>
      <c r="B1888" t="s">
        <v>5152</v>
      </c>
      <c r="C1888" t="s">
        <v>6422</v>
      </c>
      <c r="D1888" t="s">
        <v>5160</v>
      </c>
      <c r="E1888" t="s">
        <v>6421</v>
      </c>
      <c r="F1888">
        <v>1336.67</v>
      </c>
    </row>
    <row r="1889" spans="1:6">
      <c r="A1889" t="str">
        <f>("59-82065")</f>
        <v>59-82065</v>
      </c>
      <c r="B1889" t="s">
        <v>5152</v>
      </c>
      <c r="C1889" t="s">
        <v>6420</v>
      </c>
      <c r="D1889" t="s">
        <v>5160</v>
      </c>
      <c r="E1889" t="s">
        <v>5236</v>
      </c>
      <c r="F1889">
        <v>1142</v>
      </c>
    </row>
    <row r="1890" spans="1:6">
      <c r="A1890" t="str">
        <f>("59-82075")</f>
        <v>59-82075</v>
      </c>
      <c r="B1890" t="s">
        <v>5152</v>
      </c>
      <c r="C1890" t="s">
        <v>6419</v>
      </c>
      <c r="D1890" t="s">
        <v>5160</v>
      </c>
      <c r="E1890" t="s">
        <v>6418</v>
      </c>
      <c r="F1890">
        <v>1142</v>
      </c>
    </row>
    <row r="1891" spans="1:6">
      <c r="A1891" t="str">
        <f>("59-88015")</f>
        <v>59-88015</v>
      </c>
      <c r="B1891" t="s">
        <v>5152</v>
      </c>
      <c r="C1891" t="s">
        <v>6417</v>
      </c>
      <c r="D1891" t="s">
        <v>5160</v>
      </c>
      <c r="E1891" t="s">
        <v>6413</v>
      </c>
      <c r="F1891">
        <v>55.67</v>
      </c>
    </row>
    <row r="1892" spans="1:6">
      <c r="A1892" t="str">
        <f>("59-89005")</f>
        <v>59-89005</v>
      </c>
      <c r="B1892" t="s">
        <v>5152</v>
      </c>
      <c r="C1892" t="s">
        <v>6416</v>
      </c>
      <c r="D1892" t="s">
        <v>5160</v>
      </c>
      <c r="E1892" t="s">
        <v>5201</v>
      </c>
      <c r="F1892">
        <v>251.67</v>
      </c>
    </row>
    <row r="1893" spans="1:6">
      <c r="A1893" t="str">
        <f>("59-89015")</f>
        <v>59-89015</v>
      </c>
      <c r="B1893" t="s">
        <v>5152</v>
      </c>
      <c r="C1893" t="s">
        <v>6415</v>
      </c>
      <c r="D1893" t="s">
        <v>5160</v>
      </c>
      <c r="E1893" t="s">
        <v>6413</v>
      </c>
      <c r="F1893">
        <v>147.67000000000002</v>
      </c>
    </row>
    <row r="1894" spans="1:6">
      <c r="A1894" t="str">
        <f>("59-89025")</f>
        <v>59-89025</v>
      </c>
      <c r="B1894" t="s">
        <v>5152</v>
      </c>
      <c r="C1894" t="s">
        <v>6414</v>
      </c>
      <c r="D1894" t="s">
        <v>5160</v>
      </c>
      <c r="E1894" t="s">
        <v>6413</v>
      </c>
      <c r="F1894">
        <v>102.33</v>
      </c>
    </row>
    <row r="1895" spans="1:6">
      <c r="A1895" t="str">
        <f>("59-89035")</f>
        <v>59-89035</v>
      </c>
      <c r="B1895" t="s">
        <v>5152</v>
      </c>
      <c r="C1895" t="s">
        <v>6412</v>
      </c>
      <c r="D1895" t="s">
        <v>5160</v>
      </c>
      <c r="E1895" t="s">
        <v>6407</v>
      </c>
      <c r="F1895">
        <v>97</v>
      </c>
    </row>
    <row r="1896" spans="1:6">
      <c r="A1896" t="str">
        <f>("59-89055")</f>
        <v>59-89055</v>
      </c>
      <c r="B1896" t="s">
        <v>5152</v>
      </c>
      <c r="C1896" t="s">
        <v>6411</v>
      </c>
      <c r="D1896" t="s">
        <v>5174</v>
      </c>
      <c r="E1896" t="s">
        <v>6410</v>
      </c>
      <c r="F1896">
        <v>177</v>
      </c>
    </row>
    <row r="1897" spans="1:6">
      <c r="A1897" t="str">
        <f>("62-1005")</f>
        <v>62-1005</v>
      </c>
      <c r="B1897" t="s">
        <v>5152</v>
      </c>
      <c r="C1897" t="s">
        <v>6409</v>
      </c>
      <c r="D1897" t="s">
        <v>5160</v>
      </c>
      <c r="E1897" t="s">
        <v>6407</v>
      </c>
      <c r="F1897">
        <v>812.67</v>
      </c>
    </row>
    <row r="1898" spans="1:6">
      <c r="A1898" t="str">
        <f>("62-1015")</f>
        <v>62-1015</v>
      </c>
      <c r="B1898" t="s">
        <v>5152</v>
      </c>
      <c r="C1898" t="s">
        <v>6408</v>
      </c>
      <c r="D1898" t="s">
        <v>5160</v>
      </c>
      <c r="E1898" t="s">
        <v>6407</v>
      </c>
      <c r="F1898">
        <v>812.67</v>
      </c>
    </row>
    <row r="1899" spans="1:6">
      <c r="A1899" t="str">
        <f>("62-1025")</f>
        <v>62-1025</v>
      </c>
      <c r="B1899" t="s">
        <v>5152</v>
      </c>
      <c r="C1899" t="s">
        <v>6409</v>
      </c>
      <c r="D1899" t="s">
        <v>5160</v>
      </c>
      <c r="E1899" t="s">
        <v>6405</v>
      </c>
      <c r="F1899">
        <v>1048.33</v>
      </c>
    </row>
    <row r="1900" spans="1:6">
      <c r="A1900" t="str">
        <f>("62-1035")</f>
        <v>62-1035</v>
      </c>
      <c r="B1900" t="s">
        <v>5152</v>
      </c>
      <c r="C1900" t="s">
        <v>6408</v>
      </c>
      <c r="D1900" t="s">
        <v>5160</v>
      </c>
      <c r="E1900" t="s">
        <v>5201</v>
      </c>
      <c r="F1900">
        <v>812.67</v>
      </c>
    </row>
    <row r="1901" spans="1:6">
      <c r="A1901" t="str">
        <f>("62-1065")</f>
        <v>62-1065</v>
      </c>
      <c r="B1901" t="s">
        <v>5152</v>
      </c>
      <c r="C1901" t="s">
        <v>6408</v>
      </c>
      <c r="D1901" t="s">
        <v>5160</v>
      </c>
      <c r="E1901" t="s">
        <v>5236</v>
      </c>
      <c r="F1901">
        <v>812.67</v>
      </c>
    </row>
    <row r="1902" spans="1:6">
      <c r="A1902" t="str">
        <f>("62-11005")</f>
        <v>62-11005</v>
      </c>
      <c r="B1902" t="s">
        <v>5152</v>
      </c>
      <c r="C1902" t="s">
        <v>6406</v>
      </c>
      <c r="D1902" t="s">
        <v>5160</v>
      </c>
      <c r="E1902" t="s">
        <v>6407</v>
      </c>
      <c r="F1902">
        <v>520.82999999999993</v>
      </c>
    </row>
    <row r="1903" spans="1:6">
      <c r="A1903" t="str">
        <f>("62-11015")</f>
        <v>62-11015</v>
      </c>
      <c r="B1903" t="s">
        <v>5152</v>
      </c>
      <c r="C1903" t="s">
        <v>6404</v>
      </c>
      <c r="D1903" t="s">
        <v>5160</v>
      </c>
      <c r="E1903" t="s">
        <v>6407</v>
      </c>
      <c r="F1903">
        <v>579.5</v>
      </c>
    </row>
    <row r="1904" spans="1:6">
      <c r="A1904" t="str">
        <f>("62-11025")</f>
        <v>62-11025</v>
      </c>
      <c r="B1904" t="s">
        <v>5152</v>
      </c>
      <c r="C1904" t="s">
        <v>6406</v>
      </c>
      <c r="D1904" t="s">
        <v>5160</v>
      </c>
      <c r="E1904" t="s">
        <v>6405</v>
      </c>
      <c r="F1904">
        <v>603.5</v>
      </c>
    </row>
    <row r="1905" spans="1:6">
      <c r="A1905" t="str">
        <f>("62-11035")</f>
        <v>62-11035</v>
      </c>
      <c r="B1905" t="s">
        <v>5152</v>
      </c>
      <c r="C1905" t="s">
        <v>6404</v>
      </c>
      <c r="D1905" t="s">
        <v>5160</v>
      </c>
      <c r="E1905" t="s">
        <v>5201</v>
      </c>
      <c r="F1905">
        <v>603.5</v>
      </c>
    </row>
    <row r="1906" spans="1:6">
      <c r="A1906" t="str">
        <f>("72-90152")</f>
        <v>72-90152</v>
      </c>
      <c r="B1906" t="s">
        <v>5152</v>
      </c>
      <c r="C1906" t="s">
        <v>6394</v>
      </c>
      <c r="D1906" t="s">
        <v>5160</v>
      </c>
      <c r="E1906" t="s">
        <v>5201</v>
      </c>
      <c r="F1906">
        <v>154.17000000000002</v>
      </c>
    </row>
    <row r="1907" spans="1:6">
      <c r="A1907" t="str">
        <f>("72-91132")</f>
        <v>72-91132</v>
      </c>
      <c r="B1907" t="s">
        <v>5152</v>
      </c>
      <c r="C1907" t="s">
        <v>6394</v>
      </c>
      <c r="D1907" t="s">
        <v>5216</v>
      </c>
      <c r="E1907" t="s">
        <v>5971</v>
      </c>
      <c r="F1907">
        <v>154.17000000000002</v>
      </c>
    </row>
    <row r="1908" spans="1:6">
      <c r="A1908" t="str">
        <f>("72-91136")</f>
        <v>72-91136</v>
      </c>
      <c r="B1908" t="s">
        <v>5152</v>
      </c>
      <c r="C1908" t="s">
        <v>6394</v>
      </c>
      <c r="D1908" t="s">
        <v>5216</v>
      </c>
      <c r="E1908" t="s">
        <v>6403</v>
      </c>
      <c r="F1908">
        <v>154.17000000000002</v>
      </c>
    </row>
    <row r="1909" spans="1:6">
      <c r="A1909" t="str">
        <f>("72-91138")</f>
        <v>72-91138</v>
      </c>
      <c r="B1909" t="s">
        <v>5152</v>
      </c>
      <c r="C1909" t="s">
        <v>6394</v>
      </c>
      <c r="D1909" t="s">
        <v>5216</v>
      </c>
      <c r="E1909" t="s">
        <v>6402</v>
      </c>
      <c r="F1909">
        <v>154.17000000000002</v>
      </c>
    </row>
    <row r="1910" spans="1:6">
      <c r="A1910" t="str">
        <f>("72-91140")</f>
        <v>72-91140</v>
      </c>
      <c r="B1910" t="s">
        <v>5152</v>
      </c>
      <c r="C1910" t="s">
        <v>6394</v>
      </c>
      <c r="D1910" t="s">
        <v>5216</v>
      </c>
      <c r="E1910" t="s">
        <v>6401</v>
      </c>
      <c r="F1910">
        <v>154.17000000000002</v>
      </c>
    </row>
    <row r="1911" spans="1:6">
      <c r="A1911" t="str">
        <f>("72-94134")</f>
        <v>72-94134</v>
      </c>
      <c r="B1911" t="s">
        <v>5152</v>
      </c>
      <c r="C1911" t="s">
        <v>6394</v>
      </c>
      <c r="D1911" t="s">
        <v>5181</v>
      </c>
      <c r="E1911" t="s">
        <v>6400</v>
      </c>
      <c r="F1911">
        <v>154.17000000000002</v>
      </c>
    </row>
    <row r="1912" spans="1:6">
      <c r="A1912" t="str">
        <f>("72-94136")</f>
        <v>72-94136</v>
      </c>
      <c r="B1912" t="s">
        <v>5152</v>
      </c>
      <c r="C1912" t="s">
        <v>6394</v>
      </c>
      <c r="D1912" t="s">
        <v>5178</v>
      </c>
      <c r="E1912" t="s">
        <v>6399</v>
      </c>
      <c r="F1912">
        <v>154.17000000000002</v>
      </c>
    </row>
    <row r="1913" spans="1:6">
      <c r="A1913" t="str">
        <f>("72-94140")</f>
        <v>72-94140</v>
      </c>
      <c r="B1913" t="s">
        <v>5152</v>
      </c>
      <c r="C1913" t="s">
        <v>6394</v>
      </c>
      <c r="D1913" t="s">
        <v>5178</v>
      </c>
      <c r="E1913" t="s">
        <v>6398</v>
      </c>
      <c r="F1913">
        <v>154.17000000000002</v>
      </c>
    </row>
    <row r="1914" spans="1:6">
      <c r="A1914" t="str">
        <f>("72-96154")</f>
        <v>72-96154</v>
      </c>
      <c r="B1914" t="s">
        <v>5152</v>
      </c>
      <c r="C1914" t="s">
        <v>6394</v>
      </c>
      <c r="D1914" t="s">
        <v>5174</v>
      </c>
      <c r="E1914" t="s">
        <v>6397</v>
      </c>
      <c r="F1914">
        <v>154.17000000000002</v>
      </c>
    </row>
    <row r="1915" spans="1:6">
      <c r="A1915" t="str">
        <f>("72-97160")</f>
        <v>72-97160</v>
      </c>
      <c r="B1915" t="s">
        <v>5152</v>
      </c>
      <c r="C1915" t="s">
        <v>6394</v>
      </c>
      <c r="D1915" t="s">
        <v>5150</v>
      </c>
      <c r="E1915" t="s">
        <v>6396</v>
      </c>
      <c r="F1915">
        <v>154.17000000000002</v>
      </c>
    </row>
    <row r="1916" spans="1:6">
      <c r="A1916" t="str">
        <f>("72-97170")</f>
        <v>72-97170</v>
      </c>
      <c r="B1916" t="s">
        <v>5152</v>
      </c>
      <c r="C1916" t="s">
        <v>6394</v>
      </c>
      <c r="D1916" t="s">
        <v>5150</v>
      </c>
      <c r="E1916" t="s">
        <v>6395</v>
      </c>
      <c r="F1916">
        <v>154.17000000000002</v>
      </c>
    </row>
    <row r="1917" spans="1:6">
      <c r="A1917" t="str">
        <f>("72-98148")</f>
        <v>72-98148</v>
      </c>
      <c r="B1917" t="s">
        <v>5152</v>
      </c>
      <c r="C1917" t="s">
        <v>6394</v>
      </c>
      <c r="D1917" t="s">
        <v>6393</v>
      </c>
      <c r="E1917" t="s">
        <v>6392</v>
      </c>
      <c r="F1917">
        <v>154.17000000000002</v>
      </c>
    </row>
    <row r="1918" spans="1:6">
      <c r="A1918" t="str">
        <f>("72-110052")</f>
        <v>72-110052</v>
      </c>
      <c r="B1918" t="s">
        <v>5152</v>
      </c>
      <c r="C1918" t="s">
        <v>6391</v>
      </c>
      <c r="D1918" t="s">
        <v>5167</v>
      </c>
      <c r="E1918" t="s">
        <v>6390</v>
      </c>
      <c r="F1918">
        <v>174.33</v>
      </c>
    </row>
    <row r="1919" spans="1:6">
      <c r="A1919" t="str">
        <f>("72-51467")</f>
        <v>72-51467</v>
      </c>
      <c r="B1919" t="s">
        <v>5152</v>
      </c>
      <c r="C1919" t="s">
        <v>6389</v>
      </c>
      <c r="D1919" t="s">
        <v>5160</v>
      </c>
      <c r="E1919" t="s">
        <v>6388</v>
      </c>
      <c r="F1919">
        <v>102.33</v>
      </c>
    </row>
    <row r="1920" spans="1:6">
      <c r="A1920" t="str">
        <f>("72-35401")</f>
        <v>72-35401</v>
      </c>
      <c r="B1920" t="s">
        <v>5152</v>
      </c>
      <c r="C1920" t="s">
        <v>6366</v>
      </c>
      <c r="D1920" t="s">
        <v>5181</v>
      </c>
      <c r="E1920" t="s">
        <v>6387</v>
      </c>
      <c r="F1920">
        <v>158.33000000000001</v>
      </c>
    </row>
    <row r="1921" spans="1:6">
      <c r="A1921" t="str">
        <f>("72-35403")</f>
        <v>72-35403</v>
      </c>
      <c r="B1921" t="s">
        <v>5152</v>
      </c>
      <c r="C1921" t="s">
        <v>6366</v>
      </c>
      <c r="D1921" t="s">
        <v>5181</v>
      </c>
      <c r="E1921" t="s">
        <v>6386</v>
      </c>
      <c r="F1921">
        <v>158.33000000000001</v>
      </c>
    </row>
    <row r="1922" spans="1:6">
      <c r="A1922" t="str">
        <f>("72-35407")</f>
        <v>72-35407</v>
      </c>
      <c r="B1922" t="s">
        <v>5152</v>
      </c>
      <c r="C1922" t="s">
        <v>6366</v>
      </c>
      <c r="D1922" t="s">
        <v>5178</v>
      </c>
      <c r="E1922" t="s">
        <v>5244</v>
      </c>
      <c r="F1922">
        <v>158.33000000000001</v>
      </c>
    </row>
    <row r="1923" spans="1:6">
      <c r="A1923" t="str">
        <f>("72-35493")</f>
        <v>72-35493</v>
      </c>
      <c r="B1923" t="s">
        <v>5152</v>
      </c>
      <c r="C1923" t="s">
        <v>6366</v>
      </c>
      <c r="D1923" t="s">
        <v>5184</v>
      </c>
      <c r="E1923" t="s">
        <v>6385</v>
      </c>
      <c r="F1923">
        <v>158.33000000000001</v>
      </c>
    </row>
    <row r="1924" spans="1:6">
      <c r="A1924" t="str">
        <f>("72-37401")</f>
        <v>72-37401</v>
      </c>
      <c r="B1924" t="s">
        <v>5152</v>
      </c>
      <c r="C1924" t="s">
        <v>6366</v>
      </c>
      <c r="D1924" t="s">
        <v>5174</v>
      </c>
      <c r="E1924" t="s">
        <v>6384</v>
      </c>
      <c r="F1924">
        <v>141</v>
      </c>
    </row>
    <row r="1925" spans="1:6">
      <c r="A1925" t="str">
        <f>("72-37405")</f>
        <v>72-37405</v>
      </c>
      <c r="B1925" t="s">
        <v>5152</v>
      </c>
      <c r="C1925" t="s">
        <v>6366</v>
      </c>
      <c r="D1925" t="s">
        <v>5174</v>
      </c>
      <c r="E1925" t="s">
        <v>5176</v>
      </c>
      <c r="F1925">
        <v>158.33000000000001</v>
      </c>
    </row>
    <row r="1926" spans="1:6">
      <c r="A1926" t="str">
        <f>("72-37407")</f>
        <v>72-37407</v>
      </c>
      <c r="B1926" t="s">
        <v>5152</v>
      </c>
      <c r="C1926" t="s">
        <v>6366</v>
      </c>
      <c r="D1926" t="s">
        <v>5174</v>
      </c>
      <c r="E1926" t="s">
        <v>6383</v>
      </c>
      <c r="F1926">
        <v>158.33000000000001</v>
      </c>
    </row>
    <row r="1927" spans="1:6">
      <c r="A1927" t="str">
        <f>("72-37409")</f>
        <v>72-37409</v>
      </c>
      <c r="B1927" t="s">
        <v>5152</v>
      </c>
      <c r="C1927" t="s">
        <v>6366</v>
      </c>
      <c r="D1927" t="s">
        <v>5174</v>
      </c>
      <c r="E1927" t="s">
        <v>6382</v>
      </c>
      <c r="F1927">
        <v>158.33000000000001</v>
      </c>
    </row>
    <row r="1928" spans="1:6">
      <c r="A1928" t="str">
        <f>("72-37479")</f>
        <v>72-37479</v>
      </c>
      <c r="B1928" t="s">
        <v>5152</v>
      </c>
      <c r="C1928" t="s">
        <v>6366</v>
      </c>
      <c r="D1928" t="s">
        <v>5174</v>
      </c>
      <c r="E1928" t="s">
        <v>6381</v>
      </c>
      <c r="F1928">
        <v>158.33000000000001</v>
      </c>
    </row>
    <row r="1929" spans="1:6">
      <c r="A1929" t="str">
        <f>("72-37483")</f>
        <v>72-37483</v>
      </c>
      <c r="B1929" t="s">
        <v>5152</v>
      </c>
      <c r="C1929" t="s">
        <v>6366</v>
      </c>
      <c r="D1929" t="s">
        <v>5174</v>
      </c>
      <c r="E1929" t="s">
        <v>6380</v>
      </c>
      <c r="F1929">
        <v>158.33000000000001</v>
      </c>
    </row>
    <row r="1930" spans="1:6">
      <c r="A1930" t="str">
        <f>("72-39403")</f>
        <v>72-39403</v>
      </c>
      <c r="B1930" t="s">
        <v>5152</v>
      </c>
      <c r="C1930" t="s">
        <v>6366</v>
      </c>
      <c r="D1930" t="s">
        <v>5163</v>
      </c>
      <c r="E1930" t="s">
        <v>6379</v>
      </c>
      <c r="F1930">
        <v>158.33000000000001</v>
      </c>
    </row>
    <row r="1931" spans="1:6">
      <c r="A1931" t="str">
        <f>("72-39405")</f>
        <v>72-39405</v>
      </c>
      <c r="B1931" t="s">
        <v>5152</v>
      </c>
      <c r="C1931" t="s">
        <v>6366</v>
      </c>
      <c r="D1931" t="s">
        <v>5163</v>
      </c>
      <c r="E1931" t="s">
        <v>6378</v>
      </c>
      <c r="F1931">
        <v>158.33000000000001</v>
      </c>
    </row>
    <row r="1932" spans="1:6">
      <c r="A1932" t="str">
        <f>("72-39407")</f>
        <v>72-39407</v>
      </c>
      <c r="B1932" t="s">
        <v>5152</v>
      </c>
      <c r="C1932" t="s">
        <v>6366</v>
      </c>
      <c r="D1932" t="s">
        <v>5163</v>
      </c>
      <c r="E1932" t="s">
        <v>6377</v>
      </c>
      <c r="F1932">
        <v>158.33000000000001</v>
      </c>
    </row>
    <row r="1933" spans="1:6">
      <c r="A1933" t="str">
        <f>("72-39415")</f>
        <v>72-39415</v>
      </c>
      <c r="B1933" t="s">
        <v>5152</v>
      </c>
      <c r="C1933" t="s">
        <v>6366</v>
      </c>
      <c r="D1933" t="s">
        <v>5163</v>
      </c>
      <c r="E1933" t="s">
        <v>6376</v>
      </c>
      <c r="F1933">
        <v>158.33000000000001</v>
      </c>
    </row>
    <row r="1934" spans="1:6">
      <c r="A1934" t="str">
        <f>("72-39417")</f>
        <v>72-39417</v>
      </c>
      <c r="B1934" t="s">
        <v>5152</v>
      </c>
      <c r="C1934" t="s">
        <v>6366</v>
      </c>
      <c r="D1934" t="s">
        <v>5163</v>
      </c>
      <c r="E1934" t="s">
        <v>6375</v>
      </c>
      <c r="F1934">
        <v>158.33000000000001</v>
      </c>
    </row>
    <row r="1935" spans="1:6">
      <c r="A1935" t="str">
        <f>("72-39423")</f>
        <v>72-39423</v>
      </c>
      <c r="B1935" t="s">
        <v>5152</v>
      </c>
      <c r="C1935" t="s">
        <v>6366</v>
      </c>
      <c r="D1935" t="s">
        <v>5163</v>
      </c>
      <c r="E1935" t="s">
        <v>6374</v>
      </c>
      <c r="F1935">
        <v>158.33000000000001</v>
      </c>
    </row>
    <row r="1936" spans="1:6">
      <c r="A1936" t="str">
        <f>("72-39429")</f>
        <v>72-39429</v>
      </c>
      <c r="B1936" t="s">
        <v>5152</v>
      </c>
      <c r="C1936" t="s">
        <v>6366</v>
      </c>
      <c r="D1936" t="s">
        <v>5163</v>
      </c>
      <c r="E1936" t="s">
        <v>6373</v>
      </c>
      <c r="F1936">
        <v>158.33000000000001</v>
      </c>
    </row>
    <row r="1937" spans="1:6">
      <c r="A1937" t="str">
        <f>("72-39497")</f>
        <v>72-39497</v>
      </c>
      <c r="B1937" t="s">
        <v>5152</v>
      </c>
      <c r="C1937" t="s">
        <v>6366</v>
      </c>
      <c r="D1937" t="s">
        <v>6372</v>
      </c>
      <c r="E1937" t="s">
        <v>6371</v>
      </c>
      <c r="F1937">
        <v>158.33000000000001</v>
      </c>
    </row>
    <row r="1938" spans="1:6">
      <c r="A1938" t="str">
        <f>("72-51487")</f>
        <v>72-51487</v>
      </c>
      <c r="B1938" t="s">
        <v>5152</v>
      </c>
      <c r="C1938" t="s">
        <v>6366</v>
      </c>
      <c r="D1938" t="s">
        <v>5160</v>
      </c>
      <c r="E1938" t="s">
        <v>6370</v>
      </c>
      <c r="F1938">
        <v>158.33000000000001</v>
      </c>
    </row>
    <row r="1939" spans="1:6">
      <c r="A1939" t="str">
        <f>("72-51495")</f>
        <v>72-51495</v>
      </c>
      <c r="B1939" t="s">
        <v>5152</v>
      </c>
      <c r="C1939" t="s">
        <v>6366</v>
      </c>
      <c r="D1939" t="s">
        <v>5160</v>
      </c>
      <c r="E1939" t="s">
        <v>5161</v>
      </c>
      <c r="F1939">
        <v>158.33000000000001</v>
      </c>
    </row>
    <row r="1940" spans="1:6">
      <c r="A1940" t="str">
        <f>("72-69483")</f>
        <v>72-69483</v>
      </c>
      <c r="B1940" t="s">
        <v>5152</v>
      </c>
      <c r="C1940" t="s">
        <v>6366</v>
      </c>
      <c r="D1940" t="s">
        <v>5158</v>
      </c>
      <c r="E1940" t="s">
        <v>6369</v>
      </c>
      <c r="F1940">
        <v>158.33000000000001</v>
      </c>
    </row>
    <row r="1941" spans="1:6">
      <c r="A1941" t="str">
        <f>("72-69487")</f>
        <v>72-69487</v>
      </c>
      <c r="B1941" t="s">
        <v>5152</v>
      </c>
      <c r="C1941" t="s">
        <v>6366</v>
      </c>
      <c r="D1941" t="s">
        <v>5158</v>
      </c>
      <c r="E1941" t="s">
        <v>6368</v>
      </c>
      <c r="F1941">
        <v>158.33000000000001</v>
      </c>
    </row>
    <row r="1942" spans="1:6">
      <c r="A1942" t="str">
        <f>("72-88413")</f>
        <v>72-88413</v>
      </c>
      <c r="B1942" t="s">
        <v>5152</v>
      </c>
      <c r="C1942" t="s">
        <v>6366</v>
      </c>
      <c r="D1942" t="s">
        <v>5150</v>
      </c>
      <c r="E1942" t="s">
        <v>5252</v>
      </c>
      <c r="F1942">
        <v>158.33000000000001</v>
      </c>
    </row>
    <row r="1943" spans="1:6">
      <c r="A1943" t="str">
        <f>("72-88415")</f>
        <v>72-88415</v>
      </c>
      <c r="B1943" t="s">
        <v>5152</v>
      </c>
      <c r="C1943" t="s">
        <v>6366</v>
      </c>
      <c r="D1943" t="s">
        <v>5150</v>
      </c>
      <c r="E1943" t="s">
        <v>5155</v>
      </c>
      <c r="F1943">
        <v>158.33000000000001</v>
      </c>
    </row>
    <row r="1944" spans="1:6">
      <c r="A1944" t="str">
        <f>("72-88419")</f>
        <v>72-88419</v>
      </c>
      <c r="B1944" t="s">
        <v>5152</v>
      </c>
      <c r="C1944" t="s">
        <v>6366</v>
      </c>
      <c r="D1944" t="s">
        <v>5150</v>
      </c>
      <c r="E1944" t="s">
        <v>6367</v>
      </c>
      <c r="F1944">
        <v>158.33000000000001</v>
      </c>
    </row>
    <row r="1945" spans="1:6">
      <c r="A1945" t="str">
        <f>("72-88433")</f>
        <v>72-88433</v>
      </c>
      <c r="B1945" t="s">
        <v>5152</v>
      </c>
      <c r="C1945" t="s">
        <v>6366</v>
      </c>
      <c r="D1945" t="s">
        <v>5150</v>
      </c>
      <c r="E1945" t="s">
        <v>5153</v>
      </c>
      <c r="F1945">
        <v>158.33000000000001</v>
      </c>
    </row>
    <row r="1946" spans="1:6">
      <c r="A1946" t="str">
        <f>("72-88435")</f>
        <v>72-88435</v>
      </c>
      <c r="B1946" t="s">
        <v>5152</v>
      </c>
      <c r="C1946" t="s">
        <v>6366</v>
      </c>
      <c r="D1946" t="s">
        <v>5150</v>
      </c>
      <c r="E1946" t="s">
        <v>5149</v>
      </c>
      <c r="F1946">
        <v>141</v>
      </c>
    </row>
    <row r="1947" spans="1:6">
      <c r="A1947" t="str">
        <f>("72-51468")</f>
        <v>72-51468</v>
      </c>
      <c r="B1947" t="s">
        <v>5152</v>
      </c>
      <c r="C1947" t="s">
        <v>6365</v>
      </c>
      <c r="D1947" t="s">
        <v>5160</v>
      </c>
      <c r="E1947" t="s">
        <v>5201</v>
      </c>
      <c r="F1947">
        <v>90.33</v>
      </c>
    </row>
    <row r="1948" spans="1:6">
      <c r="A1948" t="str">
        <f>("72-31408")</f>
        <v>72-31408</v>
      </c>
      <c r="B1948" t="s">
        <v>5152</v>
      </c>
      <c r="C1948" t="s">
        <v>6360</v>
      </c>
      <c r="D1948" t="s">
        <v>5163</v>
      </c>
      <c r="E1948" t="s">
        <v>5164</v>
      </c>
      <c r="F1948">
        <v>138.32999999999998</v>
      </c>
    </row>
    <row r="1949" spans="1:6">
      <c r="A1949" t="str">
        <f>("72-31410")</f>
        <v>72-31410</v>
      </c>
      <c r="B1949" t="s">
        <v>5152</v>
      </c>
      <c r="C1949" t="s">
        <v>6360</v>
      </c>
      <c r="D1949" t="s">
        <v>5163</v>
      </c>
      <c r="E1949" t="s">
        <v>6364</v>
      </c>
      <c r="F1949">
        <v>123.67</v>
      </c>
    </row>
    <row r="1950" spans="1:6">
      <c r="A1950" t="str">
        <f>("72-35432")</f>
        <v>72-35432</v>
      </c>
      <c r="B1950" t="s">
        <v>5152</v>
      </c>
      <c r="C1950" t="s">
        <v>6360</v>
      </c>
      <c r="D1950" t="s">
        <v>5178</v>
      </c>
      <c r="E1950" t="s">
        <v>5244</v>
      </c>
      <c r="F1950">
        <v>138.32999999999998</v>
      </c>
    </row>
    <row r="1951" spans="1:6">
      <c r="A1951" t="str">
        <f>("72-35434")</f>
        <v>72-35434</v>
      </c>
      <c r="B1951" t="s">
        <v>5152</v>
      </c>
      <c r="C1951" t="s">
        <v>6360</v>
      </c>
      <c r="D1951" t="s">
        <v>5178</v>
      </c>
      <c r="E1951" t="s">
        <v>6363</v>
      </c>
      <c r="F1951">
        <v>123.67</v>
      </c>
    </row>
    <row r="1952" spans="1:6">
      <c r="A1952" t="str">
        <f>("72-37444")</f>
        <v>72-37444</v>
      </c>
      <c r="B1952" t="s">
        <v>5152</v>
      </c>
      <c r="C1952" t="s">
        <v>6360</v>
      </c>
      <c r="D1952" t="s">
        <v>5174</v>
      </c>
      <c r="E1952" t="s">
        <v>6362</v>
      </c>
      <c r="F1952">
        <v>138.32999999999998</v>
      </c>
    </row>
    <row r="1953" spans="1:6">
      <c r="A1953" t="str">
        <f>("72-39404")</f>
        <v>72-39404</v>
      </c>
      <c r="B1953" t="s">
        <v>5152</v>
      </c>
      <c r="C1953" t="s">
        <v>6360</v>
      </c>
      <c r="D1953" t="s">
        <v>5216</v>
      </c>
      <c r="E1953" t="s">
        <v>6361</v>
      </c>
      <c r="F1953">
        <v>123.67</v>
      </c>
    </row>
    <row r="1954" spans="1:6">
      <c r="A1954" t="str">
        <f>("72-57484")</f>
        <v>72-57484</v>
      </c>
      <c r="B1954" t="s">
        <v>5152</v>
      </c>
      <c r="C1954" t="s">
        <v>6360</v>
      </c>
      <c r="D1954" t="s">
        <v>6265</v>
      </c>
      <c r="E1954" t="s">
        <v>6359</v>
      </c>
      <c r="F1954">
        <v>123.67</v>
      </c>
    </row>
    <row r="1955" spans="1:6">
      <c r="A1955" t="str">
        <f>("80-CC121")</f>
        <v>80-CC121</v>
      </c>
      <c r="B1955" t="s">
        <v>6299</v>
      </c>
      <c r="C1955" t="s">
        <v>6358</v>
      </c>
      <c r="D1955" t="s">
        <v>5206</v>
      </c>
      <c r="E1955" t="s">
        <v>6357</v>
      </c>
      <c r="F1955">
        <v>873.67</v>
      </c>
    </row>
    <row r="1956" spans="1:6">
      <c r="A1956" t="str">
        <f>("80-HTB48")</f>
        <v>80-HTB48</v>
      </c>
      <c r="B1956" t="s">
        <v>6299</v>
      </c>
      <c r="C1956" t="s">
        <v>6349</v>
      </c>
      <c r="D1956" t="s">
        <v>5206</v>
      </c>
      <c r="E1956" t="s">
        <v>6356</v>
      </c>
      <c r="F1956">
        <v>1493</v>
      </c>
    </row>
    <row r="1957" spans="1:6">
      <c r="A1957" t="str">
        <f>("80-HTB60")</f>
        <v>80-HTB60</v>
      </c>
      <c r="B1957" t="s">
        <v>6299</v>
      </c>
      <c r="C1957" t="s">
        <v>6349</v>
      </c>
      <c r="D1957" t="s">
        <v>5206</v>
      </c>
      <c r="E1957" t="s">
        <v>6355</v>
      </c>
      <c r="F1957">
        <v>1765</v>
      </c>
    </row>
    <row r="1958" spans="1:6">
      <c r="A1958" t="str">
        <f>("80-HTB72")</f>
        <v>80-HTB72</v>
      </c>
      <c r="B1958" t="s">
        <v>6299</v>
      </c>
      <c r="C1958" t="s">
        <v>6349</v>
      </c>
      <c r="D1958" t="s">
        <v>5206</v>
      </c>
      <c r="E1958" t="s">
        <v>6354</v>
      </c>
      <c r="F1958">
        <v>1897</v>
      </c>
    </row>
    <row r="1959" spans="1:6">
      <c r="A1959" t="str">
        <f>("80-HTB72C")</f>
        <v>80-HTB72C</v>
      </c>
      <c r="B1959" t="s">
        <v>6299</v>
      </c>
      <c r="C1959" t="s">
        <v>6351</v>
      </c>
      <c r="D1959" t="s">
        <v>5206</v>
      </c>
      <c r="E1959" t="s">
        <v>6353</v>
      </c>
      <c r="F1959">
        <v>2077</v>
      </c>
    </row>
    <row r="1960" spans="1:6">
      <c r="A1960" t="str">
        <f>("80-HTB88")</f>
        <v>80-HTB88</v>
      </c>
      <c r="B1960" t="s">
        <v>6299</v>
      </c>
      <c r="C1960" t="s">
        <v>6349</v>
      </c>
      <c r="D1960" t="s">
        <v>5206</v>
      </c>
      <c r="E1960" t="s">
        <v>6352</v>
      </c>
      <c r="F1960">
        <v>2069</v>
      </c>
    </row>
    <row r="1961" spans="1:6">
      <c r="A1961" t="str">
        <f>("80-HTB88C")</f>
        <v>80-HTB88C</v>
      </c>
      <c r="B1961" t="s">
        <v>6299</v>
      </c>
      <c r="C1961" t="s">
        <v>6351</v>
      </c>
      <c r="D1961" t="s">
        <v>5206</v>
      </c>
      <c r="E1961" t="s">
        <v>6350</v>
      </c>
      <c r="F1961">
        <v>2277</v>
      </c>
    </row>
    <row r="1962" spans="1:6">
      <c r="A1962" t="str">
        <f>("80-HTB96")</f>
        <v>80-HTB96</v>
      </c>
      <c r="B1962" t="s">
        <v>6299</v>
      </c>
      <c r="C1962" t="s">
        <v>6349</v>
      </c>
      <c r="D1962" t="s">
        <v>5206</v>
      </c>
      <c r="E1962" t="s">
        <v>6348</v>
      </c>
      <c r="F1962">
        <v>2097</v>
      </c>
    </row>
    <row r="1963" spans="1:6">
      <c r="A1963" t="str">
        <f>("80-HTB96C")</f>
        <v>80-HTB96C</v>
      </c>
      <c r="B1963" t="s">
        <v>6299</v>
      </c>
      <c r="C1963" t="s">
        <v>6347</v>
      </c>
      <c r="D1963" t="s">
        <v>5206</v>
      </c>
      <c r="E1963" t="s">
        <v>6346</v>
      </c>
      <c r="F1963">
        <v>2306.33</v>
      </c>
    </row>
    <row r="1964" spans="1:6">
      <c r="A1964" t="str">
        <f>("80-HUB1848")</f>
        <v>80-HUB1848</v>
      </c>
      <c r="B1964" t="s">
        <v>6299</v>
      </c>
      <c r="C1964" t="s">
        <v>6345</v>
      </c>
      <c r="D1964" t="s">
        <v>5206</v>
      </c>
      <c r="E1964" t="s">
        <v>6344</v>
      </c>
      <c r="F1964">
        <v>1497</v>
      </c>
    </row>
    <row r="1965" spans="1:6">
      <c r="A1965" t="str">
        <f>("80-RB257D")</f>
        <v>80-RB257D</v>
      </c>
      <c r="B1965" t="s">
        <v>6299</v>
      </c>
      <c r="C1965" t="s">
        <v>6343</v>
      </c>
      <c r="D1965" t="s">
        <v>5206</v>
      </c>
      <c r="E1965" t="s">
        <v>6342</v>
      </c>
      <c r="F1965">
        <v>1394.33</v>
      </c>
    </row>
    <row r="1966" spans="1:6">
      <c r="A1966" t="str">
        <f>("80-RB4919")</f>
        <v>80-RB4919</v>
      </c>
      <c r="B1966" t="s">
        <v>6299</v>
      </c>
      <c r="C1966" t="s">
        <v>6341</v>
      </c>
      <c r="D1966" t="s">
        <v>5206</v>
      </c>
      <c r="E1966" t="s">
        <v>6340</v>
      </c>
      <c r="F1966">
        <v>1137</v>
      </c>
    </row>
    <row r="1967" spans="1:6">
      <c r="A1967" t="str">
        <f>("80-TB400-72")</f>
        <v>80-TB400-72</v>
      </c>
      <c r="B1967" t="s">
        <v>6299</v>
      </c>
      <c r="C1967" t="s">
        <v>6320</v>
      </c>
      <c r="D1967" t="s">
        <v>5206</v>
      </c>
      <c r="E1967" t="s">
        <v>6339</v>
      </c>
      <c r="F1967">
        <v>1822.33</v>
      </c>
    </row>
    <row r="1968" spans="1:6">
      <c r="A1968" t="str">
        <f>("80-TB400-72-BD")</f>
        <v>80-TB400-72-BD</v>
      </c>
      <c r="B1968" t="s">
        <v>6299</v>
      </c>
      <c r="C1968" t="s">
        <v>6320</v>
      </c>
      <c r="D1968" t="s">
        <v>5206</v>
      </c>
      <c r="E1968" t="s">
        <v>6319</v>
      </c>
      <c r="F1968">
        <v>2182.33</v>
      </c>
    </row>
    <row r="1969" spans="1:6">
      <c r="A1969" t="str">
        <f>("80-TB400-96D")</f>
        <v>80-TB400-96D</v>
      </c>
      <c r="B1969" t="s">
        <v>6299</v>
      </c>
      <c r="C1969" t="s">
        <v>6317</v>
      </c>
      <c r="D1969" t="s">
        <v>5206</v>
      </c>
      <c r="E1969" t="s">
        <v>6316</v>
      </c>
      <c r="F1969">
        <v>2151.67</v>
      </c>
    </row>
    <row r="1970" spans="1:6">
      <c r="A1970" t="str">
        <f>("80-TB400-96D-BD")</f>
        <v>80-TB400-96D-BD</v>
      </c>
      <c r="B1970" t="s">
        <v>6299</v>
      </c>
      <c r="C1970" t="s">
        <v>6317</v>
      </c>
      <c r="D1970" t="s">
        <v>5206</v>
      </c>
      <c r="E1970" t="s">
        <v>6318</v>
      </c>
      <c r="F1970">
        <v>2553</v>
      </c>
    </row>
    <row r="1971" spans="1:6">
      <c r="A1971" t="str">
        <f>("80-TBS200-48")</f>
        <v>80-TBS200-48</v>
      </c>
      <c r="B1971" t="s">
        <v>6299</v>
      </c>
      <c r="C1971" t="s">
        <v>6309</v>
      </c>
      <c r="D1971" t="s">
        <v>5206</v>
      </c>
      <c r="E1971" t="s">
        <v>6338</v>
      </c>
      <c r="F1971">
        <v>1614.33</v>
      </c>
    </row>
    <row r="1972" spans="1:6">
      <c r="A1972" t="str">
        <f>("80-TBS200-48-BD")</f>
        <v>80-TBS200-48-BD</v>
      </c>
      <c r="B1972" t="s">
        <v>6299</v>
      </c>
      <c r="C1972" t="s">
        <v>6309</v>
      </c>
      <c r="D1972" t="s">
        <v>5206</v>
      </c>
      <c r="E1972" t="s">
        <v>6315</v>
      </c>
      <c r="F1972">
        <v>1758.33</v>
      </c>
    </row>
    <row r="1973" spans="1:6">
      <c r="A1973" t="str">
        <f>("80-TBS200-60")</f>
        <v>80-TBS200-60</v>
      </c>
      <c r="B1973" t="s">
        <v>6299</v>
      </c>
      <c r="C1973" t="s">
        <v>6309</v>
      </c>
      <c r="D1973" t="s">
        <v>5206</v>
      </c>
      <c r="E1973" t="s">
        <v>6313</v>
      </c>
      <c r="F1973">
        <v>1661</v>
      </c>
    </row>
    <row r="1974" spans="1:6">
      <c r="A1974" t="str">
        <f>("80-TBS200-60-BD")</f>
        <v>80-TBS200-60-BD</v>
      </c>
      <c r="B1974" t="s">
        <v>6299</v>
      </c>
      <c r="C1974" t="s">
        <v>6309</v>
      </c>
      <c r="D1974" t="s">
        <v>5206</v>
      </c>
      <c r="E1974" t="s">
        <v>6314</v>
      </c>
      <c r="F1974">
        <v>1807.67</v>
      </c>
    </row>
    <row r="1975" spans="1:6">
      <c r="A1975" t="str">
        <f>("80-TBS200-72")</f>
        <v>80-TBS200-72</v>
      </c>
      <c r="B1975" t="s">
        <v>6299</v>
      </c>
      <c r="C1975" t="s">
        <v>6309</v>
      </c>
      <c r="D1975" t="s">
        <v>5206</v>
      </c>
      <c r="E1975" t="s">
        <v>6311</v>
      </c>
      <c r="F1975">
        <v>1701</v>
      </c>
    </row>
    <row r="1976" spans="1:6">
      <c r="A1976" t="str">
        <f>("80-TBS200-72-BD")</f>
        <v>80-TBS200-72-BD</v>
      </c>
      <c r="B1976" t="s">
        <v>6299</v>
      </c>
      <c r="C1976" t="s">
        <v>6309</v>
      </c>
      <c r="D1976" t="s">
        <v>5206</v>
      </c>
      <c r="E1976" t="s">
        <v>6312</v>
      </c>
      <c r="F1976">
        <v>1854.33</v>
      </c>
    </row>
    <row r="1977" spans="1:6">
      <c r="A1977" t="str">
        <f>("80-TBS200-88D")</f>
        <v>80-TBS200-88D</v>
      </c>
      <c r="B1977" t="s">
        <v>6299</v>
      </c>
      <c r="C1977" t="s">
        <v>6309</v>
      </c>
      <c r="D1977" t="s">
        <v>5206</v>
      </c>
      <c r="E1977" t="s">
        <v>6337</v>
      </c>
      <c r="F1977">
        <v>1771.67</v>
      </c>
    </row>
    <row r="1978" spans="1:6">
      <c r="A1978" t="str">
        <f>("80-TBS200-88D-BD")</f>
        <v>80-TBS200-88D-BD</v>
      </c>
      <c r="B1978" t="s">
        <v>6299</v>
      </c>
      <c r="C1978" t="s">
        <v>6309</v>
      </c>
      <c r="D1978" t="s">
        <v>5206</v>
      </c>
      <c r="E1978" t="s">
        <v>6310</v>
      </c>
      <c r="F1978">
        <v>1967.67</v>
      </c>
    </row>
    <row r="1979" spans="1:6">
      <c r="A1979" t="str">
        <f>("80-TBS200-90D")</f>
        <v>80-TBS200-90D</v>
      </c>
      <c r="B1979" t="s">
        <v>6299</v>
      </c>
      <c r="C1979" t="s">
        <v>6309</v>
      </c>
      <c r="D1979" t="s">
        <v>5206</v>
      </c>
      <c r="E1979" t="s">
        <v>6336</v>
      </c>
      <c r="F1979">
        <v>1803.67</v>
      </c>
    </row>
    <row r="1980" spans="1:6">
      <c r="A1980" t="str">
        <f>("80-TBS200-90D-BD")</f>
        <v>80-TBS200-90D-BD</v>
      </c>
      <c r="B1980" t="s">
        <v>6299</v>
      </c>
      <c r="C1980" t="s">
        <v>6309</v>
      </c>
      <c r="D1980" t="s">
        <v>5206</v>
      </c>
      <c r="E1980" t="s">
        <v>6308</v>
      </c>
      <c r="F1980">
        <v>1999.67</v>
      </c>
    </row>
    <row r="1981" spans="1:6">
      <c r="A1981" t="str">
        <f>("80-TBS200-96D")</f>
        <v>80-TBS200-96D</v>
      </c>
      <c r="B1981" t="s">
        <v>6299</v>
      </c>
      <c r="C1981" t="s">
        <v>6309</v>
      </c>
      <c r="D1981" t="s">
        <v>5206</v>
      </c>
      <c r="E1981" t="s">
        <v>6335</v>
      </c>
      <c r="F1981">
        <v>1935.67</v>
      </c>
    </row>
    <row r="1982" spans="1:6">
      <c r="A1982" t="str">
        <f>("80-TBS200-96D-BD")</f>
        <v>80-TBS200-96D-BD</v>
      </c>
      <c r="B1982" t="s">
        <v>6299</v>
      </c>
      <c r="C1982" t="s">
        <v>6309</v>
      </c>
      <c r="D1982" t="s">
        <v>5206</v>
      </c>
      <c r="E1982" t="s">
        <v>6334</v>
      </c>
      <c r="F1982">
        <v>2114.33</v>
      </c>
    </row>
    <row r="1983" spans="1:6">
      <c r="A1983" t="str">
        <f>("80-UB36-20TD")</f>
        <v>80-UB36-20TD</v>
      </c>
      <c r="B1983" t="s">
        <v>6299</v>
      </c>
      <c r="C1983" t="s">
        <v>6332</v>
      </c>
      <c r="D1983" t="s">
        <v>5206</v>
      </c>
      <c r="E1983" t="s">
        <v>6333</v>
      </c>
      <c r="F1983">
        <v>1226.33</v>
      </c>
    </row>
    <row r="1984" spans="1:6">
      <c r="A1984" t="str">
        <f>("80-UB48-20TD")</f>
        <v>80-UB48-20TD</v>
      </c>
      <c r="B1984" t="s">
        <v>6299</v>
      </c>
      <c r="C1984" t="s">
        <v>6332</v>
      </c>
      <c r="D1984" t="s">
        <v>5206</v>
      </c>
      <c r="E1984" t="s">
        <v>6331</v>
      </c>
      <c r="F1984">
        <v>1338.33</v>
      </c>
    </row>
    <row r="1985" spans="1:6">
      <c r="A1985" t="str">
        <f>("80-RB137FL-BT")</f>
        <v>80-RB137FL-BT</v>
      </c>
      <c r="B1985" t="s">
        <v>6299</v>
      </c>
      <c r="C1985" t="s">
        <v>6330</v>
      </c>
      <c r="D1985" t="s">
        <v>5206</v>
      </c>
      <c r="E1985" t="s">
        <v>6329</v>
      </c>
      <c r="F1985">
        <v>1691.67</v>
      </c>
    </row>
    <row r="1986" spans="1:6">
      <c r="A1986" t="str">
        <f>("80-RB161-BT")</f>
        <v>80-RB161-BT</v>
      </c>
      <c r="B1986" t="s">
        <v>6299</v>
      </c>
      <c r="C1986" t="s">
        <v>6328</v>
      </c>
      <c r="D1986" t="s">
        <v>5206</v>
      </c>
      <c r="E1986" t="s">
        <v>6327</v>
      </c>
      <c r="F1986">
        <v>1030</v>
      </c>
    </row>
    <row r="1987" spans="1:6">
      <c r="A1987" t="str">
        <f>("80-RB178-9-BT")</f>
        <v>80-RB178-9-BT</v>
      </c>
      <c r="B1987" t="s">
        <v>6299</v>
      </c>
      <c r="C1987" t="s">
        <v>6326</v>
      </c>
      <c r="D1987" t="s">
        <v>5206</v>
      </c>
      <c r="E1987" t="s">
        <v>6325</v>
      </c>
      <c r="F1987">
        <v>1383.67</v>
      </c>
    </row>
    <row r="1988" spans="1:6">
      <c r="A1988" t="str">
        <f>("80-RB630-BT")</f>
        <v>80-RB630-BT</v>
      </c>
      <c r="B1988" t="s">
        <v>6299</v>
      </c>
      <c r="C1988" t="s">
        <v>6324</v>
      </c>
      <c r="D1988" t="s">
        <v>5206</v>
      </c>
      <c r="E1988" t="s">
        <v>6323</v>
      </c>
      <c r="F1988">
        <v>2075.67</v>
      </c>
    </row>
    <row r="1989" spans="1:6">
      <c r="A1989" t="str">
        <f>("80-RB674-BT")</f>
        <v>80-RB674-BT</v>
      </c>
      <c r="B1989" t="s">
        <v>6299</v>
      </c>
      <c r="C1989" t="s">
        <v>6322</v>
      </c>
      <c r="D1989" t="s">
        <v>5206</v>
      </c>
      <c r="E1989" t="s">
        <v>6321</v>
      </c>
      <c r="F1989">
        <v>1473</v>
      </c>
    </row>
    <row r="1990" spans="1:6">
      <c r="A1990" t="str">
        <f>("80-TB400-72-BD-BT")</f>
        <v>80-TB400-72-BD-BT</v>
      </c>
      <c r="B1990" t="s">
        <v>6299</v>
      </c>
      <c r="C1990" t="s">
        <v>6320</v>
      </c>
      <c r="D1990" t="s">
        <v>5206</v>
      </c>
      <c r="E1990" t="s">
        <v>6319</v>
      </c>
      <c r="F1990">
        <v>2383.67</v>
      </c>
    </row>
    <row r="1991" spans="1:6">
      <c r="A1991" t="str">
        <f>("80-TB400-96D-BD-BT")</f>
        <v>80-TB400-96D-BD-BT</v>
      </c>
      <c r="B1991" t="s">
        <v>6299</v>
      </c>
      <c r="C1991" t="s">
        <v>6317</v>
      </c>
      <c r="D1991" t="s">
        <v>5206</v>
      </c>
      <c r="E1991" t="s">
        <v>6318</v>
      </c>
      <c r="F1991">
        <v>2753</v>
      </c>
    </row>
    <row r="1992" spans="1:6">
      <c r="A1992" t="str">
        <f>("80-TB400-96D-BT")</f>
        <v>80-TB400-96D-BT</v>
      </c>
      <c r="B1992" t="s">
        <v>6299</v>
      </c>
      <c r="C1992" t="s">
        <v>6317</v>
      </c>
      <c r="D1992" t="s">
        <v>5206</v>
      </c>
      <c r="E1992" t="s">
        <v>6316</v>
      </c>
      <c r="F1992">
        <v>2353</v>
      </c>
    </row>
    <row r="1993" spans="1:6">
      <c r="A1993" t="str">
        <f>("80-TBS200-48-BD-BT")</f>
        <v>80-TBS200-48-BD-BT</v>
      </c>
      <c r="B1993" t="s">
        <v>6299</v>
      </c>
      <c r="C1993" t="s">
        <v>6309</v>
      </c>
      <c r="D1993" t="s">
        <v>5206</v>
      </c>
      <c r="E1993" t="s">
        <v>6315</v>
      </c>
      <c r="F1993">
        <v>1961</v>
      </c>
    </row>
    <row r="1994" spans="1:6">
      <c r="A1994" t="str">
        <f>("80-TBS200-60-BD-BT")</f>
        <v>80-TBS200-60-BD-BT</v>
      </c>
      <c r="B1994" t="s">
        <v>6299</v>
      </c>
      <c r="C1994" t="s">
        <v>6309</v>
      </c>
      <c r="D1994" t="s">
        <v>5206</v>
      </c>
      <c r="E1994" t="s">
        <v>6314</v>
      </c>
      <c r="F1994">
        <v>2007.67</v>
      </c>
    </row>
    <row r="1995" spans="1:6">
      <c r="A1995" t="str">
        <f>("80-TBS200-60-BT")</f>
        <v>80-TBS200-60-BT</v>
      </c>
      <c r="B1995" t="s">
        <v>6299</v>
      </c>
      <c r="C1995" t="s">
        <v>6309</v>
      </c>
      <c r="D1995" t="s">
        <v>5206</v>
      </c>
      <c r="E1995" t="s">
        <v>6313</v>
      </c>
      <c r="F1995">
        <v>1861</v>
      </c>
    </row>
    <row r="1996" spans="1:6">
      <c r="A1996" t="str">
        <f>("80-TBS200-72-BD-BT")</f>
        <v>80-TBS200-72-BD-BT</v>
      </c>
      <c r="B1996" t="s">
        <v>6299</v>
      </c>
      <c r="C1996" t="s">
        <v>6309</v>
      </c>
      <c r="D1996" t="s">
        <v>5206</v>
      </c>
      <c r="E1996" t="s">
        <v>6312</v>
      </c>
      <c r="F1996">
        <v>2054.33</v>
      </c>
    </row>
    <row r="1997" spans="1:6">
      <c r="A1997" t="str">
        <f>("80-TBS200-72-BT")</f>
        <v>80-TBS200-72-BT</v>
      </c>
      <c r="B1997" t="s">
        <v>6299</v>
      </c>
      <c r="C1997" t="s">
        <v>6309</v>
      </c>
      <c r="D1997" t="s">
        <v>5206</v>
      </c>
      <c r="E1997" t="s">
        <v>6311</v>
      </c>
      <c r="F1997">
        <v>1903.67</v>
      </c>
    </row>
    <row r="1998" spans="1:6">
      <c r="A1998" t="str">
        <f>("80-TBS200-88D-BD-BT")</f>
        <v>80-TBS200-88D-BD-BT</v>
      </c>
      <c r="B1998" t="s">
        <v>6299</v>
      </c>
      <c r="C1998" t="s">
        <v>6309</v>
      </c>
      <c r="D1998" t="s">
        <v>5206</v>
      </c>
      <c r="E1998" t="s">
        <v>6310</v>
      </c>
      <c r="F1998">
        <v>2167.67</v>
      </c>
    </row>
    <row r="1999" spans="1:6">
      <c r="A1999" t="str">
        <f>("80-TBS200-90D-BD-BT")</f>
        <v>80-TBS200-90D-BD-BT</v>
      </c>
      <c r="B1999" t="s">
        <v>6299</v>
      </c>
      <c r="C1999" t="s">
        <v>6309</v>
      </c>
      <c r="D1999" t="s">
        <v>5206</v>
      </c>
      <c r="E1999" t="s">
        <v>6308</v>
      </c>
      <c r="F1999">
        <v>2202.33</v>
      </c>
    </row>
    <row r="2000" spans="1:6">
      <c r="A2000" t="str">
        <f>("80-D11")</f>
        <v>80-D11</v>
      </c>
      <c r="B2000" t="s">
        <v>6299</v>
      </c>
      <c r="C2000" t="s">
        <v>6305</v>
      </c>
      <c r="D2000" t="s">
        <v>5206</v>
      </c>
      <c r="E2000" t="s">
        <v>6307</v>
      </c>
      <c r="F2000">
        <v>34.33</v>
      </c>
    </row>
    <row r="2001" spans="1:6">
      <c r="A2001" t="str">
        <f>("80-D16")</f>
        <v>80-D16</v>
      </c>
      <c r="B2001" t="s">
        <v>6299</v>
      </c>
      <c r="C2001" t="s">
        <v>6305</v>
      </c>
      <c r="D2001" t="s">
        <v>5206</v>
      </c>
      <c r="E2001" t="s">
        <v>6306</v>
      </c>
      <c r="F2001">
        <v>39.67</v>
      </c>
    </row>
    <row r="2002" spans="1:6">
      <c r="A2002" t="str">
        <f>("80-D18")</f>
        <v>80-D18</v>
      </c>
      <c r="B2002" t="s">
        <v>6299</v>
      </c>
      <c r="C2002" t="s">
        <v>6305</v>
      </c>
      <c r="D2002" t="s">
        <v>5206</v>
      </c>
      <c r="E2002" t="s">
        <v>6304</v>
      </c>
      <c r="F2002">
        <v>43.67</v>
      </c>
    </row>
    <row r="2003" spans="1:6">
      <c r="A2003" t="str">
        <f>("80-RB7656D")</f>
        <v>80-RB7656D</v>
      </c>
      <c r="B2003" t="s">
        <v>6299</v>
      </c>
      <c r="C2003" t="s">
        <v>6302</v>
      </c>
      <c r="D2003" t="s">
        <v>5206</v>
      </c>
      <c r="E2003" t="s">
        <v>6303</v>
      </c>
      <c r="F2003">
        <v>2175.67</v>
      </c>
    </row>
    <row r="2004" spans="1:6">
      <c r="A2004" t="str">
        <f>("80-RB7670P")</f>
        <v>80-RB7670P</v>
      </c>
      <c r="B2004" t="s">
        <v>6299</v>
      </c>
      <c r="C2004" t="s">
        <v>6302</v>
      </c>
      <c r="D2004" t="s">
        <v>5206</v>
      </c>
      <c r="E2004" t="s">
        <v>6301</v>
      </c>
      <c r="F2004">
        <v>2343.67</v>
      </c>
    </row>
    <row r="2005" spans="1:6">
      <c r="A2005" t="str">
        <f>("80-TR10")</f>
        <v>80-TR10</v>
      </c>
      <c r="B2005" t="s">
        <v>6299</v>
      </c>
      <c r="C2005" t="s">
        <v>6298</v>
      </c>
      <c r="D2005" t="s">
        <v>5206</v>
      </c>
      <c r="E2005" t="s">
        <v>6300</v>
      </c>
      <c r="F2005">
        <v>161</v>
      </c>
    </row>
    <row r="2006" spans="1:6">
      <c r="A2006" t="str">
        <f>("80-TR11")</f>
        <v>80-TR11</v>
      </c>
      <c r="B2006" t="s">
        <v>6299</v>
      </c>
      <c r="C2006" t="s">
        <v>6298</v>
      </c>
      <c r="D2006" t="s">
        <v>5206</v>
      </c>
      <c r="E2006" t="s">
        <v>6297</v>
      </c>
      <c r="F2006">
        <v>126.33</v>
      </c>
    </row>
    <row r="2007" spans="1:6">
      <c r="A2007" t="str">
        <f>("20000")</f>
        <v>20000</v>
      </c>
      <c r="B2007" t="s">
        <v>6242</v>
      </c>
      <c r="C2007" t="s">
        <v>6286</v>
      </c>
      <c r="D2007" t="s">
        <v>6292</v>
      </c>
      <c r="E2007" t="s">
        <v>6291</v>
      </c>
      <c r="F2007">
        <v>553.67000000000007</v>
      </c>
    </row>
    <row r="2008" spans="1:6">
      <c r="A2008" t="str">
        <f>("20002")</f>
        <v>20002</v>
      </c>
      <c r="B2008" t="s">
        <v>6242</v>
      </c>
      <c r="C2008" t="s">
        <v>6286</v>
      </c>
      <c r="D2008" t="s">
        <v>6292</v>
      </c>
      <c r="E2008" t="s">
        <v>6291</v>
      </c>
      <c r="F2008">
        <v>549.67000000000007</v>
      </c>
    </row>
    <row r="2009" spans="1:6">
      <c r="A2009" t="str">
        <f>("20008")</f>
        <v>20008</v>
      </c>
      <c r="B2009" t="s">
        <v>6242</v>
      </c>
      <c r="C2009" t="s">
        <v>6286</v>
      </c>
      <c r="D2009" t="s">
        <v>6296</v>
      </c>
      <c r="E2009" t="s">
        <v>6295</v>
      </c>
      <c r="F2009">
        <v>543</v>
      </c>
    </row>
    <row r="2010" spans="1:6">
      <c r="A2010" t="str">
        <f>("20009")</f>
        <v>20009</v>
      </c>
      <c r="B2010" t="s">
        <v>6242</v>
      </c>
      <c r="C2010" t="s">
        <v>6286</v>
      </c>
      <c r="D2010" t="s">
        <v>6296</v>
      </c>
      <c r="E2010" t="s">
        <v>6295</v>
      </c>
      <c r="F2010">
        <v>511</v>
      </c>
    </row>
    <row r="2011" spans="1:6">
      <c r="A2011" t="str">
        <f>("20022")</f>
        <v>20022</v>
      </c>
      <c r="B2011" t="s">
        <v>6242</v>
      </c>
      <c r="C2011" t="s">
        <v>6284</v>
      </c>
      <c r="D2011" t="s">
        <v>6292</v>
      </c>
      <c r="E2011" t="s">
        <v>6291</v>
      </c>
      <c r="F2011">
        <v>696.33</v>
      </c>
    </row>
    <row r="2012" spans="1:6">
      <c r="A2012" t="str">
        <f>("20105")</f>
        <v>20105</v>
      </c>
      <c r="B2012" t="s">
        <v>6242</v>
      </c>
      <c r="C2012" t="s">
        <v>6286</v>
      </c>
      <c r="D2012" t="s">
        <v>5174</v>
      </c>
      <c r="E2012" t="s">
        <v>6294</v>
      </c>
      <c r="F2012">
        <v>711</v>
      </c>
    </row>
    <row r="2013" spans="1:6">
      <c r="A2013" t="str">
        <f>("20107")</f>
        <v>20107</v>
      </c>
      <c r="B2013" t="s">
        <v>6242</v>
      </c>
      <c r="C2013" t="s">
        <v>6286</v>
      </c>
      <c r="D2013" t="s">
        <v>5174</v>
      </c>
      <c r="E2013" t="s">
        <v>6293</v>
      </c>
      <c r="F2013">
        <v>793.67</v>
      </c>
    </row>
    <row r="2014" spans="1:6">
      <c r="A2014" t="str">
        <f>("21000")</f>
        <v>21000</v>
      </c>
      <c r="B2014" t="s">
        <v>6242</v>
      </c>
      <c r="C2014" t="s">
        <v>6286</v>
      </c>
      <c r="D2014" t="s">
        <v>6292</v>
      </c>
      <c r="E2014" t="s">
        <v>6291</v>
      </c>
      <c r="F2014">
        <v>977.67</v>
      </c>
    </row>
    <row r="2015" spans="1:6">
      <c r="A2015" t="str">
        <f>("21002")</f>
        <v>21002</v>
      </c>
      <c r="B2015" t="s">
        <v>6242</v>
      </c>
      <c r="C2015" t="s">
        <v>6284</v>
      </c>
      <c r="D2015" t="s">
        <v>6292</v>
      </c>
      <c r="E2015" t="s">
        <v>6291</v>
      </c>
      <c r="F2015">
        <v>909.67</v>
      </c>
    </row>
    <row r="2016" spans="1:6">
      <c r="A2016" t="str">
        <f>("21007")</f>
        <v>21007</v>
      </c>
      <c r="B2016" t="s">
        <v>6242</v>
      </c>
      <c r="C2016" t="s">
        <v>6284</v>
      </c>
      <c r="D2016" t="s">
        <v>6292</v>
      </c>
      <c r="E2016" t="s">
        <v>6291</v>
      </c>
      <c r="F2016">
        <v>941.67</v>
      </c>
    </row>
    <row r="2017" spans="1:6">
      <c r="A2017" t="str">
        <f>("61000")</f>
        <v>61000</v>
      </c>
      <c r="B2017" t="s">
        <v>6242</v>
      </c>
      <c r="C2017" t="s">
        <v>6286</v>
      </c>
      <c r="D2017" t="s">
        <v>6271</v>
      </c>
      <c r="E2017" t="s">
        <v>6289</v>
      </c>
      <c r="F2017">
        <v>452.67</v>
      </c>
    </row>
    <row r="2018" spans="1:6">
      <c r="A2018" t="str">
        <f>("61001")</f>
        <v>61001</v>
      </c>
      <c r="B2018" t="s">
        <v>6242</v>
      </c>
      <c r="C2018" t="s">
        <v>6284</v>
      </c>
      <c r="D2018" t="s">
        <v>6271</v>
      </c>
      <c r="E2018" t="s">
        <v>6289</v>
      </c>
      <c r="F2018">
        <v>504.67</v>
      </c>
    </row>
    <row r="2019" spans="1:6">
      <c r="A2019" t="str">
        <f>("63000")</f>
        <v>63000</v>
      </c>
      <c r="B2019" t="s">
        <v>6242</v>
      </c>
      <c r="C2019" t="s">
        <v>6286</v>
      </c>
      <c r="D2019" t="s">
        <v>6288</v>
      </c>
      <c r="E2019" t="s">
        <v>6287</v>
      </c>
      <c r="F2019">
        <v>452.67</v>
      </c>
    </row>
    <row r="2020" spans="1:6">
      <c r="A2020" t="str">
        <f>("65000")</f>
        <v>65000</v>
      </c>
      <c r="B2020" t="s">
        <v>6242</v>
      </c>
      <c r="C2020" t="s">
        <v>6286</v>
      </c>
      <c r="D2020" t="s">
        <v>6265</v>
      </c>
      <c r="E2020" t="s">
        <v>6264</v>
      </c>
      <c r="F2020">
        <v>452.67</v>
      </c>
    </row>
    <row r="2021" spans="1:6">
      <c r="A2021" t="str">
        <f>("66000")</f>
        <v>66000</v>
      </c>
      <c r="B2021" t="s">
        <v>6242</v>
      </c>
      <c r="C2021" t="s">
        <v>6286</v>
      </c>
      <c r="D2021" t="s">
        <v>6283</v>
      </c>
      <c r="E2021" t="s">
        <v>6290</v>
      </c>
      <c r="F2021">
        <v>452.67</v>
      </c>
    </row>
    <row r="2022" spans="1:6">
      <c r="A2022" t="str">
        <f>("66001")</f>
        <v>66001</v>
      </c>
      <c r="B2022" t="s">
        <v>6242</v>
      </c>
      <c r="C2022" t="s">
        <v>6284</v>
      </c>
      <c r="D2022" t="s">
        <v>6283</v>
      </c>
      <c r="E2022" t="s">
        <v>6282</v>
      </c>
      <c r="F2022">
        <v>504.67</v>
      </c>
    </row>
    <row r="2023" spans="1:6">
      <c r="A2023" t="str">
        <f>("71000")</f>
        <v>71000</v>
      </c>
      <c r="B2023" t="s">
        <v>6242</v>
      </c>
      <c r="C2023" t="s">
        <v>6286</v>
      </c>
      <c r="D2023" t="s">
        <v>6271</v>
      </c>
      <c r="E2023" t="s">
        <v>6289</v>
      </c>
      <c r="F2023">
        <v>767.33</v>
      </c>
    </row>
    <row r="2024" spans="1:6">
      <c r="A2024" t="str">
        <f>("71001")</f>
        <v>71001</v>
      </c>
      <c r="B2024" t="s">
        <v>6242</v>
      </c>
      <c r="C2024" t="s">
        <v>6284</v>
      </c>
      <c r="D2024" t="s">
        <v>6271</v>
      </c>
      <c r="E2024" t="s">
        <v>6289</v>
      </c>
      <c r="F2024">
        <v>779.33</v>
      </c>
    </row>
    <row r="2025" spans="1:6">
      <c r="A2025" t="str">
        <f>("73000")</f>
        <v>73000</v>
      </c>
      <c r="B2025" t="s">
        <v>6242</v>
      </c>
      <c r="C2025" t="s">
        <v>6286</v>
      </c>
      <c r="D2025" t="s">
        <v>6288</v>
      </c>
      <c r="E2025" t="s">
        <v>6287</v>
      </c>
      <c r="F2025">
        <v>820.67</v>
      </c>
    </row>
    <row r="2026" spans="1:6">
      <c r="A2026" t="str">
        <f>("76000")</f>
        <v>76000</v>
      </c>
      <c r="B2026" t="s">
        <v>6242</v>
      </c>
      <c r="C2026" t="s">
        <v>6286</v>
      </c>
      <c r="D2026" t="s">
        <v>6283</v>
      </c>
      <c r="E2026" t="s">
        <v>6285</v>
      </c>
      <c r="F2026">
        <v>919.33</v>
      </c>
    </row>
    <row r="2027" spans="1:6">
      <c r="A2027" t="str">
        <f>("76001")</f>
        <v>76001</v>
      </c>
      <c r="B2027" t="s">
        <v>6242</v>
      </c>
      <c r="C2027" t="s">
        <v>6284</v>
      </c>
      <c r="D2027" t="s">
        <v>6283</v>
      </c>
      <c r="E2027" t="s">
        <v>6282</v>
      </c>
      <c r="F2027">
        <v>739.33</v>
      </c>
    </row>
    <row r="2028" spans="1:6">
      <c r="A2028" t="str">
        <f>("92200")</f>
        <v>92200</v>
      </c>
      <c r="B2028" t="s">
        <v>6242</v>
      </c>
      <c r="C2028" t="s">
        <v>6260</v>
      </c>
      <c r="D2028" t="s">
        <v>5216</v>
      </c>
      <c r="E2028" t="s">
        <v>6281</v>
      </c>
      <c r="F2028">
        <v>135.67000000000002</v>
      </c>
    </row>
    <row r="2029" spans="1:6">
      <c r="A2029" t="str">
        <f>("92220")</f>
        <v>92220</v>
      </c>
      <c r="B2029" t="s">
        <v>6242</v>
      </c>
      <c r="C2029" t="s">
        <v>6260</v>
      </c>
      <c r="D2029" t="s">
        <v>5216</v>
      </c>
      <c r="E2029" t="s">
        <v>6280</v>
      </c>
      <c r="F2029">
        <v>135.67000000000002</v>
      </c>
    </row>
    <row r="2030" spans="1:6">
      <c r="A2030" t="str">
        <f>("92230")</f>
        <v>92230</v>
      </c>
      <c r="B2030" t="s">
        <v>6242</v>
      </c>
      <c r="C2030" t="s">
        <v>6260</v>
      </c>
      <c r="D2030" t="s">
        <v>6279</v>
      </c>
      <c r="E2030" t="s">
        <v>6278</v>
      </c>
      <c r="F2030">
        <v>157</v>
      </c>
    </row>
    <row r="2031" spans="1:6">
      <c r="A2031" t="str">
        <f>("92240")</f>
        <v>92240</v>
      </c>
      <c r="B2031" t="s">
        <v>6242</v>
      </c>
      <c r="C2031" t="s">
        <v>6260</v>
      </c>
      <c r="D2031" t="s">
        <v>5184</v>
      </c>
      <c r="E2031" t="s">
        <v>6277</v>
      </c>
      <c r="F2031">
        <v>135.67000000000002</v>
      </c>
    </row>
    <row r="2032" spans="1:6">
      <c r="A2032" t="str">
        <f>("92300")</f>
        <v>92300</v>
      </c>
      <c r="B2032" t="s">
        <v>6242</v>
      </c>
      <c r="C2032" t="s">
        <v>6260</v>
      </c>
      <c r="D2032" t="s">
        <v>5174</v>
      </c>
      <c r="E2032" t="s">
        <v>6276</v>
      </c>
      <c r="F2032">
        <v>135.67000000000002</v>
      </c>
    </row>
    <row r="2033" spans="1:6">
      <c r="A2033" t="str">
        <f>("92500")</f>
        <v>92500</v>
      </c>
      <c r="B2033" t="s">
        <v>6242</v>
      </c>
      <c r="C2033" t="s">
        <v>6260</v>
      </c>
      <c r="D2033" t="s">
        <v>5163</v>
      </c>
      <c r="E2033" t="s">
        <v>6275</v>
      </c>
      <c r="F2033">
        <v>135.67000000000002</v>
      </c>
    </row>
    <row r="2034" spans="1:6">
      <c r="A2034" t="str">
        <f>("93500")</f>
        <v>93500</v>
      </c>
      <c r="B2034" t="s">
        <v>6242</v>
      </c>
      <c r="C2034" t="s">
        <v>6260</v>
      </c>
      <c r="D2034" t="s">
        <v>5150</v>
      </c>
      <c r="E2034" t="s">
        <v>6274</v>
      </c>
      <c r="F2034">
        <v>157</v>
      </c>
    </row>
    <row r="2035" spans="1:6">
      <c r="A2035" t="str">
        <f>("93700")</f>
        <v>93700</v>
      </c>
      <c r="B2035" t="s">
        <v>6242</v>
      </c>
      <c r="C2035" t="s">
        <v>6260</v>
      </c>
      <c r="D2035" t="s">
        <v>5150</v>
      </c>
      <c r="E2035" t="s">
        <v>6273</v>
      </c>
      <c r="F2035">
        <v>135.67000000000002</v>
      </c>
    </row>
    <row r="2036" spans="1:6">
      <c r="A2036" t="str">
        <f>("93800")</f>
        <v>93800</v>
      </c>
      <c r="B2036" t="s">
        <v>6242</v>
      </c>
      <c r="C2036" t="s">
        <v>6260</v>
      </c>
      <c r="D2036" t="s">
        <v>5184</v>
      </c>
      <c r="E2036" t="s">
        <v>6272</v>
      </c>
      <c r="F2036">
        <v>135.67000000000002</v>
      </c>
    </row>
    <row r="2037" spans="1:6">
      <c r="A2037" t="str">
        <f>("94400")</f>
        <v>94400</v>
      </c>
      <c r="B2037" t="s">
        <v>6242</v>
      </c>
      <c r="C2037" t="s">
        <v>6260</v>
      </c>
      <c r="D2037" t="s">
        <v>6271</v>
      </c>
      <c r="E2037" t="s">
        <v>6270</v>
      </c>
      <c r="F2037">
        <v>157</v>
      </c>
    </row>
    <row r="2038" spans="1:6">
      <c r="A2038" t="str">
        <f>("95300")</f>
        <v>95300</v>
      </c>
      <c r="B2038" t="s">
        <v>6242</v>
      </c>
      <c r="C2038" t="s">
        <v>6260</v>
      </c>
      <c r="D2038" t="s">
        <v>5158</v>
      </c>
      <c r="E2038" t="s">
        <v>6269</v>
      </c>
      <c r="F2038">
        <v>157</v>
      </c>
    </row>
    <row r="2039" spans="1:6">
      <c r="A2039" t="str">
        <f>("95500")</f>
        <v>95500</v>
      </c>
      <c r="B2039" t="s">
        <v>6242</v>
      </c>
      <c r="C2039" t="s">
        <v>6260</v>
      </c>
      <c r="D2039" t="s">
        <v>6268</v>
      </c>
      <c r="E2039" t="s">
        <v>6267</v>
      </c>
      <c r="F2039">
        <v>157</v>
      </c>
    </row>
    <row r="2040" spans="1:6">
      <c r="A2040" t="str">
        <f>("95600")</f>
        <v>95600</v>
      </c>
      <c r="B2040" t="s">
        <v>6242</v>
      </c>
      <c r="C2040" t="s">
        <v>6260</v>
      </c>
      <c r="D2040" t="s">
        <v>5174</v>
      </c>
      <c r="E2040" t="s">
        <v>6266</v>
      </c>
      <c r="F2040">
        <v>135.67000000000002</v>
      </c>
    </row>
    <row r="2041" spans="1:6">
      <c r="A2041" t="str">
        <f>("95800")</f>
        <v>95800</v>
      </c>
      <c r="B2041" t="s">
        <v>6242</v>
      </c>
      <c r="C2041" t="s">
        <v>6260</v>
      </c>
      <c r="D2041" t="s">
        <v>6265</v>
      </c>
      <c r="E2041" t="s">
        <v>6264</v>
      </c>
      <c r="F2041">
        <v>135.67000000000002</v>
      </c>
    </row>
    <row r="2042" spans="1:6">
      <c r="A2042" t="str">
        <f>("97200")</f>
        <v>97200</v>
      </c>
      <c r="B2042" t="s">
        <v>6242</v>
      </c>
      <c r="C2042" t="s">
        <v>6260</v>
      </c>
      <c r="D2042" t="s">
        <v>6263</v>
      </c>
      <c r="E2042" t="s">
        <v>6262</v>
      </c>
      <c r="F2042">
        <v>135.67000000000002</v>
      </c>
    </row>
    <row r="2043" spans="1:6">
      <c r="A2043" t="str">
        <f>("97800")</f>
        <v>97800</v>
      </c>
      <c r="B2043" t="s">
        <v>6242</v>
      </c>
      <c r="C2043" t="s">
        <v>6260</v>
      </c>
      <c r="D2043" t="s">
        <v>5184</v>
      </c>
      <c r="E2043" t="s">
        <v>6261</v>
      </c>
      <c r="F2043">
        <v>135.67000000000002</v>
      </c>
    </row>
    <row r="2044" spans="1:6">
      <c r="A2044" t="str">
        <f>("97900")</f>
        <v>97900</v>
      </c>
      <c r="B2044" t="s">
        <v>6242</v>
      </c>
      <c r="C2044" t="s">
        <v>6260</v>
      </c>
      <c r="D2044" t="s">
        <v>5160</v>
      </c>
      <c r="E2044" t="s">
        <v>6259</v>
      </c>
      <c r="F2044">
        <v>157</v>
      </c>
    </row>
    <row r="2045" spans="1:6">
      <c r="A2045" t="str">
        <f>("31000")</f>
        <v>31000</v>
      </c>
      <c r="B2045" t="s">
        <v>6242</v>
      </c>
      <c r="C2045" t="s">
        <v>6256</v>
      </c>
      <c r="D2045" t="s">
        <v>5163</v>
      </c>
      <c r="E2045" t="s">
        <v>6258</v>
      </c>
      <c r="F2045">
        <v>1208.33</v>
      </c>
    </row>
    <row r="2046" spans="1:6">
      <c r="A2046" t="str">
        <f>("31006")</f>
        <v>31006</v>
      </c>
      <c r="B2046" t="s">
        <v>6242</v>
      </c>
      <c r="C2046" t="s">
        <v>6256</v>
      </c>
      <c r="D2046" t="s">
        <v>5163</v>
      </c>
      <c r="E2046" t="s">
        <v>6257</v>
      </c>
      <c r="F2046">
        <v>1208.33</v>
      </c>
    </row>
    <row r="2047" spans="1:6">
      <c r="A2047" t="str">
        <f>("32018")</f>
        <v>32018</v>
      </c>
      <c r="B2047" t="s">
        <v>6242</v>
      </c>
      <c r="C2047" t="s">
        <v>6256</v>
      </c>
      <c r="D2047" t="s">
        <v>5150</v>
      </c>
      <c r="E2047" t="s">
        <v>6255</v>
      </c>
      <c r="F2047">
        <v>736.33</v>
      </c>
    </row>
    <row r="2048" spans="1:6">
      <c r="A2048" t="str">
        <f>("00000923")</f>
        <v>00000923</v>
      </c>
      <c r="B2048" t="s">
        <v>6242</v>
      </c>
      <c r="C2048" t="s">
        <v>6250</v>
      </c>
      <c r="D2048" t="s">
        <v>5206</v>
      </c>
      <c r="E2048" t="s">
        <v>6254</v>
      </c>
      <c r="F2048">
        <v>211.67</v>
      </c>
    </row>
    <row r="2049" spans="1:6">
      <c r="A2049" t="str">
        <f>("00000966")</f>
        <v>00000966</v>
      </c>
      <c r="B2049" t="s">
        <v>6242</v>
      </c>
      <c r="C2049" t="s">
        <v>6250</v>
      </c>
      <c r="D2049" t="s">
        <v>5206</v>
      </c>
      <c r="E2049" t="s">
        <v>6253</v>
      </c>
      <c r="F2049">
        <v>211.67</v>
      </c>
    </row>
    <row r="2050" spans="1:6">
      <c r="A2050" t="str">
        <f>("00000975")</f>
        <v>00000975</v>
      </c>
      <c r="B2050" t="s">
        <v>6242</v>
      </c>
      <c r="C2050" t="s">
        <v>6250</v>
      </c>
      <c r="D2050" t="s">
        <v>5206</v>
      </c>
      <c r="E2050" t="s">
        <v>6252</v>
      </c>
      <c r="F2050">
        <v>211.67</v>
      </c>
    </row>
    <row r="2051" spans="1:6">
      <c r="A2051" t="str">
        <f>("00000977")</f>
        <v>00000977</v>
      </c>
      <c r="B2051" t="s">
        <v>6242</v>
      </c>
      <c r="C2051" t="s">
        <v>6250</v>
      </c>
      <c r="D2051" t="s">
        <v>5206</v>
      </c>
      <c r="E2051" t="s">
        <v>6251</v>
      </c>
      <c r="F2051">
        <v>230.33</v>
      </c>
    </row>
    <row r="2052" spans="1:6">
      <c r="A2052" t="str">
        <f>("00000978")</f>
        <v>00000978</v>
      </c>
      <c r="B2052" t="s">
        <v>6242</v>
      </c>
      <c r="C2052" t="s">
        <v>6250</v>
      </c>
      <c r="D2052" t="s">
        <v>5206</v>
      </c>
      <c r="E2052" t="s">
        <v>6249</v>
      </c>
      <c r="F2052">
        <v>225</v>
      </c>
    </row>
    <row r="2053" spans="1:6">
      <c r="A2053" t="str">
        <f>("00007147")</f>
        <v>00007147</v>
      </c>
      <c r="B2053" t="s">
        <v>6242</v>
      </c>
      <c r="C2053" t="s">
        <v>6248</v>
      </c>
      <c r="D2053" t="s">
        <v>5206</v>
      </c>
      <c r="E2053" t="s">
        <v>6247</v>
      </c>
      <c r="F2053">
        <v>230.33</v>
      </c>
    </row>
    <row r="2054" spans="1:6">
      <c r="A2054" t="str">
        <f>("00007153")</f>
        <v>00007153</v>
      </c>
      <c r="B2054" t="s">
        <v>6242</v>
      </c>
      <c r="C2054" t="s">
        <v>6244</v>
      </c>
      <c r="D2054" t="s">
        <v>5206</v>
      </c>
      <c r="E2054" t="s">
        <v>6246</v>
      </c>
      <c r="F2054">
        <v>65</v>
      </c>
    </row>
    <row r="2055" spans="1:6">
      <c r="A2055" t="str">
        <f>("00007226")</f>
        <v>00007226</v>
      </c>
      <c r="B2055" t="s">
        <v>6242</v>
      </c>
      <c r="C2055" t="s">
        <v>6244</v>
      </c>
      <c r="D2055" t="s">
        <v>5206</v>
      </c>
      <c r="E2055" t="s">
        <v>6245</v>
      </c>
      <c r="F2055">
        <v>99.67</v>
      </c>
    </row>
    <row r="2056" spans="1:6">
      <c r="A2056" t="str">
        <f>("00007271")</f>
        <v>00007271</v>
      </c>
      <c r="B2056" t="s">
        <v>6242</v>
      </c>
      <c r="C2056" t="s">
        <v>6244</v>
      </c>
      <c r="D2056" t="s">
        <v>5206</v>
      </c>
      <c r="E2056" t="s">
        <v>6243</v>
      </c>
      <c r="F2056">
        <v>190.33</v>
      </c>
    </row>
    <row r="2057" spans="1:6">
      <c r="A2057" t="str">
        <f>("00007304")</f>
        <v>00007304</v>
      </c>
      <c r="B2057" t="s">
        <v>6242</v>
      </c>
      <c r="C2057" t="s">
        <v>6241</v>
      </c>
      <c r="D2057" t="s">
        <v>5184</v>
      </c>
      <c r="E2057" t="s">
        <v>6240</v>
      </c>
      <c r="F2057">
        <v>225</v>
      </c>
    </row>
    <row r="2058" spans="1:6">
      <c r="A2058" t="str">
        <f>("09-276576")</f>
        <v>09-276576</v>
      </c>
      <c r="B2058" t="s">
        <v>5152</v>
      </c>
      <c r="C2058" t="s">
        <v>6239</v>
      </c>
      <c r="D2058" t="s">
        <v>5206</v>
      </c>
      <c r="E2058" t="s">
        <v>6238</v>
      </c>
      <c r="F2058">
        <v>34.33</v>
      </c>
    </row>
    <row r="2059" spans="1:6">
      <c r="A2059" t="str">
        <f>("09-583411-1")</f>
        <v>09-583411-1</v>
      </c>
      <c r="B2059" t="s">
        <v>5152</v>
      </c>
      <c r="C2059" t="s">
        <v>6237</v>
      </c>
      <c r="F2059">
        <v>54.33</v>
      </c>
    </row>
    <row r="2060" spans="1:6">
      <c r="A2060" t="str">
        <f>("09-583411-2")</f>
        <v>09-583411-2</v>
      </c>
      <c r="B2060" t="s">
        <v>5152</v>
      </c>
      <c r="C2060" t="s">
        <v>6236</v>
      </c>
      <c r="F2060">
        <v>87.67</v>
      </c>
    </row>
    <row r="2061" spans="1:6">
      <c r="A2061" t="str">
        <f>("09-621025-1")</f>
        <v>09-621025-1</v>
      </c>
      <c r="B2061" t="s">
        <v>5152</v>
      </c>
      <c r="C2061" t="s">
        <v>6234</v>
      </c>
      <c r="D2061" t="s">
        <v>5206</v>
      </c>
      <c r="E2061" t="s">
        <v>6235</v>
      </c>
      <c r="F2061">
        <v>36.83</v>
      </c>
    </row>
    <row r="2062" spans="1:6">
      <c r="A2062" t="str">
        <f>("09-621025-2")</f>
        <v>09-621025-2</v>
      </c>
      <c r="B2062" t="s">
        <v>5152</v>
      </c>
      <c r="C2062" t="s">
        <v>6234</v>
      </c>
      <c r="D2062" t="s">
        <v>5206</v>
      </c>
      <c r="E2062" t="s">
        <v>6233</v>
      </c>
      <c r="F2062">
        <v>46.33</v>
      </c>
    </row>
    <row r="2063" spans="1:6">
      <c r="A2063" t="str">
        <f>("21-0001")</f>
        <v>21-0001</v>
      </c>
      <c r="B2063" t="s">
        <v>5152</v>
      </c>
      <c r="C2063" t="s">
        <v>6232</v>
      </c>
      <c r="D2063" t="s">
        <v>5206</v>
      </c>
      <c r="E2063" t="s">
        <v>6212</v>
      </c>
      <c r="F2063">
        <v>77</v>
      </c>
    </row>
    <row r="2064" spans="1:6">
      <c r="A2064" t="str">
        <f>("21-20001")</f>
        <v>21-20001</v>
      </c>
      <c r="B2064" t="s">
        <v>5152</v>
      </c>
      <c r="C2064" t="s">
        <v>6230</v>
      </c>
      <c r="D2064" t="s">
        <v>5206</v>
      </c>
      <c r="E2064" t="s">
        <v>6231</v>
      </c>
      <c r="F2064">
        <v>90.33</v>
      </c>
    </row>
    <row r="2065" spans="1:6">
      <c r="A2065" t="str">
        <f>("21-20001-5")</f>
        <v>21-20001-5</v>
      </c>
      <c r="B2065" t="s">
        <v>5152</v>
      </c>
      <c r="C2065" t="s">
        <v>6230</v>
      </c>
      <c r="D2065" t="s">
        <v>5206</v>
      </c>
      <c r="E2065" t="s">
        <v>6229</v>
      </c>
      <c r="F2065">
        <v>90.33</v>
      </c>
    </row>
    <row r="2066" spans="1:6">
      <c r="A2066" t="str">
        <f>("21-50001")</f>
        <v>21-50001</v>
      </c>
      <c r="B2066" t="s">
        <v>5152</v>
      </c>
      <c r="C2066" t="s">
        <v>6228</v>
      </c>
      <c r="D2066" t="s">
        <v>5206</v>
      </c>
      <c r="E2066" t="s">
        <v>6212</v>
      </c>
      <c r="F2066">
        <v>90.33</v>
      </c>
    </row>
    <row r="2067" spans="1:6">
      <c r="A2067" t="str">
        <f>("21-50002")</f>
        <v>21-50002</v>
      </c>
      <c r="B2067" t="s">
        <v>5152</v>
      </c>
      <c r="C2067" t="s">
        <v>6228</v>
      </c>
      <c r="D2067" t="s">
        <v>5206</v>
      </c>
      <c r="E2067" t="s">
        <v>6227</v>
      </c>
      <c r="F2067">
        <v>90.33</v>
      </c>
    </row>
    <row r="2068" spans="1:6">
      <c r="A2068" t="str">
        <f>("21-60001")</f>
        <v>21-60001</v>
      </c>
      <c r="B2068" t="s">
        <v>5152</v>
      </c>
      <c r="C2068" t="s">
        <v>6226</v>
      </c>
      <c r="D2068" t="s">
        <v>5206</v>
      </c>
      <c r="E2068" t="s">
        <v>6212</v>
      </c>
      <c r="F2068">
        <v>86.33</v>
      </c>
    </row>
    <row r="2069" spans="1:6">
      <c r="A2069" t="str">
        <f>("22-5001")</f>
        <v>22-5001</v>
      </c>
      <c r="B2069" t="s">
        <v>5152</v>
      </c>
      <c r="C2069" t="s">
        <v>6225</v>
      </c>
      <c r="D2069" t="s">
        <v>5206</v>
      </c>
      <c r="E2069" t="s">
        <v>6224</v>
      </c>
      <c r="F2069">
        <v>90.33</v>
      </c>
    </row>
    <row r="2070" spans="1:6">
      <c r="A2070" t="str">
        <f>("22-5002")</f>
        <v>22-5002</v>
      </c>
      <c r="B2070" t="s">
        <v>5152</v>
      </c>
      <c r="C2070" t="s">
        <v>6223</v>
      </c>
      <c r="D2070" t="s">
        <v>5206</v>
      </c>
      <c r="E2070" t="s">
        <v>6222</v>
      </c>
      <c r="F2070">
        <v>90.33</v>
      </c>
    </row>
    <row r="2071" spans="1:6">
      <c r="A2071" t="str">
        <f>("22-5003")</f>
        <v>22-5003</v>
      </c>
      <c r="B2071" t="s">
        <v>5152</v>
      </c>
      <c r="C2071" t="s">
        <v>6221</v>
      </c>
      <c r="D2071" t="s">
        <v>5206</v>
      </c>
      <c r="E2071" t="s">
        <v>6220</v>
      </c>
      <c r="F2071">
        <v>55.67</v>
      </c>
    </row>
    <row r="2072" spans="1:6">
      <c r="A2072" t="str">
        <f>("22-6003")</f>
        <v>22-6003</v>
      </c>
      <c r="B2072" t="s">
        <v>5152</v>
      </c>
      <c r="C2072" t="s">
        <v>6219</v>
      </c>
      <c r="D2072" t="s">
        <v>5206</v>
      </c>
      <c r="E2072" t="s">
        <v>6218</v>
      </c>
      <c r="F2072">
        <v>90.33</v>
      </c>
    </row>
    <row r="2073" spans="1:6">
      <c r="A2073" t="str">
        <f>("22-6004")</f>
        <v>22-6004</v>
      </c>
      <c r="B2073" t="s">
        <v>5152</v>
      </c>
      <c r="C2073" t="s">
        <v>6217</v>
      </c>
      <c r="D2073" t="s">
        <v>5206</v>
      </c>
      <c r="E2073" t="s">
        <v>6216</v>
      </c>
      <c r="F2073">
        <v>55.67</v>
      </c>
    </row>
    <row r="2074" spans="1:6">
      <c r="A2074" t="str">
        <f>("23-0001")</f>
        <v>23-0001</v>
      </c>
      <c r="B2074" t="s">
        <v>5152</v>
      </c>
      <c r="C2074" t="s">
        <v>6215</v>
      </c>
      <c r="D2074" t="s">
        <v>5206</v>
      </c>
      <c r="E2074" t="s">
        <v>6214</v>
      </c>
      <c r="F2074">
        <v>97</v>
      </c>
    </row>
    <row r="2075" spans="1:6">
      <c r="A2075" t="str">
        <f>("24-50020")</f>
        <v>24-50020</v>
      </c>
      <c r="B2075" t="s">
        <v>5152</v>
      </c>
      <c r="C2075" t="s">
        <v>6213</v>
      </c>
      <c r="D2075" t="s">
        <v>5206</v>
      </c>
      <c r="E2075" t="s">
        <v>6209</v>
      </c>
      <c r="F2075">
        <v>97</v>
      </c>
    </row>
    <row r="2076" spans="1:6">
      <c r="A2076" t="str">
        <f>("24-50024")</f>
        <v>24-50024</v>
      </c>
      <c r="B2076" t="s">
        <v>5152</v>
      </c>
      <c r="C2076" t="s">
        <v>6213</v>
      </c>
      <c r="D2076" t="s">
        <v>5206</v>
      </c>
      <c r="E2076" t="s">
        <v>6212</v>
      </c>
      <c r="F2076">
        <v>97</v>
      </c>
    </row>
    <row r="2077" spans="1:6">
      <c r="A2077" t="str">
        <f>("25-0001")</f>
        <v>25-0001</v>
      </c>
      <c r="B2077" t="s">
        <v>5152</v>
      </c>
      <c r="C2077" t="s">
        <v>6211</v>
      </c>
      <c r="D2077" t="s">
        <v>5206</v>
      </c>
      <c r="E2077" t="s">
        <v>6209</v>
      </c>
      <c r="F2077">
        <v>83.67</v>
      </c>
    </row>
    <row r="2078" spans="1:6">
      <c r="A2078" t="str">
        <f>("26-0001")</f>
        <v>26-0001</v>
      </c>
      <c r="B2078" t="s">
        <v>5152</v>
      </c>
      <c r="C2078" t="s">
        <v>6210</v>
      </c>
      <c r="D2078" t="s">
        <v>5206</v>
      </c>
      <c r="E2078" t="s">
        <v>6209</v>
      </c>
      <c r="F2078">
        <v>83.67</v>
      </c>
    </row>
    <row r="2079" spans="1:6">
      <c r="A2079" t="str">
        <f>("28-50001")</f>
        <v>28-50001</v>
      </c>
      <c r="B2079" t="s">
        <v>5152</v>
      </c>
      <c r="C2079" t="s">
        <v>6207</v>
      </c>
      <c r="D2079" t="s">
        <v>5206</v>
      </c>
      <c r="E2079" t="s">
        <v>6208</v>
      </c>
      <c r="F2079">
        <v>90.33</v>
      </c>
    </row>
    <row r="2080" spans="1:6">
      <c r="A2080" t="str">
        <f>("28-50002")</f>
        <v>28-50002</v>
      </c>
      <c r="B2080" t="s">
        <v>5152</v>
      </c>
      <c r="C2080" t="s">
        <v>6207</v>
      </c>
      <c r="D2080" t="s">
        <v>5206</v>
      </c>
      <c r="E2080" t="s">
        <v>6206</v>
      </c>
      <c r="F2080">
        <v>90.33</v>
      </c>
    </row>
    <row r="2081" spans="1:6">
      <c r="A2081" t="str">
        <f>("28-50003")</f>
        <v>28-50003</v>
      </c>
      <c r="B2081" t="s">
        <v>5152</v>
      </c>
      <c r="C2081" t="s">
        <v>6205</v>
      </c>
      <c r="D2081" t="s">
        <v>5206</v>
      </c>
      <c r="E2081" t="s">
        <v>6204</v>
      </c>
      <c r="F2081">
        <v>55.67</v>
      </c>
    </row>
    <row r="2082" spans="1:6">
      <c r="A2082" t="str">
        <f>("28-70001")</f>
        <v>28-70001</v>
      </c>
      <c r="B2082" t="s">
        <v>5152</v>
      </c>
      <c r="C2082" t="s">
        <v>6202</v>
      </c>
      <c r="D2082" t="s">
        <v>5206</v>
      </c>
      <c r="E2082" t="s">
        <v>6203</v>
      </c>
      <c r="F2082">
        <v>90.33</v>
      </c>
    </row>
    <row r="2083" spans="1:6">
      <c r="A2083" t="str">
        <f>("28-70002")</f>
        <v>28-70002</v>
      </c>
      <c r="B2083" t="s">
        <v>5152</v>
      </c>
      <c r="C2083" t="s">
        <v>6202</v>
      </c>
      <c r="D2083" t="s">
        <v>5206</v>
      </c>
      <c r="E2083" t="s">
        <v>6201</v>
      </c>
      <c r="F2083">
        <v>90.33</v>
      </c>
    </row>
    <row r="2084" spans="1:6">
      <c r="A2084" t="str">
        <f>("28-71991")</f>
        <v>28-71991</v>
      </c>
      <c r="B2084" t="s">
        <v>5152</v>
      </c>
      <c r="C2084" t="s">
        <v>6200</v>
      </c>
      <c r="D2084" t="s">
        <v>5206</v>
      </c>
      <c r="E2084" t="s">
        <v>6199</v>
      </c>
      <c r="F2084">
        <v>55.67</v>
      </c>
    </row>
    <row r="2085" spans="1:6">
      <c r="A2085" t="str">
        <f>("40-1004")</f>
        <v>40-1004</v>
      </c>
      <c r="B2085" t="s">
        <v>5152</v>
      </c>
      <c r="C2085" t="s">
        <v>6198</v>
      </c>
      <c r="D2085" t="s">
        <v>5206</v>
      </c>
      <c r="E2085" t="s">
        <v>6197</v>
      </c>
      <c r="F2085">
        <v>119.67</v>
      </c>
    </row>
    <row r="2086" spans="1:6">
      <c r="A2086" t="str">
        <f>("500-SPCL")</f>
        <v>500-SPCL</v>
      </c>
      <c r="B2086" t="s">
        <v>5186</v>
      </c>
      <c r="C2086" t="s">
        <v>6196</v>
      </c>
      <c r="F2086">
        <v>125.33</v>
      </c>
    </row>
    <row r="2087" spans="1:6">
      <c r="A2087" t="str">
        <f>("56-100006")</f>
        <v>56-100006</v>
      </c>
      <c r="B2087" t="s">
        <v>5152</v>
      </c>
      <c r="C2087" t="s">
        <v>6192</v>
      </c>
      <c r="D2087" t="s">
        <v>5206</v>
      </c>
      <c r="E2087" t="s">
        <v>6195</v>
      </c>
      <c r="F2087">
        <v>71.67</v>
      </c>
    </row>
    <row r="2088" spans="1:6">
      <c r="A2088" t="str">
        <f>("56-10001")</f>
        <v>56-10001</v>
      </c>
      <c r="B2088" t="s">
        <v>5152</v>
      </c>
      <c r="C2088" t="s">
        <v>6190</v>
      </c>
      <c r="D2088" t="s">
        <v>5206</v>
      </c>
      <c r="E2088" t="s">
        <v>6194</v>
      </c>
      <c r="F2088">
        <v>90.33</v>
      </c>
    </row>
    <row r="2089" spans="1:6">
      <c r="A2089" t="str">
        <f>("56-100011")</f>
        <v>56-100011</v>
      </c>
      <c r="B2089" t="s">
        <v>5152</v>
      </c>
      <c r="C2089" t="s">
        <v>6192</v>
      </c>
      <c r="D2089" t="s">
        <v>5206</v>
      </c>
      <c r="E2089" t="s">
        <v>6193</v>
      </c>
      <c r="F2089">
        <v>94.33</v>
      </c>
    </row>
    <row r="2090" spans="1:6">
      <c r="A2090" t="str">
        <f>("56-100015")</f>
        <v>56-100015</v>
      </c>
      <c r="B2090" t="s">
        <v>5152</v>
      </c>
      <c r="C2090" t="s">
        <v>6192</v>
      </c>
      <c r="D2090" t="s">
        <v>5206</v>
      </c>
      <c r="E2090" t="s">
        <v>6191</v>
      </c>
      <c r="F2090">
        <v>110.33</v>
      </c>
    </row>
    <row r="2091" spans="1:6">
      <c r="A2091" t="str">
        <f>("56-10002")</f>
        <v>56-10002</v>
      </c>
      <c r="B2091" t="s">
        <v>5152</v>
      </c>
      <c r="C2091" t="s">
        <v>6190</v>
      </c>
      <c r="D2091" t="s">
        <v>5206</v>
      </c>
      <c r="E2091" t="s">
        <v>6189</v>
      </c>
      <c r="F2091">
        <v>90.33</v>
      </c>
    </row>
    <row r="2092" spans="1:6">
      <c r="A2092" t="str">
        <f>("56-10003")</f>
        <v>56-10003</v>
      </c>
      <c r="B2092" t="s">
        <v>5152</v>
      </c>
      <c r="C2092" t="s">
        <v>6188</v>
      </c>
      <c r="D2092" t="s">
        <v>5206</v>
      </c>
      <c r="E2092" t="s">
        <v>6187</v>
      </c>
      <c r="F2092">
        <v>90.33</v>
      </c>
    </row>
    <row r="2093" spans="1:6">
      <c r="A2093" t="str">
        <f>("56-20001")</f>
        <v>56-20001</v>
      </c>
      <c r="B2093" t="s">
        <v>5152</v>
      </c>
      <c r="C2093" t="s">
        <v>6186</v>
      </c>
      <c r="D2093" t="s">
        <v>5206</v>
      </c>
      <c r="E2093" t="s">
        <v>6185</v>
      </c>
      <c r="F2093">
        <v>90.33</v>
      </c>
    </row>
    <row r="2094" spans="1:6">
      <c r="A2094" t="str">
        <f>("57-0001")</f>
        <v>57-0001</v>
      </c>
      <c r="B2094" t="s">
        <v>5152</v>
      </c>
      <c r="C2094" t="s">
        <v>6184</v>
      </c>
      <c r="D2094" t="s">
        <v>5206</v>
      </c>
      <c r="E2094" t="s">
        <v>6183</v>
      </c>
      <c r="F2094">
        <v>150.32999999999998</v>
      </c>
    </row>
    <row r="2095" spans="1:6">
      <c r="A2095" t="str">
        <f>("57-0002")</f>
        <v>57-0002</v>
      </c>
      <c r="B2095" t="s">
        <v>5152</v>
      </c>
      <c r="C2095" t="s">
        <v>6182</v>
      </c>
      <c r="F2095">
        <v>16.829999999999998</v>
      </c>
    </row>
    <row r="2096" spans="1:6">
      <c r="A2096" t="str">
        <f>("57-23955-11")</f>
        <v>57-23955-11</v>
      </c>
      <c r="B2096" t="s">
        <v>5152</v>
      </c>
      <c r="C2096" t="s">
        <v>6181</v>
      </c>
      <c r="F2096">
        <v>28.83</v>
      </c>
    </row>
    <row r="2097" spans="1:6">
      <c r="A2097" t="str">
        <f>("80-0001")</f>
        <v>80-0001</v>
      </c>
      <c r="B2097" t="s">
        <v>5152</v>
      </c>
      <c r="C2097" t="s">
        <v>6180</v>
      </c>
      <c r="D2097" t="s">
        <v>5206</v>
      </c>
      <c r="E2097" t="s">
        <v>6179</v>
      </c>
      <c r="F2097">
        <v>39.67</v>
      </c>
    </row>
    <row r="2098" spans="1:6">
      <c r="A2098" t="str">
        <f>("80-0134")</f>
        <v>80-0134</v>
      </c>
      <c r="B2098" t="s">
        <v>5152</v>
      </c>
      <c r="C2098" t="s">
        <v>6178</v>
      </c>
      <c r="D2098" t="s">
        <v>5206</v>
      </c>
      <c r="E2098" t="s">
        <v>6177</v>
      </c>
      <c r="F2098">
        <v>30.33</v>
      </c>
    </row>
    <row r="2099" spans="1:6">
      <c r="A2099" t="str">
        <f>("80-0158")</f>
        <v>80-0158</v>
      </c>
      <c r="B2099" t="s">
        <v>5152</v>
      </c>
      <c r="C2099" t="s">
        <v>6176</v>
      </c>
      <c r="D2099" t="s">
        <v>5206</v>
      </c>
      <c r="E2099" t="s">
        <v>6175</v>
      </c>
      <c r="F2099">
        <v>109</v>
      </c>
    </row>
    <row r="2100" spans="1:6">
      <c r="A2100" t="str">
        <f>("80-0220")</f>
        <v>80-0220</v>
      </c>
      <c r="B2100" t="s">
        <v>5152</v>
      </c>
      <c r="C2100" t="s">
        <v>6174</v>
      </c>
      <c r="D2100" t="s">
        <v>5206</v>
      </c>
      <c r="E2100" t="s">
        <v>6173</v>
      </c>
      <c r="F2100">
        <v>53</v>
      </c>
    </row>
    <row r="2101" spans="1:6">
      <c r="A2101" t="str">
        <f>("80-0221")</f>
        <v>80-0221</v>
      </c>
      <c r="B2101" t="s">
        <v>5152</v>
      </c>
      <c r="C2101" t="s">
        <v>6172</v>
      </c>
      <c r="D2101" t="s">
        <v>5206</v>
      </c>
      <c r="E2101" t="s">
        <v>6171</v>
      </c>
      <c r="F2101">
        <v>53</v>
      </c>
    </row>
    <row r="2102" spans="1:6">
      <c r="A2102" t="str">
        <f>("80-21715")</f>
        <v>80-21715</v>
      </c>
      <c r="B2102" t="s">
        <v>5152</v>
      </c>
      <c r="C2102" t="s">
        <v>6168</v>
      </c>
      <c r="D2102" t="s">
        <v>5206</v>
      </c>
      <c r="E2102" t="s">
        <v>6170</v>
      </c>
      <c r="F2102">
        <v>39.67</v>
      </c>
    </row>
    <row r="2103" spans="1:6">
      <c r="A2103" t="str">
        <f>("80-28534")</f>
        <v>80-28534</v>
      </c>
      <c r="B2103" t="s">
        <v>5152</v>
      </c>
      <c r="C2103" t="s">
        <v>6169</v>
      </c>
      <c r="F2103">
        <v>42.33</v>
      </c>
    </row>
    <row r="2104" spans="1:6">
      <c r="A2104" t="str">
        <f>("80-28715")</f>
        <v>80-28715</v>
      </c>
      <c r="B2104" t="s">
        <v>5152</v>
      </c>
      <c r="C2104" t="s">
        <v>6168</v>
      </c>
      <c r="D2104" t="s">
        <v>5206</v>
      </c>
      <c r="E2104" t="s">
        <v>6167</v>
      </c>
      <c r="F2104">
        <v>39.67</v>
      </c>
    </row>
    <row r="2105" spans="1:6">
      <c r="A2105" t="str">
        <f>("80-3514005-2")</f>
        <v>80-3514005-2</v>
      </c>
      <c r="B2105" t="s">
        <v>5152</v>
      </c>
      <c r="C2105" t="s">
        <v>6166</v>
      </c>
      <c r="F2105">
        <v>975.67</v>
      </c>
    </row>
    <row r="2106" spans="1:6">
      <c r="A2106" t="str">
        <f>("80-PL20")</f>
        <v>80-PL20</v>
      </c>
      <c r="B2106" t="s">
        <v>5152</v>
      </c>
      <c r="C2106" t="s">
        <v>6165</v>
      </c>
      <c r="D2106" t="s">
        <v>5206</v>
      </c>
      <c r="E2106" t="s">
        <v>6164</v>
      </c>
      <c r="F2106">
        <v>157</v>
      </c>
    </row>
    <row r="2107" spans="1:6">
      <c r="A2107" t="str">
        <f>("88-0005")</f>
        <v>88-0005</v>
      </c>
      <c r="B2107" t="s">
        <v>5152</v>
      </c>
      <c r="C2107" t="s">
        <v>6162</v>
      </c>
      <c r="D2107" t="s">
        <v>5206</v>
      </c>
      <c r="E2107" t="s">
        <v>6163</v>
      </c>
      <c r="F2107">
        <v>51.67</v>
      </c>
    </row>
    <row r="2108" spans="1:6">
      <c r="A2108" t="str">
        <f>("88-0015")</f>
        <v>88-0015</v>
      </c>
      <c r="B2108" t="s">
        <v>5152</v>
      </c>
      <c r="C2108" t="s">
        <v>6162</v>
      </c>
      <c r="D2108" t="s">
        <v>5206</v>
      </c>
      <c r="E2108" t="s">
        <v>6161</v>
      </c>
      <c r="F2108">
        <v>47.67</v>
      </c>
    </row>
    <row r="2109" spans="1:6">
      <c r="A2109" t="str">
        <f>("88-0025")</f>
        <v>88-0025</v>
      </c>
      <c r="B2109" t="s">
        <v>5152</v>
      </c>
      <c r="C2109" t="s">
        <v>6162</v>
      </c>
      <c r="D2109" t="s">
        <v>5206</v>
      </c>
      <c r="E2109" t="s">
        <v>6163</v>
      </c>
      <c r="F2109">
        <v>51.67</v>
      </c>
    </row>
    <row r="2110" spans="1:6">
      <c r="A2110" t="str">
        <f>("88-0035")</f>
        <v>88-0035</v>
      </c>
      <c r="B2110" t="s">
        <v>5152</v>
      </c>
      <c r="C2110" t="s">
        <v>6162</v>
      </c>
      <c r="D2110" t="s">
        <v>5206</v>
      </c>
      <c r="E2110" t="s">
        <v>6161</v>
      </c>
      <c r="F2110">
        <v>47.67</v>
      </c>
    </row>
    <row r="2111" spans="1:6">
      <c r="A2111" t="str">
        <f>("19-11100")</f>
        <v>19-11100</v>
      </c>
      <c r="B2111" t="s">
        <v>6077</v>
      </c>
      <c r="C2111" t="s">
        <v>6160</v>
      </c>
      <c r="F2111">
        <v>525</v>
      </c>
    </row>
    <row r="2112" spans="1:6">
      <c r="A2112" t="str">
        <f>("19-21100")</f>
        <v>19-21100</v>
      </c>
      <c r="B2112" t="s">
        <v>6077</v>
      </c>
      <c r="C2112" t="s">
        <v>6159</v>
      </c>
      <c r="F2112">
        <v>525</v>
      </c>
    </row>
    <row r="2113" spans="1:6">
      <c r="A2113" t="str">
        <f>("19-41100")</f>
        <v>19-41100</v>
      </c>
      <c r="B2113" t="s">
        <v>6077</v>
      </c>
      <c r="C2113" t="s">
        <v>6158</v>
      </c>
      <c r="F2113">
        <v>1490</v>
      </c>
    </row>
    <row r="2114" spans="1:6">
      <c r="A2114" t="str">
        <f>("20-55405")</f>
        <v>20-55405</v>
      </c>
      <c r="B2114" t="s">
        <v>6077</v>
      </c>
      <c r="C2114" t="s">
        <v>6157</v>
      </c>
      <c r="F2114">
        <v>267.66999999999996</v>
      </c>
    </row>
    <row r="2115" spans="1:6">
      <c r="A2115" t="str">
        <f>("21-52400")</f>
        <v>21-52400</v>
      </c>
      <c r="B2115" t="s">
        <v>6077</v>
      </c>
      <c r="C2115" t="s">
        <v>6156</v>
      </c>
      <c r="D2115" t="s">
        <v>5206</v>
      </c>
      <c r="E2115" t="s">
        <v>6155</v>
      </c>
      <c r="F2115">
        <v>319.67</v>
      </c>
    </row>
    <row r="2116" spans="1:6">
      <c r="A2116" t="str">
        <f>("21-52405")</f>
        <v>21-52405</v>
      </c>
      <c r="B2116" t="s">
        <v>6077</v>
      </c>
      <c r="C2116" t="s">
        <v>6156</v>
      </c>
      <c r="D2116" t="s">
        <v>5206</v>
      </c>
      <c r="E2116" t="s">
        <v>6155</v>
      </c>
      <c r="F2116">
        <v>186.33</v>
      </c>
    </row>
    <row r="2117" spans="1:6">
      <c r="A2117" t="str">
        <f>("21-55400")</f>
        <v>21-55400</v>
      </c>
      <c r="B2117" t="s">
        <v>6077</v>
      </c>
      <c r="C2117" t="s">
        <v>6154</v>
      </c>
      <c r="D2117" t="s">
        <v>5206</v>
      </c>
      <c r="E2117" t="s">
        <v>6153</v>
      </c>
      <c r="F2117">
        <v>344.67</v>
      </c>
    </row>
    <row r="2118" spans="1:6">
      <c r="A2118" t="str">
        <f>("21-55405")</f>
        <v>21-55405</v>
      </c>
      <c r="B2118" t="s">
        <v>6077</v>
      </c>
      <c r="C2118" t="s">
        <v>6154</v>
      </c>
      <c r="D2118" t="s">
        <v>5206</v>
      </c>
      <c r="E2118" t="s">
        <v>6153</v>
      </c>
      <c r="F2118">
        <v>211.33</v>
      </c>
    </row>
    <row r="2119" spans="1:6">
      <c r="A2119" t="str">
        <f>("21-65405")</f>
        <v>21-65405</v>
      </c>
      <c r="B2119" t="s">
        <v>6077</v>
      </c>
      <c r="C2119" t="s">
        <v>6152</v>
      </c>
      <c r="D2119" t="s">
        <v>5206</v>
      </c>
      <c r="E2119" t="s">
        <v>6151</v>
      </c>
      <c r="F2119">
        <v>199.5</v>
      </c>
    </row>
    <row r="2120" spans="1:6">
      <c r="A2120" t="str">
        <f>("23-5470")</f>
        <v>23-5470</v>
      </c>
      <c r="B2120" t="s">
        <v>6077</v>
      </c>
      <c r="C2120" t="s">
        <v>6150</v>
      </c>
      <c r="D2120" t="s">
        <v>5206</v>
      </c>
      <c r="E2120" t="s">
        <v>6149</v>
      </c>
      <c r="F2120">
        <v>246.33</v>
      </c>
    </row>
    <row r="2121" spans="1:6">
      <c r="A2121" t="str">
        <f>("27-5790")</f>
        <v>27-5790</v>
      </c>
      <c r="B2121" t="s">
        <v>6077</v>
      </c>
      <c r="C2121" t="s">
        <v>6148</v>
      </c>
      <c r="D2121" t="s">
        <v>5206</v>
      </c>
      <c r="E2121" t="s">
        <v>6139</v>
      </c>
      <c r="F2121">
        <v>603.66999999999996</v>
      </c>
    </row>
    <row r="2122" spans="1:6">
      <c r="A2122" t="str">
        <f>("27-5795")</f>
        <v>27-5795</v>
      </c>
      <c r="B2122" t="s">
        <v>6077</v>
      </c>
      <c r="C2122" t="s">
        <v>6148</v>
      </c>
      <c r="D2122" t="s">
        <v>5206</v>
      </c>
      <c r="E2122" t="s">
        <v>6139</v>
      </c>
      <c r="F2122">
        <v>478.33</v>
      </c>
    </row>
    <row r="2123" spans="1:6">
      <c r="A2123" t="str">
        <f>("27-6420")</f>
        <v>27-6420</v>
      </c>
      <c r="B2123" t="s">
        <v>6077</v>
      </c>
      <c r="C2123" t="s">
        <v>6147</v>
      </c>
      <c r="D2123" t="s">
        <v>5206</v>
      </c>
      <c r="E2123" t="s">
        <v>6146</v>
      </c>
      <c r="F2123">
        <v>236.83</v>
      </c>
    </row>
    <row r="2124" spans="1:6">
      <c r="A2124" t="str">
        <f>("27-75475")</f>
        <v>27-75475</v>
      </c>
      <c r="B2124" t="s">
        <v>6077</v>
      </c>
      <c r="C2124" t="s">
        <v>6145</v>
      </c>
      <c r="D2124" t="s">
        <v>5206</v>
      </c>
      <c r="E2124" t="s">
        <v>6144</v>
      </c>
      <c r="F2124">
        <v>226.17</v>
      </c>
    </row>
    <row r="2125" spans="1:6">
      <c r="A2125" t="str">
        <f>("28-31000")</f>
        <v>28-31000</v>
      </c>
      <c r="B2125" t="s">
        <v>5152</v>
      </c>
      <c r="C2125" t="s">
        <v>6143</v>
      </c>
      <c r="D2125" t="s">
        <v>5206</v>
      </c>
      <c r="E2125" t="s">
        <v>6142</v>
      </c>
      <c r="F2125">
        <v>278.16999999999996</v>
      </c>
    </row>
    <row r="2126" spans="1:6">
      <c r="A2126" t="str">
        <f>("28-55400")</f>
        <v>28-55400</v>
      </c>
      <c r="B2126" t="s">
        <v>6077</v>
      </c>
      <c r="C2126" t="s">
        <v>6141</v>
      </c>
      <c r="D2126" t="s">
        <v>5206</v>
      </c>
      <c r="E2126" t="s">
        <v>6139</v>
      </c>
      <c r="F2126">
        <v>319.67</v>
      </c>
    </row>
    <row r="2127" spans="1:6">
      <c r="A2127" t="str">
        <f>("28-55405")</f>
        <v>28-55405</v>
      </c>
      <c r="B2127" t="s">
        <v>6077</v>
      </c>
      <c r="C2127" t="s">
        <v>6141</v>
      </c>
      <c r="D2127" t="s">
        <v>5206</v>
      </c>
      <c r="E2127" t="s">
        <v>6139</v>
      </c>
      <c r="F2127">
        <v>186.33</v>
      </c>
    </row>
    <row r="2128" spans="1:6">
      <c r="A2128" t="str">
        <f>("28-75400")</f>
        <v>28-75400</v>
      </c>
      <c r="B2128" t="s">
        <v>6077</v>
      </c>
      <c r="C2128" t="s">
        <v>6140</v>
      </c>
      <c r="D2128" t="s">
        <v>5206</v>
      </c>
      <c r="E2128" t="s">
        <v>6139</v>
      </c>
      <c r="F2128">
        <v>319.67</v>
      </c>
    </row>
    <row r="2129" spans="1:6">
      <c r="A2129" t="str">
        <f>("28-75405")</f>
        <v>28-75405</v>
      </c>
      <c r="B2129" t="s">
        <v>6077</v>
      </c>
      <c r="C2129" t="s">
        <v>6140</v>
      </c>
      <c r="D2129" t="s">
        <v>5206</v>
      </c>
      <c r="E2129" t="s">
        <v>6139</v>
      </c>
      <c r="F2129">
        <v>186.33</v>
      </c>
    </row>
    <row r="2130" spans="1:6">
      <c r="A2130" t="str">
        <f>("28-85405")</f>
        <v>28-85405</v>
      </c>
      <c r="B2130" t="s">
        <v>6077</v>
      </c>
      <c r="C2130" t="s">
        <v>6138</v>
      </c>
      <c r="D2130" t="s">
        <v>5206</v>
      </c>
      <c r="E2130" t="s">
        <v>6132</v>
      </c>
      <c r="F2130">
        <v>344.67</v>
      </c>
    </row>
    <row r="2131" spans="1:6">
      <c r="A2131" t="str">
        <f>("29-22005")</f>
        <v>29-22005</v>
      </c>
      <c r="B2131" t="s">
        <v>5152</v>
      </c>
      <c r="C2131" t="s">
        <v>6137</v>
      </c>
      <c r="D2131" t="s">
        <v>5206</v>
      </c>
      <c r="E2131" t="s">
        <v>6134</v>
      </c>
      <c r="F2131">
        <v>1961</v>
      </c>
    </row>
    <row r="2132" spans="1:6">
      <c r="A2132" t="str">
        <f>("29-22005A")</f>
        <v>29-22005A</v>
      </c>
      <c r="B2132" t="s">
        <v>5152</v>
      </c>
      <c r="C2132" t="s">
        <v>6136</v>
      </c>
      <c r="D2132" t="s">
        <v>5206</v>
      </c>
      <c r="E2132" t="s">
        <v>6134</v>
      </c>
      <c r="F2132">
        <v>993</v>
      </c>
    </row>
    <row r="2133" spans="1:6">
      <c r="A2133" t="str">
        <f>("29-22005B")</f>
        <v>29-22005B</v>
      </c>
      <c r="B2133" t="s">
        <v>5152</v>
      </c>
      <c r="C2133" t="s">
        <v>6135</v>
      </c>
      <c r="D2133" t="s">
        <v>5206</v>
      </c>
      <c r="E2133" t="s">
        <v>6134</v>
      </c>
      <c r="F2133">
        <v>965</v>
      </c>
    </row>
    <row r="2134" spans="1:6">
      <c r="A2134" t="str">
        <f>("42-6545")</f>
        <v>42-6545</v>
      </c>
      <c r="B2134" t="s">
        <v>6077</v>
      </c>
      <c r="C2134" t="s">
        <v>6133</v>
      </c>
      <c r="D2134" t="s">
        <v>5206</v>
      </c>
      <c r="E2134" t="s">
        <v>6132</v>
      </c>
      <c r="F2134">
        <v>278</v>
      </c>
    </row>
    <row r="2135" spans="1:6">
      <c r="A2135" t="str">
        <f>("55026")</f>
        <v>55026</v>
      </c>
      <c r="B2135" t="s">
        <v>6077</v>
      </c>
      <c r="C2135" t="s">
        <v>6131</v>
      </c>
      <c r="D2135" t="s">
        <v>5206</v>
      </c>
      <c r="E2135" t="s">
        <v>6130</v>
      </c>
      <c r="F2135">
        <v>25</v>
      </c>
    </row>
    <row r="2136" spans="1:6">
      <c r="A2136" t="str">
        <f>("55028")</f>
        <v>55028</v>
      </c>
      <c r="B2136" t="s">
        <v>6077</v>
      </c>
      <c r="C2136" t="s">
        <v>6129</v>
      </c>
      <c r="D2136" t="s">
        <v>5206</v>
      </c>
      <c r="E2136" t="s">
        <v>6129</v>
      </c>
      <c r="F2136">
        <v>83.67</v>
      </c>
    </row>
    <row r="2137" spans="1:6">
      <c r="A2137" t="str">
        <f>("55037")</f>
        <v>55037</v>
      </c>
      <c r="B2137" t="s">
        <v>6077</v>
      </c>
      <c r="C2137" t="s">
        <v>6128</v>
      </c>
      <c r="D2137" t="s">
        <v>5206</v>
      </c>
      <c r="E2137" t="s">
        <v>6127</v>
      </c>
      <c r="F2137">
        <v>25</v>
      </c>
    </row>
    <row r="2138" spans="1:6">
      <c r="A2138" t="str">
        <f>("55309")</f>
        <v>55309</v>
      </c>
      <c r="B2138" t="s">
        <v>6077</v>
      </c>
      <c r="C2138" t="s">
        <v>6126</v>
      </c>
      <c r="D2138" t="s">
        <v>5206</v>
      </c>
      <c r="E2138" t="s">
        <v>6125</v>
      </c>
      <c r="F2138">
        <v>8556</v>
      </c>
    </row>
    <row r="2139" spans="1:6">
      <c r="A2139" t="str">
        <f>("55409-02")</f>
        <v>55409-02</v>
      </c>
      <c r="B2139" t="s">
        <v>6077</v>
      </c>
      <c r="C2139" t="s">
        <v>6124</v>
      </c>
      <c r="D2139" t="s">
        <v>5206</v>
      </c>
      <c r="E2139" t="s">
        <v>6123</v>
      </c>
      <c r="F2139">
        <v>902</v>
      </c>
    </row>
    <row r="2140" spans="1:6">
      <c r="A2140" t="str">
        <f>("55411")</f>
        <v>55411</v>
      </c>
      <c r="B2140" t="s">
        <v>6077</v>
      </c>
      <c r="C2140" t="s">
        <v>6122</v>
      </c>
      <c r="D2140" t="s">
        <v>5206</v>
      </c>
      <c r="E2140" t="s">
        <v>6122</v>
      </c>
      <c r="F2140">
        <v>25</v>
      </c>
    </row>
    <row r="2141" spans="1:6">
      <c r="A2141" t="str">
        <f>("55417")</f>
        <v>55417</v>
      </c>
      <c r="B2141" t="s">
        <v>6077</v>
      </c>
      <c r="C2141" t="s">
        <v>6121</v>
      </c>
      <c r="D2141" t="s">
        <v>5206</v>
      </c>
      <c r="E2141" t="s">
        <v>6120</v>
      </c>
      <c r="F2141">
        <v>0</v>
      </c>
    </row>
    <row r="2142" spans="1:6">
      <c r="A2142" t="str">
        <f>("55470")</f>
        <v>55470</v>
      </c>
      <c r="B2142" t="s">
        <v>6077</v>
      </c>
      <c r="C2142" t="s">
        <v>6119</v>
      </c>
      <c r="D2142" t="s">
        <v>5206</v>
      </c>
      <c r="E2142" t="s">
        <v>6118</v>
      </c>
      <c r="F2142">
        <v>304.66999999999996</v>
      </c>
    </row>
    <row r="2143" spans="1:6">
      <c r="A2143" t="str">
        <f>("55476")</f>
        <v>55476</v>
      </c>
      <c r="B2143" t="s">
        <v>6077</v>
      </c>
      <c r="C2143" t="s">
        <v>6117</v>
      </c>
      <c r="D2143" t="s">
        <v>5206</v>
      </c>
      <c r="E2143" t="s">
        <v>6116</v>
      </c>
      <c r="F2143">
        <v>1692.67</v>
      </c>
    </row>
    <row r="2144" spans="1:6">
      <c r="A2144" t="str">
        <f>("55477")</f>
        <v>55477</v>
      </c>
      <c r="B2144" t="s">
        <v>6077</v>
      </c>
      <c r="C2144" t="s">
        <v>6115</v>
      </c>
      <c r="D2144" t="s">
        <v>5206</v>
      </c>
      <c r="E2144" t="s">
        <v>6114</v>
      </c>
      <c r="F2144">
        <v>0</v>
      </c>
    </row>
    <row r="2145" spans="1:6">
      <c r="A2145" t="str">
        <f>("55570")</f>
        <v>55570</v>
      </c>
      <c r="B2145" t="s">
        <v>6077</v>
      </c>
      <c r="C2145" t="s">
        <v>6113</v>
      </c>
      <c r="D2145" t="s">
        <v>5206</v>
      </c>
      <c r="E2145" t="s">
        <v>6112</v>
      </c>
      <c r="F2145">
        <v>581.67000000000007</v>
      </c>
    </row>
    <row r="2146" spans="1:6">
      <c r="A2146" t="str">
        <f>("55660")</f>
        <v>55660</v>
      </c>
      <c r="B2146" t="s">
        <v>6077</v>
      </c>
      <c r="C2146" t="s">
        <v>6111</v>
      </c>
      <c r="D2146" t="s">
        <v>5206</v>
      </c>
      <c r="E2146" t="s">
        <v>6110</v>
      </c>
      <c r="F2146">
        <v>563.33000000000004</v>
      </c>
    </row>
    <row r="2147" spans="1:6">
      <c r="A2147" t="str">
        <f>("55701")</f>
        <v>55701</v>
      </c>
      <c r="B2147" t="s">
        <v>6077</v>
      </c>
      <c r="C2147" t="s">
        <v>6109</v>
      </c>
      <c r="D2147" t="s">
        <v>5206</v>
      </c>
      <c r="E2147" t="s">
        <v>6108</v>
      </c>
      <c r="F2147">
        <v>353.33</v>
      </c>
    </row>
    <row r="2148" spans="1:6">
      <c r="A2148" t="str">
        <f>("56-15405")</f>
        <v>56-15405</v>
      </c>
      <c r="B2148" t="s">
        <v>6077</v>
      </c>
      <c r="C2148" t="s">
        <v>6107</v>
      </c>
      <c r="D2148" t="s">
        <v>5206</v>
      </c>
      <c r="E2148" t="s">
        <v>6104</v>
      </c>
      <c r="F2148">
        <v>319.67</v>
      </c>
    </row>
    <row r="2149" spans="1:6">
      <c r="A2149" t="str">
        <f>("56-154052")</f>
        <v>56-154052</v>
      </c>
      <c r="B2149" t="s">
        <v>6077</v>
      </c>
      <c r="C2149" t="s">
        <v>6106</v>
      </c>
      <c r="D2149" t="s">
        <v>5206</v>
      </c>
      <c r="E2149" t="s">
        <v>6104</v>
      </c>
      <c r="F2149">
        <v>201</v>
      </c>
    </row>
    <row r="2150" spans="1:6">
      <c r="A2150" t="str">
        <f>("56-25405")</f>
        <v>56-25405</v>
      </c>
      <c r="B2150" t="s">
        <v>6077</v>
      </c>
      <c r="C2150" t="s">
        <v>6105</v>
      </c>
      <c r="D2150" t="s">
        <v>5206</v>
      </c>
      <c r="E2150" t="s">
        <v>6104</v>
      </c>
      <c r="F2150">
        <v>330.17</v>
      </c>
    </row>
    <row r="2151" spans="1:6">
      <c r="A2151" t="str">
        <f>("SW01")</f>
        <v>SW01</v>
      </c>
      <c r="B2151" t="s">
        <v>6077</v>
      </c>
      <c r="C2151" t="s">
        <v>6103</v>
      </c>
      <c r="D2151" t="s">
        <v>5206</v>
      </c>
      <c r="E2151" t="s">
        <v>6103</v>
      </c>
      <c r="F2151">
        <v>0</v>
      </c>
    </row>
    <row r="2152" spans="1:6">
      <c r="A2152" t="str">
        <f>("SWMINICAT2025")</f>
        <v>SWMINICAT2025</v>
      </c>
      <c r="B2152" t="s">
        <v>6077</v>
      </c>
      <c r="C2152" t="s">
        <v>6102</v>
      </c>
      <c r="D2152" t="s">
        <v>5206</v>
      </c>
      <c r="E2152" t="s">
        <v>6101</v>
      </c>
      <c r="F2152">
        <v>18.170000000000002</v>
      </c>
    </row>
    <row r="2153" spans="1:6">
      <c r="A2153" t="str">
        <f>("SWTS-L")</f>
        <v>SWTS-L</v>
      </c>
      <c r="B2153" t="s">
        <v>6090</v>
      </c>
      <c r="C2153" t="s">
        <v>6100</v>
      </c>
      <c r="D2153" t="s">
        <v>5206</v>
      </c>
      <c r="E2153" t="s">
        <v>6099</v>
      </c>
      <c r="F2153">
        <v>64.83</v>
      </c>
    </row>
    <row r="2154" spans="1:6">
      <c r="A2154" t="str">
        <f>("SWTS-M")</f>
        <v>SWTS-M</v>
      </c>
      <c r="B2154" t="s">
        <v>6090</v>
      </c>
      <c r="C2154" t="s">
        <v>6098</v>
      </c>
      <c r="D2154" t="s">
        <v>5206</v>
      </c>
      <c r="E2154" t="s">
        <v>6097</v>
      </c>
      <c r="F2154">
        <v>64.83</v>
      </c>
    </row>
    <row r="2155" spans="1:6">
      <c r="A2155" t="str">
        <f>("SWTS-S")</f>
        <v>SWTS-S</v>
      </c>
      <c r="B2155" t="s">
        <v>6090</v>
      </c>
      <c r="C2155" t="s">
        <v>6096</v>
      </c>
      <c r="D2155" t="s">
        <v>5206</v>
      </c>
      <c r="E2155" t="s">
        <v>6095</v>
      </c>
      <c r="F2155">
        <v>64.83</v>
      </c>
    </row>
    <row r="2156" spans="1:6">
      <c r="A2156" t="str">
        <f>("SWTS-XL")</f>
        <v>SWTS-XL</v>
      </c>
      <c r="B2156" t="s">
        <v>6090</v>
      </c>
      <c r="C2156" t="s">
        <v>6094</v>
      </c>
      <c r="D2156" t="s">
        <v>5206</v>
      </c>
      <c r="E2156" t="s">
        <v>6093</v>
      </c>
      <c r="F2156">
        <v>64.83</v>
      </c>
    </row>
    <row r="2157" spans="1:6">
      <c r="A2157" t="str">
        <f>("SWTS-XXL")</f>
        <v>SWTS-XXL</v>
      </c>
      <c r="B2157" t="s">
        <v>6090</v>
      </c>
      <c r="C2157" t="s">
        <v>6092</v>
      </c>
      <c r="D2157" t="s">
        <v>5206</v>
      </c>
      <c r="E2157" t="s">
        <v>6091</v>
      </c>
      <c r="F2157">
        <v>64.83</v>
      </c>
    </row>
    <row r="2158" spans="1:6">
      <c r="A2158" t="str">
        <f>("SWTS-XXXL")</f>
        <v>SWTS-XXXL</v>
      </c>
      <c r="B2158" t="s">
        <v>6090</v>
      </c>
      <c r="C2158" t="s">
        <v>6089</v>
      </c>
      <c r="D2158" t="s">
        <v>5206</v>
      </c>
      <c r="E2158" t="s">
        <v>6088</v>
      </c>
      <c r="F2158">
        <v>64.83</v>
      </c>
    </row>
    <row r="2159" spans="1:6">
      <c r="A2159" t="str">
        <f>("W02")</f>
        <v>W02</v>
      </c>
      <c r="B2159" t="s">
        <v>5152</v>
      </c>
      <c r="C2159" t="s">
        <v>6087</v>
      </c>
      <c r="D2159" t="s">
        <v>5206</v>
      </c>
      <c r="E2159" t="s">
        <v>6086</v>
      </c>
      <c r="F2159">
        <v>25</v>
      </c>
    </row>
    <row r="2160" spans="1:6">
      <c r="A2160" t="str">
        <f>("W17")</f>
        <v>W17</v>
      </c>
      <c r="B2160" t="s">
        <v>6077</v>
      </c>
      <c r="C2160" t="s">
        <v>6085</v>
      </c>
      <c r="D2160" t="s">
        <v>5206</v>
      </c>
      <c r="E2160" t="s">
        <v>6084</v>
      </c>
      <c r="F2160">
        <v>0</v>
      </c>
    </row>
    <row r="2161" spans="1:6">
      <c r="A2161" t="str">
        <f>("W18")</f>
        <v>W18</v>
      </c>
      <c r="B2161" t="s">
        <v>6077</v>
      </c>
      <c r="C2161" t="s">
        <v>6083</v>
      </c>
      <c r="D2161" t="s">
        <v>5206</v>
      </c>
      <c r="E2161" t="s">
        <v>6082</v>
      </c>
      <c r="F2161">
        <v>0</v>
      </c>
    </row>
    <row r="2162" spans="1:6">
      <c r="A2162" t="str">
        <f>("WMINICAT2025")</f>
        <v>WMINICAT2025</v>
      </c>
      <c r="B2162" t="s">
        <v>6077</v>
      </c>
      <c r="C2162" t="s">
        <v>6081</v>
      </c>
      <c r="D2162" t="s">
        <v>5206</v>
      </c>
      <c r="E2162" t="s">
        <v>6080</v>
      </c>
      <c r="F2162">
        <v>18.170000000000002</v>
      </c>
    </row>
    <row r="2163" spans="1:6">
      <c r="A2163" t="str">
        <f>("WPS13")</f>
        <v>WPS13</v>
      </c>
      <c r="B2163" t="s">
        <v>5186</v>
      </c>
      <c r="C2163" t="s">
        <v>6079</v>
      </c>
      <c r="D2163" t="s">
        <v>5206</v>
      </c>
      <c r="E2163" t="s">
        <v>6078</v>
      </c>
      <c r="F2163">
        <v>0</v>
      </c>
    </row>
    <row r="2164" spans="1:6">
      <c r="A2164" t="str">
        <f>("WSNP-24-10")</f>
        <v>WSNP-24-10</v>
      </c>
      <c r="B2164" t="s">
        <v>6077</v>
      </c>
      <c r="C2164" t="s">
        <v>6076</v>
      </c>
      <c r="D2164" t="s">
        <v>5206</v>
      </c>
      <c r="E2164" t="s">
        <v>6075</v>
      </c>
      <c r="F2164">
        <v>0</v>
      </c>
    </row>
    <row r="2165" spans="1:6">
      <c r="A2165" t="str">
        <f>("WTS-L")</f>
        <v>WTS-L</v>
      </c>
      <c r="B2165" t="s">
        <v>5152</v>
      </c>
      <c r="C2165" t="s">
        <v>6074</v>
      </c>
      <c r="D2165" t="s">
        <v>5206</v>
      </c>
      <c r="E2165" t="s">
        <v>6073</v>
      </c>
      <c r="F2165">
        <v>64.83</v>
      </c>
    </row>
    <row r="2166" spans="1:6">
      <c r="A2166" t="str">
        <f>("WTS-M")</f>
        <v>WTS-M</v>
      </c>
      <c r="B2166" t="s">
        <v>5152</v>
      </c>
      <c r="C2166" t="s">
        <v>6072</v>
      </c>
      <c r="D2166" t="s">
        <v>5206</v>
      </c>
      <c r="E2166" t="s">
        <v>6071</v>
      </c>
      <c r="F2166">
        <v>64.83</v>
      </c>
    </row>
    <row r="2167" spans="1:6">
      <c r="A2167" t="str">
        <f>("WTS-S")</f>
        <v>WTS-S</v>
      </c>
      <c r="B2167" t="s">
        <v>5152</v>
      </c>
      <c r="C2167" t="s">
        <v>6070</v>
      </c>
      <c r="D2167" t="s">
        <v>5206</v>
      </c>
      <c r="E2167" t="s">
        <v>6069</v>
      </c>
      <c r="F2167">
        <v>64.83</v>
      </c>
    </row>
    <row r="2168" spans="1:6">
      <c r="A2168" t="str">
        <f>("WTS-XL")</f>
        <v>WTS-XL</v>
      </c>
      <c r="B2168" t="s">
        <v>5152</v>
      </c>
      <c r="C2168" t="s">
        <v>6068</v>
      </c>
      <c r="D2168" t="s">
        <v>5206</v>
      </c>
      <c r="E2168" t="s">
        <v>6067</v>
      </c>
      <c r="F2168">
        <v>64.83</v>
      </c>
    </row>
    <row r="2169" spans="1:6">
      <c r="A2169" t="str">
        <f>("WTS-XXL")</f>
        <v>WTS-XXL</v>
      </c>
      <c r="B2169" t="s">
        <v>5152</v>
      </c>
      <c r="C2169" t="s">
        <v>6066</v>
      </c>
      <c r="D2169" t="s">
        <v>5206</v>
      </c>
      <c r="E2169" t="s">
        <v>6065</v>
      </c>
      <c r="F2169">
        <v>64.83</v>
      </c>
    </row>
    <row r="2170" spans="1:6">
      <c r="A2170" t="str">
        <f>("WTS-XXXL")</f>
        <v>WTS-XXXL</v>
      </c>
      <c r="B2170" t="s">
        <v>5152</v>
      </c>
      <c r="C2170" t="s">
        <v>6064</v>
      </c>
      <c r="D2170" t="s">
        <v>5206</v>
      </c>
      <c r="E2170" t="s">
        <v>6063</v>
      </c>
      <c r="F2170">
        <v>64.83</v>
      </c>
    </row>
    <row r="2171" spans="1:6">
      <c r="A2171" t="str">
        <f>("100-0001")</f>
        <v>100-0001</v>
      </c>
      <c r="B2171" t="s">
        <v>5186</v>
      </c>
      <c r="C2171" t="s">
        <v>5663</v>
      </c>
      <c r="D2171" t="s">
        <v>5206</v>
      </c>
      <c r="E2171" t="s">
        <v>6062</v>
      </c>
      <c r="F2171">
        <v>327.67</v>
      </c>
    </row>
    <row r="2172" spans="1:6">
      <c r="A2172" t="str">
        <f>("100-0002")</f>
        <v>100-0002</v>
      </c>
      <c r="B2172" t="s">
        <v>5186</v>
      </c>
      <c r="C2172" t="s">
        <v>6061</v>
      </c>
      <c r="D2172" t="s">
        <v>5206</v>
      </c>
      <c r="F2172">
        <v>167.67</v>
      </c>
    </row>
    <row r="2173" spans="1:6">
      <c r="A2173" t="str">
        <f>("100-0003")</f>
        <v>100-0003</v>
      </c>
      <c r="B2173" t="s">
        <v>5186</v>
      </c>
      <c r="C2173" t="s">
        <v>6026</v>
      </c>
      <c r="D2173" t="s">
        <v>5206</v>
      </c>
      <c r="E2173" t="s">
        <v>6060</v>
      </c>
      <c r="F2173">
        <v>166.33</v>
      </c>
    </row>
    <row r="2174" spans="1:6">
      <c r="A2174" t="str">
        <f>("100-0004")</f>
        <v>100-0004</v>
      </c>
      <c r="B2174" t="s">
        <v>5186</v>
      </c>
      <c r="C2174" t="s">
        <v>6026</v>
      </c>
      <c r="D2174" t="s">
        <v>5206</v>
      </c>
      <c r="E2174" t="s">
        <v>6059</v>
      </c>
      <c r="F2174">
        <v>114.33</v>
      </c>
    </row>
    <row r="2175" spans="1:6">
      <c r="A2175" t="str">
        <f>("100-0006")</f>
        <v>100-0006</v>
      </c>
      <c r="B2175" t="s">
        <v>5186</v>
      </c>
      <c r="C2175" t="s">
        <v>6048</v>
      </c>
      <c r="D2175" t="s">
        <v>5206</v>
      </c>
      <c r="E2175" t="s">
        <v>6058</v>
      </c>
      <c r="F2175">
        <v>41</v>
      </c>
    </row>
    <row r="2176" spans="1:6">
      <c r="A2176" t="str">
        <f>("100-0007")</f>
        <v>100-0007</v>
      </c>
      <c r="B2176" t="s">
        <v>5186</v>
      </c>
      <c r="C2176" t="s">
        <v>6048</v>
      </c>
      <c r="D2176" t="s">
        <v>5206</v>
      </c>
      <c r="E2176" t="s">
        <v>6057</v>
      </c>
      <c r="F2176">
        <v>41</v>
      </c>
    </row>
    <row r="2177" spans="1:6">
      <c r="A2177" t="str">
        <f>("100-0009")</f>
        <v>100-0009</v>
      </c>
      <c r="B2177" t="s">
        <v>5186</v>
      </c>
      <c r="C2177" t="s">
        <v>6056</v>
      </c>
      <c r="D2177" t="s">
        <v>5206</v>
      </c>
      <c r="F2177">
        <v>47.67</v>
      </c>
    </row>
    <row r="2178" spans="1:6">
      <c r="A2178" t="str">
        <f>("100-0010")</f>
        <v>100-0010</v>
      </c>
      <c r="B2178" t="s">
        <v>5186</v>
      </c>
      <c r="C2178" t="s">
        <v>6048</v>
      </c>
      <c r="D2178" t="s">
        <v>5206</v>
      </c>
      <c r="E2178" t="s">
        <v>6055</v>
      </c>
      <c r="F2178">
        <v>42.33</v>
      </c>
    </row>
    <row r="2179" spans="1:6">
      <c r="A2179" t="str">
        <f>("100-0011")</f>
        <v>100-0011</v>
      </c>
      <c r="B2179" t="s">
        <v>5186</v>
      </c>
      <c r="C2179" t="s">
        <v>6048</v>
      </c>
      <c r="D2179" t="s">
        <v>5206</v>
      </c>
      <c r="E2179" t="s">
        <v>6054</v>
      </c>
      <c r="F2179">
        <v>61</v>
      </c>
    </row>
    <row r="2180" spans="1:6">
      <c r="A2180" t="str">
        <f>("100-0012")</f>
        <v>100-0012</v>
      </c>
      <c r="B2180" t="s">
        <v>5186</v>
      </c>
      <c r="C2180" t="s">
        <v>6048</v>
      </c>
      <c r="D2180" t="s">
        <v>5206</v>
      </c>
      <c r="E2180" t="s">
        <v>6053</v>
      </c>
      <c r="F2180">
        <v>61</v>
      </c>
    </row>
    <row r="2181" spans="1:6">
      <c r="A2181" t="str">
        <f>("100-0013")</f>
        <v>100-0013</v>
      </c>
      <c r="B2181" t="s">
        <v>5186</v>
      </c>
      <c r="C2181" t="s">
        <v>6052</v>
      </c>
      <c r="D2181" t="s">
        <v>5206</v>
      </c>
      <c r="E2181" t="s">
        <v>6051</v>
      </c>
      <c r="F2181">
        <v>42.33</v>
      </c>
    </row>
    <row r="2182" spans="1:6">
      <c r="A2182" t="str">
        <f>("100-0014")</f>
        <v>100-0014</v>
      </c>
      <c r="B2182" t="s">
        <v>5186</v>
      </c>
      <c r="C2182" t="s">
        <v>6048</v>
      </c>
      <c r="D2182" t="s">
        <v>5206</v>
      </c>
      <c r="E2182" t="s">
        <v>6050</v>
      </c>
      <c r="F2182">
        <v>58.33</v>
      </c>
    </row>
    <row r="2183" spans="1:6">
      <c r="A2183" t="str">
        <f>("100-0015")</f>
        <v>100-0015</v>
      </c>
      <c r="B2183" t="s">
        <v>5186</v>
      </c>
      <c r="C2183" t="s">
        <v>6048</v>
      </c>
      <c r="D2183" t="s">
        <v>5206</v>
      </c>
      <c r="E2183" t="s">
        <v>6049</v>
      </c>
      <c r="F2183">
        <v>30.33</v>
      </c>
    </row>
    <row r="2184" spans="1:6">
      <c r="A2184" t="str">
        <f>("100-0016")</f>
        <v>100-0016</v>
      </c>
      <c r="B2184" t="s">
        <v>5186</v>
      </c>
      <c r="C2184" t="s">
        <v>6048</v>
      </c>
      <c r="D2184" t="s">
        <v>5206</v>
      </c>
      <c r="E2184" t="s">
        <v>6047</v>
      </c>
      <c r="F2184">
        <v>30.33</v>
      </c>
    </row>
    <row r="2185" spans="1:6">
      <c r="A2185" t="str">
        <f>("100-0018")</f>
        <v>100-0018</v>
      </c>
      <c r="B2185" t="s">
        <v>5186</v>
      </c>
      <c r="C2185" t="s">
        <v>6026</v>
      </c>
      <c r="D2185" t="s">
        <v>5206</v>
      </c>
      <c r="E2185" t="s">
        <v>6046</v>
      </c>
      <c r="F2185">
        <v>91.67</v>
      </c>
    </row>
    <row r="2186" spans="1:6">
      <c r="A2186" t="str">
        <f>("100-0019")</f>
        <v>100-0019</v>
      </c>
      <c r="B2186" t="s">
        <v>5186</v>
      </c>
      <c r="C2186" t="s">
        <v>6026</v>
      </c>
      <c r="D2186" t="s">
        <v>5206</v>
      </c>
      <c r="E2186" t="s">
        <v>6045</v>
      </c>
      <c r="F2186">
        <v>115.67</v>
      </c>
    </row>
    <row r="2187" spans="1:6">
      <c r="A2187" t="str">
        <f>("100-0020")</f>
        <v>100-0020</v>
      </c>
      <c r="B2187" t="s">
        <v>5186</v>
      </c>
      <c r="C2187" t="s">
        <v>6026</v>
      </c>
      <c r="D2187" t="s">
        <v>5206</v>
      </c>
      <c r="E2187" t="s">
        <v>6044</v>
      </c>
      <c r="F2187">
        <v>135.67000000000002</v>
      </c>
    </row>
    <row r="2188" spans="1:6">
      <c r="A2188" t="str">
        <f>("100-0021")</f>
        <v>100-0021</v>
      </c>
      <c r="B2188" t="s">
        <v>5186</v>
      </c>
      <c r="C2188" t="s">
        <v>6026</v>
      </c>
      <c r="D2188" t="s">
        <v>5206</v>
      </c>
      <c r="E2188" t="s">
        <v>6043</v>
      </c>
      <c r="F2188">
        <v>135.67000000000002</v>
      </c>
    </row>
    <row r="2189" spans="1:6">
      <c r="A2189" t="str">
        <f>("100-0022")</f>
        <v>100-0022</v>
      </c>
      <c r="B2189" t="s">
        <v>5186</v>
      </c>
      <c r="C2189" t="s">
        <v>6026</v>
      </c>
      <c r="D2189" t="s">
        <v>5206</v>
      </c>
      <c r="E2189" t="s">
        <v>6042</v>
      </c>
      <c r="F2189">
        <v>101</v>
      </c>
    </row>
    <row r="2190" spans="1:6">
      <c r="A2190" t="str">
        <f>("100-0023")</f>
        <v>100-0023</v>
      </c>
      <c r="B2190" t="s">
        <v>5186</v>
      </c>
      <c r="C2190" t="s">
        <v>6026</v>
      </c>
      <c r="D2190" t="s">
        <v>5206</v>
      </c>
      <c r="E2190" t="s">
        <v>6041</v>
      </c>
      <c r="F2190">
        <v>113</v>
      </c>
    </row>
    <row r="2191" spans="1:6">
      <c r="A2191" t="str">
        <f>("100-0024")</f>
        <v>100-0024</v>
      </c>
      <c r="B2191" t="s">
        <v>5186</v>
      </c>
      <c r="C2191" t="s">
        <v>6040</v>
      </c>
      <c r="D2191" t="s">
        <v>5206</v>
      </c>
      <c r="F2191">
        <v>122.33</v>
      </c>
    </row>
    <row r="2192" spans="1:6">
      <c r="A2192" t="str">
        <f>("100-0025")</f>
        <v>100-0025</v>
      </c>
      <c r="B2192" t="s">
        <v>5186</v>
      </c>
      <c r="C2192" t="s">
        <v>6026</v>
      </c>
      <c r="D2192" t="s">
        <v>5206</v>
      </c>
      <c r="E2192" t="s">
        <v>6039</v>
      </c>
      <c r="F2192">
        <v>125</v>
      </c>
    </row>
    <row r="2193" spans="1:6">
      <c r="A2193" t="str">
        <f>("100-0026")</f>
        <v>100-0026</v>
      </c>
      <c r="B2193" t="s">
        <v>5186</v>
      </c>
      <c r="C2193" t="s">
        <v>6026</v>
      </c>
      <c r="D2193" t="s">
        <v>5206</v>
      </c>
      <c r="E2193" t="s">
        <v>6038</v>
      </c>
      <c r="F2193">
        <v>153</v>
      </c>
    </row>
    <row r="2194" spans="1:6">
      <c r="A2194" t="str">
        <f>("100-0028")</f>
        <v>100-0028</v>
      </c>
      <c r="B2194" t="s">
        <v>5186</v>
      </c>
      <c r="C2194" t="s">
        <v>6026</v>
      </c>
      <c r="D2194" t="s">
        <v>5206</v>
      </c>
      <c r="E2194" t="s">
        <v>6037</v>
      </c>
      <c r="F2194">
        <v>153</v>
      </c>
    </row>
    <row r="2195" spans="1:6">
      <c r="A2195" t="str">
        <f>("100-0029")</f>
        <v>100-0029</v>
      </c>
      <c r="B2195" t="s">
        <v>5186</v>
      </c>
      <c r="C2195" t="s">
        <v>6026</v>
      </c>
      <c r="D2195" t="s">
        <v>5206</v>
      </c>
      <c r="E2195" t="s">
        <v>6036</v>
      </c>
      <c r="F2195">
        <v>182.33</v>
      </c>
    </row>
    <row r="2196" spans="1:6">
      <c r="A2196" t="str">
        <f>("100-0030")</f>
        <v>100-0030</v>
      </c>
      <c r="B2196" t="s">
        <v>5186</v>
      </c>
      <c r="C2196" t="s">
        <v>6035</v>
      </c>
      <c r="D2196" t="s">
        <v>5206</v>
      </c>
      <c r="F2196">
        <v>182.33</v>
      </c>
    </row>
    <row r="2197" spans="1:6">
      <c r="A2197" t="str">
        <f>("100-0031")</f>
        <v>100-0031</v>
      </c>
      <c r="B2197" t="s">
        <v>5186</v>
      </c>
      <c r="C2197" t="s">
        <v>6026</v>
      </c>
      <c r="D2197" t="s">
        <v>5206</v>
      </c>
      <c r="E2197" t="s">
        <v>6034</v>
      </c>
      <c r="F2197">
        <v>193</v>
      </c>
    </row>
    <row r="2198" spans="1:6">
      <c r="A2198" t="str">
        <f>("100-0032")</f>
        <v>100-0032</v>
      </c>
      <c r="B2198" t="s">
        <v>5186</v>
      </c>
      <c r="C2198" t="s">
        <v>6026</v>
      </c>
      <c r="D2198" t="s">
        <v>5206</v>
      </c>
      <c r="E2198" t="s">
        <v>6033</v>
      </c>
      <c r="F2198">
        <v>177</v>
      </c>
    </row>
    <row r="2199" spans="1:6">
      <c r="A2199" t="str">
        <f>("100-0033")</f>
        <v>100-0033</v>
      </c>
      <c r="B2199" t="s">
        <v>5186</v>
      </c>
      <c r="C2199" t="s">
        <v>6026</v>
      </c>
      <c r="D2199" t="s">
        <v>5206</v>
      </c>
      <c r="E2199" t="s">
        <v>6032</v>
      </c>
      <c r="F2199">
        <v>270.33000000000004</v>
      </c>
    </row>
    <row r="2200" spans="1:6">
      <c r="A2200" t="str">
        <f>("100-0034")</f>
        <v>100-0034</v>
      </c>
      <c r="B2200" t="s">
        <v>5186</v>
      </c>
      <c r="C2200" t="s">
        <v>6026</v>
      </c>
      <c r="D2200" t="s">
        <v>5206</v>
      </c>
      <c r="E2200" t="s">
        <v>6031</v>
      </c>
      <c r="F2200">
        <v>237</v>
      </c>
    </row>
    <row r="2201" spans="1:6">
      <c r="A2201" t="str">
        <f>("100-0035")</f>
        <v>100-0035</v>
      </c>
      <c r="B2201" t="s">
        <v>5186</v>
      </c>
      <c r="C2201" t="s">
        <v>6026</v>
      </c>
      <c r="D2201" t="s">
        <v>5206</v>
      </c>
      <c r="E2201" t="s">
        <v>6030</v>
      </c>
      <c r="F2201">
        <v>237</v>
      </c>
    </row>
    <row r="2202" spans="1:6">
      <c r="A2202" t="str">
        <f>("100-0036")</f>
        <v>100-0036</v>
      </c>
      <c r="B2202" t="s">
        <v>5186</v>
      </c>
      <c r="C2202" t="s">
        <v>6026</v>
      </c>
      <c r="D2202" t="s">
        <v>5206</v>
      </c>
      <c r="E2202" t="s">
        <v>6029</v>
      </c>
      <c r="F2202">
        <v>254.33</v>
      </c>
    </row>
    <row r="2203" spans="1:6">
      <c r="A2203" t="str">
        <f>("100-0037")</f>
        <v>100-0037</v>
      </c>
      <c r="B2203" t="s">
        <v>5186</v>
      </c>
      <c r="C2203" t="s">
        <v>6026</v>
      </c>
      <c r="D2203" t="s">
        <v>5206</v>
      </c>
      <c r="E2203" t="s">
        <v>6028</v>
      </c>
      <c r="F2203">
        <v>254.33</v>
      </c>
    </row>
    <row r="2204" spans="1:6">
      <c r="A2204" t="str">
        <f>("100-0038")</f>
        <v>100-0038</v>
      </c>
      <c r="B2204" t="s">
        <v>5186</v>
      </c>
      <c r="C2204" t="s">
        <v>6026</v>
      </c>
      <c r="D2204" t="s">
        <v>5206</v>
      </c>
      <c r="E2204" t="s">
        <v>6027</v>
      </c>
      <c r="F2204">
        <v>357</v>
      </c>
    </row>
    <row r="2205" spans="1:6">
      <c r="A2205" t="str">
        <f>("100-0040")</f>
        <v>100-0040</v>
      </c>
      <c r="B2205" t="s">
        <v>5186</v>
      </c>
      <c r="C2205" t="s">
        <v>6026</v>
      </c>
      <c r="D2205" t="s">
        <v>5206</v>
      </c>
      <c r="E2205" t="s">
        <v>6025</v>
      </c>
      <c r="F2205">
        <v>195.67</v>
      </c>
    </row>
    <row r="2206" spans="1:6">
      <c r="A2206" t="str">
        <f>("35-10015")</f>
        <v>35-10015</v>
      </c>
      <c r="B2206" t="s">
        <v>5186</v>
      </c>
      <c r="C2206" t="s">
        <v>6024</v>
      </c>
      <c r="D2206" t="s">
        <v>5184</v>
      </c>
      <c r="E2206" t="s">
        <v>5998</v>
      </c>
      <c r="F2206">
        <v>2397</v>
      </c>
    </row>
    <row r="2207" spans="1:6">
      <c r="A2207" t="str">
        <f>("35-10035")</f>
        <v>35-10035</v>
      </c>
      <c r="B2207" t="s">
        <v>5186</v>
      </c>
      <c r="C2207" t="s">
        <v>6024</v>
      </c>
      <c r="D2207" t="s">
        <v>5174</v>
      </c>
      <c r="E2207" t="s">
        <v>6016</v>
      </c>
      <c r="F2207">
        <v>2397</v>
      </c>
    </row>
    <row r="2208" spans="1:6">
      <c r="A2208" t="str">
        <f>("35-10065")</f>
        <v>35-10065</v>
      </c>
      <c r="B2208" t="s">
        <v>5186</v>
      </c>
      <c r="C2208" t="s">
        <v>6024</v>
      </c>
      <c r="D2208" t="s">
        <v>5216</v>
      </c>
      <c r="E2208" t="s">
        <v>5992</v>
      </c>
      <c r="F2208">
        <v>2397</v>
      </c>
    </row>
    <row r="2209" spans="1:6">
      <c r="A2209" t="str">
        <f>("35-10075")</f>
        <v>35-10075</v>
      </c>
      <c r="B2209" t="s">
        <v>5186</v>
      </c>
      <c r="C2209" t="s">
        <v>6018</v>
      </c>
      <c r="D2209" t="s">
        <v>5184</v>
      </c>
      <c r="E2209" t="s">
        <v>5183</v>
      </c>
      <c r="F2209">
        <v>1744.67</v>
      </c>
    </row>
    <row r="2210" spans="1:6">
      <c r="A2210" t="str">
        <f>("35-10075-D")</f>
        <v>35-10075-D</v>
      </c>
      <c r="B2210" t="s">
        <v>5186</v>
      </c>
      <c r="C2210" t="s">
        <v>6023</v>
      </c>
      <c r="D2210" t="s">
        <v>5184</v>
      </c>
      <c r="E2210" t="s">
        <v>5183</v>
      </c>
      <c r="F2210">
        <v>1278</v>
      </c>
    </row>
    <row r="2211" spans="1:6">
      <c r="A2211" t="str">
        <f>("35-10085")</f>
        <v>35-10085</v>
      </c>
      <c r="B2211" t="s">
        <v>5186</v>
      </c>
      <c r="C2211" t="s">
        <v>6018</v>
      </c>
      <c r="D2211" t="s">
        <v>5174</v>
      </c>
      <c r="E2211" t="s">
        <v>5537</v>
      </c>
      <c r="F2211">
        <v>1744.67</v>
      </c>
    </row>
    <row r="2212" spans="1:6">
      <c r="A2212" t="str">
        <f>("35-10085-D")</f>
        <v>35-10085-D</v>
      </c>
      <c r="B2212" t="s">
        <v>5186</v>
      </c>
      <c r="C2212" t="s">
        <v>6023</v>
      </c>
      <c r="D2212" t="s">
        <v>5174</v>
      </c>
      <c r="E2212" t="s">
        <v>5537</v>
      </c>
      <c r="F2212">
        <v>1278</v>
      </c>
    </row>
    <row r="2213" spans="1:6">
      <c r="A2213" t="str">
        <f>("35-10095")</f>
        <v>35-10095</v>
      </c>
      <c r="B2213" t="s">
        <v>5186</v>
      </c>
      <c r="C2213" t="s">
        <v>6018</v>
      </c>
      <c r="D2213" t="s">
        <v>5216</v>
      </c>
      <c r="E2213" t="s">
        <v>6009</v>
      </c>
      <c r="F2213">
        <v>1744.67</v>
      </c>
    </row>
    <row r="2214" spans="1:6">
      <c r="A2214" t="str">
        <f>("35-10095-D")</f>
        <v>35-10095-D</v>
      </c>
      <c r="B2214" t="s">
        <v>5186</v>
      </c>
      <c r="C2214" t="s">
        <v>6023</v>
      </c>
      <c r="D2214" t="s">
        <v>5216</v>
      </c>
      <c r="E2214" t="s">
        <v>6022</v>
      </c>
      <c r="F2214">
        <v>1278</v>
      </c>
    </row>
    <row r="2215" spans="1:6">
      <c r="A2215" t="str">
        <f>("35-12005")</f>
        <v>35-12005</v>
      </c>
      <c r="B2215" t="s">
        <v>5186</v>
      </c>
      <c r="C2215" t="s">
        <v>6019</v>
      </c>
      <c r="D2215" t="s">
        <v>5174</v>
      </c>
      <c r="E2215" t="s">
        <v>5526</v>
      </c>
      <c r="F2215">
        <v>971</v>
      </c>
    </row>
    <row r="2216" spans="1:6">
      <c r="A2216" t="str">
        <f>("35-120052")</f>
        <v>35-120052</v>
      </c>
      <c r="B2216" t="s">
        <v>5186</v>
      </c>
      <c r="C2216" t="s">
        <v>6020</v>
      </c>
      <c r="D2216" t="s">
        <v>5174</v>
      </c>
      <c r="E2216" t="s">
        <v>5526</v>
      </c>
      <c r="F2216">
        <v>370</v>
      </c>
    </row>
    <row r="2217" spans="1:6">
      <c r="A2217" t="str">
        <f>("35-12025")</f>
        <v>35-12025</v>
      </c>
      <c r="B2217" t="s">
        <v>5186</v>
      </c>
      <c r="C2217" t="s">
        <v>6019</v>
      </c>
      <c r="D2217" t="s">
        <v>5216</v>
      </c>
      <c r="E2217" t="s">
        <v>6014</v>
      </c>
      <c r="F2217">
        <v>1056.33</v>
      </c>
    </row>
    <row r="2218" spans="1:6">
      <c r="A2218" t="str">
        <f>("35-120251")</f>
        <v>35-120251</v>
      </c>
      <c r="B2218" t="s">
        <v>5186</v>
      </c>
      <c r="C2218" t="s">
        <v>6021</v>
      </c>
      <c r="D2218" t="s">
        <v>5216</v>
      </c>
      <c r="E2218" t="s">
        <v>6014</v>
      </c>
      <c r="F2218">
        <v>1015.33</v>
      </c>
    </row>
    <row r="2219" spans="1:6">
      <c r="A2219" t="str">
        <f>("35-120252")</f>
        <v>35-120252</v>
      </c>
      <c r="B2219" t="s">
        <v>5186</v>
      </c>
      <c r="C2219" t="s">
        <v>6020</v>
      </c>
      <c r="D2219" t="s">
        <v>5216</v>
      </c>
      <c r="E2219" t="s">
        <v>6014</v>
      </c>
      <c r="F2219">
        <v>370</v>
      </c>
    </row>
    <row r="2220" spans="1:6">
      <c r="A2220" t="str">
        <f>("35-12035")</f>
        <v>35-12035</v>
      </c>
      <c r="B2220" t="s">
        <v>5186</v>
      </c>
      <c r="C2220" t="s">
        <v>6010</v>
      </c>
      <c r="D2220" t="s">
        <v>5174</v>
      </c>
      <c r="E2220" t="s">
        <v>6016</v>
      </c>
      <c r="F2220">
        <v>391.33</v>
      </c>
    </row>
    <row r="2221" spans="1:6">
      <c r="A2221" t="str">
        <f>("35-12045")</f>
        <v>35-12045</v>
      </c>
      <c r="B2221" t="s">
        <v>5186</v>
      </c>
      <c r="C2221" t="s">
        <v>6019</v>
      </c>
      <c r="D2221" t="s">
        <v>5174</v>
      </c>
      <c r="E2221" t="s">
        <v>5537</v>
      </c>
      <c r="F2221">
        <v>1049.67</v>
      </c>
    </row>
    <row r="2222" spans="1:6">
      <c r="A2222" t="str">
        <f>("35-120452")</f>
        <v>35-120452</v>
      </c>
      <c r="B2222" t="s">
        <v>5186</v>
      </c>
      <c r="C2222" t="s">
        <v>6020</v>
      </c>
      <c r="D2222" t="s">
        <v>5174</v>
      </c>
      <c r="E2222" t="s">
        <v>5537</v>
      </c>
      <c r="F2222">
        <v>370</v>
      </c>
    </row>
    <row r="2223" spans="1:6">
      <c r="A2223" t="str">
        <f>("35-12065")</f>
        <v>35-12065</v>
      </c>
      <c r="B2223" t="s">
        <v>5186</v>
      </c>
      <c r="C2223" t="s">
        <v>6019</v>
      </c>
      <c r="D2223" t="s">
        <v>5216</v>
      </c>
      <c r="E2223" t="s">
        <v>5992</v>
      </c>
      <c r="F2223">
        <v>1144.33</v>
      </c>
    </row>
    <row r="2224" spans="1:6">
      <c r="A2224" t="str">
        <f>("35-120652")</f>
        <v>35-120652</v>
      </c>
      <c r="B2224" t="s">
        <v>5186</v>
      </c>
      <c r="C2224" t="s">
        <v>6020</v>
      </c>
      <c r="D2224" t="s">
        <v>5216</v>
      </c>
      <c r="E2224" t="s">
        <v>5992</v>
      </c>
      <c r="F2224">
        <v>370</v>
      </c>
    </row>
    <row r="2225" spans="1:6">
      <c r="A2225" t="str">
        <f>("35-12075")</f>
        <v>35-12075</v>
      </c>
      <c r="B2225" t="s">
        <v>5186</v>
      </c>
      <c r="C2225" t="s">
        <v>6019</v>
      </c>
      <c r="D2225" t="s">
        <v>5184</v>
      </c>
      <c r="E2225" t="s">
        <v>5183</v>
      </c>
      <c r="F2225">
        <v>1144.33</v>
      </c>
    </row>
    <row r="2226" spans="1:6">
      <c r="A2226" t="str">
        <f>("35-12135")</f>
        <v>35-12135</v>
      </c>
      <c r="B2226" t="s">
        <v>5186</v>
      </c>
      <c r="C2226" t="s">
        <v>6018</v>
      </c>
      <c r="D2226" t="s">
        <v>5216</v>
      </c>
      <c r="E2226" t="s">
        <v>5976</v>
      </c>
      <c r="F2226">
        <v>1744.67</v>
      </c>
    </row>
    <row r="2227" spans="1:6">
      <c r="A2227" t="str">
        <f>("35-14015")</f>
        <v>35-14015</v>
      </c>
      <c r="B2227" t="s">
        <v>5186</v>
      </c>
      <c r="C2227" t="s">
        <v>6017</v>
      </c>
      <c r="D2227" t="s">
        <v>5184</v>
      </c>
      <c r="E2227" t="s">
        <v>5998</v>
      </c>
      <c r="F2227">
        <v>2225</v>
      </c>
    </row>
    <row r="2228" spans="1:6">
      <c r="A2228" t="str">
        <f>("35-14035")</f>
        <v>35-14035</v>
      </c>
      <c r="B2228" t="s">
        <v>5186</v>
      </c>
      <c r="C2228" t="s">
        <v>6017</v>
      </c>
      <c r="D2228" t="s">
        <v>5174</v>
      </c>
      <c r="E2228" t="s">
        <v>6016</v>
      </c>
      <c r="F2228">
        <v>2075</v>
      </c>
    </row>
    <row r="2229" spans="1:6">
      <c r="A2229" t="str">
        <f>("35-14045")</f>
        <v>35-14045</v>
      </c>
      <c r="B2229" t="s">
        <v>5186</v>
      </c>
      <c r="C2229" t="s">
        <v>6017</v>
      </c>
      <c r="D2229" t="s">
        <v>5174</v>
      </c>
      <c r="E2229" t="s">
        <v>5537</v>
      </c>
      <c r="F2229">
        <v>2060</v>
      </c>
    </row>
    <row r="2230" spans="1:6">
      <c r="A2230" t="str">
        <f>("35-14065")</f>
        <v>35-14065</v>
      </c>
      <c r="B2230" t="s">
        <v>5186</v>
      </c>
      <c r="C2230" t="s">
        <v>6017</v>
      </c>
      <c r="D2230" t="s">
        <v>5216</v>
      </c>
      <c r="E2230" t="s">
        <v>5992</v>
      </c>
      <c r="F2230">
        <v>2225</v>
      </c>
    </row>
    <row r="2231" spans="1:6">
      <c r="A2231" t="str">
        <f>("35-14075")</f>
        <v>35-14075</v>
      </c>
      <c r="B2231" t="s">
        <v>5186</v>
      </c>
      <c r="C2231" t="s">
        <v>6017</v>
      </c>
      <c r="D2231" t="s">
        <v>5184</v>
      </c>
      <c r="E2231" t="s">
        <v>5183</v>
      </c>
      <c r="F2231">
        <v>2050</v>
      </c>
    </row>
    <row r="2232" spans="1:6">
      <c r="A2232" t="str">
        <f>("35-15015")</f>
        <v>35-15015</v>
      </c>
      <c r="B2232" t="s">
        <v>5186</v>
      </c>
      <c r="C2232" t="s">
        <v>6015</v>
      </c>
      <c r="D2232" t="s">
        <v>5184</v>
      </c>
      <c r="E2232" t="s">
        <v>5998</v>
      </c>
      <c r="F2232">
        <v>579.33000000000004</v>
      </c>
    </row>
    <row r="2233" spans="1:6">
      <c r="A2233" t="str">
        <f>("35-15025")</f>
        <v>35-15025</v>
      </c>
      <c r="B2233" t="s">
        <v>5186</v>
      </c>
      <c r="C2233" t="s">
        <v>6015</v>
      </c>
      <c r="D2233" t="s">
        <v>5216</v>
      </c>
      <c r="E2233" t="s">
        <v>6014</v>
      </c>
      <c r="F2233">
        <v>579.33000000000004</v>
      </c>
    </row>
    <row r="2234" spans="1:6">
      <c r="A2234" t="str">
        <f>("35-15035")</f>
        <v>35-15035</v>
      </c>
      <c r="B2234" t="s">
        <v>5186</v>
      </c>
      <c r="C2234" t="s">
        <v>6015</v>
      </c>
      <c r="D2234" t="s">
        <v>5174</v>
      </c>
      <c r="E2234" t="s">
        <v>6016</v>
      </c>
      <c r="F2234">
        <v>704.33</v>
      </c>
    </row>
    <row r="2235" spans="1:6">
      <c r="A2235" t="str">
        <f>("35-15045")</f>
        <v>35-15045</v>
      </c>
      <c r="B2235" t="s">
        <v>5186</v>
      </c>
      <c r="C2235" t="s">
        <v>6015</v>
      </c>
      <c r="D2235" t="s">
        <v>5174</v>
      </c>
      <c r="E2235" t="s">
        <v>5537</v>
      </c>
      <c r="F2235">
        <v>579.33000000000004</v>
      </c>
    </row>
    <row r="2236" spans="1:6">
      <c r="A2236" t="str">
        <f>("35-15065")</f>
        <v>35-15065</v>
      </c>
      <c r="B2236" t="s">
        <v>5186</v>
      </c>
      <c r="C2236" t="s">
        <v>6015</v>
      </c>
      <c r="D2236" t="s">
        <v>5216</v>
      </c>
      <c r="E2236" t="s">
        <v>5992</v>
      </c>
      <c r="F2236">
        <v>579.33000000000004</v>
      </c>
    </row>
    <row r="2237" spans="1:6">
      <c r="A2237" t="str">
        <f>("35-15075")</f>
        <v>35-15075</v>
      </c>
      <c r="B2237" t="s">
        <v>5186</v>
      </c>
      <c r="C2237" t="s">
        <v>6015</v>
      </c>
      <c r="D2237" t="s">
        <v>5184</v>
      </c>
      <c r="E2237" t="s">
        <v>5183</v>
      </c>
      <c r="F2237">
        <v>578</v>
      </c>
    </row>
    <row r="2238" spans="1:6">
      <c r="A2238" t="str">
        <f>("35-15135")</f>
        <v>35-15135</v>
      </c>
      <c r="B2238" t="s">
        <v>5186</v>
      </c>
      <c r="C2238" t="s">
        <v>6015</v>
      </c>
      <c r="D2238" t="s">
        <v>5216</v>
      </c>
      <c r="E2238" t="s">
        <v>6001</v>
      </c>
      <c r="F2238">
        <v>579.33000000000004</v>
      </c>
    </row>
    <row r="2239" spans="1:6">
      <c r="A2239" t="str">
        <f>("35-16005")</f>
        <v>35-16005</v>
      </c>
      <c r="B2239" t="s">
        <v>5186</v>
      </c>
      <c r="C2239" t="s">
        <v>6012</v>
      </c>
      <c r="D2239" t="s">
        <v>5174</v>
      </c>
      <c r="E2239" t="s">
        <v>5526</v>
      </c>
      <c r="F2239">
        <v>454</v>
      </c>
    </row>
    <row r="2240" spans="1:6">
      <c r="A2240" t="str">
        <f>("35-16015")</f>
        <v>35-16015</v>
      </c>
      <c r="B2240" t="s">
        <v>5186</v>
      </c>
      <c r="C2240" t="s">
        <v>6012</v>
      </c>
      <c r="D2240" t="s">
        <v>5184</v>
      </c>
      <c r="E2240" t="s">
        <v>5998</v>
      </c>
      <c r="F2240">
        <v>470.33</v>
      </c>
    </row>
    <row r="2241" spans="1:6">
      <c r="A2241" t="str">
        <f>("35-16025")</f>
        <v>35-16025</v>
      </c>
      <c r="B2241" t="s">
        <v>5186</v>
      </c>
      <c r="C2241" t="s">
        <v>6012</v>
      </c>
      <c r="D2241" t="s">
        <v>5216</v>
      </c>
      <c r="E2241" t="s">
        <v>6014</v>
      </c>
      <c r="F2241">
        <v>429</v>
      </c>
    </row>
    <row r="2242" spans="1:6">
      <c r="A2242" t="str">
        <f>("35-16035")</f>
        <v>35-16035</v>
      </c>
      <c r="B2242" t="s">
        <v>5186</v>
      </c>
      <c r="C2242" t="s">
        <v>6012</v>
      </c>
      <c r="D2242" t="s">
        <v>5174</v>
      </c>
      <c r="E2242" t="s">
        <v>6013</v>
      </c>
      <c r="F2242">
        <v>429</v>
      </c>
    </row>
    <row r="2243" spans="1:6">
      <c r="A2243" t="str">
        <f>("35-16045")</f>
        <v>35-16045</v>
      </c>
      <c r="B2243" t="s">
        <v>5186</v>
      </c>
      <c r="C2243" t="s">
        <v>6012</v>
      </c>
      <c r="D2243" t="s">
        <v>5174</v>
      </c>
      <c r="E2243" t="s">
        <v>5537</v>
      </c>
      <c r="F2243">
        <v>470.33</v>
      </c>
    </row>
    <row r="2244" spans="1:6">
      <c r="A2244" t="str">
        <f>("35-16065")</f>
        <v>35-16065</v>
      </c>
      <c r="B2244" t="s">
        <v>5186</v>
      </c>
      <c r="C2244" t="s">
        <v>6012</v>
      </c>
      <c r="D2244" t="s">
        <v>5216</v>
      </c>
      <c r="E2244" t="s">
        <v>5992</v>
      </c>
      <c r="F2244">
        <v>470.33</v>
      </c>
    </row>
    <row r="2245" spans="1:6">
      <c r="A2245" t="str">
        <f>("35-16075")</f>
        <v>35-16075</v>
      </c>
      <c r="B2245" t="s">
        <v>5186</v>
      </c>
      <c r="C2245" t="s">
        <v>6012</v>
      </c>
      <c r="D2245" t="s">
        <v>5184</v>
      </c>
      <c r="E2245" t="s">
        <v>5183</v>
      </c>
      <c r="F2245">
        <v>209</v>
      </c>
    </row>
    <row r="2246" spans="1:6">
      <c r="A2246" t="str">
        <f>("35-16085")</f>
        <v>35-16085</v>
      </c>
      <c r="B2246" t="s">
        <v>5186</v>
      </c>
      <c r="C2246" t="s">
        <v>6012</v>
      </c>
      <c r="D2246" t="s">
        <v>5174</v>
      </c>
      <c r="E2246" t="s">
        <v>5960</v>
      </c>
      <c r="F2246">
        <v>470.33</v>
      </c>
    </row>
    <row r="2247" spans="1:6">
      <c r="A2247" t="str">
        <f>("35-16135")</f>
        <v>35-16135</v>
      </c>
      <c r="B2247" t="s">
        <v>5186</v>
      </c>
      <c r="C2247" t="s">
        <v>6012</v>
      </c>
      <c r="D2247" t="s">
        <v>5216</v>
      </c>
      <c r="E2247" t="s">
        <v>6001</v>
      </c>
      <c r="F2247">
        <v>470.33</v>
      </c>
    </row>
    <row r="2248" spans="1:6">
      <c r="A2248" t="str">
        <f>("35-17045")</f>
        <v>35-17045</v>
      </c>
      <c r="B2248" t="s">
        <v>5186</v>
      </c>
      <c r="C2248" t="s">
        <v>6011</v>
      </c>
      <c r="D2248" t="s">
        <v>5174</v>
      </c>
      <c r="E2248" t="s">
        <v>5537</v>
      </c>
      <c r="F2248">
        <v>476.83</v>
      </c>
    </row>
    <row r="2249" spans="1:6">
      <c r="A2249" t="str">
        <f>("35-18135")</f>
        <v>35-18135</v>
      </c>
      <c r="B2249" t="s">
        <v>5186</v>
      </c>
      <c r="C2249" t="s">
        <v>6010</v>
      </c>
      <c r="D2249" t="s">
        <v>5216</v>
      </c>
      <c r="E2249" t="s">
        <v>6001</v>
      </c>
      <c r="F2249">
        <v>366.33</v>
      </c>
    </row>
    <row r="2250" spans="1:6">
      <c r="A2250" t="str">
        <f>("35-210085")</f>
        <v>35-210085</v>
      </c>
      <c r="B2250" t="s">
        <v>5186</v>
      </c>
      <c r="C2250" t="s">
        <v>6006</v>
      </c>
      <c r="D2250" t="s">
        <v>5174</v>
      </c>
      <c r="E2250" t="s">
        <v>5537</v>
      </c>
      <c r="F2250">
        <v>1528.67</v>
      </c>
    </row>
    <row r="2251" spans="1:6">
      <c r="A2251" t="str">
        <f>("35-210095")</f>
        <v>35-210095</v>
      </c>
      <c r="B2251" t="s">
        <v>5186</v>
      </c>
      <c r="C2251" t="s">
        <v>6006</v>
      </c>
      <c r="D2251" t="s">
        <v>5216</v>
      </c>
      <c r="E2251" t="s">
        <v>6009</v>
      </c>
      <c r="F2251">
        <v>1528.67</v>
      </c>
    </row>
    <row r="2252" spans="1:6">
      <c r="A2252" t="str">
        <f>("35-220452")</f>
        <v>35-220452</v>
      </c>
      <c r="B2252" t="s">
        <v>5186</v>
      </c>
      <c r="C2252" t="s">
        <v>5185</v>
      </c>
      <c r="D2252" t="s">
        <v>5174</v>
      </c>
      <c r="E2252" t="s">
        <v>5537</v>
      </c>
      <c r="F2252">
        <v>1271</v>
      </c>
    </row>
    <row r="2253" spans="1:6">
      <c r="A2253" t="str">
        <f>("35-220455")</f>
        <v>35-220455</v>
      </c>
      <c r="B2253" t="s">
        <v>5186</v>
      </c>
      <c r="C2253" t="s">
        <v>6008</v>
      </c>
      <c r="D2253" t="s">
        <v>5174</v>
      </c>
      <c r="E2253" t="s">
        <v>5537</v>
      </c>
      <c r="F2253">
        <v>1823</v>
      </c>
    </row>
    <row r="2254" spans="1:6">
      <c r="A2254" t="str">
        <f>("35-220652")</f>
        <v>35-220652</v>
      </c>
      <c r="B2254" t="s">
        <v>5186</v>
      </c>
      <c r="C2254" t="s">
        <v>5185</v>
      </c>
      <c r="D2254" t="s">
        <v>5216</v>
      </c>
      <c r="E2254" t="s">
        <v>6007</v>
      </c>
      <c r="F2254">
        <v>1271</v>
      </c>
    </row>
    <row r="2255" spans="1:6">
      <c r="A2255" t="str">
        <f>("35-220752")</f>
        <v>35-220752</v>
      </c>
      <c r="B2255" t="s">
        <v>5186</v>
      </c>
      <c r="C2255" t="s">
        <v>5185</v>
      </c>
      <c r="D2255" t="s">
        <v>5184</v>
      </c>
      <c r="E2255" t="s">
        <v>5183</v>
      </c>
      <c r="F2255">
        <v>1178.17</v>
      </c>
    </row>
    <row r="2256" spans="1:6">
      <c r="A2256" t="str">
        <f>("35-220755")</f>
        <v>35-220755</v>
      </c>
      <c r="B2256" t="s">
        <v>5186</v>
      </c>
      <c r="C2256" t="s">
        <v>6006</v>
      </c>
      <c r="D2256" t="s">
        <v>5184</v>
      </c>
      <c r="E2256" t="s">
        <v>5183</v>
      </c>
      <c r="F2256">
        <v>1414.17</v>
      </c>
    </row>
    <row r="2257" spans="1:6">
      <c r="A2257" t="str">
        <f>("35-220755A")</f>
        <v>35-220755A</v>
      </c>
      <c r="B2257" t="s">
        <v>5186</v>
      </c>
      <c r="C2257" t="s">
        <v>6006</v>
      </c>
      <c r="D2257" t="s">
        <v>5184</v>
      </c>
      <c r="E2257" t="s">
        <v>5183</v>
      </c>
      <c r="F2257">
        <v>1088.83</v>
      </c>
    </row>
    <row r="2258" spans="1:6">
      <c r="A2258" t="str">
        <f>("35-220755B")</f>
        <v>35-220755B</v>
      </c>
      <c r="B2258" t="s">
        <v>5186</v>
      </c>
      <c r="C2258" t="s">
        <v>6005</v>
      </c>
      <c r="D2258" t="s">
        <v>5184</v>
      </c>
      <c r="E2258" t="s">
        <v>5183</v>
      </c>
      <c r="F2258">
        <v>375.33</v>
      </c>
    </row>
    <row r="2259" spans="1:6">
      <c r="A2259" t="str">
        <f>("35-220755C")</f>
        <v>35-220755C</v>
      </c>
      <c r="B2259" t="s">
        <v>5186</v>
      </c>
      <c r="C2259" t="s">
        <v>6004</v>
      </c>
      <c r="D2259" t="s">
        <v>5184</v>
      </c>
      <c r="E2259" t="s">
        <v>5183</v>
      </c>
      <c r="F2259">
        <v>271.5</v>
      </c>
    </row>
    <row r="2260" spans="1:6">
      <c r="A2260" t="str">
        <f>("35-220765")</f>
        <v>35-220765</v>
      </c>
      <c r="B2260" t="s">
        <v>5186</v>
      </c>
      <c r="C2260" t="s">
        <v>6003</v>
      </c>
      <c r="D2260" t="s">
        <v>5184</v>
      </c>
      <c r="E2260" t="s">
        <v>5183</v>
      </c>
      <c r="F2260">
        <v>1511.5</v>
      </c>
    </row>
    <row r="2261" spans="1:6">
      <c r="A2261" t="str">
        <f>("35-2221352")</f>
        <v>35-2221352</v>
      </c>
      <c r="B2261" t="s">
        <v>5186</v>
      </c>
      <c r="C2261" t="s">
        <v>6002</v>
      </c>
      <c r="D2261" t="s">
        <v>5216</v>
      </c>
      <c r="E2261" t="s">
        <v>6001</v>
      </c>
      <c r="F2261">
        <v>1414.17</v>
      </c>
    </row>
    <row r="2262" spans="1:6">
      <c r="A2262" t="str">
        <f>("36-2005PB")</f>
        <v>36-2005PB</v>
      </c>
      <c r="B2262" t="s">
        <v>5186</v>
      </c>
      <c r="C2262" t="s">
        <v>5985</v>
      </c>
      <c r="D2262" t="s">
        <v>5174</v>
      </c>
      <c r="E2262" t="s">
        <v>6000</v>
      </c>
      <c r="F2262">
        <v>735</v>
      </c>
    </row>
    <row r="2263" spans="1:6">
      <c r="A2263" t="str">
        <f>("36-2005WC")</f>
        <v>36-2005WC</v>
      </c>
      <c r="B2263" t="s">
        <v>5186</v>
      </c>
      <c r="C2263" t="s">
        <v>5994</v>
      </c>
      <c r="D2263" t="s">
        <v>5174</v>
      </c>
      <c r="E2263" t="s">
        <v>5999</v>
      </c>
      <c r="F2263">
        <v>93</v>
      </c>
    </row>
    <row r="2264" spans="1:6">
      <c r="A2264" t="str">
        <f>("36-2015W")</f>
        <v>36-2015W</v>
      </c>
      <c r="B2264" t="s">
        <v>5186</v>
      </c>
      <c r="C2264" t="s">
        <v>5984</v>
      </c>
      <c r="D2264" t="s">
        <v>5174</v>
      </c>
      <c r="E2264" t="s">
        <v>5556</v>
      </c>
      <c r="F2264">
        <v>352.67</v>
      </c>
    </row>
    <row r="2265" spans="1:6">
      <c r="A2265" t="str">
        <f>("36-2035")</f>
        <v>36-2035</v>
      </c>
      <c r="B2265" t="s">
        <v>5186</v>
      </c>
      <c r="C2265" t="s">
        <v>5987</v>
      </c>
      <c r="D2265" t="s">
        <v>5184</v>
      </c>
      <c r="E2265" t="s">
        <v>5998</v>
      </c>
      <c r="F2265">
        <v>847.33</v>
      </c>
    </row>
    <row r="2266" spans="1:6">
      <c r="A2266" t="str">
        <f>("36-2035PB")</f>
        <v>36-2035PB</v>
      </c>
      <c r="B2266" t="s">
        <v>5186</v>
      </c>
      <c r="C2266" t="s">
        <v>5985</v>
      </c>
      <c r="D2266" t="s">
        <v>5184</v>
      </c>
      <c r="E2266" t="s">
        <v>5998</v>
      </c>
      <c r="F2266">
        <v>751.67</v>
      </c>
    </row>
    <row r="2267" spans="1:6">
      <c r="A2267" t="str">
        <f>("36-2035W")</f>
        <v>36-2035W</v>
      </c>
      <c r="B2267" t="s">
        <v>5186</v>
      </c>
      <c r="C2267" t="s">
        <v>5984</v>
      </c>
      <c r="D2267" t="s">
        <v>5184</v>
      </c>
      <c r="E2267" t="s">
        <v>5998</v>
      </c>
      <c r="F2267">
        <v>531.67000000000007</v>
      </c>
    </row>
    <row r="2268" spans="1:6">
      <c r="A2268" t="str">
        <f>("36-2035WC")</f>
        <v>36-2035WC</v>
      </c>
      <c r="B2268" t="s">
        <v>5186</v>
      </c>
      <c r="C2268" t="s">
        <v>5982</v>
      </c>
      <c r="D2268" t="s">
        <v>5184</v>
      </c>
      <c r="E2268" t="s">
        <v>5997</v>
      </c>
      <c r="F2268">
        <v>99.67</v>
      </c>
    </row>
    <row r="2269" spans="1:6">
      <c r="A2269" t="str">
        <f>("36-2045")</f>
        <v>36-2045</v>
      </c>
      <c r="B2269" t="s">
        <v>5186</v>
      </c>
      <c r="C2269" t="s">
        <v>5987</v>
      </c>
      <c r="D2269" t="s">
        <v>5216</v>
      </c>
      <c r="E2269" t="s">
        <v>5996</v>
      </c>
      <c r="F2269">
        <v>560.67000000000007</v>
      </c>
    </row>
    <row r="2270" spans="1:6">
      <c r="A2270" t="str">
        <f>("36-2055")</f>
        <v>36-2055</v>
      </c>
      <c r="B2270" t="s">
        <v>5186</v>
      </c>
      <c r="C2270" t="s">
        <v>5987</v>
      </c>
      <c r="D2270" t="s">
        <v>5174</v>
      </c>
      <c r="E2270" t="s">
        <v>5995</v>
      </c>
      <c r="F2270">
        <v>847.33</v>
      </c>
    </row>
    <row r="2271" spans="1:6">
      <c r="A2271" t="str">
        <f>("36-2055PB")</f>
        <v>36-2055PB</v>
      </c>
      <c r="B2271" t="s">
        <v>5186</v>
      </c>
      <c r="C2271" t="s">
        <v>5985</v>
      </c>
      <c r="D2271" t="s">
        <v>5174</v>
      </c>
      <c r="E2271" t="s">
        <v>5995</v>
      </c>
      <c r="F2271">
        <v>776.67</v>
      </c>
    </row>
    <row r="2272" spans="1:6">
      <c r="A2272" t="str">
        <f>("36-2055W")</f>
        <v>36-2055W</v>
      </c>
      <c r="B2272" t="s">
        <v>5186</v>
      </c>
      <c r="C2272" t="s">
        <v>5984</v>
      </c>
      <c r="D2272" t="s">
        <v>5174</v>
      </c>
      <c r="E2272" t="s">
        <v>5995</v>
      </c>
      <c r="F2272">
        <v>556.67000000000007</v>
      </c>
    </row>
    <row r="2273" spans="1:6">
      <c r="A2273" t="str">
        <f>("36-2125")</f>
        <v>36-2125</v>
      </c>
      <c r="B2273" t="s">
        <v>5186</v>
      </c>
      <c r="C2273" t="s">
        <v>5987</v>
      </c>
      <c r="D2273" t="s">
        <v>5174</v>
      </c>
      <c r="E2273" t="s">
        <v>5537</v>
      </c>
      <c r="F2273">
        <v>847.33</v>
      </c>
    </row>
    <row r="2274" spans="1:6">
      <c r="A2274" t="str">
        <f>("36-2125PB")</f>
        <v>36-2125PB</v>
      </c>
      <c r="B2274" t="s">
        <v>5186</v>
      </c>
      <c r="C2274" t="s">
        <v>5985</v>
      </c>
      <c r="D2274" t="s">
        <v>5174</v>
      </c>
      <c r="E2274" t="s">
        <v>5537</v>
      </c>
      <c r="F2274">
        <v>776.67</v>
      </c>
    </row>
    <row r="2275" spans="1:6">
      <c r="A2275" t="str">
        <f>("36-2125PB-RF")</f>
        <v>36-2125PB-RF</v>
      </c>
      <c r="B2275" t="s">
        <v>5186</v>
      </c>
      <c r="C2275" t="s">
        <v>5985</v>
      </c>
      <c r="D2275" t="s">
        <v>5174</v>
      </c>
      <c r="E2275" t="s">
        <v>5537</v>
      </c>
      <c r="F2275">
        <v>187.33</v>
      </c>
    </row>
    <row r="2276" spans="1:6">
      <c r="A2276" t="str">
        <f>("36-2125W")</f>
        <v>36-2125W</v>
      </c>
      <c r="B2276" t="s">
        <v>5186</v>
      </c>
      <c r="C2276" t="s">
        <v>5984</v>
      </c>
      <c r="D2276" t="s">
        <v>5174</v>
      </c>
      <c r="E2276" t="s">
        <v>5537</v>
      </c>
      <c r="F2276">
        <v>556.67000000000007</v>
      </c>
    </row>
    <row r="2277" spans="1:6">
      <c r="A2277" t="str">
        <f>("36-2125WC")</f>
        <v>36-2125WC</v>
      </c>
      <c r="B2277" t="s">
        <v>5186</v>
      </c>
      <c r="C2277" t="s">
        <v>5994</v>
      </c>
      <c r="D2277" t="s">
        <v>5174</v>
      </c>
      <c r="E2277" t="s">
        <v>5993</v>
      </c>
      <c r="F2277">
        <v>99.67</v>
      </c>
    </row>
    <row r="2278" spans="1:6">
      <c r="A2278" t="str">
        <f>("36-4045")</f>
        <v>36-4045</v>
      </c>
      <c r="B2278" t="s">
        <v>5186</v>
      </c>
      <c r="C2278" t="s">
        <v>5987</v>
      </c>
      <c r="D2278" t="s">
        <v>5216</v>
      </c>
      <c r="E2278" t="s">
        <v>5992</v>
      </c>
      <c r="F2278">
        <v>1287</v>
      </c>
    </row>
    <row r="2279" spans="1:6">
      <c r="A2279" t="str">
        <f>("36-4045PB")</f>
        <v>36-4045PB</v>
      </c>
      <c r="B2279" t="s">
        <v>5186</v>
      </c>
      <c r="C2279" t="s">
        <v>5985</v>
      </c>
      <c r="D2279" t="s">
        <v>5216</v>
      </c>
      <c r="E2279" t="s">
        <v>5992</v>
      </c>
      <c r="F2279">
        <v>776.67</v>
      </c>
    </row>
    <row r="2280" spans="1:6">
      <c r="A2280" t="str">
        <f>("36-4045W")</f>
        <v>36-4045W</v>
      </c>
      <c r="B2280" t="s">
        <v>5186</v>
      </c>
      <c r="C2280" t="s">
        <v>5984</v>
      </c>
      <c r="D2280" t="s">
        <v>5216</v>
      </c>
      <c r="E2280" t="s">
        <v>5991</v>
      </c>
      <c r="F2280">
        <v>556.67000000000007</v>
      </c>
    </row>
    <row r="2281" spans="1:6">
      <c r="A2281" t="str">
        <f>("36-4045WC")</f>
        <v>36-4045WC</v>
      </c>
      <c r="B2281" t="s">
        <v>5186</v>
      </c>
      <c r="C2281" t="s">
        <v>5982</v>
      </c>
      <c r="D2281" t="s">
        <v>5216</v>
      </c>
      <c r="E2281" t="s">
        <v>5990</v>
      </c>
      <c r="F2281">
        <v>99.67</v>
      </c>
    </row>
    <row r="2282" spans="1:6">
      <c r="A2282" t="str">
        <f>("36-4055")</f>
        <v>36-4055</v>
      </c>
      <c r="B2282" t="s">
        <v>5186</v>
      </c>
      <c r="C2282" t="s">
        <v>5987</v>
      </c>
      <c r="D2282" t="s">
        <v>5184</v>
      </c>
      <c r="E2282" t="s">
        <v>5989</v>
      </c>
      <c r="F2282">
        <v>900.33</v>
      </c>
    </row>
    <row r="2283" spans="1:6">
      <c r="A2283" t="str">
        <f>("36-4075")</f>
        <v>36-4075</v>
      </c>
      <c r="B2283" t="s">
        <v>5186</v>
      </c>
      <c r="C2283" t="s">
        <v>5987</v>
      </c>
      <c r="D2283" t="s">
        <v>5184</v>
      </c>
      <c r="E2283" t="s">
        <v>5183</v>
      </c>
      <c r="F2283">
        <v>847.33</v>
      </c>
    </row>
    <row r="2284" spans="1:6">
      <c r="A2284" t="str">
        <f>("36-4075PB")</f>
        <v>36-4075PB</v>
      </c>
      <c r="B2284" t="s">
        <v>5186</v>
      </c>
      <c r="C2284" t="s">
        <v>5985</v>
      </c>
      <c r="D2284" t="s">
        <v>5184</v>
      </c>
      <c r="E2284" t="s">
        <v>5183</v>
      </c>
      <c r="F2284">
        <v>776.67</v>
      </c>
    </row>
    <row r="2285" spans="1:6">
      <c r="A2285" t="str">
        <f>("36-4075W")</f>
        <v>36-4075W</v>
      </c>
      <c r="B2285" t="s">
        <v>5186</v>
      </c>
      <c r="C2285" t="s">
        <v>5984</v>
      </c>
      <c r="D2285" t="s">
        <v>5184</v>
      </c>
      <c r="E2285" t="s">
        <v>5183</v>
      </c>
      <c r="F2285">
        <v>556.67000000000007</v>
      </c>
    </row>
    <row r="2286" spans="1:6">
      <c r="A2286" t="str">
        <f>("36-4075WC")</f>
        <v>36-4075WC</v>
      </c>
      <c r="B2286" t="s">
        <v>5186</v>
      </c>
      <c r="C2286" t="s">
        <v>5982</v>
      </c>
      <c r="D2286" t="s">
        <v>5184</v>
      </c>
      <c r="E2286" t="s">
        <v>5988</v>
      </c>
      <c r="F2286">
        <v>99.67</v>
      </c>
    </row>
    <row r="2287" spans="1:6">
      <c r="A2287" t="str">
        <f>("36-4185")</f>
        <v>36-4185</v>
      </c>
      <c r="B2287" t="s">
        <v>5186</v>
      </c>
      <c r="C2287" t="s">
        <v>5987</v>
      </c>
      <c r="D2287" t="s">
        <v>5216</v>
      </c>
      <c r="E2287" t="s">
        <v>5986</v>
      </c>
      <c r="F2287">
        <v>1185.67</v>
      </c>
    </row>
    <row r="2288" spans="1:6">
      <c r="A2288" t="str">
        <f>("36-4185PB")</f>
        <v>36-4185PB</v>
      </c>
      <c r="B2288" t="s">
        <v>5186</v>
      </c>
      <c r="C2288" t="s">
        <v>5985</v>
      </c>
      <c r="D2288" t="s">
        <v>5216</v>
      </c>
      <c r="E2288" t="s">
        <v>5983</v>
      </c>
      <c r="F2288">
        <v>850</v>
      </c>
    </row>
    <row r="2289" spans="1:6">
      <c r="A2289" t="str">
        <f>("36-4185W")</f>
        <v>36-4185W</v>
      </c>
      <c r="B2289" t="s">
        <v>5186</v>
      </c>
      <c r="C2289" t="s">
        <v>5984</v>
      </c>
      <c r="D2289" t="s">
        <v>5216</v>
      </c>
      <c r="E2289" t="s">
        <v>5983</v>
      </c>
      <c r="F2289">
        <v>556.67000000000007</v>
      </c>
    </row>
    <row r="2290" spans="1:6">
      <c r="A2290" t="str">
        <f>("36-4185WC")</f>
        <v>36-4185WC</v>
      </c>
      <c r="B2290" t="s">
        <v>5186</v>
      </c>
      <c r="C2290" t="s">
        <v>5982</v>
      </c>
      <c r="D2290" t="s">
        <v>5216</v>
      </c>
      <c r="E2290" t="s">
        <v>5981</v>
      </c>
      <c r="F2290">
        <v>111.67</v>
      </c>
    </row>
    <row r="2291" spans="1:6">
      <c r="A2291" t="str">
        <f>("36-52065")</f>
        <v>36-52065</v>
      </c>
      <c r="B2291" t="s">
        <v>5186</v>
      </c>
      <c r="C2291" t="s">
        <v>5966</v>
      </c>
      <c r="D2291" t="s">
        <v>5174</v>
      </c>
      <c r="E2291" t="s">
        <v>5980</v>
      </c>
      <c r="F2291">
        <v>1185.67</v>
      </c>
    </row>
    <row r="2292" spans="1:6">
      <c r="A2292" t="str">
        <f>("36-52065PB")</f>
        <v>36-52065PB</v>
      </c>
      <c r="B2292" t="s">
        <v>5186</v>
      </c>
      <c r="C2292" t="s">
        <v>5961</v>
      </c>
      <c r="D2292" t="s">
        <v>5174</v>
      </c>
      <c r="E2292" t="s">
        <v>5979</v>
      </c>
      <c r="F2292">
        <v>710</v>
      </c>
    </row>
    <row r="2293" spans="1:6">
      <c r="A2293" t="str">
        <f>("36-52065W")</f>
        <v>36-52065W</v>
      </c>
      <c r="B2293" t="s">
        <v>5186</v>
      </c>
      <c r="C2293" t="s">
        <v>5968</v>
      </c>
      <c r="D2293" t="s">
        <v>5174</v>
      </c>
      <c r="E2293" t="s">
        <v>5978</v>
      </c>
      <c r="F2293">
        <v>531.67000000000007</v>
      </c>
    </row>
    <row r="2294" spans="1:6">
      <c r="A2294" t="str">
        <f>("36-52065WC")</f>
        <v>36-52065WC</v>
      </c>
      <c r="B2294" t="s">
        <v>5186</v>
      </c>
      <c r="C2294" t="s">
        <v>5970</v>
      </c>
      <c r="D2294" t="s">
        <v>5174</v>
      </c>
      <c r="E2294" t="s">
        <v>5977</v>
      </c>
      <c r="F2294">
        <v>99.67</v>
      </c>
    </row>
    <row r="2295" spans="1:6">
      <c r="A2295" t="str">
        <f>("36-52135")</f>
        <v>36-52135</v>
      </c>
      <c r="B2295" t="s">
        <v>5186</v>
      </c>
      <c r="C2295" t="s">
        <v>5966</v>
      </c>
      <c r="D2295" t="s">
        <v>5216</v>
      </c>
      <c r="E2295" t="s">
        <v>5976</v>
      </c>
      <c r="F2295">
        <v>1287</v>
      </c>
    </row>
    <row r="2296" spans="1:6">
      <c r="A2296" t="str">
        <f>("36-52135PB")</f>
        <v>36-52135PB</v>
      </c>
      <c r="B2296" t="s">
        <v>5186</v>
      </c>
      <c r="C2296" t="s">
        <v>5961</v>
      </c>
      <c r="D2296" t="s">
        <v>5216</v>
      </c>
      <c r="E2296" t="s">
        <v>5976</v>
      </c>
      <c r="F2296">
        <v>776.67</v>
      </c>
    </row>
    <row r="2297" spans="1:6">
      <c r="A2297" t="str">
        <f>("36-52135W")</f>
        <v>36-52135W</v>
      </c>
      <c r="B2297" t="s">
        <v>5186</v>
      </c>
      <c r="C2297" t="s">
        <v>5968</v>
      </c>
      <c r="D2297" t="s">
        <v>5216</v>
      </c>
      <c r="E2297" t="s">
        <v>5975</v>
      </c>
      <c r="F2297">
        <v>556.67000000000007</v>
      </c>
    </row>
    <row r="2298" spans="1:6">
      <c r="A2298" t="str">
        <f>("36-52135WC")</f>
        <v>36-52135WC</v>
      </c>
      <c r="B2298" t="s">
        <v>5186</v>
      </c>
      <c r="C2298" t="s">
        <v>5970</v>
      </c>
      <c r="D2298" t="s">
        <v>5216</v>
      </c>
      <c r="E2298" t="s">
        <v>5974</v>
      </c>
      <c r="F2298">
        <v>99.67</v>
      </c>
    </row>
    <row r="2299" spans="1:6">
      <c r="A2299" t="str">
        <f>("36-53545")</f>
        <v>36-53545</v>
      </c>
      <c r="B2299" t="s">
        <v>5186</v>
      </c>
      <c r="C2299" t="s">
        <v>5966</v>
      </c>
      <c r="D2299" t="s">
        <v>5181</v>
      </c>
      <c r="E2299" t="s">
        <v>5973</v>
      </c>
      <c r="F2299">
        <v>1287</v>
      </c>
    </row>
    <row r="2300" spans="1:6">
      <c r="A2300" t="str">
        <f>("36-53545W")</f>
        <v>36-53545W</v>
      </c>
      <c r="B2300" t="s">
        <v>5186</v>
      </c>
      <c r="C2300" t="s">
        <v>5968</v>
      </c>
      <c r="D2300" t="s">
        <v>5181</v>
      </c>
      <c r="E2300" t="s">
        <v>5972</v>
      </c>
      <c r="F2300">
        <v>489</v>
      </c>
    </row>
    <row r="2301" spans="1:6">
      <c r="A2301" t="str">
        <f>("36-53805")</f>
        <v>36-53805</v>
      </c>
      <c r="B2301" t="s">
        <v>5186</v>
      </c>
      <c r="C2301" t="s">
        <v>5966</v>
      </c>
      <c r="D2301" t="s">
        <v>5216</v>
      </c>
      <c r="E2301" t="s">
        <v>5971</v>
      </c>
      <c r="F2301">
        <v>1185.67</v>
      </c>
    </row>
    <row r="2302" spans="1:6">
      <c r="A2302" t="str">
        <f>("36-53805PB")</f>
        <v>36-53805PB</v>
      </c>
      <c r="B2302" t="s">
        <v>5186</v>
      </c>
      <c r="C2302" t="s">
        <v>5961</v>
      </c>
      <c r="D2302" t="s">
        <v>5216</v>
      </c>
      <c r="E2302" t="s">
        <v>5971</v>
      </c>
      <c r="F2302">
        <v>710</v>
      </c>
    </row>
    <row r="2303" spans="1:6">
      <c r="A2303" t="str">
        <f>("36-53805WC")</f>
        <v>36-53805WC</v>
      </c>
      <c r="B2303" t="s">
        <v>5186</v>
      </c>
      <c r="C2303" t="s">
        <v>5970</v>
      </c>
      <c r="D2303" t="s">
        <v>5216</v>
      </c>
      <c r="E2303" t="s">
        <v>5969</v>
      </c>
      <c r="F2303">
        <v>93</v>
      </c>
    </row>
    <row r="2304" spans="1:6">
      <c r="A2304" t="str">
        <f>("36-53955")</f>
        <v>36-53955</v>
      </c>
      <c r="B2304" t="s">
        <v>5186</v>
      </c>
      <c r="C2304" t="s">
        <v>5966</v>
      </c>
      <c r="D2304" t="s">
        <v>5216</v>
      </c>
      <c r="E2304" t="s">
        <v>5967</v>
      </c>
      <c r="F2304">
        <v>1185.67</v>
      </c>
    </row>
    <row r="2305" spans="1:6">
      <c r="A2305" t="str">
        <f>("36-53955W")</f>
        <v>36-53955W</v>
      </c>
      <c r="B2305" t="s">
        <v>5186</v>
      </c>
      <c r="C2305" t="s">
        <v>5968</v>
      </c>
      <c r="D2305" t="s">
        <v>5216</v>
      </c>
      <c r="E2305" t="s">
        <v>5967</v>
      </c>
      <c r="F2305">
        <v>510</v>
      </c>
    </row>
    <row r="2306" spans="1:6">
      <c r="A2306" t="str">
        <f>("36-54085")</f>
        <v>36-54085</v>
      </c>
      <c r="B2306" t="s">
        <v>5186</v>
      </c>
      <c r="C2306" t="s">
        <v>5966</v>
      </c>
      <c r="D2306" t="s">
        <v>5174</v>
      </c>
      <c r="E2306" t="s">
        <v>5965</v>
      </c>
      <c r="F2306">
        <v>1287</v>
      </c>
    </row>
    <row r="2307" spans="1:6">
      <c r="A2307" t="str">
        <f>("36-54085BHD")</f>
        <v>36-54085BHD</v>
      </c>
      <c r="B2307" t="s">
        <v>5186</v>
      </c>
      <c r="C2307" t="s">
        <v>5963</v>
      </c>
      <c r="D2307" t="s">
        <v>5174</v>
      </c>
      <c r="E2307" t="s">
        <v>5964</v>
      </c>
      <c r="F2307">
        <v>25</v>
      </c>
    </row>
    <row r="2308" spans="1:6">
      <c r="A2308" t="str">
        <f>("36-54085HD")</f>
        <v>36-54085HD</v>
      </c>
      <c r="B2308" t="s">
        <v>5186</v>
      </c>
      <c r="C2308" t="s">
        <v>5963</v>
      </c>
      <c r="D2308" t="s">
        <v>5174</v>
      </c>
      <c r="E2308" t="s">
        <v>5962</v>
      </c>
      <c r="F2308">
        <v>235.17</v>
      </c>
    </row>
    <row r="2309" spans="1:6">
      <c r="A2309" t="str">
        <f>("36-54085PB")</f>
        <v>36-54085PB</v>
      </c>
      <c r="B2309" t="s">
        <v>5186</v>
      </c>
      <c r="C2309" t="s">
        <v>5961</v>
      </c>
      <c r="D2309" t="s">
        <v>5174</v>
      </c>
      <c r="E2309" t="s">
        <v>5960</v>
      </c>
      <c r="F2309">
        <v>751.67</v>
      </c>
    </row>
    <row r="2310" spans="1:6">
      <c r="A2310" t="str">
        <f>("36-6000GPK")</f>
        <v>36-6000GPK</v>
      </c>
      <c r="B2310" t="s">
        <v>5152</v>
      </c>
      <c r="C2310" t="s">
        <v>5959</v>
      </c>
      <c r="D2310" t="s">
        <v>5206</v>
      </c>
      <c r="E2310" t="s">
        <v>5958</v>
      </c>
      <c r="F2310">
        <v>35.67</v>
      </c>
    </row>
    <row r="2311" spans="1:6">
      <c r="A2311" t="str">
        <f>("36-6005")</f>
        <v>36-6005</v>
      </c>
      <c r="B2311" t="s">
        <v>5186</v>
      </c>
      <c r="C2311" t="s">
        <v>5957</v>
      </c>
      <c r="D2311" t="s">
        <v>5650</v>
      </c>
      <c r="E2311" t="s">
        <v>5956</v>
      </c>
      <c r="F2311">
        <v>99.67</v>
      </c>
    </row>
    <row r="2312" spans="1:6">
      <c r="A2312" t="str">
        <f>("36-6005C2CH")</f>
        <v>36-6005C2CH</v>
      </c>
      <c r="B2312" t="s">
        <v>5186</v>
      </c>
      <c r="C2312" t="s">
        <v>5944</v>
      </c>
      <c r="D2312" t="s">
        <v>5650</v>
      </c>
      <c r="E2312" t="s">
        <v>5955</v>
      </c>
      <c r="F2312">
        <v>93</v>
      </c>
    </row>
    <row r="2313" spans="1:6">
      <c r="A2313" t="str">
        <f>("36-6005C3CH")</f>
        <v>36-6005C3CH</v>
      </c>
      <c r="B2313" t="s">
        <v>5186</v>
      </c>
      <c r="C2313" t="s">
        <v>5954</v>
      </c>
      <c r="D2313" t="s">
        <v>5650</v>
      </c>
      <c r="E2313" t="s">
        <v>5953</v>
      </c>
      <c r="F2313">
        <v>93</v>
      </c>
    </row>
    <row r="2314" spans="1:6">
      <c r="A2314" t="str">
        <f>("36-6005F2")</f>
        <v>36-6005F2</v>
      </c>
      <c r="B2314" t="s">
        <v>5186</v>
      </c>
      <c r="C2314" t="s">
        <v>5944</v>
      </c>
      <c r="D2314" t="s">
        <v>5650</v>
      </c>
      <c r="E2314" t="s">
        <v>5952</v>
      </c>
      <c r="F2314">
        <v>93</v>
      </c>
    </row>
    <row r="2315" spans="1:6">
      <c r="A2315" t="str">
        <f>("36-6005F2MP")</f>
        <v>36-6005F2MP</v>
      </c>
      <c r="B2315" t="s">
        <v>5186</v>
      </c>
      <c r="C2315" t="s">
        <v>5944</v>
      </c>
      <c r="D2315" t="s">
        <v>5650</v>
      </c>
      <c r="E2315" t="s">
        <v>5951</v>
      </c>
      <c r="F2315">
        <v>99.67</v>
      </c>
    </row>
    <row r="2316" spans="1:6">
      <c r="A2316" t="str">
        <f>("36-6005F4")</f>
        <v>36-6005F4</v>
      </c>
      <c r="B2316" t="s">
        <v>5186</v>
      </c>
      <c r="C2316" t="s">
        <v>5942</v>
      </c>
      <c r="D2316" t="s">
        <v>5650</v>
      </c>
      <c r="E2316" t="s">
        <v>5950</v>
      </c>
      <c r="F2316">
        <v>93</v>
      </c>
    </row>
    <row r="2317" spans="1:6">
      <c r="A2317" t="str">
        <f>("36-6005F4MP")</f>
        <v>36-6005F4MP</v>
      </c>
      <c r="B2317" t="s">
        <v>5186</v>
      </c>
      <c r="C2317" t="s">
        <v>5942</v>
      </c>
      <c r="D2317" t="s">
        <v>5650</v>
      </c>
      <c r="E2317" t="s">
        <v>5949</v>
      </c>
      <c r="F2317">
        <v>99.67</v>
      </c>
    </row>
    <row r="2318" spans="1:6">
      <c r="A2318" t="str">
        <f>("36-6005S2")</f>
        <v>36-6005S2</v>
      </c>
      <c r="B2318" t="s">
        <v>5186</v>
      </c>
      <c r="C2318" t="s">
        <v>5944</v>
      </c>
      <c r="D2318" t="s">
        <v>5650</v>
      </c>
      <c r="E2318" t="s">
        <v>5948</v>
      </c>
      <c r="F2318">
        <v>99.67</v>
      </c>
    </row>
    <row r="2319" spans="1:6">
      <c r="A2319" t="str">
        <f>("36-6005S4")</f>
        <v>36-6005S4</v>
      </c>
      <c r="B2319" t="s">
        <v>5186</v>
      </c>
      <c r="C2319" t="s">
        <v>5942</v>
      </c>
      <c r="D2319" t="s">
        <v>5650</v>
      </c>
      <c r="E2319" t="s">
        <v>5947</v>
      </c>
      <c r="F2319">
        <v>99.67</v>
      </c>
    </row>
    <row r="2320" spans="1:6">
      <c r="A2320" t="str">
        <f>("36-6005SMP2")</f>
        <v>36-6005SMP2</v>
      </c>
      <c r="B2320" t="s">
        <v>5186</v>
      </c>
      <c r="C2320" t="s">
        <v>5944</v>
      </c>
      <c r="D2320" t="s">
        <v>5650</v>
      </c>
      <c r="E2320" t="s">
        <v>5946</v>
      </c>
      <c r="F2320">
        <v>99.67</v>
      </c>
    </row>
    <row r="2321" spans="1:6">
      <c r="A2321" t="str">
        <f>("36-6005SMP4")</f>
        <v>36-6005SMP4</v>
      </c>
      <c r="B2321" t="s">
        <v>5186</v>
      </c>
      <c r="C2321" t="s">
        <v>5942</v>
      </c>
      <c r="D2321" t="s">
        <v>5650</v>
      </c>
      <c r="E2321" t="s">
        <v>5945</v>
      </c>
      <c r="F2321">
        <v>99.67</v>
      </c>
    </row>
    <row r="2322" spans="1:6">
      <c r="A2322" t="str">
        <f>("36-6005W2")</f>
        <v>36-6005W2</v>
      </c>
      <c r="B2322" t="s">
        <v>5186</v>
      </c>
      <c r="C2322" t="s">
        <v>5944</v>
      </c>
      <c r="D2322" t="s">
        <v>5650</v>
      </c>
      <c r="E2322" t="s">
        <v>5943</v>
      </c>
      <c r="F2322">
        <v>99.67</v>
      </c>
    </row>
    <row r="2323" spans="1:6">
      <c r="A2323" t="str">
        <f>("36-6005W4")</f>
        <v>36-6005W4</v>
      </c>
      <c r="B2323" t="s">
        <v>5186</v>
      </c>
      <c r="C2323" t="s">
        <v>5942</v>
      </c>
      <c r="D2323" t="s">
        <v>5650</v>
      </c>
      <c r="E2323" t="s">
        <v>5941</v>
      </c>
      <c r="F2323">
        <v>99.67</v>
      </c>
    </row>
    <row r="2324" spans="1:6">
      <c r="A2324" t="str">
        <f>("36-6015")</f>
        <v>36-6015</v>
      </c>
      <c r="B2324" t="s">
        <v>5186</v>
      </c>
      <c r="C2324" t="s">
        <v>5940</v>
      </c>
      <c r="D2324" t="s">
        <v>5927</v>
      </c>
      <c r="E2324" t="s">
        <v>5939</v>
      </c>
      <c r="F2324">
        <v>99.67</v>
      </c>
    </row>
    <row r="2325" spans="1:6">
      <c r="A2325" t="str">
        <f>("36-6015C2CH")</f>
        <v>36-6015C2CH</v>
      </c>
      <c r="B2325" t="s">
        <v>5186</v>
      </c>
      <c r="C2325" t="s">
        <v>5930</v>
      </c>
      <c r="D2325" t="s">
        <v>5927</v>
      </c>
      <c r="E2325" t="s">
        <v>5938</v>
      </c>
      <c r="F2325">
        <v>93</v>
      </c>
    </row>
    <row r="2326" spans="1:6">
      <c r="A2326" t="str">
        <f>("36-6015C4CH")</f>
        <v>36-6015C4CH</v>
      </c>
      <c r="B2326" t="s">
        <v>5186</v>
      </c>
      <c r="C2326" t="s">
        <v>5928</v>
      </c>
      <c r="D2326" t="s">
        <v>5927</v>
      </c>
      <c r="E2326" t="s">
        <v>5937</v>
      </c>
      <c r="F2326">
        <v>118</v>
      </c>
    </row>
    <row r="2327" spans="1:6">
      <c r="A2327" t="str">
        <f>("36-6015F2MP")</f>
        <v>36-6015F2MP</v>
      </c>
      <c r="B2327" t="s">
        <v>5186</v>
      </c>
      <c r="C2327" t="s">
        <v>5930</v>
      </c>
      <c r="D2327" t="s">
        <v>5927</v>
      </c>
      <c r="E2327" t="s">
        <v>5936</v>
      </c>
      <c r="F2327">
        <v>99.67</v>
      </c>
    </row>
    <row r="2328" spans="1:6">
      <c r="A2328" t="str">
        <f>("36-6015F4MP")</f>
        <v>36-6015F4MP</v>
      </c>
      <c r="B2328" t="s">
        <v>5186</v>
      </c>
      <c r="C2328" t="s">
        <v>5928</v>
      </c>
      <c r="D2328" t="s">
        <v>5927</v>
      </c>
      <c r="E2328" t="s">
        <v>5935</v>
      </c>
      <c r="F2328">
        <v>99.67</v>
      </c>
    </row>
    <row r="2329" spans="1:6">
      <c r="A2329" t="str">
        <f>("36-6015S2")</f>
        <v>36-6015S2</v>
      </c>
      <c r="B2329" t="s">
        <v>5186</v>
      </c>
      <c r="C2329" t="s">
        <v>5930</v>
      </c>
      <c r="D2329" t="s">
        <v>5927</v>
      </c>
      <c r="E2329" t="s">
        <v>5934</v>
      </c>
      <c r="F2329">
        <v>99.67</v>
      </c>
    </row>
    <row r="2330" spans="1:6">
      <c r="A2330" t="str">
        <f>("36-6015S4")</f>
        <v>36-6015S4</v>
      </c>
      <c r="B2330" t="s">
        <v>5186</v>
      </c>
      <c r="C2330" t="s">
        <v>5928</v>
      </c>
      <c r="D2330" t="s">
        <v>5927</v>
      </c>
      <c r="E2330" t="s">
        <v>5933</v>
      </c>
      <c r="F2330">
        <v>99.67</v>
      </c>
    </row>
    <row r="2331" spans="1:6">
      <c r="A2331" t="str">
        <f>("36-6015SMP2")</f>
        <v>36-6015SMP2</v>
      </c>
      <c r="B2331" t="s">
        <v>5186</v>
      </c>
      <c r="C2331" t="s">
        <v>5930</v>
      </c>
      <c r="D2331" t="s">
        <v>5927</v>
      </c>
      <c r="E2331" t="s">
        <v>5932</v>
      </c>
      <c r="F2331">
        <v>99.67</v>
      </c>
    </row>
    <row r="2332" spans="1:6">
      <c r="A2332" t="str">
        <f>("36-6015SMP4")</f>
        <v>36-6015SMP4</v>
      </c>
      <c r="B2332" t="s">
        <v>5186</v>
      </c>
      <c r="C2332" t="s">
        <v>5928</v>
      </c>
      <c r="D2332" t="s">
        <v>5927</v>
      </c>
      <c r="E2332" t="s">
        <v>5931</v>
      </c>
      <c r="F2332">
        <v>99.67</v>
      </c>
    </row>
    <row r="2333" spans="1:6">
      <c r="A2333" t="str">
        <f>("36-6015W2")</f>
        <v>36-6015W2</v>
      </c>
      <c r="B2333" t="s">
        <v>5186</v>
      </c>
      <c r="C2333" t="s">
        <v>5930</v>
      </c>
      <c r="D2333" t="s">
        <v>5927</v>
      </c>
      <c r="E2333" t="s">
        <v>5929</v>
      </c>
      <c r="F2333">
        <v>99.67</v>
      </c>
    </row>
    <row r="2334" spans="1:6">
      <c r="A2334" t="str">
        <f>("36-6015W4")</f>
        <v>36-6015W4</v>
      </c>
      <c r="B2334" t="s">
        <v>5186</v>
      </c>
      <c r="C2334" t="s">
        <v>5928</v>
      </c>
      <c r="D2334" t="s">
        <v>5927</v>
      </c>
      <c r="E2334" t="s">
        <v>5926</v>
      </c>
      <c r="F2334">
        <v>99.67</v>
      </c>
    </row>
    <row r="2335" spans="1:6">
      <c r="A2335" t="str">
        <f>("400-0001")</f>
        <v>400-0001</v>
      </c>
      <c r="B2335" t="s">
        <v>5186</v>
      </c>
      <c r="C2335" t="s">
        <v>5925</v>
      </c>
      <c r="D2335" t="s">
        <v>5206</v>
      </c>
      <c r="E2335" t="s">
        <v>5924</v>
      </c>
      <c r="F2335">
        <v>269</v>
      </c>
    </row>
    <row r="2336" spans="1:6">
      <c r="A2336" t="str">
        <f>("400-0002")</f>
        <v>400-0002</v>
      </c>
      <c r="B2336" t="s">
        <v>5186</v>
      </c>
      <c r="C2336" t="s">
        <v>5923</v>
      </c>
      <c r="D2336" t="s">
        <v>5206</v>
      </c>
      <c r="E2336" t="s">
        <v>5922</v>
      </c>
      <c r="F2336">
        <v>475.67</v>
      </c>
    </row>
    <row r="2337" spans="1:6">
      <c r="A2337" t="str">
        <f>("400-0003")</f>
        <v>400-0003</v>
      </c>
      <c r="B2337" t="s">
        <v>5186</v>
      </c>
      <c r="C2337" t="s">
        <v>5921</v>
      </c>
      <c r="D2337" t="s">
        <v>5206</v>
      </c>
      <c r="F2337">
        <v>603.66999999999996</v>
      </c>
    </row>
    <row r="2338" spans="1:6">
      <c r="A2338" t="str">
        <f>("400-0004")</f>
        <v>400-0004</v>
      </c>
      <c r="B2338" t="s">
        <v>5186</v>
      </c>
      <c r="C2338" t="s">
        <v>5920</v>
      </c>
      <c r="D2338" t="s">
        <v>5206</v>
      </c>
      <c r="F2338">
        <v>193</v>
      </c>
    </row>
    <row r="2339" spans="1:6">
      <c r="A2339" t="str">
        <f>("400-0005")</f>
        <v>400-0005</v>
      </c>
      <c r="B2339" t="s">
        <v>5186</v>
      </c>
      <c r="C2339" t="s">
        <v>5919</v>
      </c>
      <c r="D2339" t="s">
        <v>5206</v>
      </c>
      <c r="F2339">
        <v>193</v>
      </c>
    </row>
    <row r="2340" spans="1:6">
      <c r="A2340" t="str">
        <f>("400-0006")</f>
        <v>400-0006</v>
      </c>
      <c r="B2340" t="s">
        <v>5186</v>
      </c>
      <c r="C2340" t="s">
        <v>5918</v>
      </c>
      <c r="D2340" t="s">
        <v>5206</v>
      </c>
      <c r="F2340">
        <v>406.33</v>
      </c>
    </row>
    <row r="2341" spans="1:6">
      <c r="A2341" t="str">
        <f>("400-0007")</f>
        <v>400-0007</v>
      </c>
      <c r="B2341" t="s">
        <v>5186</v>
      </c>
      <c r="C2341" t="s">
        <v>5917</v>
      </c>
      <c r="D2341" t="s">
        <v>5206</v>
      </c>
      <c r="E2341" t="s">
        <v>5838</v>
      </c>
      <c r="F2341">
        <v>283.67</v>
      </c>
    </row>
    <row r="2342" spans="1:6">
      <c r="A2342" t="str">
        <f>("400-0008")</f>
        <v>400-0008</v>
      </c>
      <c r="B2342" t="s">
        <v>5186</v>
      </c>
      <c r="C2342" t="s">
        <v>5916</v>
      </c>
      <c r="D2342" t="s">
        <v>5206</v>
      </c>
      <c r="E2342" t="s">
        <v>5915</v>
      </c>
      <c r="F2342">
        <v>649</v>
      </c>
    </row>
    <row r="2343" spans="1:6">
      <c r="A2343" t="str">
        <f>("400-0012")</f>
        <v>400-0012</v>
      </c>
      <c r="B2343" t="s">
        <v>5186</v>
      </c>
      <c r="C2343" t="s">
        <v>5913</v>
      </c>
      <c r="D2343" t="s">
        <v>5206</v>
      </c>
      <c r="E2343" t="s">
        <v>5914</v>
      </c>
      <c r="F2343">
        <v>39.67</v>
      </c>
    </row>
    <row r="2344" spans="1:6">
      <c r="A2344" t="str">
        <f>("400-0013")</f>
        <v>400-0013</v>
      </c>
      <c r="B2344" t="s">
        <v>5186</v>
      </c>
      <c r="C2344" t="s">
        <v>5913</v>
      </c>
      <c r="D2344" t="s">
        <v>5206</v>
      </c>
      <c r="E2344" t="s">
        <v>5912</v>
      </c>
      <c r="F2344">
        <v>43.67</v>
      </c>
    </row>
    <row r="2345" spans="1:6">
      <c r="A2345" t="str">
        <f>("400-0014")</f>
        <v>400-0014</v>
      </c>
      <c r="B2345" t="s">
        <v>5186</v>
      </c>
      <c r="C2345" t="s">
        <v>5908</v>
      </c>
      <c r="D2345" t="s">
        <v>5206</v>
      </c>
      <c r="E2345" t="s">
        <v>5911</v>
      </c>
      <c r="F2345">
        <v>91.67</v>
      </c>
    </row>
    <row r="2346" spans="1:6">
      <c r="A2346" t="str">
        <f>("400-0015")</f>
        <v>400-0015</v>
      </c>
      <c r="B2346" t="s">
        <v>5186</v>
      </c>
      <c r="C2346" t="s">
        <v>5908</v>
      </c>
      <c r="D2346" t="s">
        <v>5206</v>
      </c>
      <c r="E2346" t="s">
        <v>5910</v>
      </c>
      <c r="F2346">
        <v>91.67</v>
      </c>
    </row>
    <row r="2347" spans="1:6">
      <c r="A2347" t="str">
        <f>("400-0017")</f>
        <v>400-0017</v>
      </c>
      <c r="B2347" t="s">
        <v>5186</v>
      </c>
      <c r="C2347" t="s">
        <v>5908</v>
      </c>
      <c r="D2347" t="s">
        <v>5206</v>
      </c>
      <c r="E2347" t="s">
        <v>5909</v>
      </c>
      <c r="F2347">
        <v>91.67</v>
      </c>
    </row>
    <row r="2348" spans="1:6">
      <c r="A2348" t="str">
        <f>("400-0018")</f>
        <v>400-0018</v>
      </c>
      <c r="B2348" t="s">
        <v>5186</v>
      </c>
      <c r="C2348" t="s">
        <v>5908</v>
      </c>
      <c r="D2348" t="s">
        <v>5206</v>
      </c>
      <c r="E2348" t="s">
        <v>5907</v>
      </c>
      <c r="F2348">
        <v>118.33</v>
      </c>
    </row>
    <row r="2349" spans="1:6">
      <c r="A2349" t="str">
        <f>("400-0019")</f>
        <v>400-0019</v>
      </c>
      <c r="B2349" t="s">
        <v>5186</v>
      </c>
      <c r="C2349" t="s">
        <v>5906</v>
      </c>
      <c r="D2349" t="s">
        <v>5206</v>
      </c>
      <c r="E2349" t="s">
        <v>5905</v>
      </c>
      <c r="F2349">
        <v>166.33</v>
      </c>
    </row>
    <row r="2350" spans="1:6">
      <c r="A2350" t="str">
        <f>("400-0020")</f>
        <v>400-0020</v>
      </c>
      <c r="B2350" t="s">
        <v>5186</v>
      </c>
      <c r="C2350" t="s">
        <v>5904</v>
      </c>
      <c r="D2350" t="s">
        <v>5206</v>
      </c>
      <c r="E2350" t="s">
        <v>5903</v>
      </c>
      <c r="F2350">
        <v>206.33</v>
      </c>
    </row>
    <row r="2351" spans="1:6">
      <c r="A2351" t="str">
        <f>("400-0021")</f>
        <v>400-0021</v>
      </c>
      <c r="B2351" t="s">
        <v>5186</v>
      </c>
      <c r="C2351" t="s">
        <v>5902</v>
      </c>
      <c r="D2351" t="s">
        <v>5206</v>
      </c>
      <c r="E2351" t="s">
        <v>5901</v>
      </c>
      <c r="F2351">
        <v>206.33</v>
      </c>
    </row>
    <row r="2352" spans="1:6">
      <c r="A2352" t="str">
        <f>("400-0023")</f>
        <v>400-0023</v>
      </c>
      <c r="B2352" t="s">
        <v>5186</v>
      </c>
      <c r="C2352" t="s">
        <v>5858</v>
      </c>
      <c r="D2352" t="s">
        <v>5206</v>
      </c>
      <c r="E2352" t="s">
        <v>5900</v>
      </c>
      <c r="F2352">
        <v>55.67</v>
      </c>
    </row>
    <row r="2353" spans="1:6">
      <c r="A2353" t="str">
        <f>("400-0024")</f>
        <v>400-0024</v>
      </c>
      <c r="B2353" t="s">
        <v>5186</v>
      </c>
      <c r="C2353" t="s">
        <v>5858</v>
      </c>
      <c r="D2353" t="s">
        <v>5206</v>
      </c>
      <c r="E2353" t="s">
        <v>5899</v>
      </c>
      <c r="F2353">
        <v>55.67</v>
      </c>
    </row>
    <row r="2354" spans="1:6">
      <c r="A2354" t="str">
        <f>("400-0025")</f>
        <v>400-0025</v>
      </c>
      <c r="B2354" t="s">
        <v>5186</v>
      </c>
      <c r="C2354" t="s">
        <v>5898</v>
      </c>
      <c r="D2354" t="s">
        <v>5206</v>
      </c>
      <c r="E2354" t="s">
        <v>5897</v>
      </c>
      <c r="F2354">
        <v>254.33</v>
      </c>
    </row>
    <row r="2355" spans="1:6">
      <c r="A2355" t="str">
        <f>("400-0026")</f>
        <v>400-0026</v>
      </c>
      <c r="B2355" t="s">
        <v>5186</v>
      </c>
      <c r="C2355" t="s">
        <v>5656</v>
      </c>
      <c r="D2355" t="s">
        <v>5206</v>
      </c>
      <c r="E2355" t="s">
        <v>5896</v>
      </c>
      <c r="F2355">
        <v>61</v>
      </c>
    </row>
    <row r="2356" spans="1:6">
      <c r="A2356" t="str">
        <f>("400-0027")</f>
        <v>400-0027</v>
      </c>
      <c r="B2356" t="s">
        <v>5186</v>
      </c>
      <c r="C2356" t="s">
        <v>5656</v>
      </c>
      <c r="D2356" t="s">
        <v>5206</v>
      </c>
      <c r="E2356" t="s">
        <v>5895</v>
      </c>
      <c r="F2356">
        <v>54.33</v>
      </c>
    </row>
    <row r="2357" spans="1:6">
      <c r="A2357" t="str">
        <f>("400-0028")</f>
        <v>400-0028</v>
      </c>
      <c r="B2357" t="s">
        <v>5186</v>
      </c>
      <c r="C2357" t="s">
        <v>5843</v>
      </c>
      <c r="D2357" t="s">
        <v>5206</v>
      </c>
      <c r="E2357" t="s">
        <v>5894</v>
      </c>
      <c r="F2357">
        <v>397</v>
      </c>
    </row>
    <row r="2358" spans="1:6">
      <c r="A2358" t="str">
        <f>("400-0029")</f>
        <v>400-0029</v>
      </c>
      <c r="B2358" t="s">
        <v>5186</v>
      </c>
      <c r="C2358" t="s">
        <v>5893</v>
      </c>
      <c r="D2358" t="s">
        <v>5206</v>
      </c>
      <c r="E2358" t="s">
        <v>5892</v>
      </c>
      <c r="F2358">
        <v>78.33</v>
      </c>
    </row>
    <row r="2359" spans="1:6">
      <c r="A2359" t="str">
        <f>("400-0031")</f>
        <v>400-0031</v>
      </c>
      <c r="B2359" t="s">
        <v>5186</v>
      </c>
      <c r="C2359" t="s">
        <v>5891</v>
      </c>
      <c r="D2359" t="s">
        <v>5206</v>
      </c>
      <c r="E2359" t="s">
        <v>5890</v>
      </c>
      <c r="F2359">
        <v>207.67</v>
      </c>
    </row>
    <row r="2360" spans="1:6">
      <c r="A2360" t="str">
        <f>("400-0032")</f>
        <v>400-0032</v>
      </c>
      <c r="B2360" t="s">
        <v>5186</v>
      </c>
      <c r="C2360" t="s">
        <v>5889</v>
      </c>
      <c r="D2360" t="s">
        <v>5206</v>
      </c>
      <c r="E2360" t="s">
        <v>5888</v>
      </c>
      <c r="F2360">
        <v>207.67</v>
      </c>
    </row>
    <row r="2361" spans="1:6">
      <c r="A2361" t="str">
        <f>("400-0033")</f>
        <v>400-0033</v>
      </c>
      <c r="B2361" t="s">
        <v>5186</v>
      </c>
      <c r="C2361" t="s">
        <v>5887</v>
      </c>
      <c r="D2361" t="s">
        <v>5206</v>
      </c>
      <c r="E2361" t="s">
        <v>5886</v>
      </c>
      <c r="F2361">
        <v>199.67</v>
      </c>
    </row>
    <row r="2362" spans="1:6">
      <c r="A2362" t="str">
        <f>("400-0034")</f>
        <v>400-0034</v>
      </c>
      <c r="B2362" t="s">
        <v>5186</v>
      </c>
      <c r="C2362" t="s">
        <v>5841</v>
      </c>
      <c r="D2362" t="s">
        <v>5206</v>
      </c>
      <c r="E2362" t="s">
        <v>5885</v>
      </c>
      <c r="F2362">
        <v>245</v>
      </c>
    </row>
    <row r="2363" spans="1:6">
      <c r="A2363" t="str">
        <f>("400-0035")</f>
        <v>400-0035</v>
      </c>
      <c r="B2363" t="s">
        <v>5186</v>
      </c>
      <c r="C2363" t="s">
        <v>5884</v>
      </c>
      <c r="D2363" t="s">
        <v>5206</v>
      </c>
      <c r="E2363" t="s">
        <v>5883</v>
      </c>
      <c r="F2363">
        <v>75.67</v>
      </c>
    </row>
    <row r="2364" spans="1:6">
      <c r="A2364" t="str">
        <f>("400-0036")</f>
        <v>400-0036</v>
      </c>
      <c r="B2364" t="s">
        <v>5186</v>
      </c>
      <c r="C2364" t="s">
        <v>5882</v>
      </c>
      <c r="D2364" t="s">
        <v>5206</v>
      </c>
      <c r="E2364" t="s">
        <v>5881</v>
      </c>
      <c r="F2364">
        <v>135.67000000000002</v>
      </c>
    </row>
    <row r="2365" spans="1:6">
      <c r="A2365" t="str">
        <f>("400-0037")</f>
        <v>400-0037</v>
      </c>
      <c r="B2365" t="s">
        <v>5186</v>
      </c>
      <c r="C2365" t="s">
        <v>5880</v>
      </c>
      <c r="D2365" t="s">
        <v>5206</v>
      </c>
      <c r="E2365" t="s">
        <v>5879</v>
      </c>
      <c r="F2365">
        <v>383.67</v>
      </c>
    </row>
    <row r="2366" spans="1:6">
      <c r="A2366" t="str">
        <f>("400-0038")</f>
        <v>400-0038</v>
      </c>
      <c r="B2366" t="s">
        <v>5186</v>
      </c>
      <c r="C2366" t="s">
        <v>5858</v>
      </c>
      <c r="D2366" t="s">
        <v>5206</v>
      </c>
      <c r="E2366" t="s">
        <v>5878</v>
      </c>
      <c r="F2366">
        <v>91.67</v>
      </c>
    </row>
    <row r="2367" spans="1:6">
      <c r="A2367" t="str">
        <f>("400-0039")</f>
        <v>400-0039</v>
      </c>
      <c r="B2367" t="s">
        <v>5186</v>
      </c>
      <c r="C2367" t="s">
        <v>5858</v>
      </c>
      <c r="D2367" t="s">
        <v>5206</v>
      </c>
      <c r="E2367" t="s">
        <v>5877</v>
      </c>
      <c r="F2367">
        <v>109</v>
      </c>
    </row>
    <row r="2368" spans="1:6">
      <c r="A2368" t="str">
        <f>("400-0040")</f>
        <v>400-0040</v>
      </c>
      <c r="B2368" t="s">
        <v>5186</v>
      </c>
      <c r="C2368" t="s">
        <v>5858</v>
      </c>
      <c r="D2368" t="s">
        <v>5206</v>
      </c>
      <c r="E2368" t="s">
        <v>5876</v>
      </c>
      <c r="F2368">
        <v>109</v>
      </c>
    </row>
    <row r="2369" spans="1:6">
      <c r="A2369" t="str">
        <f>("400-0041")</f>
        <v>400-0041</v>
      </c>
      <c r="B2369" t="s">
        <v>5186</v>
      </c>
      <c r="C2369" t="s">
        <v>5875</v>
      </c>
      <c r="D2369" t="s">
        <v>5206</v>
      </c>
      <c r="F2369">
        <v>211.67</v>
      </c>
    </row>
    <row r="2370" spans="1:6">
      <c r="A2370" t="str">
        <f>("400-0042")</f>
        <v>400-0042</v>
      </c>
      <c r="B2370" t="s">
        <v>5186</v>
      </c>
      <c r="C2370" t="s">
        <v>5858</v>
      </c>
      <c r="D2370" t="s">
        <v>5206</v>
      </c>
      <c r="E2370" t="s">
        <v>5874</v>
      </c>
      <c r="F2370">
        <v>139.67000000000002</v>
      </c>
    </row>
    <row r="2371" spans="1:6">
      <c r="A2371" t="str">
        <f>("400-0043")</f>
        <v>400-0043</v>
      </c>
      <c r="B2371" t="s">
        <v>5186</v>
      </c>
      <c r="C2371" t="s">
        <v>5873</v>
      </c>
      <c r="D2371" t="s">
        <v>5206</v>
      </c>
      <c r="F2371">
        <v>230.33</v>
      </c>
    </row>
    <row r="2372" spans="1:6">
      <c r="A2372" t="str">
        <f>("400-0044")</f>
        <v>400-0044</v>
      </c>
      <c r="B2372" t="s">
        <v>5186</v>
      </c>
      <c r="C2372" t="s">
        <v>5872</v>
      </c>
      <c r="D2372" t="s">
        <v>5206</v>
      </c>
      <c r="F2372">
        <v>193</v>
      </c>
    </row>
    <row r="2373" spans="1:6">
      <c r="A2373" t="str">
        <f>("400-0045")</f>
        <v>400-0045</v>
      </c>
      <c r="B2373" t="s">
        <v>5186</v>
      </c>
      <c r="C2373" t="s">
        <v>5871</v>
      </c>
      <c r="D2373" t="s">
        <v>5206</v>
      </c>
      <c r="F2373">
        <v>193</v>
      </c>
    </row>
    <row r="2374" spans="1:6">
      <c r="A2374" t="str">
        <f>("400-0046")</f>
        <v>400-0046</v>
      </c>
      <c r="B2374" t="s">
        <v>5186</v>
      </c>
      <c r="C2374" t="s">
        <v>5870</v>
      </c>
      <c r="D2374" t="s">
        <v>5206</v>
      </c>
      <c r="E2374" t="s">
        <v>5869</v>
      </c>
      <c r="F2374">
        <v>202.33</v>
      </c>
    </row>
    <row r="2375" spans="1:6">
      <c r="A2375" t="str">
        <f>("400-0047")</f>
        <v>400-0047</v>
      </c>
      <c r="B2375" t="s">
        <v>5186</v>
      </c>
      <c r="C2375" t="s">
        <v>5858</v>
      </c>
      <c r="D2375" t="s">
        <v>5206</v>
      </c>
      <c r="E2375" t="s">
        <v>5868</v>
      </c>
      <c r="F2375">
        <v>143.67000000000002</v>
      </c>
    </row>
    <row r="2376" spans="1:6">
      <c r="A2376" t="str">
        <f>("400-0048")</f>
        <v>400-0048</v>
      </c>
      <c r="B2376" t="s">
        <v>5186</v>
      </c>
      <c r="C2376" t="s">
        <v>5858</v>
      </c>
      <c r="D2376" t="s">
        <v>5206</v>
      </c>
      <c r="E2376" t="s">
        <v>5867</v>
      </c>
      <c r="F2376">
        <v>146.32999999999998</v>
      </c>
    </row>
    <row r="2377" spans="1:6">
      <c r="A2377" t="str">
        <f>("400-0049")</f>
        <v>400-0049</v>
      </c>
      <c r="B2377" t="s">
        <v>5186</v>
      </c>
      <c r="C2377" t="s">
        <v>5858</v>
      </c>
      <c r="D2377" t="s">
        <v>5206</v>
      </c>
      <c r="E2377" t="s">
        <v>5866</v>
      </c>
      <c r="F2377">
        <v>211.67</v>
      </c>
    </row>
    <row r="2378" spans="1:6">
      <c r="A2378" t="str">
        <f>("400-0051")</f>
        <v>400-0051</v>
      </c>
      <c r="B2378" t="s">
        <v>5186</v>
      </c>
      <c r="C2378" t="s">
        <v>5858</v>
      </c>
      <c r="D2378" t="s">
        <v>5206</v>
      </c>
      <c r="E2378" t="s">
        <v>5865</v>
      </c>
      <c r="F2378">
        <v>211.67</v>
      </c>
    </row>
    <row r="2379" spans="1:6">
      <c r="A2379" t="str">
        <f>("400-0052")</f>
        <v>400-0052</v>
      </c>
      <c r="B2379" t="s">
        <v>5186</v>
      </c>
      <c r="C2379" t="s">
        <v>5858</v>
      </c>
      <c r="D2379" t="s">
        <v>5206</v>
      </c>
      <c r="E2379" t="s">
        <v>5864</v>
      </c>
      <c r="F2379">
        <v>245</v>
      </c>
    </row>
    <row r="2380" spans="1:6">
      <c r="A2380" t="str">
        <f>("400-0053")</f>
        <v>400-0053</v>
      </c>
      <c r="B2380" t="s">
        <v>5186</v>
      </c>
      <c r="C2380" t="s">
        <v>5858</v>
      </c>
      <c r="D2380" t="s">
        <v>5206</v>
      </c>
      <c r="E2380" t="s">
        <v>5863</v>
      </c>
      <c r="F2380">
        <v>279.66999999999996</v>
      </c>
    </row>
    <row r="2381" spans="1:6">
      <c r="A2381" t="str">
        <f>("400-0054")</f>
        <v>400-0054</v>
      </c>
      <c r="B2381" t="s">
        <v>5186</v>
      </c>
      <c r="C2381" t="s">
        <v>5858</v>
      </c>
      <c r="D2381" t="s">
        <v>5206</v>
      </c>
      <c r="E2381" t="s">
        <v>5862</v>
      </c>
      <c r="F2381">
        <v>227.67</v>
      </c>
    </row>
    <row r="2382" spans="1:6">
      <c r="A2382" t="str">
        <f>("400-0055")</f>
        <v>400-0055</v>
      </c>
      <c r="B2382" t="s">
        <v>5186</v>
      </c>
      <c r="C2382" t="s">
        <v>5861</v>
      </c>
      <c r="D2382" t="s">
        <v>5206</v>
      </c>
      <c r="F2382">
        <v>305</v>
      </c>
    </row>
    <row r="2383" spans="1:6">
      <c r="A2383" t="str">
        <f>("400-0056")</f>
        <v>400-0056</v>
      </c>
      <c r="B2383" t="s">
        <v>5186</v>
      </c>
      <c r="C2383" t="s">
        <v>5858</v>
      </c>
      <c r="D2383" t="s">
        <v>5206</v>
      </c>
      <c r="E2383" t="s">
        <v>5860</v>
      </c>
      <c r="F2383">
        <v>221</v>
      </c>
    </row>
    <row r="2384" spans="1:6">
      <c r="A2384" t="str">
        <f>("400-0057")</f>
        <v>400-0057</v>
      </c>
      <c r="B2384" t="s">
        <v>5186</v>
      </c>
      <c r="C2384" t="s">
        <v>5859</v>
      </c>
      <c r="D2384" t="s">
        <v>5206</v>
      </c>
      <c r="F2384">
        <v>577</v>
      </c>
    </row>
    <row r="2385" spans="1:6">
      <c r="A2385" t="str">
        <f>("400-0058")</f>
        <v>400-0058</v>
      </c>
      <c r="B2385" t="s">
        <v>5186</v>
      </c>
      <c r="C2385" t="s">
        <v>5858</v>
      </c>
      <c r="D2385" t="s">
        <v>5206</v>
      </c>
      <c r="E2385" t="s">
        <v>5857</v>
      </c>
      <c r="F2385">
        <v>610.33000000000004</v>
      </c>
    </row>
    <row r="2386" spans="1:6">
      <c r="A2386" t="str">
        <f>("400-0059")</f>
        <v>400-0059</v>
      </c>
      <c r="B2386" t="s">
        <v>5186</v>
      </c>
      <c r="C2386" t="s">
        <v>5856</v>
      </c>
      <c r="D2386" t="s">
        <v>5206</v>
      </c>
      <c r="E2386" t="s">
        <v>5855</v>
      </c>
      <c r="F2386">
        <v>62.33</v>
      </c>
    </row>
    <row r="2387" spans="1:6">
      <c r="A2387" t="str">
        <f>("400-0060")</f>
        <v>400-0060</v>
      </c>
      <c r="B2387" t="s">
        <v>5186</v>
      </c>
      <c r="C2387" t="s">
        <v>5854</v>
      </c>
      <c r="D2387" t="s">
        <v>5206</v>
      </c>
      <c r="F2387">
        <v>54.33</v>
      </c>
    </row>
    <row r="2388" spans="1:6">
      <c r="A2388" t="str">
        <f>("400-0061")</f>
        <v>400-0061</v>
      </c>
      <c r="B2388" t="s">
        <v>5186</v>
      </c>
      <c r="C2388" t="s">
        <v>5841</v>
      </c>
      <c r="D2388" t="s">
        <v>5206</v>
      </c>
      <c r="E2388" t="s">
        <v>5853</v>
      </c>
      <c r="F2388">
        <v>194.33</v>
      </c>
    </row>
    <row r="2389" spans="1:6">
      <c r="A2389" t="str">
        <f>("400-0063")</f>
        <v>400-0063</v>
      </c>
      <c r="B2389" t="s">
        <v>5186</v>
      </c>
      <c r="C2389" t="s">
        <v>5841</v>
      </c>
      <c r="D2389" t="s">
        <v>5206</v>
      </c>
      <c r="E2389" t="s">
        <v>5852</v>
      </c>
      <c r="F2389">
        <v>283.67</v>
      </c>
    </row>
    <row r="2390" spans="1:6">
      <c r="A2390" t="str">
        <f>("400-0064")</f>
        <v>400-0064</v>
      </c>
      <c r="B2390" t="s">
        <v>5186</v>
      </c>
      <c r="C2390" t="s">
        <v>5851</v>
      </c>
      <c r="D2390" t="s">
        <v>5206</v>
      </c>
      <c r="E2390" t="s">
        <v>5850</v>
      </c>
      <c r="F2390">
        <v>125</v>
      </c>
    </row>
    <row r="2391" spans="1:6">
      <c r="A2391" t="str">
        <f>("400-0065")</f>
        <v>400-0065</v>
      </c>
      <c r="B2391" t="s">
        <v>5186</v>
      </c>
      <c r="C2391" t="s">
        <v>5849</v>
      </c>
      <c r="D2391" t="s">
        <v>5206</v>
      </c>
      <c r="E2391" t="s">
        <v>5848</v>
      </c>
      <c r="F2391">
        <v>603.66999999999996</v>
      </c>
    </row>
    <row r="2392" spans="1:6">
      <c r="A2392" t="str">
        <f>("400-0066")</f>
        <v>400-0066</v>
      </c>
      <c r="B2392" t="s">
        <v>5186</v>
      </c>
      <c r="C2392" t="s">
        <v>5843</v>
      </c>
      <c r="D2392" t="s">
        <v>5206</v>
      </c>
      <c r="E2392" t="s">
        <v>5847</v>
      </c>
      <c r="F2392">
        <v>143.67000000000002</v>
      </c>
    </row>
    <row r="2393" spans="1:6">
      <c r="A2393" t="str">
        <f>("400-0068")</f>
        <v>400-0068</v>
      </c>
      <c r="B2393" t="s">
        <v>5186</v>
      </c>
      <c r="C2393" t="s">
        <v>5843</v>
      </c>
      <c r="D2393" t="s">
        <v>5206</v>
      </c>
      <c r="E2393" t="s">
        <v>5846</v>
      </c>
      <c r="F2393">
        <v>363.67</v>
      </c>
    </row>
    <row r="2394" spans="1:6">
      <c r="A2394" t="str">
        <f>("400-0069")</f>
        <v>400-0069</v>
      </c>
      <c r="B2394" t="s">
        <v>5186</v>
      </c>
      <c r="C2394" t="s">
        <v>5843</v>
      </c>
      <c r="D2394" t="s">
        <v>5206</v>
      </c>
      <c r="E2394" t="s">
        <v>5845</v>
      </c>
      <c r="F2394">
        <v>363.67</v>
      </c>
    </row>
    <row r="2395" spans="1:6">
      <c r="A2395" t="str">
        <f>("400-0070")</f>
        <v>400-0070</v>
      </c>
      <c r="B2395" t="s">
        <v>5186</v>
      </c>
      <c r="C2395" t="s">
        <v>5843</v>
      </c>
      <c r="D2395" t="s">
        <v>5206</v>
      </c>
      <c r="E2395" t="s">
        <v>5844</v>
      </c>
      <c r="F2395">
        <v>363.67</v>
      </c>
    </row>
    <row r="2396" spans="1:6">
      <c r="A2396" t="str">
        <f>("400-0071")</f>
        <v>400-0071</v>
      </c>
      <c r="B2396" t="s">
        <v>5186</v>
      </c>
      <c r="C2396" t="s">
        <v>5843</v>
      </c>
      <c r="D2396" t="s">
        <v>5206</v>
      </c>
      <c r="E2396" t="s">
        <v>5842</v>
      </c>
      <c r="F2396">
        <v>493</v>
      </c>
    </row>
    <row r="2397" spans="1:6">
      <c r="A2397" t="str">
        <f>("400-0072")</f>
        <v>400-0072</v>
      </c>
      <c r="B2397" t="s">
        <v>5186</v>
      </c>
      <c r="C2397" t="s">
        <v>5841</v>
      </c>
      <c r="D2397" t="s">
        <v>5206</v>
      </c>
      <c r="E2397" t="s">
        <v>5840</v>
      </c>
      <c r="F2397">
        <v>194.33</v>
      </c>
    </row>
    <row r="2398" spans="1:6">
      <c r="A2398" t="str">
        <f>("400-0073")</f>
        <v>400-0073</v>
      </c>
      <c r="B2398" t="s">
        <v>5186</v>
      </c>
      <c r="C2398" t="s">
        <v>5839</v>
      </c>
      <c r="D2398" t="s">
        <v>5206</v>
      </c>
      <c r="E2398" t="s">
        <v>5838</v>
      </c>
      <c r="F2398">
        <v>283.67</v>
      </c>
    </row>
    <row r="2399" spans="1:6">
      <c r="A2399" t="str">
        <f>("500-0001")</f>
        <v>500-0001</v>
      </c>
      <c r="B2399" t="s">
        <v>5186</v>
      </c>
      <c r="C2399" t="s">
        <v>5814</v>
      </c>
      <c r="D2399" t="s">
        <v>5650</v>
      </c>
      <c r="E2399" t="s">
        <v>5649</v>
      </c>
      <c r="F2399">
        <v>1190.33</v>
      </c>
    </row>
    <row r="2400" spans="1:6">
      <c r="A2400" t="str">
        <f>("500-0002")</f>
        <v>500-0002</v>
      </c>
      <c r="B2400" t="s">
        <v>5186</v>
      </c>
      <c r="C2400" t="s">
        <v>5803</v>
      </c>
      <c r="D2400" t="s">
        <v>5650</v>
      </c>
      <c r="E2400" t="s">
        <v>5649</v>
      </c>
      <c r="F2400">
        <v>1114.33</v>
      </c>
    </row>
    <row r="2401" spans="1:6">
      <c r="A2401" t="str">
        <f>("500-0004")</f>
        <v>500-0004</v>
      </c>
      <c r="B2401" t="s">
        <v>5186</v>
      </c>
      <c r="C2401" t="s">
        <v>5837</v>
      </c>
      <c r="D2401" t="s">
        <v>5206</v>
      </c>
      <c r="F2401">
        <v>177</v>
      </c>
    </row>
    <row r="2402" spans="1:6">
      <c r="A2402" t="str">
        <f>("500-0006")</f>
        <v>500-0006</v>
      </c>
      <c r="B2402" t="s">
        <v>5186</v>
      </c>
      <c r="C2402" t="s">
        <v>5836</v>
      </c>
      <c r="D2402" t="s">
        <v>5206</v>
      </c>
      <c r="F2402">
        <v>942.33</v>
      </c>
    </row>
    <row r="2403" spans="1:6">
      <c r="A2403" t="str">
        <f>("500-0007")</f>
        <v>500-0007</v>
      </c>
      <c r="B2403" t="s">
        <v>5186</v>
      </c>
      <c r="C2403" t="s">
        <v>5835</v>
      </c>
      <c r="D2403" t="s">
        <v>5206</v>
      </c>
      <c r="E2403" t="s">
        <v>5834</v>
      </c>
      <c r="F2403">
        <v>569</v>
      </c>
    </row>
    <row r="2404" spans="1:6">
      <c r="A2404" t="str">
        <f>("500-0008")</f>
        <v>500-0008</v>
      </c>
      <c r="B2404" t="s">
        <v>5186</v>
      </c>
      <c r="C2404" t="s">
        <v>5633</v>
      </c>
      <c r="D2404" t="s">
        <v>5174</v>
      </c>
      <c r="E2404" t="s">
        <v>5520</v>
      </c>
      <c r="F2404">
        <v>1171.67</v>
      </c>
    </row>
    <row r="2405" spans="1:6">
      <c r="A2405" t="str">
        <f>("500-0009")</f>
        <v>500-0009</v>
      </c>
      <c r="B2405" t="s">
        <v>5186</v>
      </c>
      <c r="C2405" t="s">
        <v>5803</v>
      </c>
      <c r="D2405" t="s">
        <v>5216</v>
      </c>
      <c r="E2405" t="s">
        <v>5833</v>
      </c>
      <c r="F2405">
        <v>1114.33</v>
      </c>
    </row>
    <row r="2406" spans="1:6">
      <c r="A2406" t="str">
        <f>("500-0010")</f>
        <v>500-0010</v>
      </c>
      <c r="B2406" t="s">
        <v>5186</v>
      </c>
      <c r="C2406" t="s">
        <v>5832</v>
      </c>
      <c r="D2406" t="s">
        <v>5206</v>
      </c>
      <c r="F2406">
        <v>945</v>
      </c>
    </row>
    <row r="2407" spans="1:6">
      <c r="A2407" t="str">
        <f>("500-0011")</f>
        <v>500-0011</v>
      </c>
      <c r="B2407" t="s">
        <v>5186</v>
      </c>
      <c r="C2407" t="s">
        <v>5831</v>
      </c>
      <c r="D2407" t="s">
        <v>5206</v>
      </c>
      <c r="F2407">
        <v>645</v>
      </c>
    </row>
    <row r="2408" spans="1:6">
      <c r="A2408" t="str">
        <f>("500-0012")</f>
        <v>500-0012</v>
      </c>
      <c r="B2408" t="s">
        <v>5186</v>
      </c>
      <c r="C2408" t="s">
        <v>5830</v>
      </c>
      <c r="D2408" t="s">
        <v>5206</v>
      </c>
      <c r="F2408">
        <v>586.33000000000004</v>
      </c>
    </row>
    <row r="2409" spans="1:6">
      <c r="A2409" t="str">
        <f>("500-0013")</f>
        <v>500-0013</v>
      </c>
      <c r="B2409" t="s">
        <v>5186</v>
      </c>
      <c r="C2409" t="s">
        <v>5814</v>
      </c>
      <c r="D2409" t="s">
        <v>5810</v>
      </c>
      <c r="E2409" t="s">
        <v>5829</v>
      </c>
      <c r="F2409">
        <v>1190.33</v>
      </c>
    </row>
    <row r="2410" spans="1:6">
      <c r="A2410" t="str">
        <f>("500-0014")</f>
        <v>500-0014</v>
      </c>
      <c r="B2410" t="s">
        <v>5186</v>
      </c>
      <c r="C2410" t="s">
        <v>5633</v>
      </c>
      <c r="D2410" t="s">
        <v>5174</v>
      </c>
      <c r="E2410" t="s">
        <v>5526</v>
      </c>
      <c r="F2410">
        <v>1171.67</v>
      </c>
    </row>
    <row r="2411" spans="1:6">
      <c r="A2411" t="str">
        <f>("500-0015")</f>
        <v>500-0015</v>
      </c>
      <c r="B2411" t="s">
        <v>5186</v>
      </c>
      <c r="C2411" t="s">
        <v>5814</v>
      </c>
      <c r="D2411" t="s">
        <v>5216</v>
      </c>
      <c r="E2411" t="s">
        <v>5807</v>
      </c>
      <c r="F2411">
        <v>1190.33</v>
      </c>
    </row>
    <row r="2412" spans="1:6">
      <c r="A2412" t="str">
        <f>("500-0016")</f>
        <v>500-0016</v>
      </c>
      <c r="B2412" t="s">
        <v>5186</v>
      </c>
      <c r="C2412" t="s">
        <v>5828</v>
      </c>
      <c r="D2412" t="s">
        <v>5206</v>
      </c>
      <c r="F2412">
        <v>526.32999999999993</v>
      </c>
    </row>
    <row r="2413" spans="1:6">
      <c r="A2413" t="str">
        <f>("500-0017")</f>
        <v>500-0017</v>
      </c>
      <c r="B2413" t="s">
        <v>5186</v>
      </c>
      <c r="C2413" t="s">
        <v>5827</v>
      </c>
      <c r="D2413" t="s">
        <v>5206</v>
      </c>
      <c r="F2413">
        <v>153</v>
      </c>
    </row>
    <row r="2414" spans="1:6">
      <c r="A2414" t="str">
        <f>("500-0018")</f>
        <v>500-0018</v>
      </c>
      <c r="B2414" t="s">
        <v>5186</v>
      </c>
      <c r="C2414" t="s">
        <v>5633</v>
      </c>
      <c r="D2414" t="s">
        <v>5174</v>
      </c>
      <c r="E2414" t="s">
        <v>5516</v>
      </c>
      <c r="F2414">
        <v>1171.67</v>
      </c>
    </row>
    <row r="2415" spans="1:6">
      <c r="A2415" t="str">
        <f>("500-0019")</f>
        <v>500-0019</v>
      </c>
      <c r="B2415" t="s">
        <v>5186</v>
      </c>
      <c r="C2415" t="s">
        <v>5826</v>
      </c>
      <c r="D2415" t="s">
        <v>5206</v>
      </c>
      <c r="F2415">
        <v>685</v>
      </c>
    </row>
    <row r="2416" spans="1:6">
      <c r="A2416" t="str">
        <f>("500-0020")</f>
        <v>500-0020</v>
      </c>
      <c r="B2416" t="s">
        <v>5186</v>
      </c>
      <c r="C2416" t="s">
        <v>5654</v>
      </c>
      <c r="D2416" t="s">
        <v>5206</v>
      </c>
      <c r="E2416" t="s">
        <v>5825</v>
      </c>
      <c r="F2416">
        <v>131.67000000000002</v>
      </c>
    </row>
    <row r="2417" spans="1:6">
      <c r="A2417" t="str">
        <f>("500-0021")</f>
        <v>500-0021</v>
      </c>
      <c r="B2417" t="s">
        <v>5186</v>
      </c>
      <c r="C2417" t="s">
        <v>5824</v>
      </c>
      <c r="D2417" t="s">
        <v>5206</v>
      </c>
      <c r="E2417" t="s">
        <v>5823</v>
      </c>
      <c r="F2417">
        <v>194.33</v>
      </c>
    </row>
    <row r="2418" spans="1:6">
      <c r="A2418" t="str">
        <f>("500-0022")</f>
        <v>500-0022</v>
      </c>
      <c r="B2418" t="s">
        <v>5186</v>
      </c>
      <c r="C2418" t="s">
        <v>5803</v>
      </c>
      <c r="D2418" t="s">
        <v>5810</v>
      </c>
      <c r="E2418" t="s">
        <v>5809</v>
      </c>
      <c r="F2418">
        <v>1114.33</v>
      </c>
    </row>
    <row r="2419" spans="1:6">
      <c r="A2419" t="str">
        <f>("500-0024")</f>
        <v>500-0024</v>
      </c>
      <c r="B2419" t="s">
        <v>5186</v>
      </c>
      <c r="C2419" t="s">
        <v>5822</v>
      </c>
      <c r="D2419" t="s">
        <v>5174</v>
      </c>
      <c r="E2419" t="s">
        <v>5520</v>
      </c>
      <c r="F2419">
        <v>1493</v>
      </c>
    </row>
    <row r="2420" spans="1:6">
      <c r="A2420" t="str">
        <f>("500-0025")</f>
        <v>500-0025</v>
      </c>
      <c r="B2420" t="s">
        <v>5186</v>
      </c>
      <c r="C2420" t="s">
        <v>5822</v>
      </c>
      <c r="D2420" t="s">
        <v>5174</v>
      </c>
      <c r="E2420" t="s">
        <v>5526</v>
      </c>
      <c r="F2420">
        <v>1547.67</v>
      </c>
    </row>
    <row r="2421" spans="1:6">
      <c r="A2421" t="str">
        <f>("500-0026")</f>
        <v>500-0026</v>
      </c>
      <c r="B2421" t="s">
        <v>5186</v>
      </c>
      <c r="C2421" t="s">
        <v>5822</v>
      </c>
      <c r="D2421" t="s">
        <v>5174</v>
      </c>
      <c r="E2421" t="s">
        <v>5516</v>
      </c>
      <c r="F2421">
        <v>1573</v>
      </c>
    </row>
    <row r="2422" spans="1:6">
      <c r="A2422" t="str">
        <f>("500-0027")</f>
        <v>500-0027</v>
      </c>
      <c r="B2422" t="s">
        <v>5186</v>
      </c>
      <c r="C2422" t="s">
        <v>5821</v>
      </c>
      <c r="D2422" t="s">
        <v>5650</v>
      </c>
      <c r="E2422" t="s">
        <v>5649</v>
      </c>
      <c r="F2422">
        <v>1550.33</v>
      </c>
    </row>
    <row r="2423" spans="1:6">
      <c r="A2423" t="str">
        <f>("500-0028")</f>
        <v>500-0028</v>
      </c>
      <c r="B2423" t="s">
        <v>5186</v>
      </c>
      <c r="C2423" t="s">
        <v>5821</v>
      </c>
      <c r="D2423" t="s">
        <v>5810</v>
      </c>
      <c r="E2423" t="s">
        <v>5809</v>
      </c>
      <c r="F2423">
        <v>1550.33</v>
      </c>
    </row>
    <row r="2424" spans="1:6">
      <c r="A2424" t="str">
        <f>("500-0029")</f>
        <v>500-0029</v>
      </c>
      <c r="B2424" t="s">
        <v>5186</v>
      </c>
      <c r="C2424" t="s">
        <v>5821</v>
      </c>
      <c r="D2424" t="s">
        <v>5174</v>
      </c>
      <c r="E2424" t="s">
        <v>5818</v>
      </c>
      <c r="F2424">
        <v>1550.33</v>
      </c>
    </row>
    <row r="2425" spans="1:6">
      <c r="A2425" t="str">
        <f>("500-0030")</f>
        <v>500-0030</v>
      </c>
      <c r="B2425" t="s">
        <v>5186</v>
      </c>
      <c r="C2425" t="s">
        <v>5821</v>
      </c>
      <c r="D2425" t="s">
        <v>5648</v>
      </c>
      <c r="E2425" t="s">
        <v>5762</v>
      </c>
      <c r="F2425">
        <v>1550.33</v>
      </c>
    </row>
    <row r="2426" spans="1:6">
      <c r="A2426" t="str">
        <f>("500-0031")</f>
        <v>500-0031</v>
      </c>
      <c r="B2426" t="s">
        <v>5186</v>
      </c>
      <c r="C2426" t="s">
        <v>5821</v>
      </c>
      <c r="D2426" t="s">
        <v>5163</v>
      </c>
      <c r="E2426" t="s">
        <v>5820</v>
      </c>
      <c r="F2426">
        <v>1550.33</v>
      </c>
    </row>
    <row r="2427" spans="1:6">
      <c r="A2427" t="str">
        <f>("500-0032")</f>
        <v>500-0032</v>
      </c>
      <c r="B2427" t="s">
        <v>5186</v>
      </c>
      <c r="C2427" t="s">
        <v>5819</v>
      </c>
      <c r="D2427" t="s">
        <v>5206</v>
      </c>
      <c r="F2427">
        <v>1550.33</v>
      </c>
    </row>
    <row r="2428" spans="1:6">
      <c r="A2428" t="str">
        <f>("500-0033")</f>
        <v>500-0033</v>
      </c>
      <c r="B2428" t="s">
        <v>5186</v>
      </c>
      <c r="C2428" t="s">
        <v>5814</v>
      </c>
      <c r="D2428" t="s">
        <v>5648</v>
      </c>
      <c r="E2428" t="s">
        <v>5762</v>
      </c>
      <c r="F2428">
        <v>1190.33</v>
      </c>
    </row>
    <row r="2429" spans="1:6">
      <c r="A2429" t="str">
        <f>("500-0034")</f>
        <v>500-0034</v>
      </c>
      <c r="B2429" t="s">
        <v>5186</v>
      </c>
      <c r="C2429" t="s">
        <v>5804</v>
      </c>
      <c r="D2429" t="s">
        <v>5648</v>
      </c>
      <c r="E2429" t="s">
        <v>5762</v>
      </c>
      <c r="F2429">
        <v>963.67</v>
      </c>
    </row>
    <row r="2430" spans="1:6">
      <c r="A2430" t="str">
        <f>("500-0035")</f>
        <v>500-0035</v>
      </c>
      <c r="B2430" t="s">
        <v>5186</v>
      </c>
      <c r="C2430" t="s">
        <v>5814</v>
      </c>
      <c r="D2430" t="s">
        <v>5174</v>
      </c>
      <c r="E2430" t="s">
        <v>5802</v>
      </c>
      <c r="F2430">
        <v>1190.33</v>
      </c>
    </row>
    <row r="2431" spans="1:6">
      <c r="A2431" t="str">
        <f>("500-0036")</f>
        <v>500-0036</v>
      </c>
      <c r="B2431" t="s">
        <v>5186</v>
      </c>
      <c r="C2431" t="s">
        <v>5814</v>
      </c>
      <c r="D2431" t="s">
        <v>5174</v>
      </c>
      <c r="E2431" t="s">
        <v>5818</v>
      </c>
      <c r="F2431">
        <v>1190.33</v>
      </c>
    </row>
    <row r="2432" spans="1:6">
      <c r="A2432" t="str">
        <f>("500-0037")</f>
        <v>500-0037</v>
      </c>
      <c r="B2432" t="s">
        <v>5186</v>
      </c>
      <c r="C2432" t="s">
        <v>5814</v>
      </c>
      <c r="D2432" t="s">
        <v>5216</v>
      </c>
      <c r="E2432" t="s">
        <v>5817</v>
      </c>
      <c r="F2432">
        <v>1190.33</v>
      </c>
    </row>
    <row r="2433" spans="1:6">
      <c r="A2433" t="str">
        <f>("500-0038")</f>
        <v>500-0038</v>
      </c>
      <c r="B2433" t="s">
        <v>5186</v>
      </c>
      <c r="C2433" t="s">
        <v>5816</v>
      </c>
      <c r="D2433" t="s">
        <v>5206</v>
      </c>
      <c r="F2433">
        <v>1190.33</v>
      </c>
    </row>
    <row r="2434" spans="1:6">
      <c r="A2434" t="str">
        <f>("500-0040")</f>
        <v>500-0040</v>
      </c>
      <c r="B2434" t="s">
        <v>5186</v>
      </c>
      <c r="C2434" t="s">
        <v>5812</v>
      </c>
      <c r="D2434" t="s">
        <v>5206</v>
      </c>
      <c r="E2434" t="s">
        <v>5815</v>
      </c>
      <c r="F2434">
        <v>1225</v>
      </c>
    </row>
    <row r="2435" spans="1:6">
      <c r="A2435" t="str">
        <f>("500-0041")</f>
        <v>500-0041</v>
      </c>
      <c r="B2435" t="s">
        <v>5186</v>
      </c>
      <c r="C2435" t="s">
        <v>5814</v>
      </c>
      <c r="D2435" t="s">
        <v>5216</v>
      </c>
      <c r="E2435" t="s">
        <v>5805</v>
      </c>
      <c r="F2435">
        <v>1190.33</v>
      </c>
    </row>
    <row r="2436" spans="1:6">
      <c r="A2436" t="str">
        <f>("500-0042")</f>
        <v>500-0042</v>
      </c>
      <c r="B2436" t="s">
        <v>5186</v>
      </c>
      <c r="C2436" t="s">
        <v>5812</v>
      </c>
      <c r="D2436" t="s">
        <v>5206</v>
      </c>
      <c r="E2436" t="s">
        <v>5813</v>
      </c>
      <c r="F2436">
        <v>1114.33</v>
      </c>
    </row>
    <row r="2437" spans="1:6">
      <c r="A2437" t="str">
        <f>("500-0043")</f>
        <v>500-0043</v>
      </c>
      <c r="B2437" t="s">
        <v>5186</v>
      </c>
      <c r="C2437" t="s">
        <v>5812</v>
      </c>
      <c r="D2437" t="s">
        <v>5650</v>
      </c>
      <c r="E2437" t="s">
        <v>5811</v>
      </c>
      <c r="F2437">
        <v>1282.33</v>
      </c>
    </row>
    <row r="2438" spans="1:6">
      <c r="A2438" t="str">
        <f>("500-0044")</f>
        <v>500-0044</v>
      </c>
      <c r="B2438" t="s">
        <v>5186</v>
      </c>
      <c r="C2438" t="s">
        <v>5804</v>
      </c>
      <c r="D2438" t="s">
        <v>5810</v>
      </c>
      <c r="E2438" t="s">
        <v>5809</v>
      </c>
      <c r="F2438">
        <v>963.67</v>
      </c>
    </row>
    <row r="2439" spans="1:6">
      <c r="A2439" t="str">
        <f>("500-0045")</f>
        <v>500-0045</v>
      </c>
      <c r="B2439" t="s">
        <v>5186</v>
      </c>
      <c r="C2439" t="s">
        <v>5804</v>
      </c>
      <c r="D2439" t="s">
        <v>5174</v>
      </c>
      <c r="E2439" t="s">
        <v>5802</v>
      </c>
      <c r="F2439">
        <v>963.67</v>
      </c>
    </row>
    <row r="2440" spans="1:6">
      <c r="A2440" t="str">
        <f>("500-0046")</f>
        <v>500-0046</v>
      </c>
      <c r="B2440" t="s">
        <v>5186</v>
      </c>
      <c r="C2440" t="s">
        <v>5804</v>
      </c>
      <c r="D2440" t="s">
        <v>5174</v>
      </c>
      <c r="E2440" t="s">
        <v>5808</v>
      </c>
      <c r="F2440">
        <v>963.67</v>
      </c>
    </row>
    <row r="2441" spans="1:6">
      <c r="A2441" t="str">
        <f>("500-0047")</f>
        <v>500-0047</v>
      </c>
      <c r="B2441" t="s">
        <v>5186</v>
      </c>
      <c r="C2441" t="s">
        <v>5804</v>
      </c>
      <c r="D2441" t="s">
        <v>5216</v>
      </c>
      <c r="E2441" t="s">
        <v>5807</v>
      </c>
      <c r="F2441">
        <v>963.67</v>
      </c>
    </row>
    <row r="2442" spans="1:6">
      <c r="A2442" t="str">
        <f>("500-00476")</f>
        <v>500-00476</v>
      </c>
      <c r="B2442" t="s">
        <v>5186</v>
      </c>
      <c r="C2442" t="s">
        <v>5806</v>
      </c>
      <c r="F2442">
        <v>30.17</v>
      </c>
    </row>
    <row r="2443" spans="1:6">
      <c r="A2443" t="str">
        <f>("500-0048")</f>
        <v>500-0048</v>
      </c>
      <c r="B2443" t="s">
        <v>5186</v>
      </c>
      <c r="C2443" t="s">
        <v>5637</v>
      </c>
      <c r="D2443" t="s">
        <v>5216</v>
      </c>
      <c r="E2443" t="s">
        <v>5805</v>
      </c>
      <c r="F2443">
        <v>919.67</v>
      </c>
    </row>
    <row r="2444" spans="1:6">
      <c r="A2444" t="str">
        <f>("500-0049")</f>
        <v>500-0049</v>
      </c>
      <c r="B2444" t="s">
        <v>5186</v>
      </c>
      <c r="C2444" t="s">
        <v>5804</v>
      </c>
      <c r="D2444" t="s">
        <v>5650</v>
      </c>
      <c r="E2444" t="s">
        <v>5649</v>
      </c>
      <c r="F2444">
        <v>950.33</v>
      </c>
    </row>
    <row r="2445" spans="1:6">
      <c r="A2445" t="str">
        <f>("500-0050")</f>
        <v>500-0050</v>
      </c>
      <c r="B2445" t="s">
        <v>5186</v>
      </c>
      <c r="C2445" t="s">
        <v>5803</v>
      </c>
      <c r="D2445" t="s">
        <v>5648</v>
      </c>
      <c r="E2445" t="s">
        <v>5762</v>
      </c>
      <c r="F2445">
        <v>1114.33</v>
      </c>
    </row>
    <row r="2446" spans="1:6">
      <c r="A2446" t="str">
        <f>("500-0051")</f>
        <v>500-0051</v>
      </c>
      <c r="B2446" t="s">
        <v>5186</v>
      </c>
      <c r="C2446" t="s">
        <v>5760</v>
      </c>
      <c r="D2446" t="s">
        <v>5174</v>
      </c>
      <c r="E2446" t="s">
        <v>5802</v>
      </c>
      <c r="F2446">
        <v>1114.33</v>
      </c>
    </row>
    <row r="2447" spans="1:6">
      <c r="A2447" t="str">
        <f>("500-0052")</f>
        <v>500-0052</v>
      </c>
      <c r="B2447" t="s">
        <v>5186</v>
      </c>
      <c r="C2447" t="s">
        <v>5760</v>
      </c>
      <c r="D2447" t="s">
        <v>5648</v>
      </c>
      <c r="E2447" t="s">
        <v>5762</v>
      </c>
      <c r="F2447">
        <v>1114.33</v>
      </c>
    </row>
    <row r="2448" spans="1:6">
      <c r="A2448" t="str">
        <f>("500-0054")</f>
        <v>500-0054</v>
      </c>
      <c r="B2448" t="s">
        <v>5186</v>
      </c>
      <c r="C2448" t="s">
        <v>5760</v>
      </c>
      <c r="D2448" t="s">
        <v>5650</v>
      </c>
      <c r="E2448" t="s">
        <v>5649</v>
      </c>
      <c r="F2448">
        <v>1114.33</v>
      </c>
    </row>
    <row r="2449" spans="1:6">
      <c r="A2449" t="str">
        <f>("500-0055")</f>
        <v>500-0055</v>
      </c>
      <c r="B2449" t="s">
        <v>5186</v>
      </c>
      <c r="C2449" t="s">
        <v>5800</v>
      </c>
      <c r="D2449" t="s">
        <v>5206</v>
      </c>
      <c r="E2449" t="s">
        <v>5801</v>
      </c>
      <c r="F2449">
        <v>179.67</v>
      </c>
    </row>
    <row r="2450" spans="1:6">
      <c r="A2450" t="str">
        <f>("500-0056")</f>
        <v>500-0056</v>
      </c>
      <c r="B2450" t="s">
        <v>5186</v>
      </c>
      <c r="C2450" t="s">
        <v>5800</v>
      </c>
      <c r="D2450" t="s">
        <v>5206</v>
      </c>
      <c r="E2450" t="s">
        <v>5799</v>
      </c>
      <c r="F2450">
        <v>179.67</v>
      </c>
    </row>
    <row r="2451" spans="1:6">
      <c r="A2451" t="str">
        <f>("500-0057")</f>
        <v>500-0057</v>
      </c>
      <c r="B2451" t="s">
        <v>5186</v>
      </c>
      <c r="C2451" t="s">
        <v>5656</v>
      </c>
      <c r="D2451" t="s">
        <v>5206</v>
      </c>
      <c r="E2451" t="s">
        <v>5798</v>
      </c>
      <c r="F2451">
        <v>123.67</v>
      </c>
    </row>
    <row r="2452" spans="1:6">
      <c r="A2452" t="str">
        <f>("500-0058")</f>
        <v>500-0058</v>
      </c>
      <c r="B2452" t="s">
        <v>5186</v>
      </c>
      <c r="C2452" t="s">
        <v>5797</v>
      </c>
      <c r="D2452" t="s">
        <v>5206</v>
      </c>
      <c r="E2452" t="s">
        <v>5796</v>
      </c>
      <c r="F2452">
        <v>123.67</v>
      </c>
    </row>
    <row r="2453" spans="1:6">
      <c r="A2453" t="str">
        <f>("500-0059")</f>
        <v>500-0059</v>
      </c>
      <c r="B2453" t="s">
        <v>5186</v>
      </c>
      <c r="C2453" t="s">
        <v>5654</v>
      </c>
      <c r="D2453" t="s">
        <v>5206</v>
      </c>
      <c r="E2453" t="s">
        <v>5795</v>
      </c>
      <c r="F2453">
        <v>123.67</v>
      </c>
    </row>
    <row r="2454" spans="1:6">
      <c r="A2454" t="str">
        <f>("500-0060")</f>
        <v>500-0060</v>
      </c>
      <c r="B2454" t="s">
        <v>5186</v>
      </c>
      <c r="C2454" t="s">
        <v>5656</v>
      </c>
      <c r="D2454" t="s">
        <v>5206</v>
      </c>
      <c r="E2454" t="s">
        <v>5794</v>
      </c>
      <c r="F2454">
        <v>167.67</v>
      </c>
    </row>
    <row r="2455" spans="1:6">
      <c r="A2455" t="str">
        <f>("500-0061")</f>
        <v>500-0061</v>
      </c>
      <c r="B2455" t="s">
        <v>5186</v>
      </c>
      <c r="C2455" t="s">
        <v>5656</v>
      </c>
      <c r="D2455" t="s">
        <v>5206</v>
      </c>
      <c r="E2455" t="s">
        <v>5793</v>
      </c>
      <c r="F2455">
        <v>123.67</v>
      </c>
    </row>
    <row r="2456" spans="1:6">
      <c r="A2456" t="str">
        <f>("500-0062")</f>
        <v>500-0062</v>
      </c>
      <c r="B2456" t="s">
        <v>5186</v>
      </c>
      <c r="C2456" t="s">
        <v>5656</v>
      </c>
      <c r="D2456" t="s">
        <v>5206</v>
      </c>
      <c r="E2456" t="s">
        <v>5792</v>
      </c>
      <c r="F2456">
        <v>123.67</v>
      </c>
    </row>
    <row r="2457" spans="1:6">
      <c r="A2457" t="str">
        <f>("500-0063")</f>
        <v>500-0063</v>
      </c>
      <c r="B2457" t="s">
        <v>5186</v>
      </c>
      <c r="C2457" t="s">
        <v>5791</v>
      </c>
      <c r="D2457" t="s">
        <v>5206</v>
      </c>
      <c r="F2457">
        <v>123.67</v>
      </c>
    </row>
    <row r="2458" spans="1:6">
      <c r="A2458" t="str">
        <f>("500-0064")</f>
        <v>500-0064</v>
      </c>
      <c r="B2458" t="s">
        <v>5186</v>
      </c>
      <c r="C2458" t="s">
        <v>5656</v>
      </c>
      <c r="D2458" t="s">
        <v>5206</v>
      </c>
      <c r="E2458" t="s">
        <v>5790</v>
      </c>
      <c r="F2458">
        <v>123.67</v>
      </c>
    </row>
    <row r="2459" spans="1:6">
      <c r="A2459" t="str">
        <f>("500-0065")</f>
        <v>500-0065</v>
      </c>
      <c r="B2459" t="s">
        <v>5186</v>
      </c>
      <c r="C2459" t="s">
        <v>5656</v>
      </c>
      <c r="D2459" t="s">
        <v>5206</v>
      </c>
      <c r="E2459" t="s">
        <v>5789</v>
      </c>
      <c r="F2459">
        <v>123.67</v>
      </c>
    </row>
    <row r="2460" spans="1:6">
      <c r="A2460" t="str">
        <f>("500-0066")</f>
        <v>500-0066</v>
      </c>
      <c r="B2460" t="s">
        <v>5186</v>
      </c>
      <c r="C2460" t="s">
        <v>5656</v>
      </c>
      <c r="D2460" t="s">
        <v>5206</v>
      </c>
      <c r="E2460" t="s">
        <v>5788</v>
      </c>
      <c r="F2460">
        <v>93</v>
      </c>
    </row>
    <row r="2461" spans="1:6">
      <c r="A2461" t="str">
        <f>("500-0067")</f>
        <v>500-0067</v>
      </c>
      <c r="B2461" t="s">
        <v>5186</v>
      </c>
      <c r="C2461" t="s">
        <v>5656</v>
      </c>
      <c r="D2461" t="s">
        <v>5206</v>
      </c>
      <c r="E2461" t="s">
        <v>5787</v>
      </c>
      <c r="F2461">
        <v>378.33</v>
      </c>
    </row>
    <row r="2462" spans="1:6">
      <c r="A2462" t="str">
        <f>("500-0068")</f>
        <v>500-0068</v>
      </c>
      <c r="B2462" t="s">
        <v>5186</v>
      </c>
      <c r="C2462" t="s">
        <v>5786</v>
      </c>
      <c r="D2462" t="s">
        <v>5206</v>
      </c>
      <c r="E2462" t="s">
        <v>5785</v>
      </c>
      <c r="F2462">
        <v>193</v>
      </c>
    </row>
    <row r="2463" spans="1:6">
      <c r="A2463" t="str">
        <f>("500-0069")</f>
        <v>500-0069</v>
      </c>
      <c r="B2463" t="s">
        <v>5186</v>
      </c>
      <c r="C2463" t="s">
        <v>5784</v>
      </c>
      <c r="D2463" t="s">
        <v>5206</v>
      </c>
      <c r="E2463" t="s">
        <v>5783</v>
      </c>
      <c r="F2463">
        <v>131.67000000000002</v>
      </c>
    </row>
    <row r="2464" spans="1:6">
      <c r="A2464" t="str">
        <f>("500-0070")</f>
        <v>500-0070</v>
      </c>
      <c r="B2464" t="s">
        <v>5186</v>
      </c>
      <c r="C2464" t="s">
        <v>5778</v>
      </c>
      <c r="D2464" t="s">
        <v>5206</v>
      </c>
      <c r="E2464" t="s">
        <v>5782</v>
      </c>
      <c r="F2464">
        <v>202.33</v>
      </c>
    </row>
    <row r="2465" spans="1:6">
      <c r="A2465" t="str">
        <f>("500-0071")</f>
        <v>500-0071</v>
      </c>
      <c r="B2465" t="s">
        <v>5186</v>
      </c>
      <c r="C2465" t="s">
        <v>5778</v>
      </c>
      <c r="D2465" t="s">
        <v>5206</v>
      </c>
      <c r="E2465" t="s">
        <v>5781</v>
      </c>
      <c r="F2465">
        <v>202.33</v>
      </c>
    </row>
    <row r="2466" spans="1:6">
      <c r="A2466" t="str">
        <f>("500-0073")</f>
        <v>500-0073</v>
      </c>
      <c r="B2466" t="s">
        <v>5186</v>
      </c>
      <c r="C2466" t="s">
        <v>5778</v>
      </c>
      <c r="D2466" t="s">
        <v>5206</v>
      </c>
      <c r="E2466" t="s">
        <v>5780</v>
      </c>
      <c r="F2466">
        <v>202.33</v>
      </c>
    </row>
    <row r="2467" spans="1:6">
      <c r="A2467" t="str">
        <f>("500-0074")</f>
        <v>500-0074</v>
      </c>
      <c r="B2467" t="s">
        <v>5186</v>
      </c>
      <c r="C2467" t="s">
        <v>5778</v>
      </c>
      <c r="D2467" t="s">
        <v>5206</v>
      </c>
      <c r="E2467" t="s">
        <v>5779</v>
      </c>
      <c r="F2467">
        <v>266.33000000000004</v>
      </c>
    </row>
    <row r="2468" spans="1:6">
      <c r="A2468" t="str">
        <f>("500-0075")</f>
        <v>500-0075</v>
      </c>
      <c r="B2468" t="s">
        <v>5186</v>
      </c>
      <c r="C2468" t="s">
        <v>5778</v>
      </c>
      <c r="D2468" t="s">
        <v>5206</v>
      </c>
      <c r="E2468" t="s">
        <v>5777</v>
      </c>
      <c r="F2468">
        <v>114.33</v>
      </c>
    </row>
    <row r="2469" spans="1:6">
      <c r="A2469" t="str">
        <f>("500-0076")</f>
        <v>500-0076</v>
      </c>
      <c r="B2469" t="s">
        <v>5186</v>
      </c>
      <c r="C2469" t="s">
        <v>5776</v>
      </c>
      <c r="D2469" t="s">
        <v>5206</v>
      </c>
      <c r="F2469">
        <v>202.33</v>
      </c>
    </row>
    <row r="2470" spans="1:6">
      <c r="A2470" t="str">
        <f>("500-0077")</f>
        <v>500-0077</v>
      </c>
      <c r="B2470" t="s">
        <v>5186</v>
      </c>
      <c r="C2470" t="s">
        <v>5775</v>
      </c>
      <c r="D2470" t="s">
        <v>5206</v>
      </c>
      <c r="F2470">
        <v>239.67</v>
      </c>
    </row>
    <row r="2471" spans="1:6">
      <c r="A2471" t="str">
        <f>("500-0078")</f>
        <v>500-0078</v>
      </c>
      <c r="B2471" t="s">
        <v>5186</v>
      </c>
      <c r="C2471" t="s">
        <v>5769</v>
      </c>
      <c r="D2471" t="s">
        <v>5206</v>
      </c>
      <c r="E2471" t="s">
        <v>5774</v>
      </c>
      <c r="F2471">
        <v>239.67</v>
      </c>
    </row>
    <row r="2472" spans="1:6">
      <c r="A2472" t="str">
        <f>("500-0079")</f>
        <v>500-0079</v>
      </c>
      <c r="B2472" t="s">
        <v>5186</v>
      </c>
      <c r="C2472" t="s">
        <v>5773</v>
      </c>
      <c r="D2472" t="s">
        <v>5206</v>
      </c>
      <c r="F2472">
        <v>323.67</v>
      </c>
    </row>
    <row r="2473" spans="1:6">
      <c r="A2473" t="str">
        <f>("500-0080")</f>
        <v>500-0080</v>
      </c>
      <c r="B2473" t="s">
        <v>5186</v>
      </c>
      <c r="C2473" t="s">
        <v>5769</v>
      </c>
      <c r="D2473" t="s">
        <v>5206</v>
      </c>
      <c r="E2473" t="s">
        <v>5772</v>
      </c>
      <c r="F2473">
        <v>323.67</v>
      </c>
    </row>
    <row r="2474" spans="1:6">
      <c r="A2474" t="str">
        <f>("500-0081")</f>
        <v>500-0081</v>
      </c>
      <c r="B2474" t="s">
        <v>5186</v>
      </c>
      <c r="C2474" t="s">
        <v>5769</v>
      </c>
      <c r="D2474" t="s">
        <v>5206</v>
      </c>
      <c r="E2474" t="s">
        <v>5771</v>
      </c>
      <c r="F2474">
        <v>282.33</v>
      </c>
    </row>
    <row r="2475" spans="1:6">
      <c r="A2475" t="str">
        <f>("500-0082")</f>
        <v>500-0082</v>
      </c>
      <c r="B2475" t="s">
        <v>5186</v>
      </c>
      <c r="C2475" t="s">
        <v>5769</v>
      </c>
      <c r="D2475" t="s">
        <v>5206</v>
      </c>
      <c r="E2475" t="s">
        <v>5770</v>
      </c>
      <c r="F2475">
        <v>353</v>
      </c>
    </row>
    <row r="2476" spans="1:6">
      <c r="A2476" t="str">
        <f>("500-0083")</f>
        <v>500-0083</v>
      </c>
      <c r="B2476" t="s">
        <v>5186</v>
      </c>
      <c r="C2476" t="s">
        <v>5769</v>
      </c>
      <c r="D2476" t="s">
        <v>5650</v>
      </c>
      <c r="E2476" t="s">
        <v>5649</v>
      </c>
      <c r="F2476">
        <v>950.33</v>
      </c>
    </row>
    <row r="2477" spans="1:6">
      <c r="A2477" t="str">
        <f>("500-0085")</f>
        <v>500-0085</v>
      </c>
      <c r="B2477" t="s">
        <v>5186</v>
      </c>
      <c r="C2477" t="s">
        <v>5768</v>
      </c>
      <c r="D2477" t="s">
        <v>5206</v>
      </c>
      <c r="F2477">
        <v>539.66999999999996</v>
      </c>
    </row>
    <row r="2478" spans="1:6">
      <c r="A2478" t="str">
        <f>("500-0088")</f>
        <v>500-0088</v>
      </c>
      <c r="B2478" t="s">
        <v>5186</v>
      </c>
      <c r="C2478" t="s">
        <v>5767</v>
      </c>
      <c r="D2478" t="s">
        <v>5206</v>
      </c>
      <c r="F2478">
        <v>586.33000000000004</v>
      </c>
    </row>
    <row r="2479" spans="1:6">
      <c r="A2479" t="str">
        <f>("500-0089")</f>
        <v>500-0089</v>
      </c>
      <c r="B2479" t="s">
        <v>5186</v>
      </c>
      <c r="C2479" t="s">
        <v>5703</v>
      </c>
      <c r="D2479" t="s">
        <v>5206</v>
      </c>
      <c r="E2479" t="s">
        <v>5766</v>
      </c>
      <c r="F2479">
        <v>179.67</v>
      </c>
    </row>
    <row r="2480" spans="1:6">
      <c r="A2480" t="str">
        <f>("500-0090")</f>
        <v>500-0090</v>
      </c>
      <c r="B2480" t="s">
        <v>5186</v>
      </c>
      <c r="C2480" t="s">
        <v>5663</v>
      </c>
      <c r="D2480" t="s">
        <v>5206</v>
      </c>
      <c r="E2480" t="s">
        <v>5765</v>
      </c>
      <c r="F2480">
        <v>1729</v>
      </c>
    </row>
    <row r="2481" spans="1:6">
      <c r="A2481" t="str">
        <f>("500-0091")</f>
        <v>500-0091</v>
      </c>
      <c r="B2481" t="s">
        <v>5186</v>
      </c>
      <c r="C2481" t="s">
        <v>5703</v>
      </c>
      <c r="D2481" t="s">
        <v>5206</v>
      </c>
      <c r="E2481" t="s">
        <v>5764</v>
      </c>
      <c r="F2481">
        <v>349</v>
      </c>
    </row>
    <row r="2482" spans="1:6">
      <c r="A2482" t="str">
        <f>("500-0092")</f>
        <v>500-0092</v>
      </c>
      <c r="B2482" t="s">
        <v>5186</v>
      </c>
      <c r="C2482" t="s">
        <v>5692</v>
      </c>
      <c r="D2482" t="s">
        <v>5216</v>
      </c>
      <c r="E2482" t="s">
        <v>5763</v>
      </c>
      <c r="F2482">
        <v>1081</v>
      </c>
    </row>
    <row r="2483" spans="1:6">
      <c r="A2483" t="str">
        <f>("500-0093")</f>
        <v>500-0093</v>
      </c>
      <c r="B2483" t="s">
        <v>5186</v>
      </c>
      <c r="C2483" t="s">
        <v>5692</v>
      </c>
      <c r="D2483" t="s">
        <v>5648</v>
      </c>
      <c r="E2483" t="s">
        <v>5762</v>
      </c>
      <c r="F2483">
        <v>1081</v>
      </c>
    </row>
    <row r="2484" spans="1:6">
      <c r="A2484" t="str">
        <f>("500-0094")</f>
        <v>500-0094</v>
      </c>
      <c r="B2484" t="s">
        <v>5186</v>
      </c>
      <c r="C2484" t="s">
        <v>5692</v>
      </c>
      <c r="D2484" t="s">
        <v>5216</v>
      </c>
      <c r="E2484" t="s">
        <v>5761</v>
      </c>
      <c r="F2484">
        <v>1081</v>
      </c>
    </row>
    <row r="2485" spans="1:6">
      <c r="A2485" t="str">
        <f>("500-0095")</f>
        <v>500-0095</v>
      </c>
      <c r="B2485" t="s">
        <v>5186</v>
      </c>
      <c r="C2485" t="s">
        <v>5760</v>
      </c>
      <c r="D2485" t="s">
        <v>5216</v>
      </c>
      <c r="E2485" t="s">
        <v>5759</v>
      </c>
      <c r="F2485">
        <v>1114.33</v>
      </c>
    </row>
    <row r="2486" spans="1:6">
      <c r="A2486" t="str">
        <f>("500-0100")</f>
        <v>500-0100</v>
      </c>
      <c r="B2486" t="s">
        <v>5186</v>
      </c>
      <c r="C2486" t="s">
        <v>5758</v>
      </c>
      <c r="D2486" t="s">
        <v>5206</v>
      </c>
      <c r="F2486">
        <v>135.67000000000002</v>
      </c>
    </row>
    <row r="2487" spans="1:6">
      <c r="A2487" t="str">
        <f>("500-0101")</f>
        <v>500-0101</v>
      </c>
      <c r="B2487" t="s">
        <v>5186</v>
      </c>
      <c r="C2487" t="s">
        <v>5757</v>
      </c>
      <c r="D2487" t="s">
        <v>5206</v>
      </c>
      <c r="E2487" t="s">
        <v>5756</v>
      </c>
      <c r="F2487">
        <v>135.67000000000002</v>
      </c>
    </row>
    <row r="2488" spans="1:6">
      <c r="A2488" t="str">
        <f>("500-0102")</f>
        <v>500-0102</v>
      </c>
      <c r="B2488" t="s">
        <v>5186</v>
      </c>
      <c r="C2488" t="s">
        <v>5755</v>
      </c>
      <c r="D2488" t="s">
        <v>5206</v>
      </c>
      <c r="E2488" t="s">
        <v>5754</v>
      </c>
      <c r="F2488">
        <v>41</v>
      </c>
    </row>
    <row r="2489" spans="1:6">
      <c r="A2489" t="str">
        <f>("500-0103")</f>
        <v>500-0103</v>
      </c>
      <c r="B2489" t="s">
        <v>5186</v>
      </c>
      <c r="C2489" t="s">
        <v>5753</v>
      </c>
      <c r="D2489" t="s">
        <v>5206</v>
      </c>
      <c r="F2489">
        <v>41</v>
      </c>
    </row>
    <row r="2490" spans="1:6">
      <c r="A2490" t="str">
        <f>("500-0104")</f>
        <v>500-0104</v>
      </c>
      <c r="B2490" t="s">
        <v>5186</v>
      </c>
      <c r="C2490" t="s">
        <v>5752</v>
      </c>
      <c r="D2490" t="s">
        <v>5206</v>
      </c>
      <c r="F2490">
        <v>46.33</v>
      </c>
    </row>
    <row r="2491" spans="1:6">
      <c r="A2491" t="str">
        <f>("500-0105")</f>
        <v>500-0105</v>
      </c>
      <c r="B2491" t="s">
        <v>5186</v>
      </c>
      <c r="C2491" t="s">
        <v>5751</v>
      </c>
      <c r="D2491" t="s">
        <v>5206</v>
      </c>
      <c r="F2491">
        <v>41</v>
      </c>
    </row>
    <row r="2492" spans="1:6">
      <c r="A2492" t="str">
        <f>("500-0106")</f>
        <v>500-0106</v>
      </c>
      <c r="B2492" t="s">
        <v>5186</v>
      </c>
      <c r="C2492" t="s">
        <v>5750</v>
      </c>
      <c r="D2492" t="s">
        <v>5206</v>
      </c>
      <c r="F2492">
        <v>50.33</v>
      </c>
    </row>
    <row r="2493" spans="1:6">
      <c r="A2493" t="str">
        <f>("500-0107")</f>
        <v>500-0107</v>
      </c>
      <c r="B2493" t="s">
        <v>5186</v>
      </c>
      <c r="C2493" t="s">
        <v>5749</v>
      </c>
      <c r="D2493" t="s">
        <v>5206</v>
      </c>
      <c r="E2493" t="s">
        <v>5748</v>
      </c>
      <c r="F2493">
        <v>87.67</v>
      </c>
    </row>
    <row r="2494" spans="1:6">
      <c r="A2494" t="str">
        <f>("500-0108")</f>
        <v>500-0108</v>
      </c>
      <c r="B2494" t="s">
        <v>5186</v>
      </c>
      <c r="C2494" t="s">
        <v>5747</v>
      </c>
      <c r="D2494" t="s">
        <v>5206</v>
      </c>
      <c r="F2494">
        <v>87.67</v>
      </c>
    </row>
    <row r="2495" spans="1:6">
      <c r="A2495" t="str">
        <f>("500-0109")</f>
        <v>500-0109</v>
      </c>
      <c r="B2495" t="s">
        <v>5186</v>
      </c>
      <c r="C2495" t="s">
        <v>5746</v>
      </c>
      <c r="D2495" t="s">
        <v>5206</v>
      </c>
      <c r="F2495">
        <v>87.67</v>
      </c>
    </row>
    <row r="2496" spans="1:6">
      <c r="A2496" t="str">
        <f>("500-0112")</f>
        <v>500-0112</v>
      </c>
      <c r="B2496" t="s">
        <v>5186</v>
      </c>
      <c r="C2496" t="s">
        <v>5745</v>
      </c>
      <c r="D2496" t="s">
        <v>5206</v>
      </c>
      <c r="E2496" t="s">
        <v>5744</v>
      </c>
      <c r="F2496">
        <v>61</v>
      </c>
    </row>
    <row r="2497" spans="1:6">
      <c r="A2497" t="str">
        <f>("500-0113")</f>
        <v>500-0113</v>
      </c>
      <c r="B2497" t="s">
        <v>5186</v>
      </c>
      <c r="C2497" t="s">
        <v>5743</v>
      </c>
      <c r="D2497" t="s">
        <v>5206</v>
      </c>
      <c r="E2497" t="s">
        <v>5742</v>
      </c>
      <c r="F2497">
        <v>31.67</v>
      </c>
    </row>
    <row r="2498" spans="1:6">
      <c r="A2498" t="str">
        <f>("500-0114")</f>
        <v>500-0114</v>
      </c>
      <c r="B2498" t="s">
        <v>5186</v>
      </c>
      <c r="C2498" t="s">
        <v>5739</v>
      </c>
      <c r="D2498" t="s">
        <v>5206</v>
      </c>
      <c r="E2498" t="s">
        <v>5741</v>
      </c>
      <c r="F2498">
        <v>533</v>
      </c>
    </row>
    <row r="2499" spans="1:6">
      <c r="A2499" t="str">
        <f>("500-0115")</f>
        <v>500-0115</v>
      </c>
      <c r="B2499" t="s">
        <v>5186</v>
      </c>
      <c r="C2499" t="s">
        <v>5740</v>
      </c>
      <c r="D2499" t="s">
        <v>5206</v>
      </c>
      <c r="F2499">
        <v>693</v>
      </c>
    </row>
    <row r="2500" spans="1:6">
      <c r="A2500" t="str">
        <f>("500-0116")</f>
        <v>500-0116</v>
      </c>
      <c r="B2500" t="s">
        <v>5186</v>
      </c>
      <c r="C2500" t="s">
        <v>5739</v>
      </c>
      <c r="D2500" t="s">
        <v>5206</v>
      </c>
      <c r="E2500" t="s">
        <v>5738</v>
      </c>
      <c r="F2500">
        <v>213</v>
      </c>
    </row>
    <row r="2501" spans="1:6">
      <c r="A2501" t="str">
        <f>("500-0118")</f>
        <v>500-0118</v>
      </c>
      <c r="B2501" t="s">
        <v>5186</v>
      </c>
      <c r="C2501" t="s">
        <v>5737</v>
      </c>
      <c r="D2501" t="s">
        <v>5206</v>
      </c>
      <c r="F2501">
        <v>270.33000000000004</v>
      </c>
    </row>
    <row r="2502" spans="1:6">
      <c r="A2502" t="str">
        <f>("500-0119")</f>
        <v>500-0119</v>
      </c>
      <c r="B2502" t="s">
        <v>5186</v>
      </c>
      <c r="C2502" t="s">
        <v>5736</v>
      </c>
      <c r="D2502" t="s">
        <v>5206</v>
      </c>
      <c r="E2502" t="s">
        <v>5735</v>
      </c>
      <c r="F2502">
        <v>270.33000000000004</v>
      </c>
    </row>
    <row r="2503" spans="1:6">
      <c r="A2503" t="str">
        <f>("500-0121")</f>
        <v>500-0121</v>
      </c>
      <c r="B2503" t="s">
        <v>5186</v>
      </c>
      <c r="C2503" t="s">
        <v>5734</v>
      </c>
      <c r="D2503" t="s">
        <v>5206</v>
      </c>
      <c r="F2503">
        <v>270.33000000000004</v>
      </c>
    </row>
    <row r="2504" spans="1:6">
      <c r="A2504" t="str">
        <f>("500-0122")</f>
        <v>500-0122</v>
      </c>
      <c r="B2504" t="s">
        <v>5186</v>
      </c>
      <c r="C2504" t="s">
        <v>5733</v>
      </c>
      <c r="D2504" t="s">
        <v>5174</v>
      </c>
      <c r="E2504" t="s">
        <v>5526</v>
      </c>
      <c r="F2504">
        <v>314.33</v>
      </c>
    </row>
    <row r="2505" spans="1:6">
      <c r="A2505" t="str">
        <f>("500-0125")</f>
        <v>500-0125</v>
      </c>
      <c r="B2505" t="s">
        <v>5186</v>
      </c>
      <c r="C2505" t="s">
        <v>5732</v>
      </c>
      <c r="D2505" t="s">
        <v>5174</v>
      </c>
      <c r="E2505" t="s">
        <v>5526</v>
      </c>
      <c r="F2505">
        <v>337</v>
      </c>
    </row>
    <row r="2506" spans="1:6">
      <c r="A2506" t="str">
        <f>("500-0126")</f>
        <v>500-0126</v>
      </c>
      <c r="B2506" t="s">
        <v>5186</v>
      </c>
      <c r="C2506" t="s">
        <v>5731</v>
      </c>
      <c r="D2506" t="s">
        <v>5662</v>
      </c>
      <c r="E2506" t="s">
        <v>5664</v>
      </c>
      <c r="F2506">
        <v>153</v>
      </c>
    </row>
    <row r="2507" spans="1:6">
      <c r="A2507" t="str">
        <f>("500-0128")</f>
        <v>500-0128</v>
      </c>
      <c r="B2507" t="s">
        <v>5186</v>
      </c>
      <c r="C2507" t="s">
        <v>5728</v>
      </c>
      <c r="D2507" t="s">
        <v>5206</v>
      </c>
      <c r="E2507" t="s">
        <v>5730</v>
      </c>
      <c r="F2507">
        <v>297</v>
      </c>
    </row>
    <row r="2508" spans="1:6">
      <c r="A2508" t="str">
        <f>("500-0129")</f>
        <v>500-0129</v>
      </c>
      <c r="B2508" t="s">
        <v>5186</v>
      </c>
      <c r="C2508" t="s">
        <v>5729</v>
      </c>
      <c r="D2508" t="s">
        <v>5206</v>
      </c>
      <c r="F2508">
        <v>297</v>
      </c>
    </row>
    <row r="2509" spans="1:6">
      <c r="A2509" t="str">
        <f>("500-0130")</f>
        <v>500-0130</v>
      </c>
      <c r="B2509" t="s">
        <v>5186</v>
      </c>
      <c r="C2509" t="s">
        <v>5728</v>
      </c>
      <c r="D2509" t="s">
        <v>5206</v>
      </c>
      <c r="E2509" t="s">
        <v>5727</v>
      </c>
      <c r="F2509">
        <v>297</v>
      </c>
    </row>
    <row r="2510" spans="1:6">
      <c r="A2510" t="str">
        <f>("500-0133")</f>
        <v>500-0133</v>
      </c>
      <c r="B2510" t="s">
        <v>5186</v>
      </c>
      <c r="C2510" t="s">
        <v>5726</v>
      </c>
      <c r="D2510" t="s">
        <v>5206</v>
      </c>
      <c r="F2510">
        <v>297</v>
      </c>
    </row>
    <row r="2511" spans="1:6">
      <c r="A2511" t="str">
        <f>("500-0134")</f>
        <v>500-0134</v>
      </c>
      <c r="B2511" t="s">
        <v>5186</v>
      </c>
      <c r="C2511" t="s">
        <v>5724</v>
      </c>
      <c r="D2511" t="s">
        <v>5206</v>
      </c>
      <c r="E2511" t="s">
        <v>5725</v>
      </c>
      <c r="F2511">
        <v>250.33</v>
      </c>
    </row>
    <row r="2512" spans="1:6">
      <c r="A2512" t="str">
        <f>("500-0135")</f>
        <v>500-0135</v>
      </c>
      <c r="B2512" t="s">
        <v>5186</v>
      </c>
      <c r="C2512" t="s">
        <v>5724</v>
      </c>
      <c r="D2512" t="s">
        <v>5206</v>
      </c>
      <c r="E2512" t="s">
        <v>5723</v>
      </c>
      <c r="F2512">
        <v>266.33000000000004</v>
      </c>
    </row>
    <row r="2513" spans="1:6">
      <c r="A2513" t="str">
        <f>("500-0136")</f>
        <v>500-0136</v>
      </c>
      <c r="B2513" t="s">
        <v>5186</v>
      </c>
      <c r="C2513" t="s">
        <v>5722</v>
      </c>
      <c r="D2513" t="s">
        <v>5206</v>
      </c>
      <c r="F2513">
        <v>266.33000000000004</v>
      </c>
    </row>
    <row r="2514" spans="1:6">
      <c r="A2514" t="str">
        <f>("500-0137")</f>
        <v>500-0137</v>
      </c>
      <c r="B2514" t="s">
        <v>5186</v>
      </c>
      <c r="C2514" t="s">
        <v>5721</v>
      </c>
      <c r="D2514" t="s">
        <v>5206</v>
      </c>
      <c r="F2514">
        <v>250.33</v>
      </c>
    </row>
    <row r="2515" spans="1:6">
      <c r="A2515" t="str">
        <f>("500-0138")</f>
        <v>500-0138</v>
      </c>
      <c r="B2515" t="s">
        <v>5186</v>
      </c>
      <c r="C2515" t="s">
        <v>5720</v>
      </c>
      <c r="D2515" t="s">
        <v>5206</v>
      </c>
      <c r="F2515">
        <v>349</v>
      </c>
    </row>
    <row r="2516" spans="1:6">
      <c r="A2516" t="str">
        <f>("500-0139")</f>
        <v>500-0139</v>
      </c>
      <c r="B2516" t="s">
        <v>5186</v>
      </c>
      <c r="C2516" t="s">
        <v>5719</v>
      </c>
      <c r="D2516" t="s">
        <v>5174</v>
      </c>
      <c r="E2516" t="s">
        <v>5520</v>
      </c>
      <c r="F2516">
        <v>421</v>
      </c>
    </row>
    <row r="2517" spans="1:6">
      <c r="A2517" t="str">
        <f>("500-0140")</f>
        <v>500-0140</v>
      </c>
      <c r="B2517" t="s">
        <v>5186</v>
      </c>
      <c r="C2517" t="s">
        <v>5718</v>
      </c>
      <c r="D2517" t="s">
        <v>5174</v>
      </c>
      <c r="E2517" t="s">
        <v>5537</v>
      </c>
      <c r="F2517">
        <v>143.67000000000002</v>
      </c>
    </row>
    <row r="2518" spans="1:6">
      <c r="A2518" t="str">
        <f>("500-0141")</f>
        <v>500-0141</v>
      </c>
      <c r="B2518" t="s">
        <v>5186</v>
      </c>
      <c r="C2518" t="s">
        <v>5715</v>
      </c>
      <c r="D2518" t="s">
        <v>5206</v>
      </c>
      <c r="F2518">
        <v>177</v>
      </c>
    </row>
    <row r="2519" spans="1:6">
      <c r="A2519" t="str">
        <f>("500-0142")</f>
        <v>500-0142</v>
      </c>
      <c r="B2519" t="s">
        <v>5186</v>
      </c>
      <c r="C2519" t="s">
        <v>5717</v>
      </c>
      <c r="D2519" t="s">
        <v>5206</v>
      </c>
      <c r="E2519" t="s">
        <v>5716</v>
      </c>
      <c r="F2519">
        <v>123.67</v>
      </c>
    </row>
    <row r="2520" spans="1:6">
      <c r="A2520" t="str">
        <f>("500-0143")</f>
        <v>500-0143</v>
      </c>
      <c r="B2520" t="s">
        <v>5186</v>
      </c>
      <c r="C2520" t="s">
        <v>5715</v>
      </c>
      <c r="D2520" t="s">
        <v>5206</v>
      </c>
      <c r="F2520">
        <v>270.33000000000004</v>
      </c>
    </row>
    <row r="2521" spans="1:6">
      <c r="A2521" t="str">
        <f>("500-0144")</f>
        <v>500-0144</v>
      </c>
      <c r="B2521" t="s">
        <v>5186</v>
      </c>
      <c r="C2521" t="s">
        <v>5714</v>
      </c>
      <c r="D2521" t="s">
        <v>5206</v>
      </c>
      <c r="F2521">
        <v>123.67</v>
      </c>
    </row>
    <row r="2522" spans="1:6">
      <c r="A2522" t="str">
        <f>("500-0145")</f>
        <v>500-0145</v>
      </c>
      <c r="B2522" t="s">
        <v>5186</v>
      </c>
      <c r="C2522" t="s">
        <v>5713</v>
      </c>
      <c r="D2522" t="s">
        <v>5206</v>
      </c>
      <c r="F2522">
        <v>129</v>
      </c>
    </row>
    <row r="2523" spans="1:6">
      <c r="A2523" t="str">
        <f>("500-0146")</f>
        <v>500-0146</v>
      </c>
      <c r="B2523" t="s">
        <v>5186</v>
      </c>
      <c r="C2523" t="s">
        <v>5712</v>
      </c>
      <c r="D2523" t="s">
        <v>5206</v>
      </c>
      <c r="E2523" t="s">
        <v>5711</v>
      </c>
      <c r="F2523">
        <v>186.33</v>
      </c>
    </row>
    <row r="2524" spans="1:6">
      <c r="A2524" t="str">
        <f>("500-0148")</f>
        <v>500-0148</v>
      </c>
      <c r="B2524" t="s">
        <v>5186</v>
      </c>
      <c r="C2524" t="s">
        <v>5703</v>
      </c>
      <c r="D2524" t="s">
        <v>5206</v>
      </c>
      <c r="E2524" t="s">
        <v>5710</v>
      </c>
      <c r="F2524">
        <v>247.67</v>
      </c>
    </row>
    <row r="2525" spans="1:6">
      <c r="A2525" t="str">
        <f>("500-0149")</f>
        <v>500-0149</v>
      </c>
      <c r="B2525" t="s">
        <v>5186</v>
      </c>
      <c r="C2525" t="s">
        <v>5703</v>
      </c>
      <c r="D2525" t="s">
        <v>5206</v>
      </c>
      <c r="E2525" t="s">
        <v>5709</v>
      </c>
      <c r="F2525">
        <v>291.67</v>
      </c>
    </row>
    <row r="2526" spans="1:6">
      <c r="A2526" t="str">
        <f>("500-0150")</f>
        <v>500-0150</v>
      </c>
      <c r="B2526" t="s">
        <v>5186</v>
      </c>
      <c r="C2526" t="s">
        <v>5705</v>
      </c>
      <c r="D2526" t="s">
        <v>5206</v>
      </c>
      <c r="E2526" t="s">
        <v>5708</v>
      </c>
      <c r="F2526">
        <v>334.33</v>
      </c>
    </row>
    <row r="2527" spans="1:6">
      <c r="A2527" t="str">
        <f>("500-0151")</f>
        <v>500-0151</v>
      </c>
      <c r="B2527" t="s">
        <v>5186</v>
      </c>
      <c r="C2527" t="s">
        <v>5705</v>
      </c>
      <c r="D2527" t="s">
        <v>5206</v>
      </c>
      <c r="E2527" t="s">
        <v>5707</v>
      </c>
      <c r="F2527">
        <v>334.33</v>
      </c>
    </row>
    <row r="2528" spans="1:6">
      <c r="A2528" t="str">
        <f>("500-0152")</f>
        <v>500-0152</v>
      </c>
      <c r="B2528" t="s">
        <v>5186</v>
      </c>
      <c r="C2528" t="s">
        <v>5705</v>
      </c>
      <c r="D2528" t="s">
        <v>5206</v>
      </c>
      <c r="E2528" t="s">
        <v>5706</v>
      </c>
      <c r="F2528">
        <v>334.33</v>
      </c>
    </row>
    <row r="2529" spans="1:6">
      <c r="A2529" t="str">
        <f>("500-0153")</f>
        <v>500-0153</v>
      </c>
      <c r="B2529" t="s">
        <v>5186</v>
      </c>
      <c r="C2529" t="s">
        <v>5705</v>
      </c>
      <c r="D2529" t="s">
        <v>5206</v>
      </c>
      <c r="E2529" t="s">
        <v>5704</v>
      </c>
      <c r="F2529">
        <v>353</v>
      </c>
    </row>
    <row r="2530" spans="1:6">
      <c r="A2530" t="str">
        <f>("500-0154")</f>
        <v>500-0154</v>
      </c>
      <c r="B2530" t="s">
        <v>5186</v>
      </c>
      <c r="C2530" t="s">
        <v>5703</v>
      </c>
      <c r="D2530" t="s">
        <v>5206</v>
      </c>
      <c r="E2530" t="s">
        <v>5702</v>
      </c>
      <c r="F2530">
        <v>237</v>
      </c>
    </row>
    <row r="2531" spans="1:6">
      <c r="A2531" t="str">
        <f>("500-0158")</f>
        <v>500-0158</v>
      </c>
      <c r="B2531" t="s">
        <v>5186</v>
      </c>
      <c r="C2531" t="s">
        <v>5692</v>
      </c>
      <c r="D2531" t="s">
        <v>5206</v>
      </c>
      <c r="E2531" t="s">
        <v>5701</v>
      </c>
      <c r="F2531">
        <v>877</v>
      </c>
    </row>
    <row r="2532" spans="1:6">
      <c r="A2532" t="str">
        <f>("500-0159")</f>
        <v>500-0159</v>
      </c>
      <c r="B2532" t="s">
        <v>5186</v>
      </c>
      <c r="C2532" t="s">
        <v>5692</v>
      </c>
      <c r="D2532" t="s">
        <v>5206</v>
      </c>
      <c r="E2532" t="s">
        <v>5700</v>
      </c>
      <c r="F2532">
        <v>935.67</v>
      </c>
    </row>
    <row r="2533" spans="1:6">
      <c r="A2533" t="str">
        <f>("500-0160")</f>
        <v>500-0160</v>
      </c>
      <c r="B2533" t="s">
        <v>5186</v>
      </c>
      <c r="C2533" t="s">
        <v>5699</v>
      </c>
      <c r="D2533" t="s">
        <v>5206</v>
      </c>
      <c r="F2533">
        <v>935.67</v>
      </c>
    </row>
    <row r="2534" spans="1:6">
      <c r="A2534" t="str">
        <f>("500-0161")</f>
        <v>500-0161</v>
      </c>
      <c r="B2534" t="s">
        <v>5186</v>
      </c>
      <c r="C2534" t="s">
        <v>5698</v>
      </c>
      <c r="D2534" t="s">
        <v>5206</v>
      </c>
      <c r="F2534">
        <v>935.67</v>
      </c>
    </row>
    <row r="2535" spans="1:6">
      <c r="A2535" t="str">
        <f>("500-0162")</f>
        <v>500-0162</v>
      </c>
      <c r="B2535" t="s">
        <v>5186</v>
      </c>
      <c r="C2535" t="s">
        <v>5692</v>
      </c>
      <c r="D2535" t="s">
        <v>5206</v>
      </c>
      <c r="E2535" t="s">
        <v>5697</v>
      </c>
      <c r="F2535">
        <v>935.67</v>
      </c>
    </row>
    <row r="2536" spans="1:6">
      <c r="A2536" t="str">
        <f>("500-0166")</f>
        <v>500-0166</v>
      </c>
      <c r="B2536" t="s">
        <v>5186</v>
      </c>
      <c r="C2536" t="s">
        <v>5696</v>
      </c>
      <c r="D2536" t="s">
        <v>5206</v>
      </c>
      <c r="E2536" t="s">
        <v>5695</v>
      </c>
      <c r="F2536">
        <v>259.66999999999996</v>
      </c>
    </row>
    <row r="2537" spans="1:6">
      <c r="A2537" t="str">
        <f>("500-0168")</f>
        <v>500-0168</v>
      </c>
      <c r="B2537" t="s">
        <v>5186</v>
      </c>
      <c r="C2537" t="s">
        <v>5694</v>
      </c>
      <c r="D2537" t="s">
        <v>5206</v>
      </c>
      <c r="F2537">
        <v>1001</v>
      </c>
    </row>
    <row r="2538" spans="1:6">
      <c r="A2538" t="str">
        <f>("500-0175")</f>
        <v>500-0175</v>
      </c>
      <c r="B2538" t="s">
        <v>5186</v>
      </c>
      <c r="C2538" t="s">
        <v>5692</v>
      </c>
      <c r="D2538" t="s">
        <v>5206</v>
      </c>
      <c r="E2538" t="s">
        <v>5693</v>
      </c>
      <c r="F2538">
        <v>894.33</v>
      </c>
    </row>
    <row r="2539" spans="1:6">
      <c r="A2539" t="str">
        <f>("500-0176")</f>
        <v>500-0176</v>
      </c>
      <c r="B2539" t="s">
        <v>5186</v>
      </c>
      <c r="C2539" t="s">
        <v>5692</v>
      </c>
      <c r="D2539" t="s">
        <v>5206</v>
      </c>
      <c r="E2539" t="s">
        <v>5691</v>
      </c>
      <c r="F2539">
        <v>937</v>
      </c>
    </row>
    <row r="2540" spans="1:6">
      <c r="A2540" t="str">
        <f>("500-0182")</f>
        <v>500-0182</v>
      </c>
      <c r="B2540" t="s">
        <v>5186</v>
      </c>
      <c r="C2540" t="s">
        <v>5690</v>
      </c>
      <c r="D2540" t="s">
        <v>5174</v>
      </c>
      <c r="E2540" t="s">
        <v>5689</v>
      </c>
      <c r="F2540">
        <v>958.33</v>
      </c>
    </row>
    <row r="2541" spans="1:6">
      <c r="A2541" t="str">
        <f>("500-0183")</f>
        <v>500-0183</v>
      </c>
      <c r="B2541" t="s">
        <v>5186</v>
      </c>
      <c r="C2541" t="s">
        <v>5688</v>
      </c>
      <c r="D2541" t="s">
        <v>5206</v>
      </c>
      <c r="F2541">
        <v>465</v>
      </c>
    </row>
    <row r="2542" spans="1:6">
      <c r="A2542" t="str">
        <f>("500-0184")</f>
        <v>500-0184</v>
      </c>
      <c r="B2542" t="s">
        <v>5186</v>
      </c>
      <c r="C2542" t="s">
        <v>5687</v>
      </c>
      <c r="D2542" t="s">
        <v>5206</v>
      </c>
      <c r="F2542">
        <v>357</v>
      </c>
    </row>
    <row r="2543" spans="1:6">
      <c r="A2543" t="str">
        <f>("500-0185")</f>
        <v>500-0185</v>
      </c>
      <c r="B2543" t="s">
        <v>5186</v>
      </c>
      <c r="C2543" t="s">
        <v>5686</v>
      </c>
      <c r="D2543" t="s">
        <v>5206</v>
      </c>
      <c r="F2543">
        <v>465</v>
      </c>
    </row>
    <row r="2544" spans="1:6">
      <c r="A2544" t="str">
        <f>("500-0186")</f>
        <v>500-0186</v>
      </c>
      <c r="B2544" t="s">
        <v>5186</v>
      </c>
      <c r="C2544" t="s">
        <v>5685</v>
      </c>
      <c r="D2544" t="s">
        <v>5206</v>
      </c>
      <c r="F2544">
        <v>505</v>
      </c>
    </row>
    <row r="2545" spans="1:6">
      <c r="A2545" t="str">
        <f>("500-0187")</f>
        <v>500-0187</v>
      </c>
      <c r="B2545" t="s">
        <v>5186</v>
      </c>
      <c r="C2545" t="s">
        <v>5684</v>
      </c>
      <c r="D2545" t="s">
        <v>5206</v>
      </c>
      <c r="F2545">
        <v>466.33</v>
      </c>
    </row>
    <row r="2546" spans="1:6">
      <c r="A2546" t="str">
        <f>("500-0188")</f>
        <v>500-0188</v>
      </c>
      <c r="B2546" t="s">
        <v>5186</v>
      </c>
      <c r="C2546" t="s">
        <v>5683</v>
      </c>
      <c r="D2546" t="s">
        <v>5206</v>
      </c>
      <c r="F2546">
        <v>533</v>
      </c>
    </row>
    <row r="2547" spans="1:6">
      <c r="A2547" t="str">
        <f>("500-0189")</f>
        <v>500-0189</v>
      </c>
      <c r="B2547" t="s">
        <v>5186</v>
      </c>
      <c r="C2547" t="s">
        <v>5659</v>
      </c>
      <c r="D2547" t="s">
        <v>5206</v>
      </c>
      <c r="E2547" t="s">
        <v>5682</v>
      </c>
      <c r="F2547">
        <v>531.67000000000007</v>
      </c>
    </row>
    <row r="2548" spans="1:6">
      <c r="A2548" t="str">
        <f>("500-0190")</f>
        <v>500-0190</v>
      </c>
      <c r="B2548" t="s">
        <v>5186</v>
      </c>
      <c r="C2548" t="s">
        <v>5681</v>
      </c>
      <c r="D2548" t="s">
        <v>5206</v>
      </c>
      <c r="F2548">
        <v>507.67</v>
      </c>
    </row>
    <row r="2549" spans="1:6">
      <c r="A2549" t="str">
        <f>("500-0191")</f>
        <v>500-0191</v>
      </c>
      <c r="B2549" t="s">
        <v>5186</v>
      </c>
      <c r="C2549" t="s">
        <v>5680</v>
      </c>
      <c r="D2549" t="s">
        <v>5206</v>
      </c>
      <c r="F2549">
        <v>507.67</v>
      </c>
    </row>
    <row r="2550" spans="1:6">
      <c r="A2550" t="str">
        <f>("500-0192")</f>
        <v>500-0192</v>
      </c>
      <c r="B2550" t="s">
        <v>5186</v>
      </c>
      <c r="C2550" t="s">
        <v>5659</v>
      </c>
      <c r="D2550" t="s">
        <v>5206</v>
      </c>
      <c r="E2550" t="s">
        <v>5679</v>
      </c>
      <c r="F2550">
        <v>507.67</v>
      </c>
    </row>
    <row r="2551" spans="1:6">
      <c r="A2551" t="str">
        <f>("500-0193")</f>
        <v>500-0193</v>
      </c>
      <c r="B2551" t="s">
        <v>5186</v>
      </c>
      <c r="C2551" t="s">
        <v>5659</v>
      </c>
      <c r="D2551" t="s">
        <v>5206</v>
      </c>
      <c r="E2551" t="s">
        <v>5678</v>
      </c>
      <c r="F2551">
        <v>769</v>
      </c>
    </row>
    <row r="2552" spans="1:6">
      <c r="A2552" t="str">
        <f>("500-0194")</f>
        <v>500-0194</v>
      </c>
      <c r="B2552" t="s">
        <v>5186</v>
      </c>
      <c r="C2552" t="s">
        <v>5659</v>
      </c>
      <c r="D2552" t="s">
        <v>5206</v>
      </c>
      <c r="E2552" t="s">
        <v>5677</v>
      </c>
      <c r="F2552">
        <v>769</v>
      </c>
    </row>
    <row r="2553" spans="1:6">
      <c r="A2553" t="str">
        <f>("500-0195")</f>
        <v>500-0195</v>
      </c>
      <c r="B2553" t="s">
        <v>5186</v>
      </c>
      <c r="C2553" t="s">
        <v>5659</v>
      </c>
      <c r="D2553" t="s">
        <v>5206</v>
      </c>
      <c r="E2553" t="s">
        <v>5676</v>
      </c>
      <c r="F2553">
        <v>633</v>
      </c>
    </row>
    <row r="2554" spans="1:6">
      <c r="A2554" t="str">
        <f>("500-0196")</f>
        <v>500-0196</v>
      </c>
      <c r="B2554" t="s">
        <v>5186</v>
      </c>
      <c r="C2554" t="s">
        <v>5675</v>
      </c>
      <c r="D2554" t="s">
        <v>5206</v>
      </c>
      <c r="F2554">
        <v>731.67</v>
      </c>
    </row>
    <row r="2555" spans="1:6">
      <c r="A2555" t="str">
        <f>("500-0197")</f>
        <v>500-0197</v>
      </c>
      <c r="B2555" t="s">
        <v>5186</v>
      </c>
      <c r="C2555" t="s">
        <v>5674</v>
      </c>
      <c r="D2555" t="s">
        <v>5206</v>
      </c>
      <c r="F2555">
        <v>937</v>
      </c>
    </row>
    <row r="2556" spans="1:6">
      <c r="A2556" t="str">
        <f>("500-0198")</f>
        <v>500-0198</v>
      </c>
      <c r="B2556" t="s">
        <v>5186</v>
      </c>
      <c r="C2556" t="s">
        <v>5673</v>
      </c>
      <c r="D2556" t="s">
        <v>5206</v>
      </c>
      <c r="F2556">
        <v>937</v>
      </c>
    </row>
    <row r="2557" spans="1:6">
      <c r="A2557" t="str">
        <f>("500-0199")</f>
        <v>500-0199</v>
      </c>
      <c r="B2557" t="s">
        <v>5186</v>
      </c>
      <c r="C2557" t="s">
        <v>5672</v>
      </c>
      <c r="D2557" t="s">
        <v>5206</v>
      </c>
      <c r="F2557">
        <v>958.33</v>
      </c>
    </row>
    <row r="2558" spans="1:6">
      <c r="A2558" t="str">
        <f>("500-0200")</f>
        <v>500-0200</v>
      </c>
      <c r="B2558" t="s">
        <v>5186</v>
      </c>
      <c r="C2558" t="s">
        <v>5659</v>
      </c>
      <c r="D2558" t="s">
        <v>5206</v>
      </c>
      <c r="E2558" t="s">
        <v>5671</v>
      </c>
      <c r="F2558">
        <v>685</v>
      </c>
    </row>
    <row r="2559" spans="1:6">
      <c r="A2559" t="str">
        <f>("500-0201")</f>
        <v>500-0201</v>
      </c>
      <c r="B2559" t="s">
        <v>5186</v>
      </c>
      <c r="C2559" t="s">
        <v>5669</v>
      </c>
      <c r="D2559" t="s">
        <v>5174</v>
      </c>
      <c r="E2559" t="s">
        <v>5516</v>
      </c>
      <c r="F2559">
        <v>737</v>
      </c>
    </row>
    <row r="2560" spans="1:6">
      <c r="A2560" t="str">
        <f>("500-0202")</f>
        <v>500-0202</v>
      </c>
      <c r="B2560" t="s">
        <v>5186</v>
      </c>
      <c r="C2560" t="s">
        <v>5669</v>
      </c>
      <c r="D2560" t="s">
        <v>5174</v>
      </c>
      <c r="E2560" t="s">
        <v>5526</v>
      </c>
      <c r="F2560">
        <v>737</v>
      </c>
    </row>
    <row r="2561" spans="1:6">
      <c r="A2561" t="str">
        <f>("500-0203")</f>
        <v>500-0203</v>
      </c>
      <c r="B2561" t="s">
        <v>5186</v>
      </c>
      <c r="C2561" t="s">
        <v>5670</v>
      </c>
      <c r="D2561" t="s">
        <v>5174</v>
      </c>
      <c r="E2561" t="s">
        <v>5520</v>
      </c>
      <c r="F2561">
        <v>790.33</v>
      </c>
    </row>
    <row r="2562" spans="1:6">
      <c r="A2562" t="str">
        <f>("500-0204")</f>
        <v>500-0204</v>
      </c>
      <c r="B2562" t="s">
        <v>5186</v>
      </c>
      <c r="C2562" t="s">
        <v>5633</v>
      </c>
      <c r="D2562" t="s">
        <v>5174</v>
      </c>
      <c r="E2562" t="s">
        <v>5537</v>
      </c>
      <c r="F2562">
        <v>1055.67</v>
      </c>
    </row>
    <row r="2563" spans="1:6">
      <c r="A2563" t="str">
        <f>("500-0205")</f>
        <v>500-0205</v>
      </c>
      <c r="B2563" t="s">
        <v>5186</v>
      </c>
      <c r="C2563" t="s">
        <v>5669</v>
      </c>
      <c r="D2563" t="s">
        <v>5174</v>
      </c>
      <c r="E2563" t="s">
        <v>5526</v>
      </c>
      <c r="F2563">
        <v>1055.67</v>
      </c>
    </row>
    <row r="2564" spans="1:6">
      <c r="A2564" t="str">
        <f>("500-0206")</f>
        <v>500-0206</v>
      </c>
      <c r="B2564" t="s">
        <v>5186</v>
      </c>
      <c r="C2564" t="s">
        <v>5669</v>
      </c>
      <c r="D2564" t="s">
        <v>5174</v>
      </c>
      <c r="E2564" t="s">
        <v>5520</v>
      </c>
      <c r="F2564">
        <v>1171.67</v>
      </c>
    </row>
    <row r="2565" spans="1:6">
      <c r="A2565" t="str">
        <f>("500-0207")</f>
        <v>500-0207</v>
      </c>
      <c r="B2565" t="s">
        <v>5186</v>
      </c>
      <c r="C2565" t="s">
        <v>5659</v>
      </c>
      <c r="D2565" t="s">
        <v>5206</v>
      </c>
      <c r="E2565" t="s">
        <v>5668</v>
      </c>
      <c r="F2565">
        <v>994.33</v>
      </c>
    </row>
    <row r="2566" spans="1:6">
      <c r="A2566" t="str">
        <f>("500-0208")</f>
        <v>500-0208</v>
      </c>
      <c r="B2566" t="s">
        <v>5186</v>
      </c>
      <c r="C2566" t="s">
        <v>5659</v>
      </c>
      <c r="D2566" t="s">
        <v>5206</v>
      </c>
      <c r="E2566" t="s">
        <v>5667</v>
      </c>
      <c r="F2566">
        <v>877</v>
      </c>
    </row>
    <row r="2567" spans="1:6">
      <c r="A2567" t="str">
        <f>("500-0209")</f>
        <v>500-0209</v>
      </c>
      <c r="B2567" t="s">
        <v>5186</v>
      </c>
      <c r="C2567" t="s">
        <v>5666</v>
      </c>
      <c r="D2567" t="s">
        <v>5206</v>
      </c>
      <c r="F2567">
        <v>877</v>
      </c>
    </row>
    <row r="2568" spans="1:6">
      <c r="A2568" t="str">
        <f>("500-0211")</f>
        <v>500-0211</v>
      </c>
      <c r="B2568" t="s">
        <v>5186</v>
      </c>
      <c r="C2568" t="s">
        <v>5665</v>
      </c>
      <c r="D2568" t="s">
        <v>5662</v>
      </c>
      <c r="E2568" t="s">
        <v>5664</v>
      </c>
      <c r="F2568">
        <v>909</v>
      </c>
    </row>
    <row r="2569" spans="1:6">
      <c r="A2569" t="str">
        <f>("500-0212")</f>
        <v>500-0212</v>
      </c>
      <c r="B2569" t="s">
        <v>5186</v>
      </c>
      <c r="C2569" t="s">
        <v>5663</v>
      </c>
      <c r="D2569" t="s">
        <v>5662</v>
      </c>
      <c r="E2569" t="s">
        <v>5661</v>
      </c>
      <c r="F2569">
        <v>1035.67</v>
      </c>
    </row>
    <row r="2570" spans="1:6">
      <c r="A2570" t="str">
        <f>("500-0213")</f>
        <v>500-0213</v>
      </c>
      <c r="B2570" t="s">
        <v>5186</v>
      </c>
      <c r="C2570" t="s">
        <v>5659</v>
      </c>
      <c r="D2570" t="s">
        <v>5206</v>
      </c>
      <c r="E2570" t="s">
        <v>5660</v>
      </c>
      <c r="F2570">
        <v>153</v>
      </c>
    </row>
    <row r="2571" spans="1:6">
      <c r="A2571" t="str">
        <f>("500-0214")</f>
        <v>500-0214</v>
      </c>
      <c r="B2571" t="s">
        <v>5186</v>
      </c>
      <c r="C2571" t="s">
        <v>5659</v>
      </c>
      <c r="D2571" t="s">
        <v>5206</v>
      </c>
      <c r="E2571" t="s">
        <v>5658</v>
      </c>
      <c r="F2571">
        <v>731.67</v>
      </c>
    </row>
    <row r="2572" spans="1:6">
      <c r="A2572" t="str">
        <f>("500-0215")</f>
        <v>500-0215</v>
      </c>
      <c r="B2572" t="s">
        <v>5186</v>
      </c>
      <c r="C2572" t="s">
        <v>5654</v>
      </c>
      <c r="D2572" t="s">
        <v>5206</v>
      </c>
      <c r="E2572" t="s">
        <v>5657</v>
      </c>
      <c r="F2572">
        <v>191.67</v>
      </c>
    </row>
    <row r="2573" spans="1:6">
      <c r="A2573" t="str">
        <f>("500-0216")</f>
        <v>500-0216</v>
      </c>
      <c r="B2573" t="s">
        <v>5186</v>
      </c>
      <c r="C2573" t="s">
        <v>5656</v>
      </c>
      <c r="D2573" t="s">
        <v>5206</v>
      </c>
      <c r="E2573" t="s">
        <v>5657</v>
      </c>
      <c r="F2573">
        <v>190.33</v>
      </c>
    </row>
    <row r="2574" spans="1:6">
      <c r="A2574" t="str">
        <f>("500-0217")</f>
        <v>500-0217</v>
      </c>
      <c r="B2574" t="s">
        <v>5186</v>
      </c>
      <c r="C2574" t="s">
        <v>5656</v>
      </c>
      <c r="D2574" t="s">
        <v>5206</v>
      </c>
      <c r="E2574" t="s">
        <v>5655</v>
      </c>
      <c r="F2574">
        <v>123.67</v>
      </c>
    </row>
    <row r="2575" spans="1:6">
      <c r="A2575" t="str">
        <f>("500-0218")</f>
        <v>500-0218</v>
      </c>
      <c r="B2575" t="s">
        <v>5186</v>
      </c>
      <c r="C2575" t="s">
        <v>5654</v>
      </c>
      <c r="D2575" t="s">
        <v>5206</v>
      </c>
      <c r="E2575" t="s">
        <v>5653</v>
      </c>
      <c r="F2575">
        <v>123.67</v>
      </c>
    </row>
    <row r="2576" spans="1:6">
      <c r="A2576" t="str">
        <f>("500-0220")</f>
        <v>500-0220</v>
      </c>
      <c r="B2576" t="s">
        <v>5186</v>
      </c>
      <c r="C2576" t="s">
        <v>5652</v>
      </c>
      <c r="D2576" t="s">
        <v>5206</v>
      </c>
      <c r="F2576">
        <v>421</v>
      </c>
    </row>
    <row r="2577" spans="1:6">
      <c r="A2577" t="str">
        <f>("500-0221")</f>
        <v>500-0221</v>
      </c>
      <c r="B2577" t="s">
        <v>5186</v>
      </c>
      <c r="C2577" t="s">
        <v>5651</v>
      </c>
      <c r="D2577" t="s">
        <v>5206</v>
      </c>
      <c r="F2577">
        <v>143.67000000000002</v>
      </c>
    </row>
    <row r="2578" spans="1:6">
      <c r="A2578" t="str">
        <f>("500-0222")</f>
        <v>500-0222</v>
      </c>
      <c r="B2578" t="s">
        <v>5186</v>
      </c>
      <c r="C2578" t="s">
        <v>5645</v>
      </c>
      <c r="D2578" t="s">
        <v>5650</v>
      </c>
      <c r="E2578" t="s">
        <v>5649</v>
      </c>
      <c r="F2578">
        <v>93</v>
      </c>
    </row>
    <row r="2579" spans="1:6">
      <c r="A2579" t="str">
        <f>("500-0223")</f>
        <v>500-0223</v>
      </c>
      <c r="B2579" t="s">
        <v>5186</v>
      </c>
      <c r="C2579" t="s">
        <v>5645</v>
      </c>
      <c r="D2579" t="s">
        <v>5216</v>
      </c>
      <c r="E2579" t="s">
        <v>5618</v>
      </c>
      <c r="F2579">
        <v>98.33</v>
      </c>
    </row>
    <row r="2580" spans="1:6">
      <c r="A2580" t="str">
        <f>("500-0224")</f>
        <v>500-0224</v>
      </c>
      <c r="B2580" t="s">
        <v>5186</v>
      </c>
      <c r="C2580" t="s">
        <v>5645</v>
      </c>
      <c r="D2580" t="s">
        <v>5648</v>
      </c>
      <c r="E2580" t="s">
        <v>5647</v>
      </c>
      <c r="F2580">
        <v>106.33</v>
      </c>
    </row>
    <row r="2581" spans="1:6">
      <c r="A2581" t="str">
        <f>("500-0225")</f>
        <v>500-0225</v>
      </c>
      <c r="B2581" t="s">
        <v>5186</v>
      </c>
      <c r="C2581" t="s">
        <v>5645</v>
      </c>
      <c r="D2581" t="s">
        <v>5174</v>
      </c>
      <c r="E2581" t="s">
        <v>5646</v>
      </c>
      <c r="F2581">
        <v>178.33</v>
      </c>
    </row>
    <row r="2582" spans="1:6">
      <c r="A2582" t="str">
        <f>("500-0226")</f>
        <v>500-0226</v>
      </c>
      <c r="B2582" t="s">
        <v>5186</v>
      </c>
      <c r="C2582" t="s">
        <v>5645</v>
      </c>
      <c r="D2582" t="s">
        <v>5644</v>
      </c>
      <c r="E2582" t="s">
        <v>5643</v>
      </c>
      <c r="F2582">
        <v>98.33</v>
      </c>
    </row>
    <row r="2583" spans="1:6">
      <c r="A2583" t="str">
        <f>("500-0228")</f>
        <v>500-0228</v>
      </c>
      <c r="B2583" t="s">
        <v>5186</v>
      </c>
      <c r="C2583" t="s">
        <v>5642</v>
      </c>
      <c r="D2583" t="s">
        <v>5174</v>
      </c>
      <c r="E2583" t="s">
        <v>5537</v>
      </c>
      <c r="F2583">
        <v>337</v>
      </c>
    </row>
    <row r="2584" spans="1:6">
      <c r="A2584" t="str">
        <f>("500-0233")</f>
        <v>500-0233</v>
      </c>
      <c r="B2584" t="s">
        <v>5186</v>
      </c>
      <c r="C2584" t="s">
        <v>5641</v>
      </c>
      <c r="D2584" t="s">
        <v>5206</v>
      </c>
      <c r="E2584" t="s">
        <v>5640</v>
      </c>
      <c r="F2584">
        <v>1211.67</v>
      </c>
    </row>
    <row r="2585" spans="1:6">
      <c r="A2585" t="str">
        <f>("500-0235")</f>
        <v>500-0235</v>
      </c>
      <c r="B2585" t="s">
        <v>5186</v>
      </c>
      <c r="C2585" t="s">
        <v>5639</v>
      </c>
      <c r="D2585" t="s">
        <v>5206</v>
      </c>
      <c r="F2585">
        <v>85</v>
      </c>
    </row>
    <row r="2586" spans="1:6">
      <c r="A2586" t="str">
        <f>("500-0236")</f>
        <v>500-0236</v>
      </c>
      <c r="B2586" t="s">
        <v>5186</v>
      </c>
      <c r="C2586" t="s">
        <v>5638</v>
      </c>
      <c r="D2586" t="s">
        <v>5206</v>
      </c>
      <c r="F2586">
        <v>219.67</v>
      </c>
    </row>
    <row r="2587" spans="1:6">
      <c r="A2587" t="str">
        <f>("500-0237")</f>
        <v>500-0237</v>
      </c>
      <c r="B2587" t="s">
        <v>5186</v>
      </c>
      <c r="C2587" t="s">
        <v>5637</v>
      </c>
      <c r="D2587" t="s">
        <v>5206</v>
      </c>
      <c r="E2587" t="s">
        <v>5636</v>
      </c>
      <c r="F2587">
        <v>1245</v>
      </c>
    </row>
    <row r="2588" spans="1:6">
      <c r="A2588" t="str">
        <f>("500-0238")</f>
        <v>500-0238</v>
      </c>
      <c r="B2588" t="s">
        <v>5186</v>
      </c>
      <c r="C2588" t="s">
        <v>5635</v>
      </c>
      <c r="D2588" t="s">
        <v>5206</v>
      </c>
      <c r="E2588" t="s">
        <v>5634</v>
      </c>
      <c r="F2588">
        <v>513</v>
      </c>
    </row>
    <row r="2589" spans="1:6">
      <c r="A2589" t="str">
        <f>("500-0243")</f>
        <v>500-0243</v>
      </c>
      <c r="B2589" t="s">
        <v>5186</v>
      </c>
      <c r="C2589" t="s">
        <v>5633</v>
      </c>
      <c r="D2589" t="s">
        <v>5174</v>
      </c>
      <c r="E2589" t="s">
        <v>5632</v>
      </c>
      <c r="F2589">
        <v>1171.67</v>
      </c>
    </row>
    <row r="2590" spans="1:6">
      <c r="A2590" t="str">
        <f>("800-0001")</f>
        <v>800-0001</v>
      </c>
      <c r="B2590" t="s">
        <v>5186</v>
      </c>
      <c r="C2590" t="s">
        <v>5493</v>
      </c>
      <c r="D2590" t="s">
        <v>5174</v>
      </c>
      <c r="E2590" t="s">
        <v>5507</v>
      </c>
      <c r="F2590">
        <v>751.67</v>
      </c>
    </row>
    <row r="2591" spans="1:6">
      <c r="A2591" t="str">
        <f>("800-0002")</f>
        <v>800-0002</v>
      </c>
      <c r="B2591" t="s">
        <v>5186</v>
      </c>
      <c r="C2591" t="s">
        <v>5493</v>
      </c>
      <c r="D2591" t="s">
        <v>5174</v>
      </c>
      <c r="E2591" t="s">
        <v>5507</v>
      </c>
      <c r="F2591">
        <v>751.67</v>
      </c>
    </row>
    <row r="2592" spans="1:6">
      <c r="A2592" t="str">
        <f>("800-0003")</f>
        <v>800-0003</v>
      </c>
      <c r="B2592" t="s">
        <v>5186</v>
      </c>
      <c r="C2592" t="s">
        <v>5493</v>
      </c>
      <c r="D2592" t="s">
        <v>5174</v>
      </c>
      <c r="E2592" t="s">
        <v>5631</v>
      </c>
      <c r="F2592">
        <v>867.67</v>
      </c>
    </row>
    <row r="2593" spans="1:6">
      <c r="A2593" t="str">
        <f>("800-0004")</f>
        <v>800-0004</v>
      </c>
      <c r="B2593" t="s">
        <v>5186</v>
      </c>
      <c r="C2593" t="s">
        <v>5493</v>
      </c>
      <c r="D2593" t="s">
        <v>5216</v>
      </c>
      <c r="E2593" t="s">
        <v>5618</v>
      </c>
      <c r="F2593">
        <v>911.67</v>
      </c>
    </row>
    <row r="2594" spans="1:6">
      <c r="A2594" t="str">
        <f>("800-0005")</f>
        <v>800-0005</v>
      </c>
      <c r="B2594" t="s">
        <v>5186</v>
      </c>
      <c r="C2594" t="s">
        <v>5630</v>
      </c>
      <c r="D2594" t="s">
        <v>5206</v>
      </c>
      <c r="E2594" t="s">
        <v>5629</v>
      </c>
      <c r="F2594">
        <v>153</v>
      </c>
    </row>
    <row r="2595" spans="1:6">
      <c r="A2595" t="str">
        <f>("800-0006")</f>
        <v>800-0006</v>
      </c>
      <c r="B2595" t="s">
        <v>5186</v>
      </c>
      <c r="C2595" t="s">
        <v>5493</v>
      </c>
      <c r="D2595" t="s">
        <v>5174</v>
      </c>
      <c r="E2595" t="s">
        <v>5628</v>
      </c>
      <c r="F2595">
        <v>774.33</v>
      </c>
    </row>
    <row r="2596" spans="1:6">
      <c r="A2596" t="str">
        <f>("800-0007")</f>
        <v>800-0007</v>
      </c>
      <c r="B2596" t="s">
        <v>5186</v>
      </c>
      <c r="C2596" t="s">
        <v>5493</v>
      </c>
      <c r="D2596" t="s">
        <v>5174</v>
      </c>
      <c r="E2596" t="s">
        <v>5627</v>
      </c>
      <c r="F2596">
        <v>753</v>
      </c>
    </row>
    <row r="2597" spans="1:6">
      <c r="A2597" t="str">
        <f>("800-0008")</f>
        <v>800-0008</v>
      </c>
      <c r="B2597" t="s">
        <v>5186</v>
      </c>
      <c r="C2597" t="s">
        <v>5493</v>
      </c>
      <c r="D2597" t="s">
        <v>5174</v>
      </c>
      <c r="E2597" t="s">
        <v>5626</v>
      </c>
      <c r="F2597">
        <v>753</v>
      </c>
    </row>
    <row r="2598" spans="1:6">
      <c r="A2598" t="str">
        <f>("800-0010")</f>
        <v>800-0010</v>
      </c>
      <c r="B2598" t="s">
        <v>5186</v>
      </c>
      <c r="C2598" t="s">
        <v>5622</v>
      </c>
      <c r="D2598" t="s">
        <v>5206</v>
      </c>
      <c r="E2598" t="s">
        <v>5625</v>
      </c>
      <c r="F2598">
        <v>227.67</v>
      </c>
    </row>
    <row r="2599" spans="1:6">
      <c r="A2599" t="str">
        <f>("800-0011")</f>
        <v>800-0011</v>
      </c>
      <c r="B2599" t="s">
        <v>5186</v>
      </c>
      <c r="C2599" t="s">
        <v>5622</v>
      </c>
      <c r="D2599" t="s">
        <v>5206</v>
      </c>
      <c r="E2599" t="s">
        <v>5624</v>
      </c>
      <c r="F2599">
        <v>295.67</v>
      </c>
    </row>
    <row r="2600" spans="1:6">
      <c r="A2600" t="str">
        <f>("800-0012")</f>
        <v>800-0012</v>
      </c>
      <c r="B2600" t="s">
        <v>5186</v>
      </c>
      <c r="C2600" t="s">
        <v>5622</v>
      </c>
      <c r="D2600" t="s">
        <v>5206</v>
      </c>
      <c r="E2600" t="s">
        <v>5623</v>
      </c>
      <c r="F2600">
        <v>329</v>
      </c>
    </row>
    <row r="2601" spans="1:6">
      <c r="A2601" t="str">
        <f>("800-0013")</f>
        <v>800-0013</v>
      </c>
      <c r="B2601" t="s">
        <v>5186</v>
      </c>
      <c r="C2601" t="s">
        <v>5622</v>
      </c>
      <c r="D2601" t="s">
        <v>5206</v>
      </c>
      <c r="E2601" t="s">
        <v>5621</v>
      </c>
      <c r="F2601">
        <v>329</v>
      </c>
    </row>
    <row r="2602" spans="1:6">
      <c r="A2602" t="str">
        <f>("800-0014")</f>
        <v>800-0014</v>
      </c>
      <c r="B2602" t="s">
        <v>5186</v>
      </c>
      <c r="C2602" t="s">
        <v>5493</v>
      </c>
      <c r="D2602" t="s">
        <v>5216</v>
      </c>
      <c r="E2602" t="s">
        <v>5618</v>
      </c>
      <c r="F2602">
        <v>953</v>
      </c>
    </row>
    <row r="2603" spans="1:6">
      <c r="A2603" t="str">
        <f>("800-0015")</f>
        <v>800-0015</v>
      </c>
      <c r="B2603" t="s">
        <v>5186</v>
      </c>
      <c r="C2603" t="s">
        <v>5493</v>
      </c>
      <c r="D2603" t="s">
        <v>5174</v>
      </c>
      <c r="E2603" t="s">
        <v>5620</v>
      </c>
      <c r="F2603">
        <v>770.33</v>
      </c>
    </row>
    <row r="2604" spans="1:6">
      <c r="A2604" t="str">
        <f>("800-0017")</f>
        <v>800-0017</v>
      </c>
      <c r="B2604" t="s">
        <v>5186</v>
      </c>
      <c r="C2604" t="s">
        <v>5493</v>
      </c>
      <c r="D2604" t="s">
        <v>5216</v>
      </c>
      <c r="E2604" t="s">
        <v>5616</v>
      </c>
      <c r="F2604">
        <v>867.67</v>
      </c>
    </row>
    <row r="2605" spans="1:6">
      <c r="A2605" t="str">
        <f>("800-0018")</f>
        <v>800-0018</v>
      </c>
      <c r="B2605" t="s">
        <v>5186</v>
      </c>
      <c r="C2605" t="s">
        <v>5493</v>
      </c>
      <c r="D2605" t="s">
        <v>5216</v>
      </c>
      <c r="E2605" t="s">
        <v>5619</v>
      </c>
      <c r="F2605">
        <v>770.33</v>
      </c>
    </row>
    <row r="2606" spans="1:6">
      <c r="A2606" t="str">
        <f>("800-0019")</f>
        <v>800-0019</v>
      </c>
      <c r="B2606" t="s">
        <v>5186</v>
      </c>
      <c r="C2606" t="s">
        <v>5498</v>
      </c>
      <c r="D2606" t="s">
        <v>5216</v>
      </c>
      <c r="E2606" t="s">
        <v>5616</v>
      </c>
      <c r="F2606">
        <v>333</v>
      </c>
    </row>
    <row r="2607" spans="1:6">
      <c r="A2607" t="str">
        <f>("800-0020")</f>
        <v>800-0020</v>
      </c>
      <c r="B2607" t="s">
        <v>5186</v>
      </c>
      <c r="C2607" t="s">
        <v>5498</v>
      </c>
      <c r="D2607" t="s">
        <v>5216</v>
      </c>
      <c r="E2607" t="s">
        <v>5616</v>
      </c>
      <c r="F2607">
        <v>327.67</v>
      </c>
    </row>
    <row r="2608" spans="1:6">
      <c r="A2608" t="str">
        <f>("800-0021")</f>
        <v>800-0021</v>
      </c>
      <c r="B2608" t="s">
        <v>5186</v>
      </c>
      <c r="C2608" t="s">
        <v>5498</v>
      </c>
      <c r="D2608" t="s">
        <v>5174</v>
      </c>
      <c r="E2608" t="s">
        <v>5614</v>
      </c>
      <c r="F2608">
        <v>333</v>
      </c>
    </row>
    <row r="2609" spans="1:6">
      <c r="A2609" t="str">
        <f>("800-0023")</f>
        <v>800-0023</v>
      </c>
      <c r="B2609" t="s">
        <v>5186</v>
      </c>
      <c r="C2609" t="s">
        <v>5498</v>
      </c>
      <c r="D2609" t="s">
        <v>5216</v>
      </c>
      <c r="E2609" t="s">
        <v>5618</v>
      </c>
      <c r="F2609">
        <v>333</v>
      </c>
    </row>
    <row r="2610" spans="1:6">
      <c r="A2610" t="str">
        <f>("800-0024")</f>
        <v>800-0024</v>
      </c>
      <c r="B2610" t="s">
        <v>5186</v>
      </c>
      <c r="C2610" t="s">
        <v>5498</v>
      </c>
      <c r="D2610" t="s">
        <v>5216</v>
      </c>
      <c r="E2610" t="s">
        <v>5618</v>
      </c>
      <c r="F2610">
        <v>333</v>
      </c>
    </row>
    <row r="2611" spans="1:6">
      <c r="A2611" t="str">
        <f>("800-0025")</f>
        <v>800-0025</v>
      </c>
      <c r="B2611" t="s">
        <v>5186</v>
      </c>
      <c r="C2611" t="s">
        <v>5493</v>
      </c>
      <c r="D2611" t="s">
        <v>5184</v>
      </c>
      <c r="E2611" t="s">
        <v>5617</v>
      </c>
      <c r="F2611">
        <v>790.33</v>
      </c>
    </row>
    <row r="2612" spans="1:6">
      <c r="A2612" t="str">
        <f>("800-0026")</f>
        <v>800-0026</v>
      </c>
      <c r="B2612" t="s">
        <v>5186</v>
      </c>
      <c r="C2612" t="s">
        <v>5498</v>
      </c>
      <c r="D2612" t="s">
        <v>5216</v>
      </c>
      <c r="E2612" t="s">
        <v>5616</v>
      </c>
      <c r="F2612">
        <v>470.33</v>
      </c>
    </row>
    <row r="2613" spans="1:6">
      <c r="A2613" t="str">
        <f>("800-0030")</f>
        <v>800-0030</v>
      </c>
      <c r="B2613" t="s">
        <v>5186</v>
      </c>
      <c r="C2613" t="s">
        <v>5493</v>
      </c>
      <c r="D2613" t="s">
        <v>5184</v>
      </c>
      <c r="E2613" t="s">
        <v>5615</v>
      </c>
      <c r="F2613">
        <v>934.33</v>
      </c>
    </row>
    <row r="2614" spans="1:6">
      <c r="A2614" t="str">
        <f>("800-0031")</f>
        <v>800-0031</v>
      </c>
      <c r="B2614" t="s">
        <v>5186</v>
      </c>
      <c r="C2614" t="s">
        <v>5498</v>
      </c>
      <c r="D2614" t="s">
        <v>5174</v>
      </c>
      <c r="E2614" t="s">
        <v>5614</v>
      </c>
      <c r="F2614">
        <v>491.67</v>
      </c>
    </row>
    <row r="2615" spans="1:6">
      <c r="A2615" t="str">
        <f>("800-0032")</f>
        <v>800-0032</v>
      </c>
      <c r="B2615" t="s">
        <v>5186</v>
      </c>
      <c r="C2615" t="s">
        <v>5613</v>
      </c>
      <c r="D2615" t="s">
        <v>5553</v>
      </c>
      <c r="E2615" t="s">
        <v>5612</v>
      </c>
      <c r="F2615">
        <v>191.67</v>
      </c>
    </row>
    <row r="2616" spans="1:6">
      <c r="A2616" t="str">
        <f>("800-0033")</f>
        <v>800-0033</v>
      </c>
      <c r="B2616" t="s">
        <v>5186</v>
      </c>
      <c r="C2616" t="s">
        <v>5503</v>
      </c>
      <c r="D2616" t="s">
        <v>5206</v>
      </c>
      <c r="E2616" t="s">
        <v>5611</v>
      </c>
      <c r="F2616">
        <v>87.67</v>
      </c>
    </row>
    <row r="2617" spans="1:6">
      <c r="A2617" t="str">
        <f>("800-0034")</f>
        <v>800-0034</v>
      </c>
      <c r="B2617" t="s">
        <v>5186</v>
      </c>
      <c r="C2617" t="s">
        <v>5501</v>
      </c>
      <c r="D2617" t="s">
        <v>5206</v>
      </c>
      <c r="E2617" t="s">
        <v>5504</v>
      </c>
      <c r="F2617">
        <v>87.67</v>
      </c>
    </row>
    <row r="2618" spans="1:6">
      <c r="A2618" t="str">
        <f>("800-0035")</f>
        <v>800-0035</v>
      </c>
      <c r="B2618" t="s">
        <v>5186</v>
      </c>
      <c r="C2618" t="s">
        <v>5503</v>
      </c>
      <c r="D2618" t="s">
        <v>5206</v>
      </c>
      <c r="E2618" t="s">
        <v>5611</v>
      </c>
      <c r="F2618">
        <v>87.67</v>
      </c>
    </row>
    <row r="2619" spans="1:6">
      <c r="A2619" t="str">
        <f>("800-0036")</f>
        <v>800-0036</v>
      </c>
      <c r="B2619" t="s">
        <v>5186</v>
      </c>
      <c r="C2619" t="s">
        <v>5501</v>
      </c>
      <c r="D2619" t="s">
        <v>5206</v>
      </c>
      <c r="E2619" t="s">
        <v>5595</v>
      </c>
      <c r="F2619">
        <v>87.67</v>
      </c>
    </row>
    <row r="2620" spans="1:6">
      <c r="A2620" t="str">
        <f>("800-0037")</f>
        <v>800-0037</v>
      </c>
      <c r="B2620" t="s">
        <v>5186</v>
      </c>
      <c r="C2620" t="s">
        <v>5515</v>
      </c>
      <c r="D2620" t="s">
        <v>5206</v>
      </c>
      <c r="E2620" t="s">
        <v>5610</v>
      </c>
      <c r="F2620">
        <v>87.67</v>
      </c>
    </row>
    <row r="2621" spans="1:6">
      <c r="A2621" t="str">
        <f>("800-0038")</f>
        <v>800-0038</v>
      </c>
      <c r="B2621" t="s">
        <v>5186</v>
      </c>
      <c r="C2621" t="s">
        <v>5503</v>
      </c>
      <c r="D2621" t="s">
        <v>5206</v>
      </c>
      <c r="E2621" t="s">
        <v>5502</v>
      </c>
      <c r="F2621">
        <v>87.67</v>
      </c>
    </row>
    <row r="2622" spans="1:6">
      <c r="A2622" t="str">
        <f>("800-0039")</f>
        <v>800-0039</v>
      </c>
      <c r="B2622" t="s">
        <v>5186</v>
      </c>
      <c r="C2622" t="s">
        <v>5539</v>
      </c>
      <c r="D2622" t="s">
        <v>5206</v>
      </c>
      <c r="E2622" t="s">
        <v>5609</v>
      </c>
      <c r="F2622">
        <v>87.67</v>
      </c>
    </row>
    <row r="2623" spans="1:6">
      <c r="A2623" t="str">
        <f>("800-0040")</f>
        <v>800-0040</v>
      </c>
      <c r="B2623" t="s">
        <v>5186</v>
      </c>
      <c r="C2623" t="s">
        <v>5599</v>
      </c>
      <c r="D2623" t="s">
        <v>5206</v>
      </c>
      <c r="E2623" t="s">
        <v>5608</v>
      </c>
      <c r="F2623">
        <v>49</v>
      </c>
    </row>
    <row r="2624" spans="1:6">
      <c r="A2624" t="str">
        <f>("800-0041")</f>
        <v>800-0041</v>
      </c>
      <c r="B2624" t="s">
        <v>5186</v>
      </c>
      <c r="C2624" t="s">
        <v>5599</v>
      </c>
      <c r="D2624" t="s">
        <v>5206</v>
      </c>
      <c r="E2624" t="s">
        <v>5607</v>
      </c>
      <c r="F2624">
        <v>49</v>
      </c>
    </row>
    <row r="2625" spans="1:6">
      <c r="A2625" t="str">
        <f>("800-0042")</f>
        <v>800-0042</v>
      </c>
      <c r="B2625" t="s">
        <v>5186</v>
      </c>
      <c r="C2625" t="s">
        <v>5599</v>
      </c>
      <c r="D2625" t="s">
        <v>5206</v>
      </c>
      <c r="E2625" t="s">
        <v>5606</v>
      </c>
      <c r="F2625">
        <v>49</v>
      </c>
    </row>
    <row r="2626" spans="1:6">
      <c r="A2626" t="str">
        <f>("800-0043")</f>
        <v>800-0043</v>
      </c>
      <c r="B2626" t="s">
        <v>5186</v>
      </c>
      <c r="C2626" t="s">
        <v>5599</v>
      </c>
      <c r="D2626" t="s">
        <v>5206</v>
      </c>
      <c r="E2626" t="s">
        <v>5605</v>
      </c>
      <c r="F2626">
        <v>49</v>
      </c>
    </row>
    <row r="2627" spans="1:6">
      <c r="A2627" t="str">
        <f>("800-0044")</f>
        <v>800-0044</v>
      </c>
      <c r="B2627" t="s">
        <v>5186</v>
      </c>
      <c r="C2627" t="s">
        <v>5599</v>
      </c>
      <c r="D2627" t="s">
        <v>5206</v>
      </c>
      <c r="E2627" t="s">
        <v>5604</v>
      </c>
      <c r="F2627">
        <v>50.33</v>
      </c>
    </row>
    <row r="2628" spans="1:6">
      <c r="A2628" t="str">
        <f>("800-0045")</f>
        <v>800-0045</v>
      </c>
      <c r="B2628" t="s">
        <v>5186</v>
      </c>
      <c r="C2628" t="s">
        <v>5599</v>
      </c>
      <c r="D2628" t="s">
        <v>5206</v>
      </c>
      <c r="E2628" t="s">
        <v>5603</v>
      </c>
      <c r="F2628">
        <v>53</v>
      </c>
    </row>
    <row r="2629" spans="1:6">
      <c r="A2629" t="str">
        <f>("800-0046")</f>
        <v>800-0046</v>
      </c>
      <c r="B2629" t="s">
        <v>5186</v>
      </c>
      <c r="C2629" t="s">
        <v>5599</v>
      </c>
      <c r="D2629" t="s">
        <v>5206</v>
      </c>
      <c r="E2629" t="s">
        <v>5602</v>
      </c>
      <c r="F2629">
        <v>47.67</v>
      </c>
    </row>
    <row r="2630" spans="1:6">
      <c r="A2630" t="str">
        <f>("800-0047")</f>
        <v>800-0047</v>
      </c>
      <c r="B2630" t="s">
        <v>5186</v>
      </c>
      <c r="C2630" t="s">
        <v>5599</v>
      </c>
      <c r="D2630" t="s">
        <v>5206</v>
      </c>
      <c r="E2630" t="s">
        <v>5601</v>
      </c>
      <c r="F2630">
        <v>87.67</v>
      </c>
    </row>
    <row r="2631" spans="1:6">
      <c r="A2631" t="str">
        <f>("800-0048")</f>
        <v>800-0048</v>
      </c>
      <c r="B2631" t="s">
        <v>5186</v>
      </c>
      <c r="C2631" t="s">
        <v>5599</v>
      </c>
      <c r="D2631" t="s">
        <v>5206</v>
      </c>
      <c r="E2631" t="s">
        <v>5600</v>
      </c>
      <c r="F2631">
        <v>87.67</v>
      </c>
    </row>
    <row r="2632" spans="1:6">
      <c r="A2632" t="str">
        <f>("800-0049")</f>
        <v>800-0049</v>
      </c>
      <c r="B2632" t="s">
        <v>5186</v>
      </c>
      <c r="C2632" t="s">
        <v>5599</v>
      </c>
      <c r="D2632" t="s">
        <v>5206</v>
      </c>
      <c r="E2632" t="s">
        <v>5598</v>
      </c>
      <c r="F2632">
        <v>87.67</v>
      </c>
    </row>
    <row r="2633" spans="1:6">
      <c r="A2633" t="str">
        <f>("800-0050")</f>
        <v>800-0050</v>
      </c>
      <c r="B2633" t="s">
        <v>5186</v>
      </c>
      <c r="C2633" t="s">
        <v>5512</v>
      </c>
      <c r="D2633" t="s">
        <v>5206</v>
      </c>
      <c r="E2633" t="s">
        <v>5597</v>
      </c>
      <c r="F2633">
        <v>93</v>
      </c>
    </row>
    <row r="2634" spans="1:6">
      <c r="A2634" t="str">
        <f>("800-0051")</f>
        <v>800-0051</v>
      </c>
      <c r="B2634" t="s">
        <v>5186</v>
      </c>
      <c r="C2634" t="s">
        <v>5512</v>
      </c>
      <c r="D2634" t="s">
        <v>5206</v>
      </c>
      <c r="E2634" t="s">
        <v>5596</v>
      </c>
      <c r="F2634">
        <v>93</v>
      </c>
    </row>
    <row r="2635" spans="1:6">
      <c r="A2635" t="str">
        <f>("800-0052")</f>
        <v>800-0052</v>
      </c>
      <c r="B2635" t="s">
        <v>5186</v>
      </c>
      <c r="C2635" t="s">
        <v>5501</v>
      </c>
      <c r="D2635" t="s">
        <v>5206</v>
      </c>
      <c r="E2635" t="s">
        <v>5504</v>
      </c>
      <c r="F2635">
        <v>87.67</v>
      </c>
    </row>
    <row r="2636" spans="1:6">
      <c r="A2636" t="str">
        <f>("800-0053")</f>
        <v>800-0053</v>
      </c>
      <c r="B2636" t="s">
        <v>5186</v>
      </c>
      <c r="C2636" t="s">
        <v>5501</v>
      </c>
      <c r="D2636" t="s">
        <v>5206</v>
      </c>
      <c r="E2636" t="s">
        <v>5595</v>
      </c>
      <c r="F2636">
        <v>87.67</v>
      </c>
    </row>
    <row r="2637" spans="1:6">
      <c r="A2637" t="str">
        <f>("800-0054")</f>
        <v>800-0054</v>
      </c>
      <c r="B2637" t="s">
        <v>5186</v>
      </c>
      <c r="C2637" t="s">
        <v>5501</v>
      </c>
      <c r="D2637" t="s">
        <v>5206</v>
      </c>
      <c r="E2637" t="s">
        <v>5595</v>
      </c>
      <c r="F2637">
        <v>114.33</v>
      </c>
    </row>
    <row r="2638" spans="1:6">
      <c r="A2638" t="str">
        <f>("800-0055")</f>
        <v>800-0055</v>
      </c>
      <c r="B2638" t="s">
        <v>5186</v>
      </c>
      <c r="C2638" t="s">
        <v>5503</v>
      </c>
      <c r="D2638" t="s">
        <v>5206</v>
      </c>
      <c r="E2638" t="s">
        <v>5594</v>
      </c>
      <c r="F2638">
        <v>87.67</v>
      </c>
    </row>
    <row r="2639" spans="1:6">
      <c r="A2639" t="str">
        <f>("800-0056")</f>
        <v>800-0056</v>
      </c>
      <c r="B2639" t="s">
        <v>5186</v>
      </c>
      <c r="C2639" t="s">
        <v>5549</v>
      </c>
      <c r="D2639" t="s">
        <v>5206</v>
      </c>
      <c r="E2639" t="s">
        <v>5593</v>
      </c>
      <c r="F2639">
        <v>169</v>
      </c>
    </row>
    <row r="2640" spans="1:6">
      <c r="A2640" t="str">
        <f>("800-0057")</f>
        <v>800-0057</v>
      </c>
      <c r="B2640" t="s">
        <v>5186</v>
      </c>
      <c r="C2640" t="s">
        <v>5501</v>
      </c>
      <c r="D2640" t="s">
        <v>5206</v>
      </c>
      <c r="E2640" t="s">
        <v>5500</v>
      </c>
      <c r="F2640">
        <v>87.67</v>
      </c>
    </row>
    <row r="2641" spans="1:6">
      <c r="A2641" t="str">
        <f>("800-0058")</f>
        <v>800-0058</v>
      </c>
      <c r="B2641" t="s">
        <v>5186</v>
      </c>
      <c r="C2641" t="s">
        <v>5501</v>
      </c>
      <c r="D2641" t="s">
        <v>5206</v>
      </c>
      <c r="E2641" t="s">
        <v>5500</v>
      </c>
      <c r="F2641">
        <v>114.33</v>
      </c>
    </row>
    <row r="2642" spans="1:6">
      <c r="A2642" t="str">
        <f>("800-0059")</f>
        <v>800-0059</v>
      </c>
      <c r="B2642" t="s">
        <v>5186</v>
      </c>
      <c r="C2642" t="s">
        <v>5503</v>
      </c>
      <c r="D2642" t="s">
        <v>5206</v>
      </c>
      <c r="E2642" t="s">
        <v>5502</v>
      </c>
      <c r="F2642">
        <v>110.33</v>
      </c>
    </row>
    <row r="2643" spans="1:6">
      <c r="A2643" t="str">
        <f>("800-0060")</f>
        <v>800-0060</v>
      </c>
      <c r="B2643" t="s">
        <v>5186</v>
      </c>
      <c r="C2643" t="s">
        <v>5503</v>
      </c>
      <c r="D2643" t="s">
        <v>5206</v>
      </c>
      <c r="E2643" t="s">
        <v>5502</v>
      </c>
      <c r="F2643">
        <v>110.33</v>
      </c>
    </row>
    <row r="2644" spans="1:6">
      <c r="A2644" t="str">
        <f>("800-0061")</f>
        <v>800-0061</v>
      </c>
      <c r="B2644" t="s">
        <v>5186</v>
      </c>
      <c r="C2644" t="s">
        <v>5503</v>
      </c>
      <c r="D2644" t="s">
        <v>5206</v>
      </c>
      <c r="E2644" t="s">
        <v>5502</v>
      </c>
      <c r="F2644">
        <v>87.67</v>
      </c>
    </row>
    <row r="2645" spans="1:6">
      <c r="A2645" t="str">
        <f>("800-0062")</f>
        <v>800-0062</v>
      </c>
      <c r="B2645" t="s">
        <v>5186</v>
      </c>
      <c r="C2645" t="s">
        <v>5503</v>
      </c>
      <c r="D2645" t="s">
        <v>5206</v>
      </c>
      <c r="E2645" t="s">
        <v>5502</v>
      </c>
      <c r="F2645">
        <v>87.67</v>
      </c>
    </row>
    <row r="2646" spans="1:6">
      <c r="A2646" t="str">
        <f>("800-0063")</f>
        <v>800-0063</v>
      </c>
      <c r="B2646" t="s">
        <v>5186</v>
      </c>
      <c r="C2646" t="s">
        <v>5503</v>
      </c>
      <c r="D2646" t="s">
        <v>5206</v>
      </c>
      <c r="E2646" t="s">
        <v>5502</v>
      </c>
      <c r="F2646">
        <v>87.67</v>
      </c>
    </row>
    <row r="2647" spans="1:6">
      <c r="A2647" t="str">
        <f>("800-0064")</f>
        <v>800-0064</v>
      </c>
      <c r="B2647" t="s">
        <v>5186</v>
      </c>
      <c r="C2647" t="s">
        <v>5503</v>
      </c>
      <c r="D2647" t="s">
        <v>5206</v>
      </c>
      <c r="E2647" t="s">
        <v>5592</v>
      </c>
      <c r="F2647">
        <v>135.67000000000002</v>
      </c>
    </row>
    <row r="2648" spans="1:6">
      <c r="A2648" t="str">
        <f>("800-0065")</f>
        <v>800-0065</v>
      </c>
      <c r="B2648" t="s">
        <v>5186</v>
      </c>
      <c r="C2648" t="s">
        <v>5591</v>
      </c>
      <c r="D2648" t="s">
        <v>5206</v>
      </c>
      <c r="E2648" t="s">
        <v>5590</v>
      </c>
      <c r="F2648">
        <v>87.67</v>
      </c>
    </row>
    <row r="2649" spans="1:6">
      <c r="A2649" t="str">
        <f>("800-0066")</f>
        <v>800-0066</v>
      </c>
      <c r="B2649" t="s">
        <v>5186</v>
      </c>
      <c r="C2649" t="s">
        <v>5503</v>
      </c>
      <c r="D2649" t="s">
        <v>5206</v>
      </c>
      <c r="E2649" t="s">
        <v>5589</v>
      </c>
      <c r="F2649">
        <v>87.67</v>
      </c>
    </row>
    <row r="2650" spans="1:6">
      <c r="A2650" t="str">
        <f>("800-0067")</f>
        <v>800-0067</v>
      </c>
      <c r="B2650" t="s">
        <v>5186</v>
      </c>
      <c r="C2650" t="s">
        <v>5503</v>
      </c>
      <c r="D2650" t="s">
        <v>5206</v>
      </c>
      <c r="E2650" t="s">
        <v>5589</v>
      </c>
      <c r="F2650">
        <v>87.67</v>
      </c>
    </row>
    <row r="2651" spans="1:6">
      <c r="A2651" t="str">
        <f>("800-0068")</f>
        <v>800-0068</v>
      </c>
      <c r="B2651" t="s">
        <v>5186</v>
      </c>
      <c r="C2651" t="s">
        <v>5503</v>
      </c>
      <c r="D2651" t="s">
        <v>5206</v>
      </c>
      <c r="E2651" t="s">
        <v>5589</v>
      </c>
      <c r="F2651">
        <v>87.67</v>
      </c>
    </row>
    <row r="2652" spans="1:6">
      <c r="A2652" t="str">
        <f>("800-0070")</f>
        <v>800-0070</v>
      </c>
      <c r="B2652" t="s">
        <v>5186</v>
      </c>
      <c r="C2652" t="s">
        <v>5501</v>
      </c>
      <c r="D2652" t="s">
        <v>5206</v>
      </c>
      <c r="E2652" t="s">
        <v>5588</v>
      </c>
      <c r="F2652">
        <v>110.33</v>
      </c>
    </row>
    <row r="2653" spans="1:6">
      <c r="A2653" t="str">
        <f>("800-0071")</f>
        <v>800-0071</v>
      </c>
      <c r="B2653" t="s">
        <v>5186</v>
      </c>
      <c r="C2653" t="s">
        <v>5503</v>
      </c>
      <c r="D2653" t="s">
        <v>5206</v>
      </c>
      <c r="E2653" t="s">
        <v>5506</v>
      </c>
      <c r="F2653">
        <v>87.67</v>
      </c>
    </row>
    <row r="2654" spans="1:6">
      <c r="A2654" t="str">
        <f>("800-0072")</f>
        <v>800-0072</v>
      </c>
      <c r="B2654" t="s">
        <v>5186</v>
      </c>
      <c r="C2654" t="s">
        <v>5503</v>
      </c>
      <c r="D2654" t="s">
        <v>5206</v>
      </c>
      <c r="E2654" t="s">
        <v>5587</v>
      </c>
      <c r="F2654">
        <v>130.32999999999998</v>
      </c>
    </row>
    <row r="2655" spans="1:6">
      <c r="A2655" t="str">
        <f>("800-0073")</f>
        <v>800-0073</v>
      </c>
      <c r="B2655" t="s">
        <v>5186</v>
      </c>
      <c r="C2655" t="s">
        <v>5501</v>
      </c>
      <c r="D2655" t="s">
        <v>5206</v>
      </c>
      <c r="E2655" t="s">
        <v>5585</v>
      </c>
      <c r="F2655">
        <v>87.67</v>
      </c>
    </row>
    <row r="2656" spans="1:6">
      <c r="A2656" t="str">
        <f>("800-0074")</f>
        <v>800-0074</v>
      </c>
      <c r="B2656" t="s">
        <v>5186</v>
      </c>
      <c r="C2656" t="s">
        <v>5501</v>
      </c>
      <c r="D2656" t="s">
        <v>5206</v>
      </c>
      <c r="E2656" t="s">
        <v>5585</v>
      </c>
      <c r="F2656">
        <v>87.67</v>
      </c>
    </row>
    <row r="2657" spans="1:6">
      <c r="A2657" t="str">
        <f>("800-0075")</f>
        <v>800-0075</v>
      </c>
      <c r="B2657" t="s">
        <v>5186</v>
      </c>
      <c r="C2657" t="s">
        <v>5531</v>
      </c>
      <c r="D2657" t="s">
        <v>5206</v>
      </c>
      <c r="E2657" t="s">
        <v>5586</v>
      </c>
      <c r="F2657">
        <v>169</v>
      </c>
    </row>
    <row r="2658" spans="1:6">
      <c r="A2658" t="str">
        <f>("800-0076")</f>
        <v>800-0076</v>
      </c>
      <c r="B2658" t="s">
        <v>5186</v>
      </c>
      <c r="C2658" t="s">
        <v>5501</v>
      </c>
      <c r="D2658" t="s">
        <v>5206</v>
      </c>
      <c r="E2658" t="s">
        <v>5585</v>
      </c>
      <c r="F2658">
        <v>105</v>
      </c>
    </row>
    <row r="2659" spans="1:6">
      <c r="A2659" t="str">
        <f>("800-0077")</f>
        <v>800-0077</v>
      </c>
      <c r="B2659" t="s">
        <v>5186</v>
      </c>
      <c r="C2659" t="s">
        <v>5503</v>
      </c>
      <c r="D2659" t="s">
        <v>5206</v>
      </c>
      <c r="E2659" t="s">
        <v>5584</v>
      </c>
      <c r="F2659">
        <v>87.67</v>
      </c>
    </row>
    <row r="2660" spans="1:6">
      <c r="A2660" t="str">
        <f>("800-0078")</f>
        <v>800-0078</v>
      </c>
      <c r="B2660" t="s">
        <v>5186</v>
      </c>
      <c r="C2660" t="s">
        <v>5582</v>
      </c>
      <c r="D2660" t="s">
        <v>5206</v>
      </c>
      <c r="E2660" t="s">
        <v>5583</v>
      </c>
      <c r="F2660">
        <v>343.67</v>
      </c>
    </row>
    <row r="2661" spans="1:6">
      <c r="A2661" t="str">
        <f>("800-0079")</f>
        <v>800-0079</v>
      </c>
      <c r="B2661" t="s">
        <v>5186</v>
      </c>
      <c r="C2661" t="s">
        <v>5582</v>
      </c>
      <c r="D2661" t="s">
        <v>5206</v>
      </c>
      <c r="E2661" t="s">
        <v>5581</v>
      </c>
      <c r="F2661">
        <v>246.33</v>
      </c>
    </row>
    <row r="2662" spans="1:6">
      <c r="A2662" t="str">
        <f>("800-0080")</f>
        <v>800-0080</v>
      </c>
      <c r="B2662" t="s">
        <v>5186</v>
      </c>
      <c r="C2662" t="s">
        <v>5536</v>
      </c>
      <c r="D2662" t="s">
        <v>5206</v>
      </c>
      <c r="E2662" t="s">
        <v>5535</v>
      </c>
      <c r="F2662">
        <v>246.33</v>
      </c>
    </row>
    <row r="2663" spans="1:6">
      <c r="A2663" t="str">
        <f>("800-0081")</f>
        <v>800-0081</v>
      </c>
      <c r="B2663" t="s">
        <v>5186</v>
      </c>
      <c r="C2663" t="s">
        <v>5536</v>
      </c>
      <c r="D2663" t="s">
        <v>5206</v>
      </c>
      <c r="E2663" t="s">
        <v>5535</v>
      </c>
      <c r="F2663">
        <v>246.33</v>
      </c>
    </row>
    <row r="2664" spans="1:6">
      <c r="A2664" t="str">
        <f>("800-0082")</f>
        <v>800-0082</v>
      </c>
      <c r="B2664" t="s">
        <v>5186</v>
      </c>
      <c r="C2664" t="s">
        <v>5536</v>
      </c>
      <c r="D2664" t="s">
        <v>5206</v>
      </c>
      <c r="E2664" t="s">
        <v>5580</v>
      </c>
      <c r="F2664">
        <v>246.33</v>
      </c>
    </row>
    <row r="2665" spans="1:6">
      <c r="A2665" t="str">
        <f>("800-0083")</f>
        <v>800-0083</v>
      </c>
      <c r="B2665" t="s">
        <v>5186</v>
      </c>
      <c r="C2665" t="s">
        <v>5531</v>
      </c>
      <c r="D2665" t="s">
        <v>5174</v>
      </c>
      <c r="E2665" t="s">
        <v>5579</v>
      </c>
      <c r="F2665">
        <v>87.67</v>
      </c>
    </row>
    <row r="2666" spans="1:6">
      <c r="A2666" t="str">
        <f>("800-0084")</f>
        <v>800-0084</v>
      </c>
      <c r="B2666" t="s">
        <v>5186</v>
      </c>
      <c r="C2666" t="s">
        <v>5578</v>
      </c>
      <c r="D2666" t="s">
        <v>5206</v>
      </c>
      <c r="E2666" t="s">
        <v>5577</v>
      </c>
      <c r="F2666">
        <v>57</v>
      </c>
    </row>
    <row r="2667" spans="1:6">
      <c r="A2667" t="str">
        <f>("800-0085")</f>
        <v>800-0085</v>
      </c>
      <c r="B2667" t="s">
        <v>5186</v>
      </c>
      <c r="C2667" t="s">
        <v>5576</v>
      </c>
      <c r="D2667" t="s">
        <v>5206</v>
      </c>
      <c r="E2667" t="s">
        <v>5575</v>
      </c>
      <c r="F2667">
        <v>135.67000000000002</v>
      </c>
    </row>
    <row r="2668" spans="1:6">
      <c r="A2668" t="str">
        <f>("800-0086")</f>
        <v>800-0086</v>
      </c>
      <c r="B2668" t="s">
        <v>5186</v>
      </c>
      <c r="C2668" t="s">
        <v>5574</v>
      </c>
      <c r="D2668" t="s">
        <v>5206</v>
      </c>
      <c r="E2668" t="s">
        <v>5573</v>
      </c>
      <c r="F2668">
        <v>493</v>
      </c>
    </row>
    <row r="2669" spans="1:6">
      <c r="A2669" t="str">
        <f>("800-0087")</f>
        <v>800-0087</v>
      </c>
      <c r="B2669" t="s">
        <v>5186</v>
      </c>
      <c r="C2669" t="s">
        <v>5571</v>
      </c>
      <c r="D2669" t="s">
        <v>5206</v>
      </c>
      <c r="E2669" t="s">
        <v>5572</v>
      </c>
      <c r="F2669">
        <v>697</v>
      </c>
    </row>
    <row r="2670" spans="1:6">
      <c r="A2670" t="str">
        <f>("800-0089")</f>
        <v>800-0089</v>
      </c>
      <c r="B2670" t="s">
        <v>5186</v>
      </c>
      <c r="C2670" t="s">
        <v>5571</v>
      </c>
      <c r="D2670" t="s">
        <v>5206</v>
      </c>
      <c r="E2670" t="s">
        <v>5570</v>
      </c>
      <c r="F2670">
        <v>526.32999999999993</v>
      </c>
    </row>
    <row r="2671" spans="1:6">
      <c r="A2671" t="str">
        <f>("800-0091")</f>
        <v>800-0091</v>
      </c>
      <c r="B2671" t="s">
        <v>5186</v>
      </c>
      <c r="C2671" t="s">
        <v>5569</v>
      </c>
      <c r="D2671" t="s">
        <v>5206</v>
      </c>
      <c r="E2671" t="s">
        <v>5568</v>
      </c>
      <c r="F2671">
        <v>577</v>
      </c>
    </row>
    <row r="2672" spans="1:6">
      <c r="A2672" t="str">
        <f>("800-0092")</f>
        <v>800-0092</v>
      </c>
      <c r="B2672" t="s">
        <v>5186</v>
      </c>
      <c r="C2672" t="s">
        <v>5522</v>
      </c>
      <c r="D2672" t="s">
        <v>5216</v>
      </c>
      <c r="E2672" t="s">
        <v>5567</v>
      </c>
      <c r="F2672">
        <v>765</v>
      </c>
    </row>
    <row r="2673" spans="1:6">
      <c r="A2673" t="str">
        <f>("800-0093")</f>
        <v>800-0093</v>
      </c>
      <c r="B2673" t="s">
        <v>5186</v>
      </c>
      <c r="C2673" t="s">
        <v>5565</v>
      </c>
      <c r="D2673" t="s">
        <v>5206</v>
      </c>
      <c r="E2673" t="s">
        <v>5566</v>
      </c>
      <c r="F2673">
        <v>790.33</v>
      </c>
    </row>
    <row r="2674" spans="1:6">
      <c r="A2674" t="str">
        <f>("800-0094")</f>
        <v>800-0094</v>
      </c>
      <c r="B2674" t="s">
        <v>5186</v>
      </c>
      <c r="C2674" t="s">
        <v>5565</v>
      </c>
      <c r="D2674" t="s">
        <v>5206</v>
      </c>
      <c r="E2674" t="s">
        <v>5564</v>
      </c>
      <c r="F2674">
        <v>2115.67</v>
      </c>
    </row>
    <row r="2675" spans="1:6">
      <c r="A2675" t="str">
        <f>("800-0096")</f>
        <v>800-0096</v>
      </c>
      <c r="B2675" t="s">
        <v>5186</v>
      </c>
      <c r="C2675" t="s">
        <v>5519</v>
      </c>
      <c r="D2675" t="s">
        <v>5174</v>
      </c>
      <c r="E2675" t="s">
        <v>5526</v>
      </c>
      <c r="F2675">
        <v>3041</v>
      </c>
    </row>
    <row r="2676" spans="1:6">
      <c r="A2676" t="str">
        <f>("800-0098")</f>
        <v>800-0098</v>
      </c>
      <c r="B2676" t="s">
        <v>5186</v>
      </c>
      <c r="C2676" t="s">
        <v>5531</v>
      </c>
      <c r="D2676" t="s">
        <v>5206</v>
      </c>
      <c r="E2676" t="s">
        <v>5563</v>
      </c>
      <c r="F2676">
        <v>93</v>
      </c>
    </row>
    <row r="2677" spans="1:6">
      <c r="A2677" t="str">
        <f>("800-0099")</f>
        <v>800-0099</v>
      </c>
      <c r="B2677" t="s">
        <v>5186</v>
      </c>
      <c r="C2677" t="s">
        <v>5562</v>
      </c>
      <c r="D2677" t="s">
        <v>5206</v>
      </c>
      <c r="E2677" t="s">
        <v>5561</v>
      </c>
      <c r="F2677">
        <v>75.67</v>
      </c>
    </row>
    <row r="2678" spans="1:6">
      <c r="A2678" t="str">
        <f>("800-0100")</f>
        <v>800-0100</v>
      </c>
      <c r="B2678" t="s">
        <v>5186</v>
      </c>
      <c r="C2678" t="s">
        <v>5559</v>
      </c>
      <c r="D2678" t="s">
        <v>5174</v>
      </c>
      <c r="E2678" t="s">
        <v>5560</v>
      </c>
      <c r="F2678">
        <v>697</v>
      </c>
    </row>
    <row r="2679" spans="1:6">
      <c r="A2679" t="str">
        <f>("800-0101")</f>
        <v>800-0101</v>
      </c>
      <c r="B2679" t="s">
        <v>5186</v>
      </c>
      <c r="C2679" t="s">
        <v>5559</v>
      </c>
      <c r="D2679" t="s">
        <v>5174</v>
      </c>
      <c r="E2679" t="s">
        <v>5558</v>
      </c>
      <c r="F2679">
        <v>697</v>
      </c>
    </row>
    <row r="2680" spans="1:6">
      <c r="A2680" t="str">
        <f>("800-0102")</f>
        <v>800-0102</v>
      </c>
      <c r="B2680" t="s">
        <v>5186</v>
      </c>
      <c r="C2680" t="s">
        <v>5498</v>
      </c>
      <c r="D2680" t="s">
        <v>5174</v>
      </c>
      <c r="E2680" t="s">
        <v>5557</v>
      </c>
      <c r="F2680">
        <v>305</v>
      </c>
    </row>
    <row r="2681" spans="1:6">
      <c r="A2681" t="str">
        <f>("800-0103")</f>
        <v>800-0103</v>
      </c>
      <c r="B2681" t="s">
        <v>5186</v>
      </c>
      <c r="C2681" t="s">
        <v>5493</v>
      </c>
      <c r="D2681" t="s">
        <v>5174</v>
      </c>
      <c r="E2681" t="s">
        <v>5556</v>
      </c>
      <c r="F2681">
        <v>694.33</v>
      </c>
    </row>
    <row r="2682" spans="1:6">
      <c r="A2682" t="str">
        <f>("800-0104")</f>
        <v>800-0104</v>
      </c>
      <c r="B2682" t="s">
        <v>5186</v>
      </c>
      <c r="C2682" t="s">
        <v>5493</v>
      </c>
      <c r="D2682" t="s">
        <v>5174</v>
      </c>
      <c r="E2682" t="s">
        <v>5556</v>
      </c>
      <c r="F2682">
        <v>629</v>
      </c>
    </row>
    <row r="2683" spans="1:6">
      <c r="A2683" t="str">
        <f>("800-0105")</f>
        <v>800-0105</v>
      </c>
      <c r="B2683" t="s">
        <v>5186</v>
      </c>
      <c r="C2683" t="s">
        <v>5493</v>
      </c>
      <c r="D2683" t="s">
        <v>5174</v>
      </c>
      <c r="E2683" t="s">
        <v>5555</v>
      </c>
      <c r="F2683">
        <v>629</v>
      </c>
    </row>
    <row r="2684" spans="1:6">
      <c r="A2684" t="str">
        <f>("800-0106")</f>
        <v>800-0106</v>
      </c>
      <c r="B2684" t="s">
        <v>5186</v>
      </c>
      <c r="C2684" t="s">
        <v>5493</v>
      </c>
      <c r="D2684" t="s">
        <v>5163</v>
      </c>
      <c r="E2684" t="s">
        <v>5554</v>
      </c>
      <c r="F2684">
        <v>474.33</v>
      </c>
    </row>
    <row r="2685" spans="1:6">
      <c r="A2685" t="str">
        <f>("800-0107")</f>
        <v>800-0107</v>
      </c>
      <c r="B2685" t="s">
        <v>5186</v>
      </c>
      <c r="C2685" t="s">
        <v>5493</v>
      </c>
      <c r="D2685" t="s">
        <v>5163</v>
      </c>
      <c r="E2685" t="s">
        <v>5554</v>
      </c>
      <c r="F2685">
        <v>493</v>
      </c>
    </row>
    <row r="2686" spans="1:6">
      <c r="A2686" t="str">
        <f>("800-0108")</f>
        <v>800-0108</v>
      </c>
      <c r="B2686" t="s">
        <v>5186</v>
      </c>
      <c r="C2686" t="s">
        <v>5498</v>
      </c>
      <c r="D2686" t="s">
        <v>5553</v>
      </c>
      <c r="E2686" t="s">
        <v>5552</v>
      </c>
      <c r="F2686">
        <v>322.33</v>
      </c>
    </row>
    <row r="2687" spans="1:6">
      <c r="A2687" t="str">
        <f>("800-0109")</f>
        <v>800-0109</v>
      </c>
      <c r="B2687" t="s">
        <v>5186</v>
      </c>
      <c r="C2687" t="s">
        <v>5493</v>
      </c>
      <c r="D2687" t="s">
        <v>5174</v>
      </c>
      <c r="E2687" t="s">
        <v>5507</v>
      </c>
      <c r="F2687">
        <v>995.67</v>
      </c>
    </row>
    <row r="2688" spans="1:6">
      <c r="A2688" t="str">
        <f>("800-0110")</f>
        <v>800-0110</v>
      </c>
      <c r="B2688" t="s">
        <v>5186</v>
      </c>
      <c r="C2688" t="s">
        <v>5549</v>
      </c>
      <c r="D2688" t="s">
        <v>5206</v>
      </c>
      <c r="E2688" t="s">
        <v>5551</v>
      </c>
      <c r="F2688">
        <v>87.67</v>
      </c>
    </row>
    <row r="2689" spans="1:6">
      <c r="A2689" t="str">
        <f>("800-0111")</f>
        <v>800-0111</v>
      </c>
      <c r="B2689" t="s">
        <v>5186</v>
      </c>
      <c r="C2689" t="s">
        <v>5549</v>
      </c>
      <c r="D2689" t="s">
        <v>5206</v>
      </c>
      <c r="E2689" t="s">
        <v>5550</v>
      </c>
      <c r="F2689">
        <v>169</v>
      </c>
    </row>
    <row r="2690" spans="1:6">
      <c r="A2690" t="str">
        <f>("800-0112")</f>
        <v>800-0112</v>
      </c>
      <c r="B2690" t="s">
        <v>5186</v>
      </c>
      <c r="C2690" t="s">
        <v>5549</v>
      </c>
      <c r="D2690" t="s">
        <v>5206</v>
      </c>
      <c r="E2690" t="s">
        <v>5548</v>
      </c>
      <c r="F2690">
        <v>87.67</v>
      </c>
    </row>
    <row r="2691" spans="1:6">
      <c r="A2691" t="str">
        <f>("800-0113")</f>
        <v>800-0113</v>
      </c>
      <c r="B2691" t="s">
        <v>5186</v>
      </c>
      <c r="C2691" t="s">
        <v>5503</v>
      </c>
      <c r="D2691" t="s">
        <v>5206</v>
      </c>
      <c r="E2691" t="s">
        <v>5502</v>
      </c>
      <c r="F2691">
        <v>87.67</v>
      </c>
    </row>
    <row r="2692" spans="1:6">
      <c r="A2692" t="str">
        <f>("800-0116")</f>
        <v>800-0116</v>
      </c>
      <c r="B2692" t="s">
        <v>5186</v>
      </c>
      <c r="C2692" t="s">
        <v>5493</v>
      </c>
      <c r="D2692" t="s">
        <v>5174</v>
      </c>
      <c r="E2692" t="s">
        <v>5547</v>
      </c>
      <c r="F2692">
        <v>774.33</v>
      </c>
    </row>
    <row r="2693" spans="1:6">
      <c r="A2693" t="str">
        <f>("800-0117")</f>
        <v>800-0117</v>
      </c>
      <c r="B2693" t="s">
        <v>5186</v>
      </c>
      <c r="C2693" t="s">
        <v>5546</v>
      </c>
      <c r="D2693" t="s">
        <v>5206</v>
      </c>
      <c r="E2693" t="s">
        <v>5545</v>
      </c>
      <c r="F2693">
        <v>458.33</v>
      </c>
    </row>
    <row r="2694" spans="1:6">
      <c r="A2694" t="str">
        <f>("800-0118")</f>
        <v>800-0118</v>
      </c>
      <c r="B2694" t="s">
        <v>5186</v>
      </c>
      <c r="C2694" t="s">
        <v>5544</v>
      </c>
      <c r="D2694" t="s">
        <v>5206</v>
      </c>
      <c r="E2694" t="s">
        <v>5543</v>
      </c>
      <c r="F2694">
        <v>57</v>
      </c>
    </row>
    <row r="2695" spans="1:6">
      <c r="A2695" t="str">
        <f>("800-0120")</f>
        <v>800-0120</v>
      </c>
      <c r="B2695" t="s">
        <v>5186</v>
      </c>
      <c r="C2695" t="s">
        <v>5531</v>
      </c>
      <c r="D2695" t="s">
        <v>5206</v>
      </c>
      <c r="E2695" t="s">
        <v>5542</v>
      </c>
      <c r="F2695">
        <v>93</v>
      </c>
    </row>
    <row r="2696" spans="1:6">
      <c r="A2696" t="str">
        <f>("800-0121")</f>
        <v>800-0121</v>
      </c>
      <c r="B2696" t="s">
        <v>5186</v>
      </c>
      <c r="C2696" t="s">
        <v>5536</v>
      </c>
      <c r="D2696" t="s">
        <v>5206</v>
      </c>
      <c r="E2696" t="s">
        <v>5535</v>
      </c>
      <c r="F2696">
        <v>246.33</v>
      </c>
    </row>
    <row r="2697" spans="1:6">
      <c r="A2697" t="str">
        <f>("800-0124")</f>
        <v>800-0124</v>
      </c>
      <c r="B2697" t="s">
        <v>5186</v>
      </c>
      <c r="C2697" t="s">
        <v>5539</v>
      </c>
      <c r="D2697" t="s">
        <v>5206</v>
      </c>
      <c r="E2697" t="s">
        <v>5541</v>
      </c>
      <c r="F2697">
        <v>193</v>
      </c>
    </row>
    <row r="2698" spans="1:6">
      <c r="A2698" t="str">
        <f>("800-0125")</f>
        <v>800-0125</v>
      </c>
      <c r="B2698" t="s">
        <v>5186</v>
      </c>
      <c r="C2698" t="s">
        <v>5539</v>
      </c>
      <c r="D2698" t="s">
        <v>5206</v>
      </c>
      <c r="E2698" t="s">
        <v>5540</v>
      </c>
      <c r="F2698">
        <v>193</v>
      </c>
    </row>
    <row r="2699" spans="1:6">
      <c r="A2699" t="str">
        <f>("800-0126")</f>
        <v>800-0126</v>
      </c>
      <c r="B2699" t="s">
        <v>5186</v>
      </c>
      <c r="C2699" t="s">
        <v>5539</v>
      </c>
      <c r="D2699" t="s">
        <v>5206</v>
      </c>
      <c r="E2699" t="s">
        <v>5538</v>
      </c>
      <c r="F2699">
        <v>193</v>
      </c>
    </row>
    <row r="2700" spans="1:6">
      <c r="A2700" t="str">
        <f>("800-0130")</f>
        <v>800-0130</v>
      </c>
      <c r="B2700" t="s">
        <v>5186</v>
      </c>
      <c r="C2700" t="s">
        <v>5534</v>
      </c>
      <c r="D2700" t="s">
        <v>5174</v>
      </c>
      <c r="E2700" t="s">
        <v>5537</v>
      </c>
      <c r="F2700">
        <v>662.33</v>
      </c>
    </row>
    <row r="2701" spans="1:6">
      <c r="A2701" t="str">
        <f>("800-0131")</f>
        <v>800-0131</v>
      </c>
      <c r="B2701" t="s">
        <v>5186</v>
      </c>
      <c r="C2701" t="s">
        <v>5536</v>
      </c>
      <c r="D2701" t="s">
        <v>5206</v>
      </c>
      <c r="E2701" t="s">
        <v>5535</v>
      </c>
      <c r="F2701">
        <v>246.33</v>
      </c>
    </row>
    <row r="2702" spans="1:6">
      <c r="A2702" t="str">
        <f>("800-0132")</f>
        <v>800-0132</v>
      </c>
      <c r="B2702" t="s">
        <v>5186</v>
      </c>
      <c r="C2702" t="s">
        <v>5534</v>
      </c>
      <c r="D2702" t="s">
        <v>5174</v>
      </c>
      <c r="E2702" t="s">
        <v>5533</v>
      </c>
      <c r="F2702">
        <v>697</v>
      </c>
    </row>
    <row r="2703" spans="1:6">
      <c r="A2703" t="str">
        <f>("800-0133")</f>
        <v>800-0133</v>
      </c>
      <c r="B2703" t="s">
        <v>5186</v>
      </c>
      <c r="C2703" t="s">
        <v>5517</v>
      </c>
      <c r="D2703" t="s">
        <v>5174</v>
      </c>
      <c r="E2703" t="s">
        <v>5516</v>
      </c>
      <c r="F2703">
        <v>697</v>
      </c>
    </row>
    <row r="2704" spans="1:6">
      <c r="A2704" t="str">
        <f>("800-0134")</f>
        <v>800-0134</v>
      </c>
      <c r="B2704" t="s">
        <v>5186</v>
      </c>
      <c r="C2704" t="s">
        <v>5531</v>
      </c>
      <c r="D2704" t="s">
        <v>5206</v>
      </c>
      <c r="E2704" t="s">
        <v>5532</v>
      </c>
      <c r="F2704">
        <v>93</v>
      </c>
    </row>
    <row r="2705" spans="1:6">
      <c r="A2705" t="str">
        <f>("800-0135")</f>
        <v>800-0135</v>
      </c>
      <c r="B2705" t="s">
        <v>5186</v>
      </c>
      <c r="C2705" t="s">
        <v>5531</v>
      </c>
      <c r="D2705" t="s">
        <v>5206</v>
      </c>
      <c r="E2705" t="s">
        <v>5530</v>
      </c>
      <c r="F2705">
        <v>93</v>
      </c>
    </row>
    <row r="2706" spans="1:6">
      <c r="A2706" t="str">
        <f>("800-0136")</f>
        <v>800-0136</v>
      </c>
      <c r="B2706" t="s">
        <v>5186</v>
      </c>
      <c r="C2706" t="s">
        <v>5528</v>
      </c>
      <c r="D2706" t="s">
        <v>5206</v>
      </c>
      <c r="E2706" t="s">
        <v>5529</v>
      </c>
      <c r="F2706">
        <v>93</v>
      </c>
    </row>
    <row r="2707" spans="1:6">
      <c r="A2707" t="str">
        <f>("800-0137")</f>
        <v>800-0137</v>
      </c>
      <c r="B2707" t="s">
        <v>5186</v>
      </c>
      <c r="C2707" t="s">
        <v>5528</v>
      </c>
      <c r="D2707" t="s">
        <v>5206</v>
      </c>
      <c r="E2707" t="s">
        <v>5527</v>
      </c>
      <c r="F2707">
        <v>93</v>
      </c>
    </row>
    <row r="2708" spans="1:6">
      <c r="A2708" t="str">
        <f>("800-0138")</f>
        <v>800-0138</v>
      </c>
      <c r="B2708" t="s">
        <v>5186</v>
      </c>
      <c r="C2708" t="s">
        <v>5525</v>
      </c>
      <c r="D2708" t="s">
        <v>5174</v>
      </c>
      <c r="E2708" t="s">
        <v>5520</v>
      </c>
      <c r="F2708">
        <v>866.33</v>
      </c>
    </row>
    <row r="2709" spans="1:6">
      <c r="A2709" t="str">
        <f>("800-0139")</f>
        <v>800-0139</v>
      </c>
      <c r="B2709" t="s">
        <v>5186</v>
      </c>
      <c r="C2709" t="s">
        <v>5525</v>
      </c>
      <c r="D2709" t="s">
        <v>5174</v>
      </c>
      <c r="E2709" t="s">
        <v>5526</v>
      </c>
      <c r="F2709">
        <v>577</v>
      </c>
    </row>
    <row r="2710" spans="1:6">
      <c r="A2710" t="str">
        <f>("800-0140")</f>
        <v>800-0140</v>
      </c>
      <c r="B2710" t="s">
        <v>5186</v>
      </c>
      <c r="C2710" t="s">
        <v>5525</v>
      </c>
      <c r="D2710" t="s">
        <v>5216</v>
      </c>
      <c r="E2710" t="s">
        <v>5518</v>
      </c>
      <c r="F2710">
        <v>526.32999999999993</v>
      </c>
    </row>
    <row r="2711" spans="1:6">
      <c r="A2711" t="str">
        <f>("800-0141")</f>
        <v>800-0141</v>
      </c>
      <c r="B2711" t="s">
        <v>5186</v>
      </c>
      <c r="C2711" t="s">
        <v>5524</v>
      </c>
      <c r="D2711" t="s">
        <v>5206</v>
      </c>
      <c r="E2711" t="s">
        <v>5523</v>
      </c>
      <c r="F2711">
        <v>57</v>
      </c>
    </row>
    <row r="2712" spans="1:6">
      <c r="A2712" t="str">
        <f>("800-0142")</f>
        <v>800-0142</v>
      </c>
      <c r="B2712" t="s">
        <v>5186</v>
      </c>
      <c r="C2712" t="s">
        <v>5522</v>
      </c>
      <c r="D2712" t="s">
        <v>5174</v>
      </c>
      <c r="E2712" t="s">
        <v>5521</v>
      </c>
      <c r="F2712">
        <v>577</v>
      </c>
    </row>
    <row r="2713" spans="1:6">
      <c r="A2713" t="str">
        <f>("800-0143")</f>
        <v>800-0143</v>
      </c>
      <c r="B2713" t="s">
        <v>5186</v>
      </c>
      <c r="C2713" t="s">
        <v>5519</v>
      </c>
      <c r="D2713" t="s">
        <v>5174</v>
      </c>
      <c r="E2713" t="s">
        <v>5520</v>
      </c>
      <c r="F2713">
        <v>3041</v>
      </c>
    </row>
    <row r="2714" spans="1:6">
      <c r="A2714" t="str">
        <f>("800-0144")</f>
        <v>800-0144</v>
      </c>
      <c r="B2714" t="s">
        <v>5186</v>
      </c>
      <c r="C2714" t="s">
        <v>5519</v>
      </c>
      <c r="D2714" t="s">
        <v>5216</v>
      </c>
      <c r="E2714" t="s">
        <v>5518</v>
      </c>
      <c r="F2714">
        <v>3041</v>
      </c>
    </row>
    <row r="2715" spans="1:6">
      <c r="A2715" t="str">
        <f>("800-0145")</f>
        <v>800-0145</v>
      </c>
      <c r="B2715" t="s">
        <v>5186</v>
      </c>
      <c r="C2715" t="s">
        <v>5517</v>
      </c>
      <c r="D2715" t="s">
        <v>5174</v>
      </c>
      <c r="E2715" t="s">
        <v>5516</v>
      </c>
      <c r="F2715">
        <v>697</v>
      </c>
    </row>
    <row r="2716" spans="1:6">
      <c r="A2716" t="str">
        <f>("800-0147")</f>
        <v>800-0147</v>
      </c>
      <c r="B2716" t="s">
        <v>5186</v>
      </c>
      <c r="C2716" t="s">
        <v>5503</v>
      </c>
      <c r="D2716" t="s">
        <v>5206</v>
      </c>
      <c r="E2716" t="s">
        <v>5502</v>
      </c>
      <c r="F2716">
        <v>87.67</v>
      </c>
    </row>
    <row r="2717" spans="1:6">
      <c r="A2717" t="str">
        <f>("800-0148")</f>
        <v>800-0148</v>
      </c>
      <c r="B2717" t="s">
        <v>5186</v>
      </c>
      <c r="C2717" t="s">
        <v>5515</v>
      </c>
      <c r="D2717" t="s">
        <v>5206</v>
      </c>
      <c r="E2717" t="s">
        <v>5514</v>
      </c>
      <c r="F2717">
        <v>87.67</v>
      </c>
    </row>
    <row r="2718" spans="1:6">
      <c r="A2718" t="str">
        <f>("800-0149")</f>
        <v>800-0149</v>
      </c>
      <c r="B2718" t="s">
        <v>5186</v>
      </c>
      <c r="C2718" t="s">
        <v>5503</v>
      </c>
      <c r="D2718" t="s">
        <v>5206</v>
      </c>
      <c r="E2718" t="s">
        <v>5513</v>
      </c>
      <c r="F2718">
        <v>130.32999999999998</v>
      </c>
    </row>
    <row r="2719" spans="1:6">
      <c r="A2719" t="str">
        <f>("800-0150")</f>
        <v>800-0150</v>
      </c>
      <c r="B2719" t="s">
        <v>5186</v>
      </c>
      <c r="C2719" t="s">
        <v>5512</v>
      </c>
      <c r="D2719" t="s">
        <v>5206</v>
      </c>
      <c r="E2719" t="s">
        <v>5511</v>
      </c>
      <c r="F2719">
        <v>125</v>
      </c>
    </row>
    <row r="2720" spans="1:6">
      <c r="A2720" t="str">
        <f>("800-0151")</f>
        <v>800-0151</v>
      </c>
      <c r="B2720" t="s">
        <v>5186</v>
      </c>
      <c r="C2720" t="s">
        <v>5510</v>
      </c>
      <c r="D2720" t="s">
        <v>5206</v>
      </c>
      <c r="E2720" t="s">
        <v>5509</v>
      </c>
      <c r="F2720">
        <v>301</v>
      </c>
    </row>
    <row r="2721" spans="1:6">
      <c r="A2721" t="str">
        <f>("800-0156")</f>
        <v>800-0156</v>
      </c>
      <c r="B2721" t="s">
        <v>5186</v>
      </c>
      <c r="C2721" t="s">
        <v>5508</v>
      </c>
      <c r="D2721" t="s">
        <v>5174</v>
      </c>
      <c r="E2721" t="s">
        <v>5507</v>
      </c>
      <c r="F2721">
        <v>87.67</v>
      </c>
    </row>
    <row r="2722" spans="1:6">
      <c r="A2722" t="str">
        <f>("800-0157")</f>
        <v>800-0157</v>
      </c>
      <c r="B2722" t="s">
        <v>5186</v>
      </c>
      <c r="C2722" t="s">
        <v>5503</v>
      </c>
      <c r="D2722" t="s">
        <v>5206</v>
      </c>
      <c r="E2722" t="s">
        <v>5506</v>
      </c>
      <c r="F2722">
        <v>87.67</v>
      </c>
    </row>
    <row r="2723" spans="1:6">
      <c r="A2723" t="str">
        <f>("800-0158")</f>
        <v>800-0158</v>
      </c>
      <c r="B2723" t="s">
        <v>5186</v>
      </c>
      <c r="C2723" t="s">
        <v>5501</v>
      </c>
      <c r="D2723" t="s">
        <v>5206</v>
      </c>
      <c r="E2723" t="s">
        <v>5505</v>
      </c>
      <c r="F2723">
        <v>114.33</v>
      </c>
    </row>
    <row r="2724" spans="1:6">
      <c r="A2724" t="str">
        <f>("800-0160")</f>
        <v>800-0160</v>
      </c>
      <c r="B2724" t="s">
        <v>5186</v>
      </c>
      <c r="C2724" t="s">
        <v>5501</v>
      </c>
      <c r="D2724" t="s">
        <v>5206</v>
      </c>
      <c r="E2724" t="s">
        <v>5504</v>
      </c>
      <c r="F2724">
        <v>93</v>
      </c>
    </row>
    <row r="2725" spans="1:6">
      <c r="A2725" t="str">
        <f>("800-0161")</f>
        <v>800-0161</v>
      </c>
      <c r="B2725" t="s">
        <v>5186</v>
      </c>
      <c r="C2725" t="s">
        <v>5503</v>
      </c>
      <c r="D2725" t="s">
        <v>5206</v>
      </c>
      <c r="E2725" t="s">
        <v>5502</v>
      </c>
      <c r="F2725">
        <v>93</v>
      </c>
    </row>
    <row r="2726" spans="1:6">
      <c r="A2726" t="str">
        <f>("800-0162")</f>
        <v>800-0162</v>
      </c>
      <c r="B2726" t="s">
        <v>5186</v>
      </c>
      <c r="C2726" t="s">
        <v>5501</v>
      </c>
      <c r="D2726" t="s">
        <v>5206</v>
      </c>
      <c r="E2726" t="s">
        <v>5500</v>
      </c>
      <c r="F2726">
        <v>114.33</v>
      </c>
    </row>
    <row r="2727" spans="1:6">
      <c r="A2727" t="str">
        <f>("800-0163")</f>
        <v>800-0163</v>
      </c>
      <c r="B2727" t="s">
        <v>5186</v>
      </c>
      <c r="C2727" t="s">
        <v>5493</v>
      </c>
      <c r="D2727" t="s">
        <v>5184</v>
      </c>
      <c r="E2727" t="s">
        <v>5499</v>
      </c>
      <c r="F2727">
        <v>983.67</v>
      </c>
    </row>
    <row r="2728" spans="1:6">
      <c r="A2728" t="str">
        <f>("800-0164")</f>
        <v>800-0164</v>
      </c>
      <c r="B2728" t="s">
        <v>5186</v>
      </c>
      <c r="C2728" t="s">
        <v>5498</v>
      </c>
      <c r="D2728" t="s">
        <v>5216</v>
      </c>
      <c r="E2728" t="s">
        <v>5497</v>
      </c>
      <c r="F2728">
        <v>305</v>
      </c>
    </row>
    <row r="2729" spans="1:6">
      <c r="A2729" t="str">
        <f>("800-0165")</f>
        <v>800-0165</v>
      </c>
      <c r="B2729" t="s">
        <v>5186</v>
      </c>
      <c r="C2729" t="s">
        <v>5496</v>
      </c>
      <c r="D2729" t="s">
        <v>5206</v>
      </c>
      <c r="E2729" t="s">
        <v>5495</v>
      </c>
      <c r="F2729">
        <v>31.67</v>
      </c>
    </row>
    <row r="2730" spans="1:6">
      <c r="A2730" t="str">
        <f>("800-0232")</f>
        <v>800-0232</v>
      </c>
      <c r="B2730" t="s">
        <v>5186</v>
      </c>
      <c r="C2730" t="s">
        <v>5494</v>
      </c>
      <c r="D2730" t="s">
        <v>5206</v>
      </c>
      <c r="F2730">
        <v>809</v>
      </c>
    </row>
    <row r="2731" spans="1:6">
      <c r="A2731" t="str">
        <f>("800-0233")</f>
        <v>800-0233</v>
      </c>
      <c r="B2731" t="s">
        <v>5186</v>
      </c>
      <c r="C2731" t="s">
        <v>5493</v>
      </c>
      <c r="D2731" t="s">
        <v>5174</v>
      </c>
      <c r="E2731" t="s">
        <v>5492</v>
      </c>
      <c r="F2731">
        <v>934.33</v>
      </c>
    </row>
    <row r="2732" spans="1:6">
      <c r="A2732" t="str">
        <f>("800-0235")</f>
        <v>800-0235</v>
      </c>
      <c r="B2732" t="s">
        <v>5186</v>
      </c>
      <c r="C2732" t="s">
        <v>5491</v>
      </c>
      <c r="D2732" t="s">
        <v>5206</v>
      </c>
      <c r="E2732" t="s">
        <v>5491</v>
      </c>
      <c r="F2732">
        <v>697</v>
      </c>
    </row>
    <row r="2733" spans="1:6">
      <c r="A2733" t="str">
        <f>("10-21005")</f>
        <v>10-21005</v>
      </c>
      <c r="B2733" t="s">
        <v>5152</v>
      </c>
      <c r="C2733" t="s">
        <v>5490</v>
      </c>
      <c r="D2733" t="s">
        <v>5206</v>
      </c>
      <c r="E2733" t="s">
        <v>5489</v>
      </c>
      <c r="F2733">
        <v>42.33</v>
      </c>
    </row>
    <row r="2734" spans="1:6">
      <c r="A2734" t="str">
        <f>("10-21015")</f>
        <v>10-21015</v>
      </c>
      <c r="B2734" t="s">
        <v>5152</v>
      </c>
      <c r="C2734" t="s">
        <v>5488</v>
      </c>
      <c r="D2734" t="s">
        <v>5206</v>
      </c>
      <c r="E2734" t="s">
        <v>5487</v>
      </c>
      <c r="F2734">
        <v>42.33</v>
      </c>
    </row>
    <row r="2735" spans="1:6">
      <c r="A2735" t="str">
        <f>("10-21025")</f>
        <v>10-21025</v>
      </c>
      <c r="B2735" t="s">
        <v>5152</v>
      </c>
      <c r="C2735" t="s">
        <v>5486</v>
      </c>
      <c r="D2735" t="s">
        <v>5206</v>
      </c>
      <c r="E2735" t="s">
        <v>5485</v>
      </c>
      <c r="F2735">
        <v>43.67</v>
      </c>
    </row>
    <row r="2736" spans="1:6">
      <c r="A2736" t="str">
        <f>("10-21035")</f>
        <v>10-21035</v>
      </c>
      <c r="B2736" t="s">
        <v>5152</v>
      </c>
      <c r="C2736" t="s">
        <v>5484</v>
      </c>
      <c r="D2736" t="s">
        <v>5206</v>
      </c>
      <c r="E2736" t="s">
        <v>5483</v>
      </c>
      <c r="F2736">
        <v>45</v>
      </c>
    </row>
    <row r="2737" spans="1:6">
      <c r="A2737" t="str">
        <f>("10-21045")</f>
        <v>10-21045</v>
      </c>
      <c r="B2737" t="s">
        <v>5152</v>
      </c>
      <c r="C2737" t="s">
        <v>5482</v>
      </c>
      <c r="D2737" t="s">
        <v>5206</v>
      </c>
      <c r="E2737" t="s">
        <v>5482</v>
      </c>
      <c r="F2737">
        <v>58.33</v>
      </c>
    </row>
    <row r="2738" spans="1:6">
      <c r="A2738" t="str">
        <f>("10-21055")</f>
        <v>10-21055</v>
      </c>
      <c r="B2738" t="s">
        <v>5152</v>
      </c>
      <c r="C2738" t="s">
        <v>5481</v>
      </c>
      <c r="D2738" t="s">
        <v>5206</v>
      </c>
      <c r="E2738" t="s">
        <v>5481</v>
      </c>
      <c r="F2738">
        <v>71.67</v>
      </c>
    </row>
    <row r="2739" spans="1:6">
      <c r="A2739" t="str">
        <f>("10-21065")</f>
        <v>10-21065</v>
      </c>
      <c r="B2739" t="s">
        <v>5152</v>
      </c>
      <c r="C2739" t="s">
        <v>5480</v>
      </c>
      <c r="D2739" t="s">
        <v>5206</v>
      </c>
      <c r="E2739" t="s">
        <v>5480</v>
      </c>
      <c r="F2739">
        <v>65</v>
      </c>
    </row>
    <row r="2740" spans="1:6">
      <c r="A2740" t="str">
        <f>("10-21075")</f>
        <v>10-21075</v>
      </c>
      <c r="B2740" t="s">
        <v>5152</v>
      </c>
      <c r="C2740" t="s">
        <v>5479</v>
      </c>
      <c r="D2740" t="s">
        <v>5206</v>
      </c>
      <c r="E2740" t="s">
        <v>5479</v>
      </c>
      <c r="F2740">
        <v>75.67</v>
      </c>
    </row>
    <row r="2741" spans="1:6">
      <c r="A2741" t="str">
        <f>("10-21085")</f>
        <v>10-21085</v>
      </c>
      <c r="B2741" t="s">
        <v>5152</v>
      </c>
      <c r="C2741" t="s">
        <v>5478</v>
      </c>
      <c r="D2741" t="s">
        <v>5206</v>
      </c>
      <c r="E2741" t="s">
        <v>5478</v>
      </c>
      <c r="F2741">
        <v>53</v>
      </c>
    </row>
    <row r="2742" spans="1:6">
      <c r="A2742" t="str">
        <f>("10-21095")</f>
        <v>10-21095</v>
      </c>
      <c r="B2742" t="s">
        <v>5152</v>
      </c>
      <c r="C2742" t="s">
        <v>5477</v>
      </c>
      <c r="D2742" t="s">
        <v>5206</v>
      </c>
      <c r="E2742" t="s">
        <v>5476</v>
      </c>
      <c r="F2742">
        <v>69</v>
      </c>
    </row>
    <row r="2743" spans="1:6">
      <c r="A2743" t="str">
        <f>("10-21105")</f>
        <v>10-21105</v>
      </c>
      <c r="B2743" t="s">
        <v>5152</v>
      </c>
      <c r="C2743" t="s">
        <v>5475</v>
      </c>
      <c r="D2743" t="s">
        <v>5206</v>
      </c>
      <c r="E2743" t="s">
        <v>5475</v>
      </c>
      <c r="F2743">
        <v>86.33</v>
      </c>
    </row>
    <row r="2744" spans="1:6">
      <c r="A2744" t="str">
        <f>("15-00005")</f>
        <v>15-00005</v>
      </c>
      <c r="B2744" t="s">
        <v>5152</v>
      </c>
      <c r="C2744" t="s">
        <v>5459</v>
      </c>
      <c r="D2744" t="s">
        <v>5150</v>
      </c>
      <c r="E2744" t="s">
        <v>5474</v>
      </c>
      <c r="F2744">
        <v>1707</v>
      </c>
    </row>
    <row r="2745" spans="1:6">
      <c r="A2745" t="str">
        <f>("15-00005A")</f>
        <v>15-00005A</v>
      </c>
      <c r="B2745" t="s">
        <v>5152</v>
      </c>
      <c r="C2745" t="s">
        <v>5473</v>
      </c>
      <c r="D2745" t="s">
        <v>5150</v>
      </c>
      <c r="E2745" t="s">
        <v>5471</v>
      </c>
      <c r="F2745">
        <v>595</v>
      </c>
    </row>
    <row r="2746" spans="1:6">
      <c r="A2746" t="str">
        <f>("15-00005B")</f>
        <v>15-00005B</v>
      </c>
      <c r="B2746" t="s">
        <v>5152</v>
      </c>
      <c r="C2746" t="s">
        <v>5472</v>
      </c>
      <c r="D2746" t="s">
        <v>5150</v>
      </c>
      <c r="E2746" t="s">
        <v>5471</v>
      </c>
      <c r="F2746">
        <v>1064.5</v>
      </c>
    </row>
    <row r="2747" spans="1:6">
      <c r="A2747" t="str">
        <f>("15-00015")</f>
        <v>15-00015</v>
      </c>
      <c r="B2747" t="s">
        <v>5152</v>
      </c>
      <c r="C2747" t="s">
        <v>5459</v>
      </c>
      <c r="D2747" t="s">
        <v>5174</v>
      </c>
      <c r="E2747" t="s">
        <v>5233</v>
      </c>
      <c r="F2747">
        <v>1707</v>
      </c>
    </row>
    <row r="2748" spans="1:6">
      <c r="A2748" t="str">
        <f>("15-00015A")</f>
        <v>15-00015A</v>
      </c>
      <c r="B2748" t="s">
        <v>5152</v>
      </c>
      <c r="C2748" t="s">
        <v>5470</v>
      </c>
      <c r="D2748" t="s">
        <v>5174</v>
      </c>
      <c r="E2748" t="s">
        <v>5468</v>
      </c>
      <c r="F2748">
        <v>595</v>
      </c>
    </row>
    <row r="2749" spans="1:6">
      <c r="A2749" t="str">
        <f>("15-00015B")</f>
        <v>15-00015B</v>
      </c>
      <c r="B2749" t="s">
        <v>5152</v>
      </c>
      <c r="C2749" t="s">
        <v>5469</v>
      </c>
      <c r="D2749" t="s">
        <v>5174</v>
      </c>
      <c r="E2749" t="s">
        <v>5468</v>
      </c>
      <c r="F2749">
        <v>1187</v>
      </c>
    </row>
    <row r="2750" spans="1:6">
      <c r="A2750" t="str">
        <f>("15-00025")</f>
        <v>15-00025</v>
      </c>
      <c r="B2750" t="s">
        <v>5152</v>
      </c>
      <c r="C2750" t="s">
        <v>5459</v>
      </c>
      <c r="D2750" t="s">
        <v>5190</v>
      </c>
      <c r="E2750" t="s">
        <v>5467</v>
      </c>
      <c r="F2750">
        <v>2167</v>
      </c>
    </row>
    <row r="2751" spans="1:6">
      <c r="A2751" t="str">
        <f>("15-00035")</f>
        <v>15-00035</v>
      </c>
      <c r="B2751" t="s">
        <v>5152</v>
      </c>
      <c r="C2751" t="s">
        <v>5466</v>
      </c>
      <c r="D2751" t="s">
        <v>5190</v>
      </c>
      <c r="E2751" t="s">
        <v>5465</v>
      </c>
      <c r="F2751">
        <v>1507.33</v>
      </c>
    </row>
    <row r="2752" spans="1:6">
      <c r="A2752" t="str">
        <f>("15-00045")</f>
        <v>15-00045</v>
      </c>
      <c r="B2752" t="s">
        <v>5152</v>
      </c>
      <c r="C2752" t="s">
        <v>5459</v>
      </c>
      <c r="D2752" t="s">
        <v>5150</v>
      </c>
      <c r="E2752" t="s">
        <v>5153</v>
      </c>
      <c r="F2752">
        <v>1582</v>
      </c>
    </row>
    <row r="2753" spans="1:6">
      <c r="A2753" t="str">
        <f>("15-00055")</f>
        <v>15-00055</v>
      </c>
      <c r="B2753" t="s">
        <v>5152</v>
      </c>
      <c r="C2753" t="s">
        <v>5459</v>
      </c>
      <c r="D2753" t="s">
        <v>5174</v>
      </c>
      <c r="E2753" t="s">
        <v>5235</v>
      </c>
      <c r="F2753">
        <v>1279.17</v>
      </c>
    </row>
    <row r="2754" spans="1:6">
      <c r="A2754" t="str">
        <f>("15-00075")</f>
        <v>15-00075</v>
      </c>
      <c r="B2754" t="s">
        <v>5152</v>
      </c>
      <c r="C2754" t="s">
        <v>5459</v>
      </c>
      <c r="D2754" t="s">
        <v>5160</v>
      </c>
      <c r="E2754" t="s">
        <v>5464</v>
      </c>
      <c r="F2754">
        <v>1279.17</v>
      </c>
    </row>
    <row r="2755" spans="1:6">
      <c r="A2755" t="str">
        <f>("15-00085")</f>
        <v>15-00085</v>
      </c>
      <c r="B2755" t="s">
        <v>5152</v>
      </c>
      <c r="C2755" t="s">
        <v>5459</v>
      </c>
      <c r="D2755" t="s">
        <v>5190</v>
      </c>
      <c r="E2755" t="s">
        <v>5463</v>
      </c>
      <c r="F2755">
        <v>320.5</v>
      </c>
    </row>
    <row r="2756" spans="1:6">
      <c r="A2756" t="str">
        <f>("15-00095")</f>
        <v>15-00095</v>
      </c>
      <c r="B2756" t="s">
        <v>5152</v>
      </c>
      <c r="C2756" t="s">
        <v>5462</v>
      </c>
      <c r="D2756" t="s">
        <v>5206</v>
      </c>
      <c r="E2756" t="s">
        <v>5461</v>
      </c>
      <c r="F2756">
        <v>55.67</v>
      </c>
    </row>
    <row r="2757" spans="1:6">
      <c r="A2757" t="str">
        <f>("15-00135")</f>
        <v>15-00135</v>
      </c>
      <c r="B2757" t="s">
        <v>5152</v>
      </c>
      <c r="C2757" t="s">
        <v>5459</v>
      </c>
      <c r="D2757" t="s">
        <v>5150</v>
      </c>
      <c r="E2757" t="s">
        <v>5253</v>
      </c>
      <c r="F2757">
        <v>1583.33</v>
      </c>
    </row>
    <row r="2758" spans="1:6">
      <c r="A2758" t="str">
        <f>("15-00145")</f>
        <v>15-00145</v>
      </c>
      <c r="B2758" t="s">
        <v>5152</v>
      </c>
      <c r="C2758" t="s">
        <v>5459</v>
      </c>
      <c r="D2758" t="s">
        <v>5206</v>
      </c>
      <c r="E2758" t="s">
        <v>5460</v>
      </c>
      <c r="F2758">
        <v>1047.33</v>
      </c>
    </row>
    <row r="2759" spans="1:6">
      <c r="A2759" t="str">
        <f>("15-00155")</f>
        <v>15-00155</v>
      </c>
      <c r="B2759" t="s">
        <v>5152</v>
      </c>
      <c r="C2759" t="s">
        <v>5459</v>
      </c>
      <c r="D2759" t="s">
        <v>5206</v>
      </c>
      <c r="E2759" t="s">
        <v>5458</v>
      </c>
      <c r="F2759">
        <v>1123.33</v>
      </c>
    </row>
    <row r="2760" spans="1:6">
      <c r="A2760" t="str">
        <f>("19-10285")</f>
        <v>19-10285</v>
      </c>
      <c r="B2760" t="s">
        <v>5152</v>
      </c>
      <c r="C2760" t="s">
        <v>5416</v>
      </c>
      <c r="D2760" t="s">
        <v>5150</v>
      </c>
      <c r="E2760" t="s">
        <v>5457</v>
      </c>
      <c r="F2760">
        <v>475.33</v>
      </c>
    </row>
    <row r="2761" spans="1:6">
      <c r="A2761" t="str">
        <f>("19-11005")</f>
        <v>19-11005</v>
      </c>
      <c r="B2761" t="s">
        <v>5152</v>
      </c>
      <c r="C2761" t="s">
        <v>5416</v>
      </c>
      <c r="D2761" t="s">
        <v>5174</v>
      </c>
      <c r="E2761" t="s">
        <v>5414</v>
      </c>
      <c r="F2761">
        <v>504.67</v>
      </c>
    </row>
    <row r="2762" spans="1:6">
      <c r="A2762" t="str">
        <f>("19-11065")</f>
        <v>19-11065</v>
      </c>
      <c r="B2762" t="s">
        <v>5152</v>
      </c>
      <c r="C2762" t="s">
        <v>5416</v>
      </c>
      <c r="D2762" t="s">
        <v>5150</v>
      </c>
      <c r="E2762" t="s">
        <v>5413</v>
      </c>
      <c r="F2762">
        <v>475.33</v>
      </c>
    </row>
    <row r="2763" spans="1:6">
      <c r="A2763" t="str">
        <f>("19-11085")</f>
        <v>19-11085</v>
      </c>
      <c r="B2763" t="s">
        <v>5152</v>
      </c>
      <c r="C2763" t="s">
        <v>5416</v>
      </c>
      <c r="D2763" t="s">
        <v>5174</v>
      </c>
      <c r="E2763" t="s">
        <v>5332</v>
      </c>
      <c r="F2763">
        <v>490</v>
      </c>
    </row>
    <row r="2764" spans="1:6">
      <c r="A2764" t="str">
        <f>("19-11086")</f>
        <v>19-11086</v>
      </c>
      <c r="B2764" t="s">
        <v>5152</v>
      </c>
      <c r="C2764" t="s">
        <v>5447</v>
      </c>
      <c r="D2764" t="s">
        <v>5206</v>
      </c>
      <c r="E2764" t="s">
        <v>5456</v>
      </c>
      <c r="F2764">
        <v>35.67</v>
      </c>
    </row>
    <row r="2765" spans="1:6">
      <c r="A2765" t="str">
        <f>("19-11087")</f>
        <v>19-11087</v>
      </c>
      <c r="B2765" t="s">
        <v>5152</v>
      </c>
      <c r="C2765" t="s">
        <v>5447</v>
      </c>
      <c r="D2765" t="s">
        <v>5158</v>
      </c>
      <c r="E2765" t="s">
        <v>5455</v>
      </c>
      <c r="F2765">
        <v>35.67</v>
      </c>
    </row>
    <row r="2766" spans="1:6">
      <c r="A2766" t="str">
        <f>("19-11088")</f>
        <v>19-11088</v>
      </c>
      <c r="B2766" t="s">
        <v>5152</v>
      </c>
      <c r="C2766" t="s">
        <v>5447</v>
      </c>
      <c r="D2766" t="s">
        <v>5150</v>
      </c>
      <c r="E2766" t="s">
        <v>5454</v>
      </c>
      <c r="F2766">
        <v>35.67</v>
      </c>
    </row>
    <row r="2767" spans="1:6">
      <c r="A2767" t="str">
        <f>("19-11089")</f>
        <v>19-11089</v>
      </c>
      <c r="B2767" t="s">
        <v>5152</v>
      </c>
      <c r="C2767" t="s">
        <v>5447</v>
      </c>
      <c r="D2767" t="s">
        <v>5150</v>
      </c>
      <c r="E2767" t="s">
        <v>5453</v>
      </c>
      <c r="F2767">
        <v>35.67</v>
      </c>
    </row>
    <row r="2768" spans="1:6">
      <c r="A2768" t="str">
        <f>("19-11090")</f>
        <v>19-11090</v>
      </c>
      <c r="B2768" t="s">
        <v>5152</v>
      </c>
      <c r="C2768" t="s">
        <v>5447</v>
      </c>
      <c r="D2768" t="s">
        <v>5150</v>
      </c>
      <c r="E2768" t="s">
        <v>5452</v>
      </c>
      <c r="F2768">
        <v>37</v>
      </c>
    </row>
    <row r="2769" spans="1:6">
      <c r="A2769" t="str">
        <f>("19-11091")</f>
        <v>19-11091</v>
      </c>
      <c r="B2769" t="s">
        <v>5152</v>
      </c>
      <c r="C2769" t="s">
        <v>5447</v>
      </c>
      <c r="D2769" t="s">
        <v>5160</v>
      </c>
      <c r="E2769" t="s">
        <v>5451</v>
      </c>
      <c r="F2769">
        <v>35.67</v>
      </c>
    </row>
    <row r="2770" spans="1:6">
      <c r="A2770" t="str">
        <f>("19-11092")</f>
        <v>19-11092</v>
      </c>
      <c r="B2770" t="s">
        <v>5152</v>
      </c>
      <c r="C2770" t="s">
        <v>5447</v>
      </c>
      <c r="D2770" t="s">
        <v>5160</v>
      </c>
      <c r="E2770" t="s">
        <v>5450</v>
      </c>
      <c r="F2770">
        <v>35.67</v>
      </c>
    </row>
    <row r="2771" spans="1:6">
      <c r="A2771" t="str">
        <f>("19-11093")</f>
        <v>19-11093</v>
      </c>
      <c r="B2771" t="s">
        <v>5152</v>
      </c>
      <c r="C2771" t="s">
        <v>5447</v>
      </c>
      <c r="D2771" t="s">
        <v>5160</v>
      </c>
      <c r="E2771" t="s">
        <v>5449</v>
      </c>
      <c r="F2771">
        <v>37</v>
      </c>
    </row>
    <row r="2772" spans="1:6">
      <c r="A2772" t="str">
        <f>("19-11094")</f>
        <v>19-11094</v>
      </c>
      <c r="B2772" t="s">
        <v>5152</v>
      </c>
      <c r="C2772" t="s">
        <v>5447</v>
      </c>
      <c r="D2772" t="s">
        <v>5160</v>
      </c>
      <c r="E2772" t="s">
        <v>5448</v>
      </c>
      <c r="F2772">
        <v>35.67</v>
      </c>
    </row>
    <row r="2773" spans="1:6">
      <c r="A2773" t="str">
        <f>("19-11095")</f>
        <v>19-11095</v>
      </c>
      <c r="B2773" t="s">
        <v>5152</v>
      </c>
      <c r="C2773" t="s">
        <v>5447</v>
      </c>
      <c r="D2773" t="s">
        <v>5160</v>
      </c>
      <c r="E2773" t="s">
        <v>5446</v>
      </c>
      <c r="F2773">
        <v>37</v>
      </c>
    </row>
    <row r="2774" spans="1:6">
      <c r="A2774" t="str">
        <f>("19-11096")</f>
        <v>19-11096</v>
      </c>
      <c r="B2774" t="s">
        <v>5152</v>
      </c>
      <c r="C2774" t="s">
        <v>5445</v>
      </c>
      <c r="D2774" t="s">
        <v>5206</v>
      </c>
      <c r="E2774" t="s">
        <v>5444</v>
      </c>
      <c r="F2774">
        <v>29</v>
      </c>
    </row>
    <row r="2775" spans="1:6">
      <c r="A2775" t="str">
        <f>("19-11097")</f>
        <v>19-11097</v>
      </c>
      <c r="B2775" t="s">
        <v>5152</v>
      </c>
      <c r="C2775" t="s">
        <v>5434</v>
      </c>
      <c r="D2775" t="s">
        <v>5206</v>
      </c>
      <c r="E2775" t="s">
        <v>5443</v>
      </c>
      <c r="F2775">
        <v>30.33</v>
      </c>
    </row>
    <row r="2776" spans="1:6">
      <c r="A2776" t="str">
        <f>("19-11098")</f>
        <v>19-11098</v>
      </c>
      <c r="B2776" t="s">
        <v>5152</v>
      </c>
      <c r="C2776" t="s">
        <v>5434</v>
      </c>
      <c r="D2776" t="s">
        <v>5206</v>
      </c>
      <c r="E2776" t="s">
        <v>5442</v>
      </c>
      <c r="F2776">
        <v>53</v>
      </c>
    </row>
    <row r="2777" spans="1:6">
      <c r="A2777" t="str">
        <f>("19-11099")</f>
        <v>19-11099</v>
      </c>
      <c r="B2777" t="s">
        <v>5152</v>
      </c>
      <c r="C2777" t="s">
        <v>5440</v>
      </c>
      <c r="D2777" t="s">
        <v>5174</v>
      </c>
      <c r="E2777" t="s">
        <v>5441</v>
      </c>
      <c r="F2777">
        <v>57</v>
      </c>
    </row>
    <row r="2778" spans="1:6">
      <c r="A2778" t="str">
        <f>("19-11101")</f>
        <v>19-11101</v>
      </c>
      <c r="B2778" t="s">
        <v>5152</v>
      </c>
      <c r="C2778" t="s">
        <v>5440</v>
      </c>
      <c r="D2778" t="s">
        <v>5158</v>
      </c>
      <c r="E2778" t="s">
        <v>5439</v>
      </c>
      <c r="F2778">
        <v>51.67</v>
      </c>
    </row>
    <row r="2779" spans="1:6">
      <c r="A2779" t="str">
        <f>("19-11102")</f>
        <v>19-11102</v>
      </c>
      <c r="B2779" t="s">
        <v>5152</v>
      </c>
      <c r="C2779" t="s">
        <v>5434</v>
      </c>
      <c r="D2779" t="s">
        <v>5206</v>
      </c>
      <c r="E2779" t="s">
        <v>5438</v>
      </c>
      <c r="F2779">
        <v>37</v>
      </c>
    </row>
    <row r="2780" spans="1:6">
      <c r="A2780" t="str">
        <f>("19-11103")</f>
        <v>19-11103</v>
      </c>
      <c r="B2780" t="s">
        <v>5152</v>
      </c>
      <c r="C2780" t="s">
        <v>5434</v>
      </c>
      <c r="D2780" t="s">
        <v>5206</v>
      </c>
      <c r="E2780" t="s">
        <v>5437</v>
      </c>
      <c r="F2780">
        <v>33</v>
      </c>
    </row>
    <row r="2781" spans="1:6">
      <c r="A2781" t="str">
        <f>("19-11104")</f>
        <v>19-11104</v>
      </c>
      <c r="B2781" t="s">
        <v>5152</v>
      </c>
      <c r="C2781" t="s">
        <v>5436</v>
      </c>
      <c r="D2781" t="s">
        <v>5206</v>
      </c>
      <c r="E2781" t="s">
        <v>5435</v>
      </c>
      <c r="F2781">
        <v>58.33</v>
      </c>
    </row>
    <row r="2782" spans="1:6">
      <c r="A2782" t="str">
        <f>("19-11105")</f>
        <v>19-11105</v>
      </c>
      <c r="B2782" t="s">
        <v>5152</v>
      </c>
      <c r="C2782" t="s">
        <v>5434</v>
      </c>
      <c r="D2782" t="s">
        <v>5174</v>
      </c>
      <c r="E2782" t="s">
        <v>5433</v>
      </c>
      <c r="F2782">
        <v>69</v>
      </c>
    </row>
    <row r="2783" spans="1:6">
      <c r="A2783" t="str">
        <f>("19-11165")</f>
        <v>19-11165</v>
      </c>
      <c r="B2783" t="s">
        <v>5152</v>
      </c>
      <c r="C2783" t="s">
        <v>5416</v>
      </c>
      <c r="D2783" t="s">
        <v>5158</v>
      </c>
      <c r="E2783" t="s">
        <v>5412</v>
      </c>
      <c r="F2783">
        <v>750.32999999999993</v>
      </c>
    </row>
    <row r="2784" spans="1:6">
      <c r="A2784" t="str">
        <f>("19-12065")</f>
        <v>19-12065</v>
      </c>
      <c r="B2784" t="s">
        <v>5152</v>
      </c>
      <c r="C2784" t="s">
        <v>5416</v>
      </c>
      <c r="D2784" t="s">
        <v>5158</v>
      </c>
      <c r="E2784" t="s">
        <v>5391</v>
      </c>
      <c r="F2784">
        <v>750.32999999999993</v>
      </c>
    </row>
    <row r="2785" spans="1:6">
      <c r="A2785" t="str">
        <f>("19-12075")</f>
        <v>19-12075</v>
      </c>
      <c r="B2785" t="s">
        <v>5152</v>
      </c>
      <c r="C2785" t="s">
        <v>5416</v>
      </c>
      <c r="D2785" t="s">
        <v>5158</v>
      </c>
      <c r="E2785" t="s">
        <v>5390</v>
      </c>
      <c r="F2785">
        <v>765</v>
      </c>
    </row>
    <row r="2786" spans="1:6">
      <c r="A2786" t="str">
        <f>("19-12785")</f>
        <v>19-12785</v>
      </c>
      <c r="B2786" t="s">
        <v>5152</v>
      </c>
      <c r="C2786" t="s">
        <v>5416</v>
      </c>
      <c r="D2786" t="s">
        <v>5150</v>
      </c>
      <c r="E2786" t="s">
        <v>5432</v>
      </c>
      <c r="F2786">
        <v>475.33</v>
      </c>
    </row>
    <row r="2787" spans="1:6">
      <c r="A2787" t="str">
        <f>("19-12815")</f>
        <v>19-12815</v>
      </c>
      <c r="B2787" t="s">
        <v>5152</v>
      </c>
      <c r="C2787" t="s">
        <v>5416</v>
      </c>
      <c r="D2787" t="s">
        <v>5150</v>
      </c>
      <c r="E2787" t="s">
        <v>5388</v>
      </c>
      <c r="F2787">
        <v>490</v>
      </c>
    </row>
    <row r="2788" spans="1:6">
      <c r="A2788" t="str">
        <f>("19-13365")</f>
        <v>19-13365</v>
      </c>
      <c r="B2788" t="s">
        <v>5152</v>
      </c>
      <c r="C2788" t="s">
        <v>5416</v>
      </c>
      <c r="D2788" t="s">
        <v>5163</v>
      </c>
      <c r="E2788" t="s">
        <v>5431</v>
      </c>
      <c r="F2788">
        <v>765</v>
      </c>
    </row>
    <row r="2789" spans="1:6">
      <c r="A2789" t="str">
        <f>("19-13995")</f>
        <v>19-13995</v>
      </c>
      <c r="B2789" t="s">
        <v>5152</v>
      </c>
      <c r="C2789" t="s">
        <v>5416</v>
      </c>
      <c r="D2789" t="s">
        <v>5163</v>
      </c>
      <c r="E2789" t="s">
        <v>5430</v>
      </c>
      <c r="F2789">
        <v>504.67</v>
      </c>
    </row>
    <row r="2790" spans="1:6">
      <c r="A2790" t="str">
        <f>("19-14025")</f>
        <v>19-14025</v>
      </c>
      <c r="B2790" t="s">
        <v>5152</v>
      </c>
      <c r="C2790" t="s">
        <v>5416</v>
      </c>
      <c r="D2790" t="s">
        <v>5174</v>
      </c>
      <c r="E2790" t="s">
        <v>5330</v>
      </c>
      <c r="F2790">
        <v>475.33</v>
      </c>
    </row>
    <row r="2791" spans="1:6">
      <c r="A2791" t="str">
        <f>("19-14075")</f>
        <v>19-14075</v>
      </c>
      <c r="B2791" t="s">
        <v>5152</v>
      </c>
      <c r="C2791" t="s">
        <v>5416</v>
      </c>
      <c r="D2791" t="s">
        <v>5158</v>
      </c>
      <c r="E2791" t="s">
        <v>5429</v>
      </c>
      <c r="F2791">
        <v>475.33</v>
      </c>
    </row>
    <row r="2792" spans="1:6">
      <c r="A2792" t="str">
        <f>("19-14085")</f>
        <v>19-14085</v>
      </c>
      <c r="B2792" t="s">
        <v>5152</v>
      </c>
      <c r="C2792" t="s">
        <v>5416</v>
      </c>
      <c r="D2792" t="s">
        <v>5158</v>
      </c>
      <c r="E2792" t="s">
        <v>5428</v>
      </c>
      <c r="F2792">
        <v>765</v>
      </c>
    </row>
    <row r="2793" spans="1:6">
      <c r="A2793" t="str">
        <f>("19-14095")</f>
        <v>19-14095</v>
      </c>
      <c r="B2793" t="s">
        <v>5152</v>
      </c>
      <c r="C2793" t="s">
        <v>5416</v>
      </c>
      <c r="D2793" t="s">
        <v>5150</v>
      </c>
      <c r="E2793" t="s">
        <v>5427</v>
      </c>
      <c r="F2793">
        <v>504.67</v>
      </c>
    </row>
    <row r="2794" spans="1:6">
      <c r="A2794" t="str">
        <f>("19-14165")</f>
        <v>19-14165</v>
      </c>
      <c r="B2794" t="s">
        <v>5152</v>
      </c>
      <c r="C2794" t="s">
        <v>5416</v>
      </c>
      <c r="D2794" t="s">
        <v>5160</v>
      </c>
      <c r="E2794" t="s">
        <v>5326</v>
      </c>
      <c r="F2794">
        <v>475.33</v>
      </c>
    </row>
    <row r="2795" spans="1:6">
      <c r="A2795" t="str">
        <f>("19-14185")</f>
        <v>19-14185</v>
      </c>
      <c r="B2795" t="s">
        <v>5152</v>
      </c>
      <c r="C2795" t="s">
        <v>5416</v>
      </c>
      <c r="D2795" t="s">
        <v>5150</v>
      </c>
      <c r="E2795" t="s">
        <v>5381</v>
      </c>
      <c r="F2795">
        <v>490</v>
      </c>
    </row>
    <row r="2796" spans="1:6">
      <c r="A2796" t="str">
        <f>("19-14255")</f>
        <v>19-14255</v>
      </c>
      <c r="B2796" t="s">
        <v>5152</v>
      </c>
      <c r="C2796" t="s">
        <v>5416</v>
      </c>
      <c r="D2796" t="s">
        <v>5174</v>
      </c>
      <c r="E2796" t="s">
        <v>5426</v>
      </c>
      <c r="F2796">
        <v>779.67000000000007</v>
      </c>
    </row>
    <row r="2797" spans="1:6">
      <c r="A2797" t="str">
        <f>("19-14315")</f>
        <v>19-14315</v>
      </c>
      <c r="B2797" t="s">
        <v>5152</v>
      </c>
      <c r="C2797" t="s">
        <v>5416</v>
      </c>
      <c r="D2797" t="s">
        <v>5181</v>
      </c>
      <c r="E2797" t="s">
        <v>5425</v>
      </c>
      <c r="F2797">
        <v>750.32999999999993</v>
      </c>
    </row>
    <row r="2798" spans="1:6">
      <c r="A2798" t="str">
        <f>("19-14325")</f>
        <v>19-14325</v>
      </c>
      <c r="B2798" t="s">
        <v>5152</v>
      </c>
      <c r="C2798" t="s">
        <v>5416</v>
      </c>
      <c r="D2798" t="s">
        <v>5181</v>
      </c>
      <c r="E2798" t="s">
        <v>5424</v>
      </c>
      <c r="F2798">
        <v>504.67</v>
      </c>
    </row>
    <row r="2799" spans="1:6">
      <c r="A2799" t="str">
        <f>("19-14545")</f>
        <v>19-14545</v>
      </c>
      <c r="B2799" t="s">
        <v>5152</v>
      </c>
      <c r="C2799" t="s">
        <v>5416</v>
      </c>
      <c r="D2799" t="s">
        <v>5163</v>
      </c>
      <c r="E2799" t="s">
        <v>5423</v>
      </c>
      <c r="F2799">
        <v>779.67000000000007</v>
      </c>
    </row>
    <row r="2800" spans="1:6">
      <c r="A2800" t="str">
        <f>("19-14565")</f>
        <v>19-14565</v>
      </c>
      <c r="B2800" t="s">
        <v>5152</v>
      </c>
      <c r="C2800" t="s">
        <v>5416</v>
      </c>
      <c r="D2800" t="s">
        <v>5163</v>
      </c>
      <c r="E2800" t="s">
        <v>5377</v>
      </c>
      <c r="F2800">
        <v>765</v>
      </c>
    </row>
    <row r="2801" spans="1:6">
      <c r="A2801" t="str">
        <f>("19-14625")</f>
        <v>19-14625</v>
      </c>
      <c r="B2801" t="s">
        <v>5152</v>
      </c>
      <c r="C2801" t="s">
        <v>5416</v>
      </c>
      <c r="D2801" t="s">
        <v>5174</v>
      </c>
      <c r="E2801" t="s">
        <v>5422</v>
      </c>
      <c r="F2801">
        <v>750.32999999999993</v>
      </c>
    </row>
    <row r="2802" spans="1:6">
      <c r="A2802" t="str">
        <f>("19-14705")</f>
        <v>19-14705</v>
      </c>
      <c r="B2802" t="s">
        <v>5152</v>
      </c>
      <c r="C2802" t="s">
        <v>5416</v>
      </c>
      <c r="D2802" t="s">
        <v>5178</v>
      </c>
      <c r="E2802" t="s">
        <v>5375</v>
      </c>
      <c r="F2802">
        <v>490</v>
      </c>
    </row>
    <row r="2803" spans="1:6">
      <c r="A2803" t="str">
        <f>("19-14735")</f>
        <v>19-14735</v>
      </c>
      <c r="B2803" t="s">
        <v>5152</v>
      </c>
      <c r="C2803" t="s">
        <v>5416</v>
      </c>
      <c r="D2803" t="s">
        <v>5163</v>
      </c>
      <c r="E2803" t="s">
        <v>5421</v>
      </c>
      <c r="F2803">
        <v>490</v>
      </c>
    </row>
    <row r="2804" spans="1:6">
      <c r="A2804" t="str">
        <f>("19-14745")</f>
        <v>19-14745</v>
      </c>
      <c r="B2804" t="s">
        <v>5152</v>
      </c>
      <c r="C2804" t="s">
        <v>5416</v>
      </c>
      <c r="D2804" t="s">
        <v>5163</v>
      </c>
      <c r="E2804" t="s">
        <v>5420</v>
      </c>
      <c r="F2804">
        <v>504.67</v>
      </c>
    </row>
    <row r="2805" spans="1:6">
      <c r="A2805" t="str">
        <f>("19-14785")</f>
        <v>19-14785</v>
      </c>
      <c r="B2805" t="s">
        <v>5152</v>
      </c>
      <c r="C2805" t="s">
        <v>5416</v>
      </c>
      <c r="D2805" t="s">
        <v>5178</v>
      </c>
      <c r="E2805" t="s">
        <v>5419</v>
      </c>
      <c r="F2805">
        <v>504.67</v>
      </c>
    </row>
    <row r="2806" spans="1:6">
      <c r="A2806" t="str">
        <f>("19-14795")</f>
        <v>19-14795</v>
      </c>
      <c r="B2806" t="s">
        <v>5152</v>
      </c>
      <c r="C2806" t="s">
        <v>5416</v>
      </c>
      <c r="D2806" t="s">
        <v>5174</v>
      </c>
      <c r="E2806" t="s">
        <v>5371</v>
      </c>
      <c r="F2806">
        <v>475.33</v>
      </c>
    </row>
    <row r="2807" spans="1:6">
      <c r="A2807" t="str">
        <f>("19-16225")</f>
        <v>19-16225</v>
      </c>
      <c r="B2807" t="s">
        <v>5152</v>
      </c>
      <c r="C2807" t="s">
        <v>5416</v>
      </c>
      <c r="D2807" t="s">
        <v>5150</v>
      </c>
      <c r="E2807" t="s">
        <v>5369</v>
      </c>
      <c r="F2807">
        <v>779.67000000000007</v>
      </c>
    </row>
    <row r="2808" spans="1:6">
      <c r="A2808" t="str">
        <f>("19-16235")</f>
        <v>19-16235</v>
      </c>
      <c r="B2808" t="s">
        <v>5152</v>
      </c>
      <c r="C2808" t="s">
        <v>5416</v>
      </c>
      <c r="D2808" t="s">
        <v>5150</v>
      </c>
      <c r="E2808" t="s">
        <v>5368</v>
      </c>
      <c r="F2808">
        <v>750.32999999999993</v>
      </c>
    </row>
    <row r="2809" spans="1:6">
      <c r="A2809" t="str">
        <f>("19-16355")</f>
        <v>19-16355</v>
      </c>
      <c r="B2809" t="s">
        <v>5152</v>
      </c>
      <c r="C2809" t="s">
        <v>5416</v>
      </c>
      <c r="D2809" t="s">
        <v>5174</v>
      </c>
      <c r="E2809" t="s">
        <v>5366</v>
      </c>
      <c r="F2809">
        <v>475.33</v>
      </c>
    </row>
    <row r="2810" spans="1:6">
      <c r="A2810" t="str">
        <f>("19-16365")</f>
        <v>19-16365</v>
      </c>
      <c r="B2810" t="s">
        <v>5152</v>
      </c>
      <c r="C2810" t="s">
        <v>5416</v>
      </c>
      <c r="D2810" t="s">
        <v>5174</v>
      </c>
      <c r="E2810" t="s">
        <v>5365</v>
      </c>
      <c r="F2810">
        <v>504.67</v>
      </c>
    </row>
    <row r="2811" spans="1:6">
      <c r="A2811" t="str">
        <f>("19-16385")</f>
        <v>19-16385</v>
      </c>
      <c r="B2811" t="s">
        <v>5152</v>
      </c>
      <c r="C2811" t="s">
        <v>5416</v>
      </c>
      <c r="D2811" t="s">
        <v>5163</v>
      </c>
      <c r="E2811" t="s">
        <v>5418</v>
      </c>
      <c r="F2811">
        <v>750.32999999999993</v>
      </c>
    </row>
    <row r="2812" spans="1:6">
      <c r="A2812" t="str">
        <f>("19-16405")</f>
        <v>19-16405</v>
      </c>
      <c r="B2812" t="s">
        <v>5152</v>
      </c>
      <c r="C2812" t="s">
        <v>5416</v>
      </c>
      <c r="D2812" t="s">
        <v>5163</v>
      </c>
      <c r="E2812" t="s">
        <v>5417</v>
      </c>
      <c r="F2812">
        <v>475.33</v>
      </c>
    </row>
    <row r="2813" spans="1:6">
      <c r="A2813" t="str">
        <f>("19-17115")</f>
        <v>19-17115</v>
      </c>
      <c r="B2813" t="s">
        <v>5152</v>
      </c>
      <c r="C2813" t="s">
        <v>5416</v>
      </c>
      <c r="D2813" t="s">
        <v>5362</v>
      </c>
      <c r="E2813" t="s">
        <v>5361</v>
      </c>
      <c r="F2813">
        <v>750.32999999999993</v>
      </c>
    </row>
    <row r="2814" spans="1:6">
      <c r="A2814" t="str">
        <f>("19-20285")</f>
        <v>19-20285</v>
      </c>
      <c r="B2814" t="s">
        <v>5152</v>
      </c>
      <c r="C2814" t="s">
        <v>5363</v>
      </c>
      <c r="D2814" t="s">
        <v>5150</v>
      </c>
      <c r="E2814" t="s">
        <v>5415</v>
      </c>
      <c r="F2814">
        <v>615</v>
      </c>
    </row>
    <row r="2815" spans="1:6">
      <c r="A2815" t="str">
        <f>("19-21005")</f>
        <v>19-21005</v>
      </c>
      <c r="B2815" t="s">
        <v>5152</v>
      </c>
      <c r="C2815" t="s">
        <v>5363</v>
      </c>
      <c r="D2815" t="s">
        <v>5174</v>
      </c>
      <c r="E2815" t="s">
        <v>5414</v>
      </c>
      <c r="F2815">
        <v>644.32999999999993</v>
      </c>
    </row>
    <row r="2816" spans="1:6">
      <c r="A2816" t="str">
        <f>("19-21065")</f>
        <v>19-21065</v>
      </c>
      <c r="B2816" t="s">
        <v>5152</v>
      </c>
      <c r="C2816" t="s">
        <v>5363</v>
      </c>
      <c r="D2816" t="s">
        <v>5150</v>
      </c>
      <c r="E2816" t="s">
        <v>5413</v>
      </c>
      <c r="F2816">
        <v>515</v>
      </c>
    </row>
    <row r="2817" spans="1:6">
      <c r="A2817" t="str">
        <f>("19-21165")</f>
        <v>19-21165</v>
      </c>
      <c r="B2817" t="s">
        <v>5152</v>
      </c>
      <c r="C2817" t="s">
        <v>5363</v>
      </c>
      <c r="D2817" t="s">
        <v>5158</v>
      </c>
      <c r="E2817" t="s">
        <v>5412</v>
      </c>
      <c r="F2817">
        <v>765</v>
      </c>
    </row>
    <row r="2818" spans="1:6">
      <c r="A2818" t="str">
        <f>("19-21286")</f>
        <v>19-21286</v>
      </c>
      <c r="B2818" t="s">
        <v>5152</v>
      </c>
      <c r="C2818" t="s">
        <v>5410</v>
      </c>
      <c r="D2818" t="s">
        <v>5174</v>
      </c>
      <c r="E2818" t="s">
        <v>5411</v>
      </c>
      <c r="F2818">
        <v>65</v>
      </c>
    </row>
    <row r="2819" spans="1:6">
      <c r="A2819" t="str">
        <f>("19-21287")</f>
        <v>19-21287</v>
      </c>
      <c r="B2819" t="s">
        <v>5152</v>
      </c>
      <c r="C2819" t="s">
        <v>5410</v>
      </c>
      <c r="D2819" t="s">
        <v>5206</v>
      </c>
      <c r="E2819" t="s">
        <v>5409</v>
      </c>
      <c r="F2819">
        <v>37</v>
      </c>
    </row>
    <row r="2820" spans="1:6">
      <c r="A2820" t="str">
        <f>("19-21288")</f>
        <v>19-21288</v>
      </c>
      <c r="B2820" t="s">
        <v>5152</v>
      </c>
      <c r="C2820" t="s">
        <v>5406</v>
      </c>
      <c r="D2820" t="s">
        <v>5206</v>
      </c>
      <c r="E2820" t="s">
        <v>5408</v>
      </c>
      <c r="F2820">
        <v>34.33</v>
      </c>
    </row>
    <row r="2821" spans="1:6">
      <c r="A2821" t="str">
        <f>("19-21289")</f>
        <v>19-21289</v>
      </c>
      <c r="B2821" t="s">
        <v>5152</v>
      </c>
      <c r="C2821" t="s">
        <v>5406</v>
      </c>
      <c r="D2821" t="s">
        <v>5206</v>
      </c>
      <c r="E2821" t="s">
        <v>5407</v>
      </c>
      <c r="F2821">
        <v>27.67</v>
      </c>
    </row>
    <row r="2822" spans="1:6">
      <c r="A2822" t="str">
        <f>("19-21290")</f>
        <v>19-21290</v>
      </c>
      <c r="B2822" t="s">
        <v>5152</v>
      </c>
      <c r="C2822" t="s">
        <v>5406</v>
      </c>
      <c r="D2822" t="s">
        <v>5206</v>
      </c>
      <c r="E2822" t="s">
        <v>5405</v>
      </c>
      <c r="F2822">
        <v>27.67</v>
      </c>
    </row>
    <row r="2823" spans="1:6">
      <c r="A2823" t="str">
        <f>("19-21291")</f>
        <v>19-21291</v>
      </c>
      <c r="B2823" t="s">
        <v>5152</v>
      </c>
      <c r="C2823" t="s">
        <v>5403</v>
      </c>
      <c r="D2823" t="s">
        <v>5206</v>
      </c>
      <c r="E2823" t="s">
        <v>5404</v>
      </c>
      <c r="F2823">
        <v>26.33</v>
      </c>
    </row>
    <row r="2824" spans="1:6">
      <c r="A2824" t="str">
        <f>("19-21292")</f>
        <v>19-21292</v>
      </c>
      <c r="B2824" t="s">
        <v>5152</v>
      </c>
      <c r="C2824" t="s">
        <v>5403</v>
      </c>
      <c r="D2824" t="s">
        <v>5206</v>
      </c>
      <c r="E2824" t="s">
        <v>5402</v>
      </c>
      <c r="F2824">
        <v>26.33</v>
      </c>
    </row>
    <row r="2825" spans="1:6">
      <c r="A2825" t="str">
        <f>("19-21293")</f>
        <v>19-21293</v>
      </c>
      <c r="B2825" t="s">
        <v>5152</v>
      </c>
      <c r="C2825" t="s">
        <v>5400</v>
      </c>
      <c r="D2825" t="s">
        <v>5206</v>
      </c>
      <c r="E2825" t="s">
        <v>5401</v>
      </c>
      <c r="F2825">
        <v>38.33</v>
      </c>
    </row>
    <row r="2826" spans="1:6">
      <c r="A2826" t="str">
        <f>("19-21294")</f>
        <v>19-21294</v>
      </c>
      <c r="B2826" t="s">
        <v>5152</v>
      </c>
      <c r="C2826" t="s">
        <v>5400</v>
      </c>
      <c r="D2826" t="s">
        <v>5206</v>
      </c>
      <c r="E2826" t="s">
        <v>5399</v>
      </c>
      <c r="F2826">
        <v>41</v>
      </c>
    </row>
    <row r="2827" spans="1:6">
      <c r="A2827" t="str">
        <f>("19-21295")</f>
        <v>19-21295</v>
      </c>
      <c r="B2827" t="s">
        <v>5152</v>
      </c>
      <c r="C2827" t="s">
        <v>5363</v>
      </c>
      <c r="D2827" t="s">
        <v>5174</v>
      </c>
      <c r="E2827" t="s">
        <v>5398</v>
      </c>
      <c r="F2827">
        <v>515</v>
      </c>
    </row>
    <row r="2828" spans="1:6">
      <c r="A2828" t="str">
        <f>("19-21296")</f>
        <v>19-21296</v>
      </c>
      <c r="B2828" t="s">
        <v>5152</v>
      </c>
      <c r="C2828" t="s">
        <v>5397</v>
      </c>
      <c r="D2828" t="s">
        <v>5158</v>
      </c>
      <c r="E2828" t="s">
        <v>5396</v>
      </c>
      <c r="F2828">
        <v>30.33</v>
      </c>
    </row>
    <row r="2829" spans="1:6">
      <c r="A2829" t="str">
        <f>("19-21297")</f>
        <v>19-21297</v>
      </c>
      <c r="B2829" t="s">
        <v>5152</v>
      </c>
      <c r="C2829" t="s">
        <v>5394</v>
      </c>
      <c r="D2829" t="s">
        <v>5150</v>
      </c>
      <c r="E2829" t="s">
        <v>5395</v>
      </c>
      <c r="F2829">
        <v>29</v>
      </c>
    </row>
    <row r="2830" spans="1:6">
      <c r="A2830" t="str">
        <f>("19-21298")</f>
        <v>19-21298</v>
      </c>
      <c r="B2830" t="s">
        <v>5152</v>
      </c>
      <c r="C2830" t="s">
        <v>5394</v>
      </c>
      <c r="D2830" t="s">
        <v>5160</v>
      </c>
      <c r="E2830" t="s">
        <v>5393</v>
      </c>
      <c r="F2830">
        <v>29</v>
      </c>
    </row>
    <row r="2831" spans="1:6">
      <c r="A2831" t="str">
        <f>("19-22055")</f>
        <v>19-22055</v>
      </c>
      <c r="B2831" t="s">
        <v>5152</v>
      </c>
      <c r="C2831" t="s">
        <v>5363</v>
      </c>
      <c r="D2831" t="s">
        <v>5174</v>
      </c>
      <c r="E2831" t="s">
        <v>5392</v>
      </c>
      <c r="F2831">
        <v>765</v>
      </c>
    </row>
    <row r="2832" spans="1:6">
      <c r="A2832" t="str">
        <f>("19-22065")</f>
        <v>19-22065</v>
      </c>
      <c r="B2832" t="s">
        <v>5152</v>
      </c>
      <c r="C2832" t="s">
        <v>5363</v>
      </c>
      <c r="D2832" t="s">
        <v>5158</v>
      </c>
      <c r="E2832" t="s">
        <v>5391</v>
      </c>
      <c r="F2832">
        <v>765</v>
      </c>
    </row>
    <row r="2833" spans="1:6">
      <c r="A2833" t="str">
        <f>("19-22075")</f>
        <v>19-22075</v>
      </c>
      <c r="B2833" t="s">
        <v>5152</v>
      </c>
      <c r="C2833" t="s">
        <v>5363</v>
      </c>
      <c r="D2833" t="s">
        <v>5158</v>
      </c>
      <c r="E2833" t="s">
        <v>5390</v>
      </c>
      <c r="F2833">
        <v>794.32999999999993</v>
      </c>
    </row>
    <row r="2834" spans="1:6">
      <c r="A2834" t="str">
        <f>("19-22375")</f>
        <v>19-22375</v>
      </c>
      <c r="B2834" t="s">
        <v>5152</v>
      </c>
      <c r="C2834" t="s">
        <v>5363</v>
      </c>
      <c r="D2834" t="s">
        <v>5174</v>
      </c>
      <c r="E2834" t="s">
        <v>5389</v>
      </c>
      <c r="F2834">
        <v>794.32999999999993</v>
      </c>
    </row>
    <row r="2835" spans="1:6">
      <c r="A2835" t="str">
        <f>("19-22785")</f>
        <v>19-22785</v>
      </c>
      <c r="B2835" t="s">
        <v>5152</v>
      </c>
      <c r="C2835" t="s">
        <v>5363</v>
      </c>
      <c r="D2835" t="s">
        <v>5150</v>
      </c>
      <c r="E2835" t="s">
        <v>5335</v>
      </c>
      <c r="F2835">
        <v>515</v>
      </c>
    </row>
    <row r="2836" spans="1:6">
      <c r="A2836" t="str">
        <f>("19-22815")</f>
        <v>19-22815</v>
      </c>
      <c r="B2836" t="s">
        <v>5152</v>
      </c>
      <c r="C2836" t="s">
        <v>5363</v>
      </c>
      <c r="D2836" t="s">
        <v>5150</v>
      </c>
      <c r="E2836" t="s">
        <v>5388</v>
      </c>
      <c r="F2836">
        <v>529.67000000000007</v>
      </c>
    </row>
    <row r="2837" spans="1:6">
      <c r="A2837" t="str">
        <f>("19-23345")</f>
        <v>19-23345</v>
      </c>
      <c r="B2837" t="s">
        <v>5152</v>
      </c>
      <c r="C2837" t="s">
        <v>5363</v>
      </c>
      <c r="D2837" t="s">
        <v>5174</v>
      </c>
      <c r="E2837" t="s">
        <v>5387</v>
      </c>
      <c r="F2837">
        <v>779.67000000000007</v>
      </c>
    </row>
    <row r="2838" spans="1:6">
      <c r="A2838" t="str">
        <f>("19-23365")</f>
        <v>19-23365</v>
      </c>
      <c r="B2838" t="s">
        <v>5152</v>
      </c>
      <c r="C2838" t="s">
        <v>5363</v>
      </c>
      <c r="D2838" t="s">
        <v>5163</v>
      </c>
      <c r="E2838" t="s">
        <v>5386</v>
      </c>
      <c r="F2838">
        <v>529.67000000000007</v>
      </c>
    </row>
    <row r="2839" spans="1:6">
      <c r="A2839" t="str">
        <f>("19-23995")</f>
        <v>19-23995</v>
      </c>
      <c r="B2839" t="s">
        <v>5152</v>
      </c>
      <c r="C2839" t="s">
        <v>5363</v>
      </c>
      <c r="D2839" t="s">
        <v>5163</v>
      </c>
      <c r="E2839" t="s">
        <v>5385</v>
      </c>
      <c r="F2839">
        <v>644.32999999999993</v>
      </c>
    </row>
    <row r="2840" spans="1:6">
      <c r="A2840" t="str">
        <f>("19-24025")</f>
        <v>19-24025</v>
      </c>
      <c r="B2840" t="s">
        <v>5152</v>
      </c>
      <c r="C2840" t="s">
        <v>5363</v>
      </c>
      <c r="D2840" t="s">
        <v>5174</v>
      </c>
      <c r="E2840" t="s">
        <v>5330</v>
      </c>
      <c r="F2840">
        <v>515</v>
      </c>
    </row>
    <row r="2841" spans="1:6">
      <c r="A2841" t="str">
        <f>("19-24075")</f>
        <v>19-24075</v>
      </c>
      <c r="B2841" t="s">
        <v>5152</v>
      </c>
      <c r="C2841" t="s">
        <v>5363</v>
      </c>
      <c r="D2841" t="s">
        <v>5158</v>
      </c>
      <c r="E2841" t="s">
        <v>5329</v>
      </c>
      <c r="F2841">
        <v>515</v>
      </c>
    </row>
    <row r="2842" spans="1:6">
      <c r="A2842" t="str">
        <f>("19-24085")</f>
        <v>19-24085</v>
      </c>
      <c r="B2842" t="s">
        <v>5152</v>
      </c>
      <c r="C2842" t="s">
        <v>5363</v>
      </c>
      <c r="D2842" t="s">
        <v>5158</v>
      </c>
      <c r="E2842" t="s">
        <v>5384</v>
      </c>
      <c r="F2842">
        <v>529.67000000000007</v>
      </c>
    </row>
    <row r="2843" spans="1:6">
      <c r="A2843" t="str">
        <f>("19-24095")</f>
        <v>19-24095</v>
      </c>
      <c r="B2843" t="s">
        <v>5152</v>
      </c>
      <c r="C2843" t="s">
        <v>5363</v>
      </c>
      <c r="D2843" t="s">
        <v>5150</v>
      </c>
      <c r="E2843" t="s">
        <v>5383</v>
      </c>
      <c r="F2843">
        <v>644.32999999999993</v>
      </c>
    </row>
    <row r="2844" spans="1:6">
      <c r="A2844" t="str">
        <f>("19-24155")</f>
        <v>19-24155</v>
      </c>
      <c r="B2844" t="s">
        <v>5152</v>
      </c>
      <c r="C2844" t="s">
        <v>5363</v>
      </c>
      <c r="D2844" t="s">
        <v>5163</v>
      </c>
      <c r="E2844" t="s">
        <v>5382</v>
      </c>
      <c r="F2844">
        <v>794.32999999999993</v>
      </c>
    </row>
    <row r="2845" spans="1:6">
      <c r="A2845" t="str">
        <f>("19-24165")</f>
        <v>19-24165</v>
      </c>
      <c r="B2845" t="s">
        <v>5152</v>
      </c>
      <c r="C2845" t="s">
        <v>5363</v>
      </c>
      <c r="D2845" t="s">
        <v>5160</v>
      </c>
      <c r="E2845" t="s">
        <v>5326</v>
      </c>
      <c r="F2845">
        <v>515</v>
      </c>
    </row>
    <row r="2846" spans="1:6">
      <c r="A2846" t="str">
        <f>("19-24185")</f>
        <v>19-24185</v>
      </c>
      <c r="B2846" t="s">
        <v>5152</v>
      </c>
      <c r="C2846" t="s">
        <v>5363</v>
      </c>
      <c r="D2846" t="s">
        <v>5150</v>
      </c>
      <c r="E2846" t="s">
        <v>5381</v>
      </c>
      <c r="F2846">
        <v>529.67000000000007</v>
      </c>
    </row>
    <row r="2847" spans="1:6">
      <c r="A2847" t="str">
        <f>("19-24315")</f>
        <v>19-24315</v>
      </c>
      <c r="B2847" t="s">
        <v>5152</v>
      </c>
      <c r="C2847" t="s">
        <v>5363</v>
      </c>
      <c r="D2847" t="s">
        <v>5181</v>
      </c>
      <c r="E2847" t="s">
        <v>5380</v>
      </c>
      <c r="F2847">
        <v>529.67000000000007</v>
      </c>
    </row>
    <row r="2848" spans="1:6">
      <c r="A2848" t="str">
        <f>("19-24325")</f>
        <v>19-24325</v>
      </c>
      <c r="B2848" t="s">
        <v>5152</v>
      </c>
      <c r="C2848" t="s">
        <v>5363</v>
      </c>
      <c r="D2848" t="s">
        <v>5181</v>
      </c>
      <c r="E2848" t="s">
        <v>5379</v>
      </c>
      <c r="F2848">
        <v>644.32999999999993</v>
      </c>
    </row>
    <row r="2849" spans="1:6">
      <c r="A2849" t="str">
        <f>("19-24545")</f>
        <v>19-24545</v>
      </c>
      <c r="B2849" t="s">
        <v>5152</v>
      </c>
      <c r="C2849" t="s">
        <v>5363</v>
      </c>
      <c r="D2849" t="s">
        <v>5163</v>
      </c>
      <c r="E2849" t="s">
        <v>5378</v>
      </c>
      <c r="F2849">
        <v>794.32999999999993</v>
      </c>
    </row>
    <row r="2850" spans="1:6">
      <c r="A2850" t="str">
        <f>("19-24565")</f>
        <v>19-24565</v>
      </c>
      <c r="B2850" t="s">
        <v>5152</v>
      </c>
      <c r="C2850" t="s">
        <v>5363</v>
      </c>
      <c r="D2850" t="s">
        <v>5163</v>
      </c>
      <c r="E2850" t="s">
        <v>5377</v>
      </c>
      <c r="F2850">
        <v>794.32999999999993</v>
      </c>
    </row>
    <row r="2851" spans="1:6">
      <c r="A2851" t="str">
        <f>("19-24625")</f>
        <v>19-24625</v>
      </c>
      <c r="B2851" t="s">
        <v>5152</v>
      </c>
      <c r="C2851" t="s">
        <v>5363</v>
      </c>
      <c r="D2851" t="s">
        <v>5174</v>
      </c>
      <c r="E2851" t="s">
        <v>5376</v>
      </c>
      <c r="F2851">
        <v>765</v>
      </c>
    </row>
    <row r="2852" spans="1:6">
      <c r="A2852" t="str">
        <f>("19-24705")</f>
        <v>19-24705</v>
      </c>
      <c r="B2852" t="s">
        <v>5152</v>
      </c>
      <c r="C2852" t="s">
        <v>5363</v>
      </c>
      <c r="D2852" t="s">
        <v>5178</v>
      </c>
      <c r="E2852" t="s">
        <v>5375</v>
      </c>
      <c r="F2852">
        <v>629.67000000000007</v>
      </c>
    </row>
    <row r="2853" spans="1:6">
      <c r="A2853" t="str">
        <f>("19-24735")</f>
        <v>19-24735</v>
      </c>
      <c r="B2853" t="s">
        <v>5152</v>
      </c>
      <c r="C2853" t="s">
        <v>5363</v>
      </c>
      <c r="D2853" t="s">
        <v>5163</v>
      </c>
      <c r="E2853" t="s">
        <v>5374</v>
      </c>
      <c r="F2853">
        <v>629.67000000000007</v>
      </c>
    </row>
    <row r="2854" spans="1:6">
      <c r="A2854" t="str">
        <f>("19-24745")</f>
        <v>19-24745</v>
      </c>
      <c r="B2854" t="s">
        <v>5152</v>
      </c>
      <c r="C2854" t="s">
        <v>5363</v>
      </c>
      <c r="D2854" t="s">
        <v>5163</v>
      </c>
      <c r="E2854" t="s">
        <v>5373</v>
      </c>
      <c r="F2854">
        <v>644.32999999999993</v>
      </c>
    </row>
    <row r="2855" spans="1:6">
      <c r="A2855" t="str">
        <f>("19-24785")</f>
        <v>19-24785</v>
      </c>
      <c r="B2855" t="s">
        <v>5152</v>
      </c>
      <c r="C2855" t="s">
        <v>5363</v>
      </c>
      <c r="D2855" t="s">
        <v>5178</v>
      </c>
      <c r="E2855" t="s">
        <v>5372</v>
      </c>
      <c r="F2855">
        <v>644.32999999999993</v>
      </c>
    </row>
    <row r="2856" spans="1:6">
      <c r="A2856" t="str">
        <f>("19-24795")</f>
        <v>19-24795</v>
      </c>
      <c r="B2856" t="s">
        <v>5152</v>
      </c>
      <c r="C2856" t="s">
        <v>5363</v>
      </c>
      <c r="D2856" t="s">
        <v>5174</v>
      </c>
      <c r="E2856" t="s">
        <v>5371</v>
      </c>
      <c r="F2856">
        <v>515</v>
      </c>
    </row>
    <row r="2857" spans="1:6">
      <c r="A2857" t="str">
        <f>("19-24825")</f>
        <v>19-24825</v>
      </c>
      <c r="B2857" t="s">
        <v>5152</v>
      </c>
      <c r="C2857" t="s">
        <v>5363</v>
      </c>
      <c r="D2857" t="s">
        <v>5174</v>
      </c>
      <c r="E2857" t="s">
        <v>5370</v>
      </c>
      <c r="F2857">
        <v>809</v>
      </c>
    </row>
    <row r="2858" spans="1:6">
      <c r="A2858" t="str">
        <f>("19-26225")</f>
        <v>19-26225</v>
      </c>
      <c r="B2858" t="s">
        <v>5152</v>
      </c>
      <c r="C2858" t="s">
        <v>5363</v>
      </c>
      <c r="D2858" t="s">
        <v>5150</v>
      </c>
      <c r="E2858" t="s">
        <v>5369</v>
      </c>
      <c r="F2858">
        <v>794.32999999999993</v>
      </c>
    </row>
    <row r="2859" spans="1:6">
      <c r="A2859" t="str">
        <f>("19-26235")</f>
        <v>19-26235</v>
      </c>
      <c r="B2859" t="s">
        <v>5152</v>
      </c>
      <c r="C2859" t="s">
        <v>5363</v>
      </c>
      <c r="D2859" t="s">
        <v>5150</v>
      </c>
      <c r="E2859" t="s">
        <v>5368</v>
      </c>
      <c r="F2859">
        <v>765</v>
      </c>
    </row>
    <row r="2860" spans="1:6">
      <c r="A2860" t="str">
        <f>("19-26315")</f>
        <v>19-26315</v>
      </c>
      <c r="B2860" t="s">
        <v>5152</v>
      </c>
      <c r="C2860" t="s">
        <v>5363</v>
      </c>
      <c r="D2860" t="s">
        <v>5150</v>
      </c>
      <c r="E2860" t="s">
        <v>5367</v>
      </c>
      <c r="F2860">
        <v>765</v>
      </c>
    </row>
    <row r="2861" spans="1:6">
      <c r="A2861" t="str">
        <f>("19-26355")</f>
        <v>19-26355</v>
      </c>
      <c r="B2861" t="s">
        <v>5152</v>
      </c>
      <c r="C2861" t="s">
        <v>5363</v>
      </c>
      <c r="D2861" t="s">
        <v>5174</v>
      </c>
      <c r="E2861" t="s">
        <v>5366</v>
      </c>
      <c r="F2861">
        <v>629.67000000000007</v>
      </c>
    </row>
    <row r="2862" spans="1:6">
      <c r="A2862" t="str">
        <f>("19-26365")</f>
        <v>19-26365</v>
      </c>
      <c r="B2862" t="s">
        <v>5152</v>
      </c>
      <c r="C2862" t="s">
        <v>5363</v>
      </c>
      <c r="D2862" t="s">
        <v>5174</v>
      </c>
      <c r="E2862" t="s">
        <v>5365</v>
      </c>
      <c r="F2862">
        <v>644.32999999999993</v>
      </c>
    </row>
    <row r="2863" spans="1:6">
      <c r="A2863" t="str">
        <f>("19-26385")</f>
        <v>19-26385</v>
      </c>
      <c r="B2863" t="s">
        <v>5152</v>
      </c>
      <c r="C2863" t="s">
        <v>5363</v>
      </c>
      <c r="D2863" t="s">
        <v>5163</v>
      </c>
      <c r="E2863" t="s">
        <v>5364</v>
      </c>
      <c r="F2863">
        <v>515</v>
      </c>
    </row>
    <row r="2864" spans="1:6">
      <c r="A2864" t="str">
        <f>("19-27115")</f>
        <v>19-27115</v>
      </c>
      <c r="B2864" t="s">
        <v>5152</v>
      </c>
      <c r="C2864" t="s">
        <v>5363</v>
      </c>
      <c r="D2864" t="s">
        <v>5362</v>
      </c>
      <c r="E2864" t="s">
        <v>5361</v>
      </c>
      <c r="F2864">
        <v>765</v>
      </c>
    </row>
    <row r="2865" spans="1:6">
      <c r="A2865" t="str">
        <f>("19-40285")</f>
        <v>19-40285</v>
      </c>
      <c r="B2865" t="s">
        <v>5152</v>
      </c>
      <c r="C2865" t="s">
        <v>5309</v>
      </c>
      <c r="D2865" t="s">
        <v>5150</v>
      </c>
      <c r="E2865" t="s">
        <v>5360</v>
      </c>
      <c r="F2865">
        <v>1421.67</v>
      </c>
    </row>
    <row r="2866" spans="1:6">
      <c r="A2866" t="str">
        <f>("19-41005")</f>
        <v>19-41005</v>
      </c>
      <c r="B2866" t="s">
        <v>5152</v>
      </c>
      <c r="C2866" t="s">
        <v>5309</v>
      </c>
      <c r="D2866" t="s">
        <v>5174</v>
      </c>
      <c r="E2866" t="s">
        <v>5359</v>
      </c>
      <c r="F2866">
        <v>1718.33</v>
      </c>
    </row>
    <row r="2867" spans="1:6">
      <c r="A2867" t="str">
        <f>("19-41065")</f>
        <v>19-41065</v>
      </c>
      <c r="B2867" t="s">
        <v>5152</v>
      </c>
      <c r="C2867" t="s">
        <v>5309</v>
      </c>
      <c r="D2867" t="s">
        <v>5150</v>
      </c>
      <c r="E2867" t="s">
        <v>5358</v>
      </c>
      <c r="F2867">
        <v>1421.67</v>
      </c>
    </row>
    <row r="2868" spans="1:6">
      <c r="A2868" t="str">
        <f>("19-41386")</f>
        <v>19-41386</v>
      </c>
      <c r="B2868" t="s">
        <v>5152</v>
      </c>
      <c r="C2868" t="s">
        <v>5357</v>
      </c>
      <c r="D2868" t="s">
        <v>5206</v>
      </c>
      <c r="E2868" t="s">
        <v>5356</v>
      </c>
      <c r="F2868">
        <v>43.67</v>
      </c>
    </row>
    <row r="2869" spans="1:6">
      <c r="A2869" t="str">
        <f>("19-41387")</f>
        <v>19-41387</v>
      </c>
      <c r="B2869" t="s">
        <v>5152</v>
      </c>
      <c r="C2869" t="s">
        <v>5344</v>
      </c>
      <c r="D2869" t="s">
        <v>5206</v>
      </c>
      <c r="E2869" t="s">
        <v>5355</v>
      </c>
      <c r="F2869">
        <v>113</v>
      </c>
    </row>
    <row r="2870" spans="1:6">
      <c r="A2870" t="str">
        <f>("19-41388")</f>
        <v>19-41388</v>
      </c>
      <c r="B2870" t="s">
        <v>5152</v>
      </c>
      <c r="C2870" t="s">
        <v>5344</v>
      </c>
      <c r="D2870" t="s">
        <v>5206</v>
      </c>
      <c r="E2870" t="s">
        <v>5354</v>
      </c>
      <c r="F2870">
        <v>113</v>
      </c>
    </row>
    <row r="2871" spans="1:6">
      <c r="A2871" t="str">
        <f>("19-41389")</f>
        <v>19-41389</v>
      </c>
      <c r="B2871" t="s">
        <v>5152</v>
      </c>
      <c r="C2871" t="s">
        <v>5344</v>
      </c>
      <c r="D2871" t="s">
        <v>5206</v>
      </c>
      <c r="E2871" t="s">
        <v>5353</v>
      </c>
      <c r="F2871">
        <v>113</v>
      </c>
    </row>
    <row r="2872" spans="1:6">
      <c r="A2872" t="str">
        <f>("19-41390")</f>
        <v>19-41390</v>
      </c>
      <c r="B2872" t="s">
        <v>5152</v>
      </c>
      <c r="C2872" t="s">
        <v>5344</v>
      </c>
      <c r="D2872" t="s">
        <v>5174</v>
      </c>
      <c r="E2872" t="s">
        <v>5352</v>
      </c>
      <c r="F2872">
        <v>113</v>
      </c>
    </row>
    <row r="2873" spans="1:6">
      <c r="A2873" t="str">
        <f>("19-41391")</f>
        <v>19-41391</v>
      </c>
      <c r="B2873" t="s">
        <v>5152</v>
      </c>
      <c r="C2873" t="s">
        <v>5344</v>
      </c>
      <c r="D2873" t="s">
        <v>5206</v>
      </c>
      <c r="E2873" t="s">
        <v>5343</v>
      </c>
      <c r="F2873">
        <v>113</v>
      </c>
    </row>
    <row r="2874" spans="1:6">
      <c r="A2874" t="str">
        <f>("19-41392")</f>
        <v>19-41392</v>
      </c>
      <c r="B2874" t="s">
        <v>5152</v>
      </c>
      <c r="C2874" t="s">
        <v>5344</v>
      </c>
      <c r="D2874" t="s">
        <v>5206</v>
      </c>
      <c r="E2874" t="s">
        <v>5343</v>
      </c>
      <c r="F2874">
        <v>113</v>
      </c>
    </row>
    <row r="2875" spans="1:6">
      <c r="A2875" t="str">
        <f>("19-41393")</f>
        <v>19-41393</v>
      </c>
      <c r="B2875" t="s">
        <v>5152</v>
      </c>
      <c r="C2875" t="s">
        <v>5344</v>
      </c>
      <c r="D2875" t="s">
        <v>5150</v>
      </c>
      <c r="E2875" t="s">
        <v>5351</v>
      </c>
      <c r="F2875">
        <v>113</v>
      </c>
    </row>
    <row r="2876" spans="1:6">
      <c r="A2876" t="str">
        <f>("19-41394")</f>
        <v>19-41394</v>
      </c>
      <c r="B2876" t="s">
        <v>5152</v>
      </c>
      <c r="C2876" t="s">
        <v>5344</v>
      </c>
      <c r="D2876" t="s">
        <v>5150</v>
      </c>
      <c r="E2876" t="s">
        <v>5350</v>
      </c>
      <c r="F2876">
        <v>113</v>
      </c>
    </row>
    <row r="2877" spans="1:6">
      <c r="A2877" t="str">
        <f>("19-41395")</f>
        <v>19-41395</v>
      </c>
      <c r="B2877" t="s">
        <v>5152</v>
      </c>
      <c r="C2877" t="s">
        <v>5344</v>
      </c>
      <c r="D2877" t="s">
        <v>5160</v>
      </c>
      <c r="E2877" t="s">
        <v>5349</v>
      </c>
      <c r="F2877">
        <v>113</v>
      </c>
    </row>
    <row r="2878" spans="1:6">
      <c r="A2878" t="str">
        <f>("19-41396")</f>
        <v>19-41396</v>
      </c>
      <c r="B2878" t="s">
        <v>5152</v>
      </c>
      <c r="C2878" t="s">
        <v>5344</v>
      </c>
      <c r="D2878" t="s">
        <v>5150</v>
      </c>
      <c r="E2878" t="s">
        <v>5348</v>
      </c>
      <c r="F2878">
        <v>113</v>
      </c>
    </row>
    <row r="2879" spans="1:6">
      <c r="A2879" t="str">
        <f>("19-41397")</f>
        <v>19-41397</v>
      </c>
      <c r="B2879" t="s">
        <v>5152</v>
      </c>
      <c r="C2879" t="s">
        <v>5344</v>
      </c>
      <c r="D2879" t="s">
        <v>5206</v>
      </c>
      <c r="E2879" t="s">
        <v>5343</v>
      </c>
      <c r="F2879">
        <v>113</v>
      </c>
    </row>
    <row r="2880" spans="1:6">
      <c r="A2880" t="str">
        <f>("19-41398")</f>
        <v>19-41398</v>
      </c>
      <c r="B2880" t="s">
        <v>5152</v>
      </c>
      <c r="C2880" t="s">
        <v>5344</v>
      </c>
      <c r="D2880" t="s">
        <v>5158</v>
      </c>
      <c r="E2880" t="s">
        <v>5347</v>
      </c>
      <c r="F2880">
        <v>113</v>
      </c>
    </row>
    <row r="2881" spans="1:6">
      <c r="A2881" t="str">
        <f>("19-41399")</f>
        <v>19-41399</v>
      </c>
      <c r="B2881" t="s">
        <v>5152</v>
      </c>
      <c r="C2881" t="s">
        <v>5344</v>
      </c>
      <c r="D2881" t="s">
        <v>5150</v>
      </c>
      <c r="E2881" t="s">
        <v>5346</v>
      </c>
      <c r="F2881">
        <v>113</v>
      </c>
    </row>
    <row r="2882" spans="1:6">
      <c r="A2882" t="str">
        <f>("19-41400")</f>
        <v>19-41400</v>
      </c>
      <c r="B2882" t="s">
        <v>5152</v>
      </c>
      <c r="C2882" t="s">
        <v>5344</v>
      </c>
      <c r="D2882" t="s">
        <v>5150</v>
      </c>
      <c r="E2882" t="s">
        <v>5345</v>
      </c>
      <c r="F2882">
        <v>113</v>
      </c>
    </row>
    <row r="2883" spans="1:6">
      <c r="A2883" t="str">
        <f>("19-41401")</f>
        <v>19-41401</v>
      </c>
      <c r="B2883" t="s">
        <v>5152</v>
      </c>
      <c r="C2883" t="s">
        <v>5344</v>
      </c>
      <c r="D2883" t="s">
        <v>5206</v>
      </c>
      <c r="E2883" t="s">
        <v>5343</v>
      </c>
      <c r="F2883">
        <v>113</v>
      </c>
    </row>
    <row r="2884" spans="1:6">
      <c r="A2884" t="str">
        <f>("19-41402")</f>
        <v>19-41402</v>
      </c>
      <c r="B2884" t="s">
        <v>5152</v>
      </c>
      <c r="C2884" t="s">
        <v>5342</v>
      </c>
      <c r="D2884" t="s">
        <v>5206</v>
      </c>
      <c r="E2884" t="s">
        <v>5341</v>
      </c>
      <c r="F2884">
        <v>29</v>
      </c>
    </row>
    <row r="2885" spans="1:6">
      <c r="A2885" t="str">
        <f>("19-41403")</f>
        <v>19-41403</v>
      </c>
      <c r="B2885" t="s">
        <v>5152</v>
      </c>
      <c r="C2885" t="s">
        <v>5340</v>
      </c>
      <c r="D2885" t="s">
        <v>5206</v>
      </c>
      <c r="E2885" t="s">
        <v>5339</v>
      </c>
      <c r="F2885">
        <v>30.33</v>
      </c>
    </row>
    <row r="2886" spans="1:6">
      <c r="A2886" t="str">
        <f>("19-42055")</f>
        <v>19-42055</v>
      </c>
      <c r="B2886" t="s">
        <v>5152</v>
      </c>
      <c r="C2886" t="s">
        <v>5309</v>
      </c>
      <c r="D2886" t="s">
        <v>5174</v>
      </c>
      <c r="E2886" t="s">
        <v>5338</v>
      </c>
      <c r="F2886">
        <v>1571.67</v>
      </c>
    </row>
    <row r="2887" spans="1:6">
      <c r="A2887" t="str">
        <f>("19-42065")</f>
        <v>19-42065</v>
      </c>
      <c r="B2887" t="s">
        <v>5152</v>
      </c>
      <c r="C2887" t="s">
        <v>5309</v>
      </c>
      <c r="D2887" t="s">
        <v>5158</v>
      </c>
      <c r="E2887" t="s">
        <v>5337</v>
      </c>
      <c r="F2887">
        <v>1571.67</v>
      </c>
    </row>
    <row r="2888" spans="1:6">
      <c r="A2888" t="str">
        <f>("19-42375")</f>
        <v>19-42375</v>
      </c>
      <c r="B2888" t="s">
        <v>5152</v>
      </c>
      <c r="C2888" t="s">
        <v>5309</v>
      </c>
      <c r="D2888" t="s">
        <v>5174</v>
      </c>
      <c r="E2888" t="s">
        <v>5336</v>
      </c>
      <c r="F2888">
        <v>1718.33</v>
      </c>
    </row>
    <row r="2889" spans="1:6">
      <c r="A2889" t="str">
        <f>("19-42785")</f>
        <v>19-42785</v>
      </c>
      <c r="B2889" t="s">
        <v>5152</v>
      </c>
      <c r="C2889" t="s">
        <v>5309</v>
      </c>
      <c r="D2889" t="s">
        <v>5150</v>
      </c>
      <c r="E2889" t="s">
        <v>5335</v>
      </c>
      <c r="F2889">
        <v>1421.67</v>
      </c>
    </row>
    <row r="2890" spans="1:6">
      <c r="A2890" t="str">
        <f>("19-42815")</f>
        <v>19-42815</v>
      </c>
      <c r="B2890" t="s">
        <v>5152</v>
      </c>
      <c r="C2890" t="s">
        <v>5309</v>
      </c>
      <c r="D2890" t="s">
        <v>5150</v>
      </c>
      <c r="E2890" t="s">
        <v>5334</v>
      </c>
      <c r="F2890">
        <v>1718.33</v>
      </c>
    </row>
    <row r="2891" spans="1:6">
      <c r="A2891" t="str">
        <f>("19-43365")</f>
        <v>19-43365</v>
      </c>
      <c r="B2891" t="s">
        <v>5152</v>
      </c>
      <c r="C2891" t="s">
        <v>5309</v>
      </c>
      <c r="D2891" t="s">
        <v>5163</v>
      </c>
      <c r="E2891" t="s">
        <v>5333</v>
      </c>
      <c r="F2891">
        <v>1718.33</v>
      </c>
    </row>
    <row r="2892" spans="1:6">
      <c r="A2892" t="str">
        <f>("19-43985")</f>
        <v>19-43985</v>
      </c>
      <c r="B2892" t="s">
        <v>5152</v>
      </c>
      <c r="C2892" t="s">
        <v>5309</v>
      </c>
      <c r="D2892" t="s">
        <v>5174</v>
      </c>
      <c r="E2892" t="s">
        <v>5332</v>
      </c>
      <c r="F2892">
        <v>1568.33</v>
      </c>
    </row>
    <row r="2893" spans="1:6">
      <c r="A2893" t="str">
        <f>("19-43995")</f>
        <v>19-43995</v>
      </c>
      <c r="B2893" t="s">
        <v>5152</v>
      </c>
      <c r="C2893" t="s">
        <v>5309</v>
      </c>
      <c r="D2893" t="s">
        <v>5163</v>
      </c>
      <c r="E2893" t="s">
        <v>5331</v>
      </c>
      <c r="F2893">
        <v>1421.67</v>
      </c>
    </row>
    <row r="2894" spans="1:6">
      <c r="A2894" t="str">
        <f>("19-44025")</f>
        <v>19-44025</v>
      </c>
      <c r="B2894" t="s">
        <v>5152</v>
      </c>
      <c r="C2894" t="s">
        <v>5309</v>
      </c>
      <c r="D2894" t="s">
        <v>5174</v>
      </c>
      <c r="E2894" t="s">
        <v>5330</v>
      </c>
      <c r="F2894">
        <v>1421.67</v>
      </c>
    </row>
    <row r="2895" spans="1:6">
      <c r="A2895" t="str">
        <f>("19-44075")</f>
        <v>19-44075</v>
      </c>
      <c r="B2895" t="s">
        <v>5152</v>
      </c>
      <c r="C2895" t="s">
        <v>5309</v>
      </c>
      <c r="D2895" t="s">
        <v>5158</v>
      </c>
      <c r="E2895" t="s">
        <v>5329</v>
      </c>
      <c r="F2895">
        <v>1421.67</v>
      </c>
    </row>
    <row r="2896" spans="1:6">
      <c r="A2896" t="str">
        <f>("19-44095")</f>
        <v>19-44095</v>
      </c>
      <c r="B2896" t="s">
        <v>5152</v>
      </c>
      <c r="C2896" t="s">
        <v>5309</v>
      </c>
      <c r="D2896" t="s">
        <v>5150</v>
      </c>
      <c r="E2896" t="s">
        <v>5328</v>
      </c>
      <c r="F2896">
        <v>1568.33</v>
      </c>
    </row>
    <row r="2897" spans="1:6">
      <c r="A2897" t="str">
        <f>("19-44155")</f>
        <v>19-44155</v>
      </c>
      <c r="B2897" t="s">
        <v>5152</v>
      </c>
      <c r="C2897" t="s">
        <v>5309</v>
      </c>
      <c r="D2897" t="s">
        <v>5163</v>
      </c>
      <c r="E2897" t="s">
        <v>5327</v>
      </c>
      <c r="F2897">
        <v>1571.67</v>
      </c>
    </row>
    <row r="2898" spans="1:6">
      <c r="A2898" t="str">
        <f>("19-44165")</f>
        <v>19-44165</v>
      </c>
      <c r="B2898" t="s">
        <v>5152</v>
      </c>
      <c r="C2898" t="s">
        <v>5309</v>
      </c>
      <c r="D2898" t="s">
        <v>5160</v>
      </c>
      <c r="E2898" t="s">
        <v>5326</v>
      </c>
      <c r="F2898">
        <v>1421.67</v>
      </c>
    </row>
    <row r="2899" spans="1:6">
      <c r="A2899" t="str">
        <f>("19-44175")</f>
        <v>19-44175</v>
      </c>
      <c r="B2899" t="s">
        <v>5152</v>
      </c>
      <c r="C2899" t="s">
        <v>5309</v>
      </c>
      <c r="D2899" t="s">
        <v>5150</v>
      </c>
      <c r="E2899" t="s">
        <v>5325</v>
      </c>
      <c r="F2899">
        <v>1718.33</v>
      </c>
    </row>
    <row r="2900" spans="1:6">
      <c r="A2900" t="str">
        <f>("19-44185")</f>
        <v>19-44185</v>
      </c>
      <c r="B2900" t="s">
        <v>5152</v>
      </c>
      <c r="C2900" t="s">
        <v>5309</v>
      </c>
      <c r="D2900" t="s">
        <v>5150</v>
      </c>
      <c r="E2900" t="s">
        <v>5324</v>
      </c>
      <c r="F2900">
        <v>1568.33</v>
      </c>
    </row>
    <row r="2901" spans="1:6">
      <c r="A2901" t="str">
        <f>("19-44325")</f>
        <v>19-44325</v>
      </c>
      <c r="B2901" t="s">
        <v>5152</v>
      </c>
      <c r="C2901" t="s">
        <v>5309</v>
      </c>
      <c r="D2901" t="s">
        <v>5181</v>
      </c>
      <c r="E2901" t="s">
        <v>5323</v>
      </c>
      <c r="F2901">
        <v>1718.33</v>
      </c>
    </row>
    <row r="2902" spans="1:6">
      <c r="A2902" t="str">
        <f>("19-44545")</f>
        <v>19-44545</v>
      </c>
      <c r="B2902" t="s">
        <v>5152</v>
      </c>
      <c r="C2902" t="s">
        <v>5309</v>
      </c>
      <c r="D2902" t="s">
        <v>5163</v>
      </c>
      <c r="E2902" t="s">
        <v>5322</v>
      </c>
      <c r="F2902">
        <v>1718.33</v>
      </c>
    </row>
    <row r="2903" spans="1:6">
      <c r="A2903" t="str">
        <f>("19-44565")</f>
        <v>19-44565</v>
      </c>
      <c r="B2903" t="s">
        <v>5152</v>
      </c>
      <c r="C2903" t="s">
        <v>5309</v>
      </c>
      <c r="D2903" t="s">
        <v>5163</v>
      </c>
      <c r="E2903" t="s">
        <v>5321</v>
      </c>
      <c r="F2903">
        <v>1571.67</v>
      </c>
    </row>
    <row r="2904" spans="1:6">
      <c r="A2904" t="str">
        <f>("19-44705")</f>
        <v>19-44705</v>
      </c>
      <c r="B2904" t="s">
        <v>5152</v>
      </c>
      <c r="C2904" t="s">
        <v>5309</v>
      </c>
      <c r="D2904" t="s">
        <v>5178</v>
      </c>
      <c r="E2904" t="s">
        <v>5320</v>
      </c>
      <c r="F2904">
        <v>1421.67</v>
      </c>
    </row>
    <row r="2905" spans="1:6">
      <c r="A2905" t="str">
        <f>("19-44735")</f>
        <v>19-44735</v>
      </c>
      <c r="B2905" t="s">
        <v>5152</v>
      </c>
      <c r="C2905" t="s">
        <v>5309</v>
      </c>
      <c r="D2905" t="s">
        <v>5163</v>
      </c>
      <c r="E2905" t="s">
        <v>5319</v>
      </c>
      <c r="F2905">
        <v>1568.33</v>
      </c>
    </row>
    <row r="2906" spans="1:6">
      <c r="A2906" t="str">
        <f>("19-44745")</f>
        <v>19-44745</v>
      </c>
      <c r="B2906" t="s">
        <v>5152</v>
      </c>
      <c r="C2906" t="s">
        <v>5309</v>
      </c>
      <c r="D2906" t="s">
        <v>5163</v>
      </c>
      <c r="E2906" t="s">
        <v>5318</v>
      </c>
      <c r="F2906">
        <v>1568.33</v>
      </c>
    </row>
    <row r="2907" spans="1:6">
      <c r="A2907" t="str">
        <f>("19-44785")</f>
        <v>19-44785</v>
      </c>
      <c r="B2907" t="s">
        <v>5152</v>
      </c>
      <c r="C2907" t="s">
        <v>5309</v>
      </c>
      <c r="D2907" t="s">
        <v>5178</v>
      </c>
      <c r="E2907" t="s">
        <v>5317</v>
      </c>
      <c r="F2907">
        <v>1568.33</v>
      </c>
    </row>
    <row r="2908" spans="1:6">
      <c r="A2908" t="str">
        <f>("19-44795")</f>
        <v>19-44795</v>
      </c>
      <c r="B2908" t="s">
        <v>5152</v>
      </c>
      <c r="C2908" t="s">
        <v>5309</v>
      </c>
      <c r="D2908" t="s">
        <v>5174</v>
      </c>
      <c r="E2908" t="s">
        <v>5316</v>
      </c>
      <c r="F2908">
        <v>1311.67</v>
      </c>
    </row>
    <row r="2909" spans="1:6">
      <c r="A2909" t="str">
        <f>("19-46115")</f>
        <v>19-46115</v>
      </c>
      <c r="B2909" t="s">
        <v>5152</v>
      </c>
      <c r="C2909" t="s">
        <v>5309</v>
      </c>
      <c r="D2909" t="s">
        <v>5174</v>
      </c>
      <c r="E2909" t="s">
        <v>5315</v>
      </c>
      <c r="F2909">
        <v>1718.33</v>
      </c>
    </row>
    <row r="2910" spans="1:6">
      <c r="A2910" t="str">
        <f>("19-46225")</f>
        <v>19-46225</v>
      </c>
      <c r="B2910" t="s">
        <v>5152</v>
      </c>
      <c r="C2910" t="s">
        <v>5309</v>
      </c>
      <c r="D2910" t="s">
        <v>5150</v>
      </c>
      <c r="E2910" t="s">
        <v>5314</v>
      </c>
      <c r="F2910">
        <v>1718.33</v>
      </c>
    </row>
    <row r="2911" spans="1:6">
      <c r="A2911" t="str">
        <f>("19-46235")</f>
        <v>19-46235</v>
      </c>
      <c r="B2911" t="s">
        <v>5152</v>
      </c>
      <c r="C2911" t="s">
        <v>5309</v>
      </c>
      <c r="D2911" t="s">
        <v>5150</v>
      </c>
      <c r="E2911" t="s">
        <v>5313</v>
      </c>
      <c r="F2911">
        <v>1571.67</v>
      </c>
    </row>
    <row r="2912" spans="1:6">
      <c r="A2912" t="str">
        <f>("19-46315")</f>
        <v>19-46315</v>
      </c>
      <c r="B2912" t="s">
        <v>5152</v>
      </c>
      <c r="C2912" t="s">
        <v>5309</v>
      </c>
      <c r="D2912" t="s">
        <v>5150</v>
      </c>
      <c r="E2912" t="s">
        <v>5312</v>
      </c>
      <c r="F2912">
        <v>1571.67</v>
      </c>
    </row>
    <row r="2913" spans="1:6">
      <c r="A2913" t="str">
        <f>("19-46355")</f>
        <v>19-46355</v>
      </c>
      <c r="B2913" t="s">
        <v>5152</v>
      </c>
      <c r="C2913" t="s">
        <v>5309</v>
      </c>
      <c r="D2913" t="s">
        <v>5174</v>
      </c>
      <c r="E2913" t="s">
        <v>5311</v>
      </c>
      <c r="F2913">
        <v>1421.67</v>
      </c>
    </row>
    <row r="2914" spans="1:6">
      <c r="A2914" t="str">
        <f>("19-46365")</f>
        <v>19-46365</v>
      </c>
      <c r="B2914" t="s">
        <v>5152</v>
      </c>
      <c r="C2914" t="s">
        <v>5309</v>
      </c>
      <c r="D2914" t="s">
        <v>5174</v>
      </c>
      <c r="E2914" t="s">
        <v>5310</v>
      </c>
      <c r="F2914">
        <v>1568.33</v>
      </c>
    </row>
    <row r="2915" spans="1:6">
      <c r="A2915" t="str">
        <f>("19-46385")</f>
        <v>19-46385</v>
      </c>
      <c r="B2915" t="s">
        <v>5152</v>
      </c>
      <c r="C2915" t="s">
        <v>5309</v>
      </c>
      <c r="D2915" t="s">
        <v>5163</v>
      </c>
      <c r="E2915" t="s">
        <v>5308</v>
      </c>
      <c r="F2915">
        <v>1571.67</v>
      </c>
    </row>
    <row r="2916" spans="1:6">
      <c r="A2916" t="str">
        <f>("24-64765")</f>
        <v>24-64765</v>
      </c>
      <c r="B2916" t="s">
        <v>5152</v>
      </c>
      <c r="C2916" t="s">
        <v>5307</v>
      </c>
      <c r="D2916" t="s">
        <v>5163</v>
      </c>
      <c r="E2916" t="s">
        <v>5306</v>
      </c>
      <c r="F2916">
        <v>1169</v>
      </c>
    </row>
    <row r="2917" spans="1:6">
      <c r="A2917" t="str">
        <f>("28-31015")</f>
        <v>28-31015</v>
      </c>
      <c r="B2917" t="s">
        <v>5152</v>
      </c>
      <c r="C2917" t="s">
        <v>5298</v>
      </c>
      <c r="D2917" t="s">
        <v>5163</v>
      </c>
      <c r="E2917" t="s">
        <v>5245</v>
      </c>
      <c r="F2917">
        <v>1108.83</v>
      </c>
    </row>
    <row r="2918" spans="1:6">
      <c r="A2918" t="str">
        <f>("28-31035")</f>
        <v>28-31035</v>
      </c>
      <c r="B2918" t="s">
        <v>5152</v>
      </c>
      <c r="C2918" t="s">
        <v>5298</v>
      </c>
      <c r="D2918" t="s">
        <v>5190</v>
      </c>
      <c r="E2918" t="s">
        <v>5305</v>
      </c>
      <c r="F2918">
        <v>2317</v>
      </c>
    </row>
    <row r="2919" spans="1:6">
      <c r="A2919" t="str">
        <f>("28-31045")</f>
        <v>28-31045</v>
      </c>
      <c r="B2919" t="s">
        <v>5152</v>
      </c>
      <c r="C2919" t="s">
        <v>5304</v>
      </c>
      <c r="D2919" t="s">
        <v>5190</v>
      </c>
      <c r="E2919" t="s">
        <v>5303</v>
      </c>
      <c r="F2919">
        <v>756.5</v>
      </c>
    </row>
    <row r="2920" spans="1:6">
      <c r="A2920" t="str">
        <f>("28-31095")</f>
        <v>28-31095</v>
      </c>
      <c r="B2920" t="s">
        <v>5152</v>
      </c>
      <c r="C2920" t="s">
        <v>5298</v>
      </c>
      <c r="D2920" t="s">
        <v>5174</v>
      </c>
      <c r="E2920" t="s">
        <v>5246</v>
      </c>
      <c r="F2920">
        <v>1398.33</v>
      </c>
    </row>
    <row r="2921" spans="1:6">
      <c r="A2921" t="str">
        <f>("28-31135")</f>
        <v>28-31135</v>
      </c>
      <c r="B2921" t="s">
        <v>5152</v>
      </c>
      <c r="C2921" t="s">
        <v>5298</v>
      </c>
      <c r="D2921" t="s">
        <v>5150</v>
      </c>
      <c r="E2921" t="s">
        <v>5254</v>
      </c>
      <c r="F2921">
        <v>1122</v>
      </c>
    </row>
    <row r="2922" spans="1:6">
      <c r="A2922" t="str">
        <f>("28-31275")</f>
        <v>28-31275</v>
      </c>
      <c r="B2922" t="s">
        <v>5152</v>
      </c>
      <c r="C2922" t="s">
        <v>5298</v>
      </c>
      <c r="D2922" t="s">
        <v>5163</v>
      </c>
      <c r="E2922" t="s">
        <v>5302</v>
      </c>
      <c r="F2922">
        <v>1107.5</v>
      </c>
    </row>
    <row r="2923" spans="1:6">
      <c r="A2923" t="str">
        <f>("28-32165")</f>
        <v>28-32165</v>
      </c>
      <c r="B2923" t="s">
        <v>5152</v>
      </c>
      <c r="C2923" t="s">
        <v>5298</v>
      </c>
      <c r="D2923" t="s">
        <v>5150</v>
      </c>
      <c r="E2923" t="s">
        <v>5301</v>
      </c>
      <c r="F2923">
        <v>1098.33</v>
      </c>
    </row>
    <row r="2924" spans="1:6">
      <c r="A2924" t="str">
        <f>("28-32425")</f>
        <v>28-32425</v>
      </c>
      <c r="B2924" t="s">
        <v>5152</v>
      </c>
      <c r="C2924" t="s">
        <v>5298</v>
      </c>
      <c r="D2924" t="s">
        <v>5174</v>
      </c>
      <c r="E2924" t="s">
        <v>5233</v>
      </c>
      <c r="F2924">
        <v>1088.83</v>
      </c>
    </row>
    <row r="2925" spans="1:6">
      <c r="A2925" t="str">
        <f>("28-32485")</f>
        <v>28-32485</v>
      </c>
      <c r="B2925" t="s">
        <v>5152</v>
      </c>
      <c r="C2925" t="s">
        <v>5298</v>
      </c>
      <c r="D2925" t="s">
        <v>5150</v>
      </c>
      <c r="E2925" t="s">
        <v>5149</v>
      </c>
      <c r="F2925">
        <v>1098.33</v>
      </c>
    </row>
    <row r="2926" spans="1:6">
      <c r="A2926" t="str">
        <f>("28-32785")</f>
        <v>28-32785</v>
      </c>
      <c r="B2926" t="s">
        <v>5152</v>
      </c>
      <c r="C2926" t="s">
        <v>5298</v>
      </c>
      <c r="D2926" t="s">
        <v>5150</v>
      </c>
      <c r="E2926" t="s">
        <v>5253</v>
      </c>
      <c r="F2926">
        <v>1123.33</v>
      </c>
    </row>
    <row r="2927" spans="1:6">
      <c r="A2927" t="str">
        <f>("28-33565")</f>
        <v>28-33565</v>
      </c>
      <c r="B2927" t="s">
        <v>5152</v>
      </c>
      <c r="C2927" t="s">
        <v>5298</v>
      </c>
      <c r="D2927" t="s">
        <v>5181</v>
      </c>
      <c r="E2927" t="s">
        <v>5300</v>
      </c>
      <c r="F2927">
        <v>1147</v>
      </c>
    </row>
    <row r="2928" spans="1:6">
      <c r="A2928" t="str">
        <f>("28-33725")</f>
        <v>28-33725</v>
      </c>
      <c r="B2928" t="s">
        <v>5152</v>
      </c>
      <c r="C2928" t="s">
        <v>5298</v>
      </c>
      <c r="D2928" t="s">
        <v>5163</v>
      </c>
      <c r="E2928" t="s">
        <v>5299</v>
      </c>
      <c r="F2928">
        <v>1248.33</v>
      </c>
    </row>
    <row r="2929" spans="1:6">
      <c r="A2929" t="str">
        <f>("28-34065")</f>
        <v>28-34065</v>
      </c>
      <c r="B2929" t="s">
        <v>5152</v>
      </c>
      <c r="C2929" t="s">
        <v>5298</v>
      </c>
      <c r="D2929" t="s">
        <v>5160</v>
      </c>
      <c r="E2929" t="s">
        <v>5237</v>
      </c>
      <c r="F2929">
        <v>1147</v>
      </c>
    </row>
    <row r="2930" spans="1:6">
      <c r="A2930" t="str">
        <f>("28-34085")</f>
        <v>28-34085</v>
      </c>
      <c r="B2930" t="s">
        <v>5152</v>
      </c>
      <c r="C2930" t="s">
        <v>5298</v>
      </c>
      <c r="D2930" t="s">
        <v>5178</v>
      </c>
      <c r="E2930" t="s">
        <v>5244</v>
      </c>
      <c r="F2930">
        <v>1170</v>
      </c>
    </row>
    <row r="2931" spans="1:6">
      <c r="A2931" t="str">
        <f>("28-34165")</f>
        <v>28-34165</v>
      </c>
      <c r="B2931" t="s">
        <v>5152</v>
      </c>
      <c r="C2931" t="s">
        <v>5298</v>
      </c>
      <c r="D2931" t="s">
        <v>5160</v>
      </c>
      <c r="E2931" t="s">
        <v>5236</v>
      </c>
      <c r="F2931">
        <v>1147</v>
      </c>
    </row>
    <row r="2932" spans="1:6">
      <c r="A2932" t="str">
        <f>("29-20001")</f>
        <v>29-20001</v>
      </c>
      <c r="B2932" t="s">
        <v>5152</v>
      </c>
      <c r="C2932" t="s">
        <v>5297</v>
      </c>
      <c r="D2932" t="s">
        <v>5206</v>
      </c>
      <c r="E2932" t="s">
        <v>5296</v>
      </c>
      <c r="F2932">
        <v>336.5</v>
      </c>
    </row>
    <row r="2933" spans="1:6">
      <c r="A2933" t="str">
        <f>("29-20002")</f>
        <v>29-20002</v>
      </c>
      <c r="B2933" t="s">
        <v>5152</v>
      </c>
      <c r="C2933" t="s">
        <v>5295</v>
      </c>
      <c r="D2933" t="s">
        <v>5206</v>
      </c>
      <c r="E2933" t="s">
        <v>5294</v>
      </c>
      <c r="F2933">
        <v>113.83</v>
      </c>
    </row>
    <row r="2934" spans="1:6">
      <c r="A2934" t="str">
        <f>("29-20017")</f>
        <v>29-20017</v>
      </c>
      <c r="B2934" t="s">
        <v>5152</v>
      </c>
      <c r="C2934" t="s">
        <v>5292</v>
      </c>
      <c r="D2934" t="s">
        <v>5206</v>
      </c>
      <c r="E2934" t="s">
        <v>5293</v>
      </c>
      <c r="F2934">
        <v>163.17000000000002</v>
      </c>
    </row>
    <row r="2935" spans="1:6">
      <c r="A2935" t="str">
        <f>("29-20018")</f>
        <v>29-20018</v>
      </c>
      <c r="B2935" t="s">
        <v>5152</v>
      </c>
      <c r="C2935" t="s">
        <v>5292</v>
      </c>
      <c r="D2935" t="s">
        <v>5174</v>
      </c>
      <c r="E2935" t="s">
        <v>5291</v>
      </c>
      <c r="F2935">
        <v>163.17000000000002</v>
      </c>
    </row>
    <row r="2936" spans="1:6">
      <c r="A2936" t="str">
        <f>("29-20031")</f>
        <v>29-20031</v>
      </c>
      <c r="B2936" t="s">
        <v>5152</v>
      </c>
      <c r="C2936" t="s">
        <v>5290</v>
      </c>
      <c r="D2936" t="s">
        <v>5206</v>
      </c>
      <c r="E2936" t="s">
        <v>5289</v>
      </c>
      <c r="F2936">
        <v>773.83</v>
      </c>
    </row>
    <row r="2937" spans="1:6">
      <c r="A2937" t="str">
        <f>("29-20032")</f>
        <v>29-20032</v>
      </c>
      <c r="B2937" t="s">
        <v>5152</v>
      </c>
      <c r="C2937" t="s">
        <v>5288</v>
      </c>
      <c r="D2937" t="s">
        <v>5206</v>
      </c>
      <c r="E2937" t="s">
        <v>5287</v>
      </c>
      <c r="F2937">
        <v>773.83</v>
      </c>
    </row>
    <row r="2938" spans="1:6">
      <c r="A2938" t="str">
        <f>("29-20033")</f>
        <v>29-20033</v>
      </c>
      <c r="B2938" t="s">
        <v>5152</v>
      </c>
      <c r="C2938" t="s">
        <v>5286</v>
      </c>
      <c r="D2938" t="s">
        <v>5206</v>
      </c>
      <c r="E2938" t="s">
        <v>5285</v>
      </c>
      <c r="F2938">
        <v>773.83</v>
      </c>
    </row>
    <row r="2939" spans="1:6">
      <c r="A2939" t="str">
        <f>("29-20034")</f>
        <v>29-20034</v>
      </c>
      <c r="B2939" t="s">
        <v>5152</v>
      </c>
      <c r="C2939" t="s">
        <v>5284</v>
      </c>
      <c r="D2939" t="s">
        <v>5206</v>
      </c>
      <c r="E2939" t="s">
        <v>5283</v>
      </c>
      <c r="F2939">
        <v>773.83</v>
      </c>
    </row>
    <row r="2940" spans="1:6">
      <c r="A2940" t="str">
        <f>("29-20035")</f>
        <v>29-20035</v>
      </c>
      <c r="B2940" t="s">
        <v>5152</v>
      </c>
      <c r="C2940" t="s">
        <v>5282</v>
      </c>
      <c r="D2940" t="s">
        <v>5206</v>
      </c>
      <c r="E2940" t="s">
        <v>5281</v>
      </c>
      <c r="F2940">
        <v>773.83</v>
      </c>
    </row>
    <row r="2941" spans="1:6">
      <c r="A2941" t="str">
        <f>("29-20036")</f>
        <v>29-20036</v>
      </c>
      <c r="B2941" t="s">
        <v>5152</v>
      </c>
      <c r="C2941" t="s">
        <v>5280</v>
      </c>
      <c r="D2941" t="s">
        <v>5206</v>
      </c>
      <c r="E2941" t="s">
        <v>5279</v>
      </c>
      <c r="F2941">
        <v>773.83</v>
      </c>
    </row>
    <row r="2942" spans="1:6">
      <c r="A2942" t="str">
        <f>("29-20037")</f>
        <v>29-20037</v>
      </c>
      <c r="B2942" t="s">
        <v>5152</v>
      </c>
      <c r="C2942" t="s">
        <v>5278</v>
      </c>
      <c r="D2942" t="s">
        <v>5206</v>
      </c>
      <c r="E2942" t="s">
        <v>5277</v>
      </c>
      <c r="F2942">
        <v>773.83</v>
      </c>
    </row>
    <row r="2943" spans="1:6">
      <c r="A2943" t="str">
        <f>("29-20038")</f>
        <v>29-20038</v>
      </c>
      <c r="B2943" t="s">
        <v>5152</v>
      </c>
      <c r="C2943" t="s">
        <v>5276</v>
      </c>
      <c r="D2943" t="s">
        <v>5206</v>
      </c>
      <c r="E2943" t="s">
        <v>5275</v>
      </c>
      <c r="F2943">
        <v>773.83</v>
      </c>
    </row>
    <row r="2944" spans="1:6">
      <c r="A2944" t="str">
        <f>("29-20039")</f>
        <v>29-20039</v>
      </c>
      <c r="B2944" t="s">
        <v>5152</v>
      </c>
      <c r="C2944" t="s">
        <v>5274</v>
      </c>
      <c r="D2944" t="s">
        <v>5206</v>
      </c>
      <c r="E2944" t="s">
        <v>5273</v>
      </c>
      <c r="F2944">
        <v>773.83</v>
      </c>
    </row>
    <row r="2945" spans="1:6">
      <c r="A2945" t="str">
        <f>("29-20040")</f>
        <v>29-20040</v>
      </c>
      <c r="B2945" t="s">
        <v>5152</v>
      </c>
      <c r="C2945" t="s">
        <v>5272</v>
      </c>
      <c r="D2945" t="s">
        <v>5206</v>
      </c>
      <c r="E2945" t="s">
        <v>5271</v>
      </c>
      <c r="F2945">
        <v>773.83</v>
      </c>
    </row>
    <row r="2946" spans="1:6">
      <c r="A2946" t="str">
        <f>("29-20041")</f>
        <v>29-20041</v>
      </c>
      <c r="B2946" t="s">
        <v>5152</v>
      </c>
      <c r="C2946" t="s">
        <v>5270</v>
      </c>
      <c r="D2946" t="s">
        <v>5206</v>
      </c>
      <c r="E2946" t="s">
        <v>5269</v>
      </c>
      <c r="F2946">
        <v>773.83</v>
      </c>
    </row>
    <row r="2947" spans="1:6">
      <c r="A2947" t="str">
        <f>("29-20042")</f>
        <v>29-20042</v>
      </c>
      <c r="B2947" t="s">
        <v>5152</v>
      </c>
      <c r="C2947" t="s">
        <v>5268</v>
      </c>
      <c r="D2947" t="s">
        <v>5206</v>
      </c>
      <c r="E2947" t="s">
        <v>5267</v>
      </c>
      <c r="F2947">
        <v>773.83</v>
      </c>
    </row>
    <row r="2948" spans="1:6">
      <c r="A2948" t="str">
        <f>("29-20043")</f>
        <v>29-20043</v>
      </c>
      <c r="B2948" t="s">
        <v>5152</v>
      </c>
      <c r="C2948" t="s">
        <v>5266</v>
      </c>
      <c r="D2948" t="s">
        <v>5206</v>
      </c>
      <c r="E2948" t="s">
        <v>5265</v>
      </c>
      <c r="F2948">
        <v>773.83</v>
      </c>
    </row>
    <row r="2949" spans="1:6">
      <c r="A2949" t="str">
        <f>("29-20044")</f>
        <v>29-20044</v>
      </c>
      <c r="B2949" t="s">
        <v>5152</v>
      </c>
      <c r="C2949" t="s">
        <v>5264</v>
      </c>
      <c r="D2949" t="s">
        <v>5206</v>
      </c>
      <c r="E2949" t="s">
        <v>5263</v>
      </c>
      <c r="F2949">
        <v>773.83</v>
      </c>
    </row>
    <row r="2950" spans="1:6">
      <c r="A2950" t="str">
        <f>("29-20045")</f>
        <v>29-20045</v>
      </c>
      <c r="B2950" t="s">
        <v>5152</v>
      </c>
      <c r="C2950" t="s">
        <v>5262</v>
      </c>
      <c r="D2950" t="s">
        <v>5206</v>
      </c>
      <c r="E2950" t="s">
        <v>5261</v>
      </c>
      <c r="F2950">
        <v>773.83</v>
      </c>
    </row>
    <row r="2951" spans="1:6">
      <c r="A2951" t="str">
        <f>("29-20046")</f>
        <v>29-20046</v>
      </c>
      <c r="B2951" t="s">
        <v>5152</v>
      </c>
      <c r="C2951" t="s">
        <v>5260</v>
      </c>
      <c r="D2951" t="s">
        <v>5206</v>
      </c>
      <c r="E2951" t="s">
        <v>5259</v>
      </c>
      <c r="F2951">
        <v>773.83</v>
      </c>
    </row>
    <row r="2952" spans="1:6">
      <c r="A2952" t="str">
        <f>("29-20047")</f>
        <v>29-20047</v>
      </c>
      <c r="B2952" t="s">
        <v>5152</v>
      </c>
      <c r="C2952" t="s">
        <v>5258</v>
      </c>
      <c r="D2952" t="s">
        <v>5206</v>
      </c>
      <c r="E2952" t="s">
        <v>5257</v>
      </c>
      <c r="F2952">
        <v>773.83</v>
      </c>
    </row>
    <row r="2953" spans="1:6">
      <c r="A2953" t="str">
        <f>("29-20048")</f>
        <v>29-20048</v>
      </c>
      <c r="B2953" t="s">
        <v>5152</v>
      </c>
      <c r="C2953" t="s">
        <v>5256</v>
      </c>
      <c r="D2953" t="s">
        <v>5206</v>
      </c>
      <c r="E2953" t="s">
        <v>5255</v>
      </c>
      <c r="F2953">
        <v>773.83</v>
      </c>
    </row>
    <row r="2954" spans="1:6">
      <c r="A2954" t="str">
        <f>("29-22775")</f>
        <v>29-22775</v>
      </c>
      <c r="B2954" t="s">
        <v>5152</v>
      </c>
      <c r="C2954" t="s">
        <v>5239</v>
      </c>
      <c r="D2954" t="s">
        <v>5150</v>
      </c>
      <c r="E2954" t="s">
        <v>5254</v>
      </c>
      <c r="F2954">
        <v>2373.67</v>
      </c>
    </row>
    <row r="2955" spans="1:6">
      <c r="A2955" t="str">
        <f>("29-22785")</f>
        <v>29-22785</v>
      </c>
      <c r="B2955" t="s">
        <v>5152</v>
      </c>
      <c r="C2955" t="s">
        <v>5239</v>
      </c>
      <c r="D2955" t="s">
        <v>5150</v>
      </c>
      <c r="E2955" t="s">
        <v>5253</v>
      </c>
      <c r="F2955">
        <v>2373.67</v>
      </c>
    </row>
    <row r="2956" spans="1:6">
      <c r="A2956" t="str">
        <f>("29-23245")</f>
        <v>29-23245</v>
      </c>
      <c r="B2956" t="s">
        <v>5152</v>
      </c>
      <c r="C2956" t="s">
        <v>5239</v>
      </c>
      <c r="D2956" t="s">
        <v>5150</v>
      </c>
      <c r="E2956" t="s">
        <v>5252</v>
      </c>
      <c r="F2956">
        <v>2373.67</v>
      </c>
    </row>
    <row r="2957" spans="1:6">
      <c r="A2957" t="str">
        <f>("29-23255")</f>
        <v>29-23255</v>
      </c>
      <c r="B2957" t="s">
        <v>5152</v>
      </c>
      <c r="C2957" t="s">
        <v>5239</v>
      </c>
      <c r="D2957" t="s">
        <v>5150</v>
      </c>
      <c r="E2957" t="s">
        <v>5155</v>
      </c>
      <c r="F2957">
        <v>2373.67</v>
      </c>
    </row>
    <row r="2958" spans="1:6">
      <c r="A2958" t="str">
        <f>("29-23295")</f>
        <v>29-23295</v>
      </c>
      <c r="B2958" t="s">
        <v>5152</v>
      </c>
      <c r="C2958" t="s">
        <v>5239</v>
      </c>
      <c r="D2958" t="s">
        <v>5160</v>
      </c>
      <c r="E2958" t="s">
        <v>5161</v>
      </c>
      <c r="F2958">
        <v>2373.67</v>
      </c>
    </row>
    <row r="2959" spans="1:6">
      <c r="A2959" t="str">
        <f>("29-23555")</f>
        <v>29-23555</v>
      </c>
      <c r="B2959" t="s">
        <v>5152</v>
      </c>
      <c r="C2959" t="s">
        <v>5239</v>
      </c>
      <c r="D2959" t="s">
        <v>5181</v>
      </c>
      <c r="E2959" t="s">
        <v>5251</v>
      </c>
      <c r="F2959">
        <v>2373.67</v>
      </c>
    </row>
    <row r="2960" spans="1:6">
      <c r="A2960" t="str">
        <f>("29-23565")</f>
        <v>29-23565</v>
      </c>
      <c r="B2960" t="s">
        <v>5152</v>
      </c>
      <c r="C2960" t="s">
        <v>5239</v>
      </c>
      <c r="D2960" t="s">
        <v>5181</v>
      </c>
      <c r="E2960" t="s">
        <v>5250</v>
      </c>
      <c r="F2960">
        <v>2408.67</v>
      </c>
    </row>
    <row r="2961" spans="1:6">
      <c r="A2961" t="str">
        <f>("29-23725")</f>
        <v>29-23725</v>
      </c>
      <c r="B2961" t="s">
        <v>5152</v>
      </c>
      <c r="C2961" t="s">
        <v>5239</v>
      </c>
      <c r="D2961" t="s">
        <v>5163</v>
      </c>
      <c r="E2961" t="s">
        <v>5249</v>
      </c>
      <c r="F2961">
        <v>2408.67</v>
      </c>
    </row>
    <row r="2962" spans="1:6">
      <c r="A2962" t="str">
        <f>("29-23835")</f>
        <v>29-23835</v>
      </c>
      <c r="B2962" t="s">
        <v>5152</v>
      </c>
      <c r="C2962" t="s">
        <v>5239</v>
      </c>
      <c r="D2962" t="s">
        <v>5150</v>
      </c>
      <c r="E2962" t="s">
        <v>5248</v>
      </c>
      <c r="F2962">
        <v>2373.67</v>
      </c>
    </row>
    <row r="2963" spans="1:6">
      <c r="A2963" t="str">
        <f>("29-23935")</f>
        <v>29-23935</v>
      </c>
      <c r="B2963" t="s">
        <v>5152</v>
      </c>
      <c r="C2963" t="s">
        <v>5239</v>
      </c>
      <c r="D2963" t="s">
        <v>5174</v>
      </c>
      <c r="E2963" t="s">
        <v>5247</v>
      </c>
      <c r="F2963">
        <v>2373.67</v>
      </c>
    </row>
    <row r="2964" spans="1:6">
      <c r="A2964" t="str">
        <f>("29-23945")</f>
        <v>29-23945</v>
      </c>
      <c r="B2964" t="s">
        <v>5152</v>
      </c>
      <c r="C2964" t="s">
        <v>5239</v>
      </c>
      <c r="D2964" t="s">
        <v>5174</v>
      </c>
      <c r="E2964" t="s">
        <v>5246</v>
      </c>
      <c r="F2964">
        <v>2473.67</v>
      </c>
    </row>
    <row r="2965" spans="1:6">
      <c r="A2965" t="str">
        <f>("29-24015")</f>
        <v>29-24015</v>
      </c>
      <c r="B2965" t="s">
        <v>5152</v>
      </c>
      <c r="C2965" t="s">
        <v>5239</v>
      </c>
      <c r="D2965" t="s">
        <v>5163</v>
      </c>
      <c r="E2965" t="s">
        <v>5245</v>
      </c>
      <c r="F2965">
        <v>2408.67</v>
      </c>
    </row>
    <row r="2966" spans="1:6">
      <c r="A2966" t="str">
        <f>("29-24065")</f>
        <v>29-24065</v>
      </c>
      <c r="B2966" t="s">
        <v>5152</v>
      </c>
      <c r="C2966" t="s">
        <v>5239</v>
      </c>
      <c r="D2966" t="s">
        <v>5160</v>
      </c>
      <c r="E2966" t="s">
        <v>5237</v>
      </c>
      <c r="F2966">
        <v>2373.67</v>
      </c>
    </row>
    <row r="2967" spans="1:6">
      <c r="A2967" t="str">
        <f>("29-24085")</f>
        <v>29-24085</v>
      </c>
      <c r="B2967" t="s">
        <v>5152</v>
      </c>
      <c r="C2967" t="s">
        <v>5239</v>
      </c>
      <c r="D2967" t="s">
        <v>5178</v>
      </c>
      <c r="E2967" t="s">
        <v>5244</v>
      </c>
      <c r="F2967">
        <v>2408.67</v>
      </c>
    </row>
    <row r="2968" spans="1:6">
      <c r="A2968" t="str">
        <f>("29-24125")</f>
        <v>29-24125</v>
      </c>
      <c r="B2968" t="s">
        <v>5152</v>
      </c>
      <c r="C2968" t="s">
        <v>5239</v>
      </c>
      <c r="D2968" t="s">
        <v>5163</v>
      </c>
      <c r="E2968" t="s">
        <v>5243</v>
      </c>
      <c r="F2968">
        <v>2373.67</v>
      </c>
    </row>
    <row r="2969" spans="1:6">
      <c r="A2969" t="str">
        <f>("29-24135")</f>
        <v>29-24135</v>
      </c>
      <c r="B2969" t="s">
        <v>5152</v>
      </c>
      <c r="C2969" t="s">
        <v>5239</v>
      </c>
      <c r="D2969" t="s">
        <v>5163</v>
      </c>
      <c r="E2969" t="s">
        <v>5242</v>
      </c>
      <c r="F2969">
        <v>2473.67</v>
      </c>
    </row>
    <row r="2970" spans="1:6">
      <c r="A2970" t="str">
        <f>("29-24155")</f>
        <v>29-24155</v>
      </c>
      <c r="B2970" t="s">
        <v>5152</v>
      </c>
      <c r="C2970" t="s">
        <v>5239</v>
      </c>
      <c r="D2970" t="s">
        <v>5174</v>
      </c>
      <c r="E2970" t="s">
        <v>5241</v>
      </c>
      <c r="F2970">
        <v>2348.67</v>
      </c>
    </row>
    <row r="2971" spans="1:6">
      <c r="A2971" t="str">
        <f>("29-24165")</f>
        <v>29-24165</v>
      </c>
      <c r="B2971" t="s">
        <v>5152</v>
      </c>
      <c r="C2971" t="s">
        <v>5239</v>
      </c>
      <c r="D2971" t="s">
        <v>5160</v>
      </c>
      <c r="E2971" t="s">
        <v>5236</v>
      </c>
      <c r="F2971">
        <v>2348.67</v>
      </c>
    </row>
    <row r="2972" spans="1:6">
      <c r="A2972" t="str">
        <f>("29-24185")</f>
        <v>29-24185</v>
      </c>
      <c r="B2972" t="s">
        <v>5152</v>
      </c>
      <c r="C2972" t="s">
        <v>5239</v>
      </c>
      <c r="D2972" t="s">
        <v>5174</v>
      </c>
      <c r="E2972" t="s">
        <v>5235</v>
      </c>
      <c r="F2972">
        <v>2348.67</v>
      </c>
    </row>
    <row r="2973" spans="1:6">
      <c r="A2973" t="str">
        <f>("29-24195")</f>
        <v>29-24195</v>
      </c>
      <c r="B2973" t="s">
        <v>5152</v>
      </c>
      <c r="C2973" t="s">
        <v>5239</v>
      </c>
      <c r="D2973" t="s">
        <v>5174</v>
      </c>
      <c r="E2973" t="s">
        <v>5240</v>
      </c>
      <c r="F2973">
        <v>2348.67</v>
      </c>
    </row>
    <row r="2974" spans="1:6">
      <c r="A2974" t="str">
        <f>("29-24225")</f>
        <v>29-24225</v>
      </c>
      <c r="B2974" t="s">
        <v>5152</v>
      </c>
      <c r="C2974" t="s">
        <v>5239</v>
      </c>
      <c r="D2974" t="s">
        <v>5150</v>
      </c>
      <c r="E2974" t="s">
        <v>5149</v>
      </c>
      <c r="F2974">
        <v>2373.67</v>
      </c>
    </row>
    <row r="2975" spans="1:6">
      <c r="A2975" t="str">
        <f>("29-24235")</f>
        <v>29-24235</v>
      </c>
      <c r="B2975" t="s">
        <v>5152</v>
      </c>
      <c r="C2975" t="s">
        <v>5239</v>
      </c>
      <c r="D2975" t="s">
        <v>5150</v>
      </c>
      <c r="E2975" t="s">
        <v>5238</v>
      </c>
      <c r="F2975">
        <v>2373.67</v>
      </c>
    </row>
    <row r="2976" spans="1:6">
      <c r="A2976" t="str">
        <f>("42-14065")</f>
        <v>42-14065</v>
      </c>
      <c r="B2976" t="s">
        <v>5152</v>
      </c>
      <c r="C2976" t="s">
        <v>5232</v>
      </c>
      <c r="D2976" t="s">
        <v>5160</v>
      </c>
      <c r="E2976" t="s">
        <v>5237</v>
      </c>
      <c r="F2976">
        <v>1200.67</v>
      </c>
    </row>
    <row r="2977" spans="1:6">
      <c r="A2977" t="str">
        <f>("42-14165")</f>
        <v>42-14165</v>
      </c>
      <c r="B2977" t="s">
        <v>5152</v>
      </c>
      <c r="C2977" t="s">
        <v>5232</v>
      </c>
      <c r="D2977" t="s">
        <v>5160</v>
      </c>
      <c r="E2977" t="s">
        <v>5236</v>
      </c>
      <c r="F2977">
        <v>1325.67</v>
      </c>
    </row>
    <row r="2978" spans="1:6">
      <c r="A2978" t="str">
        <f>("42-14185")</f>
        <v>42-14185</v>
      </c>
      <c r="B2978" t="s">
        <v>5152</v>
      </c>
      <c r="C2978" t="s">
        <v>5232</v>
      </c>
      <c r="D2978" t="s">
        <v>5174</v>
      </c>
      <c r="E2978" t="s">
        <v>5235</v>
      </c>
      <c r="F2978">
        <v>1276.67</v>
      </c>
    </row>
    <row r="2979" spans="1:6">
      <c r="A2979" t="str">
        <f>("42-141855")</f>
        <v>42-141855</v>
      </c>
      <c r="B2979" t="s">
        <v>5152</v>
      </c>
      <c r="C2979" t="s">
        <v>5234</v>
      </c>
      <c r="D2979" t="s">
        <v>5174</v>
      </c>
      <c r="E2979" t="s">
        <v>5235</v>
      </c>
      <c r="F2979">
        <v>227</v>
      </c>
    </row>
    <row r="2980" spans="1:6">
      <c r="A2980" t="str">
        <f>("42-14195")</f>
        <v>42-14195</v>
      </c>
      <c r="B2980" t="s">
        <v>5152</v>
      </c>
      <c r="C2980" t="s">
        <v>5232</v>
      </c>
      <c r="D2980" t="s">
        <v>5174</v>
      </c>
      <c r="E2980" t="s">
        <v>5233</v>
      </c>
      <c r="F2980">
        <v>1430</v>
      </c>
    </row>
    <row r="2981" spans="1:6">
      <c r="A2981" t="str">
        <f>("42-141955")</f>
        <v>42-141955</v>
      </c>
      <c r="B2981" t="s">
        <v>5152</v>
      </c>
      <c r="C2981" t="s">
        <v>5234</v>
      </c>
      <c r="D2981" t="s">
        <v>5174</v>
      </c>
      <c r="E2981" t="s">
        <v>5233</v>
      </c>
      <c r="F2981">
        <v>227</v>
      </c>
    </row>
    <row r="2982" spans="1:6">
      <c r="A2982" t="str">
        <f>("42-14205")</f>
        <v>42-14205</v>
      </c>
      <c r="B2982" t="s">
        <v>5152</v>
      </c>
      <c r="C2982" t="s">
        <v>5232</v>
      </c>
      <c r="D2982" t="s">
        <v>5150</v>
      </c>
      <c r="E2982" t="s">
        <v>5231</v>
      </c>
      <c r="F2982">
        <v>1705</v>
      </c>
    </row>
    <row r="2983" spans="1:6">
      <c r="A2983" t="str">
        <f>("57-23900")</f>
        <v>57-23900</v>
      </c>
      <c r="B2983" t="s">
        <v>5152</v>
      </c>
      <c r="C2983" t="s">
        <v>5230</v>
      </c>
      <c r="D2983" t="s">
        <v>5174</v>
      </c>
      <c r="E2983" t="s">
        <v>5229</v>
      </c>
      <c r="F2983">
        <v>2463.67</v>
      </c>
    </row>
    <row r="2984" spans="1:6">
      <c r="A2984" t="str">
        <f>("57-923545")</f>
        <v>57-923545</v>
      </c>
      <c r="B2984" t="s">
        <v>5152</v>
      </c>
      <c r="C2984" t="s">
        <v>5210</v>
      </c>
      <c r="D2984" t="s">
        <v>5181</v>
      </c>
      <c r="E2984" t="s">
        <v>5228</v>
      </c>
      <c r="F2984">
        <v>2141</v>
      </c>
    </row>
    <row r="2985" spans="1:6">
      <c r="A2985" t="str">
        <f>("57-923545A")</f>
        <v>57-923545A</v>
      </c>
      <c r="B2985" t="s">
        <v>5152</v>
      </c>
      <c r="C2985" t="s">
        <v>5209</v>
      </c>
      <c r="D2985" t="s">
        <v>5181</v>
      </c>
      <c r="E2985" t="s">
        <v>5227</v>
      </c>
      <c r="F2985">
        <v>1172.33</v>
      </c>
    </row>
    <row r="2986" spans="1:6">
      <c r="A2986" t="str">
        <f>("57-923555")</f>
        <v>57-923555</v>
      </c>
      <c r="B2986" t="s">
        <v>5152</v>
      </c>
      <c r="C2986" t="s">
        <v>5210</v>
      </c>
      <c r="D2986" t="s">
        <v>5178</v>
      </c>
      <c r="E2986" t="s">
        <v>5226</v>
      </c>
      <c r="F2986">
        <v>1885</v>
      </c>
    </row>
    <row r="2987" spans="1:6">
      <c r="A2987" t="str">
        <f>("57-923555A")</f>
        <v>57-923555A</v>
      </c>
      <c r="B2987" t="s">
        <v>5152</v>
      </c>
      <c r="C2987" t="s">
        <v>5209</v>
      </c>
      <c r="D2987" t="s">
        <v>5178</v>
      </c>
      <c r="E2987" t="s">
        <v>5226</v>
      </c>
      <c r="F2987">
        <v>1172.33</v>
      </c>
    </row>
    <row r="2988" spans="1:6">
      <c r="A2988" t="str">
        <f>("57-923705")</f>
        <v>57-923705</v>
      </c>
      <c r="B2988" t="s">
        <v>5152</v>
      </c>
      <c r="C2988" t="s">
        <v>5210</v>
      </c>
      <c r="D2988" t="s">
        <v>5150</v>
      </c>
      <c r="E2988" t="s">
        <v>5225</v>
      </c>
      <c r="F2988">
        <v>1935.67</v>
      </c>
    </row>
    <row r="2989" spans="1:6">
      <c r="A2989" t="str">
        <f>("57-923705A")</f>
        <v>57-923705A</v>
      </c>
      <c r="B2989" t="s">
        <v>5152</v>
      </c>
      <c r="C2989" t="s">
        <v>5209</v>
      </c>
      <c r="D2989" t="s">
        <v>5150</v>
      </c>
      <c r="E2989" t="s">
        <v>5225</v>
      </c>
      <c r="F2989">
        <v>1172.33</v>
      </c>
    </row>
    <row r="2990" spans="1:6">
      <c r="A2990" t="str">
        <f>("57-923875")</f>
        <v>57-923875</v>
      </c>
      <c r="B2990" t="s">
        <v>5152</v>
      </c>
      <c r="C2990" t="s">
        <v>5210</v>
      </c>
      <c r="D2990" t="s">
        <v>5216</v>
      </c>
      <c r="E2990" t="s">
        <v>5224</v>
      </c>
      <c r="F2990">
        <v>1935.67</v>
      </c>
    </row>
    <row r="2991" spans="1:6">
      <c r="A2991" t="str">
        <f>("57-923875A")</f>
        <v>57-923875A</v>
      </c>
      <c r="B2991" t="s">
        <v>5152</v>
      </c>
      <c r="C2991" t="s">
        <v>5209</v>
      </c>
      <c r="D2991" t="s">
        <v>5216</v>
      </c>
      <c r="E2991" t="s">
        <v>5224</v>
      </c>
      <c r="F2991">
        <v>1172.33</v>
      </c>
    </row>
    <row r="2992" spans="1:6">
      <c r="A2992" t="str">
        <f>("57-923905")</f>
        <v>57-923905</v>
      </c>
      <c r="B2992" t="s">
        <v>5152</v>
      </c>
      <c r="C2992" t="s">
        <v>5210</v>
      </c>
      <c r="D2992" t="s">
        <v>5174</v>
      </c>
      <c r="E2992" t="s">
        <v>5223</v>
      </c>
      <c r="F2992">
        <v>2141</v>
      </c>
    </row>
    <row r="2993" spans="1:6">
      <c r="A2993" t="str">
        <f>("57-923905A")</f>
        <v>57-923905A</v>
      </c>
      <c r="B2993" t="s">
        <v>5152</v>
      </c>
      <c r="C2993" t="s">
        <v>5209</v>
      </c>
      <c r="D2993" t="s">
        <v>5174</v>
      </c>
      <c r="E2993" t="s">
        <v>5222</v>
      </c>
      <c r="F2993">
        <v>1172.33</v>
      </c>
    </row>
    <row r="2994" spans="1:6">
      <c r="A2994" t="str">
        <f>("57-923935")</f>
        <v>57-923935</v>
      </c>
      <c r="B2994" t="s">
        <v>5152</v>
      </c>
      <c r="C2994" t="s">
        <v>5210</v>
      </c>
      <c r="D2994" t="s">
        <v>5174</v>
      </c>
      <c r="E2994" t="s">
        <v>5221</v>
      </c>
      <c r="F2994">
        <v>1935.67</v>
      </c>
    </row>
    <row r="2995" spans="1:6">
      <c r="A2995" t="str">
        <f>("57-923935A")</f>
        <v>57-923935A</v>
      </c>
      <c r="B2995" t="s">
        <v>5152</v>
      </c>
      <c r="C2995" t="s">
        <v>5209</v>
      </c>
      <c r="D2995" t="s">
        <v>5174</v>
      </c>
      <c r="E2995" t="s">
        <v>5220</v>
      </c>
      <c r="F2995">
        <v>1172.33</v>
      </c>
    </row>
    <row r="2996" spans="1:6">
      <c r="A2996" t="str">
        <f>("57-923955")</f>
        <v>57-923955</v>
      </c>
      <c r="B2996" t="s">
        <v>5152</v>
      </c>
      <c r="C2996" t="s">
        <v>5210</v>
      </c>
      <c r="D2996" t="s">
        <v>5216</v>
      </c>
      <c r="E2996" t="s">
        <v>5219</v>
      </c>
      <c r="F2996">
        <v>1935.67</v>
      </c>
    </row>
    <row r="2997" spans="1:6">
      <c r="A2997" t="str">
        <f>("57-923955A")</f>
        <v>57-923955A</v>
      </c>
      <c r="B2997" t="s">
        <v>5152</v>
      </c>
      <c r="C2997" t="s">
        <v>5209</v>
      </c>
      <c r="D2997" t="s">
        <v>5216</v>
      </c>
      <c r="E2997" t="s">
        <v>5218</v>
      </c>
      <c r="F2997">
        <v>1172.33</v>
      </c>
    </row>
    <row r="2998" spans="1:6">
      <c r="A2998" t="str">
        <f>("57-923995")</f>
        <v>57-923995</v>
      </c>
      <c r="B2998" t="s">
        <v>5152</v>
      </c>
      <c r="C2998" t="s">
        <v>5210</v>
      </c>
      <c r="D2998" t="s">
        <v>5216</v>
      </c>
      <c r="E2998" t="s">
        <v>5217</v>
      </c>
      <c r="F2998">
        <v>1935.67</v>
      </c>
    </row>
    <row r="2999" spans="1:6">
      <c r="A2999" t="str">
        <f>("57-923995A")</f>
        <v>57-923995A</v>
      </c>
      <c r="B2999" t="s">
        <v>5152</v>
      </c>
      <c r="C2999" t="s">
        <v>5209</v>
      </c>
      <c r="D2999" t="s">
        <v>5216</v>
      </c>
      <c r="E2999" t="s">
        <v>5215</v>
      </c>
      <c r="F2999">
        <v>1322.33</v>
      </c>
    </row>
    <row r="3000" spans="1:6">
      <c r="A3000" t="str">
        <f>("57-924025")</f>
        <v>57-924025</v>
      </c>
      <c r="B3000" t="s">
        <v>5152</v>
      </c>
      <c r="C3000" t="s">
        <v>5210</v>
      </c>
      <c r="D3000" t="s">
        <v>5178</v>
      </c>
      <c r="E3000" t="s">
        <v>5214</v>
      </c>
      <c r="F3000">
        <v>1885</v>
      </c>
    </row>
    <row r="3001" spans="1:6">
      <c r="A3001" t="str">
        <f>("57-924025A")</f>
        <v>57-924025A</v>
      </c>
      <c r="B3001" t="s">
        <v>5152</v>
      </c>
      <c r="C3001" t="s">
        <v>5209</v>
      </c>
      <c r="D3001" t="s">
        <v>5178</v>
      </c>
      <c r="E3001" t="s">
        <v>5213</v>
      </c>
      <c r="F3001">
        <v>1172.33</v>
      </c>
    </row>
    <row r="3002" spans="1:6">
      <c r="A3002" t="str">
        <f>("57-924065")</f>
        <v>57-924065</v>
      </c>
      <c r="B3002" t="s">
        <v>5152</v>
      </c>
      <c r="C3002" t="s">
        <v>5210</v>
      </c>
      <c r="D3002" t="s">
        <v>5174</v>
      </c>
      <c r="E3002" t="s">
        <v>5212</v>
      </c>
      <c r="F3002">
        <v>1935.67</v>
      </c>
    </row>
    <row r="3003" spans="1:6">
      <c r="A3003" t="str">
        <f>("57-924065A")</f>
        <v>57-924065A</v>
      </c>
      <c r="B3003" t="s">
        <v>5152</v>
      </c>
      <c r="C3003" t="s">
        <v>5209</v>
      </c>
      <c r="D3003" t="s">
        <v>5174</v>
      </c>
      <c r="E3003" t="s">
        <v>5211</v>
      </c>
      <c r="F3003">
        <v>1172.33</v>
      </c>
    </row>
    <row r="3004" spans="1:6">
      <c r="A3004" t="str">
        <f>("57-924075")</f>
        <v>57-924075</v>
      </c>
      <c r="B3004" t="s">
        <v>5152</v>
      </c>
      <c r="C3004" t="s">
        <v>5210</v>
      </c>
      <c r="D3004" t="s">
        <v>5158</v>
      </c>
      <c r="E3004" t="s">
        <v>5208</v>
      </c>
      <c r="F3004">
        <v>1771</v>
      </c>
    </row>
    <row r="3005" spans="1:6">
      <c r="A3005" t="str">
        <f>("57-924075A")</f>
        <v>57-924075A</v>
      </c>
      <c r="B3005" t="s">
        <v>5152</v>
      </c>
      <c r="C3005" t="s">
        <v>5209</v>
      </c>
      <c r="D3005" t="s">
        <v>5158</v>
      </c>
      <c r="E3005" t="s">
        <v>5208</v>
      </c>
      <c r="F3005">
        <v>1172.33</v>
      </c>
    </row>
    <row r="3006" spans="1:6">
      <c r="A3006" t="str">
        <f>("59-710065")</f>
        <v>59-710065</v>
      </c>
      <c r="B3006" t="s">
        <v>5152</v>
      </c>
      <c r="C3006" t="s">
        <v>5207</v>
      </c>
      <c r="D3006" t="s">
        <v>5206</v>
      </c>
      <c r="E3006" t="s">
        <v>5205</v>
      </c>
      <c r="F3006">
        <v>390.67</v>
      </c>
    </row>
    <row r="3007" spans="1:6">
      <c r="A3007" t="str">
        <f>("59-711255")</f>
        <v>59-711255</v>
      </c>
      <c r="B3007" t="s">
        <v>5152</v>
      </c>
      <c r="C3007" t="s">
        <v>5204</v>
      </c>
      <c r="D3007" t="s">
        <v>5174</v>
      </c>
      <c r="E3007" t="s">
        <v>5203</v>
      </c>
      <c r="F3007">
        <v>1401.67</v>
      </c>
    </row>
    <row r="3008" spans="1:6">
      <c r="A3008" t="str">
        <f>("59-712195")</f>
        <v>59-712195</v>
      </c>
      <c r="B3008" t="s">
        <v>5152</v>
      </c>
      <c r="C3008" t="s">
        <v>5202</v>
      </c>
      <c r="D3008" t="s">
        <v>5160</v>
      </c>
      <c r="E3008" t="s">
        <v>5201</v>
      </c>
      <c r="F3008">
        <v>1122</v>
      </c>
    </row>
    <row r="3009" spans="1:6">
      <c r="A3009" t="str">
        <f>("59-721255")</f>
        <v>59-721255</v>
      </c>
      <c r="B3009" t="s">
        <v>5152</v>
      </c>
      <c r="C3009" t="s">
        <v>5200</v>
      </c>
      <c r="D3009" t="s">
        <v>5174</v>
      </c>
      <c r="E3009" t="s">
        <v>5199</v>
      </c>
      <c r="F3009">
        <v>362.33</v>
      </c>
    </row>
    <row r="3010" spans="1:6">
      <c r="A3010" t="str">
        <f>("59-731255")</f>
        <v>59-731255</v>
      </c>
      <c r="B3010" t="s">
        <v>5152</v>
      </c>
      <c r="C3010" t="s">
        <v>5198</v>
      </c>
      <c r="D3010" t="s">
        <v>5174</v>
      </c>
      <c r="E3010" t="s">
        <v>5195</v>
      </c>
      <c r="F3010">
        <v>426</v>
      </c>
    </row>
    <row r="3011" spans="1:6">
      <c r="A3011" t="str">
        <f>("59-732295")</f>
        <v>59-732295</v>
      </c>
      <c r="B3011" t="s">
        <v>5152</v>
      </c>
      <c r="C3011" t="s">
        <v>5197</v>
      </c>
      <c r="D3011" t="s">
        <v>5190</v>
      </c>
      <c r="E3011" t="s">
        <v>5189</v>
      </c>
      <c r="F3011">
        <v>1428.67</v>
      </c>
    </row>
    <row r="3012" spans="1:6">
      <c r="A3012" t="str">
        <f>("59-741255")</f>
        <v>59-741255</v>
      </c>
      <c r="B3012" t="s">
        <v>5152</v>
      </c>
      <c r="C3012" t="s">
        <v>5196</v>
      </c>
      <c r="D3012" t="s">
        <v>5174</v>
      </c>
      <c r="E3012" t="s">
        <v>5195</v>
      </c>
      <c r="F3012">
        <v>178.33</v>
      </c>
    </row>
    <row r="3013" spans="1:6">
      <c r="A3013" t="str">
        <f>("59-742295")</f>
        <v>59-742295</v>
      </c>
      <c r="B3013" t="s">
        <v>5152</v>
      </c>
      <c r="C3013" t="s">
        <v>5194</v>
      </c>
      <c r="D3013" t="s">
        <v>5190</v>
      </c>
      <c r="E3013" t="s">
        <v>5189</v>
      </c>
      <c r="F3013">
        <v>1428.67</v>
      </c>
    </row>
    <row r="3014" spans="1:6">
      <c r="A3014" t="str">
        <f>("59-751255")</f>
        <v>59-751255</v>
      </c>
      <c r="B3014" t="s">
        <v>5152</v>
      </c>
      <c r="C3014" t="s">
        <v>5193</v>
      </c>
      <c r="D3014" t="s">
        <v>5174</v>
      </c>
      <c r="E3014" t="s">
        <v>5192</v>
      </c>
      <c r="F3014">
        <v>740.83</v>
      </c>
    </row>
    <row r="3015" spans="1:6">
      <c r="A3015" t="str">
        <f>("59-752295")</f>
        <v>59-752295</v>
      </c>
      <c r="B3015" t="s">
        <v>5152</v>
      </c>
      <c r="C3015" t="s">
        <v>5191</v>
      </c>
      <c r="D3015" t="s">
        <v>5190</v>
      </c>
      <c r="E3015" t="s">
        <v>5189</v>
      </c>
      <c r="F3015">
        <v>330.33</v>
      </c>
    </row>
    <row r="3016" spans="1:6">
      <c r="A3016" t="str">
        <f>("59-761255")</f>
        <v>59-761255</v>
      </c>
      <c r="B3016" t="s">
        <v>5152</v>
      </c>
      <c r="C3016" t="s">
        <v>5188</v>
      </c>
      <c r="D3016" t="s">
        <v>5174</v>
      </c>
      <c r="E3016" t="s">
        <v>5187</v>
      </c>
      <c r="F3016">
        <v>730.33</v>
      </c>
    </row>
    <row r="3017" spans="1:6">
      <c r="A3017" t="str">
        <f>("6-257022")</f>
        <v>6-257022</v>
      </c>
      <c r="B3017" t="s">
        <v>5186</v>
      </c>
      <c r="C3017" t="s">
        <v>5185</v>
      </c>
      <c r="D3017" t="s">
        <v>5184</v>
      </c>
      <c r="E3017" t="s">
        <v>5183</v>
      </c>
      <c r="F3017">
        <v>35.5</v>
      </c>
    </row>
    <row r="3018" spans="1:6">
      <c r="A3018" t="str">
        <f>("72-35901")</f>
        <v>72-35901</v>
      </c>
      <c r="B3018" t="s">
        <v>5152</v>
      </c>
      <c r="C3018" t="s">
        <v>5151</v>
      </c>
      <c r="D3018" t="s">
        <v>5181</v>
      </c>
      <c r="E3018" t="s">
        <v>5182</v>
      </c>
      <c r="F3018">
        <v>162.33000000000001</v>
      </c>
    </row>
    <row r="3019" spans="1:6">
      <c r="A3019" t="str">
        <f>("72-35903")</f>
        <v>72-35903</v>
      </c>
      <c r="B3019" t="s">
        <v>5152</v>
      </c>
      <c r="C3019" t="s">
        <v>5151</v>
      </c>
      <c r="D3019" t="s">
        <v>5181</v>
      </c>
      <c r="E3019" t="s">
        <v>5180</v>
      </c>
      <c r="F3019">
        <v>181</v>
      </c>
    </row>
    <row r="3020" spans="1:6">
      <c r="A3020" t="str">
        <f>("72-35907")</f>
        <v>72-35907</v>
      </c>
      <c r="B3020" t="s">
        <v>5152</v>
      </c>
      <c r="C3020" t="s">
        <v>5151</v>
      </c>
      <c r="D3020" t="s">
        <v>5178</v>
      </c>
      <c r="E3020" t="s">
        <v>5179</v>
      </c>
      <c r="F3020">
        <v>162.33000000000001</v>
      </c>
    </row>
    <row r="3021" spans="1:6">
      <c r="A3021" t="str">
        <f>("72-35909")</f>
        <v>72-35909</v>
      </c>
      <c r="B3021" t="s">
        <v>5152</v>
      </c>
      <c r="C3021" t="s">
        <v>5151</v>
      </c>
      <c r="D3021" t="s">
        <v>5178</v>
      </c>
      <c r="E3021" t="s">
        <v>5177</v>
      </c>
      <c r="F3021">
        <v>162.33000000000001</v>
      </c>
    </row>
    <row r="3022" spans="1:6">
      <c r="A3022" t="str">
        <f>("72-37905")</f>
        <v>72-37905</v>
      </c>
      <c r="B3022" t="s">
        <v>5152</v>
      </c>
      <c r="C3022" t="s">
        <v>5151</v>
      </c>
      <c r="D3022" t="s">
        <v>5174</v>
      </c>
      <c r="E3022" t="s">
        <v>5176</v>
      </c>
      <c r="F3022">
        <v>181</v>
      </c>
    </row>
    <row r="3023" spans="1:6">
      <c r="A3023" t="str">
        <f>("72-37907")</f>
        <v>72-37907</v>
      </c>
      <c r="B3023" t="s">
        <v>5152</v>
      </c>
      <c r="C3023" t="s">
        <v>5151</v>
      </c>
      <c r="D3023" t="s">
        <v>5174</v>
      </c>
      <c r="E3023" t="s">
        <v>5175</v>
      </c>
      <c r="F3023">
        <v>162.33000000000001</v>
      </c>
    </row>
    <row r="3024" spans="1:6">
      <c r="A3024" t="str">
        <f>("72-37909")</f>
        <v>72-37909</v>
      </c>
      <c r="B3024" t="s">
        <v>5152</v>
      </c>
      <c r="C3024" t="s">
        <v>5151</v>
      </c>
      <c r="D3024" t="s">
        <v>5174</v>
      </c>
      <c r="E3024" t="s">
        <v>5173</v>
      </c>
      <c r="F3024">
        <v>162.33000000000001</v>
      </c>
    </row>
    <row r="3025" spans="1:6">
      <c r="A3025" t="str">
        <f>("72-39905")</f>
        <v>72-39905</v>
      </c>
      <c r="B3025" t="s">
        <v>5152</v>
      </c>
      <c r="C3025" t="s">
        <v>5151</v>
      </c>
      <c r="D3025" t="s">
        <v>5163</v>
      </c>
      <c r="E3025" t="s">
        <v>5172</v>
      </c>
      <c r="F3025">
        <v>181</v>
      </c>
    </row>
    <row r="3026" spans="1:6">
      <c r="A3026" t="str">
        <f>("72-39907")</f>
        <v>72-39907</v>
      </c>
      <c r="B3026" t="s">
        <v>5152</v>
      </c>
      <c r="C3026" t="s">
        <v>5151</v>
      </c>
      <c r="D3026" t="s">
        <v>5163</v>
      </c>
      <c r="E3026" t="s">
        <v>5171</v>
      </c>
      <c r="F3026">
        <v>181</v>
      </c>
    </row>
    <row r="3027" spans="1:6">
      <c r="A3027" t="str">
        <f>("72-39915")</f>
        <v>72-39915</v>
      </c>
      <c r="B3027" t="s">
        <v>5152</v>
      </c>
      <c r="C3027" t="s">
        <v>5151</v>
      </c>
      <c r="D3027" t="s">
        <v>5163</v>
      </c>
      <c r="E3027" t="s">
        <v>5170</v>
      </c>
      <c r="F3027">
        <v>181</v>
      </c>
    </row>
    <row r="3028" spans="1:6">
      <c r="A3028" t="str">
        <f>("72-39917")</f>
        <v>72-39917</v>
      </c>
      <c r="B3028" t="s">
        <v>5152</v>
      </c>
      <c r="C3028" t="s">
        <v>5151</v>
      </c>
      <c r="D3028" t="s">
        <v>5163</v>
      </c>
      <c r="E3028" t="s">
        <v>5169</v>
      </c>
      <c r="F3028">
        <v>162.33000000000001</v>
      </c>
    </row>
    <row r="3029" spans="1:6">
      <c r="A3029" t="str">
        <f>("72-39919")</f>
        <v>72-39919</v>
      </c>
      <c r="B3029" t="s">
        <v>5152</v>
      </c>
      <c r="C3029" t="s">
        <v>5151</v>
      </c>
      <c r="D3029" t="s">
        <v>5167</v>
      </c>
      <c r="E3029" t="s">
        <v>5168</v>
      </c>
      <c r="F3029">
        <v>145</v>
      </c>
    </row>
    <row r="3030" spans="1:6">
      <c r="A3030" t="str">
        <f>("72-39921")</f>
        <v>72-39921</v>
      </c>
      <c r="B3030" t="s">
        <v>5152</v>
      </c>
      <c r="C3030" t="s">
        <v>5151</v>
      </c>
      <c r="D3030" t="s">
        <v>5167</v>
      </c>
      <c r="E3030" t="s">
        <v>5166</v>
      </c>
      <c r="F3030">
        <v>145</v>
      </c>
    </row>
    <row r="3031" spans="1:6">
      <c r="A3031" t="str">
        <f>("72-39923")</f>
        <v>72-39923</v>
      </c>
      <c r="B3031" t="s">
        <v>5152</v>
      </c>
      <c r="C3031" t="s">
        <v>5151</v>
      </c>
      <c r="D3031" t="s">
        <v>5163</v>
      </c>
      <c r="E3031" t="s">
        <v>5165</v>
      </c>
      <c r="F3031">
        <v>162.33000000000001</v>
      </c>
    </row>
    <row r="3032" spans="1:6">
      <c r="A3032" t="str">
        <f>("72-39929")</f>
        <v>72-39929</v>
      </c>
      <c r="B3032" t="s">
        <v>5152</v>
      </c>
      <c r="C3032" t="s">
        <v>5151</v>
      </c>
      <c r="D3032" t="s">
        <v>5163</v>
      </c>
      <c r="E3032" t="s">
        <v>5164</v>
      </c>
      <c r="F3032">
        <v>162.33000000000001</v>
      </c>
    </row>
    <row r="3033" spans="1:6">
      <c r="A3033" t="str">
        <f>("72-39931")</f>
        <v>72-39931</v>
      </c>
      <c r="B3033" t="s">
        <v>5152</v>
      </c>
      <c r="C3033" t="s">
        <v>5151</v>
      </c>
      <c r="D3033" t="s">
        <v>5163</v>
      </c>
      <c r="E3033" t="s">
        <v>5162</v>
      </c>
      <c r="F3033">
        <v>162.33000000000001</v>
      </c>
    </row>
    <row r="3034" spans="1:6">
      <c r="A3034" t="str">
        <f>("72-51995")</f>
        <v>72-51995</v>
      </c>
      <c r="B3034" t="s">
        <v>5152</v>
      </c>
      <c r="C3034" t="s">
        <v>5151</v>
      </c>
      <c r="D3034" t="s">
        <v>5160</v>
      </c>
      <c r="E3034" t="s">
        <v>5161</v>
      </c>
      <c r="F3034">
        <v>162.33000000000001</v>
      </c>
    </row>
    <row r="3035" spans="1:6">
      <c r="A3035" t="str">
        <f>("72-51999")</f>
        <v>72-51999</v>
      </c>
      <c r="B3035" t="s">
        <v>5152</v>
      </c>
      <c r="C3035" t="s">
        <v>5151</v>
      </c>
      <c r="D3035" t="s">
        <v>5160</v>
      </c>
      <c r="E3035" t="s">
        <v>5159</v>
      </c>
      <c r="F3035">
        <v>162.33000000000001</v>
      </c>
    </row>
    <row r="3036" spans="1:6">
      <c r="A3036" t="str">
        <f>("72-69983")</f>
        <v>72-69983</v>
      </c>
      <c r="B3036" t="s">
        <v>5152</v>
      </c>
      <c r="C3036" t="s">
        <v>5151</v>
      </c>
      <c r="D3036" t="s">
        <v>5158</v>
      </c>
      <c r="E3036" t="s">
        <v>5157</v>
      </c>
      <c r="F3036">
        <v>181</v>
      </c>
    </row>
    <row r="3037" spans="1:6">
      <c r="A3037" t="str">
        <f>("72-88913")</f>
        <v>72-88913</v>
      </c>
      <c r="B3037" t="s">
        <v>5152</v>
      </c>
      <c r="C3037" t="s">
        <v>5151</v>
      </c>
      <c r="D3037" t="s">
        <v>5150</v>
      </c>
      <c r="E3037" t="s">
        <v>5156</v>
      </c>
      <c r="F3037">
        <v>162.33000000000001</v>
      </c>
    </row>
    <row r="3038" spans="1:6">
      <c r="A3038" t="str">
        <f>("72-88915")</f>
        <v>72-88915</v>
      </c>
      <c r="B3038" t="s">
        <v>5152</v>
      </c>
      <c r="C3038" t="s">
        <v>5151</v>
      </c>
      <c r="D3038" t="s">
        <v>5150</v>
      </c>
      <c r="E3038" t="s">
        <v>5155</v>
      </c>
      <c r="F3038">
        <v>162.33000000000001</v>
      </c>
    </row>
    <row r="3039" spans="1:6">
      <c r="A3039" t="str">
        <f>("72-88919")</f>
        <v>72-88919</v>
      </c>
      <c r="B3039" t="s">
        <v>5152</v>
      </c>
      <c r="C3039" t="s">
        <v>5151</v>
      </c>
      <c r="D3039" t="s">
        <v>5150</v>
      </c>
      <c r="E3039" t="s">
        <v>5154</v>
      </c>
      <c r="F3039">
        <v>145</v>
      </c>
    </row>
    <row r="3040" spans="1:6">
      <c r="A3040" t="str">
        <f>("72-88933")</f>
        <v>72-88933</v>
      </c>
      <c r="B3040" t="s">
        <v>5152</v>
      </c>
      <c r="C3040" t="s">
        <v>5151</v>
      </c>
      <c r="D3040" t="s">
        <v>5150</v>
      </c>
      <c r="E3040" t="s">
        <v>5153</v>
      </c>
      <c r="F3040">
        <v>162.33000000000001</v>
      </c>
    </row>
    <row r="3041" spans="1:6">
      <c r="A3041" t="str">
        <f>("72-88935")</f>
        <v>72-88935</v>
      </c>
      <c r="B3041" t="s">
        <v>5152</v>
      </c>
      <c r="C3041" t="s">
        <v>5151</v>
      </c>
      <c r="D3041" t="s">
        <v>5150</v>
      </c>
      <c r="E3041" t="s">
        <v>5149</v>
      </c>
      <c r="F3041">
        <v>162.33000000000001</v>
      </c>
    </row>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7D187-0BE4-42D7-AE4E-5AE568BB7C85}">
  <sheetPr>
    <tabColor theme="2" tint="-9.9978637043366805E-2"/>
  </sheetPr>
  <dimension ref="A1:C5448"/>
  <sheetViews>
    <sheetView topLeftCell="A2836" zoomScale="90" zoomScaleNormal="90" workbookViewId="0">
      <selection activeCell="C8" sqref="C8"/>
    </sheetView>
  </sheetViews>
  <sheetFormatPr defaultRowHeight="14.5"/>
  <cols>
    <col min="1" max="1" width="10.81640625" bestFit="1" customWidth="1"/>
    <col min="2" max="2" width="12.54296875" customWidth="1"/>
    <col min="3" max="3" width="33.81640625" bestFit="1" customWidth="1"/>
  </cols>
  <sheetData>
    <row r="1" spans="1:3">
      <c r="A1" s="591" t="s">
        <v>36382</v>
      </c>
      <c r="B1" s="591" t="s">
        <v>3862</v>
      </c>
      <c r="C1" s="591" t="s">
        <v>3518</v>
      </c>
    </row>
    <row r="2" spans="1:3">
      <c r="A2" t="s">
        <v>36381</v>
      </c>
      <c r="B2" s="590">
        <v>258</v>
      </c>
      <c r="C2" t="s">
        <v>36359</v>
      </c>
    </row>
    <row r="3" spans="1:3">
      <c r="A3" t="s">
        <v>36380</v>
      </c>
      <c r="B3" s="590">
        <v>258</v>
      </c>
      <c r="C3" t="s">
        <v>36357</v>
      </c>
    </row>
    <row r="4" spans="1:3">
      <c r="A4" t="s">
        <v>36379</v>
      </c>
      <c r="B4" s="590">
        <v>258</v>
      </c>
      <c r="C4" t="s">
        <v>36355</v>
      </c>
    </row>
    <row r="5" spans="1:3">
      <c r="A5" t="s">
        <v>36378</v>
      </c>
      <c r="B5" s="590">
        <v>309</v>
      </c>
      <c r="C5" t="s">
        <v>36353</v>
      </c>
    </row>
    <row r="6" spans="1:3">
      <c r="A6" t="s">
        <v>36377</v>
      </c>
      <c r="B6" s="590">
        <v>258</v>
      </c>
      <c r="C6" t="s">
        <v>36351</v>
      </c>
    </row>
    <row r="7" spans="1:3">
      <c r="A7" t="s">
        <v>36376</v>
      </c>
      <c r="B7" s="590">
        <v>447</v>
      </c>
      <c r="C7" t="s">
        <v>36349</v>
      </c>
    </row>
    <row r="8" spans="1:3">
      <c r="A8" t="s">
        <v>36375</v>
      </c>
      <c r="B8" s="590">
        <v>447</v>
      </c>
      <c r="C8" t="s">
        <v>36347</v>
      </c>
    </row>
    <row r="9" spans="1:3">
      <c r="A9" t="s">
        <v>36374</v>
      </c>
      <c r="B9" s="590">
        <v>447</v>
      </c>
      <c r="C9" t="s">
        <v>36373</v>
      </c>
    </row>
    <row r="10" spans="1:3">
      <c r="A10" t="s">
        <v>36372</v>
      </c>
      <c r="B10" s="590">
        <v>447</v>
      </c>
      <c r="C10" t="s">
        <v>36345</v>
      </c>
    </row>
    <row r="11" spans="1:3">
      <c r="A11" t="s">
        <v>36371</v>
      </c>
      <c r="B11" s="590">
        <v>447</v>
      </c>
      <c r="C11" t="s">
        <v>36343</v>
      </c>
    </row>
    <row r="12" spans="1:3">
      <c r="A12" t="s">
        <v>36370</v>
      </c>
      <c r="B12" s="590">
        <v>447</v>
      </c>
      <c r="C12" t="s">
        <v>36341</v>
      </c>
    </row>
    <row r="13" spans="1:3">
      <c r="A13" t="s">
        <v>36369</v>
      </c>
      <c r="B13" s="590">
        <v>447</v>
      </c>
      <c r="C13" t="s">
        <v>36368</v>
      </c>
    </row>
    <row r="14" spans="1:3">
      <c r="A14" t="s">
        <v>36367</v>
      </c>
      <c r="B14" s="590">
        <v>447</v>
      </c>
      <c r="C14" t="s">
        <v>36339</v>
      </c>
    </row>
    <row r="15" spans="1:3">
      <c r="A15" t="s">
        <v>36366</v>
      </c>
      <c r="B15" s="590">
        <v>549</v>
      </c>
      <c r="C15" t="s">
        <v>36365</v>
      </c>
    </row>
    <row r="16" spans="1:3">
      <c r="A16" t="s">
        <v>36364</v>
      </c>
      <c r="B16" s="590">
        <v>447</v>
      </c>
      <c r="C16" t="s">
        <v>36337</v>
      </c>
    </row>
    <row r="17" spans="1:3">
      <c r="A17" t="s">
        <v>36363</v>
      </c>
      <c r="B17" s="590">
        <v>447</v>
      </c>
      <c r="C17" t="s">
        <v>36335</v>
      </c>
    </row>
    <row r="18" spans="1:3">
      <c r="A18" t="s">
        <v>36362</v>
      </c>
      <c r="B18" s="590">
        <v>447</v>
      </c>
      <c r="C18" t="s">
        <v>36333</v>
      </c>
    </row>
    <row r="19" spans="1:3">
      <c r="A19" t="s">
        <v>36361</v>
      </c>
      <c r="B19" s="590">
        <v>447</v>
      </c>
      <c r="C19" t="s">
        <v>36331</v>
      </c>
    </row>
    <row r="20" spans="1:3">
      <c r="A20" t="s">
        <v>36360</v>
      </c>
      <c r="B20" s="590">
        <v>258</v>
      </c>
      <c r="C20" t="s">
        <v>36359</v>
      </c>
    </row>
    <row r="21" spans="1:3">
      <c r="A21" t="s">
        <v>36358</v>
      </c>
      <c r="B21" s="590">
        <v>258</v>
      </c>
      <c r="C21" t="s">
        <v>36357</v>
      </c>
    </row>
    <row r="22" spans="1:3">
      <c r="A22" t="s">
        <v>36356</v>
      </c>
      <c r="B22" s="590">
        <v>258</v>
      </c>
      <c r="C22" t="s">
        <v>36355</v>
      </c>
    </row>
    <row r="23" spans="1:3">
      <c r="A23" t="s">
        <v>36354</v>
      </c>
      <c r="B23" s="590">
        <v>320</v>
      </c>
      <c r="C23" t="s">
        <v>36353</v>
      </c>
    </row>
    <row r="24" spans="1:3">
      <c r="A24" t="s">
        <v>36352</v>
      </c>
      <c r="B24" s="590">
        <v>258</v>
      </c>
      <c r="C24" t="s">
        <v>36351</v>
      </c>
    </row>
    <row r="25" spans="1:3">
      <c r="A25" t="s">
        <v>36350</v>
      </c>
      <c r="B25" s="590">
        <v>447</v>
      </c>
      <c r="C25" t="s">
        <v>36349</v>
      </c>
    </row>
    <row r="26" spans="1:3">
      <c r="A26" t="s">
        <v>36348</v>
      </c>
      <c r="B26" s="590">
        <v>447</v>
      </c>
      <c r="C26" t="s">
        <v>36347</v>
      </c>
    </row>
    <row r="27" spans="1:3">
      <c r="A27" t="s">
        <v>36346</v>
      </c>
      <c r="B27" s="590">
        <v>447</v>
      </c>
      <c r="C27" t="s">
        <v>36345</v>
      </c>
    </row>
    <row r="28" spans="1:3">
      <c r="A28" t="s">
        <v>36344</v>
      </c>
      <c r="B28" s="590">
        <v>447</v>
      </c>
      <c r="C28" t="s">
        <v>36343</v>
      </c>
    </row>
    <row r="29" spans="1:3">
      <c r="A29" t="s">
        <v>36342</v>
      </c>
      <c r="B29" s="590">
        <v>447</v>
      </c>
      <c r="C29" t="s">
        <v>36341</v>
      </c>
    </row>
    <row r="30" spans="1:3">
      <c r="A30" t="s">
        <v>36340</v>
      </c>
      <c r="B30" s="590">
        <v>447</v>
      </c>
      <c r="C30" t="s">
        <v>36339</v>
      </c>
    </row>
    <row r="31" spans="1:3">
      <c r="A31" t="s">
        <v>36338</v>
      </c>
      <c r="B31" s="590">
        <v>447</v>
      </c>
      <c r="C31" t="s">
        <v>36337</v>
      </c>
    </row>
    <row r="32" spans="1:3">
      <c r="A32" t="s">
        <v>36336</v>
      </c>
      <c r="B32" s="590">
        <v>447</v>
      </c>
      <c r="C32" t="s">
        <v>36335</v>
      </c>
    </row>
    <row r="33" spans="1:3">
      <c r="A33" t="s">
        <v>36334</v>
      </c>
      <c r="B33" s="590">
        <v>447</v>
      </c>
      <c r="C33" t="s">
        <v>36333</v>
      </c>
    </row>
    <row r="34" spans="1:3">
      <c r="A34" t="s">
        <v>36332</v>
      </c>
      <c r="B34" s="590">
        <v>447</v>
      </c>
      <c r="C34" t="s">
        <v>36331</v>
      </c>
    </row>
    <row r="35" spans="1:3">
      <c r="A35" t="s">
        <v>36330</v>
      </c>
      <c r="B35" s="590">
        <v>287</v>
      </c>
      <c r="C35" t="s">
        <v>36311</v>
      </c>
    </row>
    <row r="36" spans="1:3">
      <c r="A36" t="s">
        <v>36329</v>
      </c>
      <c r="B36" s="590">
        <v>287</v>
      </c>
      <c r="C36" t="s">
        <v>36309</v>
      </c>
    </row>
    <row r="37" spans="1:3">
      <c r="A37" t="s">
        <v>36328</v>
      </c>
      <c r="B37" s="590">
        <v>287</v>
      </c>
      <c r="C37" t="s">
        <v>36307</v>
      </c>
    </row>
    <row r="38" spans="1:3">
      <c r="A38" t="s">
        <v>36327</v>
      </c>
      <c r="B38" s="590">
        <v>287</v>
      </c>
      <c r="C38" t="s">
        <v>36305</v>
      </c>
    </row>
    <row r="39" spans="1:3">
      <c r="A39" t="s">
        <v>36326</v>
      </c>
      <c r="B39" s="590">
        <v>287</v>
      </c>
      <c r="C39" t="s">
        <v>36303</v>
      </c>
    </row>
    <row r="40" spans="1:3">
      <c r="A40" t="s">
        <v>36325</v>
      </c>
      <c r="B40" s="590">
        <v>287</v>
      </c>
      <c r="C40" t="s">
        <v>36301</v>
      </c>
    </row>
    <row r="41" spans="1:3">
      <c r="A41" t="s">
        <v>36324</v>
      </c>
      <c r="B41" s="590">
        <v>486</v>
      </c>
      <c r="C41" t="s">
        <v>36323</v>
      </c>
    </row>
    <row r="42" spans="1:3">
      <c r="A42" t="s">
        <v>36322</v>
      </c>
      <c r="B42" s="590">
        <v>486</v>
      </c>
      <c r="C42" t="s">
        <v>36321</v>
      </c>
    </row>
    <row r="43" spans="1:3">
      <c r="A43" t="s">
        <v>36320</v>
      </c>
      <c r="B43" s="590">
        <v>486</v>
      </c>
      <c r="C43" t="s">
        <v>36319</v>
      </c>
    </row>
    <row r="44" spans="1:3">
      <c r="A44" t="s">
        <v>36318</v>
      </c>
      <c r="B44" s="590">
        <v>486</v>
      </c>
      <c r="C44" t="s">
        <v>36317</v>
      </c>
    </row>
    <row r="45" spans="1:3">
      <c r="A45" t="s">
        <v>36316</v>
      </c>
      <c r="B45" s="590">
        <v>486</v>
      </c>
      <c r="C45" t="s">
        <v>36315</v>
      </c>
    </row>
    <row r="46" spans="1:3">
      <c r="A46" t="s">
        <v>36314</v>
      </c>
      <c r="B46" s="590">
        <v>486</v>
      </c>
      <c r="C46" t="s">
        <v>36313</v>
      </c>
    </row>
    <row r="47" spans="1:3">
      <c r="A47" t="s">
        <v>36312</v>
      </c>
      <c r="B47" s="590">
        <v>287</v>
      </c>
      <c r="C47" t="s">
        <v>36311</v>
      </c>
    </row>
    <row r="48" spans="1:3">
      <c r="A48" t="s">
        <v>36310</v>
      </c>
      <c r="B48" s="590">
        <v>287</v>
      </c>
      <c r="C48" t="s">
        <v>36309</v>
      </c>
    </row>
    <row r="49" spans="1:3">
      <c r="A49" t="s">
        <v>36308</v>
      </c>
      <c r="B49" s="590">
        <v>287</v>
      </c>
      <c r="C49" t="s">
        <v>36307</v>
      </c>
    </row>
    <row r="50" spans="1:3">
      <c r="A50" t="s">
        <v>36306</v>
      </c>
      <c r="B50" s="590">
        <v>287</v>
      </c>
      <c r="C50" t="s">
        <v>36305</v>
      </c>
    </row>
    <row r="51" spans="1:3">
      <c r="A51" t="s">
        <v>36304</v>
      </c>
      <c r="B51" s="590">
        <v>287</v>
      </c>
      <c r="C51" t="s">
        <v>36303</v>
      </c>
    </row>
    <row r="52" spans="1:3">
      <c r="A52" t="s">
        <v>36302</v>
      </c>
      <c r="B52" s="590">
        <v>287</v>
      </c>
      <c r="C52" t="s">
        <v>36301</v>
      </c>
    </row>
    <row r="53" spans="1:3">
      <c r="A53" t="s">
        <v>36300</v>
      </c>
      <c r="B53" s="590">
        <v>486</v>
      </c>
      <c r="C53" t="s">
        <v>36299</v>
      </c>
    </row>
    <row r="54" spans="1:3">
      <c r="A54" t="s">
        <v>36298</v>
      </c>
      <c r="B54" s="590">
        <v>486</v>
      </c>
      <c r="C54" t="s">
        <v>36297</v>
      </c>
    </row>
    <row r="55" spans="1:3">
      <c r="A55" t="s">
        <v>36296</v>
      </c>
      <c r="B55" s="590">
        <v>486</v>
      </c>
      <c r="C55" t="s">
        <v>36295</v>
      </c>
    </row>
    <row r="56" spans="1:3">
      <c r="A56" t="s">
        <v>36294</v>
      </c>
      <c r="B56" s="590">
        <v>486</v>
      </c>
      <c r="C56" t="s">
        <v>36293</v>
      </c>
    </row>
    <row r="57" spans="1:3">
      <c r="A57" t="s">
        <v>36292</v>
      </c>
      <c r="B57" s="590">
        <v>486</v>
      </c>
      <c r="C57" t="s">
        <v>36291</v>
      </c>
    </row>
    <row r="58" spans="1:3">
      <c r="A58" t="s">
        <v>36290</v>
      </c>
      <c r="B58" s="590">
        <v>486</v>
      </c>
      <c r="C58" t="s">
        <v>36289</v>
      </c>
    </row>
    <row r="59" spans="1:3">
      <c r="A59" t="s">
        <v>36288</v>
      </c>
      <c r="B59" s="590">
        <v>306</v>
      </c>
      <c r="C59" t="s">
        <v>36279</v>
      </c>
    </row>
    <row r="60" spans="1:3">
      <c r="A60" t="s">
        <v>36287</v>
      </c>
      <c r="B60" s="590">
        <v>306</v>
      </c>
      <c r="C60" t="s">
        <v>36277</v>
      </c>
    </row>
    <row r="61" spans="1:3">
      <c r="A61" t="s">
        <v>36286</v>
      </c>
      <c r="B61" s="590">
        <v>306</v>
      </c>
      <c r="C61" t="s">
        <v>36275</v>
      </c>
    </row>
    <row r="62" spans="1:3">
      <c r="A62" t="s">
        <v>36285</v>
      </c>
      <c r="B62" s="590">
        <v>306</v>
      </c>
      <c r="C62" t="s">
        <v>36273</v>
      </c>
    </row>
    <row r="63" spans="1:3">
      <c r="A63" t="s">
        <v>36284</v>
      </c>
      <c r="B63" s="590">
        <v>588</v>
      </c>
      <c r="C63" t="s">
        <v>36271</v>
      </c>
    </row>
    <row r="64" spans="1:3">
      <c r="A64" t="s">
        <v>36283</v>
      </c>
      <c r="B64" s="590">
        <v>588</v>
      </c>
      <c r="C64" t="s">
        <v>36269</v>
      </c>
    </row>
    <row r="65" spans="1:3">
      <c r="A65" t="s">
        <v>36282</v>
      </c>
      <c r="B65" s="590">
        <v>588</v>
      </c>
      <c r="C65" t="s">
        <v>36267</v>
      </c>
    </row>
    <row r="66" spans="1:3">
      <c r="A66" t="s">
        <v>36281</v>
      </c>
      <c r="B66" s="590">
        <v>588</v>
      </c>
      <c r="C66" t="s">
        <v>36265</v>
      </c>
    </row>
    <row r="67" spans="1:3">
      <c r="A67" t="s">
        <v>36280</v>
      </c>
      <c r="B67" s="590">
        <v>306</v>
      </c>
      <c r="C67" t="s">
        <v>36279</v>
      </c>
    </row>
    <row r="68" spans="1:3">
      <c r="A68" t="s">
        <v>36278</v>
      </c>
      <c r="B68" s="590">
        <v>306</v>
      </c>
      <c r="C68" t="s">
        <v>36277</v>
      </c>
    </row>
    <row r="69" spans="1:3">
      <c r="A69" t="s">
        <v>36276</v>
      </c>
      <c r="B69" s="590">
        <v>306</v>
      </c>
      <c r="C69" t="s">
        <v>36275</v>
      </c>
    </row>
    <row r="70" spans="1:3">
      <c r="A70" t="s">
        <v>36274</v>
      </c>
      <c r="B70" s="590">
        <v>306</v>
      </c>
      <c r="C70" t="s">
        <v>36273</v>
      </c>
    </row>
    <row r="71" spans="1:3">
      <c r="A71" t="s">
        <v>36272</v>
      </c>
      <c r="B71" s="590">
        <v>588</v>
      </c>
      <c r="C71" t="s">
        <v>36271</v>
      </c>
    </row>
    <row r="72" spans="1:3">
      <c r="A72" t="s">
        <v>36270</v>
      </c>
      <c r="B72" s="590">
        <v>588</v>
      </c>
      <c r="C72" t="s">
        <v>36269</v>
      </c>
    </row>
    <row r="73" spans="1:3">
      <c r="A73" t="s">
        <v>36268</v>
      </c>
      <c r="B73" s="590">
        <v>588</v>
      </c>
      <c r="C73" t="s">
        <v>36267</v>
      </c>
    </row>
    <row r="74" spans="1:3">
      <c r="A74" t="s">
        <v>36266</v>
      </c>
      <c r="B74" s="590">
        <v>588</v>
      </c>
      <c r="C74" t="s">
        <v>36265</v>
      </c>
    </row>
    <row r="75" spans="1:3">
      <c r="A75" t="s">
        <v>36264</v>
      </c>
      <c r="B75" s="590">
        <v>21</v>
      </c>
      <c r="C75" t="s">
        <v>36263</v>
      </c>
    </row>
    <row r="76" spans="1:3">
      <c r="A76" t="s">
        <v>36262</v>
      </c>
      <c r="B76" s="590">
        <v>22</v>
      </c>
      <c r="C76" t="s">
        <v>36261</v>
      </c>
    </row>
    <row r="77" spans="1:3">
      <c r="A77" t="s">
        <v>36260</v>
      </c>
      <c r="B77" s="590">
        <v>21</v>
      </c>
      <c r="C77" t="s">
        <v>36259</v>
      </c>
    </row>
    <row r="78" spans="1:3">
      <c r="A78" t="s">
        <v>36258</v>
      </c>
      <c r="B78" s="590">
        <v>39</v>
      </c>
      <c r="C78" t="s">
        <v>36257</v>
      </c>
    </row>
    <row r="79" spans="1:3">
      <c r="A79" t="s">
        <v>36256</v>
      </c>
      <c r="B79" s="590">
        <v>62</v>
      </c>
      <c r="C79" t="s">
        <v>36255</v>
      </c>
    </row>
    <row r="80" spans="1:3">
      <c r="A80" t="s">
        <v>36254</v>
      </c>
      <c r="B80" s="590">
        <v>34</v>
      </c>
      <c r="C80" t="s">
        <v>36253</v>
      </c>
    </row>
    <row r="81" spans="1:3">
      <c r="A81" t="s">
        <v>36252</v>
      </c>
      <c r="B81" s="590">
        <v>34</v>
      </c>
      <c r="C81" t="s">
        <v>36251</v>
      </c>
    </row>
    <row r="82" spans="1:3">
      <c r="A82" t="s">
        <v>36250</v>
      </c>
      <c r="B82" s="590">
        <v>416</v>
      </c>
      <c r="C82" t="s">
        <v>36249</v>
      </c>
    </row>
    <row r="83" spans="1:3">
      <c r="A83" t="s">
        <v>36248</v>
      </c>
      <c r="B83" s="590">
        <v>815</v>
      </c>
      <c r="C83" t="s">
        <v>36247</v>
      </c>
    </row>
    <row r="84" spans="1:3">
      <c r="A84" t="s">
        <v>36246</v>
      </c>
      <c r="B84" s="590">
        <v>1170</v>
      </c>
      <c r="C84" t="s">
        <v>36245</v>
      </c>
    </row>
    <row r="85" spans="1:3">
      <c r="A85" t="s">
        <v>36244</v>
      </c>
      <c r="B85" s="590">
        <v>1512</v>
      </c>
      <c r="C85" t="s">
        <v>36243</v>
      </c>
    </row>
    <row r="86" spans="1:3">
      <c r="A86" t="s">
        <v>32231</v>
      </c>
      <c r="B86" s="590">
        <v>1199</v>
      </c>
      <c r="C86" t="s">
        <v>32230</v>
      </c>
    </row>
    <row r="87" spans="1:3">
      <c r="A87" t="s">
        <v>32229</v>
      </c>
      <c r="B87" s="590">
        <v>1199</v>
      </c>
      <c r="C87" t="s">
        <v>32228</v>
      </c>
    </row>
    <row r="88" spans="1:3">
      <c r="A88" t="s">
        <v>32227</v>
      </c>
      <c r="B88" s="590">
        <v>1561</v>
      </c>
      <c r="C88" t="s">
        <v>32226</v>
      </c>
    </row>
    <row r="89" spans="1:3">
      <c r="A89" t="s">
        <v>32225</v>
      </c>
      <c r="B89" s="590">
        <v>1561</v>
      </c>
      <c r="C89" t="s">
        <v>32224</v>
      </c>
    </row>
    <row r="90" spans="1:3">
      <c r="A90" t="s">
        <v>32223</v>
      </c>
      <c r="B90" s="590">
        <v>1580</v>
      </c>
      <c r="C90" t="s">
        <v>32222</v>
      </c>
    </row>
    <row r="91" spans="1:3">
      <c r="A91" t="s">
        <v>32221</v>
      </c>
      <c r="B91" s="590">
        <v>14</v>
      </c>
      <c r="C91" t="s">
        <v>32220</v>
      </c>
    </row>
    <row r="92" spans="1:3">
      <c r="A92" t="s">
        <v>36242</v>
      </c>
      <c r="B92" s="590">
        <v>293</v>
      </c>
      <c r="C92" t="s">
        <v>36241</v>
      </c>
    </row>
    <row r="93" spans="1:3">
      <c r="A93" t="s">
        <v>36240</v>
      </c>
      <c r="B93" s="590">
        <v>450</v>
      </c>
      <c r="C93" t="s">
        <v>36239</v>
      </c>
    </row>
    <row r="94" spans="1:3">
      <c r="A94" t="s">
        <v>36238</v>
      </c>
      <c r="B94" s="590">
        <v>661</v>
      </c>
      <c r="C94" t="s">
        <v>36237</v>
      </c>
    </row>
    <row r="95" spans="1:3">
      <c r="A95" t="s">
        <v>36236</v>
      </c>
      <c r="B95" s="590">
        <v>845</v>
      </c>
      <c r="C95" t="s">
        <v>36235</v>
      </c>
    </row>
    <row r="96" spans="1:3">
      <c r="A96" t="s">
        <v>32243</v>
      </c>
      <c r="B96" s="590">
        <v>699</v>
      </c>
      <c r="C96" t="s">
        <v>32242</v>
      </c>
    </row>
    <row r="97" spans="1:3">
      <c r="A97" t="s">
        <v>32241</v>
      </c>
      <c r="B97" s="590">
        <v>699</v>
      </c>
      <c r="C97" t="s">
        <v>32240</v>
      </c>
    </row>
    <row r="98" spans="1:3">
      <c r="A98" t="s">
        <v>32239</v>
      </c>
      <c r="B98" s="590">
        <v>872</v>
      </c>
      <c r="C98" t="s">
        <v>32238</v>
      </c>
    </row>
    <row r="99" spans="1:3">
      <c r="A99" t="s">
        <v>32237</v>
      </c>
      <c r="B99" s="590">
        <v>872</v>
      </c>
      <c r="C99" t="s">
        <v>32236</v>
      </c>
    </row>
    <row r="100" spans="1:3">
      <c r="A100" t="s">
        <v>32235</v>
      </c>
      <c r="B100" s="590">
        <v>886</v>
      </c>
      <c r="C100" t="s">
        <v>32234</v>
      </c>
    </row>
    <row r="101" spans="1:3">
      <c r="A101" t="s">
        <v>32233</v>
      </c>
      <c r="B101" s="590">
        <v>14</v>
      </c>
      <c r="C101" t="s">
        <v>32232</v>
      </c>
    </row>
    <row r="102" spans="1:3">
      <c r="A102" t="s">
        <v>36234</v>
      </c>
      <c r="B102" s="590">
        <v>43</v>
      </c>
      <c r="C102" t="s">
        <v>36233</v>
      </c>
    </row>
    <row r="103" spans="1:3">
      <c r="A103" t="s">
        <v>36232</v>
      </c>
      <c r="B103" s="590">
        <v>33</v>
      </c>
      <c r="C103" t="s">
        <v>36231</v>
      </c>
    </row>
    <row r="104" spans="1:3">
      <c r="A104" t="s">
        <v>36230</v>
      </c>
      <c r="B104" s="590">
        <v>33</v>
      </c>
      <c r="C104" t="s">
        <v>36229</v>
      </c>
    </row>
    <row r="105" spans="1:3">
      <c r="A105" t="s">
        <v>32099</v>
      </c>
      <c r="B105" s="590">
        <v>173</v>
      </c>
      <c r="C105" t="s">
        <v>32098</v>
      </c>
    </row>
    <row r="106" spans="1:3">
      <c r="A106" t="s">
        <v>32097</v>
      </c>
      <c r="B106" s="590">
        <v>23</v>
      </c>
      <c r="C106" t="s">
        <v>32096</v>
      </c>
    </row>
    <row r="107" spans="1:3">
      <c r="A107" t="s">
        <v>32095</v>
      </c>
      <c r="B107" s="590">
        <v>23</v>
      </c>
      <c r="C107" t="s">
        <v>32094</v>
      </c>
    </row>
    <row r="108" spans="1:3">
      <c r="A108" t="s">
        <v>36228</v>
      </c>
      <c r="B108" s="590">
        <v>355</v>
      </c>
      <c r="C108" t="s">
        <v>36227</v>
      </c>
    </row>
    <row r="109" spans="1:3">
      <c r="A109" t="s">
        <v>36226</v>
      </c>
      <c r="B109" s="590">
        <v>447</v>
      </c>
      <c r="C109" t="s">
        <v>36225</v>
      </c>
    </row>
    <row r="110" spans="1:3">
      <c r="A110" t="s">
        <v>36224</v>
      </c>
      <c r="B110" s="590">
        <v>447</v>
      </c>
      <c r="C110" t="s">
        <v>36223</v>
      </c>
    </row>
    <row r="111" spans="1:3">
      <c r="A111" t="s">
        <v>36222</v>
      </c>
      <c r="B111" s="590">
        <v>515</v>
      </c>
      <c r="C111" t="s">
        <v>36221</v>
      </c>
    </row>
    <row r="112" spans="1:3">
      <c r="A112" t="s">
        <v>36220</v>
      </c>
      <c r="B112" s="590">
        <v>515</v>
      </c>
      <c r="C112" t="s">
        <v>36219</v>
      </c>
    </row>
    <row r="113" spans="1:3">
      <c r="A113" t="s">
        <v>36218</v>
      </c>
      <c r="B113" s="590">
        <v>515</v>
      </c>
      <c r="C113" t="s">
        <v>36217</v>
      </c>
    </row>
    <row r="114" spans="1:3">
      <c r="A114" t="s">
        <v>36216</v>
      </c>
      <c r="B114" s="590">
        <v>515</v>
      </c>
      <c r="C114" t="s">
        <v>36215</v>
      </c>
    </row>
    <row r="115" spans="1:3">
      <c r="A115" t="s">
        <v>36214</v>
      </c>
      <c r="B115" s="590">
        <v>355</v>
      </c>
      <c r="C115" t="s">
        <v>36213</v>
      </c>
    </row>
    <row r="116" spans="1:3">
      <c r="A116" t="s">
        <v>36212</v>
      </c>
      <c r="B116" s="590">
        <v>447</v>
      </c>
      <c r="C116" t="s">
        <v>36211</v>
      </c>
    </row>
    <row r="117" spans="1:3">
      <c r="A117" t="s">
        <v>36210</v>
      </c>
      <c r="B117" s="590">
        <v>447</v>
      </c>
      <c r="C117" t="s">
        <v>36209</v>
      </c>
    </row>
    <row r="118" spans="1:3">
      <c r="A118" t="s">
        <v>36208</v>
      </c>
      <c r="B118" s="590">
        <v>355</v>
      </c>
      <c r="C118" t="s">
        <v>36207</v>
      </c>
    </row>
    <row r="119" spans="1:3">
      <c r="A119" t="s">
        <v>36228</v>
      </c>
      <c r="B119" s="590">
        <v>355</v>
      </c>
      <c r="C119" t="s">
        <v>36227</v>
      </c>
    </row>
    <row r="120" spans="1:3">
      <c r="A120" t="s">
        <v>36226</v>
      </c>
      <c r="B120" s="590">
        <v>447</v>
      </c>
      <c r="C120" t="s">
        <v>36225</v>
      </c>
    </row>
    <row r="121" spans="1:3">
      <c r="A121" t="s">
        <v>36224</v>
      </c>
      <c r="B121" s="590">
        <v>447</v>
      </c>
      <c r="C121" t="s">
        <v>36223</v>
      </c>
    </row>
    <row r="122" spans="1:3">
      <c r="A122" t="s">
        <v>36222</v>
      </c>
      <c r="B122" s="590">
        <v>515</v>
      </c>
      <c r="C122" t="s">
        <v>36221</v>
      </c>
    </row>
    <row r="123" spans="1:3">
      <c r="A123" t="s">
        <v>36220</v>
      </c>
      <c r="B123" s="590">
        <v>515</v>
      </c>
      <c r="C123" t="s">
        <v>36219</v>
      </c>
    </row>
    <row r="124" spans="1:3">
      <c r="A124" t="s">
        <v>36218</v>
      </c>
      <c r="B124" s="590">
        <v>515</v>
      </c>
      <c r="C124" t="s">
        <v>36217</v>
      </c>
    </row>
    <row r="125" spans="1:3">
      <c r="A125" t="s">
        <v>36216</v>
      </c>
      <c r="B125" s="590">
        <v>515</v>
      </c>
      <c r="C125" t="s">
        <v>36215</v>
      </c>
    </row>
    <row r="126" spans="1:3">
      <c r="A126" t="s">
        <v>36214</v>
      </c>
      <c r="B126" s="590">
        <v>355</v>
      </c>
      <c r="C126" t="s">
        <v>36213</v>
      </c>
    </row>
    <row r="127" spans="1:3">
      <c r="A127" t="s">
        <v>36212</v>
      </c>
      <c r="B127" s="590">
        <v>447</v>
      </c>
      <c r="C127" t="s">
        <v>36211</v>
      </c>
    </row>
    <row r="128" spans="1:3">
      <c r="A128" t="s">
        <v>36210</v>
      </c>
      <c r="B128" s="590">
        <v>447</v>
      </c>
      <c r="C128" t="s">
        <v>36209</v>
      </c>
    </row>
    <row r="129" spans="1:3">
      <c r="A129" t="s">
        <v>36208</v>
      </c>
      <c r="B129" s="590">
        <v>355</v>
      </c>
      <c r="C129" t="s">
        <v>36207</v>
      </c>
    </row>
    <row r="130" spans="1:3">
      <c r="A130" t="s">
        <v>36228</v>
      </c>
      <c r="B130" s="590">
        <v>355</v>
      </c>
      <c r="C130" t="s">
        <v>36227</v>
      </c>
    </row>
    <row r="131" spans="1:3">
      <c r="A131" t="s">
        <v>36226</v>
      </c>
      <c r="B131" s="590">
        <v>447</v>
      </c>
      <c r="C131" t="s">
        <v>36225</v>
      </c>
    </row>
    <row r="132" spans="1:3">
      <c r="A132" t="s">
        <v>36224</v>
      </c>
      <c r="B132" s="590">
        <v>447</v>
      </c>
      <c r="C132" t="s">
        <v>36223</v>
      </c>
    </row>
    <row r="133" spans="1:3">
      <c r="A133" t="s">
        <v>36222</v>
      </c>
      <c r="B133" s="590">
        <v>515</v>
      </c>
      <c r="C133" t="s">
        <v>36221</v>
      </c>
    </row>
    <row r="134" spans="1:3">
      <c r="A134" t="s">
        <v>36220</v>
      </c>
      <c r="B134" s="590">
        <v>515</v>
      </c>
      <c r="C134" t="s">
        <v>36219</v>
      </c>
    </row>
    <row r="135" spans="1:3">
      <c r="A135" t="s">
        <v>36218</v>
      </c>
      <c r="B135" s="590">
        <v>515</v>
      </c>
      <c r="C135" t="s">
        <v>36217</v>
      </c>
    </row>
    <row r="136" spans="1:3">
      <c r="A136" t="s">
        <v>36216</v>
      </c>
      <c r="B136" s="590">
        <v>515</v>
      </c>
      <c r="C136" t="s">
        <v>36215</v>
      </c>
    </row>
    <row r="137" spans="1:3">
      <c r="A137" t="s">
        <v>36214</v>
      </c>
      <c r="B137" s="590">
        <v>355</v>
      </c>
      <c r="C137" t="s">
        <v>36213</v>
      </c>
    </row>
    <row r="138" spans="1:3">
      <c r="A138" t="s">
        <v>36212</v>
      </c>
      <c r="B138" s="590">
        <v>447</v>
      </c>
      <c r="C138" t="s">
        <v>36211</v>
      </c>
    </row>
    <row r="139" spans="1:3">
      <c r="A139" t="s">
        <v>36210</v>
      </c>
      <c r="B139" s="590">
        <v>447</v>
      </c>
      <c r="C139" t="s">
        <v>36209</v>
      </c>
    </row>
    <row r="140" spans="1:3">
      <c r="A140" t="s">
        <v>36208</v>
      </c>
      <c r="B140" s="590">
        <v>355</v>
      </c>
      <c r="C140" t="s">
        <v>36207</v>
      </c>
    </row>
    <row r="141" spans="1:3">
      <c r="A141" t="s">
        <v>36206</v>
      </c>
      <c r="B141" s="590">
        <v>189</v>
      </c>
      <c r="C141" t="s">
        <v>36205</v>
      </c>
    </row>
    <row r="142" spans="1:3">
      <c r="A142" t="s">
        <v>36204</v>
      </c>
      <c r="B142" s="590">
        <v>189</v>
      </c>
      <c r="C142" t="s">
        <v>36203</v>
      </c>
    </row>
    <row r="143" spans="1:3">
      <c r="A143" t="s">
        <v>36202</v>
      </c>
      <c r="B143" s="590">
        <v>189</v>
      </c>
      <c r="C143" t="s">
        <v>36201</v>
      </c>
    </row>
    <row r="144" spans="1:3">
      <c r="A144" t="s">
        <v>36200</v>
      </c>
      <c r="B144" s="590">
        <v>189</v>
      </c>
      <c r="C144" t="s">
        <v>36199</v>
      </c>
    </row>
    <row r="145" spans="1:3">
      <c r="A145" t="s">
        <v>36198</v>
      </c>
      <c r="B145" s="590">
        <v>189</v>
      </c>
      <c r="C145" t="s">
        <v>36197</v>
      </c>
    </row>
    <row r="146" spans="1:3">
      <c r="A146" t="s">
        <v>36196</v>
      </c>
      <c r="B146" s="590">
        <v>189</v>
      </c>
      <c r="C146" t="s">
        <v>36195</v>
      </c>
    </row>
    <row r="147" spans="1:3">
      <c r="A147" t="s">
        <v>36194</v>
      </c>
      <c r="B147" s="590">
        <v>505</v>
      </c>
      <c r="C147" t="s">
        <v>36193</v>
      </c>
    </row>
    <row r="148" spans="1:3">
      <c r="A148" t="s">
        <v>36192</v>
      </c>
      <c r="B148" s="590">
        <v>505</v>
      </c>
      <c r="C148" t="s">
        <v>36191</v>
      </c>
    </row>
    <row r="149" spans="1:3">
      <c r="A149" t="s">
        <v>36190</v>
      </c>
      <c r="B149" s="590">
        <v>505</v>
      </c>
      <c r="C149" t="s">
        <v>36189</v>
      </c>
    </row>
    <row r="150" spans="1:3">
      <c r="A150" t="s">
        <v>36188</v>
      </c>
      <c r="B150" s="590">
        <v>592</v>
      </c>
      <c r="C150" t="s">
        <v>36187</v>
      </c>
    </row>
    <row r="151" spans="1:3">
      <c r="A151" t="s">
        <v>36186</v>
      </c>
      <c r="B151" s="590">
        <v>505</v>
      </c>
      <c r="C151" t="s">
        <v>36185</v>
      </c>
    </row>
    <row r="152" spans="1:3">
      <c r="A152" t="s">
        <v>36184</v>
      </c>
      <c r="B152" s="590">
        <v>505</v>
      </c>
      <c r="C152" t="s">
        <v>36183</v>
      </c>
    </row>
    <row r="153" spans="1:3">
      <c r="A153" t="s">
        <v>36182</v>
      </c>
      <c r="B153" s="590">
        <v>505</v>
      </c>
      <c r="C153" t="s">
        <v>36181</v>
      </c>
    </row>
    <row r="154" spans="1:3">
      <c r="A154" t="s">
        <v>36180</v>
      </c>
      <c r="B154" s="590">
        <v>505</v>
      </c>
      <c r="C154" t="s">
        <v>36179</v>
      </c>
    </row>
    <row r="155" spans="1:3">
      <c r="A155" t="s">
        <v>36178</v>
      </c>
      <c r="B155" s="590">
        <v>592</v>
      </c>
      <c r="C155" t="s">
        <v>36177</v>
      </c>
    </row>
    <row r="156" spans="1:3">
      <c r="A156" t="s">
        <v>36176</v>
      </c>
      <c r="B156" s="590">
        <v>505</v>
      </c>
      <c r="C156" t="s">
        <v>36175</v>
      </c>
    </row>
    <row r="157" spans="1:3">
      <c r="A157" t="s">
        <v>36174</v>
      </c>
      <c r="B157" s="590">
        <v>505</v>
      </c>
      <c r="C157" t="s">
        <v>36173</v>
      </c>
    </row>
    <row r="158" spans="1:3">
      <c r="A158" t="s">
        <v>36172</v>
      </c>
      <c r="B158" s="590">
        <v>592</v>
      </c>
      <c r="C158" t="s">
        <v>36171</v>
      </c>
    </row>
    <row r="159" spans="1:3">
      <c r="A159" t="s">
        <v>36170</v>
      </c>
      <c r="B159" s="590">
        <v>592</v>
      </c>
      <c r="C159" t="s">
        <v>36169</v>
      </c>
    </row>
    <row r="160" spans="1:3">
      <c r="A160" t="s">
        <v>36168</v>
      </c>
      <c r="B160" s="590">
        <v>673</v>
      </c>
      <c r="C160" t="s">
        <v>36167</v>
      </c>
    </row>
    <row r="161" spans="1:3">
      <c r="A161" t="s">
        <v>36166</v>
      </c>
      <c r="B161" s="590">
        <v>592</v>
      </c>
      <c r="C161" t="s">
        <v>36165</v>
      </c>
    </row>
    <row r="162" spans="1:3">
      <c r="A162" t="s">
        <v>36164</v>
      </c>
      <c r="B162" s="590">
        <v>505</v>
      </c>
      <c r="C162" t="s">
        <v>36163</v>
      </c>
    </row>
    <row r="163" spans="1:3">
      <c r="A163" t="s">
        <v>36162</v>
      </c>
      <c r="B163" s="590">
        <v>505</v>
      </c>
      <c r="C163" t="s">
        <v>36161</v>
      </c>
    </row>
    <row r="164" spans="1:3">
      <c r="A164" t="s">
        <v>36160</v>
      </c>
      <c r="B164" s="590">
        <v>505</v>
      </c>
      <c r="C164" t="s">
        <v>36159</v>
      </c>
    </row>
    <row r="165" spans="1:3">
      <c r="A165" t="s">
        <v>36158</v>
      </c>
      <c r="B165" s="590">
        <v>505</v>
      </c>
      <c r="C165" t="s">
        <v>36157</v>
      </c>
    </row>
    <row r="166" spans="1:3">
      <c r="A166" t="s">
        <v>36156</v>
      </c>
      <c r="B166" s="590">
        <v>31</v>
      </c>
      <c r="C166" t="s">
        <v>36155</v>
      </c>
    </row>
    <row r="167" spans="1:3">
      <c r="A167" t="s">
        <v>36154</v>
      </c>
      <c r="B167" s="590">
        <v>232</v>
      </c>
      <c r="C167" t="s">
        <v>36153</v>
      </c>
    </row>
    <row r="168" spans="1:3">
      <c r="A168" t="s">
        <v>36152</v>
      </c>
      <c r="B168" s="590">
        <v>232</v>
      </c>
      <c r="C168" t="s">
        <v>36151</v>
      </c>
    </row>
    <row r="169" spans="1:3">
      <c r="A169" t="s">
        <v>36150</v>
      </c>
      <c r="B169" s="590">
        <v>232</v>
      </c>
      <c r="C169" t="s">
        <v>36149</v>
      </c>
    </row>
    <row r="170" spans="1:3">
      <c r="A170" t="s">
        <v>36148</v>
      </c>
      <c r="B170" s="590">
        <v>288</v>
      </c>
      <c r="C170" t="s">
        <v>36147</v>
      </c>
    </row>
    <row r="171" spans="1:3">
      <c r="A171" t="s">
        <v>36146</v>
      </c>
      <c r="B171" s="590">
        <v>232</v>
      </c>
      <c r="C171" t="s">
        <v>36145</v>
      </c>
    </row>
    <row r="172" spans="1:3">
      <c r="A172" t="s">
        <v>36144</v>
      </c>
      <c r="B172" s="590">
        <v>232</v>
      </c>
      <c r="C172" t="s">
        <v>36143</v>
      </c>
    </row>
    <row r="173" spans="1:3">
      <c r="A173" t="s">
        <v>36142</v>
      </c>
      <c r="B173" s="590">
        <v>232</v>
      </c>
      <c r="C173" t="s">
        <v>36141</v>
      </c>
    </row>
    <row r="174" spans="1:3">
      <c r="A174" t="s">
        <v>36140</v>
      </c>
      <c r="B174" s="590">
        <v>232</v>
      </c>
      <c r="C174" t="s">
        <v>36139</v>
      </c>
    </row>
    <row r="175" spans="1:3">
      <c r="A175" t="s">
        <v>36138</v>
      </c>
      <c r="B175" s="590">
        <v>1400</v>
      </c>
      <c r="C175" t="s">
        <v>36137</v>
      </c>
    </row>
    <row r="176" spans="1:3">
      <c r="A176" t="s">
        <v>36136</v>
      </c>
      <c r="B176" s="590">
        <v>1400</v>
      </c>
      <c r="C176" t="s">
        <v>36135</v>
      </c>
    </row>
    <row r="177" spans="1:3">
      <c r="A177" t="s">
        <v>36134</v>
      </c>
      <c r="B177" s="590">
        <v>1400</v>
      </c>
      <c r="C177" t="s">
        <v>36133</v>
      </c>
    </row>
    <row r="178" spans="1:3">
      <c r="A178" t="s">
        <v>36132</v>
      </c>
      <c r="B178" s="590">
        <v>1400</v>
      </c>
      <c r="C178" t="s">
        <v>36131</v>
      </c>
    </row>
    <row r="179" spans="1:3">
      <c r="A179" t="s">
        <v>36130</v>
      </c>
      <c r="B179" s="590">
        <v>1400</v>
      </c>
      <c r="C179" t="s">
        <v>36129</v>
      </c>
    </row>
    <row r="180" spans="1:3">
      <c r="A180" t="s">
        <v>36128</v>
      </c>
      <c r="B180" s="590">
        <v>1400</v>
      </c>
      <c r="C180" t="s">
        <v>36127</v>
      </c>
    </row>
    <row r="181" spans="1:3">
      <c r="A181" t="s">
        <v>36126</v>
      </c>
      <c r="B181" s="590">
        <v>1400</v>
      </c>
      <c r="C181" t="s">
        <v>36125</v>
      </c>
    </row>
    <row r="182" spans="1:3">
      <c r="A182" t="s">
        <v>36124</v>
      </c>
      <c r="B182" s="590">
        <v>1400</v>
      </c>
      <c r="C182" t="s">
        <v>36123</v>
      </c>
    </row>
    <row r="183" spans="1:3">
      <c r="A183" t="s">
        <v>36122</v>
      </c>
      <c r="B183" s="590">
        <v>1400</v>
      </c>
      <c r="C183" t="s">
        <v>36121</v>
      </c>
    </row>
    <row r="184" spans="1:3">
      <c r="A184" t="s">
        <v>36120</v>
      </c>
      <c r="B184" s="590">
        <v>1669</v>
      </c>
      <c r="C184" t="s">
        <v>36119</v>
      </c>
    </row>
    <row r="185" spans="1:3">
      <c r="A185" t="s">
        <v>36118</v>
      </c>
      <c r="B185" s="590">
        <v>1669</v>
      </c>
      <c r="C185" t="s">
        <v>36117</v>
      </c>
    </row>
    <row r="186" spans="1:3">
      <c r="A186" t="s">
        <v>36116</v>
      </c>
      <c r="B186" s="590">
        <v>1400</v>
      </c>
      <c r="C186" t="s">
        <v>36115</v>
      </c>
    </row>
    <row r="187" spans="1:3">
      <c r="A187" t="s">
        <v>36114</v>
      </c>
      <c r="B187" s="590">
        <v>1400</v>
      </c>
      <c r="C187" t="s">
        <v>36113</v>
      </c>
    </row>
    <row r="188" spans="1:3">
      <c r="A188" t="s">
        <v>36112</v>
      </c>
      <c r="B188" s="590">
        <v>1400</v>
      </c>
      <c r="C188" t="s">
        <v>36111</v>
      </c>
    </row>
    <row r="189" spans="1:3">
      <c r="A189" t="s">
        <v>36110</v>
      </c>
      <c r="B189" s="590">
        <v>1400</v>
      </c>
      <c r="C189" t="s">
        <v>36109</v>
      </c>
    </row>
    <row r="190" spans="1:3">
      <c r="A190" t="s">
        <v>36108</v>
      </c>
      <c r="B190" s="590">
        <v>1784</v>
      </c>
      <c r="C190" t="s">
        <v>36107</v>
      </c>
    </row>
    <row r="191" spans="1:3">
      <c r="A191" t="s">
        <v>36106</v>
      </c>
      <c r="B191" s="590">
        <v>1784</v>
      </c>
      <c r="C191" t="s">
        <v>36105</v>
      </c>
    </row>
    <row r="192" spans="1:3">
      <c r="A192" t="s">
        <v>36104</v>
      </c>
      <c r="B192" s="590">
        <v>1784</v>
      </c>
      <c r="C192" t="s">
        <v>36103</v>
      </c>
    </row>
    <row r="193" spans="1:3">
      <c r="A193" t="s">
        <v>36102</v>
      </c>
      <c r="B193" s="590">
        <v>1784</v>
      </c>
      <c r="C193" t="s">
        <v>36101</v>
      </c>
    </row>
    <row r="194" spans="1:3">
      <c r="A194" t="s">
        <v>36100</v>
      </c>
      <c r="B194" s="590">
        <v>1784</v>
      </c>
      <c r="C194" t="s">
        <v>36099</v>
      </c>
    </row>
    <row r="195" spans="1:3">
      <c r="A195" t="s">
        <v>36098</v>
      </c>
      <c r="B195" s="590">
        <v>1784</v>
      </c>
      <c r="C195" t="s">
        <v>36097</v>
      </c>
    </row>
    <row r="196" spans="1:3">
      <c r="A196" t="s">
        <v>36096</v>
      </c>
      <c r="B196" s="590">
        <v>1784</v>
      </c>
      <c r="C196" t="s">
        <v>36095</v>
      </c>
    </row>
    <row r="197" spans="1:3">
      <c r="A197" t="s">
        <v>36094</v>
      </c>
      <c r="B197" s="590">
        <v>1784</v>
      </c>
      <c r="C197" t="s">
        <v>36093</v>
      </c>
    </row>
    <row r="198" spans="1:3">
      <c r="A198" t="s">
        <v>36092</v>
      </c>
      <c r="B198" s="590">
        <v>1784</v>
      </c>
      <c r="C198" t="s">
        <v>36091</v>
      </c>
    </row>
    <row r="199" spans="1:3">
      <c r="A199" t="s">
        <v>36090</v>
      </c>
      <c r="B199" s="590">
        <v>1784</v>
      </c>
      <c r="C199" t="s">
        <v>36089</v>
      </c>
    </row>
    <row r="200" spans="1:3">
      <c r="A200" t="s">
        <v>36088</v>
      </c>
      <c r="B200" s="590">
        <v>1784</v>
      </c>
      <c r="C200" t="s">
        <v>36087</v>
      </c>
    </row>
    <row r="201" spans="1:3">
      <c r="A201" t="s">
        <v>36086</v>
      </c>
      <c r="B201" s="590">
        <v>1784</v>
      </c>
      <c r="C201" t="s">
        <v>36085</v>
      </c>
    </row>
    <row r="202" spans="1:3">
      <c r="A202" t="s">
        <v>36084</v>
      </c>
      <c r="B202" s="590">
        <v>1745</v>
      </c>
      <c r="C202" t="s">
        <v>36083</v>
      </c>
    </row>
    <row r="203" spans="1:3">
      <c r="A203" t="s">
        <v>36082</v>
      </c>
      <c r="B203" s="590">
        <v>1745</v>
      </c>
      <c r="C203" t="s">
        <v>36081</v>
      </c>
    </row>
    <row r="204" spans="1:3">
      <c r="A204" t="s">
        <v>36080</v>
      </c>
      <c r="B204" s="590">
        <v>1745</v>
      </c>
      <c r="C204" t="s">
        <v>36079</v>
      </c>
    </row>
    <row r="205" spans="1:3">
      <c r="A205" t="s">
        <v>36078</v>
      </c>
      <c r="B205" s="590">
        <v>1745</v>
      </c>
      <c r="C205" t="s">
        <v>36077</v>
      </c>
    </row>
    <row r="206" spans="1:3">
      <c r="A206" t="s">
        <v>36076</v>
      </c>
      <c r="B206" s="590">
        <v>1745</v>
      </c>
      <c r="C206" t="s">
        <v>36075</v>
      </c>
    </row>
    <row r="207" spans="1:3">
      <c r="A207" t="s">
        <v>36074</v>
      </c>
      <c r="B207" s="590">
        <v>1745</v>
      </c>
      <c r="C207" t="s">
        <v>36073</v>
      </c>
    </row>
    <row r="208" spans="1:3">
      <c r="A208" t="s">
        <v>36072</v>
      </c>
      <c r="B208" s="590">
        <v>1745</v>
      </c>
      <c r="C208" t="s">
        <v>36071</v>
      </c>
    </row>
    <row r="209" spans="1:3">
      <c r="A209" t="s">
        <v>36070</v>
      </c>
      <c r="B209" s="590">
        <v>1745</v>
      </c>
      <c r="C209" t="s">
        <v>36069</v>
      </c>
    </row>
    <row r="210" spans="1:3">
      <c r="A210" t="s">
        <v>36068</v>
      </c>
      <c r="B210" s="590">
        <v>1745</v>
      </c>
      <c r="C210" t="s">
        <v>36067</v>
      </c>
    </row>
    <row r="211" spans="1:3">
      <c r="A211" t="s">
        <v>36066</v>
      </c>
      <c r="B211" s="590">
        <v>1745</v>
      </c>
      <c r="C211" t="s">
        <v>36065</v>
      </c>
    </row>
    <row r="212" spans="1:3">
      <c r="A212" t="s">
        <v>36064</v>
      </c>
      <c r="B212" s="590">
        <v>1420</v>
      </c>
      <c r="C212" t="s">
        <v>36063</v>
      </c>
    </row>
    <row r="213" spans="1:3">
      <c r="A213" t="s">
        <v>36062</v>
      </c>
      <c r="B213" s="590">
        <v>1420</v>
      </c>
      <c r="C213" t="s">
        <v>36061</v>
      </c>
    </row>
    <row r="214" spans="1:3">
      <c r="A214" t="s">
        <v>36060</v>
      </c>
      <c r="B214" s="590">
        <v>1420</v>
      </c>
      <c r="C214" t="s">
        <v>36059</v>
      </c>
    </row>
    <row r="215" spans="1:3">
      <c r="A215" t="s">
        <v>36058</v>
      </c>
      <c r="B215" s="590">
        <v>1420</v>
      </c>
      <c r="C215" t="s">
        <v>36057</v>
      </c>
    </row>
    <row r="216" spans="1:3">
      <c r="A216" t="s">
        <v>36056</v>
      </c>
      <c r="B216" s="590">
        <v>1420</v>
      </c>
      <c r="C216" t="s">
        <v>36055</v>
      </c>
    </row>
    <row r="217" spans="1:3">
      <c r="A217" t="s">
        <v>36054</v>
      </c>
      <c r="B217" s="590">
        <v>750</v>
      </c>
      <c r="C217" t="s">
        <v>36053</v>
      </c>
    </row>
    <row r="218" spans="1:3">
      <c r="A218" t="s">
        <v>36052</v>
      </c>
      <c r="B218" s="590">
        <v>750</v>
      </c>
      <c r="C218" t="s">
        <v>36051</v>
      </c>
    </row>
    <row r="219" spans="1:3">
      <c r="A219" t="s">
        <v>36050</v>
      </c>
      <c r="B219" s="590">
        <v>750</v>
      </c>
      <c r="C219" t="s">
        <v>36049</v>
      </c>
    </row>
    <row r="220" spans="1:3">
      <c r="A220" t="s">
        <v>27283</v>
      </c>
      <c r="B220" s="590">
        <v>1027</v>
      </c>
      <c r="C220" t="s">
        <v>27282</v>
      </c>
    </row>
    <row r="221" spans="1:3">
      <c r="A221" t="s">
        <v>36048</v>
      </c>
      <c r="B221" s="590">
        <v>750</v>
      </c>
      <c r="C221" t="s">
        <v>36047</v>
      </c>
    </row>
    <row r="222" spans="1:3">
      <c r="A222" t="s">
        <v>36046</v>
      </c>
      <c r="B222" s="590">
        <v>764</v>
      </c>
      <c r="C222" t="s">
        <v>36045</v>
      </c>
    </row>
    <row r="223" spans="1:3">
      <c r="A223" t="s">
        <v>27565</v>
      </c>
      <c r="B223" s="590">
        <v>750</v>
      </c>
      <c r="C223" t="s">
        <v>27564</v>
      </c>
    </row>
    <row r="224" spans="1:3">
      <c r="A224" t="s">
        <v>27563</v>
      </c>
      <c r="B224" s="590">
        <v>750</v>
      </c>
      <c r="C224" t="s">
        <v>27562</v>
      </c>
    </row>
    <row r="225" spans="1:3">
      <c r="A225" t="s">
        <v>27561</v>
      </c>
      <c r="B225" s="590">
        <v>750</v>
      </c>
      <c r="C225" t="s">
        <v>27560</v>
      </c>
    </row>
    <row r="226" spans="1:3">
      <c r="A226" t="s">
        <v>27559</v>
      </c>
      <c r="B226" s="590">
        <v>1027</v>
      </c>
      <c r="C226" t="s">
        <v>27558</v>
      </c>
    </row>
    <row r="227" spans="1:3">
      <c r="A227" t="s">
        <v>27557</v>
      </c>
      <c r="B227" s="590">
        <v>750</v>
      </c>
      <c r="C227" t="s">
        <v>27556</v>
      </c>
    </row>
    <row r="228" spans="1:3">
      <c r="A228" t="s">
        <v>36044</v>
      </c>
      <c r="B228" s="590">
        <v>790</v>
      </c>
      <c r="C228" t="s">
        <v>36043</v>
      </c>
    </row>
    <row r="229" spans="1:3">
      <c r="A229" t="s">
        <v>36042</v>
      </c>
      <c r="B229" s="590">
        <v>790</v>
      </c>
      <c r="C229" t="s">
        <v>36041</v>
      </c>
    </row>
    <row r="230" spans="1:3">
      <c r="A230" t="s">
        <v>36040</v>
      </c>
      <c r="B230" s="590">
        <v>790</v>
      </c>
      <c r="C230" t="s">
        <v>36039</v>
      </c>
    </row>
    <row r="231" spans="1:3">
      <c r="A231" t="s">
        <v>36038</v>
      </c>
      <c r="B231" s="590">
        <v>1045</v>
      </c>
      <c r="C231" t="s">
        <v>36037</v>
      </c>
    </row>
    <row r="232" spans="1:3">
      <c r="A232" t="s">
        <v>36036</v>
      </c>
      <c r="B232" s="590">
        <v>790</v>
      </c>
      <c r="C232" t="s">
        <v>36035</v>
      </c>
    </row>
    <row r="233" spans="1:3">
      <c r="A233" t="s">
        <v>36034</v>
      </c>
      <c r="B233" s="590">
        <v>790</v>
      </c>
      <c r="C233" t="s">
        <v>36033</v>
      </c>
    </row>
    <row r="234" spans="1:3">
      <c r="A234" t="s">
        <v>36032</v>
      </c>
      <c r="B234" s="590">
        <v>799</v>
      </c>
      <c r="C234" t="s">
        <v>36031</v>
      </c>
    </row>
    <row r="235" spans="1:3">
      <c r="A235" t="s">
        <v>36030</v>
      </c>
      <c r="B235" s="590">
        <v>799</v>
      </c>
      <c r="C235" t="s">
        <v>36029</v>
      </c>
    </row>
    <row r="236" spans="1:3">
      <c r="A236" t="s">
        <v>36028</v>
      </c>
      <c r="B236" s="590">
        <v>799</v>
      </c>
      <c r="C236" t="s">
        <v>36027</v>
      </c>
    </row>
    <row r="237" spans="1:3">
      <c r="A237" t="s">
        <v>36026</v>
      </c>
      <c r="B237" s="590">
        <v>1053</v>
      </c>
      <c r="C237" t="s">
        <v>36025</v>
      </c>
    </row>
    <row r="238" spans="1:3">
      <c r="A238" t="s">
        <v>36024</v>
      </c>
      <c r="B238" s="590">
        <v>799</v>
      </c>
      <c r="C238" t="s">
        <v>36023</v>
      </c>
    </row>
    <row r="239" spans="1:3">
      <c r="A239" t="s">
        <v>36022</v>
      </c>
      <c r="B239" s="590">
        <v>750</v>
      </c>
      <c r="C239" t="s">
        <v>36021</v>
      </c>
    </row>
    <row r="240" spans="1:3">
      <c r="A240" t="s">
        <v>35905</v>
      </c>
      <c r="B240" s="590">
        <v>74</v>
      </c>
      <c r="C240" t="s">
        <v>35904</v>
      </c>
    </row>
    <row r="241" spans="1:3">
      <c r="A241" t="s">
        <v>35994</v>
      </c>
      <c r="B241" s="590">
        <v>69</v>
      </c>
      <c r="C241" t="s">
        <v>35993</v>
      </c>
    </row>
    <row r="242" spans="1:3">
      <c r="A242" t="s">
        <v>35992</v>
      </c>
      <c r="B242" s="590">
        <v>50</v>
      </c>
      <c r="C242" t="s">
        <v>35991</v>
      </c>
    </row>
    <row r="243" spans="1:3">
      <c r="A243" t="s">
        <v>36020</v>
      </c>
      <c r="B243" s="590">
        <v>227</v>
      </c>
      <c r="C243" t="s">
        <v>36019</v>
      </c>
    </row>
    <row r="244" spans="1:3">
      <c r="A244" t="s">
        <v>36018</v>
      </c>
      <c r="B244" s="590">
        <v>499</v>
      </c>
      <c r="C244" t="s">
        <v>36017</v>
      </c>
    </row>
    <row r="245" spans="1:3">
      <c r="A245" t="s">
        <v>36016</v>
      </c>
      <c r="B245" s="590">
        <v>499</v>
      </c>
      <c r="C245" t="s">
        <v>36015</v>
      </c>
    </row>
    <row r="246" spans="1:3">
      <c r="A246" t="s">
        <v>36014</v>
      </c>
      <c r="B246" s="590">
        <v>499</v>
      </c>
      <c r="C246" t="s">
        <v>36013</v>
      </c>
    </row>
    <row r="247" spans="1:3">
      <c r="A247" t="s">
        <v>27277</v>
      </c>
      <c r="B247" s="590">
        <v>680</v>
      </c>
      <c r="C247" t="s">
        <v>27276</v>
      </c>
    </row>
    <row r="248" spans="1:3">
      <c r="A248" t="s">
        <v>36012</v>
      </c>
      <c r="B248" s="590">
        <v>499</v>
      </c>
      <c r="C248" t="s">
        <v>36011</v>
      </c>
    </row>
    <row r="249" spans="1:3">
      <c r="A249" t="s">
        <v>27555</v>
      </c>
      <c r="B249" s="590">
        <v>499</v>
      </c>
      <c r="C249" t="s">
        <v>27554</v>
      </c>
    </row>
    <row r="250" spans="1:3">
      <c r="A250" t="s">
        <v>27553</v>
      </c>
      <c r="B250" s="590">
        <v>499</v>
      </c>
      <c r="C250" t="s">
        <v>27552</v>
      </c>
    </row>
    <row r="251" spans="1:3">
      <c r="A251" t="s">
        <v>27551</v>
      </c>
      <c r="B251" s="590">
        <v>499</v>
      </c>
      <c r="C251" t="s">
        <v>27550</v>
      </c>
    </row>
    <row r="252" spans="1:3">
      <c r="A252" t="s">
        <v>36010</v>
      </c>
      <c r="B252" s="590">
        <v>548</v>
      </c>
      <c r="C252" t="s">
        <v>36009</v>
      </c>
    </row>
    <row r="253" spans="1:3">
      <c r="A253" t="s">
        <v>36008</v>
      </c>
      <c r="B253" s="590">
        <v>548</v>
      </c>
      <c r="C253" t="s">
        <v>36007</v>
      </c>
    </row>
    <row r="254" spans="1:3">
      <c r="A254" t="s">
        <v>36006</v>
      </c>
      <c r="B254" s="590">
        <v>548</v>
      </c>
      <c r="C254" t="s">
        <v>36005</v>
      </c>
    </row>
    <row r="255" spans="1:3">
      <c r="A255" t="s">
        <v>27275</v>
      </c>
      <c r="B255" s="590">
        <v>739</v>
      </c>
      <c r="C255" t="s">
        <v>27274</v>
      </c>
    </row>
    <row r="256" spans="1:3">
      <c r="A256" t="s">
        <v>36004</v>
      </c>
      <c r="B256" s="590">
        <v>548</v>
      </c>
      <c r="C256" t="s">
        <v>36003</v>
      </c>
    </row>
    <row r="257" spans="1:3">
      <c r="A257" t="s">
        <v>36002</v>
      </c>
      <c r="B257" s="590">
        <v>557</v>
      </c>
      <c r="C257" t="s">
        <v>36001</v>
      </c>
    </row>
    <row r="258" spans="1:3">
      <c r="A258" t="s">
        <v>36000</v>
      </c>
      <c r="B258" s="590">
        <v>557</v>
      </c>
      <c r="C258" t="s">
        <v>35999</v>
      </c>
    </row>
    <row r="259" spans="1:3">
      <c r="A259" t="s">
        <v>35998</v>
      </c>
      <c r="B259" s="590">
        <v>557</v>
      </c>
      <c r="C259" t="s">
        <v>35997</v>
      </c>
    </row>
    <row r="260" spans="1:3">
      <c r="A260" t="s">
        <v>27273</v>
      </c>
      <c r="B260" s="590">
        <v>741</v>
      </c>
      <c r="C260" t="s">
        <v>27272</v>
      </c>
    </row>
    <row r="261" spans="1:3">
      <c r="A261" t="s">
        <v>35996</v>
      </c>
      <c r="B261" s="590">
        <v>557</v>
      </c>
      <c r="C261" t="s">
        <v>35995</v>
      </c>
    </row>
    <row r="262" spans="1:3">
      <c r="A262" t="s">
        <v>35905</v>
      </c>
      <c r="B262" s="590">
        <v>74</v>
      </c>
      <c r="C262" t="s">
        <v>35904</v>
      </c>
    </row>
    <row r="263" spans="1:3">
      <c r="A263" t="s">
        <v>35994</v>
      </c>
      <c r="B263" s="590">
        <v>69</v>
      </c>
      <c r="C263" t="s">
        <v>35993</v>
      </c>
    </row>
    <row r="264" spans="1:3">
      <c r="A264" t="s">
        <v>35992</v>
      </c>
      <c r="B264" s="590">
        <v>50</v>
      </c>
      <c r="C264" t="s">
        <v>35991</v>
      </c>
    </row>
    <row r="265" spans="1:3">
      <c r="A265" t="s">
        <v>35990</v>
      </c>
      <c r="B265" s="590">
        <v>431</v>
      </c>
      <c r="C265" t="s">
        <v>35989</v>
      </c>
    </row>
    <row r="266" spans="1:3">
      <c r="A266" t="s">
        <v>35988</v>
      </c>
      <c r="B266" s="590">
        <v>539</v>
      </c>
      <c r="C266" t="s">
        <v>35987</v>
      </c>
    </row>
    <row r="267" spans="1:3">
      <c r="A267" t="s">
        <v>35986</v>
      </c>
      <c r="B267" s="590">
        <v>458</v>
      </c>
      <c r="C267" t="s">
        <v>35985</v>
      </c>
    </row>
    <row r="268" spans="1:3">
      <c r="A268" t="s">
        <v>35984</v>
      </c>
      <c r="B268" s="590">
        <v>471</v>
      </c>
      <c r="C268" t="s">
        <v>35983</v>
      </c>
    </row>
    <row r="269" spans="1:3">
      <c r="A269" t="s">
        <v>27549</v>
      </c>
      <c r="B269" s="590">
        <v>431</v>
      </c>
      <c r="C269" t="s">
        <v>27548</v>
      </c>
    </row>
    <row r="270" spans="1:3">
      <c r="A270" t="s">
        <v>35982</v>
      </c>
      <c r="B270" s="590">
        <v>431</v>
      </c>
      <c r="C270" t="s">
        <v>35981</v>
      </c>
    </row>
    <row r="271" spans="1:3">
      <c r="A271" t="s">
        <v>35980</v>
      </c>
      <c r="B271" s="590">
        <v>458</v>
      </c>
      <c r="C271" t="s">
        <v>35979</v>
      </c>
    </row>
    <row r="272" spans="1:3">
      <c r="A272" t="s">
        <v>35978</v>
      </c>
      <c r="B272" s="590">
        <v>471</v>
      </c>
      <c r="C272" t="s">
        <v>35977</v>
      </c>
    </row>
    <row r="273" spans="1:3">
      <c r="A273" t="s">
        <v>27547</v>
      </c>
      <c r="B273" s="590">
        <v>431</v>
      </c>
      <c r="C273" t="s">
        <v>27546</v>
      </c>
    </row>
    <row r="274" spans="1:3">
      <c r="A274" t="s">
        <v>35905</v>
      </c>
      <c r="B274" s="590">
        <v>74</v>
      </c>
      <c r="C274" t="s">
        <v>35904</v>
      </c>
    </row>
    <row r="275" spans="1:3">
      <c r="A275" t="s">
        <v>35903</v>
      </c>
      <c r="B275" s="590">
        <v>69</v>
      </c>
      <c r="C275" t="s">
        <v>35902</v>
      </c>
    </row>
    <row r="276" spans="1:3">
      <c r="A276" t="s">
        <v>35901</v>
      </c>
      <c r="B276" s="590">
        <v>60</v>
      </c>
      <c r="C276" t="s">
        <v>35900</v>
      </c>
    </row>
    <row r="277" spans="1:3">
      <c r="A277" t="s">
        <v>35899</v>
      </c>
      <c r="B277" s="590">
        <v>62</v>
      </c>
      <c r="C277" t="s">
        <v>35898</v>
      </c>
    </row>
    <row r="278" spans="1:3">
      <c r="A278" t="s">
        <v>35897</v>
      </c>
      <c r="B278" s="590">
        <v>42</v>
      </c>
      <c r="C278" t="s">
        <v>35896</v>
      </c>
    </row>
    <row r="279" spans="1:3">
      <c r="A279" t="s">
        <v>35895</v>
      </c>
      <c r="B279" s="590">
        <v>55</v>
      </c>
      <c r="C279" t="s">
        <v>35894</v>
      </c>
    </row>
    <row r="280" spans="1:3">
      <c r="A280" t="s">
        <v>35893</v>
      </c>
      <c r="B280" s="590">
        <v>97</v>
      </c>
      <c r="C280" t="s">
        <v>35892</v>
      </c>
    </row>
    <row r="281" spans="1:3">
      <c r="A281" t="s">
        <v>35891</v>
      </c>
      <c r="B281" s="590">
        <v>97</v>
      </c>
      <c r="C281" t="s">
        <v>35890</v>
      </c>
    </row>
    <row r="282" spans="1:3">
      <c r="A282" t="s">
        <v>35889</v>
      </c>
      <c r="B282" s="590">
        <v>97</v>
      </c>
      <c r="C282" t="s">
        <v>35888</v>
      </c>
    </row>
    <row r="283" spans="1:3">
      <c r="A283" t="s">
        <v>35887</v>
      </c>
      <c r="B283" s="590">
        <v>97</v>
      </c>
      <c r="C283" t="s">
        <v>35886</v>
      </c>
    </row>
    <row r="284" spans="1:3">
      <c r="A284" t="s">
        <v>35885</v>
      </c>
      <c r="B284" s="590">
        <v>97</v>
      </c>
      <c r="C284" t="s">
        <v>35884</v>
      </c>
    </row>
    <row r="285" spans="1:3">
      <c r="A285" t="s">
        <v>35883</v>
      </c>
      <c r="B285" s="590">
        <v>97</v>
      </c>
      <c r="C285" t="s">
        <v>35882</v>
      </c>
    </row>
    <row r="286" spans="1:3">
      <c r="A286" t="s">
        <v>35881</v>
      </c>
      <c r="B286" s="590">
        <v>97</v>
      </c>
      <c r="C286" t="s">
        <v>35880</v>
      </c>
    </row>
    <row r="287" spans="1:3">
      <c r="A287" t="s">
        <v>35879</v>
      </c>
      <c r="B287" s="590">
        <v>97</v>
      </c>
      <c r="C287" t="s">
        <v>35878</v>
      </c>
    </row>
    <row r="288" spans="1:3">
      <c r="A288" t="s">
        <v>35877</v>
      </c>
      <c r="B288" s="590">
        <v>97</v>
      </c>
      <c r="C288" t="s">
        <v>35876</v>
      </c>
    </row>
    <row r="289" spans="1:3">
      <c r="A289" t="s">
        <v>35875</v>
      </c>
      <c r="B289" s="590">
        <v>97</v>
      </c>
      <c r="C289" t="s">
        <v>35874</v>
      </c>
    </row>
    <row r="290" spans="1:3">
      <c r="A290" t="s">
        <v>35976</v>
      </c>
      <c r="B290" s="590">
        <v>249</v>
      </c>
      <c r="C290" t="s">
        <v>35975</v>
      </c>
    </row>
    <row r="291" spans="1:3">
      <c r="A291" t="s">
        <v>35974</v>
      </c>
      <c r="B291" s="590">
        <v>249</v>
      </c>
      <c r="C291" t="s">
        <v>35973</v>
      </c>
    </row>
    <row r="292" spans="1:3">
      <c r="A292" t="s">
        <v>35972</v>
      </c>
      <c r="B292" s="590">
        <v>249</v>
      </c>
      <c r="C292" t="s">
        <v>35948</v>
      </c>
    </row>
    <row r="293" spans="1:3">
      <c r="A293" t="s">
        <v>35971</v>
      </c>
      <c r="B293" s="590">
        <v>282</v>
      </c>
      <c r="C293" t="s">
        <v>35946</v>
      </c>
    </row>
    <row r="294" spans="1:3">
      <c r="A294" t="s">
        <v>35970</v>
      </c>
      <c r="B294" s="590">
        <v>249</v>
      </c>
      <c r="C294" t="s">
        <v>35969</v>
      </c>
    </row>
    <row r="295" spans="1:3">
      <c r="A295" t="s">
        <v>35968</v>
      </c>
      <c r="B295" s="590">
        <v>282</v>
      </c>
      <c r="C295" t="s">
        <v>35967</v>
      </c>
    </row>
    <row r="296" spans="1:3">
      <c r="A296" t="s">
        <v>35966</v>
      </c>
      <c r="B296" s="590">
        <v>282</v>
      </c>
      <c r="C296" t="s">
        <v>35965</v>
      </c>
    </row>
    <row r="297" spans="1:3">
      <c r="A297" t="s">
        <v>35964</v>
      </c>
      <c r="B297" s="590">
        <v>282</v>
      </c>
      <c r="C297" t="s">
        <v>35963</v>
      </c>
    </row>
    <row r="298" spans="1:3">
      <c r="A298" t="s">
        <v>35962</v>
      </c>
      <c r="B298" s="590">
        <v>306</v>
      </c>
      <c r="C298" t="s">
        <v>35961</v>
      </c>
    </row>
    <row r="299" spans="1:3">
      <c r="A299" t="s">
        <v>35960</v>
      </c>
      <c r="B299" s="590">
        <v>282</v>
      </c>
      <c r="C299" t="s">
        <v>35959</v>
      </c>
    </row>
    <row r="300" spans="1:3">
      <c r="A300" t="s">
        <v>35958</v>
      </c>
      <c r="B300" s="590">
        <v>295</v>
      </c>
      <c r="C300" t="s">
        <v>35957</v>
      </c>
    </row>
    <row r="301" spans="1:3">
      <c r="A301" t="s">
        <v>35956</v>
      </c>
      <c r="B301" s="590">
        <v>295</v>
      </c>
      <c r="C301" t="s">
        <v>35932</v>
      </c>
    </row>
    <row r="302" spans="1:3">
      <c r="A302" t="s">
        <v>35955</v>
      </c>
      <c r="B302" s="590">
        <v>295</v>
      </c>
      <c r="C302" t="s">
        <v>35954</v>
      </c>
    </row>
    <row r="303" spans="1:3">
      <c r="A303" t="s">
        <v>27545</v>
      </c>
      <c r="B303" s="590">
        <v>249</v>
      </c>
      <c r="C303" t="s">
        <v>27539</v>
      </c>
    </row>
    <row r="304" spans="1:3">
      <c r="A304" t="s">
        <v>27544</v>
      </c>
      <c r="B304" s="590">
        <v>249</v>
      </c>
      <c r="C304" t="s">
        <v>27537</v>
      </c>
    </row>
    <row r="305" spans="1:3">
      <c r="A305" t="s">
        <v>27543</v>
      </c>
      <c r="B305" s="590">
        <v>249</v>
      </c>
      <c r="C305" t="s">
        <v>27542</v>
      </c>
    </row>
    <row r="306" spans="1:3">
      <c r="A306" t="s">
        <v>27541</v>
      </c>
      <c r="B306" s="590">
        <v>249</v>
      </c>
      <c r="C306" t="s">
        <v>27535</v>
      </c>
    </row>
    <row r="307" spans="1:3">
      <c r="A307" t="s">
        <v>35953</v>
      </c>
      <c r="B307" s="590">
        <v>249</v>
      </c>
      <c r="C307" t="s">
        <v>35952</v>
      </c>
    </row>
    <row r="308" spans="1:3">
      <c r="A308" t="s">
        <v>35951</v>
      </c>
      <c r="B308" s="590">
        <v>249</v>
      </c>
      <c r="C308" t="s">
        <v>35950</v>
      </c>
    </row>
    <row r="309" spans="1:3">
      <c r="A309" t="s">
        <v>35949</v>
      </c>
      <c r="B309" s="590">
        <v>249</v>
      </c>
      <c r="C309" t="s">
        <v>35948</v>
      </c>
    </row>
    <row r="310" spans="1:3">
      <c r="A310" t="s">
        <v>35947</v>
      </c>
      <c r="B310" s="590">
        <v>282</v>
      </c>
      <c r="C310" t="s">
        <v>35946</v>
      </c>
    </row>
    <row r="311" spans="1:3">
      <c r="A311" t="s">
        <v>35945</v>
      </c>
      <c r="B311" s="590">
        <v>249</v>
      </c>
      <c r="C311" t="s">
        <v>35944</v>
      </c>
    </row>
    <row r="312" spans="1:3">
      <c r="A312" t="s">
        <v>35943</v>
      </c>
      <c r="B312" s="590">
        <v>282</v>
      </c>
      <c r="C312" t="s">
        <v>35942</v>
      </c>
    </row>
    <row r="313" spans="1:3">
      <c r="A313" t="s">
        <v>35941</v>
      </c>
      <c r="B313" s="590">
        <v>282</v>
      </c>
      <c r="C313" t="s">
        <v>35940</v>
      </c>
    </row>
    <row r="314" spans="1:3">
      <c r="A314" t="s">
        <v>35939</v>
      </c>
      <c r="B314" s="590">
        <v>312</v>
      </c>
      <c r="C314" t="s">
        <v>35938</v>
      </c>
    </row>
    <row r="315" spans="1:3">
      <c r="A315" t="s">
        <v>35937</v>
      </c>
      <c r="B315" s="590">
        <v>282</v>
      </c>
      <c r="C315" t="s">
        <v>35936</v>
      </c>
    </row>
    <row r="316" spans="1:3">
      <c r="A316" t="s">
        <v>35935</v>
      </c>
      <c r="B316" s="590">
        <v>295</v>
      </c>
      <c r="C316" t="s">
        <v>35934</v>
      </c>
    </row>
    <row r="317" spans="1:3">
      <c r="A317" t="s">
        <v>35933</v>
      </c>
      <c r="B317" s="590">
        <v>295</v>
      </c>
      <c r="C317" t="s">
        <v>35932</v>
      </c>
    </row>
    <row r="318" spans="1:3">
      <c r="A318" t="s">
        <v>27540</v>
      </c>
      <c r="B318" s="590">
        <v>249</v>
      </c>
      <c r="C318" t="s">
        <v>27539</v>
      </c>
    </row>
    <row r="319" spans="1:3">
      <c r="A319" t="s">
        <v>27538</v>
      </c>
      <c r="B319" s="590">
        <v>249</v>
      </c>
      <c r="C319" t="s">
        <v>27537</v>
      </c>
    </row>
    <row r="320" spans="1:3">
      <c r="A320" t="s">
        <v>27536</v>
      </c>
      <c r="B320" s="590">
        <v>249</v>
      </c>
      <c r="C320" t="s">
        <v>27535</v>
      </c>
    </row>
    <row r="321" spans="1:3">
      <c r="A321" t="s">
        <v>35905</v>
      </c>
      <c r="B321" s="590">
        <v>74</v>
      </c>
      <c r="C321" t="s">
        <v>35904</v>
      </c>
    </row>
    <row r="322" spans="1:3">
      <c r="A322" t="s">
        <v>35903</v>
      </c>
      <c r="B322" s="590">
        <v>69</v>
      </c>
      <c r="C322" t="s">
        <v>35902</v>
      </c>
    </row>
    <row r="323" spans="1:3">
      <c r="A323" t="s">
        <v>35901</v>
      </c>
      <c r="B323" s="590">
        <v>60</v>
      </c>
      <c r="C323" t="s">
        <v>35900</v>
      </c>
    </row>
    <row r="324" spans="1:3">
      <c r="A324" t="s">
        <v>35899</v>
      </c>
      <c r="B324" s="590">
        <v>62</v>
      </c>
      <c r="C324" t="s">
        <v>35898</v>
      </c>
    </row>
    <row r="325" spans="1:3">
      <c r="A325" t="s">
        <v>35897</v>
      </c>
      <c r="B325" s="590">
        <v>42</v>
      </c>
      <c r="C325" t="s">
        <v>35896</v>
      </c>
    </row>
    <row r="326" spans="1:3">
      <c r="A326" t="s">
        <v>35895</v>
      </c>
      <c r="B326" s="590">
        <v>55</v>
      </c>
      <c r="C326" t="s">
        <v>35894</v>
      </c>
    </row>
    <row r="327" spans="1:3">
      <c r="A327" t="s">
        <v>35893</v>
      </c>
      <c r="B327" s="590">
        <v>97</v>
      </c>
      <c r="C327" t="s">
        <v>35892</v>
      </c>
    </row>
    <row r="328" spans="1:3">
      <c r="A328" t="s">
        <v>35891</v>
      </c>
      <c r="B328" s="590">
        <v>97</v>
      </c>
      <c r="C328" t="s">
        <v>35890</v>
      </c>
    </row>
    <row r="329" spans="1:3">
      <c r="A329" t="s">
        <v>35889</v>
      </c>
      <c r="B329" s="590">
        <v>97</v>
      </c>
      <c r="C329" t="s">
        <v>35888</v>
      </c>
    </row>
    <row r="330" spans="1:3">
      <c r="A330" t="s">
        <v>35887</v>
      </c>
      <c r="B330" s="590">
        <v>97</v>
      </c>
      <c r="C330" t="s">
        <v>35886</v>
      </c>
    </row>
    <row r="331" spans="1:3">
      <c r="A331" t="s">
        <v>35885</v>
      </c>
      <c r="B331" s="590">
        <v>97</v>
      </c>
      <c r="C331" t="s">
        <v>35884</v>
      </c>
    </row>
    <row r="332" spans="1:3">
      <c r="A332" t="s">
        <v>35883</v>
      </c>
      <c r="B332" s="590">
        <v>97</v>
      </c>
      <c r="C332" t="s">
        <v>35882</v>
      </c>
    </row>
    <row r="333" spans="1:3">
      <c r="A333" t="s">
        <v>35881</v>
      </c>
      <c r="B333" s="590">
        <v>97</v>
      </c>
      <c r="C333" t="s">
        <v>35880</v>
      </c>
    </row>
    <row r="334" spans="1:3">
      <c r="A334" t="s">
        <v>35879</v>
      </c>
      <c r="B334" s="590">
        <v>97</v>
      </c>
      <c r="C334" t="s">
        <v>35878</v>
      </c>
    </row>
    <row r="335" spans="1:3">
      <c r="A335" t="s">
        <v>35877</v>
      </c>
      <c r="B335" s="590">
        <v>97</v>
      </c>
      <c r="C335" t="s">
        <v>35876</v>
      </c>
    </row>
    <row r="336" spans="1:3">
      <c r="A336" t="s">
        <v>35875</v>
      </c>
      <c r="B336" s="590">
        <v>97</v>
      </c>
      <c r="C336" t="s">
        <v>35874</v>
      </c>
    </row>
    <row r="337" spans="1:3">
      <c r="A337" t="s">
        <v>35931</v>
      </c>
      <c r="B337" s="590">
        <v>207</v>
      </c>
      <c r="C337" t="s">
        <v>35930</v>
      </c>
    </row>
    <row r="338" spans="1:3">
      <c r="A338" t="s">
        <v>35929</v>
      </c>
      <c r="B338" s="590">
        <v>207</v>
      </c>
      <c r="C338" t="s">
        <v>35928</v>
      </c>
    </row>
    <row r="339" spans="1:3">
      <c r="A339" t="s">
        <v>27534</v>
      </c>
      <c r="B339" s="590">
        <v>207</v>
      </c>
      <c r="C339" t="s">
        <v>27533</v>
      </c>
    </row>
    <row r="340" spans="1:3">
      <c r="A340" t="s">
        <v>35927</v>
      </c>
      <c r="B340" s="590">
        <v>230</v>
      </c>
      <c r="C340" t="s">
        <v>35926</v>
      </c>
    </row>
    <row r="341" spans="1:3">
      <c r="A341" t="s">
        <v>35925</v>
      </c>
      <c r="B341" s="590">
        <v>230</v>
      </c>
      <c r="C341" t="s">
        <v>35924</v>
      </c>
    </row>
    <row r="342" spans="1:3">
      <c r="A342" t="s">
        <v>35923</v>
      </c>
      <c r="B342" s="590">
        <v>207</v>
      </c>
      <c r="C342" t="s">
        <v>35922</v>
      </c>
    </row>
    <row r="343" spans="1:3">
      <c r="A343" t="s">
        <v>35921</v>
      </c>
      <c r="B343" s="590">
        <v>207</v>
      </c>
      <c r="C343" t="s">
        <v>35920</v>
      </c>
    </row>
    <row r="344" spans="1:3">
      <c r="A344" t="s">
        <v>27532</v>
      </c>
      <c r="B344" s="590">
        <v>207</v>
      </c>
      <c r="C344" t="s">
        <v>27531</v>
      </c>
    </row>
    <row r="345" spans="1:3">
      <c r="A345" t="s">
        <v>35919</v>
      </c>
      <c r="B345" s="590">
        <v>230</v>
      </c>
      <c r="C345" t="s">
        <v>35918</v>
      </c>
    </row>
    <row r="346" spans="1:3">
      <c r="A346" t="s">
        <v>35917</v>
      </c>
      <c r="B346" s="590">
        <v>230</v>
      </c>
      <c r="C346" t="s">
        <v>35916</v>
      </c>
    </row>
    <row r="347" spans="1:3">
      <c r="A347" t="s">
        <v>35915</v>
      </c>
      <c r="B347" s="590">
        <v>284</v>
      </c>
      <c r="C347" t="s">
        <v>35914</v>
      </c>
    </row>
    <row r="348" spans="1:3">
      <c r="A348" t="s">
        <v>35913</v>
      </c>
      <c r="B348" s="590">
        <v>284</v>
      </c>
      <c r="C348" t="s">
        <v>35912</v>
      </c>
    </row>
    <row r="349" spans="1:3">
      <c r="A349" t="s">
        <v>35911</v>
      </c>
      <c r="B349" s="590">
        <v>284</v>
      </c>
      <c r="C349" t="s">
        <v>35910</v>
      </c>
    </row>
    <row r="350" spans="1:3">
      <c r="A350" t="s">
        <v>35909</v>
      </c>
      <c r="B350" s="590">
        <v>284</v>
      </c>
      <c r="C350" t="s">
        <v>35908</v>
      </c>
    </row>
    <row r="351" spans="1:3">
      <c r="A351" t="s">
        <v>35907</v>
      </c>
      <c r="B351" s="590">
        <v>284</v>
      </c>
      <c r="C351" t="s">
        <v>35906</v>
      </c>
    </row>
    <row r="352" spans="1:3">
      <c r="A352" t="s">
        <v>35905</v>
      </c>
      <c r="B352" s="590">
        <v>74</v>
      </c>
      <c r="C352" t="s">
        <v>35904</v>
      </c>
    </row>
    <row r="353" spans="1:3">
      <c r="A353" t="s">
        <v>35903</v>
      </c>
      <c r="B353" s="590">
        <v>69</v>
      </c>
      <c r="C353" t="s">
        <v>35902</v>
      </c>
    </row>
    <row r="354" spans="1:3">
      <c r="A354" t="s">
        <v>35901</v>
      </c>
      <c r="B354" s="590">
        <v>60</v>
      </c>
      <c r="C354" t="s">
        <v>35900</v>
      </c>
    </row>
    <row r="355" spans="1:3">
      <c r="A355" t="s">
        <v>35899</v>
      </c>
      <c r="B355" s="590">
        <v>62</v>
      </c>
      <c r="C355" t="s">
        <v>35898</v>
      </c>
    </row>
    <row r="356" spans="1:3">
      <c r="A356" t="s">
        <v>35897</v>
      </c>
      <c r="B356" s="590">
        <v>42</v>
      </c>
      <c r="C356" t="s">
        <v>35896</v>
      </c>
    </row>
    <row r="357" spans="1:3">
      <c r="A357" t="s">
        <v>35895</v>
      </c>
      <c r="B357" s="590">
        <v>55</v>
      </c>
      <c r="C357" t="s">
        <v>35894</v>
      </c>
    </row>
    <row r="358" spans="1:3">
      <c r="A358" t="s">
        <v>35893</v>
      </c>
      <c r="B358" s="590">
        <v>97</v>
      </c>
      <c r="C358" t="s">
        <v>35892</v>
      </c>
    </row>
    <row r="359" spans="1:3">
      <c r="A359" t="s">
        <v>35891</v>
      </c>
      <c r="B359" s="590">
        <v>97</v>
      </c>
      <c r="C359" t="s">
        <v>35890</v>
      </c>
    </row>
    <row r="360" spans="1:3">
      <c r="A360" t="s">
        <v>35889</v>
      </c>
      <c r="B360" s="590">
        <v>97</v>
      </c>
      <c r="C360" t="s">
        <v>35888</v>
      </c>
    </row>
    <row r="361" spans="1:3">
      <c r="A361" t="s">
        <v>35887</v>
      </c>
      <c r="B361" s="590">
        <v>97</v>
      </c>
      <c r="C361" t="s">
        <v>35886</v>
      </c>
    </row>
    <row r="362" spans="1:3">
      <c r="A362" t="s">
        <v>35885</v>
      </c>
      <c r="B362" s="590">
        <v>97</v>
      </c>
      <c r="C362" t="s">
        <v>35884</v>
      </c>
    </row>
    <row r="363" spans="1:3">
      <c r="A363" t="s">
        <v>35883</v>
      </c>
      <c r="B363" s="590">
        <v>97</v>
      </c>
      <c r="C363" t="s">
        <v>35882</v>
      </c>
    </row>
    <row r="364" spans="1:3">
      <c r="A364" t="s">
        <v>35881</v>
      </c>
      <c r="B364" s="590">
        <v>97</v>
      </c>
      <c r="C364" t="s">
        <v>35880</v>
      </c>
    </row>
    <row r="365" spans="1:3">
      <c r="A365" t="s">
        <v>35879</v>
      </c>
      <c r="B365" s="590">
        <v>97</v>
      </c>
      <c r="C365" t="s">
        <v>35878</v>
      </c>
    </row>
    <row r="366" spans="1:3">
      <c r="A366" t="s">
        <v>35877</v>
      </c>
      <c r="B366" s="590">
        <v>97</v>
      </c>
      <c r="C366" t="s">
        <v>35876</v>
      </c>
    </row>
    <row r="367" spans="1:3">
      <c r="A367" t="s">
        <v>35875</v>
      </c>
      <c r="B367" s="590">
        <v>97</v>
      </c>
      <c r="C367" t="s">
        <v>35874</v>
      </c>
    </row>
    <row r="368" spans="1:3">
      <c r="A368" t="s">
        <v>35873</v>
      </c>
      <c r="B368" s="590">
        <v>430</v>
      </c>
      <c r="C368" t="s">
        <v>35872</v>
      </c>
    </row>
    <row r="369" spans="1:3">
      <c r="A369" t="s">
        <v>35871</v>
      </c>
      <c r="B369" s="590">
        <v>430</v>
      </c>
      <c r="C369" t="s">
        <v>35870</v>
      </c>
    </row>
    <row r="370" spans="1:3">
      <c r="A370" t="s">
        <v>35869</v>
      </c>
      <c r="B370" s="590">
        <v>430</v>
      </c>
      <c r="C370" t="s">
        <v>35868</v>
      </c>
    </row>
    <row r="371" spans="1:3">
      <c r="A371" t="s">
        <v>35867</v>
      </c>
      <c r="B371" s="590">
        <v>450</v>
      </c>
      <c r="C371" t="s">
        <v>35866</v>
      </c>
    </row>
    <row r="372" spans="1:3">
      <c r="A372" t="s">
        <v>35865</v>
      </c>
      <c r="B372" s="590">
        <v>450</v>
      </c>
      <c r="C372" t="s">
        <v>35864</v>
      </c>
    </row>
    <row r="373" spans="1:3">
      <c r="A373" t="s">
        <v>35863</v>
      </c>
      <c r="B373" s="590">
        <v>450</v>
      </c>
      <c r="C373" t="s">
        <v>35862</v>
      </c>
    </row>
    <row r="374" spans="1:3">
      <c r="A374" t="s">
        <v>35861</v>
      </c>
      <c r="B374" s="590">
        <v>88</v>
      </c>
      <c r="C374" t="s">
        <v>35860</v>
      </c>
    </row>
    <row r="375" spans="1:3">
      <c r="A375" t="s">
        <v>35859</v>
      </c>
      <c r="B375" s="590">
        <v>115</v>
      </c>
      <c r="C375" t="s">
        <v>35858</v>
      </c>
    </row>
    <row r="376" spans="1:3">
      <c r="A376" t="s">
        <v>35857</v>
      </c>
      <c r="B376" s="590">
        <v>72</v>
      </c>
      <c r="C376" t="s">
        <v>35856</v>
      </c>
    </row>
    <row r="377" spans="1:3">
      <c r="A377" t="s">
        <v>35855</v>
      </c>
      <c r="B377" s="590">
        <v>402</v>
      </c>
      <c r="C377" t="s">
        <v>35854</v>
      </c>
    </row>
    <row r="378" spans="1:3">
      <c r="A378" t="s">
        <v>35853</v>
      </c>
      <c r="B378" s="590">
        <v>402</v>
      </c>
      <c r="C378" t="s">
        <v>35852</v>
      </c>
    </row>
    <row r="379" spans="1:3">
      <c r="A379" t="s">
        <v>35851</v>
      </c>
      <c r="B379" s="590">
        <v>402</v>
      </c>
      <c r="C379" t="s">
        <v>35850</v>
      </c>
    </row>
    <row r="380" spans="1:3">
      <c r="A380" t="s">
        <v>35849</v>
      </c>
      <c r="B380" s="590">
        <v>468</v>
      </c>
      <c r="C380" t="s">
        <v>35848</v>
      </c>
    </row>
    <row r="381" spans="1:3">
      <c r="A381" t="s">
        <v>35847</v>
      </c>
      <c r="B381" s="590">
        <v>402</v>
      </c>
      <c r="C381" t="s">
        <v>35846</v>
      </c>
    </row>
    <row r="382" spans="1:3">
      <c r="A382" t="s">
        <v>35845</v>
      </c>
      <c r="B382" s="590">
        <v>429</v>
      </c>
      <c r="C382" t="s">
        <v>35844</v>
      </c>
    </row>
    <row r="383" spans="1:3">
      <c r="A383" t="s">
        <v>35843</v>
      </c>
      <c r="B383" s="590">
        <v>429</v>
      </c>
      <c r="C383" t="s">
        <v>35842</v>
      </c>
    </row>
    <row r="384" spans="1:3">
      <c r="A384" t="s">
        <v>35841</v>
      </c>
      <c r="B384" s="590">
        <v>429</v>
      </c>
      <c r="C384" t="s">
        <v>35840</v>
      </c>
    </row>
    <row r="385" spans="1:3">
      <c r="A385" t="s">
        <v>35839</v>
      </c>
      <c r="B385" s="590">
        <v>440</v>
      </c>
      <c r="C385" t="s">
        <v>35838</v>
      </c>
    </row>
    <row r="386" spans="1:3">
      <c r="A386" t="s">
        <v>35837</v>
      </c>
      <c r="B386" s="590">
        <v>440</v>
      </c>
      <c r="C386" t="s">
        <v>35836</v>
      </c>
    </row>
    <row r="387" spans="1:3">
      <c r="A387" t="s">
        <v>35835</v>
      </c>
      <c r="B387" s="590">
        <v>440</v>
      </c>
      <c r="C387" t="s">
        <v>35834</v>
      </c>
    </row>
    <row r="388" spans="1:3">
      <c r="A388" t="s">
        <v>35833</v>
      </c>
      <c r="B388" s="590">
        <v>440</v>
      </c>
      <c r="C388" t="s">
        <v>35832</v>
      </c>
    </row>
    <row r="389" spans="1:3">
      <c r="A389" t="s">
        <v>35831</v>
      </c>
      <c r="B389" s="590">
        <v>50</v>
      </c>
      <c r="C389" t="s">
        <v>35830</v>
      </c>
    </row>
    <row r="390" spans="1:3">
      <c r="A390" t="s">
        <v>35829</v>
      </c>
      <c r="B390" s="590">
        <v>1036</v>
      </c>
      <c r="C390" t="s">
        <v>35828</v>
      </c>
    </row>
    <row r="391" spans="1:3">
      <c r="A391" t="s">
        <v>35827</v>
      </c>
      <c r="B391" s="590">
        <v>1036</v>
      </c>
      <c r="C391" t="s">
        <v>35826</v>
      </c>
    </row>
    <row r="392" spans="1:3">
      <c r="A392" t="s">
        <v>35825</v>
      </c>
      <c r="B392" s="590">
        <v>1036</v>
      </c>
      <c r="C392" t="s">
        <v>35824</v>
      </c>
    </row>
    <row r="393" spans="1:3">
      <c r="A393" t="s">
        <v>35823</v>
      </c>
      <c r="B393" s="590">
        <v>1077</v>
      </c>
      <c r="C393" t="s">
        <v>35822</v>
      </c>
    </row>
    <row r="394" spans="1:3">
      <c r="A394" t="s">
        <v>35821</v>
      </c>
      <c r="B394" s="590">
        <v>1036</v>
      </c>
      <c r="C394" t="s">
        <v>35820</v>
      </c>
    </row>
    <row r="395" spans="1:3">
      <c r="A395" t="s">
        <v>35819</v>
      </c>
      <c r="B395" s="590">
        <v>1075</v>
      </c>
      <c r="C395" t="s">
        <v>35818</v>
      </c>
    </row>
    <row r="396" spans="1:3">
      <c r="A396" t="s">
        <v>35817</v>
      </c>
      <c r="B396" s="590">
        <v>1075</v>
      </c>
      <c r="C396" t="s">
        <v>35816</v>
      </c>
    </row>
    <row r="397" spans="1:3">
      <c r="A397" t="s">
        <v>35815</v>
      </c>
      <c r="B397" s="590">
        <v>1075</v>
      </c>
      <c r="C397" t="s">
        <v>35814</v>
      </c>
    </row>
    <row r="398" spans="1:3">
      <c r="A398" t="s">
        <v>35813</v>
      </c>
      <c r="B398" s="590">
        <v>1082</v>
      </c>
      <c r="C398" t="s">
        <v>35812</v>
      </c>
    </row>
    <row r="399" spans="1:3">
      <c r="A399" t="s">
        <v>35811</v>
      </c>
      <c r="B399" s="590">
        <v>1082</v>
      </c>
      <c r="C399" t="s">
        <v>35810</v>
      </c>
    </row>
    <row r="400" spans="1:3">
      <c r="A400" t="s">
        <v>35809</v>
      </c>
      <c r="B400" s="590">
        <v>1126</v>
      </c>
      <c r="C400" t="s">
        <v>35808</v>
      </c>
    </row>
    <row r="401" spans="1:3">
      <c r="A401" t="s">
        <v>35807</v>
      </c>
      <c r="B401" s="590">
        <v>1082</v>
      </c>
      <c r="C401" t="s">
        <v>35806</v>
      </c>
    </row>
    <row r="402" spans="1:3">
      <c r="A402" t="s">
        <v>35805</v>
      </c>
      <c r="B402" s="590">
        <v>1036</v>
      </c>
      <c r="C402" t="s">
        <v>35804</v>
      </c>
    </row>
    <row r="403" spans="1:3">
      <c r="A403" t="s">
        <v>35803</v>
      </c>
      <c r="B403" s="590">
        <v>1036</v>
      </c>
      <c r="C403" t="s">
        <v>35802</v>
      </c>
    </row>
    <row r="404" spans="1:3">
      <c r="A404" t="s">
        <v>35801</v>
      </c>
      <c r="B404" s="590">
        <v>1036</v>
      </c>
      <c r="C404" t="s">
        <v>35800</v>
      </c>
    </row>
    <row r="405" spans="1:3">
      <c r="A405" t="s">
        <v>35799</v>
      </c>
      <c r="B405" s="590">
        <v>1036</v>
      </c>
      <c r="C405" t="s">
        <v>35798</v>
      </c>
    </row>
    <row r="406" spans="1:3">
      <c r="A406" t="s">
        <v>35797</v>
      </c>
      <c r="B406" s="590">
        <v>1036</v>
      </c>
      <c r="C406" t="s">
        <v>35796</v>
      </c>
    </row>
    <row r="407" spans="1:3">
      <c r="A407" t="s">
        <v>35795</v>
      </c>
      <c r="B407" s="590">
        <v>1036</v>
      </c>
      <c r="C407" t="s">
        <v>35794</v>
      </c>
    </row>
    <row r="408" spans="1:3">
      <c r="A408" t="s">
        <v>35793</v>
      </c>
      <c r="B408" s="590">
        <v>1036</v>
      </c>
      <c r="C408" t="s">
        <v>35792</v>
      </c>
    </row>
    <row r="409" spans="1:3">
      <c r="A409" t="s">
        <v>35791</v>
      </c>
      <c r="B409" s="590">
        <v>1036</v>
      </c>
      <c r="C409" t="s">
        <v>35790</v>
      </c>
    </row>
    <row r="410" spans="1:3">
      <c r="A410" t="s">
        <v>35789</v>
      </c>
      <c r="B410" s="590">
        <v>1075</v>
      </c>
      <c r="C410" t="s">
        <v>35788</v>
      </c>
    </row>
    <row r="411" spans="1:3">
      <c r="A411" t="s">
        <v>35787</v>
      </c>
      <c r="B411" s="590">
        <v>1075</v>
      </c>
      <c r="C411" t="s">
        <v>35786</v>
      </c>
    </row>
    <row r="412" spans="1:3">
      <c r="A412" t="s">
        <v>35785</v>
      </c>
      <c r="B412" s="590">
        <v>1075</v>
      </c>
      <c r="C412" t="s">
        <v>35784</v>
      </c>
    </row>
    <row r="413" spans="1:3">
      <c r="A413" t="s">
        <v>35783</v>
      </c>
      <c r="B413" s="590">
        <v>1075</v>
      </c>
      <c r="C413" t="s">
        <v>35782</v>
      </c>
    </row>
    <row r="414" spans="1:3">
      <c r="A414" t="s">
        <v>35781</v>
      </c>
      <c r="B414" s="590">
        <v>1075</v>
      </c>
      <c r="C414" t="s">
        <v>35780</v>
      </c>
    </row>
    <row r="415" spans="1:3">
      <c r="A415" t="s">
        <v>35779</v>
      </c>
      <c r="B415" s="590">
        <v>1082</v>
      </c>
      <c r="C415" t="s">
        <v>35778</v>
      </c>
    </row>
    <row r="416" spans="1:3">
      <c r="A416" t="s">
        <v>35777</v>
      </c>
      <c r="B416" s="590">
        <v>1082</v>
      </c>
      <c r="C416" t="s">
        <v>35776</v>
      </c>
    </row>
    <row r="417" spans="1:3">
      <c r="A417" t="s">
        <v>35775</v>
      </c>
      <c r="B417" s="590">
        <v>1082</v>
      </c>
      <c r="C417" t="s">
        <v>35774</v>
      </c>
    </row>
    <row r="418" spans="1:3">
      <c r="A418" t="s">
        <v>35729</v>
      </c>
      <c r="B418" s="590">
        <v>60</v>
      </c>
      <c r="C418" t="s">
        <v>35728</v>
      </c>
    </row>
    <row r="419" spans="1:3">
      <c r="A419" t="s">
        <v>35773</v>
      </c>
      <c r="B419" s="590">
        <v>1036</v>
      </c>
      <c r="C419" t="s">
        <v>35772</v>
      </c>
    </row>
    <row r="420" spans="1:3">
      <c r="A420" t="s">
        <v>35771</v>
      </c>
      <c r="B420" s="590">
        <v>1036</v>
      </c>
      <c r="C420" t="s">
        <v>35770</v>
      </c>
    </row>
    <row r="421" spans="1:3">
      <c r="A421" t="s">
        <v>35769</v>
      </c>
      <c r="B421" s="590">
        <v>1036</v>
      </c>
      <c r="C421" t="s">
        <v>35768</v>
      </c>
    </row>
    <row r="422" spans="1:3">
      <c r="A422" t="s">
        <v>35767</v>
      </c>
      <c r="B422" s="590">
        <v>1077</v>
      </c>
      <c r="C422" t="s">
        <v>35766</v>
      </c>
    </row>
    <row r="423" spans="1:3">
      <c r="A423" t="s">
        <v>35765</v>
      </c>
      <c r="B423" s="590">
        <v>1036</v>
      </c>
      <c r="C423" t="s">
        <v>35764</v>
      </c>
    </row>
    <row r="424" spans="1:3">
      <c r="A424" t="s">
        <v>35763</v>
      </c>
      <c r="B424" s="590">
        <v>1075</v>
      </c>
      <c r="C424" t="s">
        <v>35762</v>
      </c>
    </row>
    <row r="425" spans="1:3">
      <c r="A425" t="s">
        <v>35761</v>
      </c>
      <c r="B425" s="590">
        <v>1075</v>
      </c>
      <c r="C425" t="s">
        <v>35760</v>
      </c>
    </row>
    <row r="426" spans="1:3">
      <c r="A426" t="s">
        <v>35759</v>
      </c>
      <c r="B426" s="590">
        <v>1075</v>
      </c>
      <c r="C426" t="s">
        <v>35758</v>
      </c>
    </row>
    <row r="427" spans="1:3">
      <c r="A427" t="s">
        <v>35757</v>
      </c>
      <c r="B427" s="590">
        <v>1075</v>
      </c>
      <c r="C427" t="s">
        <v>35756</v>
      </c>
    </row>
    <row r="428" spans="1:3">
      <c r="A428" t="s">
        <v>35755</v>
      </c>
      <c r="B428" s="590">
        <v>1082</v>
      </c>
      <c r="C428" t="s">
        <v>35754</v>
      </c>
    </row>
    <row r="429" spans="1:3">
      <c r="A429" t="s">
        <v>35753</v>
      </c>
      <c r="B429" s="590">
        <v>1082</v>
      </c>
      <c r="C429" t="s">
        <v>35752</v>
      </c>
    </row>
    <row r="430" spans="1:3">
      <c r="A430" t="s">
        <v>35751</v>
      </c>
      <c r="B430" s="590">
        <v>1126</v>
      </c>
      <c r="C430" t="s">
        <v>35750</v>
      </c>
    </row>
    <row r="431" spans="1:3">
      <c r="A431" t="s">
        <v>35749</v>
      </c>
      <c r="B431" s="590">
        <v>1082</v>
      </c>
      <c r="C431" t="s">
        <v>35748</v>
      </c>
    </row>
    <row r="432" spans="1:3">
      <c r="A432" t="s">
        <v>35747</v>
      </c>
      <c r="B432" s="590">
        <v>1036</v>
      </c>
      <c r="C432" t="s">
        <v>35746</v>
      </c>
    </row>
    <row r="433" spans="1:3">
      <c r="A433" t="s">
        <v>35745</v>
      </c>
      <c r="B433" s="590">
        <v>1036</v>
      </c>
      <c r="C433" t="s">
        <v>35744</v>
      </c>
    </row>
    <row r="434" spans="1:3">
      <c r="A434" t="s">
        <v>35743</v>
      </c>
      <c r="B434" s="590">
        <v>1036</v>
      </c>
      <c r="C434" t="s">
        <v>35742</v>
      </c>
    </row>
    <row r="435" spans="1:3">
      <c r="A435" t="s">
        <v>35741</v>
      </c>
      <c r="B435" s="590">
        <v>1036</v>
      </c>
      <c r="C435" t="s">
        <v>35740</v>
      </c>
    </row>
    <row r="436" spans="1:3">
      <c r="A436" t="s">
        <v>35739</v>
      </c>
      <c r="B436" s="590">
        <v>1036</v>
      </c>
      <c r="C436" t="s">
        <v>35738</v>
      </c>
    </row>
    <row r="437" spans="1:3">
      <c r="A437" t="s">
        <v>35737</v>
      </c>
      <c r="B437" s="590">
        <v>1036</v>
      </c>
      <c r="C437" t="s">
        <v>35736</v>
      </c>
    </row>
    <row r="438" spans="1:3">
      <c r="A438" t="s">
        <v>35735</v>
      </c>
      <c r="B438" s="590">
        <v>1075</v>
      </c>
      <c r="C438" t="s">
        <v>35734</v>
      </c>
    </row>
    <row r="439" spans="1:3">
      <c r="A439" t="s">
        <v>35733</v>
      </c>
      <c r="B439" s="590">
        <v>1075</v>
      </c>
      <c r="C439" t="s">
        <v>35732</v>
      </c>
    </row>
    <row r="440" spans="1:3">
      <c r="A440" t="s">
        <v>35731</v>
      </c>
      <c r="B440" s="590">
        <v>1082</v>
      </c>
      <c r="C440" t="s">
        <v>35730</v>
      </c>
    </row>
    <row r="441" spans="1:3">
      <c r="A441" t="s">
        <v>35729</v>
      </c>
      <c r="B441" s="590">
        <v>60</v>
      </c>
      <c r="C441" t="s">
        <v>35728</v>
      </c>
    </row>
    <row r="442" spans="1:3">
      <c r="A442" t="s">
        <v>35727</v>
      </c>
      <c r="B442" s="590">
        <v>117</v>
      </c>
      <c r="C442" t="s">
        <v>35726</v>
      </c>
    </row>
    <row r="443" spans="1:3">
      <c r="A443" t="s">
        <v>35725</v>
      </c>
      <c r="B443" s="590">
        <v>313</v>
      </c>
      <c r="C443" t="s">
        <v>35724</v>
      </c>
    </row>
    <row r="444" spans="1:3">
      <c r="A444" t="s">
        <v>35723</v>
      </c>
      <c r="B444" s="590">
        <v>128</v>
      </c>
      <c r="C444" t="s">
        <v>35722</v>
      </c>
    </row>
    <row r="445" spans="1:3">
      <c r="A445" t="s">
        <v>35721</v>
      </c>
      <c r="B445" s="590">
        <v>174</v>
      </c>
      <c r="C445" t="s">
        <v>35720</v>
      </c>
    </row>
    <row r="446" spans="1:3">
      <c r="A446" t="s">
        <v>35719</v>
      </c>
      <c r="B446" s="590">
        <v>309</v>
      </c>
      <c r="C446" t="s">
        <v>35718</v>
      </c>
    </row>
    <row r="447" spans="1:3">
      <c r="A447" t="s">
        <v>35717</v>
      </c>
      <c r="B447" s="590">
        <v>309</v>
      </c>
      <c r="C447" t="s">
        <v>35716</v>
      </c>
    </row>
    <row r="448" spans="1:3">
      <c r="A448" t="s">
        <v>22048</v>
      </c>
      <c r="B448" s="590">
        <v>101</v>
      </c>
      <c r="C448" t="s">
        <v>35715</v>
      </c>
    </row>
    <row r="449" spans="1:3">
      <c r="A449" t="s">
        <v>22047</v>
      </c>
      <c r="B449" s="590">
        <v>91</v>
      </c>
      <c r="C449" t="s">
        <v>35714</v>
      </c>
    </row>
    <row r="450" spans="1:3">
      <c r="A450" t="s">
        <v>35713</v>
      </c>
      <c r="B450" s="590">
        <v>88</v>
      </c>
      <c r="C450" t="s">
        <v>35712</v>
      </c>
    </row>
    <row r="451" spans="1:3">
      <c r="A451" t="s">
        <v>35711</v>
      </c>
      <c r="B451" s="590">
        <v>153</v>
      </c>
      <c r="C451" t="s">
        <v>35710</v>
      </c>
    </row>
    <row r="452" spans="1:3">
      <c r="A452" t="s">
        <v>35709</v>
      </c>
      <c r="B452" s="590">
        <v>39</v>
      </c>
      <c r="C452" t="s">
        <v>35708</v>
      </c>
    </row>
    <row r="453" spans="1:3">
      <c r="A453" t="s">
        <v>35707</v>
      </c>
      <c r="B453" s="590">
        <v>45</v>
      </c>
      <c r="C453" t="s">
        <v>35706</v>
      </c>
    </row>
    <row r="454" spans="1:3">
      <c r="A454" t="s">
        <v>27269</v>
      </c>
      <c r="B454" s="590">
        <v>64</v>
      </c>
      <c r="C454" t="s">
        <v>27268</v>
      </c>
    </row>
    <row r="455" spans="1:3">
      <c r="A455" t="s">
        <v>35705</v>
      </c>
      <c r="B455" s="590">
        <v>39</v>
      </c>
      <c r="C455" t="s">
        <v>35704</v>
      </c>
    </row>
    <row r="456" spans="1:3">
      <c r="A456" t="s">
        <v>35703</v>
      </c>
      <c r="B456" s="590">
        <v>39</v>
      </c>
      <c r="C456" t="s">
        <v>35702</v>
      </c>
    </row>
    <row r="457" spans="1:3">
      <c r="A457" t="s">
        <v>35701</v>
      </c>
      <c r="B457" s="590">
        <v>51</v>
      </c>
      <c r="C457" t="s">
        <v>35700</v>
      </c>
    </row>
    <row r="458" spans="1:3">
      <c r="A458" t="s">
        <v>35699</v>
      </c>
      <c r="B458" s="590">
        <v>51</v>
      </c>
      <c r="C458" t="s">
        <v>35698</v>
      </c>
    </row>
    <row r="459" spans="1:3">
      <c r="A459" t="s">
        <v>35697</v>
      </c>
      <c r="B459" s="590">
        <v>39</v>
      </c>
      <c r="C459" t="s">
        <v>35696</v>
      </c>
    </row>
    <row r="460" spans="1:3">
      <c r="A460" t="s">
        <v>35703</v>
      </c>
      <c r="B460" s="590">
        <v>39</v>
      </c>
      <c r="C460" t="s">
        <v>35702</v>
      </c>
    </row>
    <row r="461" spans="1:3">
      <c r="A461" t="s">
        <v>35701</v>
      </c>
      <c r="B461" s="590">
        <v>51</v>
      </c>
      <c r="C461" t="s">
        <v>35700</v>
      </c>
    </row>
    <row r="462" spans="1:3">
      <c r="A462" t="s">
        <v>35699</v>
      </c>
      <c r="B462" s="590">
        <v>51</v>
      </c>
      <c r="C462" t="s">
        <v>35698</v>
      </c>
    </row>
    <row r="463" spans="1:3">
      <c r="A463" t="s">
        <v>35697</v>
      </c>
      <c r="B463" s="590">
        <v>39</v>
      </c>
      <c r="C463" t="s">
        <v>35696</v>
      </c>
    </row>
    <row r="464" spans="1:3">
      <c r="A464" t="s">
        <v>35695</v>
      </c>
      <c r="B464" s="590">
        <v>39</v>
      </c>
      <c r="C464" t="s">
        <v>35694</v>
      </c>
    </row>
    <row r="465" spans="1:3">
      <c r="A465" t="s">
        <v>35689</v>
      </c>
      <c r="B465" s="590">
        <v>51</v>
      </c>
      <c r="C465" t="s">
        <v>35688</v>
      </c>
    </row>
    <row r="466" spans="1:3">
      <c r="A466" t="s">
        <v>35693</v>
      </c>
      <c r="B466" s="590">
        <v>64</v>
      </c>
      <c r="C466" t="s">
        <v>35692</v>
      </c>
    </row>
    <row r="467" spans="1:3">
      <c r="A467" t="s">
        <v>35691</v>
      </c>
      <c r="B467" s="590">
        <v>39</v>
      </c>
      <c r="C467" t="s">
        <v>35690</v>
      </c>
    </row>
    <row r="468" spans="1:3">
      <c r="A468" t="s">
        <v>35689</v>
      </c>
      <c r="B468" s="590">
        <v>51</v>
      </c>
      <c r="C468" t="s">
        <v>35688</v>
      </c>
    </row>
    <row r="469" spans="1:3">
      <c r="A469" t="s">
        <v>35687</v>
      </c>
      <c r="B469" s="590">
        <v>51</v>
      </c>
      <c r="C469" t="s">
        <v>35686</v>
      </c>
    </row>
    <row r="470" spans="1:3">
      <c r="A470" t="s">
        <v>35685</v>
      </c>
      <c r="B470" s="590">
        <v>55</v>
      </c>
      <c r="C470" t="s">
        <v>35684</v>
      </c>
    </row>
    <row r="471" spans="1:3">
      <c r="A471" t="s">
        <v>35683</v>
      </c>
      <c r="B471" s="590">
        <v>47</v>
      </c>
      <c r="C471" t="s">
        <v>35682</v>
      </c>
    </row>
    <row r="472" spans="1:3">
      <c r="A472" t="s">
        <v>35681</v>
      </c>
      <c r="B472" s="590">
        <v>47</v>
      </c>
      <c r="C472" t="s">
        <v>35680</v>
      </c>
    </row>
    <row r="473" spans="1:3">
      <c r="A473" t="s">
        <v>35679</v>
      </c>
      <c r="B473" s="590">
        <v>47</v>
      </c>
      <c r="C473" t="s">
        <v>35678</v>
      </c>
    </row>
    <row r="474" spans="1:3">
      <c r="A474" t="s">
        <v>35677</v>
      </c>
      <c r="B474" s="590">
        <v>47</v>
      </c>
      <c r="C474" t="s">
        <v>35676</v>
      </c>
    </row>
    <row r="475" spans="1:3">
      <c r="A475" t="s">
        <v>35675</v>
      </c>
      <c r="B475" s="590">
        <v>66</v>
      </c>
      <c r="C475" t="s">
        <v>35674</v>
      </c>
    </row>
    <row r="476" spans="1:3">
      <c r="A476" t="s">
        <v>35673</v>
      </c>
      <c r="B476" s="590">
        <v>14</v>
      </c>
      <c r="C476" t="s">
        <v>35672</v>
      </c>
    </row>
    <row r="477" spans="1:3">
      <c r="A477" t="s">
        <v>35671</v>
      </c>
      <c r="B477" s="590">
        <v>24</v>
      </c>
      <c r="C477" t="s">
        <v>35670</v>
      </c>
    </row>
    <row r="478" spans="1:3">
      <c r="A478" t="s">
        <v>35669</v>
      </c>
      <c r="B478" s="590">
        <v>13</v>
      </c>
      <c r="C478" t="s">
        <v>35668</v>
      </c>
    </row>
    <row r="479" spans="1:3">
      <c r="A479" t="s">
        <v>35667</v>
      </c>
      <c r="B479" s="590">
        <v>96</v>
      </c>
      <c r="C479" t="s">
        <v>35666</v>
      </c>
    </row>
    <row r="480" spans="1:3">
      <c r="A480" t="s">
        <v>35665</v>
      </c>
      <c r="B480" s="590">
        <v>96</v>
      </c>
      <c r="C480" t="s">
        <v>35663</v>
      </c>
    </row>
    <row r="481" spans="1:3">
      <c r="A481" t="s">
        <v>35664</v>
      </c>
      <c r="B481" s="590">
        <v>96</v>
      </c>
      <c r="C481" t="s">
        <v>35663</v>
      </c>
    </row>
    <row r="482" spans="1:3">
      <c r="A482" t="s">
        <v>35662</v>
      </c>
      <c r="B482" s="590">
        <v>96</v>
      </c>
      <c r="C482" t="s">
        <v>35660</v>
      </c>
    </row>
    <row r="483" spans="1:3">
      <c r="A483" t="s">
        <v>35661</v>
      </c>
      <c r="B483" s="590">
        <v>96</v>
      </c>
      <c r="C483" t="s">
        <v>35660</v>
      </c>
    </row>
    <row r="484" spans="1:3">
      <c r="A484" t="s">
        <v>35659</v>
      </c>
      <c r="B484" s="590">
        <v>96</v>
      </c>
      <c r="C484" t="s">
        <v>35657</v>
      </c>
    </row>
    <row r="485" spans="1:3">
      <c r="A485" t="s">
        <v>35658</v>
      </c>
      <c r="B485" s="590">
        <v>96</v>
      </c>
      <c r="C485" t="s">
        <v>35657</v>
      </c>
    </row>
    <row r="486" spans="1:3">
      <c r="A486" t="s">
        <v>35656</v>
      </c>
      <c r="B486" s="590">
        <v>104</v>
      </c>
      <c r="C486" t="s">
        <v>35655</v>
      </c>
    </row>
    <row r="487" spans="1:3">
      <c r="A487" t="s">
        <v>22051</v>
      </c>
      <c r="B487" s="590">
        <v>104</v>
      </c>
      <c r="C487" t="s">
        <v>35654</v>
      </c>
    </row>
    <row r="488" spans="1:3">
      <c r="A488" t="s">
        <v>35653</v>
      </c>
      <c r="B488" s="590">
        <v>96</v>
      </c>
      <c r="C488" t="s">
        <v>35652</v>
      </c>
    </row>
    <row r="489" spans="1:3">
      <c r="A489" t="s">
        <v>35651</v>
      </c>
      <c r="B489" s="590">
        <v>20</v>
      </c>
      <c r="C489" t="s">
        <v>35650</v>
      </c>
    </row>
    <row r="490" spans="1:3">
      <c r="A490" t="s">
        <v>35649</v>
      </c>
      <c r="B490" s="590">
        <v>13</v>
      </c>
      <c r="C490" t="s">
        <v>35648</v>
      </c>
    </row>
    <row r="491" spans="1:3">
      <c r="A491" t="s">
        <v>35647</v>
      </c>
      <c r="B491" s="590">
        <v>234</v>
      </c>
      <c r="C491" t="s">
        <v>35646</v>
      </c>
    </row>
    <row r="492" spans="1:3">
      <c r="A492" t="s">
        <v>35645</v>
      </c>
      <c r="B492" s="590">
        <v>234</v>
      </c>
      <c r="C492" t="s">
        <v>35644</v>
      </c>
    </row>
    <row r="493" spans="1:3">
      <c r="A493" t="s">
        <v>35643</v>
      </c>
      <c r="B493" s="590">
        <v>234</v>
      </c>
      <c r="C493" t="s">
        <v>35642</v>
      </c>
    </row>
    <row r="494" spans="1:3">
      <c r="A494" t="s">
        <v>35641</v>
      </c>
      <c r="B494" s="590">
        <v>234</v>
      </c>
      <c r="C494" t="s">
        <v>35640</v>
      </c>
    </row>
    <row r="495" spans="1:3">
      <c r="A495" t="s">
        <v>35639</v>
      </c>
      <c r="B495" s="590">
        <v>247</v>
      </c>
      <c r="C495" t="s">
        <v>35638</v>
      </c>
    </row>
    <row r="496" spans="1:3">
      <c r="A496" t="s">
        <v>35637</v>
      </c>
      <c r="B496" s="590">
        <v>247</v>
      </c>
      <c r="C496" t="s">
        <v>35636</v>
      </c>
    </row>
    <row r="497" spans="1:3">
      <c r="A497" t="s">
        <v>35635</v>
      </c>
      <c r="B497" s="590">
        <v>247</v>
      </c>
      <c r="C497" t="s">
        <v>35634</v>
      </c>
    </row>
    <row r="498" spans="1:3">
      <c r="A498" t="s">
        <v>35633</v>
      </c>
      <c r="B498" s="590">
        <v>303</v>
      </c>
      <c r="C498" t="s">
        <v>35632</v>
      </c>
    </row>
    <row r="499" spans="1:3">
      <c r="A499" t="s">
        <v>35631</v>
      </c>
      <c r="B499" s="590">
        <v>303</v>
      </c>
      <c r="C499" t="s">
        <v>35630</v>
      </c>
    </row>
    <row r="500" spans="1:3">
      <c r="A500" t="s">
        <v>35629</v>
      </c>
      <c r="B500" s="590">
        <v>303</v>
      </c>
      <c r="C500" t="s">
        <v>35628</v>
      </c>
    </row>
    <row r="501" spans="1:3">
      <c r="A501" t="s">
        <v>35627</v>
      </c>
      <c r="B501" s="590">
        <v>316</v>
      </c>
      <c r="C501" t="s">
        <v>35626</v>
      </c>
    </row>
    <row r="502" spans="1:3">
      <c r="A502" t="s">
        <v>32740</v>
      </c>
      <c r="B502" s="590">
        <v>239</v>
      </c>
      <c r="C502" t="s">
        <v>32739</v>
      </c>
    </row>
    <row r="503" spans="1:3">
      <c r="A503" t="s">
        <v>32738</v>
      </c>
      <c r="B503" s="590">
        <v>239</v>
      </c>
      <c r="C503" t="s">
        <v>32737</v>
      </c>
    </row>
    <row r="504" spans="1:3">
      <c r="A504" t="s">
        <v>32736</v>
      </c>
      <c r="B504" s="590">
        <v>239</v>
      </c>
      <c r="C504" t="s">
        <v>32735</v>
      </c>
    </row>
    <row r="505" spans="1:3">
      <c r="A505" t="s">
        <v>32734</v>
      </c>
      <c r="B505" s="590">
        <v>239</v>
      </c>
      <c r="C505" t="s">
        <v>32733</v>
      </c>
    </row>
    <row r="506" spans="1:3">
      <c r="A506" t="s">
        <v>32732</v>
      </c>
      <c r="B506" s="590">
        <v>239</v>
      </c>
      <c r="C506" t="s">
        <v>32731</v>
      </c>
    </row>
    <row r="507" spans="1:3">
      <c r="A507" t="s">
        <v>32730</v>
      </c>
      <c r="B507" s="590">
        <v>264</v>
      </c>
      <c r="C507" t="s">
        <v>32729</v>
      </c>
    </row>
    <row r="508" spans="1:3">
      <c r="A508" t="s">
        <v>32728</v>
      </c>
      <c r="B508" s="590">
        <v>239</v>
      </c>
      <c r="C508" t="s">
        <v>32727</v>
      </c>
    </row>
    <row r="509" spans="1:3">
      <c r="A509" t="s">
        <v>32726</v>
      </c>
      <c r="B509" s="590">
        <v>239</v>
      </c>
      <c r="C509" t="s">
        <v>32725</v>
      </c>
    </row>
    <row r="510" spans="1:3">
      <c r="A510" t="s">
        <v>32672</v>
      </c>
      <c r="B510" s="590">
        <v>239</v>
      </c>
      <c r="C510" t="s">
        <v>32671</v>
      </c>
    </row>
    <row r="511" spans="1:3">
      <c r="A511" t="s">
        <v>32670</v>
      </c>
      <c r="B511" s="590">
        <v>239</v>
      </c>
      <c r="C511" t="s">
        <v>32669</v>
      </c>
    </row>
    <row r="512" spans="1:3">
      <c r="A512" t="s">
        <v>32668</v>
      </c>
      <c r="B512" s="590">
        <v>239</v>
      </c>
      <c r="C512" t="s">
        <v>32667</v>
      </c>
    </row>
    <row r="513" spans="1:3">
      <c r="A513" t="s">
        <v>32666</v>
      </c>
      <c r="B513" s="590">
        <v>239</v>
      </c>
      <c r="C513" t="s">
        <v>32665</v>
      </c>
    </row>
    <row r="514" spans="1:3">
      <c r="A514" t="s">
        <v>32664</v>
      </c>
      <c r="B514" s="590">
        <v>239</v>
      </c>
      <c r="C514" t="s">
        <v>32663</v>
      </c>
    </row>
    <row r="515" spans="1:3">
      <c r="A515" t="s">
        <v>32662</v>
      </c>
      <c r="B515" s="590">
        <v>258</v>
      </c>
      <c r="C515" t="s">
        <v>27266</v>
      </c>
    </row>
    <row r="516" spans="1:3">
      <c r="A516" t="s">
        <v>27267</v>
      </c>
      <c r="B516" s="590">
        <v>258</v>
      </c>
      <c r="C516" t="s">
        <v>27266</v>
      </c>
    </row>
    <row r="517" spans="1:3">
      <c r="A517" t="s">
        <v>32661</v>
      </c>
      <c r="B517" s="590">
        <v>239</v>
      </c>
      <c r="C517" t="s">
        <v>32660</v>
      </c>
    </row>
    <row r="518" spans="1:3">
      <c r="A518" t="s">
        <v>32659</v>
      </c>
      <c r="B518" s="590">
        <v>239</v>
      </c>
      <c r="C518" t="s">
        <v>32658</v>
      </c>
    </row>
    <row r="519" spans="1:3">
      <c r="A519" t="s">
        <v>32657</v>
      </c>
      <c r="B519" s="590">
        <v>252</v>
      </c>
      <c r="C519" t="s">
        <v>32656</v>
      </c>
    </row>
    <row r="520" spans="1:3">
      <c r="A520" t="s">
        <v>35625</v>
      </c>
      <c r="B520" s="590">
        <v>252</v>
      </c>
      <c r="C520" t="s">
        <v>35624</v>
      </c>
    </row>
    <row r="521" spans="1:3">
      <c r="A521" t="s">
        <v>35623</v>
      </c>
      <c r="B521" s="590">
        <v>252</v>
      </c>
      <c r="C521" t="s">
        <v>35622</v>
      </c>
    </row>
    <row r="522" spans="1:3">
      <c r="A522" t="s">
        <v>35621</v>
      </c>
      <c r="B522" s="590">
        <v>14</v>
      </c>
      <c r="C522" t="s">
        <v>35620</v>
      </c>
    </row>
    <row r="523" spans="1:3">
      <c r="A523" t="s">
        <v>35619</v>
      </c>
      <c r="B523" s="590">
        <v>33</v>
      </c>
      <c r="C523" t="s">
        <v>35618</v>
      </c>
    </row>
    <row r="524" spans="1:3">
      <c r="A524" t="s">
        <v>35605</v>
      </c>
      <c r="B524" s="590">
        <v>13</v>
      </c>
      <c r="C524" t="s">
        <v>35604</v>
      </c>
    </row>
    <row r="525" spans="1:3">
      <c r="A525" t="s">
        <v>35617</v>
      </c>
      <c r="B525" s="590">
        <v>138</v>
      </c>
      <c r="C525" t="s">
        <v>35616</v>
      </c>
    </row>
    <row r="526" spans="1:3">
      <c r="A526" t="s">
        <v>35615</v>
      </c>
      <c r="B526" s="590">
        <v>138</v>
      </c>
      <c r="C526" t="s">
        <v>35614</v>
      </c>
    </row>
    <row r="527" spans="1:3">
      <c r="A527" t="s">
        <v>35613</v>
      </c>
      <c r="B527" s="590">
        <v>138</v>
      </c>
      <c r="C527" t="s">
        <v>35612</v>
      </c>
    </row>
    <row r="528" spans="1:3">
      <c r="A528" t="s">
        <v>35611</v>
      </c>
      <c r="B528" s="590">
        <v>138</v>
      </c>
      <c r="C528" t="s">
        <v>35610</v>
      </c>
    </row>
    <row r="529" spans="1:3">
      <c r="A529" t="s">
        <v>35609</v>
      </c>
      <c r="B529" s="590">
        <v>175</v>
      </c>
      <c r="C529" t="s">
        <v>35608</v>
      </c>
    </row>
    <row r="530" spans="1:3">
      <c r="A530" t="s">
        <v>35607</v>
      </c>
      <c r="B530" s="590">
        <v>189</v>
      </c>
      <c r="C530" t="s">
        <v>35606</v>
      </c>
    </row>
    <row r="531" spans="1:3">
      <c r="A531" t="s">
        <v>35603</v>
      </c>
      <c r="B531" s="590">
        <v>26</v>
      </c>
      <c r="C531" t="s">
        <v>35602</v>
      </c>
    </row>
    <row r="532" spans="1:3">
      <c r="A532" t="s">
        <v>35601</v>
      </c>
      <c r="B532" s="590">
        <v>14</v>
      </c>
      <c r="C532" t="s">
        <v>35600</v>
      </c>
    </row>
    <row r="533" spans="1:3">
      <c r="A533" t="s">
        <v>35605</v>
      </c>
      <c r="B533" s="590">
        <v>13</v>
      </c>
      <c r="C533" t="s">
        <v>35604</v>
      </c>
    </row>
    <row r="534" spans="1:3">
      <c r="A534" t="s">
        <v>35599</v>
      </c>
      <c r="B534" s="590">
        <v>32</v>
      </c>
      <c r="C534" t="s">
        <v>35598</v>
      </c>
    </row>
    <row r="535" spans="1:3">
      <c r="A535" t="s">
        <v>35603</v>
      </c>
      <c r="B535" s="590">
        <v>26</v>
      </c>
      <c r="C535" t="s">
        <v>35602</v>
      </c>
    </row>
    <row r="536" spans="1:3">
      <c r="A536" t="s">
        <v>35601</v>
      </c>
      <c r="B536" s="590">
        <v>14</v>
      </c>
      <c r="C536" t="s">
        <v>35600</v>
      </c>
    </row>
    <row r="537" spans="1:3">
      <c r="A537" t="s">
        <v>35599</v>
      </c>
      <c r="B537" s="590">
        <v>32</v>
      </c>
      <c r="C537" t="s">
        <v>35598</v>
      </c>
    </row>
    <row r="538" spans="1:3">
      <c r="A538" t="s">
        <v>35597</v>
      </c>
      <c r="B538" s="590">
        <v>521</v>
      </c>
      <c r="C538" t="s">
        <v>35596</v>
      </c>
    </row>
    <row r="539" spans="1:3">
      <c r="A539" t="s">
        <v>35595</v>
      </c>
      <c r="B539" s="590">
        <v>521</v>
      </c>
      <c r="C539" t="s">
        <v>35594</v>
      </c>
    </row>
    <row r="540" spans="1:3">
      <c r="A540" t="s">
        <v>35593</v>
      </c>
      <c r="B540" s="590">
        <v>521</v>
      </c>
      <c r="C540" t="s">
        <v>35592</v>
      </c>
    </row>
    <row r="541" spans="1:3">
      <c r="A541" t="s">
        <v>35591</v>
      </c>
      <c r="B541" s="590">
        <v>521</v>
      </c>
      <c r="C541" t="s">
        <v>35590</v>
      </c>
    </row>
    <row r="542" spans="1:3">
      <c r="A542" t="s">
        <v>35589</v>
      </c>
      <c r="B542" s="590">
        <v>298</v>
      </c>
      <c r="C542" t="s">
        <v>35588</v>
      </c>
    </row>
    <row r="543" spans="1:3">
      <c r="A543" t="s">
        <v>35587</v>
      </c>
      <c r="B543" s="590">
        <v>298</v>
      </c>
      <c r="C543" t="s">
        <v>35586</v>
      </c>
    </row>
    <row r="544" spans="1:3">
      <c r="A544" t="s">
        <v>35585</v>
      </c>
      <c r="B544" s="590">
        <v>298</v>
      </c>
      <c r="C544" t="s">
        <v>35584</v>
      </c>
    </row>
    <row r="545" spans="1:3">
      <c r="A545" t="s">
        <v>35583</v>
      </c>
      <c r="B545" s="590">
        <v>298</v>
      </c>
      <c r="C545" t="s">
        <v>35582</v>
      </c>
    </row>
    <row r="546" spans="1:3">
      <c r="A546" t="s">
        <v>35581</v>
      </c>
      <c r="B546" s="590">
        <v>298</v>
      </c>
      <c r="C546" t="s">
        <v>35580</v>
      </c>
    </row>
    <row r="547" spans="1:3">
      <c r="A547" t="s">
        <v>35579</v>
      </c>
      <c r="B547" s="590">
        <v>298</v>
      </c>
      <c r="C547" t="s">
        <v>35578</v>
      </c>
    </row>
    <row r="548" spans="1:3">
      <c r="A548" t="s">
        <v>35577</v>
      </c>
      <c r="B548" s="590">
        <v>298</v>
      </c>
      <c r="C548" t="s">
        <v>35576</v>
      </c>
    </row>
    <row r="549" spans="1:3">
      <c r="A549" t="s">
        <v>35575</v>
      </c>
      <c r="B549" s="590">
        <v>298</v>
      </c>
      <c r="C549" t="s">
        <v>35574</v>
      </c>
    </row>
    <row r="550" spans="1:3">
      <c r="A550" t="s">
        <v>35573</v>
      </c>
      <c r="B550" s="590">
        <v>298</v>
      </c>
      <c r="C550" t="s">
        <v>35572</v>
      </c>
    </row>
    <row r="551" spans="1:3">
      <c r="A551" t="s">
        <v>35571</v>
      </c>
      <c r="B551" s="590">
        <v>298</v>
      </c>
      <c r="C551" t="s">
        <v>35570</v>
      </c>
    </row>
    <row r="552" spans="1:3">
      <c r="A552" t="s">
        <v>35569</v>
      </c>
      <c r="B552" s="590">
        <v>298</v>
      </c>
      <c r="C552" t="s">
        <v>35568</v>
      </c>
    </row>
    <row r="553" spans="1:3">
      <c r="A553" t="s">
        <v>35567</v>
      </c>
      <c r="B553" s="590">
        <v>298</v>
      </c>
      <c r="C553" t="s">
        <v>35566</v>
      </c>
    </row>
    <row r="554" spans="1:3">
      <c r="A554" t="s">
        <v>35565</v>
      </c>
      <c r="B554" s="590">
        <v>298</v>
      </c>
      <c r="C554" t="s">
        <v>35564</v>
      </c>
    </row>
    <row r="555" spans="1:3">
      <c r="A555" t="s">
        <v>35563</v>
      </c>
      <c r="B555" s="590">
        <v>298</v>
      </c>
      <c r="C555" t="s">
        <v>35562</v>
      </c>
    </row>
    <row r="556" spans="1:3">
      <c r="A556" t="s">
        <v>35561</v>
      </c>
      <c r="B556" s="590">
        <v>298</v>
      </c>
      <c r="C556" t="s">
        <v>35560</v>
      </c>
    </row>
    <row r="557" spans="1:3">
      <c r="A557" t="s">
        <v>35559</v>
      </c>
      <c r="B557" s="590">
        <v>298</v>
      </c>
      <c r="C557" t="s">
        <v>35558</v>
      </c>
    </row>
    <row r="558" spans="1:3">
      <c r="A558" t="s">
        <v>35557</v>
      </c>
      <c r="B558" s="590">
        <v>298</v>
      </c>
      <c r="C558" t="s">
        <v>35556</v>
      </c>
    </row>
    <row r="559" spans="1:3">
      <c r="A559" t="s">
        <v>35555</v>
      </c>
      <c r="B559" s="590">
        <v>298</v>
      </c>
      <c r="C559" t="s">
        <v>35554</v>
      </c>
    </row>
    <row r="560" spans="1:3">
      <c r="A560" t="s">
        <v>35553</v>
      </c>
      <c r="B560" s="590">
        <v>298</v>
      </c>
      <c r="C560" t="s">
        <v>35552</v>
      </c>
    </row>
    <row r="561" spans="1:3">
      <c r="A561" t="s">
        <v>35551</v>
      </c>
      <c r="B561" s="590">
        <v>298</v>
      </c>
      <c r="C561" t="s">
        <v>35550</v>
      </c>
    </row>
    <row r="562" spans="1:3">
      <c r="A562" t="s">
        <v>35549</v>
      </c>
      <c r="B562" s="590">
        <v>298</v>
      </c>
      <c r="C562" t="s">
        <v>35548</v>
      </c>
    </row>
    <row r="563" spans="1:3">
      <c r="A563" t="s">
        <v>35547</v>
      </c>
      <c r="B563" s="590">
        <v>298</v>
      </c>
      <c r="C563" t="s">
        <v>35546</v>
      </c>
    </row>
    <row r="564" spans="1:3">
      <c r="A564" t="s">
        <v>35545</v>
      </c>
      <c r="B564" s="590">
        <v>298</v>
      </c>
      <c r="C564" t="s">
        <v>35544</v>
      </c>
    </row>
    <row r="565" spans="1:3">
      <c r="A565" t="s">
        <v>35543</v>
      </c>
      <c r="B565" s="590">
        <v>298</v>
      </c>
      <c r="C565" t="s">
        <v>35542</v>
      </c>
    </row>
    <row r="566" spans="1:3">
      <c r="A566" t="s">
        <v>35541</v>
      </c>
      <c r="B566" s="590">
        <v>298</v>
      </c>
      <c r="C566" t="s">
        <v>35540</v>
      </c>
    </row>
    <row r="567" spans="1:3">
      <c r="A567" t="s">
        <v>35539</v>
      </c>
      <c r="B567" s="590">
        <v>298</v>
      </c>
      <c r="C567" t="s">
        <v>35538</v>
      </c>
    </row>
    <row r="568" spans="1:3">
      <c r="A568" t="s">
        <v>35537</v>
      </c>
      <c r="B568" s="590">
        <v>298</v>
      </c>
      <c r="C568" t="s">
        <v>35536</v>
      </c>
    </row>
    <row r="569" spans="1:3">
      <c r="A569" t="s">
        <v>35535</v>
      </c>
      <c r="B569" s="590">
        <v>298</v>
      </c>
      <c r="C569" t="s">
        <v>35534</v>
      </c>
    </row>
    <row r="570" spans="1:3">
      <c r="A570" t="s">
        <v>35533</v>
      </c>
      <c r="B570" s="590">
        <v>298</v>
      </c>
      <c r="C570" t="s">
        <v>35532</v>
      </c>
    </row>
    <row r="571" spans="1:3">
      <c r="A571" t="s">
        <v>35531</v>
      </c>
      <c r="B571" s="590">
        <v>298</v>
      </c>
      <c r="C571" t="s">
        <v>35530</v>
      </c>
    </row>
    <row r="572" spans="1:3">
      <c r="A572" t="s">
        <v>35529</v>
      </c>
      <c r="B572" s="590">
        <v>298</v>
      </c>
      <c r="C572" t="s">
        <v>35528</v>
      </c>
    </row>
    <row r="573" spans="1:3">
      <c r="A573" t="s">
        <v>35527</v>
      </c>
      <c r="B573" s="590">
        <v>298</v>
      </c>
      <c r="C573" t="s">
        <v>35526</v>
      </c>
    </row>
    <row r="574" spans="1:3">
      <c r="A574" t="s">
        <v>35525</v>
      </c>
      <c r="B574" s="590">
        <v>298</v>
      </c>
      <c r="C574" t="s">
        <v>35524</v>
      </c>
    </row>
    <row r="575" spans="1:3">
      <c r="A575" t="s">
        <v>35523</v>
      </c>
      <c r="B575" s="590">
        <v>298</v>
      </c>
      <c r="C575" t="s">
        <v>35522</v>
      </c>
    </row>
    <row r="576" spans="1:3">
      <c r="A576" t="s">
        <v>35521</v>
      </c>
      <c r="B576" s="590">
        <v>298</v>
      </c>
      <c r="C576" t="s">
        <v>35520</v>
      </c>
    </row>
    <row r="577" spans="1:3">
      <c r="A577" t="s">
        <v>35519</v>
      </c>
      <c r="B577" s="590">
        <v>298</v>
      </c>
      <c r="C577" t="s">
        <v>35518</v>
      </c>
    </row>
    <row r="578" spans="1:3">
      <c r="A578" t="s">
        <v>35517</v>
      </c>
      <c r="B578" s="590">
        <v>298</v>
      </c>
      <c r="C578" t="s">
        <v>35516</v>
      </c>
    </row>
    <row r="579" spans="1:3">
      <c r="A579" t="s">
        <v>35515</v>
      </c>
      <c r="B579" s="590">
        <v>298</v>
      </c>
      <c r="C579" t="s">
        <v>35514</v>
      </c>
    </row>
    <row r="580" spans="1:3">
      <c r="A580" t="s">
        <v>35513</v>
      </c>
      <c r="B580" s="590">
        <v>298</v>
      </c>
      <c r="C580" t="s">
        <v>35512</v>
      </c>
    </row>
    <row r="581" spans="1:3">
      <c r="A581" t="s">
        <v>35511</v>
      </c>
      <c r="B581" s="590">
        <v>327</v>
      </c>
      <c r="C581" t="s">
        <v>35510</v>
      </c>
    </row>
    <row r="582" spans="1:3">
      <c r="A582" t="s">
        <v>35509</v>
      </c>
      <c r="B582" s="590">
        <v>298</v>
      </c>
      <c r="C582" t="s">
        <v>35508</v>
      </c>
    </row>
    <row r="583" spans="1:3">
      <c r="A583" t="s">
        <v>35507</v>
      </c>
      <c r="B583" s="590">
        <v>327</v>
      </c>
      <c r="C583" t="s">
        <v>35506</v>
      </c>
    </row>
    <row r="584" spans="1:3">
      <c r="A584" t="s">
        <v>35505</v>
      </c>
      <c r="B584" s="590">
        <v>356</v>
      </c>
      <c r="C584" t="s">
        <v>35504</v>
      </c>
    </row>
    <row r="585" spans="1:3">
      <c r="A585" t="s">
        <v>35503</v>
      </c>
      <c r="B585" s="590">
        <v>327</v>
      </c>
      <c r="C585" t="s">
        <v>35502</v>
      </c>
    </row>
    <row r="586" spans="1:3">
      <c r="A586" t="s">
        <v>35501</v>
      </c>
      <c r="B586" s="590">
        <v>298</v>
      </c>
      <c r="C586" t="s">
        <v>35500</v>
      </c>
    </row>
    <row r="587" spans="1:3">
      <c r="A587" t="s">
        <v>35499</v>
      </c>
      <c r="B587" s="590">
        <v>257</v>
      </c>
      <c r="C587" t="s">
        <v>35498</v>
      </c>
    </row>
    <row r="588" spans="1:3">
      <c r="A588" t="s">
        <v>35497</v>
      </c>
      <c r="B588" s="590">
        <v>257</v>
      </c>
      <c r="C588" t="s">
        <v>35496</v>
      </c>
    </row>
    <row r="589" spans="1:3">
      <c r="A589" t="s">
        <v>35495</v>
      </c>
      <c r="B589" s="590">
        <v>174</v>
      </c>
      <c r="C589" t="s">
        <v>35494</v>
      </c>
    </row>
    <row r="590" spans="1:3">
      <c r="A590" t="s">
        <v>35493</v>
      </c>
      <c r="B590" s="590">
        <v>174</v>
      </c>
      <c r="C590" t="s">
        <v>35492</v>
      </c>
    </row>
    <row r="591" spans="1:3">
      <c r="A591" t="s">
        <v>35491</v>
      </c>
      <c r="B591" s="590">
        <v>174</v>
      </c>
      <c r="C591" t="s">
        <v>35490</v>
      </c>
    </row>
    <row r="592" spans="1:3">
      <c r="A592" t="s">
        <v>35489</v>
      </c>
      <c r="B592" s="590">
        <v>174</v>
      </c>
      <c r="C592" t="s">
        <v>35488</v>
      </c>
    </row>
    <row r="593" spans="1:3">
      <c r="A593" t="s">
        <v>35487</v>
      </c>
      <c r="B593" s="590">
        <v>174</v>
      </c>
      <c r="C593" t="s">
        <v>35486</v>
      </c>
    </row>
    <row r="594" spans="1:3">
      <c r="A594" t="s">
        <v>27263</v>
      </c>
      <c r="B594" s="590">
        <v>204</v>
      </c>
      <c r="C594" t="s">
        <v>27262</v>
      </c>
    </row>
    <row r="595" spans="1:3">
      <c r="A595" t="s">
        <v>27261</v>
      </c>
      <c r="B595" s="590">
        <v>204</v>
      </c>
      <c r="C595" t="s">
        <v>27260</v>
      </c>
    </row>
    <row r="596" spans="1:3">
      <c r="A596" t="s">
        <v>35485</v>
      </c>
      <c r="B596" s="590">
        <v>174</v>
      </c>
      <c r="C596" t="s">
        <v>35484</v>
      </c>
    </row>
    <row r="597" spans="1:3">
      <c r="A597" t="s">
        <v>35483</v>
      </c>
      <c r="B597" s="590">
        <v>174</v>
      </c>
      <c r="C597" t="s">
        <v>35482</v>
      </c>
    </row>
    <row r="598" spans="1:3">
      <c r="A598" t="s">
        <v>35481</v>
      </c>
      <c r="B598" s="590">
        <v>167</v>
      </c>
      <c r="C598" t="s">
        <v>35480</v>
      </c>
    </row>
    <row r="599" spans="1:3">
      <c r="A599" t="s">
        <v>35479</v>
      </c>
      <c r="B599" s="590">
        <v>167</v>
      </c>
      <c r="C599" t="s">
        <v>35478</v>
      </c>
    </row>
    <row r="600" spans="1:3">
      <c r="A600" t="s">
        <v>35477</v>
      </c>
      <c r="B600" s="590">
        <v>24</v>
      </c>
      <c r="C600" t="s">
        <v>35476</v>
      </c>
    </row>
    <row r="601" spans="1:3">
      <c r="A601" t="s">
        <v>35475</v>
      </c>
      <c r="B601" s="590">
        <v>16</v>
      </c>
      <c r="C601" t="s">
        <v>35474</v>
      </c>
    </row>
    <row r="602" spans="1:3">
      <c r="A602" t="s">
        <v>35473</v>
      </c>
      <c r="B602" s="590">
        <v>26</v>
      </c>
      <c r="C602" t="s">
        <v>35472</v>
      </c>
    </row>
    <row r="603" spans="1:3">
      <c r="A603" t="s">
        <v>35471</v>
      </c>
      <c r="B603" s="590">
        <v>38</v>
      </c>
      <c r="C603" t="s">
        <v>35470</v>
      </c>
    </row>
    <row r="604" spans="1:3">
      <c r="A604" t="s">
        <v>35469</v>
      </c>
      <c r="B604" s="590">
        <v>97</v>
      </c>
      <c r="C604" t="s">
        <v>35468</v>
      </c>
    </row>
    <row r="605" spans="1:3">
      <c r="A605" t="s">
        <v>35467</v>
      </c>
      <c r="B605" s="590">
        <v>90</v>
      </c>
      <c r="C605" t="s">
        <v>35466</v>
      </c>
    </row>
    <row r="606" spans="1:3">
      <c r="A606" t="s">
        <v>34208</v>
      </c>
      <c r="B606" s="590">
        <v>35</v>
      </c>
      <c r="C606" t="s">
        <v>34207</v>
      </c>
    </row>
    <row r="607" spans="1:3">
      <c r="A607" t="s">
        <v>35465</v>
      </c>
      <c r="B607" s="590">
        <v>392</v>
      </c>
      <c r="C607" t="s">
        <v>35464</v>
      </c>
    </row>
    <row r="608" spans="1:3">
      <c r="A608" t="s">
        <v>35463</v>
      </c>
      <c r="B608" s="590">
        <v>392</v>
      </c>
      <c r="C608" t="s">
        <v>35462</v>
      </c>
    </row>
    <row r="609" spans="1:3">
      <c r="A609" t="s">
        <v>35461</v>
      </c>
      <c r="B609" s="590">
        <v>392</v>
      </c>
      <c r="C609" t="s">
        <v>35460</v>
      </c>
    </row>
    <row r="610" spans="1:3">
      <c r="A610" t="s">
        <v>35459</v>
      </c>
      <c r="B610" s="590">
        <v>392</v>
      </c>
      <c r="C610" t="s">
        <v>35458</v>
      </c>
    </row>
    <row r="611" spans="1:3">
      <c r="A611" t="s">
        <v>35457</v>
      </c>
      <c r="B611" s="590">
        <v>384</v>
      </c>
      <c r="C611" t="s">
        <v>35456</v>
      </c>
    </row>
    <row r="612" spans="1:3">
      <c r="A612" t="s">
        <v>35455</v>
      </c>
      <c r="B612" s="590">
        <v>384</v>
      </c>
      <c r="C612" t="s">
        <v>35454</v>
      </c>
    </row>
    <row r="613" spans="1:3">
      <c r="A613" t="s">
        <v>35453</v>
      </c>
      <c r="B613" s="590">
        <v>384</v>
      </c>
      <c r="C613" t="s">
        <v>35452</v>
      </c>
    </row>
    <row r="614" spans="1:3">
      <c r="A614" t="s">
        <v>27253</v>
      </c>
      <c r="B614" s="590">
        <v>483</v>
      </c>
      <c r="C614" t="s">
        <v>27252</v>
      </c>
    </row>
    <row r="615" spans="1:3">
      <c r="A615" t="s">
        <v>35451</v>
      </c>
      <c r="B615" s="590">
        <v>384</v>
      </c>
      <c r="C615" t="s">
        <v>35450</v>
      </c>
    </row>
    <row r="616" spans="1:3">
      <c r="A616" t="s">
        <v>35449</v>
      </c>
      <c r="B616" s="590">
        <v>226</v>
      </c>
      <c r="C616" t="s">
        <v>35448</v>
      </c>
    </row>
    <row r="617" spans="1:3">
      <c r="A617" t="s">
        <v>35447</v>
      </c>
      <c r="B617" s="590">
        <v>226</v>
      </c>
      <c r="C617" t="s">
        <v>35446</v>
      </c>
    </row>
    <row r="618" spans="1:3">
      <c r="A618" t="s">
        <v>35445</v>
      </c>
      <c r="B618" s="590">
        <v>226</v>
      </c>
      <c r="C618" t="s">
        <v>35444</v>
      </c>
    </row>
    <row r="619" spans="1:3">
      <c r="A619" t="s">
        <v>35443</v>
      </c>
      <c r="B619" s="590">
        <v>226</v>
      </c>
      <c r="C619" t="s">
        <v>35442</v>
      </c>
    </row>
    <row r="620" spans="1:3">
      <c r="A620" t="s">
        <v>35441</v>
      </c>
      <c r="B620" s="590">
        <v>226</v>
      </c>
      <c r="C620" t="s">
        <v>35440</v>
      </c>
    </row>
    <row r="621" spans="1:3">
      <c r="A621" t="s">
        <v>27259</v>
      </c>
      <c r="B621" s="590">
        <v>252</v>
      </c>
      <c r="C621" t="s">
        <v>27258</v>
      </c>
    </row>
    <row r="622" spans="1:3">
      <c r="A622" t="s">
        <v>27257</v>
      </c>
      <c r="B622" s="590">
        <v>252</v>
      </c>
      <c r="C622" t="s">
        <v>27256</v>
      </c>
    </row>
    <row r="623" spans="1:3">
      <c r="A623" t="s">
        <v>35439</v>
      </c>
      <c r="B623" s="590">
        <v>226</v>
      </c>
      <c r="C623" t="s">
        <v>35438</v>
      </c>
    </row>
    <row r="624" spans="1:3">
      <c r="A624" t="s">
        <v>35437</v>
      </c>
      <c r="B624" s="590">
        <v>226</v>
      </c>
      <c r="C624" t="s">
        <v>35436</v>
      </c>
    </row>
    <row r="625" spans="1:3">
      <c r="A625" t="s">
        <v>35435</v>
      </c>
      <c r="B625" s="590">
        <v>232</v>
      </c>
      <c r="C625" t="s">
        <v>35434</v>
      </c>
    </row>
    <row r="626" spans="1:3">
      <c r="A626" t="s">
        <v>35433</v>
      </c>
      <c r="B626" s="590">
        <v>232</v>
      </c>
      <c r="C626" t="s">
        <v>35432</v>
      </c>
    </row>
    <row r="627" spans="1:3">
      <c r="A627" t="s">
        <v>35423</v>
      </c>
      <c r="B627" s="590">
        <v>232</v>
      </c>
      <c r="C627" t="s">
        <v>35422</v>
      </c>
    </row>
    <row r="628" spans="1:3">
      <c r="A628" t="s">
        <v>27255</v>
      </c>
      <c r="B628" s="590">
        <v>290</v>
      </c>
      <c r="C628" t="s">
        <v>27254</v>
      </c>
    </row>
    <row r="629" spans="1:3">
      <c r="A629" t="s">
        <v>35431</v>
      </c>
      <c r="B629" s="590">
        <v>232</v>
      </c>
      <c r="C629" t="s">
        <v>35430</v>
      </c>
    </row>
    <row r="630" spans="1:3">
      <c r="A630" t="s">
        <v>35429</v>
      </c>
      <c r="B630" s="590">
        <v>232</v>
      </c>
      <c r="C630" t="s">
        <v>35428</v>
      </c>
    </row>
    <row r="631" spans="1:3">
      <c r="A631" t="s">
        <v>35421</v>
      </c>
      <c r="B631" s="590">
        <v>232</v>
      </c>
      <c r="C631" t="s">
        <v>35420</v>
      </c>
    </row>
    <row r="632" spans="1:3">
      <c r="A632" t="s">
        <v>35417</v>
      </c>
      <c r="B632" s="590">
        <v>232</v>
      </c>
      <c r="C632" t="s">
        <v>35416</v>
      </c>
    </row>
    <row r="633" spans="1:3">
      <c r="A633" t="s">
        <v>35419</v>
      </c>
      <c r="B633" s="590">
        <v>232</v>
      </c>
      <c r="C633" t="s">
        <v>35418</v>
      </c>
    </row>
    <row r="634" spans="1:3">
      <c r="A634" t="s">
        <v>35427</v>
      </c>
      <c r="B634" s="590">
        <v>232</v>
      </c>
      <c r="C634" t="s">
        <v>35426</v>
      </c>
    </row>
    <row r="635" spans="1:3">
      <c r="A635" t="s">
        <v>35425</v>
      </c>
      <c r="B635" s="590">
        <v>232</v>
      </c>
      <c r="C635" t="s">
        <v>35424</v>
      </c>
    </row>
    <row r="636" spans="1:3">
      <c r="A636" t="s">
        <v>35423</v>
      </c>
      <c r="B636" s="590">
        <v>232</v>
      </c>
      <c r="C636" t="s">
        <v>35422</v>
      </c>
    </row>
    <row r="637" spans="1:3">
      <c r="A637" t="s">
        <v>35421</v>
      </c>
      <c r="B637" s="590">
        <v>232</v>
      </c>
      <c r="C637" t="s">
        <v>35420</v>
      </c>
    </row>
    <row r="638" spans="1:3">
      <c r="A638" t="s">
        <v>35419</v>
      </c>
      <c r="B638" s="590">
        <v>232</v>
      </c>
      <c r="C638" t="s">
        <v>35418</v>
      </c>
    </row>
    <row r="639" spans="1:3">
      <c r="A639" t="s">
        <v>35417</v>
      </c>
      <c r="B639" s="590">
        <v>232</v>
      </c>
      <c r="C639" t="s">
        <v>35416</v>
      </c>
    </row>
    <row r="640" spans="1:3">
      <c r="A640" t="s">
        <v>35415</v>
      </c>
      <c r="B640" s="590">
        <v>226</v>
      </c>
      <c r="C640" t="s">
        <v>35414</v>
      </c>
    </row>
    <row r="641" spans="1:3">
      <c r="A641" t="s">
        <v>35413</v>
      </c>
      <c r="B641" s="590">
        <v>226</v>
      </c>
      <c r="C641" t="s">
        <v>35412</v>
      </c>
    </row>
    <row r="642" spans="1:3">
      <c r="A642" t="s">
        <v>35411</v>
      </c>
      <c r="B642" s="590">
        <v>226</v>
      </c>
      <c r="C642" t="s">
        <v>35410</v>
      </c>
    </row>
    <row r="643" spans="1:3">
      <c r="A643" t="s">
        <v>35409</v>
      </c>
      <c r="B643" s="590">
        <v>226</v>
      </c>
      <c r="C643" t="s">
        <v>35408</v>
      </c>
    </row>
    <row r="644" spans="1:3">
      <c r="A644" t="s">
        <v>35407</v>
      </c>
      <c r="B644" s="590">
        <v>226</v>
      </c>
      <c r="C644" t="s">
        <v>35406</v>
      </c>
    </row>
    <row r="645" spans="1:3">
      <c r="A645" t="s">
        <v>35405</v>
      </c>
      <c r="B645" s="590">
        <v>252</v>
      </c>
      <c r="C645" t="s">
        <v>35403</v>
      </c>
    </row>
    <row r="646" spans="1:3">
      <c r="A646" t="s">
        <v>35404</v>
      </c>
      <c r="B646" s="590">
        <v>252</v>
      </c>
      <c r="C646" t="s">
        <v>35403</v>
      </c>
    </row>
    <row r="647" spans="1:3">
      <c r="A647" t="s">
        <v>35402</v>
      </c>
      <c r="B647" s="590">
        <v>226</v>
      </c>
      <c r="C647" t="s">
        <v>35401</v>
      </c>
    </row>
    <row r="648" spans="1:3">
      <c r="A648" t="s">
        <v>35400</v>
      </c>
      <c r="B648" s="590">
        <v>226</v>
      </c>
      <c r="C648" t="s">
        <v>35399</v>
      </c>
    </row>
    <row r="649" spans="1:3">
      <c r="A649" t="s">
        <v>35398</v>
      </c>
      <c r="B649" s="590">
        <v>274</v>
      </c>
      <c r="C649" t="s">
        <v>35397</v>
      </c>
    </row>
    <row r="650" spans="1:3">
      <c r="A650" t="s">
        <v>35396</v>
      </c>
      <c r="B650" s="590">
        <v>248</v>
      </c>
      <c r="C650" t="s">
        <v>35395</v>
      </c>
    </row>
    <row r="651" spans="1:3">
      <c r="A651" t="s">
        <v>35394</v>
      </c>
      <c r="B651" s="590">
        <v>211</v>
      </c>
      <c r="C651" t="s">
        <v>35393</v>
      </c>
    </row>
    <row r="652" spans="1:3">
      <c r="A652" t="s">
        <v>35392</v>
      </c>
      <c r="B652" s="590">
        <v>211</v>
      </c>
      <c r="C652" t="s">
        <v>35391</v>
      </c>
    </row>
    <row r="653" spans="1:3">
      <c r="A653" t="s">
        <v>35390</v>
      </c>
      <c r="B653" s="590">
        <v>211</v>
      </c>
      <c r="C653" t="s">
        <v>35389</v>
      </c>
    </row>
    <row r="654" spans="1:3">
      <c r="A654" t="s">
        <v>35388</v>
      </c>
      <c r="B654" s="590">
        <v>211</v>
      </c>
      <c r="C654" t="s">
        <v>35387</v>
      </c>
    </row>
    <row r="655" spans="1:3">
      <c r="A655" t="s">
        <v>35386</v>
      </c>
      <c r="B655" s="590">
        <v>211</v>
      </c>
      <c r="C655" t="s">
        <v>35385</v>
      </c>
    </row>
    <row r="656" spans="1:3">
      <c r="A656" t="s">
        <v>35384</v>
      </c>
      <c r="B656" s="590">
        <v>237</v>
      </c>
      <c r="C656" t="s">
        <v>35383</v>
      </c>
    </row>
    <row r="657" spans="1:3">
      <c r="A657" t="s">
        <v>35382</v>
      </c>
      <c r="B657" s="590">
        <v>237</v>
      </c>
      <c r="C657" t="s">
        <v>35381</v>
      </c>
    </row>
    <row r="658" spans="1:3">
      <c r="A658" t="s">
        <v>35380</v>
      </c>
      <c r="B658" s="590">
        <v>211</v>
      </c>
      <c r="C658" t="s">
        <v>35379</v>
      </c>
    </row>
    <row r="659" spans="1:3">
      <c r="A659" t="s">
        <v>35378</v>
      </c>
      <c r="B659" s="590">
        <v>211</v>
      </c>
      <c r="C659" t="s">
        <v>35377</v>
      </c>
    </row>
    <row r="660" spans="1:3">
      <c r="A660" t="s">
        <v>35376</v>
      </c>
      <c r="B660" s="590">
        <v>219</v>
      </c>
      <c r="C660" t="s">
        <v>35375</v>
      </c>
    </row>
    <row r="661" spans="1:3">
      <c r="A661" t="s">
        <v>35374</v>
      </c>
      <c r="B661" s="590">
        <v>219</v>
      </c>
      <c r="C661" t="s">
        <v>35373</v>
      </c>
    </row>
    <row r="662" spans="1:3">
      <c r="A662" t="s">
        <v>35372</v>
      </c>
      <c r="B662" s="590">
        <v>219</v>
      </c>
      <c r="C662" t="s">
        <v>35371</v>
      </c>
    </row>
    <row r="663" spans="1:3">
      <c r="A663" t="s">
        <v>35370</v>
      </c>
      <c r="B663" s="590">
        <v>219</v>
      </c>
      <c r="C663" t="s">
        <v>35369</v>
      </c>
    </row>
    <row r="664" spans="1:3">
      <c r="A664" t="s">
        <v>35368</v>
      </c>
      <c r="B664" s="590">
        <v>219</v>
      </c>
      <c r="C664" t="s">
        <v>35367</v>
      </c>
    </row>
    <row r="665" spans="1:3">
      <c r="A665" t="s">
        <v>35366</v>
      </c>
      <c r="B665" s="590">
        <v>219</v>
      </c>
      <c r="C665" t="s">
        <v>35365</v>
      </c>
    </row>
    <row r="666" spans="1:3">
      <c r="A666" t="s">
        <v>35364</v>
      </c>
      <c r="B666" s="590">
        <v>219</v>
      </c>
      <c r="C666" t="s">
        <v>35363</v>
      </c>
    </row>
    <row r="667" spans="1:3">
      <c r="A667" t="s">
        <v>35362</v>
      </c>
      <c r="B667" s="590">
        <v>219</v>
      </c>
      <c r="C667" t="s">
        <v>35361</v>
      </c>
    </row>
    <row r="668" spans="1:3">
      <c r="A668" t="s">
        <v>35360</v>
      </c>
      <c r="B668" s="590">
        <v>219</v>
      </c>
      <c r="C668" t="s">
        <v>35359</v>
      </c>
    </row>
    <row r="669" spans="1:3">
      <c r="A669" t="s">
        <v>35358</v>
      </c>
      <c r="B669" s="590">
        <v>219</v>
      </c>
      <c r="C669" t="s">
        <v>35357</v>
      </c>
    </row>
    <row r="670" spans="1:3">
      <c r="A670" t="s">
        <v>35356</v>
      </c>
      <c r="B670" s="590">
        <v>16</v>
      </c>
      <c r="C670" t="s">
        <v>35355</v>
      </c>
    </row>
    <row r="671" spans="1:3">
      <c r="A671" t="s">
        <v>35354</v>
      </c>
      <c r="B671" s="590">
        <v>24</v>
      </c>
      <c r="C671" t="s">
        <v>35353</v>
      </c>
    </row>
    <row r="672" spans="1:3">
      <c r="A672" t="s">
        <v>35352</v>
      </c>
      <c r="B672" s="590">
        <v>59</v>
      </c>
      <c r="C672" t="s">
        <v>35351</v>
      </c>
    </row>
    <row r="673" spans="1:3">
      <c r="A673" t="s">
        <v>35350</v>
      </c>
      <c r="B673" s="590">
        <v>17</v>
      </c>
      <c r="C673" t="s">
        <v>35349</v>
      </c>
    </row>
    <row r="674" spans="1:3">
      <c r="A674" t="s">
        <v>35272</v>
      </c>
      <c r="B674" s="590">
        <v>34</v>
      </c>
      <c r="C674" t="s">
        <v>35271</v>
      </c>
    </row>
    <row r="675" spans="1:3">
      <c r="A675" t="s">
        <v>35348</v>
      </c>
      <c r="B675" s="590">
        <v>14</v>
      </c>
      <c r="C675" t="s">
        <v>35347</v>
      </c>
    </row>
    <row r="676" spans="1:3">
      <c r="A676" t="s">
        <v>35346</v>
      </c>
      <c r="B676" s="590">
        <v>24</v>
      </c>
      <c r="C676" t="s">
        <v>35345</v>
      </c>
    </row>
    <row r="677" spans="1:3">
      <c r="A677" t="s">
        <v>35344</v>
      </c>
      <c r="B677" s="590">
        <v>25</v>
      </c>
      <c r="C677" t="s">
        <v>35343</v>
      </c>
    </row>
    <row r="678" spans="1:3">
      <c r="A678" t="s">
        <v>35342</v>
      </c>
      <c r="B678" s="590">
        <v>40</v>
      </c>
      <c r="C678" t="s">
        <v>35341</v>
      </c>
    </row>
    <row r="679" spans="1:3">
      <c r="A679" t="s">
        <v>35340</v>
      </c>
      <c r="B679" s="590">
        <v>40</v>
      </c>
      <c r="C679" t="s">
        <v>35339</v>
      </c>
    </row>
    <row r="680" spans="1:3">
      <c r="A680" t="s">
        <v>35338</v>
      </c>
      <c r="B680" s="590">
        <v>22</v>
      </c>
      <c r="C680" t="s">
        <v>35337</v>
      </c>
    </row>
    <row r="681" spans="1:3">
      <c r="A681" t="s">
        <v>35336</v>
      </c>
      <c r="B681" s="590">
        <v>129</v>
      </c>
      <c r="C681" t="s">
        <v>35335</v>
      </c>
    </row>
    <row r="682" spans="1:3">
      <c r="A682" t="s">
        <v>35334</v>
      </c>
      <c r="B682" s="590">
        <v>161</v>
      </c>
      <c r="C682" t="s">
        <v>35333</v>
      </c>
    </row>
    <row r="683" spans="1:3">
      <c r="A683" t="s">
        <v>35332</v>
      </c>
      <c r="B683" s="590">
        <v>161</v>
      </c>
      <c r="C683" t="s">
        <v>35331</v>
      </c>
    </row>
    <row r="684" spans="1:3">
      <c r="A684" t="s">
        <v>35330</v>
      </c>
      <c r="B684" s="590">
        <v>161</v>
      </c>
      <c r="C684" t="s">
        <v>35329</v>
      </c>
    </row>
    <row r="685" spans="1:3">
      <c r="A685" t="s">
        <v>35328</v>
      </c>
      <c r="B685" s="590">
        <v>161</v>
      </c>
      <c r="C685" t="s">
        <v>35327</v>
      </c>
    </row>
    <row r="686" spans="1:3">
      <c r="A686" t="s">
        <v>35326</v>
      </c>
      <c r="B686" s="590">
        <v>102</v>
      </c>
      <c r="C686" t="s">
        <v>35325</v>
      </c>
    </row>
    <row r="687" spans="1:3">
      <c r="A687" t="s">
        <v>35324</v>
      </c>
      <c r="B687" s="590">
        <v>149</v>
      </c>
      <c r="C687" t="s">
        <v>35323</v>
      </c>
    </row>
    <row r="688" spans="1:3">
      <c r="A688" t="s">
        <v>35322</v>
      </c>
      <c r="B688" s="590">
        <v>81</v>
      </c>
      <c r="C688" t="s">
        <v>35321</v>
      </c>
    </row>
    <row r="689" spans="1:3">
      <c r="A689" t="s">
        <v>35320</v>
      </c>
      <c r="B689" s="590">
        <v>81</v>
      </c>
      <c r="C689" t="s">
        <v>35319</v>
      </c>
    </row>
    <row r="690" spans="1:3">
      <c r="A690" t="s">
        <v>35318</v>
      </c>
      <c r="B690" s="590">
        <v>81</v>
      </c>
      <c r="C690" t="s">
        <v>35317</v>
      </c>
    </row>
    <row r="691" spans="1:3">
      <c r="A691" t="s">
        <v>35316</v>
      </c>
      <c r="B691" s="590">
        <v>81</v>
      </c>
      <c r="C691" t="s">
        <v>35315</v>
      </c>
    </row>
    <row r="692" spans="1:3">
      <c r="A692" t="s">
        <v>35314</v>
      </c>
      <c r="B692" s="590">
        <v>81</v>
      </c>
      <c r="C692" t="s">
        <v>35313</v>
      </c>
    </row>
    <row r="693" spans="1:3">
      <c r="A693" t="s">
        <v>35312</v>
      </c>
      <c r="B693" s="590">
        <v>81</v>
      </c>
      <c r="C693" t="s">
        <v>35311</v>
      </c>
    </row>
    <row r="694" spans="1:3">
      <c r="A694" t="s">
        <v>35310</v>
      </c>
      <c r="B694" s="590">
        <v>81</v>
      </c>
      <c r="C694" t="s">
        <v>35309</v>
      </c>
    </row>
    <row r="695" spans="1:3">
      <c r="A695" t="s">
        <v>35308</v>
      </c>
      <c r="B695" s="590">
        <v>81</v>
      </c>
      <c r="C695" t="s">
        <v>35307</v>
      </c>
    </row>
    <row r="696" spans="1:3">
      <c r="A696" t="s">
        <v>35306</v>
      </c>
      <c r="B696" s="590">
        <v>81</v>
      </c>
      <c r="C696" t="s">
        <v>35305</v>
      </c>
    </row>
    <row r="697" spans="1:3">
      <c r="A697" t="s">
        <v>35304</v>
      </c>
      <c r="B697" s="590">
        <v>81</v>
      </c>
      <c r="C697" t="s">
        <v>35303</v>
      </c>
    </row>
    <row r="698" spans="1:3">
      <c r="A698" t="s">
        <v>35302</v>
      </c>
      <c r="B698" s="590">
        <v>81</v>
      </c>
      <c r="C698" t="s">
        <v>35301</v>
      </c>
    </row>
    <row r="699" spans="1:3">
      <c r="A699" t="s">
        <v>35300</v>
      </c>
      <c r="B699" s="590">
        <v>81</v>
      </c>
      <c r="C699" t="s">
        <v>35299</v>
      </c>
    </row>
    <row r="700" spans="1:3">
      <c r="A700" t="s">
        <v>35298</v>
      </c>
      <c r="B700" s="590">
        <v>81</v>
      </c>
      <c r="C700" t="s">
        <v>35297</v>
      </c>
    </row>
    <row r="701" spans="1:3">
      <c r="A701" t="s">
        <v>35296</v>
      </c>
      <c r="B701" s="590">
        <v>81</v>
      </c>
      <c r="C701" t="s">
        <v>35295</v>
      </c>
    </row>
    <row r="702" spans="1:3">
      <c r="A702" t="s">
        <v>35294</v>
      </c>
      <c r="B702" s="590">
        <v>81</v>
      </c>
      <c r="C702" t="s">
        <v>35293</v>
      </c>
    </row>
    <row r="703" spans="1:3">
      <c r="A703" t="s">
        <v>35292</v>
      </c>
      <c r="B703" s="590">
        <v>81</v>
      </c>
      <c r="C703" t="s">
        <v>35291</v>
      </c>
    </row>
    <row r="704" spans="1:3">
      <c r="A704" t="s">
        <v>35290</v>
      </c>
      <c r="B704" s="590">
        <v>81</v>
      </c>
      <c r="C704" t="s">
        <v>35289</v>
      </c>
    </row>
    <row r="705" spans="1:3">
      <c r="A705" t="s">
        <v>35288</v>
      </c>
      <c r="B705" s="590">
        <v>81</v>
      </c>
      <c r="C705" t="s">
        <v>35287</v>
      </c>
    </row>
    <row r="706" spans="1:3">
      <c r="A706" t="s">
        <v>35286</v>
      </c>
      <c r="B706" s="590">
        <v>81</v>
      </c>
      <c r="C706" t="s">
        <v>35285</v>
      </c>
    </row>
    <row r="707" spans="1:3">
      <c r="A707" t="s">
        <v>35284</v>
      </c>
      <c r="B707" s="590">
        <v>81</v>
      </c>
      <c r="C707" t="s">
        <v>35283</v>
      </c>
    </row>
    <row r="708" spans="1:3">
      <c r="A708" t="s">
        <v>35282</v>
      </c>
      <c r="B708" s="590">
        <v>81</v>
      </c>
      <c r="C708" t="s">
        <v>35281</v>
      </c>
    </row>
    <row r="709" spans="1:3">
      <c r="A709" t="s">
        <v>35280</v>
      </c>
      <c r="B709" s="590">
        <v>81</v>
      </c>
      <c r="C709" t="s">
        <v>35279</v>
      </c>
    </row>
    <row r="710" spans="1:3">
      <c r="A710" t="s">
        <v>35278</v>
      </c>
      <c r="B710" s="590">
        <v>81</v>
      </c>
      <c r="C710" t="s">
        <v>35277</v>
      </c>
    </row>
    <row r="711" spans="1:3">
      <c r="A711" t="s">
        <v>35276</v>
      </c>
      <c r="B711" s="590">
        <v>32</v>
      </c>
      <c r="C711" t="s">
        <v>35275</v>
      </c>
    </row>
    <row r="712" spans="1:3">
      <c r="A712" t="s">
        <v>35274</v>
      </c>
      <c r="B712" s="590">
        <v>14</v>
      </c>
      <c r="C712" t="s">
        <v>35273</v>
      </c>
    </row>
    <row r="713" spans="1:3">
      <c r="A713" t="s">
        <v>35272</v>
      </c>
      <c r="B713" s="590">
        <v>34</v>
      </c>
      <c r="C713" t="s">
        <v>35271</v>
      </c>
    </row>
    <row r="714" spans="1:3">
      <c r="A714" t="s">
        <v>35270</v>
      </c>
      <c r="B714" s="590">
        <v>521</v>
      </c>
      <c r="C714" t="s">
        <v>35263</v>
      </c>
    </row>
    <row r="715" spans="1:3">
      <c r="A715" t="s">
        <v>35269</v>
      </c>
      <c r="B715" s="590">
        <v>521</v>
      </c>
      <c r="C715" t="s">
        <v>35261</v>
      </c>
    </row>
    <row r="716" spans="1:3">
      <c r="A716" t="s">
        <v>35268</v>
      </c>
      <c r="B716" s="590">
        <v>521</v>
      </c>
      <c r="C716" t="s">
        <v>35267</v>
      </c>
    </row>
    <row r="717" spans="1:3">
      <c r="A717" t="s">
        <v>35266</v>
      </c>
      <c r="B717" s="590">
        <v>572</v>
      </c>
      <c r="C717" t="s">
        <v>35259</v>
      </c>
    </row>
    <row r="718" spans="1:3">
      <c r="A718" t="s">
        <v>35265</v>
      </c>
      <c r="B718" s="590">
        <v>521</v>
      </c>
      <c r="C718" t="s">
        <v>35257</v>
      </c>
    </row>
    <row r="719" spans="1:3">
      <c r="A719" t="s">
        <v>35264</v>
      </c>
      <c r="B719" s="590">
        <v>521</v>
      </c>
      <c r="C719" t="s">
        <v>35263</v>
      </c>
    </row>
    <row r="720" spans="1:3">
      <c r="A720" t="s">
        <v>35262</v>
      </c>
      <c r="B720" s="590">
        <v>521</v>
      </c>
      <c r="C720" t="s">
        <v>35261</v>
      </c>
    </row>
    <row r="721" spans="1:3">
      <c r="A721" t="s">
        <v>35260</v>
      </c>
      <c r="B721" s="590">
        <v>572</v>
      </c>
      <c r="C721" t="s">
        <v>35259</v>
      </c>
    </row>
    <row r="722" spans="1:3">
      <c r="A722" t="s">
        <v>35258</v>
      </c>
      <c r="B722" s="590">
        <v>521</v>
      </c>
      <c r="C722" t="s">
        <v>35257</v>
      </c>
    </row>
    <row r="723" spans="1:3">
      <c r="A723" t="s">
        <v>35256</v>
      </c>
      <c r="B723" s="590">
        <v>244</v>
      </c>
      <c r="C723" t="s">
        <v>35255</v>
      </c>
    </row>
    <row r="724" spans="1:3">
      <c r="A724" t="s">
        <v>35254</v>
      </c>
      <c r="B724" s="590">
        <v>244</v>
      </c>
      <c r="C724" t="s">
        <v>35253</v>
      </c>
    </row>
    <row r="725" spans="1:3">
      <c r="A725" t="s">
        <v>35252</v>
      </c>
      <c r="B725" s="590">
        <v>244</v>
      </c>
      <c r="C725" t="s">
        <v>35251</v>
      </c>
    </row>
    <row r="726" spans="1:3">
      <c r="A726" t="s">
        <v>35250</v>
      </c>
      <c r="B726" s="590">
        <v>244</v>
      </c>
      <c r="C726" t="s">
        <v>35249</v>
      </c>
    </row>
    <row r="727" spans="1:3">
      <c r="A727" t="s">
        <v>35248</v>
      </c>
      <c r="B727" s="590">
        <v>244</v>
      </c>
      <c r="C727" t="s">
        <v>35247</v>
      </c>
    </row>
    <row r="728" spans="1:3">
      <c r="A728" t="s">
        <v>35246</v>
      </c>
      <c r="B728" s="590">
        <v>312</v>
      </c>
      <c r="C728" t="s">
        <v>35245</v>
      </c>
    </row>
    <row r="729" spans="1:3">
      <c r="A729" t="s">
        <v>35244</v>
      </c>
      <c r="B729" s="590">
        <v>312</v>
      </c>
      <c r="C729" t="s">
        <v>35243</v>
      </c>
    </row>
    <row r="730" spans="1:3">
      <c r="A730" t="s">
        <v>35242</v>
      </c>
      <c r="B730" s="590">
        <v>244</v>
      </c>
      <c r="C730" t="s">
        <v>35241</v>
      </c>
    </row>
    <row r="731" spans="1:3">
      <c r="A731" t="s">
        <v>35240</v>
      </c>
      <c r="B731" s="590">
        <v>244</v>
      </c>
      <c r="C731" t="s">
        <v>35239</v>
      </c>
    </row>
    <row r="732" spans="1:3">
      <c r="A732" t="s">
        <v>35238</v>
      </c>
      <c r="B732" s="590">
        <v>244</v>
      </c>
      <c r="C732" t="s">
        <v>35237</v>
      </c>
    </row>
    <row r="733" spans="1:3">
      <c r="A733" t="s">
        <v>35236</v>
      </c>
      <c r="B733" s="590">
        <v>244</v>
      </c>
      <c r="C733" t="s">
        <v>35235</v>
      </c>
    </row>
    <row r="734" spans="1:3">
      <c r="A734" t="s">
        <v>35234</v>
      </c>
      <c r="B734" s="590">
        <v>244</v>
      </c>
      <c r="C734" t="s">
        <v>35233</v>
      </c>
    </row>
    <row r="735" spans="1:3">
      <c r="A735" t="s">
        <v>35232</v>
      </c>
      <c r="B735" s="590">
        <v>244</v>
      </c>
      <c r="C735" t="s">
        <v>35231</v>
      </c>
    </row>
    <row r="736" spans="1:3">
      <c r="A736" t="s">
        <v>35230</v>
      </c>
      <c r="B736" s="590">
        <v>244</v>
      </c>
      <c r="C736" t="s">
        <v>35229</v>
      </c>
    </row>
    <row r="737" spans="1:3">
      <c r="A737" t="s">
        <v>27251</v>
      </c>
      <c r="B737" s="590">
        <v>312</v>
      </c>
      <c r="C737" t="s">
        <v>27250</v>
      </c>
    </row>
    <row r="738" spans="1:3">
      <c r="A738" t="s">
        <v>27249</v>
      </c>
      <c r="B738" s="590">
        <v>312</v>
      </c>
      <c r="C738" t="s">
        <v>27248</v>
      </c>
    </row>
    <row r="739" spans="1:3">
      <c r="A739" t="s">
        <v>35228</v>
      </c>
      <c r="B739" s="590">
        <v>244</v>
      </c>
      <c r="C739" t="s">
        <v>35227</v>
      </c>
    </row>
    <row r="740" spans="1:3">
      <c r="A740" t="s">
        <v>35226</v>
      </c>
      <c r="B740" s="590">
        <v>244</v>
      </c>
      <c r="C740" t="s">
        <v>35225</v>
      </c>
    </row>
    <row r="741" spans="1:3">
      <c r="A741" t="s">
        <v>35224</v>
      </c>
      <c r="B741" s="590">
        <v>300</v>
      </c>
      <c r="C741" t="s">
        <v>35223</v>
      </c>
    </row>
    <row r="742" spans="1:3">
      <c r="A742" t="s">
        <v>35222</v>
      </c>
      <c r="B742" s="590">
        <v>300</v>
      </c>
      <c r="C742" t="s">
        <v>35221</v>
      </c>
    </row>
    <row r="743" spans="1:3">
      <c r="A743" t="s">
        <v>35220</v>
      </c>
      <c r="B743" s="590">
        <v>300</v>
      </c>
      <c r="C743" t="s">
        <v>35219</v>
      </c>
    </row>
    <row r="744" spans="1:3">
      <c r="A744" t="s">
        <v>35218</v>
      </c>
      <c r="B744" s="590">
        <v>376</v>
      </c>
      <c r="C744" t="s">
        <v>35217</v>
      </c>
    </row>
    <row r="745" spans="1:3">
      <c r="A745" t="s">
        <v>35216</v>
      </c>
      <c r="B745" s="590">
        <v>376</v>
      </c>
      <c r="C745" t="s">
        <v>35215</v>
      </c>
    </row>
    <row r="746" spans="1:3">
      <c r="A746" t="s">
        <v>35214</v>
      </c>
      <c r="B746" s="590">
        <v>430</v>
      </c>
      <c r="C746" t="s">
        <v>35213</v>
      </c>
    </row>
    <row r="747" spans="1:3">
      <c r="A747" t="s">
        <v>35212</v>
      </c>
      <c r="B747" s="590">
        <v>388</v>
      </c>
      <c r="C747" t="s">
        <v>35211</v>
      </c>
    </row>
    <row r="748" spans="1:3">
      <c r="A748" t="s">
        <v>35210</v>
      </c>
      <c r="B748" s="590">
        <v>181</v>
      </c>
      <c r="C748" t="s">
        <v>35209</v>
      </c>
    </row>
    <row r="749" spans="1:3">
      <c r="A749" t="s">
        <v>35208</v>
      </c>
      <c r="B749" s="590">
        <v>245</v>
      </c>
      <c r="C749" t="s">
        <v>35207</v>
      </c>
    </row>
    <row r="750" spans="1:3">
      <c r="A750" t="s">
        <v>35206</v>
      </c>
      <c r="B750" s="590">
        <v>181</v>
      </c>
      <c r="C750" t="s">
        <v>35205</v>
      </c>
    </row>
    <row r="751" spans="1:3">
      <c r="A751" t="s">
        <v>35204</v>
      </c>
      <c r="B751" s="590">
        <v>277</v>
      </c>
      <c r="C751" t="s">
        <v>35203</v>
      </c>
    </row>
    <row r="752" spans="1:3">
      <c r="A752" t="s">
        <v>35202</v>
      </c>
      <c r="B752" s="590">
        <v>277</v>
      </c>
      <c r="C752" t="s">
        <v>35201</v>
      </c>
    </row>
    <row r="753" spans="1:3">
      <c r="A753" t="s">
        <v>35200</v>
      </c>
      <c r="B753" s="590">
        <v>10</v>
      </c>
      <c r="C753" t="s">
        <v>35199</v>
      </c>
    </row>
    <row r="754" spans="1:3">
      <c r="A754" t="s">
        <v>35198</v>
      </c>
      <c r="B754" s="590">
        <v>17</v>
      </c>
      <c r="C754" t="s">
        <v>35197</v>
      </c>
    </row>
    <row r="755" spans="1:3">
      <c r="A755" t="s">
        <v>35196</v>
      </c>
      <c r="B755" s="590">
        <v>30</v>
      </c>
      <c r="C755" t="s">
        <v>35195</v>
      </c>
    </row>
    <row r="756" spans="1:3">
      <c r="A756" t="s">
        <v>35194</v>
      </c>
      <c r="B756" s="590">
        <v>44</v>
      </c>
      <c r="C756" t="s">
        <v>35193</v>
      </c>
    </row>
    <row r="757" spans="1:3">
      <c r="A757" t="s">
        <v>35192</v>
      </c>
      <c r="B757" s="590">
        <v>211</v>
      </c>
      <c r="C757" t="s">
        <v>35191</v>
      </c>
    </row>
    <row r="758" spans="1:3">
      <c r="A758" t="s">
        <v>35190</v>
      </c>
      <c r="B758" s="590">
        <v>295</v>
      </c>
      <c r="C758" t="s">
        <v>35188</v>
      </c>
    </row>
    <row r="759" spans="1:3">
      <c r="A759" t="s">
        <v>35189</v>
      </c>
      <c r="B759" s="590">
        <v>140</v>
      </c>
      <c r="C759" t="s">
        <v>35188</v>
      </c>
    </row>
    <row r="760" spans="1:3">
      <c r="A760" t="s">
        <v>35187</v>
      </c>
      <c r="B760" s="590">
        <v>316</v>
      </c>
      <c r="C760" t="s">
        <v>35186</v>
      </c>
    </row>
    <row r="761" spans="1:3">
      <c r="A761" t="s">
        <v>35185</v>
      </c>
      <c r="B761" s="590">
        <v>345</v>
      </c>
      <c r="C761" t="s">
        <v>35184</v>
      </c>
    </row>
    <row r="762" spans="1:3">
      <c r="A762" t="s">
        <v>35183</v>
      </c>
      <c r="B762" s="590">
        <v>482</v>
      </c>
      <c r="C762" t="s">
        <v>35182</v>
      </c>
    </row>
    <row r="763" spans="1:3">
      <c r="A763" t="s">
        <v>34112</v>
      </c>
      <c r="B763" s="590">
        <v>32</v>
      </c>
      <c r="C763" t="s">
        <v>34111</v>
      </c>
    </row>
    <row r="764" spans="1:3">
      <c r="A764" t="s">
        <v>34110</v>
      </c>
      <c r="B764" s="590">
        <v>32</v>
      </c>
      <c r="C764" t="s">
        <v>34109</v>
      </c>
    </row>
    <row r="765" spans="1:3">
      <c r="A765" t="s">
        <v>35181</v>
      </c>
      <c r="B765" s="590">
        <v>244</v>
      </c>
      <c r="C765" t="s">
        <v>35180</v>
      </c>
    </row>
    <row r="766" spans="1:3">
      <c r="A766" t="s">
        <v>35179</v>
      </c>
      <c r="B766" s="590">
        <v>244</v>
      </c>
      <c r="C766" t="s">
        <v>35178</v>
      </c>
    </row>
    <row r="767" spans="1:3">
      <c r="A767" t="s">
        <v>35177</v>
      </c>
      <c r="B767" s="590">
        <v>244</v>
      </c>
      <c r="C767" t="s">
        <v>35176</v>
      </c>
    </row>
    <row r="768" spans="1:3">
      <c r="A768" t="s">
        <v>35175</v>
      </c>
      <c r="B768" s="590">
        <v>244</v>
      </c>
      <c r="C768" t="s">
        <v>35174</v>
      </c>
    </row>
    <row r="769" spans="1:3">
      <c r="A769" t="s">
        <v>35173</v>
      </c>
      <c r="B769" s="590">
        <v>244</v>
      </c>
      <c r="C769" t="s">
        <v>35172</v>
      </c>
    </row>
    <row r="770" spans="1:3">
      <c r="A770" t="s">
        <v>35171</v>
      </c>
      <c r="B770" s="590">
        <v>312</v>
      </c>
      <c r="C770" t="s">
        <v>35169</v>
      </c>
    </row>
    <row r="771" spans="1:3">
      <c r="A771" t="s">
        <v>35170</v>
      </c>
      <c r="B771" s="590">
        <v>312</v>
      </c>
      <c r="C771" t="s">
        <v>35169</v>
      </c>
    </row>
    <row r="772" spans="1:3">
      <c r="A772" t="s">
        <v>35168</v>
      </c>
      <c r="B772" s="590">
        <v>244</v>
      </c>
      <c r="C772" t="s">
        <v>35167</v>
      </c>
    </row>
    <row r="773" spans="1:3">
      <c r="A773" t="s">
        <v>35166</v>
      </c>
      <c r="B773" s="590">
        <v>244</v>
      </c>
      <c r="C773" t="s">
        <v>35165</v>
      </c>
    </row>
    <row r="774" spans="1:3">
      <c r="A774" t="s">
        <v>35164</v>
      </c>
      <c r="B774" s="590">
        <v>244</v>
      </c>
      <c r="C774" t="s">
        <v>35163</v>
      </c>
    </row>
    <row r="775" spans="1:3">
      <c r="A775" t="s">
        <v>35162</v>
      </c>
      <c r="B775" s="590">
        <v>244</v>
      </c>
      <c r="C775" t="s">
        <v>35161</v>
      </c>
    </row>
    <row r="776" spans="1:3">
      <c r="A776" t="s">
        <v>35160</v>
      </c>
      <c r="B776" s="590">
        <v>244</v>
      </c>
      <c r="C776" t="s">
        <v>35159</v>
      </c>
    </row>
    <row r="777" spans="1:3">
      <c r="A777" t="s">
        <v>35158</v>
      </c>
      <c r="B777" s="590">
        <v>244</v>
      </c>
      <c r="C777" t="s">
        <v>35157</v>
      </c>
    </row>
    <row r="778" spans="1:3">
      <c r="A778" t="s">
        <v>35156</v>
      </c>
      <c r="B778" s="590">
        <v>244</v>
      </c>
      <c r="C778" t="s">
        <v>35155</v>
      </c>
    </row>
    <row r="779" spans="1:3">
      <c r="A779" t="s">
        <v>35154</v>
      </c>
      <c r="B779" s="590">
        <v>312</v>
      </c>
      <c r="C779" t="s">
        <v>35153</v>
      </c>
    </row>
    <row r="780" spans="1:3">
      <c r="A780" t="s">
        <v>27247</v>
      </c>
      <c r="B780" s="590">
        <v>312</v>
      </c>
      <c r="C780" t="s">
        <v>27246</v>
      </c>
    </row>
    <row r="781" spans="1:3">
      <c r="A781" t="s">
        <v>35152</v>
      </c>
      <c r="B781" s="590">
        <v>244</v>
      </c>
      <c r="C781" t="s">
        <v>35151</v>
      </c>
    </row>
    <row r="782" spans="1:3">
      <c r="A782" t="s">
        <v>35150</v>
      </c>
      <c r="B782" s="590">
        <v>244</v>
      </c>
      <c r="C782" t="s">
        <v>35149</v>
      </c>
    </row>
    <row r="783" spans="1:3">
      <c r="A783" t="s">
        <v>35148</v>
      </c>
      <c r="B783" s="590">
        <v>300</v>
      </c>
      <c r="C783" t="s">
        <v>35147</v>
      </c>
    </row>
    <row r="784" spans="1:3">
      <c r="A784" t="s">
        <v>35146</v>
      </c>
      <c r="B784" s="590">
        <v>300</v>
      </c>
      <c r="C784" t="s">
        <v>35145</v>
      </c>
    </row>
    <row r="785" spans="1:3">
      <c r="A785" t="s">
        <v>35144</v>
      </c>
      <c r="B785" s="590">
        <v>300</v>
      </c>
      <c r="C785" t="s">
        <v>35143</v>
      </c>
    </row>
    <row r="786" spans="1:3">
      <c r="A786" t="s">
        <v>35142</v>
      </c>
      <c r="B786" s="590">
        <v>430</v>
      </c>
      <c r="C786" t="s">
        <v>35140</v>
      </c>
    </row>
    <row r="787" spans="1:3">
      <c r="A787" t="s">
        <v>35141</v>
      </c>
      <c r="B787" s="590">
        <v>388</v>
      </c>
      <c r="C787" t="s">
        <v>35140</v>
      </c>
    </row>
    <row r="788" spans="1:3">
      <c r="A788" t="s">
        <v>34883</v>
      </c>
      <c r="B788" s="590">
        <v>373</v>
      </c>
      <c r="C788" t="s">
        <v>34882</v>
      </c>
    </row>
    <row r="789" spans="1:3">
      <c r="A789" t="s">
        <v>35139</v>
      </c>
      <c r="B789" s="590">
        <v>211</v>
      </c>
      <c r="C789" t="s">
        <v>35138</v>
      </c>
    </row>
    <row r="790" spans="1:3">
      <c r="A790" t="s">
        <v>35137</v>
      </c>
      <c r="B790" s="590">
        <v>245</v>
      </c>
      <c r="C790" t="s">
        <v>35136</v>
      </c>
    </row>
    <row r="791" spans="1:3">
      <c r="A791" t="s">
        <v>35135</v>
      </c>
      <c r="B791" s="590">
        <v>245</v>
      </c>
      <c r="C791" t="s">
        <v>35134</v>
      </c>
    </row>
    <row r="792" spans="1:3">
      <c r="A792" t="s">
        <v>35133</v>
      </c>
      <c r="B792" s="590">
        <v>257</v>
      </c>
      <c r="C792" t="s">
        <v>35132</v>
      </c>
    </row>
    <row r="793" spans="1:3">
      <c r="A793" t="s">
        <v>35131</v>
      </c>
      <c r="B793" s="590">
        <v>17</v>
      </c>
      <c r="C793" t="s">
        <v>35130</v>
      </c>
    </row>
    <row r="794" spans="1:3">
      <c r="A794" t="s">
        <v>35129</v>
      </c>
      <c r="B794" s="590">
        <v>25</v>
      </c>
      <c r="C794" t="s">
        <v>35128</v>
      </c>
    </row>
    <row r="795" spans="1:3">
      <c r="A795" t="s">
        <v>35127</v>
      </c>
      <c r="B795" s="590">
        <v>306</v>
      </c>
      <c r="C795" t="s">
        <v>35126</v>
      </c>
    </row>
    <row r="796" spans="1:3">
      <c r="A796" t="s">
        <v>35125</v>
      </c>
      <c r="B796" s="590">
        <v>12</v>
      </c>
      <c r="C796" t="s">
        <v>35124</v>
      </c>
    </row>
    <row r="797" spans="1:3">
      <c r="A797" t="s">
        <v>35123</v>
      </c>
      <c r="B797" s="590">
        <v>108</v>
      </c>
      <c r="C797" t="s">
        <v>35122</v>
      </c>
    </row>
    <row r="798" spans="1:3">
      <c r="A798" t="s">
        <v>35121</v>
      </c>
      <c r="B798" s="590">
        <v>702</v>
      </c>
      <c r="C798" t="s">
        <v>35120</v>
      </c>
    </row>
    <row r="799" spans="1:3">
      <c r="A799" t="s">
        <v>35119</v>
      </c>
      <c r="B799" s="590">
        <v>709</v>
      </c>
      <c r="C799" t="s">
        <v>35118</v>
      </c>
    </row>
    <row r="800" spans="1:3">
      <c r="A800" t="s">
        <v>35117</v>
      </c>
      <c r="B800" s="590">
        <v>709</v>
      </c>
      <c r="C800" t="s">
        <v>35116</v>
      </c>
    </row>
    <row r="801" spans="1:3">
      <c r="A801" t="s">
        <v>35115</v>
      </c>
      <c r="B801" s="590">
        <v>396</v>
      </c>
      <c r="C801" t="s">
        <v>35114</v>
      </c>
    </row>
    <row r="802" spans="1:3">
      <c r="A802" t="s">
        <v>35113</v>
      </c>
      <c r="B802" s="590">
        <v>37</v>
      </c>
      <c r="C802" t="s">
        <v>35112</v>
      </c>
    </row>
    <row r="803" spans="1:3">
      <c r="A803" t="s">
        <v>35111</v>
      </c>
      <c r="B803" s="590">
        <v>388</v>
      </c>
      <c r="C803" t="s">
        <v>35110</v>
      </c>
    </row>
    <row r="804" spans="1:3">
      <c r="A804" t="s">
        <v>35109</v>
      </c>
      <c r="B804" s="590">
        <v>388</v>
      </c>
      <c r="C804" t="s">
        <v>35108</v>
      </c>
    </row>
    <row r="805" spans="1:3">
      <c r="A805" t="s">
        <v>35107</v>
      </c>
      <c r="B805" s="590">
        <v>388</v>
      </c>
      <c r="C805" t="s">
        <v>35106</v>
      </c>
    </row>
    <row r="806" spans="1:3">
      <c r="A806" t="s">
        <v>35105</v>
      </c>
      <c r="B806" s="590">
        <v>388</v>
      </c>
      <c r="C806" t="s">
        <v>35104</v>
      </c>
    </row>
    <row r="807" spans="1:3">
      <c r="A807" t="s">
        <v>35103</v>
      </c>
      <c r="B807" s="590">
        <v>388</v>
      </c>
      <c r="C807" t="s">
        <v>35102</v>
      </c>
    </row>
    <row r="808" spans="1:3">
      <c r="A808" t="s">
        <v>35101</v>
      </c>
      <c r="B808" s="590">
        <v>388</v>
      </c>
      <c r="C808" t="s">
        <v>35100</v>
      </c>
    </row>
    <row r="809" spans="1:3">
      <c r="A809" t="s">
        <v>35099</v>
      </c>
      <c r="B809" s="590">
        <v>563</v>
      </c>
      <c r="C809" t="s">
        <v>35098</v>
      </c>
    </row>
    <row r="810" spans="1:3">
      <c r="A810" t="s">
        <v>35097</v>
      </c>
      <c r="B810" s="590">
        <v>563</v>
      </c>
      <c r="C810" t="s">
        <v>35096</v>
      </c>
    </row>
    <row r="811" spans="1:3">
      <c r="A811" t="s">
        <v>35095</v>
      </c>
      <c r="B811" s="590">
        <v>388</v>
      </c>
      <c r="C811" t="s">
        <v>35094</v>
      </c>
    </row>
    <row r="812" spans="1:3">
      <c r="A812" t="s">
        <v>35093</v>
      </c>
      <c r="B812" s="590">
        <v>388</v>
      </c>
      <c r="C812" t="s">
        <v>35092</v>
      </c>
    </row>
    <row r="813" spans="1:3">
      <c r="A813" t="s">
        <v>35091</v>
      </c>
      <c r="B813" s="590">
        <v>388</v>
      </c>
      <c r="C813" t="s">
        <v>35090</v>
      </c>
    </row>
    <row r="814" spans="1:3">
      <c r="A814" t="s">
        <v>35089</v>
      </c>
      <c r="B814" s="590">
        <v>388</v>
      </c>
      <c r="C814" t="s">
        <v>35088</v>
      </c>
    </row>
    <row r="815" spans="1:3">
      <c r="A815" t="s">
        <v>35087</v>
      </c>
      <c r="B815" s="590">
        <v>388</v>
      </c>
      <c r="C815" t="s">
        <v>35086</v>
      </c>
    </row>
    <row r="816" spans="1:3">
      <c r="A816" t="s">
        <v>35085</v>
      </c>
      <c r="B816" s="590">
        <v>388</v>
      </c>
      <c r="C816" t="s">
        <v>35084</v>
      </c>
    </row>
    <row r="817" spans="1:3">
      <c r="A817" t="s">
        <v>35083</v>
      </c>
      <c r="B817" s="590">
        <v>388</v>
      </c>
      <c r="C817" t="s">
        <v>35082</v>
      </c>
    </row>
    <row r="818" spans="1:3">
      <c r="A818" t="s">
        <v>35081</v>
      </c>
      <c r="B818" s="590">
        <v>388</v>
      </c>
      <c r="C818" t="s">
        <v>35080</v>
      </c>
    </row>
    <row r="819" spans="1:3">
      <c r="A819" t="s">
        <v>35079</v>
      </c>
      <c r="B819" s="590">
        <v>476</v>
      </c>
      <c r="C819" t="s">
        <v>35078</v>
      </c>
    </row>
    <row r="820" spans="1:3">
      <c r="A820" t="s">
        <v>35077</v>
      </c>
      <c r="B820" s="590">
        <v>388</v>
      </c>
      <c r="C820" t="s">
        <v>35076</v>
      </c>
    </row>
    <row r="821" spans="1:3">
      <c r="A821" t="s">
        <v>35075</v>
      </c>
      <c r="B821" s="590">
        <v>388</v>
      </c>
      <c r="C821" t="s">
        <v>35074</v>
      </c>
    </row>
    <row r="822" spans="1:3">
      <c r="A822" t="s">
        <v>35073</v>
      </c>
      <c r="B822" s="590">
        <v>388</v>
      </c>
      <c r="C822" t="s">
        <v>35072</v>
      </c>
    </row>
    <row r="823" spans="1:3">
      <c r="A823" t="s">
        <v>35071</v>
      </c>
      <c r="B823" s="590">
        <v>388</v>
      </c>
      <c r="C823" t="s">
        <v>35070</v>
      </c>
    </row>
    <row r="824" spans="1:3">
      <c r="A824" t="s">
        <v>35069</v>
      </c>
      <c r="B824" s="590">
        <v>563</v>
      </c>
      <c r="C824" t="s">
        <v>35068</v>
      </c>
    </row>
    <row r="825" spans="1:3">
      <c r="A825" t="s">
        <v>35067</v>
      </c>
      <c r="B825" s="590">
        <v>563</v>
      </c>
      <c r="C825" t="s">
        <v>35066</v>
      </c>
    </row>
    <row r="826" spans="1:3">
      <c r="A826" t="s">
        <v>35061</v>
      </c>
      <c r="B826" s="590">
        <v>388</v>
      </c>
      <c r="C826" t="s">
        <v>35060</v>
      </c>
    </row>
    <row r="827" spans="1:3">
      <c r="A827" t="s">
        <v>35059</v>
      </c>
      <c r="B827" s="590">
        <v>388</v>
      </c>
      <c r="C827" t="s">
        <v>35058</v>
      </c>
    </row>
    <row r="828" spans="1:3">
      <c r="A828" t="s">
        <v>35057</v>
      </c>
      <c r="B828" s="590">
        <v>388</v>
      </c>
      <c r="C828" t="s">
        <v>35056</v>
      </c>
    </row>
    <row r="829" spans="1:3">
      <c r="A829" t="s">
        <v>35065</v>
      </c>
      <c r="B829" s="590">
        <v>388</v>
      </c>
      <c r="C829" t="s">
        <v>35064</v>
      </c>
    </row>
    <row r="830" spans="1:3">
      <c r="A830" t="s">
        <v>35063</v>
      </c>
      <c r="B830" s="590">
        <v>388</v>
      </c>
      <c r="C830" t="s">
        <v>35062</v>
      </c>
    </row>
    <row r="831" spans="1:3">
      <c r="A831" t="s">
        <v>35061</v>
      </c>
      <c r="B831" s="590">
        <v>388</v>
      </c>
      <c r="C831" t="s">
        <v>35060</v>
      </c>
    </row>
    <row r="832" spans="1:3">
      <c r="A832" t="s">
        <v>35059</v>
      </c>
      <c r="B832" s="590">
        <v>388</v>
      </c>
      <c r="C832" t="s">
        <v>35058</v>
      </c>
    </row>
    <row r="833" spans="1:3">
      <c r="A833" t="s">
        <v>35057</v>
      </c>
      <c r="B833" s="590">
        <v>388</v>
      </c>
      <c r="C833" t="s">
        <v>35056</v>
      </c>
    </row>
    <row r="834" spans="1:3">
      <c r="A834" t="s">
        <v>35055</v>
      </c>
      <c r="B834" s="590">
        <v>651</v>
      </c>
      <c r="C834" t="s">
        <v>35054</v>
      </c>
    </row>
    <row r="835" spans="1:3">
      <c r="A835" t="s">
        <v>35053</v>
      </c>
      <c r="B835" s="590">
        <v>651</v>
      </c>
      <c r="C835" t="s">
        <v>35052</v>
      </c>
    </row>
    <row r="836" spans="1:3">
      <c r="A836" t="s">
        <v>35051</v>
      </c>
      <c r="B836" s="590">
        <v>684</v>
      </c>
      <c r="C836" t="s">
        <v>35049</v>
      </c>
    </row>
    <row r="837" spans="1:3">
      <c r="A837" t="s">
        <v>35050</v>
      </c>
      <c r="B837" s="590">
        <v>684</v>
      </c>
      <c r="C837" t="s">
        <v>35049</v>
      </c>
    </row>
    <row r="838" spans="1:3">
      <c r="A838" t="s">
        <v>35048</v>
      </c>
      <c r="B838" s="590">
        <v>20</v>
      </c>
      <c r="C838" t="s">
        <v>35047</v>
      </c>
    </row>
    <row r="839" spans="1:3">
      <c r="A839" t="s">
        <v>35046</v>
      </c>
      <c r="B839" s="590">
        <v>42</v>
      </c>
      <c r="C839" t="s">
        <v>35045</v>
      </c>
    </row>
    <row r="840" spans="1:3">
      <c r="A840" t="s">
        <v>35044</v>
      </c>
      <c r="B840" s="590">
        <v>488</v>
      </c>
      <c r="C840" t="s">
        <v>35043</v>
      </c>
    </row>
    <row r="841" spans="1:3">
      <c r="A841" t="s">
        <v>35042</v>
      </c>
      <c r="B841" s="590">
        <v>327</v>
      </c>
      <c r="C841" t="s">
        <v>35041</v>
      </c>
    </row>
    <row r="842" spans="1:3">
      <c r="A842" t="s">
        <v>35040</v>
      </c>
      <c r="B842" s="590">
        <v>299</v>
      </c>
      <c r="C842" t="s">
        <v>35039</v>
      </c>
    </row>
    <row r="843" spans="1:3">
      <c r="A843" t="s">
        <v>35038</v>
      </c>
      <c r="B843" s="590">
        <v>21</v>
      </c>
      <c r="C843" t="s">
        <v>35037</v>
      </c>
    </row>
    <row r="844" spans="1:3">
      <c r="A844" t="s">
        <v>35036</v>
      </c>
      <c r="B844" s="590">
        <v>39</v>
      </c>
      <c r="C844" t="s">
        <v>35035</v>
      </c>
    </row>
    <row r="845" spans="1:3">
      <c r="A845" t="s">
        <v>35034</v>
      </c>
      <c r="B845" s="590">
        <v>13</v>
      </c>
      <c r="C845" t="s">
        <v>35033</v>
      </c>
    </row>
    <row r="846" spans="1:3">
      <c r="A846" t="s">
        <v>22025</v>
      </c>
      <c r="B846" s="590">
        <v>788</v>
      </c>
      <c r="C846" t="s">
        <v>35032</v>
      </c>
    </row>
    <row r="847" spans="1:3">
      <c r="A847" t="s">
        <v>35031</v>
      </c>
      <c r="B847" s="590">
        <v>912</v>
      </c>
      <c r="C847" t="s">
        <v>35030</v>
      </c>
    </row>
    <row r="848" spans="1:3">
      <c r="A848" t="s">
        <v>35029</v>
      </c>
      <c r="B848" s="590">
        <v>1187</v>
      </c>
      <c r="C848" t="s">
        <v>35028</v>
      </c>
    </row>
    <row r="849" spans="1:3">
      <c r="A849" t="s">
        <v>35027</v>
      </c>
      <c r="B849" s="590">
        <v>352</v>
      </c>
      <c r="C849" t="s">
        <v>35026</v>
      </c>
    </row>
    <row r="850" spans="1:3">
      <c r="A850" t="s">
        <v>35025</v>
      </c>
      <c r="B850" s="590">
        <v>352</v>
      </c>
      <c r="C850" t="s">
        <v>35024</v>
      </c>
    </row>
    <row r="851" spans="1:3">
      <c r="A851" t="s">
        <v>35023</v>
      </c>
      <c r="B851" s="590">
        <v>51</v>
      </c>
      <c r="C851" t="s">
        <v>35022</v>
      </c>
    </row>
    <row r="852" spans="1:3">
      <c r="A852" t="s">
        <v>35021</v>
      </c>
      <c r="B852" s="590">
        <v>116</v>
      </c>
      <c r="C852" t="s">
        <v>35020</v>
      </c>
    </row>
    <row r="853" spans="1:3">
      <c r="A853" t="s">
        <v>35019</v>
      </c>
      <c r="B853" s="590">
        <v>116</v>
      </c>
      <c r="C853" t="s">
        <v>35018</v>
      </c>
    </row>
    <row r="854" spans="1:3">
      <c r="A854" t="s">
        <v>35017</v>
      </c>
      <c r="B854" s="590">
        <v>116</v>
      </c>
      <c r="C854" t="s">
        <v>35016</v>
      </c>
    </row>
    <row r="855" spans="1:3">
      <c r="A855" t="s">
        <v>35015</v>
      </c>
      <c r="B855" s="590">
        <v>116</v>
      </c>
      <c r="C855" t="s">
        <v>35014</v>
      </c>
    </row>
    <row r="856" spans="1:3">
      <c r="A856" t="s">
        <v>35013</v>
      </c>
      <c r="B856" s="590">
        <v>116</v>
      </c>
      <c r="C856" t="s">
        <v>35012</v>
      </c>
    </row>
    <row r="857" spans="1:3">
      <c r="A857" t="s">
        <v>35011</v>
      </c>
      <c r="B857" s="590">
        <v>116</v>
      </c>
      <c r="C857" t="s">
        <v>35010</v>
      </c>
    </row>
    <row r="858" spans="1:3">
      <c r="A858" t="s">
        <v>35009</v>
      </c>
      <c r="B858" s="590">
        <v>116</v>
      </c>
      <c r="C858" t="s">
        <v>35008</v>
      </c>
    </row>
    <row r="859" spans="1:3">
      <c r="A859" t="s">
        <v>35007</v>
      </c>
      <c r="B859" s="590">
        <v>116</v>
      </c>
      <c r="C859" t="s">
        <v>35006</v>
      </c>
    </row>
    <row r="860" spans="1:3">
      <c r="A860" t="s">
        <v>35005</v>
      </c>
      <c r="B860" s="590">
        <v>116</v>
      </c>
      <c r="C860" t="s">
        <v>35004</v>
      </c>
    </row>
    <row r="861" spans="1:3">
      <c r="A861" t="s">
        <v>35003</v>
      </c>
      <c r="B861" s="590">
        <v>116</v>
      </c>
      <c r="C861" t="s">
        <v>35002</v>
      </c>
    </row>
    <row r="862" spans="1:3">
      <c r="A862" t="s">
        <v>35001</v>
      </c>
      <c r="B862" s="590">
        <v>116</v>
      </c>
      <c r="C862" t="s">
        <v>35000</v>
      </c>
    </row>
    <row r="863" spans="1:3">
      <c r="A863" t="s">
        <v>34999</v>
      </c>
      <c r="B863" s="590">
        <v>116</v>
      </c>
      <c r="C863" t="s">
        <v>34998</v>
      </c>
    </row>
    <row r="864" spans="1:3">
      <c r="A864" t="s">
        <v>34997</v>
      </c>
      <c r="B864" s="590">
        <v>116</v>
      </c>
      <c r="C864" t="s">
        <v>34996</v>
      </c>
    </row>
    <row r="865" spans="1:3">
      <c r="A865" t="s">
        <v>34995</v>
      </c>
      <c r="B865" s="590">
        <v>116</v>
      </c>
      <c r="C865" t="s">
        <v>34994</v>
      </c>
    </row>
    <row r="866" spans="1:3">
      <c r="A866" t="s">
        <v>34993</v>
      </c>
      <c r="B866" s="590">
        <v>116</v>
      </c>
      <c r="C866" t="s">
        <v>34992</v>
      </c>
    </row>
    <row r="867" spans="1:3">
      <c r="A867" t="s">
        <v>34991</v>
      </c>
      <c r="B867" s="590">
        <v>116</v>
      </c>
      <c r="C867" t="s">
        <v>34990</v>
      </c>
    </row>
    <row r="868" spans="1:3">
      <c r="A868" t="s">
        <v>34989</v>
      </c>
      <c r="B868" s="590">
        <v>116</v>
      </c>
      <c r="C868" t="s">
        <v>34988</v>
      </c>
    </row>
    <row r="869" spans="1:3">
      <c r="A869" t="s">
        <v>34987</v>
      </c>
      <c r="B869" s="590">
        <v>116</v>
      </c>
      <c r="C869" t="s">
        <v>34986</v>
      </c>
    </row>
    <row r="870" spans="1:3">
      <c r="A870" t="s">
        <v>34985</v>
      </c>
      <c r="B870" s="590">
        <v>116</v>
      </c>
      <c r="C870" t="s">
        <v>34984</v>
      </c>
    </row>
    <row r="871" spans="1:3">
      <c r="A871" t="s">
        <v>34983</v>
      </c>
      <c r="B871" s="590">
        <v>116</v>
      </c>
      <c r="C871" t="s">
        <v>34982</v>
      </c>
    </row>
    <row r="872" spans="1:3">
      <c r="A872" t="s">
        <v>34981</v>
      </c>
      <c r="B872" s="590">
        <v>116</v>
      </c>
      <c r="C872" t="s">
        <v>34980</v>
      </c>
    </row>
    <row r="873" spans="1:3">
      <c r="A873" t="s">
        <v>34979</v>
      </c>
      <c r="B873" s="590">
        <v>116</v>
      </c>
      <c r="C873" t="s">
        <v>34978</v>
      </c>
    </row>
    <row r="874" spans="1:3">
      <c r="A874" t="s">
        <v>34977</v>
      </c>
      <c r="B874" s="590">
        <v>116</v>
      </c>
      <c r="C874" t="s">
        <v>34976</v>
      </c>
    </row>
    <row r="875" spans="1:3">
      <c r="A875" t="s">
        <v>34975</v>
      </c>
      <c r="B875" s="590">
        <v>116</v>
      </c>
      <c r="C875" t="s">
        <v>34974</v>
      </c>
    </row>
    <row r="876" spans="1:3">
      <c r="A876" t="s">
        <v>34973</v>
      </c>
      <c r="B876" s="590">
        <v>116</v>
      </c>
      <c r="C876" t="s">
        <v>34972</v>
      </c>
    </row>
    <row r="877" spans="1:3">
      <c r="A877" t="s">
        <v>34971</v>
      </c>
      <c r="B877" s="590">
        <v>116</v>
      </c>
      <c r="C877" t="s">
        <v>34970</v>
      </c>
    </row>
    <row r="878" spans="1:3">
      <c r="A878" t="s">
        <v>34969</v>
      </c>
      <c r="B878" s="590">
        <v>48</v>
      </c>
      <c r="C878" t="s">
        <v>34968</v>
      </c>
    </row>
    <row r="879" spans="1:3">
      <c r="A879" t="s">
        <v>34967</v>
      </c>
      <c r="B879" s="590">
        <v>126</v>
      </c>
      <c r="C879" t="s">
        <v>34966</v>
      </c>
    </row>
    <row r="880" spans="1:3">
      <c r="A880" t="s">
        <v>34965</v>
      </c>
      <c r="B880" s="590">
        <v>764</v>
      </c>
      <c r="C880" t="s">
        <v>34950</v>
      </c>
    </row>
    <row r="881" spans="1:3">
      <c r="A881" t="s">
        <v>34964</v>
      </c>
      <c r="B881" s="590">
        <v>968</v>
      </c>
      <c r="C881" t="s">
        <v>34948</v>
      </c>
    </row>
    <row r="882" spans="1:3">
      <c r="A882" t="s">
        <v>34963</v>
      </c>
      <c r="B882" s="590">
        <v>1172</v>
      </c>
      <c r="C882" t="s">
        <v>34946</v>
      </c>
    </row>
    <row r="883" spans="1:3">
      <c r="A883" t="s">
        <v>34962</v>
      </c>
      <c r="B883" s="590">
        <v>1478</v>
      </c>
      <c r="C883" t="s">
        <v>34944</v>
      </c>
    </row>
    <row r="884" spans="1:3">
      <c r="A884" t="s">
        <v>34961</v>
      </c>
      <c r="B884" s="590">
        <v>1784</v>
      </c>
      <c r="C884" t="s">
        <v>34942</v>
      </c>
    </row>
    <row r="885" spans="1:3">
      <c r="A885" t="s">
        <v>34960</v>
      </c>
      <c r="B885" s="590">
        <v>2090</v>
      </c>
      <c r="C885" t="s">
        <v>34940</v>
      </c>
    </row>
    <row r="886" spans="1:3">
      <c r="A886" t="s">
        <v>34959</v>
      </c>
      <c r="B886" s="590">
        <v>2396</v>
      </c>
      <c r="C886" t="s">
        <v>34938</v>
      </c>
    </row>
    <row r="887" spans="1:3">
      <c r="A887" t="s">
        <v>34958</v>
      </c>
      <c r="B887" s="590">
        <v>2702</v>
      </c>
      <c r="C887" t="s">
        <v>34936</v>
      </c>
    </row>
    <row r="888" spans="1:3">
      <c r="A888" t="s">
        <v>34957</v>
      </c>
      <c r="B888" s="590">
        <v>3008</v>
      </c>
      <c r="C888" t="s">
        <v>34934</v>
      </c>
    </row>
    <row r="889" spans="1:3">
      <c r="A889" t="s">
        <v>34956</v>
      </c>
      <c r="B889" s="590">
        <v>3518</v>
      </c>
      <c r="C889" t="s">
        <v>34932</v>
      </c>
    </row>
    <row r="890" spans="1:3">
      <c r="A890" t="s">
        <v>34955</v>
      </c>
      <c r="B890" s="590">
        <v>4028</v>
      </c>
      <c r="C890" t="s">
        <v>34954</v>
      </c>
    </row>
    <row r="891" spans="1:3">
      <c r="A891" t="s">
        <v>34953</v>
      </c>
      <c r="B891" s="590">
        <v>4538</v>
      </c>
      <c r="C891" t="s">
        <v>34952</v>
      </c>
    </row>
    <row r="892" spans="1:3">
      <c r="A892" t="s">
        <v>34951</v>
      </c>
      <c r="B892" s="590">
        <v>764</v>
      </c>
      <c r="C892" t="s">
        <v>34950</v>
      </c>
    </row>
    <row r="893" spans="1:3">
      <c r="A893" t="s">
        <v>34949</v>
      </c>
      <c r="B893" s="590">
        <v>968</v>
      </c>
      <c r="C893" t="s">
        <v>34948</v>
      </c>
    </row>
    <row r="894" spans="1:3">
      <c r="A894" t="s">
        <v>34947</v>
      </c>
      <c r="B894" s="590">
        <v>1172</v>
      </c>
      <c r="C894" t="s">
        <v>34946</v>
      </c>
    </row>
    <row r="895" spans="1:3">
      <c r="A895" t="s">
        <v>34945</v>
      </c>
      <c r="B895" s="590">
        <v>1478</v>
      </c>
      <c r="C895" t="s">
        <v>34944</v>
      </c>
    </row>
    <row r="896" spans="1:3">
      <c r="A896" t="s">
        <v>34943</v>
      </c>
      <c r="B896" s="590">
        <v>1784</v>
      </c>
      <c r="C896" t="s">
        <v>34942</v>
      </c>
    </row>
    <row r="897" spans="1:3">
      <c r="A897" t="s">
        <v>34941</v>
      </c>
      <c r="B897" s="590">
        <v>2090</v>
      </c>
      <c r="C897" t="s">
        <v>34940</v>
      </c>
    </row>
    <row r="898" spans="1:3">
      <c r="A898" t="s">
        <v>34939</v>
      </c>
      <c r="B898" s="590">
        <v>2396</v>
      </c>
      <c r="C898" t="s">
        <v>34938</v>
      </c>
    </row>
    <row r="899" spans="1:3">
      <c r="A899" t="s">
        <v>34937</v>
      </c>
      <c r="B899" s="590">
        <v>2702</v>
      </c>
      <c r="C899" t="s">
        <v>34936</v>
      </c>
    </row>
    <row r="900" spans="1:3">
      <c r="A900" t="s">
        <v>34935</v>
      </c>
      <c r="B900" s="590">
        <v>3008</v>
      </c>
      <c r="C900" t="s">
        <v>34934</v>
      </c>
    </row>
    <row r="901" spans="1:3">
      <c r="A901" t="s">
        <v>34933</v>
      </c>
      <c r="B901" s="590">
        <v>3518</v>
      </c>
      <c r="C901" t="s">
        <v>34932</v>
      </c>
    </row>
    <row r="902" spans="1:3">
      <c r="A902" t="s">
        <v>34931</v>
      </c>
      <c r="B902" s="590">
        <v>11</v>
      </c>
      <c r="C902" t="s">
        <v>34930</v>
      </c>
    </row>
    <row r="903" spans="1:3">
      <c r="A903" t="s">
        <v>34929</v>
      </c>
      <c r="B903" s="590">
        <v>367</v>
      </c>
      <c r="C903" t="s">
        <v>34928</v>
      </c>
    </row>
    <row r="904" spans="1:3">
      <c r="A904" t="s">
        <v>34927</v>
      </c>
      <c r="B904" s="590">
        <v>42</v>
      </c>
      <c r="C904" t="s">
        <v>34926</v>
      </c>
    </row>
    <row r="905" spans="1:3">
      <c r="A905" t="s">
        <v>34925</v>
      </c>
      <c r="B905" s="590">
        <v>112</v>
      </c>
      <c r="C905" t="s">
        <v>34924</v>
      </c>
    </row>
    <row r="906" spans="1:3">
      <c r="A906" t="s">
        <v>34923</v>
      </c>
      <c r="B906" s="590">
        <v>183</v>
      </c>
      <c r="C906" t="s">
        <v>34922</v>
      </c>
    </row>
    <row r="907" spans="1:3">
      <c r="A907" t="s">
        <v>34921</v>
      </c>
      <c r="B907" s="590">
        <v>36</v>
      </c>
      <c r="C907" t="s">
        <v>34920</v>
      </c>
    </row>
    <row r="908" spans="1:3">
      <c r="A908" t="s">
        <v>34919</v>
      </c>
      <c r="B908" s="590">
        <v>42</v>
      </c>
      <c r="C908" t="s">
        <v>34918</v>
      </c>
    </row>
    <row r="909" spans="1:3">
      <c r="A909" t="s">
        <v>34917</v>
      </c>
      <c r="B909" s="590">
        <v>47</v>
      </c>
      <c r="C909" t="s">
        <v>34916</v>
      </c>
    </row>
    <row r="910" spans="1:3">
      <c r="A910" t="s">
        <v>34915</v>
      </c>
      <c r="B910" s="590">
        <v>116</v>
      </c>
      <c r="C910" t="s">
        <v>34914</v>
      </c>
    </row>
    <row r="911" spans="1:3">
      <c r="A911" t="s">
        <v>34913</v>
      </c>
      <c r="B911" s="590">
        <v>166</v>
      </c>
      <c r="C911" t="s">
        <v>34912</v>
      </c>
    </row>
    <row r="912" spans="1:3">
      <c r="A912" t="s">
        <v>34911</v>
      </c>
      <c r="B912" s="590">
        <v>220</v>
      </c>
      <c r="C912" t="s">
        <v>34910</v>
      </c>
    </row>
    <row r="913" spans="1:3">
      <c r="A913" t="s">
        <v>34909</v>
      </c>
      <c r="B913" s="590">
        <v>288</v>
      </c>
      <c r="C913" t="s">
        <v>34908</v>
      </c>
    </row>
    <row r="914" spans="1:3">
      <c r="A914" t="s">
        <v>34907</v>
      </c>
      <c r="B914" s="590">
        <v>353</v>
      </c>
      <c r="C914" t="s">
        <v>34906</v>
      </c>
    </row>
    <row r="915" spans="1:3">
      <c r="A915" t="s">
        <v>34905</v>
      </c>
      <c r="B915" s="590">
        <v>435</v>
      </c>
      <c r="C915" t="s">
        <v>34904</v>
      </c>
    </row>
    <row r="916" spans="1:3">
      <c r="A916" t="s">
        <v>34903</v>
      </c>
      <c r="B916" s="590">
        <v>500</v>
      </c>
      <c r="C916" t="s">
        <v>34902</v>
      </c>
    </row>
    <row r="917" spans="1:3">
      <c r="A917" t="s">
        <v>34901</v>
      </c>
      <c r="B917" s="590">
        <v>258</v>
      </c>
      <c r="C917" t="s">
        <v>34900</v>
      </c>
    </row>
    <row r="918" spans="1:3">
      <c r="A918" t="s">
        <v>34899</v>
      </c>
      <c r="B918" s="590">
        <v>233</v>
      </c>
      <c r="C918" t="s">
        <v>34898</v>
      </c>
    </row>
    <row r="919" spans="1:3">
      <c r="A919" t="s">
        <v>34897</v>
      </c>
      <c r="B919" s="590">
        <v>258</v>
      </c>
      <c r="C919" t="s">
        <v>34896</v>
      </c>
    </row>
    <row r="920" spans="1:3">
      <c r="A920" t="s">
        <v>34895</v>
      </c>
      <c r="B920" s="590">
        <v>258</v>
      </c>
      <c r="C920" t="s">
        <v>34894</v>
      </c>
    </row>
    <row r="921" spans="1:3">
      <c r="A921" t="s">
        <v>34893</v>
      </c>
      <c r="B921" s="590">
        <v>213</v>
      </c>
      <c r="C921" t="s">
        <v>34892</v>
      </c>
    </row>
    <row r="922" spans="1:3">
      <c r="A922" t="s">
        <v>34891</v>
      </c>
      <c r="B922" s="590">
        <v>213</v>
      </c>
      <c r="C922" t="s">
        <v>34890</v>
      </c>
    </row>
    <row r="923" spans="1:3">
      <c r="A923" t="s">
        <v>34889</v>
      </c>
      <c r="B923" s="590">
        <v>199</v>
      </c>
      <c r="C923" t="s">
        <v>34888</v>
      </c>
    </row>
    <row r="924" spans="1:3">
      <c r="A924" t="s">
        <v>34887</v>
      </c>
      <c r="B924" s="590">
        <v>416</v>
      </c>
      <c r="C924" t="s">
        <v>34886</v>
      </c>
    </row>
    <row r="925" spans="1:3">
      <c r="A925" t="s">
        <v>34885</v>
      </c>
      <c r="B925" s="590">
        <v>416</v>
      </c>
      <c r="C925" t="s">
        <v>34884</v>
      </c>
    </row>
    <row r="926" spans="1:3">
      <c r="A926" t="s">
        <v>34883</v>
      </c>
      <c r="B926" s="590">
        <v>373</v>
      </c>
      <c r="C926" t="s">
        <v>34882</v>
      </c>
    </row>
    <row r="927" spans="1:3">
      <c r="A927" t="s">
        <v>34881</v>
      </c>
      <c r="B927" s="590">
        <v>538</v>
      </c>
      <c r="C927" t="s">
        <v>34880</v>
      </c>
    </row>
    <row r="928" spans="1:3">
      <c r="A928" t="s">
        <v>34879</v>
      </c>
      <c r="B928" s="590">
        <v>178</v>
      </c>
      <c r="C928" t="s">
        <v>34878</v>
      </c>
    </row>
    <row r="929" spans="1:3">
      <c r="A929" t="s">
        <v>22028</v>
      </c>
      <c r="B929" s="590">
        <v>178</v>
      </c>
      <c r="C929" t="s">
        <v>34877</v>
      </c>
    </row>
    <row r="930" spans="1:3">
      <c r="A930" t="s">
        <v>34876</v>
      </c>
      <c r="B930" s="590">
        <v>178</v>
      </c>
      <c r="C930" t="s">
        <v>34875</v>
      </c>
    </row>
    <row r="931" spans="1:3">
      <c r="A931" t="s">
        <v>27241</v>
      </c>
      <c r="B931" s="590">
        <v>178</v>
      </c>
      <c r="C931" t="s">
        <v>27240</v>
      </c>
    </row>
    <row r="932" spans="1:3">
      <c r="A932" t="s">
        <v>34874</v>
      </c>
      <c r="B932" s="590">
        <v>178</v>
      </c>
      <c r="C932" t="s">
        <v>34873</v>
      </c>
    </row>
    <row r="933" spans="1:3">
      <c r="A933" t="s">
        <v>34872</v>
      </c>
      <c r="B933" s="590">
        <v>178</v>
      </c>
      <c r="C933" t="s">
        <v>34871</v>
      </c>
    </row>
    <row r="934" spans="1:3">
      <c r="A934" t="s">
        <v>34870</v>
      </c>
      <c r="B934" s="590">
        <v>178</v>
      </c>
      <c r="C934" t="s">
        <v>34869</v>
      </c>
    </row>
    <row r="935" spans="1:3">
      <c r="A935" t="s">
        <v>34868</v>
      </c>
      <c r="B935" s="590">
        <v>178</v>
      </c>
      <c r="C935" t="s">
        <v>34867</v>
      </c>
    </row>
    <row r="936" spans="1:3">
      <c r="A936" t="s">
        <v>34866</v>
      </c>
      <c r="B936" s="590">
        <v>178</v>
      </c>
      <c r="C936" t="s">
        <v>34865</v>
      </c>
    </row>
    <row r="937" spans="1:3">
      <c r="A937" t="s">
        <v>34864</v>
      </c>
      <c r="B937" s="590">
        <v>178</v>
      </c>
      <c r="C937" t="s">
        <v>34863</v>
      </c>
    </row>
    <row r="938" spans="1:3">
      <c r="A938" t="s">
        <v>34862</v>
      </c>
      <c r="B938" s="590">
        <v>178</v>
      </c>
      <c r="C938" t="s">
        <v>34861</v>
      </c>
    </row>
    <row r="939" spans="1:3">
      <c r="A939" t="s">
        <v>34860</v>
      </c>
      <c r="B939" s="590">
        <v>190</v>
      </c>
      <c r="C939" t="s">
        <v>34859</v>
      </c>
    </row>
    <row r="940" spans="1:3">
      <c r="A940" t="s">
        <v>34858</v>
      </c>
      <c r="B940" s="590">
        <v>190</v>
      </c>
      <c r="C940" t="s">
        <v>34857</v>
      </c>
    </row>
    <row r="941" spans="1:3">
      <c r="A941" t="s">
        <v>34856</v>
      </c>
      <c r="B941" s="590">
        <v>190</v>
      </c>
      <c r="C941" t="s">
        <v>34855</v>
      </c>
    </row>
    <row r="942" spans="1:3">
      <c r="A942" t="s">
        <v>34854</v>
      </c>
      <c r="B942" s="590">
        <v>190</v>
      </c>
      <c r="C942" t="s">
        <v>34853</v>
      </c>
    </row>
    <row r="943" spans="1:3">
      <c r="A943" t="s">
        <v>34852</v>
      </c>
      <c r="B943" s="590">
        <v>190</v>
      </c>
      <c r="C943" t="s">
        <v>34851</v>
      </c>
    </row>
    <row r="944" spans="1:3">
      <c r="A944" t="s">
        <v>34850</v>
      </c>
      <c r="B944" s="590">
        <v>190</v>
      </c>
      <c r="C944" t="s">
        <v>34849</v>
      </c>
    </row>
    <row r="945" spans="1:3">
      <c r="A945" t="s">
        <v>34848</v>
      </c>
      <c r="B945" s="590">
        <v>190</v>
      </c>
      <c r="C945" t="s">
        <v>34847</v>
      </c>
    </row>
    <row r="946" spans="1:3">
      <c r="A946" t="s">
        <v>34846</v>
      </c>
      <c r="B946" s="590">
        <v>190</v>
      </c>
      <c r="C946" t="s">
        <v>34845</v>
      </c>
    </row>
    <row r="947" spans="1:3">
      <c r="A947" t="s">
        <v>34844</v>
      </c>
      <c r="B947" s="590">
        <v>190</v>
      </c>
      <c r="C947" t="s">
        <v>34843</v>
      </c>
    </row>
    <row r="948" spans="1:3">
      <c r="A948" t="s">
        <v>34842</v>
      </c>
      <c r="B948" s="590">
        <v>190</v>
      </c>
      <c r="C948" t="s">
        <v>34841</v>
      </c>
    </row>
    <row r="949" spans="1:3">
      <c r="A949" t="s">
        <v>34840</v>
      </c>
      <c r="B949" s="590">
        <v>190</v>
      </c>
      <c r="C949" t="s">
        <v>34839</v>
      </c>
    </row>
    <row r="950" spans="1:3">
      <c r="A950" t="s">
        <v>34838</v>
      </c>
      <c r="B950" s="590">
        <v>178</v>
      </c>
      <c r="C950" t="s">
        <v>34837</v>
      </c>
    </row>
    <row r="951" spans="1:3">
      <c r="A951" t="s">
        <v>34836</v>
      </c>
      <c r="B951" s="590">
        <v>178</v>
      </c>
      <c r="C951" t="s">
        <v>34835</v>
      </c>
    </row>
    <row r="952" spans="1:3">
      <c r="A952" t="s">
        <v>34834</v>
      </c>
      <c r="B952" s="590">
        <v>178</v>
      </c>
      <c r="C952" t="s">
        <v>34833</v>
      </c>
    </row>
    <row r="953" spans="1:3">
      <c r="A953" t="s">
        <v>27239</v>
      </c>
      <c r="B953" s="590">
        <v>178</v>
      </c>
      <c r="C953" t="s">
        <v>27238</v>
      </c>
    </row>
    <row r="954" spans="1:3">
      <c r="A954" t="s">
        <v>34832</v>
      </c>
      <c r="B954" s="590">
        <v>178</v>
      </c>
      <c r="C954" t="s">
        <v>34831</v>
      </c>
    </row>
    <row r="955" spans="1:3">
      <c r="A955" t="s">
        <v>34830</v>
      </c>
      <c r="B955" s="590">
        <v>178</v>
      </c>
      <c r="C955" t="s">
        <v>34829</v>
      </c>
    </row>
    <row r="956" spans="1:3">
      <c r="A956" t="s">
        <v>34828</v>
      </c>
      <c r="B956" s="590">
        <v>178</v>
      </c>
      <c r="C956" t="s">
        <v>34827</v>
      </c>
    </row>
    <row r="957" spans="1:3">
      <c r="A957" t="s">
        <v>34826</v>
      </c>
      <c r="B957" s="590">
        <v>178</v>
      </c>
      <c r="C957" t="s">
        <v>34825</v>
      </c>
    </row>
    <row r="958" spans="1:3">
      <c r="A958" t="s">
        <v>34824</v>
      </c>
      <c r="B958" s="590">
        <v>238</v>
      </c>
      <c r="C958" t="s">
        <v>34823</v>
      </c>
    </row>
    <row r="959" spans="1:3">
      <c r="A959" t="s">
        <v>34822</v>
      </c>
      <c r="B959" s="590">
        <v>178</v>
      </c>
      <c r="C959" t="s">
        <v>34821</v>
      </c>
    </row>
    <row r="960" spans="1:3">
      <c r="A960" t="s">
        <v>34820</v>
      </c>
      <c r="B960" s="590">
        <v>178</v>
      </c>
      <c r="C960" t="s">
        <v>34819</v>
      </c>
    </row>
    <row r="961" spans="1:3">
      <c r="A961" t="s">
        <v>34818</v>
      </c>
      <c r="B961" s="590">
        <v>178</v>
      </c>
      <c r="C961" t="s">
        <v>34817</v>
      </c>
    </row>
    <row r="962" spans="1:3">
      <c r="A962" t="s">
        <v>34816</v>
      </c>
      <c r="B962" s="590">
        <v>190</v>
      </c>
      <c r="C962" t="s">
        <v>34815</v>
      </c>
    </row>
    <row r="963" spans="1:3">
      <c r="A963" t="s">
        <v>34814</v>
      </c>
      <c r="B963" s="590">
        <v>190</v>
      </c>
      <c r="C963" t="s">
        <v>34813</v>
      </c>
    </row>
    <row r="964" spans="1:3">
      <c r="A964" t="s">
        <v>34812</v>
      </c>
      <c r="B964" s="590">
        <v>190</v>
      </c>
      <c r="C964" t="s">
        <v>34811</v>
      </c>
    </row>
    <row r="965" spans="1:3">
      <c r="A965" t="s">
        <v>34810</v>
      </c>
      <c r="B965" s="590">
        <v>264</v>
      </c>
      <c r="C965" t="s">
        <v>34809</v>
      </c>
    </row>
    <row r="966" spans="1:3">
      <c r="A966" t="s">
        <v>34808</v>
      </c>
      <c r="B966" s="590">
        <v>190</v>
      </c>
      <c r="C966" t="s">
        <v>34807</v>
      </c>
    </row>
    <row r="967" spans="1:3">
      <c r="A967" t="s">
        <v>34806</v>
      </c>
      <c r="B967" s="590">
        <v>190</v>
      </c>
      <c r="C967" t="s">
        <v>34805</v>
      </c>
    </row>
    <row r="968" spans="1:3">
      <c r="A968" t="s">
        <v>34804</v>
      </c>
      <c r="B968" s="590">
        <v>190</v>
      </c>
      <c r="C968" t="s">
        <v>34803</v>
      </c>
    </row>
    <row r="969" spans="1:3">
      <c r="A969" t="s">
        <v>34802</v>
      </c>
      <c r="B969" s="590">
        <v>190</v>
      </c>
      <c r="C969" t="s">
        <v>34801</v>
      </c>
    </row>
    <row r="970" spans="1:3">
      <c r="A970" t="s">
        <v>34800</v>
      </c>
      <c r="B970" s="590">
        <v>190</v>
      </c>
      <c r="C970" t="s">
        <v>34799</v>
      </c>
    </row>
    <row r="971" spans="1:3">
      <c r="A971" t="s">
        <v>34798</v>
      </c>
      <c r="B971" s="590">
        <v>190</v>
      </c>
      <c r="C971" t="s">
        <v>34797</v>
      </c>
    </row>
    <row r="972" spans="1:3">
      <c r="A972" t="s">
        <v>34796</v>
      </c>
      <c r="B972" s="590">
        <v>190</v>
      </c>
      <c r="C972" t="s">
        <v>34795</v>
      </c>
    </row>
    <row r="973" spans="1:3">
      <c r="A973" t="s">
        <v>34794</v>
      </c>
      <c r="B973" s="590">
        <v>206</v>
      </c>
      <c r="C973" t="s">
        <v>34793</v>
      </c>
    </row>
    <row r="974" spans="1:3">
      <c r="A974" t="s">
        <v>34792</v>
      </c>
      <c r="B974" s="590">
        <v>206</v>
      </c>
      <c r="C974" t="s">
        <v>34791</v>
      </c>
    </row>
    <row r="975" spans="1:3">
      <c r="A975" t="s">
        <v>34790</v>
      </c>
      <c r="B975" s="590">
        <v>206</v>
      </c>
      <c r="C975" t="s">
        <v>34789</v>
      </c>
    </row>
    <row r="976" spans="1:3">
      <c r="A976" t="s">
        <v>34788</v>
      </c>
      <c r="B976" s="590">
        <v>267</v>
      </c>
      <c r="C976" t="s">
        <v>34787</v>
      </c>
    </row>
    <row r="977" spans="1:3">
      <c r="A977" t="s">
        <v>34786</v>
      </c>
      <c r="B977" s="590">
        <v>206</v>
      </c>
      <c r="C977" t="s">
        <v>34785</v>
      </c>
    </row>
    <row r="978" spans="1:3">
      <c r="A978" t="s">
        <v>34784</v>
      </c>
      <c r="B978" s="590">
        <v>206</v>
      </c>
      <c r="C978" t="s">
        <v>34783</v>
      </c>
    </row>
    <row r="979" spans="1:3">
      <c r="A979" t="s">
        <v>27245</v>
      </c>
      <c r="B979" s="590">
        <v>206</v>
      </c>
      <c r="C979" t="s">
        <v>27244</v>
      </c>
    </row>
    <row r="980" spans="1:3">
      <c r="A980" t="s">
        <v>34782</v>
      </c>
      <c r="B980" s="590">
        <v>206</v>
      </c>
      <c r="C980" t="s">
        <v>34781</v>
      </c>
    </row>
    <row r="981" spans="1:3">
      <c r="A981" t="s">
        <v>34780</v>
      </c>
      <c r="B981" s="590">
        <v>219</v>
      </c>
      <c r="C981" t="s">
        <v>34779</v>
      </c>
    </row>
    <row r="982" spans="1:3">
      <c r="A982" t="s">
        <v>34778</v>
      </c>
      <c r="B982" s="590">
        <v>219</v>
      </c>
      <c r="C982" t="s">
        <v>34777</v>
      </c>
    </row>
    <row r="983" spans="1:3">
      <c r="A983" t="s">
        <v>34776</v>
      </c>
      <c r="B983" s="590">
        <v>219</v>
      </c>
      <c r="C983" t="s">
        <v>34775</v>
      </c>
    </row>
    <row r="984" spans="1:3">
      <c r="A984" t="s">
        <v>34774</v>
      </c>
      <c r="B984" s="590">
        <v>219</v>
      </c>
      <c r="C984" t="s">
        <v>34773</v>
      </c>
    </row>
    <row r="985" spans="1:3">
      <c r="A985" t="s">
        <v>34772</v>
      </c>
      <c r="B985" s="590">
        <v>219</v>
      </c>
      <c r="C985" t="s">
        <v>34771</v>
      </c>
    </row>
    <row r="986" spans="1:3">
      <c r="A986" t="s">
        <v>34770</v>
      </c>
      <c r="B986" s="590">
        <v>219</v>
      </c>
      <c r="C986" t="s">
        <v>34769</v>
      </c>
    </row>
    <row r="987" spans="1:3">
      <c r="A987" t="s">
        <v>34768</v>
      </c>
      <c r="B987" s="590">
        <v>206</v>
      </c>
      <c r="C987" t="s">
        <v>34767</v>
      </c>
    </row>
    <row r="988" spans="1:3">
      <c r="A988" t="s">
        <v>34766</v>
      </c>
      <c r="B988" s="590">
        <v>206</v>
      </c>
      <c r="C988" t="s">
        <v>34765</v>
      </c>
    </row>
    <row r="989" spans="1:3">
      <c r="A989" t="s">
        <v>34764</v>
      </c>
      <c r="B989" s="590">
        <v>206</v>
      </c>
      <c r="C989" t="s">
        <v>34763</v>
      </c>
    </row>
    <row r="990" spans="1:3">
      <c r="A990" t="s">
        <v>34762</v>
      </c>
      <c r="B990" s="590">
        <v>267</v>
      </c>
      <c r="C990" t="s">
        <v>34761</v>
      </c>
    </row>
    <row r="991" spans="1:3">
      <c r="A991" t="s">
        <v>34760</v>
      </c>
      <c r="B991" s="590">
        <v>206</v>
      </c>
      <c r="C991" t="s">
        <v>34759</v>
      </c>
    </row>
    <row r="992" spans="1:3">
      <c r="A992" t="s">
        <v>34758</v>
      </c>
      <c r="B992" s="590">
        <v>206</v>
      </c>
      <c r="C992" t="s">
        <v>34757</v>
      </c>
    </row>
    <row r="993" spans="1:3">
      <c r="A993" t="s">
        <v>34756</v>
      </c>
      <c r="B993" s="590">
        <v>206</v>
      </c>
      <c r="C993" t="s">
        <v>34755</v>
      </c>
    </row>
    <row r="994" spans="1:3">
      <c r="A994" t="s">
        <v>34754</v>
      </c>
      <c r="B994" s="590">
        <v>219</v>
      </c>
      <c r="C994" t="s">
        <v>34753</v>
      </c>
    </row>
    <row r="995" spans="1:3">
      <c r="A995" t="s">
        <v>34752</v>
      </c>
      <c r="B995" s="590">
        <v>219</v>
      </c>
      <c r="C995" t="s">
        <v>34751</v>
      </c>
    </row>
    <row r="996" spans="1:3">
      <c r="A996" t="s">
        <v>34750</v>
      </c>
      <c r="B996" s="590">
        <v>219</v>
      </c>
      <c r="C996" t="s">
        <v>34749</v>
      </c>
    </row>
    <row r="997" spans="1:3">
      <c r="A997" t="s">
        <v>34748</v>
      </c>
      <c r="B997" s="590">
        <v>219</v>
      </c>
      <c r="C997" t="s">
        <v>34747</v>
      </c>
    </row>
    <row r="998" spans="1:3">
      <c r="A998" t="s">
        <v>34746</v>
      </c>
      <c r="B998" s="590">
        <v>219</v>
      </c>
      <c r="C998" t="s">
        <v>34745</v>
      </c>
    </row>
    <row r="999" spans="1:3">
      <c r="A999" t="s">
        <v>34744</v>
      </c>
      <c r="B999" s="590">
        <v>219</v>
      </c>
      <c r="C999" t="s">
        <v>34743</v>
      </c>
    </row>
    <row r="1000" spans="1:3">
      <c r="A1000" t="s">
        <v>34742</v>
      </c>
      <c r="B1000" s="590">
        <v>243</v>
      </c>
      <c r="C1000" t="s">
        <v>34741</v>
      </c>
    </row>
    <row r="1001" spans="1:3">
      <c r="A1001" t="s">
        <v>34740</v>
      </c>
      <c r="B1001" s="590">
        <v>243</v>
      </c>
      <c r="C1001" t="s">
        <v>34739</v>
      </c>
    </row>
    <row r="1002" spans="1:3">
      <c r="A1002" t="s">
        <v>34738</v>
      </c>
      <c r="B1002" s="590">
        <v>243</v>
      </c>
      <c r="C1002" t="s">
        <v>34737</v>
      </c>
    </row>
    <row r="1003" spans="1:3">
      <c r="A1003" t="s">
        <v>34736</v>
      </c>
      <c r="B1003" s="590">
        <v>243</v>
      </c>
      <c r="C1003" t="s">
        <v>34735</v>
      </c>
    </row>
    <row r="1004" spans="1:3">
      <c r="A1004" t="s">
        <v>34734</v>
      </c>
      <c r="B1004" s="590">
        <v>257</v>
      </c>
      <c r="C1004" t="s">
        <v>34733</v>
      </c>
    </row>
    <row r="1005" spans="1:3">
      <c r="A1005" t="s">
        <v>34732</v>
      </c>
      <c r="B1005" s="590">
        <v>257</v>
      </c>
      <c r="C1005" t="s">
        <v>34731</v>
      </c>
    </row>
    <row r="1006" spans="1:3">
      <c r="A1006" t="s">
        <v>34730</v>
      </c>
      <c r="B1006" s="590">
        <v>257</v>
      </c>
      <c r="C1006" t="s">
        <v>34729</v>
      </c>
    </row>
    <row r="1007" spans="1:3">
      <c r="A1007" t="s">
        <v>34728</v>
      </c>
      <c r="B1007" s="590">
        <v>257</v>
      </c>
      <c r="C1007" t="s">
        <v>34727</v>
      </c>
    </row>
    <row r="1008" spans="1:3">
      <c r="A1008" t="s">
        <v>34726</v>
      </c>
      <c r="B1008" s="590">
        <v>243</v>
      </c>
      <c r="C1008" t="s">
        <v>34721</v>
      </c>
    </row>
    <row r="1009" spans="1:3">
      <c r="A1009" t="s">
        <v>34725</v>
      </c>
      <c r="B1009" s="590">
        <v>243</v>
      </c>
      <c r="C1009" t="s">
        <v>34719</v>
      </c>
    </row>
    <row r="1010" spans="1:3">
      <c r="A1010" t="s">
        <v>34724</v>
      </c>
      <c r="B1010" s="590">
        <v>243</v>
      </c>
      <c r="C1010" t="s">
        <v>34717</v>
      </c>
    </row>
    <row r="1011" spans="1:3">
      <c r="A1011" t="s">
        <v>34723</v>
      </c>
      <c r="B1011" s="590">
        <v>243</v>
      </c>
      <c r="C1011" t="s">
        <v>34715</v>
      </c>
    </row>
    <row r="1012" spans="1:3">
      <c r="A1012" t="s">
        <v>34722</v>
      </c>
      <c r="B1012" s="590">
        <v>257</v>
      </c>
      <c r="C1012" t="s">
        <v>34721</v>
      </c>
    </row>
    <row r="1013" spans="1:3">
      <c r="A1013" t="s">
        <v>34720</v>
      </c>
      <c r="B1013" s="590">
        <v>257</v>
      </c>
      <c r="C1013" t="s">
        <v>34719</v>
      </c>
    </row>
    <row r="1014" spans="1:3">
      <c r="A1014" t="s">
        <v>34718</v>
      </c>
      <c r="B1014" s="590">
        <v>257</v>
      </c>
      <c r="C1014" t="s">
        <v>34717</v>
      </c>
    </row>
    <row r="1015" spans="1:3">
      <c r="A1015" t="s">
        <v>34716</v>
      </c>
      <c r="B1015" s="590">
        <v>257</v>
      </c>
      <c r="C1015" t="s">
        <v>34715</v>
      </c>
    </row>
    <row r="1016" spans="1:3">
      <c r="A1016" t="s">
        <v>34714</v>
      </c>
      <c r="B1016" s="590">
        <v>178</v>
      </c>
      <c r="C1016" t="s">
        <v>34713</v>
      </c>
    </row>
    <row r="1017" spans="1:3">
      <c r="A1017" t="s">
        <v>34712</v>
      </c>
      <c r="B1017" s="590">
        <v>178</v>
      </c>
      <c r="C1017" t="s">
        <v>34711</v>
      </c>
    </row>
    <row r="1018" spans="1:3">
      <c r="A1018" t="s">
        <v>34710</v>
      </c>
      <c r="B1018" s="590">
        <v>178</v>
      </c>
      <c r="C1018" t="s">
        <v>34709</v>
      </c>
    </row>
    <row r="1019" spans="1:3">
      <c r="A1019" t="s">
        <v>34708</v>
      </c>
      <c r="B1019" s="590">
        <v>238</v>
      </c>
      <c r="C1019" t="s">
        <v>34707</v>
      </c>
    </row>
    <row r="1020" spans="1:3">
      <c r="A1020" t="s">
        <v>34706</v>
      </c>
      <c r="B1020" s="590">
        <v>178</v>
      </c>
      <c r="C1020" t="s">
        <v>34705</v>
      </c>
    </row>
    <row r="1021" spans="1:3">
      <c r="A1021" t="s">
        <v>34704</v>
      </c>
      <c r="B1021" s="590">
        <v>178</v>
      </c>
      <c r="C1021" t="s">
        <v>34703</v>
      </c>
    </row>
    <row r="1022" spans="1:3">
      <c r="A1022" t="s">
        <v>34702</v>
      </c>
      <c r="B1022" s="590">
        <v>178</v>
      </c>
      <c r="C1022" t="s">
        <v>34701</v>
      </c>
    </row>
    <row r="1023" spans="1:3">
      <c r="A1023" t="s">
        <v>34700</v>
      </c>
      <c r="B1023" s="590">
        <v>178</v>
      </c>
      <c r="C1023" t="s">
        <v>34699</v>
      </c>
    </row>
    <row r="1024" spans="1:3">
      <c r="A1024" t="s">
        <v>34698</v>
      </c>
      <c r="B1024" s="590">
        <v>178</v>
      </c>
      <c r="C1024" t="s">
        <v>34697</v>
      </c>
    </row>
    <row r="1025" spans="1:3">
      <c r="A1025" t="s">
        <v>34696</v>
      </c>
      <c r="B1025" s="590">
        <v>178</v>
      </c>
      <c r="C1025" t="s">
        <v>34695</v>
      </c>
    </row>
    <row r="1026" spans="1:3">
      <c r="A1026" t="s">
        <v>34694</v>
      </c>
      <c r="B1026" s="590">
        <v>251</v>
      </c>
      <c r="C1026" t="s">
        <v>34693</v>
      </c>
    </row>
    <row r="1027" spans="1:3">
      <c r="A1027" t="s">
        <v>34692</v>
      </c>
      <c r="B1027" s="590">
        <v>178</v>
      </c>
      <c r="C1027" t="s">
        <v>34691</v>
      </c>
    </row>
    <row r="1028" spans="1:3">
      <c r="A1028" t="s">
        <v>34690</v>
      </c>
      <c r="B1028" s="590">
        <v>190</v>
      </c>
      <c r="C1028" t="s">
        <v>34689</v>
      </c>
    </row>
    <row r="1029" spans="1:3">
      <c r="A1029" t="s">
        <v>34688</v>
      </c>
      <c r="B1029" s="590">
        <v>190</v>
      </c>
      <c r="C1029" t="s">
        <v>34687</v>
      </c>
    </row>
    <row r="1030" spans="1:3">
      <c r="A1030" t="s">
        <v>34686</v>
      </c>
      <c r="B1030" s="590">
        <v>190</v>
      </c>
      <c r="C1030" t="s">
        <v>34685</v>
      </c>
    </row>
    <row r="1031" spans="1:3">
      <c r="A1031" t="s">
        <v>34684</v>
      </c>
      <c r="B1031" s="590">
        <v>190</v>
      </c>
      <c r="C1031" t="s">
        <v>34683</v>
      </c>
    </row>
    <row r="1032" spans="1:3">
      <c r="A1032" t="s">
        <v>34682</v>
      </c>
      <c r="B1032" s="590">
        <v>190</v>
      </c>
      <c r="C1032" t="s">
        <v>34681</v>
      </c>
    </row>
    <row r="1033" spans="1:3">
      <c r="A1033" t="s">
        <v>34680</v>
      </c>
      <c r="B1033" s="590">
        <v>190</v>
      </c>
      <c r="C1033" t="s">
        <v>34679</v>
      </c>
    </row>
    <row r="1034" spans="1:3">
      <c r="A1034" t="s">
        <v>34678</v>
      </c>
      <c r="B1034" s="590">
        <v>190</v>
      </c>
      <c r="C1034" t="s">
        <v>34677</v>
      </c>
    </row>
    <row r="1035" spans="1:3">
      <c r="A1035" t="s">
        <v>34676</v>
      </c>
      <c r="B1035" s="590">
        <v>190</v>
      </c>
      <c r="C1035" t="s">
        <v>34675</v>
      </c>
    </row>
    <row r="1036" spans="1:3">
      <c r="A1036" t="s">
        <v>34674</v>
      </c>
      <c r="B1036" s="590">
        <v>190</v>
      </c>
      <c r="C1036" t="s">
        <v>34673</v>
      </c>
    </row>
    <row r="1037" spans="1:3">
      <c r="A1037" t="s">
        <v>34672</v>
      </c>
      <c r="B1037" s="590">
        <v>178</v>
      </c>
      <c r="C1037" t="s">
        <v>34671</v>
      </c>
    </row>
    <row r="1038" spans="1:3">
      <c r="A1038" t="s">
        <v>34670</v>
      </c>
      <c r="B1038" s="590">
        <v>178</v>
      </c>
      <c r="C1038" t="s">
        <v>34669</v>
      </c>
    </row>
    <row r="1039" spans="1:3">
      <c r="A1039" t="s">
        <v>34668</v>
      </c>
      <c r="B1039" s="590">
        <v>178</v>
      </c>
      <c r="C1039" t="s">
        <v>34667</v>
      </c>
    </row>
    <row r="1040" spans="1:3">
      <c r="A1040" t="s">
        <v>34666</v>
      </c>
      <c r="B1040" s="590">
        <v>238</v>
      </c>
      <c r="C1040" t="s">
        <v>34665</v>
      </c>
    </row>
    <row r="1041" spans="1:3">
      <c r="A1041" t="s">
        <v>34664</v>
      </c>
      <c r="B1041" s="590">
        <v>178</v>
      </c>
      <c r="C1041" t="s">
        <v>34663</v>
      </c>
    </row>
    <row r="1042" spans="1:3">
      <c r="A1042" t="s">
        <v>34662</v>
      </c>
      <c r="B1042" s="590">
        <v>178</v>
      </c>
      <c r="C1042" t="s">
        <v>34661</v>
      </c>
    </row>
    <row r="1043" spans="1:3">
      <c r="A1043" t="s">
        <v>34660</v>
      </c>
      <c r="B1043" s="590">
        <v>178</v>
      </c>
      <c r="C1043" t="s">
        <v>34659</v>
      </c>
    </row>
    <row r="1044" spans="1:3">
      <c r="A1044" t="s">
        <v>34658</v>
      </c>
      <c r="B1044" s="590">
        <v>178</v>
      </c>
      <c r="C1044" t="s">
        <v>34657</v>
      </c>
    </row>
    <row r="1045" spans="1:3">
      <c r="A1045" t="s">
        <v>34656</v>
      </c>
      <c r="B1045" s="590">
        <v>178</v>
      </c>
      <c r="C1045" t="s">
        <v>34655</v>
      </c>
    </row>
    <row r="1046" spans="1:3">
      <c r="A1046" t="s">
        <v>34654</v>
      </c>
      <c r="B1046" s="590">
        <v>178</v>
      </c>
      <c r="C1046" t="s">
        <v>34653</v>
      </c>
    </row>
    <row r="1047" spans="1:3">
      <c r="A1047" t="s">
        <v>34652</v>
      </c>
      <c r="B1047" s="590">
        <v>311</v>
      </c>
      <c r="C1047" t="s">
        <v>34651</v>
      </c>
    </row>
    <row r="1048" spans="1:3">
      <c r="A1048" t="s">
        <v>34650</v>
      </c>
      <c r="B1048" s="590">
        <v>178</v>
      </c>
      <c r="C1048" t="s">
        <v>34649</v>
      </c>
    </row>
    <row r="1049" spans="1:3">
      <c r="A1049" t="s">
        <v>34648</v>
      </c>
      <c r="B1049" s="590">
        <v>190</v>
      </c>
      <c r="C1049" t="s">
        <v>34647</v>
      </c>
    </row>
    <row r="1050" spans="1:3">
      <c r="A1050" t="s">
        <v>34646</v>
      </c>
      <c r="B1050" s="590">
        <v>190</v>
      </c>
      <c r="C1050" t="s">
        <v>34645</v>
      </c>
    </row>
    <row r="1051" spans="1:3">
      <c r="A1051" t="s">
        <v>34644</v>
      </c>
      <c r="B1051" s="590">
        <v>190</v>
      </c>
      <c r="C1051" t="s">
        <v>34643</v>
      </c>
    </row>
    <row r="1052" spans="1:3">
      <c r="A1052" t="s">
        <v>34642</v>
      </c>
      <c r="B1052" s="590">
        <v>190</v>
      </c>
      <c r="C1052" t="s">
        <v>34641</v>
      </c>
    </row>
    <row r="1053" spans="1:3">
      <c r="A1053" t="s">
        <v>34640</v>
      </c>
      <c r="B1053" s="590">
        <v>190</v>
      </c>
      <c r="C1053" t="s">
        <v>34639</v>
      </c>
    </row>
    <row r="1054" spans="1:3">
      <c r="A1054" t="s">
        <v>34638</v>
      </c>
      <c r="B1054" s="590">
        <v>190</v>
      </c>
      <c r="C1054" t="s">
        <v>34637</v>
      </c>
    </row>
    <row r="1055" spans="1:3">
      <c r="A1055" t="s">
        <v>34636</v>
      </c>
      <c r="B1055" s="590">
        <v>190</v>
      </c>
      <c r="C1055" t="s">
        <v>34635</v>
      </c>
    </row>
    <row r="1056" spans="1:3">
      <c r="A1056" t="s">
        <v>34634</v>
      </c>
      <c r="B1056" s="590">
        <v>340</v>
      </c>
      <c r="C1056" t="s">
        <v>34633</v>
      </c>
    </row>
    <row r="1057" spans="1:3">
      <c r="A1057" t="s">
        <v>34632</v>
      </c>
      <c r="B1057" s="590">
        <v>340</v>
      </c>
      <c r="C1057" t="s">
        <v>34631</v>
      </c>
    </row>
    <row r="1058" spans="1:3">
      <c r="A1058" t="s">
        <v>34630</v>
      </c>
      <c r="B1058" s="590">
        <v>340</v>
      </c>
      <c r="C1058" t="s">
        <v>34629</v>
      </c>
    </row>
    <row r="1059" spans="1:3">
      <c r="A1059" t="s">
        <v>34628</v>
      </c>
      <c r="B1059" s="590">
        <v>366</v>
      </c>
      <c r="C1059" t="s">
        <v>34627</v>
      </c>
    </row>
    <row r="1060" spans="1:3">
      <c r="A1060" t="s">
        <v>34626</v>
      </c>
      <c r="B1060" s="590">
        <v>340</v>
      </c>
      <c r="C1060" t="s">
        <v>34625</v>
      </c>
    </row>
    <row r="1061" spans="1:3">
      <c r="A1061" t="s">
        <v>34624</v>
      </c>
      <c r="B1061" s="590">
        <v>340</v>
      </c>
      <c r="C1061" t="s">
        <v>34623</v>
      </c>
    </row>
    <row r="1062" spans="1:3">
      <c r="A1062" t="s">
        <v>34622</v>
      </c>
      <c r="B1062" s="590">
        <v>340</v>
      </c>
      <c r="C1062" t="s">
        <v>34621</v>
      </c>
    </row>
    <row r="1063" spans="1:3">
      <c r="A1063" t="s">
        <v>34620</v>
      </c>
      <c r="B1063" s="590">
        <v>340</v>
      </c>
      <c r="C1063" t="s">
        <v>34619</v>
      </c>
    </row>
    <row r="1064" spans="1:3">
      <c r="A1064" t="s">
        <v>34618</v>
      </c>
      <c r="B1064" s="590">
        <v>340</v>
      </c>
      <c r="C1064" t="s">
        <v>34617</v>
      </c>
    </row>
    <row r="1065" spans="1:3">
      <c r="A1065" t="s">
        <v>34616</v>
      </c>
      <c r="B1065" s="590">
        <v>334</v>
      </c>
      <c r="C1065" t="s">
        <v>34615</v>
      </c>
    </row>
    <row r="1066" spans="1:3">
      <c r="A1066" t="s">
        <v>34614</v>
      </c>
      <c r="B1066" s="590">
        <v>334</v>
      </c>
      <c r="C1066" t="s">
        <v>34613</v>
      </c>
    </row>
    <row r="1067" spans="1:3">
      <c r="A1067" t="s">
        <v>34612</v>
      </c>
      <c r="B1067" s="590">
        <v>334</v>
      </c>
      <c r="C1067" t="s">
        <v>34611</v>
      </c>
    </row>
    <row r="1068" spans="1:3">
      <c r="A1068" t="s">
        <v>34610</v>
      </c>
      <c r="B1068" s="590">
        <v>334</v>
      </c>
      <c r="C1068" t="s">
        <v>34609</v>
      </c>
    </row>
    <row r="1069" spans="1:3">
      <c r="A1069" t="s">
        <v>34608</v>
      </c>
      <c r="B1069" s="590">
        <v>334</v>
      </c>
      <c r="C1069" t="s">
        <v>34607</v>
      </c>
    </row>
    <row r="1070" spans="1:3">
      <c r="A1070" t="s">
        <v>34606</v>
      </c>
      <c r="B1070" s="590">
        <v>334</v>
      </c>
      <c r="C1070" t="s">
        <v>34605</v>
      </c>
    </row>
    <row r="1071" spans="1:3">
      <c r="A1071" t="s">
        <v>34604</v>
      </c>
      <c r="B1071" s="590">
        <v>334</v>
      </c>
      <c r="C1071" t="s">
        <v>34603</v>
      </c>
    </row>
    <row r="1072" spans="1:3">
      <c r="A1072" t="s">
        <v>34602</v>
      </c>
      <c r="B1072" s="590">
        <v>334</v>
      </c>
      <c r="C1072" t="s">
        <v>34601</v>
      </c>
    </row>
    <row r="1073" spans="1:3">
      <c r="A1073" t="s">
        <v>34600</v>
      </c>
      <c r="B1073" s="590">
        <v>353</v>
      </c>
      <c r="C1073" t="s">
        <v>34599</v>
      </c>
    </row>
    <row r="1074" spans="1:3">
      <c r="A1074" t="s">
        <v>34598</v>
      </c>
      <c r="B1074" s="590">
        <v>353</v>
      </c>
      <c r="C1074" t="s">
        <v>34597</v>
      </c>
    </row>
    <row r="1075" spans="1:3">
      <c r="A1075" t="s">
        <v>34596</v>
      </c>
      <c r="B1075" s="590">
        <v>353</v>
      </c>
      <c r="C1075" t="s">
        <v>34595</v>
      </c>
    </row>
    <row r="1076" spans="1:3">
      <c r="A1076" t="s">
        <v>34594</v>
      </c>
      <c r="B1076" s="590">
        <v>347</v>
      </c>
      <c r="C1076" t="s">
        <v>34593</v>
      </c>
    </row>
    <row r="1077" spans="1:3">
      <c r="A1077" t="s">
        <v>34592</v>
      </c>
      <c r="B1077" s="590">
        <v>347</v>
      </c>
      <c r="C1077" t="s">
        <v>34591</v>
      </c>
    </row>
    <row r="1078" spans="1:3">
      <c r="A1078" t="s">
        <v>34590</v>
      </c>
      <c r="B1078" s="590">
        <v>347</v>
      </c>
      <c r="C1078" t="s">
        <v>34589</v>
      </c>
    </row>
    <row r="1079" spans="1:3">
      <c r="A1079" t="s">
        <v>34588</v>
      </c>
      <c r="B1079" s="590">
        <v>347</v>
      </c>
      <c r="C1079" t="s">
        <v>34587</v>
      </c>
    </row>
    <row r="1080" spans="1:3">
      <c r="A1080" t="s">
        <v>34586</v>
      </c>
      <c r="B1080" s="590">
        <v>340</v>
      </c>
      <c r="C1080" t="s">
        <v>34575</v>
      </c>
    </row>
    <row r="1081" spans="1:3">
      <c r="A1081" t="s">
        <v>34585</v>
      </c>
      <c r="B1081" s="590">
        <v>340</v>
      </c>
      <c r="C1081" t="s">
        <v>34573</v>
      </c>
    </row>
    <row r="1082" spans="1:3">
      <c r="A1082" t="s">
        <v>34584</v>
      </c>
      <c r="B1082" s="590">
        <v>340</v>
      </c>
      <c r="C1082" t="s">
        <v>34571</v>
      </c>
    </row>
    <row r="1083" spans="1:3">
      <c r="A1083" t="s">
        <v>34583</v>
      </c>
      <c r="B1083" s="590">
        <v>366</v>
      </c>
      <c r="C1083" t="s">
        <v>34582</v>
      </c>
    </row>
    <row r="1084" spans="1:3">
      <c r="A1084" t="s">
        <v>34581</v>
      </c>
      <c r="B1084" s="590">
        <v>340</v>
      </c>
      <c r="C1084" t="s">
        <v>34569</v>
      </c>
    </row>
    <row r="1085" spans="1:3">
      <c r="A1085" t="s">
        <v>34580</v>
      </c>
      <c r="B1085" s="590">
        <v>340</v>
      </c>
      <c r="C1085" t="s">
        <v>34575</v>
      </c>
    </row>
    <row r="1086" spans="1:3">
      <c r="A1086" t="s">
        <v>34579</v>
      </c>
      <c r="B1086" s="590">
        <v>340</v>
      </c>
      <c r="C1086" t="s">
        <v>34573</v>
      </c>
    </row>
    <row r="1087" spans="1:3">
      <c r="A1087" t="s">
        <v>34578</v>
      </c>
      <c r="B1087" s="590">
        <v>340</v>
      </c>
      <c r="C1087" t="s">
        <v>34571</v>
      </c>
    </row>
    <row r="1088" spans="1:3">
      <c r="A1088" t="s">
        <v>34577</v>
      </c>
      <c r="B1088" s="590">
        <v>340</v>
      </c>
      <c r="C1088" t="s">
        <v>34569</v>
      </c>
    </row>
    <row r="1089" spans="1:3">
      <c r="A1089" t="s">
        <v>34576</v>
      </c>
      <c r="B1089" s="590">
        <v>366</v>
      </c>
      <c r="C1089" t="s">
        <v>34575</v>
      </c>
    </row>
    <row r="1090" spans="1:3">
      <c r="A1090" t="s">
        <v>34574</v>
      </c>
      <c r="B1090" s="590">
        <v>366</v>
      </c>
      <c r="C1090" t="s">
        <v>34573</v>
      </c>
    </row>
    <row r="1091" spans="1:3">
      <c r="A1091" t="s">
        <v>34572</v>
      </c>
      <c r="B1091" s="590">
        <v>366</v>
      </c>
      <c r="C1091" t="s">
        <v>34571</v>
      </c>
    </row>
    <row r="1092" spans="1:3">
      <c r="A1092" t="s">
        <v>34570</v>
      </c>
      <c r="B1092" s="590">
        <v>366</v>
      </c>
      <c r="C1092" t="s">
        <v>34569</v>
      </c>
    </row>
    <row r="1093" spans="1:3">
      <c r="A1093" t="s">
        <v>34568</v>
      </c>
      <c r="B1093" s="590">
        <v>334</v>
      </c>
      <c r="C1093" t="s">
        <v>34559</v>
      </c>
    </row>
    <row r="1094" spans="1:3">
      <c r="A1094" t="s">
        <v>34567</v>
      </c>
      <c r="B1094" s="590">
        <v>334</v>
      </c>
      <c r="C1094" t="s">
        <v>34557</v>
      </c>
    </row>
    <row r="1095" spans="1:3">
      <c r="A1095" t="s">
        <v>34566</v>
      </c>
      <c r="B1095" s="590">
        <v>334</v>
      </c>
      <c r="C1095" t="s">
        <v>34555</v>
      </c>
    </row>
    <row r="1096" spans="1:3">
      <c r="A1096" t="s">
        <v>34565</v>
      </c>
      <c r="B1096" s="590">
        <v>334</v>
      </c>
      <c r="C1096" t="s">
        <v>34553</v>
      </c>
    </row>
    <row r="1097" spans="1:3">
      <c r="A1097" t="s">
        <v>34564</v>
      </c>
      <c r="B1097" s="590">
        <v>334</v>
      </c>
      <c r="C1097" t="s">
        <v>34559</v>
      </c>
    </row>
    <row r="1098" spans="1:3">
      <c r="A1098" t="s">
        <v>34563</v>
      </c>
      <c r="B1098" s="590">
        <v>334</v>
      </c>
      <c r="C1098" t="s">
        <v>34557</v>
      </c>
    </row>
    <row r="1099" spans="1:3">
      <c r="A1099" t="s">
        <v>34562</v>
      </c>
      <c r="B1099" s="590">
        <v>334</v>
      </c>
      <c r="C1099" t="s">
        <v>34555</v>
      </c>
    </row>
    <row r="1100" spans="1:3">
      <c r="A1100" t="s">
        <v>34561</v>
      </c>
      <c r="B1100" s="590">
        <v>334</v>
      </c>
      <c r="C1100" t="s">
        <v>34553</v>
      </c>
    </row>
    <row r="1101" spans="1:3">
      <c r="A1101" t="s">
        <v>34560</v>
      </c>
      <c r="B1101" s="590">
        <v>360</v>
      </c>
      <c r="C1101" t="s">
        <v>34559</v>
      </c>
    </row>
    <row r="1102" spans="1:3">
      <c r="A1102" t="s">
        <v>34558</v>
      </c>
      <c r="B1102" s="590">
        <v>360</v>
      </c>
      <c r="C1102" t="s">
        <v>34557</v>
      </c>
    </row>
    <row r="1103" spans="1:3">
      <c r="A1103" t="s">
        <v>34556</v>
      </c>
      <c r="B1103" s="590">
        <v>360</v>
      </c>
      <c r="C1103" t="s">
        <v>34555</v>
      </c>
    </row>
    <row r="1104" spans="1:3">
      <c r="A1104" t="s">
        <v>34554</v>
      </c>
      <c r="B1104" s="590">
        <v>360</v>
      </c>
      <c r="C1104" t="s">
        <v>34553</v>
      </c>
    </row>
    <row r="1105" spans="1:3">
      <c r="A1105" t="s">
        <v>34552</v>
      </c>
      <c r="B1105" s="590">
        <v>353</v>
      </c>
      <c r="C1105" t="s">
        <v>34551</v>
      </c>
    </row>
    <row r="1106" spans="1:3">
      <c r="A1106" t="s">
        <v>34550</v>
      </c>
      <c r="B1106" s="590">
        <v>353</v>
      </c>
      <c r="C1106" t="s">
        <v>34549</v>
      </c>
    </row>
    <row r="1107" spans="1:3">
      <c r="A1107" t="s">
        <v>34548</v>
      </c>
      <c r="B1107" s="590">
        <v>353</v>
      </c>
      <c r="C1107" t="s">
        <v>34547</v>
      </c>
    </row>
    <row r="1108" spans="1:3">
      <c r="A1108" t="s">
        <v>34546</v>
      </c>
      <c r="B1108" s="590">
        <v>353</v>
      </c>
      <c r="C1108" t="s">
        <v>34545</v>
      </c>
    </row>
    <row r="1109" spans="1:3">
      <c r="A1109" t="s">
        <v>34544</v>
      </c>
      <c r="B1109" s="590">
        <v>347</v>
      </c>
      <c r="C1109" t="s">
        <v>34543</v>
      </c>
    </row>
    <row r="1110" spans="1:3">
      <c r="A1110" t="s">
        <v>34542</v>
      </c>
      <c r="B1110" s="590">
        <v>347</v>
      </c>
      <c r="C1110" t="s">
        <v>34541</v>
      </c>
    </row>
    <row r="1111" spans="1:3">
      <c r="A1111" t="s">
        <v>34540</v>
      </c>
      <c r="B1111" s="590">
        <v>347</v>
      </c>
      <c r="C1111" t="s">
        <v>34539</v>
      </c>
    </row>
    <row r="1112" spans="1:3">
      <c r="A1112" t="s">
        <v>34538</v>
      </c>
      <c r="B1112" s="590">
        <v>45</v>
      </c>
      <c r="C1112" t="s">
        <v>34537</v>
      </c>
    </row>
    <row r="1113" spans="1:3">
      <c r="A1113" t="s">
        <v>34536</v>
      </c>
      <c r="B1113" s="590">
        <v>13</v>
      </c>
      <c r="C1113" t="s">
        <v>34535</v>
      </c>
    </row>
    <row r="1114" spans="1:3">
      <c r="A1114" t="s">
        <v>34534</v>
      </c>
      <c r="B1114" s="590">
        <v>90</v>
      </c>
      <c r="C1114" t="s">
        <v>34533</v>
      </c>
    </row>
    <row r="1115" spans="1:3">
      <c r="A1115" t="s">
        <v>34532</v>
      </c>
      <c r="B1115" s="590">
        <v>54</v>
      </c>
      <c r="C1115" t="s">
        <v>34531</v>
      </c>
    </row>
    <row r="1116" spans="1:3">
      <c r="A1116" t="s">
        <v>34530</v>
      </c>
      <c r="B1116" s="590">
        <v>45</v>
      </c>
      <c r="C1116" t="s">
        <v>34529</v>
      </c>
    </row>
    <row r="1117" spans="1:3">
      <c r="A1117" t="s">
        <v>34528</v>
      </c>
      <c r="B1117" s="590">
        <v>20</v>
      </c>
      <c r="C1117" t="s">
        <v>34527</v>
      </c>
    </row>
    <row r="1118" spans="1:3">
      <c r="A1118" t="s">
        <v>34526</v>
      </c>
      <c r="B1118" s="590">
        <v>40</v>
      </c>
      <c r="C1118" t="s">
        <v>34525</v>
      </c>
    </row>
    <row r="1119" spans="1:3">
      <c r="A1119" t="s">
        <v>34524</v>
      </c>
      <c r="B1119" s="590">
        <v>40</v>
      </c>
      <c r="C1119" t="s">
        <v>34523</v>
      </c>
    </row>
    <row r="1120" spans="1:3">
      <c r="A1120" t="s">
        <v>34522</v>
      </c>
      <c r="B1120" s="590">
        <v>172</v>
      </c>
      <c r="C1120" t="s">
        <v>34521</v>
      </c>
    </row>
    <row r="1121" spans="1:3">
      <c r="A1121" t="s">
        <v>22027</v>
      </c>
      <c r="B1121" s="590">
        <v>172</v>
      </c>
      <c r="C1121" t="s">
        <v>34520</v>
      </c>
    </row>
    <row r="1122" spans="1:3">
      <c r="A1122" t="s">
        <v>34519</v>
      </c>
      <c r="B1122" s="590">
        <v>172</v>
      </c>
      <c r="C1122" t="s">
        <v>34518</v>
      </c>
    </row>
    <row r="1123" spans="1:3">
      <c r="A1123" t="s">
        <v>34517</v>
      </c>
      <c r="B1123" s="590">
        <v>199</v>
      </c>
      <c r="C1123" t="s">
        <v>34516</v>
      </c>
    </row>
    <row r="1124" spans="1:3">
      <c r="A1124" t="s">
        <v>34515</v>
      </c>
      <c r="B1124" s="590">
        <v>172</v>
      </c>
      <c r="C1124" t="s">
        <v>34514</v>
      </c>
    </row>
    <row r="1125" spans="1:3">
      <c r="A1125" t="s">
        <v>34513</v>
      </c>
      <c r="B1125" s="590">
        <v>183</v>
      </c>
      <c r="C1125" t="s">
        <v>34512</v>
      </c>
    </row>
    <row r="1126" spans="1:3">
      <c r="A1126" t="s">
        <v>34511</v>
      </c>
      <c r="B1126" s="590">
        <v>183</v>
      </c>
      <c r="C1126" t="s">
        <v>34510</v>
      </c>
    </row>
    <row r="1127" spans="1:3">
      <c r="A1127" t="s">
        <v>34509</v>
      </c>
      <c r="B1127" s="590">
        <v>183</v>
      </c>
      <c r="C1127" t="s">
        <v>34508</v>
      </c>
    </row>
    <row r="1128" spans="1:3">
      <c r="A1128" t="s">
        <v>34507</v>
      </c>
      <c r="B1128" s="590">
        <v>183</v>
      </c>
      <c r="C1128" t="s">
        <v>34506</v>
      </c>
    </row>
    <row r="1129" spans="1:3">
      <c r="A1129" t="s">
        <v>34505</v>
      </c>
      <c r="B1129" s="590">
        <v>172</v>
      </c>
      <c r="C1129" t="s">
        <v>34504</v>
      </c>
    </row>
    <row r="1130" spans="1:3">
      <c r="A1130" t="s">
        <v>34503</v>
      </c>
      <c r="B1130" s="590">
        <v>172</v>
      </c>
      <c r="C1130" t="s">
        <v>34502</v>
      </c>
    </row>
    <row r="1131" spans="1:3">
      <c r="A1131" t="s">
        <v>34501</v>
      </c>
      <c r="B1131" s="590">
        <v>172</v>
      </c>
      <c r="C1131" t="s">
        <v>34500</v>
      </c>
    </row>
    <row r="1132" spans="1:3">
      <c r="A1132" t="s">
        <v>34499</v>
      </c>
      <c r="B1132" s="590">
        <v>172</v>
      </c>
      <c r="C1132" t="s">
        <v>34498</v>
      </c>
    </row>
    <row r="1133" spans="1:3">
      <c r="A1133" t="s">
        <v>34497</v>
      </c>
      <c r="B1133" s="590">
        <v>172</v>
      </c>
      <c r="C1133" t="s">
        <v>34496</v>
      </c>
    </row>
    <row r="1134" spans="1:3">
      <c r="A1134" t="s">
        <v>34495</v>
      </c>
      <c r="B1134" s="590">
        <v>172</v>
      </c>
      <c r="C1134" t="s">
        <v>34494</v>
      </c>
    </row>
    <row r="1135" spans="1:3">
      <c r="A1135" t="s">
        <v>34493</v>
      </c>
      <c r="B1135" s="590">
        <v>199</v>
      </c>
      <c r="C1135" t="s">
        <v>34492</v>
      </c>
    </row>
    <row r="1136" spans="1:3">
      <c r="A1136" t="s">
        <v>34491</v>
      </c>
      <c r="B1136" s="590">
        <v>199</v>
      </c>
      <c r="C1136" t="s">
        <v>34490</v>
      </c>
    </row>
    <row r="1137" spans="1:3">
      <c r="A1137" t="s">
        <v>34489</v>
      </c>
      <c r="B1137" s="590">
        <v>199</v>
      </c>
      <c r="C1137" t="s">
        <v>34488</v>
      </c>
    </row>
    <row r="1138" spans="1:3">
      <c r="A1138" t="s">
        <v>34487</v>
      </c>
      <c r="B1138" s="590">
        <v>251</v>
      </c>
      <c r="C1138" t="s">
        <v>34486</v>
      </c>
    </row>
    <row r="1139" spans="1:3">
      <c r="A1139" t="s">
        <v>34485</v>
      </c>
      <c r="B1139" s="590">
        <v>199</v>
      </c>
      <c r="C1139" t="s">
        <v>34484</v>
      </c>
    </row>
    <row r="1140" spans="1:3">
      <c r="A1140" t="s">
        <v>34483</v>
      </c>
      <c r="B1140" s="590">
        <v>199</v>
      </c>
      <c r="C1140" t="s">
        <v>34482</v>
      </c>
    </row>
    <row r="1141" spans="1:3">
      <c r="A1141" t="s">
        <v>34481</v>
      </c>
      <c r="B1141" s="590">
        <v>251</v>
      </c>
      <c r="C1141" t="s">
        <v>34480</v>
      </c>
    </row>
    <row r="1142" spans="1:3">
      <c r="A1142" t="s">
        <v>34479</v>
      </c>
      <c r="B1142" s="590">
        <v>199</v>
      </c>
      <c r="C1142" t="s">
        <v>34478</v>
      </c>
    </row>
    <row r="1143" spans="1:3">
      <c r="A1143" t="s">
        <v>34477</v>
      </c>
      <c r="B1143" s="590">
        <v>221</v>
      </c>
      <c r="C1143" t="s">
        <v>34476</v>
      </c>
    </row>
    <row r="1144" spans="1:3">
      <c r="A1144" t="s">
        <v>34475</v>
      </c>
      <c r="B1144" s="590">
        <v>221</v>
      </c>
      <c r="C1144" t="s">
        <v>34474</v>
      </c>
    </row>
    <row r="1145" spans="1:3">
      <c r="A1145" t="s">
        <v>34473</v>
      </c>
      <c r="B1145" s="590">
        <v>221</v>
      </c>
      <c r="C1145" t="s">
        <v>34472</v>
      </c>
    </row>
    <row r="1146" spans="1:3">
      <c r="A1146" t="s">
        <v>34471</v>
      </c>
      <c r="B1146" s="590">
        <v>221</v>
      </c>
      <c r="C1146" t="s">
        <v>34470</v>
      </c>
    </row>
    <row r="1147" spans="1:3">
      <c r="A1147" t="s">
        <v>34469</v>
      </c>
      <c r="B1147" s="590">
        <v>183</v>
      </c>
      <c r="C1147" t="s">
        <v>34468</v>
      </c>
    </row>
    <row r="1148" spans="1:3">
      <c r="A1148" t="s">
        <v>34467</v>
      </c>
      <c r="B1148" s="590">
        <v>183</v>
      </c>
      <c r="C1148" t="s">
        <v>34466</v>
      </c>
    </row>
    <row r="1149" spans="1:3">
      <c r="A1149" t="s">
        <v>34465</v>
      </c>
      <c r="B1149" s="590">
        <v>183</v>
      </c>
      <c r="C1149" t="s">
        <v>34464</v>
      </c>
    </row>
    <row r="1150" spans="1:3">
      <c r="A1150" t="s">
        <v>34463</v>
      </c>
      <c r="B1150" s="590">
        <v>210</v>
      </c>
      <c r="C1150" t="s">
        <v>34462</v>
      </c>
    </row>
    <row r="1151" spans="1:3">
      <c r="A1151" t="s">
        <v>34461</v>
      </c>
      <c r="B1151" s="590">
        <v>183</v>
      </c>
      <c r="C1151" t="s">
        <v>34460</v>
      </c>
    </row>
    <row r="1152" spans="1:3">
      <c r="A1152" t="s">
        <v>34459</v>
      </c>
      <c r="B1152" s="590">
        <v>193</v>
      </c>
      <c r="C1152" t="s">
        <v>34458</v>
      </c>
    </row>
    <row r="1153" spans="1:3">
      <c r="A1153" t="s">
        <v>34457</v>
      </c>
      <c r="B1153" s="590">
        <v>193</v>
      </c>
      <c r="C1153" t="s">
        <v>34456</v>
      </c>
    </row>
    <row r="1154" spans="1:3">
      <c r="A1154" t="s">
        <v>34455</v>
      </c>
      <c r="B1154" s="590">
        <v>193</v>
      </c>
      <c r="C1154" t="s">
        <v>34454</v>
      </c>
    </row>
    <row r="1155" spans="1:3">
      <c r="A1155" t="s">
        <v>34453</v>
      </c>
      <c r="B1155" s="590">
        <v>193</v>
      </c>
      <c r="C1155" t="s">
        <v>34452</v>
      </c>
    </row>
    <row r="1156" spans="1:3">
      <c r="A1156" t="s">
        <v>34451</v>
      </c>
      <c r="B1156" s="590">
        <v>183</v>
      </c>
      <c r="C1156" t="s">
        <v>34450</v>
      </c>
    </row>
    <row r="1157" spans="1:3">
      <c r="A1157" t="s">
        <v>34449</v>
      </c>
      <c r="B1157" s="590">
        <v>183</v>
      </c>
      <c r="C1157" t="s">
        <v>34448</v>
      </c>
    </row>
    <row r="1158" spans="1:3">
      <c r="A1158" t="s">
        <v>34447</v>
      </c>
      <c r="B1158" s="590">
        <v>183</v>
      </c>
      <c r="C1158" t="s">
        <v>34446</v>
      </c>
    </row>
    <row r="1159" spans="1:3">
      <c r="A1159" t="s">
        <v>34445</v>
      </c>
      <c r="B1159" s="590">
        <v>183</v>
      </c>
      <c r="C1159" t="s">
        <v>34444</v>
      </c>
    </row>
    <row r="1160" spans="1:3">
      <c r="A1160" t="s">
        <v>34443</v>
      </c>
      <c r="B1160" s="590">
        <v>183</v>
      </c>
      <c r="C1160" t="s">
        <v>34442</v>
      </c>
    </row>
    <row r="1161" spans="1:3">
      <c r="A1161" t="s">
        <v>34441</v>
      </c>
      <c r="B1161" s="590">
        <v>183</v>
      </c>
      <c r="C1161" t="s">
        <v>34440</v>
      </c>
    </row>
    <row r="1162" spans="1:3">
      <c r="A1162" t="s">
        <v>34439</v>
      </c>
      <c r="B1162" s="590">
        <v>211</v>
      </c>
      <c r="C1162" t="s">
        <v>34438</v>
      </c>
    </row>
    <row r="1163" spans="1:3">
      <c r="A1163" t="s">
        <v>34437</v>
      </c>
      <c r="B1163" s="590">
        <v>211</v>
      </c>
      <c r="C1163" t="s">
        <v>34436</v>
      </c>
    </row>
    <row r="1164" spans="1:3">
      <c r="A1164" t="s">
        <v>34435</v>
      </c>
      <c r="B1164" s="590">
        <v>211</v>
      </c>
      <c r="C1164" t="s">
        <v>34434</v>
      </c>
    </row>
    <row r="1165" spans="1:3">
      <c r="A1165" t="s">
        <v>34433</v>
      </c>
      <c r="B1165" s="590">
        <v>211</v>
      </c>
      <c r="C1165" t="s">
        <v>34432</v>
      </c>
    </row>
    <row r="1166" spans="1:3">
      <c r="A1166" t="s">
        <v>34431</v>
      </c>
      <c r="B1166" s="590">
        <v>211</v>
      </c>
      <c r="C1166" t="s">
        <v>34430</v>
      </c>
    </row>
    <row r="1167" spans="1:3">
      <c r="A1167" t="s">
        <v>34429</v>
      </c>
      <c r="B1167" s="590">
        <v>211</v>
      </c>
      <c r="C1167" t="s">
        <v>34428</v>
      </c>
    </row>
    <row r="1168" spans="1:3">
      <c r="A1168" t="s">
        <v>34427</v>
      </c>
      <c r="B1168" s="590">
        <v>232</v>
      </c>
      <c r="C1168" t="s">
        <v>34426</v>
      </c>
    </row>
    <row r="1169" spans="1:3">
      <c r="A1169" t="s">
        <v>34425</v>
      </c>
      <c r="B1169" s="590">
        <v>232</v>
      </c>
      <c r="C1169" t="s">
        <v>34424</v>
      </c>
    </row>
    <row r="1170" spans="1:3">
      <c r="A1170" t="s">
        <v>34423</v>
      </c>
      <c r="B1170" s="590">
        <v>232</v>
      </c>
      <c r="C1170" t="s">
        <v>34422</v>
      </c>
    </row>
    <row r="1171" spans="1:3">
      <c r="A1171" t="s">
        <v>34421</v>
      </c>
      <c r="B1171" s="590">
        <v>232</v>
      </c>
      <c r="C1171" t="s">
        <v>34420</v>
      </c>
    </row>
    <row r="1172" spans="1:3">
      <c r="A1172" t="s">
        <v>34419</v>
      </c>
      <c r="B1172" s="590">
        <v>24</v>
      </c>
      <c r="C1172" t="s">
        <v>34418</v>
      </c>
    </row>
    <row r="1173" spans="1:3">
      <c r="A1173" t="s">
        <v>34417</v>
      </c>
      <c r="B1173" s="590">
        <v>22</v>
      </c>
      <c r="C1173" t="s">
        <v>34416</v>
      </c>
    </row>
    <row r="1174" spans="1:3">
      <c r="A1174" t="s">
        <v>34415</v>
      </c>
      <c r="B1174" s="590">
        <v>28</v>
      </c>
      <c r="C1174" t="s">
        <v>34414</v>
      </c>
    </row>
    <row r="1175" spans="1:3">
      <c r="A1175" t="s">
        <v>33134</v>
      </c>
      <c r="B1175" s="590">
        <v>20</v>
      </c>
      <c r="C1175" t="s">
        <v>33133</v>
      </c>
    </row>
    <row r="1176" spans="1:3">
      <c r="A1176" t="s">
        <v>33132</v>
      </c>
      <c r="B1176" s="590">
        <v>50</v>
      </c>
      <c r="C1176" t="s">
        <v>33131</v>
      </c>
    </row>
    <row r="1177" spans="1:3">
      <c r="A1177" t="s">
        <v>33130</v>
      </c>
      <c r="B1177" s="590">
        <v>28</v>
      </c>
      <c r="C1177" t="s">
        <v>33129</v>
      </c>
    </row>
    <row r="1178" spans="1:3">
      <c r="A1178" t="s">
        <v>33128</v>
      </c>
      <c r="B1178" s="590">
        <v>28</v>
      </c>
      <c r="C1178" t="s">
        <v>33127</v>
      </c>
    </row>
    <row r="1179" spans="1:3">
      <c r="A1179" t="s">
        <v>33126</v>
      </c>
      <c r="B1179" s="590">
        <v>201</v>
      </c>
      <c r="C1179" t="s">
        <v>33125</v>
      </c>
    </row>
    <row r="1180" spans="1:3">
      <c r="A1180" t="s">
        <v>33124</v>
      </c>
      <c r="B1180" s="590">
        <v>20</v>
      </c>
      <c r="C1180" t="s">
        <v>33123</v>
      </c>
    </row>
    <row r="1181" spans="1:3">
      <c r="A1181" t="s">
        <v>33122</v>
      </c>
      <c r="B1181" s="590">
        <v>41</v>
      </c>
      <c r="C1181" t="s">
        <v>33121</v>
      </c>
    </row>
    <row r="1182" spans="1:3">
      <c r="A1182" t="s">
        <v>33120</v>
      </c>
      <c r="B1182" s="590">
        <v>24</v>
      </c>
      <c r="C1182" t="s">
        <v>33119</v>
      </c>
    </row>
    <row r="1183" spans="1:3">
      <c r="A1183" t="s">
        <v>34413</v>
      </c>
      <c r="B1183" s="590">
        <v>158</v>
      </c>
      <c r="C1183" t="s">
        <v>34412</v>
      </c>
    </row>
    <row r="1184" spans="1:3">
      <c r="A1184" t="s">
        <v>34411</v>
      </c>
      <c r="B1184" s="590">
        <v>158</v>
      </c>
      <c r="C1184" t="s">
        <v>34410</v>
      </c>
    </row>
    <row r="1185" spans="1:3">
      <c r="A1185" t="s">
        <v>34409</v>
      </c>
      <c r="B1185" s="590">
        <v>158</v>
      </c>
      <c r="C1185" t="s">
        <v>34408</v>
      </c>
    </row>
    <row r="1186" spans="1:3">
      <c r="A1186" t="s">
        <v>34407</v>
      </c>
      <c r="B1186" s="590">
        <v>175</v>
      </c>
      <c r="C1186" t="s">
        <v>34406</v>
      </c>
    </row>
    <row r="1187" spans="1:3">
      <c r="A1187" t="s">
        <v>34405</v>
      </c>
      <c r="B1187" s="590">
        <v>158</v>
      </c>
      <c r="C1187" t="s">
        <v>34404</v>
      </c>
    </row>
    <row r="1188" spans="1:3">
      <c r="A1188" t="s">
        <v>34403</v>
      </c>
      <c r="B1188" s="590">
        <v>158</v>
      </c>
      <c r="C1188" t="s">
        <v>34402</v>
      </c>
    </row>
    <row r="1189" spans="1:3">
      <c r="A1189" t="s">
        <v>34401</v>
      </c>
      <c r="B1189" s="590">
        <v>158</v>
      </c>
      <c r="C1189" t="s">
        <v>34400</v>
      </c>
    </row>
    <row r="1190" spans="1:3">
      <c r="A1190" t="s">
        <v>34399</v>
      </c>
      <c r="B1190" s="590">
        <v>158</v>
      </c>
      <c r="C1190" t="s">
        <v>34398</v>
      </c>
    </row>
    <row r="1191" spans="1:3">
      <c r="A1191" t="s">
        <v>34397</v>
      </c>
      <c r="B1191" s="590">
        <v>158</v>
      </c>
      <c r="C1191" t="s">
        <v>34396</v>
      </c>
    </row>
    <row r="1192" spans="1:3">
      <c r="A1192" t="s">
        <v>34395</v>
      </c>
      <c r="B1192" s="590">
        <v>158</v>
      </c>
      <c r="C1192" t="s">
        <v>34394</v>
      </c>
    </row>
    <row r="1193" spans="1:3">
      <c r="A1193" t="s">
        <v>34393</v>
      </c>
      <c r="B1193" s="590">
        <v>158</v>
      </c>
      <c r="C1193" t="s">
        <v>34392</v>
      </c>
    </row>
    <row r="1194" spans="1:3">
      <c r="A1194" t="s">
        <v>34391</v>
      </c>
      <c r="B1194" s="590">
        <v>178</v>
      </c>
      <c r="C1194" t="s">
        <v>34390</v>
      </c>
    </row>
    <row r="1195" spans="1:3">
      <c r="A1195" t="s">
        <v>34389</v>
      </c>
      <c r="B1195" s="590">
        <v>178</v>
      </c>
      <c r="C1195" t="s">
        <v>34388</v>
      </c>
    </row>
    <row r="1196" spans="1:3">
      <c r="A1196" t="s">
        <v>34387</v>
      </c>
      <c r="B1196" s="590">
        <v>178</v>
      </c>
      <c r="C1196" t="s">
        <v>34386</v>
      </c>
    </row>
    <row r="1197" spans="1:3">
      <c r="A1197" t="s">
        <v>34385</v>
      </c>
      <c r="B1197" s="590">
        <v>178</v>
      </c>
      <c r="C1197" t="s">
        <v>34384</v>
      </c>
    </row>
    <row r="1198" spans="1:3">
      <c r="A1198" t="s">
        <v>34383</v>
      </c>
      <c r="B1198" s="590">
        <v>24</v>
      </c>
      <c r="C1198" t="s">
        <v>34382</v>
      </c>
    </row>
    <row r="1199" spans="1:3">
      <c r="A1199" t="s">
        <v>34381</v>
      </c>
      <c r="B1199" s="590">
        <v>16</v>
      </c>
      <c r="C1199" t="s">
        <v>34380</v>
      </c>
    </row>
    <row r="1200" spans="1:3">
      <c r="A1200" t="s">
        <v>34379</v>
      </c>
      <c r="B1200" s="590">
        <v>24</v>
      </c>
      <c r="C1200" t="s">
        <v>34378</v>
      </c>
    </row>
    <row r="1201" spans="1:3">
      <c r="A1201" t="s">
        <v>33142</v>
      </c>
      <c r="B1201" s="590">
        <v>21</v>
      </c>
      <c r="C1201" t="s">
        <v>33141</v>
      </c>
    </row>
    <row r="1202" spans="1:3">
      <c r="A1202" t="s">
        <v>33140</v>
      </c>
      <c r="B1202" s="590">
        <v>45</v>
      </c>
      <c r="C1202" t="s">
        <v>33139</v>
      </c>
    </row>
    <row r="1203" spans="1:3">
      <c r="A1203" t="s">
        <v>33138</v>
      </c>
      <c r="B1203" s="590">
        <v>45</v>
      </c>
      <c r="C1203" t="s">
        <v>33137</v>
      </c>
    </row>
    <row r="1204" spans="1:3">
      <c r="A1204" t="s">
        <v>33136</v>
      </c>
      <c r="B1204" s="590">
        <v>28</v>
      </c>
      <c r="C1204" t="s">
        <v>33135</v>
      </c>
    </row>
    <row r="1205" spans="1:3">
      <c r="A1205" t="s">
        <v>34377</v>
      </c>
      <c r="B1205" s="590">
        <v>220</v>
      </c>
      <c r="C1205" t="s">
        <v>34337</v>
      </c>
    </row>
    <row r="1206" spans="1:3">
      <c r="A1206" t="s">
        <v>34376</v>
      </c>
      <c r="B1206" s="590">
        <v>220</v>
      </c>
      <c r="C1206" t="s">
        <v>34335</v>
      </c>
    </row>
    <row r="1207" spans="1:3">
      <c r="A1207" t="s">
        <v>34375</v>
      </c>
      <c r="B1207" s="590">
        <v>220</v>
      </c>
      <c r="C1207" t="s">
        <v>34333</v>
      </c>
    </row>
    <row r="1208" spans="1:3">
      <c r="A1208" t="s">
        <v>34374</v>
      </c>
      <c r="B1208" s="590">
        <v>261</v>
      </c>
      <c r="C1208" t="s">
        <v>34331</v>
      </c>
    </row>
    <row r="1209" spans="1:3">
      <c r="A1209" t="s">
        <v>34373</v>
      </c>
      <c r="B1209" s="590">
        <v>220</v>
      </c>
      <c r="C1209" t="s">
        <v>34329</v>
      </c>
    </row>
    <row r="1210" spans="1:3">
      <c r="A1210" t="s">
        <v>34372</v>
      </c>
      <c r="B1210" s="590">
        <v>232</v>
      </c>
      <c r="C1210" t="s">
        <v>34371</v>
      </c>
    </row>
    <row r="1211" spans="1:3">
      <c r="A1211" t="s">
        <v>34370</v>
      </c>
      <c r="B1211" s="590">
        <v>232</v>
      </c>
      <c r="C1211" t="s">
        <v>34369</v>
      </c>
    </row>
    <row r="1212" spans="1:3">
      <c r="A1212" t="s">
        <v>34368</v>
      </c>
      <c r="B1212" s="590">
        <v>232</v>
      </c>
      <c r="C1212" t="s">
        <v>34367</v>
      </c>
    </row>
    <row r="1213" spans="1:3">
      <c r="A1213" t="s">
        <v>34366</v>
      </c>
      <c r="B1213" s="590">
        <v>232</v>
      </c>
      <c r="C1213" t="s">
        <v>34365</v>
      </c>
    </row>
    <row r="1214" spans="1:3">
      <c r="A1214" t="s">
        <v>34364</v>
      </c>
      <c r="B1214" s="590">
        <v>240</v>
      </c>
      <c r="C1214" t="s">
        <v>34363</v>
      </c>
    </row>
    <row r="1215" spans="1:3">
      <c r="A1215" t="s">
        <v>34362</v>
      </c>
      <c r="B1215" s="590">
        <v>240</v>
      </c>
      <c r="C1215" t="s">
        <v>34361</v>
      </c>
    </row>
    <row r="1216" spans="1:3">
      <c r="A1216" t="s">
        <v>34360</v>
      </c>
      <c r="B1216" s="590">
        <v>240</v>
      </c>
      <c r="C1216" t="s">
        <v>34359</v>
      </c>
    </row>
    <row r="1217" spans="1:3">
      <c r="A1217" t="s">
        <v>34358</v>
      </c>
      <c r="B1217" s="590">
        <v>240</v>
      </c>
      <c r="C1217" t="s">
        <v>34357</v>
      </c>
    </row>
    <row r="1218" spans="1:3">
      <c r="A1218" t="s">
        <v>34356</v>
      </c>
      <c r="B1218" s="590">
        <v>240</v>
      </c>
      <c r="C1218" t="s">
        <v>34355</v>
      </c>
    </row>
    <row r="1219" spans="1:3">
      <c r="A1219" t="s">
        <v>34354</v>
      </c>
      <c r="B1219" s="590">
        <v>281</v>
      </c>
      <c r="C1219" t="s">
        <v>34353</v>
      </c>
    </row>
    <row r="1220" spans="1:3">
      <c r="A1220" t="s">
        <v>34352</v>
      </c>
      <c r="B1220" s="590">
        <v>240</v>
      </c>
      <c r="C1220" t="s">
        <v>34351</v>
      </c>
    </row>
    <row r="1221" spans="1:3">
      <c r="A1221" t="s">
        <v>34350</v>
      </c>
      <c r="B1221" s="590">
        <v>253</v>
      </c>
      <c r="C1221" t="s">
        <v>34349</v>
      </c>
    </row>
    <row r="1222" spans="1:3">
      <c r="A1222" t="s">
        <v>34348</v>
      </c>
      <c r="B1222" s="590">
        <v>253</v>
      </c>
      <c r="C1222" t="s">
        <v>34347</v>
      </c>
    </row>
    <row r="1223" spans="1:3">
      <c r="A1223" t="s">
        <v>34346</v>
      </c>
      <c r="B1223" s="590">
        <v>253</v>
      </c>
      <c r="C1223" t="s">
        <v>34345</v>
      </c>
    </row>
    <row r="1224" spans="1:3">
      <c r="A1224" t="s">
        <v>34344</v>
      </c>
      <c r="B1224" s="590">
        <v>253</v>
      </c>
      <c r="C1224" t="s">
        <v>34343</v>
      </c>
    </row>
    <row r="1225" spans="1:3">
      <c r="A1225" t="s">
        <v>34342</v>
      </c>
      <c r="B1225" s="590">
        <v>253</v>
      </c>
      <c r="C1225" t="s">
        <v>34341</v>
      </c>
    </row>
    <row r="1226" spans="1:3">
      <c r="A1226" t="s">
        <v>34340</v>
      </c>
      <c r="B1226" s="590">
        <v>253</v>
      </c>
      <c r="C1226" t="s">
        <v>34339</v>
      </c>
    </row>
    <row r="1227" spans="1:3">
      <c r="A1227" t="s">
        <v>34338</v>
      </c>
      <c r="B1227" s="590">
        <v>220</v>
      </c>
      <c r="C1227" t="s">
        <v>34337</v>
      </c>
    </row>
    <row r="1228" spans="1:3">
      <c r="A1228" t="s">
        <v>34336</v>
      </c>
      <c r="B1228" s="590">
        <v>220</v>
      </c>
      <c r="C1228" t="s">
        <v>34335</v>
      </c>
    </row>
    <row r="1229" spans="1:3">
      <c r="A1229" t="s">
        <v>34334</v>
      </c>
      <c r="B1229" s="590">
        <v>220</v>
      </c>
      <c r="C1229" t="s">
        <v>34333</v>
      </c>
    </row>
    <row r="1230" spans="1:3">
      <c r="A1230" t="s">
        <v>34332</v>
      </c>
      <c r="B1230" s="590">
        <v>261</v>
      </c>
      <c r="C1230" t="s">
        <v>34331</v>
      </c>
    </row>
    <row r="1231" spans="1:3">
      <c r="A1231" t="s">
        <v>34330</v>
      </c>
      <c r="B1231" s="590">
        <v>220</v>
      </c>
      <c r="C1231" t="s">
        <v>34329</v>
      </c>
    </row>
    <row r="1232" spans="1:3">
      <c r="A1232" t="s">
        <v>34328</v>
      </c>
      <c r="B1232" s="590">
        <v>220</v>
      </c>
      <c r="C1232" t="s">
        <v>34327</v>
      </c>
    </row>
    <row r="1233" spans="1:3">
      <c r="A1233" t="s">
        <v>34326</v>
      </c>
      <c r="B1233" s="590">
        <v>220</v>
      </c>
      <c r="C1233" t="s">
        <v>34325</v>
      </c>
    </row>
    <row r="1234" spans="1:3">
      <c r="A1234" t="s">
        <v>34324</v>
      </c>
      <c r="B1234" s="590">
        <v>261</v>
      </c>
      <c r="C1234" t="s">
        <v>34323</v>
      </c>
    </row>
    <row r="1235" spans="1:3">
      <c r="A1235" t="s">
        <v>34322</v>
      </c>
      <c r="B1235" s="590">
        <v>220</v>
      </c>
      <c r="C1235" t="s">
        <v>34321</v>
      </c>
    </row>
    <row r="1236" spans="1:3">
      <c r="A1236" t="s">
        <v>34320</v>
      </c>
      <c r="B1236" s="590">
        <v>227</v>
      </c>
      <c r="C1236" t="s">
        <v>34319</v>
      </c>
    </row>
    <row r="1237" spans="1:3">
      <c r="A1237" t="s">
        <v>34318</v>
      </c>
      <c r="B1237" s="590">
        <v>227</v>
      </c>
      <c r="C1237" t="s">
        <v>34317</v>
      </c>
    </row>
    <row r="1238" spans="1:3">
      <c r="A1238" t="s">
        <v>34316</v>
      </c>
      <c r="B1238" s="590">
        <v>227</v>
      </c>
      <c r="C1238" t="s">
        <v>34315</v>
      </c>
    </row>
    <row r="1239" spans="1:3">
      <c r="A1239" t="s">
        <v>34314</v>
      </c>
      <c r="B1239" s="590">
        <v>243</v>
      </c>
      <c r="C1239" t="s">
        <v>34313</v>
      </c>
    </row>
    <row r="1240" spans="1:3">
      <c r="A1240" t="s">
        <v>34312</v>
      </c>
      <c r="B1240" s="590">
        <v>227</v>
      </c>
      <c r="C1240" t="s">
        <v>34311</v>
      </c>
    </row>
    <row r="1241" spans="1:3">
      <c r="A1241" t="s">
        <v>34310</v>
      </c>
      <c r="B1241" s="590">
        <v>227</v>
      </c>
      <c r="C1241" t="s">
        <v>34309</v>
      </c>
    </row>
    <row r="1242" spans="1:3">
      <c r="A1242" t="s">
        <v>34308</v>
      </c>
      <c r="B1242" s="590">
        <v>227</v>
      </c>
      <c r="C1242" t="s">
        <v>34307</v>
      </c>
    </row>
    <row r="1243" spans="1:3">
      <c r="A1243" t="s">
        <v>34276</v>
      </c>
      <c r="B1243" s="590">
        <v>24</v>
      </c>
      <c r="C1243" t="s">
        <v>34275</v>
      </c>
    </row>
    <row r="1244" spans="1:3">
      <c r="A1244" t="s">
        <v>34274</v>
      </c>
      <c r="B1244" s="590">
        <v>16</v>
      </c>
      <c r="C1244" t="s">
        <v>34273</v>
      </c>
    </row>
    <row r="1245" spans="1:3">
      <c r="A1245" t="s">
        <v>34272</v>
      </c>
      <c r="B1245" s="590">
        <v>14</v>
      </c>
      <c r="C1245" t="s">
        <v>34271</v>
      </c>
    </row>
    <row r="1246" spans="1:3">
      <c r="A1246" t="s">
        <v>34270</v>
      </c>
      <c r="B1246" s="590">
        <v>90</v>
      </c>
      <c r="C1246" t="s">
        <v>34269</v>
      </c>
    </row>
    <row r="1247" spans="1:3">
      <c r="A1247" t="s">
        <v>34268</v>
      </c>
      <c r="B1247" s="590">
        <v>97</v>
      </c>
      <c r="C1247" t="s">
        <v>34267</v>
      </c>
    </row>
    <row r="1248" spans="1:3">
      <c r="A1248" t="s">
        <v>34306</v>
      </c>
      <c r="B1248" s="590">
        <v>220</v>
      </c>
      <c r="C1248" t="s">
        <v>34305</v>
      </c>
    </row>
    <row r="1249" spans="1:3">
      <c r="A1249" t="s">
        <v>34304</v>
      </c>
      <c r="B1249" s="590">
        <v>220</v>
      </c>
      <c r="C1249" t="s">
        <v>34303</v>
      </c>
    </row>
    <row r="1250" spans="1:3">
      <c r="A1250" t="s">
        <v>34302</v>
      </c>
      <c r="B1250" s="590">
        <v>220</v>
      </c>
      <c r="C1250" t="s">
        <v>34301</v>
      </c>
    </row>
    <row r="1251" spans="1:3">
      <c r="A1251" t="s">
        <v>34300</v>
      </c>
      <c r="B1251" s="590">
        <v>251</v>
      </c>
      <c r="C1251" t="s">
        <v>34299</v>
      </c>
    </row>
    <row r="1252" spans="1:3">
      <c r="A1252" t="s">
        <v>34298</v>
      </c>
      <c r="B1252" s="590">
        <v>220</v>
      </c>
      <c r="C1252" t="s">
        <v>34297</v>
      </c>
    </row>
    <row r="1253" spans="1:3">
      <c r="A1253" t="s">
        <v>34296</v>
      </c>
      <c r="B1253" s="590">
        <v>220</v>
      </c>
      <c r="C1253" t="s">
        <v>34295</v>
      </c>
    </row>
    <row r="1254" spans="1:3">
      <c r="A1254" t="s">
        <v>34294</v>
      </c>
      <c r="B1254" s="590">
        <v>220</v>
      </c>
      <c r="C1254" t="s">
        <v>34293</v>
      </c>
    </row>
    <row r="1255" spans="1:3">
      <c r="A1255" t="s">
        <v>34292</v>
      </c>
      <c r="B1255" s="590">
        <v>251</v>
      </c>
      <c r="C1255" t="s">
        <v>34291</v>
      </c>
    </row>
    <row r="1256" spans="1:3">
      <c r="A1256" t="s">
        <v>34290</v>
      </c>
      <c r="B1256" s="590">
        <v>220</v>
      </c>
      <c r="C1256" t="s">
        <v>34289</v>
      </c>
    </row>
    <row r="1257" spans="1:3">
      <c r="A1257" t="s">
        <v>34288</v>
      </c>
      <c r="B1257" s="590">
        <v>227</v>
      </c>
      <c r="C1257" t="s">
        <v>34287</v>
      </c>
    </row>
    <row r="1258" spans="1:3">
      <c r="A1258" t="s">
        <v>34286</v>
      </c>
      <c r="B1258" s="590">
        <v>227</v>
      </c>
      <c r="C1258" t="s">
        <v>34285</v>
      </c>
    </row>
    <row r="1259" spans="1:3">
      <c r="A1259" t="s">
        <v>34284</v>
      </c>
      <c r="B1259" s="590">
        <v>227</v>
      </c>
      <c r="C1259" t="s">
        <v>34283</v>
      </c>
    </row>
    <row r="1260" spans="1:3">
      <c r="A1260" t="s">
        <v>34282</v>
      </c>
      <c r="B1260" s="590">
        <v>227</v>
      </c>
      <c r="C1260" t="s">
        <v>34281</v>
      </c>
    </row>
    <row r="1261" spans="1:3">
      <c r="A1261" t="s">
        <v>34280</v>
      </c>
      <c r="B1261" s="590">
        <v>227</v>
      </c>
      <c r="C1261" t="s">
        <v>34279</v>
      </c>
    </row>
    <row r="1262" spans="1:3">
      <c r="A1262" t="s">
        <v>34278</v>
      </c>
      <c r="B1262" s="590">
        <v>227</v>
      </c>
      <c r="C1262" t="s">
        <v>34277</v>
      </c>
    </row>
    <row r="1263" spans="1:3">
      <c r="A1263" t="s">
        <v>34276</v>
      </c>
      <c r="B1263" s="590">
        <v>24</v>
      </c>
      <c r="C1263" t="s">
        <v>34275</v>
      </c>
    </row>
    <row r="1264" spans="1:3">
      <c r="A1264" t="s">
        <v>34274</v>
      </c>
      <c r="B1264" s="590">
        <v>16</v>
      </c>
      <c r="C1264" t="s">
        <v>34273</v>
      </c>
    </row>
    <row r="1265" spans="1:3">
      <c r="A1265" t="s">
        <v>34272</v>
      </c>
      <c r="B1265" s="590">
        <v>14</v>
      </c>
      <c r="C1265" t="s">
        <v>34271</v>
      </c>
    </row>
    <row r="1266" spans="1:3">
      <c r="A1266" t="s">
        <v>34270</v>
      </c>
      <c r="B1266" s="590">
        <v>90</v>
      </c>
      <c r="C1266" t="s">
        <v>34269</v>
      </c>
    </row>
    <row r="1267" spans="1:3">
      <c r="A1267" t="s">
        <v>34268</v>
      </c>
      <c r="B1267" s="590">
        <v>97</v>
      </c>
      <c r="C1267" t="s">
        <v>34267</v>
      </c>
    </row>
    <row r="1268" spans="1:3">
      <c r="A1268" t="s">
        <v>32698</v>
      </c>
      <c r="B1268" s="590">
        <v>237</v>
      </c>
      <c r="C1268" t="s">
        <v>32697</v>
      </c>
    </row>
    <row r="1269" spans="1:3">
      <c r="A1269" t="s">
        <v>32696</v>
      </c>
      <c r="B1269" s="590">
        <v>237</v>
      </c>
      <c r="C1269" t="s">
        <v>32695</v>
      </c>
    </row>
    <row r="1270" spans="1:3">
      <c r="A1270" t="s">
        <v>32694</v>
      </c>
      <c r="B1270" s="590">
        <v>237</v>
      </c>
      <c r="C1270" t="s">
        <v>32693</v>
      </c>
    </row>
    <row r="1271" spans="1:3">
      <c r="A1271" t="s">
        <v>27229</v>
      </c>
      <c r="B1271" s="590">
        <v>275</v>
      </c>
      <c r="C1271" t="s">
        <v>27228</v>
      </c>
    </row>
    <row r="1272" spans="1:3">
      <c r="A1272" t="s">
        <v>32692</v>
      </c>
      <c r="B1272" s="590">
        <v>237</v>
      </c>
      <c r="C1272" t="s">
        <v>32691</v>
      </c>
    </row>
    <row r="1273" spans="1:3">
      <c r="A1273" t="s">
        <v>34266</v>
      </c>
      <c r="B1273" s="590">
        <v>237</v>
      </c>
      <c r="C1273" t="s">
        <v>34265</v>
      </c>
    </row>
    <row r="1274" spans="1:3">
      <c r="A1274" t="s">
        <v>34264</v>
      </c>
      <c r="B1274" s="590">
        <v>237</v>
      </c>
      <c r="C1274" t="s">
        <v>34263</v>
      </c>
    </row>
    <row r="1275" spans="1:3">
      <c r="A1275" t="s">
        <v>34262</v>
      </c>
      <c r="B1275" s="590">
        <v>275</v>
      </c>
      <c r="C1275" t="s">
        <v>34261</v>
      </c>
    </row>
    <row r="1276" spans="1:3">
      <c r="A1276" t="s">
        <v>34260</v>
      </c>
      <c r="B1276" s="590">
        <v>237</v>
      </c>
      <c r="C1276" t="s">
        <v>34259</v>
      </c>
    </row>
    <row r="1277" spans="1:3">
      <c r="A1277" t="s">
        <v>32690</v>
      </c>
      <c r="B1277" s="590">
        <v>295</v>
      </c>
      <c r="C1277" t="s">
        <v>32689</v>
      </c>
    </row>
    <row r="1278" spans="1:3">
      <c r="A1278" t="s">
        <v>32688</v>
      </c>
      <c r="B1278" s="590">
        <v>295</v>
      </c>
      <c r="C1278" t="s">
        <v>32687</v>
      </c>
    </row>
    <row r="1279" spans="1:3">
      <c r="A1279" t="s">
        <v>32686</v>
      </c>
      <c r="B1279" s="590">
        <v>295</v>
      </c>
      <c r="C1279" t="s">
        <v>32685</v>
      </c>
    </row>
    <row r="1280" spans="1:3">
      <c r="A1280" t="s">
        <v>32684</v>
      </c>
      <c r="B1280" s="590">
        <v>295</v>
      </c>
      <c r="C1280" t="s">
        <v>32683</v>
      </c>
    </row>
    <row r="1281" spans="1:3">
      <c r="A1281" t="s">
        <v>32682</v>
      </c>
      <c r="B1281" s="590">
        <v>295</v>
      </c>
      <c r="C1281" t="s">
        <v>32681</v>
      </c>
    </row>
    <row r="1282" spans="1:3">
      <c r="A1282" t="s">
        <v>32680</v>
      </c>
      <c r="B1282" s="590">
        <v>295</v>
      </c>
      <c r="C1282" t="s">
        <v>32679</v>
      </c>
    </row>
    <row r="1283" spans="1:3">
      <c r="A1283" t="s">
        <v>32678</v>
      </c>
      <c r="B1283" s="590">
        <v>295</v>
      </c>
      <c r="C1283" t="s">
        <v>32677</v>
      </c>
    </row>
    <row r="1284" spans="1:3">
      <c r="A1284" t="s">
        <v>32676</v>
      </c>
      <c r="B1284" s="590">
        <v>295</v>
      </c>
      <c r="C1284" t="s">
        <v>32675</v>
      </c>
    </row>
    <row r="1285" spans="1:3">
      <c r="A1285" t="s">
        <v>34258</v>
      </c>
      <c r="B1285" s="590">
        <v>295</v>
      </c>
      <c r="C1285" t="s">
        <v>34257</v>
      </c>
    </row>
    <row r="1286" spans="1:3">
      <c r="A1286" t="s">
        <v>34256</v>
      </c>
      <c r="B1286" s="590">
        <v>295</v>
      </c>
      <c r="C1286" t="s">
        <v>34255</v>
      </c>
    </row>
    <row r="1287" spans="1:3">
      <c r="A1287" t="s">
        <v>34254</v>
      </c>
      <c r="B1287" s="590">
        <v>295</v>
      </c>
      <c r="C1287" t="s">
        <v>34253</v>
      </c>
    </row>
    <row r="1288" spans="1:3">
      <c r="A1288" t="s">
        <v>34252</v>
      </c>
      <c r="B1288" s="590">
        <v>295</v>
      </c>
      <c r="C1288" t="s">
        <v>34251</v>
      </c>
    </row>
    <row r="1289" spans="1:3">
      <c r="A1289" t="s">
        <v>34250</v>
      </c>
      <c r="B1289" s="590">
        <v>295</v>
      </c>
      <c r="C1289" t="s">
        <v>34249</v>
      </c>
    </row>
    <row r="1290" spans="1:3">
      <c r="A1290" t="s">
        <v>27227</v>
      </c>
      <c r="B1290" s="590">
        <v>314</v>
      </c>
      <c r="C1290" t="s">
        <v>27226</v>
      </c>
    </row>
    <row r="1291" spans="1:3">
      <c r="A1291" t="s">
        <v>34248</v>
      </c>
      <c r="B1291" s="590">
        <v>295</v>
      </c>
      <c r="C1291" t="s">
        <v>34247</v>
      </c>
    </row>
    <row r="1292" spans="1:3">
      <c r="A1292" t="s">
        <v>34246</v>
      </c>
      <c r="B1292" s="590">
        <v>237</v>
      </c>
      <c r="C1292" t="s">
        <v>34245</v>
      </c>
    </row>
    <row r="1293" spans="1:3">
      <c r="A1293" t="s">
        <v>34244</v>
      </c>
      <c r="B1293" s="590">
        <v>237</v>
      </c>
      <c r="C1293" t="s">
        <v>34243</v>
      </c>
    </row>
    <row r="1294" spans="1:3">
      <c r="A1294" t="s">
        <v>34242</v>
      </c>
      <c r="B1294" s="590">
        <v>237</v>
      </c>
      <c r="C1294" t="s">
        <v>34241</v>
      </c>
    </row>
    <row r="1295" spans="1:3">
      <c r="A1295" t="s">
        <v>34240</v>
      </c>
      <c r="B1295" s="590">
        <v>237</v>
      </c>
      <c r="C1295" t="s">
        <v>34239</v>
      </c>
    </row>
    <row r="1296" spans="1:3">
      <c r="A1296" t="s">
        <v>34238</v>
      </c>
      <c r="B1296" s="590">
        <v>237</v>
      </c>
      <c r="C1296" t="s">
        <v>34237</v>
      </c>
    </row>
    <row r="1297" spans="1:3">
      <c r="A1297" t="s">
        <v>34236</v>
      </c>
      <c r="B1297" s="590">
        <v>237</v>
      </c>
      <c r="C1297" t="s">
        <v>34235</v>
      </c>
    </row>
    <row r="1298" spans="1:3">
      <c r="A1298" t="s">
        <v>34234</v>
      </c>
      <c r="B1298" s="590">
        <v>237</v>
      </c>
      <c r="C1298" t="s">
        <v>34233</v>
      </c>
    </row>
    <row r="1299" spans="1:3">
      <c r="A1299" t="s">
        <v>34232</v>
      </c>
      <c r="B1299" s="590">
        <v>512</v>
      </c>
      <c r="C1299" t="s">
        <v>34231</v>
      </c>
    </row>
    <row r="1300" spans="1:3">
      <c r="A1300" t="s">
        <v>34230</v>
      </c>
      <c r="B1300" s="590">
        <v>512</v>
      </c>
      <c r="C1300" t="s">
        <v>34229</v>
      </c>
    </row>
    <row r="1301" spans="1:3">
      <c r="A1301" t="s">
        <v>34228</v>
      </c>
      <c r="B1301" s="590">
        <v>512</v>
      </c>
      <c r="C1301" t="s">
        <v>34227</v>
      </c>
    </row>
    <row r="1302" spans="1:3">
      <c r="A1302" t="s">
        <v>34226</v>
      </c>
      <c r="B1302" s="590">
        <v>512</v>
      </c>
      <c r="C1302" t="s">
        <v>34225</v>
      </c>
    </row>
    <row r="1303" spans="1:3">
      <c r="A1303" t="s">
        <v>34224</v>
      </c>
      <c r="B1303" s="590">
        <v>295</v>
      </c>
      <c r="C1303" t="s">
        <v>34223</v>
      </c>
    </row>
    <row r="1304" spans="1:3">
      <c r="A1304" t="s">
        <v>34222</v>
      </c>
      <c r="B1304" s="590">
        <v>295</v>
      </c>
      <c r="C1304" t="s">
        <v>34221</v>
      </c>
    </row>
    <row r="1305" spans="1:3">
      <c r="A1305" t="s">
        <v>34220</v>
      </c>
      <c r="B1305" s="590">
        <v>295</v>
      </c>
      <c r="C1305" t="s">
        <v>34219</v>
      </c>
    </row>
    <row r="1306" spans="1:3">
      <c r="A1306" t="s">
        <v>34218</v>
      </c>
      <c r="B1306" s="590">
        <v>295</v>
      </c>
      <c r="C1306" t="s">
        <v>34217</v>
      </c>
    </row>
    <row r="1307" spans="1:3">
      <c r="A1307" t="s">
        <v>34216</v>
      </c>
      <c r="B1307" s="590">
        <v>24</v>
      </c>
      <c r="C1307" t="s">
        <v>34215</v>
      </c>
    </row>
    <row r="1308" spans="1:3">
      <c r="A1308" t="s">
        <v>34214</v>
      </c>
      <c r="B1308" s="590">
        <v>16</v>
      </c>
      <c r="C1308" t="s">
        <v>34213</v>
      </c>
    </row>
    <row r="1309" spans="1:3">
      <c r="A1309" t="s">
        <v>34212</v>
      </c>
      <c r="B1309" s="590">
        <v>33</v>
      </c>
      <c r="C1309" t="s">
        <v>34211</v>
      </c>
    </row>
    <row r="1310" spans="1:3">
      <c r="A1310" t="s">
        <v>34210</v>
      </c>
      <c r="B1310" s="590">
        <v>61</v>
      </c>
      <c r="C1310" t="s">
        <v>34209</v>
      </c>
    </row>
    <row r="1311" spans="1:3">
      <c r="A1311" t="s">
        <v>34208</v>
      </c>
      <c r="B1311" s="590">
        <v>35</v>
      </c>
      <c r="C1311" t="s">
        <v>34207</v>
      </c>
    </row>
    <row r="1312" spans="1:3">
      <c r="A1312" t="s">
        <v>34206</v>
      </c>
      <c r="B1312" s="590">
        <v>753</v>
      </c>
      <c r="C1312" t="s">
        <v>34205</v>
      </c>
    </row>
    <row r="1313" spans="1:3">
      <c r="A1313" t="s">
        <v>34204</v>
      </c>
      <c r="B1313" s="590">
        <v>753</v>
      </c>
      <c r="C1313" t="s">
        <v>34203</v>
      </c>
    </row>
    <row r="1314" spans="1:3">
      <c r="A1314" t="s">
        <v>34202</v>
      </c>
      <c r="B1314" s="590">
        <v>753</v>
      </c>
      <c r="C1314" t="s">
        <v>34201</v>
      </c>
    </row>
    <row r="1315" spans="1:3">
      <c r="A1315" t="s">
        <v>34200</v>
      </c>
      <c r="B1315" s="590">
        <v>753</v>
      </c>
      <c r="C1315" t="s">
        <v>34199</v>
      </c>
    </row>
    <row r="1316" spans="1:3">
      <c r="A1316" t="s">
        <v>34198</v>
      </c>
      <c r="B1316" s="590">
        <v>753</v>
      </c>
      <c r="C1316" t="s">
        <v>34197</v>
      </c>
    </row>
    <row r="1317" spans="1:3">
      <c r="A1317" t="s">
        <v>34196</v>
      </c>
      <c r="B1317" s="590">
        <v>753</v>
      </c>
      <c r="C1317" t="s">
        <v>34195</v>
      </c>
    </row>
    <row r="1318" spans="1:3">
      <c r="A1318" t="s">
        <v>34194</v>
      </c>
      <c r="B1318" s="590">
        <v>753</v>
      </c>
      <c r="C1318" t="s">
        <v>34193</v>
      </c>
    </row>
    <row r="1319" spans="1:3">
      <c r="A1319" t="s">
        <v>34192</v>
      </c>
      <c r="B1319" s="590">
        <v>288</v>
      </c>
      <c r="C1319" t="s">
        <v>34191</v>
      </c>
    </row>
    <row r="1320" spans="1:3">
      <c r="A1320" t="s">
        <v>34190</v>
      </c>
      <c r="B1320" s="590">
        <v>288</v>
      </c>
      <c r="C1320" t="s">
        <v>34189</v>
      </c>
    </row>
    <row r="1321" spans="1:3">
      <c r="A1321" t="s">
        <v>34188</v>
      </c>
      <c r="B1321" s="590">
        <v>288</v>
      </c>
      <c r="C1321" t="s">
        <v>34187</v>
      </c>
    </row>
    <row r="1322" spans="1:3">
      <c r="A1322" t="s">
        <v>27225</v>
      </c>
      <c r="B1322" s="590">
        <v>288</v>
      </c>
      <c r="C1322" t="s">
        <v>27224</v>
      </c>
    </row>
    <row r="1323" spans="1:3">
      <c r="A1323" t="s">
        <v>34186</v>
      </c>
      <c r="B1323" s="590">
        <v>288</v>
      </c>
      <c r="C1323" t="s">
        <v>34185</v>
      </c>
    </row>
    <row r="1324" spans="1:3">
      <c r="A1324" t="s">
        <v>34184</v>
      </c>
      <c r="B1324" s="590">
        <v>288</v>
      </c>
      <c r="C1324" t="s">
        <v>34183</v>
      </c>
    </row>
    <row r="1325" spans="1:3">
      <c r="A1325" t="s">
        <v>34182</v>
      </c>
      <c r="B1325" s="590">
        <v>288</v>
      </c>
      <c r="C1325" t="s">
        <v>34181</v>
      </c>
    </row>
    <row r="1326" spans="1:3">
      <c r="A1326" t="s">
        <v>27223</v>
      </c>
      <c r="B1326" s="590">
        <v>288</v>
      </c>
      <c r="C1326" t="s">
        <v>27222</v>
      </c>
    </row>
    <row r="1327" spans="1:3">
      <c r="A1327" t="s">
        <v>34180</v>
      </c>
      <c r="B1327" s="590">
        <v>288</v>
      </c>
      <c r="C1327" t="s">
        <v>34179</v>
      </c>
    </row>
    <row r="1328" spans="1:3">
      <c r="A1328" t="s">
        <v>34178</v>
      </c>
      <c r="B1328" s="590">
        <v>314</v>
      </c>
      <c r="C1328" t="s">
        <v>34177</v>
      </c>
    </row>
    <row r="1329" spans="1:3">
      <c r="A1329" t="s">
        <v>34176</v>
      </c>
      <c r="B1329" s="590">
        <v>314</v>
      </c>
      <c r="C1329" t="s">
        <v>34175</v>
      </c>
    </row>
    <row r="1330" spans="1:3">
      <c r="A1330" t="s">
        <v>34174</v>
      </c>
      <c r="B1330" s="590">
        <v>314</v>
      </c>
      <c r="C1330" t="s">
        <v>34173</v>
      </c>
    </row>
    <row r="1331" spans="1:3">
      <c r="A1331" t="s">
        <v>34172</v>
      </c>
      <c r="B1331" s="590">
        <v>352</v>
      </c>
      <c r="C1331" t="s">
        <v>34171</v>
      </c>
    </row>
    <row r="1332" spans="1:3">
      <c r="A1332" t="s">
        <v>34170</v>
      </c>
      <c r="B1332" s="590">
        <v>314</v>
      </c>
      <c r="C1332" t="s">
        <v>34169</v>
      </c>
    </row>
    <row r="1333" spans="1:3">
      <c r="A1333" t="s">
        <v>34168</v>
      </c>
      <c r="B1333" s="590">
        <v>314</v>
      </c>
      <c r="C1333" t="s">
        <v>34167</v>
      </c>
    </row>
    <row r="1334" spans="1:3">
      <c r="A1334" t="s">
        <v>34166</v>
      </c>
      <c r="B1334" s="590">
        <v>352</v>
      </c>
      <c r="C1334" t="s">
        <v>34165</v>
      </c>
    </row>
    <row r="1335" spans="1:3">
      <c r="A1335" t="s">
        <v>34164</v>
      </c>
      <c r="B1335" s="590">
        <v>314</v>
      </c>
      <c r="C1335" t="s">
        <v>34163</v>
      </c>
    </row>
    <row r="1336" spans="1:3">
      <c r="A1336" t="s">
        <v>34162</v>
      </c>
      <c r="B1336" s="590">
        <v>314</v>
      </c>
      <c r="C1336" t="s">
        <v>34161</v>
      </c>
    </row>
    <row r="1337" spans="1:3">
      <c r="A1337" t="s">
        <v>34160</v>
      </c>
      <c r="B1337" s="590">
        <v>314</v>
      </c>
      <c r="C1337" t="s">
        <v>34159</v>
      </c>
    </row>
    <row r="1338" spans="1:3">
      <c r="A1338" t="s">
        <v>34158</v>
      </c>
      <c r="B1338" s="590">
        <v>314</v>
      </c>
      <c r="C1338" t="s">
        <v>34157</v>
      </c>
    </row>
    <row r="1339" spans="1:3">
      <c r="A1339" t="s">
        <v>34156</v>
      </c>
      <c r="B1339" s="590">
        <v>340</v>
      </c>
      <c r="C1339" t="s">
        <v>34155</v>
      </c>
    </row>
    <row r="1340" spans="1:3">
      <c r="A1340" t="s">
        <v>34154</v>
      </c>
      <c r="B1340" s="590">
        <v>314</v>
      </c>
      <c r="C1340" t="s">
        <v>34153</v>
      </c>
    </row>
    <row r="1341" spans="1:3">
      <c r="A1341" t="s">
        <v>34152</v>
      </c>
      <c r="B1341" s="590">
        <v>314</v>
      </c>
      <c r="C1341" t="s">
        <v>34151</v>
      </c>
    </row>
    <row r="1342" spans="1:3">
      <c r="A1342" t="s">
        <v>27221</v>
      </c>
      <c r="B1342" s="590">
        <v>340</v>
      </c>
      <c r="C1342" t="s">
        <v>27220</v>
      </c>
    </row>
    <row r="1343" spans="1:3">
      <c r="A1343" t="s">
        <v>34150</v>
      </c>
      <c r="B1343" s="590">
        <v>314</v>
      </c>
      <c r="C1343" t="s">
        <v>34149</v>
      </c>
    </row>
    <row r="1344" spans="1:3">
      <c r="A1344" t="s">
        <v>34148</v>
      </c>
      <c r="B1344" s="590">
        <v>288</v>
      </c>
      <c r="C1344" t="s">
        <v>34147</v>
      </c>
    </row>
    <row r="1345" spans="1:3">
      <c r="A1345" t="s">
        <v>34146</v>
      </c>
      <c r="B1345" s="590">
        <v>288</v>
      </c>
      <c r="C1345" t="s">
        <v>34145</v>
      </c>
    </row>
    <row r="1346" spans="1:3">
      <c r="A1346" t="s">
        <v>34144</v>
      </c>
      <c r="B1346" s="590">
        <v>288</v>
      </c>
      <c r="C1346" t="s">
        <v>34143</v>
      </c>
    </row>
    <row r="1347" spans="1:3">
      <c r="A1347" t="s">
        <v>34142</v>
      </c>
      <c r="B1347" s="590">
        <v>288</v>
      </c>
      <c r="C1347" t="s">
        <v>34141</v>
      </c>
    </row>
    <row r="1348" spans="1:3">
      <c r="A1348" t="s">
        <v>34140</v>
      </c>
      <c r="B1348" s="590">
        <v>288</v>
      </c>
      <c r="C1348" t="s">
        <v>34139</v>
      </c>
    </row>
    <row r="1349" spans="1:3">
      <c r="A1349" t="s">
        <v>34138</v>
      </c>
      <c r="B1349" s="590">
        <v>288</v>
      </c>
      <c r="C1349" t="s">
        <v>34137</v>
      </c>
    </row>
    <row r="1350" spans="1:3">
      <c r="A1350" t="s">
        <v>34136</v>
      </c>
      <c r="B1350" s="590">
        <v>340</v>
      </c>
      <c r="C1350" t="s">
        <v>34135</v>
      </c>
    </row>
    <row r="1351" spans="1:3">
      <c r="A1351" t="s">
        <v>34134</v>
      </c>
      <c r="B1351" s="590">
        <v>288</v>
      </c>
      <c r="C1351" t="s">
        <v>34133</v>
      </c>
    </row>
    <row r="1352" spans="1:3">
      <c r="A1352" t="s">
        <v>27431</v>
      </c>
      <c r="B1352" s="590">
        <v>211</v>
      </c>
      <c r="C1352" t="s">
        <v>27430</v>
      </c>
    </row>
    <row r="1353" spans="1:3">
      <c r="A1353" t="s">
        <v>27429</v>
      </c>
      <c r="B1353" s="590">
        <v>183</v>
      </c>
      <c r="C1353" t="s">
        <v>27428</v>
      </c>
    </row>
    <row r="1354" spans="1:3">
      <c r="A1354" t="s">
        <v>27427</v>
      </c>
      <c r="B1354" s="590">
        <v>282</v>
      </c>
      <c r="C1354" t="s">
        <v>27426</v>
      </c>
    </row>
    <row r="1355" spans="1:3">
      <c r="A1355" t="s">
        <v>34132</v>
      </c>
      <c r="B1355" s="590">
        <v>448</v>
      </c>
      <c r="C1355" t="s">
        <v>34131</v>
      </c>
    </row>
    <row r="1356" spans="1:3">
      <c r="A1356" t="s">
        <v>34130</v>
      </c>
      <c r="B1356" s="590">
        <v>448</v>
      </c>
      <c r="C1356" t="s">
        <v>34129</v>
      </c>
    </row>
    <row r="1357" spans="1:3">
      <c r="A1357" t="s">
        <v>34128</v>
      </c>
      <c r="B1357" s="590">
        <v>485</v>
      </c>
      <c r="C1357" t="s">
        <v>34127</v>
      </c>
    </row>
    <row r="1358" spans="1:3">
      <c r="A1358" t="s">
        <v>34126</v>
      </c>
      <c r="B1358" s="590">
        <v>24</v>
      </c>
      <c r="C1358" t="s">
        <v>34125</v>
      </c>
    </row>
    <row r="1359" spans="1:3">
      <c r="A1359" t="s">
        <v>34124</v>
      </c>
      <c r="B1359" s="590">
        <v>16</v>
      </c>
      <c r="C1359" t="s">
        <v>34123</v>
      </c>
    </row>
    <row r="1360" spans="1:3">
      <c r="A1360" t="s">
        <v>34122</v>
      </c>
      <c r="B1360" s="590">
        <v>102</v>
      </c>
      <c r="C1360" t="s">
        <v>34121</v>
      </c>
    </row>
    <row r="1361" spans="1:3">
      <c r="A1361" t="s">
        <v>34120</v>
      </c>
      <c r="B1361" s="590">
        <v>51</v>
      </c>
      <c r="C1361" t="s">
        <v>34119</v>
      </c>
    </row>
    <row r="1362" spans="1:3">
      <c r="A1362" t="s">
        <v>34118</v>
      </c>
      <c r="B1362" s="590">
        <v>42</v>
      </c>
      <c r="C1362" t="s">
        <v>34117</v>
      </c>
    </row>
    <row r="1363" spans="1:3">
      <c r="A1363" t="s">
        <v>34116</v>
      </c>
      <c r="B1363" s="590">
        <v>42</v>
      </c>
      <c r="C1363" t="s">
        <v>34115</v>
      </c>
    </row>
    <row r="1364" spans="1:3">
      <c r="A1364" t="s">
        <v>34114</v>
      </c>
      <c r="B1364" s="590">
        <v>61</v>
      </c>
      <c r="C1364" t="s">
        <v>34113</v>
      </c>
    </row>
    <row r="1365" spans="1:3">
      <c r="A1365" t="s">
        <v>34112</v>
      </c>
      <c r="B1365" s="590">
        <v>32</v>
      </c>
      <c r="C1365" t="s">
        <v>34111</v>
      </c>
    </row>
    <row r="1366" spans="1:3">
      <c r="A1366" t="s">
        <v>34110</v>
      </c>
      <c r="B1366" s="590">
        <v>32</v>
      </c>
      <c r="C1366" t="s">
        <v>34109</v>
      </c>
    </row>
    <row r="1367" spans="1:3">
      <c r="A1367" t="s">
        <v>34108</v>
      </c>
      <c r="B1367" s="590">
        <v>101</v>
      </c>
      <c r="C1367" t="s">
        <v>34107</v>
      </c>
    </row>
    <row r="1368" spans="1:3">
      <c r="A1368" t="s">
        <v>34106</v>
      </c>
      <c r="B1368" s="590">
        <v>101</v>
      </c>
      <c r="C1368" t="s">
        <v>34105</v>
      </c>
    </row>
    <row r="1369" spans="1:3">
      <c r="A1369" t="s">
        <v>34104</v>
      </c>
      <c r="B1369" s="590">
        <v>147</v>
      </c>
      <c r="C1369" t="s">
        <v>34103</v>
      </c>
    </row>
    <row r="1370" spans="1:3">
      <c r="A1370" t="s">
        <v>34102</v>
      </c>
      <c r="B1370" s="590">
        <v>200</v>
      </c>
      <c r="C1370" t="s">
        <v>34101</v>
      </c>
    </row>
    <row r="1371" spans="1:3">
      <c r="A1371" t="s">
        <v>34100</v>
      </c>
      <c r="B1371" s="590">
        <v>285</v>
      </c>
      <c r="C1371" t="s">
        <v>34099</v>
      </c>
    </row>
    <row r="1372" spans="1:3">
      <c r="A1372" t="s">
        <v>34098</v>
      </c>
      <c r="B1372" s="590">
        <v>709</v>
      </c>
      <c r="C1372" t="s">
        <v>34097</v>
      </c>
    </row>
    <row r="1373" spans="1:3">
      <c r="A1373" t="s">
        <v>34096</v>
      </c>
      <c r="B1373" s="590">
        <v>709</v>
      </c>
      <c r="C1373" t="s">
        <v>34095</v>
      </c>
    </row>
    <row r="1374" spans="1:3">
      <c r="A1374" t="s">
        <v>34094</v>
      </c>
      <c r="B1374" s="590">
        <v>16</v>
      </c>
      <c r="C1374" t="s">
        <v>34093</v>
      </c>
    </row>
    <row r="1375" spans="1:3">
      <c r="A1375" t="s">
        <v>34092</v>
      </c>
      <c r="B1375" s="590">
        <v>288</v>
      </c>
      <c r="C1375" t="s">
        <v>34091</v>
      </c>
    </row>
    <row r="1376" spans="1:3">
      <c r="A1376" t="s">
        <v>34090</v>
      </c>
      <c r="B1376" s="590">
        <v>288</v>
      </c>
      <c r="C1376" t="s">
        <v>34089</v>
      </c>
    </row>
    <row r="1377" spans="1:3">
      <c r="A1377" t="s">
        <v>34088</v>
      </c>
      <c r="B1377" s="590">
        <v>288</v>
      </c>
      <c r="C1377" t="s">
        <v>34087</v>
      </c>
    </row>
    <row r="1378" spans="1:3">
      <c r="A1378" t="s">
        <v>27219</v>
      </c>
      <c r="B1378" s="590">
        <v>340</v>
      </c>
      <c r="C1378" t="s">
        <v>27218</v>
      </c>
    </row>
    <row r="1379" spans="1:3">
      <c r="A1379" t="s">
        <v>34086</v>
      </c>
      <c r="B1379" s="590">
        <v>288</v>
      </c>
      <c r="C1379" t="s">
        <v>34085</v>
      </c>
    </row>
    <row r="1380" spans="1:3">
      <c r="A1380" t="s">
        <v>34084</v>
      </c>
      <c r="B1380" s="590">
        <v>288</v>
      </c>
      <c r="C1380" t="s">
        <v>34083</v>
      </c>
    </row>
    <row r="1381" spans="1:3">
      <c r="A1381" t="s">
        <v>34082</v>
      </c>
      <c r="B1381" s="590">
        <v>288</v>
      </c>
      <c r="C1381" t="s">
        <v>34081</v>
      </c>
    </row>
    <row r="1382" spans="1:3">
      <c r="A1382" t="s">
        <v>34080</v>
      </c>
      <c r="B1382" s="590">
        <v>340</v>
      </c>
      <c r="C1382" t="s">
        <v>34079</v>
      </c>
    </row>
    <row r="1383" spans="1:3">
      <c r="A1383" t="s">
        <v>34078</v>
      </c>
      <c r="B1383" s="590">
        <v>288</v>
      </c>
      <c r="C1383" t="s">
        <v>34077</v>
      </c>
    </row>
    <row r="1384" spans="1:3">
      <c r="A1384" t="s">
        <v>34076</v>
      </c>
      <c r="B1384" s="590">
        <v>314</v>
      </c>
      <c r="C1384" t="s">
        <v>34075</v>
      </c>
    </row>
    <row r="1385" spans="1:3">
      <c r="A1385" t="s">
        <v>34074</v>
      </c>
      <c r="B1385" s="590">
        <v>314</v>
      </c>
      <c r="C1385" t="s">
        <v>34073</v>
      </c>
    </row>
    <row r="1386" spans="1:3">
      <c r="A1386" t="s">
        <v>34072</v>
      </c>
      <c r="B1386" s="590">
        <v>314</v>
      </c>
      <c r="C1386" t="s">
        <v>34071</v>
      </c>
    </row>
    <row r="1387" spans="1:3">
      <c r="A1387" t="s">
        <v>34070</v>
      </c>
      <c r="B1387" s="590">
        <v>314</v>
      </c>
      <c r="C1387" t="s">
        <v>34069</v>
      </c>
    </row>
    <row r="1388" spans="1:3">
      <c r="A1388" t="s">
        <v>34068</v>
      </c>
      <c r="B1388" s="590">
        <v>314</v>
      </c>
      <c r="C1388" t="s">
        <v>34067</v>
      </c>
    </row>
    <row r="1389" spans="1:3">
      <c r="A1389" t="s">
        <v>34066</v>
      </c>
      <c r="B1389" s="590">
        <v>352</v>
      </c>
      <c r="C1389" t="s">
        <v>34065</v>
      </c>
    </row>
    <row r="1390" spans="1:3">
      <c r="A1390" t="s">
        <v>34064</v>
      </c>
      <c r="B1390" s="590">
        <v>314</v>
      </c>
      <c r="C1390" t="s">
        <v>34063</v>
      </c>
    </row>
    <row r="1391" spans="1:3">
      <c r="A1391" t="s">
        <v>34062</v>
      </c>
      <c r="B1391" s="590">
        <v>314</v>
      </c>
      <c r="C1391" t="s">
        <v>34061</v>
      </c>
    </row>
    <row r="1392" spans="1:3">
      <c r="A1392" t="s">
        <v>34060</v>
      </c>
      <c r="B1392" s="590">
        <v>314</v>
      </c>
      <c r="C1392" t="s">
        <v>34059</v>
      </c>
    </row>
    <row r="1393" spans="1:3">
      <c r="A1393" t="s">
        <v>34058</v>
      </c>
      <c r="B1393" s="590">
        <v>314</v>
      </c>
      <c r="C1393" t="s">
        <v>34057</v>
      </c>
    </row>
    <row r="1394" spans="1:3">
      <c r="A1394" t="s">
        <v>34056</v>
      </c>
      <c r="B1394" s="590">
        <v>314</v>
      </c>
      <c r="C1394" t="s">
        <v>34055</v>
      </c>
    </row>
    <row r="1395" spans="1:3">
      <c r="A1395" t="s">
        <v>34054</v>
      </c>
      <c r="B1395" s="590">
        <v>314</v>
      </c>
      <c r="C1395" t="s">
        <v>34053</v>
      </c>
    </row>
    <row r="1396" spans="1:3">
      <c r="A1396" t="s">
        <v>34052</v>
      </c>
      <c r="B1396" s="590">
        <v>314</v>
      </c>
      <c r="C1396" t="s">
        <v>34051</v>
      </c>
    </row>
    <row r="1397" spans="1:3">
      <c r="A1397" t="s">
        <v>34050</v>
      </c>
      <c r="B1397" s="590">
        <v>288</v>
      </c>
      <c r="C1397" t="s">
        <v>34049</v>
      </c>
    </row>
    <row r="1398" spans="1:3">
      <c r="A1398" t="s">
        <v>34048</v>
      </c>
      <c r="B1398" s="590">
        <v>288</v>
      </c>
      <c r="C1398" t="s">
        <v>34047</v>
      </c>
    </row>
    <row r="1399" spans="1:3">
      <c r="A1399" t="s">
        <v>34046</v>
      </c>
      <c r="B1399" s="590">
        <v>288</v>
      </c>
      <c r="C1399" t="s">
        <v>34045</v>
      </c>
    </row>
    <row r="1400" spans="1:3">
      <c r="A1400" t="s">
        <v>34044</v>
      </c>
      <c r="B1400" s="590">
        <v>288</v>
      </c>
      <c r="C1400" t="s">
        <v>34043</v>
      </c>
    </row>
    <row r="1401" spans="1:3">
      <c r="A1401" t="s">
        <v>34042</v>
      </c>
      <c r="B1401" s="590">
        <v>288</v>
      </c>
      <c r="C1401" t="s">
        <v>34041</v>
      </c>
    </row>
    <row r="1402" spans="1:3">
      <c r="A1402" t="s">
        <v>34040</v>
      </c>
      <c r="B1402" s="590">
        <v>288</v>
      </c>
      <c r="C1402" t="s">
        <v>34039</v>
      </c>
    </row>
    <row r="1403" spans="1:3">
      <c r="A1403" t="s">
        <v>34038</v>
      </c>
      <c r="B1403" s="590">
        <v>288</v>
      </c>
      <c r="C1403" t="s">
        <v>34037</v>
      </c>
    </row>
    <row r="1404" spans="1:3">
      <c r="A1404" t="s">
        <v>34036</v>
      </c>
      <c r="B1404" s="590">
        <v>288</v>
      </c>
      <c r="C1404" t="s">
        <v>34035</v>
      </c>
    </row>
    <row r="1405" spans="1:3">
      <c r="A1405" t="s">
        <v>34034</v>
      </c>
      <c r="B1405" s="590">
        <v>24</v>
      </c>
      <c r="C1405" t="s">
        <v>34033</v>
      </c>
    </row>
    <row r="1406" spans="1:3">
      <c r="A1406" t="s">
        <v>34032</v>
      </c>
      <c r="B1406" s="590">
        <v>16</v>
      </c>
      <c r="C1406" t="s">
        <v>34031</v>
      </c>
    </row>
    <row r="1407" spans="1:3">
      <c r="A1407" t="s">
        <v>34030</v>
      </c>
      <c r="B1407" s="590">
        <v>40</v>
      </c>
      <c r="C1407" t="s">
        <v>34029</v>
      </c>
    </row>
    <row r="1408" spans="1:3">
      <c r="A1408" t="s">
        <v>34028</v>
      </c>
      <c r="B1408" s="590">
        <v>22</v>
      </c>
      <c r="C1408" t="s">
        <v>34027</v>
      </c>
    </row>
    <row r="1409" spans="1:3">
      <c r="A1409" t="s">
        <v>34026</v>
      </c>
      <c r="B1409" s="590">
        <v>49</v>
      </c>
      <c r="C1409" t="s">
        <v>34025</v>
      </c>
    </row>
    <row r="1410" spans="1:3">
      <c r="A1410" t="s">
        <v>34024</v>
      </c>
      <c r="B1410" s="590">
        <v>49</v>
      </c>
      <c r="C1410" t="s">
        <v>34023</v>
      </c>
    </row>
    <row r="1411" spans="1:3">
      <c r="A1411" t="s">
        <v>34022</v>
      </c>
      <c r="B1411" s="590">
        <v>61</v>
      </c>
      <c r="C1411" t="s">
        <v>34021</v>
      </c>
    </row>
    <row r="1412" spans="1:3">
      <c r="A1412" t="s">
        <v>34020</v>
      </c>
      <c r="B1412" s="590">
        <v>28</v>
      </c>
      <c r="C1412" t="s">
        <v>34019</v>
      </c>
    </row>
    <row r="1413" spans="1:3">
      <c r="A1413" t="s">
        <v>34018</v>
      </c>
      <c r="B1413" s="590">
        <v>16</v>
      </c>
      <c r="C1413" t="s">
        <v>34017</v>
      </c>
    </row>
    <row r="1414" spans="1:3">
      <c r="A1414" t="s">
        <v>34016</v>
      </c>
      <c r="B1414" s="590">
        <v>1130</v>
      </c>
      <c r="C1414" t="s">
        <v>34015</v>
      </c>
    </row>
    <row r="1415" spans="1:3">
      <c r="A1415" t="s">
        <v>34014</v>
      </c>
      <c r="B1415" s="590">
        <v>1130</v>
      </c>
      <c r="C1415" t="s">
        <v>34013</v>
      </c>
    </row>
    <row r="1416" spans="1:3">
      <c r="A1416" t="s">
        <v>34012</v>
      </c>
      <c r="B1416" s="590">
        <v>1130</v>
      </c>
      <c r="C1416" t="s">
        <v>34011</v>
      </c>
    </row>
    <row r="1417" spans="1:3">
      <c r="A1417" t="s">
        <v>34010</v>
      </c>
      <c r="B1417" s="590">
        <v>1130</v>
      </c>
      <c r="C1417" t="s">
        <v>34009</v>
      </c>
    </row>
    <row r="1418" spans="1:3">
      <c r="A1418" t="s">
        <v>34008</v>
      </c>
      <c r="B1418" s="590">
        <v>1130</v>
      </c>
      <c r="C1418" t="s">
        <v>34007</v>
      </c>
    </row>
    <row r="1419" spans="1:3">
      <c r="A1419" t="s">
        <v>34006</v>
      </c>
      <c r="B1419" s="590">
        <v>1130</v>
      </c>
      <c r="C1419" t="s">
        <v>34005</v>
      </c>
    </row>
    <row r="1420" spans="1:3">
      <c r="A1420" t="s">
        <v>34004</v>
      </c>
      <c r="B1420" s="590">
        <v>1130</v>
      </c>
      <c r="C1420" t="s">
        <v>34003</v>
      </c>
    </row>
    <row r="1421" spans="1:3">
      <c r="A1421" t="s">
        <v>34002</v>
      </c>
      <c r="B1421" s="590">
        <v>431</v>
      </c>
      <c r="C1421" t="s">
        <v>34001</v>
      </c>
    </row>
    <row r="1422" spans="1:3">
      <c r="A1422" t="s">
        <v>34000</v>
      </c>
      <c r="B1422" s="590">
        <v>431</v>
      </c>
      <c r="C1422" t="s">
        <v>33999</v>
      </c>
    </row>
    <row r="1423" spans="1:3">
      <c r="A1423" t="s">
        <v>33998</v>
      </c>
      <c r="B1423" s="590">
        <v>431</v>
      </c>
      <c r="C1423" t="s">
        <v>33997</v>
      </c>
    </row>
    <row r="1424" spans="1:3">
      <c r="A1424" t="s">
        <v>27217</v>
      </c>
      <c r="B1424" s="590">
        <v>509</v>
      </c>
      <c r="C1424" t="s">
        <v>27216</v>
      </c>
    </row>
    <row r="1425" spans="1:3">
      <c r="A1425" t="s">
        <v>33996</v>
      </c>
      <c r="B1425" s="590">
        <v>431</v>
      </c>
      <c r="C1425" t="s">
        <v>33995</v>
      </c>
    </row>
    <row r="1426" spans="1:3">
      <c r="A1426" t="s">
        <v>33994</v>
      </c>
      <c r="B1426" s="590">
        <v>431</v>
      </c>
      <c r="C1426" t="s">
        <v>33993</v>
      </c>
    </row>
    <row r="1427" spans="1:3">
      <c r="A1427" t="s">
        <v>33992</v>
      </c>
      <c r="B1427" s="590">
        <v>431</v>
      </c>
      <c r="C1427" t="s">
        <v>33991</v>
      </c>
    </row>
    <row r="1428" spans="1:3">
      <c r="A1428" t="s">
        <v>33990</v>
      </c>
      <c r="B1428" s="590">
        <v>514</v>
      </c>
      <c r="C1428" t="s">
        <v>33989</v>
      </c>
    </row>
    <row r="1429" spans="1:3">
      <c r="A1429" t="s">
        <v>33988</v>
      </c>
      <c r="B1429" s="590">
        <v>431</v>
      </c>
      <c r="C1429" t="s">
        <v>33987</v>
      </c>
    </row>
    <row r="1430" spans="1:3">
      <c r="A1430" t="s">
        <v>33986</v>
      </c>
      <c r="B1430" s="590">
        <v>469</v>
      </c>
      <c r="C1430" t="s">
        <v>33985</v>
      </c>
    </row>
    <row r="1431" spans="1:3">
      <c r="A1431" t="s">
        <v>33984</v>
      </c>
      <c r="B1431" s="590">
        <v>469</v>
      </c>
      <c r="C1431" t="s">
        <v>33983</v>
      </c>
    </row>
    <row r="1432" spans="1:3">
      <c r="A1432" t="s">
        <v>33982</v>
      </c>
      <c r="B1432" s="590">
        <v>469</v>
      </c>
      <c r="C1432" t="s">
        <v>33981</v>
      </c>
    </row>
    <row r="1433" spans="1:3">
      <c r="A1433" t="s">
        <v>33980</v>
      </c>
      <c r="B1433" s="590">
        <v>469</v>
      </c>
      <c r="C1433" t="s">
        <v>33979</v>
      </c>
    </row>
    <row r="1434" spans="1:3">
      <c r="A1434" t="s">
        <v>33978</v>
      </c>
      <c r="B1434" s="590">
        <v>469</v>
      </c>
      <c r="C1434" t="s">
        <v>33977</v>
      </c>
    </row>
    <row r="1435" spans="1:3">
      <c r="A1435" t="s">
        <v>33976</v>
      </c>
      <c r="B1435" s="590">
        <v>469</v>
      </c>
      <c r="C1435" t="s">
        <v>33975</v>
      </c>
    </row>
    <row r="1436" spans="1:3">
      <c r="A1436" t="s">
        <v>33974</v>
      </c>
      <c r="B1436" s="590">
        <v>431</v>
      </c>
      <c r="C1436" t="s">
        <v>33973</v>
      </c>
    </row>
    <row r="1437" spans="1:3">
      <c r="A1437" t="s">
        <v>33972</v>
      </c>
      <c r="B1437" s="590">
        <v>431</v>
      </c>
      <c r="C1437" t="s">
        <v>33971</v>
      </c>
    </row>
    <row r="1438" spans="1:3">
      <c r="A1438" t="s">
        <v>33970</v>
      </c>
      <c r="B1438" s="590">
        <v>431</v>
      </c>
      <c r="C1438" t="s">
        <v>33969</v>
      </c>
    </row>
    <row r="1439" spans="1:3">
      <c r="A1439" t="s">
        <v>33968</v>
      </c>
      <c r="B1439" s="590">
        <v>509</v>
      </c>
      <c r="C1439" t="s">
        <v>33967</v>
      </c>
    </row>
    <row r="1440" spans="1:3">
      <c r="A1440" t="s">
        <v>33966</v>
      </c>
      <c r="B1440" s="590">
        <v>431</v>
      </c>
      <c r="C1440" t="s">
        <v>33965</v>
      </c>
    </row>
    <row r="1441" spans="1:3">
      <c r="A1441" t="s">
        <v>33964</v>
      </c>
      <c r="B1441" s="590">
        <v>431</v>
      </c>
      <c r="C1441" t="s">
        <v>33963</v>
      </c>
    </row>
    <row r="1442" spans="1:3">
      <c r="A1442" t="s">
        <v>33962</v>
      </c>
      <c r="B1442" s="590">
        <v>431</v>
      </c>
      <c r="C1442" t="s">
        <v>33961</v>
      </c>
    </row>
    <row r="1443" spans="1:3">
      <c r="A1443" t="s">
        <v>33960</v>
      </c>
      <c r="B1443" s="590">
        <v>431</v>
      </c>
      <c r="C1443" t="s">
        <v>33959</v>
      </c>
    </row>
    <row r="1444" spans="1:3">
      <c r="A1444" t="s">
        <v>33958</v>
      </c>
      <c r="B1444" s="590">
        <v>431</v>
      </c>
      <c r="C1444" t="s">
        <v>33957</v>
      </c>
    </row>
    <row r="1445" spans="1:3">
      <c r="A1445" t="s">
        <v>33956</v>
      </c>
      <c r="B1445" s="590">
        <v>431</v>
      </c>
      <c r="C1445" t="s">
        <v>33955</v>
      </c>
    </row>
    <row r="1446" spans="1:3">
      <c r="A1446" t="s">
        <v>33954</v>
      </c>
      <c r="B1446" s="590">
        <v>431</v>
      </c>
      <c r="C1446" t="s">
        <v>33953</v>
      </c>
    </row>
    <row r="1447" spans="1:3">
      <c r="A1447" t="s">
        <v>33952</v>
      </c>
      <c r="B1447" s="590">
        <v>431</v>
      </c>
      <c r="C1447" t="s">
        <v>33951</v>
      </c>
    </row>
    <row r="1448" spans="1:3">
      <c r="A1448" t="s">
        <v>33950</v>
      </c>
      <c r="B1448" s="590">
        <v>431</v>
      </c>
      <c r="C1448" t="s">
        <v>33949</v>
      </c>
    </row>
    <row r="1449" spans="1:3">
      <c r="A1449" t="s">
        <v>33948</v>
      </c>
      <c r="B1449" s="590">
        <v>431</v>
      </c>
      <c r="C1449" t="s">
        <v>33947</v>
      </c>
    </row>
    <row r="1450" spans="1:3">
      <c r="A1450" t="s">
        <v>33946</v>
      </c>
      <c r="B1450" s="590">
        <v>431</v>
      </c>
      <c r="C1450" t="s">
        <v>33945</v>
      </c>
    </row>
    <row r="1451" spans="1:3">
      <c r="A1451" t="s">
        <v>33944</v>
      </c>
      <c r="B1451" s="590">
        <v>431</v>
      </c>
      <c r="C1451" t="s">
        <v>33943</v>
      </c>
    </row>
    <row r="1452" spans="1:3">
      <c r="A1452" t="s">
        <v>33942</v>
      </c>
      <c r="B1452" s="590">
        <v>431</v>
      </c>
      <c r="C1452" t="s">
        <v>33941</v>
      </c>
    </row>
    <row r="1453" spans="1:3">
      <c r="A1453" t="s">
        <v>33940</v>
      </c>
      <c r="B1453" s="590">
        <v>431</v>
      </c>
      <c r="C1453" t="s">
        <v>33939</v>
      </c>
    </row>
    <row r="1454" spans="1:3">
      <c r="A1454" t="s">
        <v>33938</v>
      </c>
      <c r="B1454" s="590">
        <v>450</v>
      </c>
      <c r="C1454" t="s">
        <v>33937</v>
      </c>
    </row>
    <row r="1455" spans="1:3">
      <c r="A1455" t="s">
        <v>33936</v>
      </c>
      <c r="B1455" s="590">
        <v>686</v>
      </c>
      <c r="C1455" t="s">
        <v>33935</v>
      </c>
    </row>
    <row r="1456" spans="1:3">
      <c r="A1456" t="s">
        <v>33934</v>
      </c>
      <c r="B1456" s="590">
        <v>686</v>
      </c>
      <c r="C1456" t="s">
        <v>33933</v>
      </c>
    </row>
    <row r="1457" spans="1:3">
      <c r="A1457" t="s">
        <v>33932</v>
      </c>
      <c r="B1457" s="590">
        <v>727</v>
      </c>
      <c r="C1457" t="s">
        <v>33931</v>
      </c>
    </row>
    <row r="1458" spans="1:3">
      <c r="A1458" t="s">
        <v>27399</v>
      </c>
      <c r="B1458" s="590">
        <v>467</v>
      </c>
      <c r="C1458" t="s">
        <v>27398</v>
      </c>
    </row>
    <row r="1459" spans="1:3">
      <c r="A1459" t="s">
        <v>27397</v>
      </c>
      <c r="B1459" s="590">
        <v>519</v>
      </c>
      <c r="C1459" t="s">
        <v>27396</v>
      </c>
    </row>
    <row r="1460" spans="1:3">
      <c r="A1460" t="s">
        <v>27395</v>
      </c>
      <c r="B1460" s="590">
        <v>543</v>
      </c>
      <c r="C1460" t="s">
        <v>27394</v>
      </c>
    </row>
    <row r="1461" spans="1:3">
      <c r="A1461" t="s">
        <v>33930</v>
      </c>
      <c r="B1461" s="590">
        <v>37</v>
      </c>
      <c r="C1461" t="s">
        <v>33929</v>
      </c>
    </row>
    <row r="1462" spans="1:3">
      <c r="A1462" t="s">
        <v>33928</v>
      </c>
      <c r="B1462" s="590">
        <v>16</v>
      </c>
      <c r="C1462" t="s">
        <v>33927</v>
      </c>
    </row>
    <row r="1463" spans="1:3">
      <c r="A1463" t="s">
        <v>33926</v>
      </c>
      <c r="B1463" s="590">
        <v>66</v>
      </c>
      <c r="C1463" t="s">
        <v>33925</v>
      </c>
    </row>
    <row r="1464" spans="1:3">
      <c r="A1464" t="s">
        <v>33924</v>
      </c>
      <c r="B1464" s="590">
        <v>66</v>
      </c>
      <c r="C1464" t="s">
        <v>33923</v>
      </c>
    </row>
    <row r="1465" spans="1:3">
      <c r="A1465" t="s">
        <v>33922</v>
      </c>
      <c r="B1465" s="590">
        <v>81</v>
      </c>
      <c r="C1465" t="s">
        <v>33921</v>
      </c>
    </row>
    <row r="1466" spans="1:3">
      <c r="A1466" t="s">
        <v>33920</v>
      </c>
      <c r="B1466" s="590">
        <v>66</v>
      </c>
      <c r="C1466" t="s">
        <v>33919</v>
      </c>
    </row>
    <row r="1467" spans="1:3">
      <c r="A1467" t="s">
        <v>33918</v>
      </c>
      <c r="B1467" s="590">
        <v>16</v>
      </c>
      <c r="C1467" t="s">
        <v>33917</v>
      </c>
    </row>
    <row r="1468" spans="1:3">
      <c r="A1468" t="s">
        <v>33916</v>
      </c>
      <c r="B1468" s="590">
        <v>359</v>
      </c>
      <c r="C1468" t="s">
        <v>33915</v>
      </c>
    </row>
    <row r="1469" spans="1:3">
      <c r="A1469" t="s">
        <v>33914</v>
      </c>
      <c r="B1469" s="590">
        <v>359</v>
      </c>
      <c r="C1469" t="s">
        <v>33913</v>
      </c>
    </row>
    <row r="1470" spans="1:3">
      <c r="A1470" t="s">
        <v>33912</v>
      </c>
      <c r="B1470" s="590">
        <v>359</v>
      </c>
      <c r="C1470" t="s">
        <v>33911</v>
      </c>
    </row>
    <row r="1471" spans="1:3">
      <c r="A1471" t="s">
        <v>33910</v>
      </c>
      <c r="B1471" s="590">
        <v>359</v>
      </c>
      <c r="C1471" t="s">
        <v>33909</v>
      </c>
    </row>
    <row r="1472" spans="1:3">
      <c r="A1472" t="s">
        <v>33908</v>
      </c>
      <c r="B1472" s="590">
        <v>964</v>
      </c>
      <c r="C1472" t="s">
        <v>33907</v>
      </c>
    </row>
    <row r="1473" spans="1:3">
      <c r="A1473" t="s">
        <v>33906</v>
      </c>
      <c r="B1473" s="590">
        <v>964</v>
      </c>
      <c r="C1473" t="s">
        <v>33905</v>
      </c>
    </row>
    <row r="1474" spans="1:3">
      <c r="A1474" t="s">
        <v>33904</v>
      </c>
      <c r="B1474" s="590">
        <v>964</v>
      </c>
      <c r="C1474" t="s">
        <v>33903</v>
      </c>
    </row>
    <row r="1475" spans="1:3">
      <c r="A1475" t="s">
        <v>33902</v>
      </c>
      <c r="B1475" s="590">
        <v>964</v>
      </c>
      <c r="C1475" t="s">
        <v>33901</v>
      </c>
    </row>
    <row r="1476" spans="1:3">
      <c r="A1476" t="s">
        <v>33900</v>
      </c>
      <c r="B1476" s="590">
        <v>964</v>
      </c>
      <c r="C1476" t="s">
        <v>33899</v>
      </c>
    </row>
    <row r="1477" spans="1:3">
      <c r="A1477" t="s">
        <v>33898</v>
      </c>
      <c r="B1477" s="590">
        <v>964</v>
      </c>
      <c r="C1477" t="s">
        <v>33897</v>
      </c>
    </row>
    <row r="1478" spans="1:3">
      <c r="A1478" t="s">
        <v>33896</v>
      </c>
      <c r="B1478" s="590">
        <v>964</v>
      </c>
      <c r="C1478" t="s">
        <v>33895</v>
      </c>
    </row>
    <row r="1479" spans="1:3">
      <c r="A1479" t="s">
        <v>33894</v>
      </c>
      <c r="B1479" s="590">
        <v>964</v>
      </c>
      <c r="C1479" t="s">
        <v>33893</v>
      </c>
    </row>
    <row r="1480" spans="1:3">
      <c r="A1480" t="s">
        <v>33892</v>
      </c>
      <c r="B1480" s="590">
        <v>964</v>
      </c>
      <c r="C1480" t="s">
        <v>33891</v>
      </c>
    </row>
    <row r="1481" spans="1:3">
      <c r="A1481" t="s">
        <v>33890</v>
      </c>
      <c r="B1481" s="590">
        <v>964</v>
      </c>
      <c r="C1481" t="s">
        <v>33889</v>
      </c>
    </row>
    <row r="1482" spans="1:3">
      <c r="A1482" t="s">
        <v>33888</v>
      </c>
      <c r="B1482" s="590">
        <v>964</v>
      </c>
      <c r="C1482" t="s">
        <v>33887</v>
      </c>
    </row>
    <row r="1483" spans="1:3">
      <c r="A1483" t="s">
        <v>33886</v>
      </c>
      <c r="B1483" s="590">
        <v>964</v>
      </c>
      <c r="C1483" t="s">
        <v>33885</v>
      </c>
    </row>
    <row r="1484" spans="1:3">
      <c r="A1484" t="s">
        <v>33884</v>
      </c>
      <c r="B1484" s="590">
        <v>161</v>
      </c>
      <c r="C1484" t="s">
        <v>33883</v>
      </c>
    </row>
    <row r="1485" spans="1:3">
      <c r="A1485" t="s">
        <v>33882</v>
      </c>
      <c r="B1485" s="590">
        <v>161</v>
      </c>
      <c r="C1485" t="s">
        <v>33881</v>
      </c>
    </row>
    <row r="1486" spans="1:3">
      <c r="A1486" t="s">
        <v>33880</v>
      </c>
      <c r="B1486" s="590">
        <v>161</v>
      </c>
      <c r="C1486" t="s">
        <v>33879</v>
      </c>
    </row>
    <row r="1487" spans="1:3">
      <c r="A1487" t="s">
        <v>27215</v>
      </c>
      <c r="B1487" s="590">
        <v>161</v>
      </c>
      <c r="C1487" t="s">
        <v>27214</v>
      </c>
    </row>
    <row r="1488" spans="1:3">
      <c r="A1488" t="s">
        <v>33878</v>
      </c>
      <c r="B1488" s="590">
        <v>161</v>
      </c>
      <c r="C1488" t="s">
        <v>33877</v>
      </c>
    </row>
    <row r="1489" spans="1:3">
      <c r="A1489" t="s">
        <v>33876</v>
      </c>
      <c r="B1489" s="590">
        <v>168</v>
      </c>
      <c r="C1489" t="s">
        <v>33875</v>
      </c>
    </row>
    <row r="1490" spans="1:3">
      <c r="A1490" t="s">
        <v>33874</v>
      </c>
      <c r="B1490" s="590">
        <v>168</v>
      </c>
      <c r="C1490" t="s">
        <v>33873</v>
      </c>
    </row>
    <row r="1491" spans="1:3">
      <c r="A1491" t="s">
        <v>33872</v>
      </c>
      <c r="B1491" s="590">
        <v>168</v>
      </c>
      <c r="C1491" t="s">
        <v>33871</v>
      </c>
    </row>
    <row r="1492" spans="1:3">
      <c r="A1492" t="s">
        <v>33870</v>
      </c>
      <c r="B1492" s="590">
        <v>168</v>
      </c>
      <c r="C1492" t="s">
        <v>33869</v>
      </c>
    </row>
    <row r="1493" spans="1:3">
      <c r="A1493" t="s">
        <v>33868</v>
      </c>
      <c r="B1493" s="590">
        <v>168</v>
      </c>
      <c r="C1493" t="s">
        <v>33867</v>
      </c>
    </row>
    <row r="1494" spans="1:3">
      <c r="A1494" t="s">
        <v>33866</v>
      </c>
      <c r="B1494" s="590">
        <v>168</v>
      </c>
      <c r="C1494" t="s">
        <v>33865</v>
      </c>
    </row>
    <row r="1495" spans="1:3">
      <c r="A1495" t="s">
        <v>33864</v>
      </c>
      <c r="B1495" s="590">
        <v>174</v>
      </c>
      <c r="C1495" t="s">
        <v>33863</v>
      </c>
    </row>
    <row r="1496" spans="1:3">
      <c r="A1496" t="s">
        <v>33862</v>
      </c>
      <c r="B1496" s="590">
        <v>174</v>
      </c>
      <c r="C1496" t="s">
        <v>33861</v>
      </c>
    </row>
    <row r="1497" spans="1:3">
      <c r="A1497" t="s">
        <v>33860</v>
      </c>
      <c r="B1497" s="590">
        <v>174</v>
      </c>
      <c r="C1497" t="s">
        <v>33859</v>
      </c>
    </row>
    <row r="1498" spans="1:3">
      <c r="A1498" t="s">
        <v>33858</v>
      </c>
      <c r="B1498" s="590">
        <v>209</v>
      </c>
      <c r="C1498" t="s">
        <v>33857</v>
      </c>
    </row>
    <row r="1499" spans="1:3">
      <c r="A1499" t="s">
        <v>33856</v>
      </c>
      <c r="B1499" s="590">
        <v>174</v>
      </c>
      <c r="C1499" t="s">
        <v>33855</v>
      </c>
    </row>
    <row r="1500" spans="1:3">
      <c r="A1500" t="s">
        <v>33854</v>
      </c>
      <c r="B1500" s="590">
        <v>181</v>
      </c>
      <c r="C1500" t="s">
        <v>33853</v>
      </c>
    </row>
    <row r="1501" spans="1:3">
      <c r="A1501" t="s">
        <v>33852</v>
      </c>
      <c r="B1501" s="590">
        <v>181</v>
      </c>
      <c r="C1501" t="s">
        <v>33851</v>
      </c>
    </row>
    <row r="1502" spans="1:3">
      <c r="A1502" t="s">
        <v>33850</v>
      </c>
      <c r="B1502" s="590">
        <v>181</v>
      </c>
      <c r="C1502" t="s">
        <v>33849</v>
      </c>
    </row>
    <row r="1503" spans="1:3">
      <c r="A1503" t="s">
        <v>33848</v>
      </c>
      <c r="B1503" s="590">
        <v>181</v>
      </c>
      <c r="C1503" t="s">
        <v>33847</v>
      </c>
    </row>
    <row r="1504" spans="1:3">
      <c r="A1504" t="s">
        <v>33846</v>
      </c>
      <c r="B1504" s="590">
        <v>181</v>
      </c>
      <c r="C1504" t="s">
        <v>33845</v>
      </c>
    </row>
    <row r="1505" spans="1:3">
      <c r="A1505" t="s">
        <v>33844</v>
      </c>
      <c r="B1505" s="590">
        <v>181</v>
      </c>
      <c r="C1505" t="s">
        <v>33843</v>
      </c>
    </row>
    <row r="1506" spans="1:3">
      <c r="A1506" t="s">
        <v>33842</v>
      </c>
      <c r="B1506" s="590">
        <v>186</v>
      </c>
      <c r="C1506" t="s">
        <v>33841</v>
      </c>
    </row>
    <row r="1507" spans="1:3">
      <c r="A1507" t="s">
        <v>33840</v>
      </c>
      <c r="B1507" s="590">
        <v>186</v>
      </c>
      <c r="C1507" t="s">
        <v>33839</v>
      </c>
    </row>
    <row r="1508" spans="1:3">
      <c r="A1508" t="s">
        <v>33838</v>
      </c>
      <c r="B1508" s="590">
        <v>186</v>
      </c>
      <c r="C1508" t="s">
        <v>33837</v>
      </c>
    </row>
    <row r="1509" spans="1:3">
      <c r="A1509" t="s">
        <v>33836</v>
      </c>
      <c r="B1509" s="590">
        <v>223</v>
      </c>
      <c r="C1509" t="s">
        <v>33835</v>
      </c>
    </row>
    <row r="1510" spans="1:3">
      <c r="A1510" t="s">
        <v>33834</v>
      </c>
      <c r="B1510" s="590">
        <v>186</v>
      </c>
      <c r="C1510" t="s">
        <v>33833</v>
      </c>
    </row>
    <row r="1511" spans="1:3">
      <c r="A1511" t="s">
        <v>33832</v>
      </c>
      <c r="B1511" s="590">
        <v>193</v>
      </c>
      <c r="C1511" t="s">
        <v>33831</v>
      </c>
    </row>
    <row r="1512" spans="1:3">
      <c r="A1512" t="s">
        <v>33830</v>
      </c>
      <c r="B1512" s="590">
        <v>193</v>
      </c>
      <c r="C1512" t="s">
        <v>33829</v>
      </c>
    </row>
    <row r="1513" spans="1:3">
      <c r="A1513" t="s">
        <v>33828</v>
      </c>
      <c r="B1513" s="590">
        <v>193</v>
      </c>
      <c r="C1513" t="s">
        <v>33827</v>
      </c>
    </row>
    <row r="1514" spans="1:3">
      <c r="A1514" t="s">
        <v>33826</v>
      </c>
      <c r="B1514" s="590">
        <v>193</v>
      </c>
      <c r="C1514" t="s">
        <v>33825</v>
      </c>
    </row>
    <row r="1515" spans="1:3">
      <c r="A1515" t="s">
        <v>33824</v>
      </c>
      <c r="B1515" s="590">
        <v>193</v>
      </c>
      <c r="C1515" t="s">
        <v>33823</v>
      </c>
    </row>
    <row r="1516" spans="1:3">
      <c r="A1516" t="s">
        <v>33822</v>
      </c>
      <c r="B1516" s="590">
        <v>193</v>
      </c>
      <c r="C1516" t="s">
        <v>33821</v>
      </c>
    </row>
    <row r="1517" spans="1:3">
      <c r="A1517" t="s">
        <v>33820</v>
      </c>
      <c r="B1517" s="590">
        <v>161</v>
      </c>
      <c r="C1517" t="s">
        <v>33819</v>
      </c>
    </row>
    <row r="1518" spans="1:3">
      <c r="A1518" t="s">
        <v>33818</v>
      </c>
      <c r="B1518" s="590">
        <v>161</v>
      </c>
      <c r="C1518" t="s">
        <v>33817</v>
      </c>
    </row>
    <row r="1519" spans="1:3">
      <c r="A1519" t="s">
        <v>33816</v>
      </c>
      <c r="B1519" s="590">
        <v>161</v>
      </c>
      <c r="C1519" t="s">
        <v>33815</v>
      </c>
    </row>
    <row r="1520" spans="1:3">
      <c r="A1520" t="s">
        <v>27211</v>
      </c>
      <c r="B1520" s="590">
        <v>161</v>
      </c>
      <c r="C1520" t="s">
        <v>27210</v>
      </c>
    </row>
    <row r="1521" spans="1:3">
      <c r="A1521" t="s">
        <v>33814</v>
      </c>
      <c r="B1521" s="590">
        <v>161</v>
      </c>
      <c r="C1521" t="s">
        <v>33813</v>
      </c>
    </row>
    <row r="1522" spans="1:3">
      <c r="A1522" t="s">
        <v>33812</v>
      </c>
      <c r="B1522" s="590">
        <v>168</v>
      </c>
      <c r="C1522" t="s">
        <v>33811</v>
      </c>
    </row>
    <row r="1523" spans="1:3">
      <c r="A1523" t="s">
        <v>33810</v>
      </c>
      <c r="B1523" s="590">
        <v>168</v>
      </c>
      <c r="C1523" t="s">
        <v>33809</v>
      </c>
    </row>
    <row r="1524" spans="1:3">
      <c r="A1524" t="s">
        <v>33808</v>
      </c>
      <c r="B1524" s="590">
        <v>168</v>
      </c>
      <c r="C1524" t="s">
        <v>33807</v>
      </c>
    </row>
    <row r="1525" spans="1:3">
      <c r="A1525" t="s">
        <v>33806</v>
      </c>
      <c r="B1525" s="590">
        <v>168</v>
      </c>
      <c r="C1525" t="s">
        <v>33805</v>
      </c>
    </row>
    <row r="1526" spans="1:3">
      <c r="A1526" t="s">
        <v>33804</v>
      </c>
      <c r="B1526" s="590">
        <v>168</v>
      </c>
      <c r="C1526" t="s">
        <v>33803</v>
      </c>
    </row>
    <row r="1527" spans="1:3">
      <c r="A1527" t="s">
        <v>33802</v>
      </c>
      <c r="B1527" s="590">
        <v>168</v>
      </c>
      <c r="C1527" t="s">
        <v>33801</v>
      </c>
    </row>
    <row r="1528" spans="1:3">
      <c r="A1528" t="s">
        <v>33800</v>
      </c>
      <c r="B1528" s="590">
        <v>174</v>
      </c>
      <c r="C1528" t="s">
        <v>33799</v>
      </c>
    </row>
    <row r="1529" spans="1:3">
      <c r="A1529" t="s">
        <v>33798</v>
      </c>
      <c r="B1529" s="590">
        <v>174</v>
      </c>
      <c r="C1529" t="s">
        <v>33797</v>
      </c>
    </row>
    <row r="1530" spans="1:3">
      <c r="A1530" t="s">
        <v>33796</v>
      </c>
      <c r="B1530" s="590">
        <v>174</v>
      </c>
      <c r="C1530" t="s">
        <v>33795</v>
      </c>
    </row>
    <row r="1531" spans="1:3">
      <c r="A1531" t="s">
        <v>33794</v>
      </c>
      <c r="B1531" s="590">
        <v>174</v>
      </c>
      <c r="C1531" t="s">
        <v>33793</v>
      </c>
    </row>
    <row r="1532" spans="1:3">
      <c r="A1532" t="s">
        <v>33792</v>
      </c>
      <c r="B1532" s="590">
        <v>174</v>
      </c>
      <c r="C1532" t="s">
        <v>33791</v>
      </c>
    </row>
    <row r="1533" spans="1:3">
      <c r="A1533" t="s">
        <v>33790</v>
      </c>
      <c r="B1533" s="590">
        <v>181</v>
      </c>
      <c r="C1533" t="s">
        <v>33789</v>
      </c>
    </row>
    <row r="1534" spans="1:3">
      <c r="A1534" t="s">
        <v>33788</v>
      </c>
      <c r="B1534" s="590">
        <v>181</v>
      </c>
      <c r="C1534" t="s">
        <v>33787</v>
      </c>
    </row>
    <row r="1535" spans="1:3">
      <c r="A1535" t="s">
        <v>33786</v>
      </c>
      <c r="B1535" s="590">
        <v>181</v>
      </c>
      <c r="C1535" t="s">
        <v>33785</v>
      </c>
    </row>
    <row r="1536" spans="1:3">
      <c r="A1536" t="s">
        <v>33784</v>
      </c>
      <c r="B1536" s="590">
        <v>181</v>
      </c>
      <c r="C1536" t="s">
        <v>33783</v>
      </c>
    </row>
    <row r="1537" spans="1:3">
      <c r="A1537" t="s">
        <v>33782</v>
      </c>
      <c r="B1537" s="590">
        <v>181</v>
      </c>
      <c r="C1537" t="s">
        <v>33781</v>
      </c>
    </row>
    <row r="1538" spans="1:3">
      <c r="A1538" t="s">
        <v>33780</v>
      </c>
      <c r="B1538" s="590">
        <v>181</v>
      </c>
      <c r="C1538" t="s">
        <v>33779</v>
      </c>
    </row>
    <row r="1539" spans="1:3">
      <c r="A1539" t="s">
        <v>33778</v>
      </c>
      <c r="B1539" s="590">
        <v>20</v>
      </c>
      <c r="C1539" t="s">
        <v>33777</v>
      </c>
    </row>
    <row r="1540" spans="1:3">
      <c r="A1540" t="s">
        <v>33776</v>
      </c>
      <c r="B1540" s="590">
        <v>45</v>
      </c>
      <c r="C1540" t="s">
        <v>33775</v>
      </c>
    </row>
    <row r="1541" spans="1:3">
      <c r="A1541" t="s">
        <v>33774</v>
      </c>
      <c r="B1541" s="590">
        <v>22</v>
      </c>
      <c r="C1541" t="s">
        <v>33773</v>
      </c>
    </row>
    <row r="1542" spans="1:3">
      <c r="A1542" t="s">
        <v>33772</v>
      </c>
      <c r="B1542" s="590">
        <v>495</v>
      </c>
      <c r="C1542" t="s">
        <v>33771</v>
      </c>
    </row>
    <row r="1543" spans="1:3">
      <c r="A1543" t="s">
        <v>33770</v>
      </c>
      <c r="B1543" s="590">
        <v>495</v>
      </c>
      <c r="C1543" t="s">
        <v>33769</v>
      </c>
    </row>
    <row r="1544" spans="1:3">
      <c r="A1544" t="s">
        <v>33768</v>
      </c>
      <c r="B1544" s="590">
        <v>495</v>
      </c>
      <c r="C1544" t="s">
        <v>33767</v>
      </c>
    </row>
    <row r="1545" spans="1:3">
      <c r="A1545" t="s">
        <v>33766</v>
      </c>
      <c r="B1545" s="590">
        <v>495</v>
      </c>
      <c r="C1545" t="s">
        <v>33765</v>
      </c>
    </row>
    <row r="1546" spans="1:3">
      <c r="A1546" t="s">
        <v>33764</v>
      </c>
      <c r="B1546" s="590">
        <v>16</v>
      </c>
      <c r="C1546" t="s">
        <v>33763</v>
      </c>
    </row>
    <row r="1547" spans="1:3">
      <c r="A1547" t="s">
        <v>33762</v>
      </c>
      <c r="B1547" s="590">
        <v>16</v>
      </c>
      <c r="C1547" t="s">
        <v>33761</v>
      </c>
    </row>
    <row r="1548" spans="1:3">
      <c r="A1548" t="s">
        <v>33760</v>
      </c>
      <c r="B1548" s="590">
        <v>32</v>
      </c>
      <c r="C1548" t="s">
        <v>33759</v>
      </c>
    </row>
    <row r="1549" spans="1:3">
      <c r="A1549" t="s">
        <v>33758</v>
      </c>
      <c r="B1549" s="590">
        <v>32</v>
      </c>
      <c r="C1549" t="s">
        <v>33757</v>
      </c>
    </row>
    <row r="1550" spans="1:3">
      <c r="A1550" t="s">
        <v>33756</v>
      </c>
      <c r="B1550" s="590">
        <v>32</v>
      </c>
      <c r="C1550" t="s">
        <v>33755</v>
      </c>
    </row>
    <row r="1551" spans="1:3">
      <c r="A1551" t="s">
        <v>33754</v>
      </c>
      <c r="B1551" s="590">
        <v>32</v>
      </c>
      <c r="C1551" t="s">
        <v>33753</v>
      </c>
    </row>
    <row r="1552" spans="1:3">
      <c r="A1552" t="s">
        <v>33752</v>
      </c>
      <c r="B1552" s="590">
        <v>32</v>
      </c>
      <c r="C1552" t="s">
        <v>33751</v>
      </c>
    </row>
    <row r="1553" spans="1:3">
      <c r="A1553" t="s">
        <v>33750</v>
      </c>
      <c r="B1553" s="590">
        <v>32</v>
      </c>
      <c r="C1553" t="s">
        <v>33749</v>
      </c>
    </row>
    <row r="1554" spans="1:3">
      <c r="A1554" t="s">
        <v>33748</v>
      </c>
      <c r="B1554" s="590">
        <v>45</v>
      </c>
      <c r="C1554" t="s">
        <v>33747</v>
      </c>
    </row>
    <row r="1555" spans="1:3">
      <c r="A1555" t="s">
        <v>33746</v>
      </c>
      <c r="B1555" s="590">
        <v>45</v>
      </c>
      <c r="C1555" t="s">
        <v>33745</v>
      </c>
    </row>
    <row r="1556" spans="1:3">
      <c r="A1556" t="s">
        <v>33744</v>
      </c>
      <c r="B1556" s="590">
        <v>45</v>
      </c>
      <c r="C1556" t="s">
        <v>33743</v>
      </c>
    </row>
    <row r="1557" spans="1:3">
      <c r="A1557" t="s">
        <v>33742</v>
      </c>
      <c r="B1557" s="590">
        <v>117</v>
      </c>
      <c r="C1557" t="s">
        <v>33741</v>
      </c>
    </row>
    <row r="1558" spans="1:3">
      <c r="A1558" t="s">
        <v>33740</v>
      </c>
      <c r="B1558" s="590">
        <v>117</v>
      </c>
      <c r="C1558" t="s">
        <v>33739</v>
      </c>
    </row>
    <row r="1559" spans="1:3">
      <c r="A1559" t="s">
        <v>33738</v>
      </c>
      <c r="B1559" s="590">
        <v>117</v>
      </c>
      <c r="C1559" t="s">
        <v>33737</v>
      </c>
    </row>
    <row r="1560" spans="1:3">
      <c r="A1560" t="s">
        <v>33736</v>
      </c>
      <c r="B1560" s="590">
        <v>117</v>
      </c>
      <c r="C1560" t="s">
        <v>33735</v>
      </c>
    </row>
    <row r="1561" spans="1:3">
      <c r="A1561" t="s">
        <v>33734</v>
      </c>
      <c r="B1561" s="590">
        <v>129</v>
      </c>
      <c r="C1561" t="s">
        <v>33733</v>
      </c>
    </row>
    <row r="1562" spans="1:3">
      <c r="A1562" t="s">
        <v>33732</v>
      </c>
      <c r="B1562" s="590">
        <v>129</v>
      </c>
      <c r="C1562" t="s">
        <v>33731</v>
      </c>
    </row>
    <row r="1563" spans="1:3">
      <c r="A1563" t="s">
        <v>33730</v>
      </c>
      <c r="B1563" s="590">
        <v>244</v>
      </c>
      <c r="C1563" t="s">
        <v>33729</v>
      </c>
    </row>
    <row r="1564" spans="1:3">
      <c r="A1564" t="s">
        <v>22042</v>
      </c>
      <c r="B1564" s="590">
        <v>274</v>
      </c>
      <c r="C1564" t="s">
        <v>33728</v>
      </c>
    </row>
    <row r="1565" spans="1:3">
      <c r="A1565" t="s">
        <v>33727</v>
      </c>
      <c r="B1565" s="590">
        <v>515</v>
      </c>
      <c r="C1565" t="s">
        <v>33726</v>
      </c>
    </row>
    <row r="1566" spans="1:3">
      <c r="A1566" t="s">
        <v>33725</v>
      </c>
      <c r="B1566" s="590">
        <v>470</v>
      </c>
      <c r="C1566" t="s">
        <v>33724</v>
      </c>
    </row>
    <row r="1567" spans="1:3">
      <c r="A1567" t="s">
        <v>33723</v>
      </c>
      <c r="B1567" s="590">
        <v>553</v>
      </c>
      <c r="C1567" t="s">
        <v>33722</v>
      </c>
    </row>
    <row r="1568" spans="1:3">
      <c r="A1568" t="s">
        <v>33721</v>
      </c>
      <c r="B1568" s="590">
        <v>569</v>
      </c>
      <c r="C1568" t="s">
        <v>33720</v>
      </c>
    </row>
    <row r="1569" spans="1:3">
      <c r="A1569" t="s">
        <v>33719</v>
      </c>
      <c r="B1569" s="590">
        <v>471</v>
      </c>
      <c r="C1569" t="s">
        <v>33718</v>
      </c>
    </row>
    <row r="1570" spans="1:3">
      <c r="A1570" t="s">
        <v>33717</v>
      </c>
      <c r="B1570" s="590">
        <v>485</v>
      </c>
      <c r="C1570" t="s">
        <v>33716</v>
      </c>
    </row>
    <row r="1571" spans="1:3">
      <c r="A1571" t="s">
        <v>33715</v>
      </c>
      <c r="B1571" s="590">
        <v>553</v>
      </c>
      <c r="C1571" t="s">
        <v>33714</v>
      </c>
    </row>
    <row r="1572" spans="1:3">
      <c r="A1572" t="s">
        <v>33713</v>
      </c>
      <c r="B1572" s="590">
        <v>569</v>
      </c>
      <c r="C1572" t="s">
        <v>33712</v>
      </c>
    </row>
    <row r="1573" spans="1:3">
      <c r="A1573" t="s">
        <v>33711</v>
      </c>
      <c r="B1573" s="590">
        <v>471</v>
      </c>
      <c r="C1573" t="s">
        <v>33710</v>
      </c>
    </row>
    <row r="1574" spans="1:3">
      <c r="A1574" t="s">
        <v>33709</v>
      </c>
      <c r="B1574" s="590">
        <v>485</v>
      </c>
      <c r="C1574" t="s">
        <v>33708</v>
      </c>
    </row>
    <row r="1575" spans="1:3">
      <c r="A1575" t="s">
        <v>33707</v>
      </c>
      <c r="B1575" s="590">
        <v>375</v>
      </c>
      <c r="C1575" t="s">
        <v>33706</v>
      </c>
    </row>
    <row r="1576" spans="1:3">
      <c r="A1576" t="s">
        <v>33705</v>
      </c>
      <c r="B1576" s="590">
        <v>388</v>
      </c>
      <c r="C1576" t="s">
        <v>33704</v>
      </c>
    </row>
    <row r="1577" spans="1:3">
      <c r="A1577" t="s">
        <v>33703</v>
      </c>
      <c r="B1577" s="590">
        <v>295</v>
      </c>
      <c r="C1577" t="s">
        <v>33702</v>
      </c>
    </row>
    <row r="1578" spans="1:3">
      <c r="A1578" t="s">
        <v>33701</v>
      </c>
      <c r="B1578" s="590">
        <v>306</v>
      </c>
      <c r="C1578" t="s">
        <v>33700</v>
      </c>
    </row>
    <row r="1579" spans="1:3">
      <c r="A1579" t="s">
        <v>33699</v>
      </c>
      <c r="B1579" s="590">
        <v>375</v>
      </c>
      <c r="C1579" t="s">
        <v>33698</v>
      </c>
    </row>
    <row r="1580" spans="1:3">
      <c r="A1580" t="s">
        <v>33697</v>
      </c>
      <c r="B1580" s="590">
        <v>388</v>
      </c>
      <c r="C1580" t="s">
        <v>33696</v>
      </c>
    </row>
    <row r="1581" spans="1:3">
      <c r="A1581" t="s">
        <v>33695</v>
      </c>
      <c r="B1581" s="590">
        <v>295</v>
      </c>
      <c r="C1581" t="s">
        <v>33694</v>
      </c>
    </row>
    <row r="1582" spans="1:3">
      <c r="A1582" t="s">
        <v>33693</v>
      </c>
      <c r="B1582" s="590">
        <v>306</v>
      </c>
      <c r="C1582" t="s">
        <v>33692</v>
      </c>
    </row>
    <row r="1583" spans="1:3">
      <c r="A1583" t="s">
        <v>33691</v>
      </c>
      <c r="B1583" s="590">
        <v>295</v>
      </c>
      <c r="C1583" t="s">
        <v>33690</v>
      </c>
    </row>
    <row r="1584" spans="1:3">
      <c r="A1584" t="s">
        <v>33689</v>
      </c>
      <c r="B1584" s="590">
        <v>375</v>
      </c>
      <c r="C1584" t="s">
        <v>33688</v>
      </c>
    </row>
    <row r="1585" spans="1:3">
      <c r="A1585" t="s">
        <v>33687</v>
      </c>
      <c r="B1585" s="590">
        <v>295</v>
      </c>
      <c r="C1585" t="s">
        <v>33686</v>
      </c>
    </row>
    <row r="1586" spans="1:3">
      <c r="A1586" t="s">
        <v>33685</v>
      </c>
      <c r="B1586" s="590">
        <v>375</v>
      </c>
      <c r="C1586" t="s">
        <v>33684</v>
      </c>
    </row>
    <row r="1587" spans="1:3">
      <c r="A1587" t="s">
        <v>33683</v>
      </c>
      <c r="B1587" s="590">
        <v>314</v>
      </c>
      <c r="C1587" t="s">
        <v>33682</v>
      </c>
    </row>
    <row r="1588" spans="1:3">
      <c r="A1588" t="s">
        <v>33681</v>
      </c>
      <c r="B1588" s="590">
        <v>327</v>
      </c>
      <c r="C1588" t="s">
        <v>33680</v>
      </c>
    </row>
    <row r="1589" spans="1:3">
      <c r="A1589" t="s">
        <v>33679</v>
      </c>
      <c r="B1589" s="590">
        <v>314</v>
      </c>
      <c r="C1589" t="s">
        <v>33678</v>
      </c>
    </row>
    <row r="1590" spans="1:3">
      <c r="A1590" t="s">
        <v>33677</v>
      </c>
      <c r="B1590" s="590">
        <v>314</v>
      </c>
      <c r="C1590" t="s">
        <v>33676</v>
      </c>
    </row>
    <row r="1591" spans="1:3">
      <c r="A1591" t="s">
        <v>33675</v>
      </c>
      <c r="B1591" s="590">
        <v>314</v>
      </c>
      <c r="C1591" t="s">
        <v>33674</v>
      </c>
    </row>
    <row r="1592" spans="1:3">
      <c r="A1592" t="s">
        <v>33673</v>
      </c>
      <c r="B1592" s="590">
        <v>347</v>
      </c>
      <c r="C1592" t="s">
        <v>33672</v>
      </c>
    </row>
    <row r="1593" spans="1:3">
      <c r="A1593" t="s">
        <v>33671</v>
      </c>
      <c r="B1593" s="590">
        <v>314</v>
      </c>
      <c r="C1593" t="s">
        <v>33670</v>
      </c>
    </row>
    <row r="1594" spans="1:3">
      <c r="A1594" t="s">
        <v>33669</v>
      </c>
      <c r="B1594" s="590">
        <v>327</v>
      </c>
      <c r="C1594" t="s">
        <v>33668</v>
      </c>
    </row>
    <row r="1595" spans="1:3">
      <c r="A1595" t="s">
        <v>33667</v>
      </c>
      <c r="B1595" s="590">
        <v>314</v>
      </c>
      <c r="C1595" t="s">
        <v>33666</v>
      </c>
    </row>
    <row r="1596" spans="1:3">
      <c r="A1596" t="s">
        <v>33665</v>
      </c>
      <c r="B1596" s="590">
        <v>314</v>
      </c>
      <c r="C1596" t="s">
        <v>33664</v>
      </c>
    </row>
    <row r="1597" spans="1:3">
      <c r="A1597" t="s">
        <v>33663</v>
      </c>
      <c r="B1597" s="590">
        <v>314</v>
      </c>
      <c r="C1597" t="s">
        <v>33662</v>
      </c>
    </row>
    <row r="1598" spans="1:3">
      <c r="A1598" t="s">
        <v>33661</v>
      </c>
      <c r="B1598" s="590">
        <v>314</v>
      </c>
      <c r="C1598" t="s">
        <v>33660</v>
      </c>
    </row>
    <row r="1599" spans="1:3">
      <c r="A1599" t="s">
        <v>33659</v>
      </c>
      <c r="B1599" s="590">
        <v>327</v>
      </c>
      <c r="C1599" t="s">
        <v>33658</v>
      </c>
    </row>
    <row r="1600" spans="1:3">
      <c r="A1600" t="s">
        <v>33657</v>
      </c>
      <c r="B1600" s="590">
        <v>349</v>
      </c>
      <c r="C1600" t="s">
        <v>33656</v>
      </c>
    </row>
    <row r="1601" spans="1:3">
      <c r="A1601" t="s">
        <v>33655</v>
      </c>
      <c r="B1601" s="590">
        <v>597</v>
      </c>
      <c r="C1601" t="s">
        <v>33654</v>
      </c>
    </row>
    <row r="1602" spans="1:3">
      <c r="A1602" t="s">
        <v>33653</v>
      </c>
      <c r="B1602" s="590">
        <v>417</v>
      </c>
      <c r="C1602" t="s">
        <v>33652</v>
      </c>
    </row>
    <row r="1603" spans="1:3">
      <c r="A1603" t="s">
        <v>33651</v>
      </c>
      <c r="B1603" s="590">
        <v>417</v>
      </c>
      <c r="C1603" t="s">
        <v>33650</v>
      </c>
    </row>
    <row r="1604" spans="1:3">
      <c r="A1604" t="s">
        <v>33649</v>
      </c>
      <c r="B1604" s="590">
        <v>417</v>
      </c>
      <c r="C1604" t="s">
        <v>33648</v>
      </c>
    </row>
    <row r="1605" spans="1:3">
      <c r="A1605" t="s">
        <v>33647</v>
      </c>
      <c r="B1605" s="590">
        <v>417</v>
      </c>
      <c r="C1605" t="s">
        <v>33646</v>
      </c>
    </row>
    <row r="1606" spans="1:3">
      <c r="A1606" t="s">
        <v>33645</v>
      </c>
      <c r="B1606" s="590">
        <v>417</v>
      </c>
      <c r="C1606" t="s">
        <v>33644</v>
      </c>
    </row>
    <row r="1607" spans="1:3">
      <c r="A1607" t="s">
        <v>33643</v>
      </c>
      <c r="B1607" s="590">
        <v>417</v>
      </c>
      <c r="C1607" t="s">
        <v>33642</v>
      </c>
    </row>
    <row r="1608" spans="1:3">
      <c r="A1608" t="s">
        <v>33641</v>
      </c>
      <c r="B1608" s="590">
        <v>453</v>
      </c>
      <c r="C1608" t="s">
        <v>33640</v>
      </c>
    </row>
    <row r="1609" spans="1:3">
      <c r="A1609" t="s">
        <v>33639</v>
      </c>
      <c r="B1609" s="590">
        <v>453</v>
      </c>
      <c r="C1609" t="s">
        <v>33638</v>
      </c>
    </row>
    <row r="1610" spans="1:3">
      <c r="A1610" t="s">
        <v>27377</v>
      </c>
      <c r="B1610" s="590">
        <v>265</v>
      </c>
      <c r="C1610" t="s">
        <v>27376</v>
      </c>
    </row>
    <row r="1611" spans="1:3">
      <c r="A1611" t="s">
        <v>27375</v>
      </c>
      <c r="B1611" s="590">
        <v>265</v>
      </c>
      <c r="C1611" t="s">
        <v>27374</v>
      </c>
    </row>
    <row r="1612" spans="1:3">
      <c r="A1612" t="s">
        <v>27373</v>
      </c>
      <c r="B1612" s="590">
        <v>265</v>
      </c>
      <c r="C1612" t="s">
        <v>27372</v>
      </c>
    </row>
    <row r="1613" spans="1:3">
      <c r="A1613" t="s">
        <v>27371</v>
      </c>
      <c r="B1613" s="590">
        <v>265</v>
      </c>
      <c r="C1613" t="s">
        <v>27370</v>
      </c>
    </row>
    <row r="1614" spans="1:3">
      <c r="A1614" t="s">
        <v>27369</v>
      </c>
      <c r="B1614" s="590">
        <v>265</v>
      </c>
      <c r="C1614" t="s">
        <v>27368</v>
      </c>
    </row>
    <row r="1615" spans="1:3">
      <c r="A1615" t="s">
        <v>33637</v>
      </c>
      <c r="B1615" s="590">
        <v>265</v>
      </c>
      <c r="C1615" t="s">
        <v>33636</v>
      </c>
    </row>
    <row r="1616" spans="1:3">
      <c r="A1616" t="s">
        <v>33635</v>
      </c>
      <c r="B1616" s="590">
        <v>265</v>
      </c>
      <c r="C1616" t="s">
        <v>33634</v>
      </c>
    </row>
    <row r="1617" spans="1:3">
      <c r="A1617" t="s">
        <v>33633</v>
      </c>
      <c r="B1617" s="590">
        <v>265</v>
      </c>
      <c r="C1617" t="s">
        <v>33632</v>
      </c>
    </row>
    <row r="1618" spans="1:3">
      <c r="A1618" t="s">
        <v>33631</v>
      </c>
      <c r="B1618" s="590">
        <v>265</v>
      </c>
      <c r="C1618" t="s">
        <v>33625</v>
      </c>
    </row>
    <row r="1619" spans="1:3">
      <c r="A1619" t="s">
        <v>33630</v>
      </c>
      <c r="B1619" s="590">
        <v>265</v>
      </c>
      <c r="C1619" t="s">
        <v>33629</v>
      </c>
    </row>
    <row r="1620" spans="1:3">
      <c r="A1620" t="s">
        <v>33628</v>
      </c>
      <c r="B1620" s="590">
        <v>265</v>
      </c>
      <c r="C1620" t="s">
        <v>33627</v>
      </c>
    </row>
    <row r="1621" spans="1:3">
      <c r="A1621" t="s">
        <v>33626</v>
      </c>
      <c r="B1621" s="590">
        <v>265</v>
      </c>
      <c r="C1621" t="s">
        <v>33625</v>
      </c>
    </row>
    <row r="1622" spans="1:3">
      <c r="A1622" t="s">
        <v>33624</v>
      </c>
      <c r="B1622" s="590">
        <v>265</v>
      </c>
      <c r="C1622" t="s">
        <v>33623</v>
      </c>
    </row>
    <row r="1623" spans="1:3">
      <c r="A1623" t="s">
        <v>33622</v>
      </c>
      <c r="B1623" s="590">
        <v>265</v>
      </c>
      <c r="C1623" t="s">
        <v>33621</v>
      </c>
    </row>
    <row r="1624" spans="1:3">
      <c r="A1624" t="s">
        <v>33620</v>
      </c>
      <c r="B1624" s="590">
        <v>292</v>
      </c>
      <c r="C1624" t="s">
        <v>33619</v>
      </c>
    </row>
    <row r="1625" spans="1:3">
      <c r="A1625" t="s">
        <v>33618</v>
      </c>
      <c r="B1625" s="590">
        <v>292</v>
      </c>
      <c r="C1625" t="s">
        <v>33617</v>
      </c>
    </row>
    <row r="1626" spans="1:3">
      <c r="A1626" t="s">
        <v>33616</v>
      </c>
      <c r="B1626" s="590">
        <v>292</v>
      </c>
      <c r="C1626" t="s">
        <v>33615</v>
      </c>
    </row>
    <row r="1627" spans="1:3">
      <c r="A1627" t="s">
        <v>33614</v>
      </c>
      <c r="B1627" s="590">
        <v>292</v>
      </c>
      <c r="C1627" t="s">
        <v>33613</v>
      </c>
    </row>
    <row r="1628" spans="1:3">
      <c r="A1628" t="s">
        <v>33612</v>
      </c>
      <c r="B1628" s="590">
        <v>292</v>
      </c>
      <c r="C1628" t="s">
        <v>33611</v>
      </c>
    </row>
    <row r="1629" spans="1:3">
      <c r="A1629" t="s">
        <v>33610</v>
      </c>
      <c r="B1629" s="590">
        <v>292</v>
      </c>
      <c r="C1629" t="s">
        <v>33609</v>
      </c>
    </row>
    <row r="1630" spans="1:3">
      <c r="A1630" t="s">
        <v>33608</v>
      </c>
      <c r="B1630" s="590">
        <v>292</v>
      </c>
      <c r="C1630" t="s">
        <v>33607</v>
      </c>
    </row>
    <row r="1631" spans="1:3">
      <c r="A1631" t="s">
        <v>33606</v>
      </c>
      <c r="B1631" s="590">
        <v>292</v>
      </c>
      <c r="C1631" t="s">
        <v>33605</v>
      </c>
    </row>
    <row r="1632" spans="1:3">
      <c r="A1632" t="s">
        <v>33604</v>
      </c>
      <c r="B1632" s="590">
        <v>292</v>
      </c>
      <c r="C1632" t="s">
        <v>33603</v>
      </c>
    </row>
    <row r="1633" spans="1:3">
      <c r="A1633" t="s">
        <v>33602</v>
      </c>
      <c r="B1633" s="590">
        <v>292</v>
      </c>
      <c r="C1633" t="s">
        <v>33601</v>
      </c>
    </row>
    <row r="1634" spans="1:3">
      <c r="A1634" t="s">
        <v>33600</v>
      </c>
      <c r="B1634" s="590">
        <v>292</v>
      </c>
      <c r="C1634" t="s">
        <v>33599</v>
      </c>
    </row>
    <row r="1635" spans="1:3">
      <c r="A1635" t="s">
        <v>33598</v>
      </c>
      <c r="B1635" s="590">
        <v>528</v>
      </c>
      <c r="C1635" t="s">
        <v>33597</v>
      </c>
    </row>
    <row r="1636" spans="1:3">
      <c r="A1636" t="s">
        <v>22046</v>
      </c>
      <c r="B1636" s="590">
        <v>528</v>
      </c>
      <c r="C1636" t="s">
        <v>33596</v>
      </c>
    </row>
    <row r="1637" spans="1:3">
      <c r="A1637" t="s">
        <v>33595</v>
      </c>
      <c r="B1637" s="590">
        <v>750</v>
      </c>
      <c r="C1637" t="s">
        <v>33593</v>
      </c>
    </row>
    <row r="1638" spans="1:3">
      <c r="A1638" t="s">
        <v>33594</v>
      </c>
      <c r="B1638" s="590">
        <v>776</v>
      </c>
      <c r="C1638" t="s">
        <v>33593</v>
      </c>
    </row>
    <row r="1639" spans="1:3">
      <c r="A1639" t="s">
        <v>33592</v>
      </c>
      <c r="B1639" s="590">
        <v>750</v>
      </c>
      <c r="C1639" t="s">
        <v>33589</v>
      </c>
    </row>
    <row r="1640" spans="1:3">
      <c r="A1640" t="s">
        <v>33591</v>
      </c>
      <c r="B1640" s="590">
        <v>750</v>
      </c>
      <c r="C1640" t="s">
        <v>33589</v>
      </c>
    </row>
    <row r="1641" spans="1:3">
      <c r="A1641" t="s">
        <v>33590</v>
      </c>
      <c r="B1641" s="590">
        <v>776</v>
      </c>
      <c r="C1641" t="s">
        <v>33589</v>
      </c>
    </row>
    <row r="1642" spans="1:3">
      <c r="A1642" t="s">
        <v>33588</v>
      </c>
      <c r="B1642" s="590">
        <v>647</v>
      </c>
      <c r="C1642" t="s">
        <v>33587</v>
      </c>
    </row>
    <row r="1643" spans="1:3">
      <c r="A1643" t="s">
        <v>33586</v>
      </c>
      <c r="B1643" s="590">
        <v>647</v>
      </c>
      <c r="C1643" t="s">
        <v>33585</v>
      </c>
    </row>
    <row r="1644" spans="1:3">
      <c r="A1644" t="s">
        <v>33584</v>
      </c>
      <c r="B1644" s="590">
        <v>647</v>
      </c>
      <c r="C1644" t="s">
        <v>33582</v>
      </c>
    </row>
    <row r="1645" spans="1:3">
      <c r="A1645" t="s">
        <v>33583</v>
      </c>
      <c r="B1645" s="590">
        <v>647</v>
      </c>
      <c r="C1645" t="s">
        <v>33582</v>
      </c>
    </row>
    <row r="1646" spans="1:3">
      <c r="A1646" t="s">
        <v>33581</v>
      </c>
      <c r="B1646" s="590">
        <v>272</v>
      </c>
      <c r="C1646" t="s">
        <v>33580</v>
      </c>
    </row>
    <row r="1647" spans="1:3">
      <c r="A1647" t="s">
        <v>22044</v>
      </c>
      <c r="B1647" s="590">
        <v>272</v>
      </c>
      <c r="C1647" t="s">
        <v>33579</v>
      </c>
    </row>
    <row r="1648" spans="1:3">
      <c r="A1648" t="s">
        <v>33578</v>
      </c>
      <c r="B1648" s="590">
        <v>336</v>
      </c>
      <c r="C1648" t="s">
        <v>33577</v>
      </c>
    </row>
    <row r="1649" spans="1:3">
      <c r="A1649" t="s">
        <v>22045</v>
      </c>
      <c r="B1649" s="590">
        <v>336</v>
      </c>
      <c r="C1649" t="s">
        <v>33576</v>
      </c>
    </row>
    <row r="1650" spans="1:3">
      <c r="A1650" t="s">
        <v>33575</v>
      </c>
      <c r="B1650" s="590">
        <v>164</v>
      </c>
      <c r="C1650" t="s">
        <v>33574</v>
      </c>
    </row>
    <row r="1651" spans="1:3">
      <c r="A1651" t="s">
        <v>33573</v>
      </c>
      <c r="B1651" s="590">
        <v>164</v>
      </c>
      <c r="C1651" t="s">
        <v>33572</v>
      </c>
    </row>
    <row r="1652" spans="1:3">
      <c r="A1652" t="s">
        <v>33571</v>
      </c>
      <c r="B1652" s="590">
        <v>1074</v>
      </c>
      <c r="C1652" t="s">
        <v>33570</v>
      </c>
    </row>
    <row r="1653" spans="1:3">
      <c r="A1653" t="s">
        <v>33569</v>
      </c>
      <c r="B1653" s="590">
        <v>1074</v>
      </c>
      <c r="C1653" t="s">
        <v>33568</v>
      </c>
    </row>
    <row r="1654" spans="1:3">
      <c r="A1654" t="s">
        <v>33567</v>
      </c>
      <c r="B1654" s="590">
        <v>1871</v>
      </c>
      <c r="C1654" t="s">
        <v>33566</v>
      </c>
    </row>
    <row r="1655" spans="1:3">
      <c r="A1655" t="s">
        <v>33565</v>
      </c>
      <c r="B1655" s="590">
        <v>1871</v>
      </c>
      <c r="C1655" t="s">
        <v>33564</v>
      </c>
    </row>
    <row r="1656" spans="1:3">
      <c r="A1656" t="s">
        <v>33563</v>
      </c>
      <c r="B1656" s="590">
        <v>1288</v>
      </c>
      <c r="C1656" t="s">
        <v>33562</v>
      </c>
    </row>
    <row r="1657" spans="1:3">
      <c r="A1657" t="s">
        <v>33561</v>
      </c>
      <c r="B1657" s="590">
        <v>1288</v>
      </c>
      <c r="C1657" t="s">
        <v>33560</v>
      </c>
    </row>
    <row r="1658" spans="1:3">
      <c r="A1658" t="s">
        <v>33559</v>
      </c>
      <c r="B1658" s="590">
        <v>1483</v>
      </c>
      <c r="C1658" t="s">
        <v>33558</v>
      </c>
    </row>
    <row r="1659" spans="1:3">
      <c r="A1659" t="s">
        <v>33557</v>
      </c>
      <c r="B1659" s="590">
        <v>2232</v>
      </c>
      <c r="C1659" t="s">
        <v>33556</v>
      </c>
    </row>
    <row r="1660" spans="1:3">
      <c r="A1660" t="s">
        <v>33555</v>
      </c>
      <c r="B1660" s="590">
        <v>2232</v>
      </c>
      <c r="C1660" t="s">
        <v>33554</v>
      </c>
    </row>
    <row r="1661" spans="1:3">
      <c r="A1661" t="s">
        <v>33553</v>
      </c>
      <c r="B1661" s="590">
        <v>2232</v>
      </c>
      <c r="C1661" t="s">
        <v>33552</v>
      </c>
    </row>
    <row r="1662" spans="1:3">
      <c r="A1662" t="s">
        <v>33551</v>
      </c>
      <c r="B1662" s="590">
        <v>2399</v>
      </c>
      <c r="C1662" t="s">
        <v>33550</v>
      </c>
    </row>
    <row r="1663" spans="1:3">
      <c r="A1663" t="s">
        <v>33549</v>
      </c>
      <c r="B1663" s="590">
        <v>2399</v>
      </c>
      <c r="C1663" t="s">
        <v>33548</v>
      </c>
    </row>
    <row r="1664" spans="1:3">
      <c r="A1664" t="s">
        <v>33547</v>
      </c>
      <c r="B1664" s="590">
        <v>130</v>
      </c>
      <c r="C1664" t="s">
        <v>33546</v>
      </c>
    </row>
    <row r="1665" spans="1:3">
      <c r="A1665" t="s">
        <v>33545</v>
      </c>
      <c r="B1665" s="590">
        <v>130</v>
      </c>
      <c r="C1665" t="s">
        <v>33544</v>
      </c>
    </row>
    <row r="1666" spans="1:3">
      <c r="A1666" t="s">
        <v>33543</v>
      </c>
      <c r="B1666" s="590">
        <v>149</v>
      </c>
      <c r="C1666" t="s">
        <v>33542</v>
      </c>
    </row>
    <row r="1667" spans="1:3">
      <c r="A1667" t="s">
        <v>33541</v>
      </c>
      <c r="B1667" s="590">
        <v>149</v>
      </c>
      <c r="C1667" t="s">
        <v>33540</v>
      </c>
    </row>
    <row r="1668" spans="1:3">
      <c r="A1668" t="s">
        <v>33539</v>
      </c>
      <c r="B1668" s="590">
        <v>251</v>
      </c>
      <c r="C1668" t="s">
        <v>33538</v>
      </c>
    </row>
    <row r="1669" spans="1:3">
      <c r="A1669" t="s">
        <v>33537</v>
      </c>
      <c r="B1669" s="590">
        <v>401</v>
      </c>
      <c r="C1669" t="s">
        <v>33536</v>
      </c>
    </row>
    <row r="1670" spans="1:3">
      <c r="A1670" t="s">
        <v>33535</v>
      </c>
      <c r="B1670" s="590">
        <v>401</v>
      </c>
      <c r="C1670" t="s">
        <v>33534</v>
      </c>
    </row>
    <row r="1671" spans="1:3">
      <c r="A1671" t="s">
        <v>33533</v>
      </c>
      <c r="B1671" s="590">
        <v>435</v>
      </c>
      <c r="C1671" t="s">
        <v>33532</v>
      </c>
    </row>
    <row r="1672" spans="1:3">
      <c r="A1672" t="s">
        <v>33531</v>
      </c>
      <c r="B1672" s="590">
        <v>208</v>
      </c>
      <c r="C1672" t="s">
        <v>33530</v>
      </c>
    </row>
    <row r="1673" spans="1:3">
      <c r="A1673" t="s">
        <v>33529</v>
      </c>
      <c r="B1673" s="590">
        <v>140</v>
      </c>
      <c r="C1673" t="s">
        <v>33528</v>
      </c>
    </row>
    <row r="1674" spans="1:3">
      <c r="A1674" t="s">
        <v>33527</v>
      </c>
      <c r="B1674" s="590">
        <v>1375</v>
      </c>
      <c r="C1674" t="s">
        <v>33526</v>
      </c>
    </row>
    <row r="1675" spans="1:3">
      <c r="A1675" t="s">
        <v>33525</v>
      </c>
      <c r="B1675" s="590">
        <v>1407</v>
      </c>
      <c r="C1675" t="s">
        <v>33524</v>
      </c>
    </row>
    <row r="1676" spans="1:3">
      <c r="A1676" t="s">
        <v>33523</v>
      </c>
      <c r="B1676" s="590">
        <v>2175</v>
      </c>
      <c r="C1676" t="s">
        <v>33522</v>
      </c>
    </row>
    <row r="1677" spans="1:3">
      <c r="A1677" t="s">
        <v>33521</v>
      </c>
      <c r="B1677" s="590">
        <v>2206</v>
      </c>
      <c r="C1677" t="s">
        <v>33520</v>
      </c>
    </row>
    <row r="1678" spans="1:3">
      <c r="A1678" t="s">
        <v>33519</v>
      </c>
      <c r="B1678" s="590">
        <v>1483</v>
      </c>
      <c r="C1678" t="s">
        <v>33518</v>
      </c>
    </row>
    <row r="1679" spans="1:3">
      <c r="A1679" t="s">
        <v>33517</v>
      </c>
      <c r="B1679" s="590">
        <v>1517</v>
      </c>
      <c r="C1679" t="s">
        <v>33516</v>
      </c>
    </row>
    <row r="1680" spans="1:3">
      <c r="A1680" t="s">
        <v>33515</v>
      </c>
      <c r="B1680" s="590">
        <v>1375</v>
      </c>
      <c r="C1680" t="s">
        <v>33514</v>
      </c>
    </row>
    <row r="1681" spans="1:3">
      <c r="A1681" t="s">
        <v>33513</v>
      </c>
      <c r="B1681" s="590">
        <v>1407</v>
      </c>
      <c r="C1681" t="s">
        <v>33512</v>
      </c>
    </row>
    <row r="1682" spans="1:3">
      <c r="A1682" t="s">
        <v>33511</v>
      </c>
      <c r="B1682" s="590">
        <v>2175</v>
      </c>
      <c r="C1682" t="s">
        <v>27352</v>
      </c>
    </row>
    <row r="1683" spans="1:3">
      <c r="A1683" t="s">
        <v>33510</v>
      </c>
      <c r="B1683" s="590">
        <v>2206</v>
      </c>
      <c r="C1683" t="s">
        <v>33509</v>
      </c>
    </row>
    <row r="1684" spans="1:3">
      <c r="A1684" t="s">
        <v>33508</v>
      </c>
      <c r="B1684" s="590">
        <v>1591</v>
      </c>
      <c r="C1684" t="s">
        <v>33507</v>
      </c>
    </row>
    <row r="1685" spans="1:3">
      <c r="A1685" t="s">
        <v>33506</v>
      </c>
      <c r="B1685" s="590">
        <v>1624</v>
      </c>
      <c r="C1685" t="s">
        <v>33505</v>
      </c>
    </row>
    <row r="1686" spans="1:3">
      <c r="A1686" t="s">
        <v>33504</v>
      </c>
      <c r="B1686" s="590">
        <v>2534</v>
      </c>
      <c r="C1686" t="s">
        <v>33503</v>
      </c>
    </row>
    <row r="1687" spans="1:3">
      <c r="A1687" t="s">
        <v>33502</v>
      </c>
      <c r="B1687" s="590">
        <v>2568</v>
      </c>
      <c r="C1687" t="s">
        <v>33501</v>
      </c>
    </row>
    <row r="1688" spans="1:3">
      <c r="A1688" t="s">
        <v>33500</v>
      </c>
      <c r="B1688" s="590">
        <v>402</v>
      </c>
      <c r="C1688" t="s">
        <v>33499</v>
      </c>
    </row>
    <row r="1689" spans="1:3">
      <c r="A1689" t="s">
        <v>33498</v>
      </c>
      <c r="B1689" s="590">
        <v>473</v>
      </c>
      <c r="C1689" t="s">
        <v>33497</v>
      </c>
    </row>
    <row r="1690" spans="1:3">
      <c r="A1690" t="s">
        <v>33496</v>
      </c>
      <c r="B1690" s="590">
        <v>402</v>
      </c>
      <c r="C1690" t="s">
        <v>33495</v>
      </c>
    </row>
    <row r="1691" spans="1:3">
      <c r="A1691" t="s">
        <v>33494</v>
      </c>
      <c r="B1691" s="590">
        <v>473</v>
      </c>
      <c r="C1691" t="s">
        <v>33493</v>
      </c>
    </row>
    <row r="1692" spans="1:3">
      <c r="A1692" t="s">
        <v>33492</v>
      </c>
      <c r="B1692" s="590">
        <v>2568</v>
      </c>
      <c r="C1692" t="s">
        <v>33491</v>
      </c>
    </row>
    <row r="1693" spans="1:3">
      <c r="A1693" t="s">
        <v>33490</v>
      </c>
      <c r="B1693" s="590">
        <v>2568</v>
      </c>
      <c r="C1693" t="s">
        <v>33489</v>
      </c>
    </row>
    <row r="1694" spans="1:3">
      <c r="A1694" t="s">
        <v>33488</v>
      </c>
      <c r="B1694" s="590">
        <v>2593</v>
      </c>
      <c r="C1694" t="s">
        <v>33487</v>
      </c>
    </row>
    <row r="1695" spans="1:3">
      <c r="A1695" t="s">
        <v>33486</v>
      </c>
      <c r="B1695" s="590">
        <v>2625</v>
      </c>
      <c r="C1695" t="s">
        <v>33485</v>
      </c>
    </row>
    <row r="1696" spans="1:3">
      <c r="A1696" t="s">
        <v>33484</v>
      </c>
      <c r="B1696" s="590">
        <v>2593</v>
      </c>
      <c r="C1696" t="s">
        <v>33483</v>
      </c>
    </row>
    <row r="1697" spans="1:3">
      <c r="A1697" t="s">
        <v>33482</v>
      </c>
      <c r="B1697" s="590">
        <v>2625</v>
      </c>
      <c r="C1697" t="s">
        <v>33481</v>
      </c>
    </row>
    <row r="1698" spans="1:3">
      <c r="A1698" t="s">
        <v>33480</v>
      </c>
      <c r="B1698" s="590">
        <v>3522</v>
      </c>
      <c r="C1698" t="s">
        <v>33479</v>
      </c>
    </row>
    <row r="1699" spans="1:3">
      <c r="A1699" t="s">
        <v>33478</v>
      </c>
      <c r="B1699" s="590">
        <v>4093</v>
      </c>
      <c r="C1699" t="s">
        <v>33477</v>
      </c>
    </row>
    <row r="1700" spans="1:3">
      <c r="A1700" t="s">
        <v>33476</v>
      </c>
      <c r="B1700" s="590">
        <v>4124</v>
      </c>
      <c r="C1700" t="s">
        <v>33475</v>
      </c>
    </row>
    <row r="1701" spans="1:3">
      <c r="A1701" t="s">
        <v>33474</v>
      </c>
      <c r="B1701" s="590">
        <v>2050</v>
      </c>
      <c r="C1701" t="s">
        <v>33464</v>
      </c>
    </row>
    <row r="1702" spans="1:3">
      <c r="A1702" t="s">
        <v>33473</v>
      </c>
      <c r="B1702" s="590">
        <v>3394</v>
      </c>
      <c r="C1702" t="s">
        <v>33462</v>
      </c>
    </row>
    <row r="1703" spans="1:3">
      <c r="A1703" t="s">
        <v>33472</v>
      </c>
      <c r="B1703" s="590">
        <v>2913</v>
      </c>
      <c r="C1703" t="s">
        <v>33471</v>
      </c>
    </row>
    <row r="1704" spans="1:3">
      <c r="A1704" t="s">
        <v>33470</v>
      </c>
      <c r="B1704" s="590">
        <v>2913</v>
      </c>
      <c r="C1704" t="s">
        <v>33469</v>
      </c>
    </row>
    <row r="1705" spans="1:3">
      <c r="A1705" t="s">
        <v>33468</v>
      </c>
      <c r="B1705" s="590">
        <v>5253</v>
      </c>
      <c r="C1705" t="s">
        <v>33466</v>
      </c>
    </row>
    <row r="1706" spans="1:3">
      <c r="A1706" t="s">
        <v>33467</v>
      </c>
      <c r="B1706" s="590">
        <v>5253</v>
      </c>
      <c r="C1706" t="s">
        <v>33466</v>
      </c>
    </row>
    <row r="1707" spans="1:3">
      <c r="A1707" t="s">
        <v>33465</v>
      </c>
      <c r="B1707" s="590">
        <v>2050</v>
      </c>
      <c r="C1707" t="s">
        <v>33464</v>
      </c>
    </row>
    <row r="1708" spans="1:3">
      <c r="A1708" t="s">
        <v>33463</v>
      </c>
      <c r="B1708" s="590">
        <v>3394</v>
      </c>
      <c r="C1708" t="s">
        <v>33462</v>
      </c>
    </row>
    <row r="1709" spans="1:3">
      <c r="A1709" t="s">
        <v>33461</v>
      </c>
      <c r="B1709" s="590">
        <v>1041</v>
      </c>
      <c r="C1709" t="s">
        <v>33460</v>
      </c>
    </row>
    <row r="1710" spans="1:3">
      <c r="A1710" t="s">
        <v>33459</v>
      </c>
      <c r="B1710" s="590">
        <v>1041</v>
      </c>
      <c r="C1710" t="s">
        <v>33458</v>
      </c>
    </row>
    <row r="1711" spans="1:3">
      <c r="A1711" t="s">
        <v>33457</v>
      </c>
      <c r="B1711" s="590">
        <v>1220</v>
      </c>
      <c r="C1711" t="s">
        <v>33455</v>
      </c>
    </row>
    <row r="1712" spans="1:3">
      <c r="A1712" t="s">
        <v>33456</v>
      </c>
      <c r="B1712" s="590">
        <v>1220</v>
      </c>
      <c r="C1712" t="s">
        <v>33455</v>
      </c>
    </row>
    <row r="1713" spans="1:3">
      <c r="A1713" t="s">
        <v>33454</v>
      </c>
      <c r="B1713" s="590">
        <v>2014</v>
      </c>
      <c r="C1713" t="s">
        <v>33453</v>
      </c>
    </row>
    <row r="1714" spans="1:3">
      <c r="A1714" t="s">
        <v>33452</v>
      </c>
      <c r="B1714" s="590">
        <v>2014</v>
      </c>
      <c r="C1714" t="s">
        <v>33451</v>
      </c>
    </row>
    <row r="1715" spans="1:3">
      <c r="A1715" t="s">
        <v>33450</v>
      </c>
      <c r="B1715" s="590">
        <v>2375</v>
      </c>
      <c r="C1715" t="s">
        <v>33449</v>
      </c>
    </row>
    <row r="1716" spans="1:3">
      <c r="A1716" t="s">
        <v>33448</v>
      </c>
      <c r="B1716" s="590">
        <v>2375</v>
      </c>
      <c r="C1716" t="s">
        <v>33447</v>
      </c>
    </row>
    <row r="1717" spans="1:3">
      <c r="A1717" t="s">
        <v>33446</v>
      </c>
      <c r="B1717" s="590">
        <v>528</v>
      </c>
      <c r="C1717" t="s">
        <v>33444</v>
      </c>
    </row>
    <row r="1718" spans="1:3">
      <c r="A1718" t="s">
        <v>33445</v>
      </c>
      <c r="B1718" s="590">
        <v>528</v>
      </c>
      <c r="C1718" t="s">
        <v>33444</v>
      </c>
    </row>
    <row r="1719" spans="1:3">
      <c r="A1719" t="s">
        <v>33443</v>
      </c>
      <c r="B1719" s="590">
        <v>716</v>
      </c>
      <c r="C1719" t="s">
        <v>33441</v>
      </c>
    </row>
    <row r="1720" spans="1:3">
      <c r="A1720" t="s">
        <v>33442</v>
      </c>
      <c r="B1720" s="590">
        <v>716</v>
      </c>
      <c r="C1720" t="s">
        <v>33441</v>
      </c>
    </row>
    <row r="1721" spans="1:3">
      <c r="A1721" t="s">
        <v>33440</v>
      </c>
      <c r="B1721" s="590">
        <v>607</v>
      </c>
      <c r="C1721" t="s">
        <v>33438</v>
      </c>
    </row>
    <row r="1722" spans="1:3">
      <c r="A1722" t="s">
        <v>33439</v>
      </c>
      <c r="B1722" s="590">
        <v>607</v>
      </c>
      <c r="C1722" t="s">
        <v>33438</v>
      </c>
    </row>
    <row r="1723" spans="1:3">
      <c r="A1723" t="s">
        <v>33437</v>
      </c>
      <c r="B1723" s="590">
        <v>607</v>
      </c>
      <c r="C1723" t="s">
        <v>33436</v>
      </c>
    </row>
    <row r="1724" spans="1:3">
      <c r="A1724" t="s">
        <v>33435</v>
      </c>
      <c r="B1724" s="590">
        <v>607</v>
      </c>
      <c r="C1724" t="s">
        <v>33434</v>
      </c>
    </row>
    <row r="1725" spans="1:3">
      <c r="A1725" t="s">
        <v>33433</v>
      </c>
      <c r="B1725" s="590">
        <v>1074</v>
      </c>
      <c r="C1725" t="s">
        <v>33432</v>
      </c>
    </row>
    <row r="1726" spans="1:3">
      <c r="A1726" t="s">
        <v>33431</v>
      </c>
      <c r="B1726" s="590">
        <v>1074</v>
      </c>
      <c r="C1726" t="s">
        <v>33430</v>
      </c>
    </row>
    <row r="1727" spans="1:3">
      <c r="A1727" t="s">
        <v>33429</v>
      </c>
      <c r="B1727" s="590">
        <v>1269</v>
      </c>
      <c r="C1727" t="s">
        <v>33428</v>
      </c>
    </row>
    <row r="1728" spans="1:3">
      <c r="A1728" t="s">
        <v>33427</v>
      </c>
      <c r="B1728" s="590">
        <v>1269</v>
      </c>
      <c r="C1728" t="s">
        <v>33426</v>
      </c>
    </row>
    <row r="1729" spans="1:3">
      <c r="A1729" t="s">
        <v>33425</v>
      </c>
      <c r="B1729" s="590">
        <v>1074</v>
      </c>
      <c r="C1729" t="s">
        <v>33424</v>
      </c>
    </row>
    <row r="1730" spans="1:3">
      <c r="A1730" t="s">
        <v>33423</v>
      </c>
      <c r="B1730" s="590">
        <v>1074</v>
      </c>
      <c r="C1730" t="s">
        <v>33422</v>
      </c>
    </row>
    <row r="1731" spans="1:3">
      <c r="A1731" t="s">
        <v>33421</v>
      </c>
      <c r="B1731" s="590">
        <v>1074</v>
      </c>
      <c r="C1731" t="s">
        <v>33420</v>
      </c>
    </row>
    <row r="1732" spans="1:3">
      <c r="A1732" t="s">
        <v>33419</v>
      </c>
      <c r="B1732" s="590">
        <v>1074</v>
      </c>
      <c r="C1732" t="s">
        <v>33418</v>
      </c>
    </row>
    <row r="1733" spans="1:3">
      <c r="A1733" t="s">
        <v>33417</v>
      </c>
      <c r="B1733" s="590">
        <v>1074</v>
      </c>
      <c r="C1733" t="s">
        <v>33416</v>
      </c>
    </row>
    <row r="1734" spans="1:3">
      <c r="A1734" t="s">
        <v>33415</v>
      </c>
      <c r="B1734" s="590">
        <v>1074</v>
      </c>
      <c r="C1734" t="s">
        <v>33414</v>
      </c>
    </row>
    <row r="1735" spans="1:3">
      <c r="A1735" t="s">
        <v>33413</v>
      </c>
      <c r="B1735" s="590">
        <v>5648</v>
      </c>
      <c r="C1735" t="s">
        <v>33412</v>
      </c>
    </row>
    <row r="1736" spans="1:3">
      <c r="A1736" t="s">
        <v>33411</v>
      </c>
      <c r="B1736" s="590">
        <v>5648</v>
      </c>
      <c r="C1736" t="s">
        <v>33410</v>
      </c>
    </row>
    <row r="1737" spans="1:3">
      <c r="A1737" t="s">
        <v>33409</v>
      </c>
      <c r="B1737" s="590">
        <v>5648</v>
      </c>
      <c r="C1737" t="s">
        <v>33408</v>
      </c>
    </row>
    <row r="1738" spans="1:3">
      <c r="A1738" t="s">
        <v>33407</v>
      </c>
      <c r="B1738" s="590">
        <v>5648</v>
      </c>
      <c r="C1738" t="s">
        <v>33406</v>
      </c>
    </row>
    <row r="1739" spans="1:3">
      <c r="A1739" t="s">
        <v>33405</v>
      </c>
      <c r="B1739" s="590">
        <v>5648</v>
      </c>
      <c r="C1739" t="s">
        <v>33404</v>
      </c>
    </row>
    <row r="1740" spans="1:3">
      <c r="A1740" t="s">
        <v>33403</v>
      </c>
      <c r="B1740" s="590">
        <v>4781</v>
      </c>
      <c r="C1740" t="s">
        <v>33402</v>
      </c>
    </row>
    <row r="1741" spans="1:3">
      <c r="A1741" t="s">
        <v>33401</v>
      </c>
      <c r="B1741" s="590">
        <v>4781</v>
      </c>
      <c r="C1741" t="s">
        <v>33400</v>
      </c>
    </row>
    <row r="1742" spans="1:3">
      <c r="A1742" t="s">
        <v>33399</v>
      </c>
      <c r="B1742" s="590">
        <v>4781</v>
      </c>
      <c r="C1742" t="s">
        <v>33398</v>
      </c>
    </row>
    <row r="1743" spans="1:3">
      <c r="A1743" t="s">
        <v>33397</v>
      </c>
      <c r="B1743" s="590">
        <v>4781</v>
      </c>
      <c r="C1743" t="s">
        <v>33396</v>
      </c>
    </row>
    <row r="1744" spans="1:3">
      <c r="A1744" t="s">
        <v>33395</v>
      </c>
      <c r="B1744" s="590">
        <v>4781</v>
      </c>
      <c r="C1744" t="s">
        <v>33394</v>
      </c>
    </row>
    <row r="1745" spans="1:3">
      <c r="A1745" t="s">
        <v>33393</v>
      </c>
      <c r="B1745" s="590">
        <v>3102</v>
      </c>
      <c r="C1745" t="s">
        <v>33392</v>
      </c>
    </row>
    <row r="1746" spans="1:3">
      <c r="A1746" t="s">
        <v>33391</v>
      </c>
      <c r="B1746" s="590">
        <v>3102</v>
      </c>
      <c r="C1746" t="s">
        <v>33390</v>
      </c>
    </row>
    <row r="1747" spans="1:3">
      <c r="A1747" t="s">
        <v>33389</v>
      </c>
      <c r="B1747" s="590">
        <v>3102</v>
      </c>
      <c r="C1747" t="s">
        <v>33388</v>
      </c>
    </row>
    <row r="1748" spans="1:3">
      <c r="A1748" t="s">
        <v>33387</v>
      </c>
      <c r="B1748" s="590">
        <v>3102</v>
      </c>
      <c r="C1748" t="s">
        <v>33386</v>
      </c>
    </row>
    <row r="1749" spans="1:3">
      <c r="A1749" t="s">
        <v>33385</v>
      </c>
      <c r="B1749" s="590">
        <v>3102</v>
      </c>
      <c r="C1749" t="s">
        <v>33384</v>
      </c>
    </row>
    <row r="1750" spans="1:3">
      <c r="A1750" t="s">
        <v>33383</v>
      </c>
      <c r="B1750" s="590">
        <v>2428</v>
      </c>
      <c r="C1750" t="s">
        <v>33382</v>
      </c>
    </row>
    <row r="1751" spans="1:3">
      <c r="A1751" t="s">
        <v>33381</v>
      </c>
      <c r="B1751" s="590">
        <v>2428</v>
      </c>
      <c r="C1751" t="s">
        <v>33380</v>
      </c>
    </row>
    <row r="1752" spans="1:3">
      <c r="A1752" t="s">
        <v>33379</v>
      </c>
      <c r="B1752" s="590">
        <v>2428</v>
      </c>
      <c r="C1752" t="s">
        <v>33378</v>
      </c>
    </row>
    <row r="1753" spans="1:3">
      <c r="A1753" t="s">
        <v>33377</v>
      </c>
      <c r="B1753" s="590">
        <v>2428</v>
      </c>
      <c r="C1753" t="s">
        <v>33376</v>
      </c>
    </row>
    <row r="1754" spans="1:3">
      <c r="A1754" t="s">
        <v>33375</v>
      </c>
      <c r="B1754" s="590">
        <v>2428</v>
      </c>
      <c r="C1754" t="s">
        <v>33374</v>
      </c>
    </row>
    <row r="1755" spans="1:3">
      <c r="A1755" t="s">
        <v>33373</v>
      </c>
      <c r="B1755" s="590">
        <v>1681</v>
      </c>
      <c r="C1755" t="s">
        <v>33372</v>
      </c>
    </row>
    <row r="1756" spans="1:3">
      <c r="A1756" t="s">
        <v>33371</v>
      </c>
      <c r="B1756" s="590">
        <v>1681</v>
      </c>
      <c r="C1756" t="s">
        <v>33370</v>
      </c>
    </row>
    <row r="1757" spans="1:3">
      <c r="A1757" t="s">
        <v>33369</v>
      </c>
      <c r="B1757" s="590">
        <v>1681</v>
      </c>
      <c r="C1757" t="s">
        <v>33368</v>
      </c>
    </row>
    <row r="1758" spans="1:3">
      <c r="A1758" t="s">
        <v>33367</v>
      </c>
      <c r="B1758" s="590">
        <v>1681</v>
      </c>
      <c r="C1758" t="s">
        <v>33366</v>
      </c>
    </row>
    <row r="1759" spans="1:3">
      <c r="A1759" t="s">
        <v>33365</v>
      </c>
      <c r="B1759" s="590">
        <v>1681</v>
      </c>
      <c r="C1759" t="s">
        <v>33364</v>
      </c>
    </row>
    <row r="1760" spans="1:3">
      <c r="A1760" t="s">
        <v>33363</v>
      </c>
      <c r="B1760" s="590">
        <v>1032</v>
      </c>
      <c r="C1760" t="s">
        <v>33362</v>
      </c>
    </row>
    <row r="1761" spans="1:3">
      <c r="A1761" t="s">
        <v>33361</v>
      </c>
      <c r="B1761" s="590">
        <v>1032</v>
      </c>
      <c r="C1761" t="s">
        <v>33360</v>
      </c>
    </row>
    <row r="1762" spans="1:3">
      <c r="A1762" t="s">
        <v>33359</v>
      </c>
      <c r="B1762" s="590">
        <v>539</v>
      </c>
      <c r="C1762" t="s">
        <v>33358</v>
      </c>
    </row>
    <row r="1763" spans="1:3">
      <c r="A1763" t="s">
        <v>33357</v>
      </c>
      <c r="B1763" s="590">
        <v>539</v>
      </c>
      <c r="C1763" t="s">
        <v>33356</v>
      </c>
    </row>
    <row r="1764" spans="1:3">
      <c r="A1764" t="s">
        <v>33355</v>
      </c>
      <c r="B1764" s="590">
        <v>118</v>
      </c>
      <c r="C1764" t="s">
        <v>33354</v>
      </c>
    </row>
    <row r="1765" spans="1:3">
      <c r="A1765" t="s">
        <v>33353</v>
      </c>
      <c r="B1765" s="590">
        <v>399</v>
      </c>
      <c r="C1765" t="s">
        <v>33352</v>
      </c>
    </row>
    <row r="1766" spans="1:3">
      <c r="A1766" t="s">
        <v>33351</v>
      </c>
      <c r="B1766" s="590">
        <v>399</v>
      </c>
      <c r="C1766" t="s">
        <v>33350</v>
      </c>
    </row>
    <row r="1767" spans="1:3">
      <c r="A1767" t="s">
        <v>33349</v>
      </c>
      <c r="B1767" s="590">
        <v>238</v>
      </c>
      <c r="C1767" t="s">
        <v>33348</v>
      </c>
    </row>
    <row r="1768" spans="1:3">
      <c r="A1768" t="s">
        <v>33347</v>
      </c>
      <c r="B1768" s="590">
        <v>117</v>
      </c>
      <c r="C1768" t="s">
        <v>33346</v>
      </c>
    </row>
    <row r="1769" spans="1:3">
      <c r="A1769" t="s">
        <v>33345</v>
      </c>
      <c r="B1769" s="590">
        <v>175</v>
      </c>
      <c r="C1769" t="s">
        <v>33344</v>
      </c>
    </row>
    <row r="1770" spans="1:3">
      <c r="A1770" t="s">
        <v>33079</v>
      </c>
      <c r="B1770" s="590">
        <v>23</v>
      </c>
      <c r="C1770" t="s">
        <v>33078</v>
      </c>
    </row>
    <row r="1771" spans="1:3">
      <c r="A1771" t="s">
        <v>33077</v>
      </c>
      <c r="B1771" s="590">
        <v>32</v>
      </c>
      <c r="C1771" t="s">
        <v>33076</v>
      </c>
    </row>
    <row r="1772" spans="1:3">
      <c r="A1772" t="s">
        <v>33075</v>
      </c>
      <c r="B1772" s="590">
        <v>45</v>
      </c>
      <c r="C1772" t="s">
        <v>33074</v>
      </c>
    </row>
    <row r="1773" spans="1:3">
      <c r="A1773" t="s">
        <v>33073</v>
      </c>
      <c r="B1773" s="590">
        <v>32</v>
      </c>
      <c r="C1773" t="s">
        <v>33072</v>
      </c>
    </row>
    <row r="1774" spans="1:3">
      <c r="A1774" t="s">
        <v>33343</v>
      </c>
      <c r="B1774" s="590">
        <v>298</v>
      </c>
      <c r="C1774" t="s">
        <v>33342</v>
      </c>
    </row>
    <row r="1775" spans="1:3">
      <c r="A1775" t="s">
        <v>33341</v>
      </c>
      <c r="B1775" s="590">
        <v>23</v>
      </c>
      <c r="C1775" t="s">
        <v>33340</v>
      </c>
    </row>
    <row r="1776" spans="1:3">
      <c r="A1776" t="s">
        <v>33339</v>
      </c>
      <c r="B1776" s="590">
        <v>45</v>
      </c>
      <c r="C1776" t="s">
        <v>33338</v>
      </c>
    </row>
    <row r="1777" spans="1:3">
      <c r="A1777" t="s">
        <v>33337</v>
      </c>
      <c r="B1777" s="590">
        <v>158</v>
      </c>
      <c r="C1777" t="s">
        <v>33336</v>
      </c>
    </row>
    <row r="1778" spans="1:3">
      <c r="A1778" t="s">
        <v>33335</v>
      </c>
      <c r="B1778" s="590">
        <v>158</v>
      </c>
      <c r="C1778" t="s">
        <v>33334</v>
      </c>
    </row>
    <row r="1779" spans="1:3">
      <c r="A1779" t="s">
        <v>33333</v>
      </c>
      <c r="B1779" s="590">
        <v>158</v>
      </c>
      <c r="C1779" t="s">
        <v>33332</v>
      </c>
    </row>
    <row r="1780" spans="1:3">
      <c r="A1780" t="s">
        <v>33331</v>
      </c>
      <c r="B1780" s="590">
        <v>158</v>
      </c>
      <c r="C1780" t="s">
        <v>33330</v>
      </c>
    </row>
    <row r="1781" spans="1:3">
      <c r="A1781" t="s">
        <v>33329</v>
      </c>
      <c r="B1781" s="590">
        <v>158</v>
      </c>
      <c r="C1781" t="s">
        <v>33328</v>
      </c>
    </row>
    <row r="1782" spans="1:3">
      <c r="A1782" t="s">
        <v>33327</v>
      </c>
      <c r="B1782" s="590">
        <v>158</v>
      </c>
      <c r="C1782" t="s">
        <v>33326</v>
      </c>
    </row>
    <row r="1783" spans="1:3">
      <c r="A1783" t="s">
        <v>33325</v>
      </c>
      <c r="B1783" s="590">
        <v>158</v>
      </c>
      <c r="C1783" t="s">
        <v>33324</v>
      </c>
    </row>
    <row r="1784" spans="1:3">
      <c r="A1784" t="s">
        <v>33323</v>
      </c>
      <c r="B1784" s="590">
        <v>158</v>
      </c>
      <c r="C1784" t="s">
        <v>33322</v>
      </c>
    </row>
    <row r="1785" spans="1:3">
      <c r="A1785" t="s">
        <v>33321</v>
      </c>
      <c r="B1785" s="590">
        <v>158</v>
      </c>
      <c r="C1785" t="s">
        <v>33320</v>
      </c>
    </row>
    <row r="1786" spans="1:3">
      <c r="A1786" t="s">
        <v>33319</v>
      </c>
      <c r="B1786" s="590">
        <v>158</v>
      </c>
      <c r="C1786" t="s">
        <v>33318</v>
      </c>
    </row>
    <row r="1787" spans="1:3">
      <c r="A1787" t="s">
        <v>33317</v>
      </c>
      <c r="B1787" s="590">
        <v>158</v>
      </c>
      <c r="C1787" t="s">
        <v>33316</v>
      </c>
    </row>
    <row r="1788" spans="1:3">
      <c r="A1788" t="s">
        <v>33315</v>
      </c>
      <c r="B1788" s="590">
        <v>178</v>
      </c>
      <c r="C1788" t="s">
        <v>33314</v>
      </c>
    </row>
    <row r="1789" spans="1:3">
      <c r="A1789" t="s">
        <v>33313</v>
      </c>
      <c r="B1789" s="590">
        <v>178</v>
      </c>
      <c r="C1789" t="s">
        <v>33312</v>
      </c>
    </row>
    <row r="1790" spans="1:3">
      <c r="A1790" t="s">
        <v>33311</v>
      </c>
      <c r="B1790" s="590">
        <v>178</v>
      </c>
      <c r="C1790" t="s">
        <v>33310</v>
      </c>
    </row>
    <row r="1791" spans="1:3">
      <c r="A1791" t="s">
        <v>33309</v>
      </c>
      <c r="B1791" s="590">
        <v>158</v>
      </c>
      <c r="C1791" t="s">
        <v>33308</v>
      </c>
    </row>
    <row r="1792" spans="1:3">
      <c r="A1792" t="s">
        <v>33307</v>
      </c>
      <c r="B1792" s="590">
        <v>158</v>
      </c>
      <c r="C1792" t="s">
        <v>33306</v>
      </c>
    </row>
    <row r="1793" spans="1:3">
      <c r="A1793" t="s">
        <v>33305</v>
      </c>
      <c r="B1793" s="590">
        <v>158</v>
      </c>
      <c r="C1793" t="s">
        <v>33304</v>
      </c>
    </row>
    <row r="1794" spans="1:3">
      <c r="A1794" t="s">
        <v>33303</v>
      </c>
      <c r="B1794" s="590">
        <v>158</v>
      </c>
      <c r="C1794" t="s">
        <v>33302</v>
      </c>
    </row>
    <row r="1795" spans="1:3">
      <c r="A1795" t="s">
        <v>33301</v>
      </c>
      <c r="B1795" s="590">
        <v>158</v>
      </c>
      <c r="C1795" t="s">
        <v>33300</v>
      </c>
    </row>
    <row r="1796" spans="1:3">
      <c r="A1796" t="s">
        <v>33299</v>
      </c>
      <c r="B1796" s="590">
        <v>158</v>
      </c>
      <c r="C1796" t="s">
        <v>33298</v>
      </c>
    </row>
    <row r="1797" spans="1:3">
      <c r="A1797" t="s">
        <v>33297</v>
      </c>
      <c r="B1797" s="590">
        <v>158</v>
      </c>
      <c r="C1797" t="s">
        <v>33296</v>
      </c>
    </row>
    <row r="1798" spans="1:3">
      <c r="A1798" t="s">
        <v>33295</v>
      </c>
      <c r="B1798" s="590">
        <v>158</v>
      </c>
      <c r="C1798" t="s">
        <v>33294</v>
      </c>
    </row>
    <row r="1799" spans="1:3">
      <c r="A1799" t="s">
        <v>33293</v>
      </c>
      <c r="B1799" s="590">
        <v>158</v>
      </c>
      <c r="C1799" t="s">
        <v>33292</v>
      </c>
    </row>
    <row r="1800" spans="1:3">
      <c r="A1800" t="s">
        <v>33291</v>
      </c>
      <c r="B1800" s="590">
        <v>158</v>
      </c>
      <c r="C1800" t="s">
        <v>33290</v>
      </c>
    </row>
    <row r="1801" spans="1:3">
      <c r="A1801" t="s">
        <v>33289</v>
      </c>
      <c r="B1801" s="590">
        <v>158</v>
      </c>
      <c r="C1801" t="s">
        <v>33288</v>
      </c>
    </row>
    <row r="1802" spans="1:3">
      <c r="A1802" t="s">
        <v>33287</v>
      </c>
      <c r="B1802" s="590">
        <v>178</v>
      </c>
      <c r="C1802" t="s">
        <v>33286</v>
      </c>
    </row>
    <row r="1803" spans="1:3">
      <c r="A1803" t="s">
        <v>33285</v>
      </c>
      <c r="B1803" s="590">
        <v>178</v>
      </c>
      <c r="C1803" t="s">
        <v>33284</v>
      </c>
    </row>
    <row r="1804" spans="1:3">
      <c r="A1804" t="s">
        <v>33283</v>
      </c>
      <c r="B1804" s="590">
        <v>178</v>
      </c>
      <c r="C1804" t="s">
        <v>33282</v>
      </c>
    </row>
    <row r="1805" spans="1:3">
      <c r="A1805" t="s">
        <v>33281</v>
      </c>
      <c r="B1805" s="590">
        <v>178</v>
      </c>
      <c r="C1805" t="s">
        <v>33280</v>
      </c>
    </row>
    <row r="1806" spans="1:3">
      <c r="A1806" t="s">
        <v>33279</v>
      </c>
      <c r="B1806" s="590">
        <v>172</v>
      </c>
      <c r="C1806" t="s">
        <v>33278</v>
      </c>
    </row>
    <row r="1807" spans="1:3">
      <c r="A1807" t="s">
        <v>33277</v>
      </c>
      <c r="B1807" s="590">
        <v>172</v>
      </c>
      <c r="C1807" t="s">
        <v>33276</v>
      </c>
    </row>
    <row r="1808" spans="1:3">
      <c r="A1808" t="s">
        <v>33275</v>
      </c>
      <c r="B1808" s="590">
        <v>172</v>
      </c>
      <c r="C1808" t="s">
        <v>33274</v>
      </c>
    </row>
    <row r="1809" spans="1:3">
      <c r="A1809" t="s">
        <v>33273</v>
      </c>
      <c r="B1809" s="590">
        <v>172</v>
      </c>
      <c r="C1809" t="s">
        <v>33272</v>
      </c>
    </row>
    <row r="1810" spans="1:3">
      <c r="A1810" t="s">
        <v>33271</v>
      </c>
      <c r="B1810" s="590">
        <v>1714</v>
      </c>
      <c r="C1810" t="s">
        <v>33270</v>
      </c>
    </row>
    <row r="1811" spans="1:3">
      <c r="A1811" t="s">
        <v>33269</v>
      </c>
      <c r="B1811" s="590">
        <v>172</v>
      </c>
      <c r="C1811" t="s">
        <v>33268</v>
      </c>
    </row>
    <row r="1812" spans="1:3">
      <c r="A1812" t="s">
        <v>33267</v>
      </c>
      <c r="B1812" s="590">
        <v>172</v>
      </c>
      <c r="C1812" t="s">
        <v>33266</v>
      </c>
    </row>
    <row r="1813" spans="1:3">
      <c r="A1813" t="s">
        <v>33265</v>
      </c>
      <c r="B1813" s="590">
        <v>172</v>
      </c>
      <c r="C1813" t="s">
        <v>33264</v>
      </c>
    </row>
    <row r="1814" spans="1:3">
      <c r="A1814" t="s">
        <v>33263</v>
      </c>
      <c r="B1814" s="590">
        <v>172</v>
      </c>
      <c r="C1814" t="s">
        <v>33262</v>
      </c>
    </row>
    <row r="1815" spans="1:3">
      <c r="A1815" t="s">
        <v>33261</v>
      </c>
      <c r="B1815" s="590">
        <v>172</v>
      </c>
      <c r="C1815" t="s">
        <v>33260</v>
      </c>
    </row>
    <row r="1816" spans="1:3">
      <c r="A1816" t="s">
        <v>33259</v>
      </c>
      <c r="B1816" s="590">
        <v>172</v>
      </c>
      <c r="C1816" t="s">
        <v>33258</v>
      </c>
    </row>
    <row r="1817" spans="1:3">
      <c r="A1817" t="s">
        <v>33257</v>
      </c>
      <c r="B1817" s="590">
        <v>172</v>
      </c>
      <c r="C1817" t="s">
        <v>33256</v>
      </c>
    </row>
    <row r="1818" spans="1:3">
      <c r="A1818" t="s">
        <v>33255</v>
      </c>
      <c r="B1818" s="590">
        <v>172</v>
      </c>
      <c r="C1818" t="s">
        <v>33254</v>
      </c>
    </row>
    <row r="1819" spans="1:3">
      <c r="A1819" t="s">
        <v>33253</v>
      </c>
      <c r="B1819" s="590">
        <v>172</v>
      </c>
      <c r="C1819" t="s">
        <v>33252</v>
      </c>
    </row>
    <row r="1820" spans="1:3">
      <c r="A1820" t="s">
        <v>33251</v>
      </c>
      <c r="B1820" s="590">
        <v>172</v>
      </c>
      <c r="C1820" t="s">
        <v>33250</v>
      </c>
    </row>
    <row r="1821" spans="1:3">
      <c r="A1821" t="s">
        <v>33249</v>
      </c>
      <c r="B1821" s="590">
        <v>172</v>
      </c>
      <c r="C1821" t="s">
        <v>33248</v>
      </c>
    </row>
    <row r="1822" spans="1:3">
      <c r="A1822" t="s">
        <v>33247</v>
      </c>
      <c r="B1822" s="590">
        <v>172</v>
      </c>
      <c r="C1822" t="s">
        <v>33246</v>
      </c>
    </row>
    <row r="1823" spans="1:3">
      <c r="A1823" t="s">
        <v>33245</v>
      </c>
      <c r="B1823" s="590">
        <v>172</v>
      </c>
      <c r="C1823" t="s">
        <v>33244</v>
      </c>
    </row>
    <row r="1824" spans="1:3">
      <c r="A1824" t="s">
        <v>33243</v>
      </c>
      <c r="B1824" s="590">
        <v>172</v>
      </c>
      <c r="C1824" t="s">
        <v>33242</v>
      </c>
    </row>
    <row r="1825" spans="1:3">
      <c r="A1825" t="s">
        <v>33241</v>
      </c>
      <c r="B1825" s="590">
        <v>172</v>
      </c>
      <c r="C1825" t="s">
        <v>33240</v>
      </c>
    </row>
    <row r="1826" spans="1:3">
      <c r="A1826" t="s">
        <v>33239</v>
      </c>
      <c r="B1826" s="590">
        <v>172</v>
      </c>
      <c r="C1826" t="s">
        <v>33238</v>
      </c>
    </row>
    <row r="1827" spans="1:3">
      <c r="A1827" t="s">
        <v>33237</v>
      </c>
      <c r="B1827" s="590">
        <v>169</v>
      </c>
      <c r="C1827" t="s">
        <v>33236</v>
      </c>
    </row>
    <row r="1828" spans="1:3">
      <c r="A1828" t="s">
        <v>33235</v>
      </c>
      <c r="B1828" s="590">
        <v>169</v>
      </c>
      <c r="C1828" t="s">
        <v>33234</v>
      </c>
    </row>
    <row r="1829" spans="1:3">
      <c r="A1829" t="s">
        <v>33233</v>
      </c>
      <c r="B1829" s="590">
        <v>169</v>
      </c>
      <c r="C1829" t="s">
        <v>33232</v>
      </c>
    </row>
    <row r="1830" spans="1:3">
      <c r="A1830" t="s">
        <v>33231</v>
      </c>
      <c r="B1830" s="590">
        <v>169</v>
      </c>
      <c r="C1830" t="s">
        <v>33230</v>
      </c>
    </row>
    <row r="1831" spans="1:3">
      <c r="A1831" t="s">
        <v>33229</v>
      </c>
      <c r="B1831" s="590">
        <v>169</v>
      </c>
      <c r="C1831" t="s">
        <v>33228</v>
      </c>
    </row>
    <row r="1832" spans="1:3">
      <c r="A1832" t="s">
        <v>33227</v>
      </c>
      <c r="B1832" s="590">
        <v>169</v>
      </c>
      <c r="C1832" t="s">
        <v>33226</v>
      </c>
    </row>
    <row r="1833" spans="1:3">
      <c r="A1833" t="s">
        <v>33225</v>
      </c>
      <c r="B1833" s="590">
        <v>169</v>
      </c>
      <c r="C1833" t="s">
        <v>33224</v>
      </c>
    </row>
    <row r="1834" spans="1:3">
      <c r="A1834" t="s">
        <v>33223</v>
      </c>
      <c r="B1834" s="590">
        <v>169</v>
      </c>
      <c r="C1834" t="s">
        <v>33222</v>
      </c>
    </row>
    <row r="1835" spans="1:3">
      <c r="A1835" t="s">
        <v>33221</v>
      </c>
      <c r="B1835" s="590">
        <v>169</v>
      </c>
      <c r="C1835" t="s">
        <v>33220</v>
      </c>
    </row>
    <row r="1836" spans="1:3">
      <c r="A1836" t="s">
        <v>33219</v>
      </c>
      <c r="B1836" s="590">
        <v>169</v>
      </c>
      <c r="C1836" t="s">
        <v>33218</v>
      </c>
    </row>
    <row r="1837" spans="1:3">
      <c r="A1837" t="s">
        <v>33217</v>
      </c>
      <c r="B1837" s="590">
        <v>169</v>
      </c>
      <c r="C1837" t="s">
        <v>33216</v>
      </c>
    </row>
    <row r="1838" spans="1:3">
      <c r="A1838" t="s">
        <v>33215</v>
      </c>
      <c r="B1838" s="590">
        <v>189</v>
      </c>
      <c r="C1838" t="s">
        <v>33214</v>
      </c>
    </row>
    <row r="1839" spans="1:3">
      <c r="A1839" t="s">
        <v>33213</v>
      </c>
      <c r="B1839" s="590">
        <v>189</v>
      </c>
      <c r="C1839" t="s">
        <v>33212</v>
      </c>
    </row>
    <row r="1840" spans="1:3">
      <c r="A1840" t="s">
        <v>33211</v>
      </c>
      <c r="B1840" s="590">
        <v>189</v>
      </c>
      <c r="C1840" t="s">
        <v>33210</v>
      </c>
    </row>
    <row r="1841" spans="1:3">
      <c r="A1841" t="s">
        <v>33209</v>
      </c>
      <c r="B1841" s="590">
        <v>169</v>
      </c>
      <c r="C1841" t="s">
        <v>33208</v>
      </c>
    </row>
    <row r="1842" spans="1:3">
      <c r="A1842" t="s">
        <v>33207</v>
      </c>
      <c r="B1842" s="590">
        <v>169</v>
      </c>
      <c r="C1842" t="s">
        <v>33206</v>
      </c>
    </row>
    <row r="1843" spans="1:3">
      <c r="A1843" t="s">
        <v>33205</v>
      </c>
      <c r="B1843" s="590">
        <v>169</v>
      </c>
      <c r="C1843" t="s">
        <v>33204</v>
      </c>
    </row>
    <row r="1844" spans="1:3">
      <c r="A1844" t="s">
        <v>33203</v>
      </c>
      <c r="B1844" s="590">
        <v>169</v>
      </c>
      <c r="C1844" t="s">
        <v>33202</v>
      </c>
    </row>
    <row r="1845" spans="1:3">
      <c r="A1845" t="s">
        <v>33201</v>
      </c>
      <c r="B1845" s="590">
        <v>169</v>
      </c>
      <c r="C1845" t="s">
        <v>33200</v>
      </c>
    </row>
    <row r="1846" spans="1:3">
      <c r="A1846" t="s">
        <v>33199</v>
      </c>
      <c r="B1846" s="590">
        <v>169</v>
      </c>
      <c r="C1846" t="s">
        <v>33198</v>
      </c>
    </row>
    <row r="1847" spans="1:3">
      <c r="A1847" t="s">
        <v>33197</v>
      </c>
      <c r="B1847" s="590">
        <v>169</v>
      </c>
      <c r="C1847" t="s">
        <v>33196</v>
      </c>
    </row>
    <row r="1848" spans="1:3">
      <c r="A1848" t="s">
        <v>33195</v>
      </c>
      <c r="B1848" s="590">
        <v>169</v>
      </c>
      <c r="C1848" t="s">
        <v>33194</v>
      </c>
    </row>
    <row r="1849" spans="1:3">
      <c r="A1849" t="s">
        <v>33193</v>
      </c>
      <c r="B1849" s="590">
        <v>169</v>
      </c>
      <c r="C1849" t="s">
        <v>33192</v>
      </c>
    </row>
    <row r="1850" spans="1:3">
      <c r="A1850" t="s">
        <v>33191</v>
      </c>
      <c r="B1850" s="590">
        <v>169</v>
      </c>
      <c r="C1850" t="s">
        <v>33190</v>
      </c>
    </row>
    <row r="1851" spans="1:3">
      <c r="A1851" t="s">
        <v>33189</v>
      </c>
      <c r="B1851" s="590">
        <v>169</v>
      </c>
      <c r="C1851" t="s">
        <v>33188</v>
      </c>
    </row>
    <row r="1852" spans="1:3">
      <c r="A1852" t="s">
        <v>33187</v>
      </c>
      <c r="B1852" s="590">
        <v>189</v>
      </c>
      <c r="C1852" t="s">
        <v>33186</v>
      </c>
    </row>
    <row r="1853" spans="1:3">
      <c r="A1853" t="s">
        <v>33185</v>
      </c>
      <c r="B1853" s="590">
        <v>189</v>
      </c>
      <c r="C1853" t="s">
        <v>33184</v>
      </c>
    </row>
    <row r="1854" spans="1:3">
      <c r="A1854" t="s">
        <v>33183</v>
      </c>
      <c r="B1854" s="590">
        <v>183</v>
      </c>
      <c r="C1854" t="s">
        <v>33182</v>
      </c>
    </row>
    <row r="1855" spans="1:3">
      <c r="A1855" t="s">
        <v>33181</v>
      </c>
      <c r="B1855" s="590">
        <v>183</v>
      </c>
      <c r="C1855" t="s">
        <v>33180</v>
      </c>
    </row>
    <row r="1856" spans="1:3">
      <c r="A1856" t="s">
        <v>33179</v>
      </c>
      <c r="B1856" s="590">
        <v>183</v>
      </c>
      <c r="C1856" t="s">
        <v>33178</v>
      </c>
    </row>
    <row r="1857" spans="1:3">
      <c r="A1857" t="s">
        <v>33177</v>
      </c>
      <c r="B1857" s="590">
        <v>183</v>
      </c>
      <c r="C1857" t="s">
        <v>33176</v>
      </c>
    </row>
    <row r="1858" spans="1:3">
      <c r="A1858" t="s">
        <v>33175</v>
      </c>
      <c r="B1858" s="590">
        <v>183</v>
      </c>
      <c r="C1858" t="s">
        <v>33174</v>
      </c>
    </row>
    <row r="1859" spans="1:3">
      <c r="A1859" t="s">
        <v>33173</v>
      </c>
      <c r="B1859" s="590">
        <v>183</v>
      </c>
      <c r="C1859" t="s">
        <v>33165</v>
      </c>
    </row>
    <row r="1860" spans="1:3">
      <c r="A1860" t="s">
        <v>33172</v>
      </c>
      <c r="B1860" s="590">
        <v>183</v>
      </c>
      <c r="C1860" t="s">
        <v>33171</v>
      </c>
    </row>
    <row r="1861" spans="1:3">
      <c r="A1861" t="s">
        <v>33170</v>
      </c>
      <c r="B1861" s="590">
        <v>183</v>
      </c>
      <c r="C1861" t="s">
        <v>33169</v>
      </c>
    </row>
    <row r="1862" spans="1:3">
      <c r="A1862" t="s">
        <v>33168</v>
      </c>
      <c r="B1862" s="590">
        <v>183</v>
      </c>
      <c r="C1862" t="s">
        <v>33167</v>
      </c>
    </row>
    <row r="1863" spans="1:3">
      <c r="A1863" t="s">
        <v>33166</v>
      </c>
      <c r="B1863" s="590">
        <v>183</v>
      </c>
      <c r="C1863" t="s">
        <v>33165</v>
      </c>
    </row>
    <row r="1864" spans="1:3">
      <c r="A1864" t="s">
        <v>33164</v>
      </c>
      <c r="B1864" s="590">
        <v>183</v>
      </c>
      <c r="C1864" t="s">
        <v>33163</v>
      </c>
    </row>
    <row r="1865" spans="1:3">
      <c r="A1865" t="s">
        <v>33162</v>
      </c>
      <c r="B1865" s="590">
        <v>183</v>
      </c>
      <c r="C1865" t="s">
        <v>33161</v>
      </c>
    </row>
    <row r="1866" spans="1:3">
      <c r="A1866" t="s">
        <v>33160</v>
      </c>
      <c r="B1866" s="590">
        <v>183</v>
      </c>
      <c r="C1866" t="s">
        <v>33159</v>
      </c>
    </row>
    <row r="1867" spans="1:3">
      <c r="A1867" t="s">
        <v>33158</v>
      </c>
      <c r="B1867" s="590">
        <v>183</v>
      </c>
      <c r="C1867" t="s">
        <v>33157</v>
      </c>
    </row>
    <row r="1868" spans="1:3">
      <c r="A1868" t="s">
        <v>33156</v>
      </c>
      <c r="B1868" s="590">
        <v>183</v>
      </c>
      <c r="C1868" t="s">
        <v>33155</v>
      </c>
    </row>
    <row r="1869" spans="1:3">
      <c r="A1869" t="s">
        <v>33154</v>
      </c>
      <c r="B1869" s="590">
        <v>183</v>
      </c>
      <c r="C1869" t="s">
        <v>33153</v>
      </c>
    </row>
    <row r="1870" spans="1:3">
      <c r="A1870" t="s">
        <v>33152</v>
      </c>
      <c r="B1870" s="590">
        <v>183</v>
      </c>
      <c r="C1870" t="s">
        <v>33151</v>
      </c>
    </row>
    <row r="1871" spans="1:3">
      <c r="A1871" t="s">
        <v>33150</v>
      </c>
      <c r="B1871" s="590">
        <v>183</v>
      </c>
      <c r="C1871" t="s">
        <v>33149</v>
      </c>
    </row>
    <row r="1872" spans="1:3">
      <c r="A1872" t="s">
        <v>33148</v>
      </c>
      <c r="B1872" s="590">
        <v>183</v>
      </c>
      <c r="C1872" t="s">
        <v>33147</v>
      </c>
    </row>
    <row r="1873" spans="1:3">
      <c r="A1873" t="s">
        <v>33146</v>
      </c>
      <c r="B1873" s="590">
        <v>183</v>
      </c>
      <c r="C1873" t="s">
        <v>33145</v>
      </c>
    </row>
    <row r="1874" spans="1:3">
      <c r="A1874" t="s">
        <v>33144</v>
      </c>
      <c r="B1874" s="590">
        <v>183</v>
      </c>
      <c r="C1874" t="s">
        <v>33143</v>
      </c>
    </row>
    <row r="1875" spans="1:3">
      <c r="A1875" t="s">
        <v>33142</v>
      </c>
      <c r="B1875" s="590">
        <v>21</v>
      </c>
      <c r="C1875" t="s">
        <v>33141</v>
      </c>
    </row>
    <row r="1876" spans="1:3">
      <c r="A1876" t="s">
        <v>33140</v>
      </c>
      <c r="B1876" s="590">
        <v>45</v>
      </c>
      <c r="C1876" t="s">
        <v>33139</v>
      </c>
    </row>
    <row r="1877" spans="1:3">
      <c r="A1877" t="s">
        <v>33138</v>
      </c>
      <c r="B1877" s="590">
        <v>45</v>
      </c>
      <c r="C1877" t="s">
        <v>33137</v>
      </c>
    </row>
    <row r="1878" spans="1:3">
      <c r="A1878" t="s">
        <v>33136</v>
      </c>
      <c r="B1878" s="590">
        <v>28</v>
      </c>
      <c r="C1878" t="s">
        <v>33135</v>
      </c>
    </row>
    <row r="1879" spans="1:3">
      <c r="A1879" t="s">
        <v>33134</v>
      </c>
      <c r="B1879" s="590">
        <v>20</v>
      </c>
      <c r="C1879" t="s">
        <v>33133</v>
      </c>
    </row>
    <row r="1880" spans="1:3">
      <c r="A1880" t="s">
        <v>33132</v>
      </c>
      <c r="B1880" s="590">
        <v>50</v>
      </c>
      <c r="C1880" t="s">
        <v>33131</v>
      </c>
    </row>
    <row r="1881" spans="1:3">
      <c r="A1881" t="s">
        <v>33130</v>
      </c>
      <c r="B1881" s="590">
        <v>28</v>
      </c>
      <c r="C1881" t="s">
        <v>33129</v>
      </c>
    </row>
    <row r="1882" spans="1:3">
      <c r="A1882" t="s">
        <v>33128</v>
      </c>
      <c r="B1882" s="590">
        <v>28</v>
      </c>
      <c r="C1882" t="s">
        <v>33127</v>
      </c>
    </row>
    <row r="1883" spans="1:3">
      <c r="A1883" t="s">
        <v>33126</v>
      </c>
      <c r="B1883" s="590">
        <v>201</v>
      </c>
      <c r="C1883" t="s">
        <v>33125</v>
      </c>
    </row>
    <row r="1884" spans="1:3">
      <c r="A1884" t="s">
        <v>33124</v>
      </c>
      <c r="B1884" s="590">
        <v>20</v>
      </c>
      <c r="C1884" t="s">
        <v>33123</v>
      </c>
    </row>
    <row r="1885" spans="1:3">
      <c r="A1885" t="s">
        <v>33122</v>
      </c>
      <c r="B1885" s="590">
        <v>41</v>
      </c>
      <c r="C1885" t="s">
        <v>33121</v>
      </c>
    </row>
    <row r="1886" spans="1:3">
      <c r="A1886" t="s">
        <v>33120</v>
      </c>
      <c r="B1886" s="590">
        <v>24</v>
      </c>
      <c r="C1886" t="s">
        <v>33119</v>
      </c>
    </row>
    <row r="1887" spans="1:3">
      <c r="A1887" t="s">
        <v>33118</v>
      </c>
      <c r="B1887" s="590">
        <v>167</v>
      </c>
      <c r="C1887" t="s">
        <v>33117</v>
      </c>
    </row>
    <row r="1888" spans="1:3">
      <c r="A1888" t="s">
        <v>33116</v>
      </c>
      <c r="B1888" s="590">
        <v>167</v>
      </c>
      <c r="C1888" t="s">
        <v>33115</v>
      </c>
    </row>
    <row r="1889" spans="1:3">
      <c r="A1889" t="s">
        <v>33114</v>
      </c>
      <c r="B1889" s="590">
        <v>167</v>
      </c>
      <c r="C1889" t="s">
        <v>27057</v>
      </c>
    </row>
    <row r="1890" spans="1:3">
      <c r="A1890" t="s">
        <v>33113</v>
      </c>
      <c r="B1890" s="590">
        <v>229</v>
      </c>
      <c r="C1890" t="s">
        <v>33112</v>
      </c>
    </row>
    <row r="1891" spans="1:3">
      <c r="A1891" t="s">
        <v>33111</v>
      </c>
      <c r="B1891" s="590">
        <v>167</v>
      </c>
      <c r="C1891" t="s">
        <v>33110</v>
      </c>
    </row>
    <row r="1892" spans="1:3">
      <c r="A1892" t="s">
        <v>33109</v>
      </c>
      <c r="B1892" s="590">
        <v>218</v>
      </c>
      <c r="C1892" t="s">
        <v>33108</v>
      </c>
    </row>
    <row r="1893" spans="1:3">
      <c r="A1893" t="s">
        <v>33107</v>
      </c>
      <c r="B1893" s="590">
        <v>218</v>
      </c>
      <c r="C1893" t="s">
        <v>33106</v>
      </c>
    </row>
    <row r="1894" spans="1:3">
      <c r="A1894" t="s">
        <v>33105</v>
      </c>
      <c r="B1894" s="590">
        <v>218</v>
      </c>
      <c r="C1894" t="s">
        <v>33104</v>
      </c>
    </row>
    <row r="1895" spans="1:3">
      <c r="A1895" t="s">
        <v>33103</v>
      </c>
      <c r="B1895" s="590">
        <v>218</v>
      </c>
      <c r="C1895" t="s">
        <v>33102</v>
      </c>
    </row>
    <row r="1896" spans="1:3">
      <c r="A1896" t="s">
        <v>33101</v>
      </c>
      <c r="B1896" s="590">
        <v>218</v>
      </c>
      <c r="C1896" t="s">
        <v>33100</v>
      </c>
    </row>
    <row r="1897" spans="1:3">
      <c r="A1897" t="s">
        <v>33099</v>
      </c>
      <c r="B1897" s="590">
        <v>218</v>
      </c>
      <c r="C1897" t="s">
        <v>33098</v>
      </c>
    </row>
    <row r="1898" spans="1:3">
      <c r="A1898" t="s">
        <v>33097</v>
      </c>
      <c r="B1898" s="590">
        <v>238</v>
      </c>
      <c r="C1898" t="s">
        <v>33096</v>
      </c>
    </row>
    <row r="1899" spans="1:3">
      <c r="A1899" t="s">
        <v>33095</v>
      </c>
      <c r="B1899" s="590">
        <v>238</v>
      </c>
      <c r="C1899" t="s">
        <v>33094</v>
      </c>
    </row>
    <row r="1900" spans="1:3">
      <c r="A1900" t="s">
        <v>33093</v>
      </c>
      <c r="B1900" s="590">
        <v>238</v>
      </c>
      <c r="C1900" t="s">
        <v>33092</v>
      </c>
    </row>
    <row r="1901" spans="1:3">
      <c r="A1901" t="s">
        <v>33091</v>
      </c>
      <c r="B1901" s="590">
        <v>238</v>
      </c>
      <c r="C1901" t="s">
        <v>33090</v>
      </c>
    </row>
    <row r="1902" spans="1:3">
      <c r="A1902" t="s">
        <v>33089</v>
      </c>
      <c r="B1902" s="590">
        <v>238</v>
      </c>
      <c r="C1902" t="s">
        <v>33088</v>
      </c>
    </row>
    <row r="1903" spans="1:3">
      <c r="A1903" t="s">
        <v>33087</v>
      </c>
      <c r="B1903" s="590">
        <v>238</v>
      </c>
      <c r="C1903" t="s">
        <v>33086</v>
      </c>
    </row>
    <row r="1904" spans="1:3">
      <c r="A1904" t="s">
        <v>33085</v>
      </c>
      <c r="B1904" s="590">
        <v>238</v>
      </c>
      <c r="C1904" t="s">
        <v>33084</v>
      </c>
    </row>
    <row r="1905" spans="1:3">
      <c r="A1905" t="s">
        <v>33083</v>
      </c>
      <c r="B1905" s="590">
        <v>238</v>
      </c>
      <c r="C1905" t="s">
        <v>33082</v>
      </c>
    </row>
    <row r="1906" spans="1:3">
      <c r="A1906" t="s">
        <v>33081</v>
      </c>
      <c r="B1906" s="590">
        <v>238</v>
      </c>
      <c r="C1906" t="s">
        <v>33080</v>
      </c>
    </row>
    <row r="1907" spans="1:3">
      <c r="A1907" t="s">
        <v>33079</v>
      </c>
      <c r="B1907" s="590">
        <v>23</v>
      </c>
      <c r="C1907" t="s">
        <v>33078</v>
      </c>
    </row>
    <row r="1908" spans="1:3">
      <c r="A1908" t="s">
        <v>33077</v>
      </c>
      <c r="B1908" s="590">
        <v>32</v>
      </c>
      <c r="C1908" t="s">
        <v>33076</v>
      </c>
    </row>
    <row r="1909" spans="1:3">
      <c r="A1909" t="s">
        <v>33075</v>
      </c>
      <c r="B1909" s="590">
        <v>45</v>
      </c>
      <c r="C1909" t="s">
        <v>33074</v>
      </c>
    </row>
    <row r="1910" spans="1:3">
      <c r="A1910" t="s">
        <v>33073</v>
      </c>
      <c r="B1910" s="590">
        <v>32</v>
      </c>
      <c r="C1910" t="s">
        <v>33072</v>
      </c>
    </row>
    <row r="1911" spans="1:3">
      <c r="A1911" t="s">
        <v>32796</v>
      </c>
      <c r="B1911" s="590">
        <v>118</v>
      </c>
      <c r="C1911" t="s">
        <v>32795</v>
      </c>
    </row>
    <row r="1912" spans="1:3">
      <c r="A1912" t="s">
        <v>32794</v>
      </c>
      <c r="B1912" s="590">
        <v>118</v>
      </c>
      <c r="C1912" t="s">
        <v>32793</v>
      </c>
    </row>
    <row r="1913" spans="1:3">
      <c r="A1913" t="s">
        <v>32792</v>
      </c>
      <c r="B1913" s="590">
        <v>118</v>
      </c>
      <c r="C1913" t="s">
        <v>32791</v>
      </c>
    </row>
    <row r="1914" spans="1:3">
      <c r="A1914" t="s">
        <v>27207</v>
      </c>
      <c r="B1914" s="590">
        <v>133</v>
      </c>
      <c r="C1914" t="s">
        <v>27206</v>
      </c>
    </row>
    <row r="1915" spans="1:3">
      <c r="A1915" t="s">
        <v>32790</v>
      </c>
      <c r="B1915" s="590">
        <v>118</v>
      </c>
      <c r="C1915" t="s">
        <v>32789</v>
      </c>
    </row>
    <row r="1916" spans="1:3">
      <c r="A1916" t="s">
        <v>32813</v>
      </c>
      <c r="B1916" s="590">
        <v>118</v>
      </c>
      <c r="C1916" t="s">
        <v>32812</v>
      </c>
    </row>
    <row r="1917" spans="1:3">
      <c r="A1917" t="s">
        <v>22026</v>
      </c>
      <c r="B1917" s="590">
        <v>118</v>
      </c>
      <c r="C1917" t="s">
        <v>32811</v>
      </c>
    </row>
    <row r="1918" spans="1:3">
      <c r="A1918" t="s">
        <v>32810</v>
      </c>
      <c r="B1918" s="590">
        <v>118</v>
      </c>
      <c r="C1918" t="s">
        <v>32809</v>
      </c>
    </row>
    <row r="1919" spans="1:3">
      <c r="A1919" t="s">
        <v>27205</v>
      </c>
      <c r="B1919" s="590">
        <v>133</v>
      </c>
      <c r="C1919" t="s">
        <v>27204</v>
      </c>
    </row>
    <row r="1920" spans="1:3">
      <c r="A1920" t="s">
        <v>32808</v>
      </c>
      <c r="B1920" s="590">
        <v>118</v>
      </c>
      <c r="C1920" t="s">
        <v>32807</v>
      </c>
    </row>
    <row r="1921" spans="1:3">
      <c r="A1921" t="s">
        <v>32806</v>
      </c>
      <c r="B1921" s="590">
        <v>118</v>
      </c>
      <c r="C1921" t="s">
        <v>32805</v>
      </c>
    </row>
    <row r="1922" spans="1:3">
      <c r="A1922" t="s">
        <v>32804</v>
      </c>
      <c r="B1922" s="590">
        <v>118</v>
      </c>
      <c r="C1922" t="s">
        <v>32803</v>
      </c>
    </row>
    <row r="1923" spans="1:3">
      <c r="A1923" t="s">
        <v>32802</v>
      </c>
      <c r="B1923" s="590">
        <v>118</v>
      </c>
      <c r="C1923" t="s">
        <v>32801</v>
      </c>
    </row>
    <row r="1924" spans="1:3">
      <c r="A1924" t="s">
        <v>32800</v>
      </c>
      <c r="B1924" s="590">
        <v>133</v>
      </c>
      <c r="C1924" t="s">
        <v>32799</v>
      </c>
    </row>
    <row r="1925" spans="1:3">
      <c r="A1925" t="s">
        <v>32798</v>
      </c>
      <c r="B1925" s="590">
        <v>118</v>
      </c>
      <c r="C1925" t="s">
        <v>32797</v>
      </c>
    </row>
    <row r="1926" spans="1:3">
      <c r="A1926" t="s">
        <v>33071</v>
      </c>
      <c r="B1926" s="590">
        <v>296</v>
      </c>
      <c r="C1926" t="s">
        <v>33070</v>
      </c>
    </row>
    <row r="1927" spans="1:3">
      <c r="A1927" t="s">
        <v>33069</v>
      </c>
      <c r="B1927" s="590">
        <v>296</v>
      </c>
      <c r="C1927" t="s">
        <v>33068</v>
      </c>
    </row>
    <row r="1928" spans="1:3">
      <c r="A1928" t="s">
        <v>33067</v>
      </c>
      <c r="B1928" s="590">
        <v>296</v>
      </c>
      <c r="C1928" t="s">
        <v>33066</v>
      </c>
    </row>
    <row r="1929" spans="1:3">
      <c r="A1929" t="s">
        <v>27235</v>
      </c>
      <c r="B1929" s="590">
        <v>370</v>
      </c>
      <c r="C1929" t="s">
        <v>27234</v>
      </c>
    </row>
    <row r="1930" spans="1:3">
      <c r="A1930" t="s">
        <v>33065</v>
      </c>
      <c r="B1930" s="590">
        <v>296</v>
      </c>
      <c r="C1930" t="s">
        <v>33064</v>
      </c>
    </row>
    <row r="1931" spans="1:3">
      <c r="A1931" t="s">
        <v>33063</v>
      </c>
      <c r="B1931" s="590">
        <v>309</v>
      </c>
      <c r="C1931" t="s">
        <v>33062</v>
      </c>
    </row>
    <row r="1932" spans="1:3">
      <c r="A1932" t="s">
        <v>33061</v>
      </c>
      <c r="B1932" s="590">
        <v>309</v>
      </c>
      <c r="C1932" t="s">
        <v>33060</v>
      </c>
    </row>
    <row r="1933" spans="1:3">
      <c r="A1933" t="s">
        <v>33059</v>
      </c>
      <c r="B1933" s="590">
        <v>309</v>
      </c>
      <c r="C1933" t="s">
        <v>33058</v>
      </c>
    </row>
    <row r="1934" spans="1:3">
      <c r="A1934" t="s">
        <v>27233</v>
      </c>
      <c r="B1934" s="590">
        <v>385</v>
      </c>
      <c r="C1934" t="s">
        <v>27232</v>
      </c>
    </row>
    <row r="1935" spans="1:3">
      <c r="A1935" t="s">
        <v>33057</v>
      </c>
      <c r="B1935" s="590">
        <v>309</v>
      </c>
      <c r="C1935" t="s">
        <v>33056</v>
      </c>
    </row>
    <row r="1936" spans="1:3">
      <c r="A1936" t="s">
        <v>33055</v>
      </c>
      <c r="B1936" s="590">
        <v>309</v>
      </c>
      <c r="C1936" t="s">
        <v>33054</v>
      </c>
    </row>
    <row r="1937" spans="1:3">
      <c r="A1937" t="s">
        <v>33053</v>
      </c>
      <c r="B1937" s="590">
        <v>309</v>
      </c>
      <c r="C1937" t="s">
        <v>33052</v>
      </c>
    </row>
    <row r="1938" spans="1:3">
      <c r="A1938" t="s">
        <v>33051</v>
      </c>
      <c r="B1938" s="590">
        <v>309</v>
      </c>
      <c r="C1938" t="s">
        <v>33050</v>
      </c>
    </row>
    <row r="1939" spans="1:3">
      <c r="A1939" t="s">
        <v>33049</v>
      </c>
      <c r="B1939" s="590">
        <v>309</v>
      </c>
      <c r="C1939" t="s">
        <v>33048</v>
      </c>
    </row>
    <row r="1940" spans="1:3">
      <c r="A1940" t="s">
        <v>33047</v>
      </c>
      <c r="B1940" s="590">
        <v>322</v>
      </c>
      <c r="C1940" t="s">
        <v>33046</v>
      </c>
    </row>
    <row r="1941" spans="1:3">
      <c r="A1941" t="s">
        <v>33045</v>
      </c>
      <c r="B1941" s="590">
        <v>322</v>
      </c>
      <c r="C1941" t="s">
        <v>33044</v>
      </c>
    </row>
    <row r="1942" spans="1:3">
      <c r="A1942" t="s">
        <v>33043</v>
      </c>
      <c r="B1942" s="590">
        <v>322</v>
      </c>
      <c r="C1942" t="s">
        <v>33042</v>
      </c>
    </row>
    <row r="1943" spans="1:3">
      <c r="A1943" t="s">
        <v>33041</v>
      </c>
      <c r="B1943" s="590">
        <v>322</v>
      </c>
      <c r="C1943" t="s">
        <v>33040</v>
      </c>
    </row>
    <row r="1944" spans="1:3">
      <c r="A1944" t="s">
        <v>33039</v>
      </c>
      <c r="B1944" s="590">
        <v>214</v>
      </c>
      <c r="C1944" t="s">
        <v>33038</v>
      </c>
    </row>
    <row r="1945" spans="1:3">
      <c r="A1945" t="s">
        <v>22029</v>
      </c>
      <c r="B1945" s="590">
        <v>214</v>
      </c>
      <c r="C1945" t="s">
        <v>33037</v>
      </c>
    </row>
    <row r="1946" spans="1:3">
      <c r="A1946" t="s">
        <v>33036</v>
      </c>
      <c r="B1946" s="590">
        <v>214</v>
      </c>
      <c r="C1946" t="s">
        <v>33035</v>
      </c>
    </row>
    <row r="1947" spans="1:3">
      <c r="A1947" t="s">
        <v>27231</v>
      </c>
      <c r="B1947" s="590">
        <v>230</v>
      </c>
      <c r="C1947" t="s">
        <v>27230</v>
      </c>
    </row>
    <row r="1948" spans="1:3">
      <c r="A1948" t="s">
        <v>33034</v>
      </c>
      <c r="B1948" s="590">
        <v>214</v>
      </c>
      <c r="C1948" t="s">
        <v>33033</v>
      </c>
    </row>
    <row r="1949" spans="1:3">
      <c r="A1949" t="s">
        <v>33032</v>
      </c>
      <c r="B1949" s="590">
        <v>222</v>
      </c>
      <c r="C1949" t="s">
        <v>33031</v>
      </c>
    </row>
    <row r="1950" spans="1:3">
      <c r="A1950" t="s">
        <v>33030</v>
      </c>
      <c r="B1950" s="590">
        <v>222</v>
      </c>
      <c r="C1950" t="s">
        <v>33029</v>
      </c>
    </row>
    <row r="1951" spans="1:3">
      <c r="A1951" t="s">
        <v>33028</v>
      </c>
      <c r="B1951" s="590">
        <v>222</v>
      </c>
      <c r="C1951" t="s">
        <v>33027</v>
      </c>
    </row>
    <row r="1952" spans="1:3">
      <c r="A1952" t="s">
        <v>33026</v>
      </c>
      <c r="B1952" s="590">
        <v>222</v>
      </c>
      <c r="C1952" t="s">
        <v>33025</v>
      </c>
    </row>
    <row r="1953" spans="1:3">
      <c r="A1953" t="s">
        <v>33024</v>
      </c>
      <c r="B1953" s="590">
        <v>222</v>
      </c>
      <c r="C1953" t="s">
        <v>33023</v>
      </c>
    </row>
    <row r="1954" spans="1:3">
      <c r="A1954" t="s">
        <v>33022</v>
      </c>
      <c r="B1954" s="590">
        <v>222</v>
      </c>
      <c r="C1954" t="s">
        <v>33021</v>
      </c>
    </row>
    <row r="1955" spans="1:3">
      <c r="A1955" t="s">
        <v>32788</v>
      </c>
      <c r="B1955" s="590">
        <v>24</v>
      </c>
      <c r="C1955" t="s">
        <v>32787</v>
      </c>
    </row>
    <row r="1956" spans="1:3">
      <c r="A1956" t="s">
        <v>33020</v>
      </c>
      <c r="B1956" s="590">
        <v>24</v>
      </c>
      <c r="C1956" t="s">
        <v>33019</v>
      </c>
    </row>
    <row r="1957" spans="1:3">
      <c r="A1957" t="s">
        <v>33018</v>
      </c>
      <c r="B1957" s="590">
        <v>42</v>
      </c>
      <c r="C1957" t="s">
        <v>33017</v>
      </c>
    </row>
    <row r="1958" spans="1:3">
      <c r="A1958" t="s">
        <v>32786</v>
      </c>
      <c r="B1958" s="590">
        <v>22</v>
      </c>
      <c r="C1958" t="s">
        <v>32785</v>
      </c>
    </row>
    <row r="1959" spans="1:3">
      <c r="A1959" t="s">
        <v>32784</v>
      </c>
      <c r="B1959" s="590">
        <v>28</v>
      </c>
      <c r="C1959" t="s">
        <v>32783</v>
      </c>
    </row>
    <row r="1960" spans="1:3">
      <c r="A1960" t="s">
        <v>33016</v>
      </c>
      <c r="B1960" s="590">
        <v>24</v>
      </c>
      <c r="C1960" t="s">
        <v>33015</v>
      </c>
    </row>
    <row r="1961" spans="1:3">
      <c r="A1961" t="s">
        <v>33014</v>
      </c>
      <c r="B1961" s="590">
        <v>13</v>
      </c>
      <c r="C1961" t="s">
        <v>33013</v>
      </c>
    </row>
    <row r="1962" spans="1:3">
      <c r="A1962" t="s">
        <v>33012</v>
      </c>
      <c r="B1962" s="590">
        <v>33</v>
      </c>
      <c r="C1962" t="s">
        <v>33011</v>
      </c>
    </row>
    <row r="1963" spans="1:3">
      <c r="A1963" t="s">
        <v>33010</v>
      </c>
      <c r="B1963" s="590">
        <v>23</v>
      </c>
      <c r="C1963" t="s">
        <v>33009</v>
      </c>
    </row>
    <row r="1964" spans="1:3">
      <c r="A1964" t="s">
        <v>33008</v>
      </c>
      <c r="B1964" s="590">
        <v>35</v>
      </c>
      <c r="C1964" t="s">
        <v>33007</v>
      </c>
    </row>
    <row r="1965" spans="1:3">
      <c r="A1965" t="s">
        <v>33006</v>
      </c>
      <c r="B1965" s="590">
        <v>35</v>
      </c>
      <c r="C1965" t="s">
        <v>33005</v>
      </c>
    </row>
    <row r="1966" spans="1:3">
      <c r="A1966" t="s">
        <v>33004</v>
      </c>
      <c r="B1966" s="590">
        <v>35</v>
      </c>
      <c r="C1966" t="s">
        <v>33003</v>
      </c>
    </row>
    <row r="1967" spans="1:3">
      <c r="A1967" t="s">
        <v>33002</v>
      </c>
      <c r="B1967" s="590">
        <v>35</v>
      </c>
      <c r="C1967" t="s">
        <v>33001</v>
      </c>
    </row>
    <row r="1968" spans="1:3">
      <c r="A1968" t="s">
        <v>33000</v>
      </c>
      <c r="B1968" s="590">
        <v>35</v>
      </c>
      <c r="C1968" t="s">
        <v>32999</v>
      </c>
    </row>
    <row r="1969" spans="1:3">
      <c r="A1969" t="s">
        <v>32998</v>
      </c>
      <c r="B1969" s="590">
        <v>35</v>
      </c>
      <c r="C1969" t="s">
        <v>32997</v>
      </c>
    </row>
    <row r="1970" spans="1:3">
      <c r="A1970" t="s">
        <v>32996</v>
      </c>
      <c r="B1970" s="590">
        <v>35</v>
      </c>
      <c r="C1970" t="s">
        <v>32995</v>
      </c>
    </row>
    <row r="1971" spans="1:3">
      <c r="A1971" t="s">
        <v>32994</v>
      </c>
      <c r="B1971" s="590">
        <v>35</v>
      </c>
      <c r="C1971" t="s">
        <v>32993</v>
      </c>
    </row>
    <row r="1972" spans="1:3">
      <c r="A1972" t="s">
        <v>32992</v>
      </c>
      <c r="B1972" s="590">
        <v>35</v>
      </c>
      <c r="C1972" t="s">
        <v>32991</v>
      </c>
    </row>
    <row r="1973" spans="1:3">
      <c r="A1973" t="s">
        <v>32990</v>
      </c>
      <c r="B1973" s="590">
        <v>20</v>
      </c>
      <c r="C1973" t="s">
        <v>32989</v>
      </c>
    </row>
    <row r="1974" spans="1:3">
      <c r="A1974" t="s">
        <v>32988</v>
      </c>
      <c r="B1974" s="590">
        <v>33</v>
      </c>
      <c r="C1974" t="s">
        <v>32987</v>
      </c>
    </row>
    <row r="1975" spans="1:3">
      <c r="A1975" t="s">
        <v>32986</v>
      </c>
      <c r="B1975" s="590">
        <v>50</v>
      </c>
      <c r="C1975" t="s">
        <v>32985</v>
      </c>
    </row>
    <row r="1976" spans="1:3">
      <c r="A1976" t="s">
        <v>32984</v>
      </c>
      <c r="B1976" s="590">
        <v>34</v>
      </c>
      <c r="C1976" t="s">
        <v>32983</v>
      </c>
    </row>
    <row r="1977" spans="1:3">
      <c r="A1977" t="s">
        <v>32982</v>
      </c>
      <c r="B1977" s="590">
        <v>34</v>
      </c>
      <c r="C1977" t="s">
        <v>32981</v>
      </c>
    </row>
    <row r="1978" spans="1:3">
      <c r="A1978" t="s">
        <v>32980</v>
      </c>
      <c r="B1978" s="590">
        <v>44</v>
      </c>
      <c r="C1978" t="s">
        <v>32979</v>
      </c>
    </row>
    <row r="1979" spans="1:3">
      <c r="A1979" t="s">
        <v>32978</v>
      </c>
      <c r="B1979" s="590">
        <v>83</v>
      </c>
      <c r="C1979" t="s">
        <v>32977</v>
      </c>
    </row>
    <row r="1980" spans="1:3">
      <c r="A1980" t="s">
        <v>32976</v>
      </c>
      <c r="B1980" s="590">
        <v>60</v>
      </c>
      <c r="C1980" t="s">
        <v>32975</v>
      </c>
    </row>
    <row r="1981" spans="1:3">
      <c r="A1981" t="s">
        <v>32974</v>
      </c>
      <c r="B1981" s="590">
        <v>83</v>
      </c>
      <c r="C1981" t="s">
        <v>32973</v>
      </c>
    </row>
    <row r="1982" spans="1:3">
      <c r="A1982" t="s">
        <v>32782</v>
      </c>
      <c r="B1982" s="590">
        <v>28</v>
      </c>
      <c r="C1982" t="s">
        <v>32781</v>
      </c>
    </row>
    <row r="1983" spans="1:3">
      <c r="A1983" t="s">
        <v>32780</v>
      </c>
      <c r="B1983" s="590">
        <v>46</v>
      </c>
      <c r="C1983" t="s">
        <v>32779</v>
      </c>
    </row>
    <row r="1984" spans="1:3">
      <c r="A1984" t="s">
        <v>32778</v>
      </c>
      <c r="B1984" s="590">
        <v>28</v>
      </c>
      <c r="C1984" t="s">
        <v>32777</v>
      </c>
    </row>
    <row r="1985" spans="1:3">
      <c r="A1985" t="s">
        <v>32776</v>
      </c>
      <c r="B1985" s="590">
        <v>28</v>
      </c>
      <c r="C1985" t="s">
        <v>32775</v>
      </c>
    </row>
    <row r="1986" spans="1:3">
      <c r="A1986" t="s">
        <v>32774</v>
      </c>
      <c r="B1986" s="590">
        <v>39</v>
      </c>
      <c r="C1986" t="s">
        <v>32773</v>
      </c>
    </row>
    <row r="1987" spans="1:3">
      <c r="A1987" t="s">
        <v>32772</v>
      </c>
      <c r="B1987" s="590">
        <v>34</v>
      </c>
      <c r="C1987" t="s">
        <v>32771</v>
      </c>
    </row>
    <row r="1988" spans="1:3">
      <c r="A1988" t="s">
        <v>32770</v>
      </c>
      <c r="B1988" s="590">
        <v>39</v>
      </c>
      <c r="C1988" t="s">
        <v>32769</v>
      </c>
    </row>
    <row r="1989" spans="1:3">
      <c r="A1989" t="s">
        <v>32768</v>
      </c>
      <c r="B1989" s="590">
        <v>61</v>
      </c>
      <c r="C1989" t="s">
        <v>32767</v>
      </c>
    </row>
    <row r="1990" spans="1:3">
      <c r="A1990" t="s">
        <v>32972</v>
      </c>
      <c r="B1990" s="590">
        <v>355</v>
      </c>
      <c r="C1990" t="s">
        <v>32971</v>
      </c>
    </row>
    <row r="1991" spans="1:3">
      <c r="A1991" t="s">
        <v>32970</v>
      </c>
      <c r="B1991" s="590">
        <v>355</v>
      </c>
      <c r="C1991" t="s">
        <v>32969</v>
      </c>
    </row>
    <row r="1992" spans="1:3">
      <c r="A1992" t="s">
        <v>32968</v>
      </c>
      <c r="B1992" s="590">
        <v>355</v>
      </c>
      <c r="C1992" t="s">
        <v>32967</v>
      </c>
    </row>
    <row r="1993" spans="1:3">
      <c r="A1993" t="s">
        <v>32966</v>
      </c>
      <c r="B1993" s="590">
        <v>355</v>
      </c>
      <c r="C1993" t="s">
        <v>32965</v>
      </c>
    </row>
    <row r="1994" spans="1:3">
      <c r="A1994" t="s">
        <v>32964</v>
      </c>
      <c r="B1994" s="590">
        <v>361</v>
      </c>
      <c r="C1994" t="s">
        <v>32963</v>
      </c>
    </row>
    <row r="1995" spans="1:3">
      <c r="A1995" t="s">
        <v>32962</v>
      </c>
      <c r="B1995" s="590">
        <v>361</v>
      </c>
      <c r="C1995" t="s">
        <v>32961</v>
      </c>
    </row>
    <row r="1996" spans="1:3">
      <c r="A1996" t="s">
        <v>32960</v>
      </c>
      <c r="B1996" s="590">
        <v>361</v>
      </c>
      <c r="C1996" t="s">
        <v>32959</v>
      </c>
    </row>
    <row r="1997" spans="1:3">
      <c r="A1997" t="s">
        <v>32958</v>
      </c>
      <c r="B1997" s="590">
        <v>361</v>
      </c>
      <c r="C1997" t="s">
        <v>32957</v>
      </c>
    </row>
    <row r="1998" spans="1:3">
      <c r="A1998" t="s">
        <v>32956</v>
      </c>
      <c r="B1998" s="590">
        <v>367</v>
      </c>
      <c r="C1998" t="s">
        <v>32955</v>
      </c>
    </row>
    <row r="1999" spans="1:3">
      <c r="A1999" t="s">
        <v>32954</v>
      </c>
      <c r="B1999" s="590">
        <v>367</v>
      </c>
      <c r="C1999" t="s">
        <v>32953</v>
      </c>
    </row>
    <row r="2000" spans="1:3">
      <c r="A2000" t="s">
        <v>32952</v>
      </c>
      <c r="B2000" s="590">
        <v>367</v>
      </c>
      <c r="C2000" t="s">
        <v>32951</v>
      </c>
    </row>
    <row r="2001" spans="1:3">
      <c r="A2001" t="s">
        <v>32950</v>
      </c>
      <c r="B2001" s="590">
        <v>367</v>
      </c>
      <c r="C2001" t="s">
        <v>32949</v>
      </c>
    </row>
    <row r="2002" spans="1:3">
      <c r="A2002" t="s">
        <v>32948</v>
      </c>
      <c r="B2002" s="590">
        <v>28</v>
      </c>
      <c r="C2002" t="s">
        <v>32947</v>
      </c>
    </row>
    <row r="2003" spans="1:3">
      <c r="A2003" t="s">
        <v>32946</v>
      </c>
      <c r="B2003" s="590">
        <v>38</v>
      </c>
      <c r="C2003" t="s">
        <v>32945</v>
      </c>
    </row>
    <row r="2004" spans="1:3">
      <c r="A2004" t="s">
        <v>32944</v>
      </c>
      <c r="B2004" s="590">
        <v>90</v>
      </c>
      <c r="C2004" t="s">
        <v>32943</v>
      </c>
    </row>
    <row r="2005" spans="1:3">
      <c r="A2005" t="s">
        <v>32942</v>
      </c>
      <c r="B2005" s="590">
        <v>97</v>
      </c>
      <c r="C2005" t="s">
        <v>32941</v>
      </c>
    </row>
    <row r="2006" spans="1:3">
      <c r="A2006" t="s">
        <v>32940</v>
      </c>
      <c r="B2006" s="590">
        <v>144</v>
      </c>
      <c r="C2006" t="s">
        <v>32939</v>
      </c>
    </row>
    <row r="2007" spans="1:3">
      <c r="A2007" t="s">
        <v>32938</v>
      </c>
      <c r="B2007" s="590">
        <v>144</v>
      </c>
      <c r="C2007" t="s">
        <v>32937</v>
      </c>
    </row>
    <row r="2008" spans="1:3">
      <c r="A2008" t="s">
        <v>32936</v>
      </c>
      <c r="B2008" s="590">
        <v>144</v>
      </c>
      <c r="C2008" t="s">
        <v>32935</v>
      </c>
    </row>
    <row r="2009" spans="1:3">
      <c r="A2009" t="s">
        <v>27203</v>
      </c>
      <c r="B2009" s="590">
        <v>144</v>
      </c>
      <c r="C2009" t="s">
        <v>27202</v>
      </c>
    </row>
    <row r="2010" spans="1:3">
      <c r="A2010" t="s">
        <v>32934</v>
      </c>
      <c r="B2010" s="590">
        <v>144</v>
      </c>
      <c r="C2010" t="s">
        <v>32933</v>
      </c>
    </row>
    <row r="2011" spans="1:3">
      <c r="A2011" t="s">
        <v>32932</v>
      </c>
      <c r="B2011" s="590">
        <v>150</v>
      </c>
      <c r="C2011" t="s">
        <v>32931</v>
      </c>
    </row>
    <row r="2012" spans="1:3">
      <c r="A2012" t="s">
        <v>32930</v>
      </c>
      <c r="B2012" s="590">
        <v>150</v>
      </c>
      <c r="C2012" t="s">
        <v>32929</v>
      </c>
    </row>
    <row r="2013" spans="1:3">
      <c r="A2013" t="s">
        <v>32928</v>
      </c>
      <c r="B2013" s="590">
        <v>150</v>
      </c>
      <c r="C2013" t="s">
        <v>32927</v>
      </c>
    </row>
    <row r="2014" spans="1:3">
      <c r="A2014" t="s">
        <v>32926</v>
      </c>
      <c r="B2014" s="590">
        <v>173</v>
      </c>
      <c r="C2014" t="s">
        <v>32925</v>
      </c>
    </row>
    <row r="2015" spans="1:3">
      <c r="A2015" t="s">
        <v>32924</v>
      </c>
      <c r="B2015" s="590">
        <v>150</v>
      </c>
      <c r="C2015" t="s">
        <v>32923</v>
      </c>
    </row>
    <row r="2016" spans="1:3">
      <c r="A2016" t="s">
        <v>32922</v>
      </c>
      <c r="B2016" s="590">
        <v>150</v>
      </c>
      <c r="C2016" t="s">
        <v>32921</v>
      </c>
    </row>
    <row r="2017" spans="1:3">
      <c r="A2017" t="s">
        <v>32920</v>
      </c>
      <c r="B2017" s="590">
        <v>150</v>
      </c>
      <c r="C2017" t="s">
        <v>32919</v>
      </c>
    </row>
    <row r="2018" spans="1:3">
      <c r="A2018" t="s">
        <v>32918</v>
      </c>
      <c r="B2018" s="590">
        <v>144</v>
      </c>
      <c r="C2018" t="s">
        <v>32917</v>
      </c>
    </row>
    <row r="2019" spans="1:3">
      <c r="A2019" t="s">
        <v>32916</v>
      </c>
      <c r="B2019" s="590">
        <v>144</v>
      </c>
      <c r="C2019" t="s">
        <v>32915</v>
      </c>
    </row>
    <row r="2020" spans="1:3">
      <c r="A2020" t="s">
        <v>32914</v>
      </c>
      <c r="B2020" s="590">
        <v>144</v>
      </c>
      <c r="C2020" t="s">
        <v>32913</v>
      </c>
    </row>
    <row r="2021" spans="1:3">
      <c r="A2021" t="s">
        <v>27201</v>
      </c>
      <c r="B2021" s="590">
        <v>144</v>
      </c>
      <c r="C2021" t="s">
        <v>27200</v>
      </c>
    </row>
    <row r="2022" spans="1:3">
      <c r="A2022" t="s">
        <v>32912</v>
      </c>
      <c r="B2022" s="590">
        <v>144</v>
      </c>
      <c r="C2022" t="s">
        <v>32911</v>
      </c>
    </row>
    <row r="2023" spans="1:3">
      <c r="A2023" t="s">
        <v>32910</v>
      </c>
      <c r="B2023" s="590">
        <v>144</v>
      </c>
      <c r="C2023" t="s">
        <v>32909</v>
      </c>
    </row>
    <row r="2024" spans="1:3">
      <c r="A2024" t="s">
        <v>32908</v>
      </c>
      <c r="B2024" s="590">
        <v>144</v>
      </c>
      <c r="C2024" t="s">
        <v>32907</v>
      </c>
    </row>
    <row r="2025" spans="1:3">
      <c r="A2025" t="s">
        <v>32906</v>
      </c>
      <c r="B2025" s="590">
        <v>144</v>
      </c>
      <c r="C2025" t="s">
        <v>32905</v>
      </c>
    </row>
    <row r="2026" spans="1:3">
      <c r="A2026" t="s">
        <v>32904</v>
      </c>
      <c r="B2026" s="590">
        <v>164</v>
      </c>
      <c r="C2026" t="s">
        <v>32903</v>
      </c>
    </row>
    <row r="2027" spans="1:3">
      <c r="A2027" t="s">
        <v>32902</v>
      </c>
      <c r="B2027" s="590">
        <v>144</v>
      </c>
      <c r="C2027" t="s">
        <v>32901</v>
      </c>
    </row>
    <row r="2028" spans="1:3">
      <c r="A2028" t="s">
        <v>32900</v>
      </c>
      <c r="B2028" s="590">
        <v>14</v>
      </c>
      <c r="C2028" t="s">
        <v>32899</v>
      </c>
    </row>
    <row r="2029" spans="1:3">
      <c r="A2029" t="s">
        <v>32898</v>
      </c>
      <c r="B2029" s="590">
        <v>24</v>
      </c>
      <c r="C2029" t="s">
        <v>32897</v>
      </c>
    </row>
    <row r="2030" spans="1:3">
      <c r="A2030" t="s">
        <v>32896</v>
      </c>
      <c r="B2030" s="590">
        <v>16</v>
      </c>
      <c r="C2030" t="s">
        <v>32895</v>
      </c>
    </row>
    <row r="2031" spans="1:3">
      <c r="A2031" t="s">
        <v>27199</v>
      </c>
      <c r="B2031" s="590">
        <v>150</v>
      </c>
      <c r="C2031" t="s">
        <v>27198</v>
      </c>
    </row>
    <row r="2032" spans="1:3">
      <c r="A2032" t="s">
        <v>27197</v>
      </c>
      <c r="B2032" s="590">
        <v>150</v>
      </c>
      <c r="C2032" t="s">
        <v>27196</v>
      </c>
    </row>
    <row r="2033" spans="1:3">
      <c r="A2033" t="s">
        <v>27195</v>
      </c>
      <c r="B2033" s="590">
        <v>150</v>
      </c>
      <c r="C2033" t="s">
        <v>27194</v>
      </c>
    </row>
    <row r="2034" spans="1:3">
      <c r="A2034" t="s">
        <v>27193</v>
      </c>
      <c r="B2034" s="590">
        <v>150</v>
      </c>
      <c r="C2034" t="s">
        <v>27192</v>
      </c>
    </row>
    <row r="2035" spans="1:3">
      <c r="A2035" t="s">
        <v>27191</v>
      </c>
      <c r="B2035" s="590">
        <v>150</v>
      </c>
      <c r="C2035" t="s">
        <v>27190</v>
      </c>
    </row>
    <row r="2036" spans="1:3">
      <c r="A2036" t="s">
        <v>27189</v>
      </c>
      <c r="B2036" s="590">
        <v>150</v>
      </c>
      <c r="C2036" t="s">
        <v>27188</v>
      </c>
    </row>
    <row r="2037" spans="1:3">
      <c r="A2037" t="s">
        <v>27187</v>
      </c>
      <c r="B2037" s="590">
        <v>150</v>
      </c>
      <c r="C2037" t="s">
        <v>27186</v>
      </c>
    </row>
    <row r="2038" spans="1:3">
      <c r="A2038" t="s">
        <v>27185</v>
      </c>
      <c r="B2038" s="590">
        <v>150</v>
      </c>
      <c r="C2038" t="s">
        <v>27184</v>
      </c>
    </row>
    <row r="2039" spans="1:3">
      <c r="A2039" t="s">
        <v>27183</v>
      </c>
      <c r="B2039" s="590">
        <v>171</v>
      </c>
      <c r="C2039" t="s">
        <v>27182</v>
      </c>
    </row>
    <row r="2040" spans="1:3">
      <c r="A2040" t="s">
        <v>27181</v>
      </c>
      <c r="B2040" s="590">
        <v>171</v>
      </c>
      <c r="C2040" t="s">
        <v>27180</v>
      </c>
    </row>
    <row r="2041" spans="1:3">
      <c r="A2041" t="s">
        <v>27179</v>
      </c>
      <c r="B2041" s="590">
        <v>171</v>
      </c>
      <c r="C2041" t="s">
        <v>27178</v>
      </c>
    </row>
    <row r="2042" spans="1:3">
      <c r="A2042" t="s">
        <v>27177</v>
      </c>
      <c r="B2042" s="590">
        <v>171</v>
      </c>
      <c r="C2042" t="s">
        <v>27176</v>
      </c>
    </row>
    <row r="2043" spans="1:3">
      <c r="A2043" t="s">
        <v>27175</v>
      </c>
      <c r="B2043" s="590">
        <v>171</v>
      </c>
      <c r="C2043" t="s">
        <v>27174</v>
      </c>
    </row>
    <row r="2044" spans="1:3">
      <c r="A2044" t="s">
        <v>27173</v>
      </c>
      <c r="B2044" s="590">
        <v>171</v>
      </c>
      <c r="C2044" t="s">
        <v>27172</v>
      </c>
    </row>
    <row r="2045" spans="1:3">
      <c r="A2045" t="s">
        <v>27171</v>
      </c>
      <c r="B2045" s="590">
        <v>171</v>
      </c>
      <c r="C2045" t="s">
        <v>27170</v>
      </c>
    </row>
    <row r="2046" spans="1:3">
      <c r="A2046" t="s">
        <v>27169</v>
      </c>
      <c r="B2046" s="590">
        <v>171</v>
      </c>
      <c r="C2046" t="s">
        <v>27168</v>
      </c>
    </row>
    <row r="2047" spans="1:3">
      <c r="A2047" t="s">
        <v>27167</v>
      </c>
      <c r="B2047" s="590">
        <v>171</v>
      </c>
      <c r="C2047" t="s">
        <v>27166</v>
      </c>
    </row>
    <row r="2048" spans="1:3">
      <c r="A2048" t="s">
        <v>27165</v>
      </c>
      <c r="B2048" s="590">
        <v>171</v>
      </c>
      <c r="C2048" t="s">
        <v>27164</v>
      </c>
    </row>
    <row r="2049" spans="1:3">
      <c r="A2049" t="s">
        <v>27163</v>
      </c>
      <c r="B2049" s="590">
        <v>157</v>
      </c>
      <c r="C2049" t="s">
        <v>27162</v>
      </c>
    </row>
    <row r="2050" spans="1:3">
      <c r="A2050" t="s">
        <v>27161</v>
      </c>
      <c r="B2050" s="590">
        <v>157</v>
      </c>
      <c r="C2050" t="s">
        <v>27160</v>
      </c>
    </row>
    <row r="2051" spans="1:3">
      <c r="A2051" t="s">
        <v>27159</v>
      </c>
      <c r="B2051" s="590">
        <v>157</v>
      </c>
      <c r="C2051" t="s">
        <v>27158</v>
      </c>
    </row>
    <row r="2052" spans="1:3">
      <c r="A2052" t="s">
        <v>27157</v>
      </c>
      <c r="B2052" s="590">
        <v>157</v>
      </c>
      <c r="C2052" t="s">
        <v>27156</v>
      </c>
    </row>
    <row r="2053" spans="1:3">
      <c r="A2053" t="s">
        <v>27155</v>
      </c>
      <c r="B2053" s="590">
        <v>157</v>
      </c>
      <c r="C2053" t="s">
        <v>27154</v>
      </c>
    </row>
    <row r="2054" spans="1:3">
      <c r="A2054" t="s">
        <v>27153</v>
      </c>
      <c r="B2054" s="590">
        <v>157</v>
      </c>
      <c r="C2054" t="s">
        <v>27152</v>
      </c>
    </row>
    <row r="2055" spans="1:3">
      <c r="A2055" t="s">
        <v>27151</v>
      </c>
      <c r="B2055" s="590">
        <v>157</v>
      </c>
      <c r="C2055" t="s">
        <v>27150</v>
      </c>
    </row>
    <row r="2056" spans="1:3">
      <c r="A2056" t="s">
        <v>27149</v>
      </c>
      <c r="B2056" s="590">
        <v>157</v>
      </c>
      <c r="C2056" t="s">
        <v>27148</v>
      </c>
    </row>
    <row r="2057" spans="1:3">
      <c r="A2057" t="s">
        <v>27147</v>
      </c>
      <c r="B2057" s="590">
        <v>177</v>
      </c>
      <c r="C2057" t="s">
        <v>27146</v>
      </c>
    </row>
    <row r="2058" spans="1:3">
      <c r="A2058" t="s">
        <v>27145</v>
      </c>
      <c r="B2058" s="590">
        <v>177</v>
      </c>
      <c r="C2058" t="s">
        <v>27144</v>
      </c>
    </row>
    <row r="2059" spans="1:3">
      <c r="A2059" t="s">
        <v>27143</v>
      </c>
      <c r="B2059" s="590">
        <v>177</v>
      </c>
      <c r="C2059" t="s">
        <v>27142</v>
      </c>
    </row>
    <row r="2060" spans="1:3">
      <c r="A2060" t="s">
        <v>27141</v>
      </c>
      <c r="B2060" s="590">
        <v>177</v>
      </c>
      <c r="C2060" t="s">
        <v>27140</v>
      </c>
    </row>
    <row r="2061" spans="1:3">
      <c r="A2061" t="s">
        <v>27139</v>
      </c>
      <c r="B2061" s="590">
        <v>177</v>
      </c>
      <c r="C2061" t="s">
        <v>27138</v>
      </c>
    </row>
    <row r="2062" spans="1:3">
      <c r="A2062" t="s">
        <v>27137</v>
      </c>
      <c r="B2062" s="590">
        <v>177</v>
      </c>
      <c r="C2062" t="s">
        <v>27136</v>
      </c>
    </row>
    <row r="2063" spans="1:3">
      <c r="A2063" t="s">
        <v>27135</v>
      </c>
      <c r="B2063" s="590">
        <v>177</v>
      </c>
      <c r="C2063" t="s">
        <v>27134</v>
      </c>
    </row>
    <row r="2064" spans="1:3">
      <c r="A2064" t="s">
        <v>27133</v>
      </c>
      <c r="B2064" s="590">
        <v>177</v>
      </c>
      <c r="C2064" t="s">
        <v>27132</v>
      </c>
    </row>
    <row r="2065" spans="1:3">
      <c r="A2065" t="s">
        <v>27131</v>
      </c>
      <c r="B2065" s="590">
        <v>177</v>
      </c>
      <c r="C2065" t="s">
        <v>27130</v>
      </c>
    </row>
    <row r="2066" spans="1:3">
      <c r="A2066" t="s">
        <v>27129</v>
      </c>
      <c r="B2066" s="590">
        <v>177</v>
      </c>
      <c r="C2066" t="s">
        <v>27128</v>
      </c>
    </row>
    <row r="2067" spans="1:3">
      <c r="A2067" t="s">
        <v>32894</v>
      </c>
      <c r="B2067" s="590">
        <v>274</v>
      </c>
      <c r="C2067" t="s">
        <v>32893</v>
      </c>
    </row>
    <row r="2068" spans="1:3">
      <c r="A2068" t="s">
        <v>32892</v>
      </c>
      <c r="B2068" s="590">
        <v>274</v>
      </c>
      <c r="C2068" t="s">
        <v>32891</v>
      </c>
    </row>
    <row r="2069" spans="1:3">
      <c r="A2069" t="s">
        <v>32890</v>
      </c>
      <c r="B2069" s="590">
        <v>504</v>
      </c>
      <c r="C2069" t="s">
        <v>32889</v>
      </c>
    </row>
    <row r="2070" spans="1:3">
      <c r="A2070" t="s">
        <v>32888</v>
      </c>
      <c r="B2070" s="590">
        <v>359</v>
      </c>
      <c r="C2070" t="s">
        <v>32887</v>
      </c>
    </row>
    <row r="2071" spans="1:3">
      <c r="A2071" t="s">
        <v>32886</v>
      </c>
      <c r="B2071" s="590">
        <v>359</v>
      </c>
      <c r="C2071" t="s">
        <v>32885</v>
      </c>
    </row>
    <row r="2072" spans="1:3">
      <c r="A2072" t="s">
        <v>32884</v>
      </c>
      <c r="B2072" s="590">
        <v>677</v>
      </c>
      <c r="C2072" t="s">
        <v>32883</v>
      </c>
    </row>
    <row r="2073" spans="1:3">
      <c r="A2073" t="s">
        <v>32882</v>
      </c>
      <c r="B2073" s="590">
        <v>4067</v>
      </c>
      <c r="C2073" t="s">
        <v>32881</v>
      </c>
    </row>
    <row r="2074" spans="1:3">
      <c r="A2074" t="s">
        <v>32880</v>
      </c>
      <c r="B2074" s="590">
        <v>4815</v>
      </c>
      <c r="C2074" t="s">
        <v>32879</v>
      </c>
    </row>
    <row r="2075" spans="1:3">
      <c r="A2075" t="s">
        <v>32878</v>
      </c>
      <c r="B2075" s="590">
        <v>5216</v>
      </c>
      <c r="C2075" t="s">
        <v>32877</v>
      </c>
    </row>
    <row r="2076" spans="1:3">
      <c r="A2076" t="s">
        <v>32876</v>
      </c>
      <c r="B2076" s="590">
        <v>2360</v>
      </c>
      <c r="C2076" t="s">
        <v>32875</v>
      </c>
    </row>
    <row r="2077" spans="1:3">
      <c r="A2077" t="s">
        <v>32874</v>
      </c>
      <c r="B2077" s="590">
        <v>3108</v>
      </c>
      <c r="C2077" t="s">
        <v>32873</v>
      </c>
    </row>
    <row r="2078" spans="1:3">
      <c r="A2078" t="s">
        <v>32872</v>
      </c>
      <c r="B2078" s="590">
        <v>3512</v>
      </c>
      <c r="C2078" t="s">
        <v>32871</v>
      </c>
    </row>
    <row r="2079" spans="1:3">
      <c r="A2079" t="s">
        <v>32870</v>
      </c>
      <c r="B2079" s="590">
        <v>2912</v>
      </c>
      <c r="C2079" t="s">
        <v>32869</v>
      </c>
    </row>
    <row r="2080" spans="1:3">
      <c r="A2080" t="s">
        <v>32868</v>
      </c>
      <c r="B2080" s="590">
        <v>1579</v>
      </c>
      <c r="C2080" t="s">
        <v>32867</v>
      </c>
    </row>
    <row r="2081" spans="1:3">
      <c r="A2081" t="s">
        <v>32866</v>
      </c>
      <c r="B2081" s="590">
        <v>2364</v>
      </c>
      <c r="C2081" t="s">
        <v>32865</v>
      </c>
    </row>
    <row r="2082" spans="1:3">
      <c r="A2082" t="s">
        <v>32864</v>
      </c>
      <c r="B2082" s="590">
        <v>2784</v>
      </c>
      <c r="C2082" t="s">
        <v>32863</v>
      </c>
    </row>
    <row r="2083" spans="1:3">
      <c r="A2083" t="s">
        <v>32862</v>
      </c>
      <c r="B2083" s="590">
        <v>4158</v>
      </c>
      <c r="C2083" t="s">
        <v>32861</v>
      </c>
    </row>
    <row r="2084" spans="1:3">
      <c r="A2084" t="s">
        <v>32860</v>
      </c>
      <c r="B2084" s="590">
        <v>4906</v>
      </c>
      <c r="C2084" t="s">
        <v>32859</v>
      </c>
    </row>
    <row r="2085" spans="1:3">
      <c r="A2085" t="s">
        <v>32858</v>
      </c>
      <c r="B2085" s="590">
        <v>5307</v>
      </c>
      <c r="C2085" t="s">
        <v>32857</v>
      </c>
    </row>
    <row r="2086" spans="1:3">
      <c r="A2086" t="s">
        <v>32856</v>
      </c>
      <c r="B2086" s="590">
        <v>3222</v>
      </c>
      <c r="C2086" t="s">
        <v>32855</v>
      </c>
    </row>
    <row r="2087" spans="1:3">
      <c r="A2087" t="s">
        <v>32854</v>
      </c>
      <c r="B2087" s="590">
        <v>3970</v>
      </c>
      <c r="C2087" t="s">
        <v>32853</v>
      </c>
    </row>
    <row r="2088" spans="1:3">
      <c r="A2088" t="s">
        <v>32852</v>
      </c>
      <c r="B2088" s="590">
        <v>4369</v>
      </c>
      <c r="C2088" t="s">
        <v>32851</v>
      </c>
    </row>
    <row r="2089" spans="1:3">
      <c r="A2089" t="s">
        <v>32850</v>
      </c>
      <c r="B2089" s="590">
        <v>2068</v>
      </c>
      <c r="C2089" t="s">
        <v>32849</v>
      </c>
    </row>
    <row r="2090" spans="1:3">
      <c r="A2090" t="s">
        <v>32848</v>
      </c>
      <c r="B2090" s="590">
        <v>3005</v>
      </c>
      <c r="C2090" t="s">
        <v>32847</v>
      </c>
    </row>
    <row r="2091" spans="1:3">
      <c r="A2091" t="s">
        <v>32846</v>
      </c>
      <c r="B2091" s="590">
        <v>3460</v>
      </c>
      <c r="C2091" t="s">
        <v>32845</v>
      </c>
    </row>
    <row r="2092" spans="1:3">
      <c r="A2092" t="s">
        <v>32844</v>
      </c>
      <c r="B2092" s="590">
        <v>4610</v>
      </c>
      <c r="C2092" t="s">
        <v>32843</v>
      </c>
    </row>
    <row r="2093" spans="1:3">
      <c r="A2093" t="s">
        <v>32842</v>
      </c>
      <c r="B2093" s="590">
        <v>4969</v>
      </c>
      <c r="C2093" t="s">
        <v>32841</v>
      </c>
    </row>
    <row r="2094" spans="1:3">
      <c r="A2094" t="s">
        <v>32840</v>
      </c>
      <c r="B2094" s="590">
        <v>5370</v>
      </c>
      <c r="C2094" t="s">
        <v>32839</v>
      </c>
    </row>
    <row r="2095" spans="1:3">
      <c r="A2095" t="s">
        <v>32838</v>
      </c>
      <c r="B2095" s="590">
        <v>1091</v>
      </c>
      <c r="C2095" t="s">
        <v>32836</v>
      </c>
    </row>
    <row r="2096" spans="1:3">
      <c r="A2096" t="s">
        <v>32837</v>
      </c>
      <c r="B2096" s="590">
        <v>1382</v>
      </c>
      <c r="C2096" t="s">
        <v>32836</v>
      </c>
    </row>
    <row r="2097" spans="1:3">
      <c r="A2097" t="s">
        <v>32835</v>
      </c>
      <c r="B2097" s="590">
        <v>247</v>
      </c>
      <c r="C2097" t="s">
        <v>32834</v>
      </c>
    </row>
    <row r="2098" spans="1:3">
      <c r="A2098" t="s">
        <v>32833</v>
      </c>
      <c r="B2098" s="590">
        <v>247</v>
      </c>
      <c r="C2098" t="s">
        <v>32832</v>
      </c>
    </row>
    <row r="2099" spans="1:3">
      <c r="A2099" t="s">
        <v>32831</v>
      </c>
      <c r="B2099" s="590">
        <v>2033</v>
      </c>
      <c r="C2099" t="s">
        <v>32830</v>
      </c>
    </row>
    <row r="2100" spans="1:3">
      <c r="A2100" t="s">
        <v>32829</v>
      </c>
      <c r="B2100" s="590">
        <v>2080</v>
      </c>
      <c r="C2100" t="s">
        <v>32828</v>
      </c>
    </row>
    <row r="2101" spans="1:3">
      <c r="A2101" t="s">
        <v>32827</v>
      </c>
      <c r="B2101" s="590">
        <v>2033</v>
      </c>
      <c r="C2101" t="s">
        <v>32826</v>
      </c>
    </row>
    <row r="2102" spans="1:3">
      <c r="A2102" t="s">
        <v>32825</v>
      </c>
      <c r="B2102" s="590">
        <v>474</v>
      </c>
      <c r="C2102" t="s">
        <v>32824</v>
      </c>
    </row>
    <row r="2103" spans="1:3">
      <c r="A2103" t="s">
        <v>32823</v>
      </c>
      <c r="B2103" s="590">
        <v>-76</v>
      </c>
      <c r="C2103" t="s">
        <v>32822</v>
      </c>
    </row>
    <row r="2104" spans="1:3">
      <c r="A2104" t="s">
        <v>32821</v>
      </c>
      <c r="B2104" s="590">
        <v>-151</v>
      </c>
      <c r="C2104" t="s">
        <v>32820</v>
      </c>
    </row>
    <row r="2105" spans="1:3">
      <c r="A2105" t="s">
        <v>32819</v>
      </c>
      <c r="B2105" s="590">
        <v>-39</v>
      </c>
      <c r="C2105" t="s">
        <v>32818</v>
      </c>
    </row>
    <row r="2106" spans="1:3">
      <c r="A2106" t="s">
        <v>32817</v>
      </c>
      <c r="B2106" s="590">
        <v>-76</v>
      </c>
      <c r="C2106" t="s">
        <v>32816</v>
      </c>
    </row>
    <row r="2107" spans="1:3">
      <c r="A2107" t="s">
        <v>32815</v>
      </c>
      <c r="B2107" s="590">
        <v>164</v>
      </c>
      <c r="C2107" t="s">
        <v>32814</v>
      </c>
    </row>
    <row r="2108" spans="1:3">
      <c r="A2108" t="s">
        <v>32813</v>
      </c>
      <c r="B2108" s="590">
        <v>118</v>
      </c>
      <c r="C2108" t="s">
        <v>32812</v>
      </c>
    </row>
    <row r="2109" spans="1:3">
      <c r="A2109" t="s">
        <v>22026</v>
      </c>
      <c r="B2109" s="590">
        <v>118</v>
      </c>
      <c r="C2109" t="s">
        <v>32811</v>
      </c>
    </row>
    <row r="2110" spans="1:3">
      <c r="A2110" t="s">
        <v>32810</v>
      </c>
      <c r="B2110" s="590">
        <v>118</v>
      </c>
      <c r="C2110" t="s">
        <v>32809</v>
      </c>
    </row>
    <row r="2111" spans="1:3">
      <c r="A2111" t="s">
        <v>27205</v>
      </c>
      <c r="B2111" s="590">
        <v>133</v>
      </c>
      <c r="C2111" t="s">
        <v>27204</v>
      </c>
    </row>
    <row r="2112" spans="1:3">
      <c r="A2112" t="s">
        <v>32808</v>
      </c>
      <c r="B2112" s="590">
        <v>118</v>
      </c>
      <c r="C2112" t="s">
        <v>32807</v>
      </c>
    </row>
    <row r="2113" spans="1:3">
      <c r="A2113" t="s">
        <v>32806</v>
      </c>
      <c r="B2113" s="590">
        <v>118</v>
      </c>
      <c r="C2113" t="s">
        <v>32805</v>
      </c>
    </row>
    <row r="2114" spans="1:3">
      <c r="A2114" t="s">
        <v>32804</v>
      </c>
      <c r="B2114" s="590">
        <v>118</v>
      </c>
      <c r="C2114" t="s">
        <v>32803</v>
      </c>
    </row>
    <row r="2115" spans="1:3">
      <c r="A2115" t="s">
        <v>32802</v>
      </c>
      <c r="B2115" s="590">
        <v>118</v>
      </c>
      <c r="C2115" t="s">
        <v>32801</v>
      </c>
    </row>
    <row r="2116" spans="1:3">
      <c r="A2116" t="s">
        <v>32800</v>
      </c>
      <c r="B2116" s="590">
        <v>133</v>
      </c>
      <c r="C2116" t="s">
        <v>32799</v>
      </c>
    </row>
    <row r="2117" spans="1:3">
      <c r="A2117" t="s">
        <v>32798</v>
      </c>
      <c r="B2117" s="590">
        <v>118</v>
      </c>
      <c r="C2117" t="s">
        <v>32797</v>
      </c>
    </row>
    <row r="2118" spans="1:3">
      <c r="A2118" t="s">
        <v>32796</v>
      </c>
      <c r="B2118" s="590">
        <v>118</v>
      </c>
      <c r="C2118" t="s">
        <v>32795</v>
      </c>
    </row>
    <row r="2119" spans="1:3">
      <c r="A2119" t="s">
        <v>32794</v>
      </c>
      <c r="B2119" s="590">
        <v>118</v>
      </c>
      <c r="C2119" t="s">
        <v>32793</v>
      </c>
    </row>
    <row r="2120" spans="1:3">
      <c r="A2120" t="s">
        <v>32792</v>
      </c>
      <c r="B2120" s="590">
        <v>118</v>
      </c>
      <c r="C2120" t="s">
        <v>32791</v>
      </c>
    </row>
    <row r="2121" spans="1:3">
      <c r="A2121" t="s">
        <v>27207</v>
      </c>
      <c r="B2121" s="590">
        <v>133</v>
      </c>
      <c r="C2121" t="s">
        <v>27206</v>
      </c>
    </row>
    <row r="2122" spans="1:3">
      <c r="A2122" t="s">
        <v>32790</v>
      </c>
      <c r="B2122" s="590">
        <v>118</v>
      </c>
      <c r="C2122" t="s">
        <v>32789</v>
      </c>
    </row>
    <row r="2123" spans="1:3">
      <c r="A2123" t="s">
        <v>32788</v>
      </c>
      <c r="B2123" s="590">
        <v>24</v>
      </c>
      <c r="C2123" t="s">
        <v>32787</v>
      </c>
    </row>
    <row r="2124" spans="1:3">
      <c r="A2124" t="s">
        <v>32786</v>
      </c>
      <c r="B2124" s="590">
        <v>22</v>
      </c>
      <c r="C2124" t="s">
        <v>32785</v>
      </c>
    </row>
    <row r="2125" spans="1:3">
      <c r="A2125" t="s">
        <v>32784</v>
      </c>
      <c r="B2125" s="590">
        <v>28</v>
      </c>
      <c r="C2125" t="s">
        <v>32783</v>
      </c>
    </row>
    <row r="2126" spans="1:3">
      <c r="A2126" t="s">
        <v>32782</v>
      </c>
      <c r="B2126" s="590">
        <v>28</v>
      </c>
      <c r="C2126" t="s">
        <v>32781</v>
      </c>
    </row>
    <row r="2127" spans="1:3">
      <c r="A2127" t="s">
        <v>32780</v>
      </c>
      <c r="B2127" s="590">
        <v>46</v>
      </c>
      <c r="C2127" t="s">
        <v>32779</v>
      </c>
    </row>
    <row r="2128" spans="1:3">
      <c r="A2128" t="s">
        <v>32778</v>
      </c>
      <c r="B2128" s="590">
        <v>28</v>
      </c>
      <c r="C2128" t="s">
        <v>32777</v>
      </c>
    </row>
    <row r="2129" spans="1:3">
      <c r="A2129" t="s">
        <v>32776</v>
      </c>
      <c r="B2129" s="590">
        <v>28</v>
      </c>
      <c r="C2129" t="s">
        <v>32775</v>
      </c>
    </row>
    <row r="2130" spans="1:3">
      <c r="A2130" t="s">
        <v>32774</v>
      </c>
      <c r="B2130" s="590">
        <v>39</v>
      </c>
      <c r="C2130" t="s">
        <v>32773</v>
      </c>
    </row>
    <row r="2131" spans="1:3">
      <c r="A2131" t="s">
        <v>32772</v>
      </c>
      <c r="B2131" s="590">
        <v>34</v>
      </c>
      <c r="C2131" t="s">
        <v>32771</v>
      </c>
    </row>
    <row r="2132" spans="1:3">
      <c r="A2132" t="s">
        <v>32770</v>
      </c>
      <c r="B2132" s="590">
        <v>39</v>
      </c>
      <c r="C2132" t="s">
        <v>32769</v>
      </c>
    </row>
    <row r="2133" spans="1:3">
      <c r="A2133" t="s">
        <v>32768</v>
      </c>
      <c r="B2133" s="590">
        <v>61</v>
      </c>
      <c r="C2133" t="s">
        <v>32767</v>
      </c>
    </row>
    <row r="2134" spans="1:3">
      <c r="A2134" t="s">
        <v>32766</v>
      </c>
      <c r="B2134" s="590">
        <v>51</v>
      </c>
      <c r="C2134" t="s">
        <v>32765</v>
      </c>
    </row>
    <row r="2135" spans="1:3">
      <c r="A2135" t="s">
        <v>32764</v>
      </c>
      <c r="B2135" s="590">
        <v>33</v>
      </c>
      <c r="C2135" t="s">
        <v>32763</v>
      </c>
    </row>
    <row r="2136" spans="1:3">
      <c r="A2136" t="s">
        <v>32762</v>
      </c>
      <c r="B2136" s="590">
        <v>33</v>
      </c>
      <c r="C2136" t="s">
        <v>32761</v>
      </c>
    </row>
    <row r="2137" spans="1:3">
      <c r="A2137" t="s">
        <v>32760</v>
      </c>
      <c r="B2137" s="590">
        <v>46</v>
      </c>
      <c r="C2137" t="s">
        <v>32759</v>
      </c>
    </row>
    <row r="2138" spans="1:3">
      <c r="A2138" t="s">
        <v>32758</v>
      </c>
      <c r="B2138" s="590">
        <v>46</v>
      </c>
      <c r="C2138" t="s">
        <v>32757</v>
      </c>
    </row>
    <row r="2139" spans="1:3">
      <c r="A2139" t="s">
        <v>32756</v>
      </c>
      <c r="B2139" s="590">
        <v>33</v>
      </c>
      <c r="C2139" t="s">
        <v>32755</v>
      </c>
    </row>
    <row r="2140" spans="1:3">
      <c r="A2140" t="s">
        <v>32754</v>
      </c>
      <c r="B2140" s="590">
        <v>33</v>
      </c>
      <c r="C2140" t="s">
        <v>32753</v>
      </c>
    </row>
    <row r="2141" spans="1:3">
      <c r="A2141" t="s">
        <v>32752</v>
      </c>
      <c r="B2141" s="590">
        <v>69</v>
      </c>
      <c r="C2141" t="s">
        <v>32751</v>
      </c>
    </row>
    <row r="2142" spans="1:3">
      <c r="A2142" t="s">
        <v>32750</v>
      </c>
      <c r="B2142" s="590">
        <v>34</v>
      </c>
      <c r="C2142" t="s">
        <v>32749</v>
      </c>
    </row>
    <row r="2143" spans="1:3">
      <c r="A2143" t="s">
        <v>32748</v>
      </c>
      <c r="B2143" s="590">
        <v>42</v>
      </c>
      <c r="C2143" t="s">
        <v>32747</v>
      </c>
    </row>
    <row r="2144" spans="1:3">
      <c r="A2144" t="s">
        <v>32746</v>
      </c>
      <c r="B2144" s="590">
        <v>30</v>
      </c>
      <c r="C2144" t="s">
        <v>32745</v>
      </c>
    </row>
    <row r="2145" spans="1:3">
      <c r="A2145" t="s">
        <v>32744</v>
      </c>
      <c r="B2145" s="590">
        <v>28</v>
      </c>
      <c r="C2145" t="s">
        <v>32743</v>
      </c>
    </row>
    <row r="2146" spans="1:3">
      <c r="A2146" t="s">
        <v>32742</v>
      </c>
      <c r="B2146" s="590">
        <v>47</v>
      </c>
      <c r="C2146" t="s">
        <v>32741</v>
      </c>
    </row>
    <row r="2147" spans="1:3">
      <c r="A2147" t="s">
        <v>32740</v>
      </c>
      <c r="B2147" s="590">
        <v>239</v>
      </c>
      <c r="C2147" t="s">
        <v>32739</v>
      </c>
    </row>
    <row r="2148" spans="1:3">
      <c r="A2148" t="s">
        <v>32738</v>
      </c>
      <c r="B2148" s="590">
        <v>239</v>
      </c>
      <c r="C2148" t="s">
        <v>32737</v>
      </c>
    </row>
    <row r="2149" spans="1:3">
      <c r="A2149" t="s">
        <v>32736</v>
      </c>
      <c r="B2149" s="590">
        <v>239</v>
      </c>
      <c r="C2149" t="s">
        <v>32735</v>
      </c>
    </row>
    <row r="2150" spans="1:3">
      <c r="A2150" t="s">
        <v>32734</v>
      </c>
      <c r="B2150" s="590">
        <v>239</v>
      </c>
      <c r="C2150" t="s">
        <v>32733</v>
      </c>
    </row>
    <row r="2151" spans="1:3">
      <c r="A2151" t="s">
        <v>32732</v>
      </c>
      <c r="B2151" s="590">
        <v>239</v>
      </c>
      <c r="C2151" t="s">
        <v>32731</v>
      </c>
    </row>
    <row r="2152" spans="1:3">
      <c r="A2152" t="s">
        <v>32730</v>
      </c>
      <c r="B2152" s="590">
        <v>264</v>
      </c>
      <c r="C2152" t="s">
        <v>32729</v>
      </c>
    </row>
    <row r="2153" spans="1:3">
      <c r="A2153" t="s">
        <v>32728</v>
      </c>
      <c r="B2153" s="590">
        <v>239</v>
      </c>
      <c r="C2153" t="s">
        <v>32727</v>
      </c>
    </row>
    <row r="2154" spans="1:3">
      <c r="A2154" t="s">
        <v>32726</v>
      </c>
      <c r="B2154" s="590">
        <v>239</v>
      </c>
      <c r="C2154" t="s">
        <v>32725</v>
      </c>
    </row>
    <row r="2155" spans="1:3">
      <c r="A2155" t="s">
        <v>32724</v>
      </c>
      <c r="B2155" s="590">
        <v>7</v>
      </c>
      <c r="C2155" t="s">
        <v>32723</v>
      </c>
    </row>
    <row r="2156" spans="1:3">
      <c r="A2156" t="s">
        <v>32416</v>
      </c>
      <c r="B2156" s="590">
        <v>573</v>
      </c>
      <c r="C2156" t="s">
        <v>32415</v>
      </c>
    </row>
    <row r="2157" spans="1:3">
      <c r="A2157" t="s">
        <v>32722</v>
      </c>
      <c r="B2157" s="590">
        <v>75</v>
      </c>
      <c r="C2157" t="s">
        <v>32721</v>
      </c>
    </row>
    <row r="2158" spans="1:3">
      <c r="A2158" t="s">
        <v>32414</v>
      </c>
      <c r="B2158" s="590">
        <v>644</v>
      </c>
      <c r="C2158" t="s">
        <v>32413</v>
      </c>
    </row>
    <row r="2159" spans="1:3">
      <c r="A2159" t="s">
        <v>32440</v>
      </c>
      <c r="B2159" s="590">
        <v>319</v>
      </c>
      <c r="C2159" t="s">
        <v>32439</v>
      </c>
    </row>
    <row r="2160" spans="1:3">
      <c r="A2160" t="s">
        <v>32431</v>
      </c>
      <c r="B2160" s="590">
        <v>322</v>
      </c>
      <c r="C2160" t="s">
        <v>32430</v>
      </c>
    </row>
    <row r="2161" spans="1:3">
      <c r="A2161" t="s">
        <v>32427</v>
      </c>
      <c r="B2161" s="590">
        <v>634</v>
      </c>
      <c r="C2161" t="s">
        <v>32426</v>
      </c>
    </row>
    <row r="2162" spans="1:3">
      <c r="A2162" t="s">
        <v>32410</v>
      </c>
      <c r="B2162" s="590">
        <v>53</v>
      </c>
      <c r="C2162" t="s">
        <v>32409</v>
      </c>
    </row>
    <row r="2163" spans="1:3">
      <c r="A2163" t="s">
        <v>32392</v>
      </c>
      <c r="B2163" s="590">
        <v>120</v>
      </c>
      <c r="C2163" t="s">
        <v>32391</v>
      </c>
    </row>
    <row r="2164" spans="1:3">
      <c r="A2164" t="s">
        <v>32299</v>
      </c>
      <c r="B2164" s="590">
        <v>765</v>
      </c>
      <c r="C2164" t="s">
        <v>32298</v>
      </c>
    </row>
    <row r="2165" spans="1:3">
      <c r="A2165" t="s">
        <v>32720</v>
      </c>
      <c r="B2165" s="590">
        <v>676</v>
      </c>
      <c r="C2165" t="s">
        <v>32719</v>
      </c>
    </row>
    <row r="2166" spans="1:3">
      <c r="A2166" t="s">
        <v>32718</v>
      </c>
      <c r="B2166" s="590">
        <v>676</v>
      </c>
      <c r="C2166" t="s">
        <v>32717</v>
      </c>
    </row>
    <row r="2167" spans="1:3">
      <c r="A2167" t="s">
        <v>32716</v>
      </c>
      <c r="B2167" s="590">
        <v>756</v>
      </c>
      <c r="C2167" t="s">
        <v>32715</v>
      </c>
    </row>
    <row r="2168" spans="1:3">
      <c r="A2168" t="s">
        <v>32714</v>
      </c>
      <c r="B2168" s="590">
        <v>966</v>
      </c>
      <c r="C2168" t="s">
        <v>32713</v>
      </c>
    </row>
    <row r="2169" spans="1:3">
      <c r="A2169" t="s">
        <v>32712</v>
      </c>
      <c r="B2169" s="590">
        <v>966</v>
      </c>
      <c r="C2169" t="s">
        <v>32711</v>
      </c>
    </row>
    <row r="2170" spans="1:3">
      <c r="A2170" t="s">
        <v>32710</v>
      </c>
      <c r="B2170" s="590">
        <v>4347</v>
      </c>
      <c r="C2170" t="s">
        <v>32709</v>
      </c>
    </row>
    <row r="2171" spans="1:3">
      <c r="A2171" t="s">
        <v>32708</v>
      </c>
      <c r="B2171" s="590">
        <v>4392</v>
      </c>
      <c r="C2171" t="s">
        <v>32707</v>
      </c>
    </row>
    <row r="2172" spans="1:3">
      <c r="A2172" t="s">
        <v>32706</v>
      </c>
      <c r="B2172" s="590">
        <v>4392</v>
      </c>
      <c r="C2172" t="s">
        <v>32705</v>
      </c>
    </row>
    <row r="2173" spans="1:3">
      <c r="A2173" t="s">
        <v>32674</v>
      </c>
      <c r="B2173" s="590">
        <v>140</v>
      </c>
      <c r="C2173" t="s">
        <v>32673</v>
      </c>
    </row>
    <row r="2174" spans="1:3">
      <c r="A2174" t="s">
        <v>32704</v>
      </c>
      <c r="B2174" s="590">
        <v>2851</v>
      </c>
      <c r="C2174" t="s">
        <v>32703</v>
      </c>
    </row>
    <row r="2175" spans="1:3">
      <c r="A2175" t="s">
        <v>32702</v>
      </c>
      <c r="B2175" s="590">
        <v>2896</v>
      </c>
      <c r="C2175" t="s">
        <v>32701</v>
      </c>
    </row>
    <row r="2176" spans="1:3">
      <c r="A2176" t="s">
        <v>32700</v>
      </c>
      <c r="B2176" s="590">
        <v>2896</v>
      </c>
      <c r="C2176" t="s">
        <v>32699</v>
      </c>
    </row>
    <row r="2177" spans="1:3">
      <c r="A2177" t="s">
        <v>32698</v>
      </c>
      <c r="B2177" s="590">
        <v>237</v>
      </c>
      <c r="C2177" t="s">
        <v>32697</v>
      </c>
    </row>
    <row r="2178" spans="1:3">
      <c r="A2178" t="s">
        <v>32696</v>
      </c>
      <c r="B2178" s="590">
        <v>237</v>
      </c>
      <c r="C2178" t="s">
        <v>32695</v>
      </c>
    </row>
    <row r="2179" spans="1:3">
      <c r="A2179" t="s">
        <v>32694</v>
      </c>
      <c r="B2179" s="590">
        <v>237</v>
      </c>
      <c r="C2179" t="s">
        <v>32693</v>
      </c>
    </row>
    <row r="2180" spans="1:3">
      <c r="A2180" t="s">
        <v>27229</v>
      </c>
      <c r="B2180" s="590">
        <v>275</v>
      </c>
      <c r="C2180" t="s">
        <v>27228</v>
      </c>
    </row>
    <row r="2181" spans="1:3">
      <c r="A2181" t="s">
        <v>32692</v>
      </c>
      <c r="B2181" s="590">
        <v>237</v>
      </c>
      <c r="C2181" t="s">
        <v>32691</v>
      </c>
    </row>
    <row r="2182" spans="1:3">
      <c r="A2182" t="s">
        <v>32690</v>
      </c>
      <c r="B2182" s="590">
        <v>295</v>
      </c>
      <c r="C2182" t="s">
        <v>32689</v>
      </c>
    </row>
    <row r="2183" spans="1:3">
      <c r="A2183" t="s">
        <v>32688</v>
      </c>
      <c r="B2183" s="590">
        <v>295</v>
      </c>
      <c r="C2183" t="s">
        <v>32687</v>
      </c>
    </row>
    <row r="2184" spans="1:3">
      <c r="A2184" t="s">
        <v>32686</v>
      </c>
      <c r="B2184" s="590">
        <v>295</v>
      </c>
      <c r="C2184" t="s">
        <v>32685</v>
      </c>
    </row>
    <row r="2185" spans="1:3">
      <c r="A2185" t="s">
        <v>32684</v>
      </c>
      <c r="B2185" s="590">
        <v>295</v>
      </c>
      <c r="C2185" t="s">
        <v>32683</v>
      </c>
    </row>
    <row r="2186" spans="1:3">
      <c r="A2186" t="s">
        <v>32682</v>
      </c>
      <c r="B2186" s="590">
        <v>295</v>
      </c>
      <c r="C2186" t="s">
        <v>32681</v>
      </c>
    </row>
    <row r="2187" spans="1:3">
      <c r="A2187" t="s">
        <v>32680</v>
      </c>
      <c r="B2187" s="590">
        <v>295</v>
      </c>
      <c r="C2187" t="s">
        <v>32679</v>
      </c>
    </row>
    <row r="2188" spans="1:3">
      <c r="A2188" t="s">
        <v>32678</v>
      </c>
      <c r="B2188" s="590">
        <v>295</v>
      </c>
      <c r="C2188" t="s">
        <v>32677</v>
      </c>
    </row>
    <row r="2189" spans="1:3">
      <c r="A2189" t="s">
        <v>32676</v>
      </c>
      <c r="B2189" s="590">
        <v>295</v>
      </c>
      <c r="C2189" t="s">
        <v>32675</v>
      </c>
    </row>
    <row r="2190" spans="1:3">
      <c r="A2190" t="s">
        <v>32674</v>
      </c>
      <c r="B2190" s="590">
        <v>140</v>
      </c>
      <c r="C2190" t="s">
        <v>32673</v>
      </c>
    </row>
    <row r="2191" spans="1:3">
      <c r="A2191" t="s">
        <v>32672</v>
      </c>
      <c r="B2191" s="590">
        <v>239</v>
      </c>
      <c r="C2191" t="s">
        <v>32671</v>
      </c>
    </row>
    <row r="2192" spans="1:3">
      <c r="A2192" t="s">
        <v>32670</v>
      </c>
      <c r="B2192" s="590">
        <v>239</v>
      </c>
      <c r="C2192" t="s">
        <v>32669</v>
      </c>
    </row>
    <row r="2193" spans="1:3">
      <c r="A2193" t="s">
        <v>32668</v>
      </c>
      <c r="B2193" s="590">
        <v>239</v>
      </c>
      <c r="C2193" t="s">
        <v>32667</v>
      </c>
    </row>
    <row r="2194" spans="1:3">
      <c r="A2194" t="s">
        <v>32666</v>
      </c>
      <c r="B2194" s="590">
        <v>239</v>
      </c>
      <c r="C2194" t="s">
        <v>32665</v>
      </c>
    </row>
    <row r="2195" spans="1:3">
      <c r="A2195" t="s">
        <v>32664</v>
      </c>
      <c r="B2195" s="590">
        <v>239</v>
      </c>
      <c r="C2195" t="s">
        <v>32663</v>
      </c>
    </row>
    <row r="2196" spans="1:3">
      <c r="A2196" t="s">
        <v>32662</v>
      </c>
      <c r="B2196" s="590">
        <v>258</v>
      </c>
      <c r="C2196" t="s">
        <v>27266</v>
      </c>
    </row>
    <row r="2197" spans="1:3">
      <c r="A2197" t="s">
        <v>27267</v>
      </c>
      <c r="B2197" s="590">
        <v>258</v>
      </c>
      <c r="C2197" t="s">
        <v>27266</v>
      </c>
    </row>
    <row r="2198" spans="1:3">
      <c r="A2198" t="s">
        <v>32661</v>
      </c>
      <c r="B2198" s="590">
        <v>239</v>
      </c>
      <c r="C2198" t="s">
        <v>32660</v>
      </c>
    </row>
    <row r="2199" spans="1:3">
      <c r="A2199" t="s">
        <v>32659</v>
      </c>
      <c r="B2199" s="590">
        <v>239</v>
      </c>
      <c r="C2199" t="s">
        <v>32658</v>
      </c>
    </row>
    <row r="2200" spans="1:3">
      <c r="A2200" t="s">
        <v>32657</v>
      </c>
      <c r="B2200" s="590">
        <v>252</v>
      </c>
      <c r="C2200" t="s">
        <v>32656</v>
      </c>
    </row>
    <row r="2201" spans="1:3">
      <c r="A2201" t="s">
        <v>32655</v>
      </c>
      <c r="B2201" s="590">
        <v>750</v>
      </c>
      <c r="C2201" t="s">
        <v>32654</v>
      </c>
    </row>
    <row r="2202" spans="1:3">
      <c r="A2202" t="s">
        <v>32653</v>
      </c>
      <c r="B2202" s="590">
        <v>750</v>
      </c>
      <c r="C2202" t="s">
        <v>32652</v>
      </c>
    </row>
    <row r="2203" spans="1:3">
      <c r="A2203" t="s">
        <v>32651</v>
      </c>
      <c r="B2203" s="590">
        <v>750</v>
      </c>
      <c r="C2203" t="s">
        <v>32650</v>
      </c>
    </row>
    <row r="2204" spans="1:3">
      <c r="A2204" t="s">
        <v>32649</v>
      </c>
      <c r="B2204" s="590">
        <v>327</v>
      </c>
      <c r="C2204" t="s">
        <v>32648</v>
      </c>
    </row>
    <row r="2205" spans="1:3">
      <c r="A2205" t="s">
        <v>32647</v>
      </c>
      <c r="B2205" s="590">
        <v>183</v>
      </c>
      <c r="C2205" t="s">
        <v>32646</v>
      </c>
    </row>
    <row r="2206" spans="1:3">
      <c r="A2206" t="s">
        <v>32645</v>
      </c>
      <c r="B2206" s="590">
        <v>463</v>
      </c>
      <c r="C2206" t="s">
        <v>32644</v>
      </c>
    </row>
    <row r="2207" spans="1:3">
      <c r="A2207" t="s">
        <v>32643</v>
      </c>
      <c r="B2207" s="590">
        <v>500</v>
      </c>
      <c r="C2207" t="s">
        <v>32642</v>
      </c>
    </row>
    <row r="2208" spans="1:3">
      <c r="A2208" t="s">
        <v>32641</v>
      </c>
      <c r="B2208" s="590">
        <v>23</v>
      </c>
      <c r="C2208" t="s">
        <v>32640</v>
      </c>
    </row>
    <row r="2209" spans="1:3">
      <c r="A2209" t="s">
        <v>32639</v>
      </c>
      <c r="B2209" s="590">
        <v>870</v>
      </c>
      <c r="C2209" t="s">
        <v>32638</v>
      </c>
    </row>
    <row r="2210" spans="1:3">
      <c r="A2210" t="s">
        <v>32297</v>
      </c>
      <c r="B2210" s="590">
        <v>126</v>
      </c>
      <c r="C2210" t="s">
        <v>32296</v>
      </c>
    </row>
    <row r="2211" spans="1:3">
      <c r="A2211" t="s">
        <v>32637</v>
      </c>
      <c r="B2211" s="590">
        <v>813</v>
      </c>
      <c r="C2211" t="s">
        <v>32636</v>
      </c>
    </row>
    <row r="2212" spans="1:3">
      <c r="A2212" t="s">
        <v>32635</v>
      </c>
      <c r="B2212" s="590">
        <v>840</v>
      </c>
      <c r="C2212" t="s">
        <v>32634</v>
      </c>
    </row>
    <row r="2213" spans="1:3">
      <c r="A2213" t="s">
        <v>32633</v>
      </c>
      <c r="B2213" s="590">
        <v>960</v>
      </c>
      <c r="C2213" t="s">
        <v>32632</v>
      </c>
    </row>
    <row r="2214" spans="1:3">
      <c r="A2214" t="s">
        <v>32631</v>
      </c>
      <c r="B2214" s="590">
        <v>988</v>
      </c>
      <c r="C2214" t="s">
        <v>32630</v>
      </c>
    </row>
    <row r="2215" spans="1:3">
      <c r="A2215" t="s">
        <v>32629</v>
      </c>
      <c r="B2215" s="590">
        <v>14</v>
      </c>
      <c r="C2215" t="s">
        <v>32628</v>
      </c>
    </row>
    <row r="2216" spans="1:3">
      <c r="A2216" t="s">
        <v>32627</v>
      </c>
      <c r="B2216" s="590">
        <v>3009</v>
      </c>
      <c r="C2216" t="s">
        <v>32626</v>
      </c>
    </row>
    <row r="2217" spans="1:3">
      <c r="A2217" t="s">
        <v>32625</v>
      </c>
      <c r="B2217" s="590">
        <v>424</v>
      </c>
      <c r="C2217" t="s">
        <v>32624</v>
      </c>
    </row>
    <row r="2218" spans="1:3">
      <c r="A2218" t="s">
        <v>32623</v>
      </c>
      <c r="B2218" s="590">
        <v>340</v>
      </c>
      <c r="C2218" t="s">
        <v>32622</v>
      </c>
    </row>
    <row r="2219" spans="1:3">
      <c r="A2219" t="s">
        <v>32621</v>
      </c>
      <c r="B2219" s="590">
        <v>334</v>
      </c>
      <c r="C2219" t="s">
        <v>32620</v>
      </c>
    </row>
    <row r="2220" spans="1:3">
      <c r="A2220" t="s">
        <v>32619</v>
      </c>
      <c r="B2220" s="590">
        <v>175</v>
      </c>
      <c r="C2220" t="s">
        <v>32618</v>
      </c>
    </row>
    <row r="2221" spans="1:3">
      <c r="A2221" t="s">
        <v>32617</v>
      </c>
      <c r="B2221" s="590">
        <v>220</v>
      </c>
      <c r="C2221" t="s">
        <v>32616</v>
      </c>
    </row>
    <row r="2222" spans="1:3">
      <c r="A2222" t="s">
        <v>32615</v>
      </c>
      <c r="B2222" s="590">
        <v>207</v>
      </c>
      <c r="C2222" t="s">
        <v>32614</v>
      </c>
    </row>
    <row r="2223" spans="1:3">
      <c r="A2223" t="s">
        <v>32613</v>
      </c>
      <c r="B2223" s="590">
        <v>258</v>
      </c>
      <c r="C2223" t="s">
        <v>32612</v>
      </c>
    </row>
    <row r="2224" spans="1:3">
      <c r="A2224" t="s">
        <v>32611</v>
      </c>
      <c r="B2224" s="590">
        <v>258</v>
      </c>
      <c r="C2224" t="s">
        <v>32610</v>
      </c>
    </row>
    <row r="2225" spans="1:3">
      <c r="A2225" t="s">
        <v>32609</v>
      </c>
      <c r="B2225" s="590">
        <v>51</v>
      </c>
      <c r="C2225" t="s">
        <v>32608</v>
      </c>
    </row>
    <row r="2226" spans="1:3">
      <c r="A2226" t="s">
        <v>32607</v>
      </c>
      <c r="B2226" s="590">
        <v>91</v>
      </c>
      <c r="C2226" t="s">
        <v>32606</v>
      </c>
    </row>
    <row r="2227" spans="1:3">
      <c r="A2227" t="s">
        <v>32605</v>
      </c>
      <c r="B2227" s="590">
        <v>124</v>
      </c>
      <c r="C2227" t="s">
        <v>32604</v>
      </c>
    </row>
    <row r="2228" spans="1:3">
      <c r="A2228" t="s">
        <v>32603</v>
      </c>
      <c r="B2228" s="590">
        <v>167</v>
      </c>
      <c r="C2228" t="s">
        <v>32602</v>
      </c>
    </row>
    <row r="2229" spans="1:3">
      <c r="A2229" t="s">
        <v>32601</v>
      </c>
      <c r="B2229" s="590">
        <v>34</v>
      </c>
      <c r="C2229" t="s">
        <v>32600</v>
      </c>
    </row>
    <row r="2230" spans="1:3">
      <c r="A2230" t="s">
        <v>32599</v>
      </c>
      <c r="B2230" s="590">
        <v>33</v>
      </c>
      <c r="C2230" t="s">
        <v>32598</v>
      </c>
    </row>
    <row r="2231" spans="1:3">
      <c r="A2231" t="s">
        <v>32597</v>
      </c>
      <c r="B2231" s="590">
        <v>59</v>
      </c>
      <c r="C2231" t="s">
        <v>32596</v>
      </c>
    </row>
    <row r="2232" spans="1:3">
      <c r="A2232" t="s">
        <v>32595</v>
      </c>
      <c r="B2232" s="590">
        <v>756</v>
      </c>
      <c r="C2232" t="s">
        <v>32594</v>
      </c>
    </row>
    <row r="2233" spans="1:3">
      <c r="A2233" t="s">
        <v>32593</v>
      </c>
      <c r="B2233" s="590">
        <v>756</v>
      </c>
      <c r="C2233" t="s">
        <v>32592</v>
      </c>
    </row>
    <row r="2234" spans="1:3">
      <c r="A2234" t="s">
        <v>32591</v>
      </c>
      <c r="B2234" s="590">
        <v>756</v>
      </c>
      <c r="C2234" t="s">
        <v>32590</v>
      </c>
    </row>
    <row r="2235" spans="1:3">
      <c r="A2235" t="s">
        <v>32589</v>
      </c>
      <c r="B2235" s="590">
        <v>756</v>
      </c>
      <c r="C2235" t="s">
        <v>32588</v>
      </c>
    </row>
    <row r="2236" spans="1:3">
      <c r="A2236" t="s">
        <v>32587</v>
      </c>
      <c r="B2236" s="590">
        <v>944</v>
      </c>
      <c r="C2236" t="s">
        <v>32586</v>
      </c>
    </row>
    <row r="2237" spans="1:3">
      <c r="B2237" s="590">
        <v>278</v>
      </c>
    </row>
    <row r="2238" spans="1:3">
      <c r="B2238" s="590">
        <v>2047</v>
      </c>
    </row>
    <row r="2239" spans="1:3">
      <c r="B2239" s="590">
        <v>119</v>
      </c>
    </row>
    <row r="2240" spans="1:3">
      <c r="A2240" t="s">
        <v>22016</v>
      </c>
      <c r="B2240" s="590">
        <v>1411</v>
      </c>
      <c r="C2240" t="s">
        <v>32585</v>
      </c>
    </row>
    <row r="2241" spans="1:3">
      <c r="A2241" t="s">
        <v>22018</v>
      </c>
      <c r="B2241" s="590">
        <v>717</v>
      </c>
      <c r="C2241" t="s">
        <v>32584</v>
      </c>
    </row>
    <row r="2242" spans="1:3">
      <c r="A2242" t="s">
        <v>32583</v>
      </c>
      <c r="B2242" s="590">
        <v>1411</v>
      </c>
      <c r="C2242" t="s">
        <v>32582</v>
      </c>
    </row>
    <row r="2243" spans="1:3">
      <c r="A2243" t="s">
        <v>32581</v>
      </c>
      <c r="B2243" s="590">
        <v>1411</v>
      </c>
      <c r="C2243" t="s">
        <v>32580</v>
      </c>
    </row>
    <row r="2244" spans="1:3">
      <c r="A2244" t="s">
        <v>32579</v>
      </c>
      <c r="B2244" s="590">
        <v>1882</v>
      </c>
      <c r="C2244" t="s">
        <v>32578</v>
      </c>
    </row>
    <row r="2245" spans="1:3">
      <c r="A2245" t="s">
        <v>32577</v>
      </c>
      <c r="B2245" s="590">
        <v>1882</v>
      </c>
      <c r="C2245" t="s">
        <v>32576</v>
      </c>
    </row>
    <row r="2246" spans="1:3">
      <c r="A2246" t="s">
        <v>32575</v>
      </c>
      <c r="B2246" s="590">
        <v>1882</v>
      </c>
      <c r="C2246" t="s">
        <v>32574</v>
      </c>
    </row>
    <row r="2247" spans="1:3">
      <c r="A2247" t="s">
        <v>32573</v>
      </c>
      <c r="B2247" s="590">
        <v>1882</v>
      </c>
      <c r="C2247" t="s">
        <v>32572</v>
      </c>
    </row>
    <row r="2248" spans="1:3">
      <c r="A2248" t="s">
        <v>32571</v>
      </c>
      <c r="B2248" s="590">
        <v>346</v>
      </c>
      <c r="C2248" t="s">
        <v>32570</v>
      </c>
    </row>
    <row r="2249" spans="1:3">
      <c r="A2249" t="s">
        <v>32569</v>
      </c>
      <c r="B2249" s="590">
        <v>346</v>
      </c>
      <c r="C2249" t="s">
        <v>32568</v>
      </c>
    </row>
    <row r="2250" spans="1:3">
      <c r="A2250" t="s">
        <v>32567</v>
      </c>
      <c r="B2250" s="590">
        <v>346</v>
      </c>
      <c r="C2250" t="s">
        <v>32566</v>
      </c>
    </row>
    <row r="2251" spans="1:3">
      <c r="A2251" t="s">
        <v>32565</v>
      </c>
      <c r="B2251" s="590">
        <v>346</v>
      </c>
      <c r="C2251" t="s">
        <v>32564</v>
      </c>
    </row>
    <row r="2252" spans="1:3">
      <c r="A2252" t="s">
        <v>32563</v>
      </c>
      <c r="B2252" s="590">
        <v>346</v>
      </c>
      <c r="C2252" t="s">
        <v>32562</v>
      </c>
    </row>
    <row r="2253" spans="1:3">
      <c r="A2253" t="s">
        <v>32561</v>
      </c>
      <c r="B2253" s="590">
        <v>346</v>
      </c>
      <c r="C2253" t="s">
        <v>32560</v>
      </c>
    </row>
    <row r="2254" spans="1:3">
      <c r="A2254" t="s">
        <v>32559</v>
      </c>
      <c r="B2254" s="590">
        <v>346</v>
      </c>
      <c r="C2254" t="s">
        <v>32558</v>
      </c>
    </row>
    <row r="2255" spans="1:3">
      <c r="A2255" t="s">
        <v>32557</v>
      </c>
      <c r="B2255" s="590">
        <v>346</v>
      </c>
      <c r="C2255" t="s">
        <v>32556</v>
      </c>
    </row>
    <row r="2256" spans="1:3">
      <c r="A2256" t="s">
        <v>32555</v>
      </c>
      <c r="B2256" s="590">
        <v>346</v>
      </c>
      <c r="C2256" t="s">
        <v>32554</v>
      </c>
    </row>
    <row r="2257" spans="1:3">
      <c r="A2257" t="s">
        <v>32553</v>
      </c>
      <c r="B2257" s="590">
        <v>346</v>
      </c>
      <c r="C2257" t="s">
        <v>32552</v>
      </c>
    </row>
    <row r="2258" spans="1:3">
      <c r="A2258" t="s">
        <v>32551</v>
      </c>
      <c r="B2258" s="590">
        <v>346</v>
      </c>
      <c r="C2258" t="s">
        <v>32550</v>
      </c>
    </row>
    <row r="2259" spans="1:3">
      <c r="A2259" t="s">
        <v>32549</v>
      </c>
      <c r="B2259" s="590">
        <v>346</v>
      </c>
      <c r="C2259" t="s">
        <v>32548</v>
      </c>
    </row>
    <row r="2260" spans="1:3">
      <c r="A2260" t="s">
        <v>22017</v>
      </c>
      <c r="B2260" s="590">
        <v>572</v>
      </c>
      <c r="C2260" t="s">
        <v>32547</v>
      </c>
    </row>
    <row r="2261" spans="1:3">
      <c r="A2261" t="s">
        <v>32546</v>
      </c>
      <c r="B2261" s="590">
        <v>227</v>
      </c>
      <c r="C2261" t="s">
        <v>27808</v>
      </c>
    </row>
    <row r="2262" spans="1:3">
      <c r="A2262" t="s">
        <v>32545</v>
      </c>
      <c r="B2262" s="590">
        <v>473</v>
      </c>
      <c r="C2262" t="s">
        <v>32544</v>
      </c>
    </row>
    <row r="2263" spans="1:3">
      <c r="A2263" t="s">
        <v>32543</v>
      </c>
      <c r="B2263" s="590">
        <v>473</v>
      </c>
      <c r="C2263" t="s">
        <v>32542</v>
      </c>
    </row>
    <row r="2264" spans="1:3">
      <c r="A2264" t="s">
        <v>32541</v>
      </c>
      <c r="B2264" s="590">
        <v>473</v>
      </c>
      <c r="C2264" t="s">
        <v>32540</v>
      </c>
    </row>
    <row r="2265" spans="1:3">
      <c r="A2265" t="s">
        <v>32539</v>
      </c>
      <c r="B2265" s="590">
        <v>457</v>
      </c>
      <c r="C2265" t="s">
        <v>32538</v>
      </c>
    </row>
    <row r="2266" spans="1:3">
      <c r="A2266" t="s">
        <v>32537</v>
      </c>
      <c r="B2266" s="590">
        <v>400</v>
      </c>
      <c r="C2266" t="s">
        <v>32536</v>
      </c>
    </row>
    <row r="2267" spans="1:3">
      <c r="A2267" t="s">
        <v>32535</v>
      </c>
      <c r="B2267" s="590">
        <v>473</v>
      </c>
      <c r="C2267" t="s">
        <v>32533</v>
      </c>
    </row>
    <row r="2268" spans="1:3">
      <c r="A2268" t="s">
        <v>32534</v>
      </c>
      <c r="B2268" s="590">
        <v>420</v>
      </c>
      <c r="C2268" t="s">
        <v>32533</v>
      </c>
    </row>
    <row r="2269" spans="1:3">
      <c r="A2269" t="s">
        <v>32532</v>
      </c>
      <c r="B2269" s="590">
        <v>473</v>
      </c>
      <c r="C2269" t="s">
        <v>32531</v>
      </c>
    </row>
    <row r="2270" spans="1:3">
      <c r="A2270" t="s">
        <v>32530</v>
      </c>
      <c r="B2270" s="590">
        <v>473</v>
      </c>
      <c r="C2270" t="s">
        <v>32529</v>
      </c>
    </row>
    <row r="2271" spans="1:3">
      <c r="A2271" t="s">
        <v>32528</v>
      </c>
      <c r="B2271" s="590">
        <v>10</v>
      </c>
      <c r="C2271" t="s">
        <v>32527</v>
      </c>
    </row>
    <row r="2272" spans="1:3">
      <c r="A2272" t="s">
        <v>32526</v>
      </c>
      <c r="B2272" s="590">
        <v>74</v>
      </c>
      <c r="C2272" t="s">
        <v>32525</v>
      </c>
    </row>
    <row r="2273" spans="1:3">
      <c r="A2273" t="s">
        <v>32524</v>
      </c>
      <c r="B2273" s="590">
        <v>189</v>
      </c>
      <c r="C2273" t="s">
        <v>32523</v>
      </c>
    </row>
    <row r="2274" spans="1:3">
      <c r="A2274" t="s">
        <v>32522</v>
      </c>
      <c r="B2274" s="590">
        <v>189</v>
      </c>
      <c r="C2274" t="s">
        <v>32521</v>
      </c>
    </row>
    <row r="2275" spans="1:3">
      <c r="A2275" t="s">
        <v>32520</v>
      </c>
      <c r="B2275" s="590">
        <v>177</v>
      </c>
      <c r="C2275" t="s">
        <v>32508</v>
      </c>
    </row>
    <row r="2276" spans="1:3">
      <c r="A2276" t="s">
        <v>32519</v>
      </c>
      <c r="B2276" s="590">
        <v>177</v>
      </c>
      <c r="C2276" t="s">
        <v>32506</v>
      </c>
    </row>
    <row r="2277" spans="1:3">
      <c r="A2277" t="s">
        <v>32518</v>
      </c>
      <c r="B2277" s="590">
        <v>64</v>
      </c>
      <c r="C2277" t="s">
        <v>32504</v>
      </c>
    </row>
    <row r="2278" spans="1:3">
      <c r="A2278" t="s">
        <v>32517</v>
      </c>
      <c r="B2278" s="590">
        <v>64</v>
      </c>
      <c r="C2278" t="s">
        <v>32501</v>
      </c>
    </row>
    <row r="2279" spans="1:3">
      <c r="A2279" t="s">
        <v>32516</v>
      </c>
      <c r="B2279" s="590">
        <v>177</v>
      </c>
      <c r="C2279" t="s">
        <v>32501</v>
      </c>
    </row>
    <row r="2280" spans="1:3">
      <c r="A2280" t="s">
        <v>32515</v>
      </c>
      <c r="B2280" s="590">
        <v>189</v>
      </c>
      <c r="C2280" t="s">
        <v>32514</v>
      </c>
    </row>
    <row r="2281" spans="1:3">
      <c r="A2281" t="s">
        <v>32513</v>
      </c>
      <c r="B2281" s="590">
        <v>64</v>
      </c>
      <c r="C2281" t="s">
        <v>32512</v>
      </c>
    </row>
    <row r="2282" spans="1:3">
      <c r="A2282" t="s">
        <v>32511</v>
      </c>
      <c r="B2282" s="590">
        <v>64</v>
      </c>
      <c r="C2282" t="s">
        <v>32495</v>
      </c>
    </row>
    <row r="2283" spans="1:3">
      <c r="A2283" t="s">
        <v>32510</v>
      </c>
      <c r="B2283" s="590">
        <v>177</v>
      </c>
      <c r="C2283" t="s">
        <v>32493</v>
      </c>
    </row>
    <row r="2284" spans="1:3">
      <c r="A2284" t="s">
        <v>32509</v>
      </c>
      <c r="B2284" s="590">
        <v>177</v>
      </c>
      <c r="C2284" t="s">
        <v>32508</v>
      </c>
    </row>
    <row r="2285" spans="1:3">
      <c r="A2285" t="s">
        <v>32507</v>
      </c>
      <c r="B2285" s="590">
        <v>177</v>
      </c>
      <c r="C2285" t="s">
        <v>32506</v>
      </c>
    </row>
    <row r="2286" spans="1:3">
      <c r="A2286" t="s">
        <v>32505</v>
      </c>
      <c r="B2286" s="590">
        <v>64</v>
      </c>
      <c r="C2286" t="s">
        <v>32504</v>
      </c>
    </row>
    <row r="2287" spans="1:3">
      <c r="A2287" t="s">
        <v>32503</v>
      </c>
      <c r="B2287" s="590">
        <v>64</v>
      </c>
      <c r="C2287" t="s">
        <v>32501</v>
      </c>
    </row>
    <row r="2288" spans="1:3">
      <c r="A2288" t="s">
        <v>32502</v>
      </c>
      <c r="B2288" s="590">
        <v>177</v>
      </c>
      <c r="C2288" t="s">
        <v>32501</v>
      </c>
    </row>
    <row r="2289" spans="1:3">
      <c r="A2289" t="s">
        <v>32500</v>
      </c>
      <c r="B2289" s="590">
        <v>189</v>
      </c>
      <c r="C2289" t="s">
        <v>32499</v>
      </c>
    </row>
    <row r="2290" spans="1:3">
      <c r="A2290" t="s">
        <v>32498</v>
      </c>
      <c r="B2290" s="590">
        <v>64</v>
      </c>
      <c r="C2290" t="s">
        <v>32497</v>
      </c>
    </row>
    <row r="2291" spans="1:3">
      <c r="A2291" t="s">
        <v>32496</v>
      </c>
      <c r="B2291" s="590">
        <v>64</v>
      </c>
      <c r="C2291" t="s">
        <v>32495</v>
      </c>
    </row>
    <row r="2292" spans="1:3">
      <c r="A2292" t="s">
        <v>32494</v>
      </c>
      <c r="B2292" s="590">
        <v>177</v>
      </c>
      <c r="C2292" t="s">
        <v>32493</v>
      </c>
    </row>
    <row r="2293" spans="1:3">
      <c r="A2293" t="s">
        <v>32492</v>
      </c>
      <c r="B2293" s="590">
        <v>251</v>
      </c>
      <c r="C2293" t="s">
        <v>32491</v>
      </c>
    </row>
    <row r="2294" spans="1:3">
      <c r="A2294" t="s">
        <v>32490</v>
      </c>
      <c r="B2294" s="590">
        <v>164</v>
      </c>
      <c r="C2294" t="s">
        <v>32489</v>
      </c>
    </row>
    <row r="2295" spans="1:3">
      <c r="A2295" t="s">
        <v>32488</v>
      </c>
      <c r="B2295" s="590">
        <v>227</v>
      </c>
      <c r="C2295" t="s">
        <v>32487</v>
      </c>
    </row>
    <row r="2296" spans="1:3">
      <c r="A2296" t="s">
        <v>22022</v>
      </c>
      <c r="B2296" s="590">
        <v>292</v>
      </c>
      <c r="C2296" t="s">
        <v>32486</v>
      </c>
    </row>
    <row r="2297" spans="1:3">
      <c r="A2297" t="s">
        <v>32485</v>
      </c>
      <c r="B2297" s="590">
        <v>311</v>
      </c>
      <c r="C2297" t="s">
        <v>32484</v>
      </c>
    </row>
    <row r="2298" spans="1:3">
      <c r="A2298" t="s">
        <v>22019</v>
      </c>
      <c r="B2298" s="590">
        <v>465</v>
      </c>
      <c r="C2298" t="s">
        <v>32483</v>
      </c>
    </row>
    <row r="2299" spans="1:3">
      <c r="A2299" t="s">
        <v>32482</v>
      </c>
      <c r="B2299" s="590">
        <v>300</v>
      </c>
      <c r="C2299" t="s">
        <v>32481</v>
      </c>
    </row>
    <row r="2300" spans="1:3">
      <c r="A2300" t="s">
        <v>22021</v>
      </c>
      <c r="B2300" s="590">
        <v>376</v>
      </c>
      <c r="C2300" t="s">
        <v>32480</v>
      </c>
    </row>
    <row r="2301" spans="1:3">
      <c r="A2301" t="s">
        <v>22023</v>
      </c>
      <c r="B2301" s="590">
        <v>371</v>
      </c>
      <c r="C2301" t="s">
        <v>32479</v>
      </c>
    </row>
    <row r="2302" spans="1:3">
      <c r="A2302" t="s">
        <v>32478</v>
      </c>
      <c r="B2302" s="590">
        <v>55</v>
      </c>
      <c r="C2302" t="s">
        <v>32477</v>
      </c>
    </row>
    <row r="2303" spans="1:3">
      <c r="A2303" t="s">
        <v>32476</v>
      </c>
      <c r="B2303" s="590">
        <v>756</v>
      </c>
      <c r="C2303" t="s">
        <v>32475</v>
      </c>
    </row>
    <row r="2304" spans="1:3">
      <c r="A2304" t="s">
        <v>32474</v>
      </c>
      <c r="B2304" s="590">
        <v>756</v>
      </c>
      <c r="C2304" t="s">
        <v>32473</v>
      </c>
    </row>
    <row r="2305" spans="1:3">
      <c r="A2305" t="s">
        <v>32472</v>
      </c>
      <c r="B2305" s="590">
        <v>756</v>
      </c>
      <c r="C2305" t="s">
        <v>32471</v>
      </c>
    </row>
    <row r="2306" spans="1:3">
      <c r="A2306" t="s">
        <v>32470</v>
      </c>
      <c r="B2306" s="590">
        <v>756</v>
      </c>
      <c r="C2306" t="s">
        <v>32469</v>
      </c>
    </row>
    <row r="2307" spans="1:3">
      <c r="A2307" t="s">
        <v>32468</v>
      </c>
      <c r="B2307" s="590">
        <v>944</v>
      </c>
      <c r="C2307" t="s">
        <v>32467</v>
      </c>
    </row>
    <row r="2308" spans="1:3">
      <c r="A2308" t="s">
        <v>32466</v>
      </c>
      <c r="B2308" s="590">
        <v>995</v>
      </c>
      <c r="C2308" t="s">
        <v>32465</v>
      </c>
    </row>
    <row r="2309" spans="1:3">
      <c r="A2309" t="s">
        <v>32464</v>
      </c>
      <c r="B2309" s="590">
        <v>1064</v>
      </c>
      <c r="C2309" t="s">
        <v>32463</v>
      </c>
    </row>
    <row r="2310" spans="1:3">
      <c r="A2310" t="s">
        <v>32462</v>
      </c>
      <c r="B2310" s="590">
        <v>569</v>
      </c>
      <c r="C2310" t="s">
        <v>32461</v>
      </c>
    </row>
    <row r="2311" spans="1:3">
      <c r="A2311" t="s">
        <v>32460</v>
      </c>
      <c r="B2311" s="590">
        <v>802</v>
      </c>
      <c r="C2311" t="s">
        <v>32459</v>
      </c>
    </row>
    <row r="2312" spans="1:3">
      <c r="A2312" t="s">
        <v>32458</v>
      </c>
      <c r="B2312" s="590">
        <v>1465</v>
      </c>
      <c r="C2312" t="s">
        <v>32457</v>
      </c>
    </row>
    <row r="2313" spans="1:3">
      <c r="A2313" t="s">
        <v>32456</v>
      </c>
      <c r="B2313" s="590">
        <v>841</v>
      </c>
      <c r="C2313" t="s">
        <v>32455</v>
      </c>
    </row>
    <row r="2314" spans="1:3">
      <c r="A2314" t="s">
        <v>32454</v>
      </c>
      <c r="B2314" s="590">
        <v>1141</v>
      </c>
      <c r="C2314" t="s">
        <v>32453</v>
      </c>
    </row>
    <row r="2315" spans="1:3">
      <c r="A2315" t="s">
        <v>32452</v>
      </c>
      <c r="B2315" s="590">
        <v>910</v>
      </c>
      <c r="C2315" t="s">
        <v>32451</v>
      </c>
    </row>
    <row r="2316" spans="1:3">
      <c r="A2316" t="s">
        <v>32450</v>
      </c>
      <c r="B2316" s="590">
        <v>501</v>
      </c>
      <c r="C2316" t="s">
        <v>32449</v>
      </c>
    </row>
    <row r="2317" spans="1:3">
      <c r="A2317" t="s">
        <v>32448</v>
      </c>
      <c r="B2317" s="590">
        <v>492</v>
      </c>
      <c r="C2317" t="s">
        <v>32447</v>
      </c>
    </row>
    <row r="2318" spans="1:3">
      <c r="A2318" t="s">
        <v>32446</v>
      </c>
      <c r="B2318" s="590">
        <v>567</v>
      </c>
      <c r="C2318" t="s">
        <v>32445</v>
      </c>
    </row>
    <row r="2319" spans="1:3">
      <c r="A2319" t="s">
        <v>32444</v>
      </c>
      <c r="B2319" s="590">
        <v>83</v>
      </c>
      <c r="C2319" t="s">
        <v>32443</v>
      </c>
    </row>
    <row r="2320" spans="1:3">
      <c r="A2320" t="s">
        <v>32442</v>
      </c>
      <c r="B2320" s="590">
        <v>382</v>
      </c>
      <c r="C2320" t="s">
        <v>32441</v>
      </c>
    </row>
    <row r="2321" spans="1:3">
      <c r="A2321" t="s">
        <v>32440</v>
      </c>
      <c r="B2321" s="590">
        <v>319</v>
      </c>
      <c r="C2321" t="s">
        <v>32439</v>
      </c>
    </row>
    <row r="2322" spans="1:3">
      <c r="A2322" t="s">
        <v>32438</v>
      </c>
      <c r="B2322" s="590">
        <v>73</v>
      </c>
      <c r="C2322" t="s">
        <v>32434</v>
      </c>
    </row>
    <row r="2323" spans="1:3">
      <c r="A2323" t="s">
        <v>32437</v>
      </c>
      <c r="B2323" s="590">
        <v>47</v>
      </c>
      <c r="C2323" t="s">
        <v>32434</v>
      </c>
    </row>
    <row r="2324" spans="1:3">
      <c r="A2324" t="s">
        <v>32436</v>
      </c>
      <c r="B2324" s="590">
        <v>50</v>
      </c>
      <c r="C2324" t="s">
        <v>32434</v>
      </c>
    </row>
    <row r="2325" spans="1:3">
      <c r="A2325" t="s">
        <v>32435</v>
      </c>
      <c r="B2325" s="590">
        <v>78</v>
      </c>
      <c r="C2325" t="s">
        <v>32434</v>
      </c>
    </row>
    <row r="2326" spans="1:3">
      <c r="A2326" t="s">
        <v>32433</v>
      </c>
      <c r="B2326" s="590">
        <v>138</v>
      </c>
      <c r="C2326" t="s">
        <v>32432</v>
      </c>
    </row>
    <row r="2327" spans="1:3">
      <c r="A2327" t="s">
        <v>32431</v>
      </c>
      <c r="B2327" s="590">
        <v>322</v>
      </c>
      <c r="C2327" t="s">
        <v>32430</v>
      </c>
    </row>
    <row r="2328" spans="1:3">
      <c r="A2328" t="s">
        <v>32429</v>
      </c>
      <c r="B2328" s="590">
        <v>270</v>
      </c>
      <c r="C2328" t="s">
        <v>32428</v>
      </c>
    </row>
    <row r="2329" spans="1:3">
      <c r="A2329" t="s">
        <v>32427</v>
      </c>
      <c r="B2329" s="590">
        <v>634</v>
      </c>
      <c r="C2329" t="s">
        <v>32426</v>
      </c>
    </row>
    <row r="2330" spans="1:3">
      <c r="A2330" t="s">
        <v>32412</v>
      </c>
      <c r="B2330" s="590">
        <v>50</v>
      </c>
      <c r="C2330" t="s">
        <v>32411</v>
      </c>
    </row>
    <row r="2331" spans="1:3">
      <c r="A2331" t="s">
        <v>32410</v>
      </c>
      <c r="B2331" s="590">
        <v>53</v>
      </c>
      <c r="C2331" t="s">
        <v>32409</v>
      </c>
    </row>
    <row r="2332" spans="1:3">
      <c r="A2332" t="s">
        <v>32425</v>
      </c>
      <c r="B2332" s="590">
        <v>192</v>
      </c>
      <c r="C2332" t="s">
        <v>32424</v>
      </c>
    </row>
    <row r="2333" spans="1:3">
      <c r="A2333" t="s">
        <v>22020</v>
      </c>
      <c r="B2333" s="590">
        <v>750</v>
      </c>
      <c r="C2333" t="s">
        <v>32423</v>
      </c>
    </row>
    <row r="2334" spans="1:3">
      <c r="A2334" t="s">
        <v>32422</v>
      </c>
      <c r="B2334" s="590">
        <v>937</v>
      </c>
      <c r="C2334" t="s">
        <v>32421</v>
      </c>
    </row>
    <row r="2335" spans="1:3">
      <c r="A2335" t="s">
        <v>32420</v>
      </c>
      <c r="B2335" s="590">
        <v>937</v>
      </c>
      <c r="C2335" t="s">
        <v>32419</v>
      </c>
    </row>
    <row r="2336" spans="1:3">
      <c r="A2336" t="s">
        <v>32418</v>
      </c>
      <c r="B2336" s="590">
        <v>297</v>
      </c>
      <c r="C2336" t="s">
        <v>32417</v>
      </c>
    </row>
    <row r="2337" spans="1:3">
      <c r="A2337" t="s">
        <v>32416</v>
      </c>
      <c r="B2337" s="590">
        <v>573</v>
      </c>
      <c r="C2337" t="s">
        <v>32415</v>
      </c>
    </row>
    <row r="2338" spans="1:3">
      <c r="A2338" t="s">
        <v>32414</v>
      </c>
      <c r="B2338" s="590">
        <v>644</v>
      </c>
      <c r="C2338" t="s">
        <v>32413</v>
      </c>
    </row>
    <row r="2339" spans="1:3">
      <c r="A2339" t="s">
        <v>32412</v>
      </c>
      <c r="B2339" s="590">
        <v>50</v>
      </c>
      <c r="C2339" t="s">
        <v>32411</v>
      </c>
    </row>
    <row r="2340" spans="1:3">
      <c r="A2340" t="s">
        <v>32410</v>
      </c>
      <c r="B2340" s="590">
        <v>53</v>
      </c>
      <c r="C2340" t="s">
        <v>32409</v>
      </c>
    </row>
    <row r="2341" spans="1:3">
      <c r="A2341" t="s">
        <v>32408</v>
      </c>
      <c r="B2341" s="590">
        <v>656</v>
      </c>
      <c r="C2341" t="s">
        <v>32407</v>
      </c>
    </row>
    <row r="2342" spans="1:3">
      <c r="A2342" t="s">
        <v>32406</v>
      </c>
      <c r="B2342" s="590">
        <v>717</v>
      </c>
      <c r="C2342" t="s">
        <v>32405</v>
      </c>
    </row>
    <row r="2343" spans="1:3">
      <c r="A2343" t="s">
        <v>32404</v>
      </c>
      <c r="B2343" s="590">
        <v>272</v>
      </c>
      <c r="C2343" t="s">
        <v>32403</v>
      </c>
    </row>
    <row r="2344" spans="1:3">
      <c r="A2344" t="s">
        <v>32402</v>
      </c>
      <c r="B2344" s="590">
        <v>340</v>
      </c>
      <c r="C2344" t="s">
        <v>32401</v>
      </c>
    </row>
    <row r="2345" spans="1:3">
      <c r="A2345" t="s">
        <v>32400</v>
      </c>
      <c r="B2345" s="590">
        <v>40</v>
      </c>
      <c r="C2345" t="s">
        <v>32399</v>
      </c>
    </row>
    <row r="2346" spans="1:3">
      <c r="A2346" t="s">
        <v>32398</v>
      </c>
      <c r="B2346" s="590">
        <v>282</v>
      </c>
      <c r="C2346" t="s">
        <v>32397</v>
      </c>
    </row>
    <row r="2347" spans="1:3">
      <c r="A2347" t="s">
        <v>32396</v>
      </c>
      <c r="B2347" s="590">
        <v>416</v>
      </c>
      <c r="C2347" t="s">
        <v>32395</v>
      </c>
    </row>
    <row r="2348" spans="1:3">
      <c r="A2348" t="s">
        <v>32394</v>
      </c>
      <c r="B2348" s="590">
        <v>61</v>
      </c>
      <c r="C2348" t="s">
        <v>32393</v>
      </c>
    </row>
    <row r="2349" spans="1:3">
      <c r="A2349" t="s">
        <v>32392</v>
      </c>
      <c r="B2349" s="590">
        <v>120</v>
      </c>
      <c r="C2349" t="s">
        <v>32391</v>
      </c>
    </row>
    <row r="2350" spans="1:3">
      <c r="A2350" t="s">
        <v>32390</v>
      </c>
      <c r="B2350" s="590">
        <v>497</v>
      </c>
      <c r="C2350" t="s">
        <v>32389</v>
      </c>
    </row>
    <row r="2351" spans="1:3">
      <c r="A2351" t="s">
        <v>32388</v>
      </c>
      <c r="B2351" s="590">
        <v>505</v>
      </c>
      <c r="C2351" t="s">
        <v>32387</v>
      </c>
    </row>
    <row r="2352" spans="1:3">
      <c r="A2352" t="s">
        <v>32386</v>
      </c>
      <c r="B2352" s="590">
        <v>614</v>
      </c>
      <c r="C2352" t="s">
        <v>32385</v>
      </c>
    </row>
    <row r="2353" spans="1:3">
      <c r="A2353" t="s">
        <v>32384</v>
      </c>
      <c r="B2353" s="590">
        <v>53</v>
      </c>
      <c r="C2353" t="s">
        <v>32383</v>
      </c>
    </row>
    <row r="2354" spans="1:3">
      <c r="A2354" t="s">
        <v>32382</v>
      </c>
      <c r="B2354" s="590">
        <v>53</v>
      </c>
      <c r="C2354" t="s">
        <v>32381</v>
      </c>
    </row>
    <row r="2355" spans="1:3">
      <c r="A2355" t="s">
        <v>32380</v>
      </c>
      <c r="B2355" s="590">
        <v>412</v>
      </c>
      <c r="C2355" t="s">
        <v>32379</v>
      </c>
    </row>
    <row r="2356" spans="1:3">
      <c r="A2356" t="s">
        <v>32378</v>
      </c>
      <c r="B2356" s="590">
        <v>412</v>
      </c>
      <c r="C2356" t="s">
        <v>32377</v>
      </c>
    </row>
    <row r="2357" spans="1:3">
      <c r="A2357" t="s">
        <v>32376</v>
      </c>
      <c r="B2357" s="590">
        <v>53</v>
      </c>
      <c r="C2357" t="s">
        <v>32375</v>
      </c>
    </row>
    <row r="2358" spans="1:3">
      <c r="A2358" t="s">
        <v>32374</v>
      </c>
      <c r="B2358" s="590">
        <v>53</v>
      </c>
      <c r="C2358" t="s">
        <v>32373</v>
      </c>
    </row>
    <row r="2359" spans="1:3">
      <c r="A2359" t="s">
        <v>32372</v>
      </c>
      <c r="B2359" s="590">
        <v>53</v>
      </c>
      <c r="C2359" t="s">
        <v>32371</v>
      </c>
    </row>
    <row r="2360" spans="1:3">
      <c r="A2360" t="s">
        <v>32366</v>
      </c>
      <c r="B2360" s="590">
        <v>53</v>
      </c>
      <c r="C2360" t="s">
        <v>32365</v>
      </c>
    </row>
    <row r="2361" spans="1:3">
      <c r="A2361" t="s">
        <v>32370</v>
      </c>
      <c r="B2361" s="590">
        <v>53</v>
      </c>
      <c r="C2361" t="s">
        <v>32369</v>
      </c>
    </row>
    <row r="2362" spans="1:3">
      <c r="A2362" t="s">
        <v>32368</v>
      </c>
      <c r="B2362" s="590">
        <v>53</v>
      </c>
      <c r="C2362" t="s">
        <v>32367</v>
      </c>
    </row>
    <row r="2363" spans="1:3">
      <c r="A2363" t="s">
        <v>32366</v>
      </c>
      <c r="B2363" s="590">
        <v>53</v>
      </c>
      <c r="C2363" t="s">
        <v>32365</v>
      </c>
    </row>
    <row r="2364" spans="1:3">
      <c r="A2364" t="s">
        <v>32364</v>
      </c>
      <c r="B2364" s="590">
        <v>53</v>
      </c>
      <c r="C2364" t="s">
        <v>32363</v>
      </c>
    </row>
    <row r="2365" spans="1:3">
      <c r="A2365" t="s">
        <v>32362</v>
      </c>
      <c r="B2365" s="590">
        <v>53</v>
      </c>
      <c r="C2365" t="s">
        <v>32361</v>
      </c>
    </row>
    <row r="2366" spans="1:3">
      <c r="A2366" t="s">
        <v>32360</v>
      </c>
      <c r="B2366" s="590">
        <v>53</v>
      </c>
      <c r="C2366" t="s">
        <v>32359</v>
      </c>
    </row>
    <row r="2367" spans="1:3">
      <c r="A2367" t="s">
        <v>32358</v>
      </c>
      <c r="B2367" s="590">
        <v>53</v>
      </c>
      <c r="C2367" t="s">
        <v>32354</v>
      </c>
    </row>
    <row r="2368" spans="1:3">
      <c r="A2368" t="s">
        <v>32357</v>
      </c>
      <c r="B2368" s="590">
        <v>53</v>
      </c>
      <c r="C2368" t="s">
        <v>32356</v>
      </c>
    </row>
    <row r="2369" spans="1:3">
      <c r="A2369" t="s">
        <v>32355</v>
      </c>
      <c r="B2369" s="590">
        <v>53</v>
      </c>
      <c r="C2369" t="s">
        <v>32354</v>
      </c>
    </row>
    <row r="2370" spans="1:3">
      <c r="A2370" t="s">
        <v>32353</v>
      </c>
      <c r="B2370" s="590">
        <v>53</v>
      </c>
      <c r="C2370" t="s">
        <v>32352</v>
      </c>
    </row>
    <row r="2371" spans="1:3">
      <c r="A2371" t="s">
        <v>32351</v>
      </c>
      <c r="B2371" s="590">
        <v>53</v>
      </c>
      <c r="C2371" t="s">
        <v>32350</v>
      </c>
    </row>
    <row r="2372" spans="1:3">
      <c r="A2372" t="s">
        <v>32349</v>
      </c>
      <c r="B2372" s="590">
        <v>53</v>
      </c>
      <c r="C2372" t="s">
        <v>32348</v>
      </c>
    </row>
    <row r="2373" spans="1:3">
      <c r="A2373" t="s">
        <v>32347</v>
      </c>
      <c r="B2373" s="590">
        <v>53</v>
      </c>
      <c r="C2373" t="s">
        <v>32346</v>
      </c>
    </row>
    <row r="2374" spans="1:3">
      <c r="A2374" t="s">
        <v>32345</v>
      </c>
      <c r="B2374" s="590">
        <v>53</v>
      </c>
      <c r="C2374" t="s">
        <v>32344</v>
      </c>
    </row>
    <row r="2375" spans="1:3">
      <c r="A2375" t="s">
        <v>32343</v>
      </c>
      <c r="B2375" s="590">
        <v>53</v>
      </c>
      <c r="C2375" t="s">
        <v>32342</v>
      </c>
    </row>
    <row r="2376" spans="1:3">
      <c r="A2376" t="s">
        <v>32341</v>
      </c>
      <c r="B2376" s="590">
        <v>53</v>
      </c>
      <c r="C2376" t="s">
        <v>32340</v>
      </c>
    </row>
    <row r="2377" spans="1:3">
      <c r="A2377" t="s">
        <v>32339</v>
      </c>
      <c r="B2377" s="590">
        <v>48</v>
      </c>
      <c r="C2377" t="s">
        <v>32338</v>
      </c>
    </row>
    <row r="2378" spans="1:3">
      <c r="A2378" t="s">
        <v>32337</v>
      </c>
      <c r="B2378" s="590">
        <v>53</v>
      </c>
      <c r="C2378" t="s">
        <v>32336</v>
      </c>
    </row>
    <row r="2379" spans="1:3">
      <c r="A2379" t="s">
        <v>32335</v>
      </c>
      <c r="B2379" s="590">
        <v>53</v>
      </c>
      <c r="C2379" t="s">
        <v>32334</v>
      </c>
    </row>
    <row r="2380" spans="1:3">
      <c r="A2380" t="s">
        <v>32333</v>
      </c>
      <c r="B2380" s="590">
        <v>53</v>
      </c>
      <c r="C2380" t="s">
        <v>32332</v>
      </c>
    </row>
    <row r="2381" spans="1:3">
      <c r="A2381" t="s">
        <v>32331</v>
      </c>
      <c r="B2381" s="590">
        <v>53</v>
      </c>
      <c r="C2381" t="s">
        <v>32330</v>
      </c>
    </row>
    <row r="2382" spans="1:3">
      <c r="A2382" t="s">
        <v>32329</v>
      </c>
      <c r="B2382" s="590">
        <v>53</v>
      </c>
      <c r="C2382" t="s">
        <v>32328</v>
      </c>
    </row>
    <row r="2383" spans="1:3">
      <c r="A2383" t="s">
        <v>32327</v>
      </c>
      <c r="B2383" s="590">
        <v>53</v>
      </c>
      <c r="C2383" t="s">
        <v>32326</v>
      </c>
    </row>
    <row r="2384" spans="1:3">
      <c r="A2384" t="s">
        <v>32325</v>
      </c>
      <c r="B2384" s="590">
        <v>53</v>
      </c>
      <c r="C2384" t="s">
        <v>32324</v>
      </c>
    </row>
    <row r="2385" spans="1:3">
      <c r="A2385" t="s">
        <v>32323</v>
      </c>
      <c r="B2385" s="590">
        <v>53</v>
      </c>
      <c r="C2385" t="s">
        <v>32322</v>
      </c>
    </row>
    <row r="2386" spans="1:3">
      <c r="A2386" t="s">
        <v>32321</v>
      </c>
      <c r="B2386" s="590">
        <v>53</v>
      </c>
      <c r="C2386" t="s">
        <v>32320</v>
      </c>
    </row>
    <row r="2387" spans="1:3">
      <c r="A2387" t="s">
        <v>32319</v>
      </c>
      <c r="B2387" s="590">
        <v>600</v>
      </c>
      <c r="C2387" t="s">
        <v>32318</v>
      </c>
    </row>
    <row r="2388" spans="1:3">
      <c r="A2388" t="s">
        <v>32317</v>
      </c>
      <c r="B2388" s="590">
        <v>600</v>
      </c>
      <c r="C2388" t="s">
        <v>32316</v>
      </c>
    </row>
    <row r="2389" spans="1:3">
      <c r="A2389" t="s">
        <v>32315</v>
      </c>
      <c r="B2389" s="590">
        <v>512</v>
      </c>
      <c r="C2389" t="s">
        <v>32314</v>
      </c>
    </row>
    <row r="2390" spans="1:3">
      <c r="A2390" t="s">
        <v>32313</v>
      </c>
      <c r="B2390" s="590">
        <v>512</v>
      </c>
      <c r="C2390" t="s">
        <v>32312</v>
      </c>
    </row>
    <row r="2391" spans="1:3">
      <c r="A2391" t="s">
        <v>32311</v>
      </c>
      <c r="B2391" s="590">
        <v>64</v>
      </c>
      <c r="C2391" t="s">
        <v>32310</v>
      </c>
    </row>
    <row r="2392" spans="1:3">
      <c r="A2392" t="s">
        <v>32309</v>
      </c>
      <c r="B2392" s="590">
        <v>243</v>
      </c>
      <c r="C2392" t="s">
        <v>32308</v>
      </c>
    </row>
    <row r="2393" spans="1:3">
      <c r="A2393" t="s">
        <v>32307</v>
      </c>
      <c r="B2393" s="590">
        <v>243</v>
      </c>
      <c r="C2393" t="s">
        <v>32306</v>
      </c>
    </row>
    <row r="2394" spans="1:3">
      <c r="A2394" t="s">
        <v>32305</v>
      </c>
      <c r="B2394" s="590">
        <v>243</v>
      </c>
      <c r="C2394" t="s">
        <v>32304</v>
      </c>
    </row>
    <row r="2395" spans="1:3">
      <c r="A2395" t="s">
        <v>32303</v>
      </c>
      <c r="B2395" s="590">
        <v>462</v>
      </c>
      <c r="C2395" t="s">
        <v>32302</v>
      </c>
    </row>
    <row r="2396" spans="1:3">
      <c r="A2396" t="s">
        <v>32301</v>
      </c>
      <c r="B2396" s="590">
        <v>490</v>
      </c>
      <c r="C2396" t="s">
        <v>32300</v>
      </c>
    </row>
    <row r="2397" spans="1:3">
      <c r="A2397" t="s">
        <v>32299</v>
      </c>
      <c r="B2397" s="590">
        <v>765</v>
      </c>
      <c r="C2397" t="s">
        <v>32298</v>
      </c>
    </row>
    <row r="2398" spans="1:3">
      <c r="A2398" t="s">
        <v>32297</v>
      </c>
      <c r="B2398" s="590">
        <v>126</v>
      </c>
      <c r="C2398" t="s">
        <v>32296</v>
      </c>
    </row>
    <row r="2399" spans="1:3">
      <c r="A2399" t="s">
        <v>32295</v>
      </c>
      <c r="B2399" s="590">
        <v>372</v>
      </c>
      <c r="C2399" t="s">
        <v>32294</v>
      </c>
    </row>
    <row r="2400" spans="1:3">
      <c r="A2400" t="s">
        <v>32293</v>
      </c>
      <c r="B2400" s="590">
        <v>392</v>
      </c>
      <c r="C2400" t="s">
        <v>32292</v>
      </c>
    </row>
    <row r="2401" spans="1:3">
      <c r="A2401" t="s">
        <v>32291</v>
      </c>
      <c r="B2401" s="590">
        <v>372</v>
      </c>
      <c r="C2401" t="s">
        <v>32290</v>
      </c>
    </row>
    <row r="2402" spans="1:3">
      <c r="A2402" t="s">
        <v>32289</v>
      </c>
      <c r="B2402" s="590">
        <v>140</v>
      </c>
      <c r="C2402" t="s">
        <v>32288</v>
      </c>
    </row>
    <row r="2403" spans="1:3">
      <c r="A2403" t="s">
        <v>32287</v>
      </c>
      <c r="B2403" s="590">
        <v>105</v>
      </c>
      <c r="C2403" t="s">
        <v>32286</v>
      </c>
    </row>
    <row r="2404" spans="1:3">
      <c r="A2404" t="s">
        <v>32285</v>
      </c>
      <c r="B2404" s="590">
        <v>155</v>
      </c>
      <c r="C2404" t="s">
        <v>32284</v>
      </c>
    </row>
    <row r="2405" spans="1:3">
      <c r="A2405" t="s">
        <v>32283</v>
      </c>
      <c r="B2405" s="590">
        <v>41</v>
      </c>
      <c r="C2405" t="s">
        <v>32282</v>
      </c>
    </row>
    <row r="2406" spans="1:3">
      <c r="A2406" t="s">
        <v>32281</v>
      </c>
      <c r="B2406" s="590">
        <v>51</v>
      </c>
      <c r="C2406" t="s">
        <v>32280</v>
      </c>
    </row>
    <row r="2407" spans="1:3">
      <c r="A2407" t="s">
        <v>32279</v>
      </c>
      <c r="B2407" s="590">
        <v>51</v>
      </c>
      <c r="C2407" t="s">
        <v>32278</v>
      </c>
    </row>
    <row r="2408" spans="1:3">
      <c r="A2408" t="s">
        <v>32277</v>
      </c>
      <c r="B2408" s="590">
        <v>51</v>
      </c>
      <c r="C2408" t="s">
        <v>32276</v>
      </c>
    </row>
    <row r="2409" spans="1:3">
      <c r="A2409" t="s">
        <v>32275</v>
      </c>
      <c r="B2409" s="590">
        <v>65</v>
      </c>
      <c r="C2409" t="s">
        <v>32274</v>
      </c>
    </row>
    <row r="2410" spans="1:3">
      <c r="A2410" t="s">
        <v>32273</v>
      </c>
      <c r="B2410" s="590">
        <v>95</v>
      </c>
      <c r="C2410" t="s">
        <v>32272</v>
      </c>
    </row>
    <row r="2411" spans="1:3">
      <c r="A2411" t="s">
        <v>32271</v>
      </c>
      <c r="B2411" s="590">
        <v>134</v>
      </c>
      <c r="C2411" t="s">
        <v>32270</v>
      </c>
    </row>
    <row r="2412" spans="1:3">
      <c r="A2412" t="s">
        <v>32269</v>
      </c>
      <c r="B2412" s="590">
        <v>140</v>
      </c>
      <c r="C2412" t="s">
        <v>32268</v>
      </c>
    </row>
    <row r="2413" spans="1:3">
      <c r="A2413" t="s">
        <v>32267</v>
      </c>
      <c r="B2413" s="590">
        <v>58</v>
      </c>
      <c r="C2413" t="s">
        <v>32266</v>
      </c>
    </row>
    <row r="2414" spans="1:3">
      <c r="A2414" t="s">
        <v>32265</v>
      </c>
      <c r="B2414" s="590">
        <v>155</v>
      </c>
      <c r="C2414" t="s">
        <v>32264</v>
      </c>
    </row>
    <row r="2415" spans="1:3">
      <c r="A2415" t="s">
        <v>32263</v>
      </c>
      <c r="B2415" s="590">
        <v>41</v>
      </c>
      <c r="C2415" t="s">
        <v>32262</v>
      </c>
    </row>
    <row r="2416" spans="1:3">
      <c r="A2416" t="s">
        <v>32261</v>
      </c>
      <c r="B2416" s="590">
        <v>51</v>
      </c>
      <c r="C2416" t="s">
        <v>32260</v>
      </c>
    </row>
    <row r="2417" spans="1:3">
      <c r="A2417" t="s">
        <v>32259</v>
      </c>
      <c r="B2417" s="590">
        <v>51</v>
      </c>
      <c r="C2417" t="s">
        <v>32258</v>
      </c>
    </row>
    <row r="2418" spans="1:3">
      <c r="A2418" t="s">
        <v>32257</v>
      </c>
      <c r="B2418" s="590">
        <v>51</v>
      </c>
      <c r="C2418" t="s">
        <v>32256</v>
      </c>
    </row>
    <row r="2419" spans="1:3">
      <c r="A2419" t="s">
        <v>32255</v>
      </c>
      <c r="B2419" s="590">
        <v>65</v>
      </c>
      <c r="C2419" t="s">
        <v>32254</v>
      </c>
    </row>
    <row r="2420" spans="1:3">
      <c r="A2420" t="s">
        <v>32253</v>
      </c>
      <c r="B2420" s="590">
        <v>95</v>
      </c>
      <c r="C2420" t="s">
        <v>32252</v>
      </c>
    </row>
    <row r="2421" spans="1:3">
      <c r="A2421" t="s">
        <v>32251</v>
      </c>
      <c r="B2421" s="590">
        <v>134</v>
      </c>
      <c r="C2421" t="s">
        <v>32250</v>
      </c>
    </row>
    <row r="2422" spans="1:3">
      <c r="A2422" t="s">
        <v>32249</v>
      </c>
      <c r="B2422" s="590">
        <v>140</v>
      </c>
      <c r="C2422" t="s">
        <v>32248</v>
      </c>
    </row>
    <row r="2423" spans="1:3">
      <c r="A2423" t="s">
        <v>32247</v>
      </c>
      <c r="B2423" s="590">
        <v>1155</v>
      </c>
      <c r="C2423" t="s">
        <v>32246</v>
      </c>
    </row>
    <row r="2424" spans="1:3">
      <c r="A2424" t="s">
        <v>32245</v>
      </c>
      <c r="B2424" s="590">
        <v>1260</v>
      </c>
      <c r="C2424" t="s">
        <v>32244</v>
      </c>
    </row>
    <row r="2425" spans="1:3">
      <c r="A2425" t="s">
        <v>32243</v>
      </c>
      <c r="B2425" s="590">
        <v>699</v>
      </c>
      <c r="C2425" t="s">
        <v>32242</v>
      </c>
    </row>
    <row r="2426" spans="1:3">
      <c r="A2426" t="s">
        <v>32241</v>
      </c>
      <c r="B2426" s="590">
        <v>699</v>
      </c>
      <c r="C2426" t="s">
        <v>32240</v>
      </c>
    </row>
    <row r="2427" spans="1:3">
      <c r="A2427" t="s">
        <v>32239</v>
      </c>
      <c r="B2427" s="590">
        <v>872</v>
      </c>
      <c r="C2427" t="s">
        <v>32238</v>
      </c>
    </row>
    <row r="2428" spans="1:3">
      <c r="A2428" t="s">
        <v>32237</v>
      </c>
      <c r="B2428" s="590">
        <v>872</v>
      </c>
      <c r="C2428" t="s">
        <v>32236</v>
      </c>
    </row>
    <row r="2429" spans="1:3">
      <c r="A2429" t="s">
        <v>32235</v>
      </c>
      <c r="B2429" s="590">
        <v>886</v>
      </c>
      <c r="C2429" t="s">
        <v>32234</v>
      </c>
    </row>
    <row r="2430" spans="1:3">
      <c r="A2430" t="s">
        <v>32233</v>
      </c>
      <c r="B2430" s="590">
        <v>14</v>
      </c>
      <c r="C2430" t="s">
        <v>32232</v>
      </c>
    </row>
    <row r="2431" spans="1:3">
      <c r="A2431" t="s">
        <v>32231</v>
      </c>
      <c r="B2431" s="590">
        <v>1199</v>
      </c>
      <c r="C2431" t="s">
        <v>32230</v>
      </c>
    </row>
    <row r="2432" spans="1:3">
      <c r="A2432" t="s">
        <v>32229</v>
      </c>
      <c r="B2432" s="590">
        <v>1199</v>
      </c>
      <c r="C2432" t="s">
        <v>32228</v>
      </c>
    </row>
    <row r="2433" spans="1:3">
      <c r="A2433" t="s">
        <v>32227</v>
      </c>
      <c r="B2433" s="590">
        <v>1561</v>
      </c>
      <c r="C2433" t="s">
        <v>32226</v>
      </c>
    </row>
    <row r="2434" spans="1:3">
      <c r="A2434" t="s">
        <v>32225</v>
      </c>
      <c r="B2434" s="590">
        <v>1561</v>
      </c>
      <c r="C2434" t="s">
        <v>32224</v>
      </c>
    </row>
    <row r="2435" spans="1:3">
      <c r="A2435" t="s">
        <v>32223</v>
      </c>
      <c r="B2435" s="590">
        <v>1580</v>
      </c>
      <c r="C2435" t="s">
        <v>32222</v>
      </c>
    </row>
    <row r="2436" spans="1:3">
      <c r="A2436" t="s">
        <v>32221</v>
      </c>
      <c r="B2436" s="590">
        <v>14</v>
      </c>
      <c r="C2436" t="s">
        <v>32220</v>
      </c>
    </row>
    <row r="2437" spans="1:3">
      <c r="A2437" t="s">
        <v>32219</v>
      </c>
      <c r="B2437" s="590">
        <v>920</v>
      </c>
      <c r="C2437" t="s">
        <v>32218</v>
      </c>
    </row>
    <row r="2438" spans="1:3">
      <c r="A2438" t="s">
        <v>32217</v>
      </c>
      <c r="B2438" s="590">
        <v>1120</v>
      </c>
      <c r="C2438" t="s">
        <v>32216</v>
      </c>
    </row>
    <row r="2439" spans="1:3">
      <c r="A2439" t="s">
        <v>32215</v>
      </c>
      <c r="B2439" s="590">
        <v>1133</v>
      </c>
      <c r="C2439" t="s">
        <v>32214</v>
      </c>
    </row>
    <row r="2440" spans="1:3">
      <c r="A2440" t="s">
        <v>32213</v>
      </c>
      <c r="B2440" s="590">
        <v>1133</v>
      </c>
      <c r="C2440" t="s">
        <v>32212</v>
      </c>
    </row>
    <row r="2441" spans="1:3">
      <c r="A2441" t="s">
        <v>32211</v>
      </c>
      <c r="B2441" s="590">
        <v>1133</v>
      </c>
      <c r="C2441" t="s">
        <v>32210</v>
      </c>
    </row>
    <row r="2442" spans="1:3">
      <c r="A2442" t="s">
        <v>32209</v>
      </c>
      <c r="B2442" s="590">
        <v>1133</v>
      </c>
      <c r="C2442" t="s">
        <v>32208</v>
      </c>
    </row>
    <row r="2443" spans="1:3">
      <c r="A2443" t="s">
        <v>32207</v>
      </c>
      <c r="B2443" s="590">
        <v>1133</v>
      </c>
      <c r="C2443" t="s">
        <v>32206</v>
      </c>
    </row>
    <row r="2444" spans="1:3">
      <c r="A2444" t="s">
        <v>32205</v>
      </c>
      <c r="B2444" s="590">
        <v>1133</v>
      </c>
      <c r="C2444" t="s">
        <v>32204</v>
      </c>
    </row>
    <row r="2445" spans="1:3">
      <c r="A2445" t="s">
        <v>32203</v>
      </c>
      <c r="B2445" s="590">
        <v>1160</v>
      </c>
      <c r="C2445" t="s">
        <v>32202</v>
      </c>
    </row>
    <row r="2446" spans="1:3">
      <c r="A2446" t="s">
        <v>32201</v>
      </c>
      <c r="B2446" s="590">
        <v>1133</v>
      </c>
      <c r="C2446" t="s">
        <v>32200</v>
      </c>
    </row>
    <row r="2447" spans="1:3">
      <c r="A2447" t="s">
        <v>32199</v>
      </c>
      <c r="B2447" s="590">
        <v>1133</v>
      </c>
      <c r="C2447" t="s">
        <v>32198</v>
      </c>
    </row>
    <row r="2448" spans="1:3">
      <c r="A2448" t="s">
        <v>32197</v>
      </c>
      <c r="B2448" s="590">
        <v>1133</v>
      </c>
      <c r="C2448" t="s">
        <v>32196</v>
      </c>
    </row>
    <row r="2449" spans="1:3">
      <c r="A2449" t="s">
        <v>32195</v>
      </c>
      <c r="B2449" s="590">
        <v>1376</v>
      </c>
      <c r="C2449" t="s">
        <v>32194</v>
      </c>
    </row>
    <row r="2450" spans="1:3">
      <c r="A2450" t="s">
        <v>32193</v>
      </c>
      <c r="B2450" s="590">
        <v>1756</v>
      </c>
      <c r="C2450" t="s">
        <v>32192</v>
      </c>
    </row>
    <row r="2451" spans="1:3">
      <c r="A2451" t="s">
        <v>32191</v>
      </c>
      <c r="B2451" s="590">
        <v>1772</v>
      </c>
      <c r="C2451" t="s">
        <v>32190</v>
      </c>
    </row>
    <row r="2452" spans="1:3">
      <c r="A2452" t="s">
        <v>32189</v>
      </c>
      <c r="B2452" s="590">
        <v>1772</v>
      </c>
      <c r="C2452" t="s">
        <v>32188</v>
      </c>
    </row>
    <row r="2453" spans="1:3">
      <c r="A2453" t="s">
        <v>32187</v>
      </c>
      <c r="B2453" s="590">
        <v>1772</v>
      </c>
      <c r="C2453" t="s">
        <v>32186</v>
      </c>
    </row>
    <row r="2454" spans="1:3">
      <c r="A2454" t="s">
        <v>32185</v>
      </c>
      <c r="B2454" s="590">
        <v>1772</v>
      </c>
      <c r="C2454" t="s">
        <v>32184</v>
      </c>
    </row>
    <row r="2455" spans="1:3">
      <c r="A2455" t="s">
        <v>32183</v>
      </c>
      <c r="B2455" s="590">
        <v>1772</v>
      </c>
      <c r="C2455" t="s">
        <v>32182</v>
      </c>
    </row>
    <row r="2456" spans="1:3">
      <c r="A2456" t="s">
        <v>32181</v>
      </c>
      <c r="B2456" s="590">
        <v>1772</v>
      </c>
      <c r="C2456" t="s">
        <v>32180</v>
      </c>
    </row>
    <row r="2457" spans="1:3">
      <c r="A2457" t="s">
        <v>32179</v>
      </c>
      <c r="B2457" s="590">
        <v>1772</v>
      </c>
      <c r="C2457" t="s">
        <v>32178</v>
      </c>
    </row>
    <row r="2458" spans="1:3">
      <c r="A2458" t="s">
        <v>32177</v>
      </c>
      <c r="B2458" s="590">
        <v>1207</v>
      </c>
      <c r="C2458" t="s">
        <v>32176</v>
      </c>
    </row>
    <row r="2459" spans="1:3">
      <c r="A2459" t="s">
        <v>32175</v>
      </c>
      <c r="B2459" s="590">
        <v>1345</v>
      </c>
      <c r="C2459" t="s">
        <v>32174</v>
      </c>
    </row>
    <row r="2460" spans="1:3">
      <c r="A2460" t="s">
        <v>32173</v>
      </c>
      <c r="B2460" s="590">
        <v>1281</v>
      </c>
      <c r="C2460" t="s">
        <v>32172</v>
      </c>
    </row>
    <row r="2461" spans="1:3">
      <c r="A2461" t="s">
        <v>32171</v>
      </c>
      <c r="B2461" s="590">
        <v>1496</v>
      </c>
      <c r="C2461" t="s">
        <v>32170</v>
      </c>
    </row>
    <row r="2462" spans="1:3">
      <c r="A2462" t="s">
        <v>32169</v>
      </c>
      <c r="B2462" s="590">
        <v>1512</v>
      </c>
      <c r="C2462" t="s">
        <v>32168</v>
      </c>
    </row>
    <row r="2463" spans="1:3">
      <c r="A2463" t="s">
        <v>32167</v>
      </c>
      <c r="B2463" s="590">
        <v>1512</v>
      </c>
      <c r="C2463" t="s">
        <v>32166</v>
      </c>
    </row>
    <row r="2464" spans="1:3">
      <c r="A2464" t="s">
        <v>32165</v>
      </c>
      <c r="B2464" s="590">
        <v>1512</v>
      </c>
      <c r="C2464" t="s">
        <v>32164</v>
      </c>
    </row>
    <row r="2465" spans="1:3">
      <c r="A2465" t="s">
        <v>32163</v>
      </c>
      <c r="B2465" s="590">
        <v>1512</v>
      </c>
      <c r="C2465" t="s">
        <v>32162</v>
      </c>
    </row>
    <row r="2466" spans="1:3">
      <c r="A2466" t="s">
        <v>32161</v>
      </c>
      <c r="B2466" s="590">
        <v>1512</v>
      </c>
      <c r="C2466" t="s">
        <v>32160</v>
      </c>
    </row>
    <row r="2467" spans="1:3">
      <c r="A2467" t="s">
        <v>32159</v>
      </c>
      <c r="B2467" s="590">
        <v>1512</v>
      </c>
      <c r="C2467" t="s">
        <v>32158</v>
      </c>
    </row>
    <row r="2468" spans="1:3">
      <c r="A2468" t="s">
        <v>32157</v>
      </c>
      <c r="B2468" s="590">
        <v>1213</v>
      </c>
      <c r="C2468" t="s">
        <v>32156</v>
      </c>
    </row>
    <row r="2469" spans="1:3">
      <c r="A2469" t="s">
        <v>32155</v>
      </c>
      <c r="B2469" s="590">
        <v>1229</v>
      </c>
      <c r="C2469" t="s">
        <v>32154</v>
      </c>
    </row>
    <row r="2470" spans="1:3">
      <c r="A2470" t="s">
        <v>32153</v>
      </c>
      <c r="B2470" s="590">
        <v>1229</v>
      </c>
      <c r="C2470" t="s">
        <v>32152</v>
      </c>
    </row>
    <row r="2471" spans="1:3">
      <c r="A2471" t="s">
        <v>32151</v>
      </c>
      <c r="B2471" s="590">
        <v>1229</v>
      </c>
      <c r="C2471" t="s">
        <v>32150</v>
      </c>
    </row>
    <row r="2472" spans="1:3">
      <c r="A2472" t="s">
        <v>32149</v>
      </c>
      <c r="B2472" s="590">
        <v>1229</v>
      </c>
      <c r="C2472" t="s">
        <v>32148</v>
      </c>
    </row>
    <row r="2473" spans="1:3">
      <c r="A2473" t="s">
        <v>32147</v>
      </c>
      <c r="B2473" s="590">
        <v>1229</v>
      </c>
      <c r="C2473" t="s">
        <v>32146</v>
      </c>
    </row>
    <row r="2474" spans="1:3">
      <c r="A2474" t="s">
        <v>32145</v>
      </c>
      <c r="B2474" s="590">
        <v>32</v>
      </c>
      <c r="C2474" t="s">
        <v>32144</v>
      </c>
    </row>
    <row r="2475" spans="1:3">
      <c r="A2475" t="s">
        <v>32143</v>
      </c>
      <c r="B2475" s="590">
        <v>2087</v>
      </c>
      <c r="C2475" t="s">
        <v>32142</v>
      </c>
    </row>
    <row r="2476" spans="1:3">
      <c r="A2476" t="s">
        <v>32141</v>
      </c>
      <c r="B2476" s="590">
        <v>2237</v>
      </c>
      <c r="C2476" t="s">
        <v>32140</v>
      </c>
    </row>
    <row r="2477" spans="1:3">
      <c r="A2477" t="s">
        <v>32139</v>
      </c>
      <c r="B2477" s="590">
        <v>1512</v>
      </c>
      <c r="C2477" t="s">
        <v>32138</v>
      </c>
    </row>
    <row r="2478" spans="1:3">
      <c r="A2478" t="s">
        <v>32137</v>
      </c>
      <c r="B2478" s="590">
        <v>1872</v>
      </c>
      <c r="C2478" t="s">
        <v>32136</v>
      </c>
    </row>
    <row r="2479" spans="1:3">
      <c r="A2479" t="s">
        <v>32135</v>
      </c>
      <c r="B2479" s="590">
        <v>1883</v>
      </c>
      <c r="C2479" t="s">
        <v>32134</v>
      </c>
    </row>
    <row r="2480" spans="1:3">
      <c r="A2480" t="s">
        <v>32133</v>
      </c>
      <c r="B2480" s="590">
        <v>1883</v>
      </c>
      <c r="C2480" t="s">
        <v>32132</v>
      </c>
    </row>
    <row r="2481" spans="1:3">
      <c r="A2481" t="s">
        <v>32131</v>
      </c>
      <c r="B2481" s="590">
        <v>1883</v>
      </c>
      <c r="C2481" t="s">
        <v>32130</v>
      </c>
    </row>
    <row r="2482" spans="1:3">
      <c r="A2482" t="s">
        <v>32129</v>
      </c>
      <c r="B2482" s="590">
        <v>1883</v>
      </c>
      <c r="C2482" t="s">
        <v>32128</v>
      </c>
    </row>
    <row r="2483" spans="1:3">
      <c r="A2483" t="s">
        <v>32127</v>
      </c>
      <c r="B2483" s="590">
        <v>1883</v>
      </c>
      <c r="C2483" t="s">
        <v>32126</v>
      </c>
    </row>
    <row r="2484" spans="1:3">
      <c r="A2484" t="s">
        <v>32125</v>
      </c>
      <c r="B2484" s="590">
        <v>1032</v>
      </c>
      <c r="C2484" t="s">
        <v>32124</v>
      </c>
    </row>
    <row r="2485" spans="1:3">
      <c r="A2485" t="s">
        <v>32123</v>
      </c>
      <c r="B2485" s="590">
        <v>1136</v>
      </c>
      <c r="C2485" t="s">
        <v>32122</v>
      </c>
    </row>
    <row r="2486" spans="1:3">
      <c r="A2486" t="s">
        <v>32121</v>
      </c>
      <c r="B2486" s="590">
        <v>1269</v>
      </c>
      <c r="C2486" t="s">
        <v>32120</v>
      </c>
    </row>
    <row r="2487" spans="1:3">
      <c r="A2487" t="s">
        <v>32119</v>
      </c>
      <c r="B2487" s="590">
        <v>2497</v>
      </c>
      <c r="C2487" t="s">
        <v>32118</v>
      </c>
    </row>
    <row r="2488" spans="1:3">
      <c r="A2488" t="s">
        <v>32117</v>
      </c>
      <c r="B2488" s="590">
        <v>1723</v>
      </c>
      <c r="C2488" t="s">
        <v>32116</v>
      </c>
    </row>
    <row r="2489" spans="1:3">
      <c r="A2489" t="s">
        <v>32115</v>
      </c>
      <c r="B2489" s="590">
        <v>1863</v>
      </c>
      <c r="C2489" t="s">
        <v>32114</v>
      </c>
    </row>
    <row r="2490" spans="1:3">
      <c r="A2490" t="s">
        <v>32113</v>
      </c>
      <c r="B2490" s="590">
        <v>2049</v>
      </c>
      <c r="C2490" t="s">
        <v>32112</v>
      </c>
    </row>
    <row r="2491" spans="1:3">
      <c r="A2491" t="s">
        <v>32111</v>
      </c>
      <c r="B2491" s="590">
        <v>5679</v>
      </c>
      <c r="C2491" t="s">
        <v>32110</v>
      </c>
    </row>
    <row r="2492" spans="1:3">
      <c r="A2492" t="s">
        <v>32109</v>
      </c>
      <c r="B2492" s="590">
        <v>2846</v>
      </c>
      <c r="C2492" t="s">
        <v>32107</v>
      </c>
    </row>
    <row r="2493" spans="1:3">
      <c r="A2493" t="s">
        <v>32108</v>
      </c>
      <c r="B2493" s="590">
        <v>3308</v>
      </c>
      <c r="C2493" t="s">
        <v>32107</v>
      </c>
    </row>
    <row r="2494" spans="1:3">
      <c r="A2494" t="s">
        <v>32106</v>
      </c>
      <c r="B2494" s="590">
        <v>2736</v>
      </c>
      <c r="C2494" t="s">
        <v>32104</v>
      </c>
    </row>
    <row r="2495" spans="1:3">
      <c r="A2495" t="s">
        <v>32105</v>
      </c>
      <c r="B2495" s="590">
        <v>2996</v>
      </c>
      <c r="C2495" t="s">
        <v>32104</v>
      </c>
    </row>
    <row r="2496" spans="1:3">
      <c r="A2496" t="s">
        <v>32103</v>
      </c>
      <c r="B2496" s="590">
        <v>526</v>
      </c>
      <c r="C2496" t="s">
        <v>32102</v>
      </c>
    </row>
    <row r="2497" spans="1:3">
      <c r="A2497" t="s">
        <v>32101</v>
      </c>
      <c r="B2497" s="590">
        <v>526</v>
      </c>
      <c r="C2497" t="s">
        <v>32100</v>
      </c>
    </row>
    <row r="2498" spans="1:3">
      <c r="A2498" t="s">
        <v>32099</v>
      </c>
      <c r="B2498" s="590">
        <v>173</v>
      </c>
      <c r="C2498" t="s">
        <v>32098</v>
      </c>
    </row>
    <row r="2499" spans="1:3">
      <c r="A2499" t="s">
        <v>32097</v>
      </c>
      <c r="B2499" s="590">
        <v>23</v>
      </c>
      <c r="C2499" t="s">
        <v>32096</v>
      </c>
    </row>
    <row r="2500" spans="1:3">
      <c r="A2500" t="s">
        <v>32095</v>
      </c>
      <c r="B2500" s="590">
        <v>23</v>
      </c>
      <c r="C2500" t="s">
        <v>32094</v>
      </c>
    </row>
    <row r="2501" spans="1:3">
      <c r="A2501" t="s">
        <v>32093</v>
      </c>
      <c r="B2501" s="590">
        <v>-100</v>
      </c>
      <c r="C2501" t="s">
        <v>32092</v>
      </c>
    </row>
    <row r="2502" spans="1:3">
      <c r="A2502" t="s">
        <v>32091</v>
      </c>
      <c r="B2502" s="590">
        <v>-100</v>
      </c>
      <c r="C2502" t="s">
        <v>32090</v>
      </c>
    </row>
    <row r="2503" spans="1:3">
      <c r="A2503" t="s">
        <v>32089</v>
      </c>
      <c r="B2503" s="590">
        <v>50</v>
      </c>
      <c r="C2503" t="s">
        <v>32088</v>
      </c>
    </row>
    <row r="2504" spans="1:3">
      <c r="A2504" t="s">
        <v>32087</v>
      </c>
      <c r="B2504" s="590">
        <v>138</v>
      </c>
      <c r="C2504" t="s">
        <v>32086</v>
      </c>
    </row>
    <row r="2505" spans="1:3">
      <c r="A2505" t="s">
        <v>32085</v>
      </c>
      <c r="B2505" s="590">
        <v>201</v>
      </c>
      <c r="C2505" t="s">
        <v>32084</v>
      </c>
    </row>
    <row r="2506" spans="1:3">
      <c r="A2506" t="s">
        <v>32083</v>
      </c>
      <c r="B2506" s="590">
        <v>264</v>
      </c>
      <c r="C2506" t="s">
        <v>32082</v>
      </c>
    </row>
    <row r="2507" spans="1:3">
      <c r="A2507" t="s">
        <v>32081</v>
      </c>
      <c r="B2507" s="590">
        <v>110</v>
      </c>
      <c r="C2507" t="s">
        <v>32080</v>
      </c>
    </row>
    <row r="2508" spans="1:3">
      <c r="A2508" t="s">
        <v>32079</v>
      </c>
      <c r="B2508" s="590">
        <v>138</v>
      </c>
      <c r="C2508" t="s">
        <v>32056</v>
      </c>
    </row>
    <row r="2509" spans="1:3">
      <c r="A2509" t="s">
        <v>32078</v>
      </c>
      <c r="B2509" s="590">
        <v>201</v>
      </c>
      <c r="C2509" t="s">
        <v>32054</v>
      </c>
    </row>
    <row r="2510" spans="1:3">
      <c r="A2510" t="s">
        <v>32077</v>
      </c>
      <c r="B2510" s="590">
        <v>264</v>
      </c>
      <c r="C2510" t="s">
        <v>32052</v>
      </c>
    </row>
    <row r="2511" spans="1:3">
      <c r="A2511" t="s">
        <v>32076</v>
      </c>
      <c r="B2511" s="590">
        <v>138</v>
      </c>
      <c r="C2511" t="s">
        <v>32056</v>
      </c>
    </row>
    <row r="2512" spans="1:3">
      <c r="A2512" t="s">
        <v>32075</v>
      </c>
      <c r="B2512" s="590">
        <v>201</v>
      </c>
      <c r="C2512" t="s">
        <v>32054</v>
      </c>
    </row>
    <row r="2513" spans="1:3">
      <c r="A2513" t="s">
        <v>32074</v>
      </c>
      <c r="B2513" s="590">
        <v>264</v>
      </c>
      <c r="C2513" t="s">
        <v>32052</v>
      </c>
    </row>
    <row r="2514" spans="1:3">
      <c r="A2514" t="s">
        <v>32073</v>
      </c>
      <c r="B2514" s="590">
        <v>76</v>
      </c>
      <c r="C2514" t="s">
        <v>32072</v>
      </c>
    </row>
    <row r="2515" spans="1:3">
      <c r="A2515" t="s">
        <v>32071</v>
      </c>
      <c r="B2515" s="590">
        <v>138</v>
      </c>
      <c r="C2515" t="s">
        <v>32070</v>
      </c>
    </row>
    <row r="2516" spans="1:3">
      <c r="A2516" t="s">
        <v>32069</v>
      </c>
      <c r="B2516" s="590">
        <v>151</v>
      </c>
      <c r="C2516" t="s">
        <v>32056</v>
      </c>
    </row>
    <row r="2517" spans="1:3">
      <c r="A2517" t="s">
        <v>32068</v>
      </c>
      <c r="B2517" s="590">
        <v>227</v>
      </c>
      <c r="C2517" t="s">
        <v>32054</v>
      </c>
    </row>
    <row r="2518" spans="1:3">
      <c r="A2518" t="s">
        <v>32067</v>
      </c>
      <c r="B2518" s="590">
        <v>300</v>
      </c>
      <c r="C2518" t="s">
        <v>32052</v>
      </c>
    </row>
    <row r="2519" spans="1:3">
      <c r="A2519" t="s">
        <v>32066</v>
      </c>
      <c r="B2519" s="590">
        <v>89</v>
      </c>
      <c r="C2519" t="s">
        <v>32056</v>
      </c>
    </row>
    <row r="2520" spans="1:3">
      <c r="A2520" t="s">
        <v>32065</v>
      </c>
      <c r="B2520" s="590">
        <v>164</v>
      </c>
      <c r="C2520" t="s">
        <v>27804</v>
      </c>
    </row>
    <row r="2521" spans="1:3">
      <c r="A2521" t="s">
        <v>32064</v>
      </c>
      <c r="B2521" s="590">
        <v>238</v>
      </c>
      <c r="C2521" t="s">
        <v>32063</v>
      </c>
    </row>
    <row r="2522" spans="1:3">
      <c r="A2522" t="s">
        <v>32062</v>
      </c>
      <c r="B2522" s="590">
        <v>326</v>
      </c>
      <c r="C2522" t="s">
        <v>32061</v>
      </c>
    </row>
    <row r="2523" spans="1:3">
      <c r="A2523" t="s">
        <v>32060</v>
      </c>
      <c r="B2523" s="590">
        <v>138</v>
      </c>
      <c r="C2523" t="s">
        <v>32056</v>
      </c>
    </row>
    <row r="2524" spans="1:3">
      <c r="A2524" t="s">
        <v>32059</v>
      </c>
      <c r="B2524" s="590">
        <v>201</v>
      </c>
      <c r="C2524" t="s">
        <v>32054</v>
      </c>
    </row>
    <row r="2525" spans="1:3">
      <c r="A2525" t="s">
        <v>32058</v>
      </c>
      <c r="B2525" s="590">
        <v>264</v>
      </c>
      <c r="C2525" t="s">
        <v>32052</v>
      </c>
    </row>
    <row r="2526" spans="1:3">
      <c r="A2526" t="s">
        <v>32057</v>
      </c>
      <c r="B2526" s="590">
        <v>138</v>
      </c>
      <c r="C2526" t="s">
        <v>32056</v>
      </c>
    </row>
    <row r="2527" spans="1:3">
      <c r="A2527" t="s">
        <v>32055</v>
      </c>
      <c r="B2527" s="590">
        <v>201</v>
      </c>
      <c r="C2527" t="s">
        <v>32054</v>
      </c>
    </row>
    <row r="2528" spans="1:3">
      <c r="A2528" t="s">
        <v>32053</v>
      </c>
      <c r="B2528" s="590">
        <v>264</v>
      </c>
      <c r="C2528" t="s">
        <v>32052</v>
      </c>
    </row>
    <row r="2529" spans="1:3">
      <c r="A2529" t="s">
        <v>32051</v>
      </c>
      <c r="B2529" s="590">
        <v>403</v>
      </c>
      <c r="C2529" t="s">
        <v>32050</v>
      </c>
    </row>
    <row r="2530" spans="1:3">
      <c r="A2530" t="s">
        <v>32049</v>
      </c>
      <c r="B2530" s="590">
        <v>599</v>
      </c>
      <c r="C2530" t="s">
        <v>32048</v>
      </c>
    </row>
    <row r="2531" spans="1:3">
      <c r="A2531" t="s">
        <v>32047</v>
      </c>
      <c r="B2531" s="590">
        <v>790</v>
      </c>
      <c r="C2531" t="s">
        <v>32046</v>
      </c>
    </row>
    <row r="2532" spans="1:3">
      <c r="A2532" t="s">
        <v>32045</v>
      </c>
      <c r="B2532" s="590">
        <v>971</v>
      </c>
      <c r="C2532" t="s">
        <v>32044</v>
      </c>
    </row>
    <row r="2533" spans="1:3">
      <c r="A2533" t="s">
        <v>32043</v>
      </c>
      <c r="B2533" s="590">
        <v>1173</v>
      </c>
      <c r="C2533" t="s">
        <v>32042</v>
      </c>
    </row>
    <row r="2534" spans="1:3">
      <c r="A2534" t="s">
        <v>32041</v>
      </c>
      <c r="B2534" s="590">
        <v>1364</v>
      </c>
      <c r="C2534" t="s">
        <v>32040</v>
      </c>
    </row>
    <row r="2535" spans="1:3">
      <c r="A2535" t="s">
        <v>32039</v>
      </c>
      <c r="B2535" s="590">
        <v>14</v>
      </c>
      <c r="C2535" t="s">
        <v>32038</v>
      </c>
    </row>
    <row r="2536" spans="1:3">
      <c r="A2536" t="s">
        <v>32037</v>
      </c>
      <c r="B2536" s="590">
        <v>14</v>
      </c>
      <c r="C2536" t="s">
        <v>32036</v>
      </c>
    </row>
    <row r="2537" spans="1:3">
      <c r="A2537" t="s">
        <v>32035</v>
      </c>
      <c r="B2537" s="590">
        <v>14</v>
      </c>
      <c r="C2537" t="s">
        <v>32034</v>
      </c>
    </row>
    <row r="2538" spans="1:3">
      <c r="A2538" t="s">
        <v>32033</v>
      </c>
      <c r="B2538" s="590">
        <v>14</v>
      </c>
      <c r="C2538" t="s">
        <v>32032</v>
      </c>
    </row>
    <row r="2539" spans="1:3">
      <c r="A2539" t="s">
        <v>32031</v>
      </c>
      <c r="B2539" s="590">
        <v>14</v>
      </c>
      <c r="C2539" t="s">
        <v>32030</v>
      </c>
    </row>
    <row r="2540" spans="1:3">
      <c r="A2540" t="s">
        <v>32029</v>
      </c>
      <c r="B2540" s="590">
        <v>14</v>
      </c>
      <c r="C2540" t="s">
        <v>32028</v>
      </c>
    </row>
    <row r="2541" spans="1:3">
      <c r="A2541" t="s">
        <v>32027</v>
      </c>
      <c r="B2541" s="590">
        <v>14</v>
      </c>
      <c r="C2541" t="s">
        <v>32026</v>
      </c>
    </row>
    <row r="2542" spans="1:3">
      <c r="A2542" t="s">
        <v>32025</v>
      </c>
      <c r="B2542" s="590">
        <v>14</v>
      </c>
      <c r="C2542" t="s">
        <v>32024</v>
      </c>
    </row>
    <row r="2543" spans="1:3">
      <c r="A2543" t="s">
        <v>32023</v>
      </c>
      <c r="B2543" s="590">
        <v>14</v>
      </c>
      <c r="C2543" t="s">
        <v>32022</v>
      </c>
    </row>
    <row r="2544" spans="1:3">
      <c r="A2544" t="s">
        <v>32021</v>
      </c>
      <c r="B2544" s="590">
        <v>14</v>
      </c>
      <c r="C2544" t="s">
        <v>32020</v>
      </c>
    </row>
    <row r="2545" spans="1:3">
      <c r="A2545" t="s">
        <v>32019</v>
      </c>
      <c r="B2545" s="590">
        <v>59</v>
      </c>
      <c r="C2545" t="s">
        <v>32018</v>
      </c>
    </row>
    <row r="2546" spans="1:3">
      <c r="A2546" t="s">
        <v>32017</v>
      </c>
      <c r="B2546" s="590">
        <v>59</v>
      </c>
      <c r="C2546" t="s">
        <v>32016</v>
      </c>
    </row>
    <row r="2547" spans="1:3">
      <c r="A2547" t="s">
        <v>32015</v>
      </c>
      <c r="B2547" s="590">
        <v>59</v>
      </c>
      <c r="C2547" t="s">
        <v>32014</v>
      </c>
    </row>
    <row r="2548" spans="1:3">
      <c r="A2548" t="s">
        <v>32013</v>
      </c>
      <c r="B2548" s="590">
        <v>59</v>
      </c>
      <c r="C2548" t="s">
        <v>32012</v>
      </c>
    </row>
    <row r="2549" spans="1:3">
      <c r="A2549" t="s">
        <v>32011</v>
      </c>
      <c r="B2549" s="590">
        <v>59</v>
      </c>
      <c r="C2549" t="s">
        <v>32010</v>
      </c>
    </row>
    <row r="2550" spans="1:3">
      <c r="A2550" t="s">
        <v>32009</v>
      </c>
      <c r="B2550" s="590">
        <v>59</v>
      </c>
      <c r="C2550" t="s">
        <v>32008</v>
      </c>
    </row>
    <row r="2551" spans="1:3">
      <c r="A2551" t="s">
        <v>32007</v>
      </c>
      <c r="B2551" s="590">
        <v>59</v>
      </c>
      <c r="C2551" t="s">
        <v>32006</v>
      </c>
    </row>
    <row r="2552" spans="1:3">
      <c r="A2552" t="s">
        <v>32005</v>
      </c>
      <c r="B2552" s="590">
        <v>72</v>
      </c>
      <c r="C2552" t="s">
        <v>32004</v>
      </c>
    </row>
    <row r="2553" spans="1:3">
      <c r="A2553" t="s">
        <v>32003</v>
      </c>
      <c r="B2553" s="590">
        <v>72</v>
      </c>
      <c r="C2553" t="s">
        <v>32002</v>
      </c>
    </row>
    <row r="2554" spans="1:3">
      <c r="A2554" t="s">
        <v>32001</v>
      </c>
      <c r="B2554" s="590">
        <v>72</v>
      </c>
      <c r="C2554" t="s">
        <v>32000</v>
      </c>
    </row>
    <row r="2555" spans="1:3">
      <c r="A2555" t="s">
        <v>31999</v>
      </c>
      <c r="B2555" s="590">
        <v>72</v>
      </c>
      <c r="C2555" t="s">
        <v>31998</v>
      </c>
    </row>
    <row r="2556" spans="1:3">
      <c r="A2556" t="s">
        <v>31997</v>
      </c>
      <c r="B2556" s="590">
        <v>72</v>
      </c>
      <c r="C2556" t="s">
        <v>31996</v>
      </c>
    </row>
    <row r="2557" spans="1:3">
      <c r="A2557" t="s">
        <v>31995</v>
      </c>
      <c r="B2557" s="590">
        <v>72</v>
      </c>
      <c r="C2557" t="s">
        <v>31994</v>
      </c>
    </row>
    <row r="2558" spans="1:3">
      <c r="A2558" t="s">
        <v>31993</v>
      </c>
      <c r="B2558" s="590">
        <v>72</v>
      </c>
      <c r="C2558" t="s">
        <v>31992</v>
      </c>
    </row>
    <row r="2559" spans="1:3">
      <c r="A2559" t="s">
        <v>31991</v>
      </c>
      <c r="B2559" s="590">
        <v>59</v>
      </c>
      <c r="C2559" t="s">
        <v>31990</v>
      </c>
    </row>
    <row r="2560" spans="1:3">
      <c r="A2560" t="s">
        <v>31989</v>
      </c>
      <c r="B2560" s="590">
        <v>59</v>
      </c>
      <c r="C2560" t="s">
        <v>31988</v>
      </c>
    </row>
    <row r="2561" spans="1:3">
      <c r="A2561" t="s">
        <v>31987</v>
      </c>
      <c r="B2561" s="590">
        <v>59</v>
      </c>
      <c r="C2561" t="s">
        <v>31986</v>
      </c>
    </row>
    <row r="2562" spans="1:3">
      <c r="A2562" t="s">
        <v>31985</v>
      </c>
      <c r="B2562" s="590">
        <v>59</v>
      </c>
      <c r="C2562" t="s">
        <v>31984</v>
      </c>
    </row>
    <row r="2563" spans="1:3">
      <c r="A2563" t="s">
        <v>31983</v>
      </c>
      <c r="B2563" s="590">
        <v>59</v>
      </c>
      <c r="C2563" t="s">
        <v>31982</v>
      </c>
    </row>
    <row r="2564" spans="1:3">
      <c r="A2564" t="s">
        <v>31981</v>
      </c>
      <c r="B2564" s="590">
        <v>59</v>
      </c>
      <c r="C2564" t="s">
        <v>31980</v>
      </c>
    </row>
    <row r="2565" spans="1:3">
      <c r="A2565" t="s">
        <v>31979</v>
      </c>
      <c r="B2565" s="590">
        <v>59</v>
      </c>
      <c r="C2565" t="s">
        <v>31978</v>
      </c>
    </row>
    <row r="2566" spans="1:3">
      <c r="A2566" t="s">
        <v>31977</v>
      </c>
      <c r="B2566" s="590">
        <v>72</v>
      </c>
      <c r="C2566" t="s">
        <v>31976</v>
      </c>
    </row>
    <row r="2567" spans="1:3">
      <c r="A2567" t="s">
        <v>31975</v>
      </c>
      <c r="B2567" s="590">
        <v>72</v>
      </c>
      <c r="C2567" t="s">
        <v>31974</v>
      </c>
    </row>
    <row r="2568" spans="1:3">
      <c r="A2568" t="s">
        <v>31973</v>
      </c>
      <c r="B2568" s="590">
        <v>72</v>
      </c>
      <c r="C2568" t="s">
        <v>31972</v>
      </c>
    </row>
    <row r="2569" spans="1:3">
      <c r="A2569" t="s">
        <v>31971</v>
      </c>
      <c r="B2569" s="590">
        <v>72</v>
      </c>
      <c r="C2569" t="s">
        <v>31970</v>
      </c>
    </row>
    <row r="2570" spans="1:3">
      <c r="A2570" t="s">
        <v>31969</v>
      </c>
      <c r="B2570" s="590">
        <v>72</v>
      </c>
      <c r="C2570" t="s">
        <v>31968</v>
      </c>
    </row>
    <row r="2571" spans="1:3">
      <c r="A2571" t="s">
        <v>31967</v>
      </c>
      <c r="B2571" s="590">
        <v>72</v>
      </c>
      <c r="C2571" t="s">
        <v>31966</v>
      </c>
    </row>
    <row r="2572" spans="1:3">
      <c r="A2572" t="s">
        <v>31965</v>
      </c>
      <c r="B2572" s="590">
        <v>72</v>
      </c>
      <c r="C2572" t="s">
        <v>31964</v>
      </c>
    </row>
    <row r="2573" spans="1:3">
      <c r="A2573" t="s">
        <v>31963</v>
      </c>
      <c r="B2573" s="590">
        <v>116</v>
      </c>
      <c r="C2573" t="s">
        <v>31962</v>
      </c>
    </row>
    <row r="2574" spans="1:3">
      <c r="A2574" t="s">
        <v>31961</v>
      </c>
      <c r="B2574" s="590">
        <v>129</v>
      </c>
      <c r="C2574" t="s">
        <v>31960</v>
      </c>
    </row>
    <row r="2575" spans="1:3">
      <c r="A2575" t="s">
        <v>31959</v>
      </c>
      <c r="B2575" s="590">
        <v>116</v>
      </c>
      <c r="C2575" t="s">
        <v>31958</v>
      </c>
    </row>
    <row r="2576" spans="1:3">
      <c r="A2576" t="s">
        <v>31957</v>
      </c>
      <c r="B2576" s="590">
        <v>129</v>
      </c>
      <c r="C2576" t="s">
        <v>31956</v>
      </c>
    </row>
    <row r="2577" spans="1:3">
      <c r="A2577" t="s">
        <v>31955</v>
      </c>
      <c r="B2577" s="590">
        <v>116</v>
      </c>
      <c r="C2577" t="s">
        <v>31954</v>
      </c>
    </row>
    <row r="2578" spans="1:3">
      <c r="A2578" t="s">
        <v>31953</v>
      </c>
      <c r="B2578" s="590">
        <v>129</v>
      </c>
      <c r="C2578" t="s">
        <v>31952</v>
      </c>
    </row>
    <row r="2579" spans="1:3">
      <c r="A2579" t="s">
        <v>31951</v>
      </c>
      <c r="B2579" s="590">
        <v>116</v>
      </c>
      <c r="C2579" t="s">
        <v>31950</v>
      </c>
    </row>
    <row r="2580" spans="1:3">
      <c r="A2580" t="s">
        <v>31949</v>
      </c>
      <c r="B2580" s="590">
        <v>129</v>
      </c>
      <c r="C2580" t="s">
        <v>31948</v>
      </c>
    </row>
    <row r="2581" spans="1:3">
      <c r="A2581" t="s">
        <v>31947</v>
      </c>
      <c r="B2581" s="590">
        <v>116</v>
      </c>
      <c r="C2581" t="s">
        <v>31946</v>
      </c>
    </row>
    <row r="2582" spans="1:3">
      <c r="A2582" t="s">
        <v>31945</v>
      </c>
      <c r="B2582" s="590">
        <v>129</v>
      </c>
      <c r="C2582" t="s">
        <v>31944</v>
      </c>
    </row>
    <row r="2583" spans="1:3">
      <c r="A2583" t="s">
        <v>31943</v>
      </c>
      <c r="B2583" s="590">
        <v>116</v>
      </c>
      <c r="C2583" t="s">
        <v>31942</v>
      </c>
    </row>
    <row r="2584" spans="1:3">
      <c r="A2584" t="s">
        <v>31941</v>
      </c>
      <c r="B2584" s="590">
        <v>129</v>
      </c>
      <c r="C2584" t="s">
        <v>31940</v>
      </c>
    </row>
    <row r="2585" spans="1:3">
      <c r="A2585" t="s">
        <v>31939</v>
      </c>
      <c r="B2585" s="590">
        <v>116</v>
      </c>
      <c r="C2585" t="s">
        <v>31938</v>
      </c>
    </row>
    <row r="2586" spans="1:3">
      <c r="A2586" t="s">
        <v>31937</v>
      </c>
      <c r="B2586" s="590">
        <v>129</v>
      </c>
      <c r="C2586" t="s">
        <v>31936</v>
      </c>
    </row>
    <row r="2587" spans="1:3">
      <c r="A2587" t="s">
        <v>31935</v>
      </c>
      <c r="B2587" s="590">
        <v>116</v>
      </c>
      <c r="C2587" t="s">
        <v>31934</v>
      </c>
    </row>
    <row r="2588" spans="1:3">
      <c r="A2588" t="s">
        <v>31933</v>
      </c>
      <c r="B2588" s="590">
        <v>129</v>
      </c>
      <c r="C2588" t="s">
        <v>31932</v>
      </c>
    </row>
    <row r="2589" spans="1:3">
      <c r="A2589" t="s">
        <v>27809</v>
      </c>
      <c r="B2589" s="590">
        <v>227</v>
      </c>
      <c r="C2589" t="s">
        <v>27808</v>
      </c>
    </row>
    <row r="2590" spans="1:3">
      <c r="A2590" t="s">
        <v>31931</v>
      </c>
      <c r="B2590" s="590">
        <v>55</v>
      </c>
      <c r="C2590" t="s">
        <v>31930</v>
      </c>
    </row>
    <row r="2591" spans="1:3">
      <c r="A2591" t="s">
        <v>31929</v>
      </c>
      <c r="B2591" s="590">
        <v>55</v>
      </c>
      <c r="C2591" t="s">
        <v>31928</v>
      </c>
    </row>
    <row r="2592" spans="1:3">
      <c r="A2592" t="s">
        <v>31927</v>
      </c>
      <c r="B2592" s="590">
        <v>70</v>
      </c>
      <c r="C2592" t="s">
        <v>31926</v>
      </c>
    </row>
    <row r="2593" spans="1:3">
      <c r="A2593" t="s">
        <v>31925</v>
      </c>
      <c r="B2593" s="590">
        <v>63</v>
      </c>
      <c r="C2593" t="s">
        <v>31924</v>
      </c>
    </row>
    <row r="2594" spans="1:3">
      <c r="A2594" t="s">
        <v>31923</v>
      </c>
      <c r="B2594" s="590">
        <v>131</v>
      </c>
      <c r="C2594" t="s">
        <v>31922</v>
      </c>
    </row>
    <row r="2595" spans="1:3">
      <c r="A2595" t="s">
        <v>31921</v>
      </c>
      <c r="B2595" s="590">
        <v>102</v>
      </c>
      <c r="C2595" t="s">
        <v>31920</v>
      </c>
    </row>
    <row r="2596" spans="1:3">
      <c r="A2596" t="s">
        <v>31919</v>
      </c>
      <c r="B2596" s="590">
        <v>110</v>
      </c>
      <c r="C2596" t="s">
        <v>31918</v>
      </c>
    </row>
    <row r="2597" spans="1:3">
      <c r="A2597" t="s">
        <v>31917</v>
      </c>
      <c r="B2597" s="590">
        <v>110</v>
      </c>
      <c r="C2597" t="s">
        <v>31916</v>
      </c>
    </row>
    <row r="2598" spans="1:3">
      <c r="A2598" t="s">
        <v>31915</v>
      </c>
      <c r="B2598" s="590">
        <v>51</v>
      </c>
      <c r="C2598" t="s">
        <v>31914</v>
      </c>
    </row>
    <row r="2599" spans="1:3">
      <c r="A2599" t="s">
        <v>31913</v>
      </c>
      <c r="B2599" s="590">
        <v>51</v>
      </c>
      <c r="C2599" t="s">
        <v>31912</v>
      </c>
    </row>
    <row r="2600" spans="1:3">
      <c r="A2600" t="s">
        <v>31911</v>
      </c>
      <c r="B2600" s="590">
        <v>102</v>
      </c>
      <c r="C2600" t="s">
        <v>31910</v>
      </c>
    </row>
    <row r="2601" spans="1:3">
      <c r="A2601" t="s">
        <v>31909</v>
      </c>
      <c r="B2601" s="590">
        <v>102</v>
      </c>
      <c r="C2601" t="s">
        <v>31908</v>
      </c>
    </row>
    <row r="2602" spans="1:3">
      <c r="A2602" t="s">
        <v>31907</v>
      </c>
      <c r="B2602" s="590">
        <v>16</v>
      </c>
      <c r="C2602" t="s">
        <v>31906</v>
      </c>
    </row>
    <row r="2603" spans="1:3">
      <c r="A2603" t="s">
        <v>31905</v>
      </c>
      <c r="B2603" s="590">
        <v>16</v>
      </c>
      <c r="C2603" t="s">
        <v>31904</v>
      </c>
    </row>
    <row r="2604" spans="1:3">
      <c r="A2604" t="s">
        <v>31903</v>
      </c>
      <c r="B2604" s="590">
        <v>19</v>
      </c>
      <c r="C2604" t="s">
        <v>31902</v>
      </c>
    </row>
    <row r="2605" spans="1:3">
      <c r="A2605" t="s">
        <v>31901</v>
      </c>
      <c r="B2605" s="590">
        <v>464</v>
      </c>
      <c r="C2605" t="s">
        <v>31900</v>
      </c>
    </row>
    <row r="2606" spans="1:3">
      <c r="A2606" t="s">
        <v>31899</v>
      </c>
      <c r="B2606" s="590">
        <v>464</v>
      </c>
      <c r="C2606" t="s">
        <v>31898</v>
      </c>
    </row>
    <row r="2607" spans="1:3">
      <c r="A2607" t="s">
        <v>31897</v>
      </c>
      <c r="B2607" s="590">
        <v>464</v>
      </c>
      <c r="C2607" t="s">
        <v>31896</v>
      </c>
    </row>
    <row r="2608" spans="1:3">
      <c r="A2608" t="s">
        <v>31895</v>
      </c>
      <c r="B2608" s="590">
        <v>464</v>
      </c>
      <c r="C2608" t="s">
        <v>31894</v>
      </c>
    </row>
    <row r="2609" spans="1:3">
      <c r="A2609" t="s">
        <v>31893</v>
      </c>
      <c r="B2609" s="590">
        <v>494</v>
      </c>
      <c r="C2609" t="s">
        <v>31892</v>
      </c>
    </row>
    <row r="2610" spans="1:3">
      <c r="A2610" t="s">
        <v>31891</v>
      </c>
      <c r="B2610" s="590">
        <v>494</v>
      </c>
      <c r="C2610" t="s">
        <v>31890</v>
      </c>
    </row>
    <row r="2611" spans="1:3">
      <c r="A2611" t="s">
        <v>31889</v>
      </c>
      <c r="B2611" s="590">
        <v>494</v>
      </c>
      <c r="C2611" t="s">
        <v>31888</v>
      </c>
    </row>
    <row r="2612" spans="1:3">
      <c r="A2612" t="s">
        <v>31887</v>
      </c>
      <c r="B2612" s="590">
        <v>494</v>
      </c>
      <c r="C2612" t="s">
        <v>31886</v>
      </c>
    </row>
    <row r="2613" spans="1:3">
      <c r="A2613" t="s">
        <v>31885</v>
      </c>
      <c r="B2613" s="590">
        <v>453</v>
      </c>
      <c r="C2613" t="s">
        <v>31884</v>
      </c>
    </row>
    <row r="2614" spans="1:3">
      <c r="A2614" t="s">
        <v>31883</v>
      </c>
      <c r="B2614" s="590">
        <v>453</v>
      </c>
      <c r="C2614" t="s">
        <v>31882</v>
      </c>
    </row>
    <row r="2615" spans="1:3">
      <c r="A2615" t="s">
        <v>31881</v>
      </c>
      <c r="B2615" s="590">
        <v>453</v>
      </c>
      <c r="C2615" t="s">
        <v>31880</v>
      </c>
    </row>
    <row r="2616" spans="1:3">
      <c r="A2616" t="s">
        <v>31879</v>
      </c>
      <c r="B2616" s="590">
        <v>453</v>
      </c>
      <c r="C2616" t="s">
        <v>31878</v>
      </c>
    </row>
    <row r="2617" spans="1:3">
      <c r="A2617" t="s">
        <v>31877</v>
      </c>
      <c r="B2617" s="590">
        <v>505</v>
      </c>
      <c r="C2617" t="s">
        <v>31876</v>
      </c>
    </row>
    <row r="2618" spans="1:3">
      <c r="A2618" t="s">
        <v>31875</v>
      </c>
      <c r="B2618" s="590">
        <v>505</v>
      </c>
      <c r="C2618" t="s">
        <v>31874</v>
      </c>
    </row>
    <row r="2619" spans="1:3">
      <c r="A2619" t="s">
        <v>31873</v>
      </c>
      <c r="B2619" s="590">
        <v>505</v>
      </c>
      <c r="C2619" t="s">
        <v>31872</v>
      </c>
    </row>
    <row r="2620" spans="1:3">
      <c r="A2620" t="s">
        <v>31871</v>
      </c>
      <c r="B2620" s="590">
        <v>573</v>
      </c>
      <c r="C2620" t="s">
        <v>31870</v>
      </c>
    </row>
    <row r="2621" spans="1:3">
      <c r="A2621" t="s">
        <v>31869</v>
      </c>
      <c r="B2621" s="590">
        <v>505</v>
      </c>
      <c r="C2621" t="s">
        <v>31868</v>
      </c>
    </row>
    <row r="2622" spans="1:3">
      <c r="A2622" t="s">
        <v>31867</v>
      </c>
      <c r="B2622" s="590">
        <v>571</v>
      </c>
      <c r="C2622" t="s">
        <v>31866</v>
      </c>
    </row>
    <row r="2623" spans="1:3">
      <c r="A2623" t="s">
        <v>31865</v>
      </c>
      <c r="B2623" s="590">
        <v>571</v>
      </c>
      <c r="C2623" t="s">
        <v>31864</v>
      </c>
    </row>
    <row r="2624" spans="1:3">
      <c r="A2624" t="s">
        <v>31863</v>
      </c>
      <c r="B2624" s="590">
        <v>571</v>
      </c>
      <c r="C2624" t="s">
        <v>31862</v>
      </c>
    </row>
    <row r="2625" spans="1:3">
      <c r="A2625" t="s">
        <v>31861</v>
      </c>
      <c r="B2625" s="590">
        <v>571</v>
      </c>
      <c r="C2625" t="s">
        <v>31860</v>
      </c>
    </row>
    <row r="2626" spans="1:3">
      <c r="A2626" t="s">
        <v>31859</v>
      </c>
      <c r="B2626" s="590">
        <v>566</v>
      </c>
      <c r="C2626" t="s">
        <v>31858</v>
      </c>
    </row>
    <row r="2627" spans="1:3">
      <c r="A2627" t="s">
        <v>31857</v>
      </c>
      <c r="B2627" s="590">
        <v>566</v>
      </c>
      <c r="C2627" t="s">
        <v>31856</v>
      </c>
    </row>
    <row r="2628" spans="1:3">
      <c r="A2628" t="s">
        <v>31855</v>
      </c>
      <c r="B2628" s="590">
        <v>566</v>
      </c>
      <c r="C2628" t="s">
        <v>31854</v>
      </c>
    </row>
    <row r="2629" spans="1:3">
      <c r="A2629" t="s">
        <v>31853</v>
      </c>
      <c r="B2629" s="590">
        <v>566</v>
      </c>
      <c r="C2629" t="s">
        <v>31852</v>
      </c>
    </row>
    <row r="2630" spans="1:3">
      <c r="A2630" t="s">
        <v>31851</v>
      </c>
      <c r="B2630" s="590">
        <v>517</v>
      </c>
      <c r="C2630" t="s">
        <v>31850</v>
      </c>
    </row>
    <row r="2631" spans="1:3">
      <c r="A2631" t="s">
        <v>31849</v>
      </c>
      <c r="B2631" s="590">
        <v>517</v>
      </c>
      <c r="C2631" t="s">
        <v>31848</v>
      </c>
    </row>
    <row r="2632" spans="1:3">
      <c r="A2632" t="s">
        <v>31847</v>
      </c>
      <c r="B2632" s="590">
        <v>517</v>
      </c>
      <c r="C2632" t="s">
        <v>31846</v>
      </c>
    </row>
    <row r="2633" spans="1:3">
      <c r="A2633" t="s">
        <v>31845</v>
      </c>
      <c r="B2633" s="590">
        <v>505</v>
      </c>
      <c r="C2633" t="s">
        <v>31844</v>
      </c>
    </row>
    <row r="2634" spans="1:3">
      <c r="A2634" t="s">
        <v>31843</v>
      </c>
      <c r="B2634" s="590">
        <v>571</v>
      </c>
      <c r="C2634" t="s">
        <v>31842</v>
      </c>
    </row>
    <row r="2635" spans="1:3">
      <c r="A2635" t="s">
        <v>31841</v>
      </c>
      <c r="B2635" s="590">
        <v>566</v>
      </c>
      <c r="C2635" t="s">
        <v>31840</v>
      </c>
    </row>
    <row r="2636" spans="1:3">
      <c r="A2636" t="s">
        <v>31839</v>
      </c>
      <c r="B2636" s="590">
        <v>504</v>
      </c>
      <c r="C2636" t="s">
        <v>31838</v>
      </c>
    </row>
    <row r="2637" spans="1:3">
      <c r="A2637" t="s">
        <v>31837</v>
      </c>
      <c r="B2637" s="590">
        <v>505</v>
      </c>
      <c r="C2637" t="s">
        <v>31836</v>
      </c>
    </row>
    <row r="2638" spans="1:3">
      <c r="A2638" t="s">
        <v>31835</v>
      </c>
      <c r="B2638" s="590">
        <v>552</v>
      </c>
      <c r="C2638" t="s">
        <v>31834</v>
      </c>
    </row>
    <row r="2639" spans="1:3">
      <c r="A2639" t="s">
        <v>31833</v>
      </c>
      <c r="B2639" s="590">
        <v>566</v>
      </c>
      <c r="C2639" t="s">
        <v>31832</v>
      </c>
    </row>
    <row r="2640" spans="1:3">
      <c r="A2640" t="s">
        <v>31831</v>
      </c>
      <c r="B2640" s="590">
        <v>504</v>
      </c>
      <c r="C2640" t="s">
        <v>31830</v>
      </c>
    </row>
    <row r="2641" spans="1:3">
      <c r="A2641" t="s">
        <v>31829</v>
      </c>
      <c r="B2641" s="590">
        <v>710</v>
      </c>
      <c r="C2641" t="s">
        <v>31828</v>
      </c>
    </row>
    <row r="2642" spans="1:3">
      <c r="A2642" t="s">
        <v>31827</v>
      </c>
      <c r="B2642" s="590">
        <v>710</v>
      </c>
      <c r="C2642" t="s">
        <v>31826</v>
      </c>
    </row>
    <row r="2643" spans="1:3">
      <c r="A2643" t="s">
        <v>31825</v>
      </c>
      <c r="B2643" s="590">
        <v>710</v>
      </c>
      <c r="C2643" t="s">
        <v>31824</v>
      </c>
    </row>
    <row r="2644" spans="1:3">
      <c r="A2644" t="s">
        <v>31823</v>
      </c>
      <c r="B2644" s="590">
        <v>710</v>
      </c>
      <c r="C2644" t="s">
        <v>31822</v>
      </c>
    </row>
    <row r="2645" spans="1:3">
      <c r="A2645" t="s">
        <v>31821</v>
      </c>
      <c r="B2645" s="590">
        <v>710</v>
      </c>
      <c r="C2645" t="s">
        <v>31820</v>
      </c>
    </row>
    <row r="2646" spans="1:3">
      <c r="A2646" t="s">
        <v>31819</v>
      </c>
      <c r="B2646" s="590">
        <v>760</v>
      </c>
      <c r="C2646" t="s">
        <v>31818</v>
      </c>
    </row>
    <row r="2647" spans="1:3">
      <c r="A2647" t="s">
        <v>31817</v>
      </c>
      <c r="B2647" s="590">
        <v>760</v>
      </c>
      <c r="C2647" t="s">
        <v>31816</v>
      </c>
    </row>
    <row r="2648" spans="1:3">
      <c r="A2648" t="s">
        <v>31815</v>
      </c>
      <c r="B2648" s="590">
        <v>760</v>
      </c>
      <c r="C2648" t="s">
        <v>31814</v>
      </c>
    </row>
    <row r="2649" spans="1:3">
      <c r="A2649" t="s">
        <v>31813</v>
      </c>
      <c r="B2649" s="590">
        <v>760</v>
      </c>
      <c r="C2649" t="s">
        <v>31812</v>
      </c>
    </row>
    <row r="2650" spans="1:3">
      <c r="A2650" t="s">
        <v>31811</v>
      </c>
      <c r="B2650" s="590">
        <v>765</v>
      </c>
      <c r="C2650" t="s">
        <v>31810</v>
      </c>
    </row>
    <row r="2651" spans="1:3">
      <c r="A2651" t="s">
        <v>31809</v>
      </c>
      <c r="B2651" s="590">
        <v>765</v>
      </c>
      <c r="C2651" t="s">
        <v>31808</v>
      </c>
    </row>
    <row r="2652" spans="1:3">
      <c r="A2652" t="s">
        <v>31807</v>
      </c>
      <c r="B2652" s="590">
        <v>822</v>
      </c>
      <c r="C2652" t="s">
        <v>31806</v>
      </c>
    </row>
    <row r="2653" spans="1:3">
      <c r="A2653" t="s">
        <v>31805</v>
      </c>
      <c r="B2653" s="590">
        <v>765</v>
      </c>
      <c r="C2653" t="s">
        <v>31804</v>
      </c>
    </row>
    <row r="2654" spans="1:3">
      <c r="A2654" t="s">
        <v>31803</v>
      </c>
      <c r="B2654" s="590">
        <v>741</v>
      </c>
      <c r="C2654" t="s">
        <v>31802</v>
      </c>
    </row>
    <row r="2655" spans="1:3">
      <c r="A2655" t="s">
        <v>31801</v>
      </c>
      <c r="B2655" s="590">
        <v>741</v>
      </c>
      <c r="C2655" t="s">
        <v>31800</v>
      </c>
    </row>
    <row r="2656" spans="1:3">
      <c r="A2656" t="s">
        <v>31799</v>
      </c>
      <c r="B2656" s="590">
        <v>741</v>
      </c>
      <c r="C2656" t="s">
        <v>31798</v>
      </c>
    </row>
    <row r="2657" spans="1:3">
      <c r="A2657" t="s">
        <v>31797</v>
      </c>
      <c r="B2657" s="590">
        <v>1780</v>
      </c>
      <c r="C2657" t="s">
        <v>31796</v>
      </c>
    </row>
    <row r="2658" spans="1:3">
      <c r="A2658" t="s">
        <v>27053</v>
      </c>
      <c r="B2658" s="590">
        <v>1780</v>
      </c>
      <c r="C2658" t="s">
        <v>31795</v>
      </c>
    </row>
    <row r="2659" spans="1:3">
      <c r="A2659" t="s">
        <v>31794</v>
      </c>
      <c r="B2659" s="590">
        <v>1780</v>
      </c>
      <c r="C2659" t="s">
        <v>31793</v>
      </c>
    </row>
    <row r="2660" spans="1:3">
      <c r="A2660" t="s">
        <v>31792</v>
      </c>
      <c r="B2660" s="590">
        <v>1780</v>
      </c>
      <c r="C2660" t="s">
        <v>31791</v>
      </c>
    </row>
    <row r="2661" spans="1:3">
      <c r="A2661" t="s">
        <v>31790</v>
      </c>
      <c r="B2661" s="590">
        <v>2368</v>
      </c>
      <c r="C2661" t="s">
        <v>31789</v>
      </c>
    </row>
    <row r="2662" spans="1:3">
      <c r="A2662" t="s">
        <v>31788</v>
      </c>
      <c r="B2662" s="590">
        <v>2368</v>
      </c>
      <c r="C2662" t="s">
        <v>31787</v>
      </c>
    </row>
    <row r="2663" spans="1:3">
      <c r="A2663" t="s">
        <v>31786</v>
      </c>
      <c r="B2663" s="590">
        <v>2368</v>
      </c>
      <c r="C2663" t="s">
        <v>31785</v>
      </c>
    </row>
    <row r="2664" spans="1:3">
      <c r="A2664" t="s">
        <v>31784</v>
      </c>
      <c r="B2664" s="590">
        <v>2368</v>
      </c>
      <c r="C2664" t="s">
        <v>31783</v>
      </c>
    </row>
    <row r="2665" spans="1:3">
      <c r="A2665" t="s">
        <v>31782</v>
      </c>
      <c r="B2665" s="590">
        <v>2368</v>
      </c>
      <c r="C2665" t="s">
        <v>31781</v>
      </c>
    </row>
    <row r="2666" spans="1:3">
      <c r="A2666" t="s">
        <v>31780</v>
      </c>
      <c r="B2666" s="590">
        <v>2359</v>
      </c>
      <c r="C2666" t="s">
        <v>31779</v>
      </c>
    </row>
    <row r="2667" spans="1:3">
      <c r="A2667" t="s">
        <v>31778</v>
      </c>
      <c r="B2667" s="590">
        <v>2368</v>
      </c>
      <c r="C2667" t="s">
        <v>31777</v>
      </c>
    </row>
    <row r="2668" spans="1:3">
      <c r="A2668" t="s">
        <v>31776</v>
      </c>
      <c r="B2668" s="590">
        <v>2368</v>
      </c>
      <c r="C2668" t="s">
        <v>31775</v>
      </c>
    </row>
    <row r="2669" spans="1:3">
      <c r="A2669" t="s">
        <v>31774</v>
      </c>
      <c r="B2669" s="590">
        <v>2368</v>
      </c>
      <c r="C2669" t="s">
        <v>31773</v>
      </c>
    </row>
    <row r="2670" spans="1:3">
      <c r="A2670" t="s">
        <v>31772</v>
      </c>
      <c r="B2670" s="590">
        <v>2368</v>
      </c>
      <c r="C2670" t="s">
        <v>31771</v>
      </c>
    </row>
    <row r="2671" spans="1:3">
      <c r="A2671" t="s">
        <v>31770</v>
      </c>
      <c r="B2671" s="590">
        <v>2368</v>
      </c>
      <c r="C2671" t="s">
        <v>31769</v>
      </c>
    </row>
    <row r="2672" spans="1:3">
      <c r="A2672" t="s">
        <v>31768</v>
      </c>
      <c r="B2672" s="590">
        <v>2368</v>
      </c>
      <c r="C2672" t="s">
        <v>31767</v>
      </c>
    </row>
    <row r="2673" spans="1:3">
      <c r="A2673" t="s">
        <v>31766</v>
      </c>
      <c r="B2673" s="590">
        <v>2368</v>
      </c>
      <c r="C2673" t="s">
        <v>31765</v>
      </c>
    </row>
    <row r="2674" spans="1:3">
      <c r="A2674" t="s">
        <v>31764</v>
      </c>
      <c r="B2674" s="590">
        <v>1698</v>
      </c>
      <c r="C2674" t="s">
        <v>31763</v>
      </c>
    </row>
    <row r="2675" spans="1:3">
      <c r="A2675" t="s">
        <v>31762</v>
      </c>
      <c r="B2675" s="590">
        <v>1698</v>
      </c>
      <c r="C2675" t="s">
        <v>31761</v>
      </c>
    </row>
    <row r="2676" spans="1:3">
      <c r="A2676" t="s">
        <v>31760</v>
      </c>
      <c r="B2676" s="590">
        <v>1698</v>
      </c>
      <c r="C2676" t="s">
        <v>31759</v>
      </c>
    </row>
    <row r="2677" spans="1:3">
      <c r="A2677" t="s">
        <v>31758</v>
      </c>
      <c r="B2677" s="590">
        <v>1785</v>
      </c>
      <c r="C2677" t="s">
        <v>31757</v>
      </c>
    </row>
    <row r="2678" spans="1:3">
      <c r="A2678" t="s">
        <v>31756</v>
      </c>
      <c r="B2678" s="590">
        <v>1698</v>
      </c>
      <c r="C2678" t="s">
        <v>31755</v>
      </c>
    </row>
    <row r="2679" spans="1:3">
      <c r="A2679" t="s">
        <v>31754</v>
      </c>
      <c r="B2679" s="590">
        <v>1698</v>
      </c>
      <c r="C2679" t="s">
        <v>31753</v>
      </c>
    </row>
    <row r="2680" spans="1:3">
      <c r="A2680" t="s">
        <v>31752</v>
      </c>
      <c r="B2680" s="590">
        <v>1785</v>
      </c>
      <c r="C2680" t="s">
        <v>31751</v>
      </c>
    </row>
    <row r="2681" spans="1:3">
      <c r="A2681" t="s">
        <v>31750</v>
      </c>
      <c r="B2681" s="590">
        <v>1698</v>
      </c>
      <c r="C2681" t="s">
        <v>31749</v>
      </c>
    </row>
    <row r="2682" spans="1:3">
      <c r="A2682" t="s">
        <v>31748</v>
      </c>
      <c r="B2682" s="590">
        <v>1698</v>
      </c>
      <c r="C2682" t="s">
        <v>31747</v>
      </c>
    </row>
    <row r="2683" spans="1:3">
      <c r="A2683" t="s">
        <v>31746</v>
      </c>
      <c r="B2683" s="590">
        <v>1698</v>
      </c>
      <c r="C2683" t="s">
        <v>31745</v>
      </c>
    </row>
    <row r="2684" spans="1:3">
      <c r="A2684" t="s">
        <v>31744</v>
      </c>
      <c r="B2684" s="590">
        <v>1698</v>
      </c>
      <c r="C2684" t="s">
        <v>31743</v>
      </c>
    </row>
    <row r="2685" spans="1:3">
      <c r="A2685" t="s">
        <v>31742</v>
      </c>
      <c r="B2685" s="590">
        <v>1698</v>
      </c>
      <c r="C2685" t="s">
        <v>31741</v>
      </c>
    </row>
    <row r="2686" spans="1:3">
      <c r="A2686" t="s">
        <v>31740</v>
      </c>
      <c r="B2686" s="590">
        <v>1698</v>
      </c>
      <c r="C2686" t="s">
        <v>31739</v>
      </c>
    </row>
    <row r="2687" spans="1:3">
      <c r="A2687" t="s">
        <v>31738</v>
      </c>
      <c r="B2687" s="590">
        <v>1698</v>
      </c>
      <c r="C2687" t="s">
        <v>31737</v>
      </c>
    </row>
    <row r="2688" spans="1:3">
      <c r="A2688" t="s">
        <v>31736</v>
      </c>
      <c r="B2688" s="590">
        <v>1785</v>
      </c>
      <c r="C2688" t="s">
        <v>31735</v>
      </c>
    </row>
    <row r="2689" spans="1:3">
      <c r="A2689" t="s">
        <v>31734</v>
      </c>
      <c r="B2689" s="590">
        <v>1698</v>
      </c>
      <c r="C2689" t="s">
        <v>31733</v>
      </c>
    </row>
    <row r="2690" spans="1:3">
      <c r="A2690" t="s">
        <v>31732</v>
      </c>
      <c r="B2690" s="590">
        <v>1785</v>
      </c>
      <c r="C2690" t="s">
        <v>31731</v>
      </c>
    </row>
    <row r="2691" spans="1:3">
      <c r="A2691" t="s">
        <v>31730</v>
      </c>
      <c r="B2691" s="590">
        <v>1872</v>
      </c>
      <c r="C2691" t="s">
        <v>31729</v>
      </c>
    </row>
    <row r="2692" spans="1:3">
      <c r="A2692" t="s">
        <v>31728</v>
      </c>
      <c r="B2692" s="590">
        <v>1698</v>
      </c>
      <c r="C2692" t="s">
        <v>31727</v>
      </c>
    </row>
    <row r="2693" spans="1:3">
      <c r="A2693" t="s">
        <v>31726</v>
      </c>
      <c r="B2693" s="590">
        <v>1698</v>
      </c>
      <c r="C2693" t="s">
        <v>31725</v>
      </c>
    </row>
    <row r="2694" spans="1:3">
      <c r="A2694" t="s">
        <v>31724</v>
      </c>
      <c r="B2694" s="590">
        <v>1698</v>
      </c>
      <c r="C2694" t="s">
        <v>31723</v>
      </c>
    </row>
    <row r="2695" spans="1:3">
      <c r="A2695" t="s">
        <v>31722</v>
      </c>
      <c r="B2695" s="590">
        <v>1698</v>
      </c>
      <c r="C2695" t="s">
        <v>31721</v>
      </c>
    </row>
    <row r="2696" spans="1:3">
      <c r="A2696" t="s">
        <v>31720</v>
      </c>
      <c r="B2696" s="590">
        <v>1698</v>
      </c>
      <c r="C2696" t="s">
        <v>31719</v>
      </c>
    </row>
    <row r="2697" spans="1:3">
      <c r="A2697" t="s">
        <v>31718</v>
      </c>
      <c r="B2697" s="590">
        <v>1698</v>
      </c>
      <c r="C2697" t="s">
        <v>31717</v>
      </c>
    </row>
    <row r="2698" spans="1:3">
      <c r="A2698" t="s">
        <v>31716</v>
      </c>
      <c r="B2698" s="590">
        <v>1698</v>
      </c>
      <c r="C2698" t="s">
        <v>31715</v>
      </c>
    </row>
    <row r="2699" spans="1:3">
      <c r="A2699" t="s">
        <v>31714</v>
      </c>
      <c r="B2699" s="590">
        <v>1698</v>
      </c>
      <c r="C2699" t="s">
        <v>31713</v>
      </c>
    </row>
    <row r="2700" spans="1:3">
      <c r="A2700" t="s">
        <v>31712</v>
      </c>
      <c r="B2700" s="590">
        <v>1785</v>
      </c>
      <c r="C2700" t="s">
        <v>31711</v>
      </c>
    </row>
    <row r="2701" spans="1:3">
      <c r="A2701" t="s">
        <v>31710</v>
      </c>
      <c r="B2701" s="590">
        <v>1698</v>
      </c>
      <c r="C2701" t="s">
        <v>31709</v>
      </c>
    </row>
    <row r="2702" spans="1:3">
      <c r="A2702" t="s">
        <v>31708</v>
      </c>
      <c r="B2702" s="590">
        <v>1698</v>
      </c>
      <c r="C2702" t="s">
        <v>31707</v>
      </c>
    </row>
    <row r="2703" spans="1:3">
      <c r="A2703" t="s">
        <v>31706</v>
      </c>
      <c r="B2703" s="590">
        <v>1698</v>
      </c>
      <c r="C2703" t="s">
        <v>31705</v>
      </c>
    </row>
    <row r="2704" spans="1:3">
      <c r="A2704" t="s">
        <v>31704</v>
      </c>
      <c r="B2704" s="590">
        <v>1698</v>
      </c>
      <c r="C2704" t="s">
        <v>31703</v>
      </c>
    </row>
    <row r="2705" spans="1:3">
      <c r="A2705" t="s">
        <v>31702</v>
      </c>
      <c r="B2705" s="590">
        <v>1698</v>
      </c>
      <c r="C2705" t="s">
        <v>31700</v>
      </c>
    </row>
    <row r="2706" spans="1:3">
      <c r="A2706" t="s">
        <v>31701</v>
      </c>
      <c r="B2706" s="590">
        <v>1698</v>
      </c>
      <c r="C2706" t="s">
        <v>31700</v>
      </c>
    </row>
    <row r="2707" spans="1:3">
      <c r="A2707" t="s">
        <v>31699</v>
      </c>
      <c r="B2707" s="590">
        <v>1698</v>
      </c>
      <c r="C2707" t="s">
        <v>31698</v>
      </c>
    </row>
    <row r="2708" spans="1:3">
      <c r="A2708" t="s">
        <v>31697</v>
      </c>
      <c r="B2708" s="590">
        <v>1698</v>
      </c>
      <c r="C2708" t="s">
        <v>31696</v>
      </c>
    </row>
    <row r="2709" spans="1:3">
      <c r="A2709" t="s">
        <v>31695</v>
      </c>
      <c r="B2709" s="590">
        <v>1823</v>
      </c>
      <c r="C2709" t="s">
        <v>31694</v>
      </c>
    </row>
    <row r="2710" spans="1:3">
      <c r="A2710" t="s">
        <v>31693</v>
      </c>
      <c r="B2710" s="590">
        <v>1823</v>
      </c>
      <c r="C2710" t="s">
        <v>31692</v>
      </c>
    </row>
    <row r="2711" spans="1:3">
      <c r="A2711" t="s">
        <v>31691</v>
      </c>
      <c r="B2711" s="590">
        <v>1823</v>
      </c>
      <c r="C2711" t="s">
        <v>31690</v>
      </c>
    </row>
    <row r="2712" spans="1:3">
      <c r="A2712" t="s">
        <v>31689</v>
      </c>
      <c r="B2712" s="590">
        <v>1823</v>
      </c>
      <c r="C2712" t="s">
        <v>31688</v>
      </c>
    </row>
    <row r="2713" spans="1:3">
      <c r="A2713" t="s">
        <v>31687</v>
      </c>
      <c r="B2713" s="590">
        <v>1911</v>
      </c>
      <c r="C2713" t="s">
        <v>31686</v>
      </c>
    </row>
    <row r="2714" spans="1:3">
      <c r="A2714" t="s">
        <v>31685</v>
      </c>
      <c r="B2714" s="590">
        <v>1823</v>
      </c>
      <c r="C2714" t="s">
        <v>31684</v>
      </c>
    </row>
    <row r="2715" spans="1:3">
      <c r="A2715" t="s">
        <v>31683</v>
      </c>
      <c r="B2715" s="590">
        <v>1823</v>
      </c>
      <c r="C2715" t="s">
        <v>31682</v>
      </c>
    </row>
    <row r="2716" spans="1:3">
      <c r="A2716" t="s">
        <v>31681</v>
      </c>
      <c r="B2716" s="590">
        <v>1823</v>
      </c>
      <c r="C2716" t="s">
        <v>31680</v>
      </c>
    </row>
    <row r="2717" spans="1:3">
      <c r="A2717" t="s">
        <v>31679</v>
      </c>
      <c r="B2717" s="590">
        <v>1823</v>
      </c>
      <c r="C2717" t="s">
        <v>31678</v>
      </c>
    </row>
    <row r="2718" spans="1:3">
      <c r="A2718" t="s">
        <v>31677</v>
      </c>
      <c r="B2718" s="590">
        <v>1823</v>
      </c>
      <c r="C2718" t="s">
        <v>31676</v>
      </c>
    </row>
    <row r="2719" spans="1:3">
      <c r="A2719" t="s">
        <v>29521</v>
      </c>
      <c r="B2719" s="590">
        <v>166</v>
      </c>
      <c r="C2719" t="s">
        <v>29520</v>
      </c>
    </row>
    <row r="2720" spans="1:3">
      <c r="A2720" t="s">
        <v>29519</v>
      </c>
      <c r="B2720" s="590">
        <v>166</v>
      </c>
      <c r="C2720" t="s">
        <v>29518</v>
      </c>
    </row>
    <row r="2721" spans="1:3">
      <c r="A2721" t="s">
        <v>29803</v>
      </c>
      <c r="B2721" s="590">
        <v>100</v>
      </c>
      <c r="C2721" t="s">
        <v>29802</v>
      </c>
    </row>
    <row r="2722" spans="1:3">
      <c r="A2722" t="s">
        <v>29801</v>
      </c>
      <c r="B2722" s="590">
        <v>100</v>
      </c>
      <c r="C2722" t="s">
        <v>29800</v>
      </c>
    </row>
    <row r="2723" spans="1:3">
      <c r="A2723" t="s">
        <v>29799</v>
      </c>
      <c r="B2723" s="590">
        <v>100</v>
      </c>
      <c r="C2723" t="s">
        <v>29798</v>
      </c>
    </row>
    <row r="2724" spans="1:3">
      <c r="A2724" t="s">
        <v>29797</v>
      </c>
      <c r="B2724" s="590">
        <v>124</v>
      </c>
      <c r="C2724" t="s">
        <v>29796</v>
      </c>
    </row>
    <row r="2725" spans="1:3">
      <c r="A2725" t="s">
        <v>29795</v>
      </c>
      <c r="B2725" s="590">
        <v>100</v>
      </c>
      <c r="C2725" t="s">
        <v>29794</v>
      </c>
    </row>
    <row r="2726" spans="1:3">
      <c r="A2726" t="s">
        <v>29589</v>
      </c>
      <c r="B2726" s="590">
        <v>147</v>
      </c>
      <c r="C2726" t="s">
        <v>29588</v>
      </c>
    </row>
    <row r="2727" spans="1:3">
      <c r="A2727" t="s">
        <v>29587</v>
      </c>
      <c r="B2727" s="590">
        <v>147</v>
      </c>
      <c r="C2727" t="s">
        <v>29586</v>
      </c>
    </row>
    <row r="2728" spans="1:3">
      <c r="A2728" t="s">
        <v>29585</v>
      </c>
      <c r="B2728" s="590">
        <v>147</v>
      </c>
      <c r="C2728" t="s">
        <v>29584</v>
      </c>
    </row>
    <row r="2729" spans="1:3">
      <c r="A2729" t="s">
        <v>29583</v>
      </c>
      <c r="B2729" s="590">
        <v>177</v>
      </c>
      <c r="C2729" t="s">
        <v>29582</v>
      </c>
    </row>
    <row r="2730" spans="1:3">
      <c r="A2730" t="s">
        <v>29581</v>
      </c>
      <c r="B2730" s="590">
        <v>147</v>
      </c>
      <c r="C2730" t="s">
        <v>29580</v>
      </c>
    </row>
    <row r="2731" spans="1:3">
      <c r="A2731" t="s">
        <v>29579</v>
      </c>
      <c r="B2731" s="590">
        <v>147</v>
      </c>
      <c r="C2731" t="s">
        <v>29578</v>
      </c>
    </row>
    <row r="2732" spans="1:3">
      <c r="A2732" t="s">
        <v>29577</v>
      </c>
      <c r="B2732" s="590">
        <v>177</v>
      </c>
      <c r="C2732" t="s">
        <v>29576</v>
      </c>
    </row>
    <row r="2733" spans="1:3">
      <c r="A2733" t="s">
        <v>29575</v>
      </c>
      <c r="B2733" s="590">
        <v>147</v>
      </c>
      <c r="C2733" t="s">
        <v>29574</v>
      </c>
    </row>
    <row r="2734" spans="1:3">
      <c r="A2734" t="s">
        <v>31675</v>
      </c>
      <c r="B2734" s="590">
        <v>187</v>
      </c>
      <c r="C2734" t="s">
        <v>31674</v>
      </c>
    </row>
    <row r="2735" spans="1:3">
      <c r="A2735" t="s">
        <v>31673</v>
      </c>
      <c r="B2735" s="590">
        <v>187</v>
      </c>
      <c r="C2735" t="s">
        <v>31672</v>
      </c>
    </row>
    <row r="2736" spans="1:3">
      <c r="A2736" t="s">
        <v>31671</v>
      </c>
      <c r="B2736" s="590">
        <v>359</v>
      </c>
      <c r="C2736" t="s">
        <v>31670</v>
      </c>
    </row>
    <row r="2737" spans="1:3">
      <c r="A2737" t="s">
        <v>31669</v>
      </c>
      <c r="B2737" s="590">
        <v>1576</v>
      </c>
      <c r="C2737" t="s">
        <v>31668</v>
      </c>
    </row>
    <row r="2738" spans="1:3">
      <c r="A2738" t="s">
        <v>27052</v>
      </c>
      <c r="B2738" s="590">
        <v>1576</v>
      </c>
      <c r="C2738" t="s">
        <v>31667</v>
      </c>
    </row>
    <row r="2739" spans="1:3">
      <c r="A2739" t="s">
        <v>31666</v>
      </c>
      <c r="B2739" s="590">
        <v>1576</v>
      </c>
      <c r="C2739" t="s">
        <v>31665</v>
      </c>
    </row>
    <row r="2740" spans="1:3">
      <c r="A2740" t="s">
        <v>31664</v>
      </c>
      <c r="B2740" s="590">
        <v>1576</v>
      </c>
      <c r="C2740" t="s">
        <v>31663</v>
      </c>
    </row>
    <row r="2741" spans="1:3">
      <c r="A2741" t="s">
        <v>31662</v>
      </c>
      <c r="B2741" s="590">
        <v>1576</v>
      </c>
      <c r="C2741" t="s">
        <v>31661</v>
      </c>
    </row>
    <row r="2742" spans="1:3">
      <c r="A2742" t="s">
        <v>31660</v>
      </c>
      <c r="B2742" s="590">
        <v>2164</v>
      </c>
      <c r="C2742" t="s">
        <v>31659</v>
      </c>
    </row>
    <row r="2743" spans="1:3">
      <c r="A2743" t="s">
        <v>31658</v>
      </c>
      <c r="B2743" s="590">
        <v>2164</v>
      </c>
      <c r="C2743" t="s">
        <v>31657</v>
      </c>
    </row>
    <row r="2744" spans="1:3">
      <c r="A2744" t="s">
        <v>31656</v>
      </c>
      <c r="B2744" s="590">
        <v>2164</v>
      </c>
      <c r="C2744" t="s">
        <v>31655</v>
      </c>
    </row>
    <row r="2745" spans="1:3">
      <c r="A2745" t="s">
        <v>31654</v>
      </c>
      <c r="B2745" s="590">
        <v>2164</v>
      </c>
      <c r="C2745" t="s">
        <v>31653</v>
      </c>
    </row>
    <row r="2746" spans="1:3">
      <c r="A2746" t="s">
        <v>31652</v>
      </c>
      <c r="B2746" s="590">
        <v>2164</v>
      </c>
      <c r="C2746" t="s">
        <v>31651</v>
      </c>
    </row>
    <row r="2747" spans="1:3">
      <c r="A2747" t="s">
        <v>31650</v>
      </c>
      <c r="B2747" s="590">
        <v>2164</v>
      </c>
      <c r="C2747" t="s">
        <v>31649</v>
      </c>
    </row>
    <row r="2748" spans="1:3">
      <c r="A2748" t="s">
        <v>31648</v>
      </c>
      <c r="B2748" s="590">
        <v>2164</v>
      </c>
      <c r="C2748" t="s">
        <v>31647</v>
      </c>
    </row>
    <row r="2749" spans="1:3">
      <c r="A2749" t="s">
        <v>31646</v>
      </c>
      <c r="B2749" s="590">
        <v>2164</v>
      </c>
      <c r="C2749" t="s">
        <v>31645</v>
      </c>
    </row>
    <row r="2750" spans="1:3">
      <c r="A2750" t="s">
        <v>31644</v>
      </c>
      <c r="B2750" s="590">
        <v>2164</v>
      </c>
      <c r="C2750" t="s">
        <v>31643</v>
      </c>
    </row>
    <row r="2751" spans="1:3">
      <c r="A2751" t="s">
        <v>31642</v>
      </c>
      <c r="B2751" s="590">
        <v>2164</v>
      </c>
      <c r="C2751" t="s">
        <v>31641</v>
      </c>
    </row>
    <row r="2752" spans="1:3">
      <c r="A2752" t="s">
        <v>31640</v>
      </c>
      <c r="B2752" s="590">
        <v>2164</v>
      </c>
      <c r="C2752" t="s">
        <v>31639</v>
      </c>
    </row>
    <row r="2753" spans="1:3">
      <c r="A2753" t="s">
        <v>31638</v>
      </c>
      <c r="B2753" s="590">
        <v>2164</v>
      </c>
      <c r="C2753" t="s">
        <v>31637</v>
      </c>
    </row>
    <row r="2754" spans="1:3">
      <c r="A2754" t="s">
        <v>31636</v>
      </c>
      <c r="B2754" s="590">
        <v>1494</v>
      </c>
      <c r="C2754" t="s">
        <v>31635</v>
      </c>
    </row>
    <row r="2755" spans="1:3">
      <c r="A2755" t="s">
        <v>31634</v>
      </c>
      <c r="B2755" s="590">
        <v>1494</v>
      </c>
      <c r="C2755" t="s">
        <v>31633</v>
      </c>
    </row>
    <row r="2756" spans="1:3">
      <c r="A2756" t="s">
        <v>31632</v>
      </c>
      <c r="B2756" s="590">
        <v>1494</v>
      </c>
      <c r="C2756" t="s">
        <v>31631</v>
      </c>
    </row>
    <row r="2757" spans="1:3">
      <c r="A2757" t="s">
        <v>31630</v>
      </c>
      <c r="B2757" s="590">
        <v>1494</v>
      </c>
      <c r="C2757" t="s">
        <v>31629</v>
      </c>
    </row>
    <row r="2758" spans="1:3">
      <c r="A2758" t="s">
        <v>31628</v>
      </c>
      <c r="B2758" s="590">
        <v>1622</v>
      </c>
      <c r="C2758" t="s">
        <v>31627</v>
      </c>
    </row>
    <row r="2759" spans="1:3">
      <c r="A2759" t="s">
        <v>31626</v>
      </c>
      <c r="B2759" s="590">
        <v>1494</v>
      </c>
      <c r="C2759" t="s">
        <v>31625</v>
      </c>
    </row>
    <row r="2760" spans="1:3">
      <c r="A2760" t="s">
        <v>31624</v>
      </c>
      <c r="B2760" s="590">
        <v>1494</v>
      </c>
      <c r="C2760" t="s">
        <v>31623</v>
      </c>
    </row>
    <row r="2761" spans="1:3">
      <c r="A2761" t="s">
        <v>31622</v>
      </c>
      <c r="B2761" s="590">
        <v>1494</v>
      </c>
      <c r="C2761" t="s">
        <v>31621</v>
      </c>
    </row>
    <row r="2762" spans="1:3">
      <c r="A2762" t="s">
        <v>31620</v>
      </c>
      <c r="B2762" s="590">
        <v>1494</v>
      </c>
      <c r="C2762" t="s">
        <v>31619</v>
      </c>
    </row>
    <row r="2763" spans="1:3">
      <c r="A2763" t="s">
        <v>31618</v>
      </c>
      <c r="B2763" s="590">
        <v>1622</v>
      </c>
      <c r="C2763" t="s">
        <v>31617</v>
      </c>
    </row>
    <row r="2764" spans="1:3">
      <c r="A2764" t="s">
        <v>31616</v>
      </c>
      <c r="B2764" s="590">
        <v>1494</v>
      </c>
      <c r="C2764" t="s">
        <v>31615</v>
      </c>
    </row>
    <row r="2765" spans="1:3">
      <c r="A2765" t="s">
        <v>31614</v>
      </c>
      <c r="B2765" s="590">
        <v>1494</v>
      </c>
      <c r="C2765" t="s">
        <v>31613</v>
      </c>
    </row>
    <row r="2766" spans="1:3">
      <c r="A2766" t="s">
        <v>31612</v>
      </c>
      <c r="B2766" s="590">
        <v>1494</v>
      </c>
      <c r="C2766" t="s">
        <v>31611</v>
      </c>
    </row>
    <row r="2767" spans="1:3">
      <c r="A2767" t="s">
        <v>27051</v>
      </c>
      <c r="B2767" s="590">
        <v>1494</v>
      </c>
      <c r="C2767" t="s">
        <v>31610</v>
      </c>
    </row>
    <row r="2768" spans="1:3">
      <c r="A2768" t="s">
        <v>31609</v>
      </c>
      <c r="B2768" s="590">
        <v>1494</v>
      </c>
      <c r="C2768" t="s">
        <v>31608</v>
      </c>
    </row>
    <row r="2769" spans="1:3">
      <c r="A2769" t="s">
        <v>31607</v>
      </c>
      <c r="B2769" s="590">
        <v>1494</v>
      </c>
      <c r="C2769" t="s">
        <v>31606</v>
      </c>
    </row>
    <row r="2770" spans="1:3">
      <c r="A2770" t="s">
        <v>31605</v>
      </c>
      <c r="B2770" s="590">
        <v>1494</v>
      </c>
      <c r="C2770" t="s">
        <v>31604</v>
      </c>
    </row>
    <row r="2771" spans="1:3">
      <c r="A2771" t="s">
        <v>31603</v>
      </c>
      <c r="B2771" s="590">
        <v>1494</v>
      </c>
      <c r="C2771" t="s">
        <v>31602</v>
      </c>
    </row>
    <row r="2772" spans="1:3">
      <c r="A2772" t="s">
        <v>31601</v>
      </c>
      <c r="B2772" s="590">
        <v>1494</v>
      </c>
      <c r="C2772" t="s">
        <v>31600</v>
      </c>
    </row>
    <row r="2773" spans="1:3">
      <c r="A2773" t="s">
        <v>31599</v>
      </c>
      <c r="B2773" s="590">
        <v>1494</v>
      </c>
      <c r="C2773" t="s">
        <v>31598</v>
      </c>
    </row>
    <row r="2774" spans="1:3">
      <c r="A2774" t="s">
        <v>31597</v>
      </c>
      <c r="B2774" s="590">
        <v>1622</v>
      </c>
      <c r="C2774" t="s">
        <v>31596</v>
      </c>
    </row>
    <row r="2775" spans="1:3">
      <c r="A2775" t="s">
        <v>31595</v>
      </c>
      <c r="B2775" s="590">
        <v>1747</v>
      </c>
      <c r="C2775" t="s">
        <v>31594</v>
      </c>
    </row>
    <row r="2776" spans="1:3">
      <c r="A2776" t="s">
        <v>31593</v>
      </c>
      <c r="B2776" s="590">
        <v>1494</v>
      </c>
      <c r="C2776" t="s">
        <v>31592</v>
      </c>
    </row>
    <row r="2777" spans="1:3">
      <c r="A2777" t="s">
        <v>31591</v>
      </c>
      <c r="B2777" s="590">
        <v>1494</v>
      </c>
      <c r="C2777" t="s">
        <v>31590</v>
      </c>
    </row>
    <row r="2778" spans="1:3">
      <c r="A2778" t="s">
        <v>31589</v>
      </c>
      <c r="B2778" s="590">
        <v>1494</v>
      </c>
      <c r="C2778" t="s">
        <v>31588</v>
      </c>
    </row>
    <row r="2779" spans="1:3">
      <c r="A2779" t="s">
        <v>31587</v>
      </c>
      <c r="B2779" s="590">
        <v>1494</v>
      </c>
      <c r="C2779" t="s">
        <v>31586</v>
      </c>
    </row>
    <row r="2780" spans="1:3">
      <c r="A2780" t="s">
        <v>31585</v>
      </c>
      <c r="B2780" s="590">
        <v>1494</v>
      </c>
      <c r="C2780" t="s">
        <v>31584</v>
      </c>
    </row>
    <row r="2781" spans="1:3">
      <c r="A2781" t="s">
        <v>31583</v>
      </c>
      <c r="B2781" s="590">
        <v>1494</v>
      </c>
      <c r="C2781" t="s">
        <v>31582</v>
      </c>
    </row>
    <row r="2782" spans="1:3">
      <c r="A2782" t="s">
        <v>31581</v>
      </c>
      <c r="B2782" s="590">
        <v>1494</v>
      </c>
      <c r="C2782" t="s">
        <v>31580</v>
      </c>
    </row>
    <row r="2783" spans="1:3">
      <c r="A2783" t="s">
        <v>31579</v>
      </c>
      <c r="B2783" s="590">
        <v>1494</v>
      </c>
      <c r="C2783" t="s">
        <v>31578</v>
      </c>
    </row>
    <row r="2784" spans="1:3">
      <c r="A2784" t="s">
        <v>31577</v>
      </c>
      <c r="B2784" s="590">
        <v>1494</v>
      </c>
      <c r="C2784" t="s">
        <v>31576</v>
      </c>
    </row>
    <row r="2785" spans="1:3">
      <c r="A2785" t="s">
        <v>31575</v>
      </c>
      <c r="B2785" s="590">
        <v>1494</v>
      </c>
      <c r="C2785" t="s">
        <v>31574</v>
      </c>
    </row>
    <row r="2786" spans="1:3">
      <c r="A2786" t="s">
        <v>31573</v>
      </c>
      <c r="B2786" s="590">
        <v>1494</v>
      </c>
      <c r="C2786" t="s">
        <v>31572</v>
      </c>
    </row>
    <row r="2787" spans="1:3">
      <c r="A2787" t="s">
        <v>31571</v>
      </c>
      <c r="B2787" s="590">
        <v>1494</v>
      </c>
      <c r="C2787" t="s">
        <v>31570</v>
      </c>
    </row>
    <row r="2788" spans="1:3">
      <c r="A2788" t="s">
        <v>31569</v>
      </c>
      <c r="B2788" s="590">
        <v>1494</v>
      </c>
      <c r="C2788" t="s">
        <v>31568</v>
      </c>
    </row>
    <row r="2789" spans="1:3">
      <c r="A2789" t="s">
        <v>31567</v>
      </c>
      <c r="B2789" s="590">
        <v>1494</v>
      </c>
      <c r="C2789" t="s">
        <v>31566</v>
      </c>
    </row>
    <row r="2790" spans="1:3">
      <c r="A2790" t="s">
        <v>31565</v>
      </c>
      <c r="B2790" s="590">
        <v>1494</v>
      </c>
      <c r="C2790" t="s">
        <v>31564</v>
      </c>
    </row>
    <row r="2791" spans="1:3">
      <c r="A2791" t="s">
        <v>31563</v>
      </c>
      <c r="B2791" s="590">
        <v>1494</v>
      </c>
      <c r="C2791" t="s">
        <v>31562</v>
      </c>
    </row>
    <row r="2792" spans="1:3">
      <c r="A2792" t="s">
        <v>31561</v>
      </c>
      <c r="B2792" s="590">
        <v>1494</v>
      </c>
      <c r="C2792" t="s">
        <v>31560</v>
      </c>
    </row>
    <row r="2793" spans="1:3">
      <c r="A2793" t="s">
        <v>31559</v>
      </c>
      <c r="B2793" s="590">
        <v>1618</v>
      </c>
      <c r="C2793" t="s">
        <v>31558</v>
      </c>
    </row>
    <row r="2794" spans="1:3">
      <c r="A2794" t="s">
        <v>31557</v>
      </c>
      <c r="B2794" s="590">
        <v>1618</v>
      </c>
      <c r="C2794" t="s">
        <v>31556</v>
      </c>
    </row>
    <row r="2795" spans="1:3">
      <c r="A2795" t="s">
        <v>31555</v>
      </c>
      <c r="B2795" s="590">
        <v>1618</v>
      </c>
      <c r="C2795" t="s">
        <v>31554</v>
      </c>
    </row>
    <row r="2796" spans="1:3">
      <c r="A2796" t="s">
        <v>31553</v>
      </c>
      <c r="B2796" s="590">
        <v>1618</v>
      </c>
      <c r="C2796" t="s">
        <v>31552</v>
      </c>
    </row>
    <row r="2797" spans="1:3">
      <c r="A2797" t="s">
        <v>31551</v>
      </c>
      <c r="B2797" s="590">
        <v>1618</v>
      </c>
      <c r="C2797" t="s">
        <v>31550</v>
      </c>
    </row>
    <row r="2798" spans="1:3">
      <c r="A2798" t="s">
        <v>31549</v>
      </c>
      <c r="B2798" s="590">
        <v>1618</v>
      </c>
      <c r="C2798" t="s">
        <v>31548</v>
      </c>
    </row>
    <row r="2799" spans="1:3">
      <c r="A2799" t="s">
        <v>31547</v>
      </c>
      <c r="B2799" s="590">
        <v>1618</v>
      </c>
      <c r="C2799" t="s">
        <v>31546</v>
      </c>
    </row>
    <row r="2800" spans="1:3">
      <c r="A2800" t="s">
        <v>31545</v>
      </c>
      <c r="B2800" s="590">
        <v>1618</v>
      </c>
      <c r="C2800" t="s">
        <v>31544</v>
      </c>
    </row>
    <row r="2801" spans="1:3">
      <c r="A2801" t="s">
        <v>28042</v>
      </c>
      <c r="B2801" s="590">
        <v>144</v>
      </c>
      <c r="C2801" t="s">
        <v>28041</v>
      </c>
    </row>
    <row r="2802" spans="1:3">
      <c r="A2802" t="s">
        <v>28040</v>
      </c>
      <c r="B2802" s="590">
        <v>144</v>
      </c>
      <c r="C2802" t="s">
        <v>28039</v>
      </c>
    </row>
    <row r="2803" spans="1:3">
      <c r="A2803" t="s">
        <v>28038</v>
      </c>
      <c r="B2803" s="590">
        <v>144</v>
      </c>
      <c r="C2803" t="s">
        <v>28037</v>
      </c>
    </row>
    <row r="2804" spans="1:3">
      <c r="A2804" t="s">
        <v>28036</v>
      </c>
      <c r="B2804" s="590">
        <v>181</v>
      </c>
      <c r="C2804" t="s">
        <v>28035</v>
      </c>
    </row>
    <row r="2805" spans="1:3">
      <c r="A2805" t="s">
        <v>28034</v>
      </c>
      <c r="B2805" s="590">
        <v>144</v>
      </c>
      <c r="C2805" t="s">
        <v>28033</v>
      </c>
    </row>
    <row r="2806" spans="1:3">
      <c r="A2806" t="s">
        <v>28778</v>
      </c>
      <c r="B2806" s="590">
        <v>201</v>
      </c>
      <c r="C2806" t="s">
        <v>28777</v>
      </c>
    </row>
    <row r="2807" spans="1:3">
      <c r="A2807" t="s">
        <v>28776</v>
      </c>
      <c r="B2807" s="590">
        <v>201</v>
      </c>
      <c r="C2807" t="s">
        <v>28775</v>
      </c>
    </row>
    <row r="2808" spans="1:3">
      <c r="A2808" t="s">
        <v>28774</v>
      </c>
      <c r="B2808" s="590">
        <v>201</v>
      </c>
      <c r="C2808" t="s">
        <v>28773</v>
      </c>
    </row>
    <row r="2809" spans="1:3">
      <c r="A2809" t="s">
        <v>28772</v>
      </c>
      <c r="B2809" s="590">
        <v>240</v>
      </c>
      <c r="C2809" t="s">
        <v>28771</v>
      </c>
    </row>
    <row r="2810" spans="1:3">
      <c r="A2810" t="s">
        <v>28770</v>
      </c>
      <c r="B2810" s="590">
        <v>201</v>
      </c>
      <c r="C2810" t="s">
        <v>28769</v>
      </c>
    </row>
    <row r="2811" spans="1:3">
      <c r="A2811" t="s">
        <v>28768</v>
      </c>
      <c r="B2811" s="590">
        <v>201</v>
      </c>
      <c r="C2811" t="s">
        <v>28767</v>
      </c>
    </row>
    <row r="2812" spans="1:3">
      <c r="A2812" t="s">
        <v>28766</v>
      </c>
      <c r="B2812" s="590">
        <v>240</v>
      </c>
      <c r="C2812" t="s">
        <v>28765</v>
      </c>
    </row>
    <row r="2813" spans="1:3">
      <c r="A2813" t="s">
        <v>28764</v>
      </c>
      <c r="B2813" s="590">
        <v>201</v>
      </c>
      <c r="C2813" t="s">
        <v>28763</v>
      </c>
    </row>
    <row r="2814" spans="1:3">
      <c r="A2814" t="s">
        <v>28678</v>
      </c>
      <c r="B2814" s="590">
        <v>166</v>
      </c>
      <c r="C2814" t="s">
        <v>28677</v>
      </c>
    </row>
    <row r="2815" spans="1:3">
      <c r="A2815" t="s">
        <v>28674</v>
      </c>
      <c r="B2815" s="590">
        <v>166</v>
      </c>
      <c r="C2815" t="s">
        <v>28673</v>
      </c>
    </row>
    <row r="2816" spans="1:3">
      <c r="A2816" t="s">
        <v>31543</v>
      </c>
      <c r="B2816" s="590">
        <v>187</v>
      </c>
      <c r="C2816" t="s">
        <v>31542</v>
      </c>
    </row>
    <row r="2817" spans="1:3">
      <c r="A2817" t="s">
        <v>31541</v>
      </c>
      <c r="B2817" s="590">
        <v>187</v>
      </c>
      <c r="C2817" t="s">
        <v>31540</v>
      </c>
    </row>
    <row r="2818" spans="1:3">
      <c r="A2818" t="s">
        <v>31539</v>
      </c>
      <c r="B2818" s="590">
        <v>359</v>
      </c>
      <c r="C2818" t="s">
        <v>31538</v>
      </c>
    </row>
    <row r="2819" spans="1:3">
      <c r="A2819" t="s">
        <v>31537</v>
      </c>
      <c r="B2819" s="590">
        <v>617</v>
      </c>
      <c r="C2819" t="s">
        <v>31527</v>
      </c>
    </row>
    <row r="2820" spans="1:3">
      <c r="A2820" t="s">
        <v>31536</v>
      </c>
      <c r="B2820" s="590">
        <v>617</v>
      </c>
      <c r="C2820" t="s">
        <v>31535</v>
      </c>
    </row>
    <row r="2821" spans="1:3">
      <c r="A2821" t="s">
        <v>31534</v>
      </c>
      <c r="B2821" s="590">
        <v>617</v>
      </c>
      <c r="C2821" t="s">
        <v>31533</v>
      </c>
    </row>
    <row r="2822" spans="1:3">
      <c r="A2822" t="s">
        <v>31532</v>
      </c>
      <c r="B2822" s="590">
        <v>729</v>
      </c>
      <c r="C2822" t="s">
        <v>31531</v>
      </c>
    </row>
    <row r="2823" spans="1:3">
      <c r="A2823" t="s">
        <v>31530</v>
      </c>
      <c r="B2823" s="590">
        <v>617</v>
      </c>
      <c r="C2823" t="s">
        <v>31529</v>
      </c>
    </row>
    <row r="2824" spans="1:3">
      <c r="A2824" t="s">
        <v>31528</v>
      </c>
      <c r="B2824" s="590">
        <v>617</v>
      </c>
      <c r="C2824" t="s">
        <v>31527</v>
      </c>
    </row>
    <row r="2825" spans="1:3">
      <c r="A2825" t="s">
        <v>31526</v>
      </c>
      <c r="B2825" s="590">
        <v>617</v>
      </c>
      <c r="C2825" t="s">
        <v>31525</v>
      </c>
    </row>
    <row r="2826" spans="1:3">
      <c r="A2826" t="s">
        <v>31524</v>
      </c>
      <c r="B2826" s="590">
        <v>647</v>
      </c>
      <c r="C2826" t="s">
        <v>31523</v>
      </c>
    </row>
    <row r="2827" spans="1:3">
      <c r="A2827" t="s">
        <v>31522</v>
      </c>
      <c r="B2827" s="590">
        <v>647</v>
      </c>
      <c r="C2827" t="s">
        <v>31521</v>
      </c>
    </row>
    <row r="2828" spans="1:3">
      <c r="A2828" t="s">
        <v>31520</v>
      </c>
      <c r="B2828" s="590">
        <v>647</v>
      </c>
      <c r="C2828" t="s">
        <v>31519</v>
      </c>
    </row>
    <row r="2829" spans="1:3">
      <c r="A2829" t="s">
        <v>31518</v>
      </c>
      <c r="B2829" s="590">
        <v>826</v>
      </c>
      <c r="C2829" t="s">
        <v>31517</v>
      </c>
    </row>
    <row r="2830" spans="1:3">
      <c r="A2830" t="s">
        <v>31516</v>
      </c>
      <c r="B2830" s="590">
        <v>647</v>
      </c>
      <c r="C2830" t="s">
        <v>31515</v>
      </c>
    </row>
    <row r="2831" spans="1:3">
      <c r="A2831" t="s">
        <v>31514</v>
      </c>
      <c r="B2831" s="590">
        <v>647</v>
      </c>
      <c r="C2831" t="s">
        <v>31513</v>
      </c>
    </row>
    <row r="2832" spans="1:3">
      <c r="A2832" t="s">
        <v>31512</v>
      </c>
      <c r="B2832" s="590">
        <v>676</v>
      </c>
      <c r="C2832" t="s">
        <v>31511</v>
      </c>
    </row>
    <row r="2833" spans="1:3">
      <c r="A2833" t="s">
        <v>31510</v>
      </c>
      <c r="B2833" s="590">
        <v>676</v>
      </c>
      <c r="C2833" t="s">
        <v>31509</v>
      </c>
    </row>
    <row r="2834" spans="1:3">
      <c r="A2834" t="s">
        <v>31508</v>
      </c>
      <c r="B2834" s="590">
        <v>676</v>
      </c>
      <c r="C2834" t="s">
        <v>31507</v>
      </c>
    </row>
    <row r="2835" spans="1:3">
      <c r="A2835" t="s">
        <v>31506</v>
      </c>
      <c r="B2835" s="590">
        <v>855</v>
      </c>
      <c r="C2835" t="s">
        <v>31505</v>
      </c>
    </row>
    <row r="2836" spans="1:3">
      <c r="A2836" t="s">
        <v>31504</v>
      </c>
      <c r="B2836" s="590">
        <v>676</v>
      </c>
      <c r="C2836" t="s">
        <v>31503</v>
      </c>
    </row>
    <row r="2837" spans="1:3">
      <c r="A2837" t="s">
        <v>31502</v>
      </c>
      <c r="B2837" s="590">
        <v>676</v>
      </c>
      <c r="C2837" t="s">
        <v>31501</v>
      </c>
    </row>
    <row r="2838" spans="1:3">
      <c r="A2838" t="s">
        <v>31500</v>
      </c>
      <c r="B2838" s="590">
        <v>795</v>
      </c>
      <c r="C2838" t="s">
        <v>31485</v>
      </c>
    </row>
    <row r="2839" spans="1:3">
      <c r="A2839" t="s">
        <v>31499</v>
      </c>
      <c r="B2839" s="590">
        <v>795</v>
      </c>
      <c r="C2839" t="s">
        <v>31483</v>
      </c>
    </row>
    <row r="2840" spans="1:3">
      <c r="A2840" t="s">
        <v>31498</v>
      </c>
      <c r="B2840" s="590">
        <v>795</v>
      </c>
      <c r="C2840" t="s">
        <v>31481</v>
      </c>
    </row>
    <row r="2841" spans="1:3">
      <c r="A2841" t="s">
        <v>31497</v>
      </c>
      <c r="B2841" s="590">
        <v>853</v>
      </c>
      <c r="C2841" t="s">
        <v>27126</v>
      </c>
    </row>
    <row r="2842" spans="1:3">
      <c r="A2842" t="s">
        <v>31496</v>
      </c>
      <c r="B2842" s="590">
        <v>795</v>
      </c>
      <c r="C2842" t="s">
        <v>31479</v>
      </c>
    </row>
    <row r="2843" spans="1:3">
      <c r="A2843" t="s">
        <v>31495</v>
      </c>
      <c r="B2843" s="590">
        <v>795</v>
      </c>
      <c r="C2843" t="s">
        <v>31485</v>
      </c>
    </row>
    <row r="2844" spans="1:3">
      <c r="A2844" t="s">
        <v>31494</v>
      </c>
      <c r="B2844" s="590">
        <v>989</v>
      </c>
      <c r="C2844" t="s">
        <v>31493</v>
      </c>
    </row>
    <row r="2845" spans="1:3">
      <c r="A2845" t="s">
        <v>31492</v>
      </c>
      <c r="B2845" s="590">
        <v>826</v>
      </c>
      <c r="C2845" t="s">
        <v>31477</v>
      </c>
    </row>
    <row r="2846" spans="1:3">
      <c r="A2846" t="s">
        <v>31491</v>
      </c>
      <c r="B2846" s="590">
        <v>826</v>
      </c>
      <c r="C2846" t="s">
        <v>31475</v>
      </c>
    </row>
    <row r="2847" spans="1:3">
      <c r="A2847" t="s">
        <v>31490</v>
      </c>
      <c r="B2847" s="590">
        <v>826</v>
      </c>
      <c r="C2847" t="s">
        <v>31471</v>
      </c>
    </row>
    <row r="2848" spans="1:3">
      <c r="A2848" t="s">
        <v>31489</v>
      </c>
      <c r="B2848" s="590">
        <v>854</v>
      </c>
      <c r="C2848" t="s">
        <v>31469</v>
      </c>
    </row>
    <row r="2849" spans="1:3">
      <c r="A2849" t="s">
        <v>31488</v>
      </c>
      <c r="B2849" s="590">
        <v>854</v>
      </c>
      <c r="C2849" t="s">
        <v>31467</v>
      </c>
    </row>
    <row r="2850" spans="1:3">
      <c r="A2850" t="s">
        <v>31487</v>
      </c>
      <c r="B2850" s="590">
        <v>854</v>
      </c>
      <c r="C2850" t="s">
        <v>31465</v>
      </c>
    </row>
    <row r="2851" spans="1:3">
      <c r="A2851" t="s">
        <v>27323</v>
      </c>
      <c r="B2851" s="590">
        <v>795</v>
      </c>
      <c r="C2851" t="s">
        <v>27322</v>
      </c>
    </row>
    <row r="2852" spans="1:3">
      <c r="A2852" t="s">
        <v>31486</v>
      </c>
      <c r="B2852" s="590">
        <v>888</v>
      </c>
      <c r="C2852" t="s">
        <v>31485</v>
      </c>
    </row>
    <row r="2853" spans="1:3">
      <c r="A2853" t="s">
        <v>31484</v>
      </c>
      <c r="B2853" s="590">
        <v>888</v>
      </c>
      <c r="C2853" t="s">
        <v>31483</v>
      </c>
    </row>
    <row r="2854" spans="1:3">
      <c r="A2854" t="s">
        <v>31482</v>
      </c>
      <c r="B2854" s="590">
        <v>888</v>
      </c>
      <c r="C2854" t="s">
        <v>31481</v>
      </c>
    </row>
    <row r="2855" spans="1:3">
      <c r="A2855" t="s">
        <v>27127</v>
      </c>
      <c r="B2855" s="590">
        <v>1096</v>
      </c>
      <c r="C2855" t="s">
        <v>27126</v>
      </c>
    </row>
    <row r="2856" spans="1:3">
      <c r="A2856" t="s">
        <v>31480</v>
      </c>
      <c r="B2856" s="590">
        <v>888</v>
      </c>
      <c r="C2856" t="s">
        <v>31479</v>
      </c>
    </row>
    <row r="2857" spans="1:3">
      <c r="A2857" t="s">
        <v>31478</v>
      </c>
      <c r="B2857" s="590">
        <v>920</v>
      </c>
      <c r="C2857" t="s">
        <v>31477</v>
      </c>
    </row>
    <row r="2858" spans="1:3">
      <c r="A2858" t="s">
        <v>31476</v>
      </c>
      <c r="B2858" s="590">
        <v>920</v>
      </c>
      <c r="C2858" t="s">
        <v>31475</v>
      </c>
    </row>
    <row r="2859" spans="1:3">
      <c r="A2859" t="s">
        <v>31474</v>
      </c>
      <c r="B2859" s="590">
        <v>920</v>
      </c>
      <c r="C2859" t="s">
        <v>31473</v>
      </c>
    </row>
    <row r="2860" spans="1:3">
      <c r="A2860" t="s">
        <v>31472</v>
      </c>
      <c r="B2860" s="590">
        <v>920</v>
      </c>
      <c r="C2860" t="s">
        <v>31471</v>
      </c>
    </row>
    <row r="2861" spans="1:3">
      <c r="A2861" t="s">
        <v>31470</v>
      </c>
      <c r="B2861" s="590">
        <v>944</v>
      </c>
      <c r="C2861" t="s">
        <v>31469</v>
      </c>
    </row>
    <row r="2862" spans="1:3">
      <c r="A2862" t="s">
        <v>31468</v>
      </c>
      <c r="B2862" s="590">
        <v>944</v>
      </c>
      <c r="C2862" t="s">
        <v>31467</v>
      </c>
    </row>
    <row r="2863" spans="1:3">
      <c r="A2863" t="s">
        <v>31466</v>
      </c>
      <c r="B2863" s="590">
        <v>944</v>
      </c>
      <c r="C2863" t="s">
        <v>31465</v>
      </c>
    </row>
    <row r="2864" spans="1:3">
      <c r="A2864" t="s">
        <v>31464</v>
      </c>
      <c r="B2864" s="590">
        <v>1415</v>
      </c>
      <c r="C2864" t="s">
        <v>31463</v>
      </c>
    </row>
    <row r="2865" spans="1:3">
      <c r="A2865" t="s">
        <v>31462</v>
      </c>
      <c r="B2865" s="590">
        <v>35</v>
      </c>
      <c r="C2865" t="s">
        <v>31461</v>
      </c>
    </row>
    <row r="2866" spans="1:3">
      <c r="A2866" t="s">
        <v>31460</v>
      </c>
      <c r="B2866" s="590">
        <v>1601</v>
      </c>
      <c r="C2866" t="s">
        <v>31459</v>
      </c>
    </row>
    <row r="2867" spans="1:3">
      <c r="A2867" t="s">
        <v>31458</v>
      </c>
      <c r="B2867" s="590">
        <v>1601</v>
      </c>
      <c r="C2867" t="s">
        <v>31457</v>
      </c>
    </row>
    <row r="2868" spans="1:3">
      <c r="A2868" t="s">
        <v>31456</v>
      </c>
      <c r="B2868" s="590">
        <v>1601</v>
      </c>
      <c r="C2868" t="s">
        <v>31455</v>
      </c>
    </row>
    <row r="2869" spans="1:3">
      <c r="A2869" t="s">
        <v>31454</v>
      </c>
      <c r="B2869" s="590">
        <v>1631</v>
      </c>
      <c r="C2869" t="s">
        <v>31453</v>
      </c>
    </row>
    <row r="2870" spans="1:3">
      <c r="A2870" t="s">
        <v>31452</v>
      </c>
      <c r="B2870" s="590">
        <v>1631</v>
      </c>
      <c r="C2870" t="s">
        <v>31451</v>
      </c>
    </row>
    <row r="2871" spans="1:3">
      <c r="A2871" t="s">
        <v>31450</v>
      </c>
      <c r="B2871" s="590">
        <v>1631</v>
      </c>
      <c r="C2871" t="s">
        <v>31449</v>
      </c>
    </row>
    <row r="2872" spans="1:3">
      <c r="A2872" t="s">
        <v>31448</v>
      </c>
      <c r="B2872" s="590">
        <v>1661</v>
      </c>
      <c r="C2872" t="s">
        <v>31447</v>
      </c>
    </row>
    <row r="2873" spans="1:3">
      <c r="A2873" t="s">
        <v>31446</v>
      </c>
      <c r="B2873" s="590">
        <v>1661</v>
      </c>
      <c r="C2873" t="s">
        <v>31445</v>
      </c>
    </row>
    <row r="2874" spans="1:3">
      <c r="A2874" t="s">
        <v>31444</v>
      </c>
      <c r="B2874" s="590">
        <v>1661</v>
      </c>
      <c r="C2874" t="s">
        <v>31443</v>
      </c>
    </row>
    <row r="2875" spans="1:3">
      <c r="A2875" t="s">
        <v>31442</v>
      </c>
      <c r="B2875" s="590">
        <v>66</v>
      </c>
      <c r="C2875" t="s">
        <v>31441</v>
      </c>
    </row>
    <row r="2876" spans="1:3">
      <c r="A2876" t="s">
        <v>31440</v>
      </c>
      <c r="B2876" s="590">
        <v>20</v>
      </c>
      <c r="C2876" t="s">
        <v>31439</v>
      </c>
    </row>
    <row r="2877" spans="1:3">
      <c r="A2877" t="s">
        <v>31438</v>
      </c>
      <c r="B2877" s="590">
        <v>1989</v>
      </c>
      <c r="C2877" t="s">
        <v>31437</v>
      </c>
    </row>
    <row r="2878" spans="1:3">
      <c r="A2878" t="s">
        <v>31436</v>
      </c>
      <c r="B2878" s="590">
        <v>1989</v>
      </c>
      <c r="C2878" t="s">
        <v>31435</v>
      </c>
    </row>
    <row r="2879" spans="1:3">
      <c r="A2879" t="s">
        <v>31434</v>
      </c>
      <c r="B2879" s="590">
        <v>1989</v>
      </c>
      <c r="C2879" t="s">
        <v>31433</v>
      </c>
    </row>
    <row r="2880" spans="1:3">
      <c r="A2880" t="s">
        <v>31432</v>
      </c>
      <c r="B2880" s="590">
        <v>1989</v>
      </c>
      <c r="C2880" t="s">
        <v>31431</v>
      </c>
    </row>
    <row r="2881" spans="1:3">
      <c r="A2881" t="s">
        <v>31430</v>
      </c>
      <c r="B2881" s="590">
        <v>1989</v>
      </c>
      <c r="C2881" t="s">
        <v>31429</v>
      </c>
    </row>
    <row r="2882" spans="1:3">
      <c r="A2882" t="s">
        <v>31428</v>
      </c>
      <c r="B2882" s="590">
        <v>1989</v>
      </c>
      <c r="C2882" t="s">
        <v>31427</v>
      </c>
    </row>
    <row r="2883" spans="1:3">
      <c r="A2883" t="s">
        <v>31426</v>
      </c>
      <c r="B2883" s="590">
        <v>2244</v>
      </c>
      <c r="C2883" t="s">
        <v>31425</v>
      </c>
    </row>
    <row r="2884" spans="1:3">
      <c r="A2884" t="s">
        <v>31424</v>
      </c>
      <c r="B2884" s="590">
        <v>2244</v>
      </c>
      <c r="C2884" t="s">
        <v>31423</v>
      </c>
    </row>
    <row r="2885" spans="1:3">
      <c r="A2885" t="s">
        <v>31422</v>
      </c>
      <c r="B2885" s="590">
        <v>2239</v>
      </c>
      <c r="C2885" t="s">
        <v>31421</v>
      </c>
    </row>
    <row r="2886" spans="1:3">
      <c r="A2886" t="s">
        <v>31420</v>
      </c>
      <c r="B2886" s="590">
        <v>2239</v>
      </c>
      <c r="C2886" t="s">
        <v>31419</v>
      </c>
    </row>
    <row r="2887" spans="1:3">
      <c r="A2887" t="s">
        <v>31418</v>
      </c>
      <c r="B2887" s="590">
        <v>2239</v>
      </c>
      <c r="C2887" t="s">
        <v>31417</v>
      </c>
    </row>
    <row r="2888" spans="1:3">
      <c r="A2888" t="s">
        <v>31416</v>
      </c>
      <c r="B2888" s="590">
        <v>2239</v>
      </c>
      <c r="C2888" t="s">
        <v>31415</v>
      </c>
    </row>
    <row r="2889" spans="1:3">
      <c r="A2889" t="s">
        <v>31414</v>
      </c>
      <c r="B2889" s="590">
        <v>2239</v>
      </c>
      <c r="C2889" t="s">
        <v>31413</v>
      </c>
    </row>
    <row r="2890" spans="1:3">
      <c r="A2890" t="s">
        <v>31412</v>
      </c>
      <c r="B2890" s="590">
        <v>2239</v>
      </c>
      <c r="C2890" t="s">
        <v>31411</v>
      </c>
    </row>
    <row r="2891" spans="1:3">
      <c r="A2891" t="s">
        <v>31410</v>
      </c>
      <c r="B2891" s="590">
        <v>2493</v>
      </c>
      <c r="C2891" t="s">
        <v>31409</v>
      </c>
    </row>
    <row r="2892" spans="1:3">
      <c r="A2892" t="s">
        <v>31408</v>
      </c>
      <c r="B2892" s="590">
        <v>2493</v>
      </c>
      <c r="C2892" t="s">
        <v>31407</v>
      </c>
    </row>
    <row r="2893" spans="1:3">
      <c r="A2893" t="s">
        <v>30105</v>
      </c>
      <c r="B2893" s="590">
        <v>298</v>
      </c>
      <c r="C2893" t="s">
        <v>30104</v>
      </c>
    </row>
    <row r="2894" spans="1:3">
      <c r="A2894" t="s">
        <v>30103</v>
      </c>
      <c r="B2894" s="590">
        <v>298</v>
      </c>
      <c r="C2894" t="s">
        <v>30102</v>
      </c>
    </row>
    <row r="2895" spans="1:3">
      <c r="A2895" t="s">
        <v>30101</v>
      </c>
      <c r="B2895" s="590">
        <v>298</v>
      </c>
      <c r="C2895" t="s">
        <v>30100</v>
      </c>
    </row>
    <row r="2896" spans="1:3">
      <c r="A2896" t="s">
        <v>30099</v>
      </c>
      <c r="B2896" s="590">
        <v>329</v>
      </c>
      <c r="C2896" t="s">
        <v>30098</v>
      </c>
    </row>
    <row r="2897" spans="1:3">
      <c r="A2897" t="s">
        <v>30097</v>
      </c>
      <c r="B2897" s="590">
        <v>298</v>
      </c>
      <c r="C2897" t="s">
        <v>30096</v>
      </c>
    </row>
    <row r="2898" spans="1:3">
      <c r="A2898" t="s">
        <v>30085</v>
      </c>
      <c r="B2898" s="590">
        <v>298</v>
      </c>
      <c r="C2898" t="s">
        <v>30084</v>
      </c>
    </row>
    <row r="2899" spans="1:3">
      <c r="A2899" t="s">
        <v>30083</v>
      </c>
      <c r="B2899" s="590">
        <v>298</v>
      </c>
      <c r="C2899" t="s">
        <v>30082</v>
      </c>
    </row>
    <row r="2900" spans="1:3">
      <c r="A2900" t="s">
        <v>30081</v>
      </c>
      <c r="B2900" s="590">
        <v>298</v>
      </c>
      <c r="C2900" t="s">
        <v>30080</v>
      </c>
    </row>
    <row r="2901" spans="1:3">
      <c r="A2901" t="s">
        <v>30079</v>
      </c>
      <c r="B2901" s="590">
        <v>313</v>
      </c>
      <c r="C2901" t="s">
        <v>30078</v>
      </c>
    </row>
    <row r="2902" spans="1:3">
      <c r="A2902" t="s">
        <v>30077</v>
      </c>
      <c r="B2902" s="590">
        <v>298</v>
      </c>
      <c r="C2902" t="s">
        <v>30076</v>
      </c>
    </row>
    <row r="2903" spans="1:3">
      <c r="A2903" t="s">
        <v>30075</v>
      </c>
      <c r="B2903" s="590">
        <v>298</v>
      </c>
      <c r="C2903" t="s">
        <v>30074</v>
      </c>
    </row>
    <row r="2904" spans="1:3">
      <c r="A2904" t="s">
        <v>30073</v>
      </c>
      <c r="B2904" s="590">
        <v>313</v>
      </c>
      <c r="C2904" t="s">
        <v>30072</v>
      </c>
    </row>
    <row r="2905" spans="1:3">
      <c r="A2905" t="s">
        <v>30071</v>
      </c>
      <c r="B2905" s="590">
        <v>298</v>
      </c>
      <c r="C2905" t="s">
        <v>30070</v>
      </c>
    </row>
    <row r="2906" spans="1:3">
      <c r="A2906" t="s">
        <v>31256</v>
      </c>
      <c r="B2906" s="590">
        <v>282</v>
      </c>
      <c r="C2906" t="s">
        <v>31255</v>
      </c>
    </row>
    <row r="2907" spans="1:3">
      <c r="A2907" t="s">
        <v>31260</v>
      </c>
      <c r="B2907" s="590">
        <v>214</v>
      </c>
      <c r="C2907" t="s">
        <v>31259</v>
      </c>
    </row>
    <row r="2908" spans="1:3">
      <c r="A2908" t="s">
        <v>31258</v>
      </c>
      <c r="B2908" s="590">
        <v>282</v>
      </c>
      <c r="C2908" t="s">
        <v>31257</v>
      </c>
    </row>
    <row r="2909" spans="1:3">
      <c r="A2909" t="s">
        <v>30049</v>
      </c>
      <c r="B2909" s="590">
        <v>211</v>
      </c>
      <c r="C2909" t="s">
        <v>30048</v>
      </c>
    </row>
    <row r="2910" spans="1:3">
      <c r="A2910" t="s">
        <v>30047</v>
      </c>
      <c r="B2910" s="590">
        <v>211</v>
      </c>
      <c r="C2910" t="s">
        <v>30046</v>
      </c>
    </row>
    <row r="2911" spans="1:3">
      <c r="A2911" t="s">
        <v>30045</v>
      </c>
      <c r="B2911" s="590">
        <v>211</v>
      </c>
      <c r="C2911" t="s">
        <v>30044</v>
      </c>
    </row>
    <row r="2912" spans="1:3">
      <c r="A2912" t="s">
        <v>30043</v>
      </c>
      <c r="B2912" s="590">
        <v>227</v>
      </c>
      <c r="C2912" t="s">
        <v>30042</v>
      </c>
    </row>
    <row r="2913" spans="1:3">
      <c r="A2913" t="s">
        <v>30041</v>
      </c>
      <c r="B2913" s="590">
        <v>211</v>
      </c>
      <c r="C2913" t="s">
        <v>30040</v>
      </c>
    </row>
    <row r="2914" spans="1:3">
      <c r="A2914" t="s">
        <v>31406</v>
      </c>
      <c r="B2914" s="590">
        <v>211</v>
      </c>
      <c r="C2914" t="s">
        <v>31405</v>
      </c>
    </row>
    <row r="2915" spans="1:3">
      <c r="A2915" t="s">
        <v>31404</v>
      </c>
      <c r="B2915" s="590">
        <v>211</v>
      </c>
      <c r="C2915" t="s">
        <v>31403</v>
      </c>
    </row>
    <row r="2916" spans="1:3">
      <c r="A2916" t="s">
        <v>31402</v>
      </c>
      <c r="B2916" s="590">
        <v>211</v>
      </c>
      <c r="C2916" t="s">
        <v>31401</v>
      </c>
    </row>
    <row r="2917" spans="1:3">
      <c r="A2917" t="s">
        <v>31400</v>
      </c>
      <c r="B2917" s="590">
        <v>211</v>
      </c>
      <c r="C2917" t="s">
        <v>31399</v>
      </c>
    </row>
    <row r="2918" spans="1:3">
      <c r="A2918" t="s">
        <v>31398</v>
      </c>
      <c r="B2918" s="590">
        <v>211</v>
      </c>
      <c r="C2918" t="s">
        <v>31397</v>
      </c>
    </row>
    <row r="2919" spans="1:3">
      <c r="A2919" t="s">
        <v>31396</v>
      </c>
      <c r="B2919" s="590">
        <v>211</v>
      </c>
      <c r="C2919" t="s">
        <v>31395</v>
      </c>
    </row>
    <row r="2920" spans="1:3">
      <c r="A2920" t="s">
        <v>22063</v>
      </c>
      <c r="B2920" s="590">
        <v>2526</v>
      </c>
      <c r="C2920" t="s">
        <v>27868</v>
      </c>
    </row>
    <row r="2921" spans="1:3">
      <c r="A2921" t="s">
        <v>31250</v>
      </c>
      <c r="B2921" s="590">
        <v>39</v>
      </c>
      <c r="C2921" t="s">
        <v>31249</v>
      </c>
    </row>
    <row r="2922" spans="1:3">
      <c r="A2922" t="s">
        <v>31248</v>
      </c>
      <c r="B2922" s="590">
        <v>39</v>
      </c>
      <c r="C2922" t="s">
        <v>31247</v>
      </c>
    </row>
    <row r="2923" spans="1:3">
      <c r="A2923" t="s">
        <v>31246</v>
      </c>
      <c r="B2923" s="590">
        <v>39</v>
      </c>
      <c r="C2923" t="s">
        <v>31245</v>
      </c>
    </row>
    <row r="2924" spans="1:3">
      <c r="A2924" t="s">
        <v>31244</v>
      </c>
      <c r="B2924" s="590">
        <v>39</v>
      </c>
      <c r="C2924" t="s">
        <v>31243</v>
      </c>
    </row>
    <row r="2925" spans="1:3">
      <c r="A2925" t="s">
        <v>31242</v>
      </c>
      <c r="B2925" s="590">
        <v>39</v>
      </c>
      <c r="C2925" t="s">
        <v>31241</v>
      </c>
    </row>
    <row r="2926" spans="1:3">
      <c r="A2926" t="s">
        <v>31240</v>
      </c>
      <c r="B2926" s="590">
        <v>16</v>
      </c>
      <c r="C2926" t="s">
        <v>31239</v>
      </c>
    </row>
    <row r="2927" spans="1:3">
      <c r="A2927" t="s">
        <v>29947</v>
      </c>
      <c r="B2927" s="590">
        <v>16</v>
      </c>
      <c r="C2927" t="s">
        <v>29946</v>
      </c>
    </row>
    <row r="2928" spans="1:3">
      <c r="A2928" t="s">
        <v>31394</v>
      </c>
      <c r="B2928" s="590">
        <v>1854</v>
      </c>
      <c r="C2928" t="s">
        <v>31393</v>
      </c>
    </row>
    <row r="2929" spans="1:3">
      <c r="A2929" t="s">
        <v>31392</v>
      </c>
      <c r="B2929" s="590">
        <v>1854</v>
      </c>
      <c r="C2929" t="s">
        <v>31391</v>
      </c>
    </row>
    <row r="2930" spans="1:3">
      <c r="A2930" t="s">
        <v>31390</v>
      </c>
      <c r="B2930" s="590">
        <v>1854</v>
      </c>
      <c r="C2930" t="s">
        <v>31389</v>
      </c>
    </row>
    <row r="2931" spans="1:3">
      <c r="A2931" t="s">
        <v>31388</v>
      </c>
      <c r="B2931" s="590">
        <v>1941</v>
      </c>
      <c r="C2931" t="s">
        <v>31387</v>
      </c>
    </row>
    <row r="2932" spans="1:3">
      <c r="A2932" t="s">
        <v>31386</v>
      </c>
      <c r="B2932" s="590">
        <v>1854</v>
      </c>
      <c r="C2932" t="s">
        <v>31385</v>
      </c>
    </row>
    <row r="2933" spans="1:3">
      <c r="A2933" t="s">
        <v>31384</v>
      </c>
      <c r="B2933" s="590">
        <v>1915</v>
      </c>
      <c r="C2933" t="s">
        <v>31383</v>
      </c>
    </row>
    <row r="2934" spans="1:3">
      <c r="A2934" t="s">
        <v>31382</v>
      </c>
      <c r="B2934" s="590">
        <v>1854</v>
      </c>
      <c r="C2934" t="s">
        <v>31381</v>
      </c>
    </row>
    <row r="2935" spans="1:3">
      <c r="A2935" t="s">
        <v>31380</v>
      </c>
      <c r="B2935" s="590">
        <v>1854</v>
      </c>
      <c r="C2935" t="s">
        <v>31379</v>
      </c>
    </row>
    <row r="2936" spans="1:3">
      <c r="A2936" t="s">
        <v>31378</v>
      </c>
      <c r="B2936" s="590">
        <v>1854</v>
      </c>
      <c r="C2936" t="s">
        <v>31377</v>
      </c>
    </row>
    <row r="2937" spans="1:3">
      <c r="A2937" t="s">
        <v>31376</v>
      </c>
      <c r="B2937" s="590">
        <v>1854</v>
      </c>
      <c r="C2937" t="s">
        <v>31375</v>
      </c>
    </row>
    <row r="2938" spans="1:3">
      <c r="A2938" t="s">
        <v>31374</v>
      </c>
      <c r="B2938" s="590">
        <v>1854</v>
      </c>
      <c r="C2938" t="s">
        <v>31373</v>
      </c>
    </row>
    <row r="2939" spans="1:3">
      <c r="A2939" t="s">
        <v>31372</v>
      </c>
      <c r="B2939" s="590">
        <v>1854</v>
      </c>
      <c r="C2939" t="s">
        <v>31371</v>
      </c>
    </row>
    <row r="2940" spans="1:3">
      <c r="A2940" t="s">
        <v>31370</v>
      </c>
      <c r="B2940" s="590">
        <v>1854</v>
      </c>
      <c r="C2940" t="s">
        <v>31369</v>
      </c>
    </row>
    <row r="2941" spans="1:3">
      <c r="A2941" t="s">
        <v>31368</v>
      </c>
      <c r="B2941" s="590">
        <v>1854</v>
      </c>
      <c r="C2941" t="s">
        <v>31367</v>
      </c>
    </row>
    <row r="2942" spans="1:3">
      <c r="A2942" t="s">
        <v>31366</v>
      </c>
      <c r="B2942" s="590">
        <v>1915</v>
      </c>
      <c r="C2942" t="s">
        <v>31365</v>
      </c>
    </row>
    <row r="2943" spans="1:3">
      <c r="A2943" t="s">
        <v>31364</v>
      </c>
      <c r="B2943" s="590">
        <v>1854</v>
      </c>
      <c r="C2943" t="s">
        <v>31363</v>
      </c>
    </row>
    <row r="2944" spans="1:3">
      <c r="A2944" t="s">
        <v>31362</v>
      </c>
      <c r="B2944" s="590">
        <v>1854</v>
      </c>
      <c r="C2944" t="s">
        <v>31361</v>
      </c>
    </row>
    <row r="2945" spans="1:3">
      <c r="A2945" t="s">
        <v>31360</v>
      </c>
      <c r="B2945" s="590">
        <v>1854</v>
      </c>
      <c r="C2945" t="s">
        <v>31359</v>
      </c>
    </row>
    <row r="2946" spans="1:3">
      <c r="A2946" t="s">
        <v>31358</v>
      </c>
      <c r="B2946" s="590">
        <v>1854</v>
      </c>
      <c r="C2946" t="s">
        <v>31357</v>
      </c>
    </row>
    <row r="2947" spans="1:3">
      <c r="A2947" t="s">
        <v>31356</v>
      </c>
      <c r="B2947" s="590">
        <v>1854</v>
      </c>
      <c r="C2947" t="s">
        <v>31355</v>
      </c>
    </row>
    <row r="2948" spans="1:3">
      <c r="A2948" t="s">
        <v>31354</v>
      </c>
      <c r="B2948" s="590">
        <v>1854</v>
      </c>
      <c r="C2948" t="s">
        <v>31353</v>
      </c>
    </row>
    <row r="2949" spans="1:3">
      <c r="A2949" t="s">
        <v>31352</v>
      </c>
      <c r="B2949" s="590">
        <v>1854</v>
      </c>
      <c r="C2949" t="s">
        <v>31351</v>
      </c>
    </row>
    <row r="2950" spans="1:3">
      <c r="A2950" t="s">
        <v>31350</v>
      </c>
      <c r="B2950" s="590">
        <v>1854</v>
      </c>
      <c r="C2950" t="s">
        <v>31349</v>
      </c>
    </row>
    <row r="2951" spans="1:3">
      <c r="A2951" t="s">
        <v>31348</v>
      </c>
      <c r="B2951" s="590">
        <v>1941</v>
      </c>
      <c r="C2951" t="s">
        <v>31347</v>
      </c>
    </row>
    <row r="2952" spans="1:3">
      <c r="A2952" t="s">
        <v>31346</v>
      </c>
      <c r="B2952" s="590">
        <v>1854</v>
      </c>
      <c r="C2952" t="s">
        <v>31345</v>
      </c>
    </row>
    <row r="2953" spans="1:3">
      <c r="A2953" t="s">
        <v>31344</v>
      </c>
      <c r="B2953" s="590">
        <v>1854</v>
      </c>
      <c r="C2953" t="s">
        <v>31343</v>
      </c>
    </row>
    <row r="2954" spans="1:3">
      <c r="A2954" t="s">
        <v>31342</v>
      </c>
      <c r="B2954" s="590">
        <v>1854</v>
      </c>
      <c r="C2954" t="s">
        <v>31341</v>
      </c>
    </row>
    <row r="2955" spans="1:3">
      <c r="A2955" t="s">
        <v>31340</v>
      </c>
      <c r="B2955" s="590">
        <v>1854</v>
      </c>
      <c r="C2955" t="s">
        <v>31339</v>
      </c>
    </row>
    <row r="2956" spans="1:3">
      <c r="A2956" t="s">
        <v>31338</v>
      </c>
      <c r="B2956" s="590">
        <v>1854</v>
      </c>
      <c r="C2956" t="s">
        <v>31337</v>
      </c>
    </row>
    <row r="2957" spans="1:3">
      <c r="A2957" t="s">
        <v>31336</v>
      </c>
      <c r="B2957" s="590">
        <v>1854</v>
      </c>
      <c r="C2957" t="s">
        <v>31335</v>
      </c>
    </row>
    <row r="2958" spans="1:3">
      <c r="A2958" t="s">
        <v>31334</v>
      </c>
      <c r="B2958" s="590">
        <v>1854</v>
      </c>
      <c r="C2958" t="s">
        <v>31333</v>
      </c>
    </row>
    <row r="2959" spans="1:3">
      <c r="A2959" t="s">
        <v>31332</v>
      </c>
      <c r="B2959" s="590">
        <v>1854</v>
      </c>
      <c r="C2959" t="s">
        <v>31331</v>
      </c>
    </row>
    <row r="2960" spans="1:3">
      <c r="A2960" t="s">
        <v>31330</v>
      </c>
      <c r="B2960" s="590">
        <v>1854</v>
      </c>
      <c r="C2960" t="s">
        <v>31329</v>
      </c>
    </row>
    <row r="2961" spans="1:3">
      <c r="A2961" t="s">
        <v>31328</v>
      </c>
      <c r="B2961" s="590">
        <v>1854</v>
      </c>
      <c r="C2961" t="s">
        <v>31327</v>
      </c>
    </row>
    <row r="2962" spans="1:3">
      <c r="A2962" t="s">
        <v>31326</v>
      </c>
      <c r="B2962" s="590">
        <v>1854</v>
      </c>
      <c r="C2962" t="s">
        <v>31325</v>
      </c>
    </row>
    <row r="2963" spans="1:3">
      <c r="A2963" t="s">
        <v>31324</v>
      </c>
      <c r="B2963" s="590">
        <v>1915</v>
      </c>
      <c r="C2963" t="s">
        <v>31323</v>
      </c>
    </row>
    <row r="2964" spans="1:3">
      <c r="A2964" t="s">
        <v>31322</v>
      </c>
      <c r="B2964" s="590">
        <v>1854</v>
      </c>
      <c r="C2964" t="s">
        <v>31321</v>
      </c>
    </row>
    <row r="2965" spans="1:3">
      <c r="A2965" t="s">
        <v>31320</v>
      </c>
      <c r="B2965" s="590">
        <v>1854</v>
      </c>
      <c r="C2965" t="s">
        <v>31319</v>
      </c>
    </row>
    <row r="2966" spans="1:3">
      <c r="A2966" t="s">
        <v>31318</v>
      </c>
      <c r="B2966" s="590">
        <v>1854</v>
      </c>
      <c r="C2966" t="s">
        <v>31317</v>
      </c>
    </row>
    <row r="2967" spans="1:3">
      <c r="A2967" t="s">
        <v>31316</v>
      </c>
      <c r="B2967" s="590">
        <v>2111</v>
      </c>
      <c r="C2967" t="s">
        <v>31315</v>
      </c>
    </row>
    <row r="2968" spans="1:3">
      <c r="A2968" t="s">
        <v>31314</v>
      </c>
      <c r="B2968" s="590">
        <v>2111</v>
      </c>
      <c r="C2968" t="s">
        <v>31313</v>
      </c>
    </row>
    <row r="2969" spans="1:3">
      <c r="A2969" t="s">
        <v>31312</v>
      </c>
      <c r="B2969" s="590">
        <v>2111</v>
      </c>
      <c r="C2969" t="s">
        <v>31311</v>
      </c>
    </row>
    <row r="2970" spans="1:3">
      <c r="A2970" t="s">
        <v>31310</v>
      </c>
      <c r="B2970" s="590">
        <v>2111</v>
      </c>
      <c r="C2970" t="s">
        <v>31309</v>
      </c>
    </row>
    <row r="2971" spans="1:3">
      <c r="A2971" t="s">
        <v>31308</v>
      </c>
      <c r="B2971" s="590">
        <v>2111</v>
      </c>
      <c r="C2971" t="s">
        <v>31307</v>
      </c>
    </row>
    <row r="2972" spans="1:3">
      <c r="A2972" t="s">
        <v>31306</v>
      </c>
      <c r="B2972" s="590">
        <v>2111</v>
      </c>
      <c r="C2972" t="s">
        <v>31305</v>
      </c>
    </row>
    <row r="2973" spans="1:3">
      <c r="A2973" t="s">
        <v>31304</v>
      </c>
      <c r="B2973" s="590">
        <v>2170</v>
      </c>
      <c r="C2973" t="s">
        <v>31303</v>
      </c>
    </row>
    <row r="2974" spans="1:3">
      <c r="A2974" t="s">
        <v>31302</v>
      </c>
      <c r="B2974" s="590">
        <v>2111</v>
      </c>
      <c r="C2974" t="s">
        <v>31301</v>
      </c>
    </row>
    <row r="2975" spans="1:3">
      <c r="A2975" t="s">
        <v>31300</v>
      </c>
      <c r="B2975" s="590">
        <v>2111</v>
      </c>
      <c r="C2975" t="s">
        <v>31299</v>
      </c>
    </row>
    <row r="2976" spans="1:3">
      <c r="A2976" t="s">
        <v>31298</v>
      </c>
      <c r="B2976" s="590">
        <v>2229</v>
      </c>
      <c r="C2976" t="s">
        <v>31297</v>
      </c>
    </row>
    <row r="2977" spans="1:3">
      <c r="A2977" t="s">
        <v>31296</v>
      </c>
      <c r="B2977" s="590">
        <v>2111</v>
      </c>
      <c r="C2977" t="s">
        <v>31295</v>
      </c>
    </row>
    <row r="2978" spans="1:3">
      <c r="A2978" t="s">
        <v>31294</v>
      </c>
      <c r="B2978" s="590">
        <v>2111</v>
      </c>
      <c r="C2978" t="s">
        <v>31293</v>
      </c>
    </row>
    <row r="2979" spans="1:3">
      <c r="A2979" t="s">
        <v>31292</v>
      </c>
      <c r="B2979" s="590">
        <v>1265</v>
      </c>
      <c r="C2979" t="s">
        <v>31291</v>
      </c>
    </row>
    <row r="2980" spans="1:3">
      <c r="A2980" t="s">
        <v>31290</v>
      </c>
      <c r="B2980" s="590">
        <v>1265</v>
      </c>
      <c r="C2980" t="s">
        <v>31289</v>
      </c>
    </row>
    <row r="2981" spans="1:3">
      <c r="A2981" t="s">
        <v>31288</v>
      </c>
      <c r="B2981" s="590">
        <v>1265</v>
      </c>
      <c r="C2981" t="s">
        <v>31287</v>
      </c>
    </row>
    <row r="2982" spans="1:3">
      <c r="A2982" t="s">
        <v>31286</v>
      </c>
      <c r="B2982" s="590">
        <v>1265</v>
      </c>
      <c r="C2982" t="s">
        <v>31285</v>
      </c>
    </row>
    <row r="2983" spans="1:3">
      <c r="A2983" t="s">
        <v>31284</v>
      </c>
      <c r="B2983" s="590">
        <v>1265</v>
      </c>
      <c r="C2983" t="s">
        <v>31283</v>
      </c>
    </row>
    <row r="2984" spans="1:3">
      <c r="A2984" t="s">
        <v>31282</v>
      </c>
      <c r="B2984" s="590">
        <v>1265</v>
      </c>
      <c r="C2984" t="s">
        <v>31281</v>
      </c>
    </row>
    <row r="2985" spans="1:3">
      <c r="A2985" t="s">
        <v>31280</v>
      </c>
      <c r="B2985" s="590">
        <v>1265</v>
      </c>
      <c r="C2985" t="s">
        <v>31279</v>
      </c>
    </row>
    <row r="2986" spans="1:3">
      <c r="A2986" t="s">
        <v>31278</v>
      </c>
      <c r="B2986" s="590">
        <v>1265</v>
      </c>
      <c r="C2986" t="s">
        <v>31277</v>
      </c>
    </row>
    <row r="2987" spans="1:3">
      <c r="A2987" t="s">
        <v>31276</v>
      </c>
      <c r="B2987" s="590">
        <v>1265</v>
      </c>
      <c r="C2987" t="s">
        <v>31275</v>
      </c>
    </row>
    <row r="2988" spans="1:3">
      <c r="A2988" t="s">
        <v>31274</v>
      </c>
      <c r="B2988" s="590">
        <v>1265</v>
      </c>
      <c r="C2988" t="s">
        <v>31273</v>
      </c>
    </row>
    <row r="2989" spans="1:3">
      <c r="A2989" t="s">
        <v>31272</v>
      </c>
      <c r="B2989" s="590">
        <v>1324</v>
      </c>
      <c r="C2989" t="s">
        <v>31271</v>
      </c>
    </row>
    <row r="2990" spans="1:3">
      <c r="A2990" t="s">
        <v>31270</v>
      </c>
      <c r="B2990" s="590">
        <v>1265</v>
      </c>
      <c r="C2990" t="s">
        <v>31269</v>
      </c>
    </row>
    <row r="2991" spans="1:3">
      <c r="A2991" t="s">
        <v>31268</v>
      </c>
      <c r="B2991" s="590">
        <v>1265</v>
      </c>
      <c r="C2991" t="s">
        <v>31267</v>
      </c>
    </row>
    <row r="2992" spans="1:3">
      <c r="A2992" t="s">
        <v>31266</v>
      </c>
      <c r="B2992" s="590">
        <v>1265</v>
      </c>
      <c r="C2992" t="s">
        <v>31265</v>
      </c>
    </row>
    <row r="2993" spans="1:3">
      <c r="A2993" t="s">
        <v>31264</v>
      </c>
      <c r="B2993" s="590">
        <v>1324</v>
      </c>
      <c r="C2993" t="s">
        <v>31263</v>
      </c>
    </row>
    <row r="2994" spans="1:3">
      <c r="A2994" t="s">
        <v>31262</v>
      </c>
      <c r="B2994" s="590">
        <v>1265</v>
      </c>
      <c r="C2994" t="s">
        <v>31261</v>
      </c>
    </row>
    <row r="2995" spans="1:3">
      <c r="A2995" t="s">
        <v>30105</v>
      </c>
      <c r="B2995" s="590">
        <v>298</v>
      </c>
      <c r="C2995" t="s">
        <v>30104</v>
      </c>
    </row>
    <row r="2996" spans="1:3">
      <c r="A2996" t="s">
        <v>30103</v>
      </c>
      <c r="B2996" s="590">
        <v>298</v>
      </c>
      <c r="C2996" t="s">
        <v>30102</v>
      </c>
    </row>
    <row r="2997" spans="1:3">
      <c r="A2997" t="s">
        <v>30101</v>
      </c>
      <c r="B2997" s="590">
        <v>298</v>
      </c>
      <c r="C2997" t="s">
        <v>30100</v>
      </c>
    </row>
    <row r="2998" spans="1:3">
      <c r="A2998" t="s">
        <v>30099</v>
      </c>
      <c r="B2998" s="590">
        <v>329</v>
      </c>
      <c r="C2998" t="s">
        <v>30098</v>
      </c>
    </row>
    <row r="2999" spans="1:3">
      <c r="A2999" t="s">
        <v>30097</v>
      </c>
      <c r="B2999" s="590">
        <v>298</v>
      </c>
      <c r="C2999" t="s">
        <v>30096</v>
      </c>
    </row>
    <row r="3000" spans="1:3">
      <c r="A3000" t="s">
        <v>31260</v>
      </c>
      <c r="B3000" s="590">
        <v>214</v>
      </c>
      <c r="C3000" t="s">
        <v>31259</v>
      </c>
    </row>
    <row r="3001" spans="1:3">
      <c r="A3001" t="s">
        <v>31258</v>
      </c>
      <c r="B3001" s="590">
        <v>282</v>
      </c>
      <c r="C3001" t="s">
        <v>31257</v>
      </c>
    </row>
    <row r="3002" spans="1:3">
      <c r="A3002" t="s">
        <v>31256</v>
      </c>
      <c r="B3002" s="590">
        <v>282</v>
      </c>
      <c r="C3002" t="s">
        <v>31255</v>
      </c>
    </row>
    <row r="3003" spans="1:3">
      <c r="A3003" t="s">
        <v>31254</v>
      </c>
      <c r="B3003" s="590">
        <v>405</v>
      </c>
      <c r="C3003" t="s">
        <v>31253</v>
      </c>
    </row>
    <row r="3004" spans="1:3">
      <c r="A3004" t="s">
        <v>31252</v>
      </c>
      <c r="B3004" s="590">
        <v>470</v>
      </c>
      <c r="C3004" t="s">
        <v>31251</v>
      </c>
    </row>
    <row r="3005" spans="1:3">
      <c r="A3005" t="s">
        <v>22063</v>
      </c>
      <c r="B3005" s="590">
        <v>2526</v>
      </c>
      <c r="C3005" t="s">
        <v>27868</v>
      </c>
    </row>
    <row r="3006" spans="1:3">
      <c r="A3006" t="s">
        <v>31250</v>
      </c>
      <c r="B3006" s="590">
        <v>39</v>
      </c>
      <c r="C3006" t="s">
        <v>31249</v>
      </c>
    </row>
    <row r="3007" spans="1:3">
      <c r="A3007" t="s">
        <v>31248</v>
      </c>
      <c r="B3007" s="590">
        <v>39</v>
      </c>
      <c r="C3007" t="s">
        <v>31247</v>
      </c>
    </row>
    <row r="3008" spans="1:3">
      <c r="A3008" t="s">
        <v>31246</v>
      </c>
      <c r="B3008" s="590">
        <v>39</v>
      </c>
      <c r="C3008" t="s">
        <v>31245</v>
      </c>
    </row>
    <row r="3009" spans="1:3">
      <c r="A3009" t="s">
        <v>31244</v>
      </c>
      <c r="B3009" s="590">
        <v>39</v>
      </c>
      <c r="C3009" t="s">
        <v>31243</v>
      </c>
    </row>
    <row r="3010" spans="1:3">
      <c r="A3010" t="s">
        <v>31242</v>
      </c>
      <c r="B3010" s="590">
        <v>39</v>
      </c>
      <c r="C3010" t="s">
        <v>31241</v>
      </c>
    </row>
    <row r="3011" spans="1:3">
      <c r="A3011" t="s">
        <v>31240</v>
      </c>
      <c r="B3011" s="590">
        <v>16</v>
      </c>
      <c r="C3011" t="s">
        <v>31239</v>
      </c>
    </row>
    <row r="3012" spans="1:3">
      <c r="A3012" t="s">
        <v>29947</v>
      </c>
      <c r="B3012" s="590">
        <v>16</v>
      </c>
      <c r="C3012" t="s">
        <v>29946</v>
      </c>
    </row>
    <row r="3013" spans="1:3">
      <c r="A3013" t="s">
        <v>31238</v>
      </c>
      <c r="B3013" s="590">
        <v>3702</v>
      </c>
      <c r="C3013" t="s">
        <v>31237</v>
      </c>
    </row>
    <row r="3014" spans="1:3">
      <c r="A3014" t="s">
        <v>31236</v>
      </c>
      <c r="B3014" s="590">
        <v>3702</v>
      </c>
      <c r="C3014" t="s">
        <v>31235</v>
      </c>
    </row>
    <row r="3015" spans="1:3">
      <c r="A3015" t="s">
        <v>31234</v>
      </c>
      <c r="B3015" s="590">
        <v>3702</v>
      </c>
      <c r="C3015" t="s">
        <v>31233</v>
      </c>
    </row>
    <row r="3016" spans="1:3">
      <c r="A3016" t="s">
        <v>31232</v>
      </c>
      <c r="B3016" s="590">
        <v>3702</v>
      </c>
      <c r="C3016" t="s">
        <v>31231</v>
      </c>
    </row>
    <row r="3017" spans="1:3">
      <c r="A3017" t="s">
        <v>31230</v>
      </c>
      <c r="B3017" s="590">
        <v>3702</v>
      </c>
      <c r="C3017" t="s">
        <v>31229</v>
      </c>
    </row>
    <row r="3018" spans="1:3">
      <c r="A3018" t="s">
        <v>31228</v>
      </c>
      <c r="B3018" s="590">
        <v>3702</v>
      </c>
      <c r="C3018" t="s">
        <v>31227</v>
      </c>
    </row>
    <row r="3019" spans="1:3">
      <c r="A3019" t="s">
        <v>31226</v>
      </c>
      <c r="B3019" s="590">
        <v>3702</v>
      </c>
      <c r="C3019" t="s">
        <v>31225</v>
      </c>
    </row>
    <row r="3020" spans="1:3">
      <c r="A3020" t="s">
        <v>31224</v>
      </c>
      <c r="B3020" s="590">
        <v>3702</v>
      </c>
      <c r="C3020" t="s">
        <v>31223</v>
      </c>
    </row>
    <row r="3021" spans="1:3">
      <c r="A3021" t="s">
        <v>31222</v>
      </c>
      <c r="B3021" s="590">
        <v>3702</v>
      </c>
      <c r="C3021" t="s">
        <v>31221</v>
      </c>
    </row>
    <row r="3022" spans="1:3">
      <c r="A3022" t="s">
        <v>31220</v>
      </c>
      <c r="B3022" s="590">
        <v>3702</v>
      </c>
      <c r="C3022" t="s">
        <v>31219</v>
      </c>
    </row>
    <row r="3023" spans="1:3">
      <c r="A3023" t="s">
        <v>31218</v>
      </c>
      <c r="B3023" s="590">
        <v>3702</v>
      </c>
      <c r="C3023" t="s">
        <v>31217</v>
      </c>
    </row>
    <row r="3024" spans="1:3">
      <c r="A3024" t="s">
        <v>31216</v>
      </c>
      <c r="B3024" s="590">
        <v>3702</v>
      </c>
      <c r="C3024" t="s">
        <v>31215</v>
      </c>
    </row>
    <row r="3025" spans="1:3">
      <c r="A3025" t="s">
        <v>31214</v>
      </c>
      <c r="B3025" s="590">
        <v>3702</v>
      </c>
      <c r="C3025" t="s">
        <v>31213</v>
      </c>
    </row>
    <row r="3026" spans="1:3">
      <c r="A3026" t="s">
        <v>31212</v>
      </c>
      <c r="B3026" s="590">
        <v>2662</v>
      </c>
      <c r="C3026" t="s">
        <v>31211</v>
      </c>
    </row>
    <row r="3027" spans="1:3">
      <c r="A3027" t="s">
        <v>31210</v>
      </c>
      <c r="B3027" s="590">
        <v>2662</v>
      </c>
      <c r="C3027" t="s">
        <v>31209</v>
      </c>
    </row>
    <row r="3028" spans="1:3">
      <c r="A3028" t="s">
        <v>31208</v>
      </c>
      <c r="B3028" s="590">
        <v>2662</v>
      </c>
      <c r="C3028" t="s">
        <v>31207</v>
      </c>
    </row>
    <row r="3029" spans="1:3">
      <c r="A3029" t="s">
        <v>31206</v>
      </c>
      <c r="B3029" s="590">
        <v>2662</v>
      </c>
      <c r="C3029" t="s">
        <v>31205</v>
      </c>
    </row>
    <row r="3030" spans="1:3">
      <c r="A3030" t="s">
        <v>31204</v>
      </c>
      <c r="B3030" s="590">
        <v>2662</v>
      </c>
      <c r="C3030" t="s">
        <v>31203</v>
      </c>
    </row>
    <row r="3031" spans="1:3">
      <c r="A3031" t="s">
        <v>31202</v>
      </c>
      <c r="B3031" s="590">
        <v>2662</v>
      </c>
      <c r="C3031" t="s">
        <v>31201</v>
      </c>
    </row>
    <row r="3032" spans="1:3">
      <c r="A3032" t="s">
        <v>31200</v>
      </c>
      <c r="B3032" s="590">
        <v>2662</v>
      </c>
      <c r="C3032" t="s">
        <v>31199</v>
      </c>
    </row>
    <row r="3033" spans="1:3">
      <c r="A3033" t="s">
        <v>31198</v>
      </c>
      <c r="B3033" s="590">
        <v>2662</v>
      </c>
      <c r="C3033" t="s">
        <v>31197</v>
      </c>
    </row>
    <row r="3034" spans="1:3">
      <c r="A3034" t="s">
        <v>31196</v>
      </c>
      <c r="B3034" s="590">
        <v>2662</v>
      </c>
      <c r="C3034" t="s">
        <v>31195</v>
      </c>
    </row>
    <row r="3035" spans="1:3">
      <c r="A3035" t="s">
        <v>31194</v>
      </c>
      <c r="B3035" s="590">
        <v>2662</v>
      </c>
      <c r="C3035" t="s">
        <v>31193</v>
      </c>
    </row>
    <row r="3036" spans="1:3">
      <c r="A3036" t="s">
        <v>31192</v>
      </c>
      <c r="B3036" s="590">
        <v>2662</v>
      </c>
      <c r="C3036" t="s">
        <v>31191</v>
      </c>
    </row>
    <row r="3037" spans="1:3">
      <c r="A3037" t="s">
        <v>31190</v>
      </c>
      <c r="B3037" s="590">
        <v>2662</v>
      </c>
      <c r="C3037" t="s">
        <v>31189</v>
      </c>
    </row>
    <row r="3038" spans="1:3">
      <c r="A3038" t="s">
        <v>29899</v>
      </c>
      <c r="B3038" s="590">
        <v>521</v>
      </c>
      <c r="C3038" t="s">
        <v>29898</v>
      </c>
    </row>
    <row r="3039" spans="1:3">
      <c r="A3039" t="s">
        <v>29897</v>
      </c>
      <c r="B3039" s="590">
        <v>521</v>
      </c>
      <c r="C3039" t="s">
        <v>29896</v>
      </c>
    </row>
    <row r="3040" spans="1:3">
      <c r="A3040" t="s">
        <v>29895</v>
      </c>
      <c r="B3040" s="590">
        <v>521</v>
      </c>
      <c r="C3040" t="s">
        <v>29894</v>
      </c>
    </row>
    <row r="3041" spans="1:3">
      <c r="A3041" t="s">
        <v>29893</v>
      </c>
      <c r="B3041" s="590">
        <v>549</v>
      </c>
      <c r="C3041" t="s">
        <v>29892</v>
      </c>
    </row>
    <row r="3042" spans="1:3">
      <c r="A3042" t="s">
        <v>29891</v>
      </c>
      <c r="B3042" s="590">
        <v>521</v>
      </c>
      <c r="C3042" t="s">
        <v>29890</v>
      </c>
    </row>
    <row r="3043" spans="1:3">
      <c r="A3043" t="s">
        <v>29889</v>
      </c>
      <c r="B3043" s="590">
        <v>298</v>
      </c>
      <c r="C3043" t="s">
        <v>29888</v>
      </c>
    </row>
    <row r="3044" spans="1:3">
      <c r="A3044" t="s">
        <v>29887</v>
      </c>
      <c r="B3044" s="590">
        <v>298</v>
      </c>
      <c r="C3044" t="s">
        <v>29886</v>
      </c>
    </row>
    <row r="3045" spans="1:3">
      <c r="A3045" t="s">
        <v>29885</v>
      </c>
      <c r="B3045" s="590">
        <v>298</v>
      </c>
      <c r="C3045" t="s">
        <v>29884</v>
      </c>
    </row>
    <row r="3046" spans="1:3">
      <c r="A3046" t="s">
        <v>29883</v>
      </c>
      <c r="B3046" s="590">
        <v>329</v>
      </c>
      <c r="C3046" t="s">
        <v>29882</v>
      </c>
    </row>
    <row r="3047" spans="1:3">
      <c r="A3047" t="s">
        <v>29881</v>
      </c>
      <c r="B3047" s="590">
        <v>298</v>
      </c>
      <c r="C3047" t="s">
        <v>29880</v>
      </c>
    </row>
    <row r="3048" spans="1:3">
      <c r="A3048" t="s">
        <v>31188</v>
      </c>
      <c r="B3048" s="590">
        <v>131</v>
      </c>
      <c r="C3048" t="s">
        <v>31187</v>
      </c>
    </row>
    <row r="3049" spans="1:3">
      <c r="A3049" t="s">
        <v>31186</v>
      </c>
      <c r="B3049" s="590">
        <v>214</v>
      </c>
      <c r="C3049" t="s">
        <v>31185</v>
      </c>
    </row>
    <row r="3050" spans="1:3">
      <c r="A3050" t="s">
        <v>31184</v>
      </c>
      <c r="B3050" s="590">
        <v>282</v>
      </c>
      <c r="C3050" t="s">
        <v>31183</v>
      </c>
    </row>
    <row r="3051" spans="1:3">
      <c r="A3051" t="s">
        <v>31182</v>
      </c>
      <c r="B3051" s="590">
        <v>211</v>
      </c>
      <c r="C3051" t="s">
        <v>31181</v>
      </c>
    </row>
    <row r="3052" spans="1:3">
      <c r="A3052" t="s">
        <v>31180</v>
      </c>
      <c r="B3052" s="590">
        <v>211</v>
      </c>
      <c r="C3052" t="s">
        <v>31179</v>
      </c>
    </row>
    <row r="3053" spans="1:3">
      <c r="A3053" t="s">
        <v>31178</v>
      </c>
      <c r="B3053" s="590">
        <v>211</v>
      </c>
      <c r="C3053" t="s">
        <v>31177</v>
      </c>
    </row>
    <row r="3054" spans="1:3">
      <c r="A3054" t="s">
        <v>31176</v>
      </c>
      <c r="B3054" s="590">
        <v>211</v>
      </c>
      <c r="C3054" t="s">
        <v>31175</v>
      </c>
    </row>
    <row r="3055" spans="1:3">
      <c r="A3055" t="s">
        <v>31174</v>
      </c>
      <c r="B3055" s="590">
        <v>211</v>
      </c>
      <c r="C3055" t="s">
        <v>31173</v>
      </c>
    </row>
    <row r="3056" spans="1:3">
      <c r="A3056" t="s">
        <v>31172</v>
      </c>
      <c r="B3056" s="590">
        <v>282</v>
      </c>
      <c r="C3056" t="s">
        <v>31171</v>
      </c>
    </row>
    <row r="3057" spans="1:3">
      <c r="A3057" t="s">
        <v>22063</v>
      </c>
      <c r="B3057" s="590">
        <v>2526</v>
      </c>
      <c r="C3057" t="s">
        <v>27868</v>
      </c>
    </row>
    <row r="3058" spans="1:3">
      <c r="A3058" t="s">
        <v>31170</v>
      </c>
      <c r="B3058" s="590">
        <v>39</v>
      </c>
      <c r="C3058" t="s">
        <v>31169</v>
      </c>
    </row>
    <row r="3059" spans="1:3">
      <c r="A3059" t="s">
        <v>31168</v>
      </c>
      <c r="B3059" s="590">
        <v>39</v>
      </c>
      <c r="C3059" t="s">
        <v>31167</v>
      </c>
    </row>
    <row r="3060" spans="1:3">
      <c r="A3060" t="s">
        <v>31166</v>
      </c>
      <c r="B3060" s="590">
        <v>39</v>
      </c>
      <c r="C3060" t="s">
        <v>31165</v>
      </c>
    </row>
    <row r="3061" spans="1:3">
      <c r="A3061" t="s">
        <v>31164</v>
      </c>
      <c r="B3061" s="590">
        <v>39</v>
      </c>
      <c r="C3061" t="s">
        <v>31163</v>
      </c>
    </row>
    <row r="3062" spans="1:3">
      <c r="A3062" t="s">
        <v>31162</v>
      </c>
      <c r="B3062" s="590">
        <v>39</v>
      </c>
      <c r="C3062" t="s">
        <v>31161</v>
      </c>
    </row>
    <row r="3063" spans="1:3">
      <c r="A3063" t="s">
        <v>31160</v>
      </c>
      <c r="B3063" s="590">
        <v>39</v>
      </c>
      <c r="C3063" t="s">
        <v>31159</v>
      </c>
    </row>
    <row r="3064" spans="1:3">
      <c r="A3064" t="s">
        <v>31158</v>
      </c>
      <c r="B3064" s="590">
        <v>16</v>
      </c>
      <c r="C3064" t="s">
        <v>31157</v>
      </c>
    </row>
    <row r="3065" spans="1:3">
      <c r="A3065" t="s">
        <v>29947</v>
      </c>
      <c r="B3065" s="590">
        <v>16</v>
      </c>
      <c r="C3065" t="s">
        <v>29946</v>
      </c>
    </row>
    <row r="3066" spans="1:3">
      <c r="A3066" t="s">
        <v>31156</v>
      </c>
      <c r="B3066" s="590">
        <v>1081</v>
      </c>
      <c r="C3066" t="s">
        <v>31155</v>
      </c>
    </row>
    <row r="3067" spans="1:3">
      <c r="A3067" t="s">
        <v>31154</v>
      </c>
      <c r="B3067" s="590">
        <v>1081</v>
      </c>
      <c r="C3067" t="s">
        <v>31153</v>
      </c>
    </row>
    <row r="3068" spans="1:3">
      <c r="A3068" t="s">
        <v>31152</v>
      </c>
      <c r="B3068" s="590">
        <v>1081</v>
      </c>
      <c r="C3068" t="s">
        <v>31151</v>
      </c>
    </row>
    <row r="3069" spans="1:3">
      <c r="A3069" t="s">
        <v>31150</v>
      </c>
      <c r="B3069" s="590">
        <v>1081</v>
      </c>
      <c r="C3069" t="s">
        <v>31149</v>
      </c>
    </row>
    <row r="3070" spans="1:3">
      <c r="A3070" t="s">
        <v>31148</v>
      </c>
      <c r="B3070" s="590">
        <v>1081</v>
      </c>
      <c r="C3070" t="s">
        <v>31147</v>
      </c>
    </row>
    <row r="3071" spans="1:3">
      <c r="A3071" t="s">
        <v>31146</v>
      </c>
      <c r="B3071" s="590">
        <v>1159</v>
      </c>
      <c r="C3071" t="s">
        <v>31145</v>
      </c>
    </row>
    <row r="3072" spans="1:3">
      <c r="A3072" t="s">
        <v>31144</v>
      </c>
      <c r="B3072" s="590">
        <v>1081</v>
      </c>
      <c r="C3072" t="s">
        <v>31143</v>
      </c>
    </row>
    <row r="3073" spans="1:3">
      <c r="A3073" t="s">
        <v>31142</v>
      </c>
      <c r="B3073" s="590">
        <v>1081</v>
      </c>
      <c r="C3073" t="s">
        <v>31141</v>
      </c>
    </row>
    <row r="3074" spans="1:3">
      <c r="A3074" t="s">
        <v>31140</v>
      </c>
      <c r="B3074" s="590">
        <v>1081</v>
      </c>
      <c r="C3074" t="s">
        <v>31139</v>
      </c>
    </row>
    <row r="3075" spans="1:3">
      <c r="A3075" t="s">
        <v>31138</v>
      </c>
      <c r="B3075" s="590">
        <v>1081</v>
      </c>
      <c r="C3075" t="s">
        <v>31137</v>
      </c>
    </row>
    <row r="3076" spans="1:3">
      <c r="A3076" t="s">
        <v>31136</v>
      </c>
      <c r="B3076" s="590">
        <v>1081</v>
      </c>
      <c r="C3076" t="s">
        <v>31135</v>
      </c>
    </row>
    <row r="3077" spans="1:3">
      <c r="A3077" t="s">
        <v>31134</v>
      </c>
      <c r="B3077" s="590">
        <v>1081</v>
      </c>
      <c r="C3077" t="s">
        <v>31133</v>
      </c>
    </row>
    <row r="3078" spans="1:3">
      <c r="A3078" t="s">
        <v>31132</v>
      </c>
      <c r="B3078" s="590">
        <v>1081</v>
      </c>
      <c r="C3078" t="s">
        <v>31131</v>
      </c>
    </row>
    <row r="3079" spans="1:3">
      <c r="A3079" t="s">
        <v>31130</v>
      </c>
      <c r="B3079" s="590">
        <v>1081</v>
      </c>
      <c r="C3079" t="s">
        <v>31129</v>
      </c>
    </row>
    <row r="3080" spans="1:3">
      <c r="A3080" t="s">
        <v>31128</v>
      </c>
      <c r="B3080" s="590">
        <v>1081</v>
      </c>
      <c r="C3080" t="s">
        <v>31127</v>
      </c>
    </row>
    <row r="3081" spans="1:3">
      <c r="A3081" t="s">
        <v>31126</v>
      </c>
      <c r="B3081" s="590">
        <v>1081</v>
      </c>
      <c r="C3081" t="s">
        <v>31125</v>
      </c>
    </row>
    <row r="3082" spans="1:3">
      <c r="A3082" t="s">
        <v>31124</v>
      </c>
      <c r="B3082" s="590">
        <v>1208</v>
      </c>
      <c r="C3082" t="s">
        <v>31123</v>
      </c>
    </row>
    <row r="3083" spans="1:3">
      <c r="A3083" t="s">
        <v>31122</v>
      </c>
      <c r="B3083" s="590">
        <v>1081</v>
      </c>
      <c r="C3083" t="s">
        <v>31121</v>
      </c>
    </row>
    <row r="3084" spans="1:3">
      <c r="A3084" t="s">
        <v>31120</v>
      </c>
      <c r="B3084" s="590">
        <v>926</v>
      </c>
      <c r="C3084" t="s">
        <v>31119</v>
      </c>
    </row>
    <row r="3085" spans="1:3">
      <c r="A3085" t="s">
        <v>31118</v>
      </c>
      <c r="B3085" s="590">
        <v>926</v>
      </c>
      <c r="C3085" t="s">
        <v>31117</v>
      </c>
    </row>
    <row r="3086" spans="1:3">
      <c r="A3086" t="s">
        <v>31116</v>
      </c>
      <c r="B3086" s="590">
        <v>926</v>
      </c>
      <c r="C3086" t="s">
        <v>31115</v>
      </c>
    </row>
    <row r="3087" spans="1:3">
      <c r="A3087" t="s">
        <v>31114</v>
      </c>
      <c r="B3087" s="590">
        <v>926</v>
      </c>
      <c r="C3087" t="s">
        <v>31113</v>
      </c>
    </row>
    <row r="3088" spans="1:3">
      <c r="A3088" t="s">
        <v>31112</v>
      </c>
      <c r="B3088" s="590">
        <v>1002</v>
      </c>
      <c r="C3088" t="s">
        <v>31111</v>
      </c>
    </row>
    <row r="3089" spans="1:3">
      <c r="A3089" t="s">
        <v>31110</v>
      </c>
      <c r="B3089" s="590">
        <v>926</v>
      </c>
      <c r="C3089" t="s">
        <v>31109</v>
      </c>
    </row>
    <row r="3090" spans="1:3">
      <c r="A3090" t="s">
        <v>31108</v>
      </c>
      <c r="B3090" s="590">
        <v>926</v>
      </c>
      <c r="C3090" t="s">
        <v>31107</v>
      </c>
    </row>
    <row r="3091" spans="1:3">
      <c r="A3091" t="s">
        <v>31106</v>
      </c>
      <c r="B3091" s="590">
        <v>926</v>
      </c>
      <c r="C3091" t="s">
        <v>31105</v>
      </c>
    </row>
    <row r="3092" spans="1:3">
      <c r="A3092" t="s">
        <v>31104</v>
      </c>
      <c r="B3092" s="590">
        <v>926</v>
      </c>
      <c r="C3092" t="s">
        <v>31103</v>
      </c>
    </row>
    <row r="3093" spans="1:3">
      <c r="A3093" t="s">
        <v>31102</v>
      </c>
      <c r="B3093" s="590">
        <v>926</v>
      </c>
      <c r="C3093" t="s">
        <v>31101</v>
      </c>
    </row>
    <row r="3094" spans="1:3">
      <c r="A3094" t="s">
        <v>31100</v>
      </c>
      <c r="B3094" s="590">
        <v>926</v>
      </c>
      <c r="C3094" t="s">
        <v>31099</v>
      </c>
    </row>
    <row r="3095" spans="1:3">
      <c r="A3095" t="s">
        <v>31098</v>
      </c>
      <c r="B3095" s="590">
        <v>926</v>
      </c>
      <c r="C3095" t="s">
        <v>31097</v>
      </c>
    </row>
    <row r="3096" spans="1:3">
      <c r="A3096" t="s">
        <v>31096</v>
      </c>
      <c r="B3096" s="590">
        <v>926</v>
      </c>
      <c r="C3096" t="s">
        <v>31095</v>
      </c>
    </row>
    <row r="3097" spans="1:3">
      <c r="A3097" t="s">
        <v>31094</v>
      </c>
      <c r="B3097" s="590">
        <v>926</v>
      </c>
      <c r="C3097" t="s">
        <v>31093</v>
      </c>
    </row>
    <row r="3098" spans="1:3">
      <c r="A3098" t="s">
        <v>31092</v>
      </c>
      <c r="B3098" s="590">
        <v>926</v>
      </c>
      <c r="C3098" t="s">
        <v>31091</v>
      </c>
    </row>
    <row r="3099" spans="1:3">
      <c r="A3099" t="s">
        <v>31090</v>
      </c>
      <c r="B3099" s="590">
        <v>926</v>
      </c>
      <c r="C3099" t="s">
        <v>31089</v>
      </c>
    </row>
    <row r="3100" spans="1:3">
      <c r="A3100" t="s">
        <v>31088</v>
      </c>
      <c r="B3100" s="590">
        <v>926</v>
      </c>
      <c r="C3100" t="s">
        <v>31087</v>
      </c>
    </row>
    <row r="3101" spans="1:3">
      <c r="A3101" t="s">
        <v>31086</v>
      </c>
      <c r="B3101" s="590">
        <v>1080</v>
      </c>
      <c r="C3101" t="s">
        <v>31085</v>
      </c>
    </row>
    <row r="3102" spans="1:3">
      <c r="A3102" t="s">
        <v>31084</v>
      </c>
      <c r="B3102" s="590">
        <v>926</v>
      </c>
      <c r="C3102" t="s">
        <v>31083</v>
      </c>
    </row>
    <row r="3103" spans="1:3">
      <c r="A3103" t="s">
        <v>31082</v>
      </c>
      <c r="B3103" s="590">
        <v>980</v>
      </c>
      <c r="C3103" t="s">
        <v>31081</v>
      </c>
    </row>
    <row r="3104" spans="1:3">
      <c r="A3104" t="s">
        <v>31080</v>
      </c>
      <c r="B3104" s="590">
        <v>980</v>
      </c>
      <c r="C3104" t="s">
        <v>31079</v>
      </c>
    </row>
    <row r="3105" spans="1:3">
      <c r="A3105" t="s">
        <v>31078</v>
      </c>
      <c r="B3105" s="590">
        <v>980</v>
      </c>
      <c r="C3105" t="s">
        <v>31077</v>
      </c>
    </row>
    <row r="3106" spans="1:3">
      <c r="A3106" t="s">
        <v>31076</v>
      </c>
      <c r="B3106" s="590">
        <v>980</v>
      </c>
      <c r="C3106" t="s">
        <v>31075</v>
      </c>
    </row>
    <row r="3107" spans="1:3">
      <c r="A3107" t="s">
        <v>31074</v>
      </c>
      <c r="B3107" s="590">
        <v>980</v>
      </c>
      <c r="C3107" t="s">
        <v>31073</v>
      </c>
    </row>
    <row r="3108" spans="1:3">
      <c r="A3108" t="s">
        <v>31072</v>
      </c>
      <c r="B3108" s="590">
        <v>980</v>
      </c>
      <c r="C3108" t="s">
        <v>31071</v>
      </c>
    </row>
    <row r="3109" spans="1:3">
      <c r="A3109" t="s">
        <v>31070</v>
      </c>
      <c r="B3109" s="590">
        <v>980</v>
      </c>
      <c r="C3109" t="s">
        <v>31069</v>
      </c>
    </row>
    <row r="3110" spans="1:3">
      <c r="A3110" t="s">
        <v>31068</v>
      </c>
      <c r="B3110" s="590">
        <v>980</v>
      </c>
      <c r="C3110" t="s">
        <v>31067</v>
      </c>
    </row>
    <row r="3111" spans="1:3">
      <c r="A3111" t="s">
        <v>31066</v>
      </c>
      <c r="B3111" s="590">
        <v>980</v>
      </c>
      <c r="C3111" t="s">
        <v>31065</v>
      </c>
    </row>
    <row r="3112" spans="1:3">
      <c r="A3112" t="s">
        <v>31064</v>
      </c>
      <c r="B3112" s="590">
        <v>980</v>
      </c>
      <c r="C3112" t="s">
        <v>31063</v>
      </c>
    </row>
    <row r="3113" spans="1:3">
      <c r="A3113" t="s">
        <v>28004</v>
      </c>
      <c r="B3113" s="590">
        <v>131</v>
      </c>
      <c r="C3113" t="s">
        <v>28003</v>
      </c>
    </row>
    <row r="3114" spans="1:3">
      <c r="A3114" t="s">
        <v>28002</v>
      </c>
      <c r="B3114" s="590">
        <v>131</v>
      </c>
      <c r="C3114" t="s">
        <v>28001</v>
      </c>
    </row>
    <row r="3115" spans="1:3">
      <c r="A3115" t="s">
        <v>28000</v>
      </c>
      <c r="B3115" s="590">
        <v>131</v>
      </c>
      <c r="C3115" t="s">
        <v>27999</v>
      </c>
    </row>
    <row r="3116" spans="1:3">
      <c r="A3116" t="s">
        <v>27998</v>
      </c>
      <c r="B3116" s="590">
        <v>151</v>
      </c>
      <c r="C3116" t="s">
        <v>27997</v>
      </c>
    </row>
    <row r="3117" spans="1:3">
      <c r="A3117" t="s">
        <v>27996</v>
      </c>
      <c r="B3117" s="590">
        <v>131</v>
      </c>
      <c r="C3117" t="s">
        <v>27995</v>
      </c>
    </row>
    <row r="3118" spans="1:3">
      <c r="A3118" t="s">
        <v>28394</v>
      </c>
      <c r="B3118" s="590">
        <v>131</v>
      </c>
      <c r="C3118" t="s">
        <v>28393</v>
      </c>
    </row>
    <row r="3119" spans="1:3">
      <c r="A3119" t="s">
        <v>28392</v>
      </c>
      <c r="B3119" s="590">
        <v>131</v>
      </c>
      <c r="C3119" t="s">
        <v>28391</v>
      </c>
    </row>
    <row r="3120" spans="1:3">
      <c r="A3120" t="s">
        <v>28390</v>
      </c>
      <c r="B3120" s="590">
        <v>131</v>
      </c>
      <c r="C3120" t="s">
        <v>28389</v>
      </c>
    </row>
    <row r="3121" spans="1:3">
      <c r="A3121" t="s">
        <v>28388</v>
      </c>
      <c r="B3121" s="590">
        <v>151</v>
      </c>
      <c r="C3121" t="s">
        <v>28387</v>
      </c>
    </row>
    <row r="3122" spans="1:3">
      <c r="A3122" t="s">
        <v>28386</v>
      </c>
      <c r="B3122" s="590">
        <v>131</v>
      </c>
      <c r="C3122" t="s">
        <v>28385</v>
      </c>
    </row>
    <row r="3123" spans="1:3">
      <c r="A3123" t="s">
        <v>31062</v>
      </c>
      <c r="B3123" s="590">
        <v>359</v>
      </c>
      <c r="C3123" t="s">
        <v>31061</v>
      </c>
    </row>
    <row r="3124" spans="1:3">
      <c r="A3124" t="s">
        <v>31060</v>
      </c>
      <c r="B3124" s="590">
        <v>488</v>
      </c>
      <c r="C3124" t="s">
        <v>31056</v>
      </c>
    </row>
    <row r="3125" spans="1:3">
      <c r="A3125" t="s">
        <v>31059</v>
      </c>
      <c r="B3125" s="590">
        <v>488</v>
      </c>
      <c r="C3125" t="s">
        <v>31056</v>
      </c>
    </row>
    <row r="3126" spans="1:3">
      <c r="A3126" t="s">
        <v>31058</v>
      </c>
      <c r="B3126" s="590">
        <v>488</v>
      </c>
      <c r="C3126" t="s">
        <v>31056</v>
      </c>
    </row>
    <row r="3127" spans="1:3">
      <c r="A3127" t="s">
        <v>31057</v>
      </c>
      <c r="B3127" s="590">
        <v>488</v>
      </c>
      <c r="C3127" t="s">
        <v>31056</v>
      </c>
    </row>
    <row r="3128" spans="1:3">
      <c r="A3128" t="s">
        <v>31055</v>
      </c>
      <c r="B3128" s="590">
        <v>488</v>
      </c>
      <c r="C3128" t="s">
        <v>31051</v>
      </c>
    </row>
    <row r="3129" spans="1:3">
      <c r="A3129" t="s">
        <v>31054</v>
      </c>
      <c r="B3129" s="590">
        <v>488</v>
      </c>
      <c r="C3129" t="s">
        <v>31051</v>
      </c>
    </row>
    <row r="3130" spans="1:3">
      <c r="A3130" t="s">
        <v>31053</v>
      </c>
      <c r="B3130" s="590">
        <v>488</v>
      </c>
      <c r="C3130" t="s">
        <v>31051</v>
      </c>
    </row>
    <row r="3131" spans="1:3">
      <c r="A3131" t="s">
        <v>31052</v>
      </c>
      <c r="B3131" s="590">
        <v>488</v>
      </c>
      <c r="C3131" t="s">
        <v>31051</v>
      </c>
    </row>
    <row r="3132" spans="1:3">
      <c r="A3132" t="s">
        <v>31050</v>
      </c>
      <c r="B3132" s="590">
        <v>488</v>
      </c>
      <c r="C3132" t="s">
        <v>31046</v>
      </c>
    </row>
    <row r="3133" spans="1:3">
      <c r="A3133" t="s">
        <v>31049</v>
      </c>
      <c r="B3133" s="590">
        <v>488</v>
      </c>
      <c r="C3133" t="s">
        <v>31046</v>
      </c>
    </row>
    <row r="3134" spans="1:3">
      <c r="A3134" t="s">
        <v>31048</v>
      </c>
      <c r="B3134" s="590">
        <v>488</v>
      </c>
      <c r="C3134" t="s">
        <v>31046</v>
      </c>
    </row>
    <row r="3135" spans="1:3">
      <c r="A3135" t="s">
        <v>31047</v>
      </c>
      <c r="B3135" s="590">
        <v>488</v>
      </c>
      <c r="C3135" t="s">
        <v>31046</v>
      </c>
    </row>
    <row r="3136" spans="1:3">
      <c r="A3136" t="s">
        <v>31045</v>
      </c>
      <c r="B3136" s="590">
        <v>874</v>
      </c>
      <c r="C3136" t="s">
        <v>31044</v>
      </c>
    </row>
    <row r="3137" spans="1:3">
      <c r="A3137" t="s">
        <v>31043</v>
      </c>
      <c r="B3137" s="590">
        <v>874</v>
      </c>
      <c r="C3137" t="s">
        <v>31042</v>
      </c>
    </row>
    <row r="3138" spans="1:3">
      <c r="A3138" t="s">
        <v>31041</v>
      </c>
      <c r="B3138" s="590">
        <v>874</v>
      </c>
      <c r="C3138" t="s">
        <v>31040</v>
      </c>
    </row>
    <row r="3139" spans="1:3">
      <c r="A3139" t="s">
        <v>31039</v>
      </c>
      <c r="B3139" s="590">
        <v>874</v>
      </c>
      <c r="C3139" t="s">
        <v>31038</v>
      </c>
    </row>
    <row r="3140" spans="1:3">
      <c r="A3140" t="s">
        <v>31037</v>
      </c>
      <c r="B3140" s="590">
        <v>1420</v>
      </c>
      <c r="C3140" t="s">
        <v>31036</v>
      </c>
    </row>
    <row r="3141" spans="1:3">
      <c r="A3141" t="s">
        <v>31035</v>
      </c>
      <c r="B3141" s="590">
        <v>1420</v>
      </c>
      <c r="C3141" t="s">
        <v>31034</v>
      </c>
    </row>
    <row r="3142" spans="1:3">
      <c r="A3142" t="s">
        <v>31033</v>
      </c>
      <c r="B3142" s="590">
        <v>1420</v>
      </c>
      <c r="C3142" t="s">
        <v>31032</v>
      </c>
    </row>
    <row r="3143" spans="1:3">
      <c r="A3143" t="s">
        <v>31031</v>
      </c>
      <c r="B3143" s="590">
        <v>1420</v>
      </c>
      <c r="C3143" t="s">
        <v>31030</v>
      </c>
    </row>
    <row r="3144" spans="1:3">
      <c r="A3144" t="s">
        <v>31029</v>
      </c>
      <c r="B3144" s="590">
        <v>874</v>
      </c>
      <c r="C3144" t="s">
        <v>31028</v>
      </c>
    </row>
    <row r="3145" spans="1:3">
      <c r="A3145" t="s">
        <v>31027</v>
      </c>
      <c r="B3145" s="590">
        <v>874</v>
      </c>
      <c r="C3145" t="s">
        <v>31026</v>
      </c>
    </row>
    <row r="3146" spans="1:3">
      <c r="A3146" t="s">
        <v>31025</v>
      </c>
      <c r="B3146" s="590">
        <v>874</v>
      </c>
      <c r="C3146" t="s">
        <v>31024</v>
      </c>
    </row>
    <row r="3147" spans="1:3">
      <c r="A3147" t="s">
        <v>31023</v>
      </c>
      <c r="B3147" s="590">
        <v>874</v>
      </c>
      <c r="C3147" t="s">
        <v>31022</v>
      </c>
    </row>
    <row r="3148" spans="1:3">
      <c r="A3148" t="s">
        <v>31021</v>
      </c>
      <c r="B3148" s="590">
        <v>1420</v>
      </c>
      <c r="C3148" t="s">
        <v>31020</v>
      </c>
    </row>
    <row r="3149" spans="1:3">
      <c r="A3149" t="s">
        <v>31019</v>
      </c>
      <c r="B3149" s="590">
        <v>1420</v>
      </c>
      <c r="C3149" t="s">
        <v>31018</v>
      </c>
    </row>
    <row r="3150" spans="1:3">
      <c r="A3150" t="s">
        <v>31017</v>
      </c>
      <c r="B3150" s="590">
        <v>1420</v>
      </c>
      <c r="C3150" t="s">
        <v>31016</v>
      </c>
    </row>
    <row r="3151" spans="1:3">
      <c r="A3151" t="s">
        <v>31015</v>
      </c>
      <c r="B3151" s="590">
        <v>1420</v>
      </c>
      <c r="C3151" t="s">
        <v>31014</v>
      </c>
    </row>
    <row r="3152" spans="1:3">
      <c r="A3152" t="s">
        <v>31013</v>
      </c>
      <c r="B3152" s="590">
        <v>874</v>
      </c>
      <c r="C3152" t="s">
        <v>31012</v>
      </c>
    </row>
    <row r="3153" spans="1:3">
      <c r="A3153" t="s">
        <v>31011</v>
      </c>
      <c r="B3153" s="590">
        <v>874</v>
      </c>
      <c r="C3153" t="s">
        <v>31010</v>
      </c>
    </row>
    <row r="3154" spans="1:3">
      <c r="A3154" t="s">
        <v>31009</v>
      </c>
      <c r="B3154" s="590">
        <v>874</v>
      </c>
      <c r="C3154" t="s">
        <v>31008</v>
      </c>
    </row>
    <row r="3155" spans="1:3">
      <c r="A3155" t="s">
        <v>31007</v>
      </c>
      <c r="B3155" s="590">
        <v>874</v>
      </c>
      <c r="C3155" t="s">
        <v>31006</v>
      </c>
    </row>
    <row r="3156" spans="1:3">
      <c r="A3156" t="s">
        <v>31005</v>
      </c>
      <c r="B3156" s="590">
        <v>1420</v>
      </c>
      <c r="C3156" t="s">
        <v>31004</v>
      </c>
    </row>
    <row r="3157" spans="1:3">
      <c r="A3157" t="s">
        <v>31003</v>
      </c>
      <c r="B3157" s="590">
        <v>1420</v>
      </c>
      <c r="C3157" t="s">
        <v>31002</v>
      </c>
    </row>
    <row r="3158" spans="1:3">
      <c r="A3158" t="s">
        <v>31001</v>
      </c>
      <c r="B3158" s="590">
        <v>1420</v>
      </c>
      <c r="C3158" t="s">
        <v>31000</v>
      </c>
    </row>
    <row r="3159" spans="1:3">
      <c r="A3159" t="s">
        <v>30999</v>
      </c>
      <c r="B3159" s="590">
        <v>1420</v>
      </c>
      <c r="C3159" t="s">
        <v>30998</v>
      </c>
    </row>
    <row r="3160" spans="1:3">
      <c r="A3160" t="s">
        <v>30997</v>
      </c>
      <c r="B3160" s="590">
        <v>838</v>
      </c>
      <c r="C3160" t="s">
        <v>30996</v>
      </c>
    </row>
    <row r="3161" spans="1:3">
      <c r="A3161" t="s">
        <v>30995</v>
      </c>
      <c r="B3161" s="590">
        <v>838</v>
      </c>
      <c r="C3161" t="s">
        <v>30994</v>
      </c>
    </row>
    <row r="3162" spans="1:3">
      <c r="A3162" t="s">
        <v>30993</v>
      </c>
      <c r="B3162" s="590">
        <v>838</v>
      </c>
      <c r="C3162" t="s">
        <v>30992</v>
      </c>
    </row>
    <row r="3163" spans="1:3">
      <c r="A3163" t="s">
        <v>30991</v>
      </c>
      <c r="B3163" s="590">
        <v>838</v>
      </c>
      <c r="C3163" t="s">
        <v>30990</v>
      </c>
    </row>
    <row r="3164" spans="1:3">
      <c r="A3164" t="s">
        <v>30989</v>
      </c>
      <c r="B3164" s="590">
        <v>1383</v>
      </c>
      <c r="C3164" t="s">
        <v>30988</v>
      </c>
    </row>
    <row r="3165" spans="1:3">
      <c r="A3165" t="s">
        <v>30987</v>
      </c>
      <c r="B3165" s="590">
        <v>1383</v>
      </c>
      <c r="C3165" t="s">
        <v>30986</v>
      </c>
    </row>
    <row r="3166" spans="1:3">
      <c r="A3166" t="s">
        <v>30985</v>
      </c>
      <c r="B3166" s="590">
        <v>1383</v>
      </c>
      <c r="C3166" t="s">
        <v>30984</v>
      </c>
    </row>
    <row r="3167" spans="1:3">
      <c r="A3167" t="s">
        <v>30983</v>
      </c>
      <c r="B3167" s="590">
        <v>1383</v>
      </c>
      <c r="C3167" t="s">
        <v>30982</v>
      </c>
    </row>
    <row r="3168" spans="1:3">
      <c r="A3168" t="s">
        <v>30981</v>
      </c>
      <c r="B3168" s="590">
        <v>838</v>
      </c>
      <c r="C3168" t="s">
        <v>30980</v>
      </c>
    </row>
    <row r="3169" spans="1:3">
      <c r="A3169" t="s">
        <v>30979</v>
      </c>
      <c r="B3169" s="590">
        <v>838</v>
      </c>
      <c r="C3169" t="s">
        <v>30978</v>
      </c>
    </row>
    <row r="3170" spans="1:3">
      <c r="A3170" t="s">
        <v>30977</v>
      </c>
      <c r="B3170" s="590">
        <v>838</v>
      </c>
      <c r="C3170" t="s">
        <v>30976</v>
      </c>
    </row>
    <row r="3171" spans="1:3">
      <c r="A3171" t="s">
        <v>30975</v>
      </c>
      <c r="B3171" s="590">
        <v>838</v>
      </c>
      <c r="C3171" t="s">
        <v>30974</v>
      </c>
    </row>
    <row r="3172" spans="1:3">
      <c r="A3172" t="s">
        <v>30973</v>
      </c>
      <c r="B3172" s="590">
        <v>1383</v>
      </c>
      <c r="C3172" t="s">
        <v>30972</v>
      </c>
    </row>
    <row r="3173" spans="1:3">
      <c r="A3173" t="s">
        <v>30971</v>
      </c>
      <c r="B3173" s="590">
        <v>1383</v>
      </c>
      <c r="C3173" t="s">
        <v>30970</v>
      </c>
    </row>
    <row r="3174" spans="1:3">
      <c r="A3174" t="s">
        <v>30969</v>
      </c>
      <c r="B3174" s="590">
        <v>1383</v>
      </c>
      <c r="C3174" t="s">
        <v>30968</v>
      </c>
    </row>
    <row r="3175" spans="1:3">
      <c r="A3175" t="s">
        <v>30967</v>
      </c>
      <c r="B3175" s="590">
        <v>1383</v>
      </c>
      <c r="C3175" t="s">
        <v>30966</v>
      </c>
    </row>
    <row r="3176" spans="1:3">
      <c r="A3176" t="s">
        <v>30965</v>
      </c>
      <c r="B3176" s="590">
        <v>838</v>
      </c>
      <c r="C3176" t="s">
        <v>30964</v>
      </c>
    </row>
    <row r="3177" spans="1:3">
      <c r="A3177" t="s">
        <v>30963</v>
      </c>
      <c r="B3177" s="590">
        <v>838</v>
      </c>
      <c r="C3177" t="s">
        <v>30962</v>
      </c>
    </row>
    <row r="3178" spans="1:3">
      <c r="A3178" t="s">
        <v>30961</v>
      </c>
      <c r="B3178" s="590">
        <v>838</v>
      </c>
      <c r="C3178" t="s">
        <v>30960</v>
      </c>
    </row>
    <row r="3179" spans="1:3">
      <c r="A3179" t="s">
        <v>30959</v>
      </c>
      <c r="B3179" s="590">
        <v>838</v>
      </c>
      <c r="C3179" t="s">
        <v>30958</v>
      </c>
    </row>
    <row r="3180" spans="1:3">
      <c r="A3180" t="s">
        <v>30957</v>
      </c>
      <c r="B3180" s="590">
        <v>1383</v>
      </c>
      <c r="C3180" t="s">
        <v>30956</v>
      </c>
    </row>
    <row r="3181" spans="1:3">
      <c r="A3181" t="s">
        <v>30955</v>
      </c>
      <c r="B3181" s="590">
        <v>1383</v>
      </c>
      <c r="C3181" t="s">
        <v>30954</v>
      </c>
    </row>
    <row r="3182" spans="1:3">
      <c r="A3182" t="s">
        <v>30953</v>
      </c>
      <c r="B3182" s="590">
        <v>1383</v>
      </c>
      <c r="C3182" t="s">
        <v>30952</v>
      </c>
    </row>
    <row r="3183" spans="1:3">
      <c r="A3183" t="s">
        <v>30951</v>
      </c>
      <c r="B3183" s="590">
        <v>1383</v>
      </c>
      <c r="C3183" t="s">
        <v>30950</v>
      </c>
    </row>
    <row r="3184" spans="1:3">
      <c r="A3184" t="s">
        <v>30949</v>
      </c>
      <c r="B3184" s="590">
        <v>874</v>
      </c>
      <c r="C3184" t="s">
        <v>30948</v>
      </c>
    </row>
    <row r="3185" spans="1:3">
      <c r="A3185" t="s">
        <v>30947</v>
      </c>
      <c r="B3185" s="590">
        <v>874</v>
      </c>
      <c r="C3185" t="s">
        <v>30946</v>
      </c>
    </row>
    <row r="3186" spans="1:3">
      <c r="A3186" t="s">
        <v>30945</v>
      </c>
      <c r="B3186" s="590">
        <v>874</v>
      </c>
      <c r="C3186" t="s">
        <v>30944</v>
      </c>
    </row>
    <row r="3187" spans="1:3">
      <c r="A3187" t="s">
        <v>30943</v>
      </c>
      <c r="B3187" s="590">
        <v>874</v>
      </c>
      <c r="C3187" t="s">
        <v>30942</v>
      </c>
    </row>
    <row r="3188" spans="1:3">
      <c r="A3188" t="s">
        <v>30941</v>
      </c>
      <c r="B3188" s="590">
        <v>1420</v>
      </c>
      <c r="C3188" t="s">
        <v>30940</v>
      </c>
    </row>
    <row r="3189" spans="1:3">
      <c r="A3189" t="s">
        <v>30939</v>
      </c>
      <c r="B3189" s="590">
        <v>1420</v>
      </c>
      <c r="C3189" t="s">
        <v>30938</v>
      </c>
    </row>
    <row r="3190" spans="1:3">
      <c r="A3190" t="s">
        <v>30937</v>
      </c>
      <c r="B3190" s="590">
        <v>1420</v>
      </c>
      <c r="C3190" t="s">
        <v>30936</v>
      </c>
    </row>
    <row r="3191" spans="1:3">
      <c r="A3191" t="s">
        <v>30935</v>
      </c>
      <c r="B3191" s="590">
        <v>1420</v>
      </c>
      <c r="C3191" t="s">
        <v>30934</v>
      </c>
    </row>
    <row r="3192" spans="1:3">
      <c r="A3192" t="s">
        <v>30933</v>
      </c>
      <c r="B3192" s="590">
        <v>838</v>
      </c>
      <c r="C3192" t="s">
        <v>30932</v>
      </c>
    </row>
    <row r="3193" spans="1:3">
      <c r="A3193" t="s">
        <v>30931</v>
      </c>
      <c r="B3193" s="590">
        <v>838</v>
      </c>
      <c r="C3193" t="s">
        <v>30930</v>
      </c>
    </row>
    <row r="3194" spans="1:3">
      <c r="A3194" t="s">
        <v>30929</v>
      </c>
      <c r="B3194" s="590">
        <v>838</v>
      </c>
      <c r="C3194" t="s">
        <v>30928</v>
      </c>
    </row>
    <row r="3195" spans="1:3">
      <c r="A3195" t="s">
        <v>30927</v>
      </c>
      <c r="B3195" s="590">
        <v>838</v>
      </c>
      <c r="C3195" t="s">
        <v>30926</v>
      </c>
    </row>
    <row r="3196" spans="1:3">
      <c r="A3196" t="s">
        <v>30925</v>
      </c>
      <c r="B3196" s="590">
        <v>1383</v>
      </c>
      <c r="C3196" t="s">
        <v>30924</v>
      </c>
    </row>
    <row r="3197" spans="1:3">
      <c r="A3197" t="s">
        <v>30923</v>
      </c>
      <c r="B3197" s="590">
        <v>1383</v>
      </c>
      <c r="C3197" t="s">
        <v>30922</v>
      </c>
    </row>
    <row r="3198" spans="1:3">
      <c r="A3198" t="s">
        <v>30921</v>
      </c>
      <c r="B3198" s="590">
        <v>1383</v>
      </c>
      <c r="C3198" t="s">
        <v>30920</v>
      </c>
    </row>
    <row r="3199" spans="1:3">
      <c r="A3199" t="s">
        <v>30919</v>
      </c>
      <c r="B3199" s="590">
        <v>1383</v>
      </c>
      <c r="C3199" t="s">
        <v>30918</v>
      </c>
    </row>
    <row r="3200" spans="1:3">
      <c r="A3200" t="s">
        <v>30917</v>
      </c>
      <c r="B3200" s="590">
        <v>838</v>
      </c>
      <c r="C3200" t="s">
        <v>30916</v>
      </c>
    </row>
    <row r="3201" spans="1:3">
      <c r="A3201" t="s">
        <v>30915</v>
      </c>
      <c r="B3201" s="590">
        <v>838</v>
      </c>
      <c r="C3201" t="s">
        <v>30914</v>
      </c>
    </row>
    <row r="3202" spans="1:3">
      <c r="A3202" t="s">
        <v>30913</v>
      </c>
      <c r="B3202" s="590">
        <v>838</v>
      </c>
      <c r="C3202" t="s">
        <v>30912</v>
      </c>
    </row>
    <row r="3203" spans="1:3">
      <c r="A3203" t="s">
        <v>30911</v>
      </c>
      <c r="B3203" s="590">
        <v>838</v>
      </c>
      <c r="C3203" t="s">
        <v>30910</v>
      </c>
    </row>
    <row r="3204" spans="1:3">
      <c r="A3204" t="s">
        <v>30909</v>
      </c>
      <c r="B3204" s="590">
        <v>1383</v>
      </c>
      <c r="C3204" t="s">
        <v>30908</v>
      </c>
    </row>
    <row r="3205" spans="1:3">
      <c r="A3205" t="s">
        <v>30907</v>
      </c>
      <c r="B3205" s="590">
        <v>1383</v>
      </c>
      <c r="C3205" t="s">
        <v>30906</v>
      </c>
    </row>
    <row r="3206" spans="1:3">
      <c r="A3206" t="s">
        <v>30905</v>
      </c>
      <c r="B3206" s="590">
        <v>1383</v>
      </c>
      <c r="C3206" t="s">
        <v>30904</v>
      </c>
    </row>
    <row r="3207" spans="1:3">
      <c r="A3207" t="s">
        <v>30903</v>
      </c>
      <c r="B3207" s="590">
        <v>1383</v>
      </c>
      <c r="C3207" t="s">
        <v>30902</v>
      </c>
    </row>
    <row r="3208" spans="1:3">
      <c r="A3208" t="s">
        <v>30901</v>
      </c>
      <c r="B3208" s="590">
        <v>874</v>
      </c>
      <c r="C3208" t="s">
        <v>30900</v>
      </c>
    </row>
    <row r="3209" spans="1:3">
      <c r="A3209" t="s">
        <v>30899</v>
      </c>
      <c r="B3209" s="590">
        <v>874</v>
      </c>
      <c r="C3209" t="s">
        <v>30898</v>
      </c>
    </row>
    <row r="3210" spans="1:3">
      <c r="A3210" t="s">
        <v>30897</v>
      </c>
      <c r="B3210" s="590">
        <v>874</v>
      </c>
      <c r="C3210" t="s">
        <v>30896</v>
      </c>
    </row>
    <row r="3211" spans="1:3">
      <c r="A3211" t="s">
        <v>30895</v>
      </c>
      <c r="B3211" s="590">
        <v>874</v>
      </c>
      <c r="C3211" t="s">
        <v>30894</v>
      </c>
    </row>
    <row r="3212" spans="1:3">
      <c r="A3212" t="s">
        <v>30893</v>
      </c>
      <c r="B3212" s="590">
        <v>1420</v>
      </c>
      <c r="C3212" t="s">
        <v>30892</v>
      </c>
    </row>
    <row r="3213" spans="1:3">
      <c r="A3213" t="s">
        <v>30891</v>
      </c>
      <c r="B3213" s="590">
        <v>1420</v>
      </c>
      <c r="C3213" t="s">
        <v>30890</v>
      </c>
    </row>
    <row r="3214" spans="1:3">
      <c r="A3214" t="s">
        <v>30889</v>
      </c>
      <c r="B3214" s="590">
        <v>1420</v>
      </c>
      <c r="C3214" t="s">
        <v>30888</v>
      </c>
    </row>
    <row r="3215" spans="1:3">
      <c r="A3215" t="s">
        <v>30887</v>
      </c>
      <c r="B3215" s="590">
        <v>1420</v>
      </c>
      <c r="C3215" t="s">
        <v>30886</v>
      </c>
    </row>
    <row r="3216" spans="1:3">
      <c r="A3216" t="s">
        <v>30885</v>
      </c>
      <c r="B3216" s="590">
        <v>838</v>
      </c>
      <c r="C3216" t="s">
        <v>30884</v>
      </c>
    </row>
    <row r="3217" spans="1:3">
      <c r="A3217" t="s">
        <v>30883</v>
      </c>
      <c r="B3217" s="590">
        <v>838</v>
      </c>
      <c r="C3217" t="s">
        <v>30882</v>
      </c>
    </row>
    <row r="3218" spans="1:3">
      <c r="A3218" t="s">
        <v>30881</v>
      </c>
      <c r="B3218" s="590">
        <v>838</v>
      </c>
      <c r="C3218" t="s">
        <v>30880</v>
      </c>
    </row>
    <row r="3219" spans="1:3">
      <c r="A3219" t="s">
        <v>30879</v>
      </c>
      <c r="B3219" s="590">
        <v>838</v>
      </c>
      <c r="C3219" t="s">
        <v>30878</v>
      </c>
    </row>
    <row r="3220" spans="1:3">
      <c r="A3220" t="s">
        <v>30877</v>
      </c>
      <c r="B3220" s="590">
        <v>1383</v>
      </c>
      <c r="C3220" t="s">
        <v>30876</v>
      </c>
    </row>
    <row r="3221" spans="1:3">
      <c r="A3221" t="s">
        <v>30875</v>
      </c>
      <c r="B3221" s="590">
        <v>1383</v>
      </c>
      <c r="C3221" t="s">
        <v>30874</v>
      </c>
    </row>
    <row r="3222" spans="1:3">
      <c r="A3222" t="s">
        <v>30873</v>
      </c>
      <c r="B3222" s="590">
        <v>1383</v>
      </c>
      <c r="C3222" t="s">
        <v>30872</v>
      </c>
    </row>
    <row r="3223" spans="1:3">
      <c r="A3223" t="s">
        <v>30871</v>
      </c>
      <c r="B3223" s="590">
        <v>1383</v>
      </c>
      <c r="C3223" t="s">
        <v>30870</v>
      </c>
    </row>
    <row r="3224" spans="1:3">
      <c r="A3224" t="s">
        <v>30869</v>
      </c>
      <c r="B3224" s="590">
        <v>874</v>
      </c>
      <c r="C3224" t="s">
        <v>30860</v>
      </c>
    </row>
    <row r="3225" spans="1:3">
      <c r="A3225" t="s">
        <v>30868</v>
      </c>
      <c r="B3225" s="590">
        <v>874</v>
      </c>
      <c r="C3225" t="s">
        <v>30858</v>
      </c>
    </row>
    <row r="3226" spans="1:3">
      <c r="A3226" t="s">
        <v>30867</v>
      </c>
      <c r="B3226" s="590">
        <v>874</v>
      </c>
      <c r="C3226" t="s">
        <v>30856</v>
      </c>
    </row>
    <row r="3227" spans="1:3">
      <c r="A3227" t="s">
        <v>30866</v>
      </c>
      <c r="B3227" s="590">
        <v>874</v>
      </c>
      <c r="C3227" t="s">
        <v>30854</v>
      </c>
    </row>
    <row r="3228" spans="1:3">
      <c r="A3228" t="s">
        <v>30865</v>
      </c>
      <c r="B3228" s="590">
        <v>1420</v>
      </c>
      <c r="C3228" t="s">
        <v>30852</v>
      </c>
    </row>
    <row r="3229" spans="1:3">
      <c r="A3229" t="s">
        <v>30864</v>
      </c>
      <c r="B3229" s="590">
        <v>1420</v>
      </c>
      <c r="C3229" t="s">
        <v>30850</v>
      </c>
    </row>
    <row r="3230" spans="1:3">
      <c r="A3230" t="s">
        <v>30863</v>
      </c>
      <c r="B3230" s="590">
        <v>1420</v>
      </c>
      <c r="C3230" t="s">
        <v>30848</v>
      </c>
    </row>
    <row r="3231" spans="1:3">
      <c r="A3231" t="s">
        <v>30862</v>
      </c>
      <c r="B3231" s="590">
        <v>1420</v>
      </c>
      <c r="C3231" t="s">
        <v>30846</v>
      </c>
    </row>
    <row r="3232" spans="1:3">
      <c r="A3232" t="s">
        <v>30861</v>
      </c>
      <c r="B3232" s="590">
        <v>874</v>
      </c>
      <c r="C3232" t="s">
        <v>30860</v>
      </c>
    </row>
    <row r="3233" spans="1:3">
      <c r="A3233" t="s">
        <v>30859</v>
      </c>
      <c r="B3233" s="590">
        <v>874</v>
      </c>
      <c r="C3233" t="s">
        <v>30858</v>
      </c>
    </row>
    <row r="3234" spans="1:3">
      <c r="A3234" t="s">
        <v>30857</v>
      </c>
      <c r="B3234" s="590">
        <v>874</v>
      </c>
      <c r="C3234" t="s">
        <v>30856</v>
      </c>
    </row>
    <row r="3235" spans="1:3">
      <c r="A3235" t="s">
        <v>30855</v>
      </c>
      <c r="B3235" s="590">
        <v>874</v>
      </c>
      <c r="C3235" t="s">
        <v>30854</v>
      </c>
    </row>
    <row r="3236" spans="1:3">
      <c r="A3236" t="s">
        <v>30853</v>
      </c>
      <c r="B3236" s="590">
        <v>1420</v>
      </c>
      <c r="C3236" t="s">
        <v>30852</v>
      </c>
    </row>
    <row r="3237" spans="1:3">
      <c r="A3237" t="s">
        <v>30851</v>
      </c>
      <c r="B3237" s="590">
        <v>1420</v>
      </c>
      <c r="C3237" t="s">
        <v>30850</v>
      </c>
    </row>
    <row r="3238" spans="1:3">
      <c r="A3238" t="s">
        <v>30849</v>
      </c>
      <c r="B3238" s="590">
        <v>1420</v>
      </c>
      <c r="C3238" t="s">
        <v>30848</v>
      </c>
    </row>
    <row r="3239" spans="1:3">
      <c r="A3239" t="s">
        <v>30847</v>
      </c>
      <c r="B3239" s="590">
        <v>1420</v>
      </c>
      <c r="C3239" t="s">
        <v>30846</v>
      </c>
    </row>
    <row r="3240" spans="1:3">
      <c r="A3240" t="s">
        <v>30845</v>
      </c>
      <c r="B3240" s="590">
        <v>874</v>
      </c>
      <c r="C3240" t="s">
        <v>30844</v>
      </c>
    </row>
    <row r="3241" spans="1:3">
      <c r="A3241" t="s">
        <v>30843</v>
      </c>
      <c r="B3241" s="590">
        <v>874</v>
      </c>
      <c r="C3241" t="s">
        <v>30842</v>
      </c>
    </row>
    <row r="3242" spans="1:3">
      <c r="A3242" t="s">
        <v>30841</v>
      </c>
      <c r="B3242" s="590">
        <v>874</v>
      </c>
      <c r="C3242" t="s">
        <v>30840</v>
      </c>
    </row>
    <row r="3243" spans="1:3">
      <c r="A3243" t="s">
        <v>30839</v>
      </c>
      <c r="B3243" s="590">
        <v>874</v>
      </c>
      <c r="C3243" t="s">
        <v>30838</v>
      </c>
    </row>
    <row r="3244" spans="1:3">
      <c r="A3244" t="s">
        <v>30837</v>
      </c>
      <c r="B3244" s="590">
        <v>1420</v>
      </c>
      <c r="C3244" t="s">
        <v>30836</v>
      </c>
    </row>
    <row r="3245" spans="1:3">
      <c r="A3245" t="s">
        <v>30835</v>
      </c>
      <c r="B3245" s="590">
        <v>1420</v>
      </c>
      <c r="C3245" t="s">
        <v>30834</v>
      </c>
    </row>
    <row r="3246" spans="1:3">
      <c r="A3246" t="s">
        <v>30833</v>
      </c>
      <c r="B3246" s="590">
        <v>1420</v>
      </c>
      <c r="C3246" t="s">
        <v>30832</v>
      </c>
    </row>
    <row r="3247" spans="1:3">
      <c r="A3247" t="s">
        <v>30831</v>
      </c>
      <c r="B3247" s="590">
        <v>1420</v>
      </c>
      <c r="C3247" t="s">
        <v>30830</v>
      </c>
    </row>
    <row r="3248" spans="1:3">
      <c r="A3248" t="s">
        <v>30829</v>
      </c>
      <c r="B3248" s="590">
        <v>874</v>
      </c>
      <c r="C3248" t="s">
        <v>30828</v>
      </c>
    </row>
    <row r="3249" spans="1:3">
      <c r="A3249" t="s">
        <v>30827</v>
      </c>
      <c r="B3249" s="590">
        <v>874</v>
      </c>
      <c r="C3249" t="s">
        <v>30826</v>
      </c>
    </row>
    <row r="3250" spans="1:3">
      <c r="A3250" t="s">
        <v>30825</v>
      </c>
      <c r="B3250" s="590">
        <v>874</v>
      </c>
      <c r="C3250" t="s">
        <v>30824</v>
      </c>
    </row>
    <row r="3251" spans="1:3">
      <c r="A3251" t="s">
        <v>30823</v>
      </c>
      <c r="B3251" s="590">
        <v>874</v>
      </c>
      <c r="C3251" t="s">
        <v>30822</v>
      </c>
    </row>
    <row r="3252" spans="1:3">
      <c r="A3252" t="s">
        <v>30821</v>
      </c>
      <c r="B3252" s="590">
        <v>1420</v>
      </c>
      <c r="C3252" t="s">
        <v>30820</v>
      </c>
    </row>
    <row r="3253" spans="1:3">
      <c r="A3253" t="s">
        <v>30819</v>
      </c>
      <c r="B3253" s="590">
        <v>1420</v>
      </c>
      <c r="C3253" t="s">
        <v>30818</v>
      </c>
    </row>
    <row r="3254" spans="1:3">
      <c r="A3254" t="s">
        <v>30817</v>
      </c>
      <c r="B3254" s="590">
        <v>1420</v>
      </c>
      <c r="C3254" t="s">
        <v>30816</v>
      </c>
    </row>
    <row r="3255" spans="1:3">
      <c r="A3255" t="s">
        <v>30815</v>
      </c>
      <c r="B3255" s="590">
        <v>1420</v>
      </c>
      <c r="C3255" t="s">
        <v>30814</v>
      </c>
    </row>
    <row r="3256" spans="1:3">
      <c r="A3256" t="s">
        <v>30477</v>
      </c>
      <c r="B3256" s="590">
        <v>21</v>
      </c>
      <c r="C3256" t="s">
        <v>30476</v>
      </c>
    </row>
    <row r="3257" spans="1:3">
      <c r="A3257" t="s">
        <v>30475</v>
      </c>
      <c r="B3257" s="590">
        <v>63</v>
      </c>
      <c r="C3257" t="s">
        <v>30474</v>
      </c>
    </row>
    <row r="3258" spans="1:3">
      <c r="A3258" t="s">
        <v>30473</v>
      </c>
      <c r="B3258" s="590">
        <v>63</v>
      </c>
      <c r="C3258" t="s">
        <v>30472</v>
      </c>
    </row>
    <row r="3259" spans="1:3">
      <c r="A3259" t="s">
        <v>30471</v>
      </c>
      <c r="B3259" s="590">
        <v>63</v>
      </c>
      <c r="C3259" t="s">
        <v>30470</v>
      </c>
    </row>
    <row r="3260" spans="1:3">
      <c r="A3260" t="s">
        <v>30469</v>
      </c>
      <c r="B3260" s="590">
        <v>75</v>
      </c>
      <c r="C3260" t="s">
        <v>30468</v>
      </c>
    </row>
    <row r="3261" spans="1:3">
      <c r="A3261" t="s">
        <v>30467</v>
      </c>
      <c r="B3261" s="590">
        <v>63</v>
      </c>
      <c r="C3261" t="s">
        <v>30466</v>
      </c>
    </row>
    <row r="3262" spans="1:3">
      <c r="A3262" t="s">
        <v>30465</v>
      </c>
      <c r="B3262" s="590">
        <v>63</v>
      </c>
      <c r="C3262" t="s">
        <v>30464</v>
      </c>
    </row>
    <row r="3263" spans="1:3">
      <c r="A3263" t="s">
        <v>30463</v>
      </c>
      <c r="B3263" s="590">
        <v>75</v>
      </c>
      <c r="C3263" t="s">
        <v>30462</v>
      </c>
    </row>
    <row r="3264" spans="1:3">
      <c r="A3264" t="s">
        <v>30461</v>
      </c>
      <c r="B3264" s="590">
        <v>63</v>
      </c>
      <c r="C3264" t="s">
        <v>30460</v>
      </c>
    </row>
    <row r="3265" spans="1:3">
      <c r="A3265" t="s">
        <v>30459</v>
      </c>
      <c r="B3265" s="590">
        <v>123</v>
      </c>
      <c r="C3265" t="s">
        <v>30458</v>
      </c>
    </row>
    <row r="3266" spans="1:3">
      <c r="A3266" t="s">
        <v>30457</v>
      </c>
      <c r="B3266" s="590">
        <v>123</v>
      </c>
      <c r="C3266" t="s">
        <v>30456</v>
      </c>
    </row>
    <row r="3267" spans="1:3">
      <c r="A3267" t="s">
        <v>30455</v>
      </c>
      <c r="B3267" s="590">
        <v>123</v>
      </c>
      <c r="C3267" t="s">
        <v>30454</v>
      </c>
    </row>
    <row r="3268" spans="1:3">
      <c r="A3268" t="s">
        <v>30453</v>
      </c>
      <c r="B3268" s="590">
        <v>123</v>
      </c>
      <c r="C3268" t="s">
        <v>30452</v>
      </c>
    </row>
    <row r="3269" spans="1:3">
      <c r="A3269" t="s">
        <v>27809</v>
      </c>
      <c r="B3269" s="590">
        <v>227</v>
      </c>
      <c r="C3269" t="s">
        <v>27808</v>
      </c>
    </row>
    <row r="3270" spans="1:3">
      <c r="A3270" t="s">
        <v>30813</v>
      </c>
      <c r="B3270" s="590">
        <v>750</v>
      </c>
      <c r="C3270" t="s">
        <v>30812</v>
      </c>
    </row>
    <row r="3271" spans="1:3">
      <c r="A3271" t="s">
        <v>30811</v>
      </c>
      <c r="B3271" s="590">
        <v>750</v>
      </c>
      <c r="C3271" t="s">
        <v>30810</v>
      </c>
    </row>
    <row r="3272" spans="1:3">
      <c r="A3272" t="s">
        <v>30809</v>
      </c>
      <c r="B3272" s="590">
        <v>1295</v>
      </c>
      <c r="C3272" t="s">
        <v>30808</v>
      </c>
    </row>
    <row r="3273" spans="1:3">
      <c r="A3273" t="s">
        <v>30807</v>
      </c>
      <c r="B3273" s="590">
        <v>1295</v>
      </c>
      <c r="C3273" t="s">
        <v>30806</v>
      </c>
    </row>
    <row r="3274" spans="1:3">
      <c r="A3274" t="s">
        <v>30805</v>
      </c>
      <c r="B3274" s="590">
        <v>750</v>
      </c>
      <c r="C3274" t="s">
        <v>30804</v>
      </c>
    </row>
    <row r="3275" spans="1:3">
      <c r="A3275" t="s">
        <v>30803</v>
      </c>
      <c r="B3275" s="590">
        <v>750</v>
      </c>
      <c r="C3275" t="s">
        <v>30802</v>
      </c>
    </row>
    <row r="3276" spans="1:3">
      <c r="A3276" t="s">
        <v>30801</v>
      </c>
      <c r="B3276" s="590">
        <v>1295</v>
      </c>
      <c r="C3276" t="s">
        <v>30800</v>
      </c>
    </row>
    <row r="3277" spans="1:3">
      <c r="A3277" t="s">
        <v>30799</v>
      </c>
      <c r="B3277" s="590">
        <v>1295</v>
      </c>
      <c r="C3277" t="s">
        <v>30798</v>
      </c>
    </row>
    <row r="3278" spans="1:3">
      <c r="A3278" t="s">
        <v>30797</v>
      </c>
      <c r="B3278" s="590">
        <v>750</v>
      </c>
      <c r="C3278" t="s">
        <v>30796</v>
      </c>
    </row>
    <row r="3279" spans="1:3">
      <c r="A3279" t="s">
        <v>30795</v>
      </c>
      <c r="B3279" s="590">
        <v>750</v>
      </c>
      <c r="C3279" t="s">
        <v>30794</v>
      </c>
    </row>
    <row r="3280" spans="1:3">
      <c r="A3280" t="s">
        <v>30793</v>
      </c>
      <c r="B3280" s="590">
        <v>1295</v>
      </c>
      <c r="C3280" t="s">
        <v>30792</v>
      </c>
    </row>
    <row r="3281" spans="1:3">
      <c r="A3281" t="s">
        <v>30791</v>
      </c>
      <c r="B3281" s="590">
        <v>1295</v>
      </c>
      <c r="C3281" t="s">
        <v>30790</v>
      </c>
    </row>
    <row r="3282" spans="1:3">
      <c r="A3282" t="s">
        <v>30789</v>
      </c>
      <c r="B3282" s="590">
        <v>712</v>
      </c>
      <c r="C3282" t="s">
        <v>30788</v>
      </c>
    </row>
    <row r="3283" spans="1:3">
      <c r="A3283" t="s">
        <v>30787</v>
      </c>
      <c r="B3283" s="590">
        <v>712</v>
      </c>
      <c r="C3283" t="s">
        <v>30786</v>
      </c>
    </row>
    <row r="3284" spans="1:3">
      <c r="A3284" t="s">
        <v>30785</v>
      </c>
      <c r="B3284" s="590">
        <v>1219</v>
      </c>
      <c r="C3284" t="s">
        <v>30784</v>
      </c>
    </row>
    <row r="3285" spans="1:3">
      <c r="A3285" t="s">
        <v>30783</v>
      </c>
      <c r="B3285" s="590">
        <v>1219</v>
      </c>
      <c r="C3285" t="s">
        <v>30782</v>
      </c>
    </row>
    <row r="3286" spans="1:3">
      <c r="A3286" t="s">
        <v>30781</v>
      </c>
      <c r="B3286" s="590">
        <v>712</v>
      </c>
      <c r="C3286" t="s">
        <v>30780</v>
      </c>
    </row>
    <row r="3287" spans="1:3">
      <c r="A3287" t="s">
        <v>30779</v>
      </c>
      <c r="B3287" s="590">
        <v>712</v>
      </c>
      <c r="C3287" t="s">
        <v>30778</v>
      </c>
    </row>
    <row r="3288" spans="1:3">
      <c r="A3288" t="s">
        <v>30777</v>
      </c>
      <c r="B3288" s="590">
        <v>1219</v>
      </c>
      <c r="C3288" t="s">
        <v>30776</v>
      </c>
    </row>
    <row r="3289" spans="1:3">
      <c r="A3289" t="s">
        <v>30775</v>
      </c>
      <c r="B3289" s="590">
        <v>1219</v>
      </c>
      <c r="C3289" t="s">
        <v>30774</v>
      </c>
    </row>
    <row r="3290" spans="1:3">
      <c r="A3290" t="s">
        <v>30773</v>
      </c>
      <c r="B3290" s="590">
        <v>712</v>
      </c>
      <c r="C3290" t="s">
        <v>30772</v>
      </c>
    </row>
    <row r="3291" spans="1:3">
      <c r="A3291" t="s">
        <v>30771</v>
      </c>
      <c r="B3291" s="590">
        <v>712</v>
      </c>
      <c r="C3291" t="s">
        <v>30770</v>
      </c>
    </row>
    <row r="3292" spans="1:3">
      <c r="A3292" t="s">
        <v>30769</v>
      </c>
      <c r="B3292" s="590">
        <v>1219</v>
      </c>
      <c r="C3292" t="s">
        <v>30768</v>
      </c>
    </row>
    <row r="3293" spans="1:3">
      <c r="A3293" t="s">
        <v>30767</v>
      </c>
      <c r="B3293" s="590">
        <v>1219</v>
      </c>
      <c r="C3293" t="s">
        <v>30766</v>
      </c>
    </row>
    <row r="3294" spans="1:3">
      <c r="A3294" t="s">
        <v>30765</v>
      </c>
      <c r="B3294" s="590">
        <v>750</v>
      </c>
      <c r="C3294" t="s">
        <v>30764</v>
      </c>
    </row>
    <row r="3295" spans="1:3">
      <c r="A3295" t="s">
        <v>30763</v>
      </c>
      <c r="B3295" s="590">
        <v>750</v>
      </c>
      <c r="C3295" t="s">
        <v>30762</v>
      </c>
    </row>
    <row r="3296" spans="1:3">
      <c r="A3296" t="s">
        <v>30761</v>
      </c>
      <c r="B3296" s="590">
        <v>1295</v>
      </c>
      <c r="C3296" t="s">
        <v>30760</v>
      </c>
    </row>
    <row r="3297" spans="1:3">
      <c r="A3297" t="s">
        <v>30759</v>
      </c>
      <c r="B3297" s="590">
        <v>1295</v>
      </c>
      <c r="C3297" t="s">
        <v>30758</v>
      </c>
    </row>
    <row r="3298" spans="1:3">
      <c r="A3298" t="s">
        <v>30757</v>
      </c>
      <c r="B3298" s="590">
        <v>712</v>
      </c>
      <c r="C3298" t="s">
        <v>30756</v>
      </c>
    </row>
    <row r="3299" spans="1:3">
      <c r="A3299" t="s">
        <v>30755</v>
      </c>
      <c r="B3299" s="590">
        <v>712</v>
      </c>
      <c r="C3299" t="s">
        <v>30754</v>
      </c>
    </row>
    <row r="3300" spans="1:3">
      <c r="A3300" t="s">
        <v>30753</v>
      </c>
      <c r="B3300" s="590">
        <v>1219</v>
      </c>
      <c r="C3300" t="s">
        <v>30752</v>
      </c>
    </row>
    <row r="3301" spans="1:3">
      <c r="A3301" t="s">
        <v>30751</v>
      </c>
      <c r="B3301" s="590">
        <v>1219</v>
      </c>
      <c r="C3301" t="s">
        <v>30750</v>
      </c>
    </row>
    <row r="3302" spans="1:3">
      <c r="A3302" t="s">
        <v>30749</v>
      </c>
      <c r="B3302" s="590">
        <v>712</v>
      </c>
      <c r="C3302" t="s">
        <v>30748</v>
      </c>
    </row>
    <row r="3303" spans="1:3">
      <c r="A3303" t="s">
        <v>30747</v>
      </c>
      <c r="B3303" s="590">
        <v>712</v>
      </c>
      <c r="C3303" t="s">
        <v>30746</v>
      </c>
    </row>
    <row r="3304" spans="1:3">
      <c r="A3304" t="s">
        <v>30745</v>
      </c>
      <c r="B3304" s="590">
        <v>1219</v>
      </c>
      <c r="C3304" t="s">
        <v>30744</v>
      </c>
    </row>
    <row r="3305" spans="1:3">
      <c r="A3305" t="s">
        <v>30743</v>
      </c>
      <c r="B3305" s="590">
        <v>1219</v>
      </c>
      <c r="C3305" t="s">
        <v>30742</v>
      </c>
    </row>
    <row r="3306" spans="1:3">
      <c r="A3306" t="s">
        <v>30741</v>
      </c>
      <c r="B3306" s="590">
        <v>750</v>
      </c>
      <c r="C3306" t="s">
        <v>30740</v>
      </c>
    </row>
    <row r="3307" spans="1:3">
      <c r="A3307" t="s">
        <v>30739</v>
      </c>
      <c r="B3307" s="590">
        <v>750</v>
      </c>
      <c r="C3307" t="s">
        <v>30738</v>
      </c>
    </row>
    <row r="3308" spans="1:3">
      <c r="A3308" t="s">
        <v>30737</v>
      </c>
      <c r="B3308" s="590">
        <v>1295</v>
      </c>
      <c r="C3308" t="s">
        <v>30736</v>
      </c>
    </row>
    <row r="3309" spans="1:3">
      <c r="A3309" t="s">
        <v>30735</v>
      </c>
      <c r="B3309" s="590">
        <v>1295</v>
      </c>
      <c r="C3309" t="s">
        <v>30734</v>
      </c>
    </row>
    <row r="3310" spans="1:3">
      <c r="A3310" t="s">
        <v>30733</v>
      </c>
      <c r="B3310" s="590">
        <v>712</v>
      </c>
      <c r="C3310" t="s">
        <v>30732</v>
      </c>
    </row>
    <row r="3311" spans="1:3">
      <c r="A3311" t="s">
        <v>30731</v>
      </c>
      <c r="B3311" s="590">
        <v>712</v>
      </c>
      <c r="C3311" t="s">
        <v>30730</v>
      </c>
    </row>
    <row r="3312" spans="1:3">
      <c r="A3312" t="s">
        <v>30729</v>
      </c>
      <c r="B3312" s="590">
        <v>1219</v>
      </c>
      <c r="C3312" t="s">
        <v>30728</v>
      </c>
    </row>
    <row r="3313" spans="1:3">
      <c r="A3313" t="s">
        <v>30727</v>
      </c>
      <c r="B3313" s="590">
        <v>1219</v>
      </c>
      <c r="C3313" t="s">
        <v>30726</v>
      </c>
    </row>
    <row r="3314" spans="1:3">
      <c r="A3314" t="s">
        <v>30725</v>
      </c>
      <c r="B3314" s="590">
        <v>750</v>
      </c>
      <c r="C3314" t="s">
        <v>30720</v>
      </c>
    </row>
    <row r="3315" spans="1:3">
      <c r="A3315" t="s">
        <v>30724</v>
      </c>
      <c r="B3315" s="590">
        <v>750</v>
      </c>
      <c r="C3315" t="s">
        <v>30718</v>
      </c>
    </row>
    <row r="3316" spans="1:3">
      <c r="A3316" t="s">
        <v>30723</v>
      </c>
      <c r="B3316" s="590">
        <v>1295</v>
      </c>
      <c r="C3316" t="s">
        <v>30716</v>
      </c>
    </row>
    <row r="3317" spans="1:3">
      <c r="A3317" t="s">
        <v>30722</v>
      </c>
      <c r="B3317" s="590">
        <v>1295</v>
      </c>
      <c r="C3317" t="s">
        <v>30714</v>
      </c>
    </row>
    <row r="3318" spans="1:3">
      <c r="A3318" t="s">
        <v>30721</v>
      </c>
      <c r="B3318" s="590">
        <v>750</v>
      </c>
      <c r="C3318" t="s">
        <v>30720</v>
      </c>
    </row>
    <row r="3319" spans="1:3">
      <c r="A3319" t="s">
        <v>30719</v>
      </c>
      <c r="B3319" s="590">
        <v>750</v>
      </c>
      <c r="C3319" t="s">
        <v>30718</v>
      </c>
    </row>
    <row r="3320" spans="1:3">
      <c r="A3320" t="s">
        <v>30717</v>
      </c>
      <c r="B3320" s="590">
        <v>1295</v>
      </c>
      <c r="C3320" t="s">
        <v>30716</v>
      </c>
    </row>
    <row r="3321" spans="1:3">
      <c r="A3321" t="s">
        <v>30715</v>
      </c>
      <c r="B3321" s="590">
        <v>1295</v>
      </c>
      <c r="C3321" t="s">
        <v>30714</v>
      </c>
    </row>
    <row r="3322" spans="1:3">
      <c r="A3322" t="s">
        <v>30713</v>
      </c>
      <c r="B3322" s="590">
        <v>750</v>
      </c>
      <c r="C3322" t="s">
        <v>30712</v>
      </c>
    </row>
    <row r="3323" spans="1:3">
      <c r="A3323" t="s">
        <v>30711</v>
      </c>
      <c r="B3323" s="590">
        <v>750</v>
      </c>
      <c r="C3323" t="s">
        <v>30710</v>
      </c>
    </row>
    <row r="3324" spans="1:3">
      <c r="A3324" t="s">
        <v>30709</v>
      </c>
      <c r="B3324" s="590">
        <v>1295</v>
      </c>
      <c r="C3324" t="s">
        <v>30708</v>
      </c>
    </row>
    <row r="3325" spans="1:3">
      <c r="A3325" t="s">
        <v>30707</v>
      </c>
      <c r="B3325" s="590">
        <v>1295</v>
      </c>
      <c r="C3325" t="s">
        <v>30706</v>
      </c>
    </row>
    <row r="3326" spans="1:3">
      <c r="A3326" t="s">
        <v>30477</v>
      </c>
      <c r="B3326" s="590">
        <v>21</v>
      </c>
      <c r="C3326" t="s">
        <v>30476</v>
      </c>
    </row>
    <row r="3327" spans="1:3">
      <c r="A3327" t="s">
        <v>30705</v>
      </c>
      <c r="B3327" s="590">
        <v>1260</v>
      </c>
      <c r="C3327" t="s">
        <v>30704</v>
      </c>
    </row>
    <row r="3328" spans="1:3">
      <c r="A3328" t="s">
        <v>30703</v>
      </c>
      <c r="B3328" s="590">
        <v>2254</v>
      </c>
      <c r="C3328" t="s">
        <v>30702</v>
      </c>
    </row>
    <row r="3329" spans="1:3">
      <c r="A3329" t="s">
        <v>30701</v>
      </c>
      <c r="B3329" s="590">
        <v>1260</v>
      </c>
      <c r="C3329" t="s">
        <v>30700</v>
      </c>
    </row>
    <row r="3330" spans="1:3">
      <c r="A3330" t="s">
        <v>30699</v>
      </c>
      <c r="B3330" s="590">
        <v>2254</v>
      </c>
      <c r="C3330" t="s">
        <v>30698</v>
      </c>
    </row>
    <row r="3331" spans="1:3">
      <c r="A3331" t="s">
        <v>30697</v>
      </c>
      <c r="B3331" s="590">
        <v>1260</v>
      </c>
      <c r="C3331" t="s">
        <v>30696</v>
      </c>
    </row>
    <row r="3332" spans="1:3">
      <c r="A3332" t="s">
        <v>30695</v>
      </c>
      <c r="B3332" s="590">
        <v>2254</v>
      </c>
      <c r="C3332" t="s">
        <v>30694</v>
      </c>
    </row>
    <row r="3333" spans="1:3">
      <c r="A3333" t="s">
        <v>30693</v>
      </c>
      <c r="B3333" s="590">
        <v>1260</v>
      </c>
      <c r="C3333" t="s">
        <v>30692</v>
      </c>
    </row>
    <row r="3334" spans="1:3">
      <c r="A3334" t="s">
        <v>30691</v>
      </c>
      <c r="B3334" s="590">
        <v>2254</v>
      </c>
      <c r="C3334" t="s">
        <v>30690</v>
      </c>
    </row>
    <row r="3335" spans="1:3">
      <c r="A3335" t="s">
        <v>30689</v>
      </c>
      <c r="B3335" s="590">
        <v>1260</v>
      </c>
      <c r="C3335" t="s">
        <v>30688</v>
      </c>
    </row>
    <row r="3336" spans="1:3">
      <c r="A3336" t="s">
        <v>30687</v>
      </c>
      <c r="B3336" s="590">
        <v>2254</v>
      </c>
      <c r="C3336" t="s">
        <v>30686</v>
      </c>
    </row>
    <row r="3337" spans="1:3">
      <c r="A3337" t="s">
        <v>30685</v>
      </c>
      <c r="B3337" s="590">
        <v>1260</v>
      </c>
      <c r="C3337" t="s">
        <v>30684</v>
      </c>
    </row>
    <row r="3338" spans="1:3">
      <c r="A3338" t="s">
        <v>30683</v>
      </c>
      <c r="B3338" s="590">
        <v>2254</v>
      </c>
      <c r="C3338" t="s">
        <v>30682</v>
      </c>
    </row>
    <row r="3339" spans="1:3">
      <c r="A3339" t="s">
        <v>30681</v>
      </c>
      <c r="B3339" s="590">
        <v>1260</v>
      </c>
      <c r="C3339" t="s">
        <v>30680</v>
      </c>
    </row>
    <row r="3340" spans="1:3">
      <c r="A3340" t="s">
        <v>30679</v>
      </c>
      <c r="B3340" s="590">
        <v>2254</v>
      </c>
      <c r="C3340" t="s">
        <v>30678</v>
      </c>
    </row>
    <row r="3341" spans="1:3">
      <c r="A3341" t="s">
        <v>30677</v>
      </c>
      <c r="B3341" s="590">
        <v>1260</v>
      </c>
      <c r="C3341" t="s">
        <v>30676</v>
      </c>
    </row>
    <row r="3342" spans="1:3">
      <c r="A3342" t="s">
        <v>30675</v>
      </c>
      <c r="B3342" s="590">
        <v>2254</v>
      </c>
      <c r="C3342" t="s">
        <v>30674</v>
      </c>
    </row>
    <row r="3343" spans="1:3">
      <c r="A3343" t="s">
        <v>30673</v>
      </c>
      <c r="B3343" s="590">
        <v>1260</v>
      </c>
      <c r="C3343" t="s">
        <v>30672</v>
      </c>
    </row>
    <row r="3344" spans="1:3">
      <c r="A3344" t="s">
        <v>30671</v>
      </c>
      <c r="B3344" s="590">
        <v>2254</v>
      </c>
      <c r="C3344" t="s">
        <v>30670</v>
      </c>
    </row>
    <row r="3345" spans="1:3">
      <c r="A3345" t="s">
        <v>30669</v>
      </c>
      <c r="B3345" s="590">
        <v>1260</v>
      </c>
      <c r="C3345" t="s">
        <v>30668</v>
      </c>
    </row>
    <row r="3346" spans="1:3">
      <c r="A3346" t="s">
        <v>30667</v>
      </c>
      <c r="B3346" s="590">
        <v>2254</v>
      </c>
      <c r="C3346" t="s">
        <v>30666</v>
      </c>
    </row>
    <row r="3347" spans="1:3">
      <c r="A3347" t="s">
        <v>30665</v>
      </c>
      <c r="B3347" s="590">
        <v>1260</v>
      </c>
      <c r="C3347" t="s">
        <v>30664</v>
      </c>
    </row>
    <row r="3348" spans="1:3">
      <c r="A3348" t="s">
        <v>30663</v>
      </c>
      <c r="B3348" s="590">
        <v>2254</v>
      </c>
      <c r="C3348" t="s">
        <v>30662</v>
      </c>
    </row>
    <row r="3349" spans="1:3">
      <c r="A3349" t="s">
        <v>30661</v>
      </c>
      <c r="B3349" s="590">
        <v>1260</v>
      </c>
      <c r="C3349" t="s">
        <v>30660</v>
      </c>
    </row>
    <row r="3350" spans="1:3">
      <c r="A3350" t="s">
        <v>30659</v>
      </c>
      <c r="B3350" s="590">
        <v>2254</v>
      </c>
      <c r="C3350" t="s">
        <v>30658</v>
      </c>
    </row>
    <row r="3351" spans="1:3">
      <c r="A3351" t="s">
        <v>30657</v>
      </c>
      <c r="B3351" s="590">
        <v>1260</v>
      </c>
      <c r="C3351" t="s">
        <v>30656</v>
      </c>
    </row>
    <row r="3352" spans="1:3">
      <c r="A3352" t="s">
        <v>30655</v>
      </c>
      <c r="B3352" s="590">
        <v>2254</v>
      </c>
      <c r="C3352" t="s">
        <v>30654</v>
      </c>
    </row>
    <row r="3353" spans="1:3">
      <c r="A3353" t="s">
        <v>27809</v>
      </c>
      <c r="B3353" s="590">
        <v>227</v>
      </c>
      <c r="C3353" t="s">
        <v>27808</v>
      </c>
    </row>
    <row r="3354" spans="1:3">
      <c r="A3354" t="s">
        <v>30653</v>
      </c>
      <c r="B3354" s="590">
        <v>764</v>
      </c>
      <c r="C3354" t="s">
        <v>30652</v>
      </c>
    </row>
    <row r="3355" spans="1:3">
      <c r="A3355" t="s">
        <v>30651</v>
      </c>
      <c r="B3355" s="590">
        <v>764</v>
      </c>
      <c r="C3355" t="s">
        <v>30650</v>
      </c>
    </row>
    <row r="3356" spans="1:3">
      <c r="A3356" t="s">
        <v>30649</v>
      </c>
      <c r="B3356" s="590">
        <v>1321</v>
      </c>
      <c r="C3356" t="s">
        <v>30648</v>
      </c>
    </row>
    <row r="3357" spans="1:3">
      <c r="A3357" t="s">
        <v>30647</v>
      </c>
      <c r="B3357" s="590">
        <v>1321</v>
      </c>
      <c r="C3357" t="s">
        <v>30646</v>
      </c>
    </row>
    <row r="3358" spans="1:3">
      <c r="A3358" t="s">
        <v>30645</v>
      </c>
      <c r="B3358" s="590">
        <v>764</v>
      </c>
      <c r="C3358" t="s">
        <v>30644</v>
      </c>
    </row>
    <row r="3359" spans="1:3">
      <c r="A3359" t="s">
        <v>30643</v>
      </c>
      <c r="B3359" s="590">
        <v>764</v>
      </c>
      <c r="C3359" t="s">
        <v>30642</v>
      </c>
    </row>
    <row r="3360" spans="1:3">
      <c r="A3360" t="s">
        <v>30641</v>
      </c>
      <c r="B3360" s="590">
        <v>1321</v>
      </c>
      <c r="C3360" t="s">
        <v>30640</v>
      </c>
    </row>
    <row r="3361" spans="1:3">
      <c r="A3361" t="s">
        <v>30639</v>
      </c>
      <c r="B3361" s="590">
        <v>1321</v>
      </c>
      <c r="C3361" t="s">
        <v>30638</v>
      </c>
    </row>
    <row r="3362" spans="1:3">
      <c r="A3362" t="s">
        <v>30637</v>
      </c>
      <c r="B3362" s="590">
        <v>764</v>
      </c>
      <c r="C3362" t="s">
        <v>30636</v>
      </c>
    </row>
    <row r="3363" spans="1:3">
      <c r="A3363" t="s">
        <v>30635</v>
      </c>
      <c r="B3363" s="590">
        <v>764</v>
      </c>
      <c r="C3363" t="s">
        <v>30634</v>
      </c>
    </row>
    <row r="3364" spans="1:3">
      <c r="A3364" t="s">
        <v>30633</v>
      </c>
      <c r="B3364" s="590">
        <v>1321</v>
      </c>
      <c r="C3364" t="s">
        <v>30632</v>
      </c>
    </row>
    <row r="3365" spans="1:3">
      <c r="A3365" t="s">
        <v>30631</v>
      </c>
      <c r="B3365" s="590">
        <v>1321</v>
      </c>
      <c r="C3365" t="s">
        <v>30630</v>
      </c>
    </row>
    <row r="3366" spans="1:3">
      <c r="A3366" t="s">
        <v>30629</v>
      </c>
      <c r="B3366" s="590">
        <v>764</v>
      </c>
      <c r="C3366" t="s">
        <v>30628</v>
      </c>
    </row>
    <row r="3367" spans="1:3">
      <c r="A3367" t="s">
        <v>30627</v>
      </c>
      <c r="B3367" s="590">
        <v>764</v>
      </c>
      <c r="C3367" t="s">
        <v>30626</v>
      </c>
    </row>
    <row r="3368" spans="1:3">
      <c r="A3368" t="s">
        <v>30625</v>
      </c>
      <c r="B3368" s="590">
        <v>1321</v>
      </c>
      <c r="C3368" t="s">
        <v>30624</v>
      </c>
    </row>
    <row r="3369" spans="1:3">
      <c r="A3369" t="s">
        <v>30623</v>
      </c>
      <c r="B3369" s="590">
        <v>1321</v>
      </c>
      <c r="C3369" t="s">
        <v>30622</v>
      </c>
    </row>
    <row r="3370" spans="1:3">
      <c r="A3370" t="s">
        <v>30621</v>
      </c>
      <c r="B3370" s="590">
        <v>764</v>
      </c>
      <c r="C3370" t="s">
        <v>30620</v>
      </c>
    </row>
    <row r="3371" spans="1:3">
      <c r="A3371" t="s">
        <v>30619</v>
      </c>
      <c r="B3371" s="590">
        <v>764</v>
      </c>
      <c r="C3371" t="s">
        <v>30618</v>
      </c>
    </row>
    <row r="3372" spans="1:3">
      <c r="A3372" t="s">
        <v>30617</v>
      </c>
      <c r="B3372" s="590">
        <v>1321</v>
      </c>
      <c r="C3372" t="s">
        <v>30616</v>
      </c>
    </row>
    <row r="3373" spans="1:3">
      <c r="A3373" t="s">
        <v>30615</v>
      </c>
      <c r="B3373" s="590">
        <v>1321</v>
      </c>
      <c r="C3373" t="s">
        <v>30614</v>
      </c>
    </row>
    <row r="3374" spans="1:3">
      <c r="A3374" t="s">
        <v>30613</v>
      </c>
      <c r="B3374" s="590">
        <v>764</v>
      </c>
      <c r="C3374" t="s">
        <v>30612</v>
      </c>
    </row>
    <row r="3375" spans="1:3">
      <c r="A3375" t="s">
        <v>30611</v>
      </c>
      <c r="B3375" s="590">
        <v>764</v>
      </c>
      <c r="C3375" t="s">
        <v>30610</v>
      </c>
    </row>
    <row r="3376" spans="1:3">
      <c r="A3376" t="s">
        <v>30609</v>
      </c>
      <c r="B3376" s="590">
        <v>1321</v>
      </c>
      <c r="C3376" t="s">
        <v>30608</v>
      </c>
    </row>
    <row r="3377" spans="1:3">
      <c r="A3377" t="s">
        <v>30607</v>
      </c>
      <c r="B3377" s="590">
        <v>1321</v>
      </c>
      <c r="C3377" t="s">
        <v>30606</v>
      </c>
    </row>
    <row r="3378" spans="1:3">
      <c r="A3378" t="s">
        <v>30605</v>
      </c>
      <c r="B3378" s="590">
        <v>764</v>
      </c>
      <c r="C3378" t="s">
        <v>30604</v>
      </c>
    </row>
    <row r="3379" spans="1:3">
      <c r="A3379" t="s">
        <v>30603</v>
      </c>
      <c r="B3379" s="590">
        <v>764</v>
      </c>
      <c r="C3379" t="s">
        <v>30602</v>
      </c>
    </row>
    <row r="3380" spans="1:3">
      <c r="A3380" t="s">
        <v>30601</v>
      </c>
      <c r="B3380" s="590">
        <v>1321</v>
      </c>
      <c r="C3380" t="s">
        <v>30600</v>
      </c>
    </row>
    <row r="3381" spans="1:3">
      <c r="A3381" t="s">
        <v>30599</v>
      </c>
      <c r="B3381" s="590">
        <v>1321</v>
      </c>
      <c r="C3381" t="s">
        <v>30598</v>
      </c>
    </row>
    <row r="3382" spans="1:3">
      <c r="A3382" t="s">
        <v>30597</v>
      </c>
      <c r="B3382" s="590">
        <v>764</v>
      </c>
      <c r="C3382" t="s">
        <v>30596</v>
      </c>
    </row>
    <row r="3383" spans="1:3">
      <c r="A3383" t="s">
        <v>30595</v>
      </c>
      <c r="B3383" s="590">
        <v>764</v>
      </c>
      <c r="C3383" t="s">
        <v>30594</v>
      </c>
    </row>
    <row r="3384" spans="1:3">
      <c r="A3384" t="s">
        <v>30593</v>
      </c>
      <c r="B3384" s="590">
        <v>1321</v>
      </c>
      <c r="C3384" t="s">
        <v>30592</v>
      </c>
    </row>
    <row r="3385" spans="1:3">
      <c r="A3385" t="s">
        <v>30591</v>
      </c>
      <c r="B3385" s="590">
        <v>1321</v>
      </c>
      <c r="C3385" t="s">
        <v>30590</v>
      </c>
    </row>
    <row r="3386" spans="1:3">
      <c r="A3386" t="s">
        <v>30589</v>
      </c>
      <c r="B3386" s="590">
        <v>764</v>
      </c>
      <c r="C3386" t="s">
        <v>30588</v>
      </c>
    </row>
    <row r="3387" spans="1:3">
      <c r="A3387" t="s">
        <v>30587</v>
      </c>
      <c r="B3387" s="590">
        <v>764</v>
      </c>
      <c r="C3387" t="s">
        <v>30586</v>
      </c>
    </row>
    <row r="3388" spans="1:3">
      <c r="A3388" t="s">
        <v>30585</v>
      </c>
      <c r="B3388" s="590">
        <v>1321</v>
      </c>
      <c r="C3388" t="s">
        <v>30584</v>
      </c>
    </row>
    <row r="3389" spans="1:3">
      <c r="A3389" t="s">
        <v>30583</v>
      </c>
      <c r="B3389" s="590">
        <v>1321</v>
      </c>
      <c r="C3389" t="s">
        <v>30582</v>
      </c>
    </row>
    <row r="3390" spans="1:3">
      <c r="A3390" t="s">
        <v>30581</v>
      </c>
      <c r="B3390" s="590">
        <v>764</v>
      </c>
      <c r="C3390" t="s">
        <v>30580</v>
      </c>
    </row>
    <row r="3391" spans="1:3">
      <c r="A3391" t="s">
        <v>30579</v>
      </c>
      <c r="B3391" s="590">
        <v>764</v>
      </c>
      <c r="C3391" t="s">
        <v>30578</v>
      </c>
    </row>
    <row r="3392" spans="1:3">
      <c r="A3392" t="s">
        <v>30577</v>
      </c>
      <c r="B3392" s="590">
        <v>1321</v>
      </c>
      <c r="C3392" t="s">
        <v>30576</v>
      </c>
    </row>
    <row r="3393" spans="1:3">
      <c r="A3393" t="s">
        <v>30575</v>
      </c>
      <c r="B3393" s="590">
        <v>1321</v>
      </c>
      <c r="C3393" t="s">
        <v>30574</v>
      </c>
    </row>
    <row r="3394" spans="1:3">
      <c r="A3394" t="s">
        <v>30573</v>
      </c>
      <c r="B3394" s="590">
        <v>764</v>
      </c>
      <c r="C3394" t="s">
        <v>30572</v>
      </c>
    </row>
    <row r="3395" spans="1:3">
      <c r="A3395" t="s">
        <v>30571</v>
      </c>
      <c r="B3395" s="590">
        <v>1321</v>
      </c>
      <c r="C3395" t="s">
        <v>30570</v>
      </c>
    </row>
    <row r="3396" spans="1:3">
      <c r="A3396" t="s">
        <v>30569</v>
      </c>
      <c r="B3396" s="590">
        <v>1321</v>
      </c>
      <c r="C3396" t="s">
        <v>30568</v>
      </c>
    </row>
    <row r="3397" spans="1:3">
      <c r="A3397" t="s">
        <v>30567</v>
      </c>
      <c r="B3397" s="590">
        <v>1399</v>
      </c>
      <c r="C3397" t="s">
        <v>30566</v>
      </c>
    </row>
    <row r="3398" spans="1:3">
      <c r="A3398" t="s">
        <v>30565</v>
      </c>
      <c r="B3398" s="590">
        <v>1399</v>
      </c>
      <c r="C3398" t="s">
        <v>30564</v>
      </c>
    </row>
    <row r="3399" spans="1:3">
      <c r="A3399" t="s">
        <v>30563</v>
      </c>
      <c r="B3399" s="590">
        <v>1525</v>
      </c>
      <c r="C3399" t="s">
        <v>30562</v>
      </c>
    </row>
    <row r="3400" spans="1:3">
      <c r="A3400" t="s">
        <v>30561</v>
      </c>
      <c r="B3400" s="590">
        <v>1525</v>
      </c>
      <c r="C3400" t="s">
        <v>30560</v>
      </c>
    </row>
    <row r="3401" spans="1:3">
      <c r="A3401" t="s">
        <v>30559</v>
      </c>
      <c r="B3401" s="590">
        <v>1399</v>
      </c>
      <c r="C3401" t="s">
        <v>30558</v>
      </c>
    </row>
    <row r="3402" spans="1:3">
      <c r="A3402" t="s">
        <v>30557</v>
      </c>
      <c r="B3402" s="590">
        <v>1399</v>
      </c>
      <c r="C3402" t="s">
        <v>30556</v>
      </c>
    </row>
    <row r="3403" spans="1:3">
      <c r="A3403" t="s">
        <v>30555</v>
      </c>
      <c r="B3403" s="590">
        <v>1525</v>
      </c>
      <c r="C3403" t="s">
        <v>30554</v>
      </c>
    </row>
    <row r="3404" spans="1:3">
      <c r="A3404" t="s">
        <v>30553</v>
      </c>
      <c r="B3404" s="590">
        <v>1525</v>
      </c>
      <c r="C3404" t="s">
        <v>30552</v>
      </c>
    </row>
    <row r="3405" spans="1:3">
      <c r="A3405" t="s">
        <v>30551</v>
      </c>
      <c r="B3405" s="590">
        <v>1399</v>
      </c>
      <c r="C3405" t="s">
        <v>30550</v>
      </c>
    </row>
    <row r="3406" spans="1:3">
      <c r="A3406" t="s">
        <v>30549</v>
      </c>
      <c r="B3406" s="590">
        <v>1399</v>
      </c>
      <c r="C3406" t="s">
        <v>30548</v>
      </c>
    </row>
    <row r="3407" spans="1:3">
      <c r="A3407" t="s">
        <v>30547</v>
      </c>
      <c r="B3407" s="590">
        <v>1525</v>
      </c>
      <c r="C3407" t="s">
        <v>30546</v>
      </c>
    </row>
    <row r="3408" spans="1:3">
      <c r="A3408" t="s">
        <v>30545</v>
      </c>
      <c r="B3408" s="590">
        <v>1525</v>
      </c>
      <c r="C3408" t="s">
        <v>30544</v>
      </c>
    </row>
    <row r="3409" spans="1:3">
      <c r="A3409" t="s">
        <v>30543</v>
      </c>
      <c r="B3409" s="590">
        <v>1399</v>
      </c>
      <c r="C3409" t="s">
        <v>30542</v>
      </c>
    </row>
    <row r="3410" spans="1:3">
      <c r="A3410" t="s">
        <v>30541</v>
      </c>
      <c r="B3410" s="590">
        <v>1399</v>
      </c>
      <c r="C3410" t="s">
        <v>30540</v>
      </c>
    </row>
    <row r="3411" spans="1:3">
      <c r="A3411" t="s">
        <v>30539</v>
      </c>
      <c r="B3411" s="590">
        <v>1525</v>
      </c>
      <c r="C3411" t="s">
        <v>30538</v>
      </c>
    </row>
    <row r="3412" spans="1:3">
      <c r="A3412" t="s">
        <v>30537</v>
      </c>
      <c r="B3412" s="590">
        <v>1525</v>
      </c>
      <c r="C3412" t="s">
        <v>30536</v>
      </c>
    </row>
    <row r="3413" spans="1:3">
      <c r="A3413" t="s">
        <v>30535</v>
      </c>
      <c r="B3413" s="590">
        <v>1781</v>
      </c>
      <c r="C3413" t="s">
        <v>30534</v>
      </c>
    </row>
    <row r="3414" spans="1:3">
      <c r="A3414" t="s">
        <v>30533</v>
      </c>
      <c r="B3414" s="590">
        <v>1781</v>
      </c>
      <c r="C3414" t="s">
        <v>30532</v>
      </c>
    </row>
    <row r="3415" spans="1:3">
      <c r="A3415" t="s">
        <v>30531</v>
      </c>
      <c r="B3415" s="590">
        <v>1399</v>
      </c>
      <c r="C3415" t="s">
        <v>30530</v>
      </c>
    </row>
    <row r="3416" spans="1:3">
      <c r="A3416" t="s">
        <v>30529</v>
      </c>
      <c r="B3416" s="590">
        <v>1399</v>
      </c>
      <c r="C3416" t="s">
        <v>30528</v>
      </c>
    </row>
    <row r="3417" spans="1:3">
      <c r="A3417" t="s">
        <v>30527</v>
      </c>
      <c r="B3417" s="590">
        <v>1525</v>
      </c>
      <c r="C3417" t="s">
        <v>30526</v>
      </c>
    </row>
    <row r="3418" spans="1:3">
      <c r="A3418" t="s">
        <v>30525</v>
      </c>
      <c r="B3418" s="590">
        <v>1525</v>
      </c>
      <c r="C3418" t="s">
        <v>30524</v>
      </c>
    </row>
    <row r="3419" spans="1:3">
      <c r="A3419" t="s">
        <v>30523</v>
      </c>
      <c r="B3419" s="590">
        <v>1399</v>
      </c>
      <c r="C3419" t="s">
        <v>30522</v>
      </c>
    </row>
    <row r="3420" spans="1:3">
      <c r="A3420" t="s">
        <v>30521</v>
      </c>
      <c r="B3420" s="590">
        <v>1399</v>
      </c>
      <c r="C3420" t="s">
        <v>30520</v>
      </c>
    </row>
    <row r="3421" spans="1:3">
      <c r="A3421" t="s">
        <v>30519</v>
      </c>
      <c r="B3421" s="590">
        <v>1525</v>
      </c>
      <c r="C3421" t="s">
        <v>30518</v>
      </c>
    </row>
    <row r="3422" spans="1:3">
      <c r="A3422" t="s">
        <v>30517</v>
      </c>
      <c r="B3422" s="590">
        <v>1525</v>
      </c>
      <c r="C3422" t="s">
        <v>30516</v>
      </c>
    </row>
    <row r="3423" spans="1:3">
      <c r="A3423" t="s">
        <v>30515</v>
      </c>
      <c r="B3423" s="590">
        <v>1399</v>
      </c>
      <c r="C3423" t="s">
        <v>30514</v>
      </c>
    </row>
    <row r="3424" spans="1:3">
      <c r="A3424" t="s">
        <v>30513</v>
      </c>
      <c r="B3424" s="590">
        <v>1399</v>
      </c>
      <c r="C3424" t="s">
        <v>30512</v>
      </c>
    </row>
    <row r="3425" spans="1:3">
      <c r="A3425" t="s">
        <v>30511</v>
      </c>
      <c r="B3425" s="590">
        <v>1399</v>
      </c>
      <c r="C3425" t="s">
        <v>30510</v>
      </c>
    </row>
    <row r="3426" spans="1:3">
      <c r="A3426" t="s">
        <v>30509</v>
      </c>
      <c r="B3426" s="590">
        <v>1399</v>
      </c>
      <c r="C3426" t="s">
        <v>30508</v>
      </c>
    </row>
    <row r="3427" spans="1:3">
      <c r="A3427" t="s">
        <v>30507</v>
      </c>
      <c r="B3427" s="590">
        <v>1525</v>
      </c>
      <c r="C3427" t="s">
        <v>30506</v>
      </c>
    </row>
    <row r="3428" spans="1:3">
      <c r="A3428" t="s">
        <v>30505</v>
      </c>
      <c r="B3428" s="590">
        <v>1525</v>
      </c>
      <c r="C3428" t="s">
        <v>30504</v>
      </c>
    </row>
    <row r="3429" spans="1:3">
      <c r="A3429" t="s">
        <v>30503</v>
      </c>
      <c r="B3429" s="590">
        <v>1399</v>
      </c>
      <c r="C3429" t="s">
        <v>30502</v>
      </c>
    </row>
    <row r="3430" spans="1:3">
      <c r="A3430" t="s">
        <v>30501</v>
      </c>
      <c r="B3430" s="590">
        <v>1399</v>
      </c>
      <c r="C3430" t="s">
        <v>30500</v>
      </c>
    </row>
    <row r="3431" spans="1:3">
      <c r="A3431" t="s">
        <v>30477</v>
      </c>
      <c r="B3431" s="590">
        <v>21</v>
      </c>
      <c r="C3431" t="s">
        <v>30476</v>
      </c>
    </row>
    <row r="3432" spans="1:3">
      <c r="A3432" t="s">
        <v>30475</v>
      </c>
      <c r="B3432" s="590">
        <v>63</v>
      </c>
      <c r="C3432" t="s">
        <v>30474</v>
      </c>
    </row>
    <row r="3433" spans="1:3">
      <c r="A3433" t="s">
        <v>30473</v>
      </c>
      <c r="B3433" s="590">
        <v>63</v>
      </c>
      <c r="C3433" t="s">
        <v>30472</v>
      </c>
    </row>
    <row r="3434" spans="1:3">
      <c r="A3434" t="s">
        <v>30471</v>
      </c>
      <c r="B3434" s="590">
        <v>63</v>
      </c>
      <c r="C3434" t="s">
        <v>30470</v>
      </c>
    </row>
    <row r="3435" spans="1:3">
      <c r="A3435" t="s">
        <v>30469</v>
      </c>
      <c r="B3435" s="590">
        <v>75</v>
      </c>
      <c r="C3435" t="s">
        <v>30468</v>
      </c>
    </row>
    <row r="3436" spans="1:3">
      <c r="A3436" t="s">
        <v>30467</v>
      </c>
      <c r="B3436" s="590">
        <v>63</v>
      </c>
      <c r="C3436" t="s">
        <v>30466</v>
      </c>
    </row>
    <row r="3437" spans="1:3">
      <c r="A3437" t="s">
        <v>30465</v>
      </c>
      <c r="B3437" s="590">
        <v>63</v>
      </c>
      <c r="C3437" t="s">
        <v>30464</v>
      </c>
    </row>
    <row r="3438" spans="1:3">
      <c r="A3438" t="s">
        <v>30463</v>
      </c>
      <c r="B3438" s="590">
        <v>75</v>
      </c>
      <c r="C3438" t="s">
        <v>30462</v>
      </c>
    </row>
    <row r="3439" spans="1:3">
      <c r="A3439" t="s">
        <v>30461</v>
      </c>
      <c r="B3439" s="590">
        <v>63</v>
      </c>
      <c r="C3439" t="s">
        <v>30460</v>
      </c>
    </row>
    <row r="3440" spans="1:3">
      <c r="A3440" t="s">
        <v>30459</v>
      </c>
      <c r="B3440" s="590">
        <v>123</v>
      </c>
      <c r="C3440" t="s">
        <v>30458</v>
      </c>
    </row>
    <row r="3441" spans="1:3">
      <c r="A3441" t="s">
        <v>30457</v>
      </c>
      <c r="B3441" s="590">
        <v>123</v>
      </c>
      <c r="C3441" t="s">
        <v>30456</v>
      </c>
    </row>
    <row r="3442" spans="1:3">
      <c r="A3442" t="s">
        <v>30455</v>
      </c>
      <c r="B3442" s="590">
        <v>123</v>
      </c>
      <c r="C3442" t="s">
        <v>30454</v>
      </c>
    </row>
    <row r="3443" spans="1:3">
      <c r="A3443" t="s">
        <v>30453</v>
      </c>
      <c r="B3443" s="590">
        <v>123</v>
      </c>
      <c r="C3443" t="s">
        <v>30452</v>
      </c>
    </row>
    <row r="3444" spans="1:3">
      <c r="A3444" t="s">
        <v>27809</v>
      </c>
      <c r="B3444" s="590">
        <v>227</v>
      </c>
      <c r="C3444" t="s">
        <v>27808</v>
      </c>
    </row>
    <row r="3445" spans="1:3">
      <c r="A3445" t="s">
        <v>30499</v>
      </c>
      <c r="B3445" s="590">
        <v>1273</v>
      </c>
      <c r="C3445" t="s">
        <v>30498</v>
      </c>
    </row>
    <row r="3446" spans="1:3">
      <c r="A3446" t="s">
        <v>30497</v>
      </c>
      <c r="B3446" s="590">
        <v>1401</v>
      </c>
      <c r="C3446" t="s">
        <v>30496</v>
      </c>
    </row>
    <row r="3447" spans="1:3">
      <c r="A3447" t="s">
        <v>30495</v>
      </c>
      <c r="B3447" s="590">
        <v>1656</v>
      </c>
      <c r="C3447" t="s">
        <v>30494</v>
      </c>
    </row>
    <row r="3448" spans="1:3">
      <c r="A3448" t="s">
        <v>30477</v>
      </c>
      <c r="B3448" s="590">
        <v>21</v>
      </c>
      <c r="C3448" t="s">
        <v>30476</v>
      </c>
    </row>
    <row r="3449" spans="1:3">
      <c r="A3449" t="s">
        <v>30475</v>
      </c>
      <c r="B3449" s="590">
        <v>63</v>
      </c>
      <c r="C3449" t="s">
        <v>30474</v>
      </c>
    </row>
    <row r="3450" spans="1:3">
      <c r="A3450" t="s">
        <v>30473</v>
      </c>
      <c r="B3450" s="590">
        <v>63</v>
      </c>
      <c r="C3450" t="s">
        <v>30472</v>
      </c>
    </row>
    <row r="3451" spans="1:3">
      <c r="A3451" t="s">
        <v>30471</v>
      </c>
      <c r="B3451" s="590">
        <v>63</v>
      </c>
      <c r="C3451" t="s">
        <v>30470</v>
      </c>
    </row>
    <row r="3452" spans="1:3">
      <c r="A3452" t="s">
        <v>30469</v>
      </c>
      <c r="B3452" s="590">
        <v>75</v>
      </c>
      <c r="C3452" t="s">
        <v>30468</v>
      </c>
    </row>
    <row r="3453" spans="1:3">
      <c r="A3453" t="s">
        <v>30467</v>
      </c>
      <c r="B3453" s="590">
        <v>63</v>
      </c>
      <c r="C3453" t="s">
        <v>30466</v>
      </c>
    </row>
    <row r="3454" spans="1:3">
      <c r="A3454" t="s">
        <v>30465</v>
      </c>
      <c r="B3454" s="590">
        <v>63</v>
      </c>
      <c r="C3454" t="s">
        <v>30464</v>
      </c>
    </row>
    <row r="3455" spans="1:3">
      <c r="A3455" t="s">
        <v>30463</v>
      </c>
      <c r="B3455" s="590">
        <v>75</v>
      </c>
      <c r="C3455" t="s">
        <v>30462</v>
      </c>
    </row>
    <row r="3456" spans="1:3">
      <c r="A3456" t="s">
        <v>30461</v>
      </c>
      <c r="B3456" s="590">
        <v>63</v>
      </c>
      <c r="C3456" t="s">
        <v>30460</v>
      </c>
    </row>
    <row r="3457" spans="1:3">
      <c r="A3457" t="s">
        <v>30459</v>
      </c>
      <c r="B3457" s="590">
        <v>123</v>
      </c>
      <c r="C3457" t="s">
        <v>30458</v>
      </c>
    </row>
    <row r="3458" spans="1:3">
      <c r="A3458" t="s">
        <v>30457</v>
      </c>
      <c r="B3458" s="590">
        <v>123</v>
      </c>
      <c r="C3458" t="s">
        <v>30456</v>
      </c>
    </row>
    <row r="3459" spans="1:3">
      <c r="A3459" t="s">
        <v>30455</v>
      </c>
      <c r="B3459" s="590">
        <v>123</v>
      </c>
      <c r="C3459" t="s">
        <v>30454</v>
      </c>
    </row>
    <row r="3460" spans="1:3">
      <c r="A3460" t="s">
        <v>30453</v>
      </c>
      <c r="B3460" s="590">
        <v>123</v>
      </c>
      <c r="C3460" t="s">
        <v>30452</v>
      </c>
    </row>
    <row r="3461" spans="1:3">
      <c r="A3461" t="s">
        <v>30493</v>
      </c>
      <c r="B3461" s="590">
        <v>1399</v>
      </c>
      <c r="C3461" t="s">
        <v>30491</v>
      </c>
    </row>
    <row r="3462" spans="1:3">
      <c r="A3462" t="s">
        <v>30492</v>
      </c>
      <c r="B3462" s="590">
        <v>1399</v>
      </c>
      <c r="C3462" t="s">
        <v>30491</v>
      </c>
    </row>
    <row r="3463" spans="1:3">
      <c r="A3463" t="s">
        <v>30490</v>
      </c>
      <c r="B3463" s="590">
        <v>1525</v>
      </c>
      <c r="C3463" t="s">
        <v>30488</v>
      </c>
    </row>
    <row r="3464" spans="1:3">
      <c r="A3464" t="s">
        <v>30489</v>
      </c>
      <c r="B3464" s="590">
        <v>1525</v>
      </c>
      <c r="C3464" t="s">
        <v>30488</v>
      </c>
    </row>
    <row r="3465" spans="1:3">
      <c r="A3465" t="s">
        <v>30487</v>
      </c>
      <c r="B3465" s="590">
        <v>1781</v>
      </c>
      <c r="C3465" t="s">
        <v>30486</v>
      </c>
    </row>
    <row r="3466" spans="1:3">
      <c r="A3466" t="s">
        <v>30485</v>
      </c>
      <c r="B3466" s="590">
        <v>1781</v>
      </c>
      <c r="C3466" t="s">
        <v>30484</v>
      </c>
    </row>
    <row r="3467" spans="1:3">
      <c r="A3467" t="s">
        <v>30477</v>
      </c>
      <c r="B3467" s="590">
        <v>21</v>
      </c>
      <c r="C3467" t="s">
        <v>30476</v>
      </c>
    </row>
    <row r="3468" spans="1:3">
      <c r="A3468" t="s">
        <v>30475</v>
      </c>
      <c r="B3468" s="590">
        <v>63</v>
      </c>
      <c r="C3468" t="s">
        <v>30474</v>
      </c>
    </row>
    <row r="3469" spans="1:3">
      <c r="A3469" t="s">
        <v>30473</v>
      </c>
      <c r="B3469" s="590">
        <v>63</v>
      </c>
      <c r="C3469" t="s">
        <v>30472</v>
      </c>
    </row>
    <row r="3470" spans="1:3">
      <c r="A3470" t="s">
        <v>30471</v>
      </c>
      <c r="B3470" s="590">
        <v>63</v>
      </c>
      <c r="C3470" t="s">
        <v>30470</v>
      </c>
    </row>
    <row r="3471" spans="1:3">
      <c r="A3471" t="s">
        <v>30469</v>
      </c>
      <c r="B3471" s="590">
        <v>75</v>
      </c>
      <c r="C3471" t="s">
        <v>30468</v>
      </c>
    </row>
    <row r="3472" spans="1:3">
      <c r="A3472" t="s">
        <v>30467</v>
      </c>
      <c r="B3472" s="590">
        <v>63</v>
      </c>
      <c r="C3472" t="s">
        <v>30466</v>
      </c>
    </row>
    <row r="3473" spans="1:3">
      <c r="A3473" t="s">
        <v>30465</v>
      </c>
      <c r="B3473" s="590">
        <v>63</v>
      </c>
      <c r="C3473" t="s">
        <v>30464</v>
      </c>
    </row>
    <row r="3474" spans="1:3">
      <c r="A3474" t="s">
        <v>30463</v>
      </c>
      <c r="B3474" s="590">
        <v>75</v>
      </c>
      <c r="C3474" t="s">
        <v>30462</v>
      </c>
    </row>
    <row r="3475" spans="1:3">
      <c r="A3475" t="s">
        <v>30461</v>
      </c>
      <c r="B3475" s="590">
        <v>63</v>
      </c>
      <c r="C3475" t="s">
        <v>30460</v>
      </c>
    </row>
    <row r="3476" spans="1:3">
      <c r="A3476" t="s">
        <v>30459</v>
      </c>
      <c r="B3476" s="590">
        <v>123</v>
      </c>
      <c r="C3476" t="s">
        <v>30458</v>
      </c>
    </row>
    <row r="3477" spans="1:3">
      <c r="A3477" t="s">
        <v>30457</v>
      </c>
      <c r="B3477" s="590">
        <v>123</v>
      </c>
      <c r="C3477" t="s">
        <v>30456</v>
      </c>
    </row>
    <row r="3478" spans="1:3">
      <c r="A3478" t="s">
        <v>30455</v>
      </c>
      <c r="B3478" s="590">
        <v>123</v>
      </c>
      <c r="C3478" t="s">
        <v>30454</v>
      </c>
    </row>
    <row r="3479" spans="1:3">
      <c r="A3479" t="s">
        <v>30453</v>
      </c>
      <c r="B3479" s="590">
        <v>123</v>
      </c>
      <c r="C3479" t="s">
        <v>30452</v>
      </c>
    </row>
    <row r="3480" spans="1:3">
      <c r="A3480" t="s">
        <v>27809</v>
      </c>
      <c r="B3480" s="590">
        <v>227</v>
      </c>
      <c r="C3480" t="s">
        <v>27808</v>
      </c>
    </row>
    <row r="3481" spans="1:3">
      <c r="A3481" t="s">
        <v>30483</v>
      </c>
      <c r="B3481" s="590">
        <v>1273</v>
      </c>
      <c r="C3481" t="s">
        <v>30482</v>
      </c>
    </row>
    <row r="3482" spans="1:3">
      <c r="A3482" t="s">
        <v>30481</v>
      </c>
      <c r="B3482" s="590">
        <v>1401</v>
      </c>
      <c r="C3482" t="s">
        <v>30480</v>
      </c>
    </row>
    <row r="3483" spans="1:3">
      <c r="A3483" t="s">
        <v>30479</v>
      </c>
      <c r="B3483" s="590">
        <v>1656</v>
      </c>
      <c r="C3483" t="s">
        <v>30478</v>
      </c>
    </row>
    <row r="3484" spans="1:3">
      <c r="A3484" t="s">
        <v>30477</v>
      </c>
      <c r="B3484" s="590">
        <v>21</v>
      </c>
      <c r="C3484" t="s">
        <v>30476</v>
      </c>
    </row>
    <row r="3485" spans="1:3">
      <c r="A3485" t="s">
        <v>30475</v>
      </c>
      <c r="B3485" s="590">
        <v>63</v>
      </c>
      <c r="C3485" t="s">
        <v>30474</v>
      </c>
    </row>
    <row r="3486" spans="1:3">
      <c r="A3486" t="s">
        <v>30473</v>
      </c>
      <c r="B3486" s="590">
        <v>63</v>
      </c>
      <c r="C3486" t="s">
        <v>30472</v>
      </c>
    </row>
    <row r="3487" spans="1:3">
      <c r="A3487" t="s">
        <v>30471</v>
      </c>
      <c r="B3487" s="590">
        <v>63</v>
      </c>
      <c r="C3487" t="s">
        <v>30470</v>
      </c>
    </row>
    <row r="3488" spans="1:3">
      <c r="A3488" t="s">
        <v>30469</v>
      </c>
      <c r="B3488" s="590">
        <v>75</v>
      </c>
      <c r="C3488" t="s">
        <v>30468</v>
      </c>
    </row>
    <row r="3489" spans="1:3">
      <c r="A3489" t="s">
        <v>30467</v>
      </c>
      <c r="B3489" s="590">
        <v>63</v>
      </c>
      <c r="C3489" t="s">
        <v>30466</v>
      </c>
    </row>
    <row r="3490" spans="1:3">
      <c r="A3490" t="s">
        <v>30465</v>
      </c>
      <c r="B3490" s="590">
        <v>63</v>
      </c>
      <c r="C3490" t="s">
        <v>30464</v>
      </c>
    </row>
    <row r="3491" spans="1:3">
      <c r="A3491" t="s">
        <v>30463</v>
      </c>
      <c r="B3491" s="590">
        <v>75</v>
      </c>
      <c r="C3491" t="s">
        <v>30462</v>
      </c>
    </row>
    <row r="3492" spans="1:3">
      <c r="A3492" t="s">
        <v>30461</v>
      </c>
      <c r="B3492" s="590">
        <v>63</v>
      </c>
      <c r="C3492" t="s">
        <v>30460</v>
      </c>
    </row>
    <row r="3493" spans="1:3">
      <c r="A3493" t="s">
        <v>30459</v>
      </c>
      <c r="B3493" s="590">
        <v>123</v>
      </c>
      <c r="C3493" t="s">
        <v>30458</v>
      </c>
    </row>
    <row r="3494" spans="1:3">
      <c r="A3494" t="s">
        <v>30457</v>
      </c>
      <c r="B3494" s="590">
        <v>123</v>
      </c>
      <c r="C3494" t="s">
        <v>30456</v>
      </c>
    </row>
    <row r="3495" spans="1:3">
      <c r="A3495" t="s">
        <v>30455</v>
      </c>
      <c r="B3495" s="590">
        <v>123</v>
      </c>
      <c r="C3495" t="s">
        <v>30454</v>
      </c>
    </row>
    <row r="3496" spans="1:3">
      <c r="A3496" t="s">
        <v>30453</v>
      </c>
      <c r="B3496" s="590">
        <v>123</v>
      </c>
      <c r="C3496" t="s">
        <v>30452</v>
      </c>
    </row>
    <row r="3497" spans="1:3">
      <c r="A3497" t="s">
        <v>30451</v>
      </c>
      <c r="B3497" s="590">
        <v>1273</v>
      </c>
      <c r="C3497" t="s">
        <v>30450</v>
      </c>
    </row>
    <row r="3498" spans="1:3">
      <c r="A3498" t="s">
        <v>30449</v>
      </c>
      <c r="B3498" s="590">
        <v>1273</v>
      </c>
      <c r="C3498" t="s">
        <v>30448</v>
      </c>
    </row>
    <row r="3499" spans="1:3">
      <c r="A3499" t="s">
        <v>30385</v>
      </c>
      <c r="B3499" s="590">
        <v>14</v>
      </c>
      <c r="C3499" t="s">
        <v>30384</v>
      </c>
    </row>
    <row r="3500" spans="1:3">
      <c r="A3500" t="s">
        <v>30383</v>
      </c>
      <c r="B3500" s="590">
        <v>16</v>
      </c>
      <c r="C3500" t="s">
        <v>30382</v>
      </c>
    </row>
    <row r="3501" spans="1:3">
      <c r="A3501" t="s">
        <v>30381</v>
      </c>
      <c r="B3501" s="590">
        <v>16</v>
      </c>
      <c r="C3501" t="s">
        <v>30380</v>
      </c>
    </row>
    <row r="3502" spans="1:3">
      <c r="A3502" t="s">
        <v>30379</v>
      </c>
      <c r="B3502" s="590">
        <v>16</v>
      </c>
      <c r="C3502" t="s">
        <v>30378</v>
      </c>
    </row>
    <row r="3503" spans="1:3">
      <c r="A3503" t="s">
        <v>30377</v>
      </c>
      <c r="B3503" s="590">
        <v>28</v>
      </c>
      <c r="C3503" t="s">
        <v>30376</v>
      </c>
    </row>
    <row r="3504" spans="1:3">
      <c r="A3504" t="s">
        <v>30375</v>
      </c>
      <c r="B3504" s="590">
        <v>16</v>
      </c>
      <c r="C3504" t="s">
        <v>30374</v>
      </c>
    </row>
    <row r="3505" spans="1:3">
      <c r="A3505" t="s">
        <v>30447</v>
      </c>
      <c r="B3505" s="590">
        <v>1785</v>
      </c>
      <c r="C3505" t="s">
        <v>30446</v>
      </c>
    </row>
    <row r="3506" spans="1:3">
      <c r="A3506" t="s">
        <v>30445</v>
      </c>
      <c r="B3506" s="590">
        <v>1785</v>
      </c>
      <c r="C3506" t="s">
        <v>30444</v>
      </c>
    </row>
    <row r="3507" spans="1:3">
      <c r="A3507" t="s">
        <v>30423</v>
      </c>
      <c r="B3507" s="590">
        <v>21</v>
      </c>
      <c r="C3507" t="s">
        <v>30422</v>
      </c>
    </row>
    <row r="3508" spans="1:3">
      <c r="A3508" t="s">
        <v>30421</v>
      </c>
      <c r="B3508" s="590">
        <v>16</v>
      </c>
      <c r="C3508" t="s">
        <v>30420</v>
      </c>
    </row>
    <row r="3509" spans="1:3">
      <c r="A3509" t="s">
        <v>30419</v>
      </c>
      <c r="B3509" s="590">
        <v>16</v>
      </c>
      <c r="C3509" t="s">
        <v>30418</v>
      </c>
    </row>
    <row r="3510" spans="1:3">
      <c r="A3510" t="s">
        <v>30417</v>
      </c>
      <c r="B3510" s="590">
        <v>16</v>
      </c>
      <c r="C3510" t="s">
        <v>30416</v>
      </c>
    </row>
    <row r="3511" spans="1:3">
      <c r="A3511" t="s">
        <v>30415</v>
      </c>
      <c r="B3511" s="590">
        <v>34</v>
      </c>
      <c r="C3511" t="s">
        <v>30414</v>
      </c>
    </row>
    <row r="3512" spans="1:3">
      <c r="A3512" t="s">
        <v>30413</v>
      </c>
      <c r="B3512" s="590">
        <v>16</v>
      </c>
      <c r="C3512" t="s">
        <v>30412</v>
      </c>
    </row>
    <row r="3513" spans="1:3">
      <c r="A3513" t="s">
        <v>30411</v>
      </c>
      <c r="B3513" s="590">
        <v>16</v>
      </c>
      <c r="C3513" t="s">
        <v>30410</v>
      </c>
    </row>
    <row r="3514" spans="1:3">
      <c r="A3514" t="s">
        <v>30409</v>
      </c>
      <c r="B3514" s="590">
        <v>34</v>
      </c>
      <c r="C3514" t="s">
        <v>30408</v>
      </c>
    </row>
    <row r="3515" spans="1:3">
      <c r="A3515" t="s">
        <v>30407</v>
      </c>
      <c r="B3515" s="590">
        <v>16</v>
      </c>
      <c r="C3515" t="s">
        <v>30406</v>
      </c>
    </row>
    <row r="3516" spans="1:3">
      <c r="A3516" t="s">
        <v>30443</v>
      </c>
      <c r="B3516" s="590">
        <v>2060</v>
      </c>
      <c r="C3516" t="s">
        <v>30442</v>
      </c>
    </row>
    <row r="3517" spans="1:3">
      <c r="A3517" t="s">
        <v>30441</v>
      </c>
      <c r="B3517" s="590">
        <v>2060</v>
      </c>
      <c r="C3517" t="s">
        <v>30440</v>
      </c>
    </row>
    <row r="3518" spans="1:3">
      <c r="A3518" t="s">
        <v>30399</v>
      </c>
      <c r="B3518" s="590">
        <v>16</v>
      </c>
      <c r="C3518" t="s">
        <v>30398</v>
      </c>
    </row>
    <row r="3519" spans="1:3">
      <c r="A3519" t="s">
        <v>30397</v>
      </c>
      <c r="B3519" s="590">
        <v>16</v>
      </c>
      <c r="C3519" t="s">
        <v>30396</v>
      </c>
    </row>
    <row r="3520" spans="1:3">
      <c r="A3520" t="s">
        <v>30395</v>
      </c>
      <c r="B3520" s="590">
        <v>16</v>
      </c>
      <c r="C3520" t="s">
        <v>30394</v>
      </c>
    </row>
    <row r="3521" spans="1:3">
      <c r="A3521" t="s">
        <v>30393</v>
      </c>
      <c r="B3521" s="590">
        <v>16</v>
      </c>
      <c r="C3521" t="s">
        <v>30392</v>
      </c>
    </row>
    <row r="3522" spans="1:3">
      <c r="A3522" t="s">
        <v>30439</v>
      </c>
      <c r="B3522" s="590">
        <v>1338</v>
      </c>
      <c r="C3522" t="s">
        <v>30438</v>
      </c>
    </row>
    <row r="3523" spans="1:3">
      <c r="A3523" t="s">
        <v>30437</v>
      </c>
      <c r="B3523" s="590">
        <v>1338</v>
      </c>
      <c r="C3523" t="s">
        <v>30436</v>
      </c>
    </row>
    <row r="3524" spans="1:3">
      <c r="A3524" t="s">
        <v>30385</v>
      </c>
      <c r="B3524" s="590">
        <v>14</v>
      </c>
      <c r="C3524" t="s">
        <v>30384</v>
      </c>
    </row>
    <row r="3525" spans="1:3">
      <c r="A3525" t="s">
        <v>30383</v>
      </c>
      <c r="B3525" s="590">
        <v>16</v>
      </c>
      <c r="C3525" t="s">
        <v>30382</v>
      </c>
    </row>
    <row r="3526" spans="1:3">
      <c r="A3526" t="s">
        <v>30381</v>
      </c>
      <c r="B3526" s="590">
        <v>16</v>
      </c>
      <c r="C3526" t="s">
        <v>30380</v>
      </c>
    </row>
    <row r="3527" spans="1:3">
      <c r="A3527" t="s">
        <v>30379</v>
      </c>
      <c r="B3527" s="590">
        <v>16</v>
      </c>
      <c r="C3527" t="s">
        <v>30378</v>
      </c>
    </row>
    <row r="3528" spans="1:3">
      <c r="A3528" t="s">
        <v>30377</v>
      </c>
      <c r="B3528" s="590">
        <v>28</v>
      </c>
      <c r="C3528" t="s">
        <v>30376</v>
      </c>
    </row>
    <row r="3529" spans="1:3">
      <c r="A3529" t="s">
        <v>30375</v>
      </c>
      <c r="B3529" s="590">
        <v>16</v>
      </c>
      <c r="C3529" t="s">
        <v>30374</v>
      </c>
    </row>
    <row r="3530" spans="1:3">
      <c r="A3530" t="s">
        <v>30435</v>
      </c>
      <c r="B3530" s="590">
        <v>1723</v>
      </c>
      <c r="C3530" t="s">
        <v>30434</v>
      </c>
    </row>
    <row r="3531" spans="1:3">
      <c r="A3531" t="s">
        <v>30433</v>
      </c>
      <c r="B3531" s="590">
        <v>1324</v>
      </c>
      <c r="C3531" t="s">
        <v>30432</v>
      </c>
    </row>
    <row r="3532" spans="1:3">
      <c r="A3532" t="s">
        <v>30431</v>
      </c>
      <c r="B3532" s="590">
        <v>1324</v>
      </c>
      <c r="C3532" t="s">
        <v>30430</v>
      </c>
    </row>
    <row r="3533" spans="1:3">
      <c r="A3533" t="s">
        <v>30385</v>
      </c>
      <c r="B3533" s="590">
        <v>14</v>
      </c>
      <c r="C3533" t="s">
        <v>30384</v>
      </c>
    </row>
    <row r="3534" spans="1:3">
      <c r="A3534" t="s">
        <v>30383</v>
      </c>
      <c r="B3534" s="590">
        <v>16</v>
      </c>
      <c r="C3534" t="s">
        <v>30382</v>
      </c>
    </row>
    <row r="3535" spans="1:3">
      <c r="A3535" t="s">
        <v>30381</v>
      </c>
      <c r="B3535" s="590">
        <v>16</v>
      </c>
      <c r="C3535" t="s">
        <v>30380</v>
      </c>
    </row>
    <row r="3536" spans="1:3">
      <c r="A3536" t="s">
        <v>30379</v>
      </c>
      <c r="B3536" s="590">
        <v>16</v>
      </c>
      <c r="C3536" t="s">
        <v>30378</v>
      </c>
    </row>
    <row r="3537" spans="1:3">
      <c r="A3537" t="s">
        <v>30377</v>
      </c>
      <c r="B3537" s="590">
        <v>28</v>
      </c>
      <c r="C3537" t="s">
        <v>30376</v>
      </c>
    </row>
    <row r="3538" spans="1:3">
      <c r="A3538" t="s">
        <v>30375</v>
      </c>
      <c r="B3538" s="590">
        <v>16</v>
      </c>
      <c r="C3538" t="s">
        <v>30374</v>
      </c>
    </row>
    <row r="3539" spans="1:3">
      <c r="A3539" t="s">
        <v>30429</v>
      </c>
      <c r="B3539" s="590">
        <v>2048</v>
      </c>
      <c r="C3539" t="s">
        <v>30428</v>
      </c>
    </row>
    <row r="3540" spans="1:3">
      <c r="A3540" t="s">
        <v>30427</v>
      </c>
      <c r="B3540" s="590">
        <v>1798</v>
      </c>
      <c r="C3540" t="s">
        <v>30426</v>
      </c>
    </row>
    <row r="3541" spans="1:3">
      <c r="A3541" t="s">
        <v>30425</v>
      </c>
      <c r="B3541" s="590">
        <v>1798</v>
      </c>
      <c r="C3541" t="s">
        <v>30424</v>
      </c>
    </row>
    <row r="3542" spans="1:3">
      <c r="A3542" t="s">
        <v>30423</v>
      </c>
      <c r="B3542" s="590">
        <v>21</v>
      </c>
      <c r="C3542" t="s">
        <v>30422</v>
      </c>
    </row>
    <row r="3543" spans="1:3">
      <c r="A3543" t="s">
        <v>30421</v>
      </c>
      <c r="B3543" s="590">
        <v>16</v>
      </c>
      <c r="C3543" t="s">
        <v>30420</v>
      </c>
    </row>
    <row r="3544" spans="1:3">
      <c r="A3544" t="s">
        <v>30419</v>
      </c>
      <c r="B3544" s="590">
        <v>16</v>
      </c>
      <c r="C3544" t="s">
        <v>30418</v>
      </c>
    </row>
    <row r="3545" spans="1:3">
      <c r="A3545" t="s">
        <v>30417</v>
      </c>
      <c r="B3545" s="590">
        <v>16</v>
      </c>
      <c r="C3545" t="s">
        <v>30416</v>
      </c>
    </row>
    <row r="3546" spans="1:3">
      <c r="A3546" t="s">
        <v>30415</v>
      </c>
      <c r="B3546" s="590">
        <v>34</v>
      </c>
      <c r="C3546" t="s">
        <v>30414</v>
      </c>
    </row>
    <row r="3547" spans="1:3">
      <c r="A3547" t="s">
        <v>30413</v>
      </c>
      <c r="B3547" s="590">
        <v>16</v>
      </c>
      <c r="C3547" t="s">
        <v>30412</v>
      </c>
    </row>
    <row r="3548" spans="1:3">
      <c r="A3548" t="s">
        <v>30411</v>
      </c>
      <c r="B3548" s="590">
        <v>16</v>
      </c>
      <c r="C3548" t="s">
        <v>30410</v>
      </c>
    </row>
    <row r="3549" spans="1:3">
      <c r="A3549" t="s">
        <v>30409</v>
      </c>
      <c r="B3549" s="590">
        <v>34</v>
      </c>
      <c r="C3549" t="s">
        <v>30408</v>
      </c>
    </row>
    <row r="3550" spans="1:3">
      <c r="A3550" t="s">
        <v>30407</v>
      </c>
      <c r="B3550" s="590">
        <v>16</v>
      </c>
      <c r="C3550" t="s">
        <v>30406</v>
      </c>
    </row>
    <row r="3551" spans="1:3">
      <c r="A3551" t="s">
        <v>30405</v>
      </c>
      <c r="B3551" s="590">
        <v>2247</v>
      </c>
      <c r="C3551" t="s">
        <v>30404</v>
      </c>
    </row>
    <row r="3552" spans="1:3">
      <c r="A3552" t="s">
        <v>30403</v>
      </c>
      <c r="B3552" s="590">
        <v>2035</v>
      </c>
      <c r="C3552" t="s">
        <v>30402</v>
      </c>
    </row>
    <row r="3553" spans="1:3">
      <c r="A3553" t="s">
        <v>30401</v>
      </c>
      <c r="B3553" s="590">
        <v>2035</v>
      </c>
      <c r="C3553" t="s">
        <v>30400</v>
      </c>
    </row>
    <row r="3554" spans="1:3">
      <c r="A3554" t="s">
        <v>30399</v>
      </c>
      <c r="B3554" s="590">
        <v>16</v>
      </c>
      <c r="C3554" t="s">
        <v>30398</v>
      </c>
    </row>
    <row r="3555" spans="1:3">
      <c r="A3555" t="s">
        <v>30397</v>
      </c>
      <c r="B3555" s="590">
        <v>16</v>
      </c>
      <c r="C3555" t="s">
        <v>30396</v>
      </c>
    </row>
    <row r="3556" spans="1:3">
      <c r="A3556" t="s">
        <v>30395</v>
      </c>
      <c r="B3556" s="590">
        <v>16</v>
      </c>
      <c r="C3556" t="s">
        <v>30394</v>
      </c>
    </row>
    <row r="3557" spans="1:3">
      <c r="A3557" t="s">
        <v>30393</v>
      </c>
      <c r="B3557" s="590">
        <v>16</v>
      </c>
      <c r="C3557" t="s">
        <v>30392</v>
      </c>
    </row>
    <row r="3558" spans="1:3">
      <c r="A3558" t="s">
        <v>30391</v>
      </c>
      <c r="B3558" s="590">
        <v>1836</v>
      </c>
      <c r="C3558" t="s">
        <v>30390</v>
      </c>
    </row>
    <row r="3559" spans="1:3">
      <c r="A3559" t="s">
        <v>30389</v>
      </c>
      <c r="B3559" s="590">
        <v>1511</v>
      </c>
      <c r="C3559" t="s">
        <v>30388</v>
      </c>
    </row>
    <row r="3560" spans="1:3">
      <c r="A3560" t="s">
        <v>30387</v>
      </c>
      <c r="B3560" s="590">
        <v>1511</v>
      </c>
      <c r="C3560" t="s">
        <v>30386</v>
      </c>
    </row>
    <row r="3561" spans="1:3">
      <c r="A3561" t="s">
        <v>30385</v>
      </c>
      <c r="B3561" s="590">
        <v>14</v>
      </c>
      <c r="C3561" t="s">
        <v>30384</v>
      </c>
    </row>
    <row r="3562" spans="1:3">
      <c r="A3562" t="s">
        <v>30383</v>
      </c>
      <c r="B3562" s="590">
        <v>16</v>
      </c>
      <c r="C3562" t="s">
        <v>30382</v>
      </c>
    </row>
    <row r="3563" spans="1:3">
      <c r="A3563" t="s">
        <v>30381</v>
      </c>
      <c r="B3563" s="590">
        <v>16</v>
      </c>
      <c r="C3563" t="s">
        <v>30380</v>
      </c>
    </row>
    <row r="3564" spans="1:3">
      <c r="A3564" t="s">
        <v>30379</v>
      </c>
      <c r="B3564" s="590">
        <v>16</v>
      </c>
      <c r="C3564" t="s">
        <v>30378</v>
      </c>
    </row>
    <row r="3565" spans="1:3">
      <c r="A3565" t="s">
        <v>30377</v>
      </c>
      <c r="B3565" s="590">
        <v>28</v>
      </c>
      <c r="C3565" t="s">
        <v>30376</v>
      </c>
    </row>
    <row r="3566" spans="1:3">
      <c r="A3566" t="s">
        <v>30375</v>
      </c>
      <c r="B3566" s="590">
        <v>16</v>
      </c>
      <c r="C3566" t="s">
        <v>30374</v>
      </c>
    </row>
    <row r="3567" spans="1:3">
      <c r="A3567" t="s">
        <v>30373</v>
      </c>
      <c r="B3567" s="590">
        <v>2437</v>
      </c>
      <c r="C3567" t="s">
        <v>30372</v>
      </c>
    </row>
    <row r="3568" spans="1:3">
      <c r="A3568" t="s">
        <v>30371</v>
      </c>
      <c r="B3568" s="590">
        <v>2437</v>
      </c>
      <c r="C3568" t="s">
        <v>30370</v>
      </c>
    </row>
    <row r="3569" spans="1:3">
      <c r="A3569" t="s">
        <v>30369</v>
      </c>
      <c r="B3569" s="590">
        <v>2437</v>
      </c>
      <c r="C3569" t="s">
        <v>30368</v>
      </c>
    </row>
    <row r="3570" spans="1:3">
      <c r="A3570" t="s">
        <v>30367</v>
      </c>
      <c r="B3570" s="590">
        <v>2437</v>
      </c>
      <c r="C3570" t="s">
        <v>30366</v>
      </c>
    </row>
    <row r="3571" spans="1:3">
      <c r="A3571" t="s">
        <v>30365</v>
      </c>
      <c r="B3571" s="590">
        <v>2437</v>
      </c>
      <c r="C3571" t="s">
        <v>30364</v>
      </c>
    </row>
    <row r="3572" spans="1:3">
      <c r="A3572" t="s">
        <v>30363</v>
      </c>
      <c r="B3572" s="590">
        <v>2437</v>
      </c>
      <c r="C3572" t="s">
        <v>30362</v>
      </c>
    </row>
    <row r="3573" spans="1:3">
      <c r="A3573" t="s">
        <v>30361</v>
      </c>
      <c r="B3573" s="590">
        <v>2437</v>
      </c>
      <c r="C3573" t="s">
        <v>30360</v>
      </c>
    </row>
    <row r="3574" spans="1:3">
      <c r="A3574" t="s">
        <v>30359</v>
      </c>
      <c r="B3574" s="590">
        <v>2437</v>
      </c>
      <c r="C3574" t="s">
        <v>30358</v>
      </c>
    </row>
    <row r="3575" spans="1:3">
      <c r="A3575" t="s">
        <v>30357</v>
      </c>
      <c r="B3575" s="590">
        <v>2437</v>
      </c>
      <c r="C3575" t="s">
        <v>30356</v>
      </c>
    </row>
    <row r="3576" spans="1:3">
      <c r="A3576" t="s">
        <v>30355</v>
      </c>
      <c r="B3576" s="590">
        <v>2437</v>
      </c>
      <c r="C3576" t="s">
        <v>30354</v>
      </c>
    </row>
    <row r="3577" spans="1:3">
      <c r="A3577" t="s">
        <v>30353</v>
      </c>
      <c r="B3577" s="590">
        <v>2437</v>
      </c>
      <c r="C3577" t="s">
        <v>30352</v>
      </c>
    </row>
    <row r="3578" spans="1:3">
      <c r="A3578" t="s">
        <v>30351</v>
      </c>
      <c r="B3578" s="590">
        <v>2437</v>
      </c>
      <c r="C3578" t="s">
        <v>30350</v>
      </c>
    </row>
    <row r="3579" spans="1:3">
      <c r="A3579" t="s">
        <v>30349</v>
      </c>
      <c r="B3579" s="590">
        <v>2437</v>
      </c>
      <c r="C3579" t="s">
        <v>30348</v>
      </c>
    </row>
    <row r="3580" spans="1:3">
      <c r="A3580" t="s">
        <v>30347</v>
      </c>
      <c r="B3580" s="590">
        <v>2437</v>
      </c>
      <c r="C3580" t="s">
        <v>30346</v>
      </c>
    </row>
    <row r="3581" spans="1:3">
      <c r="A3581" t="s">
        <v>30345</v>
      </c>
      <c r="B3581" s="590">
        <v>2437</v>
      </c>
      <c r="C3581" t="s">
        <v>30344</v>
      </c>
    </row>
    <row r="3582" spans="1:3">
      <c r="A3582" t="s">
        <v>30343</v>
      </c>
      <c r="B3582" s="590">
        <v>2437</v>
      </c>
      <c r="C3582" t="s">
        <v>30342</v>
      </c>
    </row>
    <row r="3583" spans="1:3">
      <c r="A3583" t="s">
        <v>30341</v>
      </c>
      <c r="B3583" s="590">
        <v>2437</v>
      </c>
      <c r="C3583" t="s">
        <v>30340</v>
      </c>
    </row>
    <row r="3584" spans="1:3">
      <c r="A3584" t="s">
        <v>30339</v>
      </c>
      <c r="B3584" s="590">
        <v>3035</v>
      </c>
      <c r="C3584" t="s">
        <v>30338</v>
      </c>
    </row>
    <row r="3585" spans="1:3">
      <c r="A3585" t="s">
        <v>30337</v>
      </c>
      <c r="B3585" s="590">
        <v>3035</v>
      </c>
      <c r="C3585" t="s">
        <v>30336</v>
      </c>
    </row>
    <row r="3586" spans="1:3">
      <c r="A3586" t="s">
        <v>30335</v>
      </c>
      <c r="B3586" s="590">
        <v>3035</v>
      </c>
      <c r="C3586" t="s">
        <v>30334</v>
      </c>
    </row>
    <row r="3587" spans="1:3">
      <c r="A3587" t="s">
        <v>30333</v>
      </c>
      <c r="B3587" s="590">
        <v>3035</v>
      </c>
      <c r="C3587" t="s">
        <v>30332</v>
      </c>
    </row>
    <row r="3588" spans="1:3">
      <c r="A3588" t="s">
        <v>30331</v>
      </c>
      <c r="B3588" s="590">
        <v>3035</v>
      </c>
      <c r="C3588" t="s">
        <v>30330</v>
      </c>
    </row>
    <row r="3589" spans="1:3">
      <c r="A3589" t="s">
        <v>30329</v>
      </c>
      <c r="B3589" s="590">
        <v>3035</v>
      </c>
      <c r="C3589" t="s">
        <v>30328</v>
      </c>
    </row>
    <row r="3590" spans="1:3">
      <c r="A3590" t="s">
        <v>30327</v>
      </c>
      <c r="B3590" s="590">
        <v>3035</v>
      </c>
      <c r="C3590" t="s">
        <v>30326</v>
      </c>
    </row>
    <row r="3591" spans="1:3">
      <c r="A3591" t="s">
        <v>30325</v>
      </c>
      <c r="B3591" s="590">
        <v>3035</v>
      </c>
      <c r="C3591" t="s">
        <v>30324</v>
      </c>
    </row>
    <row r="3592" spans="1:3">
      <c r="A3592" t="s">
        <v>30323</v>
      </c>
      <c r="B3592" s="590">
        <v>3035</v>
      </c>
      <c r="C3592" t="s">
        <v>30322</v>
      </c>
    </row>
    <row r="3593" spans="1:3">
      <c r="A3593" t="s">
        <v>30321</v>
      </c>
      <c r="B3593" s="590">
        <v>3035</v>
      </c>
      <c r="C3593" t="s">
        <v>30320</v>
      </c>
    </row>
    <row r="3594" spans="1:3">
      <c r="A3594" t="s">
        <v>30319</v>
      </c>
      <c r="B3594" s="590">
        <v>3035</v>
      </c>
      <c r="C3594" t="s">
        <v>30318</v>
      </c>
    </row>
    <row r="3595" spans="1:3">
      <c r="A3595" t="s">
        <v>30317</v>
      </c>
      <c r="B3595" s="590">
        <v>3035</v>
      </c>
      <c r="C3595" t="s">
        <v>30316</v>
      </c>
    </row>
    <row r="3596" spans="1:3">
      <c r="A3596" t="s">
        <v>30315</v>
      </c>
      <c r="B3596" s="590">
        <v>2303</v>
      </c>
      <c r="C3596" t="s">
        <v>30314</v>
      </c>
    </row>
    <row r="3597" spans="1:3">
      <c r="A3597" t="s">
        <v>30313</v>
      </c>
      <c r="B3597" s="590">
        <v>2303</v>
      </c>
      <c r="C3597" t="s">
        <v>30312</v>
      </c>
    </row>
    <row r="3598" spans="1:3">
      <c r="A3598" t="s">
        <v>30311</v>
      </c>
      <c r="B3598" s="590">
        <v>2303</v>
      </c>
      <c r="C3598" t="s">
        <v>30310</v>
      </c>
    </row>
    <row r="3599" spans="1:3">
      <c r="A3599" t="s">
        <v>30309</v>
      </c>
      <c r="B3599" s="590">
        <v>2303</v>
      </c>
      <c r="C3599" t="s">
        <v>30308</v>
      </c>
    </row>
    <row r="3600" spans="1:3">
      <c r="A3600" t="s">
        <v>30307</v>
      </c>
      <c r="B3600" s="590">
        <v>2303</v>
      </c>
      <c r="C3600" t="s">
        <v>30306</v>
      </c>
    </row>
    <row r="3601" spans="1:3">
      <c r="A3601" t="s">
        <v>30305</v>
      </c>
      <c r="B3601" s="590">
        <v>2303</v>
      </c>
      <c r="C3601" t="s">
        <v>30304</v>
      </c>
    </row>
    <row r="3602" spans="1:3">
      <c r="A3602" t="s">
        <v>30303</v>
      </c>
      <c r="B3602" s="590">
        <v>2303</v>
      </c>
      <c r="C3602" t="s">
        <v>30302</v>
      </c>
    </row>
    <row r="3603" spans="1:3">
      <c r="A3603" t="s">
        <v>30301</v>
      </c>
      <c r="B3603" s="590">
        <v>2423</v>
      </c>
      <c r="C3603" t="s">
        <v>30300</v>
      </c>
    </row>
    <row r="3604" spans="1:3">
      <c r="A3604" t="s">
        <v>30299</v>
      </c>
      <c r="B3604" s="590">
        <v>2303</v>
      </c>
      <c r="C3604" t="s">
        <v>30298</v>
      </c>
    </row>
    <row r="3605" spans="1:3">
      <c r="A3605" t="s">
        <v>30297</v>
      </c>
      <c r="B3605" s="590">
        <v>2303</v>
      </c>
      <c r="C3605" t="s">
        <v>30296</v>
      </c>
    </row>
    <row r="3606" spans="1:3">
      <c r="A3606" t="s">
        <v>30295</v>
      </c>
      <c r="B3606" s="590">
        <v>2303</v>
      </c>
      <c r="C3606" t="s">
        <v>30294</v>
      </c>
    </row>
    <row r="3607" spans="1:3">
      <c r="A3607" t="s">
        <v>30293</v>
      </c>
      <c r="B3607" s="590">
        <v>2303</v>
      </c>
      <c r="C3607" t="s">
        <v>30292</v>
      </c>
    </row>
    <row r="3608" spans="1:3">
      <c r="A3608" t="s">
        <v>30291</v>
      </c>
      <c r="B3608" s="590">
        <v>2303</v>
      </c>
      <c r="C3608" t="s">
        <v>30290</v>
      </c>
    </row>
    <row r="3609" spans="1:3">
      <c r="A3609" t="s">
        <v>30289</v>
      </c>
      <c r="B3609" s="590">
        <v>2303</v>
      </c>
      <c r="C3609" t="s">
        <v>30288</v>
      </c>
    </row>
    <row r="3610" spans="1:3">
      <c r="A3610" t="s">
        <v>30287</v>
      </c>
      <c r="B3610" s="590">
        <v>2303</v>
      </c>
      <c r="C3610" t="s">
        <v>30286</v>
      </c>
    </row>
    <row r="3611" spans="1:3">
      <c r="A3611" t="s">
        <v>30285</v>
      </c>
      <c r="B3611" s="590">
        <v>2303</v>
      </c>
      <c r="C3611" t="s">
        <v>30284</v>
      </c>
    </row>
    <row r="3612" spans="1:3">
      <c r="A3612" t="s">
        <v>30283</v>
      </c>
      <c r="B3612" s="590">
        <v>2303</v>
      </c>
      <c r="C3612" t="s">
        <v>30282</v>
      </c>
    </row>
    <row r="3613" spans="1:3">
      <c r="A3613" t="s">
        <v>30281</v>
      </c>
      <c r="B3613" s="590">
        <v>2303</v>
      </c>
      <c r="C3613" t="s">
        <v>30280</v>
      </c>
    </row>
    <row r="3614" spans="1:3">
      <c r="A3614" t="s">
        <v>30279</v>
      </c>
      <c r="B3614" s="590">
        <v>2303</v>
      </c>
      <c r="C3614" t="s">
        <v>30278</v>
      </c>
    </row>
    <row r="3615" spans="1:3">
      <c r="A3615" t="s">
        <v>30277</v>
      </c>
      <c r="B3615" s="590">
        <v>2303</v>
      </c>
      <c r="C3615" t="s">
        <v>30276</v>
      </c>
    </row>
    <row r="3616" spans="1:3">
      <c r="A3616" t="s">
        <v>30275</v>
      </c>
      <c r="B3616" s="590">
        <v>2303</v>
      </c>
      <c r="C3616" t="s">
        <v>30274</v>
      </c>
    </row>
    <row r="3617" spans="1:3">
      <c r="A3617" t="s">
        <v>30273</v>
      </c>
      <c r="B3617" s="590">
        <v>2303</v>
      </c>
      <c r="C3617" t="s">
        <v>30272</v>
      </c>
    </row>
    <row r="3618" spans="1:3">
      <c r="A3618" t="s">
        <v>30271</v>
      </c>
      <c r="B3618" s="590">
        <v>2303</v>
      </c>
      <c r="C3618" t="s">
        <v>30270</v>
      </c>
    </row>
    <row r="3619" spans="1:3">
      <c r="A3619" t="s">
        <v>30269</v>
      </c>
      <c r="B3619" s="590">
        <v>2303</v>
      </c>
      <c r="C3619" t="s">
        <v>30268</v>
      </c>
    </row>
    <row r="3620" spans="1:3">
      <c r="A3620" t="s">
        <v>30267</v>
      </c>
      <c r="B3620" s="590">
        <v>2303</v>
      </c>
      <c r="C3620" t="s">
        <v>30266</v>
      </c>
    </row>
    <row r="3621" spans="1:3">
      <c r="A3621" t="s">
        <v>30265</v>
      </c>
      <c r="B3621" s="590">
        <v>2303</v>
      </c>
      <c r="C3621" t="s">
        <v>30264</v>
      </c>
    </row>
    <row r="3622" spans="1:3">
      <c r="A3622" t="s">
        <v>30263</v>
      </c>
      <c r="B3622" s="590">
        <v>2303</v>
      </c>
      <c r="C3622" t="s">
        <v>30262</v>
      </c>
    </row>
    <row r="3623" spans="1:3">
      <c r="A3623" t="s">
        <v>30261</v>
      </c>
      <c r="B3623" s="590">
        <v>2303</v>
      </c>
      <c r="C3623" t="s">
        <v>30260</v>
      </c>
    </row>
    <row r="3624" spans="1:3">
      <c r="A3624" t="s">
        <v>30259</v>
      </c>
      <c r="B3624" s="590">
        <v>2303</v>
      </c>
      <c r="C3624" t="s">
        <v>30258</v>
      </c>
    </row>
    <row r="3625" spans="1:3">
      <c r="A3625" t="s">
        <v>30257</v>
      </c>
      <c r="B3625" s="590">
        <v>2303</v>
      </c>
      <c r="C3625" t="s">
        <v>30256</v>
      </c>
    </row>
    <row r="3626" spans="1:3">
      <c r="A3626" t="s">
        <v>30255</v>
      </c>
      <c r="B3626" s="590">
        <v>2303</v>
      </c>
      <c r="C3626" t="s">
        <v>30254</v>
      </c>
    </row>
    <row r="3627" spans="1:3">
      <c r="A3627" t="s">
        <v>30253</v>
      </c>
      <c r="B3627" s="590">
        <v>2474</v>
      </c>
      <c r="C3627" t="s">
        <v>30252</v>
      </c>
    </row>
    <row r="3628" spans="1:3">
      <c r="A3628" t="s">
        <v>30251</v>
      </c>
      <c r="B3628" s="590">
        <v>2388</v>
      </c>
      <c r="C3628" t="s">
        <v>30250</v>
      </c>
    </row>
    <row r="3629" spans="1:3">
      <c r="A3629" t="s">
        <v>30249</v>
      </c>
      <c r="B3629" s="590">
        <v>2303</v>
      </c>
      <c r="C3629" t="s">
        <v>30248</v>
      </c>
    </row>
    <row r="3630" spans="1:3">
      <c r="A3630" t="s">
        <v>30247</v>
      </c>
      <c r="B3630" s="590">
        <v>2303</v>
      </c>
      <c r="C3630" t="s">
        <v>30246</v>
      </c>
    </row>
    <row r="3631" spans="1:3">
      <c r="A3631" t="s">
        <v>30245</v>
      </c>
      <c r="B3631" s="590">
        <v>2303</v>
      </c>
      <c r="C3631" t="s">
        <v>30244</v>
      </c>
    </row>
    <row r="3632" spans="1:3">
      <c r="A3632" t="s">
        <v>30243</v>
      </c>
      <c r="B3632" s="590">
        <v>2899</v>
      </c>
      <c r="C3632" t="s">
        <v>30242</v>
      </c>
    </row>
    <row r="3633" spans="1:3">
      <c r="A3633" t="s">
        <v>30241</v>
      </c>
      <c r="B3633" s="590">
        <v>2899</v>
      </c>
      <c r="C3633" t="s">
        <v>30240</v>
      </c>
    </row>
    <row r="3634" spans="1:3">
      <c r="A3634" t="s">
        <v>30239</v>
      </c>
      <c r="B3634" s="590">
        <v>2899</v>
      </c>
      <c r="C3634" t="s">
        <v>30238</v>
      </c>
    </row>
    <row r="3635" spans="1:3">
      <c r="A3635" t="s">
        <v>30237</v>
      </c>
      <c r="B3635" s="590">
        <v>2899</v>
      </c>
      <c r="C3635" t="s">
        <v>30236</v>
      </c>
    </row>
    <row r="3636" spans="1:3">
      <c r="A3636" t="s">
        <v>30235</v>
      </c>
      <c r="B3636" s="590">
        <v>2899</v>
      </c>
      <c r="C3636" t="s">
        <v>30234</v>
      </c>
    </row>
    <row r="3637" spans="1:3">
      <c r="A3637" t="s">
        <v>30233</v>
      </c>
      <c r="B3637" s="590">
        <v>2899</v>
      </c>
      <c r="C3637" t="s">
        <v>30232</v>
      </c>
    </row>
    <row r="3638" spans="1:3">
      <c r="A3638" t="s">
        <v>30231</v>
      </c>
      <c r="B3638" s="590">
        <v>2899</v>
      </c>
      <c r="C3638" t="s">
        <v>30230</v>
      </c>
    </row>
    <row r="3639" spans="1:3">
      <c r="A3639" t="s">
        <v>30229</v>
      </c>
      <c r="B3639" s="590">
        <v>2899</v>
      </c>
      <c r="C3639" t="s">
        <v>30228</v>
      </c>
    </row>
    <row r="3640" spans="1:3">
      <c r="A3640" t="s">
        <v>30227</v>
      </c>
      <c r="B3640" s="590">
        <v>2899</v>
      </c>
      <c r="C3640" t="s">
        <v>30226</v>
      </c>
    </row>
    <row r="3641" spans="1:3">
      <c r="A3641" t="s">
        <v>30225</v>
      </c>
      <c r="B3641" s="590">
        <v>2899</v>
      </c>
      <c r="C3641" t="s">
        <v>30224</v>
      </c>
    </row>
    <row r="3642" spans="1:3">
      <c r="A3642" t="s">
        <v>30223</v>
      </c>
      <c r="B3642" s="590">
        <v>2899</v>
      </c>
      <c r="C3642" t="s">
        <v>30222</v>
      </c>
    </row>
    <row r="3643" spans="1:3">
      <c r="A3643" t="s">
        <v>30221</v>
      </c>
      <c r="B3643" s="590">
        <v>2899</v>
      </c>
      <c r="C3643" t="s">
        <v>30220</v>
      </c>
    </row>
    <row r="3644" spans="1:3">
      <c r="A3644" t="s">
        <v>30219</v>
      </c>
      <c r="B3644" s="590">
        <v>2899</v>
      </c>
      <c r="C3644" t="s">
        <v>30218</v>
      </c>
    </row>
    <row r="3645" spans="1:3">
      <c r="A3645" t="s">
        <v>30217</v>
      </c>
      <c r="B3645" s="590">
        <v>2899</v>
      </c>
      <c r="C3645" t="s">
        <v>30216</v>
      </c>
    </row>
    <row r="3646" spans="1:3">
      <c r="A3646" t="s">
        <v>30215</v>
      </c>
      <c r="B3646" s="590">
        <v>2899</v>
      </c>
      <c r="C3646" t="s">
        <v>30214</v>
      </c>
    </row>
    <row r="3647" spans="1:3">
      <c r="A3647" t="s">
        <v>30213</v>
      </c>
      <c r="B3647" s="590">
        <v>2899</v>
      </c>
      <c r="C3647" t="s">
        <v>30212</v>
      </c>
    </row>
    <row r="3648" spans="1:3">
      <c r="A3648" t="s">
        <v>30211</v>
      </c>
      <c r="B3648" s="590">
        <v>2899</v>
      </c>
      <c r="C3648" t="s">
        <v>30210</v>
      </c>
    </row>
    <row r="3649" spans="1:3">
      <c r="A3649" t="s">
        <v>30209</v>
      </c>
      <c r="B3649" s="590">
        <v>2899</v>
      </c>
      <c r="C3649" t="s">
        <v>30208</v>
      </c>
    </row>
    <row r="3650" spans="1:3">
      <c r="A3650" t="s">
        <v>30207</v>
      </c>
      <c r="B3650" s="590">
        <v>2899</v>
      </c>
      <c r="C3650" t="s">
        <v>30206</v>
      </c>
    </row>
    <row r="3651" spans="1:3">
      <c r="A3651" t="s">
        <v>30205</v>
      </c>
      <c r="B3651" s="590">
        <v>2899</v>
      </c>
      <c r="C3651" t="s">
        <v>30204</v>
      </c>
    </row>
    <row r="3652" spans="1:3">
      <c r="A3652" t="s">
        <v>30203</v>
      </c>
      <c r="B3652" s="590">
        <v>2899</v>
      </c>
      <c r="C3652" t="s">
        <v>30202</v>
      </c>
    </row>
    <row r="3653" spans="1:3">
      <c r="A3653" t="s">
        <v>30201</v>
      </c>
      <c r="B3653" s="590">
        <v>2899</v>
      </c>
      <c r="C3653" t="s">
        <v>30200</v>
      </c>
    </row>
    <row r="3654" spans="1:3">
      <c r="A3654" t="s">
        <v>30199</v>
      </c>
      <c r="B3654" s="590">
        <v>2899</v>
      </c>
      <c r="C3654" t="s">
        <v>30198</v>
      </c>
    </row>
    <row r="3655" spans="1:3">
      <c r="A3655" t="s">
        <v>30197</v>
      </c>
      <c r="B3655" s="590">
        <v>2899</v>
      </c>
      <c r="C3655" t="s">
        <v>30196</v>
      </c>
    </row>
    <row r="3656" spans="1:3">
      <c r="A3656" t="s">
        <v>30195</v>
      </c>
      <c r="B3656" s="590">
        <v>2899</v>
      </c>
      <c r="C3656" t="s">
        <v>30194</v>
      </c>
    </row>
    <row r="3657" spans="1:3">
      <c r="A3657" t="s">
        <v>30193</v>
      </c>
      <c r="B3657" s="590">
        <v>3020</v>
      </c>
      <c r="C3657" t="s">
        <v>30192</v>
      </c>
    </row>
    <row r="3658" spans="1:3">
      <c r="A3658" t="s">
        <v>30191</v>
      </c>
      <c r="B3658" s="590">
        <v>2985</v>
      </c>
      <c r="C3658" t="s">
        <v>30190</v>
      </c>
    </row>
    <row r="3659" spans="1:3">
      <c r="A3659" t="s">
        <v>30189</v>
      </c>
      <c r="B3659" s="590">
        <v>2899</v>
      </c>
      <c r="C3659" t="s">
        <v>30188</v>
      </c>
    </row>
    <row r="3660" spans="1:3">
      <c r="A3660" t="s">
        <v>30187</v>
      </c>
      <c r="B3660" s="590">
        <v>2899</v>
      </c>
      <c r="C3660" t="s">
        <v>30186</v>
      </c>
    </row>
    <row r="3661" spans="1:3">
      <c r="A3661" t="s">
        <v>30185</v>
      </c>
      <c r="B3661" s="590">
        <v>2899</v>
      </c>
      <c r="C3661" t="s">
        <v>30184</v>
      </c>
    </row>
    <row r="3662" spans="1:3">
      <c r="A3662" t="s">
        <v>30183</v>
      </c>
      <c r="B3662" s="590">
        <v>2687</v>
      </c>
      <c r="C3662" t="s">
        <v>30182</v>
      </c>
    </row>
    <row r="3663" spans="1:3">
      <c r="A3663" t="s">
        <v>30181</v>
      </c>
      <c r="B3663" s="590">
        <v>2687</v>
      </c>
      <c r="C3663" t="s">
        <v>30180</v>
      </c>
    </row>
    <row r="3664" spans="1:3">
      <c r="A3664" t="s">
        <v>30179</v>
      </c>
      <c r="B3664" s="590">
        <v>2687</v>
      </c>
      <c r="C3664" t="s">
        <v>30178</v>
      </c>
    </row>
    <row r="3665" spans="1:3">
      <c r="A3665" t="s">
        <v>30177</v>
      </c>
      <c r="B3665" s="590">
        <v>2687</v>
      </c>
      <c r="C3665" t="s">
        <v>30176</v>
      </c>
    </row>
    <row r="3666" spans="1:3">
      <c r="A3666" t="s">
        <v>30175</v>
      </c>
      <c r="B3666" s="590">
        <v>2687</v>
      </c>
      <c r="C3666" t="s">
        <v>30174</v>
      </c>
    </row>
    <row r="3667" spans="1:3">
      <c r="A3667" t="s">
        <v>30173</v>
      </c>
      <c r="B3667" s="590">
        <v>2687</v>
      </c>
      <c r="C3667" t="s">
        <v>30172</v>
      </c>
    </row>
    <row r="3668" spans="1:3">
      <c r="A3668" t="s">
        <v>30171</v>
      </c>
      <c r="B3668" s="590">
        <v>2687</v>
      </c>
      <c r="C3668" t="s">
        <v>30170</v>
      </c>
    </row>
    <row r="3669" spans="1:3">
      <c r="A3669" t="s">
        <v>30169</v>
      </c>
      <c r="B3669" s="590">
        <v>2687</v>
      </c>
      <c r="C3669" t="s">
        <v>30168</v>
      </c>
    </row>
    <row r="3670" spans="1:3">
      <c r="A3670" t="s">
        <v>30167</v>
      </c>
      <c r="B3670" s="590">
        <v>2687</v>
      </c>
      <c r="C3670" t="s">
        <v>30166</v>
      </c>
    </row>
    <row r="3671" spans="1:3">
      <c r="A3671" t="s">
        <v>30165</v>
      </c>
      <c r="B3671" s="590">
        <v>2687</v>
      </c>
      <c r="C3671" t="s">
        <v>30164</v>
      </c>
    </row>
    <row r="3672" spans="1:3">
      <c r="A3672" t="s">
        <v>30163</v>
      </c>
      <c r="B3672" s="590">
        <v>2687</v>
      </c>
      <c r="C3672" t="s">
        <v>30162</v>
      </c>
    </row>
    <row r="3673" spans="1:3">
      <c r="A3673" t="s">
        <v>30161</v>
      </c>
      <c r="B3673" s="590">
        <v>3284</v>
      </c>
      <c r="C3673" t="s">
        <v>30160</v>
      </c>
    </row>
    <row r="3674" spans="1:3">
      <c r="A3674" t="s">
        <v>30159</v>
      </c>
      <c r="B3674" s="590">
        <v>3284</v>
      </c>
      <c r="C3674" t="s">
        <v>30158</v>
      </c>
    </row>
    <row r="3675" spans="1:3">
      <c r="A3675" t="s">
        <v>30157</v>
      </c>
      <c r="B3675" s="590">
        <v>3284</v>
      </c>
      <c r="C3675" t="s">
        <v>30156</v>
      </c>
    </row>
    <row r="3676" spans="1:3">
      <c r="A3676" t="s">
        <v>30155</v>
      </c>
      <c r="B3676" s="590">
        <v>3284</v>
      </c>
      <c r="C3676" t="s">
        <v>30154</v>
      </c>
    </row>
    <row r="3677" spans="1:3">
      <c r="A3677" t="s">
        <v>30153</v>
      </c>
      <c r="B3677" s="590">
        <v>3284</v>
      </c>
      <c r="C3677" t="s">
        <v>30152</v>
      </c>
    </row>
    <row r="3678" spans="1:3">
      <c r="A3678" t="s">
        <v>30151</v>
      </c>
      <c r="B3678" s="590">
        <v>3284</v>
      </c>
      <c r="C3678" t="s">
        <v>30150</v>
      </c>
    </row>
    <row r="3679" spans="1:3">
      <c r="A3679" t="s">
        <v>30149</v>
      </c>
      <c r="B3679" s="590">
        <v>3284</v>
      </c>
      <c r="C3679" t="s">
        <v>30148</v>
      </c>
    </row>
    <row r="3680" spans="1:3">
      <c r="A3680" t="s">
        <v>30147</v>
      </c>
      <c r="B3680" s="590">
        <v>3284</v>
      </c>
      <c r="C3680" t="s">
        <v>30146</v>
      </c>
    </row>
    <row r="3681" spans="1:3">
      <c r="A3681" t="s">
        <v>30145</v>
      </c>
      <c r="B3681" s="590">
        <v>3284</v>
      </c>
      <c r="C3681" t="s">
        <v>30144</v>
      </c>
    </row>
    <row r="3682" spans="1:3">
      <c r="A3682" t="s">
        <v>30143</v>
      </c>
      <c r="B3682" s="590">
        <v>3284</v>
      </c>
      <c r="C3682" t="s">
        <v>30142</v>
      </c>
    </row>
    <row r="3683" spans="1:3">
      <c r="A3683" t="s">
        <v>30141</v>
      </c>
      <c r="B3683" s="590">
        <v>3284</v>
      </c>
      <c r="C3683" t="s">
        <v>30140</v>
      </c>
    </row>
    <row r="3684" spans="1:3">
      <c r="A3684" t="s">
        <v>30139</v>
      </c>
      <c r="B3684" s="590">
        <v>3284</v>
      </c>
      <c r="C3684" t="s">
        <v>30138</v>
      </c>
    </row>
    <row r="3685" spans="1:3">
      <c r="A3685" t="s">
        <v>30137</v>
      </c>
      <c r="B3685" s="590">
        <v>3284</v>
      </c>
      <c r="C3685" t="s">
        <v>30136</v>
      </c>
    </row>
    <row r="3686" spans="1:3">
      <c r="A3686" t="s">
        <v>30135</v>
      </c>
      <c r="B3686" s="590">
        <v>342</v>
      </c>
      <c r="C3686" t="s">
        <v>30134</v>
      </c>
    </row>
    <row r="3687" spans="1:3">
      <c r="A3687" t="s">
        <v>30133</v>
      </c>
      <c r="B3687" s="590">
        <v>342</v>
      </c>
      <c r="C3687" t="s">
        <v>30132</v>
      </c>
    </row>
    <row r="3688" spans="1:3">
      <c r="A3688" t="s">
        <v>30131</v>
      </c>
      <c r="B3688" s="590">
        <v>342</v>
      </c>
      <c r="C3688" t="s">
        <v>30130</v>
      </c>
    </row>
    <row r="3689" spans="1:3">
      <c r="A3689" t="s">
        <v>30129</v>
      </c>
      <c r="B3689" s="590">
        <v>342</v>
      </c>
      <c r="C3689" t="s">
        <v>30128</v>
      </c>
    </row>
    <row r="3690" spans="1:3">
      <c r="A3690" t="s">
        <v>30127</v>
      </c>
      <c r="B3690" s="590">
        <v>342</v>
      </c>
      <c r="C3690" t="s">
        <v>30126</v>
      </c>
    </row>
    <row r="3691" spans="1:3">
      <c r="A3691" t="s">
        <v>30125</v>
      </c>
      <c r="B3691" s="590">
        <v>342</v>
      </c>
      <c r="C3691" t="s">
        <v>30124</v>
      </c>
    </row>
    <row r="3692" spans="1:3">
      <c r="A3692" t="s">
        <v>30123</v>
      </c>
      <c r="B3692" s="590">
        <v>235</v>
      </c>
      <c r="C3692" t="s">
        <v>30122</v>
      </c>
    </row>
    <row r="3693" spans="1:3">
      <c r="A3693" t="s">
        <v>30121</v>
      </c>
      <c r="B3693" s="590">
        <v>235</v>
      </c>
      <c r="C3693" t="s">
        <v>30120</v>
      </c>
    </row>
    <row r="3694" spans="1:3">
      <c r="A3694" t="s">
        <v>30119</v>
      </c>
      <c r="B3694" s="590">
        <v>235</v>
      </c>
      <c r="C3694" t="s">
        <v>30118</v>
      </c>
    </row>
    <row r="3695" spans="1:3">
      <c r="A3695" t="s">
        <v>30117</v>
      </c>
      <c r="B3695" s="590">
        <v>235</v>
      </c>
      <c r="C3695" t="s">
        <v>30116</v>
      </c>
    </row>
    <row r="3696" spans="1:3">
      <c r="A3696" t="s">
        <v>30115</v>
      </c>
      <c r="B3696" s="590">
        <v>235</v>
      </c>
      <c r="C3696" t="s">
        <v>30114</v>
      </c>
    </row>
    <row r="3697" spans="1:3">
      <c r="A3697" t="s">
        <v>30113</v>
      </c>
      <c r="B3697" s="590">
        <v>235</v>
      </c>
      <c r="C3697" t="s">
        <v>30112</v>
      </c>
    </row>
    <row r="3698" spans="1:3">
      <c r="A3698" t="s">
        <v>30111</v>
      </c>
      <c r="B3698" s="590">
        <v>235</v>
      </c>
      <c r="C3698" t="s">
        <v>30110</v>
      </c>
    </row>
    <row r="3699" spans="1:3">
      <c r="A3699" t="s">
        <v>30109</v>
      </c>
      <c r="B3699" s="590">
        <v>235</v>
      </c>
      <c r="C3699" t="s">
        <v>30108</v>
      </c>
    </row>
    <row r="3700" spans="1:3">
      <c r="A3700" t="s">
        <v>30107</v>
      </c>
      <c r="B3700" s="590">
        <v>235</v>
      </c>
      <c r="C3700" t="s">
        <v>30106</v>
      </c>
    </row>
    <row r="3701" spans="1:3">
      <c r="A3701" t="s">
        <v>30105</v>
      </c>
      <c r="B3701" s="590">
        <v>298</v>
      </c>
      <c r="C3701" t="s">
        <v>30104</v>
      </c>
    </row>
    <row r="3702" spans="1:3">
      <c r="A3702" t="s">
        <v>30103</v>
      </c>
      <c r="B3702" s="590">
        <v>298</v>
      </c>
      <c r="C3702" t="s">
        <v>30102</v>
      </c>
    </row>
    <row r="3703" spans="1:3">
      <c r="A3703" t="s">
        <v>30101</v>
      </c>
      <c r="B3703" s="590">
        <v>298</v>
      </c>
      <c r="C3703" t="s">
        <v>30100</v>
      </c>
    </row>
    <row r="3704" spans="1:3">
      <c r="A3704" t="s">
        <v>30099</v>
      </c>
      <c r="B3704" s="590">
        <v>329</v>
      </c>
      <c r="C3704" t="s">
        <v>30098</v>
      </c>
    </row>
    <row r="3705" spans="1:3">
      <c r="A3705" t="s">
        <v>30097</v>
      </c>
      <c r="B3705" s="590">
        <v>298</v>
      </c>
      <c r="C3705" t="s">
        <v>30096</v>
      </c>
    </row>
    <row r="3706" spans="1:3">
      <c r="A3706" t="s">
        <v>30095</v>
      </c>
      <c r="B3706" s="590">
        <v>211</v>
      </c>
      <c r="C3706" t="s">
        <v>30094</v>
      </c>
    </row>
    <row r="3707" spans="1:3">
      <c r="A3707" t="s">
        <v>30093</v>
      </c>
      <c r="B3707" s="590">
        <v>211</v>
      </c>
      <c r="C3707" t="s">
        <v>30092</v>
      </c>
    </row>
    <row r="3708" spans="1:3">
      <c r="A3708" t="s">
        <v>30091</v>
      </c>
      <c r="B3708" s="590">
        <v>211</v>
      </c>
      <c r="C3708" t="s">
        <v>30090</v>
      </c>
    </row>
    <row r="3709" spans="1:3">
      <c r="A3709" t="s">
        <v>30089</v>
      </c>
      <c r="B3709" s="590">
        <v>227</v>
      </c>
      <c r="C3709" t="s">
        <v>30088</v>
      </c>
    </row>
    <row r="3710" spans="1:3">
      <c r="A3710" t="s">
        <v>30087</v>
      </c>
      <c r="B3710" s="590">
        <v>211</v>
      </c>
      <c r="C3710" t="s">
        <v>30086</v>
      </c>
    </row>
    <row r="3711" spans="1:3">
      <c r="A3711" t="s">
        <v>30085</v>
      </c>
      <c r="B3711" s="590">
        <v>298</v>
      </c>
      <c r="C3711" t="s">
        <v>30084</v>
      </c>
    </row>
    <row r="3712" spans="1:3">
      <c r="A3712" t="s">
        <v>30083</v>
      </c>
      <c r="B3712" s="590">
        <v>298</v>
      </c>
      <c r="C3712" t="s">
        <v>30082</v>
      </c>
    </row>
    <row r="3713" spans="1:3">
      <c r="A3713" t="s">
        <v>30081</v>
      </c>
      <c r="B3713" s="590">
        <v>298</v>
      </c>
      <c r="C3713" t="s">
        <v>30080</v>
      </c>
    </row>
    <row r="3714" spans="1:3">
      <c r="A3714" t="s">
        <v>30079</v>
      </c>
      <c r="B3714" s="590">
        <v>313</v>
      </c>
      <c r="C3714" t="s">
        <v>30078</v>
      </c>
    </row>
    <row r="3715" spans="1:3">
      <c r="A3715" t="s">
        <v>30077</v>
      </c>
      <c r="B3715" s="590">
        <v>298</v>
      </c>
      <c r="C3715" t="s">
        <v>30076</v>
      </c>
    </row>
    <row r="3716" spans="1:3">
      <c r="A3716" t="s">
        <v>30075</v>
      </c>
      <c r="B3716" s="590">
        <v>298</v>
      </c>
      <c r="C3716" t="s">
        <v>30074</v>
      </c>
    </row>
    <row r="3717" spans="1:3">
      <c r="A3717" t="s">
        <v>30073</v>
      </c>
      <c r="B3717" s="590">
        <v>313</v>
      </c>
      <c r="C3717" t="s">
        <v>30072</v>
      </c>
    </row>
    <row r="3718" spans="1:3">
      <c r="A3718" t="s">
        <v>30071</v>
      </c>
      <c r="B3718" s="590">
        <v>298</v>
      </c>
      <c r="C3718" t="s">
        <v>30070</v>
      </c>
    </row>
    <row r="3719" spans="1:3">
      <c r="A3719" t="s">
        <v>30069</v>
      </c>
      <c r="B3719" s="590">
        <v>211</v>
      </c>
      <c r="C3719" t="s">
        <v>30068</v>
      </c>
    </row>
    <row r="3720" spans="1:3">
      <c r="A3720" t="s">
        <v>30067</v>
      </c>
      <c r="B3720" s="590">
        <v>211</v>
      </c>
      <c r="C3720" t="s">
        <v>30066</v>
      </c>
    </row>
    <row r="3721" spans="1:3">
      <c r="A3721" t="s">
        <v>30065</v>
      </c>
      <c r="B3721" s="590">
        <v>211</v>
      </c>
      <c r="C3721" t="s">
        <v>30064</v>
      </c>
    </row>
    <row r="3722" spans="1:3">
      <c r="A3722" t="s">
        <v>30063</v>
      </c>
      <c r="B3722" s="590">
        <v>219</v>
      </c>
      <c r="C3722" t="s">
        <v>30062</v>
      </c>
    </row>
    <row r="3723" spans="1:3">
      <c r="A3723" t="s">
        <v>30061</v>
      </c>
      <c r="B3723" s="590">
        <v>211</v>
      </c>
      <c r="C3723" t="s">
        <v>30060</v>
      </c>
    </row>
    <row r="3724" spans="1:3">
      <c r="A3724" t="s">
        <v>30059</v>
      </c>
      <c r="B3724" s="590">
        <v>211</v>
      </c>
      <c r="C3724" t="s">
        <v>30058</v>
      </c>
    </row>
    <row r="3725" spans="1:3">
      <c r="A3725" t="s">
        <v>30057</v>
      </c>
      <c r="B3725" s="590">
        <v>219</v>
      </c>
      <c r="C3725" t="s">
        <v>30056</v>
      </c>
    </row>
    <row r="3726" spans="1:3">
      <c r="A3726" t="s">
        <v>30055</v>
      </c>
      <c r="B3726" s="590">
        <v>211</v>
      </c>
      <c r="C3726" t="s">
        <v>30054</v>
      </c>
    </row>
    <row r="3727" spans="1:3">
      <c r="A3727" t="s">
        <v>30053</v>
      </c>
      <c r="B3727" s="590">
        <v>198</v>
      </c>
      <c r="C3727" t="s">
        <v>30052</v>
      </c>
    </row>
    <row r="3728" spans="1:3">
      <c r="A3728" t="s">
        <v>30051</v>
      </c>
      <c r="B3728" s="590">
        <v>282</v>
      </c>
      <c r="C3728" t="s">
        <v>30050</v>
      </c>
    </row>
    <row r="3729" spans="1:3">
      <c r="A3729" t="s">
        <v>30049</v>
      </c>
      <c r="B3729" s="590">
        <v>211</v>
      </c>
      <c r="C3729" t="s">
        <v>30048</v>
      </c>
    </row>
    <row r="3730" spans="1:3">
      <c r="A3730" t="s">
        <v>30047</v>
      </c>
      <c r="B3730" s="590">
        <v>211</v>
      </c>
      <c r="C3730" t="s">
        <v>30046</v>
      </c>
    </row>
    <row r="3731" spans="1:3">
      <c r="A3731" t="s">
        <v>30045</v>
      </c>
      <c r="B3731" s="590">
        <v>211</v>
      </c>
      <c r="C3731" t="s">
        <v>30044</v>
      </c>
    </row>
    <row r="3732" spans="1:3">
      <c r="A3732" t="s">
        <v>30043</v>
      </c>
      <c r="B3732" s="590">
        <v>227</v>
      </c>
      <c r="C3732" t="s">
        <v>30042</v>
      </c>
    </row>
    <row r="3733" spans="1:3">
      <c r="A3733" t="s">
        <v>30041</v>
      </c>
      <c r="B3733" s="590">
        <v>211</v>
      </c>
      <c r="C3733" t="s">
        <v>30040</v>
      </c>
    </row>
    <row r="3734" spans="1:3">
      <c r="A3734" t="s">
        <v>30039</v>
      </c>
      <c r="B3734" s="590">
        <v>282</v>
      </c>
      <c r="C3734" t="s">
        <v>30038</v>
      </c>
    </row>
    <row r="3735" spans="1:3">
      <c r="A3735" t="s">
        <v>30037</v>
      </c>
      <c r="B3735" s="590">
        <v>282</v>
      </c>
      <c r="C3735" t="s">
        <v>30036</v>
      </c>
    </row>
    <row r="3736" spans="1:3">
      <c r="A3736" t="s">
        <v>30035</v>
      </c>
      <c r="B3736" s="590">
        <v>295</v>
      </c>
      <c r="C3736" t="s">
        <v>30034</v>
      </c>
    </row>
    <row r="3737" spans="1:3">
      <c r="A3737" t="s">
        <v>30033</v>
      </c>
      <c r="B3737" s="590">
        <v>340</v>
      </c>
      <c r="C3737" t="s">
        <v>30032</v>
      </c>
    </row>
    <row r="3738" spans="1:3">
      <c r="A3738" t="s">
        <v>30031</v>
      </c>
      <c r="B3738" s="590">
        <v>326</v>
      </c>
      <c r="C3738" t="s">
        <v>30030</v>
      </c>
    </row>
    <row r="3739" spans="1:3">
      <c r="A3739" t="s">
        <v>30029</v>
      </c>
      <c r="B3739" s="590">
        <v>711</v>
      </c>
      <c r="C3739" t="s">
        <v>30028</v>
      </c>
    </row>
    <row r="3740" spans="1:3">
      <c r="A3740" t="s">
        <v>28672</v>
      </c>
      <c r="B3740" s="590">
        <v>371</v>
      </c>
      <c r="C3740" t="s">
        <v>28671</v>
      </c>
    </row>
    <row r="3741" spans="1:3">
      <c r="A3741" t="s">
        <v>27809</v>
      </c>
      <c r="B3741" s="590">
        <v>227</v>
      </c>
      <c r="C3741" t="s">
        <v>27808</v>
      </c>
    </row>
    <row r="3742" spans="1:3">
      <c r="A3742" t="s">
        <v>30027</v>
      </c>
      <c r="B3742" s="590">
        <v>84</v>
      </c>
      <c r="C3742" t="s">
        <v>30026</v>
      </c>
    </row>
    <row r="3743" spans="1:3">
      <c r="A3743" t="s">
        <v>30025</v>
      </c>
      <c r="B3743" s="590">
        <v>105</v>
      </c>
      <c r="C3743" t="s">
        <v>30024</v>
      </c>
    </row>
    <row r="3744" spans="1:3">
      <c r="A3744" t="s">
        <v>30023</v>
      </c>
      <c r="B3744" s="590">
        <v>-60</v>
      </c>
      <c r="C3744" t="s">
        <v>30022</v>
      </c>
    </row>
    <row r="3745" spans="1:3">
      <c r="A3745" t="s">
        <v>22063</v>
      </c>
      <c r="B3745" s="590">
        <v>2526</v>
      </c>
      <c r="C3745" t="s">
        <v>27868</v>
      </c>
    </row>
    <row r="3746" spans="1:3">
      <c r="A3746" t="s">
        <v>30021</v>
      </c>
      <c r="B3746" s="590">
        <v>353</v>
      </c>
      <c r="C3746" t="s">
        <v>30020</v>
      </c>
    </row>
    <row r="3747" spans="1:3">
      <c r="A3747" t="s">
        <v>30019</v>
      </c>
      <c r="B3747" s="590">
        <v>314</v>
      </c>
      <c r="C3747" t="s">
        <v>30018</v>
      </c>
    </row>
    <row r="3748" spans="1:3">
      <c r="A3748" t="s">
        <v>30017</v>
      </c>
      <c r="B3748" s="590">
        <v>546</v>
      </c>
      <c r="C3748" t="s">
        <v>30016</v>
      </c>
    </row>
    <row r="3749" spans="1:3">
      <c r="A3749" t="s">
        <v>30015</v>
      </c>
      <c r="B3749" s="590">
        <v>10</v>
      </c>
      <c r="C3749" t="s">
        <v>30014</v>
      </c>
    </row>
    <row r="3750" spans="1:3">
      <c r="A3750" t="s">
        <v>30013</v>
      </c>
      <c r="B3750" s="590">
        <v>10</v>
      </c>
      <c r="C3750" t="s">
        <v>30012</v>
      </c>
    </row>
    <row r="3751" spans="1:3">
      <c r="A3751" t="s">
        <v>30011</v>
      </c>
      <c r="B3751" s="590">
        <v>26</v>
      </c>
      <c r="C3751" t="s">
        <v>30010</v>
      </c>
    </row>
    <row r="3752" spans="1:3">
      <c r="A3752" t="s">
        <v>30009</v>
      </c>
      <c r="B3752" s="590">
        <v>10</v>
      </c>
      <c r="C3752" t="s">
        <v>30008</v>
      </c>
    </row>
    <row r="3753" spans="1:3">
      <c r="A3753" t="s">
        <v>30007</v>
      </c>
      <c r="B3753" s="590">
        <v>10</v>
      </c>
      <c r="C3753" t="s">
        <v>30006</v>
      </c>
    </row>
    <row r="3754" spans="1:3">
      <c r="A3754" t="s">
        <v>30005</v>
      </c>
      <c r="B3754" s="590">
        <v>10</v>
      </c>
      <c r="C3754" t="s">
        <v>30004</v>
      </c>
    </row>
    <row r="3755" spans="1:3">
      <c r="A3755" t="s">
        <v>30003</v>
      </c>
      <c r="B3755" s="590">
        <v>10</v>
      </c>
      <c r="C3755" t="s">
        <v>30002</v>
      </c>
    </row>
    <row r="3756" spans="1:3">
      <c r="A3756" t="s">
        <v>30001</v>
      </c>
      <c r="B3756" s="590">
        <v>10</v>
      </c>
      <c r="C3756" t="s">
        <v>30000</v>
      </c>
    </row>
    <row r="3757" spans="1:3">
      <c r="A3757" t="s">
        <v>29999</v>
      </c>
      <c r="B3757" s="590">
        <v>10</v>
      </c>
      <c r="C3757" t="s">
        <v>29998</v>
      </c>
    </row>
    <row r="3758" spans="1:3">
      <c r="A3758" t="s">
        <v>29997</v>
      </c>
      <c r="B3758" s="590">
        <v>10</v>
      </c>
      <c r="C3758" t="s">
        <v>29996</v>
      </c>
    </row>
    <row r="3759" spans="1:3">
      <c r="A3759" t="s">
        <v>29995</v>
      </c>
      <c r="B3759" s="590">
        <v>10</v>
      </c>
      <c r="C3759" t="s">
        <v>29994</v>
      </c>
    </row>
    <row r="3760" spans="1:3">
      <c r="A3760" t="s">
        <v>29993</v>
      </c>
      <c r="B3760" s="590">
        <v>10</v>
      </c>
      <c r="C3760" t="s">
        <v>29992</v>
      </c>
    </row>
    <row r="3761" spans="1:3">
      <c r="A3761" t="s">
        <v>29991</v>
      </c>
      <c r="B3761" s="590">
        <v>39</v>
      </c>
      <c r="C3761" t="s">
        <v>29990</v>
      </c>
    </row>
    <row r="3762" spans="1:3">
      <c r="A3762" t="s">
        <v>29989</v>
      </c>
      <c r="B3762" s="590">
        <v>39</v>
      </c>
      <c r="C3762" t="s">
        <v>29988</v>
      </c>
    </row>
    <row r="3763" spans="1:3">
      <c r="A3763" t="s">
        <v>29987</v>
      </c>
      <c r="B3763" s="590">
        <v>39</v>
      </c>
      <c r="C3763" t="s">
        <v>29986</v>
      </c>
    </row>
    <row r="3764" spans="1:3">
      <c r="A3764" t="s">
        <v>29985</v>
      </c>
      <c r="B3764" s="590">
        <v>39</v>
      </c>
      <c r="C3764" t="s">
        <v>29984</v>
      </c>
    </row>
    <row r="3765" spans="1:3">
      <c r="A3765" t="s">
        <v>29983</v>
      </c>
      <c r="B3765" s="590">
        <v>39</v>
      </c>
      <c r="C3765" t="s">
        <v>29982</v>
      </c>
    </row>
    <row r="3766" spans="1:3">
      <c r="A3766" t="s">
        <v>29981</v>
      </c>
      <c r="B3766" s="590">
        <v>39</v>
      </c>
      <c r="C3766" t="s">
        <v>29980</v>
      </c>
    </row>
    <row r="3767" spans="1:3">
      <c r="A3767" t="s">
        <v>29979</v>
      </c>
      <c r="B3767" s="590">
        <v>39</v>
      </c>
      <c r="C3767" t="s">
        <v>29978</v>
      </c>
    </row>
    <row r="3768" spans="1:3">
      <c r="A3768" t="s">
        <v>29977</v>
      </c>
      <c r="B3768" s="590">
        <v>39</v>
      </c>
      <c r="C3768" t="s">
        <v>29976</v>
      </c>
    </row>
    <row r="3769" spans="1:3">
      <c r="A3769" t="s">
        <v>29975</v>
      </c>
      <c r="B3769" s="590">
        <v>39</v>
      </c>
      <c r="C3769" t="s">
        <v>29974</v>
      </c>
    </row>
    <row r="3770" spans="1:3">
      <c r="A3770" t="s">
        <v>29973</v>
      </c>
      <c r="B3770" s="590">
        <v>39</v>
      </c>
      <c r="C3770" t="s">
        <v>29972</v>
      </c>
    </row>
    <row r="3771" spans="1:3">
      <c r="A3771" t="s">
        <v>29971</v>
      </c>
      <c r="B3771" s="590">
        <v>39</v>
      </c>
      <c r="C3771" t="s">
        <v>29970</v>
      </c>
    </row>
    <row r="3772" spans="1:3">
      <c r="A3772" t="s">
        <v>29969</v>
      </c>
      <c r="B3772" s="590">
        <v>20</v>
      </c>
      <c r="C3772" t="s">
        <v>29968</v>
      </c>
    </row>
    <row r="3773" spans="1:3">
      <c r="A3773" t="s">
        <v>29967</v>
      </c>
      <c r="B3773" s="590">
        <v>20</v>
      </c>
      <c r="C3773" t="s">
        <v>29966</v>
      </c>
    </row>
    <row r="3774" spans="1:3">
      <c r="A3774" t="s">
        <v>29965</v>
      </c>
      <c r="B3774" s="590">
        <v>20</v>
      </c>
      <c r="C3774" t="s">
        <v>29964</v>
      </c>
    </row>
    <row r="3775" spans="1:3">
      <c r="A3775" t="s">
        <v>29963</v>
      </c>
      <c r="B3775" s="590">
        <v>20</v>
      </c>
      <c r="C3775" t="s">
        <v>29962</v>
      </c>
    </row>
    <row r="3776" spans="1:3">
      <c r="A3776" t="s">
        <v>29961</v>
      </c>
      <c r="B3776" s="590">
        <v>20</v>
      </c>
      <c r="C3776" t="s">
        <v>29960</v>
      </c>
    </row>
    <row r="3777" spans="1:3">
      <c r="A3777" t="s">
        <v>29959</v>
      </c>
      <c r="B3777" s="590">
        <v>20</v>
      </c>
      <c r="C3777" t="s">
        <v>29958</v>
      </c>
    </row>
    <row r="3778" spans="1:3">
      <c r="A3778" t="s">
        <v>29957</v>
      </c>
      <c r="B3778" s="590">
        <v>20</v>
      </c>
      <c r="C3778" t="s">
        <v>29956</v>
      </c>
    </row>
    <row r="3779" spans="1:3">
      <c r="A3779" t="s">
        <v>29955</v>
      </c>
      <c r="B3779" s="590">
        <v>16</v>
      </c>
      <c r="C3779" t="s">
        <v>29954</v>
      </c>
    </row>
    <row r="3780" spans="1:3">
      <c r="A3780" t="s">
        <v>29953</v>
      </c>
      <c r="B3780" s="590">
        <v>16</v>
      </c>
      <c r="C3780" t="s">
        <v>29952</v>
      </c>
    </row>
    <row r="3781" spans="1:3">
      <c r="A3781" t="s">
        <v>29951</v>
      </c>
      <c r="B3781" s="590">
        <v>16</v>
      </c>
      <c r="C3781" t="s">
        <v>29950</v>
      </c>
    </row>
    <row r="3782" spans="1:3">
      <c r="A3782" t="s">
        <v>29949</v>
      </c>
      <c r="B3782" s="590">
        <v>16</v>
      </c>
      <c r="C3782" t="s">
        <v>29948</v>
      </c>
    </row>
    <row r="3783" spans="1:3">
      <c r="A3783" t="s">
        <v>29947</v>
      </c>
      <c r="B3783" s="590">
        <v>16</v>
      </c>
      <c r="C3783" t="s">
        <v>29946</v>
      </c>
    </row>
    <row r="3784" spans="1:3">
      <c r="A3784" t="s">
        <v>29945</v>
      </c>
      <c r="B3784" s="590">
        <v>3897</v>
      </c>
      <c r="C3784" t="s">
        <v>29944</v>
      </c>
    </row>
    <row r="3785" spans="1:3">
      <c r="A3785" t="s">
        <v>29943</v>
      </c>
      <c r="B3785" s="590">
        <v>3897</v>
      </c>
      <c r="C3785" t="s">
        <v>29942</v>
      </c>
    </row>
    <row r="3786" spans="1:3">
      <c r="A3786" t="s">
        <v>29941</v>
      </c>
      <c r="B3786" s="590">
        <v>3897</v>
      </c>
      <c r="C3786" t="s">
        <v>29940</v>
      </c>
    </row>
    <row r="3787" spans="1:3">
      <c r="A3787" t="s">
        <v>29939</v>
      </c>
      <c r="B3787" s="590">
        <v>3897</v>
      </c>
      <c r="C3787" t="s">
        <v>29938</v>
      </c>
    </row>
    <row r="3788" spans="1:3">
      <c r="A3788" t="s">
        <v>29937</v>
      </c>
      <c r="B3788" s="590">
        <v>3897</v>
      </c>
      <c r="C3788" t="s">
        <v>29936</v>
      </c>
    </row>
    <row r="3789" spans="1:3">
      <c r="A3789" t="s">
        <v>29935</v>
      </c>
      <c r="B3789" s="590">
        <v>3897</v>
      </c>
      <c r="C3789" t="s">
        <v>29934</v>
      </c>
    </row>
    <row r="3790" spans="1:3">
      <c r="A3790" t="s">
        <v>29933</v>
      </c>
      <c r="B3790" s="590">
        <v>3925</v>
      </c>
      <c r="C3790" t="s">
        <v>29932</v>
      </c>
    </row>
    <row r="3791" spans="1:3">
      <c r="A3791" t="s">
        <v>29931</v>
      </c>
      <c r="B3791" s="590">
        <v>3897</v>
      </c>
      <c r="C3791" t="s">
        <v>29930</v>
      </c>
    </row>
    <row r="3792" spans="1:3">
      <c r="A3792" t="s">
        <v>29929</v>
      </c>
      <c r="B3792" s="590">
        <v>3897</v>
      </c>
      <c r="C3792" t="s">
        <v>29928</v>
      </c>
    </row>
    <row r="3793" spans="1:3">
      <c r="A3793" t="s">
        <v>29927</v>
      </c>
      <c r="B3793" s="590">
        <v>4275</v>
      </c>
      <c r="C3793" t="s">
        <v>29926</v>
      </c>
    </row>
    <row r="3794" spans="1:3">
      <c r="A3794" t="s">
        <v>29925</v>
      </c>
      <c r="B3794" s="590">
        <v>4275</v>
      </c>
      <c r="C3794" t="s">
        <v>29924</v>
      </c>
    </row>
    <row r="3795" spans="1:3">
      <c r="A3795" t="s">
        <v>29923</v>
      </c>
      <c r="B3795" s="590">
        <v>4275</v>
      </c>
      <c r="C3795" t="s">
        <v>29922</v>
      </c>
    </row>
    <row r="3796" spans="1:3">
      <c r="A3796" t="s">
        <v>29921</v>
      </c>
      <c r="B3796" s="590">
        <v>4275</v>
      </c>
      <c r="C3796" t="s">
        <v>29920</v>
      </c>
    </row>
    <row r="3797" spans="1:3">
      <c r="A3797" t="s">
        <v>29919</v>
      </c>
      <c r="B3797" s="590">
        <v>4275</v>
      </c>
      <c r="C3797" t="s">
        <v>29918</v>
      </c>
    </row>
    <row r="3798" spans="1:3">
      <c r="A3798" t="s">
        <v>29917</v>
      </c>
      <c r="B3798" s="590">
        <v>4275</v>
      </c>
      <c r="C3798" t="s">
        <v>29916</v>
      </c>
    </row>
    <row r="3799" spans="1:3">
      <c r="A3799" t="s">
        <v>29915</v>
      </c>
      <c r="B3799" s="590">
        <v>4275</v>
      </c>
      <c r="C3799" t="s">
        <v>29914</v>
      </c>
    </row>
    <row r="3800" spans="1:3">
      <c r="A3800" t="s">
        <v>29913</v>
      </c>
      <c r="B3800" s="590">
        <v>4275</v>
      </c>
      <c r="C3800" t="s">
        <v>29912</v>
      </c>
    </row>
    <row r="3801" spans="1:3">
      <c r="A3801" t="s">
        <v>29911</v>
      </c>
      <c r="B3801" s="590">
        <v>4275</v>
      </c>
      <c r="C3801" t="s">
        <v>29910</v>
      </c>
    </row>
    <row r="3802" spans="1:3">
      <c r="A3802" t="s">
        <v>29909</v>
      </c>
      <c r="B3802" s="590">
        <v>4275</v>
      </c>
      <c r="C3802" t="s">
        <v>29908</v>
      </c>
    </row>
    <row r="3803" spans="1:3">
      <c r="A3803" t="s">
        <v>29907</v>
      </c>
      <c r="B3803" s="590">
        <v>4275</v>
      </c>
      <c r="C3803" t="s">
        <v>29906</v>
      </c>
    </row>
    <row r="3804" spans="1:3">
      <c r="A3804" t="s">
        <v>29905</v>
      </c>
      <c r="B3804" s="590">
        <v>4275</v>
      </c>
      <c r="C3804" t="s">
        <v>29904</v>
      </c>
    </row>
    <row r="3805" spans="1:3">
      <c r="A3805" t="s">
        <v>29903</v>
      </c>
      <c r="B3805" s="590">
        <v>4275</v>
      </c>
      <c r="C3805" t="s">
        <v>29902</v>
      </c>
    </row>
    <row r="3806" spans="1:3">
      <c r="A3806" t="s">
        <v>29901</v>
      </c>
      <c r="B3806" s="590">
        <v>4275</v>
      </c>
      <c r="C3806" t="s">
        <v>29900</v>
      </c>
    </row>
    <row r="3807" spans="1:3">
      <c r="A3807" t="s">
        <v>29899</v>
      </c>
      <c r="B3807" s="590">
        <v>521</v>
      </c>
      <c r="C3807" t="s">
        <v>29898</v>
      </c>
    </row>
    <row r="3808" spans="1:3">
      <c r="A3808" t="s">
        <v>29897</v>
      </c>
      <c r="B3808" s="590">
        <v>521</v>
      </c>
      <c r="C3808" t="s">
        <v>29896</v>
      </c>
    </row>
    <row r="3809" spans="1:3">
      <c r="A3809" t="s">
        <v>29895</v>
      </c>
      <c r="B3809" s="590">
        <v>521</v>
      </c>
      <c r="C3809" t="s">
        <v>29894</v>
      </c>
    </row>
    <row r="3810" spans="1:3">
      <c r="A3810" t="s">
        <v>29893</v>
      </c>
      <c r="B3810" s="590">
        <v>549</v>
      </c>
      <c r="C3810" t="s">
        <v>29892</v>
      </c>
    </row>
    <row r="3811" spans="1:3">
      <c r="A3811" t="s">
        <v>29891</v>
      </c>
      <c r="B3811" s="590">
        <v>521</v>
      </c>
      <c r="C3811" t="s">
        <v>29890</v>
      </c>
    </row>
    <row r="3812" spans="1:3">
      <c r="A3812" t="s">
        <v>29889</v>
      </c>
      <c r="B3812" s="590">
        <v>298</v>
      </c>
      <c r="C3812" t="s">
        <v>29888</v>
      </c>
    </row>
    <row r="3813" spans="1:3">
      <c r="A3813" t="s">
        <v>29887</v>
      </c>
      <c r="B3813" s="590">
        <v>298</v>
      </c>
      <c r="C3813" t="s">
        <v>29886</v>
      </c>
    </row>
    <row r="3814" spans="1:3">
      <c r="A3814" t="s">
        <v>29885</v>
      </c>
      <c r="B3814" s="590">
        <v>298</v>
      </c>
      <c r="C3814" t="s">
        <v>29884</v>
      </c>
    </row>
    <row r="3815" spans="1:3">
      <c r="A3815" t="s">
        <v>29883</v>
      </c>
      <c r="B3815" s="590">
        <v>329</v>
      </c>
      <c r="C3815" t="s">
        <v>29882</v>
      </c>
    </row>
    <row r="3816" spans="1:3">
      <c r="A3816" t="s">
        <v>29881</v>
      </c>
      <c r="B3816" s="590">
        <v>298</v>
      </c>
      <c r="C3816" t="s">
        <v>29880</v>
      </c>
    </row>
    <row r="3817" spans="1:3">
      <c r="A3817" t="s">
        <v>29879</v>
      </c>
      <c r="B3817" s="590">
        <v>211</v>
      </c>
      <c r="C3817" t="s">
        <v>29878</v>
      </c>
    </row>
    <row r="3818" spans="1:3">
      <c r="A3818" t="s">
        <v>29877</v>
      </c>
      <c r="B3818" s="590">
        <v>211</v>
      </c>
      <c r="C3818" t="s">
        <v>29876</v>
      </c>
    </row>
    <row r="3819" spans="1:3">
      <c r="A3819" t="s">
        <v>29875</v>
      </c>
      <c r="B3819" s="590">
        <v>211</v>
      </c>
      <c r="C3819" t="s">
        <v>29874</v>
      </c>
    </row>
    <row r="3820" spans="1:3">
      <c r="A3820" t="s">
        <v>29873</v>
      </c>
      <c r="B3820" s="590">
        <v>261</v>
      </c>
      <c r="C3820" t="s">
        <v>29872</v>
      </c>
    </row>
    <row r="3821" spans="1:3">
      <c r="A3821" t="s">
        <v>29871</v>
      </c>
      <c r="B3821" s="590">
        <v>211</v>
      </c>
      <c r="C3821" t="s">
        <v>29870</v>
      </c>
    </row>
    <row r="3822" spans="1:3">
      <c r="A3822" t="s">
        <v>29869</v>
      </c>
      <c r="B3822" s="590">
        <v>214</v>
      </c>
      <c r="C3822" t="s">
        <v>29868</v>
      </c>
    </row>
    <row r="3823" spans="1:3">
      <c r="A3823" t="s">
        <v>29867</v>
      </c>
      <c r="B3823" s="590">
        <v>282</v>
      </c>
      <c r="C3823" t="s">
        <v>29866</v>
      </c>
    </row>
    <row r="3824" spans="1:3">
      <c r="A3824" t="s">
        <v>29865</v>
      </c>
      <c r="B3824" s="590">
        <v>282</v>
      </c>
      <c r="C3824" t="s">
        <v>29864</v>
      </c>
    </row>
    <row r="3825" spans="1:3">
      <c r="A3825" t="s">
        <v>29863</v>
      </c>
      <c r="B3825" s="590">
        <v>214</v>
      </c>
      <c r="C3825" t="s">
        <v>29862</v>
      </c>
    </row>
    <row r="3826" spans="1:3">
      <c r="A3826" t="s">
        <v>29861</v>
      </c>
      <c r="B3826" s="590">
        <v>282</v>
      </c>
      <c r="C3826" t="s">
        <v>29860</v>
      </c>
    </row>
    <row r="3827" spans="1:3">
      <c r="A3827" t="s">
        <v>29859</v>
      </c>
      <c r="B3827" s="590">
        <v>131</v>
      </c>
      <c r="C3827" t="s">
        <v>29858</v>
      </c>
    </row>
    <row r="3828" spans="1:3">
      <c r="A3828" t="s">
        <v>29857</v>
      </c>
      <c r="B3828" s="590">
        <v>340</v>
      </c>
      <c r="C3828" t="s">
        <v>29856</v>
      </c>
    </row>
    <row r="3829" spans="1:3">
      <c r="A3829" t="s">
        <v>22063</v>
      </c>
      <c r="B3829" s="590">
        <v>2526</v>
      </c>
      <c r="C3829" t="s">
        <v>27868</v>
      </c>
    </row>
    <row r="3830" spans="1:3">
      <c r="A3830" t="s">
        <v>29855</v>
      </c>
      <c r="B3830" s="590">
        <v>316</v>
      </c>
      <c r="C3830" t="s">
        <v>29854</v>
      </c>
    </row>
    <row r="3831" spans="1:3">
      <c r="A3831" t="s">
        <v>29853</v>
      </c>
      <c r="B3831" s="590">
        <v>86</v>
      </c>
      <c r="C3831" t="s">
        <v>29852</v>
      </c>
    </row>
    <row r="3832" spans="1:3">
      <c r="A3832" t="s">
        <v>29851</v>
      </c>
      <c r="B3832" s="590">
        <v>86</v>
      </c>
      <c r="C3832" t="s">
        <v>29850</v>
      </c>
    </row>
    <row r="3833" spans="1:3">
      <c r="A3833" t="s">
        <v>29849</v>
      </c>
      <c r="B3833" s="590">
        <v>2339</v>
      </c>
      <c r="C3833" t="s">
        <v>29848</v>
      </c>
    </row>
    <row r="3834" spans="1:3">
      <c r="A3834" t="s">
        <v>29847</v>
      </c>
      <c r="B3834" s="590">
        <v>2339</v>
      </c>
      <c r="C3834" t="s">
        <v>29846</v>
      </c>
    </row>
    <row r="3835" spans="1:3">
      <c r="A3835" t="s">
        <v>29845</v>
      </c>
      <c r="B3835" s="590">
        <v>2339</v>
      </c>
      <c r="C3835" t="s">
        <v>29844</v>
      </c>
    </row>
    <row r="3836" spans="1:3">
      <c r="A3836" t="s">
        <v>29843</v>
      </c>
      <c r="B3836" s="590">
        <v>2339</v>
      </c>
      <c r="C3836" t="s">
        <v>29842</v>
      </c>
    </row>
    <row r="3837" spans="1:3">
      <c r="A3837" t="s">
        <v>29841</v>
      </c>
      <c r="B3837" s="590">
        <v>2339</v>
      </c>
      <c r="C3837" t="s">
        <v>29840</v>
      </c>
    </row>
    <row r="3838" spans="1:3">
      <c r="A3838" t="s">
        <v>29839</v>
      </c>
      <c r="B3838" s="590">
        <v>2339</v>
      </c>
      <c r="C3838" t="s">
        <v>29838</v>
      </c>
    </row>
    <row r="3839" spans="1:3">
      <c r="A3839" t="s">
        <v>29837</v>
      </c>
      <c r="B3839" s="590">
        <v>2339</v>
      </c>
      <c r="C3839" t="s">
        <v>29836</v>
      </c>
    </row>
    <row r="3840" spans="1:3">
      <c r="A3840" t="s">
        <v>29835</v>
      </c>
      <c r="B3840" s="590">
        <v>2744</v>
      </c>
      <c r="C3840" t="s">
        <v>29834</v>
      </c>
    </row>
    <row r="3841" spans="1:3">
      <c r="A3841" t="s">
        <v>29833</v>
      </c>
      <c r="B3841" s="590">
        <v>2339</v>
      </c>
      <c r="C3841" t="s">
        <v>29832</v>
      </c>
    </row>
    <row r="3842" spans="1:3">
      <c r="A3842" t="s">
        <v>29831</v>
      </c>
      <c r="B3842" s="590">
        <v>2533</v>
      </c>
      <c r="C3842" t="s">
        <v>29830</v>
      </c>
    </row>
    <row r="3843" spans="1:3">
      <c r="A3843" t="s">
        <v>29829</v>
      </c>
      <c r="B3843" s="590">
        <v>2533</v>
      </c>
      <c r="C3843" t="s">
        <v>29828</v>
      </c>
    </row>
    <row r="3844" spans="1:3">
      <c r="A3844" t="s">
        <v>29827</v>
      </c>
      <c r="B3844" s="590">
        <v>2533</v>
      </c>
      <c r="C3844" t="s">
        <v>29826</v>
      </c>
    </row>
    <row r="3845" spans="1:3">
      <c r="A3845" t="s">
        <v>29825</v>
      </c>
      <c r="B3845" s="590">
        <v>2533</v>
      </c>
      <c r="C3845" t="s">
        <v>29824</v>
      </c>
    </row>
    <row r="3846" spans="1:3">
      <c r="A3846" t="s">
        <v>29823</v>
      </c>
      <c r="B3846" s="590">
        <v>2533</v>
      </c>
      <c r="C3846" t="s">
        <v>29822</v>
      </c>
    </row>
    <row r="3847" spans="1:3">
      <c r="A3847" t="s">
        <v>29821</v>
      </c>
      <c r="B3847" s="590">
        <v>2533</v>
      </c>
      <c r="C3847" t="s">
        <v>29820</v>
      </c>
    </row>
    <row r="3848" spans="1:3">
      <c r="A3848" t="s">
        <v>29819</v>
      </c>
      <c r="B3848" s="590">
        <v>2533</v>
      </c>
      <c r="C3848" t="s">
        <v>29818</v>
      </c>
    </row>
    <row r="3849" spans="1:3">
      <c r="A3849" t="s">
        <v>29817</v>
      </c>
      <c r="B3849" s="590">
        <v>2938</v>
      </c>
      <c r="C3849" t="s">
        <v>29816</v>
      </c>
    </row>
    <row r="3850" spans="1:3">
      <c r="A3850" t="s">
        <v>29815</v>
      </c>
      <c r="B3850" s="590">
        <v>2533</v>
      </c>
      <c r="C3850" t="s">
        <v>29814</v>
      </c>
    </row>
    <row r="3851" spans="1:3">
      <c r="A3851" t="s">
        <v>29813</v>
      </c>
      <c r="B3851" s="590">
        <v>147</v>
      </c>
      <c r="C3851" t="s">
        <v>29812</v>
      </c>
    </row>
    <row r="3852" spans="1:3">
      <c r="A3852" t="s">
        <v>29811</v>
      </c>
      <c r="B3852" s="590">
        <v>147</v>
      </c>
      <c r="C3852" t="s">
        <v>29810</v>
      </c>
    </row>
    <row r="3853" spans="1:3">
      <c r="A3853" t="s">
        <v>29809</v>
      </c>
      <c r="B3853" s="590">
        <v>147</v>
      </c>
      <c r="C3853" t="s">
        <v>29808</v>
      </c>
    </row>
    <row r="3854" spans="1:3">
      <c r="A3854" t="s">
        <v>29807</v>
      </c>
      <c r="B3854" s="590">
        <v>167</v>
      </c>
      <c r="C3854" t="s">
        <v>29806</v>
      </c>
    </row>
    <row r="3855" spans="1:3">
      <c r="A3855" t="s">
        <v>29805</v>
      </c>
      <c r="B3855" s="590">
        <v>147</v>
      </c>
      <c r="C3855" t="s">
        <v>29804</v>
      </c>
    </row>
    <row r="3856" spans="1:3">
      <c r="A3856" t="s">
        <v>29803</v>
      </c>
      <c r="B3856" s="590">
        <v>100</v>
      </c>
      <c r="C3856" t="s">
        <v>29802</v>
      </c>
    </row>
    <row r="3857" spans="1:3">
      <c r="A3857" t="s">
        <v>29801</v>
      </c>
      <c r="B3857" s="590">
        <v>100</v>
      </c>
      <c r="C3857" t="s">
        <v>29800</v>
      </c>
    </row>
    <row r="3858" spans="1:3">
      <c r="A3858" t="s">
        <v>29799</v>
      </c>
      <c r="B3858" s="590">
        <v>100</v>
      </c>
      <c r="C3858" t="s">
        <v>29798</v>
      </c>
    </row>
    <row r="3859" spans="1:3">
      <c r="A3859" t="s">
        <v>29797</v>
      </c>
      <c r="B3859" s="590">
        <v>124</v>
      </c>
      <c r="C3859" t="s">
        <v>29796</v>
      </c>
    </row>
    <row r="3860" spans="1:3">
      <c r="A3860" t="s">
        <v>29795</v>
      </c>
      <c r="B3860" s="590">
        <v>100</v>
      </c>
      <c r="C3860" t="s">
        <v>29794</v>
      </c>
    </row>
    <row r="3861" spans="1:3">
      <c r="A3861" t="s">
        <v>29523</v>
      </c>
      <c r="B3861" s="590">
        <v>293</v>
      </c>
      <c r="C3861" t="s">
        <v>29522</v>
      </c>
    </row>
    <row r="3862" spans="1:3">
      <c r="A3862" t="s">
        <v>29521</v>
      </c>
      <c r="B3862" s="590">
        <v>166</v>
      </c>
      <c r="C3862" t="s">
        <v>29520</v>
      </c>
    </row>
    <row r="3863" spans="1:3">
      <c r="A3863" t="s">
        <v>29519</v>
      </c>
      <c r="B3863" s="590">
        <v>166</v>
      </c>
      <c r="C3863" t="s">
        <v>29518</v>
      </c>
    </row>
    <row r="3864" spans="1:3">
      <c r="A3864" t="s">
        <v>29793</v>
      </c>
      <c r="B3864" s="590">
        <v>115</v>
      </c>
      <c r="C3864" t="s">
        <v>29792</v>
      </c>
    </row>
    <row r="3865" spans="1:3">
      <c r="A3865" t="s">
        <v>29791</v>
      </c>
      <c r="B3865" s="590">
        <v>115</v>
      </c>
      <c r="C3865" t="s">
        <v>29790</v>
      </c>
    </row>
    <row r="3866" spans="1:3">
      <c r="A3866" t="s">
        <v>29789</v>
      </c>
      <c r="B3866" s="590">
        <v>115</v>
      </c>
      <c r="C3866" t="s">
        <v>29788</v>
      </c>
    </row>
    <row r="3867" spans="1:3">
      <c r="A3867" t="s">
        <v>29787</v>
      </c>
      <c r="B3867" s="590">
        <v>136</v>
      </c>
      <c r="C3867" t="s">
        <v>29786</v>
      </c>
    </row>
    <row r="3868" spans="1:3">
      <c r="A3868" t="s">
        <v>29785</v>
      </c>
      <c r="B3868" s="590">
        <v>115</v>
      </c>
      <c r="C3868" t="s">
        <v>29784</v>
      </c>
    </row>
    <row r="3869" spans="1:3">
      <c r="A3869" t="s">
        <v>29783</v>
      </c>
      <c r="B3869" s="590">
        <v>251</v>
      </c>
      <c r="C3869" t="s">
        <v>29782</v>
      </c>
    </row>
    <row r="3870" spans="1:3">
      <c r="A3870" t="s">
        <v>29781</v>
      </c>
      <c r="B3870" s="590">
        <v>251</v>
      </c>
      <c r="C3870" t="s">
        <v>29780</v>
      </c>
    </row>
    <row r="3871" spans="1:3">
      <c r="A3871" t="s">
        <v>29779</v>
      </c>
      <c r="B3871" s="590">
        <v>147</v>
      </c>
      <c r="C3871" t="s">
        <v>29778</v>
      </c>
    </row>
    <row r="3872" spans="1:3">
      <c r="A3872" t="s">
        <v>29777</v>
      </c>
      <c r="B3872" s="590">
        <v>147</v>
      </c>
      <c r="C3872" t="s">
        <v>29776</v>
      </c>
    </row>
    <row r="3873" spans="1:3">
      <c r="A3873" t="s">
        <v>29775</v>
      </c>
      <c r="B3873" s="590">
        <v>147</v>
      </c>
      <c r="C3873" t="s">
        <v>29774</v>
      </c>
    </row>
    <row r="3874" spans="1:3">
      <c r="A3874" t="s">
        <v>29773</v>
      </c>
      <c r="B3874" s="590">
        <v>750</v>
      </c>
      <c r="C3874" t="s">
        <v>29772</v>
      </c>
    </row>
    <row r="3875" spans="1:3">
      <c r="A3875" t="s">
        <v>29771</v>
      </c>
      <c r="B3875" s="590">
        <v>750</v>
      </c>
      <c r="C3875" t="s">
        <v>29770</v>
      </c>
    </row>
    <row r="3876" spans="1:3">
      <c r="A3876" t="s">
        <v>29769</v>
      </c>
      <c r="B3876" s="590">
        <v>750</v>
      </c>
      <c r="C3876" t="s">
        <v>29768</v>
      </c>
    </row>
    <row r="3877" spans="1:3">
      <c r="A3877" t="s">
        <v>28672</v>
      </c>
      <c r="B3877" s="590">
        <v>371</v>
      </c>
      <c r="C3877" t="s">
        <v>28671</v>
      </c>
    </row>
    <row r="3878" spans="1:3">
      <c r="A3878" t="s">
        <v>29541</v>
      </c>
      <c r="B3878" s="590">
        <v>10</v>
      </c>
      <c r="C3878" t="s">
        <v>29540</v>
      </c>
    </row>
    <row r="3879" spans="1:3">
      <c r="A3879" t="s">
        <v>29539</v>
      </c>
      <c r="B3879" s="590">
        <v>10</v>
      </c>
      <c r="C3879" t="s">
        <v>29538</v>
      </c>
    </row>
    <row r="3880" spans="1:3">
      <c r="A3880" t="s">
        <v>29537</v>
      </c>
      <c r="B3880" s="590">
        <v>10</v>
      </c>
      <c r="C3880" t="s">
        <v>29536</v>
      </c>
    </row>
    <row r="3881" spans="1:3">
      <c r="A3881" t="s">
        <v>29535</v>
      </c>
      <c r="B3881" s="590">
        <v>10</v>
      </c>
      <c r="C3881" t="s">
        <v>29534</v>
      </c>
    </row>
    <row r="3882" spans="1:3">
      <c r="A3882" t="s">
        <v>29533</v>
      </c>
      <c r="B3882" s="590">
        <v>10</v>
      </c>
      <c r="C3882" t="s">
        <v>29532</v>
      </c>
    </row>
    <row r="3883" spans="1:3">
      <c r="A3883" t="s">
        <v>29531</v>
      </c>
      <c r="B3883" s="590">
        <v>10</v>
      </c>
      <c r="C3883" t="s">
        <v>29530</v>
      </c>
    </row>
    <row r="3884" spans="1:3">
      <c r="A3884" t="s">
        <v>29529</v>
      </c>
      <c r="B3884" s="590">
        <v>10</v>
      </c>
      <c r="C3884" t="s">
        <v>29528</v>
      </c>
    </row>
    <row r="3885" spans="1:3">
      <c r="A3885" t="s">
        <v>29527</v>
      </c>
      <c r="B3885" s="590">
        <v>10</v>
      </c>
      <c r="C3885" t="s">
        <v>29526</v>
      </c>
    </row>
    <row r="3886" spans="1:3">
      <c r="A3886" t="s">
        <v>29525</v>
      </c>
      <c r="B3886" s="590">
        <v>10</v>
      </c>
      <c r="C3886" t="s">
        <v>29524</v>
      </c>
    </row>
    <row r="3887" spans="1:3">
      <c r="A3887" t="s">
        <v>29517</v>
      </c>
      <c r="B3887" s="590">
        <v>84</v>
      </c>
      <c r="C3887" t="s">
        <v>29516</v>
      </c>
    </row>
    <row r="3888" spans="1:3">
      <c r="A3888" t="s">
        <v>29515</v>
      </c>
      <c r="B3888" s="590">
        <v>16</v>
      </c>
      <c r="C3888" t="s">
        <v>29514</v>
      </c>
    </row>
    <row r="3889" spans="1:3">
      <c r="A3889" t="s">
        <v>29513</v>
      </c>
      <c r="B3889" s="590">
        <v>16</v>
      </c>
      <c r="C3889" t="s">
        <v>29512</v>
      </c>
    </row>
    <row r="3890" spans="1:3">
      <c r="A3890" t="s">
        <v>29511</v>
      </c>
      <c r="B3890" s="590">
        <v>16</v>
      </c>
      <c r="C3890" t="s">
        <v>29510</v>
      </c>
    </row>
    <row r="3891" spans="1:3">
      <c r="A3891" t="s">
        <v>29509</v>
      </c>
      <c r="B3891" s="590">
        <v>16</v>
      </c>
      <c r="C3891" t="s">
        <v>29508</v>
      </c>
    </row>
    <row r="3892" spans="1:3">
      <c r="A3892" t="s">
        <v>28658</v>
      </c>
      <c r="B3892" s="590">
        <v>61</v>
      </c>
      <c r="C3892" t="s">
        <v>28653</v>
      </c>
    </row>
    <row r="3893" spans="1:3">
      <c r="A3893" t="s">
        <v>28657</v>
      </c>
      <c r="B3893" s="590">
        <v>61</v>
      </c>
      <c r="C3893" t="s">
        <v>28651</v>
      </c>
    </row>
    <row r="3894" spans="1:3">
      <c r="A3894" t="s">
        <v>28656</v>
      </c>
      <c r="B3894" s="590">
        <v>61</v>
      </c>
      <c r="C3894" t="s">
        <v>28653</v>
      </c>
    </row>
    <row r="3895" spans="1:3">
      <c r="A3895" t="s">
        <v>28655</v>
      </c>
      <c r="B3895" s="590">
        <v>61</v>
      </c>
      <c r="C3895" t="s">
        <v>28651</v>
      </c>
    </row>
    <row r="3896" spans="1:3">
      <c r="A3896" t="s">
        <v>28650</v>
      </c>
      <c r="B3896" s="590">
        <v>61</v>
      </c>
      <c r="C3896" t="s">
        <v>28647</v>
      </c>
    </row>
    <row r="3897" spans="1:3">
      <c r="A3897" t="s">
        <v>28649</v>
      </c>
      <c r="B3897" s="590">
        <v>61</v>
      </c>
      <c r="C3897" t="s">
        <v>28645</v>
      </c>
    </row>
    <row r="3898" spans="1:3">
      <c r="A3898" t="s">
        <v>29767</v>
      </c>
      <c r="B3898" s="590">
        <v>165</v>
      </c>
      <c r="C3898" t="s">
        <v>29766</v>
      </c>
    </row>
    <row r="3899" spans="1:3">
      <c r="A3899" t="s">
        <v>29765</v>
      </c>
      <c r="B3899" s="590">
        <v>254</v>
      </c>
      <c r="C3899" t="s">
        <v>29764</v>
      </c>
    </row>
    <row r="3900" spans="1:3">
      <c r="A3900" t="s">
        <v>29763</v>
      </c>
      <c r="B3900" s="590">
        <v>2597</v>
      </c>
      <c r="C3900" t="s">
        <v>29762</v>
      </c>
    </row>
    <row r="3901" spans="1:3">
      <c r="A3901" t="s">
        <v>29761</v>
      </c>
      <c r="B3901" s="590">
        <v>2597</v>
      </c>
      <c r="C3901" t="s">
        <v>29760</v>
      </c>
    </row>
    <row r="3902" spans="1:3">
      <c r="A3902" t="s">
        <v>29759</v>
      </c>
      <c r="B3902" s="590">
        <v>2597</v>
      </c>
      <c r="C3902" t="s">
        <v>29758</v>
      </c>
    </row>
    <row r="3903" spans="1:3">
      <c r="A3903" t="s">
        <v>29757</v>
      </c>
      <c r="B3903" s="590">
        <v>2597</v>
      </c>
      <c r="C3903" t="s">
        <v>29756</v>
      </c>
    </row>
    <row r="3904" spans="1:3">
      <c r="A3904" t="s">
        <v>29755</v>
      </c>
      <c r="B3904" s="590">
        <v>2597</v>
      </c>
      <c r="C3904" t="s">
        <v>29754</v>
      </c>
    </row>
    <row r="3905" spans="1:3">
      <c r="A3905" t="s">
        <v>29753</v>
      </c>
      <c r="B3905" s="590">
        <v>2597</v>
      </c>
      <c r="C3905" t="s">
        <v>29752</v>
      </c>
    </row>
    <row r="3906" spans="1:3">
      <c r="A3906" t="s">
        <v>29751</v>
      </c>
      <c r="B3906" s="590">
        <v>2597</v>
      </c>
      <c r="C3906" t="s">
        <v>29750</v>
      </c>
    </row>
    <row r="3907" spans="1:3">
      <c r="A3907" t="s">
        <v>29749</v>
      </c>
      <c r="B3907" s="590">
        <v>2597</v>
      </c>
      <c r="C3907" t="s">
        <v>29748</v>
      </c>
    </row>
    <row r="3908" spans="1:3">
      <c r="A3908" t="s">
        <v>29747</v>
      </c>
      <c r="B3908" s="590">
        <v>2597</v>
      </c>
      <c r="C3908" t="s">
        <v>29746</v>
      </c>
    </row>
    <row r="3909" spans="1:3">
      <c r="A3909" t="s">
        <v>29745</v>
      </c>
      <c r="B3909" s="590">
        <v>2597</v>
      </c>
      <c r="C3909" t="s">
        <v>29744</v>
      </c>
    </row>
    <row r="3910" spans="1:3">
      <c r="A3910" t="s">
        <v>29743</v>
      </c>
      <c r="B3910" s="590">
        <v>2597</v>
      </c>
      <c r="C3910" t="s">
        <v>29742</v>
      </c>
    </row>
    <row r="3911" spans="1:3">
      <c r="A3911" t="s">
        <v>29741</v>
      </c>
      <c r="B3911" s="590">
        <v>2597</v>
      </c>
      <c r="C3911" t="s">
        <v>29740</v>
      </c>
    </row>
    <row r="3912" spans="1:3">
      <c r="A3912" t="s">
        <v>29739</v>
      </c>
      <c r="B3912" s="590">
        <v>3005</v>
      </c>
      <c r="C3912" t="s">
        <v>29738</v>
      </c>
    </row>
    <row r="3913" spans="1:3">
      <c r="A3913" t="s">
        <v>29737</v>
      </c>
      <c r="B3913" s="590">
        <v>2597</v>
      </c>
      <c r="C3913" t="s">
        <v>29736</v>
      </c>
    </row>
    <row r="3914" spans="1:3">
      <c r="A3914" t="s">
        <v>29735</v>
      </c>
      <c r="B3914" s="590">
        <v>2597</v>
      </c>
      <c r="C3914" t="s">
        <v>29734</v>
      </c>
    </row>
    <row r="3915" spans="1:3">
      <c r="A3915" t="s">
        <v>29733</v>
      </c>
      <c r="B3915" s="590">
        <v>2597</v>
      </c>
      <c r="C3915" t="s">
        <v>29732</v>
      </c>
    </row>
    <row r="3916" spans="1:3">
      <c r="A3916" t="s">
        <v>29731</v>
      </c>
      <c r="B3916" s="590">
        <v>2597</v>
      </c>
      <c r="C3916" t="s">
        <v>29730</v>
      </c>
    </row>
    <row r="3917" spans="1:3">
      <c r="A3917" t="s">
        <v>29729</v>
      </c>
      <c r="B3917" s="590">
        <v>2597</v>
      </c>
      <c r="C3917" t="s">
        <v>29728</v>
      </c>
    </row>
    <row r="3918" spans="1:3">
      <c r="A3918" t="s">
        <v>29727</v>
      </c>
      <c r="B3918" s="590">
        <v>2597</v>
      </c>
      <c r="C3918" t="s">
        <v>29726</v>
      </c>
    </row>
    <row r="3919" spans="1:3">
      <c r="A3919" t="s">
        <v>29725</v>
      </c>
      <c r="B3919" s="590">
        <v>2751</v>
      </c>
      <c r="C3919" t="s">
        <v>29724</v>
      </c>
    </row>
    <row r="3920" spans="1:3">
      <c r="A3920" t="s">
        <v>29723</v>
      </c>
      <c r="B3920" s="590">
        <v>2597</v>
      </c>
      <c r="C3920" t="s">
        <v>29722</v>
      </c>
    </row>
    <row r="3921" spans="1:3">
      <c r="A3921" t="s">
        <v>29721</v>
      </c>
      <c r="B3921" s="590">
        <v>2597</v>
      </c>
      <c r="C3921" t="s">
        <v>29720</v>
      </c>
    </row>
    <row r="3922" spans="1:3">
      <c r="A3922" t="s">
        <v>29719</v>
      </c>
      <c r="B3922" s="590">
        <v>2597</v>
      </c>
      <c r="C3922" t="s">
        <v>29718</v>
      </c>
    </row>
    <row r="3923" spans="1:3">
      <c r="A3923" t="s">
        <v>29717</v>
      </c>
      <c r="B3923" s="590">
        <v>2597</v>
      </c>
      <c r="C3923" t="s">
        <v>29716</v>
      </c>
    </row>
    <row r="3924" spans="1:3">
      <c r="A3924" t="s">
        <v>29715</v>
      </c>
      <c r="B3924" s="590">
        <v>2597</v>
      </c>
      <c r="C3924" t="s">
        <v>29714</v>
      </c>
    </row>
    <row r="3925" spans="1:3">
      <c r="A3925" t="s">
        <v>29713</v>
      </c>
      <c r="B3925" s="590">
        <v>2597</v>
      </c>
      <c r="C3925" t="s">
        <v>29712</v>
      </c>
    </row>
    <row r="3926" spans="1:3">
      <c r="A3926" t="s">
        <v>29711</v>
      </c>
      <c r="B3926" s="590">
        <v>2597</v>
      </c>
      <c r="C3926" t="s">
        <v>29710</v>
      </c>
    </row>
    <row r="3927" spans="1:3">
      <c r="A3927" t="s">
        <v>29709</v>
      </c>
      <c r="B3927" s="590">
        <v>2597</v>
      </c>
      <c r="C3927" t="s">
        <v>29708</v>
      </c>
    </row>
    <row r="3928" spans="1:3">
      <c r="A3928" t="s">
        <v>29707</v>
      </c>
      <c r="B3928" s="590">
        <v>2907</v>
      </c>
      <c r="C3928" t="s">
        <v>29706</v>
      </c>
    </row>
    <row r="3929" spans="1:3">
      <c r="A3929" t="s">
        <v>29705</v>
      </c>
      <c r="B3929" s="590">
        <v>2597</v>
      </c>
      <c r="C3929" t="s">
        <v>29704</v>
      </c>
    </row>
    <row r="3930" spans="1:3">
      <c r="A3930" t="s">
        <v>29703</v>
      </c>
      <c r="B3930" s="590">
        <v>3217</v>
      </c>
      <c r="C3930" t="s">
        <v>29702</v>
      </c>
    </row>
    <row r="3931" spans="1:3">
      <c r="A3931" t="s">
        <v>29701</v>
      </c>
      <c r="B3931" s="590">
        <v>2597</v>
      </c>
      <c r="C3931" t="s">
        <v>29700</v>
      </c>
    </row>
    <row r="3932" spans="1:3">
      <c r="A3932" t="s">
        <v>29699</v>
      </c>
      <c r="B3932" s="590">
        <v>2597</v>
      </c>
      <c r="C3932" t="s">
        <v>29698</v>
      </c>
    </row>
    <row r="3933" spans="1:3">
      <c r="A3933" t="s">
        <v>29697</v>
      </c>
      <c r="B3933" s="590">
        <v>2597</v>
      </c>
      <c r="C3933" t="s">
        <v>29696</v>
      </c>
    </row>
    <row r="3934" spans="1:3">
      <c r="A3934" t="s">
        <v>29695</v>
      </c>
      <c r="B3934" s="590">
        <v>3217</v>
      </c>
      <c r="C3934" t="s">
        <v>29694</v>
      </c>
    </row>
    <row r="3935" spans="1:3">
      <c r="A3935" t="s">
        <v>29693</v>
      </c>
      <c r="B3935" s="590">
        <v>2597</v>
      </c>
      <c r="C3935" t="s">
        <v>29692</v>
      </c>
    </row>
    <row r="3936" spans="1:3">
      <c r="A3936" t="s">
        <v>29691</v>
      </c>
      <c r="B3936" s="590">
        <v>2792</v>
      </c>
      <c r="C3936" t="s">
        <v>29690</v>
      </c>
    </row>
    <row r="3937" spans="1:3">
      <c r="A3937" t="s">
        <v>29689</v>
      </c>
      <c r="B3937" s="590">
        <v>2792</v>
      </c>
      <c r="C3937" t="s">
        <v>29688</v>
      </c>
    </row>
    <row r="3938" spans="1:3">
      <c r="A3938" t="s">
        <v>29687</v>
      </c>
      <c r="B3938" s="590">
        <v>2792</v>
      </c>
      <c r="C3938" t="s">
        <v>29686</v>
      </c>
    </row>
    <row r="3939" spans="1:3">
      <c r="A3939" t="s">
        <v>29685</v>
      </c>
      <c r="B3939" s="590">
        <v>2792</v>
      </c>
      <c r="C3939" t="s">
        <v>29684</v>
      </c>
    </row>
    <row r="3940" spans="1:3">
      <c r="A3940" t="s">
        <v>29683</v>
      </c>
      <c r="B3940" s="590">
        <v>2792</v>
      </c>
      <c r="C3940" t="s">
        <v>29682</v>
      </c>
    </row>
    <row r="3941" spans="1:3">
      <c r="A3941" t="s">
        <v>29681</v>
      </c>
      <c r="B3941" s="590">
        <v>2792</v>
      </c>
      <c r="C3941" t="s">
        <v>29680</v>
      </c>
    </row>
    <row r="3942" spans="1:3">
      <c r="A3942" t="s">
        <v>29679</v>
      </c>
      <c r="B3942" s="590">
        <v>2792</v>
      </c>
      <c r="C3942" t="s">
        <v>29678</v>
      </c>
    </row>
    <row r="3943" spans="1:3">
      <c r="A3943" t="s">
        <v>29677</v>
      </c>
      <c r="B3943" s="590">
        <v>2792</v>
      </c>
      <c r="C3943" t="s">
        <v>29676</v>
      </c>
    </row>
    <row r="3944" spans="1:3">
      <c r="A3944" t="s">
        <v>29675</v>
      </c>
      <c r="B3944" s="590">
        <v>2792</v>
      </c>
      <c r="C3944" t="s">
        <v>29674</v>
      </c>
    </row>
    <row r="3945" spans="1:3">
      <c r="A3945" t="s">
        <v>29673</v>
      </c>
      <c r="B3945" s="590">
        <v>2792</v>
      </c>
      <c r="C3945" t="s">
        <v>29672</v>
      </c>
    </row>
    <row r="3946" spans="1:3">
      <c r="A3946" t="s">
        <v>29671</v>
      </c>
      <c r="B3946" s="590">
        <v>2792</v>
      </c>
      <c r="C3946" t="s">
        <v>29670</v>
      </c>
    </row>
    <row r="3947" spans="1:3">
      <c r="A3947" t="s">
        <v>29669</v>
      </c>
      <c r="B3947" s="590">
        <v>2792</v>
      </c>
      <c r="C3947" t="s">
        <v>29668</v>
      </c>
    </row>
    <row r="3948" spans="1:3">
      <c r="A3948" t="s">
        <v>29667</v>
      </c>
      <c r="B3948" s="590">
        <v>2792</v>
      </c>
      <c r="C3948" t="s">
        <v>29666</v>
      </c>
    </row>
    <row r="3949" spans="1:3">
      <c r="A3949" t="s">
        <v>29665</v>
      </c>
      <c r="B3949" s="590">
        <v>2792</v>
      </c>
      <c r="C3949" t="s">
        <v>29664</v>
      </c>
    </row>
    <row r="3950" spans="1:3">
      <c r="A3950" t="s">
        <v>29663</v>
      </c>
      <c r="B3950" s="590">
        <v>2792</v>
      </c>
      <c r="C3950" t="s">
        <v>29662</v>
      </c>
    </row>
    <row r="3951" spans="1:3">
      <c r="A3951" t="s">
        <v>29661</v>
      </c>
      <c r="B3951" s="590">
        <v>2792</v>
      </c>
      <c r="C3951" t="s">
        <v>29660</v>
      </c>
    </row>
    <row r="3952" spans="1:3">
      <c r="A3952" t="s">
        <v>29659</v>
      </c>
      <c r="B3952" s="590">
        <v>3217</v>
      </c>
      <c r="C3952" t="s">
        <v>29658</v>
      </c>
    </row>
    <row r="3953" spans="1:3">
      <c r="A3953" t="s">
        <v>29657</v>
      </c>
      <c r="B3953" s="590">
        <v>2792</v>
      </c>
      <c r="C3953" t="s">
        <v>29656</v>
      </c>
    </row>
    <row r="3954" spans="1:3">
      <c r="A3954" t="s">
        <v>29655</v>
      </c>
      <c r="B3954" s="590">
        <v>2792</v>
      </c>
      <c r="C3954" t="s">
        <v>29654</v>
      </c>
    </row>
    <row r="3955" spans="1:3">
      <c r="A3955" t="s">
        <v>29653</v>
      </c>
      <c r="B3955" s="590">
        <v>2792</v>
      </c>
      <c r="C3955" t="s">
        <v>29652</v>
      </c>
    </row>
    <row r="3956" spans="1:3">
      <c r="A3956" t="s">
        <v>29651</v>
      </c>
      <c r="B3956" s="590">
        <v>2792</v>
      </c>
      <c r="C3956" t="s">
        <v>29650</v>
      </c>
    </row>
    <row r="3957" spans="1:3">
      <c r="A3957" t="s">
        <v>29649</v>
      </c>
      <c r="B3957" s="590">
        <v>2672</v>
      </c>
      <c r="C3957" t="s">
        <v>29648</v>
      </c>
    </row>
    <row r="3958" spans="1:3">
      <c r="A3958" t="s">
        <v>29647</v>
      </c>
      <c r="B3958" s="590">
        <v>2792</v>
      </c>
      <c r="C3958" t="s">
        <v>29646</v>
      </c>
    </row>
    <row r="3959" spans="1:3">
      <c r="A3959" t="s">
        <v>29645</v>
      </c>
      <c r="B3959" s="590">
        <v>2792</v>
      </c>
      <c r="C3959" t="s">
        <v>29644</v>
      </c>
    </row>
    <row r="3960" spans="1:3">
      <c r="A3960" t="s">
        <v>29643</v>
      </c>
      <c r="B3960" s="590">
        <v>2792</v>
      </c>
      <c r="C3960" t="s">
        <v>29642</v>
      </c>
    </row>
    <row r="3961" spans="1:3">
      <c r="A3961" t="s">
        <v>29641</v>
      </c>
      <c r="B3961" s="590">
        <v>2792</v>
      </c>
      <c r="C3961" t="s">
        <v>29640</v>
      </c>
    </row>
    <row r="3962" spans="1:3">
      <c r="A3962" t="s">
        <v>29639</v>
      </c>
      <c r="B3962" s="590">
        <v>2792</v>
      </c>
      <c r="C3962" t="s">
        <v>29638</v>
      </c>
    </row>
    <row r="3963" spans="1:3">
      <c r="A3963" t="s">
        <v>29637</v>
      </c>
      <c r="B3963" s="590">
        <v>2792</v>
      </c>
      <c r="C3963" t="s">
        <v>29636</v>
      </c>
    </row>
    <row r="3964" spans="1:3">
      <c r="A3964" t="s">
        <v>29635</v>
      </c>
      <c r="B3964" s="590">
        <v>2792</v>
      </c>
      <c r="C3964" t="s">
        <v>29634</v>
      </c>
    </row>
    <row r="3965" spans="1:3">
      <c r="A3965" t="s">
        <v>29633</v>
      </c>
      <c r="B3965" s="590">
        <v>2792</v>
      </c>
      <c r="C3965" t="s">
        <v>29632</v>
      </c>
    </row>
    <row r="3966" spans="1:3">
      <c r="A3966" t="s">
        <v>29631</v>
      </c>
      <c r="B3966" s="590">
        <v>2792</v>
      </c>
      <c r="C3966" t="s">
        <v>29630</v>
      </c>
    </row>
    <row r="3967" spans="1:3">
      <c r="A3967" t="s">
        <v>29629</v>
      </c>
      <c r="B3967" s="590">
        <v>2792</v>
      </c>
      <c r="C3967" t="s">
        <v>29628</v>
      </c>
    </row>
    <row r="3968" spans="1:3">
      <c r="A3968" t="s">
        <v>29627</v>
      </c>
      <c r="B3968" s="590">
        <v>2792</v>
      </c>
      <c r="C3968" t="s">
        <v>29626</v>
      </c>
    </row>
    <row r="3969" spans="1:3">
      <c r="A3969" t="s">
        <v>29625</v>
      </c>
      <c r="B3969" s="590">
        <v>251</v>
      </c>
      <c r="C3969" t="s">
        <v>29624</v>
      </c>
    </row>
    <row r="3970" spans="1:3">
      <c r="A3970" t="s">
        <v>29623</v>
      </c>
      <c r="B3970" s="590">
        <v>251</v>
      </c>
      <c r="C3970" t="s">
        <v>29622</v>
      </c>
    </row>
    <row r="3971" spans="1:3">
      <c r="A3971" t="s">
        <v>29621</v>
      </c>
      <c r="B3971" s="590">
        <v>251</v>
      </c>
      <c r="C3971" t="s">
        <v>29620</v>
      </c>
    </row>
    <row r="3972" spans="1:3">
      <c r="A3972" t="s">
        <v>29619</v>
      </c>
      <c r="B3972" s="590">
        <v>290</v>
      </c>
      <c r="C3972" t="s">
        <v>29618</v>
      </c>
    </row>
    <row r="3973" spans="1:3">
      <c r="A3973" t="s">
        <v>29617</v>
      </c>
      <c r="B3973" s="590">
        <v>251</v>
      </c>
      <c r="C3973" t="s">
        <v>29616</v>
      </c>
    </row>
    <row r="3974" spans="1:3">
      <c r="A3974" t="s">
        <v>29615</v>
      </c>
      <c r="B3974" s="590">
        <v>251</v>
      </c>
      <c r="C3974" t="s">
        <v>29614</v>
      </c>
    </row>
    <row r="3975" spans="1:3">
      <c r="A3975" t="s">
        <v>29613</v>
      </c>
      <c r="B3975" s="590">
        <v>251</v>
      </c>
      <c r="C3975" t="s">
        <v>29612</v>
      </c>
    </row>
    <row r="3976" spans="1:3">
      <c r="A3976" t="s">
        <v>29611</v>
      </c>
      <c r="B3976" s="590">
        <v>251</v>
      </c>
      <c r="C3976" t="s">
        <v>29610</v>
      </c>
    </row>
    <row r="3977" spans="1:3">
      <c r="A3977" t="s">
        <v>29609</v>
      </c>
      <c r="B3977" s="590">
        <v>290</v>
      </c>
      <c r="C3977" t="s">
        <v>29608</v>
      </c>
    </row>
    <row r="3978" spans="1:3">
      <c r="A3978" t="s">
        <v>29607</v>
      </c>
      <c r="B3978" s="590">
        <v>251</v>
      </c>
      <c r="C3978" t="s">
        <v>29606</v>
      </c>
    </row>
    <row r="3979" spans="1:3">
      <c r="A3979" t="s">
        <v>29605</v>
      </c>
      <c r="B3979" s="590">
        <v>251</v>
      </c>
      <c r="C3979" t="s">
        <v>29604</v>
      </c>
    </row>
    <row r="3980" spans="1:3">
      <c r="A3980" t="s">
        <v>29603</v>
      </c>
      <c r="B3980" s="590">
        <v>290</v>
      </c>
      <c r="C3980" t="s">
        <v>29602</v>
      </c>
    </row>
    <row r="3981" spans="1:3">
      <c r="A3981" t="s">
        <v>29601</v>
      </c>
      <c r="B3981" s="590">
        <v>251</v>
      </c>
      <c r="C3981" t="s">
        <v>29600</v>
      </c>
    </row>
    <row r="3982" spans="1:3">
      <c r="A3982" t="s">
        <v>29599</v>
      </c>
      <c r="B3982" s="590">
        <v>147</v>
      </c>
      <c r="C3982" t="s">
        <v>29598</v>
      </c>
    </row>
    <row r="3983" spans="1:3">
      <c r="A3983" t="s">
        <v>29597</v>
      </c>
      <c r="B3983" s="590">
        <v>147</v>
      </c>
      <c r="C3983" t="s">
        <v>29596</v>
      </c>
    </row>
    <row r="3984" spans="1:3">
      <c r="A3984" t="s">
        <v>29595</v>
      </c>
      <c r="B3984" s="590">
        <v>147</v>
      </c>
      <c r="C3984" t="s">
        <v>29594</v>
      </c>
    </row>
    <row r="3985" spans="1:3">
      <c r="A3985" t="s">
        <v>29593</v>
      </c>
      <c r="B3985" s="590">
        <v>177</v>
      </c>
      <c r="C3985" t="s">
        <v>29592</v>
      </c>
    </row>
    <row r="3986" spans="1:3">
      <c r="A3986" t="s">
        <v>29591</v>
      </c>
      <c r="B3986" s="590">
        <v>147</v>
      </c>
      <c r="C3986" t="s">
        <v>29590</v>
      </c>
    </row>
    <row r="3987" spans="1:3">
      <c r="A3987" t="s">
        <v>29589</v>
      </c>
      <c r="B3987" s="590">
        <v>147</v>
      </c>
      <c r="C3987" t="s">
        <v>29588</v>
      </c>
    </row>
    <row r="3988" spans="1:3">
      <c r="A3988" t="s">
        <v>29587</v>
      </c>
      <c r="B3988" s="590">
        <v>147</v>
      </c>
      <c r="C3988" t="s">
        <v>29586</v>
      </c>
    </row>
    <row r="3989" spans="1:3">
      <c r="A3989" t="s">
        <v>29585</v>
      </c>
      <c r="B3989" s="590">
        <v>147</v>
      </c>
      <c r="C3989" t="s">
        <v>29584</v>
      </c>
    </row>
    <row r="3990" spans="1:3">
      <c r="A3990" t="s">
        <v>29583</v>
      </c>
      <c r="B3990" s="590">
        <v>177</v>
      </c>
      <c r="C3990" t="s">
        <v>29582</v>
      </c>
    </row>
    <row r="3991" spans="1:3">
      <c r="A3991" t="s">
        <v>29581</v>
      </c>
      <c r="B3991" s="590">
        <v>147</v>
      </c>
      <c r="C3991" t="s">
        <v>29580</v>
      </c>
    </row>
    <row r="3992" spans="1:3">
      <c r="A3992" t="s">
        <v>29579</v>
      </c>
      <c r="B3992" s="590">
        <v>147</v>
      </c>
      <c r="C3992" t="s">
        <v>29578</v>
      </c>
    </row>
    <row r="3993" spans="1:3">
      <c r="A3993" t="s">
        <v>29577</v>
      </c>
      <c r="B3993" s="590">
        <v>177</v>
      </c>
      <c r="C3993" t="s">
        <v>29576</v>
      </c>
    </row>
    <row r="3994" spans="1:3">
      <c r="A3994" t="s">
        <v>29575</v>
      </c>
      <c r="B3994" s="590">
        <v>147</v>
      </c>
      <c r="C3994" t="s">
        <v>29574</v>
      </c>
    </row>
    <row r="3995" spans="1:3">
      <c r="A3995" t="s">
        <v>29523</v>
      </c>
      <c r="B3995" s="590">
        <v>293</v>
      </c>
      <c r="C3995" t="s">
        <v>29522</v>
      </c>
    </row>
    <row r="3996" spans="1:3">
      <c r="A3996" t="s">
        <v>29521</v>
      </c>
      <c r="B3996" s="590">
        <v>166</v>
      </c>
      <c r="C3996" t="s">
        <v>29520</v>
      </c>
    </row>
    <row r="3997" spans="1:3">
      <c r="A3997" t="s">
        <v>29519</v>
      </c>
      <c r="B3997" s="590">
        <v>166</v>
      </c>
      <c r="C3997" t="s">
        <v>29518</v>
      </c>
    </row>
    <row r="3998" spans="1:3">
      <c r="A3998" t="s">
        <v>29573</v>
      </c>
      <c r="B3998" s="590">
        <v>147</v>
      </c>
      <c r="C3998" t="s">
        <v>29572</v>
      </c>
    </row>
    <row r="3999" spans="1:3">
      <c r="A3999" t="s">
        <v>29571</v>
      </c>
      <c r="B3999" s="590">
        <v>147</v>
      </c>
      <c r="C3999" t="s">
        <v>29570</v>
      </c>
    </row>
    <row r="4000" spans="1:3">
      <c r="A4000" t="s">
        <v>29569</v>
      </c>
      <c r="B4000" s="590">
        <v>147</v>
      </c>
      <c r="C4000" t="s">
        <v>29568</v>
      </c>
    </row>
    <row r="4001" spans="1:3">
      <c r="A4001" t="s">
        <v>29567</v>
      </c>
      <c r="B4001" s="590">
        <v>172</v>
      </c>
      <c r="C4001" t="s">
        <v>29566</v>
      </c>
    </row>
    <row r="4002" spans="1:3">
      <c r="A4002" t="s">
        <v>29565</v>
      </c>
      <c r="B4002" s="590">
        <v>147</v>
      </c>
      <c r="C4002" t="s">
        <v>29564</v>
      </c>
    </row>
    <row r="4003" spans="1:3">
      <c r="A4003" t="s">
        <v>29563</v>
      </c>
      <c r="B4003" s="590">
        <v>147</v>
      </c>
      <c r="C4003" t="s">
        <v>29562</v>
      </c>
    </row>
    <row r="4004" spans="1:3">
      <c r="A4004" t="s">
        <v>29561</v>
      </c>
      <c r="B4004" s="590">
        <v>147</v>
      </c>
      <c r="C4004" t="s">
        <v>29560</v>
      </c>
    </row>
    <row r="4005" spans="1:3">
      <c r="A4005" t="s">
        <v>29559</v>
      </c>
      <c r="B4005" s="590">
        <v>147</v>
      </c>
      <c r="C4005" t="s">
        <v>29558</v>
      </c>
    </row>
    <row r="4006" spans="1:3">
      <c r="A4006" t="s">
        <v>29557</v>
      </c>
      <c r="B4006" s="590">
        <v>158</v>
      </c>
      <c r="C4006" t="s">
        <v>29556</v>
      </c>
    </row>
    <row r="4007" spans="1:3">
      <c r="A4007" t="s">
        <v>29555</v>
      </c>
      <c r="B4007" s="590">
        <v>147</v>
      </c>
      <c r="C4007" t="s">
        <v>29554</v>
      </c>
    </row>
    <row r="4008" spans="1:3">
      <c r="A4008" t="s">
        <v>29553</v>
      </c>
      <c r="B4008" s="590">
        <v>147</v>
      </c>
      <c r="C4008" t="s">
        <v>29552</v>
      </c>
    </row>
    <row r="4009" spans="1:3">
      <c r="A4009" t="s">
        <v>29551</v>
      </c>
      <c r="B4009" s="590">
        <v>158</v>
      </c>
      <c r="C4009" t="s">
        <v>29550</v>
      </c>
    </row>
    <row r="4010" spans="1:3">
      <c r="A4010" t="s">
        <v>29549</v>
      </c>
      <c r="B4010" s="590">
        <v>147</v>
      </c>
      <c r="C4010" t="s">
        <v>29548</v>
      </c>
    </row>
    <row r="4011" spans="1:3">
      <c r="A4011" t="s">
        <v>29547</v>
      </c>
      <c r="B4011" s="590">
        <v>820</v>
      </c>
      <c r="C4011" t="s">
        <v>29545</v>
      </c>
    </row>
    <row r="4012" spans="1:3">
      <c r="A4012" t="s">
        <v>29546</v>
      </c>
      <c r="B4012" s="590">
        <v>820</v>
      </c>
      <c r="C4012" t="s">
        <v>29545</v>
      </c>
    </row>
    <row r="4013" spans="1:3">
      <c r="A4013" t="s">
        <v>29544</v>
      </c>
      <c r="B4013" s="590">
        <v>820</v>
      </c>
      <c r="C4013" t="s">
        <v>29542</v>
      </c>
    </row>
    <row r="4014" spans="1:3">
      <c r="A4014" t="s">
        <v>29543</v>
      </c>
      <c r="B4014" s="590">
        <v>820</v>
      </c>
      <c r="C4014" t="s">
        <v>29542</v>
      </c>
    </row>
    <row r="4015" spans="1:3">
      <c r="A4015" t="s">
        <v>28672</v>
      </c>
      <c r="B4015" s="590">
        <v>371</v>
      </c>
      <c r="C4015" t="s">
        <v>28671</v>
      </c>
    </row>
    <row r="4016" spans="1:3">
      <c r="A4016" t="s">
        <v>29541</v>
      </c>
      <c r="B4016" s="590">
        <v>10</v>
      </c>
      <c r="C4016" t="s">
        <v>29540</v>
      </c>
    </row>
    <row r="4017" spans="1:3">
      <c r="A4017" t="s">
        <v>29539</v>
      </c>
      <c r="B4017" s="590">
        <v>10</v>
      </c>
      <c r="C4017" t="s">
        <v>29538</v>
      </c>
    </row>
    <row r="4018" spans="1:3">
      <c r="A4018" t="s">
        <v>29537</v>
      </c>
      <c r="B4018" s="590">
        <v>10</v>
      </c>
      <c r="C4018" t="s">
        <v>29536</v>
      </c>
    </row>
    <row r="4019" spans="1:3">
      <c r="A4019" t="s">
        <v>29535</v>
      </c>
      <c r="B4019" s="590">
        <v>10</v>
      </c>
      <c r="C4019" t="s">
        <v>29534</v>
      </c>
    </row>
    <row r="4020" spans="1:3">
      <c r="A4020" t="s">
        <v>29533</v>
      </c>
      <c r="B4020" s="590">
        <v>10</v>
      </c>
      <c r="C4020" t="s">
        <v>29532</v>
      </c>
    </row>
    <row r="4021" spans="1:3">
      <c r="A4021" t="s">
        <v>29531</v>
      </c>
      <c r="B4021" s="590">
        <v>10</v>
      </c>
      <c r="C4021" t="s">
        <v>29530</v>
      </c>
    </row>
    <row r="4022" spans="1:3">
      <c r="A4022" t="s">
        <v>29529</v>
      </c>
      <c r="B4022" s="590">
        <v>10</v>
      </c>
      <c r="C4022" t="s">
        <v>29528</v>
      </c>
    </row>
    <row r="4023" spans="1:3">
      <c r="A4023" t="s">
        <v>29527</v>
      </c>
      <c r="B4023" s="590">
        <v>10</v>
      </c>
      <c r="C4023" t="s">
        <v>29526</v>
      </c>
    </row>
    <row r="4024" spans="1:3">
      <c r="A4024" t="s">
        <v>29525</v>
      </c>
      <c r="B4024" s="590">
        <v>10</v>
      </c>
      <c r="C4024" t="s">
        <v>29524</v>
      </c>
    </row>
    <row r="4025" spans="1:3">
      <c r="A4025" t="s">
        <v>27809</v>
      </c>
      <c r="B4025" s="590">
        <v>227</v>
      </c>
      <c r="C4025" t="s">
        <v>27808</v>
      </c>
    </row>
    <row r="4026" spans="1:3">
      <c r="A4026" t="s">
        <v>29517</v>
      </c>
      <c r="B4026" s="590">
        <v>84</v>
      </c>
      <c r="C4026" t="s">
        <v>29516</v>
      </c>
    </row>
    <row r="4027" spans="1:3">
      <c r="A4027" t="s">
        <v>29513</v>
      </c>
      <c r="B4027" s="590">
        <v>16</v>
      </c>
      <c r="C4027" t="s">
        <v>29512</v>
      </c>
    </row>
    <row r="4028" spans="1:3">
      <c r="A4028" t="s">
        <v>29511</v>
      </c>
      <c r="B4028" s="590">
        <v>16</v>
      </c>
      <c r="C4028" t="s">
        <v>29510</v>
      </c>
    </row>
    <row r="4029" spans="1:3">
      <c r="A4029" t="s">
        <v>29509</v>
      </c>
      <c r="B4029" s="590">
        <v>16</v>
      </c>
      <c r="C4029" t="s">
        <v>29508</v>
      </c>
    </row>
    <row r="4030" spans="1:3">
      <c r="A4030" t="s">
        <v>28658</v>
      </c>
      <c r="B4030" s="590">
        <v>61</v>
      </c>
      <c r="C4030" t="s">
        <v>28653</v>
      </c>
    </row>
    <row r="4031" spans="1:3">
      <c r="A4031" t="s">
        <v>28657</v>
      </c>
      <c r="B4031" s="590">
        <v>61</v>
      </c>
      <c r="C4031" t="s">
        <v>28651</v>
      </c>
    </row>
    <row r="4032" spans="1:3">
      <c r="A4032" t="s">
        <v>28656</v>
      </c>
      <c r="B4032" s="590">
        <v>61</v>
      </c>
      <c r="C4032" t="s">
        <v>28653</v>
      </c>
    </row>
    <row r="4033" spans="1:3">
      <c r="A4033" t="s">
        <v>28655</v>
      </c>
      <c r="B4033" s="590">
        <v>61</v>
      </c>
      <c r="C4033" t="s">
        <v>28651</v>
      </c>
    </row>
    <row r="4034" spans="1:3">
      <c r="A4034" t="s">
        <v>28650</v>
      </c>
      <c r="B4034" s="590">
        <v>61</v>
      </c>
      <c r="C4034" t="s">
        <v>28647</v>
      </c>
    </row>
    <row r="4035" spans="1:3">
      <c r="A4035" t="s">
        <v>28649</v>
      </c>
      <c r="B4035" s="590">
        <v>61</v>
      </c>
      <c r="C4035" t="s">
        <v>28645</v>
      </c>
    </row>
    <row r="4036" spans="1:3">
      <c r="A4036" t="s">
        <v>29507</v>
      </c>
      <c r="B4036" s="590">
        <v>560</v>
      </c>
      <c r="C4036" t="s">
        <v>29506</v>
      </c>
    </row>
    <row r="4037" spans="1:3">
      <c r="A4037" t="s">
        <v>29505</v>
      </c>
      <c r="B4037" s="590">
        <v>764</v>
      </c>
      <c r="C4037" t="s">
        <v>29504</v>
      </c>
    </row>
    <row r="4038" spans="1:3">
      <c r="A4038" t="s">
        <v>29523</v>
      </c>
      <c r="B4038" s="590">
        <v>293</v>
      </c>
      <c r="C4038" t="s">
        <v>29522</v>
      </c>
    </row>
    <row r="4039" spans="1:3">
      <c r="A4039" t="s">
        <v>29521</v>
      </c>
      <c r="B4039" s="590">
        <v>166</v>
      </c>
      <c r="C4039" t="s">
        <v>29520</v>
      </c>
    </row>
    <row r="4040" spans="1:3">
      <c r="A4040" t="s">
        <v>29519</v>
      </c>
      <c r="B4040" s="590">
        <v>166</v>
      </c>
      <c r="C4040" t="s">
        <v>29518</v>
      </c>
    </row>
    <row r="4041" spans="1:3">
      <c r="A4041" t="s">
        <v>28672</v>
      </c>
      <c r="B4041" s="590">
        <v>371</v>
      </c>
      <c r="C4041" t="s">
        <v>28671</v>
      </c>
    </row>
    <row r="4042" spans="1:3">
      <c r="A4042" t="s">
        <v>29517</v>
      </c>
      <c r="B4042" s="590">
        <v>84</v>
      </c>
      <c r="C4042" t="s">
        <v>29516</v>
      </c>
    </row>
    <row r="4043" spans="1:3">
      <c r="A4043" t="s">
        <v>29515</v>
      </c>
      <c r="B4043" s="590">
        <v>16</v>
      </c>
      <c r="C4043" t="s">
        <v>29514</v>
      </c>
    </row>
    <row r="4044" spans="1:3">
      <c r="A4044" t="s">
        <v>29513</v>
      </c>
      <c r="B4044" s="590">
        <v>16</v>
      </c>
      <c r="C4044" t="s">
        <v>29512</v>
      </c>
    </row>
    <row r="4045" spans="1:3">
      <c r="A4045" t="s">
        <v>29511</v>
      </c>
      <c r="B4045" s="590">
        <v>16</v>
      </c>
      <c r="C4045" t="s">
        <v>29510</v>
      </c>
    </row>
    <row r="4046" spans="1:3">
      <c r="A4046" t="s">
        <v>29509</v>
      </c>
      <c r="B4046" s="590">
        <v>16</v>
      </c>
      <c r="C4046" t="s">
        <v>29508</v>
      </c>
    </row>
    <row r="4047" spans="1:3">
      <c r="A4047" t="s">
        <v>28658</v>
      </c>
      <c r="B4047" s="590">
        <v>61</v>
      </c>
      <c r="C4047" t="s">
        <v>28653</v>
      </c>
    </row>
    <row r="4048" spans="1:3">
      <c r="A4048" t="s">
        <v>28657</v>
      </c>
      <c r="B4048" s="590">
        <v>61</v>
      </c>
      <c r="C4048" t="s">
        <v>28651</v>
      </c>
    </row>
    <row r="4049" spans="1:3">
      <c r="A4049" t="s">
        <v>28656</v>
      </c>
      <c r="B4049" s="590">
        <v>61</v>
      </c>
      <c r="C4049" t="s">
        <v>28653</v>
      </c>
    </row>
    <row r="4050" spans="1:3">
      <c r="A4050" t="s">
        <v>28655</v>
      </c>
      <c r="B4050" s="590">
        <v>61</v>
      </c>
      <c r="C4050" t="s">
        <v>28651</v>
      </c>
    </row>
    <row r="4051" spans="1:3">
      <c r="A4051" t="s">
        <v>28650</v>
      </c>
      <c r="B4051" s="590">
        <v>61</v>
      </c>
      <c r="C4051" t="s">
        <v>28647</v>
      </c>
    </row>
    <row r="4052" spans="1:3">
      <c r="A4052" t="s">
        <v>28649</v>
      </c>
      <c r="B4052" s="590">
        <v>61</v>
      </c>
      <c r="C4052" t="s">
        <v>28645</v>
      </c>
    </row>
    <row r="4053" spans="1:3">
      <c r="A4053" t="s">
        <v>29507</v>
      </c>
      <c r="B4053" s="590">
        <v>560</v>
      </c>
      <c r="C4053" t="s">
        <v>29506</v>
      </c>
    </row>
    <row r="4054" spans="1:3">
      <c r="A4054" t="s">
        <v>29505</v>
      </c>
      <c r="B4054" s="590">
        <v>764</v>
      </c>
      <c r="C4054" t="s">
        <v>29504</v>
      </c>
    </row>
    <row r="4055" spans="1:3">
      <c r="A4055" t="s">
        <v>29503</v>
      </c>
      <c r="B4055" s="590">
        <v>2113</v>
      </c>
      <c r="C4055" t="s">
        <v>29502</v>
      </c>
    </row>
    <row r="4056" spans="1:3">
      <c r="A4056" t="s">
        <v>29501</v>
      </c>
      <c r="B4056" s="590">
        <v>2113</v>
      </c>
      <c r="C4056" t="s">
        <v>29500</v>
      </c>
    </row>
    <row r="4057" spans="1:3">
      <c r="A4057" t="s">
        <v>29499</v>
      </c>
      <c r="B4057" s="590">
        <v>2113</v>
      </c>
      <c r="C4057" t="s">
        <v>29498</v>
      </c>
    </row>
    <row r="4058" spans="1:3">
      <c r="A4058" t="s">
        <v>29497</v>
      </c>
      <c r="B4058" s="590">
        <v>2113</v>
      </c>
      <c r="C4058" t="s">
        <v>29496</v>
      </c>
    </row>
    <row r="4059" spans="1:3">
      <c r="A4059" t="s">
        <v>29495</v>
      </c>
      <c r="B4059" s="590">
        <v>2113</v>
      </c>
      <c r="C4059" t="s">
        <v>29494</v>
      </c>
    </row>
    <row r="4060" spans="1:3">
      <c r="A4060" t="s">
        <v>29493</v>
      </c>
      <c r="B4060" s="590">
        <v>2113</v>
      </c>
      <c r="C4060" t="s">
        <v>29492</v>
      </c>
    </row>
    <row r="4061" spans="1:3">
      <c r="A4061" t="s">
        <v>29491</v>
      </c>
      <c r="B4061" s="590">
        <v>2113</v>
      </c>
      <c r="C4061" t="s">
        <v>29490</v>
      </c>
    </row>
    <row r="4062" spans="1:3">
      <c r="A4062" t="s">
        <v>29489</v>
      </c>
      <c r="B4062" s="590">
        <v>2113</v>
      </c>
      <c r="C4062" t="s">
        <v>29488</v>
      </c>
    </row>
    <row r="4063" spans="1:3">
      <c r="A4063" t="s">
        <v>29487</v>
      </c>
      <c r="B4063" s="590">
        <v>2323</v>
      </c>
      <c r="C4063" t="s">
        <v>29486</v>
      </c>
    </row>
    <row r="4064" spans="1:3">
      <c r="A4064" t="s">
        <v>29485</v>
      </c>
      <c r="B4064" s="590">
        <v>2113</v>
      </c>
      <c r="C4064" t="s">
        <v>29484</v>
      </c>
    </row>
    <row r="4065" spans="1:3">
      <c r="A4065" t="s">
        <v>29483</v>
      </c>
      <c r="B4065" s="590">
        <v>2113</v>
      </c>
      <c r="C4065" t="s">
        <v>29482</v>
      </c>
    </row>
    <row r="4066" spans="1:3">
      <c r="A4066" t="s">
        <v>29481</v>
      </c>
      <c r="B4066" s="590">
        <v>2113</v>
      </c>
      <c r="C4066" t="s">
        <v>29480</v>
      </c>
    </row>
    <row r="4067" spans="1:3">
      <c r="A4067" t="s">
        <v>29479</v>
      </c>
      <c r="B4067" s="590">
        <v>2113</v>
      </c>
      <c r="C4067" t="s">
        <v>29478</v>
      </c>
    </row>
    <row r="4068" spans="1:3">
      <c r="A4068" t="s">
        <v>29477</v>
      </c>
      <c r="B4068" s="590">
        <v>2113</v>
      </c>
      <c r="C4068" t="s">
        <v>29476</v>
      </c>
    </row>
    <row r="4069" spans="1:3">
      <c r="A4069" t="s">
        <v>29475</v>
      </c>
      <c r="B4069" s="590">
        <v>2113</v>
      </c>
      <c r="C4069" t="s">
        <v>29474</v>
      </c>
    </row>
    <row r="4070" spans="1:3">
      <c r="A4070" t="s">
        <v>29473</v>
      </c>
      <c r="B4070" s="590">
        <v>2113</v>
      </c>
      <c r="C4070" t="s">
        <v>29472</v>
      </c>
    </row>
    <row r="4071" spans="1:3">
      <c r="A4071" t="s">
        <v>29471</v>
      </c>
      <c r="B4071" s="590">
        <v>2323</v>
      </c>
      <c r="C4071" t="s">
        <v>29470</v>
      </c>
    </row>
    <row r="4072" spans="1:3">
      <c r="A4072" t="s">
        <v>29469</v>
      </c>
      <c r="B4072" s="590">
        <v>2113</v>
      </c>
      <c r="C4072" t="s">
        <v>29468</v>
      </c>
    </row>
    <row r="4073" spans="1:3">
      <c r="A4073" t="s">
        <v>29467</v>
      </c>
      <c r="B4073" s="590">
        <v>2216</v>
      </c>
      <c r="C4073" t="s">
        <v>29466</v>
      </c>
    </row>
    <row r="4074" spans="1:3">
      <c r="A4074" t="s">
        <v>29465</v>
      </c>
      <c r="B4074" s="590">
        <v>2216</v>
      </c>
      <c r="C4074" t="s">
        <v>29464</v>
      </c>
    </row>
    <row r="4075" spans="1:3">
      <c r="A4075" t="s">
        <v>29463</v>
      </c>
      <c r="B4075" s="590">
        <v>2216</v>
      </c>
      <c r="C4075" t="s">
        <v>29462</v>
      </c>
    </row>
    <row r="4076" spans="1:3">
      <c r="A4076" t="s">
        <v>29461</v>
      </c>
      <c r="B4076" s="590">
        <v>2216</v>
      </c>
      <c r="C4076" t="s">
        <v>29460</v>
      </c>
    </row>
    <row r="4077" spans="1:3">
      <c r="A4077" t="s">
        <v>29459</v>
      </c>
      <c r="B4077" s="590">
        <v>2216</v>
      </c>
      <c r="C4077" t="s">
        <v>29458</v>
      </c>
    </row>
    <row r="4078" spans="1:3">
      <c r="A4078" t="s">
        <v>29457</v>
      </c>
      <c r="B4078" s="590">
        <v>2216</v>
      </c>
      <c r="C4078" t="s">
        <v>29456</v>
      </c>
    </row>
    <row r="4079" spans="1:3">
      <c r="A4079" t="s">
        <v>29455</v>
      </c>
      <c r="B4079" s="590">
        <v>2216</v>
      </c>
      <c r="C4079" t="s">
        <v>29454</v>
      </c>
    </row>
    <row r="4080" spans="1:3">
      <c r="A4080" t="s">
        <v>29453</v>
      </c>
      <c r="B4080" s="590">
        <v>2216</v>
      </c>
      <c r="C4080" t="s">
        <v>29452</v>
      </c>
    </row>
    <row r="4081" spans="1:3">
      <c r="A4081" t="s">
        <v>29451</v>
      </c>
      <c r="B4081" s="590">
        <v>1979</v>
      </c>
      <c r="C4081" t="s">
        <v>29450</v>
      </c>
    </row>
    <row r="4082" spans="1:3">
      <c r="A4082" t="s">
        <v>29449</v>
      </c>
      <c r="B4082" s="590">
        <v>1979</v>
      </c>
      <c r="C4082" t="s">
        <v>29448</v>
      </c>
    </row>
    <row r="4083" spans="1:3">
      <c r="A4083" t="s">
        <v>29447</v>
      </c>
      <c r="B4083" s="590">
        <v>1979</v>
      </c>
      <c r="C4083" t="s">
        <v>29446</v>
      </c>
    </row>
    <row r="4084" spans="1:3">
      <c r="A4084" t="s">
        <v>29445</v>
      </c>
      <c r="B4084" s="590">
        <v>1979</v>
      </c>
      <c r="C4084" t="s">
        <v>29444</v>
      </c>
    </row>
    <row r="4085" spans="1:3">
      <c r="A4085" t="s">
        <v>29443</v>
      </c>
      <c r="B4085" s="590">
        <v>1979</v>
      </c>
      <c r="C4085" t="s">
        <v>29442</v>
      </c>
    </row>
    <row r="4086" spans="1:3">
      <c r="A4086" t="s">
        <v>29441</v>
      </c>
      <c r="B4086" s="590">
        <v>1979</v>
      </c>
      <c r="C4086" t="s">
        <v>29440</v>
      </c>
    </row>
    <row r="4087" spans="1:3">
      <c r="A4087" t="s">
        <v>29439</v>
      </c>
      <c r="B4087" s="590">
        <v>1979</v>
      </c>
      <c r="C4087" t="s">
        <v>29438</v>
      </c>
    </row>
    <row r="4088" spans="1:3">
      <c r="A4088" t="s">
        <v>29437</v>
      </c>
      <c r="B4088" s="590">
        <v>1979</v>
      </c>
      <c r="C4088" t="s">
        <v>29436</v>
      </c>
    </row>
    <row r="4089" spans="1:3">
      <c r="A4089" t="s">
        <v>29435</v>
      </c>
      <c r="B4089" s="590">
        <v>1979</v>
      </c>
      <c r="C4089" t="s">
        <v>29434</v>
      </c>
    </row>
    <row r="4090" spans="1:3">
      <c r="A4090" t="s">
        <v>29433</v>
      </c>
      <c r="B4090" s="590">
        <v>1979</v>
      </c>
      <c r="C4090" t="s">
        <v>29432</v>
      </c>
    </row>
    <row r="4091" spans="1:3">
      <c r="A4091" t="s">
        <v>29431</v>
      </c>
      <c r="B4091" s="590">
        <v>1979</v>
      </c>
      <c r="C4091" t="s">
        <v>29430</v>
      </c>
    </row>
    <row r="4092" spans="1:3">
      <c r="A4092" t="s">
        <v>29429</v>
      </c>
      <c r="B4092" s="590">
        <v>1979</v>
      </c>
      <c r="C4092" t="s">
        <v>29428</v>
      </c>
    </row>
    <row r="4093" spans="1:3">
      <c r="A4093" t="s">
        <v>29427</v>
      </c>
      <c r="B4093" s="590">
        <v>1979</v>
      </c>
      <c r="C4093" t="s">
        <v>29426</v>
      </c>
    </row>
    <row r="4094" spans="1:3">
      <c r="A4094" t="s">
        <v>29425</v>
      </c>
      <c r="B4094" s="590">
        <v>1979</v>
      </c>
      <c r="C4094" t="s">
        <v>29424</v>
      </c>
    </row>
    <row r="4095" spans="1:3">
      <c r="A4095" t="s">
        <v>29423</v>
      </c>
      <c r="B4095" s="590">
        <v>1979</v>
      </c>
      <c r="C4095" t="s">
        <v>29422</v>
      </c>
    </row>
    <row r="4096" spans="1:3">
      <c r="A4096" t="s">
        <v>29421</v>
      </c>
      <c r="B4096" s="590">
        <v>2084</v>
      </c>
      <c r="C4096" t="s">
        <v>29420</v>
      </c>
    </row>
    <row r="4097" spans="1:3">
      <c r="A4097" t="s">
        <v>29419</v>
      </c>
      <c r="B4097" s="590">
        <v>1979</v>
      </c>
      <c r="C4097" t="s">
        <v>29418</v>
      </c>
    </row>
    <row r="4098" spans="1:3">
      <c r="A4098" t="s">
        <v>29417</v>
      </c>
      <c r="B4098" s="590">
        <v>1979</v>
      </c>
      <c r="C4098" t="s">
        <v>29416</v>
      </c>
    </row>
    <row r="4099" spans="1:3">
      <c r="A4099" t="s">
        <v>29415</v>
      </c>
      <c r="B4099" s="590">
        <v>1979</v>
      </c>
      <c r="C4099" t="s">
        <v>29414</v>
      </c>
    </row>
    <row r="4100" spans="1:3">
      <c r="A4100" t="s">
        <v>29413</v>
      </c>
      <c r="B4100" s="590">
        <v>1979</v>
      </c>
      <c r="C4100" t="s">
        <v>29412</v>
      </c>
    </row>
    <row r="4101" spans="1:3">
      <c r="A4101" t="s">
        <v>29411</v>
      </c>
      <c r="B4101" s="590">
        <v>1979</v>
      </c>
      <c r="C4101" t="s">
        <v>29410</v>
      </c>
    </row>
    <row r="4102" spans="1:3">
      <c r="A4102" t="s">
        <v>29409</v>
      </c>
      <c r="B4102" s="590">
        <v>2084</v>
      </c>
      <c r="C4102" t="s">
        <v>29408</v>
      </c>
    </row>
    <row r="4103" spans="1:3">
      <c r="A4103" t="s">
        <v>29407</v>
      </c>
      <c r="B4103" s="590">
        <v>1979</v>
      </c>
      <c r="C4103" t="s">
        <v>29406</v>
      </c>
    </row>
    <row r="4104" spans="1:3">
      <c r="A4104" t="s">
        <v>29405</v>
      </c>
      <c r="B4104" s="590">
        <v>1979</v>
      </c>
      <c r="C4104" t="s">
        <v>29404</v>
      </c>
    </row>
    <row r="4105" spans="1:3">
      <c r="A4105" t="s">
        <v>29403</v>
      </c>
      <c r="B4105" s="590">
        <v>1979</v>
      </c>
      <c r="C4105" t="s">
        <v>29402</v>
      </c>
    </row>
    <row r="4106" spans="1:3">
      <c r="A4106" t="s">
        <v>29401</v>
      </c>
      <c r="B4106" s="590">
        <v>1979</v>
      </c>
      <c r="C4106" t="s">
        <v>29400</v>
      </c>
    </row>
    <row r="4107" spans="1:3">
      <c r="A4107" t="s">
        <v>29399</v>
      </c>
      <c r="B4107" s="590">
        <v>1979</v>
      </c>
      <c r="C4107" t="s">
        <v>29398</v>
      </c>
    </row>
    <row r="4108" spans="1:3">
      <c r="A4108" t="s">
        <v>29397</v>
      </c>
      <c r="B4108" s="590">
        <v>1979</v>
      </c>
      <c r="C4108" t="s">
        <v>29396</v>
      </c>
    </row>
    <row r="4109" spans="1:3">
      <c r="A4109" t="s">
        <v>29395</v>
      </c>
      <c r="B4109" s="590">
        <v>2189</v>
      </c>
      <c r="C4109" t="s">
        <v>29394</v>
      </c>
    </row>
    <row r="4110" spans="1:3">
      <c r="A4110" t="s">
        <v>29393</v>
      </c>
      <c r="B4110" s="590">
        <v>2084</v>
      </c>
      <c r="C4110" t="s">
        <v>29392</v>
      </c>
    </row>
    <row r="4111" spans="1:3">
      <c r="A4111" t="s">
        <v>29391</v>
      </c>
      <c r="B4111" s="590">
        <v>1979</v>
      </c>
      <c r="C4111" t="s">
        <v>29390</v>
      </c>
    </row>
    <row r="4112" spans="1:3">
      <c r="A4112" t="s">
        <v>29389</v>
      </c>
      <c r="B4112" s="590">
        <v>1979</v>
      </c>
      <c r="C4112" t="s">
        <v>29388</v>
      </c>
    </row>
    <row r="4113" spans="1:3">
      <c r="A4113" t="s">
        <v>29387</v>
      </c>
      <c r="B4113" s="590">
        <v>1979</v>
      </c>
      <c r="C4113" t="s">
        <v>29386</v>
      </c>
    </row>
    <row r="4114" spans="1:3">
      <c r="A4114" t="s">
        <v>29385</v>
      </c>
      <c r="B4114" s="590">
        <v>1979</v>
      </c>
      <c r="C4114" t="s">
        <v>29384</v>
      </c>
    </row>
    <row r="4115" spans="1:3">
      <c r="A4115" t="s">
        <v>29383</v>
      </c>
      <c r="B4115" s="590">
        <v>1979</v>
      </c>
      <c r="C4115" t="s">
        <v>29382</v>
      </c>
    </row>
    <row r="4116" spans="1:3">
      <c r="A4116" t="s">
        <v>29381</v>
      </c>
      <c r="B4116" s="590">
        <v>1979</v>
      </c>
      <c r="C4116" t="s">
        <v>29380</v>
      </c>
    </row>
    <row r="4117" spans="1:3">
      <c r="A4117" t="s">
        <v>29379</v>
      </c>
      <c r="B4117" s="590">
        <v>1979</v>
      </c>
      <c r="C4117" t="s">
        <v>29378</v>
      </c>
    </row>
    <row r="4118" spans="1:3">
      <c r="A4118" t="s">
        <v>29377</v>
      </c>
      <c r="B4118" s="590">
        <v>1979</v>
      </c>
      <c r="C4118" t="s">
        <v>29376</v>
      </c>
    </row>
    <row r="4119" spans="1:3">
      <c r="A4119" t="s">
        <v>29375</v>
      </c>
      <c r="B4119" s="590">
        <v>1979</v>
      </c>
      <c r="C4119" t="s">
        <v>29374</v>
      </c>
    </row>
    <row r="4120" spans="1:3">
      <c r="A4120" t="s">
        <v>29373</v>
      </c>
      <c r="B4120" s="590">
        <v>1979</v>
      </c>
      <c r="C4120" t="s">
        <v>29372</v>
      </c>
    </row>
    <row r="4121" spans="1:3">
      <c r="A4121" t="s">
        <v>29371</v>
      </c>
      <c r="B4121" s="590">
        <v>1979</v>
      </c>
      <c r="C4121" t="s">
        <v>29370</v>
      </c>
    </row>
    <row r="4122" spans="1:3">
      <c r="A4122" t="s">
        <v>29369</v>
      </c>
      <c r="B4122" s="590">
        <v>1979</v>
      </c>
      <c r="C4122" t="s">
        <v>29368</v>
      </c>
    </row>
    <row r="4123" spans="1:3">
      <c r="A4123" t="s">
        <v>29367</v>
      </c>
      <c r="B4123" s="590">
        <v>1979</v>
      </c>
      <c r="C4123" t="s">
        <v>29366</v>
      </c>
    </row>
    <row r="4124" spans="1:3">
      <c r="A4124" t="s">
        <v>29365</v>
      </c>
      <c r="B4124" s="590">
        <v>1979</v>
      </c>
      <c r="C4124" t="s">
        <v>29364</v>
      </c>
    </row>
    <row r="4125" spans="1:3">
      <c r="A4125" t="s">
        <v>29363</v>
      </c>
      <c r="B4125" s="590">
        <v>1979</v>
      </c>
      <c r="C4125" t="s">
        <v>29362</v>
      </c>
    </row>
    <row r="4126" spans="1:3">
      <c r="A4126" t="s">
        <v>29361</v>
      </c>
      <c r="B4126" s="590">
        <v>1979</v>
      </c>
      <c r="C4126" t="s">
        <v>29360</v>
      </c>
    </row>
    <row r="4127" spans="1:3">
      <c r="A4127" t="s">
        <v>29359</v>
      </c>
      <c r="B4127" s="590">
        <v>1979</v>
      </c>
      <c r="C4127" t="s">
        <v>29358</v>
      </c>
    </row>
    <row r="4128" spans="1:3">
      <c r="A4128" t="s">
        <v>29357</v>
      </c>
      <c r="B4128" s="590">
        <v>1979</v>
      </c>
      <c r="C4128" t="s">
        <v>29356</v>
      </c>
    </row>
    <row r="4129" spans="1:3">
      <c r="A4129" t="s">
        <v>29355</v>
      </c>
      <c r="B4129" s="590">
        <v>1979</v>
      </c>
      <c r="C4129" t="s">
        <v>29354</v>
      </c>
    </row>
    <row r="4130" spans="1:3">
      <c r="A4130" t="s">
        <v>29353</v>
      </c>
      <c r="B4130" s="590">
        <v>1979</v>
      </c>
      <c r="C4130" t="s">
        <v>29352</v>
      </c>
    </row>
    <row r="4131" spans="1:3">
      <c r="A4131" t="s">
        <v>29351</v>
      </c>
      <c r="B4131" s="590">
        <v>2076</v>
      </c>
      <c r="C4131" t="s">
        <v>29350</v>
      </c>
    </row>
    <row r="4132" spans="1:3">
      <c r="A4132" t="s">
        <v>29349</v>
      </c>
      <c r="B4132" s="590">
        <v>1979</v>
      </c>
      <c r="C4132" t="s">
        <v>29348</v>
      </c>
    </row>
    <row r="4133" spans="1:3">
      <c r="A4133" t="s">
        <v>29347</v>
      </c>
      <c r="B4133" s="590">
        <v>1979</v>
      </c>
      <c r="C4133" t="s">
        <v>29346</v>
      </c>
    </row>
    <row r="4134" spans="1:3">
      <c r="A4134" t="s">
        <v>29345</v>
      </c>
      <c r="B4134" s="590">
        <v>1979</v>
      </c>
      <c r="C4134" t="s">
        <v>29344</v>
      </c>
    </row>
    <row r="4135" spans="1:3">
      <c r="A4135" t="s">
        <v>29343</v>
      </c>
      <c r="B4135" s="590">
        <v>1979</v>
      </c>
      <c r="C4135" t="s">
        <v>29342</v>
      </c>
    </row>
    <row r="4136" spans="1:3">
      <c r="A4136" t="s">
        <v>29341</v>
      </c>
      <c r="B4136" s="590">
        <v>1979</v>
      </c>
      <c r="C4136" t="s">
        <v>29340</v>
      </c>
    </row>
    <row r="4137" spans="1:3">
      <c r="A4137" t="s">
        <v>29339</v>
      </c>
      <c r="B4137" s="590">
        <v>1979</v>
      </c>
      <c r="C4137" t="s">
        <v>29338</v>
      </c>
    </row>
    <row r="4138" spans="1:3">
      <c r="A4138" t="s">
        <v>29337</v>
      </c>
      <c r="B4138" s="590">
        <v>1979</v>
      </c>
      <c r="C4138" t="s">
        <v>29336</v>
      </c>
    </row>
    <row r="4139" spans="1:3">
      <c r="A4139" t="s">
        <v>29335</v>
      </c>
      <c r="B4139" s="590">
        <v>1979</v>
      </c>
      <c r="C4139" t="s">
        <v>29334</v>
      </c>
    </row>
    <row r="4140" spans="1:3">
      <c r="A4140" t="s">
        <v>29333</v>
      </c>
      <c r="B4140" s="590">
        <v>2084</v>
      </c>
      <c r="C4140" t="s">
        <v>29332</v>
      </c>
    </row>
    <row r="4141" spans="1:3">
      <c r="A4141" t="s">
        <v>29331</v>
      </c>
      <c r="B4141" s="590">
        <v>2189</v>
      </c>
      <c r="C4141" t="s">
        <v>29330</v>
      </c>
    </row>
    <row r="4142" spans="1:3">
      <c r="A4142" t="s">
        <v>29329</v>
      </c>
      <c r="B4142" s="590">
        <v>1979</v>
      </c>
      <c r="C4142" t="s">
        <v>29328</v>
      </c>
    </row>
    <row r="4143" spans="1:3">
      <c r="A4143" t="s">
        <v>29327</v>
      </c>
      <c r="B4143" s="590">
        <v>1979</v>
      </c>
      <c r="C4143" t="s">
        <v>29326</v>
      </c>
    </row>
    <row r="4144" spans="1:3">
      <c r="A4144" t="s">
        <v>29325</v>
      </c>
      <c r="B4144" s="590">
        <v>1979</v>
      </c>
      <c r="C4144" t="s">
        <v>29324</v>
      </c>
    </row>
    <row r="4145" spans="1:3">
      <c r="A4145" t="s">
        <v>29323</v>
      </c>
      <c r="B4145" s="590">
        <v>1979</v>
      </c>
      <c r="C4145" t="s">
        <v>29322</v>
      </c>
    </row>
    <row r="4146" spans="1:3">
      <c r="A4146" t="s">
        <v>29321</v>
      </c>
      <c r="B4146" s="590">
        <v>2084</v>
      </c>
      <c r="C4146" t="s">
        <v>29320</v>
      </c>
    </row>
    <row r="4147" spans="1:3">
      <c r="A4147" t="s">
        <v>29319</v>
      </c>
      <c r="B4147" s="590">
        <v>2084</v>
      </c>
      <c r="C4147" t="s">
        <v>29318</v>
      </c>
    </row>
    <row r="4148" spans="1:3">
      <c r="A4148" t="s">
        <v>29317</v>
      </c>
      <c r="B4148" s="590">
        <v>2084</v>
      </c>
      <c r="C4148" t="s">
        <v>29316</v>
      </c>
    </row>
    <row r="4149" spans="1:3">
      <c r="A4149" t="s">
        <v>29315</v>
      </c>
      <c r="B4149" s="590">
        <v>2084</v>
      </c>
      <c r="C4149" t="s">
        <v>29314</v>
      </c>
    </row>
    <row r="4150" spans="1:3">
      <c r="A4150" t="s">
        <v>29313</v>
      </c>
      <c r="B4150" s="590">
        <v>2084</v>
      </c>
      <c r="C4150" t="s">
        <v>29312</v>
      </c>
    </row>
    <row r="4151" spans="1:3">
      <c r="A4151" t="s">
        <v>29311</v>
      </c>
      <c r="B4151" s="590">
        <v>2084</v>
      </c>
      <c r="C4151" t="s">
        <v>29310</v>
      </c>
    </row>
    <row r="4152" spans="1:3">
      <c r="A4152" t="s">
        <v>29309</v>
      </c>
      <c r="B4152" s="590">
        <v>2084</v>
      </c>
      <c r="C4152" t="s">
        <v>29308</v>
      </c>
    </row>
    <row r="4153" spans="1:3">
      <c r="A4153" t="s">
        <v>29307</v>
      </c>
      <c r="B4153" s="590">
        <v>2084</v>
      </c>
      <c r="C4153" t="s">
        <v>29306</v>
      </c>
    </row>
    <row r="4154" spans="1:3">
      <c r="A4154" t="s">
        <v>29305</v>
      </c>
      <c r="B4154" s="590">
        <v>2084</v>
      </c>
      <c r="C4154" t="s">
        <v>29304</v>
      </c>
    </row>
    <row r="4155" spans="1:3">
      <c r="A4155" t="s">
        <v>29303</v>
      </c>
      <c r="B4155" s="590">
        <v>2084</v>
      </c>
      <c r="C4155" t="s">
        <v>29302</v>
      </c>
    </row>
    <row r="4156" spans="1:3">
      <c r="A4156" t="s">
        <v>29301</v>
      </c>
      <c r="B4156" s="590">
        <v>2084</v>
      </c>
      <c r="C4156" t="s">
        <v>29300</v>
      </c>
    </row>
    <row r="4157" spans="1:3">
      <c r="A4157" t="s">
        <v>29299</v>
      </c>
      <c r="B4157" s="590">
        <v>2084</v>
      </c>
      <c r="C4157" t="s">
        <v>29298</v>
      </c>
    </row>
    <row r="4158" spans="1:3">
      <c r="A4158" t="s">
        <v>29297</v>
      </c>
      <c r="B4158" s="590">
        <v>2084</v>
      </c>
      <c r="C4158" t="s">
        <v>29296</v>
      </c>
    </row>
    <row r="4159" spans="1:3">
      <c r="A4159" t="s">
        <v>28052</v>
      </c>
      <c r="B4159" s="590">
        <v>201</v>
      </c>
      <c r="C4159" t="s">
        <v>28051</v>
      </c>
    </row>
    <row r="4160" spans="1:3">
      <c r="A4160" t="s">
        <v>28050</v>
      </c>
      <c r="B4160" s="590">
        <v>201</v>
      </c>
      <c r="C4160" t="s">
        <v>28049</v>
      </c>
    </row>
    <row r="4161" spans="1:3">
      <c r="A4161" t="s">
        <v>28048</v>
      </c>
      <c r="B4161" s="590">
        <v>201</v>
      </c>
      <c r="C4161" t="s">
        <v>28047</v>
      </c>
    </row>
    <row r="4162" spans="1:3">
      <c r="A4162" t="s">
        <v>28046</v>
      </c>
      <c r="B4162" s="590">
        <v>238</v>
      </c>
      <c r="C4162" t="s">
        <v>28045</v>
      </c>
    </row>
    <row r="4163" spans="1:3">
      <c r="A4163" t="s">
        <v>28044</v>
      </c>
      <c r="B4163" s="590">
        <v>201</v>
      </c>
      <c r="C4163" t="s">
        <v>28043</v>
      </c>
    </row>
    <row r="4164" spans="1:3">
      <c r="A4164" t="s">
        <v>28042</v>
      </c>
      <c r="B4164" s="590">
        <v>144</v>
      </c>
      <c r="C4164" t="s">
        <v>28041</v>
      </c>
    </row>
    <row r="4165" spans="1:3">
      <c r="A4165" t="s">
        <v>28040</v>
      </c>
      <c r="B4165" s="590">
        <v>144</v>
      </c>
      <c r="C4165" t="s">
        <v>28039</v>
      </c>
    </row>
    <row r="4166" spans="1:3">
      <c r="A4166" t="s">
        <v>28038</v>
      </c>
      <c r="B4166" s="590">
        <v>144</v>
      </c>
      <c r="C4166" t="s">
        <v>28037</v>
      </c>
    </row>
    <row r="4167" spans="1:3">
      <c r="A4167" t="s">
        <v>28036</v>
      </c>
      <c r="B4167" s="590">
        <v>181</v>
      </c>
      <c r="C4167" t="s">
        <v>28035</v>
      </c>
    </row>
    <row r="4168" spans="1:3">
      <c r="A4168" t="s">
        <v>28034</v>
      </c>
      <c r="B4168" s="590">
        <v>144</v>
      </c>
      <c r="C4168" t="s">
        <v>28033</v>
      </c>
    </row>
    <row r="4169" spans="1:3">
      <c r="A4169" t="s">
        <v>28804</v>
      </c>
      <c r="B4169" s="590">
        <v>376</v>
      </c>
      <c r="C4169" t="s">
        <v>28803</v>
      </c>
    </row>
    <row r="4170" spans="1:3">
      <c r="A4170" t="s">
        <v>28802</v>
      </c>
      <c r="B4170" s="590">
        <v>376</v>
      </c>
      <c r="C4170" t="s">
        <v>28801</v>
      </c>
    </row>
    <row r="4171" spans="1:3">
      <c r="A4171" t="s">
        <v>28800</v>
      </c>
      <c r="B4171" s="590">
        <v>376</v>
      </c>
      <c r="C4171" t="s">
        <v>28799</v>
      </c>
    </row>
    <row r="4172" spans="1:3">
      <c r="A4172" t="s">
        <v>28798</v>
      </c>
      <c r="B4172" s="590">
        <v>421</v>
      </c>
      <c r="C4172" t="s">
        <v>28797</v>
      </c>
    </row>
    <row r="4173" spans="1:3">
      <c r="A4173" t="s">
        <v>28796</v>
      </c>
      <c r="B4173" s="590">
        <v>376</v>
      </c>
      <c r="C4173" t="s">
        <v>28795</v>
      </c>
    </row>
    <row r="4174" spans="1:3">
      <c r="A4174" t="s">
        <v>28794</v>
      </c>
      <c r="B4174" s="590">
        <v>376</v>
      </c>
      <c r="C4174" t="s">
        <v>28793</v>
      </c>
    </row>
    <row r="4175" spans="1:3">
      <c r="A4175" t="s">
        <v>28792</v>
      </c>
      <c r="B4175" s="590">
        <v>421</v>
      </c>
      <c r="C4175" t="s">
        <v>28791</v>
      </c>
    </row>
    <row r="4176" spans="1:3">
      <c r="A4176" t="s">
        <v>28790</v>
      </c>
      <c r="B4176" s="590">
        <v>376</v>
      </c>
      <c r="C4176" t="s">
        <v>28789</v>
      </c>
    </row>
    <row r="4177" spans="1:3">
      <c r="A4177" t="s">
        <v>28778</v>
      </c>
      <c r="B4177" s="590">
        <v>201</v>
      </c>
      <c r="C4177" t="s">
        <v>28777</v>
      </c>
    </row>
    <row r="4178" spans="1:3">
      <c r="A4178" t="s">
        <v>28776</v>
      </c>
      <c r="B4178" s="590">
        <v>201</v>
      </c>
      <c r="C4178" t="s">
        <v>28775</v>
      </c>
    </row>
    <row r="4179" spans="1:3">
      <c r="A4179" t="s">
        <v>28774</v>
      </c>
      <c r="B4179" s="590">
        <v>201</v>
      </c>
      <c r="C4179" t="s">
        <v>28773</v>
      </c>
    </row>
    <row r="4180" spans="1:3">
      <c r="A4180" t="s">
        <v>28772</v>
      </c>
      <c r="B4180" s="590">
        <v>240</v>
      </c>
      <c r="C4180" t="s">
        <v>28771</v>
      </c>
    </row>
    <row r="4181" spans="1:3">
      <c r="A4181" t="s">
        <v>28770</v>
      </c>
      <c r="B4181" s="590">
        <v>201</v>
      </c>
      <c r="C4181" t="s">
        <v>28769</v>
      </c>
    </row>
    <row r="4182" spans="1:3">
      <c r="A4182" t="s">
        <v>28768</v>
      </c>
      <c r="B4182" s="590">
        <v>201</v>
      </c>
      <c r="C4182" t="s">
        <v>28767</v>
      </c>
    </row>
    <row r="4183" spans="1:3">
      <c r="A4183" t="s">
        <v>28766</v>
      </c>
      <c r="B4183" s="590">
        <v>240</v>
      </c>
      <c r="C4183" t="s">
        <v>28765</v>
      </c>
    </row>
    <row r="4184" spans="1:3">
      <c r="A4184" t="s">
        <v>28764</v>
      </c>
      <c r="B4184" s="590">
        <v>201</v>
      </c>
      <c r="C4184" t="s">
        <v>28763</v>
      </c>
    </row>
    <row r="4185" spans="1:3">
      <c r="A4185" t="s">
        <v>29295</v>
      </c>
      <c r="B4185" s="590">
        <v>201</v>
      </c>
      <c r="C4185" t="s">
        <v>28757</v>
      </c>
    </row>
    <row r="4186" spans="1:3">
      <c r="A4186" t="s">
        <v>29294</v>
      </c>
      <c r="B4186" s="590">
        <v>201</v>
      </c>
      <c r="C4186" t="s">
        <v>28755</v>
      </c>
    </row>
    <row r="4187" spans="1:3">
      <c r="A4187" t="s">
        <v>29293</v>
      </c>
      <c r="B4187" s="590">
        <v>201</v>
      </c>
      <c r="C4187" t="s">
        <v>28753</v>
      </c>
    </row>
    <row r="4188" spans="1:3">
      <c r="A4188" t="s">
        <v>29292</v>
      </c>
      <c r="B4188" s="590">
        <v>238</v>
      </c>
      <c r="C4188" t="s">
        <v>29291</v>
      </c>
    </row>
    <row r="4189" spans="1:3">
      <c r="A4189" t="s">
        <v>29290</v>
      </c>
      <c r="B4189" s="590">
        <v>201</v>
      </c>
      <c r="C4189" t="s">
        <v>28751</v>
      </c>
    </row>
    <row r="4190" spans="1:3">
      <c r="A4190" t="s">
        <v>28762</v>
      </c>
      <c r="B4190" s="590">
        <v>399</v>
      </c>
      <c r="C4190" t="s">
        <v>28761</v>
      </c>
    </row>
    <row r="4191" spans="1:3">
      <c r="A4191" t="s">
        <v>28750</v>
      </c>
      <c r="B4191" s="590">
        <v>376</v>
      </c>
      <c r="C4191" t="s">
        <v>28749</v>
      </c>
    </row>
    <row r="4192" spans="1:3">
      <c r="A4192" t="s">
        <v>28748</v>
      </c>
      <c r="B4192" s="590">
        <v>376</v>
      </c>
      <c r="C4192" t="s">
        <v>28747</v>
      </c>
    </row>
    <row r="4193" spans="1:3">
      <c r="A4193" t="s">
        <v>28746</v>
      </c>
      <c r="B4193" s="590">
        <v>376</v>
      </c>
      <c r="C4193" t="s">
        <v>28745</v>
      </c>
    </row>
    <row r="4194" spans="1:3">
      <c r="A4194" t="s">
        <v>28744</v>
      </c>
      <c r="B4194" s="590">
        <v>376</v>
      </c>
      <c r="C4194" t="s">
        <v>28743</v>
      </c>
    </row>
    <row r="4195" spans="1:3">
      <c r="A4195" t="s">
        <v>28742</v>
      </c>
      <c r="B4195" s="590">
        <v>376</v>
      </c>
      <c r="C4195" t="s">
        <v>28741</v>
      </c>
    </row>
    <row r="4196" spans="1:3">
      <c r="A4196" t="s">
        <v>28740</v>
      </c>
      <c r="B4196" s="590">
        <v>376</v>
      </c>
      <c r="C4196" t="s">
        <v>28739</v>
      </c>
    </row>
    <row r="4197" spans="1:3">
      <c r="A4197" t="s">
        <v>29289</v>
      </c>
      <c r="B4197" s="590">
        <v>221</v>
      </c>
      <c r="C4197" t="s">
        <v>29288</v>
      </c>
    </row>
    <row r="4198" spans="1:3">
      <c r="A4198" t="s">
        <v>29287</v>
      </c>
      <c r="B4198" s="590">
        <v>221</v>
      </c>
      <c r="C4198" t="s">
        <v>29286</v>
      </c>
    </row>
    <row r="4199" spans="1:3">
      <c r="A4199" t="s">
        <v>29285</v>
      </c>
      <c r="B4199" s="590">
        <v>221</v>
      </c>
      <c r="C4199" t="s">
        <v>28737</v>
      </c>
    </row>
    <row r="4200" spans="1:3">
      <c r="A4200" t="s">
        <v>29284</v>
      </c>
      <c r="B4200" s="590">
        <v>221</v>
      </c>
      <c r="C4200" t="s">
        <v>29283</v>
      </c>
    </row>
    <row r="4201" spans="1:3">
      <c r="A4201" t="s">
        <v>28760</v>
      </c>
      <c r="B4201" s="590">
        <v>500</v>
      </c>
      <c r="C4201" t="s">
        <v>28759</v>
      </c>
    </row>
    <row r="4202" spans="1:3">
      <c r="A4202" t="s">
        <v>28676</v>
      </c>
      <c r="B4202" s="590">
        <v>513</v>
      </c>
      <c r="C4202" t="s">
        <v>28675</v>
      </c>
    </row>
    <row r="4203" spans="1:3">
      <c r="A4203" t="s">
        <v>28680</v>
      </c>
      <c r="B4203" s="590">
        <v>166</v>
      </c>
      <c r="C4203" t="s">
        <v>28679</v>
      </c>
    </row>
    <row r="4204" spans="1:3">
      <c r="A4204" t="s">
        <v>28678</v>
      </c>
      <c r="B4204" s="590">
        <v>166</v>
      </c>
      <c r="C4204" t="s">
        <v>28677</v>
      </c>
    </row>
    <row r="4205" spans="1:3">
      <c r="A4205" t="s">
        <v>28674</v>
      </c>
      <c r="B4205" s="590">
        <v>166</v>
      </c>
      <c r="C4205" t="s">
        <v>28673</v>
      </c>
    </row>
    <row r="4206" spans="1:3">
      <c r="A4206" t="s">
        <v>28672</v>
      </c>
      <c r="B4206" s="590">
        <v>371</v>
      </c>
      <c r="C4206" t="s">
        <v>28671</v>
      </c>
    </row>
    <row r="4207" spans="1:3">
      <c r="A4207" t="s">
        <v>28728</v>
      </c>
      <c r="B4207" s="590">
        <v>10</v>
      </c>
      <c r="C4207" t="s">
        <v>28727</v>
      </c>
    </row>
    <row r="4208" spans="1:3">
      <c r="A4208" t="s">
        <v>28726</v>
      </c>
      <c r="B4208" s="590">
        <v>10</v>
      </c>
      <c r="C4208" t="s">
        <v>28725</v>
      </c>
    </row>
    <row r="4209" spans="1:3">
      <c r="A4209" t="s">
        <v>28724</v>
      </c>
      <c r="B4209" s="590">
        <v>10</v>
      </c>
      <c r="C4209" t="s">
        <v>28723</v>
      </c>
    </row>
    <row r="4210" spans="1:3">
      <c r="A4210" t="s">
        <v>28722</v>
      </c>
      <c r="B4210" s="590">
        <v>10</v>
      </c>
      <c r="C4210" t="s">
        <v>28721</v>
      </c>
    </row>
    <row r="4211" spans="1:3">
      <c r="A4211" t="s">
        <v>28720</v>
      </c>
      <c r="B4211" s="590">
        <v>10</v>
      </c>
      <c r="C4211" t="s">
        <v>28719</v>
      </c>
    </row>
    <row r="4212" spans="1:3">
      <c r="A4212" t="s">
        <v>28718</v>
      </c>
      <c r="B4212" s="590">
        <v>10</v>
      </c>
      <c r="C4212" t="s">
        <v>28717</v>
      </c>
    </row>
    <row r="4213" spans="1:3">
      <c r="A4213" t="s">
        <v>28716</v>
      </c>
      <c r="B4213" s="590">
        <v>10</v>
      </c>
      <c r="C4213" t="s">
        <v>28715</v>
      </c>
    </row>
    <row r="4214" spans="1:3">
      <c r="A4214" t="s">
        <v>28714</v>
      </c>
      <c r="B4214" s="590">
        <v>10</v>
      </c>
      <c r="C4214" t="s">
        <v>28713</v>
      </c>
    </row>
    <row r="4215" spans="1:3">
      <c r="A4215" t="s">
        <v>28712</v>
      </c>
      <c r="B4215" s="590">
        <v>10</v>
      </c>
      <c r="C4215" t="s">
        <v>28711</v>
      </c>
    </row>
    <row r="4216" spans="1:3">
      <c r="A4216" t="s">
        <v>28710</v>
      </c>
      <c r="B4216" s="590">
        <v>10</v>
      </c>
      <c r="C4216" t="s">
        <v>28709</v>
      </c>
    </row>
    <row r="4217" spans="1:3">
      <c r="A4217" t="s">
        <v>29282</v>
      </c>
      <c r="B4217" s="590">
        <v>711</v>
      </c>
      <c r="C4217" t="s">
        <v>29281</v>
      </c>
    </row>
    <row r="4218" spans="1:3">
      <c r="A4218" t="s">
        <v>28708</v>
      </c>
      <c r="B4218" s="590">
        <v>239</v>
      </c>
      <c r="C4218" t="s">
        <v>28707</v>
      </c>
    </row>
    <row r="4219" spans="1:3">
      <c r="A4219" t="s">
        <v>29280</v>
      </c>
      <c r="B4219" s="590">
        <v>266</v>
      </c>
      <c r="C4219" t="s">
        <v>29279</v>
      </c>
    </row>
    <row r="4220" spans="1:3">
      <c r="A4220" t="s">
        <v>29278</v>
      </c>
      <c r="B4220" s="590">
        <v>750</v>
      </c>
      <c r="C4220" t="s">
        <v>29277</v>
      </c>
    </row>
    <row r="4221" spans="1:3">
      <c r="A4221" t="s">
        <v>29276</v>
      </c>
      <c r="B4221" s="590">
        <v>750</v>
      </c>
      <c r="C4221" t="s">
        <v>29275</v>
      </c>
    </row>
    <row r="4222" spans="1:3">
      <c r="A4222" t="s">
        <v>29274</v>
      </c>
      <c r="B4222" s="590">
        <v>750</v>
      </c>
      <c r="C4222" t="s">
        <v>29273</v>
      </c>
    </row>
    <row r="4223" spans="1:3">
      <c r="A4223" t="s">
        <v>22063</v>
      </c>
      <c r="B4223" s="590">
        <v>2526</v>
      </c>
      <c r="C4223" t="s">
        <v>27868</v>
      </c>
    </row>
    <row r="4224" spans="1:3">
      <c r="A4224" t="s">
        <v>28670</v>
      </c>
      <c r="B4224" s="590">
        <v>166</v>
      </c>
      <c r="C4224" t="s">
        <v>28669</v>
      </c>
    </row>
    <row r="4225" spans="1:3">
      <c r="A4225" t="s">
        <v>28668</v>
      </c>
      <c r="B4225" s="590">
        <v>322</v>
      </c>
      <c r="C4225" t="s">
        <v>28667</v>
      </c>
    </row>
    <row r="4226" spans="1:3">
      <c r="A4226" t="s">
        <v>28666</v>
      </c>
      <c r="B4226" s="590">
        <v>559</v>
      </c>
      <c r="C4226" t="s">
        <v>28665</v>
      </c>
    </row>
    <row r="4227" spans="1:3">
      <c r="A4227" t="s">
        <v>29272</v>
      </c>
      <c r="B4227" s="590">
        <v>290</v>
      </c>
      <c r="C4227" t="s">
        <v>29271</v>
      </c>
    </row>
    <row r="4228" spans="1:3">
      <c r="A4228" t="s">
        <v>28700</v>
      </c>
      <c r="B4228" s="590">
        <v>84</v>
      </c>
      <c r="C4228" t="s">
        <v>28699</v>
      </c>
    </row>
    <row r="4229" spans="1:3">
      <c r="A4229" t="s">
        <v>28698</v>
      </c>
      <c r="B4229" s="590">
        <v>39</v>
      </c>
      <c r="C4229" t="s">
        <v>28697</v>
      </c>
    </row>
    <row r="4230" spans="1:3">
      <c r="A4230" t="s">
        <v>28696</v>
      </c>
      <c r="B4230" s="590">
        <v>39</v>
      </c>
      <c r="C4230" t="s">
        <v>28695</v>
      </c>
    </row>
    <row r="4231" spans="1:3">
      <c r="A4231" t="s">
        <v>28694</v>
      </c>
      <c r="B4231" s="590">
        <v>39</v>
      </c>
      <c r="C4231" t="s">
        <v>28693</v>
      </c>
    </row>
    <row r="4232" spans="1:3">
      <c r="A4232" t="s">
        <v>28692</v>
      </c>
      <c r="B4232" s="590">
        <v>39</v>
      </c>
      <c r="C4232" t="s">
        <v>28691</v>
      </c>
    </row>
    <row r="4233" spans="1:3">
      <c r="A4233" t="s">
        <v>28690</v>
      </c>
      <c r="B4233" s="590">
        <v>20</v>
      </c>
      <c r="C4233" t="s">
        <v>28689</v>
      </c>
    </row>
    <row r="4234" spans="1:3">
      <c r="A4234" t="s">
        <v>28688</v>
      </c>
      <c r="B4234" s="590">
        <v>20</v>
      </c>
      <c r="C4234" t="s">
        <v>28687</v>
      </c>
    </row>
    <row r="4235" spans="1:3">
      <c r="A4235" t="s">
        <v>28686</v>
      </c>
      <c r="B4235" s="590">
        <v>16</v>
      </c>
      <c r="C4235" t="s">
        <v>28685</v>
      </c>
    </row>
    <row r="4236" spans="1:3">
      <c r="A4236" t="s">
        <v>28684</v>
      </c>
      <c r="B4236" s="590">
        <v>16</v>
      </c>
      <c r="C4236" t="s">
        <v>28683</v>
      </c>
    </row>
    <row r="4237" spans="1:3">
      <c r="A4237" t="s">
        <v>28682</v>
      </c>
      <c r="B4237" s="590">
        <v>16</v>
      </c>
      <c r="C4237" t="s">
        <v>28681</v>
      </c>
    </row>
    <row r="4238" spans="1:3">
      <c r="A4238" t="s">
        <v>28664</v>
      </c>
      <c r="B4238" s="590">
        <v>16</v>
      </c>
      <c r="C4238" t="s">
        <v>28663</v>
      </c>
    </row>
    <row r="4239" spans="1:3">
      <c r="A4239" t="s">
        <v>28662</v>
      </c>
      <c r="B4239" s="590">
        <v>16</v>
      </c>
      <c r="C4239" t="s">
        <v>28661</v>
      </c>
    </row>
    <row r="4240" spans="1:3">
      <c r="A4240" t="s">
        <v>28660</v>
      </c>
      <c r="B4240" s="590">
        <v>16</v>
      </c>
      <c r="C4240" t="s">
        <v>28659</v>
      </c>
    </row>
    <row r="4241" spans="1:3">
      <c r="A4241" t="s">
        <v>28658</v>
      </c>
      <c r="B4241" s="590">
        <v>61</v>
      </c>
      <c r="C4241" t="s">
        <v>28653</v>
      </c>
    </row>
    <row r="4242" spans="1:3">
      <c r="A4242" t="s">
        <v>28657</v>
      </c>
      <c r="B4242" s="590">
        <v>61</v>
      </c>
      <c r="C4242" t="s">
        <v>28651</v>
      </c>
    </row>
    <row r="4243" spans="1:3">
      <c r="A4243" t="s">
        <v>28656</v>
      </c>
      <c r="B4243" s="590">
        <v>61</v>
      </c>
      <c r="C4243" t="s">
        <v>28653</v>
      </c>
    </row>
    <row r="4244" spans="1:3">
      <c r="A4244" t="s">
        <v>28655</v>
      </c>
      <c r="B4244" s="590">
        <v>61</v>
      </c>
      <c r="C4244" t="s">
        <v>28651</v>
      </c>
    </row>
    <row r="4245" spans="1:3">
      <c r="A4245" t="s">
        <v>28654</v>
      </c>
      <c r="B4245" s="590">
        <v>61</v>
      </c>
      <c r="C4245" t="s">
        <v>28653</v>
      </c>
    </row>
    <row r="4246" spans="1:3">
      <c r="A4246" t="s">
        <v>28652</v>
      </c>
      <c r="B4246" s="590">
        <v>61</v>
      </c>
      <c r="C4246" t="s">
        <v>28651</v>
      </c>
    </row>
    <row r="4247" spans="1:3">
      <c r="A4247" t="s">
        <v>28650</v>
      </c>
      <c r="B4247" s="590">
        <v>61</v>
      </c>
      <c r="C4247" t="s">
        <v>28647</v>
      </c>
    </row>
    <row r="4248" spans="1:3">
      <c r="A4248" t="s">
        <v>28649</v>
      </c>
      <c r="B4248" s="590">
        <v>61</v>
      </c>
      <c r="C4248" t="s">
        <v>28645</v>
      </c>
    </row>
    <row r="4249" spans="1:3">
      <c r="A4249" t="s">
        <v>28648</v>
      </c>
      <c r="B4249" s="590">
        <v>61</v>
      </c>
      <c r="C4249" t="s">
        <v>28647</v>
      </c>
    </row>
    <row r="4250" spans="1:3">
      <c r="A4250" t="s">
        <v>28646</v>
      </c>
      <c r="B4250" s="590">
        <v>61</v>
      </c>
      <c r="C4250" t="s">
        <v>28645</v>
      </c>
    </row>
    <row r="4251" spans="1:3">
      <c r="A4251" t="s">
        <v>29270</v>
      </c>
      <c r="B4251" s="590">
        <v>165</v>
      </c>
      <c r="C4251" t="s">
        <v>29269</v>
      </c>
    </row>
    <row r="4252" spans="1:3">
      <c r="A4252" t="s">
        <v>29268</v>
      </c>
      <c r="B4252" s="590">
        <v>254</v>
      </c>
      <c r="C4252" t="s">
        <v>29267</v>
      </c>
    </row>
    <row r="4253" spans="1:3">
      <c r="A4253" t="s">
        <v>29266</v>
      </c>
      <c r="B4253" s="590">
        <v>254</v>
      </c>
      <c r="C4253" t="s">
        <v>29265</v>
      </c>
    </row>
    <row r="4254" spans="1:3">
      <c r="A4254" t="s">
        <v>29264</v>
      </c>
      <c r="B4254" s="590">
        <v>254</v>
      </c>
      <c r="C4254" t="s">
        <v>29263</v>
      </c>
    </row>
    <row r="4255" spans="1:3">
      <c r="A4255" t="s">
        <v>27809</v>
      </c>
      <c r="B4255" s="590">
        <v>227</v>
      </c>
      <c r="C4255" t="s">
        <v>27808</v>
      </c>
    </row>
    <row r="4256" spans="1:3">
      <c r="A4256" t="s">
        <v>29262</v>
      </c>
      <c r="B4256" s="590">
        <v>2700</v>
      </c>
      <c r="C4256" t="s">
        <v>29261</v>
      </c>
    </row>
    <row r="4257" spans="1:3">
      <c r="A4257" t="s">
        <v>29260</v>
      </c>
      <c r="B4257" s="590">
        <v>2700</v>
      </c>
      <c r="C4257" t="s">
        <v>29259</v>
      </c>
    </row>
    <row r="4258" spans="1:3">
      <c r="A4258" t="s">
        <v>29258</v>
      </c>
      <c r="B4258" s="590">
        <v>2700</v>
      </c>
      <c r="C4258" t="s">
        <v>29257</v>
      </c>
    </row>
    <row r="4259" spans="1:3">
      <c r="A4259" t="s">
        <v>29256</v>
      </c>
      <c r="B4259" s="590">
        <v>2700</v>
      </c>
      <c r="C4259" t="s">
        <v>29255</v>
      </c>
    </row>
    <row r="4260" spans="1:3">
      <c r="A4260" t="s">
        <v>29254</v>
      </c>
      <c r="B4260" s="590">
        <v>2700</v>
      </c>
      <c r="C4260" t="s">
        <v>29253</v>
      </c>
    </row>
    <row r="4261" spans="1:3">
      <c r="A4261" t="s">
        <v>29252</v>
      </c>
      <c r="B4261" s="590">
        <v>2700</v>
      </c>
      <c r="C4261" t="s">
        <v>29251</v>
      </c>
    </row>
    <row r="4262" spans="1:3">
      <c r="A4262" t="s">
        <v>29250</v>
      </c>
      <c r="B4262" s="590">
        <v>2700</v>
      </c>
      <c r="C4262" t="s">
        <v>29249</v>
      </c>
    </row>
    <row r="4263" spans="1:3">
      <c r="A4263" t="s">
        <v>29248</v>
      </c>
      <c r="B4263" s="590">
        <v>2700</v>
      </c>
      <c r="C4263" t="s">
        <v>29247</v>
      </c>
    </row>
    <row r="4264" spans="1:3">
      <c r="A4264" t="s">
        <v>29246</v>
      </c>
      <c r="B4264" s="590">
        <v>2800</v>
      </c>
      <c r="C4264" t="s">
        <v>29245</v>
      </c>
    </row>
    <row r="4265" spans="1:3">
      <c r="A4265" t="s">
        <v>29244</v>
      </c>
      <c r="B4265" s="590">
        <v>2800</v>
      </c>
      <c r="C4265" t="s">
        <v>29243</v>
      </c>
    </row>
    <row r="4266" spans="1:3">
      <c r="A4266" t="s">
        <v>29242</v>
      </c>
      <c r="B4266" s="590">
        <v>2800</v>
      </c>
      <c r="C4266" t="s">
        <v>29241</v>
      </c>
    </row>
    <row r="4267" spans="1:3">
      <c r="A4267" t="s">
        <v>29240</v>
      </c>
      <c r="B4267" s="590">
        <v>2800</v>
      </c>
      <c r="C4267" t="s">
        <v>29239</v>
      </c>
    </row>
    <row r="4268" spans="1:3">
      <c r="A4268" t="s">
        <v>29238</v>
      </c>
      <c r="B4268" s="590">
        <v>2800</v>
      </c>
      <c r="C4268" t="s">
        <v>29237</v>
      </c>
    </row>
    <row r="4269" spans="1:3">
      <c r="A4269" t="s">
        <v>29236</v>
      </c>
      <c r="B4269" s="590">
        <v>2800</v>
      </c>
      <c r="C4269" t="s">
        <v>29235</v>
      </c>
    </row>
    <row r="4270" spans="1:3">
      <c r="A4270" t="s">
        <v>29234</v>
      </c>
      <c r="B4270" s="590">
        <v>2800</v>
      </c>
      <c r="C4270" t="s">
        <v>29233</v>
      </c>
    </row>
    <row r="4271" spans="1:3">
      <c r="A4271" t="s">
        <v>29232</v>
      </c>
      <c r="B4271" s="590">
        <v>2800</v>
      </c>
      <c r="C4271" t="s">
        <v>29231</v>
      </c>
    </row>
    <row r="4272" spans="1:3">
      <c r="A4272" t="s">
        <v>29230</v>
      </c>
      <c r="B4272" s="590">
        <v>3515</v>
      </c>
      <c r="C4272" t="s">
        <v>29229</v>
      </c>
    </row>
    <row r="4273" spans="1:3">
      <c r="A4273" t="s">
        <v>29228</v>
      </c>
      <c r="B4273" s="590">
        <v>2800</v>
      </c>
      <c r="C4273" t="s">
        <v>29227</v>
      </c>
    </row>
    <row r="4274" spans="1:3">
      <c r="A4274" t="s">
        <v>29226</v>
      </c>
      <c r="B4274" s="590">
        <v>2800</v>
      </c>
      <c r="C4274" t="s">
        <v>29225</v>
      </c>
    </row>
    <row r="4275" spans="1:3">
      <c r="A4275" t="s">
        <v>29224</v>
      </c>
      <c r="B4275" s="590">
        <v>2800</v>
      </c>
      <c r="C4275" t="s">
        <v>29223</v>
      </c>
    </row>
    <row r="4276" spans="1:3">
      <c r="A4276" t="s">
        <v>29222</v>
      </c>
      <c r="B4276" s="590">
        <v>2800</v>
      </c>
      <c r="C4276" t="s">
        <v>29221</v>
      </c>
    </row>
    <row r="4277" spans="1:3">
      <c r="A4277" t="s">
        <v>29220</v>
      </c>
      <c r="B4277" s="590">
        <v>2800</v>
      </c>
      <c r="C4277" t="s">
        <v>29219</v>
      </c>
    </row>
    <row r="4278" spans="1:3">
      <c r="A4278" t="s">
        <v>29218</v>
      </c>
      <c r="B4278" s="590">
        <v>2800</v>
      </c>
      <c r="C4278" t="s">
        <v>29217</v>
      </c>
    </row>
    <row r="4279" spans="1:3">
      <c r="A4279" t="s">
        <v>29216</v>
      </c>
      <c r="B4279" s="590">
        <v>2800</v>
      </c>
      <c r="C4279" t="s">
        <v>29215</v>
      </c>
    </row>
    <row r="4280" spans="1:3">
      <c r="A4280" t="s">
        <v>29214</v>
      </c>
      <c r="B4280" s="590">
        <v>3157</v>
      </c>
      <c r="C4280" t="s">
        <v>29213</v>
      </c>
    </row>
    <row r="4281" spans="1:3">
      <c r="A4281" t="s">
        <v>29212</v>
      </c>
      <c r="B4281" s="590">
        <v>2800</v>
      </c>
      <c r="C4281" t="s">
        <v>29211</v>
      </c>
    </row>
    <row r="4282" spans="1:3">
      <c r="A4282" t="s">
        <v>29210</v>
      </c>
      <c r="B4282" s="590">
        <v>2800</v>
      </c>
      <c r="C4282" t="s">
        <v>29209</v>
      </c>
    </row>
    <row r="4283" spans="1:3">
      <c r="A4283" t="s">
        <v>29208</v>
      </c>
      <c r="B4283" s="590">
        <v>2800</v>
      </c>
      <c r="C4283" t="s">
        <v>29207</v>
      </c>
    </row>
    <row r="4284" spans="1:3">
      <c r="A4284" t="s">
        <v>29206</v>
      </c>
      <c r="B4284" s="590">
        <v>2800</v>
      </c>
      <c r="C4284" t="s">
        <v>29205</v>
      </c>
    </row>
    <row r="4285" spans="1:3">
      <c r="A4285" t="s">
        <v>29204</v>
      </c>
      <c r="B4285" s="590">
        <v>3157</v>
      </c>
      <c r="C4285" t="s">
        <v>29203</v>
      </c>
    </row>
    <row r="4286" spans="1:3">
      <c r="A4286" t="s">
        <v>29202</v>
      </c>
      <c r="B4286" s="590">
        <v>2800</v>
      </c>
      <c r="C4286" t="s">
        <v>29201</v>
      </c>
    </row>
    <row r="4287" spans="1:3">
      <c r="A4287" t="s">
        <v>29200</v>
      </c>
      <c r="B4287" s="590">
        <v>2800</v>
      </c>
      <c r="C4287" t="s">
        <v>29199</v>
      </c>
    </row>
    <row r="4288" spans="1:3">
      <c r="A4288" t="s">
        <v>29198</v>
      </c>
      <c r="B4288" s="590">
        <v>2800</v>
      </c>
      <c r="C4288" t="s">
        <v>29197</v>
      </c>
    </row>
    <row r="4289" spans="1:3">
      <c r="A4289" t="s">
        <v>29196</v>
      </c>
      <c r="B4289" s="590">
        <v>2800</v>
      </c>
      <c r="C4289" t="s">
        <v>29195</v>
      </c>
    </row>
    <row r="4290" spans="1:3">
      <c r="A4290" t="s">
        <v>29194</v>
      </c>
      <c r="B4290" s="590">
        <v>3515</v>
      </c>
      <c r="C4290" t="s">
        <v>29193</v>
      </c>
    </row>
    <row r="4291" spans="1:3">
      <c r="A4291" t="s">
        <v>29192</v>
      </c>
      <c r="B4291" s="590">
        <v>2800</v>
      </c>
      <c r="C4291" t="s">
        <v>29191</v>
      </c>
    </row>
    <row r="4292" spans="1:3">
      <c r="A4292" t="s">
        <v>29190</v>
      </c>
      <c r="B4292" s="590">
        <v>2800</v>
      </c>
      <c r="C4292" t="s">
        <v>29189</v>
      </c>
    </row>
    <row r="4293" spans="1:3">
      <c r="A4293" t="s">
        <v>29188</v>
      </c>
      <c r="B4293" s="590">
        <v>3157</v>
      </c>
      <c r="C4293" t="s">
        <v>29187</v>
      </c>
    </row>
    <row r="4294" spans="1:3">
      <c r="A4294" t="s">
        <v>29186</v>
      </c>
      <c r="B4294" s="590">
        <v>2800</v>
      </c>
      <c r="C4294" t="s">
        <v>29185</v>
      </c>
    </row>
    <row r="4295" spans="1:3">
      <c r="A4295" t="s">
        <v>29184</v>
      </c>
      <c r="B4295" s="590">
        <v>3515</v>
      </c>
      <c r="C4295" t="s">
        <v>29183</v>
      </c>
    </row>
    <row r="4296" spans="1:3">
      <c r="A4296" t="s">
        <v>29182</v>
      </c>
      <c r="B4296" s="590">
        <v>2800</v>
      </c>
      <c r="C4296" t="s">
        <v>29181</v>
      </c>
    </row>
    <row r="4297" spans="1:3">
      <c r="A4297" t="s">
        <v>29180</v>
      </c>
      <c r="B4297" s="590">
        <v>2700</v>
      </c>
      <c r="C4297" t="s">
        <v>29179</v>
      </c>
    </row>
    <row r="4298" spans="1:3">
      <c r="A4298" t="s">
        <v>29178</v>
      </c>
      <c r="B4298" s="590">
        <v>2700</v>
      </c>
      <c r="C4298" t="s">
        <v>29177</v>
      </c>
    </row>
    <row r="4299" spans="1:3">
      <c r="A4299" t="s">
        <v>29176</v>
      </c>
      <c r="B4299" s="590">
        <v>2700</v>
      </c>
      <c r="C4299" t="s">
        <v>29175</v>
      </c>
    </row>
    <row r="4300" spans="1:3">
      <c r="A4300" t="s">
        <v>29174</v>
      </c>
      <c r="B4300" s="590">
        <v>2700</v>
      </c>
      <c r="C4300" t="s">
        <v>29173</v>
      </c>
    </row>
    <row r="4301" spans="1:3">
      <c r="A4301" t="s">
        <v>29172</v>
      </c>
      <c r="B4301" s="590">
        <v>2700</v>
      </c>
      <c r="C4301" t="s">
        <v>29171</v>
      </c>
    </row>
    <row r="4302" spans="1:3">
      <c r="A4302" t="s">
        <v>29170</v>
      </c>
      <c r="B4302" s="590">
        <v>2700</v>
      </c>
      <c r="C4302" t="s">
        <v>29169</v>
      </c>
    </row>
    <row r="4303" spans="1:3">
      <c r="A4303" t="s">
        <v>29168</v>
      </c>
      <c r="B4303" s="590">
        <v>2700</v>
      </c>
      <c r="C4303" t="s">
        <v>29167</v>
      </c>
    </row>
    <row r="4304" spans="1:3">
      <c r="A4304" t="s">
        <v>29166</v>
      </c>
      <c r="B4304" s="590">
        <v>2700</v>
      </c>
      <c r="C4304" t="s">
        <v>29165</v>
      </c>
    </row>
    <row r="4305" spans="1:3">
      <c r="A4305" t="s">
        <v>29164</v>
      </c>
      <c r="B4305" s="590">
        <v>2700</v>
      </c>
      <c r="C4305" t="s">
        <v>29163</v>
      </c>
    </row>
    <row r="4306" spans="1:3">
      <c r="A4306" t="s">
        <v>29162</v>
      </c>
      <c r="B4306" s="590">
        <v>2700</v>
      </c>
      <c r="C4306" t="s">
        <v>29161</v>
      </c>
    </row>
    <row r="4307" spans="1:3">
      <c r="A4307" t="s">
        <v>29160</v>
      </c>
      <c r="B4307" s="590">
        <v>2700</v>
      </c>
      <c r="C4307" t="s">
        <v>29159</v>
      </c>
    </row>
    <row r="4308" spans="1:3">
      <c r="A4308" t="s">
        <v>29158</v>
      </c>
      <c r="B4308" s="590">
        <v>2700</v>
      </c>
      <c r="C4308" t="s">
        <v>29157</v>
      </c>
    </row>
    <row r="4309" spans="1:3">
      <c r="A4309" t="s">
        <v>29156</v>
      </c>
      <c r="B4309" s="590">
        <v>2700</v>
      </c>
      <c r="C4309" t="s">
        <v>29155</v>
      </c>
    </row>
    <row r="4310" spans="1:3">
      <c r="A4310" t="s">
        <v>29154</v>
      </c>
      <c r="B4310" s="590">
        <v>2700</v>
      </c>
      <c r="C4310" t="s">
        <v>29153</v>
      </c>
    </row>
    <row r="4311" spans="1:3">
      <c r="A4311" t="s">
        <v>29152</v>
      </c>
      <c r="B4311" s="590">
        <v>2700</v>
      </c>
      <c r="C4311" t="s">
        <v>29151</v>
      </c>
    </row>
    <row r="4312" spans="1:3">
      <c r="A4312" t="s">
        <v>29150</v>
      </c>
      <c r="B4312" s="590">
        <v>2700</v>
      </c>
      <c r="C4312" t="s">
        <v>29149</v>
      </c>
    </row>
    <row r="4313" spans="1:3">
      <c r="A4313" t="s">
        <v>29148</v>
      </c>
      <c r="B4313" s="590">
        <v>2700</v>
      </c>
      <c r="C4313" t="s">
        <v>29147</v>
      </c>
    </row>
    <row r="4314" spans="1:3">
      <c r="A4314" t="s">
        <v>29146</v>
      </c>
      <c r="B4314" s="590">
        <v>2700</v>
      </c>
      <c r="C4314" t="s">
        <v>29145</v>
      </c>
    </row>
    <row r="4315" spans="1:3">
      <c r="A4315" t="s">
        <v>29144</v>
      </c>
      <c r="B4315" s="590">
        <v>2700</v>
      </c>
      <c r="C4315" t="s">
        <v>29143</v>
      </c>
    </row>
    <row r="4316" spans="1:3">
      <c r="A4316" t="s">
        <v>29142</v>
      </c>
      <c r="B4316" s="590">
        <v>2700</v>
      </c>
      <c r="C4316" t="s">
        <v>29141</v>
      </c>
    </row>
    <row r="4317" spans="1:3">
      <c r="A4317" t="s">
        <v>29140</v>
      </c>
      <c r="B4317" s="590">
        <v>3414</v>
      </c>
      <c r="C4317" t="s">
        <v>29139</v>
      </c>
    </row>
    <row r="4318" spans="1:3">
      <c r="A4318" t="s">
        <v>29138</v>
      </c>
      <c r="B4318" s="590">
        <v>2700</v>
      </c>
      <c r="C4318" t="s">
        <v>29137</v>
      </c>
    </row>
    <row r="4319" spans="1:3">
      <c r="A4319" t="s">
        <v>29136</v>
      </c>
      <c r="B4319" s="590">
        <v>2700</v>
      </c>
      <c r="C4319" t="s">
        <v>29135</v>
      </c>
    </row>
    <row r="4320" spans="1:3">
      <c r="A4320" t="s">
        <v>29134</v>
      </c>
      <c r="B4320" s="590">
        <v>2700</v>
      </c>
      <c r="C4320" t="s">
        <v>29133</v>
      </c>
    </row>
    <row r="4321" spans="1:3">
      <c r="A4321" t="s">
        <v>29132</v>
      </c>
      <c r="B4321" s="590">
        <v>2898</v>
      </c>
      <c r="C4321" t="s">
        <v>29131</v>
      </c>
    </row>
    <row r="4322" spans="1:3">
      <c r="A4322" t="s">
        <v>29130</v>
      </c>
      <c r="B4322" s="590">
        <v>2700</v>
      </c>
      <c r="C4322" t="s">
        <v>29129</v>
      </c>
    </row>
    <row r="4323" spans="1:3">
      <c r="A4323" t="s">
        <v>29128</v>
      </c>
      <c r="B4323" s="590">
        <v>2700</v>
      </c>
      <c r="C4323" t="s">
        <v>29127</v>
      </c>
    </row>
    <row r="4324" spans="1:3">
      <c r="A4324" t="s">
        <v>29126</v>
      </c>
      <c r="B4324" s="590">
        <v>2700</v>
      </c>
      <c r="C4324" t="s">
        <v>29125</v>
      </c>
    </row>
    <row r="4325" spans="1:3">
      <c r="A4325" t="s">
        <v>29124</v>
      </c>
      <c r="B4325" s="590">
        <v>2700</v>
      </c>
      <c r="C4325" t="s">
        <v>29123</v>
      </c>
    </row>
    <row r="4326" spans="1:3">
      <c r="A4326" t="s">
        <v>29122</v>
      </c>
      <c r="B4326" s="590">
        <v>2700</v>
      </c>
      <c r="C4326" t="s">
        <v>29121</v>
      </c>
    </row>
    <row r="4327" spans="1:3">
      <c r="A4327" t="s">
        <v>29120</v>
      </c>
      <c r="B4327" s="590">
        <v>2700</v>
      </c>
      <c r="C4327" t="s">
        <v>29119</v>
      </c>
    </row>
    <row r="4328" spans="1:3">
      <c r="A4328" t="s">
        <v>29118</v>
      </c>
      <c r="B4328" s="590">
        <v>2700</v>
      </c>
      <c r="C4328" t="s">
        <v>29117</v>
      </c>
    </row>
    <row r="4329" spans="1:3">
      <c r="A4329" t="s">
        <v>29116</v>
      </c>
      <c r="B4329" s="590">
        <v>2700</v>
      </c>
      <c r="C4329" t="s">
        <v>29115</v>
      </c>
    </row>
    <row r="4330" spans="1:3">
      <c r="A4330" t="s">
        <v>29114</v>
      </c>
      <c r="B4330" s="590">
        <v>2700</v>
      </c>
      <c r="C4330" t="s">
        <v>29113</v>
      </c>
    </row>
    <row r="4331" spans="1:3">
      <c r="A4331" t="s">
        <v>29112</v>
      </c>
      <c r="B4331" s="590">
        <v>3056</v>
      </c>
      <c r="C4331" t="s">
        <v>29111</v>
      </c>
    </row>
    <row r="4332" spans="1:3">
      <c r="A4332" t="s">
        <v>29110</v>
      </c>
      <c r="B4332" s="590">
        <v>2700</v>
      </c>
      <c r="C4332" t="s">
        <v>29109</v>
      </c>
    </row>
    <row r="4333" spans="1:3">
      <c r="A4333" t="s">
        <v>29108</v>
      </c>
      <c r="B4333" s="590">
        <v>2700</v>
      </c>
      <c r="C4333" t="s">
        <v>29107</v>
      </c>
    </row>
    <row r="4334" spans="1:3">
      <c r="A4334" t="s">
        <v>29106</v>
      </c>
      <c r="B4334" s="590">
        <v>2700</v>
      </c>
      <c r="C4334" t="s">
        <v>29105</v>
      </c>
    </row>
    <row r="4335" spans="1:3">
      <c r="A4335" t="s">
        <v>29104</v>
      </c>
      <c r="B4335" s="590">
        <v>2700</v>
      </c>
      <c r="C4335" t="s">
        <v>29103</v>
      </c>
    </row>
    <row r="4336" spans="1:3">
      <c r="A4336" t="s">
        <v>29102</v>
      </c>
      <c r="B4336" s="590">
        <v>2700</v>
      </c>
      <c r="C4336" t="s">
        <v>29101</v>
      </c>
    </row>
    <row r="4337" spans="1:3">
      <c r="A4337" t="s">
        <v>29100</v>
      </c>
      <c r="B4337" s="590">
        <v>2700</v>
      </c>
      <c r="C4337" t="s">
        <v>29099</v>
      </c>
    </row>
    <row r="4338" spans="1:3">
      <c r="A4338" t="s">
        <v>29098</v>
      </c>
      <c r="B4338" s="590">
        <v>2700</v>
      </c>
      <c r="C4338" t="s">
        <v>29097</v>
      </c>
    </row>
    <row r="4339" spans="1:3">
      <c r="A4339" t="s">
        <v>29096</v>
      </c>
      <c r="B4339" s="590">
        <v>2700</v>
      </c>
      <c r="C4339" t="s">
        <v>29095</v>
      </c>
    </row>
    <row r="4340" spans="1:3">
      <c r="A4340" t="s">
        <v>29094</v>
      </c>
      <c r="B4340" s="590">
        <v>2700</v>
      </c>
      <c r="C4340" t="s">
        <v>29093</v>
      </c>
    </row>
    <row r="4341" spans="1:3">
      <c r="A4341" t="s">
        <v>29092</v>
      </c>
      <c r="B4341" s="590">
        <v>3056</v>
      </c>
      <c r="C4341" t="s">
        <v>29091</v>
      </c>
    </row>
    <row r="4342" spans="1:3">
      <c r="A4342" t="s">
        <v>29090</v>
      </c>
      <c r="B4342" s="590">
        <v>2700</v>
      </c>
      <c r="C4342" t="s">
        <v>29089</v>
      </c>
    </row>
    <row r="4343" spans="1:3">
      <c r="A4343" t="s">
        <v>29088</v>
      </c>
      <c r="B4343" s="590">
        <v>2700</v>
      </c>
      <c r="C4343" t="s">
        <v>29087</v>
      </c>
    </row>
    <row r="4344" spans="1:3">
      <c r="A4344" t="s">
        <v>29086</v>
      </c>
      <c r="B4344" s="590">
        <v>2700</v>
      </c>
      <c r="C4344" t="s">
        <v>29085</v>
      </c>
    </row>
    <row r="4345" spans="1:3">
      <c r="A4345" t="s">
        <v>29084</v>
      </c>
      <c r="B4345" s="590">
        <v>2794</v>
      </c>
      <c r="C4345" t="s">
        <v>29083</v>
      </c>
    </row>
    <row r="4346" spans="1:3">
      <c r="A4346" t="s">
        <v>29082</v>
      </c>
      <c r="B4346" s="590">
        <v>3056</v>
      </c>
      <c r="C4346" t="s">
        <v>29081</v>
      </c>
    </row>
    <row r="4347" spans="1:3">
      <c r="A4347" t="s">
        <v>29080</v>
      </c>
      <c r="B4347" s="590">
        <v>2700</v>
      </c>
      <c r="C4347" t="s">
        <v>29079</v>
      </c>
    </row>
    <row r="4348" spans="1:3">
      <c r="A4348" t="s">
        <v>29078</v>
      </c>
      <c r="B4348" s="590">
        <v>2700</v>
      </c>
      <c r="C4348" t="s">
        <v>29077</v>
      </c>
    </row>
    <row r="4349" spans="1:3">
      <c r="A4349" t="s">
        <v>29076</v>
      </c>
      <c r="B4349" s="590">
        <v>2700</v>
      </c>
      <c r="C4349" t="s">
        <v>29075</v>
      </c>
    </row>
    <row r="4350" spans="1:3">
      <c r="A4350" t="s">
        <v>29074</v>
      </c>
      <c r="B4350" s="590">
        <v>2700</v>
      </c>
      <c r="C4350" t="s">
        <v>29073</v>
      </c>
    </row>
    <row r="4351" spans="1:3">
      <c r="A4351" t="s">
        <v>29072</v>
      </c>
      <c r="B4351" s="590">
        <v>2700</v>
      </c>
      <c r="C4351" t="s">
        <v>29071</v>
      </c>
    </row>
    <row r="4352" spans="1:3">
      <c r="A4352" t="s">
        <v>29070</v>
      </c>
      <c r="B4352" s="590">
        <v>2700</v>
      </c>
      <c r="C4352" t="s">
        <v>29069</v>
      </c>
    </row>
    <row r="4353" spans="1:3">
      <c r="A4353" t="s">
        <v>29068</v>
      </c>
      <c r="B4353" s="590">
        <v>2700</v>
      </c>
      <c r="C4353" t="s">
        <v>29067</v>
      </c>
    </row>
    <row r="4354" spans="1:3">
      <c r="A4354" t="s">
        <v>29066</v>
      </c>
      <c r="B4354" s="590">
        <v>2700</v>
      </c>
      <c r="C4354" t="s">
        <v>29065</v>
      </c>
    </row>
    <row r="4355" spans="1:3">
      <c r="A4355" t="s">
        <v>29064</v>
      </c>
      <c r="B4355" s="590">
        <v>2700</v>
      </c>
      <c r="C4355" t="s">
        <v>29063</v>
      </c>
    </row>
    <row r="4356" spans="1:3">
      <c r="A4356" t="s">
        <v>29062</v>
      </c>
      <c r="B4356" s="590">
        <v>2700</v>
      </c>
      <c r="C4356" t="s">
        <v>29061</v>
      </c>
    </row>
    <row r="4357" spans="1:3">
      <c r="A4357" t="s">
        <v>29060</v>
      </c>
      <c r="B4357" s="590">
        <v>2700</v>
      </c>
      <c r="C4357" t="s">
        <v>29059</v>
      </c>
    </row>
    <row r="4358" spans="1:3">
      <c r="A4358" t="s">
        <v>29058</v>
      </c>
      <c r="B4358" s="590">
        <v>2700</v>
      </c>
      <c r="C4358" t="s">
        <v>29057</v>
      </c>
    </row>
    <row r="4359" spans="1:3">
      <c r="A4359" t="s">
        <v>29056</v>
      </c>
      <c r="B4359" s="590">
        <v>2700</v>
      </c>
      <c r="C4359" t="s">
        <v>29055</v>
      </c>
    </row>
    <row r="4360" spans="1:3">
      <c r="A4360" t="s">
        <v>29054</v>
      </c>
      <c r="B4360" s="590">
        <v>2700</v>
      </c>
      <c r="C4360" t="s">
        <v>29053</v>
      </c>
    </row>
    <row r="4361" spans="1:3">
      <c r="A4361" t="s">
        <v>29052</v>
      </c>
      <c r="B4361" s="590">
        <v>2800</v>
      </c>
      <c r="C4361" t="s">
        <v>29051</v>
      </c>
    </row>
    <row r="4362" spans="1:3">
      <c r="A4362" t="s">
        <v>29050</v>
      </c>
      <c r="B4362" s="590">
        <v>2800</v>
      </c>
      <c r="C4362" t="s">
        <v>29049</v>
      </c>
    </row>
    <row r="4363" spans="1:3">
      <c r="A4363" t="s">
        <v>29048</v>
      </c>
      <c r="B4363" s="590">
        <v>2800</v>
      </c>
      <c r="C4363" t="s">
        <v>29047</v>
      </c>
    </row>
    <row r="4364" spans="1:3">
      <c r="A4364" t="s">
        <v>29046</v>
      </c>
      <c r="B4364" s="590">
        <v>2800</v>
      </c>
      <c r="C4364" t="s">
        <v>29045</v>
      </c>
    </row>
    <row r="4365" spans="1:3">
      <c r="A4365" t="s">
        <v>29044</v>
      </c>
      <c r="B4365" s="590">
        <v>2800</v>
      </c>
      <c r="C4365" t="s">
        <v>29043</v>
      </c>
    </row>
    <row r="4366" spans="1:3">
      <c r="A4366" t="s">
        <v>29042</v>
      </c>
      <c r="B4366" s="590">
        <v>2800</v>
      </c>
      <c r="C4366" t="s">
        <v>29041</v>
      </c>
    </row>
    <row r="4367" spans="1:3">
      <c r="A4367" t="s">
        <v>29040</v>
      </c>
      <c r="B4367" s="590">
        <v>2800</v>
      </c>
      <c r="C4367" t="s">
        <v>29039</v>
      </c>
    </row>
    <row r="4368" spans="1:3">
      <c r="A4368" t="s">
        <v>29038</v>
      </c>
      <c r="B4368" s="590">
        <v>2800</v>
      </c>
      <c r="C4368" t="s">
        <v>29037</v>
      </c>
    </row>
    <row r="4369" spans="1:3">
      <c r="A4369" t="s">
        <v>29036</v>
      </c>
      <c r="B4369" s="590">
        <v>3157</v>
      </c>
      <c r="C4369" t="s">
        <v>29035</v>
      </c>
    </row>
    <row r="4370" spans="1:3">
      <c r="A4370" t="s">
        <v>29034</v>
      </c>
      <c r="B4370" s="590">
        <v>2800</v>
      </c>
      <c r="C4370" t="s">
        <v>29033</v>
      </c>
    </row>
    <row r="4371" spans="1:3">
      <c r="A4371" t="s">
        <v>29032</v>
      </c>
      <c r="B4371" s="590">
        <v>2800</v>
      </c>
      <c r="C4371" t="s">
        <v>29031</v>
      </c>
    </row>
    <row r="4372" spans="1:3">
      <c r="A4372" t="s">
        <v>29030</v>
      </c>
      <c r="B4372" s="590">
        <v>2800</v>
      </c>
      <c r="C4372" t="s">
        <v>29029</v>
      </c>
    </row>
    <row r="4373" spans="1:3">
      <c r="A4373" t="s">
        <v>29028</v>
      </c>
      <c r="B4373" s="590">
        <v>2800</v>
      </c>
      <c r="C4373" t="s">
        <v>29027</v>
      </c>
    </row>
    <row r="4374" spans="1:3">
      <c r="A4374" t="s">
        <v>29026</v>
      </c>
      <c r="B4374" s="590">
        <v>2800</v>
      </c>
      <c r="C4374" t="s">
        <v>29025</v>
      </c>
    </row>
    <row r="4375" spans="1:3">
      <c r="A4375" t="s">
        <v>29024</v>
      </c>
      <c r="B4375" s="590">
        <v>2800</v>
      </c>
      <c r="C4375" t="s">
        <v>29023</v>
      </c>
    </row>
    <row r="4376" spans="1:3">
      <c r="A4376" t="s">
        <v>29022</v>
      </c>
      <c r="B4376" s="590">
        <v>2800</v>
      </c>
      <c r="C4376" t="s">
        <v>29021</v>
      </c>
    </row>
    <row r="4377" spans="1:3">
      <c r="A4377" t="s">
        <v>29020</v>
      </c>
      <c r="B4377" s="590">
        <v>2800</v>
      </c>
      <c r="C4377" t="s">
        <v>29019</v>
      </c>
    </row>
    <row r="4378" spans="1:3">
      <c r="A4378" t="s">
        <v>29018</v>
      </c>
      <c r="B4378" s="590">
        <v>3515</v>
      </c>
      <c r="C4378" t="s">
        <v>29017</v>
      </c>
    </row>
    <row r="4379" spans="1:3">
      <c r="A4379" t="s">
        <v>29016</v>
      </c>
      <c r="B4379" s="590">
        <v>2800</v>
      </c>
      <c r="C4379" t="s">
        <v>29015</v>
      </c>
    </row>
    <row r="4380" spans="1:3">
      <c r="A4380" t="s">
        <v>29014</v>
      </c>
      <c r="B4380" s="590">
        <v>2800</v>
      </c>
      <c r="C4380" t="s">
        <v>29013</v>
      </c>
    </row>
    <row r="4381" spans="1:3">
      <c r="A4381" t="s">
        <v>29012</v>
      </c>
      <c r="B4381" s="590">
        <v>2800</v>
      </c>
      <c r="C4381" t="s">
        <v>29011</v>
      </c>
    </row>
    <row r="4382" spans="1:3">
      <c r="A4382" t="s">
        <v>29010</v>
      </c>
      <c r="B4382" s="590">
        <v>3515</v>
      </c>
      <c r="C4382" t="s">
        <v>29009</v>
      </c>
    </row>
    <row r="4383" spans="1:3">
      <c r="A4383" t="s">
        <v>29008</v>
      </c>
      <c r="B4383" s="590">
        <v>2700</v>
      </c>
      <c r="C4383" t="s">
        <v>29007</v>
      </c>
    </row>
    <row r="4384" spans="1:3">
      <c r="A4384" t="s">
        <v>29006</v>
      </c>
      <c r="B4384" s="590">
        <v>2700</v>
      </c>
      <c r="C4384" t="s">
        <v>29005</v>
      </c>
    </row>
    <row r="4385" spans="1:3">
      <c r="A4385" t="s">
        <v>29004</v>
      </c>
      <c r="B4385" s="590">
        <v>2700</v>
      </c>
      <c r="C4385" t="s">
        <v>29003</v>
      </c>
    </row>
    <row r="4386" spans="1:3">
      <c r="A4386" t="s">
        <v>29002</v>
      </c>
      <c r="B4386" s="590">
        <v>2700</v>
      </c>
      <c r="C4386" t="s">
        <v>29001</v>
      </c>
    </row>
    <row r="4387" spans="1:3">
      <c r="A4387" t="s">
        <v>29000</v>
      </c>
      <c r="B4387" s="590">
        <v>2700</v>
      </c>
      <c r="C4387" t="s">
        <v>28999</v>
      </c>
    </row>
    <row r="4388" spans="1:3">
      <c r="A4388" t="s">
        <v>28998</v>
      </c>
      <c r="B4388" s="590">
        <v>2700</v>
      </c>
      <c r="C4388" t="s">
        <v>28997</v>
      </c>
    </row>
    <row r="4389" spans="1:3">
      <c r="A4389" t="s">
        <v>28996</v>
      </c>
      <c r="B4389" s="590">
        <v>2700</v>
      </c>
      <c r="C4389" t="s">
        <v>28995</v>
      </c>
    </row>
    <row r="4390" spans="1:3">
      <c r="A4390" t="s">
        <v>28994</v>
      </c>
      <c r="B4390" s="590">
        <v>2700</v>
      </c>
      <c r="C4390" t="s">
        <v>28993</v>
      </c>
    </row>
    <row r="4391" spans="1:3">
      <c r="A4391" t="s">
        <v>28992</v>
      </c>
      <c r="B4391" s="590">
        <v>2700</v>
      </c>
      <c r="C4391" t="s">
        <v>28991</v>
      </c>
    </row>
    <row r="4392" spans="1:3">
      <c r="A4392" t="s">
        <v>28990</v>
      </c>
      <c r="B4392" s="590">
        <v>2700</v>
      </c>
      <c r="C4392" t="s">
        <v>28989</v>
      </c>
    </row>
    <row r="4393" spans="1:3">
      <c r="A4393" t="s">
        <v>28988</v>
      </c>
      <c r="B4393" s="590">
        <v>2700</v>
      </c>
      <c r="C4393" t="s">
        <v>28987</v>
      </c>
    </row>
    <row r="4394" spans="1:3">
      <c r="A4394" t="s">
        <v>28986</v>
      </c>
      <c r="B4394" s="590">
        <v>3056</v>
      </c>
      <c r="C4394" t="s">
        <v>28985</v>
      </c>
    </row>
    <row r="4395" spans="1:3">
      <c r="A4395" t="s">
        <v>28984</v>
      </c>
      <c r="B4395" s="590">
        <v>2700</v>
      </c>
      <c r="C4395" t="s">
        <v>28983</v>
      </c>
    </row>
    <row r="4396" spans="1:3">
      <c r="A4396" t="s">
        <v>28982</v>
      </c>
      <c r="B4396" s="590">
        <v>2700</v>
      </c>
      <c r="C4396" t="s">
        <v>28981</v>
      </c>
    </row>
    <row r="4397" spans="1:3">
      <c r="A4397" t="s">
        <v>28980</v>
      </c>
      <c r="B4397" s="590">
        <v>2700</v>
      </c>
      <c r="C4397" t="s">
        <v>28979</v>
      </c>
    </row>
    <row r="4398" spans="1:3">
      <c r="A4398" t="s">
        <v>28978</v>
      </c>
      <c r="B4398" s="590">
        <v>2700</v>
      </c>
      <c r="C4398" t="s">
        <v>28977</v>
      </c>
    </row>
    <row r="4399" spans="1:3">
      <c r="A4399" t="s">
        <v>28976</v>
      </c>
      <c r="B4399" s="590">
        <v>2700</v>
      </c>
      <c r="C4399" t="s">
        <v>28975</v>
      </c>
    </row>
    <row r="4400" spans="1:3">
      <c r="A4400" t="s">
        <v>28974</v>
      </c>
      <c r="B4400" s="590">
        <v>2700</v>
      </c>
      <c r="C4400" t="s">
        <v>28973</v>
      </c>
    </row>
    <row r="4401" spans="1:3">
      <c r="A4401" t="s">
        <v>28972</v>
      </c>
      <c r="B4401" s="590">
        <v>2700</v>
      </c>
      <c r="C4401" t="s">
        <v>28971</v>
      </c>
    </row>
    <row r="4402" spans="1:3">
      <c r="A4402" t="s">
        <v>28970</v>
      </c>
      <c r="B4402" s="590">
        <v>2700</v>
      </c>
      <c r="C4402" t="s">
        <v>28969</v>
      </c>
    </row>
    <row r="4403" spans="1:3">
      <c r="A4403" t="s">
        <v>28968</v>
      </c>
      <c r="B4403" s="590">
        <v>2700</v>
      </c>
      <c r="C4403" t="s">
        <v>28967</v>
      </c>
    </row>
    <row r="4404" spans="1:3">
      <c r="A4404" t="s">
        <v>28966</v>
      </c>
      <c r="B4404" s="590">
        <v>2700</v>
      </c>
      <c r="C4404" t="s">
        <v>28965</v>
      </c>
    </row>
    <row r="4405" spans="1:3">
      <c r="A4405" t="s">
        <v>28964</v>
      </c>
      <c r="B4405" s="590">
        <v>2700</v>
      </c>
      <c r="C4405" t="s">
        <v>28963</v>
      </c>
    </row>
    <row r="4406" spans="1:3">
      <c r="A4406" t="s">
        <v>28962</v>
      </c>
      <c r="B4406" s="590">
        <v>2700</v>
      </c>
      <c r="C4406" t="s">
        <v>28961</v>
      </c>
    </row>
    <row r="4407" spans="1:3">
      <c r="A4407" t="s">
        <v>28960</v>
      </c>
      <c r="B4407" s="590">
        <v>2700</v>
      </c>
      <c r="C4407" t="s">
        <v>28959</v>
      </c>
    </row>
    <row r="4408" spans="1:3">
      <c r="A4408" t="s">
        <v>28958</v>
      </c>
      <c r="B4408" s="590">
        <v>3056</v>
      </c>
      <c r="C4408" t="s">
        <v>28957</v>
      </c>
    </row>
    <row r="4409" spans="1:3">
      <c r="A4409" t="s">
        <v>28956</v>
      </c>
      <c r="B4409" s="590">
        <v>2700</v>
      </c>
      <c r="C4409" t="s">
        <v>28955</v>
      </c>
    </row>
    <row r="4410" spans="1:3">
      <c r="A4410" t="s">
        <v>28954</v>
      </c>
      <c r="B4410" s="590">
        <v>2700</v>
      </c>
      <c r="C4410" t="s">
        <v>28953</v>
      </c>
    </row>
    <row r="4411" spans="1:3">
      <c r="A4411" t="s">
        <v>28952</v>
      </c>
      <c r="B4411" s="590">
        <v>2700</v>
      </c>
      <c r="C4411" t="s">
        <v>28951</v>
      </c>
    </row>
    <row r="4412" spans="1:3">
      <c r="A4412" t="s">
        <v>28950</v>
      </c>
      <c r="B4412" s="590">
        <v>2700</v>
      </c>
      <c r="C4412" t="s">
        <v>28949</v>
      </c>
    </row>
    <row r="4413" spans="1:3">
      <c r="A4413" t="s">
        <v>28948</v>
      </c>
      <c r="B4413" s="590">
        <v>2796</v>
      </c>
      <c r="C4413" t="s">
        <v>28947</v>
      </c>
    </row>
    <row r="4414" spans="1:3">
      <c r="A4414" t="s">
        <v>28946</v>
      </c>
      <c r="B4414" s="590">
        <v>2700</v>
      </c>
      <c r="C4414" t="s">
        <v>28945</v>
      </c>
    </row>
    <row r="4415" spans="1:3">
      <c r="A4415" t="s">
        <v>28944</v>
      </c>
      <c r="B4415" s="590">
        <v>2700</v>
      </c>
      <c r="C4415" t="s">
        <v>28943</v>
      </c>
    </row>
    <row r="4416" spans="1:3">
      <c r="A4416" t="s">
        <v>28942</v>
      </c>
      <c r="B4416" s="590">
        <v>2700</v>
      </c>
      <c r="C4416" t="s">
        <v>28941</v>
      </c>
    </row>
    <row r="4417" spans="1:3">
      <c r="A4417" t="s">
        <v>28940</v>
      </c>
      <c r="B4417" s="590">
        <v>2700</v>
      </c>
      <c r="C4417" t="s">
        <v>28939</v>
      </c>
    </row>
    <row r="4418" spans="1:3">
      <c r="A4418" t="s">
        <v>28938</v>
      </c>
      <c r="B4418" s="590">
        <v>2700</v>
      </c>
      <c r="C4418" t="s">
        <v>28937</v>
      </c>
    </row>
    <row r="4419" spans="1:3">
      <c r="A4419" t="s">
        <v>28936</v>
      </c>
      <c r="B4419" s="590">
        <v>2700</v>
      </c>
      <c r="C4419" t="s">
        <v>28935</v>
      </c>
    </row>
    <row r="4420" spans="1:3">
      <c r="A4420" t="s">
        <v>28934</v>
      </c>
      <c r="B4420" s="590">
        <v>3414</v>
      </c>
      <c r="C4420" t="s">
        <v>28933</v>
      </c>
    </row>
    <row r="4421" spans="1:3">
      <c r="A4421" t="s">
        <v>28932</v>
      </c>
      <c r="B4421" s="590">
        <v>2700</v>
      </c>
      <c r="C4421" t="s">
        <v>28931</v>
      </c>
    </row>
    <row r="4422" spans="1:3">
      <c r="A4422" t="s">
        <v>28930</v>
      </c>
      <c r="B4422" s="590">
        <v>2800</v>
      </c>
      <c r="C4422" t="s">
        <v>28929</v>
      </c>
    </row>
    <row r="4423" spans="1:3">
      <c r="A4423" t="s">
        <v>28928</v>
      </c>
      <c r="B4423" s="590">
        <v>2800</v>
      </c>
      <c r="C4423" t="s">
        <v>28927</v>
      </c>
    </row>
    <row r="4424" spans="1:3">
      <c r="A4424" t="s">
        <v>28926</v>
      </c>
      <c r="B4424" s="590">
        <v>2800</v>
      </c>
      <c r="C4424" t="s">
        <v>28925</v>
      </c>
    </row>
    <row r="4425" spans="1:3">
      <c r="A4425" t="s">
        <v>28924</v>
      </c>
      <c r="B4425" s="590">
        <v>2800</v>
      </c>
      <c r="C4425" t="s">
        <v>28923</v>
      </c>
    </row>
    <row r="4426" spans="1:3">
      <c r="A4426" t="s">
        <v>28922</v>
      </c>
      <c r="B4426" s="590">
        <v>2800</v>
      </c>
      <c r="C4426" t="s">
        <v>28921</v>
      </c>
    </row>
    <row r="4427" spans="1:3">
      <c r="A4427" t="s">
        <v>28920</v>
      </c>
      <c r="B4427" s="590">
        <v>2800</v>
      </c>
      <c r="C4427" t="s">
        <v>28919</v>
      </c>
    </row>
    <row r="4428" spans="1:3">
      <c r="A4428" t="s">
        <v>28918</v>
      </c>
      <c r="B4428" s="590">
        <v>2800</v>
      </c>
      <c r="C4428" t="s">
        <v>28917</v>
      </c>
    </row>
    <row r="4429" spans="1:3">
      <c r="A4429" t="s">
        <v>28916</v>
      </c>
      <c r="B4429" s="590">
        <v>2800</v>
      </c>
      <c r="C4429" t="s">
        <v>28915</v>
      </c>
    </row>
    <row r="4430" spans="1:3">
      <c r="A4430" t="s">
        <v>28914</v>
      </c>
      <c r="B4430" s="590">
        <v>2800</v>
      </c>
      <c r="C4430" t="s">
        <v>28913</v>
      </c>
    </row>
    <row r="4431" spans="1:3">
      <c r="A4431" t="s">
        <v>28912</v>
      </c>
      <c r="B4431" s="590">
        <v>2800</v>
      </c>
      <c r="C4431" t="s">
        <v>28911</v>
      </c>
    </row>
    <row r="4432" spans="1:3">
      <c r="A4432" t="s">
        <v>28910</v>
      </c>
      <c r="B4432" s="590">
        <v>2800</v>
      </c>
      <c r="C4432" t="s">
        <v>28909</v>
      </c>
    </row>
    <row r="4433" spans="1:3">
      <c r="A4433" t="s">
        <v>28908</v>
      </c>
      <c r="B4433" s="590">
        <v>2800</v>
      </c>
      <c r="C4433" t="s">
        <v>28907</v>
      </c>
    </row>
    <row r="4434" spans="1:3">
      <c r="A4434" t="s">
        <v>28906</v>
      </c>
      <c r="B4434" s="590">
        <v>3157</v>
      </c>
      <c r="C4434" t="s">
        <v>28905</v>
      </c>
    </row>
    <row r="4435" spans="1:3">
      <c r="A4435" t="s">
        <v>28904</v>
      </c>
      <c r="B4435" s="590">
        <v>2800</v>
      </c>
      <c r="C4435" t="s">
        <v>28903</v>
      </c>
    </row>
    <row r="4436" spans="1:3">
      <c r="A4436" t="s">
        <v>28902</v>
      </c>
      <c r="B4436" s="590">
        <v>2800</v>
      </c>
      <c r="C4436" t="s">
        <v>28901</v>
      </c>
    </row>
    <row r="4437" spans="1:3">
      <c r="A4437" t="s">
        <v>28900</v>
      </c>
      <c r="B4437" s="590">
        <v>2800</v>
      </c>
      <c r="C4437" t="s">
        <v>28899</v>
      </c>
    </row>
    <row r="4438" spans="1:3">
      <c r="A4438" t="s">
        <v>28898</v>
      </c>
      <c r="B4438" s="590">
        <v>2800</v>
      </c>
      <c r="C4438" t="s">
        <v>28897</v>
      </c>
    </row>
    <row r="4439" spans="1:3">
      <c r="A4439" t="s">
        <v>28896</v>
      </c>
      <c r="B4439" s="590">
        <v>2800</v>
      </c>
      <c r="C4439" t="s">
        <v>28895</v>
      </c>
    </row>
    <row r="4440" spans="1:3">
      <c r="A4440" t="s">
        <v>28894</v>
      </c>
      <c r="B4440" s="590">
        <v>2800</v>
      </c>
      <c r="C4440" t="s">
        <v>28893</v>
      </c>
    </row>
    <row r="4441" spans="1:3">
      <c r="A4441" t="s">
        <v>28892</v>
      </c>
      <c r="B4441" s="590">
        <v>2800</v>
      </c>
      <c r="C4441" t="s">
        <v>28891</v>
      </c>
    </row>
    <row r="4442" spans="1:3">
      <c r="A4442" t="s">
        <v>28890</v>
      </c>
      <c r="B4442" s="590">
        <v>3157</v>
      </c>
      <c r="C4442" t="s">
        <v>28889</v>
      </c>
    </row>
    <row r="4443" spans="1:3">
      <c r="A4443" t="s">
        <v>28888</v>
      </c>
      <c r="B4443" s="590">
        <v>2800</v>
      </c>
      <c r="C4443" t="s">
        <v>28887</v>
      </c>
    </row>
    <row r="4444" spans="1:3">
      <c r="A4444" t="s">
        <v>28886</v>
      </c>
      <c r="B4444" s="590">
        <v>2800</v>
      </c>
      <c r="C4444" t="s">
        <v>28885</v>
      </c>
    </row>
    <row r="4445" spans="1:3">
      <c r="A4445" t="s">
        <v>28884</v>
      </c>
      <c r="B4445" s="590">
        <v>2800</v>
      </c>
      <c r="C4445" t="s">
        <v>28883</v>
      </c>
    </row>
    <row r="4446" spans="1:3">
      <c r="A4446" t="s">
        <v>28882</v>
      </c>
      <c r="B4446" s="590">
        <v>2800</v>
      </c>
      <c r="C4446" t="s">
        <v>28881</v>
      </c>
    </row>
    <row r="4447" spans="1:3">
      <c r="A4447" t="s">
        <v>28880</v>
      </c>
      <c r="B4447" s="590">
        <v>3157</v>
      </c>
      <c r="C4447" t="s">
        <v>28879</v>
      </c>
    </row>
    <row r="4448" spans="1:3">
      <c r="A4448" t="s">
        <v>28878</v>
      </c>
      <c r="B4448" s="590">
        <v>2800</v>
      </c>
      <c r="C4448" t="s">
        <v>28877</v>
      </c>
    </row>
    <row r="4449" spans="1:3">
      <c r="A4449" t="s">
        <v>28876</v>
      </c>
      <c r="B4449" s="590">
        <v>2700</v>
      </c>
      <c r="C4449" t="s">
        <v>28875</v>
      </c>
    </row>
    <row r="4450" spans="1:3">
      <c r="A4450" t="s">
        <v>28874</v>
      </c>
      <c r="B4450" s="590">
        <v>2700</v>
      </c>
      <c r="C4450" t="s">
        <v>28873</v>
      </c>
    </row>
    <row r="4451" spans="1:3">
      <c r="A4451" t="s">
        <v>28872</v>
      </c>
      <c r="B4451" s="590">
        <v>2700</v>
      </c>
      <c r="C4451" t="s">
        <v>28871</v>
      </c>
    </row>
    <row r="4452" spans="1:3">
      <c r="A4452" t="s">
        <v>28870</v>
      </c>
      <c r="B4452" s="590">
        <v>2700</v>
      </c>
      <c r="C4452" t="s">
        <v>28869</v>
      </c>
    </row>
    <row r="4453" spans="1:3">
      <c r="A4453" t="s">
        <v>28868</v>
      </c>
      <c r="B4453" s="590">
        <v>2700</v>
      </c>
      <c r="C4453" t="s">
        <v>28867</v>
      </c>
    </row>
    <row r="4454" spans="1:3">
      <c r="A4454" t="s">
        <v>28866</v>
      </c>
      <c r="B4454" s="590">
        <v>3414</v>
      </c>
      <c r="C4454" t="s">
        <v>28865</v>
      </c>
    </row>
    <row r="4455" spans="1:3">
      <c r="A4455" t="s">
        <v>28864</v>
      </c>
      <c r="B4455" s="590">
        <v>2700</v>
      </c>
      <c r="C4455" t="s">
        <v>28863</v>
      </c>
    </row>
    <row r="4456" spans="1:3">
      <c r="A4456" t="s">
        <v>28862</v>
      </c>
      <c r="B4456" s="590">
        <v>2700</v>
      </c>
      <c r="C4456" t="s">
        <v>28861</v>
      </c>
    </row>
    <row r="4457" spans="1:3">
      <c r="A4457" t="s">
        <v>28860</v>
      </c>
      <c r="B4457" s="590">
        <v>2700</v>
      </c>
      <c r="C4457" t="s">
        <v>28859</v>
      </c>
    </row>
    <row r="4458" spans="1:3">
      <c r="A4458" t="s">
        <v>28858</v>
      </c>
      <c r="B4458" s="590">
        <v>2700</v>
      </c>
      <c r="C4458" t="s">
        <v>28857</v>
      </c>
    </row>
    <row r="4459" spans="1:3">
      <c r="A4459" t="s">
        <v>28856</v>
      </c>
      <c r="B4459" s="590">
        <v>2700</v>
      </c>
      <c r="C4459" t="s">
        <v>28855</v>
      </c>
    </row>
    <row r="4460" spans="1:3">
      <c r="A4460" t="s">
        <v>28854</v>
      </c>
      <c r="B4460" s="590">
        <v>2700</v>
      </c>
      <c r="C4460" t="s">
        <v>28853</v>
      </c>
    </row>
    <row r="4461" spans="1:3">
      <c r="A4461" t="s">
        <v>28852</v>
      </c>
      <c r="B4461" s="590">
        <v>2700</v>
      </c>
      <c r="C4461" t="s">
        <v>28851</v>
      </c>
    </row>
    <row r="4462" spans="1:3">
      <c r="A4462" t="s">
        <v>28850</v>
      </c>
      <c r="B4462" s="590">
        <v>2700</v>
      </c>
      <c r="C4462" t="s">
        <v>28849</v>
      </c>
    </row>
    <row r="4463" spans="1:3">
      <c r="A4463" t="s">
        <v>28848</v>
      </c>
      <c r="B4463" s="590">
        <v>2700</v>
      </c>
      <c r="C4463" t="s">
        <v>28847</v>
      </c>
    </row>
    <row r="4464" spans="1:3">
      <c r="A4464" t="s">
        <v>28846</v>
      </c>
      <c r="B4464" s="590">
        <v>2700</v>
      </c>
      <c r="C4464" t="s">
        <v>28845</v>
      </c>
    </row>
    <row r="4465" spans="1:3">
      <c r="A4465" t="s">
        <v>28844</v>
      </c>
      <c r="B4465" s="590">
        <v>2700</v>
      </c>
      <c r="C4465" t="s">
        <v>28843</v>
      </c>
    </row>
    <row r="4466" spans="1:3">
      <c r="A4466" t="s">
        <v>28842</v>
      </c>
      <c r="B4466" s="590">
        <v>2700</v>
      </c>
      <c r="C4466" t="s">
        <v>28841</v>
      </c>
    </row>
    <row r="4467" spans="1:3">
      <c r="A4467" t="s">
        <v>28840</v>
      </c>
      <c r="B4467" s="590">
        <v>2700</v>
      </c>
      <c r="C4467" t="s">
        <v>28839</v>
      </c>
    </row>
    <row r="4468" spans="1:3">
      <c r="A4468" t="s">
        <v>28838</v>
      </c>
      <c r="B4468" s="590">
        <v>2700</v>
      </c>
      <c r="C4468" t="s">
        <v>28837</v>
      </c>
    </row>
    <row r="4469" spans="1:3">
      <c r="A4469" t="s">
        <v>28836</v>
      </c>
      <c r="B4469" s="590">
        <v>2700</v>
      </c>
      <c r="C4469" t="s">
        <v>28835</v>
      </c>
    </row>
    <row r="4470" spans="1:3">
      <c r="A4470" t="s">
        <v>28834</v>
      </c>
      <c r="B4470" s="590">
        <v>2700</v>
      </c>
      <c r="C4470" t="s">
        <v>28833</v>
      </c>
    </row>
    <row r="4471" spans="1:3">
      <c r="A4471" t="s">
        <v>28832</v>
      </c>
      <c r="B4471" s="590">
        <v>2700</v>
      </c>
      <c r="C4471" t="s">
        <v>28831</v>
      </c>
    </row>
    <row r="4472" spans="1:3">
      <c r="A4472" t="s">
        <v>28830</v>
      </c>
      <c r="B4472" s="590">
        <v>2700</v>
      </c>
      <c r="C4472" t="s">
        <v>28829</v>
      </c>
    </row>
    <row r="4473" spans="1:3">
      <c r="A4473" t="s">
        <v>28828</v>
      </c>
      <c r="B4473" s="590">
        <v>2700</v>
      </c>
      <c r="C4473" t="s">
        <v>28827</v>
      </c>
    </row>
    <row r="4474" spans="1:3">
      <c r="A4474" t="s">
        <v>28826</v>
      </c>
      <c r="B4474" s="590">
        <v>2700</v>
      </c>
      <c r="C4474" t="s">
        <v>28825</v>
      </c>
    </row>
    <row r="4475" spans="1:3">
      <c r="A4475" t="s">
        <v>28824</v>
      </c>
      <c r="B4475" s="590">
        <v>2700</v>
      </c>
      <c r="C4475" t="s">
        <v>28823</v>
      </c>
    </row>
    <row r="4476" spans="1:3">
      <c r="A4476" t="s">
        <v>28822</v>
      </c>
      <c r="B4476" s="590">
        <v>2700</v>
      </c>
      <c r="C4476" t="s">
        <v>28821</v>
      </c>
    </row>
    <row r="4477" spans="1:3">
      <c r="A4477" t="s">
        <v>28820</v>
      </c>
      <c r="B4477" s="590">
        <v>2700</v>
      </c>
      <c r="C4477" t="s">
        <v>28819</v>
      </c>
    </row>
    <row r="4478" spans="1:3">
      <c r="A4478" t="s">
        <v>28818</v>
      </c>
      <c r="B4478" s="590">
        <v>3414</v>
      </c>
      <c r="C4478" t="s">
        <v>28817</v>
      </c>
    </row>
    <row r="4479" spans="1:3">
      <c r="A4479" t="s">
        <v>28816</v>
      </c>
      <c r="B4479" s="590">
        <v>2700</v>
      </c>
      <c r="C4479" t="s">
        <v>28815</v>
      </c>
    </row>
    <row r="4480" spans="1:3">
      <c r="A4480" t="s">
        <v>28814</v>
      </c>
      <c r="B4480" s="590">
        <v>376</v>
      </c>
      <c r="C4480" t="s">
        <v>28813</v>
      </c>
    </row>
    <row r="4481" spans="1:3">
      <c r="A4481" t="s">
        <v>28812</v>
      </c>
      <c r="B4481" s="590">
        <v>376</v>
      </c>
      <c r="C4481" t="s">
        <v>28811</v>
      </c>
    </row>
    <row r="4482" spans="1:3">
      <c r="A4482" t="s">
        <v>28810</v>
      </c>
      <c r="B4482" s="590">
        <v>376</v>
      </c>
      <c r="C4482" t="s">
        <v>28809</v>
      </c>
    </row>
    <row r="4483" spans="1:3">
      <c r="A4483" t="s">
        <v>28808</v>
      </c>
      <c r="B4483" s="590">
        <v>450</v>
      </c>
      <c r="C4483" t="s">
        <v>28807</v>
      </c>
    </row>
    <row r="4484" spans="1:3">
      <c r="A4484" t="s">
        <v>28806</v>
      </c>
      <c r="B4484" s="590">
        <v>376</v>
      </c>
      <c r="C4484" t="s">
        <v>28805</v>
      </c>
    </row>
    <row r="4485" spans="1:3">
      <c r="A4485" t="s">
        <v>28804</v>
      </c>
      <c r="B4485" s="590">
        <v>376</v>
      </c>
      <c r="C4485" t="s">
        <v>28803</v>
      </c>
    </row>
    <row r="4486" spans="1:3">
      <c r="A4486" t="s">
        <v>28802</v>
      </c>
      <c r="B4486" s="590">
        <v>376</v>
      </c>
      <c r="C4486" t="s">
        <v>28801</v>
      </c>
    </row>
    <row r="4487" spans="1:3">
      <c r="A4487" t="s">
        <v>28800</v>
      </c>
      <c r="B4487" s="590">
        <v>376</v>
      </c>
      <c r="C4487" t="s">
        <v>28799</v>
      </c>
    </row>
    <row r="4488" spans="1:3">
      <c r="A4488" t="s">
        <v>28798</v>
      </c>
      <c r="B4488" s="590">
        <v>421</v>
      </c>
      <c r="C4488" t="s">
        <v>28797</v>
      </c>
    </row>
    <row r="4489" spans="1:3">
      <c r="A4489" t="s">
        <v>28796</v>
      </c>
      <c r="B4489" s="590">
        <v>376</v>
      </c>
      <c r="C4489" t="s">
        <v>28795</v>
      </c>
    </row>
    <row r="4490" spans="1:3">
      <c r="A4490" t="s">
        <v>28794</v>
      </c>
      <c r="B4490" s="590">
        <v>376</v>
      </c>
      <c r="C4490" t="s">
        <v>28793</v>
      </c>
    </row>
    <row r="4491" spans="1:3">
      <c r="A4491" t="s">
        <v>28792</v>
      </c>
      <c r="B4491" s="590">
        <v>421</v>
      </c>
      <c r="C4491" t="s">
        <v>28791</v>
      </c>
    </row>
    <row r="4492" spans="1:3">
      <c r="A4492" t="s">
        <v>28790</v>
      </c>
      <c r="B4492" s="590">
        <v>376</v>
      </c>
      <c r="C4492" t="s">
        <v>28789</v>
      </c>
    </row>
    <row r="4493" spans="1:3">
      <c r="A4493" t="s">
        <v>28788</v>
      </c>
      <c r="B4493" s="590">
        <v>201</v>
      </c>
      <c r="C4493" t="s">
        <v>28787</v>
      </c>
    </row>
    <row r="4494" spans="1:3">
      <c r="A4494" t="s">
        <v>28786</v>
      </c>
      <c r="B4494" s="590">
        <v>201</v>
      </c>
      <c r="C4494" t="s">
        <v>28785</v>
      </c>
    </row>
    <row r="4495" spans="1:3">
      <c r="A4495" t="s">
        <v>28784</v>
      </c>
      <c r="B4495" s="590">
        <v>201</v>
      </c>
      <c r="C4495" t="s">
        <v>28783</v>
      </c>
    </row>
    <row r="4496" spans="1:3">
      <c r="A4496" t="s">
        <v>28782</v>
      </c>
      <c r="B4496" s="590">
        <v>278</v>
      </c>
      <c r="C4496" t="s">
        <v>28781</v>
      </c>
    </row>
    <row r="4497" spans="1:3">
      <c r="A4497" t="s">
        <v>28780</v>
      </c>
      <c r="B4497" s="590">
        <v>201</v>
      </c>
      <c r="C4497" t="s">
        <v>28779</v>
      </c>
    </row>
    <row r="4498" spans="1:3">
      <c r="A4498" t="s">
        <v>28778</v>
      </c>
      <c r="B4498" s="590">
        <v>201</v>
      </c>
      <c r="C4498" t="s">
        <v>28777</v>
      </c>
    </row>
    <row r="4499" spans="1:3">
      <c r="A4499" t="s">
        <v>28776</v>
      </c>
      <c r="B4499" s="590">
        <v>201</v>
      </c>
      <c r="C4499" t="s">
        <v>28775</v>
      </c>
    </row>
    <row r="4500" spans="1:3">
      <c r="A4500" t="s">
        <v>28774</v>
      </c>
      <c r="B4500" s="590">
        <v>201</v>
      </c>
      <c r="C4500" t="s">
        <v>28773</v>
      </c>
    </row>
    <row r="4501" spans="1:3">
      <c r="A4501" t="s">
        <v>28772</v>
      </c>
      <c r="B4501" s="590">
        <v>240</v>
      </c>
      <c r="C4501" t="s">
        <v>28771</v>
      </c>
    </row>
    <row r="4502" spans="1:3">
      <c r="A4502" t="s">
        <v>28770</v>
      </c>
      <c r="B4502" s="590">
        <v>201</v>
      </c>
      <c r="C4502" t="s">
        <v>28769</v>
      </c>
    </row>
    <row r="4503" spans="1:3">
      <c r="A4503" t="s">
        <v>28768</v>
      </c>
      <c r="B4503" s="590">
        <v>201</v>
      </c>
      <c r="C4503" t="s">
        <v>28767</v>
      </c>
    </row>
    <row r="4504" spans="1:3">
      <c r="A4504" t="s">
        <v>28766</v>
      </c>
      <c r="B4504" s="590">
        <v>240</v>
      </c>
      <c r="C4504" t="s">
        <v>28765</v>
      </c>
    </row>
    <row r="4505" spans="1:3">
      <c r="A4505" t="s">
        <v>28764</v>
      </c>
      <c r="B4505" s="590">
        <v>201</v>
      </c>
      <c r="C4505" t="s">
        <v>28763</v>
      </c>
    </row>
    <row r="4506" spans="1:3">
      <c r="A4506" t="s">
        <v>28762</v>
      </c>
      <c r="B4506" s="590">
        <v>399</v>
      </c>
      <c r="C4506" t="s">
        <v>28761</v>
      </c>
    </row>
    <row r="4507" spans="1:3">
      <c r="A4507" t="s">
        <v>28760</v>
      </c>
      <c r="B4507" s="590">
        <v>500</v>
      </c>
      <c r="C4507" t="s">
        <v>28759</v>
      </c>
    </row>
    <row r="4508" spans="1:3">
      <c r="A4508" t="s">
        <v>28676</v>
      </c>
      <c r="B4508" s="590">
        <v>513</v>
      </c>
      <c r="C4508" t="s">
        <v>28675</v>
      </c>
    </row>
    <row r="4509" spans="1:3">
      <c r="A4509" t="s">
        <v>28758</v>
      </c>
      <c r="B4509" s="590">
        <v>376</v>
      </c>
      <c r="C4509" t="s">
        <v>28757</v>
      </c>
    </row>
    <row r="4510" spans="1:3">
      <c r="A4510" t="s">
        <v>28756</v>
      </c>
      <c r="B4510" s="590">
        <v>376</v>
      </c>
      <c r="C4510" t="s">
        <v>28755</v>
      </c>
    </row>
    <row r="4511" spans="1:3">
      <c r="A4511" t="s">
        <v>28754</v>
      </c>
      <c r="B4511" s="590">
        <v>376</v>
      </c>
      <c r="C4511" t="s">
        <v>28753</v>
      </c>
    </row>
    <row r="4512" spans="1:3">
      <c r="A4512" t="s">
        <v>28752</v>
      </c>
      <c r="B4512" s="590">
        <v>376</v>
      </c>
      <c r="C4512" t="s">
        <v>28751</v>
      </c>
    </row>
    <row r="4513" spans="1:3">
      <c r="A4513" t="s">
        <v>28750</v>
      </c>
      <c r="B4513" s="590">
        <v>376</v>
      </c>
      <c r="C4513" t="s">
        <v>28749</v>
      </c>
    </row>
    <row r="4514" spans="1:3">
      <c r="A4514" t="s">
        <v>28748</v>
      </c>
      <c r="B4514" s="590">
        <v>376</v>
      </c>
      <c r="C4514" t="s">
        <v>28747</v>
      </c>
    </row>
    <row r="4515" spans="1:3">
      <c r="A4515" t="s">
        <v>28746</v>
      </c>
      <c r="B4515" s="590">
        <v>376</v>
      </c>
      <c r="C4515" t="s">
        <v>28745</v>
      </c>
    </row>
    <row r="4516" spans="1:3">
      <c r="A4516" t="s">
        <v>28744</v>
      </c>
      <c r="B4516" s="590">
        <v>376</v>
      </c>
      <c r="C4516" t="s">
        <v>28743</v>
      </c>
    </row>
    <row r="4517" spans="1:3">
      <c r="A4517" t="s">
        <v>28742</v>
      </c>
      <c r="B4517" s="590">
        <v>376</v>
      </c>
      <c r="C4517" t="s">
        <v>28741</v>
      </c>
    </row>
    <row r="4518" spans="1:3">
      <c r="A4518" t="s">
        <v>28740</v>
      </c>
      <c r="B4518" s="590">
        <v>376</v>
      </c>
      <c r="C4518" t="s">
        <v>28739</v>
      </c>
    </row>
    <row r="4519" spans="1:3">
      <c r="A4519" t="s">
        <v>28680</v>
      </c>
      <c r="B4519" s="590">
        <v>166</v>
      </c>
      <c r="C4519" t="s">
        <v>28679</v>
      </c>
    </row>
    <row r="4520" spans="1:3">
      <c r="A4520" t="s">
        <v>28678</v>
      </c>
      <c r="B4520" s="590">
        <v>166</v>
      </c>
      <c r="C4520" t="s">
        <v>28677</v>
      </c>
    </row>
    <row r="4521" spans="1:3">
      <c r="A4521" t="s">
        <v>28738</v>
      </c>
      <c r="B4521" s="590">
        <v>288</v>
      </c>
      <c r="C4521" t="s">
        <v>28737</v>
      </c>
    </row>
    <row r="4522" spans="1:3">
      <c r="A4522" t="s">
        <v>28736</v>
      </c>
      <c r="B4522" s="590">
        <v>288</v>
      </c>
      <c r="C4522" t="s">
        <v>28735</v>
      </c>
    </row>
    <row r="4523" spans="1:3">
      <c r="A4523" t="s">
        <v>28734</v>
      </c>
      <c r="B4523" s="590">
        <v>288</v>
      </c>
      <c r="C4523" t="s">
        <v>28733</v>
      </c>
    </row>
    <row r="4524" spans="1:3">
      <c r="A4524" t="s">
        <v>28732</v>
      </c>
      <c r="B4524" s="590">
        <v>288</v>
      </c>
      <c r="C4524" t="s">
        <v>28731</v>
      </c>
    </row>
    <row r="4525" spans="1:3">
      <c r="A4525" t="s">
        <v>28730</v>
      </c>
      <c r="B4525" s="590">
        <v>288</v>
      </c>
      <c r="C4525" t="s">
        <v>28729</v>
      </c>
    </row>
    <row r="4526" spans="1:3">
      <c r="A4526" t="s">
        <v>28674</v>
      </c>
      <c r="B4526" s="590">
        <v>166</v>
      </c>
      <c r="C4526" t="s">
        <v>28673</v>
      </c>
    </row>
    <row r="4527" spans="1:3">
      <c r="A4527" t="s">
        <v>28672</v>
      </c>
      <c r="B4527" s="590">
        <v>371</v>
      </c>
      <c r="C4527" t="s">
        <v>28671</v>
      </c>
    </row>
    <row r="4528" spans="1:3">
      <c r="A4528" t="s">
        <v>28728</v>
      </c>
      <c r="B4528" s="590">
        <v>10</v>
      </c>
      <c r="C4528" t="s">
        <v>28727</v>
      </c>
    </row>
    <row r="4529" spans="1:3">
      <c r="A4529" t="s">
        <v>28726</v>
      </c>
      <c r="B4529" s="590">
        <v>10</v>
      </c>
      <c r="C4529" t="s">
        <v>28725</v>
      </c>
    </row>
    <row r="4530" spans="1:3">
      <c r="A4530" t="s">
        <v>28724</v>
      </c>
      <c r="B4530" s="590">
        <v>10</v>
      </c>
      <c r="C4530" t="s">
        <v>28723</v>
      </c>
    </row>
    <row r="4531" spans="1:3">
      <c r="A4531" t="s">
        <v>28722</v>
      </c>
      <c r="B4531" s="590">
        <v>10</v>
      </c>
      <c r="C4531" t="s">
        <v>28721</v>
      </c>
    </row>
    <row r="4532" spans="1:3">
      <c r="A4532" t="s">
        <v>28720</v>
      </c>
      <c r="B4532" s="590">
        <v>10</v>
      </c>
      <c r="C4532" t="s">
        <v>28719</v>
      </c>
    </row>
    <row r="4533" spans="1:3">
      <c r="A4533" t="s">
        <v>28718</v>
      </c>
      <c r="B4533" s="590">
        <v>10</v>
      </c>
      <c r="C4533" t="s">
        <v>28717</v>
      </c>
    </row>
    <row r="4534" spans="1:3">
      <c r="A4534" t="s">
        <v>28716</v>
      </c>
      <c r="B4534" s="590">
        <v>10</v>
      </c>
      <c r="C4534" t="s">
        <v>28715</v>
      </c>
    </row>
    <row r="4535" spans="1:3">
      <c r="A4535" t="s">
        <v>28714</v>
      </c>
      <c r="B4535" s="590">
        <v>10</v>
      </c>
      <c r="C4535" t="s">
        <v>28713</v>
      </c>
    </row>
    <row r="4536" spans="1:3">
      <c r="A4536" t="s">
        <v>28712</v>
      </c>
      <c r="B4536" s="590">
        <v>10</v>
      </c>
      <c r="C4536" t="s">
        <v>28711</v>
      </c>
    </row>
    <row r="4537" spans="1:3">
      <c r="A4537" t="s">
        <v>28710</v>
      </c>
      <c r="B4537" s="590">
        <v>10</v>
      </c>
      <c r="C4537" t="s">
        <v>28709</v>
      </c>
    </row>
    <row r="4538" spans="1:3">
      <c r="A4538" t="s">
        <v>22063</v>
      </c>
      <c r="B4538" s="590">
        <v>2526</v>
      </c>
      <c r="C4538" t="s">
        <v>27868</v>
      </c>
    </row>
    <row r="4539" spans="1:3">
      <c r="A4539" t="s">
        <v>28670</v>
      </c>
      <c r="B4539" s="590">
        <v>166</v>
      </c>
      <c r="C4539" t="s">
        <v>28669</v>
      </c>
    </row>
    <row r="4540" spans="1:3">
      <c r="A4540" t="s">
        <v>28668</v>
      </c>
      <c r="B4540" s="590">
        <v>322</v>
      </c>
      <c r="C4540" t="s">
        <v>28667</v>
      </c>
    </row>
    <row r="4541" spans="1:3">
      <c r="A4541" t="s">
        <v>28666</v>
      </c>
      <c r="B4541" s="590">
        <v>559</v>
      </c>
      <c r="C4541" t="s">
        <v>28665</v>
      </c>
    </row>
    <row r="4542" spans="1:3">
      <c r="A4542" t="s">
        <v>28708</v>
      </c>
      <c r="B4542" s="590">
        <v>239</v>
      </c>
      <c r="C4542" t="s">
        <v>28707</v>
      </c>
    </row>
    <row r="4543" spans="1:3">
      <c r="A4543" t="s">
        <v>28706</v>
      </c>
      <c r="B4543" s="590">
        <v>820</v>
      </c>
      <c r="C4543" t="s">
        <v>28701</v>
      </c>
    </row>
    <row r="4544" spans="1:3">
      <c r="A4544" t="s">
        <v>28705</v>
      </c>
      <c r="B4544" s="590">
        <v>820</v>
      </c>
      <c r="C4544" t="s">
        <v>28701</v>
      </c>
    </row>
    <row r="4545" spans="1:3">
      <c r="A4545" t="s">
        <v>28704</v>
      </c>
      <c r="B4545" s="590">
        <v>820</v>
      </c>
      <c r="C4545" t="s">
        <v>28703</v>
      </c>
    </row>
    <row r="4546" spans="1:3">
      <c r="A4546" t="s">
        <v>28702</v>
      </c>
      <c r="B4546" s="590">
        <v>820</v>
      </c>
      <c r="C4546" t="s">
        <v>28701</v>
      </c>
    </row>
    <row r="4547" spans="1:3">
      <c r="A4547" t="s">
        <v>28700</v>
      </c>
      <c r="B4547" s="590">
        <v>84</v>
      </c>
      <c r="C4547" t="s">
        <v>28699</v>
      </c>
    </row>
    <row r="4548" spans="1:3">
      <c r="A4548" t="s">
        <v>28698</v>
      </c>
      <c r="B4548" s="590">
        <v>39</v>
      </c>
      <c r="C4548" t="s">
        <v>28697</v>
      </c>
    </row>
    <row r="4549" spans="1:3">
      <c r="A4549" t="s">
        <v>28696</v>
      </c>
      <c r="B4549" s="590">
        <v>39</v>
      </c>
      <c r="C4549" t="s">
        <v>28695</v>
      </c>
    </row>
    <row r="4550" spans="1:3">
      <c r="A4550" t="s">
        <v>28694</v>
      </c>
      <c r="B4550" s="590">
        <v>39</v>
      </c>
      <c r="C4550" t="s">
        <v>28693</v>
      </c>
    </row>
    <row r="4551" spans="1:3">
      <c r="A4551" t="s">
        <v>28692</v>
      </c>
      <c r="B4551" s="590">
        <v>39</v>
      </c>
      <c r="C4551" t="s">
        <v>28691</v>
      </c>
    </row>
    <row r="4552" spans="1:3">
      <c r="A4552" t="s">
        <v>28690</v>
      </c>
      <c r="B4552" s="590">
        <v>20</v>
      </c>
      <c r="C4552" t="s">
        <v>28689</v>
      </c>
    </row>
    <row r="4553" spans="1:3">
      <c r="A4553" t="s">
        <v>28688</v>
      </c>
      <c r="B4553" s="590">
        <v>20</v>
      </c>
      <c r="C4553" t="s">
        <v>28687</v>
      </c>
    </row>
    <row r="4554" spans="1:3">
      <c r="A4554" t="s">
        <v>28686</v>
      </c>
      <c r="B4554" s="590">
        <v>16</v>
      </c>
      <c r="C4554" t="s">
        <v>28685</v>
      </c>
    </row>
    <row r="4555" spans="1:3">
      <c r="A4555" t="s">
        <v>28684</v>
      </c>
      <c r="B4555" s="590">
        <v>16</v>
      </c>
      <c r="C4555" t="s">
        <v>28683</v>
      </c>
    </row>
    <row r="4556" spans="1:3">
      <c r="A4556" t="s">
        <v>28682</v>
      </c>
      <c r="B4556" s="590">
        <v>16</v>
      </c>
      <c r="C4556" t="s">
        <v>28681</v>
      </c>
    </row>
    <row r="4557" spans="1:3">
      <c r="A4557" t="s">
        <v>28664</v>
      </c>
      <c r="B4557" s="590">
        <v>16</v>
      </c>
      <c r="C4557" t="s">
        <v>28663</v>
      </c>
    </row>
    <row r="4558" spans="1:3">
      <c r="A4558" t="s">
        <v>28662</v>
      </c>
      <c r="B4558" s="590">
        <v>16</v>
      </c>
      <c r="C4558" t="s">
        <v>28661</v>
      </c>
    </row>
    <row r="4559" spans="1:3">
      <c r="A4559" t="s">
        <v>28660</v>
      </c>
      <c r="B4559" s="590">
        <v>16</v>
      </c>
      <c r="C4559" t="s">
        <v>28659</v>
      </c>
    </row>
    <row r="4560" spans="1:3">
      <c r="A4560" t="s">
        <v>28658</v>
      </c>
      <c r="B4560" s="590">
        <v>61</v>
      </c>
      <c r="C4560" t="s">
        <v>28653</v>
      </c>
    </row>
    <row r="4561" spans="1:3">
      <c r="A4561" t="s">
        <v>28657</v>
      </c>
      <c r="B4561" s="590">
        <v>61</v>
      </c>
      <c r="C4561" t="s">
        <v>28651</v>
      </c>
    </row>
    <row r="4562" spans="1:3">
      <c r="A4562" t="s">
        <v>28656</v>
      </c>
      <c r="B4562" s="590">
        <v>61</v>
      </c>
      <c r="C4562" t="s">
        <v>28653</v>
      </c>
    </row>
    <row r="4563" spans="1:3">
      <c r="A4563" t="s">
        <v>28655</v>
      </c>
      <c r="B4563" s="590">
        <v>61</v>
      </c>
      <c r="C4563" t="s">
        <v>28651</v>
      </c>
    </row>
    <row r="4564" spans="1:3">
      <c r="A4564" t="s">
        <v>28654</v>
      </c>
      <c r="B4564" s="590">
        <v>61</v>
      </c>
      <c r="C4564" t="s">
        <v>28653</v>
      </c>
    </row>
    <row r="4565" spans="1:3">
      <c r="A4565" t="s">
        <v>28652</v>
      </c>
      <c r="B4565" s="590">
        <v>61</v>
      </c>
      <c r="C4565" t="s">
        <v>28651</v>
      </c>
    </row>
    <row r="4566" spans="1:3">
      <c r="A4566" t="s">
        <v>28650</v>
      </c>
      <c r="B4566" s="590">
        <v>61</v>
      </c>
      <c r="C4566" t="s">
        <v>28647</v>
      </c>
    </row>
    <row r="4567" spans="1:3">
      <c r="A4567" t="s">
        <v>28649</v>
      </c>
      <c r="B4567" s="590">
        <v>61</v>
      </c>
      <c r="C4567" t="s">
        <v>28645</v>
      </c>
    </row>
    <row r="4568" spans="1:3">
      <c r="A4568" t="s">
        <v>28648</v>
      </c>
      <c r="B4568" s="590">
        <v>61</v>
      </c>
      <c r="C4568" t="s">
        <v>28647</v>
      </c>
    </row>
    <row r="4569" spans="1:3">
      <c r="A4569" t="s">
        <v>28646</v>
      </c>
      <c r="B4569" s="590">
        <v>61</v>
      </c>
      <c r="C4569" t="s">
        <v>28645</v>
      </c>
    </row>
    <row r="4570" spans="1:3">
      <c r="A4570" t="s">
        <v>28644</v>
      </c>
      <c r="B4570" s="590">
        <v>560</v>
      </c>
      <c r="C4570" t="s">
        <v>28643</v>
      </c>
    </row>
    <row r="4571" spans="1:3">
      <c r="A4571" t="s">
        <v>28642</v>
      </c>
      <c r="B4571" s="590">
        <v>764</v>
      </c>
      <c r="C4571" t="s">
        <v>28641</v>
      </c>
    </row>
    <row r="4572" spans="1:3">
      <c r="A4572" t="s">
        <v>28640</v>
      </c>
      <c r="B4572" s="590">
        <v>764</v>
      </c>
      <c r="C4572" t="s">
        <v>28639</v>
      </c>
    </row>
    <row r="4573" spans="1:3">
      <c r="A4573" t="s">
        <v>28638</v>
      </c>
      <c r="B4573" s="590">
        <v>764</v>
      </c>
      <c r="C4573" t="s">
        <v>28637</v>
      </c>
    </row>
    <row r="4574" spans="1:3">
      <c r="A4574" t="s">
        <v>27809</v>
      </c>
      <c r="B4574" s="590">
        <v>227</v>
      </c>
      <c r="C4574" t="s">
        <v>27808</v>
      </c>
    </row>
    <row r="4575" spans="1:3">
      <c r="A4575" t="s">
        <v>28680</v>
      </c>
      <c r="B4575" s="590">
        <v>166</v>
      </c>
      <c r="C4575" t="s">
        <v>28679</v>
      </c>
    </row>
    <row r="4576" spans="1:3">
      <c r="A4576" t="s">
        <v>28678</v>
      </c>
      <c r="B4576" s="590">
        <v>166</v>
      </c>
      <c r="C4576" t="s">
        <v>28677</v>
      </c>
    </row>
    <row r="4577" spans="1:3">
      <c r="A4577" t="s">
        <v>28676</v>
      </c>
      <c r="B4577" s="590">
        <v>513</v>
      </c>
      <c r="C4577" t="s">
        <v>28675</v>
      </c>
    </row>
    <row r="4578" spans="1:3">
      <c r="A4578" t="s">
        <v>28674</v>
      </c>
      <c r="B4578" s="590">
        <v>166</v>
      </c>
      <c r="C4578" t="s">
        <v>28673</v>
      </c>
    </row>
    <row r="4579" spans="1:3">
      <c r="A4579" t="s">
        <v>28672</v>
      </c>
      <c r="B4579" s="590">
        <v>371</v>
      </c>
      <c r="C4579" t="s">
        <v>28671</v>
      </c>
    </row>
    <row r="4580" spans="1:3">
      <c r="A4580" t="s">
        <v>22063</v>
      </c>
      <c r="B4580" s="590">
        <v>2526</v>
      </c>
      <c r="C4580" t="s">
        <v>27868</v>
      </c>
    </row>
    <row r="4581" spans="1:3">
      <c r="A4581" t="s">
        <v>28670</v>
      </c>
      <c r="B4581" s="590">
        <v>166</v>
      </c>
      <c r="C4581" t="s">
        <v>28669</v>
      </c>
    </row>
    <row r="4582" spans="1:3">
      <c r="A4582" t="s">
        <v>28668</v>
      </c>
      <c r="B4582" s="590">
        <v>322</v>
      </c>
      <c r="C4582" t="s">
        <v>28667</v>
      </c>
    </row>
    <row r="4583" spans="1:3">
      <c r="A4583" t="s">
        <v>28666</v>
      </c>
      <c r="B4583" s="590">
        <v>559</v>
      </c>
      <c r="C4583" t="s">
        <v>28665</v>
      </c>
    </row>
    <row r="4584" spans="1:3">
      <c r="A4584" t="s">
        <v>28664</v>
      </c>
      <c r="B4584" s="590">
        <v>16</v>
      </c>
      <c r="C4584" t="s">
        <v>28663</v>
      </c>
    </row>
    <row r="4585" spans="1:3">
      <c r="A4585" t="s">
        <v>28662</v>
      </c>
      <c r="B4585" s="590">
        <v>16</v>
      </c>
      <c r="C4585" t="s">
        <v>28661</v>
      </c>
    </row>
    <row r="4586" spans="1:3">
      <c r="A4586" t="s">
        <v>28660</v>
      </c>
      <c r="B4586" s="590">
        <v>16</v>
      </c>
      <c r="C4586" t="s">
        <v>28659</v>
      </c>
    </row>
    <row r="4587" spans="1:3">
      <c r="A4587" t="s">
        <v>28658</v>
      </c>
      <c r="B4587" s="590">
        <v>61</v>
      </c>
      <c r="C4587" t="s">
        <v>28653</v>
      </c>
    </row>
    <row r="4588" spans="1:3">
      <c r="A4588" t="s">
        <v>28657</v>
      </c>
      <c r="B4588" s="590">
        <v>61</v>
      </c>
      <c r="C4588" t="s">
        <v>28651</v>
      </c>
    </row>
    <row r="4589" spans="1:3">
      <c r="A4589" t="s">
        <v>28656</v>
      </c>
      <c r="B4589" s="590">
        <v>61</v>
      </c>
      <c r="C4589" t="s">
        <v>28653</v>
      </c>
    </row>
    <row r="4590" spans="1:3">
      <c r="A4590" t="s">
        <v>28655</v>
      </c>
      <c r="B4590" s="590">
        <v>61</v>
      </c>
      <c r="C4590" t="s">
        <v>28651</v>
      </c>
    </row>
    <row r="4591" spans="1:3">
      <c r="A4591" t="s">
        <v>28654</v>
      </c>
      <c r="B4591" s="590">
        <v>61</v>
      </c>
      <c r="C4591" t="s">
        <v>28653</v>
      </c>
    </row>
    <row r="4592" spans="1:3">
      <c r="A4592" t="s">
        <v>28652</v>
      </c>
      <c r="B4592" s="590">
        <v>61</v>
      </c>
      <c r="C4592" t="s">
        <v>28651</v>
      </c>
    </row>
    <row r="4593" spans="1:3">
      <c r="A4593" t="s">
        <v>28650</v>
      </c>
      <c r="B4593" s="590">
        <v>61</v>
      </c>
      <c r="C4593" t="s">
        <v>28647</v>
      </c>
    </row>
    <row r="4594" spans="1:3">
      <c r="A4594" t="s">
        <v>28649</v>
      </c>
      <c r="B4594" s="590">
        <v>61</v>
      </c>
      <c r="C4594" t="s">
        <v>28645</v>
      </c>
    </row>
    <row r="4595" spans="1:3">
      <c r="A4595" t="s">
        <v>28648</v>
      </c>
      <c r="B4595" s="590">
        <v>61</v>
      </c>
      <c r="C4595" t="s">
        <v>28647</v>
      </c>
    </row>
    <row r="4596" spans="1:3">
      <c r="A4596" t="s">
        <v>28646</v>
      </c>
      <c r="B4596" s="590">
        <v>61</v>
      </c>
      <c r="C4596" t="s">
        <v>28645</v>
      </c>
    </row>
    <row r="4597" spans="1:3">
      <c r="A4597" t="s">
        <v>28644</v>
      </c>
      <c r="B4597" s="590">
        <v>560</v>
      </c>
      <c r="C4597" t="s">
        <v>28643</v>
      </c>
    </row>
    <row r="4598" spans="1:3">
      <c r="A4598" t="s">
        <v>28642</v>
      </c>
      <c r="B4598" s="590">
        <v>764</v>
      </c>
      <c r="C4598" t="s">
        <v>28641</v>
      </c>
    </row>
    <row r="4599" spans="1:3">
      <c r="A4599" t="s">
        <v>28640</v>
      </c>
      <c r="B4599" s="590">
        <v>764</v>
      </c>
      <c r="C4599" t="s">
        <v>28639</v>
      </c>
    </row>
    <row r="4600" spans="1:3">
      <c r="A4600" t="s">
        <v>28638</v>
      </c>
      <c r="B4600" s="590">
        <v>764</v>
      </c>
      <c r="C4600" t="s">
        <v>28637</v>
      </c>
    </row>
    <row r="4601" spans="1:3">
      <c r="A4601" t="s">
        <v>27809</v>
      </c>
      <c r="B4601" s="590">
        <v>227</v>
      </c>
      <c r="C4601" t="s">
        <v>27808</v>
      </c>
    </row>
    <row r="4602" spans="1:3">
      <c r="A4602" t="s">
        <v>28636</v>
      </c>
      <c r="B4602" s="590">
        <v>1718</v>
      </c>
      <c r="C4602" t="s">
        <v>28635</v>
      </c>
    </row>
    <row r="4603" spans="1:3">
      <c r="A4603" t="s">
        <v>28634</v>
      </c>
      <c r="B4603" s="590">
        <v>1718</v>
      </c>
      <c r="C4603" t="s">
        <v>28633</v>
      </c>
    </row>
    <row r="4604" spans="1:3">
      <c r="A4604" t="s">
        <v>28632</v>
      </c>
      <c r="B4604" s="590">
        <v>1718</v>
      </c>
      <c r="C4604" t="s">
        <v>28631</v>
      </c>
    </row>
    <row r="4605" spans="1:3">
      <c r="A4605" t="s">
        <v>28630</v>
      </c>
      <c r="B4605" s="590">
        <v>1718</v>
      </c>
      <c r="C4605" t="s">
        <v>28629</v>
      </c>
    </row>
    <row r="4606" spans="1:3">
      <c r="A4606" t="s">
        <v>28628</v>
      </c>
      <c r="B4606" s="590">
        <v>1718</v>
      </c>
      <c r="C4606" t="s">
        <v>28627</v>
      </c>
    </row>
    <row r="4607" spans="1:3">
      <c r="A4607" t="s">
        <v>28626</v>
      </c>
      <c r="B4607" s="590">
        <v>1718</v>
      </c>
      <c r="C4607" t="s">
        <v>28625</v>
      </c>
    </row>
    <row r="4608" spans="1:3">
      <c r="A4608" t="s">
        <v>28624</v>
      </c>
      <c r="B4608" s="590">
        <v>1747</v>
      </c>
      <c r="C4608" t="s">
        <v>28623</v>
      </c>
    </row>
    <row r="4609" spans="1:3">
      <c r="A4609" t="s">
        <v>28622</v>
      </c>
      <c r="B4609" s="590">
        <v>1747</v>
      </c>
      <c r="C4609" t="s">
        <v>28621</v>
      </c>
    </row>
    <row r="4610" spans="1:3">
      <c r="A4610" t="s">
        <v>28620</v>
      </c>
      <c r="B4610" s="590">
        <v>1747</v>
      </c>
      <c r="C4610" t="s">
        <v>28619</v>
      </c>
    </row>
    <row r="4611" spans="1:3">
      <c r="A4611" t="s">
        <v>28618</v>
      </c>
      <c r="B4611" s="590">
        <v>1747</v>
      </c>
      <c r="C4611" t="s">
        <v>28617</v>
      </c>
    </row>
    <row r="4612" spans="1:3">
      <c r="A4612" t="s">
        <v>28616</v>
      </c>
      <c r="B4612" s="590">
        <v>1747</v>
      </c>
      <c r="C4612" t="s">
        <v>28615</v>
      </c>
    </row>
    <row r="4613" spans="1:3">
      <c r="A4613" t="s">
        <v>28614</v>
      </c>
      <c r="B4613" s="590">
        <v>1747</v>
      </c>
      <c r="C4613" t="s">
        <v>28613</v>
      </c>
    </row>
    <row r="4614" spans="1:3">
      <c r="A4614" t="s">
        <v>28612</v>
      </c>
      <c r="B4614" s="590">
        <v>1747</v>
      </c>
      <c r="C4614" t="s">
        <v>28611</v>
      </c>
    </row>
    <row r="4615" spans="1:3">
      <c r="A4615" t="s">
        <v>28610</v>
      </c>
      <c r="B4615" s="590">
        <v>1747</v>
      </c>
      <c r="C4615" t="s">
        <v>28609</v>
      </c>
    </row>
    <row r="4616" spans="1:3">
      <c r="A4616" t="s">
        <v>28608</v>
      </c>
      <c r="B4616" s="590">
        <v>1747</v>
      </c>
      <c r="C4616" t="s">
        <v>28607</v>
      </c>
    </row>
    <row r="4617" spans="1:3">
      <c r="A4617" t="s">
        <v>28606</v>
      </c>
      <c r="B4617" s="590">
        <v>1747</v>
      </c>
      <c r="C4617" t="s">
        <v>28605</v>
      </c>
    </row>
    <row r="4618" spans="1:3">
      <c r="A4618" t="s">
        <v>28604</v>
      </c>
      <c r="B4618" s="590">
        <v>1862</v>
      </c>
      <c r="C4618" t="s">
        <v>28603</v>
      </c>
    </row>
    <row r="4619" spans="1:3">
      <c r="A4619" t="s">
        <v>28602</v>
      </c>
      <c r="B4619" s="590">
        <v>1862</v>
      </c>
      <c r="C4619" t="s">
        <v>28601</v>
      </c>
    </row>
    <row r="4620" spans="1:3">
      <c r="A4620" t="s">
        <v>28600</v>
      </c>
      <c r="B4620" s="590">
        <v>1862</v>
      </c>
      <c r="C4620" t="s">
        <v>28599</v>
      </c>
    </row>
    <row r="4621" spans="1:3">
      <c r="A4621" t="s">
        <v>28598</v>
      </c>
      <c r="B4621" s="590">
        <v>1862</v>
      </c>
      <c r="C4621" t="s">
        <v>28597</v>
      </c>
    </row>
    <row r="4622" spans="1:3">
      <c r="A4622" t="s">
        <v>28596</v>
      </c>
      <c r="B4622" s="590">
        <v>1862</v>
      </c>
      <c r="C4622" t="s">
        <v>28595</v>
      </c>
    </row>
    <row r="4623" spans="1:3">
      <c r="A4623" t="s">
        <v>28594</v>
      </c>
      <c r="B4623" s="590">
        <v>1862</v>
      </c>
      <c r="C4623" t="s">
        <v>28593</v>
      </c>
    </row>
    <row r="4624" spans="1:3">
      <c r="A4624" t="s">
        <v>28592</v>
      </c>
      <c r="B4624" s="590">
        <v>1862</v>
      </c>
      <c r="C4624" t="s">
        <v>28591</v>
      </c>
    </row>
    <row r="4625" spans="1:3">
      <c r="A4625" t="s">
        <v>28590</v>
      </c>
      <c r="B4625" s="590">
        <v>1862</v>
      </c>
      <c r="C4625" t="s">
        <v>28589</v>
      </c>
    </row>
    <row r="4626" spans="1:3">
      <c r="A4626" t="s">
        <v>28588</v>
      </c>
      <c r="B4626" s="590">
        <v>1862</v>
      </c>
      <c r="C4626" t="s">
        <v>28587</v>
      </c>
    </row>
    <row r="4627" spans="1:3">
      <c r="A4627" t="s">
        <v>28586</v>
      </c>
      <c r="B4627" s="590">
        <v>1862</v>
      </c>
      <c r="C4627" t="s">
        <v>28585</v>
      </c>
    </row>
    <row r="4628" spans="1:3">
      <c r="A4628" t="s">
        <v>28584</v>
      </c>
      <c r="B4628" s="590">
        <v>1862</v>
      </c>
      <c r="C4628" t="s">
        <v>28583</v>
      </c>
    </row>
    <row r="4629" spans="1:3">
      <c r="A4629" t="s">
        <v>28582</v>
      </c>
      <c r="B4629" s="590">
        <v>1862</v>
      </c>
      <c r="C4629" t="s">
        <v>28581</v>
      </c>
    </row>
    <row r="4630" spans="1:3">
      <c r="A4630" t="s">
        <v>28580</v>
      </c>
      <c r="B4630" s="590">
        <v>1862</v>
      </c>
      <c r="C4630" t="s">
        <v>28579</v>
      </c>
    </row>
    <row r="4631" spans="1:3">
      <c r="A4631" t="s">
        <v>28578</v>
      </c>
      <c r="B4631" s="590">
        <v>1862</v>
      </c>
      <c r="C4631" t="s">
        <v>28577</v>
      </c>
    </row>
    <row r="4632" spans="1:3">
      <c r="A4632" t="s">
        <v>28576</v>
      </c>
      <c r="B4632" s="590">
        <v>1862</v>
      </c>
      <c r="C4632" t="s">
        <v>28575</v>
      </c>
    </row>
    <row r="4633" spans="1:3">
      <c r="A4633" t="s">
        <v>28032</v>
      </c>
      <c r="B4633" s="590">
        <v>364</v>
      </c>
      <c r="C4633" t="s">
        <v>28031</v>
      </c>
    </row>
    <row r="4634" spans="1:3">
      <c r="A4634" t="s">
        <v>28030</v>
      </c>
      <c r="B4634" s="590">
        <v>364</v>
      </c>
      <c r="C4634" t="s">
        <v>28029</v>
      </c>
    </row>
    <row r="4635" spans="1:3">
      <c r="A4635" t="s">
        <v>28028</v>
      </c>
      <c r="B4635" s="590">
        <v>364</v>
      </c>
      <c r="C4635" t="s">
        <v>28027</v>
      </c>
    </row>
    <row r="4636" spans="1:3">
      <c r="A4636" t="s">
        <v>28026</v>
      </c>
      <c r="B4636" s="590">
        <v>364</v>
      </c>
      <c r="C4636" t="s">
        <v>28025</v>
      </c>
    </row>
    <row r="4637" spans="1:3">
      <c r="A4637" t="s">
        <v>28024</v>
      </c>
      <c r="B4637" s="590">
        <v>364</v>
      </c>
      <c r="C4637" t="s">
        <v>28023</v>
      </c>
    </row>
    <row r="4638" spans="1:3">
      <c r="A4638" t="s">
        <v>28022</v>
      </c>
      <c r="B4638" s="590">
        <v>364</v>
      </c>
      <c r="C4638" t="s">
        <v>28021</v>
      </c>
    </row>
    <row r="4639" spans="1:3">
      <c r="A4639" t="s">
        <v>28574</v>
      </c>
      <c r="B4639" s="590">
        <v>149</v>
      </c>
      <c r="C4639" t="s">
        <v>28573</v>
      </c>
    </row>
    <row r="4640" spans="1:3">
      <c r="A4640" t="s">
        <v>28572</v>
      </c>
      <c r="B4640" s="590">
        <v>149</v>
      </c>
      <c r="C4640" t="s">
        <v>28571</v>
      </c>
    </row>
    <row r="4641" spans="1:3">
      <c r="A4641" t="s">
        <v>27809</v>
      </c>
      <c r="B4641" s="590">
        <v>227</v>
      </c>
      <c r="C4641" t="s">
        <v>27808</v>
      </c>
    </row>
    <row r="4642" spans="1:3">
      <c r="A4642" t="s">
        <v>28570</v>
      </c>
      <c r="B4642" s="590">
        <v>1416</v>
      </c>
      <c r="C4642" t="s">
        <v>28569</v>
      </c>
    </row>
    <row r="4643" spans="1:3">
      <c r="A4643" t="s">
        <v>28568</v>
      </c>
      <c r="B4643" s="590">
        <v>1416</v>
      </c>
      <c r="C4643" t="s">
        <v>28567</v>
      </c>
    </row>
    <row r="4644" spans="1:3">
      <c r="A4644" t="s">
        <v>28566</v>
      </c>
      <c r="B4644" s="590">
        <v>1416</v>
      </c>
      <c r="C4644" t="s">
        <v>28565</v>
      </c>
    </row>
    <row r="4645" spans="1:3">
      <c r="A4645" t="s">
        <v>28564</v>
      </c>
      <c r="B4645" s="590">
        <v>1416</v>
      </c>
      <c r="C4645" t="s">
        <v>28563</v>
      </c>
    </row>
    <row r="4646" spans="1:3">
      <c r="A4646" t="s">
        <v>28562</v>
      </c>
      <c r="B4646" s="590">
        <v>1416</v>
      </c>
      <c r="C4646" t="s">
        <v>28561</v>
      </c>
    </row>
    <row r="4647" spans="1:3">
      <c r="A4647" t="s">
        <v>28560</v>
      </c>
      <c r="B4647" s="590">
        <v>1416</v>
      </c>
      <c r="C4647" t="s">
        <v>28559</v>
      </c>
    </row>
    <row r="4648" spans="1:3">
      <c r="A4648" t="s">
        <v>28558</v>
      </c>
      <c r="B4648" s="590">
        <v>1416</v>
      </c>
      <c r="C4648" t="s">
        <v>28557</v>
      </c>
    </row>
    <row r="4649" spans="1:3">
      <c r="A4649" t="s">
        <v>28556</v>
      </c>
      <c r="B4649" s="590">
        <v>1416</v>
      </c>
      <c r="C4649" t="s">
        <v>28555</v>
      </c>
    </row>
    <row r="4650" spans="1:3">
      <c r="A4650" t="s">
        <v>28554</v>
      </c>
      <c r="B4650" s="590">
        <v>1416</v>
      </c>
      <c r="C4650" t="s">
        <v>28553</v>
      </c>
    </row>
    <row r="4651" spans="1:3">
      <c r="A4651" t="s">
        <v>28552</v>
      </c>
      <c r="B4651" s="590">
        <v>1524</v>
      </c>
      <c r="C4651" t="s">
        <v>28551</v>
      </c>
    </row>
    <row r="4652" spans="1:3">
      <c r="A4652" t="s">
        <v>28550</v>
      </c>
      <c r="B4652" s="590">
        <v>1524</v>
      </c>
      <c r="C4652" t="s">
        <v>28549</v>
      </c>
    </row>
    <row r="4653" spans="1:3">
      <c r="A4653" t="s">
        <v>28548</v>
      </c>
      <c r="B4653" s="590">
        <v>1524</v>
      </c>
      <c r="C4653" t="s">
        <v>28547</v>
      </c>
    </row>
    <row r="4654" spans="1:3">
      <c r="A4654" t="s">
        <v>28546</v>
      </c>
      <c r="B4654" s="590">
        <v>1524</v>
      </c>
      <c r="C4654" t="s">
        <v>28545</v>
      </c>
    </row>
    <row r="4655" spans="1:3">
      <c r="A4655" t="s">
        <v>28544</v>
      </c>
      <c r="B4655" s="590">
        <v>1524</v>
      </c>
      <c r="C4655" t="s">
        <v>28543</v>
      </c>
    </row>
    <row r="4656" spans="1:3">
      <c r="A4656" t="s">
        <v>28542</v>
      </c>
      <c r="B4656" s="590">
        <v>1524</v>
      </c>
      <c r="C4656" t="s">
        <v>28541</v>
      </c>
    </row>
    <row r="4657" spans="1:3">
      <c r="A4657" t="s">
        <v>28540</v>
      </c>
      <c r="B4657" s="590">
        <v>1524</v>
      </c>
      <c r="C4657" t="s">
        <v>28539</v>
      </c>
    </row>
    <row r="4658" spans="1:3">
      <c r="A4658" t="s">
        <v>28538</v>
      </c>
      <c r="B4658" s="590">
        <v>1524</v>
      </c>
      <c r="C4658" t="s">
        <v>28537</v>
      </c>
    </row>
    <row r="4659" spans="1:3">
      <c r="A4659" t="s">
        <v>28536</v>
      </c>
      <c r="B4659" s="590">
        <v>1630</v>
      </c>
      <c r="C4659" t="s">
        <v>28535</v>
      </c>
    </row>
    <row r="4660" spans="1:3">
      <c r="A4660" t="s">
        <v>28534</v>
      </c>
      <c r="B4660" s="590">
        <v>1630</v>
      </c>
      <c r="C4660" t="s">
        <v>28533</v>
      </c>
    </row>
    <row r="4661" spans="1:3">
      <c r="A4661" t="s">
        <v>28532</v>
      </c>
      <c r="B4661" s="590">
        <v>1630</v>
      </c>
      <c r="C4661" t="s">
        <v>28531</v>
      </c>
    </row>
    <row r="4662" spans="1:3">
      <c r="A4662" t="s">
        <v>28530</v>
      </c>
      <c r="B4662" s="590">
        <v>1630</v>
      </c>
      <c r="C4662" t="s">
        <v>28529</v>
      </c>
    </row>
    <row r="4663" spans="1:3">
      <c r="A4663" t="s">
        <v>28528</v>
      </c>
      <c r="B4663" s="590">
        <v>1630</v>
      </c>
      <c r="C4663" t="s">
        <v>28527</v>
      </c>
    </row>
    <row r="4664" spans="1:3">
      <c r="A4664" t="s">
        <v>28526</v>
      </c>
      <c r="B4664" s="590">
        <v>1630</v>
      </c>
      <c r="C4664" t="s">
        <v>28525</v>
      </c>
    </row>
    <row r="4665" spans="1:3">
      <c r="A4665" t="s">
        <v>28524</v>
      </c>
      <c r="B4665" s="590">
        <v>1630</v>
      </c>
      <c r="C4665" t="s">
        <v>28523</v>
      </c>
    </row>
    <row r="4666" spans="1:3">
      <c r="A4666" t="s">
        <v>28522</v>
      </c>
      <c r="B4666" s="590">
        <v>1756</v>
      </c>
      <c r="C4666" t="s">
        <v>28521</v>
      </c>
    </row>
    <row r="4667" spans="1:3">
      <c r="A4667" t="s">
        <v>28520</v>
      </c>
      <c r="B4667" s="590">
        <v>1756</v>
      </c>
      <c r="C4667" t="s">
        <v>28519</v>
      </c>
    </row>
    <row r="4668" spans="1:3">
      <c r="A4668" t="s">
        <v>28518</v>
      </c>
      <c r="B4668" s="590">
        <v>1756</v>
      </c>
      <c r="C4668" t="s">
        <v>28517</v>
      </c>
    </row>
    <row r="4669" spans="1:3">
      <c r="A4669" t="s">
        <v>28516</v>
      </c>
      <c r="B4669" s="590">
        <v>1274</v>
      </c>
      <c r="C4669" t="s">
        <v>28515</v>
      </c>
    </row>
    <row r="4670" spans="1:3">
      <c r="A4670" t="s">
        <v>28514</v>
      </c>
      <c r="B4670" s="590">
        <v>1274</v>
      </c>
      <c r="C4670" t="s">
        <v>28513</v>
      </c>
    </row>
    <row r="4671" spans="1:3">
      <c r="A4671" t="s">
        <v>28512</v>
      </c>
      <c r="B4671" s="590">
        <v>1274</v>
      </c>
      <c r="C4671" t="s">
        <v>28511</v>
      </c>
    </row>
    <row r="4672" spans="1:3">
      <c r="A4672" t="s">
        <v>28510</v>
      </c>
      <c r="B4672" s="590">
        <v>1353</v>
      </c>
      <c r="C4672" t="s">
        <v>28509</v>
      </c>
    </row>
    <row r="4673" spans="1:3">
      <c r="A4673" t="s">
        <v>28508</v>
      </c>
      <c r="B4673" s="590">
        <v>1274</v>
      </c>
      <c r="C4673" t="s">
        <v>28507</v>
      </c>
    </row>
    <row r="4674" spans="1:3">
      <c r="A4674" t="s">
        <v>28506</v>
      </c>
      <c r="B4674" s="590">
        <v>1274</v>
      </c>
      <c r="C4674" t="s">
        <v>28505</v>
      </c>
    </row>
    <row r="4675" spans="1:3">
      <c r="A4675" t="s">
        <v>28504</v>
      </c>
      <c r="B4675" s="590">
        <v>1274</v>
      </c>
      <c r="C4675" t="s">
        <v>28503</v>
      </c>
    </row>
    <row r="4676" spans="1:3">
      <c r="A4676" t="s">
        <v>28502</v>
      </c>
      <c r="B4676" s="590">
        <v>1274</v>
      </c>
      <c r="C4676" t="s">
        <v>28501</v>
      </c>
    </row>
    <row r="4677" spans="1:3">
      <c r="A4677" t="s">
        <v>28500</v>
      </c>
      <c r="B4677" s="590">
        <v>1274</v>
      </c>
      <c r="C4677" t="s">
        <v>28499</v>
      </c>
    </row>
    <row r="4678" spans="1:3">
      <c r="A4678" t="s">
        <v>28498</v>
      </c>
      <c r="B4678" s="590">
        <v>1353</v>
      </c>
      <c r="C4678" t="s">
        <v>28497</v>
      </c>
    </row>
    <row r="4679" spans="1:3">
      <c r="A4679" t="s">
        <v>28496</v>
      </c>
      <c r="B4679" s="590">
        <v>1274</v>
      </c>
      <c r="C4679" t="s">
        <v>28495</v>
      </c>
    </row>
    <row r="4680" spans="1:3">
      <c r="A4680" t="s">
        <v>28494</v>
      </c>
      <c r="B4680" s="590">
        <v>1428</v>
      </c>
      <c r="C4680" t="s">
        <v>28493</v>
      </c>
    </row>
    <row r="4681" spans="1:3">
      <c r="A4681" t="s">
        <v>28492</v>
      </c>
      <c r="B4681" s="590">
        <v>1353</v>
      </c>
      <c r="C4681" t="s">
        <v>28491</v>
      </c>
    </row>
    <row r="4682" spans="1:3">
      <c r="A4682" t="s">
        <v>28490</v>
      </c>
      <c r="B4682" s="590">
        <v>1274</v>
      </c>
      <c r="C4682" t="s">
        <v>28489</v>
      </c>
    </row>
    <row r="4683" spans="1:3">
      <c r="A4683" t="s">
        <v>28488</v>
      </c>
      <c r="B4683" s="590">
        <v>1384</v>
      </c>
      <c r="C4683" t="s">
        <v>28487</v>
      </c>
    </row>
    <row r="4684" spans="1:3">
      <c r="A4684" t="s">
        <v>28486</v>
      </c>
      <c r="B4684" s="590">
        <v>1384</v>
      </c>
      <c r="C4684" t="s">
        <v>28485</v>
      </c>
    </row>
    <row r="4685" spans="1:3">
      <c r="A4685" t="s">
        <v>28484</v>
      </c>
      <c r="B4685" s="590">
        <v>1384</v>
      </c>
      <c r="C4685" t="s">
        <v>28483</v>
      </c>
    </row>
    <row r="4686" spans="1:3">
      <c r="A4686" t="s">
        <v>28482</v>
      </c>
      <c r="B4686" s="590">
        <v>1458</v>
      </c>
      <c r="C4686" t="s">
        <v>28481</v>
      </c>
    </row>
    <row r="4687" spans="1:3">
      <c r="A4687" t="s">
        <v>28480</v>
      </c>
      <c r="B4687" s="590">
        <v>1384</v>
      </c>
      <c r="C4687" t="s">
        <v>28479</v>
      </c>
    </row>
    <row r="4688" spans="1:3">
      <c r="A4688" t="s">
        <v>28478</v>
      </c>
      <c r="B4688" s="590">
        <v>1384</v>
      </c>
      <c r="C4688" t="s">
        <v>28477</v>
      </c>
    </row>
    <row r="4689" spans="1:3">
      <c r="A4689" t="s">
        <v>28476</v>
      </c>
      <c r="B4689" s="590">
        <v>1384</v>
      </c>
      <c r="C4689" t="s">
        <v>28475</v>
      </c>
    </row>
    <row r="4690" spans="1:3">
      <c r="A4690" t="s">
        <v>28474</v>
      </c>
      <c r="B4690" s="590">
        <v>1384</v>
      </c>
      <c r="C4690" t="s">
        <v>28473</v>
      </c>
    </row>
    <row r="4691" spans="1:3">
      <c r="A4691" t="s">
        <v>28472</v>
      </c>
      <c r="B4691" s="590">
        <v>1384</v>
      </c>
      <c r="C4691" t="s">
        <v>28471</v>
      </c>
    </row>
    <row r="4692" spans="1:3">
      <c r="A4692" t="s">
        <v>28470</v>
      </c>
      <c r="B4692" s="590">
        <v>1458</v>
      </c>
      <c r="C4692" t="s">
        <v>28469</v>
      </c>
    </row>
    <row r="4693" spans="1:3">
      <c r="A4693" t="s">
        <v>28468</v>
      </c>
      <c r="B4693" s="590">
        <v>1384</v>
      </c>
      <c r="C4693" t="s">
        <v>28467</v>
      </c>
    </row>
    <row r="4694" spans="1:3">
      <c r="A4694" t="s">
        <v>28466</v>
      </c>
      <c r="B4694" s="590">
        <v>1384</v>
      </c>
      <c r="C4694" t="s">
        <v>28465</v>
      </c>
    </row>
    <row r="4695" spans="1:3">
      <c r="A4695" t="s">
        <v>28464</v>
      </c>
      <c r="B4695" s="590">
        <v>1384</v>
      </c>
      <c r="C4695" t="s">
        <v>28463</v>
      </c>
    </row>
    <row r="4696" spans="1:3">
      <c r="A4696" t="s">
        <v>28462</v>
      </c>
      <c r="B4696" s="590">
        <v>1384</v>
      </c>
      <c r="C4696" t="s">
        <v>28461</v>
      </c>
    </row>
    <row r="4697" spans="1:3">
      <c r="A4697" t="s">
        <v>28460</v>
      </c>
      <c r="B4697" s="590">
        <v>1384</v>
      </c>
      <c r="C4697" t="s">
        <v>28459</v>
      </c>
    </row>
    <row r="4698" spans="1:3">
      <c r="A4698" t="s">
        <v>28458</v>
      </c>
      <c r="B4698" s="590">
        <v>1536</v>
      </c>
      <c r="C4698" t="s">
        <v>28457</v>
      </c>
    </row>
    <row r="4699" spans="1:3">
      <c r="A4699" t="s">
        <v>28456</v>
      </c>
      <c r="B4699" s="590">
        <v>1458</v>
      </c>
      <c r="C4699" t="s">
        <v>28455</v>
      </c>
    </row>
    <row r="4700" spans="1:3">
      <c r="A4700" t="s">
        <v>28454</v>
      </c>
      <c r="B4700" s="590">
        <v>1384</v>
      </c>
      <c r="C4700" t="s">
        <v>28453</v>
      </c>
    </row>
    <row r="4701" spans="1:3">
      <c r="A4701" t="s">
        <v>28452</v>
      </c>
      <c r="B4701" s="590">
        <v>1489</v>
      </c>
      <c r="C4701" t="s">
        <v>28451</v>
      </c>
    </row>
    <row r="4702" spans="1:3">
      <c r="A4702" t="s">
        <v>28450</v>
      </c>
      <c r="B4702" s="590">
        <v>1489</v>
      </c>
      <c r="C4702" t="s">
        <v>28449</v>
      </c>
    </row>
    <row r="4703" spans="1:3">
      <c r="A4703" t="s">
        <v>28448</v>
      </c>
      <c r="B4703" s="590">
        <v>1489</v>
      </c>
      <c r="C4703" t="s">
        <v>28447</v>
      </c>
    </row>
    <row r="4704" spans="1:3">
      <c r="A4704" t="s">
        <v>28446</v>
      </c>
      <c r="B4704" s="590">
        <v>1489</v>
      </c>
      <c r="C4704" t="s">
        <v>28445</v>
      </c>
    </row>
    <row r="4705" spans="1:3">
      <c r="A4705" t="s">
        <v>28444</v>
      </c>
      <c r="B4705" s="590">
        <v>1489</v>
      </c>
      <c r="C4705" t="s">
        <v>28443</v>
      </c>
    </row>
    <row r="4706" spans="1:3">
      <c r="A4706" t="s">
        <v>28442</v>
      </c>
      <c r="B4706" s="590">
        <v>1564</v>
      </c>
      <c r="C4706" t="s">
        <v>28441</v>
      </c>
    </row>
    <row r="4707" spans="1:3">
      <c r="A4707" t="s">
        <v>28440</v>
      </c>
      <c r="B4707" s="590">
        <v>1489</v>
      </c>
      <c r="C4707" t="s">
        <v>28439</v>
      </c>
    </row>
    <row r="4708" spans="1:3">
      <c r="A4708" t="s">
        <v>28438</v>
      </c>
      <c r="B4708" s="590">
        <v>1489</v>
      </c>
      <c r="C4708" t="s">
        <v>28437</v>
      </c>
    </row>
    <row r="4709" spans="1:3">
      <c r="A4709" t="s">
        <v>28436</v>
      </c>
      <c r="B4709" s="590">
        <v>1489</v>
      </c>
      <c r="C4709" t="s">
        <v>28435</v>
      </c>
    </row>
    <row r="4710" spans="1:3">
      <c r="A4710" t="s">
        <v>28434</v>
      </c>
      <c r="B4710" s="590">
        <v>1489</v>
      </c>
      <c r="C4710" t="s">
        <v>28433</v>
      </c>
    </row>
    <row r="4711" spans="1:3">
      <c r="A4711" t="s">
        <v>28432</v>
      </c>
      <c r="B4711" s="590">
        <v>1564</v>
      </c>
      <c r="C4711" t="s">
        <v>28431</v>
      </c>
    </row>
    <row r="4712" spans="1:3">
      <c r="A4712" t="s">
        <v>28430</v>
      </c>
      <c r="B4712" s="590">
        <v>1489</v>
      </c>
      <c r="C4712" t="s">
        <v>28429</v>
      </c>
    </row>
    <row r="4713" spans="1:3">
      <c r="A4713" t="s">
        <v>28428</v>
      </c>
      <c r="B4713" s="590">
        <v>1489</v>
      </c>
      <c r="C4713" t="s">
        <v>28427</v>
      </c>
    </row>
    <row r="4714" spans="1:3">
      <c r="A4714" t="s">
        <v>28426</v>
      </c>
      <c r="B4714" s="590">
        <v>1489</v>
      </c>
      <c r="C4714" t="s">
        <v>28425</v>
      </c>
    </row>
    <row r="4715" spans="1:3">
      <c r="A4715" t="s">
        <v>28424</v>
      </c>
      <c r="B4715" s="590">
        <v>1489</v>
      </c>
      <c r="C4715" t="s">
        <v>28423</v>
      </c>
    </row>
    <row r="4716" spans="1:3">
      <c r="A4716" t="s">
        <v>28422</v>
      </c>
      <c r="B4716" s="590">
        <v>1640</v>
      </c>
      <c r="C4716" t="s">
        <v>28421</v>
      </c>
    </row>
    <row r="4717" spans="1:3">
      <c r="A4717" t="s">
        <v>28420</v>
      </c>
      <c r="B4717" s="590">
        <v>1564</v>
      </c>
      <c r="C4717" t="s">
        <v>28419</v>
      </c>
    </row>
    <row r="4718" spans="1:3">
      <c r="A4718" t="s">
        <v>28418</v>
      </c>
      <c r="B4718" s="590">
        <v>1489</v>
      </c>
      <c r="C4718" t="s">
        <v>28417</v>
      </c>
    </row>
    <row r="4719" spans="1:3">
      <c r="A4719" t="s">
        <v>28416</v>
      </c>
      <c r="B4719" s="590">
        <v>1611</v>
      </c>
      <c r="C4719" t="s">
        <v>28415</v>
      </c>
    </row>
    <row r="4720" spans="1:3">
      <c r="A4720" t="s">
        <v>28414</v>
      </c>
      <c r="B4720" s="590">
        <v>1611</v>
      </c>
      <c r="C4720" t="s">
        <v>28413</v>
      </c>
    </row>
    <row r="4721" spans="1:3">
      <c r="A4721" t="s">
        <v>28412</v>
      </c>
      <c r="B4721" s="590">
        <v>1611</v>
      </c>
      <c r="C4721" t="s">
        <v>28411</v>
      </c>
    </row>
    <row r="4722" spans="1:3">
      <c r="A4722" t="s">
        <v>28410</v>
      </c>
      <c r="B4722" s="590">
        <v>1611</v>
      </c>
      <c r="C4722" t="s">
        <v>28409</v>
      </c>
    </row>
    <row r="4723" spans="1:3">
      <c r="A4723" t="s">
        <v>28408</v>
      </c>
      <c r="B4723" s="590">
        <v>1611</v>
      </c>
      <c r="C4723" t="s">
        <v>28407</v>
      </c>
    </row>
    <row r="4724" spans="1:3">
      <c r="A4724" t="s">
        <v>28406</v>
      </c>
      <c r="B4724" s="590">
        <v>1611</v>
      </c>
      <c r="C4724" t="s">
        <v>28405</v>
      </c>
    </row>
    <row r="4725" spans="1:3">
      <c r="A4725" t="s">
        <v>28404</v>
      </c>
      <c r="B4725" s="590">
        <v>1611</v>
      </c>
      <c r="C4725" t="s">
        <v>28403</v>
      </c>
    </row>
    <row r="4726" spans="1:3">
      <c r="A4726" t="s">
        <v>28402</v>
      </c>
      <c r="B4726" s="590">
        <v>1611</v>
      </c>
      <c r="C4726" t="s">
        <v>28401</v>
      </c>
    </row>
    <row r="4727" spans="1:3">
      <c r="A4727" t="s">
        <v>28400</v>
      </c>
      <c r="B4727" s="590">
        <v>1611</v>
      </c>
      <c r="C4727" t="s">
        <v>28399</v>
      </c>
    </row>
    <row r="4728" spans="1:3">
      <c r="A4728" t="s">
        <v>28398</v>
      </c>
      <c r="B4728" s="590">
        <v>1763</v>
      </c>
      <c r="C4728" t="s">
        <v>28397</v>
      </c>
    </row>
    <row r="4729" spans="1:3">
      <c r="A4729" t="s">
        <v>28396</v>
      </c>
      <c r="B4729" s="590">
        <v>1611</v>
      </c>
      <c r="C4729" t="s">
        <v>28395</v>
      </c>
    </row>
    <row r="4730" spans="1:3">
      <c r="A4730" t="s">
        <v>28004</v>
      </c>
      <c r="B4730" s="590">
        <v>131</v>
      </c>
      <c r="C4730" t="s">
        <v>28003</v>
      </c>
    </row>
    <row r="4731" spans="1:3">
      <c r="A4731" t="s">
        <v>28002</v>
      </c>
      <c r="B4731" s="590">
        <v>131</v>
      </c>
      <c r="C4731" t="s">
        <v>28001</v>
      </c>
    </row>
    <row r="4732" spans="1:3">
      <c r="A4732" t="s">
        <v>28000</v>
      </c>
      <c r="B4732" s="590">
        <v>131</v>
      </c>
      <c r="C4732" t="s">
        <v>27999</v>
      </c>
    </row>
    <row r="4733" spans="1:3">
      <c r="A4733" t="s">
        <v>27998</v>
      </c>
      <c r="B4733" s="590">
        <v>151</v>
      </c>
      <c r="C4733" t="s">
        <v>27997</v>
      </c>
    </row>
    <row r="4734" spans="1:3">
      <c r="A4734" t="s">
        <v>27996</v>
      </c>
      <c r="B4734" s="590">
        <v>131</v>
      </c>
      <c r="C4734" t="s">
        <v>27995</v>
      </c>
    </row>
    <row r="4735" spans="1:3">
      <c r="A4735" t="s">
        <v>28394</v>
      </c>
      <c r="B4735" s="590">
        <v>131</v>
      </c>
      <c r="C4735" t="s">
        <v>28393</v>
      </c>
    </row>
    <row r="4736" spans="1:3">
      <c r="A4736" t="s">
        <v>28392</v>
      </c>
      <c r="B4736" s="590">
        <v>131</v>
      </c>
      <c r="C4736" t="s">
        <v>28391</v>
      </c>
    </row>
    <row r="4737" spans="1:3">
      <c r="A4737" t="s">
        <v>28390</v>
      </c>
      <c r="B4737" s="590">
        <v>131</v>
      </c>
      <c r="C4737" t="s">
        <v>28389</v>
      </c>
    </row>
    <row r="4738" spans="1:3">
      <c r="A4738" t="s">
        <v>28388</v>
      </c>
      <c r="B4738" s="590">
        <v>151</v>
      </c>
      <c r="C4738" t="s">
        <v>28387</v>
      </c>
    </row>
    <row r="4739" spans="1:3">
      <c r="A4739" t="s">
        <v>28386</v>
      </c>
      <c r="B4739" s="590">
        <v>131</v>
      </c>
      <c r="C4739" t="s">
        <v>28385</v>
      </c>
    </row>
    <row r="4740" spans="1:3">
      <c r="A4740" t="s">
        <v>28384</v>
      </c>
      <c r="B4740" s="590">
        <v>211</v>
      </c>
      <c r="C4740" t="s">
        <v>28383</v>
      </c>
    </row>
    <row r="4741" spans="1:3">
      <c r="A4741" t="s">
        <v>28382</v>
      </c>
      <c r="B4741" s="590">
        <v>211</v>
      </c>
      <c r="C4741" t="s">
        <v>28381</v>
      </c>
    </row>
    <row r="4742" spans="1:3">
      <c r="A4742" t="s">
        <v>28380</v>
      </c>
      <c r="B4742" s="590">
        <v>211</v>
      </c>
      <c r="C4742" t="s">
        <v>28379</v>
      </c>
    </row>
    <row r="4743" spans="1:3">
      <c r="A4743" t="s">
        <v>28378</v>
      </c>
      <c r="B4743" s="590">
        <v>244</v>
      </c>
      <c r="C4743" t="s">
        <v>28377</v>
      </c>
    </row>
    <row r="4744" spans="1:3">
      <c r="A4744" t="s">
        <v>28376</v>
      </c>
      <c r="B4744" s="590">
        <v>211</v>
      </c>
      <c r="C4744" t="s">
        <v>28375</v>
      </c>
    </row>
    <row r="4745" spans="1:3">
      <c r="A4745" t="s">
        <v>28374</v>
      </c>
      <c r="B4745" s="590">
        <v>231</v>
      </c>
      <c r="C4745" t="s">
        <v>28373</v>
      </c>
    </row>
    <row r="4746" spans="1:3">
      <c r="A4746" t="s">
        <v>28372</v>
      </c>
      <c r="B4746" s="590">
        <v>331</v>
      </c>
      <c r="C4746" t="s">
        <v>28371</v>
      </c>
    </row>
    <row r="4747" spans="1:3">
      <c r="A4747" t="s">
        <v>28370</v>
      </c>
      <c r="B4747" s="590">
        <v>208</v>
      </c>
      <c r="C4747" t="s">
        <v>28369</v>
      </c>
    </row>
    <row r="4748" spans="1:3">
      <c r="A4748" t="s">
        <v>28368</v>
      </c>
      <c r="B4748" s="590">
        <v>378</v>
      </c>
      <c r="C4748" t="s">
        <v>28367</v>
      </c>
    </row>
    <row r="4749" spans="1:3">
      <c r="A4749" t="s">
        <v>28366</v>
      </c>
      <c r="B4749" s="590">
        <v>231</v>
      </c>
      <c r="C4749" t="s">
        <v>28365</v>
      </c>
    </row>
    <row r="4750" spans="1:3">
      <c r="A4750" t="s">
        <v>28364</v>
      </c>
      <c r="B4750" s="590">
        <v>231</v>
      </c>
      <c r="C4750" t="s">
        <v>28363</v>
      </c>
    </row>
    <row r="4751" spans="1:3">
      <c r="A4751" t="s">
        <v>28362</v>
      </c>
      <c r="B4751" s="590">
        <v>231</v>
      </c>
      <c r="C4751" t="s">
        <v>28361</v>
      </c>
    </row>
    <row r="4752" spans="1:3">
      <c r="A4752" t="s">
        <v>28360</v>
      </c>
      <c r="B4752" s="590">
        <v>359</v>
      </c>
      <c r="C4752" t="s">
        <v>28357</v>
      </c>
    </row>
    <row r="4753" spans="1:3">
      <c r="A4753" t="s">
        <v>28359</v>
      </c>
      <c r="B4753" s="590">
        <v>359</v>
      </c>
      <c r="C4753" t="s">
        <v>28357</v>
      </c>
    </row>
    <row r="4754" spans="1:3">
      <c r="A4754" t="s">
        <v>28358</v>
      </c>
      <c r="B4754" s="590">
        <v>359</v>
      </c>
      <c r="C4754" t="s">
        <v>28357</v>
      </c>
    </row>
    <row r="4755" spans="1:3">
      <c r="A4755" t="s">
        <v>28356</v>
      </c>
      <c r="B4755" s="590">
        <v>149</v>
      </c>
      <c r="C4755" t="s">
        <v>28355</v>
      </c>
    </row>
    <row r="4756" spans="1:3">
      <c r="A4756" t="s">
        <v>28354</v>
      </c>
      <c r="B4756" s="590">
        <v>283</v>
      </c>
      <c r="C4756" t="s">
        <v>28353</v>
      </c>
    </row>
    <row r="4757" spans="1:3">
      <c r="A4757" t="s">
        <v>28352</v>
      </c>
      <c r="B4757" s="590">
        <v>347</v>
      </c>
      <c r="C4757" t="s">
        <v>28351</v>
      </c>
    </row>
    <row r="4758" spans="1:3">
      <c r="A4758" t="s">
        <v>28350</v>
      </c>
      <c r="B4758" s="590">
        <v>711</v>
      </c>
      <c r="C4758" t="s">
        <v>28349</v>
      </c>
    </row>
    <row r="4759" spans="1:3">
      <c r="A4759" t="s">
        <v>28348</v>
      </c>
      <c r="B4759" s="590">
        <v>290</v>
      </c>
      <c r="C4759" t="s">
        <v>28347</v>
      </c>
    </row>
    <row r="4760" spans="1:3">
      <c r="A4760" t="s">
        <v>28346</v>
      </c>
      <c r="B4760" s="590">
        <v>84</v>
      </c>
      <c r="C4760" t="s">
        <v>28345</v>
      </c>
    </row>
    <row r="4761" spans="1:3">
      <c r="A4761" t="s">
        <v>28344</v>
      </c>
      <c r="B4761" s="590">
        <v>-60</v>
      </c>
      <c r="C4761" t="s">
        <v>28343</v>
      </c>
    </row>
    <row r="4762" spans="1:3">
      <c r="A4762" t="s">
        <v>28342</v>
      </c>
      <c r="B4762" s="590">
        <v>1718</v>
      </c>
      <c r="C4762" t="s">
        <v>28341</v>
      </c>
    </row>
    <row r="4763" spans="1:3">
      <c r="A4763" t="s">
        <v>28340</v>
      </c>
      <c r="B4763" s="590">
        <v>1718</v>
      </c>
      <c r="C4763" t="s">
        <v>28339</v>
      </c>
    </row>
    <row r="4764" spans="1:3">
      <c r="A4764" t="s">
        <v>28338</v>
      </c>
      <c r="B4764" s="590">
        <v>1718</v>
      </c>
      <c r="C4764" t="s">
        <v>28337</v>
      </c>
    </row>
    <row r="4765" spans="1:3">
      <c r="A4765" t="s">
        <v>28336</v>
      </c>
      <c r="B4765" s="590">
        <v>1747</v>
      </c>
      <c r="C4765" t="s">
        <v>28335</v>
      </c>
    </row>
    <row r="4766" spans="1:3">
      <c r="A4766" t="s">
        <v>28334</v>
      </c>
      <c r="B4766" s="590">
        <v>1747</v>
      </c>
      <c r="C4766" t="s">
        <v>28333</v>
      </c>
    </row>
    <row r="4767" spans="1:3">
      <c r="A4767" t="s">
        <v>28332</v>
      </c>
      <c r="B4767" s="590">
        <v>1747</v>
      </c>
      <c r="C4767" t="s">
        <v>28331</v>
      </c>
    </row>
    <row r="4768" spans="1:3">
      <c r="A4768" t="s">
        <v>28330</v>
      </c>
      <c r="B4768" s="590">
        <v>1747</v>
      </c>
      <c r="C4768" t="s">
        <v>28329</v>
      </c>
    </row>
    <row r="4769" spans="1:3">
      <c r="A4769" t="s">
        <v>28328</v>
      </c>
      <c r="B4769" s="590">
        <v>1747</v>
      </c>
      <c r="C4769" t="s">
        <v>28327</v>
      </c>
    </row>
    <row r="4770" spans="1:3">
      <c r="A4770" t="s">
        <v>28326</v>
      </c>
      <c r="B4770" s="590">
        <v>1747</v>
      </c>
      <c r="C4770" t="s">
        <v>28325</v>
      </c>
    </row>
    <row r="4771" spans="1:3">
      <c r="A4771" t="s">
        <v>28324</v>
      </c>
      <c r="B4771" s="590">
        <v>1747</v>
      </c>
      <c r="C4771" t="s">
        <v>28323</v>
      </c>
    </row>
    <row r="4772" spans="1:3">
      <c r="A4772" t="s">
        <v>28322</v>
      </c>
      <c r="B4772" s="590">
        <v>1747</v>
      </c>
      <c r="C4772" t="s">
        <v>28321</v>
      </c>
    </row>
    <row r="4773" spans="1:3">
      <c r="A4773" t="s">
        <v>28320</v>
      </c>
      <c r="B4773" s="590">
        <v>1747</v>
      </c>
      <c r="C4773" t="s">
        <v>28319</v>
      </c>
    </row>
    <row r="4774" spans="1:3">
      <c r="A4774" t="s">
        <v>28318</v>
      </c>
      <c r="B4774" s="590">
        <v>1862</v>
      </c>
      <c r="C4774" t="s">
        <v>28317</v>
      </c>
    </row>
    <row r="4775" spans="1:3">
      <c r="A4775" t="s">
        <v>28316</v>
      </c>
      <c r="B4775" s="590">
        <v>1862</v>
      </c>
      <c r="C4775" t="s">
        <v>28315</v>
      </c>
    </row>
    <row r="4776" spans="1:3">
      <c r="A4776" t="s">
        <v>28314</v>
      </c>
      <c r="B4776" s="590">
        <v>1862</v>
      </c>
      <c r="C4776" t="s">
        <v>28313</v>
      </c>
    </row>
    <row r="4777" spans="1:3">
      <c r="A4777" t="s">
        <v>28312</v>
      </c>
      <c r="B4777" s="590">
        <v>1862</v>
      </c>
      <c r="C4777" t="s">
        <v>28311</v>
      </c>
    </row>
    <row r="4778" spans="1:3">
      <c r="A4778" t="s">
        <v>28310</v>
      </c>
      <c r="B4778" s="590">
        <v>1862</v>
      </c>
      <c r="C4778" t="s">
        <v>28309</v>
      </c>
    </row>
    <row r="4779" spans="1:3">
      <c r="A4779" t="s">
        <v>28308</v>
      </c>
      <c r="B4779" s="590">
        <v>1862</v>
      </c>
      <c r="C4779" t="s">
        <v>28307</v>
      </c>
    </row>
    <row r="4780" spans="1:3">
      <c r="A4780" t="s">
        <v>28306</v>
      </c>
      <c r="B4780" s="590">
        <v>1862</v>
      </c>
      <c r="C4780" t="s">
        <v>28305</v>
      </c>
    </row>
    <row r="4781" spans="1:3">
      <c r="A4781" t="s">
        <v>28304</v>
      </c>
      <c r="B4781" s="590">
        <v>1862</v>
      </c>
      <c r="C4781" t="s">
        <v>28303</v>
      </c>
    </row>
    <row r="4782" spans="1:3">
      <c r="A4782" t="s">
        <v>28302</v>
      </c>
      <c r="B4782" s="590">
        <v>1862</v>
      </c>
      <c r="C4782" t="s">
        <v>28301</v>
      </c>
    </row>
    <row r="4783" spans="1:3">
      <c r="A4783" t="s">
        <v>28300</v>
      </c>
      <c r="B4783" s="590">
        <v>238</v>
      </c>
      <c r="C4783" t="s">
        <v>28299</v>
      </c>
    </row>
    <row r="4784" spans="1:3">
      <c r="A4784" t="s">
        <v>28298</v>
      </c>
      <c r="B4784" s="590">
        <v>238</v>
      </c>
      <c r="C4784" t="s">
        <v>28297</v>
      </c>
    </row>
    <row r="4785" spans="1:3">
      <c r="A4785" t="s">
        <v>28296</v>
      </c>
      <c r="B4785" s="590">
        <v>238</v>
      </c>
      <c r="C4785" t="s">
        <v>28295</v>
      </c>
    </row>
    <row r="4786" spans="1:3">
      <c r="A4786" t="s">
        <v>28294</v>
      </c>
      <c r="B4786" s="590">
        <v>238</v>
      </c>
      <c r="C4786" t="s">
        <v>28293</v>
      </c>
    </row>
    <row r="4787" spans="1:3">
      <c r="A4787" t="s">
        <v>28292</v>
      </c>
      <c r="B4787" s="590">
        <v>238</v>
      </c>
      <c r="C4787" t="s">
        <v>28291</v>
      </c>
    </row>
    <row r="4788" spans="1:3">
      <c r="A4788" t="s">
        <v>28290</v>
      </c>
      <c r="B4788" s="590">
        <v>238</v>
      </c>
      <c r="C4788" t="s">
        <v>28289</v>
      </c>
    </row>
    <row r="4789" spans="1:3">
      <c r="A4789" t="s">
        <v>28288</v>
      </c>
      <c r="B4789" s="590">
        <v>238</v>
      </c>
      <c r="C4789" t="s">
        <v>28287</v>
      </c>
    </row>
    <row r="4790" spans="1:3">
      <c r="A4790" t="s">
        <v>28286</v>
      </c>
      <c r="B4790" s="590">
        <v>238</v>
      </c>
      <c r="C4790" t="s">
        <v>28285</v>
      </c>
    </row>
    <row r="4791" spans="1:3">
      <c r="A4791" t="s">
        <v>28284</v>
      </c>
      <c r="B4791" s="590">
        <v>238</v>
      </c>
      <c r="C4791" t="s">
        <v>28283</v>
      </c>
    </row>
    <row r="4792" spans="1:3">
      <c r="A4792" t="s">
        <v>28282</v>
      </c>
      <c r="B4792" s="590">
        <v>238</v>
      </c>
      <c r="C4792" t="s">
        <v>28281</v>
      </c>
    </row>
    <row r="4793" spans="1:3">
      <c r="A4793" t="s">
        <v>28280</v>
      </c>
      <c r="B4793" s="590">
        <v>238</v>
      </c>
      <c r="C4793" t="s">
        <v>28279</v>
      </c>
    </row>
    <row r="4794" spans="1:3">
      <c r="A4794" t="s">
        <v>28278</v>
      </c>
      <c r="B4794" s="590">
        <v>238</v>
      </c>
      <c r="C4794" t="s">
        <v>28277</v>
      </c>
    </row>
    <row r="4795" spans="1:3">
      <c r="A4795" t="s">
        <v>28276</v>
      </c>
      <c r="B4795" s="590">
        <v>238</v>
      </c>
      <c r="C4795" t="s">
        <v>28275</v>
      </c>
    </row>
    <row r="4796" spans="1:3">
      <c r="A4796" t="s">
        <v>28274</v>
      </c>
      <c r="B4796" s="590">
        <v>238</v>
      </c>
      <c r="C4796" t="s">
        <v>28273</v>
      </c>
    </row>
    <row r="4797" spans="1:3">
      <c r="A4797" t="s">
        <v>28272</v>
      </c>
      <c r="B4797" s="590">
        <v>238</v>
      </c>
      <c r="C4797" t="s">
        <v>28271</v>
      </c>
    </row>
    <row r="4798" spans="1:3">
      <c r="A4798" t="s">
        <v>28270</v>
      </c>
      <c r="B4798" s="590">
        <v>238</v>
      </c>
      <c r="C4798" t="s">
        <v>28269</v>
      </c>
    </row>
    <row r="4799" spans="1:3">
      <c r="A4799" t="s">
        <v>28268</v>
      </c>
      <c r="B4799" s="590">
        <v>238</v>
      </c>
      <c r="C4799" t="s">
        <v>28267</v>
      </c>
    </row>
    <row r="4800" spans="1:3">
      <c r="A4800" t="s">
        <v>28266</v>
      </c>
      <c r="B4800" s="590">
        <v>238</v>
      </c>
      <c r="C4800" t="s">
        <v>28265</v>
      </c>
    </row>
    <row r="4801" spans="1:3">
      <c r="A4801" t="s">
        <v>28264</v>
      </c>
      <c r="B4801" s="590">
        <v>238</v>
      </c>
      <c r="C4801" t="s">
        <v>28263</v>
      </c>
    </row>
    <row r="4802" spans="1:3">
      <c r="A4802" t="s">
        <v>28262</v>
      </c>
      <c r="B4802" s="590">
        <v>238</v>
      </c>
      <c r="C4802" t="s">
        <v>28261</v>
      </c>
    </row>
    <row r="4803" spans="1:3">
      <c r="A4803" t="s">
        <v>28260</v>
      </c>
      <c r="B4803" s="590">
        <v>238</v>
      </c>
      <c r="C4803" t="s">
        <v>28259</v>
      </c>
    </row>
    <row r="4804" spans="1:3">
      <c r="A4804" t="s">
        <v>28258</v>
      </c>
      <c r="B4804" s="590">
        <v>238</v>
      </c>
      <c r="C4804" t="s">
        <v>28257</v>
      </c>
    </row>
    <row r="4805" spans="1:3">
      <c r="A4805" t="s">
        <v>28256</v>
      </c>
      <c r="B4805" s="590">
        <v>102</v>
      </c>
      <c r="C4805" t="s">
        <v>28255</v>
      </c>
    </row>
    <row r="4806" spans="1:3">
      <c r="A4806" t="s">
        <v>28254</v>
      </c>
      <c r="B4806" s="590">
        <v>102</v>
      </c>
      <c r="C4806" t="s">
        <v>28253</v>
      </c>
    </row>
    <row r="4807" spans="1:3">
      <c r="A4807" t="s">
        <v>28252</v>
      </c>
      <c r="B4807" s="590">
        <v>102</v>
      </c>
      <c r="C4807" t="s">
        <v>28251</v>
      </c>
    </row>
    <row r="4808" spans="1:3">
      <c r="A4808" t="s">
        <v>28250</v>
      </c>
      <c r="B4808" s="590">
        <v>102</v>
      </c>
      <c r="C4808" t="s">
        <v>28249</v>
      </c>
    </row>
    <row r="4809" spans="1:3">
      <c r="A4809" t="s">
        <v>28248</v>
      </c>
      <c r="B4809" s="590">
        <v>204</v>
      </c>
      <c r="C4809" t="s">
        <v>28247</v>
      </c>
    </row>
    <row r="4810" spans="1:3">
      <c r="A4810" t="s">
        <v>28246</v>
      </c>
      <c r="B4810" s="590">
        <v>120</v>
      </c>
      <c r="C4810" t="s">
        <v>28245</v>
      </c>
    </row>
    <row r="4811" spans="1:3">
      <c r="A4811" t="s">
        <v>28244</v>
      </c>
      <c r="B4811" s="590">
        <v>120</v>
      </c>
      <c r="C4811" t="s">
        <v>28243</v>
      </c>
    </row>
    <row r="4812" spans="1:3">
      <c r="A4812" t="s">
        <v>28242</v>
      </c>
      <c r="B4812" s="590">
        <v>120</v>
      </c>
      <c r="C4812" t="s">
        <v>28241</v>
      </c>
    </row>
    <row r="4813" spans="1:3">
      <c r="A4813" t="s">
        <v>28240</v>
      </c>
      <c r="B4813" s="590">
        <v>245</v>
      </c>
      <c r="C4813" t="s">
        <v>28239</v>
      </c>
    </row>
    <row r="4814" spans="1:3">
      <c r="A4814" t="s">
        <v>28238</v>
      </c>
      <c r="B4814" s="590">
        <v>245</v>
      </c>
      <c r="C4814" t="s">
        <v>28237</v>
      </c>
    </row>
    <row r="4815" spans="1:3">
      <c r="A4815" t="s">
        <v>28138</v>
      </c>
      <c r="B4815" s="590">
        <v>84</v>
      </c>
      <c r="C4815" t="s">
        <v>28137</v>
      </c>
    </row>
    <row r="4816" spans="1:3">
      <c r="A4816" t="s">
        <v>27809</v>
      </c>
      <c r="B4816" s="590">
        <v>227</v>
      </c>
      <c r="C4816" t="s">
        <v>27808</v>
      </c>
    </row>
    <row r="4817" spans="1:3">
      <c r="A4817" t="s">
        <v>28136</v>
      </c>
      <c r="B4817" s="590">
        <v>61</v>
      </c>
      <c r="C4817" t="s">
        <v>28135</v>
      </c>
    </row>
    <row r="4818" spans="1:3">
      <c r="A4818" t="s">
        <v>28134</v>
      </c>
      <c r="B4818" s="590">
        <v>61</v>
      </c>
      <c r="C4818" t="s">
        <v>28133</v>
      </c>
    </row>
    <row r="4819" spans="1:3">
      <c r="A4819" t="s">
        <v>28132</v>
      </c>
      <c r="B4819" s="590">
        <v>61</v>
      </c>
      <c r="C4819" t="s">
        <v>28131</v>
      </c>
    </row>
    <row r="4820" spans="1:3">
      <c r="A4820" t="s">
        <v>28130</v>
      </c>
      <c r="B4820" s="590">
        <v>61</v>
      </c>
      <c r="C4820" t="s">
        <v>28129</v>
      </c>
    </row>
    <row r="4821" spans="1:3">
      <c r="A4821" t="s">
        <v>28128</v>
      </c>
      <c r="B4821" s="590">
        <v>61</v>
      </c>
      <c r="C4821" t="s">
        <v>28127</v>
      </c>
    </row>
    <row r="4822" spans="1:3">
      <c r="A4822" t="s">
        <v>28126</v>
      </c>
      <c r="B4822" s="590">
        <v>61</v>
      </c>
      <c r="C4822" t="s">
        <v>28125</v>
      </c>
    </row>
    <row r="4823" spans="1:3">
      <c r="A4823" t="s">
        <v>28124</v>
      </c>
      <c r="B4823" s="590">
        <v>61</v>
      </c>
      <c r="C4823" t="s">
        <v>28123</v>
      </c>
    </row>
    <row r="4824" spans="1:3">
      <c r="A4824" t="s">
        <v>28122</v>
      </c>
      <c r="B4824" s="590">
        <v>61</v>
      </c>
      <c r="C4824" t="s">
        <v>28121</v>
      </c>
    </row>
    <row r="4825" spans="1:3">
      <c r="A4825" t="s">
        <v>28120</v>
      </c>
      <c r="B4825" s="590">
        <v>61</v>
      </c>
      <c r="C4825" t="s">
        <v>28119</v>
      </c>
    </row>
    <row r="4826" spans="1:3">
      <c r="A4826" t="s">
        <v>28236</v>
      </c>
      <c r="B4826" s="590">
        <v>1718</v>
      </c>
      <c r="C4826" t="s">
        <v>28235</v>
      </c>
    </row>
    <row r="4827" spans="1:3">
      <c r="A4827" t="s">
        <v>28234</v>
      </c>
      <c r="B4827" s="590">
        <v>1747</v>
      </c>
      <c r="C4827" t="s">
        <v>28233</v>
      </c>
    </row>
    <row r="4828" spans="1:3">
      <c r="A4828" t="s">
        <v>28232</v>
      </c>
      <c r="B4828" s="590">
        <v>1747</v>
      </c>
      <c r="C4828" t="s">
        <v>28231</v>
      </c>
    </row>
    <row r="4829" spans="1:3">
      <c r="A4829" t="s">
        <v>28230</v>
      </c>
      <c r="B4829" s="590">
        <v>1747</v>
      </c>
      <c r="C4829" t="s">
        <v>28229</v>
      </c>
    </row>
    <row r="4830" spans="1:3">
      <c r="A4830" t="s">
        <v>28228</v>
      </c>
      <c r="B4830" s="590">
        <v>1747</v>
      </c>
      <c r="C4830" t="s">
        <v>28227</v>
      </c>
    </row>
    <row r="4831" spans="1:3">
      <c r="A4831" t="s">
        <v>28226</v>
      </c>
      <c r="B4831" s="590">
        <v>1747</v>
      </c>
      <c r="C4831" t="s">
        <v>28225</v>
      </c>
    </row>
    <row r="4832" spans="1:3">
      <c r="A4832" t="s">
        <v>28224</v>
      </c>
      <c r="B4832" s="590">
        <v>1747</v>
      </c>
      <c r="C4832" t="s">
        <v>28223</v>
      </c>
    </row>
    <row r="4833" spans="1:3">
      <c r="A4833" t="s">
        <v>28222</v>
      </c>
      <c r="B4833" s="590">
        <v>1747</v>
      </c>
      <c r="C4833" t="s">
        <v>28221</v>
      </c>
    </row>
    <row r="4834" spans="1:3">
      <c r="A4834" t="s">
        <v>28220</v>
      </c>
      <c r="B4834" s="590">
        <v>1747</v>
      </c>
      <c r="C4834" t="s">
        <v>28219</v>
      </c>
    </row>
    <row r="4835" spans="1:3">
      <c r="A4835" t="s">
        <v>28218</v>
      </c>
      <c r="B4835" s="590">
        <v>1747</v>
      </c>
      <c r="C4835" t="s">
        <v>28217</v>
      </c>
    </row>
    <row r="4836" spans="1:3">
      <c r="A4836" t="s">
        <v>28216</v>
      </c>
      <c r="B4836" s="590">
        <v>1747</v>
      </c>
      <c r="C4836" t="s">
        <v>28215</v>
      </c>
    </row>
    <row r="4837" spans="1:3">
      <c r="A4837" t="s">
        <v>28214</v>
      </c>
      <c r="B4837" s="590">
        <v>1862</v>
      </c>
      <c r="C4837" t="s">
        <v>28213</v>
      </c>
    </row>
    <row r="4838" spans="1:3">
      <c r="A4838" t="s">
        <v>28212</v>
      </c>
      <c r="B4838" s="590">
        <v>1862</v>
      </c>
      <c r="C4838" t="s">
        <v>28211</v>
      </c>
    </row>
    <row r="4839" spans="1:3">
      <c r="A4839" t="s">
        <v>28210</v>
      </c>
      <c r="B4839" s="590">
        <v>1862</v>
      </c>
      <c r="C4839" t="s">
        <v>28209</v>
      </c>
    </row>
    <row r="4840" spans="1:3">
      <c r="A4840" t="s">
        <v>28208</v>
      </c>
      <c r="B4840" s="590">
        <v>1862</v>
      </c>
      <c r="C4840" t="s">
        <v>28207</v>
      </c>
    </row>
    <row r="4841" spans="1:3">
      <c r="A4841" t="s">
        <v>28206</v>
      </c>
      <c r="B4841" s="590">
        <v>1862</v>
      </c>
      <c r="C4841" t="s">
        <v>28205</v>
      </c>
    </row>
    <row r="4842" spans="1:3">
      <c r="A4842" t="s">
        <v>28204</v>
      </c>
      <c r="B4842" s="590">
        <v>1862</v>
      </c>
      <c r="C4842" t="s">
        <v>28203</v>
      </c>
    </row>
    <row r="4843" spans="1:3">
      <c r="A4843" t="s">
        <v>28202</v>
      </c>
      <c r="B4843" s="590">
        <v>1862</v>
      </c>
      <c r="C4843" t="s">
        <v>28201</v>
      </c>
    </row>
    <row r="4844" spans="1:3">
      <c r="A4844" t="s">
        <v>28200</v>
      </c>
      <c r="B4844" s="590">
        <v>1862</v>
      </c>
      <c r="C4844" t="s">
        <v>28199</v>
      </c>
    </row>
    <row r="4845" spans="1:3">
      <c r="A4845" t="s">
        <v>28198</v>
      </c>
      <c r="B4845" s="590">
        <v>238</v>
      </c>
      <c r="C4845" t="s">
        <v>28197</v>
      </c>
    </row>
    <row r="4846" spans="1:3">
      <c r="A4846" t="s">
        <v>28196</v>
      </c>
      <c r="B4846" s="590">
        <v>238</v>
      </c>
      <c r="C4846" t="s">
        <v>28195</v>
      </c>
    </row>
    <row r="4847" spans="1:3">
      <c r="A4847" t="s">
        <v>28194</v>
      </c>
      <c r="B4847" s="590">
        <v>238</v>
      </c>
      <c r="C4847" t="s">
        <v>28193</v>
      </c>
    </row>
    <row r="4848" spans="1:3">
      <c r="A4848" t="s">
        <v>28192</v>
      </c>
      <c r="B4848" s="590">
        <v>238</v>
      </c>
      <c r="C4848" t="s">
        <v>28191</v>
      </c>
    </row>
    <row r="4849" spans="1:3">
      <c r="A4849" t="s">
        <v>28190</v>
      </c>
      <c r="B4849" s="590">
        <v>238</v>
      </c>
      <c r="C4849" t="s">
        <v>28189</v>
      </c>
    </row>
    <row r="4850" spans="1:3">
      <c r="A4850" t="s">
        <v>28188</v>
      </c>
      <c r="B4850" s="590">
        <v>238</v>
      </c>
      <c r="C4850" t="s">
        <v>28187</v>
      </c>
    </row>
    <row r="4851" spans="1:3">
      <c r="A4851" t="s">
        <v>28186</v>
      </c>
      <c r="B4851" s="590">
        <v>238</v>
      </c>
      <c r="C4851" t="s">
        <v>28185</v>
      </c>
    </row>
    <row r="4852" spans="1:3">
      <c r="A4852" t="s">
        <v>28184</v>
      </c>
      <c r="B4852" s="590">
        <v>238</v>
      </c>
      <c r="C4852" t="s">
        <v>28183</v>
      </c>
    </row>
    <row r="4853" spans="1:3">
      <c r="A4853" t="s">
        <v>28182</v>
      </c>
      <c r="B4853" s="590">
        <v>238</v>
      </c>
      <c r="C4853" t="s">
        <v>28181</v>
      </c>
    </row>
    <row r="4854" spans="1:3">
      <c r="A4854" t="s">
        <v>28180</v>
      </c>
      <c r="B4854" s="590">
        <v>238</v>
      </c>
      <c r="C4854" t="s">
        <v>28179</v>
      </c>
    </row>
    <row r="4855" spans="1:3">
      <c r="A4855" t="s">
        <v>28178</v>
      </c>
      <c r="B4855" s="590">
        <v>238</v>
      </c>
      <c r="C4855" t="s">
        <v>28177</v>
      </c>
    </row>
    <row r="4856" spans="1:3">
      <c r="A4856" t="s">
        <v>28176</v>
      </c>
      <c r="B4856" s="590">
        <v>238</v>
      </c>
      <c r="C4856" t="s">
        <v>28175</v>
      </c>
    </row>
    <row r="4857" spans="1:3">
      <c r="A4857" t="s">
        <v>28174</v>
      </c>
      <c r="B4857" s="590">
        <v>238</v>
      </c>
      <c r="C4857" t="s">
        <v>28173</v>
      </c>
    </row>
    <row r="4858" spans="1:3">
      <c r="A4858" t="s">
        <v>28172</v>
      </c>
      <c r="B4858" s="590">
        <v>238</v>
      </c>
      <c r="C4858" t="s">
        <v>28171</v>
      </c>
    </row>
    <row r="4859" spans="1:3">
      <c r="A4859" t="s">
        <v>28170</v>
      </c>
      <c r="B4859" s="590">
        <v>238</v>
      </c>
      <c r="C4859" t="s">
        <v>28169</v>
      </c>
    </row>
    <row r="4860" spans="1:3">
      <c r="A4860" t="s">
        <v>28168</v>
      </c>
      <c r="B4860" s="590">
        <v>238</v>
      </c>
      <c r="C4860" t="s">
        <v>28167</v>
      </c>
    </row>
    <row r="4861" spans="1:3">
      <c r="A4861" t="s">
        <v>28166</v>
      </c>
      <c r="B4861" s="590">
        <v>238</v>
      </c>
      <c r="C4861" t="s">
        <v>28165</v>
      </c>
    </row>
    <row r="4862" spans="1:3">
      <c r="A4862" t="s">
        <v>28164</v>
      </c>
      <c r="B4862" s="590">
        <v>238</v>
      </c>
      <c r="C4862" t="s">
        <v>28163</v>
      </c>
    </row>
    <row r="4863" spans="1:3">
      <c r="A4863" t="s">
        <v>28162</v>
      </c>
      <c r="B4863" s="590">
        <v>238</v>
      </c>
      <c r="C4863" t="s">
        <v>28161</v>
      </c>
    </row>
    <row r="4864" spans="1:3">
      <c r="A4864" t="s">
        <v>28160</v>
      </c>
      <c r="B4864" s="590">
        <v>238</v>
      </c>
      <c r="C4864" t="s">
        <v>28159</v>
      </c>
    </row>
    <row r="4865" spans="1:3">
      <c r="A4865" t="s">
        <v>28158</v>
      </c>
      <c r="B4865" s="590">
        <v>238</v>
      </c>
      <c r="C4865" t="s">
        <v>28157</v>
      </c>
    </row>
    <row r="4866" spans="1:3">
      <c r="A4866" t="s">
        <v>28156</v>
      </c>
      <c r="B4866" s="590">
        <v>102</v>
      </c>
      <c r="C4866" t="s">
        <v>28155</v>
      </c>
    </row>
    <row r="4867" spans="1:3">
      <c r="A4867" t="s">
        <v>28154</v>
      </c>
      <c r="B4867" s="590">
        <v>102</v>
      </c>
      <c r="C4867" t="s">
        <v>28153</v>
      </c>
    </row>
    <row r="4868" spans="1:3">
      <c r="A4868" t="s">
        <v>28152</v>
      </c>
      <c r="B4868" s="590">
        <v>102</v>
      </c>
      <c r="C4868" t="s">
        <v>28151</v>
      </c>
    </row>
    <row r="4869" spans="1:3">
      <c r="A4869" t="s">
        <v>28150</v>
      </c>
      <c r="B4869" s="590">
        <v>204</v>
      </c>
      <c r="C4869" t="s">
        <v>28149</v>
      </c>
    </row>
    <row r="4870" spans="1:3">
      <c r="A4870" t="s">
        <v>28148</v>
      </c>
      <c r="B4870" s="590">
        <v>120</v>
      </c>
      <c r="C4870" t="s">
        <v>28147</v>
      </c>
    </row>
    <row r="4871" spans="1:3">
      <c r="A4871" t="s">
        <v>28146</v>
      </c>
      <c r="B4871" s="590">
        <v>120</v>
      </c>
      <c r="C4871" t="s">
        <v>28145</v>
      </c>
    </row>
    <row r="4872" spans="1:3">
      <c r="A4872" t="s">
        <v>28144</v>
      </c>
      <c r="B4872" s="590">
        <v>120</v>
      </c>
      <c r="C4872" t="s">
        <v>28143</v>
      </c>
    </row>
    <row r="4873" spans="1:3">
      <c r="A4873" t="s">
        <v>28142</v>
      </c>
      <c r="B4873" s="590">
        <v>245</v>
      </c>
      <c r="C4873" t="s">
        <v>28141</v>
      </c>
    </row>
    <row r="4874" spans="1:3">
      <c r="A4874" t="s">
        <v>28140</v>
      </c>
      <c r="B4874" s="590">
        <v>245</v>
      </c>
      <c r="C4874" t="s">
        <v>28139</v>
      </c>
    </row>
    <row r="4875" spans="1:3">
      <c r="A4875" t="s">
        <v>28138</v>
      </c>
      <c r="B4875" s="590">
        <v>84</v>
      </c>
      <c r="C4875" t="s">
        <v>28137</v>
      </c>
    </row>
    <row r="4876" spans="1:3">
      <c r="A4876" t="s">
        <v>27809</v>
      </c>
      <c r="B4876" s="590">
        <v>227</v>
      </c>
      <c r="C4876" t="s">
        <v>27808</v>
      </c>
    </row>
    <row r="4877" spans="1:3">
      <c r="A4877" t="s">
        <v>28136</v>
      </c>
      <c r="B4877" s="590">
        <v>61</v>
      </c>
      <c r="C4877" t="s">
        <v>28135</v>
      </c>
    </row>
    <row r="4878" spans="1:3">
      <c r="A4878" t="s">
        <v>28134</v>
      </c>
      <c r="B4878" s="590">
        <v>61</v>
      </c>
      <c r="C4878" t="s">
        <v>28133</v>
      </c>
    </row>
    <row r="4879" spans="1:3">
      <c r="A4879" t="s">
        <v>28132</v>
      </c>
      <c r="B4879" s="590">
        <v>61</v>
      </c>
      <c r="C4879" t="s">
        <v>28131</v>
      </c>
    </row>
    <row r="4880" spans="1:3">
      <c r="A4880" t="s">
        <v>28130</v>
      </c>
      <c r="B4880" s="590">
        <v>61</v>
      </c>
      <c r="C4880" t="s">
        <v>28129</v>
      </c>
    </row>
    <row r="4881" spans="1:3">
      <c r="A4881" t="s">
        <v>28128</v>
      </c>
      <c r="B4881" s="590">
        <v>61</v>
      </c>
      <c r="C4881" t="s">
        <v>28127</v>
      </c>
    </row>
    <row r="4882" spans="1:3">
      <c r="A4882" t="s">
        <v>28126</v>
      </c>
      <c r="B4882" s="590">
        <v>61</v>
      </c>
      <c r="C4882" t="s">
        <v>28125</v>
      </c>
    </row>
    <row r="4883" spans="1:3">
      <c r="A4883" t="s">
        <v>28124</v>
      </c>
      <c r="B4883" s="590">
        <v>61</v>
      </c>
      <c r="C4883" t="s">
        <v>28123</v>
      </c>
    </row>
    <row r="4884" spans="1:3">
      <c r="A4884" t="s">
        <v>28122</v>
      </c>
      <c r="B4884" s="590">
        <v>61</v>
      </c>
      <c r="C4884" t="s">
        <v>28121</v>
      </c>
    </row>
    <row r="4885" spans="1:3">
      <c r="A4885" t="s">
        <v>28120</v>
      </c>
      <c r="B4885" s="590">
        <v>61</v>
      </c>
      <c r="C4885" t="s">
        <v>28119</v>
      </c>
    </row>
    <row r="4886" spans="1:3">
      <c r="A4886" t="s">
        <v>28118</v>
      </c>
      <c r="B4886" s="590">
        <v>1127</v>
      </c>
      <c r="C4886" t="s">
        <v>28117</v>
      </c>
    </row>
    <row r="4887" spans="1:3">
      <c r="A4887" t="s">
        <v>28116</v>
      </c>
      <c r="B4887" s="590">
        <v>1127</v>
      </c>
      <c r="C4887" t="s">
        <v>28115</v>
      </c>
    </row>
    <row r="4888" spans="1:3">
      <c r="A4888" t="s">
        <v>28114</v>
      </c>
      <c r="B4888" s="590">
        <v>1127</v>
      </c>
      <c r="C4888" t="s">
        <v>28113</v>
      </c>
    </row>
    <row r="4889" spans="1:3">
      <c r="A4889" t="s">
        <v>28112</v>
      </c>
      <c r="B4889" s="590">
        <v>1127</v>
      </c>
      <c r="C4889" t="s">
        <v>28111</v>
      </c>
    </row>
    <row r="4890" spans="1:3">
      <c r="A4890" t="s">
        <v>28110</v>
      </c>
      <c r="B4890" s="590">
        <v>1127</v>
      </c>
      <c r="C4890" t="s">
        <v>28109</v>
      </c>
    </row>
    <row r="4891" spans="1:3">
      <c r="A4891" t="s">
        <v>28108</v>
      </c>
      <c r="B4891" s="590">
        <v>1127</v>
      </c>
      <c r="C4891" t="s">
        <v>28107</v>
      </c>
    </row>
    <row r="4892" spans="1:3">
      <c r="A4892" t="s">
        <v>28106</v>
      </c>
      <c r="B4892" s="590">
        <v>1127</v>
      </c>
      <c r="C4892" t="s">
        <v>28105</v>
      </c>
    </row>
    <row r="4893" spans="1:3">
      <c r="A4893" t="s">
        <v>28104</v>
      </c>
      <c r="B4893" s="590">
        <v>1127</v>
      </c>
      <c r="C4893" t="s">
        <v>28103</v>
      </c>
    </row>
    <row r="4894" spans="1:3">
      <c r="A4894" t="s">
        <v>28102</v>
      </c>
      <c r="B4894" s="590">
        <v>1127</v>
      </c>
      <c r="C4894" t="s">
        <v>28101</v>
      </c>
    </row>
    <row r="4895" spans="1:3">
      <c r="A4895" t="s">
        <v>28100</v>
      </c>
      <c r="B4895" s="590">
        <v>1224</v>
      </c>
      <c r="C4895" t="s">
        <v>28099</v>
      </c>
    </row>
    <row r="4896" spans="1:3">
      <c r="A4896" t="s">
        <v>28098</v>
      </c>
      <c r="B4896" s="590">
        <v>1224</v>
      </c>
      <c r="C4896" t="s">
        <v>28097</v>
      </c>
    </row>
    <row r="4897" spans="1:3">
      <c r="A4897" t="s">
        <v>28096</v>
      </c>
      <c r="B4897" s="590">
        <v>1224</v>
      </c>
      <c r="C4897" t="s">
        <v>28095</v>
      </c>
    </row>
    <row r="4898" spans="1:3">
      <c r="A4898" t="s">
        <v>28094</v>
      </c>
      <c r="B4898" s="590">
        <v>1224</v>
      </c>
      <c r="C4898" t="s">
        <v>28093</v>
      </c>
    </row>
    <row r="4899" spans="1:3">
      <c r="A4899" t="s">
        <v>28092</v>
      </c>
      <c r="B4899" s="590">
        <v>1224</v>
      </c>
      <c r="C4899" t="s">
        <v>28091</v>
      </c>
    </row>
    <row r="4900" spans="1:3">
      <c r="A4900" t="s">
        <v>28090</v>
      </c>
      <c r="B4900" s="590">
        <v>1224</v>
      </c>
      <c r="C4900" t="s">
        <v>28089</v>
      </c>
    </row>
    <row r="4901" spans="1:3">
      <c r="A4901" t="s">
        <v>28088</v>
      </c>
      <c r="B4901" s="590">
        <v>1224</v>
      </c>
      <c r="C4901" t="s">
        <v>28087</v>
      </c>
    </row>
    <row r="4902" spans="1:3">
      <c r="A4902" t="s">
        <v>28086</v>
      </c>
      <c r="B4902" s="590">
        <v>1224</v>
      </c>
      <c r="C4902" t="s">
        <v>28085</v>
      </c>
    </row>
    <row r="4903" spans="1:3">
      <c r="A4903" t="s">
        <v>28084</v>
      </c>
      <c r="B4903" s="590">
        <v>1224</v>
      </c>
      <c r="C4903" t="s">
        <v>28083</v>
      </c>
    </row>
    <row r="4904" spans="1:3">
      <c r="A4904" t="s">
        <v>27990</v>
      </c>
      <c r="B4904" s="590">
        <v>201</v>
      </c>
      <c r="C4904" t="s">
        <v>27989</v>
      </c>
    </row>
    <row r="4905" spans="1:3">
      <c r="A4905" t="s">
        <v>28082</v>
      </c>
      <c r="B4905" s="590">
        <v>201</v>
      </c>
      <c r="C4905" t="s">
        <v>28081</v>
      </c>
    </row>
    <row r="4906" spans="1:3">
      <c r="A4906" t="s">
        <v>28080</v>
      </c>
      <c r="B4906" s="590">
        <v>201</v>
      </c>
      <c r="C4906" t="s">
        <v>28079</v>
      </c>
    </row>
    <row r="4907" spans="1:3">
      <c r="A4907" t="s">
        <v>28078</v>
      </c>
      <c r="B4907" s="590">
        <v>201</v>
      </c>
      <c r="C4907" t="s">
        <v>28077</v>
      </c>
    </row>
    <row r="4908" spans="1:3">
      <c r="A4908" t="s">
        <v>28076</v>
      </c>
      <c r="B4908" s="590">
        <v>201</v>
      </c>
      <c r="C4908" t="s">
        <v>28075</v>
      </c>
    </row>
    <row r="4909" spans="1:3">
      <c r="A4909" t="s">
        <v>28074</v>
      </c>
      <c r="B4909" s="590">
        <v>697</v>
      </c>
      <c r="C4909" t="s">
        <v>28073</v>
      </c>
    </row>
    <row r="4910" spans="1:3">
      <c r="A4910" t="s">
        <v>28072</v>
      </c>
      <c r="B4910" s="590">
        <v>983</v>
      </c>
      <c r="C4910" t="s">
        <v>28071</v>
      </c>
    </row>
    <row r="4911" spans="1:3">
      <c r="A4911" t="s">
        <v>28070</v>
      </c>
      <c r="B4911" s="590">
        <v>149</v>
      </c>
      <c r="C4911" t="s">
        <v>28069</v>
      </c>
    </row>
    <row r="4912" spans="1:3">
      <c r="A4912" t="s">
        <v>28068</v>
      </c>
      <c r="B4912" s="590">
        <v>149</v>
      </c>
      <c r="C4912" t="s">
        <v>28067</v>
      </c>
    </row>
    <row r="4913" spans="1:3">
      <c r="A4913" t="s">
        <v>28066</v>
      </c>
      <c r="B4913" s="590">
        <v>-50</v>
      </c>
      <c r="C4913" t="s">
        <v>28065</v>
      </c>
    </row>
    <row r="4914" spans="1:3">
      <c r="A4914" t="s">
        <v>28064</v>
      </c>
      <c r="B4914" s="590">
        <v>3262</v>
      </c>
      <c r="C4914" t="s">
        <v>28063</v>
      </c>
    </row>
    <row r="4915" spans="1:3">
      <c r="A4915" t="s">
        <v>28062</v>
      </c>
      <c r="B4915" s="590">
        <v>3506</v>
      </c>
      <c r="C4915" t="s">
        <v>28061</v>
      </c>
    </row>
    <row r="4916" spans="1:3">
      <c r="A4916" t="s">
        <v>28060</v>
      </c>
      <c r="B4916" s="590">
        <v>4202</v>
      </c>
      <c r="C4916" t="s">
        <v>28059</v>
      </c>
    </row>
    <row r="4917" spans="1:3">
      <c r="A4917" t="s">
        <v>28058</v>
      </c>
      <c r="B4917" s="590">
        <v>5847</v>
      </c>
      <c r="C4917" t="s">
        <v>28057</v>
      </c>
    </row>
    <row r="4918" spans="1:3">
      <c r="A4918" t="s">
        <v>28056</v>
      </c>
      <c r="B4918" s="590">
        <v>165</v>
      </c>
      <c r="C4918" t="s">
        <v>28055</v>
      </c>
    </row>
    <row r="4919" spans="1:3">
      <c r="A4919" t="s">
        <v>28054</v>
      </c>
      <c r="B4919" s="590">
        <v>4358</v>
      </c>
      <c r="C4919" t="s">
        <v>28053</v>
      </c>
    </row>
    <row r="4920" spans="1:3">
      <c r="A4920" t="s">
        <v>28052</v>
      </c>
      <c r="B4920" s="590">
        <v>201</v>
      </c>
      <c r="C4920" t="s">
        <v>28051</v>
      </c>
    </row>
    <row r="4921" spans="1:3">
      <c r="A4921" t="s">
        <v>28050</v>
      </c>
      <c r="B4921" s="590">
        <v>201</v>
      </c>
      <c r="C4921" t="s">
        <v>28049</v>
      </c>
    </row>
    <row r="4922" spans="1:3">
      <c r="A4922" t="s">
        <v>28048</v>
      </c>
      <c r="B4922" s="590">
        <v>201</v>
      </c>
      <c r="C4922" t="s">
        <v>28047</v>
      </c>
    </row>
    <row r="4923" spans="1:3">
      <c r="A4923" t="s">
        <v>28046</v>
      </c>
      <c r="B4923" s="590">
        <v>238</v>
      </c>
      <c r="C4923" t="s">
        <v>28045</v>
      </c>
    </row>
    <row r="4924" spans="1:3">
      <c r="A4924" t="s">
        <v>28044</v>
      </c>
      <c r="B4924" s="590">
        <v>201</v>
      </c>
      <c r="C4924" t="s">
        <v>28043</v>
      </c>
    </row>
    <row r="4925" spans="1:3">
      <c r="A4925" t="s">
        <v>28042</v>
      </c>
      <c r="B4925" s="590">
        <v>144</v>
      </c>
      <c r="C4925" t="s">
        <v>28041</v>
      </c>
    </row>
    <row r="4926" spans="1:3">
      <c r="A4926" t="s">
        <v>28040</v>
      </c>
      <c r="B4926" s="590">
        <v>144</v>
      </c>
      <c r="C4926" t="s">
        <v>28039</v>
      </c>
    </row>
    <row r="4927" spans="1:3">
      <c r="A4927" t="s">
        <v>28038</v>
      </c>
      <c r="B4927" s="590">
        <v>144</v>
      </c>
      <c r="C4927" t="s">
        <v>28037</v>
      </c>
    </row>
    <row r="4928" spans="1:3">
      <c r="A4928" t="s">
        <v>28036</v>
      </c>
      <c r="B4928" s="590">
        <v>181</v>
      </c>
      <c r="C4928" t="s">
        <v>28035</v>
      </c>
    </row>
    <row r="4929" spans="1:3">
      <c r="A4929" t="s">
        <v>28034</v>
      </c>
      <c r="B4929" s="590">
        <v>144</v>
      </c>
      <c r="C4929" t="s">
        <v>28033</v>
      </c>
    </row>
    <row r="4930" spans="1:3">
      <c r="A4930" t="s">
        <v>28032</v>
      </c>
      <c r="B4930" s="590">
        <v>364</v>
      </c>
      <c r="C4930" t="s">
        <v>28031</v>
      </c>
    </row>
    <row r="4931" spans="1:3">
      <c r="A4931" t="s">
        <v>28030</v>
      </c>
      <c r="B4931" s="590">
        <v>364</v>
      </c>
      <c r="C4931" t="s">
        <v>28029</v>
      </c>
    </row>
    <row r="4932" spans="1:3">
      <c r="A4932" t="s">
        <v>28028</v>
      </c>
      <c r="B4932" s="590">
        <v>364</v>
      </c>
      <c r="C4932" t="s">
        <v>28027</v>
      </c>
    </row>
    <row r="4933" spans="1:3">
      <c r="A4933" t="s">
        <v>28026</v>
      </c>
      <c r="B4933" s="590">
        <v>364</v>
      </c>
      <c r="C4933" t="s">
        <v>28025</v>
      </c>
    </row>
    <row r="4934" spans="1:3">
      <c r="A4934" t="s">
        <v>28024</v>
      </c>
      <c r="B4934" s="590">
        <v>364</v>
      </c>
      <c r="C4934" t="s">
        <v>28023</v>
      </c>
    </row>
    <row r="4935" spans="1:3">
      <c r="A4935" t="s">
        <v>28022</v>
      </c>
      <c r="B4935" s="590">
        <v>364</v>
      </c>
      <c r="C4935" t="s">
        <v>28021</v>
      </c>
    </row>
    <row r="4936" spans="1:3">
      <c r="A4936" t="s">
        <v>27809</v>
      </c>
      <c r="B4936" s="590">
        <v>227</v>
      </c>
      <c r="C4936" t="s">
        <v>27808</v>
      </c>
    </row>
    <row r="4937" spans="1:3">
      <c r="A4937" t="s">
        <v>28020</v>
      </c>
      <c r="B4937" s="590">
        <v>1938</v>
      </c>
      <c r="C4937" t="s">
        <v>28019</v>
      </c>
    </row>
    <row r="4938" spans="1:3">
      <c r="A4938" t="s">
        <v>28018</v>
      </c>
      <c r="B4938" s="590">
        <v>2283</v>
      </c>
      <c r="C4938" t="s">
        <v>28017</v>
      </c>
    </row>
    <row r="4939" spans="1:3">
      <c r="A4939" t="s">
        <v>28016</v>
      </c>
      <c r="B4939" s="590">
        <v>2159</v>
      </c>
      <c r="C4939" t="s">
        <v>28015</v>
      </c>
    </row>
    <row r="4940" spans="1:3">
      <c r="A4940" t="s">
        <v>28014</v>
      </c>
      <c r="B4940" s="590">
        <v>2719</v>
      </c>
      <c r="C4940" t="s">
        <v>28013</v>
      </c>
    </row>
    <row r="4941" spans="1:3">
      <c r="A4941" t="s">
        <v>28012</v>
      </c>
      <c r="B4941" s="590">
        <v>2742</v>
      </c>
      <c r="C4941" t="s">
        <v>28011</v>
      </c>
    </row>
    <row r="4942" spans="1:3">
      <c r="A4942" t="s">
        <v>28010</v>
      </c>
      <c r="B4942" s="590">
        <v>2283</v>
      </c>
      <c r="C4942" t="s">
        <v>28009</v>
      </c>
    </row>
    <row r="4943" spans="1:3">
      <c r="A4943" t="s">
        <v>28008</v>
      </c>
      <c r="B4943" s="590">
        <v>2444</v>
      </c>
      <c r="C4943" t="s">
        <v>28007</v>
      </c>
    </row>
    <row r="4944" spans="1:3">
      <c r="A4944" t="s">
        <v>28006</v>
      </c>
      <c r="B4944" s="590">
        <v>2989</v>
      </c>
      <c r="C4944" t="s">
        <v>28005</v>
      </c>
    </row>
    <row r="4945" spans="1:3">
      <c r="A4945" t="s">
        <v>28004</v>
      </c>
      <c r="B4945" s="590">
        <v>131</v>
      </c>
      <c r="C4945" t="s">
        <v>28003</v>
      </c>
    </row>
    <row r="4946" spans="1:3">
      <c r="A4946" t="s">
        <v>28002</v>
      </c>
      <c r="B4946" s="590">
        <v>131</v>
      </c>
      <c r="C4946" t="s">
        <v>28001</v>
      </c>
    </row>
    <row r="4947" spans="1:3">
      <c r="A4947" t="s">
        <v>28000</v>
      </c>
      <c r="B4947" s="590">
        <v>131</v>
      </c>
      <c r="C4947" t="s">
        <v>27999</v>
      </c>
    </row>
    <row r="4948" spans="1:3">
      <c r="A4948" t="s">
        <v>27998</v>
      </c>
      <c r="B4948" s="590">
        <v>151</v>
      </c>
      <c r="C4948" t="s">
        <v>27997</v>
      </c>
    </row>
    <row r="4949" spans="1:3">
      <c r="A4949" t="s">
        <v>27996</v>
      </c>
      <c r="B4949" s="590">
        <v>131</v>
      </c>
      <c r="C4949" t="s">
        <v>27995</v>
      </c>
    </row>
    <row r="4950" spans="1:3">
      <c r="A4950" t="s">
        <v>27994</v>
      </c>
      <c r="B4950" s="590">
        <v>1959</v>
      </c>
      <c r="C4950" t="s">
        <v>27993</v>
      </c>
    </row>
    <row r="4951" spans="1:3">
      <c r="A4951" t="s">
        <v>27992</v>
      </c>
      <c r="B4951" s="590">
        <v>91</v>
      </c>
      <c r="C4951" t="s">
        <v>27991</v>
      </c>
    </row>
    <row r="4952" spans="1:3">
      <c r="A4952" t="s">
        <v>27990</v>
      </c>
      <c r="B4952" s="590">
        <v>201</v>
      </c>
      <c r="C4952" t="s">
        <v>27989</v>
      </c>
    </row>
    <row r="4953" spans="1:3">
      <c r="A4953" t="s">
        <v>27988</v>
      </c>
      <c r="B4953" s="590">
        <v>3876</v>
      </c>
      <c r="C4953" t="s">
        <v>27984</v>
      </c>
    </row>
    <row r="4954" spans="1:3">
      <c r="A4954" t="s">
        <v>27987</v>
      </c>
      <c r="B4954" s="590">
        <v>3876</v>
      </c>
      <c r="C4954" t="s">
        <v>27986</v>
      </c>
    </row>
    <row r="4955" spans="1:3">
      <c r="A4955" t="s">
        <v>27985</v>
      </c>
      <c r="B4955" s="590">
        <v>3876</v>
      </c>
      <c r="C4955" t="s">
        <v>27984</v>
      </c>
    </row>
    <row r="4956" spans="1:3">
      <c r="A4956" t="s">
        <v>27983</v>
      </c>
      <c r="B4956" s="590">
        <v>4473</v>
      </c>
      <c r="C4956" t="s">
        <v>27981</v>
      </c>
    </row>
    <row r="4957" spans="1:3">
      <c r="A4957" t="s">
        <v>27982</v>
      </c>
      <c r="B4957" s="590">
        <v>4473</v>
      </c>
      <c r="C4957" t="s">
        <v>27981</v>
      </c>
    </row>
    <row r="4958" spans="1:3">
      <c r="A4958" t="s">
        <v>27980</v>
      </c>
      <c r="B4958" s="590">
        <v>4473</v>
      </c>
      <c r="C4958" t="s">
        <v>27979</v>
      </c>
    </row>
    <row r="4959" spans="1:3">
      <c r="A4959" t="s">
        <v>27978</v>
      </c>
      <c r="B4959" s="590">
        <v>4473</v>
      </c>
      <c r="C4959" t="s">
        <v>27975</v>
      </c>
    </row>
    <row r="4960" spans="1:3">
      <c r="A4960" t="s">
        <v>27977</v>
      </c>
      <c r="B4960" s="590">
        <v>4473</v>
      </c>
      <c r="C4960" t="s">
        <v>27975</v>
      </c>
    </row>
    <row r="4961" spans="1:3">
      <c r="A4961" t="s">
        <v>27976</v>
      </c>
      <c r="B4961" s="590">
        <v>4473</v>
      </c>
      <c r="C4961" t="s">
        <v>27975</v>
      </c>
    </row>
    <row r="4962" spans="1:3">
      <c r="A4962" t="s">
        <v>27974</v>
      </c>
      <c r="B4962" s="590">
        <v>3876</v>
      </c>
      <c r="C4962" t="s">
        <v>27971</v>
      </c>
    </row>
    <row r="4963" spans="1:3">
      <c r="A4963" t="s">
        <v>27973</v>
      </c>
      <c r="B4963" s="590">
        <v>3876</v>
      </c>
      <c r="C4963" t="s">
        <v>27971</v>
      </c>
    </row>
    <row r="4964" spans="1:3">
      <c r="A4964" t="s">
        <v>27972</v>
      </c>
      <c r="B4964" s="590">
        <v>3876</v>
      </c>
      <c r="C4964" t="s">
        <v>27971</v>
      </c>
    </row>
    <row r="4965" spans="1:3">
      <c r="A4965" t="s">
        <v>27970</v>
      </c>
      <c r="B4965" s="590">
        <v>4473</v>
      </c>
      <c r="C4965" t="s">
        <v>27967</v>
      </c>
    </row>
    <row r="4966" spans="1:3">
      <c r="A4966" t="s">
        <v>27969</v>
      </c>
      <c r="B4966" s="590">
        <v>4473</v>
      </c>
      <c r="C4966" t="s">
        <v>27967</v>
      </c>
    </row>
    <row r="4967" spans="1:3">
      <c r="A4967" t="s">
        <v>27968</v>
      </c>
      <c r="B4967" s="590">
        <v>4473</v>
      </c>
      <c r="C4967" t="s">
        <v>27967</v>
      </c>
    </row>
    <row r="4968" spans="1:3">
      <c r="A4968" t="s">
        <v>27966</v>
      </c>
      <c r="B4968" s="590">
        <v>4473</v>
      </c>
      <c r="C4968" t="s">
        <v>27963</v>
      </c>
    </row>
    <row r="4969" spans="1:3">
      <c r="A4969" t="s">
        <v>27965</v>
      </c>
      <c r="B4969" s="590">
        <v>4473</v>
      </c>
      <c r="C4969" t="s">
        <v>27963</v>
      </c>
    </row>
    <row r="4970" spans="1:3">
      <c r="A4970" t="s">
        <v>27964</v>
      </c>
      <c r="B4970" s="590">
        <v>4473</v>
      </c>
      <c r="C4970" t="s">
        <v>27963</v>
      </c>
    </row>
    <row r="4971" spans="1:3">
      <c r="A4971" t="s">
        <v>27962</v>
      </c>
      <c r="B4971" s="590">
        <v>4126</v>
      </c>
      <c r="C4971" t="s">
        <v>27961</v>
      </c>
    </row>
    <row r="4972" spans="1:3">
      <c r="A4972" t="s">
        <v>27960</v>
      </c>
      <c r="B4972" s="590">
        <v>284</v>
      </c>
      <c r="C4972" t="s">
        <v>27959</v>
      </c>
    </row>
    <row r="4973" spans="1:3">
      <c r="A4973" t="s">
        <v>27958</v>
      </c>
      <c r="B4973" s="590">
        <v>284</v>
      </c>
      <c r="C4973" t="s">
        <v>27957</v>
      </c>
    </row>
    <row r="4974" spans="1:3">
      <c r="A4974" t="s">
        <v>27956</v>
      </c>
      <c r="B4974" s="590">
        <v>3484</v>
      </c>
      <c r="C4974" t="s">
        <v>27955</v>
      </c>
    </row>
    <row r="4975" spans="1:3">
      <c r="A4975" t="s">
        <v>27954</v>
      </c>
      <c r="B4975" s="590">
        <v>4082</v>
      </c>
      <c r="C4975" t="s">
        <v>27953</v>
      </c>
    </row>
    <row r="4976" spans="1:3">
      <c r="A4976" t="s">
        <v>27952</v>
      </c>
      <c r="B4976" s="590">
        <v>4082</v>
      </c>
      <c r="C4976" t="s">
        <v>27951</v>
      </c>
    </row>
    <row r="4977" spans="1:3">
      <c r="A4977" t="s">
        <v>27950</v>
      </c>
      <c r="B4977" s="590">
        <v>3484</v>
      </c>
      <c r="C4977" t="s">
        <v>27949</v>
      </c>
    </row>
    <row r="4978" spans="1:3">
      <c r="A4978" t="s">
        <v>27948</v>
      </c>
      <c r="B4978" s="590">
        <v>4082</v>
      </c>
      <c r="C4978" t="s">
        <v>27947</v>
      </c>
    </row>
    <row r="4979" spans="1:3">
      <c r="A4979" t="s">
        <v>27946</v>
      </c>
      <c r="B4979" s="590">
        <v>4082</v>
      </c>
      <c r="C4979" t="s">
        <v>27945</v>
      </c>
    </row>
    <row r="4980" spans="1:3">
      <c r="A4980" t="s">
        <v>27944</v>
      </c>
      <c r="B4980" s="590">
        <v>4126</v>
      </c>
      <c r="C4980" t="s">
        <v>27943</v>
      </c>
    </row>
    <row r="4981" spans="1:3">
      <c r="A4981" t="s">
        <v>27942</v>
      </c>
      <c r="B4981" s="590">
        <v>2283</v>
      </c>
      <c r="C4981" t="s">
        <v>27941</v>
      </c>
    </row>
    <row r="4982" spans="1:3">
      <c r="A4982" t="s">
        <v>27940</v>
      </c>
      <c r="B4982" s="590">
        <v>2388</v>
      </c>
      <c r="C4982" t="s">
        <v>27939</v>
      </c>
    </row>
    <row r="4983" spans="1:3">
      <c r="A4983" t="s">
        <v>27641</v>
      </c>
      <c r="B4983" s="590">
        <v>62</v>
      </c>
      <c r="C4983" t="s">
        <v>27640</v>
      </c>
    </row>
    <row r="4984" spans="1:3">
      <c r="A4984" t="s">
        <v>27637</v>
      </c>
      <c r="B4984" s="590">
        <v>156</v>
      </c>
      <c r="C4984" t="s">
        <v>27636</v>
      </c>
    </row>
    <row r="4985" spans="1:3">
      <c r="A4985" t="s">
        <v>27635</v>
      </c>
      <c r="B4985" s="590">
        <v>76</v>
      </c>
      <c r="C4985" t="s">
        <v>27634</v>
      </c>
    </row>
    <row r="4986" spans="1:3">
      <c r="A4986" t="s">
        <v>27633</v>
      </c>
      <c r="B4986" s="590">
        <v>120</v>
      </c>
      <c r="C4986" t="s">
        <v>27632</v>
      </c>
    </row>
    <row r="4987" spans="1:3">
      <c r="A4987" t="s">
        <v>27631</v>
      </c>
      <c r="B4987" s="590">
        <v>76</v>
      </c>
      <c r="C4987" t="s">
        <v>27630</v>
      </c>
    </row>
    <row r="4988" spans="1:3">
      <c r="A4988" t="s">
        <v>27629</v>
      </c>
      <c r="B4988" s="590">
        <v>120</v>
      </c>
      <c r="C4988" t="s">
        <v>27628</v>
      </c>
    </row>
    <row r="4989" spans="1:3">
      <c r="A4989" t="s">
        <v>27938</v>
      </c>
      <c r="B4989" s="590">
        <v>573</v>
      </c>
      <c r="C4989" t="s">
        <v>27937</v>
      </c>
    </row>
    <row r="4990" spans="1:3">
      <c r="A4990" t="s">
        <v>27936</v>
      </c>
      <c r="B4990" s="590">
        <v>573</v>
      </c>
      <c r="C4990" t="s">
        <v>27935</v>
      </c>
    </row>
    <row r="4991" spans="1:3">
      <c r="A4991" t="s">
        <v>27934</v>
      </c>
      <c r="B4991" s="590">
        <v>573</v>
      </c>
      <c r="C4991" t="s">
        <v>27933</v>
      </c>
    </row>
    <row r="4992" spans="1:3">
      <c r="A4992" t="s">
        <v>27932</v>
      </c>
      <c r="B4992" s="590">
        <v>1959</v>
      </c>
      <c r="C4992" t="s">
        <v>27931</v>
      </c>
    </row>
    <row r="4993" spans="1:3">
      <c r="A4993" t="s">
        <v>27930</v>
      </c>
      <c r="B4993" s="590">
        <v>2421</v>
      </c>
      <c r="C4993" t="s">
        <v>27929</v>
      </c>
    </row>
    <row r="4994" spans="1:3">
      <c r="A4994" t="s">
        <v>27928</v>
      </c>
      <c r="B4994" s="590">
        <v>342</v>
      </c>
      <c r="C4994" t="s">
        <v>27927</v>
      </c>
    </row>
    <row r="4995" spans="1:3">
      <c r="A4995" t="s">
        <v>27926</v>
      </c>
      <c r="B4995" s="590">
        <v>342</v>
      </c>
      <c r="C4995" t="s">
        <v>27925</v>
      </c>
    </row>
    <row r="4996" spans="1:3">
      <c r="A4996" t="s">
        <v>27924</v>
      </c>
      <c r="B4996" s="590">
        <v>342</v>
      </c>
      <c r="C4996" t="s">
        <v>27923</v>
      </c>
    </row>
    <row r="4997" spans="1:3">
      <c r="A4997" t="s">
        <v>27922</v>
      </c>
      <c r="B4997" s="590">
        <v>389</v>
      </c>
      <c r="C4997" t="s">
        <v>27921</v>
      </c>
    </row>
    <row r="4998" spans="1:3">
      <c r="A4998" t="s">
        <v>27920</v>
      </c>
      <c r="B4998" s="590">
        <v>342</v>
      </c>
      <c r="C4998" t="s">
        <v>27919</v>
      </c>
    </row>
    <row r="4999" spans="1:3">
      <c r="A4999" t="s">
        <v>27918</v>
      </c>
      <c r="B4999" s="590">
        <v>521</v>
      </c>
      <c r="C4999" t="s">
        <v>27917</v>
      </c>
    </row>
    <row r="5000" spans="1:3">
      <c r="A5000" t="s">
        <v>27916</v>
      </c>
      <c r="B5000" s="590">
        <v>521</v>
      </c>
      <c r="C5000" t="s">
        <v>27915</v>
      </c>
    </row>
    <row r="5001" spans="1:3">
      <c r="A5001" t="s">
        <v>27914</v>
      </c>
      <c r="B5001" s="590">
        <v>521</v>
      </c>
      <c r="C5001" t="s">
        <v>27913</v>
      </c>
    </row>
    <row r="5002" spans="1:3">
      <c r="A5002" t="s">
        <v>27912</v>
      </c>
      <c r="B5002" s="590">
        <v>521</v>
      </c>
      <c r="C5002" t="s">
        <v>27911</v>
      </c>
    </row>
    <row r="5003" spans="1:3">
      <c r="A5003" t="s">
        <v>27910</v>
      </c>
      <c r="B5003" s="590">
        <v>310</v>
      </c>
      <c r="C5003" t="s">
        <v>27909</v>
      </c>
    </row>
    <row r="5004" spans="1:3">
      <c r="A5004" t="s">
        <v>27908</v>
      </c>
      <c r="B5004" s="590">
        <v>310</v>
      </c>
      <c r="C5004" t="s">
        <v>27907</v>
      </c>
    </row>
    <row r="5005" spans="1:3">
      <c r="A5005" t="s">
        <v>27906</v>
      </c>
      <c r="B5005" s="590">
        <v>310</v>
      </c>
      <c r="C5005" t="s">
        <v>27905</v>
      </c>
    </row>
    <row r="5006" spans="1:3">
      <c r="A5006" t="s">
        <v>27904</v>
      </c>
      <c r="B5006" s="590">
        <v>357</v>
      </c>
      <c r="C5006" t="s">
        <v>27903</v>
      </c>
    </row>
    <row r="5007" spans="1:3">
      <c r="A5007" t="s">
        <v>27902</v>
      </c>
      <c r="B5007" s="590">
        <v>310</v>
      </c>
      <c r="C5007" t="s">
        <v>27901</v>
      </c>
    </row>
    <row r="5008" spans="1:3">
      <c r="A5008" t="s">
        <v>27900</v>
      </c>
      <c r="B5008" s="590">
        <v>310</v>
      </c>
      <c r="C5008" t="s">
        <v>27899</v>
      </c>
    </row>
    <row r="5009" spans="1:3">
      <c r="A5009" t="s">
        <v>27898</v>
      </c>
      <c r="B5009" s="590">
        <v>310</v>
      </c>
      <c r="C5009" t="s">
        <v>27897</v>
      </c>
    </row>
    <row r="5010" spans="1:3">
      <c r="A5010" t="s">
        <v>27896</v>
      </c>
      <c r="B5010" s="590">
        <v>310</v>
      </c>
      <c r="C5010" t="s">
        <v>27895</v>
      </c>
    </row>
    <row r="5011" spans="1:3">
      <c r="A5011" t="s">
        <v>27894</v>
      </c>
      <c r="B5011" s="590">
        <v>371</v>
      </c>
      <c r="C5011" t="s">
        <v>27893</v>
      </c>
    </row>
    <row r="5012" spans="1:3">
      <c r="A5012" t="s">
        <v>27892</v>
      </c>
      <c r="B5012" s="590">
        <v>310</v>
      </c>
      <c r="C5012" t="s">
        <v>27891</v>
      </c>
    </row>
    <row r="5013" spans="1:3">
      <c r="A5013" t="s">
        <v>27890</v>
      </c>
      <c r="B5013" s="590">
        <v>310</v>
      </c>
      <c r="C5013" t="s">
        <v>27889</v>
      </c>
    </row>
    <row r="5014" spans="1:3">
      <c r="A5014" t="s">
        <v>27888</v>
      </c>
      <c r="B5014" s="590">
        <v>310</v>
      </c>
      <c r="C5014" t="s">
        <v>27887</v>
      </c>
    </row>
    <row r="5015" spans="1:3">
      <c r="A5015" t="s">
        <v>27886</v>
      </c>
      <c r="B5015" s="590">
        <v>310</v>
      </c>
      <c r="C5015" t="s">
        <v>27885</v>
      </c>
    </row>
    <row r="5016" spans="1:3">
      <c r="A5016" t="s">
        <v>27884</v>
      </c>
      <c r="B5016" s="590">
        <v>310</v>
      </c>
      <c r="C5016" t="s">
        <v>27883</v>
      </c>
    </row>
    <row r="5017" spans="1:3">
      <c r="A5017" t="s">
        <v>27882</v>
      </c>
      <c r="B5017" s="590">
        <v>122</v>
      </c>
      <c r="C5017" t="s">
        <v>27881</v>
      </c>
    </row>
    <row r="5018" spans="1:3">
      <c r="A5018" t="s">
        <v>27880</v>
      </c>
      <c r="B5018" s="590">
        <v>593</v>
      </c>
      <c r="C5018" t="s">
        <v>27879</v>
      </c>
    </row>
    <row r="5019" spans="1:3">
      <c r="A5019" t="s">
        <v>27878</v>
      </c>
      <c r="B5019" s="590">
        <v>829</v>
      </c>
      <c r="C5019" t="s">
        <v>27877</v>
      </c>
    </row>
    <row r="5020" spans="1:3">
      <c r="A5020" t="s">
        <v>27876</v>
      </c>
      <c r="B5020" s="590">
        <v>607</v>
      </c>
      <c r="C5020" t="s">
        <v>27875</v>
      </c>
    </row>
    <row r="5021" spans="1:3">
      <c r="A5021" t="s">
        <v>27874</v>
      </c>
      <c r="B5021" s="590">
        <v>211</v>
      </c>
      <c r="C5021" t="s">
        <v>27873</v>
      </c>
    </row>
    <row r="5022" spans="1:3">
      <c r="A5022" t="s">
        <v>27872</v>
      </c>
      <c r="B5022" s="590">
        <v>228</v>
      </c>
      <c r="C5022" t="s">
        <v>27871</v>
      </c>
    </row>
    <row r="5023" spans="1:3">
      <c r="A5023" t="s">
        <v>27870</v>
      </c>
      <c r="B5023" s="590">
        <v>228</v>
      </c>
      <c r="C5023" t="s">
        <v>27869</v>
      </c>
    </row>
    <row r="5024" spans="1:3">
      <c r="A5024" t="s">
        <v>22063</v>
      </c>
      <c r="B5024" s="590">
        <v>2526</v>
      </c>
      <c r="C5024" t="s">
        <v>27868</v>
      </c>
    </row>
    <row r="5025" spans="1:3">
      <c r="A5025" t="s">
        <v>27867</v>
      </c>
      <c r="B5025" s="590">
        <v>903</v>
      </c>
      <c r="C5025" t="s">
        <v>27866</v>
      </c>
    </row>
    <row r="5026" spans="1:3">
      <c r="A5026" t="s">
        <v>27865</v>
      </c>
      <c r="B5026" s="590">
        <v>1035</v>
      </c>
      <c r="C5026" t="s">
        <v>27864</v>
      </c>
    </row>
    <row r="5027" spans="1:3">
      <c r="A5027" t="s">
        <v>27863</v>
      </c>
      <c r="B5027" s="590">
        <v>1035</v>
      </c>
      <c r="C5027" t="s">
        <v>27862</v>
      </c>
    </row>
    <row r="5028" spans="1:3">
      <c r="A5028" t="s">
        <v>27861</v>
      </c>
      <c r="B5028" s="590">
        <v>1166</v>
      </c>
      <c r="C5028" t="s">
        <v>27860</v>
      </c>
    </row>
    <row r="5029" spans="1:3">
      <c r="A5029" t="s">
        <v>27859</v>
      </c>
      <c r="B5029" s="590">
        <v>1166</v>
      </c>
      <c r="C5029" t="s">
        <v>27858</v>
      </c>
    </row>
    <row r="5030" spans="1:3">
      <c r="A5030" t="s">
        <v>27857</v>
      </c>
      <c r="B5030" s="590">
        <v>1356</v>
      </c>
      <c r="C5030" t="s">
        <v>27856</v>
      </c>
    </row>
    <row r="5031" spans="1:3">
      <c r="A5031" t="s">
        <v>27855</v>
      </c>
      <c r="B5031" s="590">
        <v>1356</v>
      </c>
      <c r="C5031" t="s">
        <v>27854</v>
      </c>
    </row>
    <row r="5032" spans="1:3">
      <c r="A5032" t="s">
        <v>27853</v>
      </c>
      <c r="B5032" s="590">
        <v>1545</v>
      </c>
      <c r="C5032" t="s">
        <v>27852</v>
      </c>
    </row>
    <row r="5033" spans="1:3">
      <c r="A5033" t="s">
        <v>27851</v>
      </c>
      <c r="B5033" s="590">
        <v>1545</v>
      </c>
      <c r="C5033" t="s">
        <v>27850</v>
      </c>
    </row>
    <row r="5034" spans="1:3">
      <c r="A5034" t="s">
        <v>27849</v>
      </c>
      <c r="B5034" s="590">
        <v>1676</v>
      </c>
      <c r="C5034" t="s">
        <v>27848</v>
      </c>
    </row>
    <row r="5035" spans="1:3">
      <c r="A5035" t="s">
        <v>27847</v>
      </c>
      <c r="B5035" s="590">
        <v>1676</v>
      </c>
      <c r="C5035" t="s">
        <v>27846</v>
      </c>
    </row>
    <row r="5036" spans="1:3">
      <c r="A5036" t="s">
        <v>27845</v>
      </c>
      <c r="B5036" s="590">
        <v>1807</v>
      </c>
      <c r="C5036" t="s">
        <v>27844</v>
      </c>
    </row>
    <row r="5037" spans="1:3">
      <c r="A5037" t="s">
        <v>27843</v>
      </c>
      <c r="B5037" s="590">
        <v>1807</v>
      </c>
      <c r="C5037" t="s">
        <v>27842</v>
      </c>
    </row>
    <row r="5038" spans="1:3">
      <c r="A5038" t="s">
        <v>27841</v>
      </c>
      <c r="B5038" s="590">
        <v>1997</v>
      </c>
      <c r="C5038" t="s">
        <v>27840</v>
      </c>
    </row>
    <row r="5039" spans="1:3">
      <c r="A5039" t="s">
        <v>27839</v>
      </c>
      <c r="B5039" s="590">
        <v>1997</v>
      </c>
      <c r="C5039" t="s">
        <v>27838</v>
      </c>
    </row>
    <row r="5040" spans="1:3">
      <c r="A5040" t="s">
        <v>27837</v>
      </c>
      <c r="B5040" s="590">
        <v>2185</v>
      </c>
      <c r="C5040" t="s">
        <v>27836</v>
      </c>
    </row>
    <row r="5041" spans="1:3">
      <c r="A5041" t="s">
        <v>27835</v>
      </c>
      <c r="B5041" s="590">
        <v>2185</v>
      </c>
      <c r="C5041" t="s">
        <v>27834</v>
      </c>
    </row>
    <row r="5042" spans="1:3">
      <c r="A5042" t="s">
        <v>27833</v>
      </c>
      <c r="B5042" s="590">
        <v>2317</v>
      </c>
      <c r="C5042" t="s">
        <v>27832</v>
      </c>
    </row>
    <row r="5043" spans="1:3">
      <c r="A5043" t="s">
        <v>27831</v>
      </c>
      <c r="B5043" s="590">
        <v>2317</v>
      </c>
      <c r="C5043" t="s">
        <v>27830</v>
      </c>
    </row>
    <row r="5044" spans="1:3">
      <c r="A5044" t="s">
        <v>27829</v>
      </c>
      <c r="B5044" s="590">
        <v>2447</v>
      </c>
      <c r="C5044" t="s">
        <v>27828</v>
      </c>
    </row>
    <row r="5045" spans="1:3">
      <c r="A5045" t="s">
        <v>27827</v>
      </c>
      <c r="B5045" s="590">
        <v>2447</v>
      </c>
      <c r="C5045" t="s">
        <v>27826</v>
      </c>
    </row>
    <row r="5046" spans="1:3">
      <c r="A5046" t="s">
        <v>27825</v>
      </c>
      <c r="B5046" s="590">
        <v>2636</v>
      </c>
      <c r="C5046" t="s">
        <v>27824</v>
      </c>
    </row>
    <row r="5047" spans="1:3">
      <c r="A5047" t="s">
        <v>27823</v>
      </c>
      <c r="B5047" s="590">
        <v>2636</v>
      </c>
      <c r="C5047" t="s">
        <v>27822</v>
      </c>
    </row>
    <row r="5048" spans="1:3">
      <c r="A5048" t="s">
        <v>27821</v>
      </c>
      <c r="B5048" s="590">
        <v>2826</v>
      </c>
      <c r="C5048" t="s">
        <v>27820</v>
      </c>
    </row>
    <row r="5049" spans="1:3">
      <c r="A5049" t="s">
        <v>27819</v>
      </c>
      <c r="B5049" s="590">
        <v>2826</v>
      </c>
      <c r="C5049" t="s">
        <v>27818</v>
      </c>
    </row>
    <row r="5050" spans="1:3">
      <c r="A5050" t="s">
        <v>27817</v>
      </c>
      <c r="B5050" s="590">
        <v>144</v>
      </c>
      <c r="C5050" t="s">
        <v>27816</v>
      </c>
    </row>
    <row r="5051" spans="1:3">
      <c r="A5051" t="s">
        <v>27815</v>
      </c>
      <c r="B5051" s="590">
        <v>144</v>
      </c>
      <c r="C5051" t="s">
        <v>27814</v>
      </c>
    </row>
    <row r="5052" spans="1:3">
      <c r="A5052" t="s">
        <v>27813</v>
      </c>
      <c r="B5052" s="590">
        <v>144</v>
      </c>
      <c r="C5052" t="s">
        <v>27812</v>
      </c>
    </row>
    <row r="5053" spans="1:3">
      <c r="A5053" t="s">
        <v>27811</v>
      </c>
      <c r="B5053" s="590">
        <v>144</v>
      </c>
      <c r="C5053" t="s">
        <v>27810</v>
      </c>
    </row>
    <row r="5054" spans="1:3">
      <c r="A5054" t="s">
        <v>27809</v>
      </c>
      <c r="B5054" s="590">
        <v>227</v>
      </c>
      <c r="C5054" t="s">
        <v>27808</v>
      </c>
    </row>
    <row r="5055" spans="1:3">
      <c r="A5055" t="s">
        <v>27807</v>
      </c>
      <c r="B5055" s="590">
        <v>46</v>
      </c>
      <c r="C5055" t="s">
        <v>27806</v>
      </c>
    </row>
    <row r="5056" spans="1:3">
      <c r="A5056" t="s">
        <v>27805</v>
      </c>
      <c r="B5056" s="590">
        <v>305</v>
      </c>
      <c r="C5056" t="s">
        <v>27804</v>
      </c>
    </row>
    <row r="5057" spans="1:3">
      <c r="A5057" t="s">
        <v>27803</v>
      </c>
      <c r="B5057" s="590">
        <v>352</v>
      </c>
      <c r="C5057" t="s">
        <v>27788</v>
      </c>
    </row>
    <row r="5058" spans="1:3">
      <c r="A5058" t="s">
        <v>27802</v>
      </c>
      <c r="B5058" s="590">
        <v>448</v>
      </c>
      <c r="C5058" t="s">
        <v>27786</v>
      </c>
    </row>
    <row r="5059" spans="1:3">
      <c r="A5059" t="s">
        <v>27801</v>
      </c>
      <c r="B5059" s="590">
        <v>275</v>
      </c>
      <c r="C5059" t="s">
        <v>27792</v>
      </c>
    </row>
    <row r="5060" spans="1:3">
      <c r="A5060" t="s">
        <v>27800</v>
      </c>
      <c r="B5060" s="590">
        <v>520</v>
      </c>
      <c r="C5060" t="s">
        <v>27790</v>
      </c>
    </row>
    <row r="5061" spans="1:3">
      <c r="A5061" t="s">
        <v>27799</v>
      </c>
      <c r="B5061" s="590">
        <v>693</v>
      </c>
      <c r="C5061" t="s">
        <v>27788</v>
      </c>
    </row>
    <row r="5062" spans="1:3">
      <c r="A5062" t="s">
        <v>27798</v>
      </c>
      <c r="B5062" s="590">
        <v>866</v>
      </c>
      <c r="C5062" t="s">
        <v>27786</v>
      </c>
    </row>
    <row r="5063" spans="1:3">
      <c r="A5063" t="s">
        <v>27797</v>
      </c>
      <c r="B5063" s="590">
        <v>46</v>
      </c>
      <c r="C5063" t="s">
        <v>27792</v>
      </c>
    </row>
    <row r="5064" spans="1:3">
      <c r="A5064" t="s">
        <v>27796</v>
      </c>
      <c r="B5064" s="590">
        <v>305</v>
      </c>
      <c r="C5064" t="s">
        <v>27790</v>
      </c>
    </row>
    <row r="5065" spans="1:3">
      <c r="A5065" t="s">
        <v>27795</v>
      </c>
      <c r="B5065" s="590">
        <v>352</v>
      </c>
      <c r="C5065" t="s">
        <v>27788</v>
      </c>
    </row>
    <row r="5066" spans="1:3">
      <c r="A5066" t="s">
        <v>27794</v>
      </c>
      <c r="B5066" s="590">
        <v>448</v>
      </c>
      <c r="C5066" t="s">
        <v>27786</v>
      </c>
    </row>
    <row r="5067" spans="1:3">
      <c r="A5067" t="s">
        <v>27793</v>
      </c>
      <c r="B5067" s="590">
        <v>275</v>
      </c>
      <c r="C5067" t="s">
        <v>27792</v>
      </c>
    </row>
    <row r="5068" spans="1:3">
      <c r="A5068" t="s">
        <v>27791</v>
      </c>
      <c r="B5068" s="590">
        <v>520</v>
      </c>
      <c r="C5068" t="s">
        <v>27790</v>
      </c>
    </row>
    <row r="5069" spans="1:3">
      <c r="A5069" t="s">
        <v>27789</v>
      </c>
      <c r="B5069" s="590">
        <v>693</v>
      </c>
      <c r="C5069" t="s">
        <v>27788</v>
      </c>
    </row>
    <row r="5070" spans="1:3">
      <c r="A5070" t="s">
        <v>27787</v>
      </c>
      <c r="B5070" s="590">
        <v>866</v>
      </c>
      <c r="C5070" t="s">
        <v>27786</v>
      </c>
    </row>
    <row r="5071" spans="1:3">
      <c r="A5071" t="s">
        <v>27785</v>
      </c>
      <c r="B5071" s="590">
        <v>3089</v>
      </c>
      <c r="C5071" t="s">
        <v>27784</v>
      </c>
    </row>
    <row r="5072" spans="1:3">
      <c r="A5072" t="s">
        <v>27783</v>
      </c>
      <c r="B5072" s="590">
        <v>4087</v>
      </c>
      <c r="C5072" t="s">
        <v>27782</v>
      </c>
    </row>
    <row r="5073" spans="1:3">
      <c r="A5073" t="s">
        <v>27781</v>
      </c>
      <c r="B5073" s="590">
        <v>3089</v>
      </c>
      <c r="C5073" t="s">
        <v>27780</v>
      </c>
    </row>
    <row r="5074" spans="1:3">
      <c r="A5074" t="s">
        <v>27779</v>
      </c>
      <c r="B5074" s="590">
        <v>357</v>
      </c>
      <c r="C5074" t="s">
        <v>27778</v>
      </c>
    </row>
    <row r="5075" spans="1:3">
      <c r="A5075" t="s">
        <v>27777</v>
      </c>
      <c r="B5075" s="590">
        <v>1050</v>
      </c>
      <c r="C5075" t="s">
        <v>27776</v>
      </c>
    </row>
    <row r="5076" spans="1:3">
      <c r="A5076" t="s">
        <v>27775</v>
      </c>
      <c r="B5076" s="590">
        <v>1050</v>
      </c>
      <c r="C5076" t="s">
        <v>27774</v>
      </c>
    </row>
    <row r="5077" spans="1:3">
      <c r="A5077" t="s">
        <v>27773</v>
      </c>
      <c r="B5077" s="590">
        <v>1295</v>
      </c>
      <c r="C5077" t="s">
        <v>27772</v>
      </c>
    </row>
    <row r="5078" spans="1:3">
      <c r="A5078" t="s">
        <v>27771</v>
      </c>
      <c r="B5078" s="590">
        <v>3547</v>
      </c>
      <c r="C5078" t="s">
        <v>27770</v>
      </c>
    </row>
    <row r="5079" spans="1:3">
      <c r="A5079" t="s">
        <v>27769</v>
      </c>
      <c r="B5079" s="590">
        <v>4685</v>
      </c>
      <c r="C5079" t="s">
        <v>27768</v>
      </c>
    </row>
    <row r="5080" spans="1:3">
      <c r="A5080" t="s">
        <v>27767</v>
      </c>
      <c r="B5080" s="590">
        <v>4685</v>
      </c>
      <c r="C5080" t="s">
        <v>27766</v>
      </c>
    </row>
    <row r="5081" spans="1:3">
      <c r="A5081" t="s">
        <v>27765</v>
      </c>
      <c r="B5081" s="590">
        <v>3547</v>
      </c>
      <c r="C5081" t="s">
        <v>27764</v>
      </c>
    </row>
    <row r="5082" spans="1:3">
      <c r="A5082" t="s">
        <v>27763</v>
      </c>
      <c r="B5082" s="590">
        <v>357</v>
      </c>
      <c r="C5082" t="s">
        <v>27762</v>
      </c>
    </row>
    <row r="5083" spans="1:3">
      <c r="A5083" t="s">
        <v>27761</v>
      </c>
      <c r="B5083" s="590">
        <v>713</v>
      </c>
      <c r="C5083" t="s">
        <v>27760</v>
      </c>
    </row>
    <row r="5084" spans="1:3">
      <c r="A5084" t="s">
        <v>27759</v>
      </c>
      <c r="B5084" s="590">
        <v>357</v>
      </c>
      <c r="C5084" t="s">
        <v>27758</v>
      </c>
    </row>
    <row r="5085" spans="1:3">
      <c r="A5085" t="s">
        <v>27757</v>
      </c>
      <c r="B5085" s="590">
        <v>1050</v>
      </c>
      <c r="C5085" t="s">
        <v>27756</v>
      </c>
    </row>
    <row r="5086" spans="1:3">
      <c r="A5086" t="s">
        <v>27755</v>
      </c>
      <c r="B5086" s="590">
        <v>1050</v>
      </c>
      <c r="C5086" t="s">
        <v>27754</v>
      </c>
    </row>
    <row r="5087" spans="1:3">
      <c r="A5087" t="s">
        <v>27753</v>
      </c>
      <c r="B5087" s="590">
        <v>1260</v>
      </c>
      <c r="C5087" t="s">
        <v>27752</v>
      </c>
    </row>
    <row r="5088" spans="1:3">
      <c r="A5088" t="s">
        <v>27751</v>
      </c>
      <c r="B5088" s="590">
        <v>1295</v>
      </c>
      <c r="C5088" t="s">
        <v>27750</v>
      </c>
    </row>
    <row r="5089" spans="1:3">
      <c r="A5089" t="s">
        <v>27749</v>
      </c>
      <c r="B5089" s="590">
        <v>1295</v>
      </c>
      <c r="C5089" t="s">
        <v>27748</v>
      </c>
    </row>
    <row r="5090" spans="1:3">
      <c r="A5090" t="s">
        <v>27747</v>
      </c>
      <c r="B5090" s="590">
        <v>100</v>
      </c>
      <c r="C5090" t="s">
        <v>27746</v>
      </c>
    </row>
    <row r="5091" spans="1:3">
      <c r="A5091" t="s">
        <v>27745</v>
      </c>
      <c r="B5091" s="590">
        <v>100</v>
      </c>
      <c r="C5091" t="s">
        <v>27744</v>
      </c>
    </row>
    <row r="5092" spans="1:3">
      <c r="A5092" t="s">
        <v>27743</v>
      </c>
      <c r="B5092" s="590">
        <v>115</v>
      </c>
      <c r="C5092" t="s">
        <v>27742</v>
      </c>
    </row>
    <row r="5093" spans="1:3">
      <c r="A5093" t="s">
        <v>27741</v>
      </c>
      <c r="B5093" s="590">
        <v>115</v>
      </c>
      <c r="C5093" t="s">
        <v>27740</v>
      </c>
    </row>
    <row r="5094" spans="1:3">
      <c r="A5094" t="s">
        <v>27739</v>
      </c>
      <c r="B5094" s="590">
        <v>100</v>
      </c>
      <c r="C5094" t="s">
        <v>27738</v>
      </c>
    </row>
    <row r="5095" spans="1:3">
      <c r="A5095" t="s">
        <v>27737</v>
      </c>
      <c r="B5095" s="590">
        <v>100</v>
      </c>
      <c r="C5095" t="s">
        <v>27736</v>
      </c>
    </row>
    <row r="5096" spans="1:3">
      <c r="A5096" t="s">
        <v>27725</v>
      </c>
      <c r="B5096" s="590">
        <v>100</v>
      </c>
      <c r="C5096" t="s">
        <v>27724</v>
      </c>
    </row>
    <row r="5097" spans="1:3">
      <c r="A5097" t="s">
        <v>27723</v>
      </c>
      <c r="B5097" s="590">
        <v>100</v>
      </c>
      <c r="C5097" t="s">
        <v>27722</v>
      </c>
    </row>
    <row r="5098" spans="1:3">
      <c r="A5098" t="s">
        <v>27735</v>
      </c>
      <c r="B5098" s="590">
        <v>100</v>
      </c>
      <c r="C5098" t="s">
        <v>27734</v>
      </c>
    </row>
    <row r="5099" spans="1:3">
      <c r="A5099" t="s">
        <v>27733</v>
      </c>
      <c r="B5099" s="590">
        <v>115</v>
      </c>
      <c r="C5099" t="s">
        <v>27732</v>
      </c>
    </row>
    <row r="5100" spans="1:3">
      <c r="A5100" t="s">
        <v>27725</v>
      </c>
      <c r="B5100" s="590">
        <v>100</v>
      </c>
      <c r="C5100" t="s">
        <v>27724</v>
      </c>
    </row>
    <row r="5101" spans="1:3">
      <c r="A5101" t="s">
        <v>27723</v>
      </c>
      <c r="B5101" s="590">
        <v>100</v>
      </c>
      <c r="C5101" t="s">
        <v>27722</v>
      </c>
    </row>
    <row r="5102" spans="1:3">
      <c r="A5102" t="s">
        <v>27731</v>
      </c>
      <c r="B5102" s="590">
        <v>100</v>
      </c>
      <c r="C5102" t="s">
        <v>27730</v>
      </c>
    </row>
    <row r="5103" spans="1:3">
      <c r="A5103" t="s">
        <v>27729</v>
      </c>
      <c r="B5103" s="590">
        <v>100</v>
      </c>
      <c r="C5103" t="s">
        <v>27728</v>
      </c>
    </row>
    <row r="5104" spans="1:3">
      <c r="A5104" t="s">
        <v>27727</v>
      </c>
      <c r="B5104" s="590">
        <v>100</v>
      </c>
      <c r="C5104" t="s">
        <v>27726</v>
      </c>
    </row>
    <row r="5105" spans="1:3">
      <c r="A5105" t="s">
        <v>27725</v>
      </c>
      <c r="B5105" s="590">
        <v>100</v>
      </c>
      <c r="C5105" t="s">
        <v>27724</v>
      </c>
    </row>
    <row r="5106" spans="1:3">
      <c r="A5106" t="s">
        <v>27723</v>
      </c>
      <c r="B5106" s="590">
        <v>100</v>
      </c>
      <c r="C5106" t="s">
        <v>27722</v>
      </c>
    </row>
    <row r="5107" spans="1:3">
      <c r="A5107" t="s">
        <v>27721</v>
      </c>
      <c r="B5107" s="590">
        <v>115</v>
      </c>
      <c r="C5107" t="s">
        <v>27720</v>
      </c>
    </row>
    <row r="5108" spans="1:3">
      <c r="A5108" t="s">
        <v>27719</v>
      </c>
      <c r="B5108" s="590">
        <v>115</v>
      </c>
      <c r="C5108" t="s">
        <v>27718</v>
      </c>
    </row>
    <row r="5109" spans="1:3">
      <c r="A5109" t="s">
        <v>27717</v>
      </c>
      <c r="B5109" s="590">
        <v>100</v>
      </c>
      <c r="C5109" t="s">
        <v>27716</v>
      </c>
    </row>
    <row r="5110" spans="1:3">
      <c r="A5110" t="s">
        <v>27715</v>
      </c>
      <c r="B5110" s="590">
        <v>100</v>
      </c>
      <c r="C5110" t="s">
        <v>27714</v>
      </c>
    </row>
    <row r="5111" spans="1:3">
      <c r="A5111" t="s">
        <v>27713</v>
      </c>
      <c r="B5111" s="590">
        <v>100</v>
      </c>
      <c r="C5111" t="s">
        <v>27712</v>
      </c>
    </row>
    <row r="5112" spans="1:3">
      <c r="A5112" t="s">
        <v>27711</v>
      </c>
      <c r="B5112" s="590">
        <v>100</v>
      </c>
      <c r="C5112" t="s">
        <v>27710</v>
      </c>
    </row>
    <row r="5113" spans="1:3">
      <c r="A5113" t="s">
        <v>27709</v>
      </c>
      <c r="B5113" s="590">
        <v>100</v>
      </c>
      <c r="C5113" t="s">
        <v>27708</v>
      </c>
    </row>
    <row r="5114" spans="1:3">
      <c r="A5114" t="s">
        <v>27707</v>
      </c>
      <c r="B5114" s="590">
        <v>115</v>
      </c>
      <c r="C5114" t="s">
        <v>27706</v>
      </c>
    </row>
    <row r="5115" spans="1:3">
      <c r="A5115" t="s">
        <v>27705</v>
      </c>
      <c r="B5115" s="590">
        <v>115</v>
      </c>
      <c r="C5115" t="s">
        <v>27704</v>
      </c>
    </row>
    <row r="5116" spans="1:3">
      <c r="A5116" t="s">
        <v>27703</v>
      </c>
      <c r="B5116" s="590">
        <v>100</v>
      </c>
      <c r="C5116" t="s">
        <v>27702</v>
      </c>
    </row>
    <row r="5117" spans="1:3">
      <c r="A5117" t="s">
        <v>27701</v>
      </c>
      <c r="B5117" s="590">
        <v>115</v>
      </c>
      <c r="C5117" t="s">
        <v>27700</v>
      </c>
    </row>
    <row r="5118" spans="1:3">
      <c r="A5118" t="s">
        <v>27699</v>
      </c>
      <c r="B5118" s="590">
        <v>100</v>
      </c>
      <c r="C5118" t="s">
        <v>27698</v>
      </c>
    </row>
    <row r="5119" spans="1:3">
      <c r="A5119" t="s">
        <v>27697</v>
      </c>
      <c r="B5119" s="590">
        <v>100</v>
      </c>
      <c r="C5119" t="s">
        <v>27696</v>
      </c>
    </row>
    <row r="5120" spans="1:3">
      <c r="A5120" t="s">
        <v>27695</v>
      </c>
      <c r="B5120" s="590">
        <v>100</v>
      </c>
      <c r="C5120" t="s">
        <v>27694</v>
      </c>
    </row>
    <row r="5121" spans="1:3">
      <c r="A5121" t="s">
        <v>27693</v>
      </c>
      <c r="B5121" s="590">
        <v>100</v>
      </c>
      <c r="C5121" t="s">
        <v>27692</v>
      </c>
    </row>
    <row r="5122" spans="1:3">
      <c r="A5122" t="s">
        <v>27673</v>
      </c>
      <c r="B5122" s="590">
        <v>100</v>
      </c>
      <c r="C5122" t="s">
        <v>27672</v>
      </c>
    </row>
    <row r="5123" spans="1:3">
      <c r="A5123" t="s">
        <v>27691</v>
      </c>
      <c r="B5123" s="590">
        <v>100</v>
      </c>
      <c r="C5123" t="s">
        <v>27690</v>
      </c>
    </row>
    <row r="5124" spans="1:3">
      <c r="A5124" t="s">
        <v>27689</v>
      </c>
      <c r="B5124" s="590">
        <v>115</v>
      </c>
      <c r="C5124" t="s">
        <v>27688</v>
      </c>
    </row>
    <row r="5125" spans="1:3">
      <c r="A5125" t="s">
        <v>27685</v>
      </c>
      <c r="B5125" s="590">
        <v>100</v>
      </c>
      <c r="C5125" t="s">
        <v>27684</v>
      </c>
    </row>
    <row r="5126" spans="1:3">
      <c r="A5126" t="s">
        <v>27683</v>
      </c>
      <c r="B5126" s="590">
        <v>100</v>
      </c>
      <c r="C5126" t="s">
        <v>27682</v>
      </c>
    </row>
    <row r="5127" spans="1:3">
      <c r="A5127" t="s">
        <v>27681</v>
      </c>
      <c r="B5127" s="590">
        <v>115</v>
      </c>
      <c r="C5127" t="s">
        <v>27680</v>
      </c>
    </row>
    <row r="5128" spans="1:3">
      <c r="A5128" t="s">
        <v>27679</v>
      </c>
      <c r="B5128" s="590">
        <v>115</v>
      </c>
      <c r="C5128" t="s">
        <v>27678</v>
      </c>
    </row>
    <row r="5129" spans="1:3">
      <c r="A5129" t="s">
        <v>27687</v>
      </c>
      <c r="B5129" s="590">
        <v>133</v>
      </c>
      <c r="C5129" t="s">
        <v>27686</v>
      </c>
    </row>
    <row r="5130" spans="1:3">
      <c r="A5130" t="s">
        <v>27685</v>
      </c>
      <c r="B5130" s="590">
        <v>100</v>
      </c>
      <c r="C5130" t="s">
        <v>27684</v>
      </c>
    </row>
    <row r="5131" spans="1:3">
      <c r="A5131" t="s">
        <v>27683</v>
      </c>
      <c r="B5131" s="590">
        <v>100</v>
      </c>
      <c r="C5131" t="s">
        <v>27682</v>
      </c>
    </row>
    <row r="5132" spans="1:3">
      <c r="A5132" t="s">
        <v>27681</v>
      </c>
      <c r="B5132" s="590">
        <v>115</v>
      </c>
      <c r="C5132" t="s">
        <v>27680</v>
      </c>
    </row>
    <row r="5133" spans="1:3">
      <c r="A5133" t="s">
        <v>27679</v>
      </c>
      <c r="B5133" s="590">
        <v>115</v>
      </c>
      <c r="C5133" t="s">
        <v>27678</v>
      </c>
    </row>
    <row r="5134" spans="1:3">
      <c r="A5134" t="s">
        <v>27677</v>
      </c>
      <c r="B5134" s="590">
        <v>133</v>
      </c>
      <c r="C5134" t="s">
        <v>27676</v>
      </c>
    </row>
    <row r="5135" spans="1:3">
      <c r="A5135" t="s">
        <v>27675</v>
      </c>
      <c r="B5135" s="590">
        <v>133</v>
      </c>
      <c r="C5135" t="s">
        <v>27674</v>
      </c>
    </row>
    <row r="5136" spans="1:3">
      <c r="A5136" t="s">
        <v>27677</v>
      </c>
      <c r="B5136" s="590">
        <v>133</v>
      </c>
      <c r="C5136" t="s">
        <v>27676</v>
      </c>
    </row>
    <row r="5137" spans="1:3">
      <c r="A5137" t="s">
        <v>27675</v>
      </c>
      <c r="B5137" s="590">
        <v>133</v>
      </c>
      <c r="C5137" t="s">
        <v>27674</v>
      </c>
    </row>
    <row r="5138" spans="1:3">
      <c r="A5138" t="s">
        <v>27673</v>
      </c>
      <c r="B5138" s="590">
        <v>100</v>
      </c>
      <c r="C5138" t="s">
        <v>27672</v>
      </c>
    </row>
    <row r="5139" spans="1:3">
      <c r="A5139" t="s">
        <v>27671</v>
      </c>
      <c r="B5139" s="590">
        <v>100</v>
      </c>
      <c r="C5139" t="s">
        <v>27670</v>
      </c>
    </row>
    <row r="5140" spans="1:3">
      <c r="A5140" t="s">
        <v>27669</v>
      </c>
      <c r="B5140" s="590">
        <v>100</v>
      </c>
      <c r="C5140" t="s">
        <v>27668</v>
      </c>
    </row>
    <row r="5141" spans="1:3">
      <c r="A5141" t="s">
        <v>27667</v>
      </c>
      <c r="B5141" s="590">
        <v>100</v>
      </c>
      <c r="C5141" t="s">
        <v>27666</v>
      </c>
    </row>
    <row r="5142" spans="1:3">
      <c r="A5142" t="s">
        <v>27665</v>
      </c>
      <c r="B5142" s="590">
        <v>100</v>
      </c>
      <c r="C5142" t="s">
        <v>27664</v>
      </c>
    </row>
    <row r="5143" spans="1:3">
      <c r="A5143" t="s">
        <v>27663</v>
      </c>
      <c r="B5143" s="590">
        <v>100</v>
      </c>
      <c r="C5143" t="s">
        <v>27662</v>
      </c>
    </row>
    <row r="5144" spans="1:3">
      <c r="A5144" t="s">
        <v>27661</v>
      </c>
      <c r="B5144" s="590">
        <v>115</v>
      </c>
      <c r="C5144" t="s">
        <v>27660</v>
      </c>
    </row>
    <row r="5145" spans="1:3">
      <c r="A5145" t="s">
        <v>27659</v>
      </c>
      <c r="B5145" s="590">
        <v>100</v>
      </c>
      <c r="C5145" t="s">
        <v>27658</v>
      </c>
    </row>
    <row r="5146" spans="1:3">
      <c r="A5146" t="s">
        <v>27657</v>
      </c>
      <c r="B5146" s="590">
        <v>100</v>
      </c>
      <c r="C5146" t="s">
        <v>27656</v>
      </c>
    </row>
    <row r="5147" spans="1:3">
      <c r="A5147" t="s">
        <v>27655</v>
      </c>
      <c r="B5147" s="590">
        <v>115</v>
      </c>
      <c r="C5147" t="s">
        <v>27654</v>
      </c>
    </row>
    <row r="5148" spans="1:3">
      <c r="A5148" t="s">
        <v>27653</v>
      </c>
      <c r="B5148" s="590">
        <v>115</v>
      </c>
      <c r="C5148" t="s">
        <v>27652</v>
      </c>
    </row>
    <row r="5149" spans="1:3">
      <c r="A5149" t="s">
        <v>27651</v>
      </c>
      <c r="B5149" s="590">
        <v>133</v>
      </c>
      <c r="C5149" t="s">
        <v>27650</v>
      </c>
    </row>
    <row r="5150" spans="1:3">
      <c r="A5150" t="s">
        <v>27649</v>
      </c>
      <c r="B5150" s="590">
        <v>133</v>
      </c>
      <c r="C5150" t="s">
        <v>27648</v>
      </c>
    </row>
    <row r="5151" spans="1:3">
      <c r="A5151" t="s">
        <v>27647</v>
      </c>
      <c r="B5151" s="590">
        <v>100</v>
      </c>
      <c r="C5151" t="s">
        <v>27646</v>
      </c>
    </row>
    <row r="5152" spans="1:3">
      <c r="A5152" t="s">
        <v>27645</v>
      </c>
      <c r="B5152" s="590">
        <v>100</v>
      </c>
      <c r="C5152" t="s">
        <v>27644</v>
      </c>
    </row>
    <row r="5153" spans="1:3">
      <c r="A5153" t="s">
        <v>27643</v>
      </c>
      <c r="B5153" s="590">
        <v>115</v>
      </c>
      <c r="C5153" t="s">
        <v>27642</v>
      </c>
    </row>
    <row r="5154" spans="1:3">
      <c r="A5154" t="s">
        <v>27641</v>
      </c>
      <c r="B5154" s="590">
        <v>62</v>
      </c>
      <c r="C5154" t="s">
        <v>27640</v>
      </c>
    </row>
    <row r="5155" spans="1:3">
      <c r="A5155" t="s">
        <v>27639</v>
      </c>
      <c r="B5155" s="590">
        <v>94</v>
      </c>
      <c r="C5155" t="s">
        <v>27638</v>
      </c>
    </row>
    <row r="5156" spans="1:3">
      <c r="A5156" t="s">
        <v>27637</v>
      </c>
      <c r="B5156" s="590">
        <v>156</v>
      </c>
      <c r="C5156" t="s">
        <v>27636</v>
      </c>
    </row>
    <row r="5157" spans="1:3">
      <c r="A5157" t="s">
        <v>27635</v>
      </c>
      <c r="B5157" s="590">
        <v>76</v>
      </c>
      <c r="C5157" t="s">
        <v>27634</v>
      </c>
    </row>
    <row r="5158" spans="1:3">
      <c r="A5158" t="s">
        <v>27633</v>
      </c>
      <c r="B5158" s="590">
        <v>120</v>
      </c>
      <c r="C5158" t="s">
        <v>27632</v>
      </c>
    </row>
    <row r="5159" spans="1:3">
      <c r="A5159" t="s">
        <v>27631</v>
      </c>
      <c r="B5159" s="590">
        <v>76</v>
      </c>
      <c r="C5159" t="s">
        <v>27630</v>
      </c>
    </row>
    <row r="5160" spans="1:3">
      <c r="A5160" t="s">
        <v>27629</v>
      </c>
      <c r="B5160" s="590">
        <v>120</v>
      </c>
      <c r="C5160" t="s">
        <v>27628</v>
      </c>
    </row>
    <row r="5161" spans="1:3">
      <c r="A5161" t="s">
        <v>27627</v>
      </c>
      <c r="B5161" s="590">
        <v>72</v>
      </c>
      <c r="C5161" t="s">
        <v>27626</v>
      </c>
    </row>
    <row r="5162" spans="1:3">
      <c r="A5162" t="s">
        <v>27625</v>
      </c>
      <c r="B5162" s="590">
        <v>108</v>
      </c>
      <c r="C5162" t="s">
        <v>27624</v>
      </c>
    </row>
    <row r="5163" spans="1:3">
      <c r="A5163" t="s">
        <v>27623</v>
      </c>
      <c r="B5163" s="590">
        <v>108</v>
      </c>
      <c r="C5163" t="s">
        <v>27622</v>
      </c>
    </row>
    <row r="5164" spans="1:3">
      <c r="A5164" t="s">
        <v>27621</v>
      </c>
      <c r="B5164" s="590">
        <v>238</v>
      </c>
      <c r="C5164" t="s">
        <v>27620</v>
      </c>
    </row>
    <row r="5165" spans="1:3">
      <c r="A5165" t="s">
        <v>27619</v>
      </c>
      <c r="B5165" s="590">
        <v>271</v>
      </c>
      <c r="C5165" t="s">
        <v>27618</v>
      </c>
    </row>
    <row r="5166" spans="1:3">
      <c r="A5166" t="s">
        <v>27617</v>
      </c>
      <c r="B5166" s="590">
        <v>122</v>
      </c>
      <c r="C5166" t="s">
        <v>27616</v>
      </c>
    </row>
    <row r="5167" spans="1:3">
      <c r="A5167" t="s">
        <v>27615</v>
      </c>
      <c r="B5167" s="590">
        <v>150</v>
      </c>
      <c r="C5167" t="s">
        <v>27614</v>
      </c>
    </row>
    <row r="5168" spans="1:3">
      <c r="A5168" t="s">
        <v>27613</v>
      </c>
      <c r="B5168" s="590">
        <v>150</v>
      </c>
      <c r="C5168" t="s">
        <v>27612</v>
      </c>
    </row>
    <row r="5169" spans="1:3">
      <c r="A5169" t="s">
        <v>27611</v>
      </c>
      <c r="B5169" s="590">
        <v>122</v>
      </c>
      <c r="C5169" t="s">
        <v>27610</v>
      </c>
    </row>
    <row r="5170" spans="1:3">
      <c r="A5170" t="s">
        <v>27609</v>
      </c>
      <c r="B5170" s="590">
        <v>122</v>
      </c>
      <c r="C5170" t="s">
        <v>27608</v>
      </c>
    </row>
    <row r="5171" spans="1:3">
      <c r="A5171" t="s">
        <v>27607</v>
      </c>
      <c r="B5171" s="590">
        <v>163</v>
      </c>
      <c r="C5171" t="s">
        <v>27606</v>
      </c>
    </row>
    <row r="5172" spans="1:3">
      <c r="A5172" t="s">
        <v>27605</v>
      </c>
      <c r="B5172" s="590">
        <v>122</v>
      </c>
      <c r="C5172" t="s">
        <v>27604</v>
      </c>
    </row>
    <row r="5173" spans="1:3">
      <c r="A5173" t="s">
        <v>27603</v>
      </c>
      <c r="B5173" s="590">
        <v>163</v>
      </c>
      <c r="C5173" t="s">
        <v>27602</v>
      </c>
    </row>
    <row r="5174" spans="1:3">
      <c r="A5174" t="s">
        <v>27601</v>
      </c>
      <c r="B5174" s="590">
        <v>181</v>
      </c>
      <c r="C5174" t="s">
        <v>27600</v>
      </c>
    </row>
    <row r="5175" spans="1:3">
      <c r="A5175" t="s">
        <v>27599</v>
      </c>
      <c r="B5175" s="590">
        <v>143</v>
      </c>
      <c r="C5175" t="s">
        <v>27598</v>
      </c>
    </row>
    <row r="5176" spans="1:3">
      <c r="A5176" t="s">
        <v>27597</v>
      </c>
      <c r="B5176" s="590">
        <v>143</v>
      </c>
      <c r="C5176" t="s">
        <v>27596</v>
      </c>
    </row>
    <row r="5177" spans="1:3">
      <c r="A5177" t="s">
        <v>27595</v>
      </c>
      <c r="B5177" s="590">
        <v>143</v>
      </c>
      <c r="C5177" t="s">
        <v>27594</v>
      </c>
    </row>
    <row r="5178" spans="1:3">
      <c r="A5178" t="s">
        <v>27593</v>
      </c>
      <c r="B5178" s="590">
        <v>143</v>
      </c>
      <c r="C5178" t="s">
        <v>27592</v>
      </c>
    </row>
    <row r="5179" spans="1:3">
      <c r="A5179" t="s">
        <v>27591</v>
      </c>
      <c r="B5179" s="590">
        <v>143</v>
      </c>
      <c r="C5179" t="s">
        <v>27590</v>
      </c>
    </row>
    <row r="5180" spans="1:3">
      <c r="A5180" t="s">
        <v>27589</v>
      </c>
      <c r="B5180" s="590">
        <v>143</v>
      </c>
      <c r="C5180" t="s">
        <v>27588</v>
      </c>
    </row>
    <row r="5181" spans="1:3">
      <c r="A5181" t="s">
        <v>27587</v>
      </c>
      <c r="B5181" s="590">
        <v>143</v>
      </c>
      <c r="C5181" t="s">
        <v>27586</v>
      </c>
    </row>
    <row r="5182" spans="1:3">
      <c r="A5182" t="s">
        <v>27585</v>
      </c>
      <c r="B5182" s="590">
        <v>143</v>
      </c>
      <c r="C5182" t="s">
        <v>27584</v>
      </c>
    </row>
    <row r="5183" spans="1:3">
      <c r="A5183" t="s">
        <v>27583</v>
      </c>
      <c r="B5183" s="590">
        <v>143</v>
      </c>
      <c r="C5183" t="s">
        <v>27582</v>
      </c>
    </row>
    <row r="5184" spans="1:3">
      <c r="A5184" t="s">
        <v>27581</v>
      </c>
      <c r="B5184" s="590">
        <v>143</v>
      </c>
      <c r="C5184" t="s">
        <v>27580</v>
      </c>
    </row>
    <row r="5185" spans="1:3">
      <c r="A5185" t="s">
        <v>27579</v>
      </c>
      <c r="B5185" s="590">
        <v>143</v>
      </c>
      <c r="C5185" t="s">
        <v>27578</v>
      </c>
    </row>
    <row r="5186" spans="1:3">
      <c r="A5186" t="s">
        <v>27577</v>
      </c>
      <c r="B5186" s="590">
        <v>143</v>
      </c>
      <c r="C5186" t="s">
        <v>27576</v>
      </c>
    </row>
    <row r="5187" spans="1:3">
      <c r="A5187" t="s">
        <v>27575</v>
      </c>
      <c r="B5187" s="590">
        <v>143</v>
      </c>
      <c r="C5187" t="s">
        <v>27574</v>
      </c>
    </row>
    <row r="5188" spans="1:3">
      <c r="A5188" t="s">
        <v>27573</v>
      </c>
      <c r="B5188" s="590">
        <v>143</v>
      </c>
      <c r="C5188" t="s">
        <v>27572</v>
      </c>
    </row>
    <row r="5189" spans="1:3">
      <c r="A5189" t="s">
        <v>27571</v>
      </c>
      <c r="B5189" s="590">
        <v>143</v>
      </c>
      <c r="C5189" t="s">
        <v>27570</v>
      </c>
    </row>
    <row r="5190" spans="1:3">
      <c r="A5190" t="s">
        <v>27569</v>
      </c>
      <c r="B5190" s="590">
        <v>130</v>
      </c>
      <c r="C5190" t="s">
        <v>27568</v>
      </c>
    </row>
    <row r="5191" spans="1:3">
      <c r="A5191" t="s">
        <v>27567</v>
      </c>
      <c r="B5191" s="590">
        <v>121</v>
      </c>
      <c r="C5191" t="s">
        <v>27566</v>
      </c>
    </row>
    <row r="5192" spans="1:3">
      <c r="A5192" t="s">
        <v>27565</v>
      </c>
      <c r="B5192" s="590">
        <v>750</v>
      </c>
      <c r="C5192" t="s">
        <v>27564</v>
      </c>
    </row>
    <row r="5193" spans="1:3">
      <c r="A5193" t="s">
        <v>27563</v>
      </c>
      <c r="B5193" s="590">
        <v>750</v>
      </c>
      <c r="C5193" t="s">
        <v>27562</v>
      </c>
    </row>
    <row r="5194" spans="1:3">
      <c r="A5194" t="s">
        <v>27561</v>
      </c>
      <c r="B5194" s="590">
        <v>750</v>
      </c>
      <c r="C5194" t="s">
        <v>27560</v>
      </c>
    </row>
    <row r="5195" spans="1:3">
      <c r="A5195" t="s">
        <v>27559</v>
      </c>
      <c r="B5195" s="590">
        <v>1027</v>
      </c>
      <c r="C5195" t="s">
        <v>27558</v>
      </c>
    </row>
    <row r="5196" spans="1:3">
      <c r="A5196" t="s">
        <v>27557</v>
      </c>
      <c r="B5196" s="590">
        <v>750</v>
      </c>
      <c r="C5196" t="s">
        <v>27556</v>
      </c>
    </row>
    <row r="5197" spans="1:3">
      <c r="A5197" t="s">
        <v>27555</v>
      </c>
      <c r="B5197" s="590">
        <v>499</v>
      </c>
      <c r="C5197" t="s">
        <v>27554</v>
      </c>
    </row>
    <row r="5198" spans="1:3">
      <c r="A5198" t="s">
        <v>27553</v>
      </c>
      <c r="B5198" s="590">
        <v>499</v>
      </c>
      <c r="C5198" t="s">
        <v>27552</v>
      </c>
    </row>
    <row r="5199" spans="1:3">
      <c r="A5199" t="s">
        <v>27551</v>
      </c>
      <c r="B5199" s="590">
        <v>499</v>
      </c>
      <c r="C5199" t="s">
        <v>27550</v>
      </c>
    </row>
    <row r="5200" spans="1:3">
      <c r="A5200" t="s">
        <v>27549</v>
      </c>
      <c r="B5200" s="590">
        <v>431</v>
      </c>
      <c r="C5200" t="s">
        <v>27548</v>
      </c>
    </row>
    <row r="5201" spans="1:3">
      <c r="A5201" t="s">
        <v>27547</v>
      </c>
      <c r="B5201" s="590">
        <v>431</v>
      </c>
      <c r="C5201" t="s">
        <v>27546</v>
      </c>
    </row>
    <row r="5202" spans="1:3">
      <c r="A5202" t="s">
        <v>27545</v>
      </c>
      <c r="B5202" s="590">
        <v>249</v>
      </c>
      <c r="C5202" t="s">
        <v>27539</v>
      </c>
    </row>
    <row r="5203" spans="1:3">
      <c r="A5203" t="s">
        <v>27544</v>
      </c>
      <c r="B5203" s="590">
        <v>249</v>
      </c>
      <c r="C5203" t="s">
        <v>27537</v>
      </c>
    </row>
    <row r="5204" spans="1:3">
      <c r="A5204" t="s">
        <v>27543</v>
      </c>
      <c r="B5204" s="590">
        <v>249</v>
      </c>
      <c r="C5204" t="s">
        <v>27542</v>
      </c>
    </row>
    <row r="5205" spans="1:3">
      <c r="A5205" t="s">
        <v>27541</v>
      </c>
      <c r="B5205" s="590">
        <v>249</v>
      </c>
      <c r="C5205" t="s">
        <v>27535</v>
      </c>
    </row>
    <row r="5206" spans="1:3">
      <c r="A5206" t="s">
        <v>27540</v>
      </c>
      <c r="B5206" s="590">
        <v>249</v>
      </c>
      <c r="C5206" t="s">
        <v>27539</v>
      </c>
    </row>
    <row r="5207" spans="1:3">
      <c r="A5207" t="s">
        <v>27538</v>
      </c>
      <c r="B5207" s="590">
        <v>249</v>
      </c>
      <c r="C5207" t="s">
        <v>27537</v>
      </c>
    </row>
    <row r="5208" spans="1:3">
      <c r="A5208" t="s">
        <v>27536</v>
      </c>
      <c r="B5208" s="590">
        <v>249</v>
      </c>
      <c r="C5208" t="s">
        <v>27535</v>
      </c>
    </row>
    <row r="5209" spans="1:3">
      <c r="A5209" t="s">
        <v>27534</v>
      </c>
      <c r="B5209" s="590">
        <v>207</v>
      </c>
      <c r="C5209" t="s">
        <v>27533</v>
      </c>
    </row>
    <row r="5210" spans="1:3">
      <c r="A5210" t="s">
        <v>27532</v>
      </c>
      <c r="B5210" s="590">
        <v>207</v>
      </c>
      <c r="C5210" t="s">
        <v>27531</v>
      </c>
    </row>
    <row r="5211" spans="1:3">
      <c r="A5211" t="s">
        <v>27530</v>
      </c>
      <c r="B5211" s="590">
        <v>51</v>
      </c>
      <c r="C5211" t="s">
        <v>27529</v>
      </c>
    </row>
    <row r="5212" spans="1:3">
      <c r="A5212" t="s">
        <v>27528</v>
      </c>
      <c r="B5212" s="590">
        <v>96</v>
      </c>
      <c r="C5212" t="s">
        <v>27527</v>
      </c>
    </row>
    <row r="5213" spans="1:3">
      <c r="A5213" t="s">
        <v>27526</v>
      </c>
      <c r="B5213" s="590">
        <v>96</v>
      </c>
      <c r="C5213" t="s">
        <v>27525</v>
      </c>
    </row>
    <row r="5214" spans="1:3">
      <c r="A5214" t="s">
        <v>27524</v>
      </c>
      <c r="B5214" s="590">
        <v>96</v>
      </c>
      <c r="C5214" t="s">
        <v>27523</v>
      </c>
    </row>
    <row r="5215" spans="1:3">
      <c r="A5215" t="s">
        <v>27522</v>
      </c>
      <c r="B5215" s="590">
        <v>211</v>
      </c>
      <c r="C5215" t="s">
        <v>27521</v>
      </c>
    </row>
    <row r="5216" spans="1:3">
      <c r="A5216" t="s">
        <v>27520</v>
      </c>
      <c r="B5216" s="590">
        <v>211</v>
      </c>
      <c r="C5216" t="s">
        <v>27519</v>
      </c>
    </row>
    <row r="5217" spans="1:3">
      <c r="A5217" t="s">
        <v>27518</v>
      </c>
      <c r="B5217" s="590">
        <v>211</v>
      </c>
      <c r="C5217" t="s">
        <v>27517</v>
      </c>
    </row>
    <row r="5218" spans="1:3">
      <c r="A5218" t="s">
        <v>27516</v>
      </c>
      <c r="B5218" s="590">
        <v>258</v>
      </c>
      <c r="C5218" t="s">
        <v>27515</v>
      </c>
    </row>
    <row r="5219" spans="1:3">
      <c r="A5219" t="s">
        <v>27514</v>
      </c>
      <c r="B5219" s="590">
        <v>388</v>
      </c>
      <c r="C5219" t="s">
        <v>27513</v>
      </c>
    </row>
    <row r="5220" spans="1:3">
      <c r="A5220" t="s">
        <v>27512</v>
      </c>
      <c r="B5220" s="590">
        <v>651</v>
      </c>
      <c r="C5220" t="s">
        <v>27511</v>
      </c>
    </row>
    <row r="5221" spans="1:3">
      <c r="A5221" t="s">
        <v>27510</v>
      </c>
      <c r="B5221" s="590">
        <v>684</v>
      </c>
      <c r="C5221" t="s">
        <v>27509</v>
      </c>
    </row>
    <row r="5222" spans="1:3">
      <c r="A5222" t="s">
        <v>27508</v>
      </c>
      <c r="B5222" s="590">
        <v>178</v>
      </c>
      <c r="C5222" t="s">
        <v>27507</v>
      </c>
    </row>
    <row r="5223" spans="1:3">
      <c r="A5223" t="s">
        <v>27506</v>
      </c>
      <c r="B5223" s="590">
        <v>178</v>
      </c>
      <c r="C5223" t="s">
        <v>27505</v>
      </c>
    </row>
    <row r="5224" spans="1:3">
      <c r="A5224" t="s">
        <v>27504</v>
      </c>
      <c r="B5224" s="590">
        <v>178</v>
      </c>
      <c r="C5224" t="s">
        <v>27503</v>
      </c>
    </row>
    <row r="5225" spans="1:3">
      <c r="A5225" t="s">
        <v>27502</v>
      </c>
      <c r="B5225" s="590">
        <v>178</v>
      </c>
      <c r="C5225" t="s">
        <v>27501</v>
      </c>
    </row>
    <row r="5226" spans="1:3">
      <c r="A5226" t="s">
        <v>27500</v>
      </c>
      <c r="B5226" s="590">
        <v>178</v>
      </c>
      <c r="C5226" t="s">
        <v>27499</v>
      </c>
    </row>
    <row r="5227" spans="1:3">
      <c r="A5227" t="s">
        <v>27498</v>
      </c>
      <c r="B5227" s="590">
        <v>178</v>
      </c>
      <c r="C5227" t="s">
        <v>27497</v>
      </c>
    </row>
    <row r="5228" spans="1:3">
      <c r="A5228" t="s">
        <v>27496</v>
      </c>
      <c r="B5228" s="590">
        <v>178</v>
      </c>
      <c r="C5228" t="s">
        <v>27495</v>
      </c>
    </row>
    <row r="5229" spans="1:3">
      <c r="A5229" t="s">
        <v>27494</v>
      </c>
      <c r="B5229" s="590">
        <v>178</v>
      </c>
      <c r="C5229" t="s">
        <v>27493</v>
      </c>
    </row>
    <row r="5230" spans="1:3">
      <c r="A5230" t="s">
        <v>27492</v>
      </c>
      <c r="B5230" s="590">
        <v>214</v>
      </c>
      <c r="C5230" t="s">
        <v>27491</v>
      </c>
    </row>
    <row r="5231" spans="1:3">
      <c r="A5231" t="s">
        <v>27490</v>
      </c>
      <c r="B5231" s="590">
        <v>214</v>
      </c>
      <c r="C5231" t="s">
        <v>27489</v>
      </c>
    </row>
    <row r="5232" spans="1:3">
      <c r="A5232" t="s">
        <v>27488</v>
      </c>
      <c r="B5232" s="590">
        <v>214</v>
      </c>
      <c r="C5232" t="s">
        <v>27487</v>
      </c>
    </row>
    <row r="5233" spans="1:3">
      <c r="A5233" t="s">
        <v>27486</v>
      </c>
      <c r="B5233" s="590">
        <v>230</v>
      </c>
      <c r="C5233" t="s">
        <v>27485</v>
      </c>
    </row>
    <row r="5234" spans="1:3">
      <c r="A5234" t="s">
        <v>27484</v>
      </c>
      <c r="B5234" s="590">
        <v>214</v>
      </c>
      <c r="C5234" t="s">
        <v>27483</v>
      </c>
    </row>
    <row r="5235" spans="1:3">
      <c r="A5235" t="s">
        <v>27482</v>
      </c>
      <c r="B5235" s="590">
        <v>220</v>
      </c>
      <c r="C5235" t="s">
        <v>27481</v>
      </c>
    </row>
    <row r="5236" spans="1:3">
      <c r="A5236" t="s">
        <v>27480</v>
      </c>
      <c r="B5236" s="590">
        <v>220</v>
      </c>
      <c r="C5236" t="s">
        <v>27479</v>
      </c>
    </row>
    <row r="5237" spans="1:3">
      <c r="A5237" t="s">
        <v>27478</v>
      </c>
      <c r="B5237" s="590">
        <v>220</v>
      </c>
      <c r="C5237" t="s">
        <v>27477</v>
      </c>
    </row>
    <row r="5238" spans="1:3">
      <c r="A5238" t="s">
        <v>27476</v>
      </c>
      <c r="B5238" s="590">
        <v>261</v>
      </c>
      <c r="C5238" t="s">
        <v>27475</v>
      </c>
    </row>
    <row r="5239" spans="1:3">
      <c r="A5239" t="s">
        <v>27474</v>
      </c>
      <c r="B5239" s="590">
        <v>220</v>
      </c>
      <c r="C5239" t="s">
        <v>27473</v>
      </c>
    </row>
    <row r="5240" spans="1:3">
      <c r="A5240" t="s">
        <v>27472</v>
      </c>
      <c r="B5240" s="590">
        <v>220</v>
      </c>
      <c r="C5240" t="s">
        <v>27471</v>
      </c>
    </row>
    <row r="5241" spans="1:3">
      <c r="A5241" t="s">
        <v>27470</v>
      </c>
      <c r="B5241" s="590">
        <v>220</v>
      </c>
      <c r="C5241" t="s">
        <v>27469</v>
      </c>
    </row>
    <row r="5242" spans="1:3">
      <c r="A5242" t="s">
        <v>27468</v>
      </c>
      <c r="B5242" s="590">
        <v>220</v>
      </c>
      <c r="C5242" t="s">
        <v>27467</v>
      </c>
    </row>
    <row r="5243" spans="1:3">
      <c r="A5243" t="s">
        <v>27466</v>
      </c>
      <c r="B5243" s="590">
        <v>220</v>
      </c>
      <c r="C5243" t="s">
        <v>27462</v>
      </c>
    </row>
    <row r="5244" spans="1:3">
      <c r="A5244" t="s">
        <v>27465</v>
      </c>
      <c r="B5244" s="590">
        <v>220</v>
      </c>
      <c r="C5244" t="s">
        <v>27464</v>
      </c>
    </row>
    <row r="5245" spans="1:3">
      <c r="A5245" t="s">
        <v>27463</v>
      </c>
      <c r="B5245" s="590">
        <v>220</v>
      </c>
      <c r="C5245" t="s">
        <v>27462</v>
      </c>
    </row>
    <row r="5246" spans="1:3">
      <c r="A5246" t="s">
        <v>27461</v>
      </c>
      <c r="B5246" s="590">
        <v>237</v>
      </c>
      <c r="C5246" t="s">
        <v>27460</v>
      </c>
    </row>
    <row r="5247" spans="1:3">
      <c r="A5247" t="s">
        <v>27459</v>
      </c>
      <c r="B5247" s="590">
        <v>237</v>
      </c>
      <c r="C5247" t="s">
        <v>27458</v>
      </c>
    </row>
    <row r="5248" spans="1:3">
      <c r="A5248" t="s">
        <v>27457</v>
      </c>
      <c r="B5248" s="590">
        <v>237</v>
      </c>
      <c r="C5248" t="s">
        <v>27456</v>
      </c>
    </row>
    <row r="5249" spans="1:3">
      <c r="A5249" t="s">
        <v>27455</v>
      </c>
      <c r="B5249" s="590">
        <v>237</v>
      </c>
      <c r="C5249" t="s">
        <v>27454</v>
      </c>
    </row>
    <row r="5250" spans="1:3">
      <c r="A5250" t="s">
        <v>27453</v>
      </c>
      <c r="B5250" s="590">
        <v>288</v>
      </c>
      <c r="C5250" t="s">
        <v>27452</v>
      </c>
    </row>
    <row r="5251" spans="1:3">
      <c r="A5251" t="s">
        <v>27451</v>
      </c>
      <c r="B5251" s="590">
        <v>288</v>
      </c>
      <c r="C5251" t="s">
        <v>27450</v>
      </c>
    </row>
    <row r="5252" spans="1:3">
      <c r="A5252" t="s">
        <v>27449</v>
      </c>
      <c r="B5252" s="590">
        <v>288</v>
      </c>
      <c r="C5252" t="s">
        <v>27448</v>
      </c>
    </row>
    <row r="5253" spans="1:3">
      <c r="A5253" t="s">
        <v>27447</v>
      </c>
      <c r="B5253" s="590">
        <v>288</v>
      </c>
      <c r="C5253" t="s">
        <v>27446</v>
      </c>
    </row>
    <row r="5254" spans="1:3">
      <c r="A5254" t="s">
        <v>27445</v>
      </c>
      <c r="B5254" s="590">
        <v>288</v>
      </c>
      <c r="C5254" t="s">
        <v>27444</v>
      </c>
    </row>
    <row r="5255" spans="1:3">
      <c r="A5255" t="s">
        <v>27443</v>
      </c>
      <c r="B5255" s="590">
        <v>288</v>
      </c>
      <c r="C5255" t="s">
        <v>27442</v>
      </c>
    </row>
    <row r="5256" spans="1:3">
      <c r="A5256" t="s">
        <v>27441</v>
      </c>
      <c r="B5256" s="590">
        <v>340</v>
      </c>
      <c r="C5256" t="s">
        <v>27440</v>
      </c>
    </row>
    <row r="5257" spans="1:3">
      <c r="A5257" t="s">
        <v>27439</v>
      </c>
      <c r="B5257" s="590">
        <v>288</v>
      </c>
      <c r="C5257" t="s">
        <v>27438</v>
      </c>
    </row>
    <row r="5258" spans="1:3">
      <c r="A5258" t="s">
        <v>27437</v>
      </c>
      <c r="B5258" s="590">
        <v>753</v>
      </c>
      <c r="C5258" t="s">
        <v>27436</v>
      </c>
    </row>
    <row r="5259" spans="1:3">
      <c r="A5259" t="s">
        <v>27435</v>
      </c>
      <c r="B5259" s="590">
        <v>753</v>
      </c>
      <c r="C5259" t="s">
        <v>27434</v>
      </c>
    </row>
    <row r="5260" spans="1:3">
      <c r="A5260" t="s">
        <v>27433</v>
      </c>
      <c r="B5260" s="590">
        <v>753</v>
      </c>
      <c r="C5260" t="s">
        <v>27432</v>
      </c>
    </row>
    <row r="5261" spans="1:3">
      <c r="A5261" t="s">
        <v>27431</v>
      </c>
      <c r="B5261" s="590">
        <v>211</v>
      </c>
      <c r="C5261" t="s">
        <v>27430</v>
      </c>
    </row>
    <row r="5262" spans="1:3">
      <c r="A5262" t="s">
        <v>27429</v>
      </c>
      <c r="B5262" s="590">
        <v>183</v>
      </c>
      <c r="C5262" t="s">
        <v>27428</v>
      </c>
    </row>
    <row r="5263" spans="1:3">
      <c r="A5263" t="s">
        <v>27427</v>
      </c>
      <c r="B5263" s="590">
        <v>282</v>
      </c>
      <c r="C5263" t="s">
        <v>27426</v>
      </c>
    </row>
    <row r="5264" spans="1:3">
      <c r="A5264" t="s">
        <v>27425</v>
      </c>
      <c r="B5264" s="590">
        <v>288</v>
      </c>
      <c r="C5264" t="s">
        <v>27424</v>
      </c>
    </row>
    <row r="5265" spans="1:3">
      <c r="A5265" t="s">
        <v>27423</v>
      </c>
      <c r="B5265" s="590">
        <v>288</v>
      </c>
      <c r="C5265" t="s">
        <v>27422</v>
      </c>
    </row>
    <row r="5266" spans="1:3">
      <c r="A5266" t="s">
        <v>27421</v>
      </c>
      <c r="B5266" s="590">
        <v>288</v>
      </c>
      <c r="C5266" t="s">
        <v>27420</v>
      </c>
    </row>
    <row r="5267" spans="1:3">
      <c r="A5267" t="s">
        <v>27419</v>
      </c>
      <c r="B5267" s="590">
        <v>288</v>
      </c>
      <c r="C5267" t="s">
        <v>27418</v>
      </c>
    </row>
    <row r="5268" spans="1:3">
      <c r="A5268" t="s">
        <v>27417</v>
      </c>
      <c r="B5268" s="590">
        <v>288</v>
      </c>
      <c r="C5268" t="s">
        <v>27416</v>
      </c>
    </row>
    <row r="5269" spans="1:3">
      <c r="A5269" t="s">
        <v>27415</v>
      </c>
      <c r="B5269" s="590">
        <v>431</v>
      </c>
      <c r="C5269" t="s">
        <v>27414</v>
      </c>
    </row>
    <row r="5270" spans="1:3">
      <c r="A5270" t="s">
        <v>27413</v>
      </c>
      <c r="B5270" s="590">
        <v>431</v>
      </c>
      <c r="C5270" t="s">
        <v>27412</v>
      </c>
    </row>
    <row r="5271" spans="1:3">
      <c r="A5271" t="s">
        <v>27411</v>
      </c>
      <c r="B5271" s="590">
        <v>431</v>
      </c>
      <c r="C5271" t="s">
        <v>27410</v>
      </c>
    </row>
    <row r="5272" spans="1:3">
      <c r="A5272" t="s">
        <v>27409</v>
      </c>
      <c r="B5272" s="590">
        <v>431</v>
      </c>
      <c r="C5272" t="s">
        <v>27408</v>
      </c>
    </row>
    <row r="5273" spans="1:3">
      <c r="A5273" t="s">
        <v>27407</v>
      </c>
      <c r="B5273" s="590">
        <v>1130</v>
      </c>
      <c r="C5273" t="s">
        <v>27404</v>
      </c>
    </row>
    <row r="5274" spans="1:3">
      <c r="A5274" t="s">
        <v>27406</v>
      </c>
      <c r="B5274" s="590">
        <v>1130</v>
      </c>
      <c r="C5274" t="s">
        <v>27402</v>
      </c>
    </row>
    <row r="5275" spans="1:3">
      <c r="A5275" t="s">
        <v>27405</v>
      </c>
      <c r="B5275" s="590">
        <v>1119</v>
      </c>
      <c r="C5275" t="s">
        <v>27404</v>
      </c>
    </row>
    <row r="5276" spans="1:3">
      <c r="A5276" t="s">
        <v>27403</v>
      </c>
      <c r="B5276" s="590">
        <v>1119</v>
      </c>
      <c r="C5276" t="s">
        <v>27402</v>
      </c>
    </row>
    <row r="5277" spans="1:3">
      <c r="A5277" t="s">
        <v>27401</v>
      </c>
      <c r="B5277" s="590">
        <v>686</v>
      </c>
      <c r="C5277" t="s">
        <v>27400</v>
      </c>
    </row>
    <row r="5278" spans="1:3">
      <c r="A5278" t="s">
        <v>27399</v>
      </c>
      <c r="B5278" s="590">
        <v>467</v>
      </c>
      <c r="C5278" t="s">
        <v>27398</v>
      </c>
    </row>
    <row r="5279" spans="1:3">
      <c r="A5279" t="s">
        <v>27397</v>
      </c>
      <c r="B5279" s="590">
        <v>519</v>
      </c>
      <c r="C5279" t="s">
        <v>27396</v>
      </c>
    </row>
    <row r="5280" spans="1:3">
      <c r="A5280" t="s">
        <v>27395</v>
      </c>
      <c r="B5280" s="590">
        <v>543</v>
      </c>
      <c r="C5280" t="s">
        <v>27394</v>
      </c>
    </row>
    <row r="5281" spans="1:3">
      <c r="A5281" t="s">
        <v>27393</v>
      </c>
      <c r="B5281" s="590">
        <v>161</v>
      </c>
      <c r="C5281" t="s">
        <v>27392</v>
      </c>
    </row>
    <row r="5282" spans="1:3">
      <c r="A5282" t="s">
        <v>27391</v>
      </c>
      <c r="B5282" s="590">
        <v>161</v>
      </c>
      <c r="C5282" t="s">
        <v>27390</v>
      </c>
    </row>
    <row r="5283" spans="1:3">
      <c r="A5283" t="s">
        <v>27389</v>
      </c>
      <c r="B5283" s="590">
        <v>336</v>
      </c>
      <c r="C5283" t="s">
        <v>27388</v>
      </c>
    </row>
    <row r="5284" spans="1:3">
      <c r="A5284" t="s">
        <v>27387</v>
      </c>
      <c r="B5284" s="590">
        <v>336</v>
      </c>
      <c r="C5284" t="s">
        <v>27386</v>
      </c>
    </row>
    <row r="5285" spans="1:3">
      <c r="A5285" t="s">
        <v>27385</v>
      </c>
      <c r="B5285" s="590">
        <v>528</v>
      </c>
      <c r="C5285" t="s">
        <v>27384</v>
      </c>
    </row>
    <row r="5286" spans="1:3">
      <c r="A5286" t="s">
        <v>27383</v>
      </c>
      <c r="B5286" s="590">
        <v>528</v>
      </c>
      <c r="C5286" t="s">
        <v>27382</v>
      </c>
    </row>
    <row r="5287" spans="1:3">
      <c r="A5287" t="s">
        <v>27381</v>
      </c>
      <c r="B5287" s="590">
        <v>726</v>
      </c>
      <c r="C5287" t="s">
        <v>27380</v>
      </c>
    </row>
    <row r="5288" spans="1:3">
      <c r="A5288" t="s">
        <v>27379</v>
      </c>
      <c r="B5288" s="590">
        <v>647</v>
      </c>
      <c r="C5288" t="s">
        <v>27378</v>
      </c>
    </row>
    <row r="5289" spans="1:3">
      <c r="A5289" t="s">
        <v>27377</v>
      </c>
      <c r="B5289" s="590">
        <v>265</v>
      </c>
      <c r="C5289" t="s">
        <v>27376</v>
      </c>
    </row>
    <row r="5290" spans="1:3">
      <c r="A5290" t="s">
        <v>27375</v>
      </c>
      <c r="B5290" s="590">
        <v>265</v>
      </c>
      <c r="C5290" t="s">
        <v>27374</v>
      </c>
    </row>
    <row r="5291" spans="1:3">
      <c r="A5291" t="s">
        <v>27373</v>
      </c>
      <c r="B5291" s="590">
        <v>265</v>
      </c>
      <c r="C5291" t="s">
        <v>27372</v>
      </c>
    </row>
    <row r="5292" spans="1:3">
      <c r="A5292" t="s">
        <v>27371</v>
      </c>
      <c r="B5292" s="590">
        <v>265</v>
      </c>
      <c r="C5292" t="s">
        <v>27370</v>
      </c>
    </row>
    <row r="5293" spans="1:3">
      <c r="A5293" t="s">
        <v>27369</v>
      </c>
      <c r="B5293" s="590">
        <v>265</v>
      </c>
      <c r="C5293" t="s">
        <v>27368</v>
      </c>
    </row>
    <row r="5294" spans="1:3">
      <c r="A5294" t="s">
        <v>27367</v>
      </c>
      <c r="B5294" s="590">
        <v>1074</v>
      </c>
      <c r="C5294" t="s">
        <v>27366</v>
      </c>
    </row>
    <row r="5295" spans="1:3">
      <c r="A5295" t="s">
        <v>27365</v>
      </c>
      <c r="B5295" s="590">
        <v>1871</v>
      </c>
      <c r="C5295" t="s">
        <v>27364</v>
      </c>
    </row>
    <row r="5296" spans="1:3">
      <c r="A5296" t="s">
        <v>27363</v>
      </c>
      <c r="B5296" s="590">
        <v>1074</v>
      </c>
      <c r="C5296" t="s">
        <v>27362</v>
      </c>
    </row>
    <row r="5297" spans="1:3">
      <c r="A5297" t="s">
        <v>27361</v>
      </c>
      <c r="B5297" s="590">
        <v>1375</v>
      </c>
      <c r="C5297" t="s">
        <v>27360</v>
      </c>
    </row>
    <row r="5298" spans="1:3">
      <c r="A5298" t="s">
        <v>27359</v>
      </c>
      <c r="B5298" s="590">
        <v>1375</v>
      </c>
      <c r="C5298" t="s">
        <v>27358</v>
      </c>
    </row>
    <row r="5299" spans="1:3">
      <c r="A5299" t="s">
        <v>27357</v>
      </c>
      <c r="B5299" s="590">
        <v>1407</v>
      </c>
      <c r="C5299" t="s">
        <v>27356</v>
      </c>
    </row>
    <row r="5300" spans="1:3">
      <c r="A5300" t="s">
        <v>27355</v>
      </c>
      <c r="B5300" s="590">
        <v>1871</v>
      </c>
      <c r="C5300" t="s">
        <v>27354</v>
      </c>
    </row>
    <row r="5301" spans="1:3">
      <c r="A5301" t="s">
        <v>27353</v>
      </c>
      <c r="B5301" s="590">
        <v>2175</v>
      </c>
      <c r="C5301" t="s">
        <v>27352</v>
      </c>
    </row>
    <row r="5302" spans="1:3">
      <c r="A5302" t="s">
        <v>27351</v>
      </c>
      <c r="B5302" s="590">
        <v>2206</v>
      </c>
      <c r="C5302" t="s">
        <v>27350</v>
      </c>
    </row>
    <row r="5303" spans="1:3">
      <c r="A5303" t="s">
        <v>27349</v>
      </c>
      <c r="B5303" s="590">
        <v>569</v>
      </c>
      <c r="C5303" t="s">
        <v>27348</v>
      </c>
    </row>
    <row r="5304" spans="1:3">
      <c r="A5304" t="s">
        <v>27347</v>
      </c>
      <c r="B5304" s="590">
        <v>144</v>
      </c>
      <c r="C5304" t="s">
        <v>27346</v>
      </c>
    </row>
    <row r="5305" spans="1:3">
      <c r="A5305" t="s">
        <v>27345</v>
      </c>
      <c r="B5305" s="590">
        <v>144</v>
      </c>
      <c r="C5305" t="s">
        <v>27344</v>
      </c>
    </row>
    <row r="5306" spans="1:3">
      <c r="A5306" t="s">
        <v>27343</v>
      </c>
      <c r="B5306" s="590">
        <v>144</v>
      </c>
      <c r="C5306" t="s">
        <v>27342</v>
      </c>
    </row>
    <row r="5307" spans="1:3">
      <c r="A5307" t="s">
        <v>27341</v>
      </c>
      <c r="B5307" s="590">
        <v>144</v>
      </c>
      <c r="C5307" t="s">
        <v>27340</v>
      </c>
    </row>
    <row r="5308" spans="1:3">
      <c r="A5308" t="s">
        <v>27339</v>
      </c>
      <c r="B5308" s="590">
        <v>175</v>
      </c>
      <c r="C5308" t="s">
        <v>27338</v>
      </c>
    </row>
    <row r="5309" spans="1:3">
      <c r="A5309" t="s">
        <v>27337</v>
      </c>
      <c r="B5309" s="590">
        <v>382</v>
      </c>
      <c r="C5309" t="s">
        <v>27336</v>
      </c>
    </row>
    <row r="5310" spans="1:3">
      <c r="A5310" t="s">
        <v>27335</v>
      </c>
      <c r="B5310" s="590">
        <v>319</v>
      </c>
      <c r="C5310" t="s">
        <v>27334</v>
      </c>
    </row>
    <row r="5311" spans="1:3">
      <c r="A5311" t="s">
        <v>27333</v>
      </c>
      <c r="B5311" s="590">
        <v>376</v>
      </c>
      <c r="C5311" t="s">
        <v>27332</v>
      </c>
    </row>
    <row r="5312" spans="1:3">
      <c r="A5312" t="s">
        <v>27331</v>
      </c>
      <c r="B5312" s="590">
        <v>492</v>
      </c>
      <c r="C5312" t="s">
        <v>27330</v>
      </c>
    </row>
    <row r="5313" spans="1:3">
      <c r="A5313" t="s">
        <v>27329</v>
      </c>
      <c r="B5313" s="590">
        <v>1411</v>
      </c>
      <c r="C5313" t="s">
        <v>27328</v>
      </c>
    </row>
    <row r="5314" spans="1:3">
      <c r="A5314" t="s">
        <v>27327</v>
      </c>
      <c r="B5314" s="590">
        <v>944</v>
      </c>
      <c r="C5314" t="s">
        <v>27326</v>
      </c>
    </row>
    <row r="5315" spans="1:3">
      <c r="A5315" t="s">
        <v>27325</v>
      </c>
      <c r="B5315" s="590">
        <v>776</v>
      </c>
      <c r="C5315" t="s">
        <v>27324</v>
      </c>
    </row>
    <row r="5316" spans="1:3">
      <c r="A5316" t="s">
        <v>27323</v>
      </c>
      <c r="B5316" s="590">
        <v>795</v>
      </c>
      <c r="C5316" t="s">
        <v>27322</v>
      </c>
    </row>
    <row r="5317" spans="1:3">
      <c r="A5317" t="s">
        <v>27321</v>
      </c>
      <c r="B5317" s="590">
        <v>795</v>
      </c>
      <c r="C5317" t="s">
        <v>27320</v>
      </c>
    </row>
    <row r="5318" spans="1:3">
      <c r="A5318" t="s">
        <v>27319</v>
      </c>
      <c r="B5318" s="590">
        <v>795</v>
      </c>
      <c r="C5318" t="s">
        <v>27318</v>
      </c>
    </row>
    <row r="5319" spans="1:3">
      <c r="A5319" t="s">
        <v>27317</v>
      </c>
      <c r="B5319" s="590">
        <v>1854</v>
      </c>
      <c r="C5319" t="s">
        <v>27316</v>
      </c>
    </row>
    <row r="5320" spans="1:3">
      <c r="A5320" t="s">
        <v>27315</v>
      </c>
      <c r="B5320" s="590">
        <v>1854</v>
      </c>
      <c r="C5320" t="s">
        <v>27314</v>
      </c>
    </row>
    <row r="5321" spans="1:3">
      <c r="A5321" t="s">
        <v>27313</v>
      </c>
      <c r="B5321" s="590">
        <v>298</v>
      </c>
      <c r="C5321" t="s">
        <v>27312</v>
      </c>
    </row>
    <row r="5322" spans="1:3">
      <c r="A5322" t="s">
        <v>27311</v>
      </c>
      <c r="B5322" s="590">
        <v>298</v>
      </c>
      <c r="C5322" t="s">
        <v>27310</v>
      </c>
    </row>
    <row r="5323" spans="1:3">
      <c r="A5323" t="s">
        <v>27309</v>
      </c>
      <c r="B5323" s="590">
        <v>1979</v>
      </c>
      <c r="C5323" t="s">
        <v>27308</v>
      </c>
    </row>
    <row r="5324" spans="1:3">
      <c r="A5324" t="s">
        <v>27307</v>
      </c>
      <c r="B5324" s="590">
        <v>1979</v>
      </c>
      <c r="C5324" t="s">
        <v>27306</v>
      </c>
    </row>
    <row r="5325" spans="1:3">
      <c r="A5325" t="s">
        <v>27305</v>
      </c>
      <c r="B5325" s="590">
        <v>1979</v>
      </c>
      <c r="C5325" t="s">
        <v>27304</v>
      </c>
    </row>
    <row r="5326" spans="1:3">
      <c r="A5326" t="s">
        <v>27303</v>
      </c>
      <c r="B5326" s="590">
        <v>1979</v>
      </c>
      <c r="C5326" t="s">
        <v>27302</v>
      </c>
    </row>
    <row r="5327" spans="1:3">
      <c r="A5327" t="s">
        <v>27301</v>
      </c>
      <c r="B5327" s="590">
        <v>1979</v>
      </c>
      <c r="C5327" t="s">
        <v>27300</v>
      </c>
    </row>
    <row r="5328" spans="1:3">
      <c r="A5328" t="s">
        <v>27299</v>
      </c>
      <c r="B5328" s="590">
        <v>201</v>
      </c>
      <c r="C5328" t="s">
        <v>27298</v>
      </c>
    </row>
    <row r="5329" spans="1:3">
      <c r="A5329" t="s">
        <v>27297</v>
      </c>
      <c r="B5329" s="590">
        <v>201</v>
      </c>
      <c r="C5329" t="s">
        <v>27296</v>
      </c>
    </row>
    <row r="5330" spans="1:3">
      <c r="A5330" t="s">
        <v>27295</v>
      </c>
      <c r="B5330" s="590">
        <v>201</v>
      </c>
      <c r="C5330" t="s">
        <v>27294</v>
      </c>
    </row>
    <row r="5331" spans="1:3">
      <c r="A5331" t="s">
        <v>27293</v>
      </c>
      <c r="B5331" s="590">
        <v>201</v>
      </c>
      <c r="C5331" t="s">
        <v>27292</v>
      </c>
    </row>
    <row r="5332" spans="1:3">
      <c r="A5332" t="s">
        <v>27291</v>
      </c>
      <c r="B5332" s="590">
        <v>144</v>
      </c>
      <c r="C5332" t="s">
        <v>27290</v>
      </c>
    </row>
    <row r="5333" spans="1:3">
      <c r="A5333" t="s">
        <v>27289</v>
      </c>
      <c r="B5333" s="590">
        <v>144</v>
      </c>
      <c r="C5333" t="s">
        <v>27288</v>
      </c>
    </row>
    <row r="5334" spans="1:3">
      <c r="A5334" t="s">
        <v>27287</v>
      </c>
      <c r="B5334" s="590">
        <v>144</v>
      </c>
      <c r="C5334" t="s">
        <v>27286</v>
      </c>
    </row>
    <row r="5335" spans="1:3">
      <c r="A5335" t="s">
        <v>27285</v>
      </c>
      <c r="B5335" s="590">
        <v>166</v>
      </c>
      <c r="C5335" t="s">
        <v>27284</v>
      </c>
    </row>
    <row r="5336" spans="1:3">
      <c r="A5336" t="s">
        <v>27283</v>
      </c>
      <c r="B5336" s="590">
        <v>1027</v>
      </c>
      <c r="C5336" t="s">
        <v>27282</v>
      </c>
    </row>
    <row r="5337" spans="1:3">
      <c r="A5337" t="s">
        <v>27281</v>
      </c>
      <c r="B5337" s="590">
        <v>888</v>
      </c>
      <c r="C5337" t="s">
        <v>27280</v>
      </c>
    </row>
    <row r="5338" spans="1:3">
      <c r="A5338" t="s">
        <v>27279</v>
      </c>
      <c r="B5338" s="590">
        <v>680</v>
      </c>
      <c r="C5338" t="s">
        <v>27278</v>
      </c>
    </row>
    <row r="5339" spans="1:3">
      <c r="A5339" t="s">
        <v>27277</v>
      </c>
      <c r="B5339" s="590">
        <v>680</v>
      </c>
      <c r="C5339" t="s">
        <v>27276</v>
      </c>
    </row>
    <row r="5340" spans="1:3">
      <c r="A5340" t="s">
        <v>27275</v>
      </c>
      <c r="B5340" s="590">
        <v>739</v>
      </c>
      <c r="C5340" t="s">
        <v>27274</v>
      </c>
    </row>
    <row r="5341" spans="1:3">
      <c r="A5341" t="s">
        <v>27273</v>
      </c>
      <c r="B5341" s="590">
        <v>741</v>
      </c>
      <c r="C5341" t="s">
        <v>27272</v>
      </c>
    </row>
    <row r="5342" spans="1:3">
      <c r="A5342" t="s">
        <v>27271</v>
      </c>
      <c r="B5342" s="590">
        <v>458</v>
      </c>
      <c r="C5342" t="s">
        <v>27270</v>
      </c>
    </row>
    <row r="5343" spans="1:3">
      <c r="A5343" t="s">
        <v>27269</v>
      </c>
      <c r="B5343" s="590">
        <v>64</v>
      </c>
      <c r="C5343" t="s">
        <v>27268</v>
      </c>
    </row>
    <row r="5344" spans="1:3">
      <c r="A5344" t="s">
        <v>27267</v>
      </c>
      <c r="B5344" s="590">
        <v>258</v>
      </c>
      <c r="C5344" t="s">
        <v>27266</v>
      </c>
    </row>
    <row r="5345" spans="1:3">
      <c r="A5345" t="s">
        <v>27265</v>
      </c>
      <c r="B5345" s="590">
        <v>314</v>
      </c>
      <c r="C5345" t="s">
        <v>27264</v>
      </c>
    </row>
    <row r="5346" spans="1:3">
      <c r="A5346" t="s">
        <v>27263</v>
      </c>
      <c r="B5346" s="590">
        <v>204</v>
      </c>
      <c r="C5346" t="s">
        <v>27262</v>
      </c>
    </row>
    <row r="5347" spans="1:3">
      <c r="A5347" t="s">
        <v>27261</v>
      </c>
      <c r="B5347" s="590">
        <v>204</v>
      </c>
      <c r="C5347" t="s">
        <v>27260</v>
      </c>
    </row>
    <row r="5348" spans="1:3">
      <c r="A5348" t="s">
        <v>27259</v>
      </c>
      <c r="B5348" s="590">
        <v>252</v>
      </c>
      <c r="C5348" t="s">
        <v>27258</v>
      </c>
    </row>
    <row r="5349" spans="1:3">
      <c r="A5349" t="s">
        <v>27257</v>
      </c>
      <c r="B5349" s="590">
        <v>252</v>
      </c>
      <c r="C5349" t="s">
        <v>27256</v>
      </c>
    </row>
    <row r="5350" spans="1:3">
      <c r="A5350" t="s">
        <v>27255</v>
      </c>
      <c r="B5350" s="590">
        <v>290</v>
      </c>
      <c r="C5350" t="s">
        <v>27254</v>
      </c>
    </row>
    <row r="5351" spans="1:3">
      <c r="A5351" t="s">
        <v>27253</v>
      </c>
      <c r="B5351" s="590">
        <v>483</v>
      </c>
      <c r="C5351" t="s">
        <v>27252</v>
      </c>
    </row>
    <row r="5352" spans="1:3">
      <c r="A5352" t="s">
        <v>27251</v>
      </c>
      <c r="B5352" s="590">
        <v>312</v>
      </c>
      <c r="C5352" t="s">
        <v>27250</v>
      </c>
    </row>
    <row r="5353" spans="1:3">
      <c r="A5353" t="s">
        <v>27249</v>
      </c>
      <c r="B5353" s="590">
        <v>312</v>
      </c>
      <c r="C5353" t="s">
        <v>27248</v>
      </c>
    </row>
    <row r="5354" spans="1:3">
      <c r="A5354" t="s">
        <v>27247</v>
      </c>
      <c r="B5354" s="590">
        <v>312</v>
      </c>
      <c r="C5354" t="s">
        <v>27246</v>
      </c>
    </row>
    <row r="5355" spans="1:3">
      <c r="A5355" t="s">
        <v>27245</v>
      </c>
      <c r="B5355" s="590">
        <v>206</v>
      </c>
      <c r="C5355" t="s">
        <v>27244</v>
      </c>
    </row>
    <row r="5356" spans="1:3">
      <c r="A5356" t="s">
        <v>27243</v>
      </c>
      <c r="B5356" s="590">
        <v>206</v>
      </c>
      <c r="C5356" t="s">
        <v>27242</v>
      </c>
    </row>
    <row r="5357" spans="1:3">
      <c r="A5357" t="s">
        <v>27241</v>
      </c>
      <c r="B5357" s="590">
        <v>178</v>
      </c>
      <c r="C5357" t="s">
        <v>27240</v>
      </c>
    </row>
    <row r="5358" spans="1:3">
      <c r="A5358" t="s">
        <v>27239</v>
      </c>
      <c r="B5358" s="590">
        <v>178</v>
      </c>
      <c r="C5358" t="s">
        <v>27238</v>
      </c>
    </row>
    <row r="5359" spans="1:3">
      <c r="A5359" t="s">
        <v>27237</v>
      </c>
      <c r="B5359" s="590">
        <v>199</v>
      </c>
      <c r="C5359" t="s">
        <v>27236</v>
      </c>
    </row>
    <row r="5360" spans="1:3">
      <c r="A5360" t="s">
        <v>27235</v>
      </c>
      <c r="B5360" s="590">
        <v>370</v>
      </c>
      <c r="C5360" t="s">
        <v>27234</v>
      </c>
    </row>
    <row r="5361" spans="1:3">
      <c r="A5361" t="s">
        <v>27233</v>
      </c>
      <c r="B5361" s="590">
        <v>385</v>
      </c>
      <c r="C5361" t="s">
        <v>27232</v>
      </c>
    </row>
    <row r="5362" spans="1:3">
      <c r="A5362" t="s">
        <v>27231</v>
      </c>
      <c r="B5362" s="590">
        <v>230</v>
      </c>
      <c r="C5362" t="s">
        <v>27230</v>
      </c>
    </row>
    <row r="5363" spans="1:3">
      <c r="A5363" t="s">
        <v>27229</v>
      </c>
      <c r="B5363" s="590">
        <v>275</v>
      </c>
      <c r="C5363" t="s">
        <v>27228</v>
      </c>
    </row>
    <row r="5364" spans="1:3">
      <c r="A5364" t="s">
        <v>27227</v>
      </c>
      <c r="B5364" s="590">
        <v>314</v>
      </c>
      <c r="C5364" t="s">
        <v>27226</v>
      </c>
    </row>
    <row r="5365" spans="1:3">
      <c r="A5365" t="s">
        <v>27225</v>
      </c>
      <c r="B5365" s="590">
        <v>288</v>
      </c>
      <c r="C5365" t="s">
        <v>27224</v>
      </c>
    </row>
    <row r="5366" spans="1:3">
      <c r="A5366" t="s">
        <v>27223</v>
      </c>
      <c r="B5366" s="590">
        <v>288</v>
      </c>
      <c r="C5366" t="s">
        <v>27222</v>
      </c>
    </row>
    <row r="5367" spans="1:3">
      <c r="A5367" t="s">
        <v>27221</v>
      </c>
      <c r="B5367" s="590">
        <v>340</v>
      </c>
      <c r="C5367" t="s">
        <v>27220</v>
      </c>
    </row>
    <row r="5368" spans="1:3">
      <c r="A5368" t="s">
        <v>27219</v>
      </c>
      <c r="B5368" s="590">
        <v>340</v>
      </c>
      <c r="C5368" t="s">
        <v>27218</v>
      </c>
    </row>
    <row r="5369" spans="1:3">
      <c r="A5369" t="s">
        <v>27217</v>
      </c>
      <c r="B5369" s="590">
        <v>509</v>
      </c>
      <c r="C5369" t="s">
        <v>27216</v>
      </c>
    </row>
    <row r="5370" spans="1:3">
      <c r="A5370" t="s">
        <v>27215</v>
      </c>
      <c r="B5370" s="590">
        <v>161</v>
      </c>
      <c r="C5370" t="s">
        <v>27214</v>
      </c>
    </row>
    <row r="5371" spans="1:3">
      <c r="A5371" t="s">
        <v>27213</v>
      </c>
      <c r="B5371" s="590">
        <v>168</v>
      </c>
      <c r="C5371" t="s">
        <v>27212</v>
      </c>
    </row>
    <row r="5372" spans="1:3">
      <c r="A5372" t="s">
        <v>27211</v>
      </c>
      <c r="B5372" s="590">
        <v>161</v>
      </c>
      <c r="C5372" t="s">
        <v>27210</v>
      </c>
    </row>
    <row r="5373" spans="1:3">
      <c r="A5373" t="s">
        <v>27209</v>
      </c>
      <c r="B5373" s="590">
        <v>168</v>
      </c>
      <c r="C5373" t="s">
        <v>27208</v>
      </c>
    </row>
    <row r="5374" spans="1:3">
      <c r="A5374" t="s">
        <v>27207</v>
      </c>
      <c r="B5374" s="590">
        <v>133</v>
      </c>
      <c r="C5374" t="s">
        <v>27206</v>
      </c>
    </row>
    <row r="5375" spans="1:3">
      <c r="A5375" t="s">
        <v>27205</v>
      </c>
      <c r="B5375" s="590">
        <v>133</v>
      </c>
      <c r="C5375" t="s">
        <v>27204</v>
      </c>
    </row>
    <row r="5376" spans="1:3">
      <c r="A5376" t="s">
        <v>27203</v>
      </c>
      <c r="B5376" s="590">
        <v>144</v>
      </c>
      <c r="C5376" t="s">
        <v>27202</v>
      </c>
    </row>
    <row r="5377" spans="1:3">
      <c r="A5377" t="s">
        <v>27201</v>
      </c>
      <c r="B5377" s="590">
        <v>144</v>
      </c>
      <c r="C5377" t="s">
        <v>27200</v>
      </c>
    </row>
    <row r="5378" spans="1:3">
      <c r="A5378" t="s">
        <v>27199</v>
      </c>
      <c r="B5378" s="590">
        <v>150</v>
      </c>
      <c r="C5378" t="s">
        <v>27198</v>
      </c>
    </row>
    <row r="5379" spans="1:3">
      <c r="A5379" t="s">
        <v>27197</v>
      </c>
      <c r="B5379" s="590">
        <v>150</v>
      </c>
      <c r="C5379" t="s">
        <v>27196</v>
      </c>
    </row>
    <row r="5380" spans="1:3">
      <c r="A5380" t="s">
        <v>27195</v>
      </c>
      <c r="B5380" s="590">
        <v>150</v>
      </c>
      <c r="C5380" t="s">
        <v>27194</v>
      </c>
    </row>
    <row r="5381" spans="1:3">
      <c r="A5381" t="s">
        <v>27193</v>
      </c>
      <c r="B5381" s="590">
        <v>150</v>
      </c>
      <c r="C5381" t="s">
        <v>27192</v>
      </c>
    </row>
    <row r="5382" spans="1:3">
      <c r="A5382" t="s">
        <v>27191</v>
      </c>
      <c r="B5382" s="590">
        <v>150</v>
      </c>
      <c r="C5382" t="s">
        <v>27190</v>
      </c>
    </row>
    <row r="5383" spans="1:3">
      <c r="A5383" t="s">
        <v>27189</v>
      </c>
      <c r="B5383" s="590">
        <v>150</v>
      </c>
      <c r="C5383" t="s">
        <v>27188</v>
      </c>
    </row>
    <row r="5384" spans="1:3">
      <c r="A5384" t="s">
        <v>27187</v>
      </c>
      <c r="B5384" s="590">
        <v>150</v>
      </c>
      <c r="C5384" t="s">
        <v>27186</v>
      </c>
    </row>
    <row r="5385" spans="1:3">
      <c r="A5385" t="s">
        <v>27185</v>
      </c>
      <c r="B5385" s="590">
        <v>150</v>
      </c>
      <c r="C5385" t="s">
        <v>27184</v>
      </c>
    </row>
    <row r="5386" spans="1:3">
      <c r="A5386" t="s">
        <v>27183</v>
      </c>
      <c r="B5386" s="590">
        <v>171</v>
      </c>
      <c r="C5386" t="s">
        <v>27182</v>
      </c>
    </row>
    <row r="5387" spans="1:3">
      <c r="A5387" t="s">
        <v>27181</v>
      </c>
      <c r="B5387" s="590">
        <v>171</v>
      </c>
      <c r="C5387" t="s">
        <v>27180</v>
      </c>
    </row>
    <row r="5388" spans="1:3">
      <c r="A5388" t="s">
        <v>27179</v>
      </c>
      <c r="B5388" s="590">
        <v>171</v>
      </c>
      <c r="C5388" t="s">
        <v>27178</v>
      </c>
    </row>
    <row r="5389" spans="1:3">
      <c r="A5389" t="s">
        <v>27177</v>
      </c>
      <c r="B5389" s="590">
        <v>171</v>
      </c>
      <c r="C5389" t="s">
        <v>27176</v>
      </c>
    </row>
    <row r="5390" spans="1:3">
      <c r="A5390" t="s">
        <v>27175</v>
      </c>
      <c r="B5390" s="590">
        <v>171</v>
      </c>
      <c r="C5390" t="s">
        <v>27174</v>
      </c>
    </row>
    <row r="5391" spans="1:3">
      <c r="A5391" t="s">
        <v>27173</v>
      </c>
      <c r="B5391" s="590">
        <v>171</v>
      </c>
      <c r="C5391" t="s">
        <v>27172</v>
      </c>
    </row>
    <row r="5392" spans="1:3">
      <c r="A5392" t="s">
        <v>27171</v>
      </c>
      <c r="B5392" s="590">
        <v>171</v>
      </c>
      <c r="C5392" t="s">
        <v>27170</v>
      </c>
    </row>
    <row r="5393" spans="1:3">
      <c r="A5393" t="s">
        <v>27169</v>
      </c>
      <c r="B5393" s="590">
        <v>171</v>
      </c>
      <c r="C5393" t="s">
        <v>27168</v>
      </c>
    </row>
    <row r="5394" spans="1:3">
      <c r="A5394" t="s">
        <v>27167</v>
      </c>
      <c r="B5394" s="590">
        <v>171</v>
      </c>
      <c r="C5394" t="s">
        <v>27166</v>
      </c>
    </row>
    <row r="5395" spans="1:3">
      <c r="A5395" t="s">
        <v>27165</v>
      </c>
      <c r="B5395" s="590">
        <v>171</v>
      </c>
      <c r="C5395" t="s">
        <v>27164</v>
      </c>
    </row>
    <row r="5396" spans="1:3">
      <c r="A5396" t="s">
        <v>27163</v>
      </c>
      <c r="B5396" s="590">
        <v>157</v>
      </c>
      <c r="C5396" t="s">
        <v>27162</v>
      </c>
    </row>
    <row r="5397" spans="1:3">
      <c r="A5397" t="s">
        <v>27161</v>
      </c>
      <c r="B5397" s="590">
        <v>157</v>
      </c>
      <c r="C5397" t="s">
        <v>27160</v>
      </c>
    </row>
    <row r="5398" spans="1:3">
      <c r="A5398" t="s">
        <v>27159</v>
      </c>
      <c r="B5398" s="590">
        <v>157</v>
      </c>
      <c r="C5398" t="s">
        <v>27158</v>
      </c>
    </row>
    <row r="5399" spans="1:3">
      <c r="A5399" t="s">
        <v>27157</v>
      </c>
      <c r="B5399" s="590">
        <v>157</v>
      </c>
      <c r="C5399" t="s">
        <v>27156</v>
      </c>
    </row>
    <row r="5400" spans="1:3">
      <c r="A5400" t="s">
        <v>27155</v>
      </c>
      <c r="B5400" s="590">
        <v>157</v>
      </c>
      <c r="C5400" t="s">
        <v>27154</v>
      </c>
    </row>
    <row r="5401" spans="1:3">
      <c r="A5401" t="s">
        <v>27153</v>
      </c>
      <c r="B5401" s="590">
        <v>157</v>
      </c>
      <c r="C5401" t="s">
        <v>27152</v>
      </c>
    </row>
    <row r="5402" spans="1:3">
      <c r="A5402" t="s">
        <v>27151</v>
      </c>
      <c r="B5402" s="590">
        <v>157</v>
      </c>
      <c r="C5402" t="s">
        <v>27150</v>
      </c>
    </row>
    <row r="5403" spans="1:3">
      <c r="A5403" t="s">
        <v>27149</v>
      </c>
      <c r="B5403" s="590">
        <v>157</v>
      </c>
      <c r="C5403" t="s">
        <v>27148</v>
      </c>
    </row>
    <row r="5404" spans="1:3">
      <c r="A5404" t="s">
        <v>27147</v>
      </c>
      <c r="B5404" s="590">
        <v>177</v>
      </c>
      <c r="C5404" t="s">
        <v>27146</v>
      </c>
    </row>
    <row r="5405" spans="1:3">
      <c r="A5405" t="s">
        <v>27145</v>
      </c>
      <c r="B5405" s="590">
        <v>177</v>
      </c>
      <c r="C5405" t="s">
        <v>27144</v>
      </c>
    </row>
    <row r="5406" spans="1:3">
      <c r="A5406" t="s">
        <v>27143</v>
      </c>
      <c r="B5406" s="590">
        <v>177</v>
      </c>
      <c r="C5406" t="s">
        <v>27142</v>
      </c>
    </row>
    <row r="5407" spans="1:3">
      <c r="A5407" t="s">
        <v>27141</v>
      </c>
      <c r="B5407" s="590">
        <v>177</v>
      </c>
      <c r="C5407" t="s">
        <v>27140</v>
      </c>
    </row>
    <row r="5408" spans="1:3">
      <c r="A5408" t="s">
        <v>27139</v>
      </c>
      <c r="B5408" s="590">
        <v>177</v>
      </c>
      <c r="C5408" t="s">
        <v>27138</v>
      </c>
    </row>
    <row r="5409" spans="1:3">
      <c r="A5409" t="s">
        <v>27137</v>
      </c>
      <c r="B5409" s="590">
        <v>177</v>
      </c>
      <c r="C5409" t="s">
        <v>27136</v>
      </c>
    </row>
    <row r="5410" spans="1:3">
      <c r="A5410" t="s">
        <v>27135</v>
      </c>
      <c r="B5410" s="590">
        <v>177</v>
      </c>
      <c r="C5410" t="s">
        <v>27134</v>
      </c>
    </row>
    <row r="5411" spans="1:3">
      <c r="A5411" t="s">
        <v>27133</v>
      </c>
      <c r="B5411" s="590">
        <v>177</v>
      </c>
      <c r="C5411" t="s">
        <v>27132</v>
      </c>
    </row>
    <row r="5412" spans="1:3">
      <c r="A5412" t="s">
        <v>27131</v>
      </c>
      <c r="B5412" s="590">
        <v>177</v>
      </c>
      <c r="C5412" t="s">
        <v>27130</v>
      </c>
    </row>
    <row r="5413" spans="1:3">
      <c r="A5413" t="s">
        <v>27129</v>
      </c>
      <c r="B5413" s="590">
        <v>177</v>
      </c>
      <c r="C5413" t="s">
        <v>27128</v>
      </c>
    </row>
    <row r="5414" spans="1:3">
      <c r="A5414" t="s">
        <v>27127</v>
      </c>
      <c r="B5414" s="590">
        <v>1096</v>
      </c>
      <c r="C5414" t="s">
        <v>27126</v>
      </c>
    </row>
    <row r="5415" spans="1:3">
      <c r="A5415" t="s">
        <v>27125</v>
      </c>
      <c r="B5415" s="590">
        <v>1747</v>
      </c>
      <c r="C5415" t="s">
        <v>27124</v>
      </c>
    </row>
    <row r="5416" spans="1:3">
      <c r="A5416" t="s">
        <v>27123</v>
      </c>
      <c r="B5416" s="590">
        <v>675</v>
      </c>
      <c r="C5416" t="s">
        <v>27122</v>
      </c>
    </row>
    <row r="5417" spans="1:3">
      <c r="A5417" t="s">
        <v>27121</v>
      </c>
      <c r="B5417" s="590">
        <v>509</v>
      </c>
      <c r="C5417" t="s">
        <v>27120</v>
      </c>
    </row>
    <row r="5418" spans="1:3">
      <c r="A5418" t="s">
        <v>27119</v>
      </c>
      <c r="B5418" s="590">
        <v>509</v>
      </c>
      <c r="C5418" t="s">
        <v>27118</v>
      </c>
    </row>
    <row r="5419" spans="1:3">
      <c r="A5419" t="s">
        <v>27117</v>
      </c>
      <c r="B5419" s="590">
        <v>732</v>
      </c>
      <c r="C5419" t="s">
        <v>27116</v>
      </c>
    </row>
    <row r="5420" spans="1:3">
      <c r="A5420" t="s">
        <v>27115</v>
      </c>
      <c r="B5420" s="590">
        <v>732</v>
      </c>
      <c r="C5420" t="s">
        <v>27114</v>
      </c>
    </row>
    <row r="5421" spans="1:3">
      <c r="A5421" t="s">
        <v>27113</v>
      </c>
      <c r="B5421" s="590">
        <v>123</v>
      </c>
      <c r="C5421" t="s">
        <v>27112</v>
      </c>
    </row>
    <row r="5422" spans="1:3">
      <c r="A5422" t="s">
        <v>27111</v>
      </c>
      <c r="B5422" s="590">
        <v>109</v>
      </c>
      <c r="C5422" t="s">
        <v>27110</v>
      </c>
    </row>
    <row r="5423" spans="1:3">
      <c r="A5423" t="s">
        <v>27109</v>
      </c>
      <c r="B5423" s="590">
        <v>84</v>
      </c>
      <c r="C5423" t="s">
        <v>27108</v>
      </c>
    </row>
    <row r="5424" spans="1:3">
      <c r="A5424" t="s">
        <v>27107</v>
      </c>
      <c r="B5424" s="590">
        <v>175</v>
      </c>
      <c r="C5424" t="s">
        <v>27106</v>
      </c>
    </row>
    <row r="5425" spans="1:3">
      <c r="A5425" t="s">
        <v>27105</v>
      </c>
      <c r="B5425" s="590">
        <v>340</v>
      </c>
      <c r="C5425" t="s">
        <v>27104</v>
      </c>
    </row>
    <row r="5426" spans="1:3">
      <c r="A5426" t="s">
        <v>27103</v>
      </c>
      <c r="B5426" s="590">
        <v>522</v>
      </c>
      <c r="C5426" t="s">
        <v>27102</v>
      </c>
    </row>
    <row r="5427" spans="1:3">
      <c r="A5427" t="s">
        <v>27101</v>
      </c>
      <c r="B5427" s="590">
        <v>362</v>
      </c>
      <c r="C5427" t="s">
        <v>27100</v>
      </c>
    </row>
    <row r="5428" spans="1:3">
      <c r="A5428" t="s">
        <v>27099</v>
      </c>
      <c r="B5428" s="590">
        <v>362</v>
      </c>
      <c r="C5428" t="s">
        <v>27098</v>
      </c>
    </row>
    <row r="5429" spans="1:3">
      <c r="A5429" t="s">
        <v>27097</v>
      </c>
      <c r="B5429" s="590">
        <v>274</v>
      </c>
      <c r="C5429" t="s">
        <v>27096</v>
      </c>
    </row>
    <row r="5430" spans="1:3">
      <c r="A5430" t="s">
        <v>27095</v>
      </c>
      <c r="B5430" s="590">
        <v>221</v>
      </c>
      <c r="C5430" t="s">
        <v>27094</v>
      </c>
    </row>
    <row r="5431" spans="1:3">
      <c r="A5431" t="s">
        <v>27093</v>
      </c>
      <c r="B5431" s="590">
        <v>65</v>
      </c>
      <c r="C5431" t="s">
        <v>27092</v>
      </c>
    </row>
    <row r="5432" spans="1:3">
      <c r="A5432" t="s">
        <v>27091</v>
      </c>
      <c r="B5432" s="590">
        <v>65</v>
      </c>
      <c r="C5432" t="s">
        <v>27090</v>
      </c>
    </row>
    <row r="5433" spans="1:3">
      <c r="A5433" t="s">
        <v>27089</v>
      </c>
      <c r="B5433" s="590">
        <v>65</v>
      </c>
      <c r="C5433" t="s">
        <v>27088</v>
      </c>
    </row>
    <row r="5434" spans="1:3">
      <c r="A5434" t="s">
        <v>27087</v>
      </c>
      <c r="B5434" s="590">
        <v>65</v>
      </c>
      <c r="C5434" t="s">
        <v>27086</v>
      </c>
    </row>
    <row r="5435" spans="1:3">
      <c r="A5435" t="s">
        <v>27085</v>
      </c>
      <c r="B5435" s="590">
        <v>65</v>
      </c>
      <c r="C5435" t="s">
        <v>27084</v>
      </c>
    </row>
    <row r="5436" spans="1:3">
      <c r="A5436" t="s">
        <v>27083</v>
      </c>
      <c r="B5436" s="590">
        <v>65</v>
      </c>
      <c r="C5436" t="s">
        <v>27082</v>
      </c>
    </row>
    <row r="5437" spans="1:3">
      <c r="A5437" t="s">
        <v>27081</v>
      </c>
      <c r="B5437" s="590">
        <v>65</v>
      </c>
      <c r="C5437" t="s">
        <v>27080</v>
      </c>
    </row>
    <row r="5438" spans="1:3">
      <c r="A5438" t="s">
        <v>27079</v>
      </c>
      <c r="B5438" s="590">
        <v>65</v>
      </c>
      <c r="C5438" t="s">
        <v>27078</v>
      </c>
    </row>
    <row r="5439" spans="1:3">
      <c r="A5439" t="s">
        <v>27077</v>
      </c>
      <c r="B5439" s="590">
        <v>34</v>
      </c>
      <c r="C5439" t="s">
        <v>27076</v>
      </c>
    </row>
    <row r="5440" spans="1:3">
      <c r="A5440" t="s">
        <v>27075</v>
      </c>
      <c r="B5440" s="590">
        <v>34</v>
      </c>
      <c r="C5440" t="s">
        <v>27074</v>
      </c>
    </row>
    <row r="5441" spans="1:3">
      <c r="A5441" t="s">
        <v>27073</v>
      </c>
      <c r="B5441" s="590">
        <v>34</v>
      </c>
      <c r="C5441" t="s">
        <v>27072</v>
      </c>
    </row>
    <row r="5442" spans="1:3">
      <c r="A5442" t="s">
        <v>27071</v>
      </c>
      <c r="B5442" s="590">
        <v>34</v>
      </c>
      <c r="C5442" t="s">
        <v>27070</v>
      </c>
    </row>
    <row r="5443" spans="1:3">
      <c r="A5443" t="s">
        <v>27069</v>
      </c>
      <c r="B5443" s="590">
        <v>190</v>
      </c>
      <c r="C5443" t="s">
        <v>27068</v>
      </c>
    </row>
    <row r="5444" spans="1:3">
      <c r="A5444" t="s">
        <v>27067</v>
      </c>
      <c r="B5444" s="590">
        <v>116</v>
      </c>
      <c r="C5444" t="s">
        <v>27066</v>
      </c>
    </row>
    <row r="5445" spans="1:3">
      <c r="A5445" t="s">
        <v>27065</v>
      </c>
      <c r="B5445" s="590">
        <v>116</v>
      </c>
      <c r="C5445" t="s">
        <v>27064</v>
      </c>
    </row>
    <row r="5446" spans="1:3">
      <c r="A5446" t="s">
        <v>27063</v>
      </c>
      <c r="B5446" s="590">
        <v>116</v>
      </c>
      <c r="C5446" t="s">
        <v>27062</v>
      </c>
    </row>
    <row r="5447" spans="1:3">
      <c r="A5447" t="s">
        <v>27061</v>
      </c>
      <c r="B5447" s="590">
        <v>116</v>
      </c>
      <c r="C5447" t="s">
        <v>27060</v>
      </c>
    </row>
    <row r="5448" spans="1:3">
      <c r="A5448" t="s">
        <v>27059</v>
      </c>
      <c r="B5448" s="590">
        <v>116</v>
      </c>
      <c r="C5448" t="s">
        <v>27058</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056D4-3596-46E6-BFAC-F44919DED26F}">
  <sheetPr codeName="Sheet10">
    <tabColor theme="2" tint="-9.9978637043366805E-2"/>
    <pageSetUpPr fitToPage="1"/>
  </sheetPr>
  <dimension ref="A1:C388"/>
  <sheetViews>
    <sheetView showGridLines="0" zoomScale="120" zoomScaleNormal="120" zoomScaleSheetLayoutView="80" workbookViewId="0">
      <pane ySplit="2" topLeftCell="A283" activePane="bottomLeft" state="frozen"/>
      <selection activeCell="C8" sqref="C8"/>
      <selection pane="bottomLeft" activeCell="C8" sqref="C8"/>
    </sheetView>
  </sheetViews>
  <sheetFormatPr defaultColWidth="9.1796875" defaultRowHeight="14.5"/>
  <cols>
    <col min="1" max="1" width="25.54296875" style="134" customWidth="1"/>
    <col min="2" max="2" width="78.7265625" style="133" customWidth="1"/>
    <col min="3" max="3" width="19.1796875" style="132" bestFit="1" customWidth="1" collapsed="1"/>
    <col min="4" max="16384" width="9.1796875" style="131"/>
  </cols>
  <sheetData>
    <row r="1" spans="1:3">
      <c r="A1" s="205" t="s">
        <v>13564</v>
      </c>
      <c r="B1" s="204"/>
      <c r="C1" s="203"/>
    </row>
    <row r="2" spans="1:3" s="199" customFormat="1">
      <c r="A2" s="202" t="s">
        <v>3519</v>
      </c>
      <c r="B2" s="201" t="s">
        <v>3518</v>
      </c>
      <c r="C2" s="200" t="s">
        <v>13563</v>
      </c>
    </row>
    <row r="3" spans="1:3" s="196" customFormat="1">
      <c r="A3" s="140"/>
      <c r="B3" s="198"/>
      <c r="C3" s="197"/>
    </row>
    <row r="4" spans="1:3" ht="26">
      <c r="A4" s="176" t="s">
        <v>13511</v>
      </c>
      <c r="B4" s="173" t="s">
        <v>13562</v>
      </c>
      <c r="C4" s="195"/>
    </row>
    <row r="5" spans="1:3" ht="39">
      <c r="A5" s="177" t="s">
        <v>13561</v>
      </c>
      <c r="B5" s="141" t="s">
        <v>13560</v>
      </c>
      <c r="C5" s="135">
        <v>839</v>
      </c>
    </row>
    <row r="6" spans="1:3" ht="39">
      <c r="A6" s="177" t="s">
        <v>13559</v>
      </c>
      <c r="B6" s="141" t="s">
        <v>13558</v>
      </c>
      <c r="C6" s="135">
        <v>819</v>
      </c>
    </row>
    <row r="7" spans="1:3" ht="39">
      <c r="A7" s="177" t="s">
        <v>13557</v>
      </c>
      <c r="B7" s="141" t="s">
        <v>13556</v>
      </c>
      <c r="C7" s="135">
        <v>819</v>
      </c>
    </row>
    <row r="8" spans="1:3" ht="39">
      <c r="A8" s="177" t="s">
        <v>13555</v>
      </c>
      <c r="B8" s="141" t="s">
        <v>13554</v>
      </c>
      <c r="C8" s="135">
        <v>859</v>
      </c>
    </row>
    <row r="9" spans="1:3" ht="39">
      <c r="A9" s="177" t="s">
        <v>13553</v>
      </c>
      <c r="B9" s="141" t="s">
        <v>13552</v>
      </c>
      <c r="C9" s="135">
        <v>919</v>
      </c>
    </row>
    <row r="10" spans="1:3" ht="39">
      <c r="A10" s="177" t="s">
        <v>13551</v>
      </c>
      <c r="B10" s="141" t="s">
        <v>13550</v>
      </c>
      <c r="C10" s="135">
        <v>959</v>
      </c>
    </row>
    <row r="11" spans="1:3">
      <c r="A11" s="176" t="s">
        <v>13497</v>
      </c>
      <c r="B11" s="140"/>
      <c r="C11" s="138"/>
    </row>
    <row r="12" spans="1:3" ht="39">
      <c r="A12" s="177" t="s">
        <v>13549</v>
      </c>
      <c r="B12" s="141" t="s">
        <v>13548</v>
      </c>
      <c r="C12" s="135">
        <v>959</v>
      </c>
    </row>
    <row r="13" spans="1:3" ht="39">
      <c r="A13" s="177" t="s">
        <v>13547</v>
      </c>
      <c r="B13" s="141" t="s">
        <v>13546</v>
      </c>
      <c r="C13" s="135">
        <v>919</v>
      </c>
    </row>
    <row r="14" spans="1:3" ht="52">
      <c r="A14" s="177" t="s">
        <v>13545</v>
      </c>
      <c r="B14" s="141" t="s">
        <v>13544</v>
      </c>
      <c r="C14" s="135">
        <v>1009</v>
      </c>
    </row>
    <row r="15" spans="1:3" ht="52">
      <c r="A15" s="177" t="s">
        <v>13543</v>
      </c>
      <c r="B15" s="141" t="s">
        <v>13542</v>
      </c>
      <c r="C15" s="135">
        <v>969</v>
      </c>
    </row>
    <row r="16" spans="1:3" ht="52">
      <c r="A16" s="177" t="s">
        <v>13541</v>
      </c>
      <c r="B16" s="141" t="s">
        <v>13540</v>
      </c>
      <c r="C16" s="135">
        <v>999</v>
      </c>
    </row>
    <row r="17" spans="1:3" ht="52">
      <c r="A17" s="177" t="s">
        <v>13539</v>
      </c>
      <c r="B17" s="141" t="s">
        <v>13538</v>
      </c>
      <c r="C17" s="135">
        <v>959</v>
      </c>
    </row>
    <row r="18" spans="1:3">
      <c r="A18" s="140"/>
      <c r="B18" s="140"/>
      <c r="C18" s="138"/>
    </row>
    <row r="19" spans="1:3" ht="26">
      <c r="A19" s="176" t="s">
        <v>13511</v>
      </c>
      <c r="B19" s="173" t="s">
        <v>13537</v>
      </c>
      <c r="C19" s="138"/>
    </row>
    <row r="20" spans="1:3" ht="39">
      <c r="A20" s="177" t="s">
        <v>13536</v>
      </c>
      <c r="B20" s="141" t="s">
        <v>13535</v>
      </c>
      <c r="C20" s="135">
        <v>999</v>
      </c>
    </row>
    <row r="21" spans="1:3" ht="39">
      <c r="A21" s="177" t="s">
        <v>13534</v>
      </c>
      <c r="B21" s="141" t="s">
        <v>13533</v>
      </c>
      <c r="C21" s="135">
        <v>959</v>
      </c>
    </row>
    <row r="22" spans="1:3" ht="39">
      <c r="A22" s="177" t="s">
        <v>13532</v>
      </c>
      <c r="B22" s="141" t="s">
        <v>13531</v>
      </c>
      <c r="C22" s="135">
        <v>1049</v>
      </c>
    </row>
    <row r="23" spans="1:3" ht="39">
      <c r="A23" s="177" t="s">
        <v>13530</v>
      </c>
      <c r="B23" s="141" t="s">
        <v>13529</v>
      </c>
      <c r="C23" s="135">
        <v>979</v>
      </c>
    </row>
    <row r="24" spans="1:3" ht="39">
      <c r="A24" s="177" t="s">
        <v>13528</v>
      </c>
      <c r="B24" s="141" t="s">
        <v>13527</v>
      </c>
      <c r="C24" s="135">
        <v>1009</v>
      </c>
    </row>
    <row r="25" spans="1:3" ht="39">
      <c r="A25" s="177" t="s">
        <v>13526</v>
      </c>
      <c r="B25" s="141" t="s">
        <v>13525</v>
      </c>
      <c r="C25" s="135">
        <v>969</v>
      </c>
    </row>
    <row r="26" spans="1:3">
      <c r="A26" s="176" t="s">
        <v>13524</v>
      </c>
      <c r="B26" s="140"/>
      <c r="C26" s="138"/>
    </row>
    <row r="27" spans="1:3" ht="39">
      <c r="A27" s="177" t="s">
        <v>13523</v>
      </c>
      <c r="B27" s="141" t="s">
        <v>13522</v>
      </c>
      <c r="C27" s="135">
        <v>1099</v>
      </c>
    </row>
    <row r="28" spans="1:3" ht="39">
      <c r="A28" s="177" t="s">
        <v>13521</v>
      </c>
      <c r="B28" s="141" t="s">
        <v>13520</v>
      </c>
      <c r="C28" s="135">
        <v>1059</v>
      </c>
    </row>
    <row r="29" spans="1:3" ht="52">
      <c r="A29" s="177" t="s">
        <v>13519</v>
      </c>
      <c r="B29" s="141" t="s">
        <v>13518</v>
      </c>
      <c r="C29" s="135">
        <v>1149</v>
      </c>
    </row>
    <row r="30" spans="1:3" ht="52">
      <c r="A30" s="177" t="s">
        <v>13517</v>
      </c>
      <c r="B30" s="141" t="s">
        <v>13516</v>
      </c>
      <c r="C30" s="135">
        <v>1109</v>
      </c>
    </row>
    <row r="31" spans="1:3" ht="52">
      <c r="A31" s="177" t="s">
        <v>13515</v>
      </c>
      <c r="B31" s="141" t="s">
        <v>13514</v>
      </c>
      <c r="C31" s="135">
        <v>1139</v>
      </c>
    </row>
    <row r="32" spans="1:3" ht="52">
      <c r="A32" s="177" t="s">
        <v>13513</v>
      </c>
      <c r="B32" s="141" t="s">
        <v>13512</v>
      </c>
      <c r="C32" s="135">
        <v>1099</v>
      </c>
    </row>
    <row r="33" spans="1:3">
      <c r="A33" s="140"/>
      <c r="B33" s="140"/>
      <c r="C33" s="138"/>
    </row>
    <row r="34" spans="1:3" ht="26">
      <c r="A34" s="176" t="s">
        <v>13511</v>
      </c>
      <c r="B34" s="173" t="s">
        <v>13510</v>
      </c>
      <c r="C34" s="138"/>
    </row>
    <row r="35" spans="1:3" ht="39">
      <c r="A35" s="177" t="s">
        <v>13509</v>
      </c>
      <c r="B35" s="141" t="s">
        <v>13508</v>
      </c>
      <c r="C35" s="135">
        <v>979</v>
      </c>
    </row>
    <row r="36" spans="1:3" ht="39">
      <c r="A36" s="177" t="s">
        <v>13507</v>
      </c>
      <c r="B36" s="141" t="s">
        <v>13506</v>
      </c>
      <c r="C36" s="135">
        <v>939</v>
      </c>
    </row>
    <row r="37" spans="1:3" ht="39">
      <c r="A37" s="177" t="s">
        <v>13505</v>
      </c>
      <c r="B37" s="141" t="s">
        <v>13504</v>
      </c>
      <c r="C37" s="135">
        <v>1029</v>
      </c>
    </row>
    <row r="38" spans="1:3" ht="39">
      <c r="A38" s="177" t="s">
        <v>13503</v>
      </c>
      <c r="B38" s="141" t="s">
        <v>13502</v>
      </c>
      <c r="C38" s="135">
        <v>969</v>
      </c>
    </row>
    <row r="39" spans="1:3" ht="39">
      <c r="A39" s="177" t="s">
        <v>13501</v>
      </c>
      <c r="B39" s="141" t="s">
        <v>13500</v>
      </c>
      <c r="C39" s="135">
        <v>1009</v>
      </c>
    </row>
    <row r="40" spans="1:3" ht="39">
      <c r="A40" s="177" t="s">
        <v>13499</v>
      </c>
      <c r="B40" s="141" t="s">
        <v>13498</v>
      </c>
      <c r="C40" s="135">
        <v>969</v>
      </c>
    </row>
    <row r="41" spans="1:3">
      <c r="A41" s="176" t="s">
        <v>13497</v>
      </c>
      <c r="B41" s="140"/>
      <c r="C41" s="138"/>
    </row>
    <row r="42" spans="1:3" ht="39">
      <c r="A42" s="177" t="s">
        <v>13496</v>
      </c>
      <c r="B42" s="141" t="s">
        <v>13495</v>
      </c>
      <c r="C42" s="135">
        <v>1089</v>
      </c>
    </row>
    <row r="43" spans="1:3" ht="39">
      <c r="A43" s="177" t="s">
        <v>13494</v>
      </c>
      <c r="B43" s="141" t="s">
        <v>13493</v>
      </c>
      <c r="C43" s="135">
        <v>1049</v>
      </c>
    </row>
    <row r="44" spans="1:3" ht="52">
      <c r="A44" s="177" t="s">
        <v>13492</v>
      </c>
      <c r="B44" s="141" t="s">
        <v>13491</v>
      </c>
      <c r="C44" s="135">
        <v>1149</v>
      </c>
    </row>
    <row r="45" spans="1:3" ht="52">
      <c r="A45" s="177" t="s">
        <v>13490</v>
      </c>
      <c r="B45" s="141" t="s">
        <v>13489</v>
      </c>
      <c r="C45" s="135">
        <v>1099</v>
      </c>
    </row>
    <row r="46" spans="1:3" ht="52">
      <c r="A46" s="177" t="s">
        <v>13488</v>
      </c>
      <c r="B46" s="141" t="s">
        <v>13487</v>
      </c>
      <c r="C46" s="135">
        <v>1129</v>
      </c>
    </row>
    <row r="47" spans="1:3" ht="52">
      <c r="A47" s="177" t="s">
        <v>13486</v>
      </c>
      <c r="B47" s="141" t="s">
        <v>13485</v>
      </c>
      <c r="C47" s="135">
        <v>1089</v>
      </c>
    </row>
    <row r="48" spans="1:3">
      <c r="A48" s="194" t="s">
        <v>13484</v>
      </c>
      <c r="B48" s="193"/>
      <c r="C48" s="138"/>
    </row>
    <row r="49" spans="1:3">
      <c r="A49" s="194"/>
      <c r="B49" s="193"/>
      <c r="C49" s="138"/>
    </row>
    <row r="50" spans="1:3" ht="39">
      <c r="A50" s="176" t="s">
        <v>13483</v>
      </c>
      <c r="B50" s="155" t="s">
        <v>13482</v>
      </c>
      <c r="C50" s="138"/>
    </row>
    <row r="51" spans="1:3" ht="65">
      <c r="A51" s="177" t="s">
        <v>13481</v>
      </c>
      <c r="B51" s="192" t="s">
        <v>13480</v>
      </c>
      <c r="C51" s="135">
        <v>1279</v>
      </c>
    </row>
    <row r="52" spans="1:3" ht="65">
      <c r="A52" s="177" t="s">
        <v>13479</v>
      </c>
      <c r="B52" s="192" t="s">
        <v>13478</v>
      </c>
      <c r="C52" s="135">
        <v>1279</v>
      </c>
    </row>
    <row r="53" spans="1:3" ht="65">
      <c r="A53" s="142" t="s">
        <v>13477</v>
      </c>
      <c r="B53" s="141" t="s">
        <v>13476</v>
      </c>
      <c r="C53" s="135">
        <v>1279</v>
      </c>
    </row>
    <row r="54" spans="1:3" ht="65">
      <c r="A54" s="142" t="s">
        <v>13475</v>
      </c>
      <c r="B54" s="141" t="s">
        <v>13474</v>
      </c>
      <c r="C54" s="135">
        <v>1279</v>
      </c>
    </row>
    <row r="55" spans="1:3" ht="65">
      <c r="A55" s="142" t="s">
        <v>13473</v>
      </c>
      <c r="B55" s="192" t="s">
        <v>13472</v>
      </c>
      <c r="C55" s="135">
        <v>1279</v>
      </c>
    </row>
    <row r="56" spans="1:3" ht="65">
      <c r="A56" s="177" t="s">
        <v>13471</v>
      </c>
      <c r="B56" s="192" t="s">
        <v>13470</v>
      </c>
      <c r="C56" s="135">
        <v>1279</v>
      </c>
    </row>
    <row r="57" spans="1:3" ht="65">
      <c r="A57" s="142" t="s">
        <v>13469</v>
      </c>
      <c r="B57" s="141" t="s">
        <v>13468</v>
      </c>
      <c r="C57" s="135">
        <v>1279</v>
      </c>
    </row>
    <row r="58" spans="1:3" ht="65">
      <c r="A58" s="142" t="s">
        <v>270</v>
      </c>
      <c r="B58" s="141" t="s">
        <v>271</v>
      </c>
      <c r="C58" s="135">
        <v>1279</v>
      </c>
    </row>
    <row r="59" spans="1:3">
      <c r="B59" s="153"/>
      <c r="C59" s="138"/>
    </row>
    <row r="60" spans="1:3" ht="26">
      <c r="A60" s="176" t="s">
        <v>13467</v>
      </c>
      <c r="B60" s="155" t="s">
        <v>13466</v>
      </c>
      <c r="C60" s="138"/>
    </row>
    <row r="61" spans="1:3" ht="52">
      <c r="A61" s="146" t="s">
        <v>13465</v>
      </c>
      <c r="B61" s="171" t="s">
        <v>13464</v>
      </c>
      <c r="C61" s="135">
        <v>599</v>
      </c>
    </row>
    <row r="62" spans="1:3" ht="52">
      <c r="A62" s="146" t="s">
        <v>13463</v>
      </c>
      <c r="B62" s="171" t="s">
        <v>13462</v>
      </c>
      <c r="C62" s="135">
        <v>599</v>
      </c>
    </row>
    <row r="63" spans="1:3" ht="52">
      <c r="A63" s="146" t="s">
        <v>13461</v>
      </c>
      <c r="B63" s="171" t="s">
        <v>13460</v>
      </c>
      <c r="C63" s="135">
        <v>599</v>
      </c>
    </row>
    <row r="64" spans="1:3" ht="52">
      <c r="A64" s="146" t="s">
        <v>13459</v>
      </c>
      <c r="B64" s="171" t="s">
        <v>13458</v>
      </c>
      <c r="C64" s="135">
        <v>599</v>
      </c>
    </row>
    <row r="65" spans="1:3">
      <c r="A65" s="144"/>
      <c r="B65" s="191"/>
      <c r="C65" s="190"/>
    </row>
    <row r="66" spans="1:3">
      <c r="A66" s="140"/>
      <c r="B66" s="180" t="s">
        <v>13265</v>
      </c>
      <c r="C66" s="138"/>
    </row>
    <row r="67" spans="1:3" ht="26">
      <c r="A67" s="189"/>
      <c r="B67" s="155" t="s">
        <v>13455</v>
      </c>
      <c r="C67" s="138"/>
    </row>
    <row r="68" spans="1:3" ht="65">
      <c r="A68" s="177" t="s">
        <v>13457</v>
      </c>
      <c r="B68" s="141" t="s">
        <v>13453</v>
      </c>
      <c r="C68" s="135">
        <v>659</v>
      </c>
    </row>
    <row r="69" spans="1:3" ht="65">
      <c r="A69" s="177" t="s">
        <v>13456</v>
      </c>
      <c r="B69" s="141" t="s">
        <v>13451</v>
      </c>
      <c r="C69" s="135">
        <v>689</v>
      </c>
    </row>
    <row r="70" spans="1:3">
      <c r="A70" s="179"/>
      <c r="B70" s="153"/>
      <c r="C70" s="138"/>
    </row>
    <row r="71" spans="1:3">
      <c r="A71" s="140"/>
      <c r="B71" s="180" t="s">
        <v>13249</v>
      </c>
      <c r="C71" s="138"/>
    </row>
    <row r="72" spans="1:3" ht="26">
      <c r="A72" s="189"/>
      <c r="B72" s="155" t="s">
        <v>13455</v>
      </c>
      <c r="C72" s="138"/>
    </row>
    <row r="73" spans="1:3" ht="65">
      <c r="A73" s="177" t="s">
        <v>13454</v>
      </c>
      <c r="B73" s="141" t="s">
        <v>13453</v>
      </c>
      <c r="C73" s="135">
        <v>659</v>
      </c>
    </row>
    <row r="74" spans="1:3" ht="65">
      <c r="A74" s="177" t="s">
        <v>13452</v>
      </c>
      <c r="B74" s="141" t="s">
        <v>13451</v>
      </c>
      <c r="C74" s="135">
        <v>689</v>
      </c>
    </row>
    <row r="75" spans="1:3">
      <c r="A75" s="179"/>
      <c r="B75" s="153"/>
      <c r="C75" s="138"/>
    </row>
    <row r="76" spans="1:3">
      <c r="A76" s="140"/>
      <c r="B76" s="180" t="s">
        <v>13238</v>
      </c>
      <c r="C76" s="138"/>
    </row>
    <row r="77" spans="1:3" ht="26">
      <c r="A77" s="189"/>
      <c r="B77" s="155" t="s">
        <v>13450</v>
      </c>
      <c r="C77" s="138"/>
    </row>
    <row r="78" spans="1:3" ht="78">
      <c r="A78" s="177" t="s">
        <v>13449</v>
      </c>
      <c r="B78" s="141" t="s">
        <v>13448</v>
      </c>
      <c r="C78" s="135">
        <v>659</v>
      </c>
    </row>
    <row r="79" spans="1:3" ht="78">
      <c r="A79" s="177" t="s">
        <v>13447</v>
      </c>
      <c r="B79" s="141" t="s">
        <v>13446</v>
      </c>
      <c r="C79" s="135">
        <v>689</v>
      </c>
    </row>
    <row r="80" spans="1:3">
      <c r="A80" s="140"/>
      <c r="B80" s="140"/>
      <c r="C80" s="138"/>
    </row>
    <row r="81" spans="1:3">
      <c r="A81" s="140"/>
      <c r="B81" s="155" t="s">
        <v>13445</v>
      </c>
      <c r="C81" s="138"/>
    </row>
    <row r="82" spans="1:3" ht="65">
      <c r="A82" s="177" t="s">
        <v>13444</v>
      </c>
      <c r="B82" s="141" t="s">
        <v>13443</v>
      </c>
      <c r="C82" s="135">
        <v>479</v>
      </c>
    </row>
    <row r="83" spans="1:3" ht="65">
      <c r="A83" s="183" t="s">
        <v>13442</v>
      </c>
      <c r="B83" s="141" t="s">
        <v>13441</v>
      </c>
      <c r="C83" s="135">
        <v>699</v>
      </c>
    </row>
    <row r="84" spans="1:3">
      <c r="A84" s="188"/>
      <c r="B84" s="187"/>
      <c r="C84" s="138"/>
    </row>
    <row r="85" spans="1:3">
      <c r="A85" s="186"/>
      <c r="B85" s="139" t="s">
        <v>13440</v>
      </c>
      <c r="C85" s="138"/>
    </row>
    <row r="86" spans="1:3" ht="39">
      <c r="A86" s="177" t="s">
        <v>13439</v>
      </c>
      <c r="B86" s="141" t="s">
        <v>13438</v>
      </c>
      <c r="C86" s="135">
        <v>579</v>
      </c>
    </row>
    <row r="87" spans="1:3" ht="39">
      <c r="A87" s="142" t="s">
        <v>13437</v>
      </c>
      <c r="B87" s="141" t="s">
        <v>13436</v>
      </c>
      <c r="C87" s="135">
        <v>579</v>
      </c>
    </row>
    <row r="88" spans="1:3">
      <c r="A88" s="140"/>
      <c r="B88" s="184" t="s">
        <v>13379</v>
      </c>
      <c r="C88" s="138"/>
    </row>
    <row r="89" spans="1:3">
      <c r="A89" s="140"/>
      <c r="B89" s="140"/>
      <c r="C89" s="138"/>
    </row>
    <row r="90" spans="1:3" ht="39">
      <c r="A90" s="140"/>
      <c r="B90" s="155" t="s">
        <v>13435</v>
      </c>
      <c r="C90" s="138"/>
    </row>
    <row r="91" spans="1:3" ht="26">
      <c r="A91" s="177" t="s">
        <v>189</v>
      </c>
      <c r="B91" s="141" t="s">
        <v>13434</v>
      </c>
      <c r="C91" s="135">
        <v>949</v>
      </c>
    </row>
    <row r="92" spans="1:3" ht="26">
      <c r="A92" s="177" t="s">
        <v>190</v>
      </c>
      <c r="B92" s="141" t="s">
        <v>13433</v>
      </c>
      <c r="C92" s="135">
        <v>949</v>
      </c>
    </row>
    <row r="93" spans="1:3" ht="26">
      <c r="A93" s="177" t="s">
        <v>191</v>
      </c>
      <c r="B93" s="141" t="s">
        <v>13432</v>
      </c>
      <c r="C93" s="135">
        <v>1029</v>
      </c>
    </row>
    <row r="94" spans="1:3">
      <c r="A94" s="140"/>
      <c r="B94" s="184" t="s">
        <v>13379</v>
      </c>
      <c r="C94" s="138"/>
    </row>
    <row r="95" spans="1:3">
      <c r="A95" s="140"/>
      <c r="B95" s="140"/>
      <c r="C95" s="138"/>
    </row>
    <row r="96" spans="1:3" ht="39">
      <c r="A96" s="140"/>
      <c r="B96" s="155" t="s">
        <v>13431</v>
      </c>
      <c r="C96" s="138"/>
    </row>
    <row r="97" spans="1:3" ht="26">
      <c r="A97" s="177" t="s">
        <v>192</v>
      </c>
      <c r="B97" s="141" t="s">
        <v>13430</v>
      </c>
      <c r="C97" s="135">
        <v>1179</v>
      </c>
    </row>
    <row r="98" spans="1:3" ht="26">
      <c r="A98" s="177" t="s">
        <v>193</v>
      </c>
      <c r="B98" s="141" t="s">
        <v>13429</v>
      </c>
      <c r="C98" s="135">
        <v>1179</v>
      </c>
    </row>
    <row r="99" spans="1:3" ht="26">
      <c r="A99" s="177" t="s">
        <v>194</v>
      </c>
      <c r="B99" s="141" t="s">
        <v>13428</v>
      </c>
      <c r="C99" s="135">
        <v>1339</v>
      </c>
    </row>
    <row r="100" spans="1:3">
      <c r="A100" s="140"/>
      <c r="B100" s="184" t="s">
        <v>13379</v>
      </c>
      <c r="C100" s="138"/>
    </row>
    <row r="101" spans="1:3">
      <c r="A101" s="140"/>
      <c r="B101" s="184"/>
      <c r="C101" s="138"/>
    </row>
    <row r="102" spans="1:3" ht="39">
      <c r="A102" s="140"/>
      <c r="B102" s="155" t="s">
        <v>13427</v>
      </c>
      <c r="C102" s="138"/>
    </row>
    <row r="103" spans="1:3" ht="26">
      <c r="A103" s="177" t="s">
        <v>195</v>
      </c>
      <c r="B103" s="141" t="s">
        <v>13426</v>
      </c>
      <c r="C103" s="135">
        <v>1459</v>
      </c>
    </row>
    <row r="104" spans="1:3" ht="26">
      <c r="A104" s="177" t="s">
        <v>196</v>
      </c>
      <c r="B104" s="141" t="s">
        <v>13425</v>
      </c>
      <c r="C104" s="135">
        <v>1459</v>
      </c>
    </row>
    <row r="105" spans="1:3" ht="26">
      <c r="A105" s="177" t="s">
        <v>197</v>
      </c>
      <c r="B105" s="141" t="s">
        <v>13424</v>
      </c>
      <c r="C105" s="135">
        <v>1689</v>
      </c>
    </row>
    <row r="106" spans="1:3">
      <c r="A106" s="140"/>
      <c r="B106" s="184"/>
      <c r="C106" s="138"/>
    </row>
    <row r="107" spans="1:3">
      <c r="A107" s="140"/>
      <c r="B107" s="175" t="s">
        <v>13393</v>
      </c>
      <c r="C107" s="138"/>
    </row>
    <row r="108" spans="1:3" ht="26">
      <c r="A108" s="185"/>
      <c r="B108" s="160" t="s">
        <v>13423</v>
      </c>
      <c r="C108" s="138"/>
    </row>
    <row r="109" spans="1:3" ht="26">
      <c r="A109" s="177" t="s">
        <v>13422</v>
      </c>
      <c r="B109" s="141" t="s">
        <v>13421</v>
      </c>
      <c r="C109" s="135">
        <v>609</v>
      </c>
    </row>
    <row r="110" spans="1:3" ht="26">
      <c r="A110" s="177" t="s">
        <v>13420</v>
      </c>
      <c r="B110" s="141" t="s">
        <v>13419</v>
      </c>
      <c r="C110" s="135">
        <v>609</v>
      </c>
    </row>
    <row r="111" spans="1:3" ht="26">
      <c r="A111" s="177" t="s">
        <v>13418</v>
      </c>
      <c r="B111" s="141" t="s">
        <v>13417</v>
      </c>
      <c r="C111" s="135">
        <v>609</v>
      </c>
    </row>
    <row r="112" spans="1:3" ht="26">
      <c r="A112" s="178" t="s">
        <v>13416</v>
      </c>
      <c r="B112" s="141" t="s">
        <v>13415</v>
      </c>
      <c r="C112" s="135">
        <v>609</v>
      </c>
    </row>
    <row r="113" spans="1:3" ht="26">
      <c r="A113" s="177" t="s">
        <v>13414</v>
      </c>
      <c r="B113" s="141" t="s">
        <v>13413</v>
      </c>
      <c r="C113" s="135">
        <v>609</v>
      </c>
    </row>
    <row r="114" spans="1:3" ht="26">
      <c r="A114" s="177" t="s">
        <v>13412</v>
      </c>
      <c r="B114" s="141" t="s">
        <v>13411</v>
      </c>
      <c r="C114" s="135">
        <v>609</v>
      </c>
    </row>
    <row r="115" spans="1:3" ht="26">
      <c r="A115" s="177" t="s">
        <v>13410</v>
      </c>
      <c r="B115" s="141" t="s">
        <v>13409</v>
      </c>
      <c r="C115" s="135">
        <v>609</v>
      </c>
    </row>
    <row r="116" spans="1:3">
      <c r="B116" s="184" t="s">
        <v>13379</v>
      </c>
      <c r="C116" s="138"/>
    </row>
    <row r="117" spans="1:3">
      <c r="B117" s="184"/>
      <c r="C117" s="138"/>
    </row>
    <row r="118" spans="1:3">
      <c r="B118" s="175" t="s">
        <v>13393</v>
      </c>
      <c r="C118" s="138"/>
    </row>
    <row r="119" spans="1:3" ht="26">
      <c r="A119" s="185"/>
      <c r="B119" s="160" t="s">
        <v>13408</v>
      </c>
      <c r="C119" s="138"/>
    </row>
    <row r="120" spans="1:3" ht="26">
      <c r="A120" s="177" t="s">
        <v>13407</v>
      </c>
      <c r="B120" s="141" t="s">
        <v>13406</v>
      </c>
      <c r="C120" s="135">
        <v>619</v>
      </c>
    </row>
    <row r="121" spans="1:3" ht="26">
      <c r="A121" s="178" t="s">
        <v>13405</v>
      </c>
      <c r="B121" s="141" t="s">
        <v>13404</v>
      </c>
      <c r="C121" s="135">
        <v>619</v>
      </c>
    </row>
    <row r="122" spans="1:3" ht="26">
      <c r="A122" s="177" t="s">
        <v>13403</v>
      </c>
      <c r="B122" s="141" t="s">
        <v>13402</v>
      </c>
      <c r="C122" s="135">
        <v>619</v>
      </c>
    </row>
    <row r="123" spans="1:3" ht="26">
      <c r="A123" s="177" t="s">
        <v>13401</v>
      </c>
      <c r="B123" s="141" t="s">
        <v>13400</v>
      </c>
      <c r="C123" s="135">
        <v>619</v>
      </c>
    </row>
    <row r="124" spans="1:3" ht="26">
      <c r="A124" s="177" t="s">
        <v>13399</v>
      </c>
      <c r="B124" s="141" t="s">
        <v>13398</v>
      </c>
      <c r="C124" s="135">
        <v>619</v>
      </c>
    </row>
    <row r="125" spans="1:3" ht="26">
      <c r="A125" s="177" t="s">
        <v>13397</v>
      </c>
      <c r="B125" s="141" t="s">
        <v>13396</v>
      </c>
      <c r="C125" s="135">
        <v>619</v>
      </c>
    </row>
    <row r="126" spans="1:3" ht="26">
      <c r="A126" s="177" t="s">
        <v>13395</v>
      </c>
      <c r="B126" s="141" t="s">
        <v>13394</v>
      </c>
      <c r="C126" s="135">
        <v>619</v>
      </c>
    </row>
    <row r="127" spans="1:3">
      <c r="A127" s="140"/>
      <c r="B127" s="184" t="s">
        <v>13379</v>
      </c>
      <c r="C127" s="138"/>
    </row>
    <row r="128" spans="1:3">
      <c r="A128" s="140"/>
      <c r="B128" s="184"/>
      <c r="C128" s="138"/>
    </row>
    <row r="129" spans="1:3">
      <c r="B129" s="175" t="s">
        <v>13393</v>
      </c>
      <c r="C129" s="138"/>
    </row>
    <row r="130" spans="1:3" ht="26">
      <c r="A130" s="185"/>
      <c r="B130" s="160" t="s">
        <v>13392</v>
      </c>
      <c r="C130" s="138"/>
    </row>
    <row r="131" spans="1:3" ht="26">
      <c r="A131" s="177" t="s">
        <v>13391</v>
      </c>
      <c r="B131" s="141" t="s">
        <v>13390</v>
      </c>
      <c r="C131" s="135">
        <v>629</v>
      </c>
    </row>
    <row r="132" spans="1:3" ht="26">
      <c r="A132" s="178" t="s">
        <v>4895</v>
      </c>
      <c r="B132" s="141" t="s">
        <v>13389</v>
      </c>
      <c r="C132" s="135"/>
    </row>
    <row r="133" spans="1:3" ht="26">
      <c r="A133" s="177" t="s">
        <v>13388</v>
      </c>
      <c r="B133" s="141" t="s">
        <v>13387</v>
      </c>
      <c r="C133" s="135">
        <v>629</v>
      </c>
    </row>
    <row r="134" spans="1:3" ht="26">
      <c r="A134" s="177" t="s">
        <v>4895</v>
      </c>
      <c r="B134" s="141" t="s">
        <v>13386</v>
      </c>
      <c r="C134" s="135"/>
    </row>
    <row r="135" spans="1:3" ht="26">
      <c r="A135" s="177" t="s">
        <v>13385</v>
      </c>
      <c r="B135" s="141" t="s">
        <v>13384</v>
      </c>
      <c r="C135" s="135">
        <v>629</v>
      </c>
    </row>
    <row r="136" spans="1:3" ht="26">
      <c r="A136" s="177" t="s">
        <v>13383</v>
      </c>
      <c r="B136" s="141" t="s">
        <v>13382</v>
      </c>
      <c r="C136" s="135">
        <v>629</v>
      </c>
    </row>
    <row r="137" spans="1:3" ht="26">
      <c r="A137" s="177" t="s">
        <v>13381</v>
      </c>
      <c r="B137" s="141" t="s">
        <v>13380</v>
      </c>
      <c r="C137" s="135">
        <v>629</v>
      </c>
    </row>
    <row r="138" spans="1:3">
      <c r="A138" s="140"/>
      <c r="B138" s="184" t="s">
        <v>13379</v>
      </c>
      <c r="C138" s="138"/>
    </row>
    <row r="139" spans="1:3">
      <c r="A139" s="157" t="s">
        <v>13378</v>
      </c>
      <c r="B139" s="184"/>
      <c r="C139" s="138"/>
    </row>
    <row r="140" spans="1:3">
      <c r="A140" s="157"/>
      <c r="B140" s="184"/>
      <c r="C140" s="138"/>
    </row>
    <row r="141" spans="1:3">
      <c r="A141" s="140"/>
      <c r="B141" s="139" t="s">
        <v>13377</v>
      </c>
      <c r="C141" s="138"/>
    </row>
    <row r="142" spans="1:3">
      <c r="A142" s="183" t="s">
        <v>13376</v>
      </c>
      <c r="B142" s="141" t="s">
        <v>13375</v>
      </c>
      <c r="C142" s="135">
        <v>279</v>
      </c>
    </row>
    <row r="143" spans="1:3">
      <c r="A143" s="140"/>
      <c r="B143" s="182"/>
      <c r="C143" s="138"/>
    </row>
    <row r="144" spans="1:3" ht="23.5">
      <c r="A144" s="140"/>
      <c r="B144" s="181" t="s">
        <v>13374</v>
      </c>
      <c r="C144" s="138"/>
    </row>
    <row r="145" spans="1:3">
      <c r="A145" s="140"/>
      <c r="B145" s="139" t="s">
        <v>13364</v>
      </c>
      <c r="C145" s="138"/>
    </row>
    <row r="146" spans="1:3" ht="39">
      <c r="A146" s="177" t="s">
        <v>13373</v>
      </c>
      <c r="B146" s="141" t="s">
        <v>13362</v>
      </c>
      <c r="C146" s="135">
        <v>679</v>
      </c>
    </row>
    <row r="147" spans="1:3" ht="39">
      <c r="A147" s="177" t="s">
        <v>13372</v>
      </c>
      <c r="B147" s="141" t="s">
        <v>13360</v>
      </c>
      <c r="C147" s="135">
        <v>699</v>
      </c>
    </row>
    <row r="148" spans="1:3" ht="39">
      <c r="A148" s="177" t="s">
        <v>13371</v>
      </c>
      <c r="B148" s="141" t="s">
        <v>13358</v>
      </c>
      <c r="C148" s="135">
        <v>699</v>
      </c>
    </row>
    <row r="149" spans="1:3">
      <c r="A149" s="140"/>
      <c r="B149" s="140"/>
      <c r="C149" s="138"/>
    </row>
    <row r="150" spans="1:3" ht="23.5">
      <c r="A150" s="140"/>
      <c r="B150" s="181" t="s">
        <v>13370</v>
      </c>
      <c r="C150" s="138"/>
    </row>
    <row r="151" spans="1:3">
      <c r="A151" s="140"/>
      <c r="B151" s="139" t="s">
        <v>13356</v>
      </c>
      <c r="C151" s="138"/>
    </row>
    <row r="152" spans="1:3" ht="52">
      <c r="A152" s="177" t="s">
        <v>13369</v>
      </c>
      <c r="B152" s="141" t="s">
        <v>13354</v>
      </c>
      <c r="C152" s="135">
        <v>889</v>
      </c>
    </row>
    <row r="153" spans="1:3" ht="39">
      <c r="A153" s="177" t="s">
        <v>13368</v>
      </c>
      <c r="B153" s="141" t="s">
        <v>13352</v>
      </c>
      <c r="C153" s="135">
        <v>459</v>
      </c>
    </row>
    <row r="154" spans="1:3" ht="52">
      <c r="A154" s="177" t="s">
        <v>13367</v>
      </c>
      <c r="B154" s="141" t="s">
        <v>13350</v>
      </c>
      <c r="C154" s="135">
        <v>929</v>
      </c>
    </row>
    <row r="155" spans="1:3" ht="52">
      <c r="A155" s="177" t="s">
        <v>13366</v>
      </c>
      <c r="B155" s="141" t="s">
        <v>13348</v>
      </c>
      <c r="C155" s="135">
        <v>929</v>
      </c>
    </row>
    <row r="156" spans="1:3">
      <c r="A156" s="179"/>
      <c r="B156" s="153"/>
      <c r="C156" s="138"/>
    </row>
    <row r="157" spans="1:3" ht="23.5">
      <c r="A157" s="140"/>
      <c r="B157" s="181" t="s">
        <v>13365</v>
      </c>
      <c r="C157" s="138"/>
    </row>
    <row r="158" spans="1:3">
      <c r="A158" s="140"/>
      <c r="B158" s="139" t="s">
        <v>13364</v>
      </c>
      <c r="C158" s="138"/>
    </row>
    <row r="159" spans="1:3" ht="39">
      <c r="A159" s="177" t="s">
        <v>13363</v>
      </c>
      <c r="B159" s="141" t="s">
        <v>13362</v>
      </c>
      <c r="C159" s="135">
        <v>679</v>
      </c>
    </row>
    <row r="160" spans="1:3" ht="39">
      <c r="A160" s="177" t="s">
        <v>13361</v>
      </c>
      <c r="B160" s="141" t="s">
        <v>13360</v>
      </c>
      <c r="C160" s="135">
        <v>699</v>
      </c>
    </row>
    <row r="161" spans="1:3" ht="39">
      <c r="A161" s="177" t="s">
        <v>13359</v>
      </c>
      <c r="B161" s="141" t="s">
        <v>13358</v>
      </c>
      <c r="C161" s="135">
        <v>699</v>
      </c>
    </row>
    <row r="162" spans="1:3">
      <c r="A162" s="140"/>
      <c r="B162" s="140"/>
      <c r="C162" s="138"/>
    </row>
    <row r="163" spans="1:3" ht="23.5">
      <c r="A163" s="140"/>
      <c r="B163" s="181" t="s">
        <v>13357</v>
      </c>
      <c r="C163" s="138"/>
    </row>
    <row r="164" spans="1:3">
      <c r="A164" s="140"/>
      <c r="B164" s="139" t="s">
        <v>13356</v>
      </c>
      <c r="C164" s="138"/>
    </row>
    <row r="165" spans="1:3" ht="52">
      <c r="A165" s="177" t="s">
        <v>13355</v>
      </c>
      <c r="B165" s="141" t="s">
        <v>13354</v>
      </c>
      <c r="C165" s="135">
        <v>939</v>
      </c>
    </row>
    <row r="166" spans="1:3" ht="39">
      <c r="A166" s="177" t="s">
        <v>13353</v>
      </c>
      <c r="B166" s="141" t="s">
        <v>13352</v>
      </c>
      <c r="C166" s="135">
        <v>459</v>
      </c>
    </row>
    <row r="167" spans="1:3" ht="52">
      <c r="A167" s="177" t="s">
        <v>13351</v>
      </c>
      <c r="B167" s="141" t="s">
        <v>13350</v>
      </c>
      <c r="C167" s="135">
        <v>929</v>
      </c>
    </row>
    <row r="168" spans="1:3" ht="52">
      <c r="A168" s="177" t="s">
        <v>13349</v>
      </c>
      <c r="B168" s="141" t="s">
        <v>13348</v>
      </c>
      <c r="C168" s="135">
        <v>929</v>
      </c>
    </row>
    <row r="169" spans="1:3">
      <c r="A169" s="179"/>
      <c r="B169" s="153"/>
      <c r="C169" s="138"/>
    </row>
    <row r="170" spans="1:3">
      <c r="A170" s="140"/>
      <c r="B170" s="180" t="s">
        <v>13347</v>
      </c>
      <c r="C170" s="138"/>
    </row>
    <row r="171" spans="1:3">
      <c r="A171" s="140"/>
      <c r="B171" s="139" t="s">
        <v>13346</v>
      </c>
      <c r="C171" s="138"/>
    </row>
    <row r="172" spans="1:3" ht="26">
      <c r="A172" s="177" t="s">
        <v>13345</v>
      </c>
      <c r="B172" s="141" t="s">
        <v>13344</v>
      </c>
      <c r="C172" s="135">
        <v>359</v>
      </c>
    </row>
    <row r="173" spans="1:3" ht="26">
      <c r="A173" s="177" t="s">
        <v>13343</v>
      </c>
      <c r="B173" s="141" t="s">
        <v>13342</v>
      </c>
      <c r="C173" s="135">
        <v>409</v>
      </c>
    </row>
    <row r="174" spans="1:3" ht="26">
      <c r="A174" s="177" t="s">
        <v>13341</v>
      </c>
      <c r="B174" s="141" t="s">
        <v>13340</v>
      </c>
      <c r="C174" s="135">
        <v>329</v>
      </c>
    </row>
    <row r="175" spans="1:3" ht="26">
      <c r="A175" s="177" t="s">
        <v>13099</v>
      </c>
      <c r="B175" s="141" t="s">
        <v>13339</v>
      </c>
      <c r="C175" s="135">
        <v>329</v>
      </c>
    </row>
    <row r="176" spans="1:3">
      <c r="A176" s="179"/>
      <c r="B176" s="153"/>
      <c r="C176" s="138"/>
    </row>
    <row r="177" spans="1:3">
      <c r="A177" s="179"/>
      <c r="B177" s="155" t="s">
        <v>13338</v>
      </c>
      <c r="C177" s="138"/>
    </row>
    <row r="178" spans="1:3" ht="52">
      <c r="A178" s="177" t="s">
        <v>13337</v>
      </c>
      <c r="B178" s="141" t="s">
        <v>13336</v>
      </c>
      <c r="C178" s="135">
        <v>259</v>
      </c>
    </row>
    <row r="179" spans="1:3" ht="65">
      <c r="A179" s="178" t="s">
        <v>13335</v>
      </c>
      <c r="B179" s="141" t="s">
        <v>13334</v>
      </c>
      <c r="C179" s="135">
        <v>309</v>
      </c>
    </row>
    <row r="180" spans="1:3" ht="65">
      <c r="A180" s="178" t="s">
        <v>13333</v>
      </c>
      <c r="B180" s="141" t="s">
        <v>13332</v>
      </c>
      <c r="C180" s="135">
        <v>209</v>
      </c>
    </row>
    <row r="181" spans="1:3" ht="78">
      <c r="A181" s="177" t="s">
        <v>13331</v>
      </c>
      <c r="B181" s="141" t="s">
        <v>13330</v>
      </c>
      <c r="C181" s="135">
        <v>489</v>
      </c>
    </row>
    <row r="182" spans="1:3" ht="65">
      <c r="A182" s="177" t="s">
        <v>13329</v>
      </c>
      <c r="B182" s="141" t="s">
        <v>13328</v>
      </c>
      <c r="C182" s="135">
        <v>409</v>
      </c>
    </row>
    <row r="183" spans="1:3">
      <c r="A183" s="140"/>
      <c r="B183" s="140"/>
      <c r="C183" s="138"/>
    </row>
    <row r="184" spans="1:3">
      <c r="A184" s="140"/>
      <c r="B184" s="139" t="s">
        <v>13327</v>
      </c>
      <c r="C184" s="138"/>
    </row>
    <row r="185" spans="1:3" ht="39">
      <c r="A185" s="177" t="s">
        <v>13326</v>
      </c>
      <c r="B185" s="141" t="s">
        <v>13325</v>
      </c>
      <c r="C185" s="135">
        <v>339</v>
      </c>
    </row>
    <row r="186" spans="1:3" ht="39">
      <c r="A186" s="177" t="s">
        <v>13324</v>
      </c>
      <c r="B186" s="141" t="s">
        <v>13323</v>
      </c>
      <c r="C186" s="135">
        <v>249</v>
      </c>
    </row>
    <row r="187" spans="1:3">
      <c r="A187" s="140"/>
      <c r="B187" s="140"/>
      <c r="C187" s="138"/>
    </row>
    <row r="188" spans="1:3">
      <c r="A188" s="140"/>
      <c r="B188" s="155" t="s">
        <v>13322</v>
      </c>
      <c r="C188" s="138"/>
    </row>
    <row r="189" spans="1:3">
      <c r="A189" s="140"/>
      <c r="B189" s="155" t="s">
        <v>13315</v>
      </c>
      <c r="C189" s="138"/>
    </row>
    <row r="190" spans="1:3">
      <c r="A190" s="176" t="s">
        <v>13321</v>
      </c>
      <c r="B190" s="175" t="s">
        <v>13314</v>
      </c>
      <c r="C190" s="138"/>
    </row>
    <row r="191" spans="1:3" ht="65">
      <c r="A191" s="142" t="s">
        <v>13320</v>
      </c>
      <c r="B191" s="141" t="s">
        <v>13319</v>
      </c>
      <c r="C191" s="135">
        <v>3889</v>
      </c>
    </row>
    <row r="192" spans="1:3" ht="91">
      <c r="A192" s="142" t="s">
        <v>13318</v>
      </c>
      <c r="B192" s="141" t="s">
        <v>13317</v>
      </c>
      <c r="C192" s="135">
        <v>3889</v>
      </c>
    </row>
    <row r="193" spans="1:3">
      <c r="B193" s="153"/>
      <c r="C193" s="138"/>
    </row>
    <row r="194" spans="1:3" ht="26">
      <c r="B194" s="149" t="s">
        <v>13316</v>
      </c>
      <c r="C194" s="138"/>
    </row>
    <row r="195" spans="1:3">
      <c r="B195" s="155" t="s">
        <v>13315</v>
      </c>
      <c r="C195" s="138"/>
    </row>
    <row r="196" spans="1:3">
      <c r="B196" s="175" t="s">
        <v>13314</v>
      </c>
      <c r="C196" s="138"/>
    </row>
    <row r="197" spans="1:3" ht="65">
      <c r="A197" s="142" t="s">
        <v>13313</v>
      </c>
      <c r="B197" s="174" t="s">
        <v>13312</v>
      </c>
      <c r="C197" s="135">
        <v>5599</v>
      </c>
    </row>
    <row r="198" spans="1:3" ht="91">
      <c r="A198" s="142" t="s">
        <v>13311</v>
      </c>
      <c r="B198" s="174" t="s">
        <v>13310</v>
      </c>
      <c r="C198" s="135">
        <v>5599</v>
      </c>
    </row>
    <row r="199" spans="1:3" s="170" customFormat="1">
      <c r="A199" s="140"/>
      <c r="B199" s="140"/>
      <c r="C199" s="138"/>
    </row>
    <row r="200" spans="1:3" s="170" customFormat="1">
      <c r="A200" s="140"/>
      <c r="B200" s="155" t="s">
        <v>13309</v>
      </c>
      <c r="C200" s="138"/>
    </row>
    <row r="201" spans="1:3">
      <c r="A201" s="140"/>
      <c r="B201" s="155" t="s">
        <v>13308</v>
      </c>
      <c r="C201" s="138"/>
    </row>
    <row r="202" spans="1:3" ht="91">
      <c r="A202" s="142" t="s">
        <v>13307</v>
      </c>
      <c r="B202" s="141" t="s">
        <v>13306</v>
      </c>
      <c r="C202" s="135">
        <v>3239</v>
      </c>
    </row>
    <row r="203" spans="1:3" ht="117">
      <c r="A203" s="142" t="s">
        <v>13305</v>
      </c>
      <c r="B203" s="141" t="s">
        <v>13304</v>
      </c>
      <c r="C203" s="135">
        <v>3239</v>
      </c>
    </row>
    <row r="204" spans="1:3">
      <c r="A204" s="140"/>
      <c r="B204" s="140"/>
      <c r="C204" s="138"/>
    </row>
    <row r="205" spans="1:3" ht="26">
      <c r="A205" s="140"/>
      <c r="B205" s="155" t="s">
        <v>13303</v>
      </c>
      <c r="C205" s="138"/>
    </row>
    <row r="206" spans="1:3" ht="26">
      <c r="A206" s="142" t="s">
        <v>13302</v>
      </c>
      <c r="B206" s="141" t="s">
        <v>13301</v>
      </c>
      <c r="C206" s="135">
        <v>289</v>
      </c>
    </row>
    <row r="207" spans="1:3" ht="39">
      <c r="A207" s="137" t="s">
        <v>13300</v>
      </c>
      <c r="B207" s="141" t="s">
        <v>13299</v>
      </c>
      <c r="C207" s="135">
        <v>289</v>
      </c>
    </row>
    <row r="208" spans="1:3">
      <c r="A208" s="140"/>
      <c r="B208" s="140"/>
      <c r="C208" s="138"/>
    </row>
    <row r="209" spans="1:3" ht="26">
      <c r="A209" s="140"/>
      <c r="B209" s="173" t="s">
        <v>13298</v>
      </c>
      <c r="C209" s="138"/>
    </row>
    <row r="210" spans="1:3" ht="91">
      <c r="A210" s="142" t="s">
        <v>13297</v>
      </c>
      <c r="B210" s="141" t="s">
        <v>13296</v>
      </c>
      <c r="C210" s="135">
        <v>89</v>
      </c>
    </row>
    <row r="211" spans="1:3">
      <c r="A211" s="140"/>
      <c r="B211" s="140"/>
      <c r="C211" s="138"/>
    </row>
    <row r="212" spans="1:3">
      <c r="A212" s="140"/>
      <c r="B212" s="139" t="s">
        <v>13295</v>
      </c>
      <c r="C212" s="138"/>
    </row>
    <row r="213" spans="1:3" ht="52">
      <c r="A213" s="156" t="s">
        <v>13294</v>
      </c>
      <c r="B213" s="171" t="s">
        <v>13293</v>
      </c>
      <c r="C213" s="135">
        <v>379</v>
      </c>
    </row>
    <row r="214" spans="1:3" ht="104">
      <c r="A214" s="156" t="s">
        <v>13292</v>
      </c>
      <c r="B214" s="171" t="s">
        <v>13291</v>
      </c>
      <c r="C214" s="135">
        <v>379</v>
      </c>
    </row>
    <row r="215" spans="1:3" ht="91">
      <c r="A215" s="172" t="s">
        <v>13290</v>
      </c>
      <c r="B215" s="171" t="s">
        <v>13289</v>
      </c>
      <c r="C215" s="135">
        <v>279</v>
      </c>
    </row>
    <row r="216" spans="1:3">
      <c r="A216" s="140"/>
      <c r="B216" s="140"/>
      <c r="C216" s="138"/>
    </row>
    <row r="217" spans="1:3" ht="18.5">
      <c r="A217" s="140"/>
      <c r="B217" s="169" t="s">
        <v>13238</v>
      </c>
      <c r="C217" s="138"/>
    </row>
    <row r="218" spans="1:3">
      <c r="A218" s="140"/>
      <c r="B218" s="168" t="s">
        <v>13259</v>
      </c>
      <c r="C218" s="138"/>
    </row>
    <row r="219" spans="1:3">
      <c r="A219" s="140"/>
      <c r="B219" s="166" t="s">
        <v>13288</v>
      </c>
      <c r="C219" s="138"/>
    </row>
    <row r="220" spans="1:3">
      <c r="A220" s="140"/>
      <c r="B220" s="165" t="s">
        <v>13287</v>
      </c>
      <c r="C220" s="138"/>
    </row>
    <row r="221" spans="1:3" ht="39">
      <c r="A221" s="142" t="s">
        <v>13286</v>
      </c>
      <c r="B221" s="141" t="s">
        <v>13285</v>
      </c>
      <c r="C221" s="135">
        <v>1089</v>
      </c>
    </row>
    <row r="222" spans="1:3" ht="39">
      <c r="A222" s="142" t="s">
        <v>13284</v>
      </c>
      <c r="B222" s="141" t="s">
        <v>13283</v>
      </c>
      <c r="C222" s="135">
        <v>1879</v>
      </c>
    </row>
    <row r="223" spans="1:3">
      <c r="A223" s="140"/>
      <c r="B223" s="140"/>
      <c r="C223" s="138"/>
    </row>
    <row r="224" spans="1:3" ht="18.5">
      <c r="A224" s="140"/>
      <c r="B224" s="169" t="s">
        <v>13265</v>
      </c>
      <c r="C224" s="138"/>
    </row>
    <row r="225" spans="1:3">
      <c r="A225" s="140"/>
      <c r="B225" s="168" t="s">
        <v>13259</v>
      </c>
      <c r="C225" s="138"/>
    </row>
    <row r="226" spans="1:3">
      <c r="A226" s="140"/>
      <c r="B226" s="166" t="s">
        <v>13247</v>
      </c>
      <c r="C226" s="138"/>
    </row>
    <row r="227" spans="1:3">
      <c r="A227" s="140"/>
      <c r="B227" s="165" t="s">
        <v>13258</v>
      </c>
      <c r="C227" s="138"/>
    </row>
    <row r="228" spans="1:3" ht="78">
      <c r="A228" s="142" t="s">
        <v>13282</v>
      </c>
      <c r="B228" s="141" t="s">
        <v>13256</v>
      </c>
      <c r="C228" s="135">
        <v>1749</v>
      </c>
    </row>
    <row r="229" spans="1:3" ht="78">
      <c r="A229" s="142" t="s">
        <v>13281</v>
      </c>
      <c r="B229" s="141" t="s">
        <v>13254</v>
      </c>
      <c r="C229" s="135">
        <v>1759</v>
      </c>
    </row>
    <row r="230" spans="1:3" ht="78">
      <c r="A230" s="142" t="s">
        <v>13280</v>
      </c>
      <c r="B230" s="141" t="s">
        <v>13252</v>
      </c>
      <c r="C230" s="135">
        <v>2499</v>
      </c>
    </row>
    <row r="231" spans="1:3" ht="78">
      <c r="A231" s="142" t="s">
        <v>13279</v>
      </c>
      <c r="B231" s="141" t="s">
        <v>13250</v>
      </c>
      <c r="C231" s="135">
        <v>2509</v>
      </c>
    </row>
    <row r="232" spans="1:3">
      <c r="B232" s="153"/>
      <c r="C232" s="138"/>
    </row>
    <row r="233" spans="1:3" ht="18.5">
      <c r="A233" s="140"/>
      <c r="B233" s="169" t="s">
        <v>13238</v>
      </c>
      <c r="C233" s="138"/>
    </row>
    <row r="234" spans="1:3">
      <c r="A234" s="140"/>
      <c r="B234" s="139" t="s">
        <v>13248</v>
      </c>
      <c r="C234" s="138"/>
    </row>
    <row r="235" spans="1:3">
      <c r="A235" s="140"/>
      <c r="B235" s="166" t="s">
        <v>13278</v>
      </c>
      <c r="C235" s="138"/>
    </row>
    <row r="236" spans="1:3">
      <c r="A236" s="140"/>
      <c r="B236" s="165" t="s">
        <v>13246</v>
      </c>
      <c r="C236" s="138"/>
    </row>
    <row r="237" spans="1:3" s="170" customFormat="1" ht="39">
      <c r="A237" s="142" t="s">
        <v>13277</v>
      </c>
      <c r="B237" s="141" t="s">
        <v>13276</v>
      </c>
      <c r="C237" s="135">
        <v>1099</v>
      </c>
    </row>
    <row r="238" spans="1:3" s="170" customFormat="1" ht="39">
      <c r="A238" s="142" t="s">
        <v>13275</v>
      </c>
      <c r="B238" s="141" t="s">
        <v>13274</v>
      </c>
      <c r="C238" s="135">
        <v>1839</v>
      </c>
    </row>
    <row r="239" spans="1:3" s="170" customFormat="1">
      <c r="A239" s="134"/>
      <c r="B239" s="153"/>
      <c r="C239" s="138"/>
    </row>
    <row r="240" spans="1:3" ht="18.5">
      <c r="A240" s="140"/>
      <c r="B240" s="169" t="s">
        <v>13265</v>
      </c>
      <c r="C240" s="138"/>
    </row>
    <row r="241" spans="1:3">
      <c r="A241" s="140"/>
      <c r="B241" s="139" t="s">
        <v>13248</v>
      </c>
      <c r="C241" s="138"/>
    </row>
    <row r="242" spans="1:3">
      <c r="A242" s="140"/>
      <c r="B242" s="166" t="s">
        <v>13247</v>
      </c>
      <c r="C242" s="138"/>
    </row>
    <row r="243" spans="1:3">
      <c r="A243" s="140"/>
      <c r="B243" s="165" t="s">
        <v>13246</v>
      </c>
      <c r="C243" s="138"/>
    </row>
    <row r="244" spans="1:3" ht="78">
      <c r="A244" s="142" t="s">
        <v>264</v>
      </c>
      <c r="B244" s="141" t="s">
        <v>265</v>
      </c>
      <c r="C244" s="135">
        <v>1759</v>
      </c>
    </row>
    <row r="245" spans="1:3" ht="78">
      <c r="A245" s="142" t="s">
        <v>13273</v>
      </c>
      <c r="B245" s="141" t="s">
        <v>13243</v>
      </c>
      <c r="C245" s="135">
        <v>1749</v>
      </c>
    </row>
    <row r="246" spans="1:3" ht="78">
      <c r="A246" s="142" t="s">
        <v>13272</v>
      </c>
      <c r="B246" s="141" t="s">
        <v>13241</v>
      </c>
      <c r="C246" s="135">
        <v>2509</v>
      </c>
    </row>
    <row r="247" spans="1:3" ht="78">
      <c r="A247" s="142" t="s">
        <v>13271</v>
      </c>
      <c r="B247" s="141" t="s">
        <v>13239</v>
      </c>
      <c r="C247" s="135">
        <v>2499</v>
      </c>
    </row>
    <row r="248" spans="1:3">
      <c r="B248" s="153"/>
      <c r="C248" s="138"/>
    </row>
    <row r="249" spans="1:3" ht="18.5">
      <c r="B249" s="169" t="s">
        <v>13238</v>
      </c>
      <c r="C249" s="138"/>
    </row>
    <row r="250" spans="1:3" ht="26">
      <c r="B250" s="155" t="s">
        <v>13270</v>
      </c>
      <c r="C250" s="138"/>
    </row>
    <row r="251" spans="1:3" ht="65">
      <c r="A251" s="142" t="s">
        <v>13269</v>
      </c>
      <c r="B251" s="141" t="s">
        <v>13268</v>
      </c>
      <c r="C251" s="135">
        <v>619</v>
      </c>
    </row>
    <row r="252" spans="1:3">
      <c r="B252" s="153"/>
      <c r="C252" s="138"/>
    </row>
    <row r="253" spans="1:3" ht="18.5">
      <c r="A253" s="140"/>
      <c r="B253" s="169" t="s">
        <v>13238</v>
      </c>
      <c r="C253" s="138"/>
    </row>
    <row r="254" spans="1:3" ht="26">
      <c r="A254" s="140"/>
      <c r="B254" s="155" t="s">
        <v>13264</v>
      </c>
      <c r="C254" s="138"/>
    </row>
    <row r="255" spans="1:3" ht="65">
      <c r="A255" s="142" t="s">
        <v>13267</v>
      </c>
      <c r="B255" s="141" t="s">
        <v>13266</v>
      </c>
      <c r="C255" s="135">
        <v>1249</v>
      </c>
    </row>
    <row r="256" spans="1:3">
      <c r="B256" s="153"/>
      <c r="C256" s="138"/>
    </row>
    <row r="257" spans="1:3" ht="18.5">
      <c r="B257" s="169" t="s">
        <v>13265</v>
      </c>
      <c r="C257" s="138"/>
    </row>
    <row r="258" spans="1:3" ht="26">
      <c r="B258" s="155" t="s">
        <v>13264</v>
      </c>
      <c r="C258" s="138"/>
    </row>
    <row r="259" spans="1:3" ht="78">
      <c r="A259" s="142" t="s">
        <v>13263</v>
      </c>
      <c r="B259" s="141" t="s">
        <v>13262</v>
      </c>
      <c r="C259" s="135">
        <v>1889</v>
      </c>
    </row>
    <row r="260" spans="1:3" ht="78">
      <c r="A260" s="156" t="s">
        <v>13261</v>
      </c>
      <c r="B260" s="141" t="s">
        <v>13260</v>
      </c>
      <c r="C260" s="135">
        <v>1929</v>
      </c>
    </row>
    <row r="261" spans="1:3">
      <c r="A261" s="164"/>
      <c r="B261" s="131"/>
      <c r="C261" s="138"/>
    </row>
    <row r="262" spans="1:3" ht="18.5">
      <c r="A262" s="140"/>
      <c r="B262" s="163" t="s">
        <v>13249</v>
      </c>
      <c r="C262" s="138"/>
    </row>
    <row r="263" spans="1:3">
      <c r="A263" s="140"/>
      <c r="B263" s="168" t="s">
        <v>13259</v>
      </c>
      <c r="C263" s="138"/>
    </row>
    <row r="264" spans="1:3">
      <c r="A264" s="140"/>
      <c r="B264" s="166" t="s">
        <v>13247</v>
      </c>
      <c r="C264" s="138"/>
    </row>
    <row r="265" spans="1:3">
      <c r="A265" s="140"/>
      <c r="B265" s="165" t="s">
        <v>13258</v>
      </c>
      <c r="C265" s="138"/>
    </row>
    <row r="266" spans="1:3" ht="78">
      <c r="A266" s="142" t="s">
        <v>13257</v>
      </c>
      <c r="B266" s="141" t="s">
        <v>13256</v>
      </c>
      <c r="C266" s="135">
        <v>1749</v>
      </c>
    </row>
    <row r="267" spans="1:3" ht="78">
      <c r="A267" s="142" t="s">
        <v>13255</v>
      </c>
      <c r="B267" s="141" t="s">
        <v>13254</v>
      </c>
      <c r="C267" s="135">
        <v>1759</v>
      </c>
    </row>
    <row r="268" spans="1:3" ht="78">
      <c r="A268" s="142" t="s">
        <v>13253</v>
      </c>
      <c r="B268" s="141" t="s">
        <v>13252</v>
      </c>
      <c r="C268" s="135">
        <v>2499</v>
      </c>
    </row>
    <row r="269" spans="1:3" ht="78">
      <c r="A269" s="142" t="s">
        <v>13251</v>
      </c>
      <c r="B269" s="141" t="s">
        <v>13250</v>
      </c>
      <c r="C269" s="135">
        <v>2509</v>
      </c>
    </row>
    <row r="270" spans="1:3">
      <c r="B270" s="153"/>
      <c r="C270" s="138"/>
    </row>
    <row r="271" spans="1:3" ht="18.5">
      <c r="A271" s="140"/>
      <c r="B271" s="163" t="s">
        <v>13249</v>
      </c>
      <c r="C271" s="138"/>
    </row>
    <row r="272" spans="1:3" s="167" customFormat="1">
      <c r="A272" s="140"/>
      <c r="B272" s="139" t="s">
        <v>13248</v>
      </c>
      <c r="C272" s="138"/>
    </row>
    <row r="273" spans="1:3">
      <c r="A273" s="140"/>
      <c r="B273" s="166" t="s">
        <v>13247</v>
      </c>
      <c r="C273" s="138"/>
    </row>
    <row r="274" spans="1:3">
      <c r="A274" s="140"/>
      <c r="B274" s="165" t="s">
        <v>13246</v>
      </c>
      <c r="C274" s="138"/>
    </row>
    <row r="275" spans="1:3" ht="78">
      <c r="A275" s="142" t="s">
        <v>13245</v>
      </c>
      <c r="B275" s="141" t="s">
        <v>265</v>
      </c>
      <c r="C275" s="135">
        <v>1759</v>
      </c>
    </row>
    <row r="276" spans="1:3" ht="78">
      <c r="A276" s="142" t="s">
        <v>13244</v>
      </c>
      <c r="B276" s="141" t="s">
        <v>13243</v>
      </c>
      <c r="C276" s="135">
        <v>1749</v>
      </c>
    </row>
    <row r="277" spans="1:3" ht="78">
      <c r="A277" s="142" t="s">
        <v>13242</v>
      </c>
      <c r="B277" s="141" t="s">
        <v>13241</v>
      </c>
      <c r="C277" s="135">
        <v>2509</v>
      </c>
    </row>
    <row r="278" spans="1:3" ht="78">
      <c r="A278" s="142" t="s">
        <v>13240</v>
      </c>
      <c r="B278" s="141" t="s">
        <v>13239</v>
      </c>
      <c r="C278" s="135">
        <v>2499</v>
      </c>
    </row>
    <row r="279" spans="1:3">
      <c r="A279" s="164"/>
      <c r="B279" s="153"/>
      <c r="C279" s="138"/>
    </row>
    <row r="280" spans="1:3" ht="18.5">
      <c r="B280" s="163" t="s">
        <v>13238</v>
      </c>
      <c r="C280" s="138"/>
    </row>
    <row r="281" spans="1:3">
      <c r="A281" s="140"/>
      <c r="B281" s="139" t="s">
        <v>13237</v>
      </c>
      <c r="C281" s="138"/>
    </row>
    <row r="282" spans="1:3">
      <c r="A282" s="140"/>
      <c r="B282" s="139" t="s">
        <v>13236</v>
      </c>
      <c r="C282" s="138"/>
    </row>
    <row r="283" spans="1:3" ht="26">
      <c r="A283" s="142" t="s">
        <v>266</v>
      </c>
      <c r="B283" s="141" t="s">
        <v>267</v>
      </c>
      <c r="C283" s="135">
        <v>289</v>
      </c>
    </row>
    <row r="284" spans="1:3" ht="26">
      <c r="A284" s="142" t="s">
        <v>13235</v>
      </c>
      <c r="B284" s="141" t="s">
        <v>13234</v>
      </c>
      <c r="C284" s="135">
        <v>35.99</v>
      </c>
    </row>
    <row r="285" spans="1:3">
      <c r="A285" s="140"/>
      <c r="B285" s="140"/>
      <c r="C285" s="138"/>
    </row>
    <row r="286" spans="1:3">
      <c r="A286" s="140"/>
      <c r="B286" s="155" t="s">
        <v>13181</v>
      </c>
      <c r="C286" s="138"/>
    </row>
    <row r="287" spans="1:3">
      <c r="A287" s="140"/>
      <c r="B287" s="160" t="s">
        <v>13180</v>
      </c>
      <c r="C287" s="138"/>
    </row>
    <row r="288" spans="1:3">
      <c r="A288" s="158" t="s">
        <v>13179</v>
      </c>
      <c r="B288" s="162" t="s">
        <v>13233</v>
      </c>
      <c r="C288" s="138"/>
    </row>
    <row r="289" spans="1:3" ht="39">
      <c r="A289" s="142" t="s">
        <v>13232</v>
      </c>
      <c r="B289" s="141" t="s">
        <v>13231</v>
      </c>
      <c r="C289" s="135">
        <v>1259</v>
      </c>
    </row>
    <row r="290" spans="1:3" ht="39">
      <c r="A290" s="142" t="s">
        <v>13230</v>
      </c>
      <c r="B290" s="141" t="s">
        <v>13229</v>
      </c>
      <c r="C290" s="135">
        <v>1479</v>
      </c>
    </row>
    <row r="291" spans="1:3" ht="39">
      <c r="A291" s="142" t="s">
        <v>13228</v>
      </c>
      <c r="B291" s="141" t="s">
        <v>13227</v>
      </c>
      <c r="C291" s="135">
        <v>1479</v>
      </c>
    </row>
    <row r="292" spans="1:3" ht="39">
      <c r="A292" s="142" t="s">
        <v>13226</v>
      </c>
      <c r="B292" s="141" t="s">
        <v>13225</v>
      </c>
      <c r="C292" s="135">
        <v>1799</v>
      </c>
    </row>
    <row r="293" spans="1:3">
      <c r="A293" s="158" t="s">
        <v>13169</v>
      </c>
      <c r="B293" s="140"/>
      <c r="C293" s="138"/>
    </row>
    <row r="294" spans="1:3" ht="39">
      <c r="A294" s="142" t="s">
        <v>13224</v>
      </c>
      <c r="B294" s="141" t="s">
        <v>13223</v>
      </c>
      <c r="C294" s="135">
        <v>1359</v>
      </c>
    </row>
    <row r="295" spans="1:3" ht="39">
      <c r="A295" s="142" t="s">
        <v>13222</v>
      </c>
      <c r="B295" s="141" t="s">
        <v>13221</v>
      </c>
      <c r="C295" s="135">
        <v>1579</v>
      </c>
    </row>
    <row r="296" spans="1:3" ht="39">
      <c r="A296" s="142" t="s">
        <v>13220</v>
      </c>
      <c r="B296" s="141" t="s">
        <v>13219</v>
      </c>
      <c r="C296" s="135">
        <v>1579</v>
      </c>
    </row>
    <row r="297" spans="1:3" ht="39">
      <c r="A297" s="142" t="s">
        <v>13218</v>
      </c>
      <c r="B297" s="161" t="s">
        <v>13217</v>
      </c>
      <c r="C297" s="135">
        <v>1899</v>
      </c>
    </row>
    <row r="298" spans="1:3" ht="39">
      <c r="A298" s="142" t="s">
        <v>13216</v>
      </c>
      <c r="B298" s="141" t="s">
        <v>13215</v>
      </c>
      <c r="C298" s="135">
        <v>1799</v>
      </c>
    </row>
    <row r="299" spans="1:3">
      <c r="A299" s="158" t="s">
        <v>13214</v>
      </c>
      <c r="B299" s="140"/>
      <c r="C299" s="138"/>
    </row>
    <row r="300" spans="1:3" ht="39">
      <c r="A300" s="142" t="s">
        <v>13213</v>
      </c>
      <c r="B300" s="141" t="s">
        <v>13212</v>
      </c>
      <c r="C300" s="135">
        <v>1879</v>
      </c>
    </row>
    <row r="301" spans="1:3" ht="39">
      <c r="A301" s="142" t="s">
        <v>13211</v>
      </c>
      <c r="B301" s="141" t="s">
        <v>13210</v>
      </c>
      <c r="C301" s="135">
        <v>2099</v>
      </c>
    </row>
    <row r="302" spans="1:3" ht="39">
      <c r="A302" s="142" t="s">
        <v>13209</v>
      </c>
      <c r="B302" s="141" t="s">
        <v>13208</v>
      </c>
      <c r="C302" s="135">
        <v>2099</v>
      </c>
    </row>
    <row r="303" spans="1:3" ht="39">
      <c r="A303" s="142" t="s">
        <v>13207</v>
      </c>
      <c r="B303" s="141" t="s">
        <v>13206</v>
      </c>
      <c r="C303" s="135">
        <v>1879</v>
      </c>
    </row>
    <row r="304" spans="1:3" ht="39">
      <c r="A304" s="142" t="s">
        <v>13205</v>
      </c>
      <c r="B304" s="141" t="s">
        <v>13204</v>
      </c>
      <c r="C304" s="135">
        <v>2099</v>
      </c>
    </row>
    <row r="305" spans="1:3" ht="39">
      <c r="A305" s="142" t="s">
        <v>13203</v>
      </c>
      <c r="B305" s="141" t="s">
        <v>13202</v>
      </c>
      <c r="C305" s="135">
        <v>2099</v>
      </c>
    </row>
    <row r="306" spans="1:3" ht="39">
      <c r="A306" s="142" t="s">
        <v>13201</v>
      </c>
      <c r="B306" s="141" t="s">
        <v>13200</v>
      </c>
      <c r="C306" s="135">
        <v>2059</v>
      </c>
    </row>
    <row r="307" spans="1:3" ht="39">
      <c r="A307" s="142" t="s">
        <v>13199</v>
      </c>
      <c r="B307" s="141" t="s">
        <v>13198</v>
      </c>
      <c r="C307" s="135">
        <v>2039</v>
      </c>
    </row>
    <row r="308" spans="1:3">
      <c r="A308" s="158" t="s">
        <v>13158</v>
      </c>
      <c r="B308" s="140"/>
      <c r="C308" s="138"/>
    </row>
    <row r="309" spans="1:3" ht="39">
      <c r="A309" s="142" t="s">
        <v>13197</v>
      </c>
      <c r="B309" s="141" t="s">
        <v>13196</v>
      </c>
      <c r="C309" s="135">
        <v>1879</v>
      </c>
    </row>
    <row r="310" spans="1:3" ht="39.75" customHeight="1">
      <c r="A310" s="142" t="s">
        <v>13195</v>
      </c>
      <c r="B310" s="141" t="s">
        <v>13194</v>
      </c>
      <c r="C310" s="135">
        <v>2099</v>
      </c>
    </row>
    <row r="311" spans="1:3" ht="39">
      <c r="A311" s="142" t="s">
        <v>13193</v>
      </c>
      <c r="B311" s="141" t="s">
        <v>13192</v>
      </c>
      <c r="C311" s="135">
        <v>2099</v>
      </c>
    </row>
    <row r="312" spans="1:3" ht="39">
      <c r="A312" s="142" t="s">
        <v>13191</v>
      </c>
      <c r="B312" s="141" t="s">
        <v>13190</v>
      </c>
      <c r="C312" s="135">
        <v>1879</v>
      </c>
    </row>
    <row r="313" spans="1:3" ht="39">
      <c r="A313" s="142" t="s">
        <v>13189</v>
      </c>
      <c r="B313" s="141" t="s">
        <v>13188</v>
      </c>
      <c r="C313" s="135">
        <v>2099</v>
      </c>
    </row>
    <row r="314" spans="1:3" ht="39">
      <c r="A314" s="142" t="s">
        <v>13187</v>
      </c>
      <c r="B314" s="141" t="s">
        <v>13186</v>
      </c>
      <c r="C314" s="135">
        <v>2099</v>
      </c>
    </row>
    <row r="315" spans="1:3" ht="39">
      <c r="A315" s="142" t="s">
        <v>13185</v>
      </c>
      <c r="B315" s="141" t="s">
        <v>13184</v>
      </c>
      <c r="C315" s="135">
        <v>2059</v>
      </c>
    </row>
    <row r="316" spans="1:3" ht="39">
      <c r="A316" s="142" t="s">
        <v>13183</v>
      </c>
      <c r="B316" s="141" t="s">
        <v>13182</v>
      </c>
      <c r="C316" s="135">
        <v>2039</v>
      </c>
    </row>
    <row r="317" spans="1:3">
      <c r="A317" s="140"/>
      <c r="B317" s="140"/>
      <c r="C317" s="138"/>
    </row>
    <row r="318" spans="1:3">
      <c r="A318" s="140"/>
      <c r="B318" s="155" t="s">
        <v>13181</v>
      </c>
      <c r="C318" s="138"/>
    </row>
    <row r="319" spans="1:3">
      <c r="A319" s="140"/>
      <c r="B319" s="160" t="s">
        <v>13180</v>
      </c>
      <c r="C319" s="138"/>
    </row>
    <row r="320" spans="1:3">
      <c r="A320" s="158" t="s">
        <v>13179</v>
      </c>
      <c r="B320" s="159" t="s">
        <v>13178</v>
      </c>
      <c r="C320" s="138"/>
    </row>
    <row r="321" spans="1:3" ht="65">
      <c r="A321" s="142" t="s">
        <v>13177</v>
      </c>
      <c r="B321" s="141" t="s">
        <v>13176</v>
      </c>
      <c r="C321" s="135">
        <v>1259</v>
      </c>
    </row>
    <row r="322" spans="1:3" ht="65">
      <c r="A322" s="142" t="s">
        <v>13175</v>
      </c>
      <c r="B322" s="141" t="s">
        <v>13174</v>
      </c>
      <c r="C322" s="135">
        <v>1479</v>
      </c>
    </row>
    <row r="323" spans="1:3" ht="65">
      <c r="A323" s="142" t="s">
        <v>13173</v>
      </c>
      <c r="B323" s="141" t="s">
        <v>13172</v>
      </c>
      <c r="C323" s="135">
        <v>1479</v>
      </c>
    </row>
    <row r="324" spans="1:3" ht="65">
      <c r="A324" s="142" t="s">
        <v>13171</v>
      </c>
      <c r="B324" s="141" t="s">
        <v>13170</v>
      </c>
      <c r="C324" s="135">
        <v>1799</v>
      </c>
    </row>
    <row r="325" spans="1:3">
      <c r="A325" s="158" t="s">
        <v>13169</v>
      </c>
      <c r="B325" s="140"/>
      <c r="C325" s="138"/>
    </row>
    <row r="326" spans="1:3" ht="65">
      <c r="A326" s="142" t="s">
        <v>13168</v>
      </c>
      <c r="B326" s="141" t="s">
        <v>13167</v>
      </c>
      <c r="C326" s="135">
        <v>1359</v>
      </c>
    </row>
    <row r="327" spans="1:3" ht="65">
      <c r="A327" s="142" t="s">
        <v>13166</v>
      </c>
      <c r="B327" s="141" t="s">
        <v>13165</v>
      </c>
      <c r="C327" s="135">
        <v>1579</v>
      </c>
    </row>
    <row r="328" spans="1:3" ht="65">
      <c r="A328" s="142" t="s">
        <v>13164</v>
      </c>
      <c r="B328" s="141" t="s">
        <v>13163</v>
      </c>
      <c r="C328" s="135">
        <v>1579</v>
      </c>
    </row>
    <row r="329" spans="1:3" ht="65">
      <c r="A329" s="142" t="s">
        <v>13162</v>
      </c>
      <c r="B329" s="141" t="s">
        <v>13161</v>
      </c>
      <c r="C329" s="135">
        <v>1899</v>
      </c>
    </row>
    <row r="330" spans="1:3" ht="65">
      <c r="A330" s="142" t="s">
        <v>13160</v>
      </c>
      <c r="B330" s="141" t="s">
        <v>13159</v>
      </c>
      <c r="C330" s="135">
        <v>1799</v>
      </c>
    </row>
    <row r="331" spans="1:3">
      <c r="A331" s="158" t="s">
        <v>13158</v>
      </c>
      <c r="B331" s="140"/>
      <c r="C331" s="138"/>
    </row>
    <row r="332" spans="1:3" ht="65">
      <c r="A332" s="142" t="s">
        <v>13157</v>
      </c>
      <c r="B332" s="141" t="s">
        <v>13156</v>
      </c>
      <c r="C332" s="135">
        <v>1879</v>
      </c>
    </row>
    <row r="333" spans="1:3" ht="65">
      <c r="A333" s="142" t="s">
        <v>13155</v>
      </c>
      <c r="B333" s="141" t="s">
        <v>13154</v>
      </c>
      <c r="C333" s="135">
        <v>2099</v>
      </c>
    </row>
    <row r="334" spans="1:3" ht="65">
      <c r="A334" s="142" t="s">
        <v>13153</v>
      </c>
      <c r="B334" s="141" t="s">
        <v>13152</v>
      </c>
      <c r="C334" s="135">
        <v>2099</v>
      </c>
    </row>
    <row r="335" spans="1:3" ht="65">
      <c r="A335" s="142" t="s">
        <v>13151</v>
      </c>
      <c r="B335" s="141" t="s">
        <v>13150</v>
      </c>
      <c r="C335" s="135">
        <v>1879</v>
      </c>
    </row>
    <row r="336" spans="1:3" ht="65">
      <c r="A336" s="142" t="s">
        <v>13149</v>
      </c>
      <c r="B336" s="141" t="s">
        <v>13148</v>
      </c>
      <c r="C336" s="135">
        <v>2099</v>
      </c>
    </row>
    <row r="337" spans="1:3" ht="65">
      <c r="A337" s="142" t="s">
        <v>13147</v>
      </c>
      <c r="B337" s="141" t="s">
        <v>13146</v>
      </c>
      <c r="C337" s="135">
        <v>2099</v>
      </c>
    </row>
    <row r="338" spans="1:3" ht="65">
      <c r="A338" s="142" t="s">
        <v>13145</v>
      </c>
      <c r="B338" s="141" t="s">
        <v>13144</v>
      </c>
      <c r="C338" s="135">
        <v>2059</v>
      </c>
    </row>
    <row r="339" spans="1:3" ht="65">
      <c r="A339" s="142" t="s">
        <v>13143</v>
      </c>
      <c r="B339" s="141" t="s">
        <v>13142</v>
      </c>
      <c r="C339" s="135">
        <v>2039</v>
      </c>
    </row>
    <row r="340" spans="1:3">
      <c r="A340" s="157" t="s">
        <v>13141</v>
      </c>
      <c r="B340" s="140"/>
      <c r="C340" s="138"/>
    </row>
    <row r="341" spans="1:3">
      <c r="A341" s="157"/>
      <c r="B341" s="140"/>
      <c r="C341" s="138"/>
    </row>
    <row r="342" spans="1:3" ht="26">
      <c r="A342" s="140"/>
      <c r="B342" s="155" t="s">
        <v>13140</v>
      </c>
      <c r="C342" s="138"/>
    </row>
    <row r="343" spans="1:3" ht="26">
      <c r="A343" s="142" t="s">
        <v>13139</v>
      </c>
      <c r="B343" s="141" t="s">
        <v>13138</v>
      </c>
      <c r="C343" s="135">
        <v>389.99</v>
      </c>
    </row>
    <row r="344" spans="1:3" ht="39">
      <c r="A344" s="142" t="s">
        <v>13137</v>
      </c>
      <c r="B344" s="141" t="s">
        <v>13136</v>
      </c>
      <c r="C344" s="135">
        <v>479</v>
      </c>
    </row>
    <row r="345" spans="1:3" ht="39">
      <c r="A345" s="142" t="s">
        <v>13135</v>
      </c>
      <c r="B345" s="141" t="s">
        <v>13134</v>
      </c>
      <c r="C345" s="135">
        <v>479</v>
      </c>
    </row>
    <row r="346" spans="1:3">
      <c r="A346" s="140"/>
      <c r="B346" s="140"/>
      <c r="C346" s="138"/>
    </row>
    <row r="347" spans="1:3">
      <c r="A347" s="140"/>
      <c r="B347" s="155" t="s">
        <v>13133</v>
      </c>
      <c r="C347" s="138"/>
    </row>
    <row r="348" spans="1:3" ht="39">
      <c r="A348" s="156" t="s">
        <v>13132</v>
      </c>
      <c r="B348" s="141" t="s">
        <v>13131</v>
      </c>
      <c r="C348" s="135">
        <v>309</v>
      </c>
    </row>
    <row r="349" spans="1:3">
      <c r="A349" s="140"/>
      <c r="B349" s="140"/>
      <c r="C349" s="138"/>
    </row>
    <row r="350" spans="1:3" ht="52">
      <c r="A350" s="140"/>
      <c r="B350" s="155" t="s">
        <v>13130</v>
      </c>
      <c r="C350" s="138"/>
    </row>
    <row r="351" spans="1:3" ht="65">
      <c r="A351" s="142" t="s">
        <v>13129</v>
      </c>
      <c r="B351" s="141" t="s">
        <v>13112</v>
      </c>
      <c r="C351" s="135">
        <v>1569</v>
      </c>
    </row>
    <row r="352" spans="1:3" ht="26">
      <c r="A352" s="142" t="s">
        <v>13128</v>
      </c>
      <c r="B352" s="141" t="s">
        <v>13127</v>
      </c>
      <c r="C352" s="135">
        <v>3539</v>
      </c>
    </row>
    <row r="353" spans="1:3" ht="26">
      <c r="A353" s="142" t="s">
        <v>13126</v>
      </c>
      <c r="B353" s="141" t="s">
        <v>13125</v>
      </c>
      <c r="C353" s="135">
        <v>3089</v>
      </c>
    </row>
    <row r="354" spans="1:3" ht="26">
      <c r="A354" s="142" t="s">
        <v>13124</v>
      </c>
      <c r="B354" s="141" t="s">
        <v>13123</v>
      </c>
      <c r="C354" s="135">
        <v>3989</v>
      </c>
    </row>
    <row r="355" spans="1:3" ht="39">
      <c r="A355" s="137" t="s">
        <v>13122</v>
      </c>
      <c r="B355" s="152" t="s">
        <v>13121</v>
      </c>
      <c r="C355" s="135">
        <v>1539</v>
      </c>
    </row>
    <row r="356" spans="1:3" ht="26">
      <c r="A356" s="142" t="s">
        <v>13120</v>
      </c>
      <c r="B356" s="141" t="s">
        <v>13119</v>
      </c>
      <c r="C356" s="135">
        <v>719</v>
      </c>
    </row>
    <row r="357" spans="1:3" ht="26">
      <c r="A357" s="142" t="s">
        <v>13118</v>
      </c>
      <c r="B357" s="141" t="s">
        <v>13117</v>
      </c>
      <c r="C357" s="135">
        <v>319</v>
      </c>
    </row>
    <row r="358" spans="1:3">
      <c r="B358" s="153"/>
      <c r="C358" s="138"/>
    </row>
    <row r="359" spans="1:3" ht="52">
      <c r="A359" s="154"/>
      <c r="B359" s="155" t="s">
        <v>13116</v>
      </c>
      <c r="C359" s="138"/>
    </row>
    <row r="360" spans="1:3" ht="65">
      <c r="A360" s="137" t="s">
        <v>13115</v>
      </c>
      <c r="B360" s="141" t="s">
        <v>13112</v>
      </c>
      <c r="C360" s="135">
        <v>1089</v>
      </c>
    </row>
    <row r="361" spans="1:3">
      <c r="A361" s="154"/>
      <c r="B361" s="153"/>
      <c r="C361" s="138"/>
    </row>
    <row r="362" spans="1:3" ht="39">
      <c r="A362" s="154"/>
      <c r="B362" s="155" t="s">
        <v>13114</v>
      </c>
      <c r="C362" s="138"/>
    </row>
    <row r="363" spans="1:3" ht="65">
      <c r="A363" s="137" t="s">
        <v>13113</v>
      </c>
      <c r="B363" s="141" t="s">
        <v>13112</v>
      </c>
      <c r="C363" s="135">
        <v>1559</v>
      </c>
    </row>
    <row r="364" spans="1:3" ht="26">
      <c r="A364" s="137" t="s">
        <v>13111</v>
      </c>
      <c r="B364" s="141" t="s">
        <v>13110</v>
      </c>
      <c r="C364" s="135">
        <v>3039</v>
      </c>
    </row>
    <row r="365" spans="1:3" ht="26">
      <c r="A365" s="137" t="s">
        <v>13109</v>
      </c>
      <c r="B365" s="141" t="s">
        <v>13108</v>
      </c>
      <c r="C365" s="135">
        <v>2759</v>
      </c>
    </row>
    <row r="366" spans="1:3">
      <c r="A366" s="154"/>
      <c r="B366" s="153"/>
      <c r="C366" s="138"/>
    </row>
    <row r="367" spans="1:3" ht="26">
      <c r="A367" s="148"/>
      <c r="B367" s="149" t="s">
        <v>13107</v>
      </c>
      <c r="C367" s="138"/>
    </row>
    <row r="368" spans="1:3" ht="130">
      <c r="A368" s="146" t="s">
        <v>13106</v>
      </c>
      <c r="B368" s="145" t="s">
        <v>13105</v>
      </c>
      <c r="C368" s="135">
        <v>1599</v>
      </c>
    </row>
    <row r="369" spans="1:3">
      <c r="A369" s="144"/>
      <c r="B369" s="143"/>
      <c r="C369" s="138"/>
    </row>
    <row r="370" spans="1:3" ht="28.5">
      <c r="A370" s="148"/>
      <c r="B370" s="147" t="s">
        <v>13104</v>
      </c>
      <c r="C370" s="138"/>
    </row>
    <row r="371" spans="1:3" ht="39">
      <c r="A371" s="146" t="s">
        <v>13103</v>
      </c>
      <c r="B371" s="152" t="s">
        <v>13102</v>
      </c>
      <c r="C371" s="135">
        <v>359.99</v>
      </c>
    </row>
    <row r="372" spans="1:3">
      <c r="A372" s="146" t="s">
        <v>13101</v>
      </c>
      <c r="B372" s="151" t="s">
        <v>13100</v>
      </c>
      <c r="C372" s="135">
        <v>149</v>
      </c>
    </row>
    <row r="373" spans="1:3">
      <c r="A373" s="146" t="s">
        <v>13099</v>
      </c>
      <c r="B373" s="151" t="s">
        <v>13098</v>
      </c>
      <c r="C373" s="135">
        <v>329</v>
      </c>
    </row>
    <row r="374" spans="1:3">
      <c r="A374" s="148"/>
      <c r="B374" s="150"/>
      <c r="C374" s="138"/>
    </row>
    <row r="375" spans="1:3" ht="26">
      <c r="A375" s="148"/>
      <c r="B375" s="149" t="s">
        <v>13097</v>
      </c>
      <c r="C375" s="138"/>
    </row>
    <row r="376" spans="1:3" ht="32.25" customHeight="1">
      <c r="A376" s="148"/>
      <c r="B376" s="147" t="s">
        <v>13096</v>
      </c>
      <c r="C376" s="138"/>
    </row>
    <row r="377" spans="1:3" ht="195">
      <c r="A377" s="146" t="s">
        <v>13095</v>
      </c>
      <c r="B377" s="145" t="s">
        <v>13094</v>
      </c>
      <c r="C377" s="135">
        <v>3079</v>
      </c>
    </row>
    <row r="378" spans="1:3" ht="195">
      <c r="A378" s="146" t="s">
        <v>13093</v>
      </c>
      <c r="B378" s="145" t="s">
        <v>13092</v>
      </c>
      <c r="C378" s="135">
        <v>4559</v>
      </c>
    </row>
    <row r="379" spans="1:3">
      <c r="A379" s="144"/>
      <c r="B379" s="143"/>
      <c r="C379" s="138"/>
    </row>
    <row r="380" spans="1:3">
      <c r="A380" s="140"/>
      <c r="B380" s="139" t="s">
        <v>13091</v>
      </c>
      <c r="C380" s="138"/>
    </row>
    <row r="381" spans="1:3">
      <c r="A381" s="140"/>
      <c r="B381" s="139" t="s">
        <v>13090</v>
      </c>
      <c r="C381" s="138"/>
    </row>
    <row r="382" spans="1:3" ht="26">
      <c r="A382" s="142" t="s">
        <v>13089</v>
      </c>
      <c r="B382" s="141" t="s">
        <v>13088</v>
      </c>
      <c r="C382" s="135">
        <v>2619</v>
      </c>
    </row>
    <row r="383" spans="1:3">
      <c r="A383" s="140"/>
      <c r="B383" s="140"/>
      <c r="C383" s="138"/>
    </row>
    <row r="384" spans="1:3">
      <c r="A384" s="140"/>
      <c r="B384" s="139" t="s">
        <v>13087</v>
      </c>
      <c r="C384" s="138"/>
    </row>
    <row r="385" spans="1:3" ht="52">
      <c r="A385" s="137" t="s">
        <v>13086</v>
      </c>
      <c r="B385" s="136" t="s">
        <v>13085</v>
      </c>
      <c r="C385" s="135">
        <v>319</v>
      </c>
    </row>
    <row r="386" spans="1:3" ht="52">
      <c r="A386" s="137" t="s">
        <v>13084</v>
      </c>
      <c r="B386" s="136" t="s">
        <v>13083</v>
      </c>
      <c r="C386" s="135">
        <v>309</v>
      </c>
    </row>
    <row r="387" spans="1:3" ht="52">
      <c r="A387" s="137" t="s">
        <v>13082</v>
      </c>
      <c r="B387" s="136" t="s">
        <v>13081</v>
      </c>
      <c r="C387" s="135">
        <v>459</v>
      </c>
    </row>
    <row r="388" spans="1:3" ht="52">
      <c r="A388" s="137" t="s">
        <v>13080</v>
      </c>
      <c r="B388" s="136" t="s">
        <v>13079</v>
      </c>
      <c r="C388" s="135">
        <v>459</v>
      </c>
    </row>
  </sheetData>
  <sheetProtection insertColumns="0" insertRows="0"/>
  <autoFilter ref="A2:C333" xr:uid="{00000000-0009-0000-0000-00000C000000}"/>
  <printOptions horizontalCentered="1"/>
  <pageMargins left="0.4" right="0.4" top="0.75" bottom="0.5" header="0.3" footer="0.3"/>
  <pageSetup scale="79" fitToHeight="0" orientation="portrait" r:id="rId1"/>
  <headerFooter>
    <oddHeader>&amp;C SETINA MFG 2022 PRICE LIST&amp;R&amp;A</oddHeader>
    <oddFooter>&amp;C&amp;F&amp;R&amp;P of &amp;N</oddFooter>
  </headerFooter>
  <rowBreaks count="1" manualBreakCount="1">
    <brk id="240" max="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533B2-2A61-4311-9D43-28FCADD81201}">
  <sheetPr>
    <tabColor theme="2" tint="-9.9978637043366805E-2"/>
  </sheetPr>
  <dimension ref="A1:C61"/>
  <sheetViews>
    <sheetView workbookViewId="0">
      <selection activeCell="B13" sqref="B13"/>
    </sheetView>
  </sheetViews>
  <sheetFormatPr defaultRowHeight="12.5"/>
  <cols>
    <col min="1" max="1" width="18.7265625" style="657" bestFit="1" customWidth="1"/>
    <col min="2" max="2" width="72.7265625" style="657" customWidth="1"/>
    <col min="3" max="3" width="8.7265625" style="1207"/>
    <col min="4" max="16384" width="8.7265625" style="657"/>
  </cols>
  <sheetData>
    <row r="1" spans="1:3">
      <c r="A1" s="657" t="s">
        <v>58524</v>
      </c>
      <c r="C1" s="1207" t="s">
        <v>3862</v>
      </c>
    </row>
    <row r="2" spans="1:3">
      <c r="A2" s="657" t="s">
        <v>58523</v>
      </c>
      <c r="B2" s="657" t="s">
        <v>58522</v>
      </c>
      <c r="C2" s="1207" t="s">
        <v>58406</v>
      </c>
    </row>
    <row r="3" spans="1:3">
      <c r="A3" s="657" t="s">
        <v>58521</v>
      </c>
      <c r="B3" s="657" t="s">
        <v>58520</v>
      </c>
      <c r="C3" s="1207" t="s">
        <v>58406</v>
      </c>
    </row>
    <row r="4" spans="1:3">
      <c r="A4" s="657" t="s">
        <v>58519</v>
      </c>
      <c r="B4" s="657" t="s">
        <v>58518</v>
      </c>
      <c r="C4" s="1207" t="s">
        <v>58406</v>
      </c>
    </row>
    <row r="5" spans="1:3">
      <c r="A5" s="657" t="s">
        <v>58517</v>
      </c>
      <c r="B5" s="657" t="s">
        <v>58516</v>
      </c>
      <c r="C5" s="1207" t="s">
        <v>58406</v>
      </c>
    </row>
    <row r="6" spans="1:3">
      <c r="A6" s="657" t="s">
        <v>58515</v>
      </c>
      <c r="B6" s="657" t="s">
        <v>58514</v>
      </c>
      <c r="C6" s="1207" t="s">
        <v>58511</v>
      </c>
    </row>
    <row r="7" spans="1:3">
      <c r="A7" s="657" t="s">
        <v>58513</v>
      </c>
      <c r="B7" s="657" t="s">
        <v>58512</v>
      </c>
      <c r="C7" s="1207" t="s">
        <v>58511</v>
      </c>
    </row>
    <row r="8" spans="1:3">
      <c r="A8" s="657" t="s">
        <v>58510</v>
      </c>
      <c r="B8" s="657" t="s">
        <v>58509</v>
      </c>
      <c r="C8" s="1207" t="s">
        <v>58406</v>
      </c>
    </row>
    <row r="9" spans="1:3">
      <c r="A9" s="657" t="s">
        <v>58508</v>
      </c>
      <c r="B9" s="657" t="s">
        <v>58507</v>
      </c>
      <c r="C9" s="1207" t="s">
        <v>58406</v>
      </c>
    </row>
    <row r="10" spans="1:3">
      <c r="A10" s="657" t="s">
        <v>58506</v>
      </c>
      <c r="B10" s="657" t="s">
        <v>58505</v>
      </c>
      <c r="C10" s="1207" t="s">
        <v>58406</v>
      </c>
    </row>
    <row r="11" spans="1:3">
      <c r="A11" s="657" t="s">
        <v>58504</v>
      </c>
      <c r="B11" s="657" t="s">
        <v>58503</v>
      </c>
      <c r="C11" s="1207" t="s">
        <v>58406</v>
      </c>
    </row>
    <row r="12" spans="1:3">
      <c r="A12" s="657" t="s">
        <v>58502</v>
      </c>
      <c r="B12" s="657" t="s">
        <v>58501</v>
      </c>
      <c r="C12" s="1207" t="s">
        <v>58498</v>
      </c>
    </row>
    <row r="13" spans="1:3">
      <c r="A13" s="657" t="s">
        <v>58500</v>
      </c>
      <c r="B13" s="657" t="s">
        <v>58499</v>
      </c>
      <c r="C13" s="1207" t="s">
        <v>58498</v>
      </c>
    </row>
    <row r="14" spans="1:3">
      <c r="A14" s="657" t="s">
        <v>58497</v>
      </c>
      <c r="B14" s="657" t="s">
        <v>58496</v>
      </c>
      <c r="C14" s="1207" t="s">
        <v>58406</v>
      </c>
    </row>
    <row r="15" spans="1:3">
      <c r="A15" s="657" t="s">
        <v>58495</v>
      </c>
      <c r="B15" s="657" t="s">
        <v>58494</v>
      </c>
      <c r="C15" s="1207" t="s">
        <v>58406</v>
      </c>
    </row>
    <row r="16" spans="1:3">
      <c r="A16" s="657" t="s">
        <v>58493</v>
      </c>
      <c r="B16" s="657" t="s">
        <v>58492</v>
      </c>
      <c r="C16" s="1207" t="s">
        <v>58406</v>
      </c>
    </row>
    <row r="17" spans="1:3">
      <c r="A17" s="657" t="s">
        <v>58491</v>
      </c>
      <c r="B17" s="657" t="s">
        <v>58490</v>
      </c>
      <c r="C17" s="1207" t="s">
        <v>58406</v>
      </c>
    </row>
    <row r="18" spans="1:3">
      <c r="A18" s="657" t="s">
        <v>58470</v>
      </c>
      <c r="B18" s="657" t="s">
        <v>58489</v>
      </c>
      <c r="C18" s="1207" t="s">
        <v>58406</v>
      </c>
    </row>
    <row r="19" spans="1:3">
      <c r="A19" s="657" t="s">
        <v>58468</v>
      </c>
      <c r="B19" s="657" t="s">
        <v>58488</v>
      </c>
      <c r="C19" s="1207" t="s">
        <v>58406</v>
      </c>
    </row>
    <row r="20" spans="1:3">
      <c r="A20" s="657" t="s">
        <v>58466</v>
      </c>
      <c r="B20" s="657" t="s">
        <v>58487</v>
      </c>
      <c r="C20" s="1207" t="s">
        <v>58406</v>
      </c>
    </row>
    <row r="21" spans="1:3">
      <c r="A21" s="657" t="s">
        <v>58464</v>
      </c>
      <c r="B21" s="657" t="s">
        <v>58486</v>
      </c>
      <c r="C21" s="1207" t="s">
        <v>58406</v>
      </c>
    </row>
    <row r="22" spans="1:3">
      <c r="A22" s="657" t="s">
        <v>58485</v>
      </c>
      <c r="B22" s="657" t="s">
        <v>58484</v>
      </c>
      <c r="C22" s="1207" t="s">
        <v>58481</v>
      </c>
    </row>
    <row r="23" spans="1:3">
      <c r="A23" s="657" t="s">
        <v>58483</v>
      </c>
      <c r="B23" s="657" t="s">
        <v>58482</v>
      </c>
      <c r="C23" s="1207" t="s">
        <v>58481</v>
      </c>
    </row>
    <row r="24" spans="1:3">
      <c r="A24" s="657" t="s">
        <v>58462</v>
      </c>
      <c r="B24" s="657" t="s">
        <v>58480</v>
      </c>
      <c r="C24" s="1207" t="s">
        <v>58454</v>
      </c>
    </row>
    <row r="25" spans="1:3">
      <c r="A25" s="657" t="s">
        <v>58460</v>
      </c>
      <c r="B25" s="657" t="s">
        <v>58479</v>
      </c>
      <c r="C25" s="1207" t="s">
        <v>58454</v>
      </c>
    </row>
    <row r="26" spans="1:3">
      <c r="A26" s="657" t="s">
        <v>58478</v>
      </c>
      <c r="B26" s="657" t="s">
        <v>58477</v>
      </c>
      <c r="C26" s="1207" t="s">
        <v>58406</v>
      </c>
    </row>
    <row r="27" spans="1:3">
      <c r="A27" s="657" t="s">
        <v>58476</v>
      </c>
      <c r="B27" s="657" t="s">
        <v>58475</v>
      </c>
      <c r="C27" s="1207" t="s">
        <v>58406</v>
      </c>
    </row>
    <row r="28" spans="1:3">
      <c r="A28" s="657" t="s">
        <v>58474</v>
      </c>
      <c r="B28" s="657" t="s">
        <v>58473</v>
      </c>
      <c r="C28" s="1207" t="s">
        <v>58406</v>
      </c>
    </row>
    <row r="29" spans="1:3">
      <c r="A29" s="657" t="s">
        <v>58472</v>
      </c>
      <c r="B29" s="657" t="s">
        <v>58471</v>
      </c>
      <c r="C29" s="1207" t="s">
        <v>58406</v>
      </c>
    </row>
    <row r="30" spans="1:3">
      <c r="A30" s="657" t="s">
        <v>58470</v>
      </c>
      <c r="B30" s="657" t="s">
        <v>58469</v>
      </c>
      <c r="C30" s="1207" t="s">
        <v>58406</v>
      </c>
    </row>
    <row r="31" spans="1:3">
      <c r="A31" s="657" t="s">
        <v>58468</v>
      </c>
      <c r="B31" s="657" t="s">
        <v>58467</v>
      </c>
      <c r="C31" s="1207" t="s">
        <v>58406</v>
      </c>
    </row>
    <row r="32" spans="1:3">
      <c r="A32" s="657" t="s">
        <v>58466</v>
      </c>
      <c r="B32" s="657" t="s">
        <v>58465</v>
      </c>
      <c r="C32" s="1207" t="s">
        <v>58406</v>
      </c>
    </row>
    <row r="33" spans="1:3">
      <c r="A33" s="657" t="s">
        <v>58464</v>
      </c>
      <c r="B33" s="657" t="s">
        <v>58463</v>
      </c>
      <c r="C33" s="1207" t="s">
        <v>58406</v>
      </c>
    </row>
    <row r="34" spans="1:3">
      <c r="A34" s="657" t="s">
        <v>58462</v>
      </c>
      <c r="B34" s="657" t="s">
        <v>58461</v>
      </c>
      <c r="C34" s="1207" t="s">
        <v>58454</v>
      </c>
    </row>
    <row r="35" spans="1:3">
      <c r="A35" s="657" t="s">
        <v>58460</v>
      </c>
      <c r="B35" s="657" t="s">
        <v>58459</v>
      </c>
      <c r="C35" s="1207" t="s">
        <v>58454</v>
      </c>
    </row>
    <row r="36" spans="1:3">
      <c r="A36" s="657" t="s">
        <v>58458</v>
      </c>
      <c r="B36" s="657" t="s">
        <v>58457</v>
      </c>
      <c r="C36" s="1207" t="s">
        <v>58454</v>
      </c>
    </row>
    <row r="37" spans="1:3">
      <c r="A37" s="657" t="s">
        <v>58456</v>
      </c>
      <c r="B37" s="657" t="s">
        <v>58455</v>
      </c>
      <c r="C37" s="1207" t="s">
        <v>58454</v>
      </c>
    </row>
    <row r="38" spans="1:3">
      <c r="A38" s="657" t="s">
        <v>58453</v>
      </c>
      <c r="B38" s="657" t="s">
        <v>58452</v>
      </c>
      <c r="C38" s="1207" t="s">
        <v>58406</v>
      </c>
    </row>
    <row r="39" spans="1:3">
      <c r="A39" s="657" t="s">
        <v>58451</v>
      </c>
      <c r="B39" s="657" t="s">
        <v>58450</v>
      </c>
      <c r="C39" s="1207" t="s">
        <v>58406</v>
      </c>
    </row>
    <row r="40" spans="1:3">
      <c r="A40" s="657" t="s">
        <v>58435</v>
      </c>
      <c r="B40" s="657" t="s">
        <v>58449</v>
      </c>
      <c r="C40" s="1207" t="s">
        <v>58406</v>
      </c>
    </row>
    <row r="41" spans="1:3">
      <c r="A41" s="657" t="s">
        <v>58433</v>
      </c>
      <c r="B41" s="657" t="s">
        <v>58448</v>
      </c>
      <c r="C41" s="1207" t="s">
        <v>58406</v>
      </c>
    </row>
    <row r="42" spans="1:3">
      <c r="A42" s="657" t="s">
        <v>58447</v>
      </c>
      <c r="B42" s="657" t="s">
        <v>58446</v>
      </c>
      <c r="C42" s="1207" t="s">
        <v>58419</v>
      </c>
    </row>
    <row r="43" spans="1:3">
      <c r="A43" s="657" t="s">
        <v>58445</v>
      </c>
      <c r="B43" s="657" t="s">
        <v>58444</v>
      </c>
      <c r="C43" s="1207" t="s">
        <v>58419</v>
      </c>
    </row>
    <row r="44" spans="1:3">
      <c r="A44" s="657" t="s">
        <v>58443</v>
      </c>
      <c r="B44" s="657" t="s">
        <v>58442</v>
      </c>
      <c r="C44" s="781" t="s">
        <v>58406</v>
      </c>
    </row>
    <row r="45" spans="1:3">
      <c r="A45" s="657" t="s">
        <v>58441</v>
      </c>
      <c r="B45" s="657" t="s">
        <v>58440</v>
      </c>
      <c r="C45" s="781" t="s">
        <v>58406</v>
      </c>
    </row>
    <row r="46" spans="1:3">
      <c r="A46" s="657" t="s">
        <v>58439</v>
      </c>
      <c r="B46" s="657" t="s">
        <v>58438</v>
      </c>
      <c r="C46" s="781" t="s">
        <v>58406</v>
      </c>
    </row>
    <row r="47" spans="1:3">
      <c r="A47" s="657" t="s">
        <v>58437</v>
      </c>
      <c r="B47" s="657" t="s">
        <v>58436</v>
      </c>
      <c r="C47" s="781" t="s">
        <v>58406</v>
      </c>
    </row>
    <row r="48" spans="1:3">
      <c r="A48" s="657" t="s">
        <v>58435</v>
      </c>
      <c r="B48" s="657" t="s">
        <v>58434</v>
      </c>
      <c r="C48" s="781" t="s">
        <v>58406</v>
      </c>
    </row>
    <row r="49" spans="1:3">
      <c r="A49" s="657" t="s">
        <v>58433</v>
      </c>
      <c r="B49" s="657" t="s">
        <v>58432</v>
      </c>
      <c r="C49" s="781" t="s">
        <v>58406</v>
      </c>
    </row>
    <row r="50" spans="1:3">
      <c r="A50" s="657" t="s">
        <v>58431</v>
      </c>
      <c r="B50" s="657" t="s">
        <v>58430</v>
      </c>
      <c r="C50" s="781" t="s">
        <v>58406</v>
      </c>
    </row>
    <row r="51" spans="1:3">
      <c r="A51" s="657" t="s">
        <v>58429</v>
      </c>
      <c r="B51" s="657" t="s">
        <v>58428</v>
      </c>
      <c r="C51" s="781" t="s">
        <v>58406</v>
      </c>
    </row>
    <row r="52" spans="1:3">
      <c r="A52" s="657" t="s">
        <v>58427</v>
      </c>
      <c r="B52" s="657" t="s">
        <v>58426</v>
      </c>
      <c r="C52" s="781" t="s">
        <v>58406</v>
      </c>
    </row>
    <row r="53" spans="1:3">
      <c r="A53" s="657" t="s">
        <v>58425</v>
      </c>
      <c r="B53" s="657" t="s">
        <v>58424</v>
      </c>
      <c r="C53" s="781" t="s">
        <v>58406</v>
      </c>
    </row>
    <row r="54" spans="1:3">
      <c r="A54" s="657" t="s">
        <v>58423</v>
      </c>
      <c r="B54" s="657" t="s">
        <v>58422</v>
      </c>
      <c r="C54" s="781" t="s">
        <v>58419</v>
      </c>
    </row>
    <row r="55" spans="1:3">
      <c r="A55" s="657" t="s">
        <v>58421</v>
      </c>
      <c r="B55" s="657" t="s">
        <v>58420</v>
      </c>
      <c r="C55" s="781" t="s">
        <v>58419</v>
      </c>
    </row>
    <row r="56" spans="1:3">
      <c r="A56" s="657" t="s">
        <v>58418</v>
      </c>
      <c r="B56" s="657" t="s">
        <v>58417</v>
      </c>
      <c r="C56" s="781" t="s">
        <v>58406</v>
      </c>
    </row>
    <row r="57" spans="1:3">
      <c r="A57" s="657" t="s">
        <v>58416</v>
      </c>
      <c r="B57" s="657" t="s">
        <v>58415</v>
      </c>
      <c r="C57" s="781" t="s">
        <v>58406</v>
      </c>
    </row>
    <row r="58" spans="1:3">
      <c r="A58" s="657" t="s">
        <v>58414</v>
      </c>
      <c r="B58" s="657" t="s">
        <v>58413</v>
      </c>
      <c r="C58" s="781" t="s">
        <v>58406</v>
      </c>
    </row>
    <row r="59" spans="1:3">
      <c r="A59" s="657" t="s">
        <v>58412</v>
      </c>
      <c r="B59" s="657" t="s">
        <v>58411</v>
      </c>
      <c r="C59" s="781" t="s">
        <v>58406</v>
      </c>
    </row>
    <row r="60" spans="1:3">
      <c r="A60" s="657" t="s">
        <v>58410</v>
      </c>
      <c r="B60" s="657" t="s">
        <v>58409</v>
      </c>
      <c r="C60" s="781" t="s">
        <v>58406</v>
      </c>
    </row>
    <row r="61" spans="1:3">
      <c r="A61" s="657" t="s">
        <v>58408</v>
      </c>
      <c r="B61" s="657" t="s">
        <v>58407</v>
      </c>
      <c r="C61" s="781" t="s">
        <v>58406</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B082C-3468-44C4-AAEA-5FADE32FC335}">
  <sheetPr codeName="Sheet9">
    <tabColor theme="2" tint="-9.9978637043366805E-2"/>
    <pageSetUpPr fitToPage="1"/>
  </sheetPr>
  <dimension ref="A1:C263"/>
  <sheetViews>
    <sheetView zoomScale="120" zoomScaleNormal="120" zoomScaleSheetLayoutView="80" workbookViewId="0">
      <pane xSplit="1" ySplit="2" topLeftCell="B3" activePane="bottomRight" state="frozen"/>
      <selection activeCell="C8" sqref="C8"/>
      <selection pane="topRight" activeCell="C8" sqref="C8"/>
      <selection pane="bottomLeft" activeCell="C8" sqref="C8"/>
      <selection pane="bottomRight" activeCell="C8" sqref="C8"/>
    </sheetView>
  </sheetViews>
  <sheetFormatPr defaultColWidth="9.1796875" defaultRowHeight="14.5"/>
  <cols>
    <col min="1" max="1" width="30.54296875" style="158" bestFit="1" customWidth="1"/>
    <col min="2" max="2" width="78.7265625" style="207" customWidth="1"/>
    <col min="3" max="3" width="15" style="206" bestFit="1" customWidth="1"/>
    <col min="4" max="16384" width="9.1796875" style="167"/>
  </cols>
  <sheetData>
    <row r="1" spans="1:3">
      <c r="A1" s="238" t="s">
        <v>13777</v>
      </c>
      <c r="B1" s="237"/>
      <c r="C1" s="236"/>
    </row>
    <row r="2" spans="1:3" s="158" customFormat="1">
      <c r="A2" s="235" t="s">
        <v>3519</v>
      </c>
      <c r="B2" s="234" t="s">
        <v>3518</v>
      </c>
      <c r="C2" s="200" t="s">
        <v>13563</v>
      </c>
    </row>
    <row r="3" spans="1:3">
      <c r="A3" s="148"/>
      <c r="B3" s="150"/>
      <c r="C3" s="233"/>
    </row>
    <row r="4" spans="1:3" ht="26">
      <c r="A4" s="231" t="s">
        <v>13511</v>
      </c>
      <c r="B4" s="217" t="s">
        <v>13776</v>
      </c>
      <c r="C4" s="232"/>
    </row>
    <row r="5" spans="1:3" ht="39">
      <c r="A5" s="212" t="s">
        <v>13775</v>
      </c>
      <c r="B5" s="151" t="s">
        <v>13774</v>
      </c>
      <c r="C5" s="135">
        <v>839</v>
      </c>
    </row>
    <row r="6" spans="1:3" ht="39">
      <c r="A6" s="212" t="s">
        <v>13773</v>
      </c>
      <c r="B6" s="151" t="s">
        <v>13772</v>
      </c>
      <c r="C6" s="135">
        <v>799</v>
      </c>
    </row>
    <row r="7" spans="1:3" ht="39">
      <c r="A7" s="212" t="s">
        <v>13771</v>
      </c>
      <c r="B7" s="151" t="s">
        <v>13770</v>
      </c>
      <c r="C7" s="135">
        <v>899</v>
      </c>
    </row>
    <row r="8" spans="1:3" ht="39">
      <c r="A8" s="212" t="s">
        <v>13769</v>
      </c>
      <c r="B8" s="151" t="s">
        <v>13768</v>
      </c>
      <c r="C8" s="135">
        <v>819</v>
      </c>
    </row>
    <row r="9" spans="1:3" ht="39">
      <c r="A9" s="212" t="s">
        <v>13767</v>
      </c>
      <c r="B9" s="151" t="s">
        <v>13766</v>
      </c>
      <c r="C9" s="135">
        <v>859</v>
      </c>
    </row>
    <row r="10" spans="1:3" ht="39">
      <c r="A10" s="212" t="s">
        <v>13765</v>
      </c>
      <c r="B10" s="151" t="s">
        <v>13764</v>
      </c>
      <c r="C10" s="135">
        <v>819</v>
      </c>
    </row>
    <row r="11" spans="1:3">
      <c r="A11" s="231" t="s">
        <v>13497</v>
      </c>
      <c r="B11" s="150"/>
      <c r="C11" s="210"/>
    </row>
    <row r="12" spans="1:3" ht="39">
      <c r="A12" s="212" t="s">
        <v>13763</v>
      </c>
      <c r="B12" s="151" t="s">
        <v>13762</v>
      </c>
      <c r="C12" s="135">
        <v>959</v>
      </c>
    </row>
    <row r="13" spans="1:3" ht="39">
      <c r="A13" s="212" t="s">
        <v>13761</v>
      </c>
      <c r="B13" s="151" t="s">
        <v>13760</v>
      </c>
      <c r="C13" s="135">
        <v>919</v>
      </c>
    </row>
    <row r="14" spans="1:3" ht="52">
      <c r="A14" s="212" t="s">
        <v>13759</v>
      </c>
      <c r="B14" s="151" t="s">
        <v>13758</v>
      </c>
      <c r="C14" s="135">
        <v>1009</v>
      </c>
    </row>
    <row r="15" spans="1:3" ht="52">
      <c r="A15" s="212" t="s">
        <v>13757</v>
      </c>
      <c r="B15" s="151" t="s">
        <v>13756</v>
      </c>
      <c r="C15" s="135">
        <v>969</v>
      </c>
    </row>
    <row r="16" spans="1:3" ht="39">
      <c r="A16" s="212" t="s">
        <v>13755</v>
      </c>
      <c r="B16" s="151" t="s">
        <v>13754</v>
      </c>
      <c r="C16" s="135">
        <v>999</v>
      </c>
    </row>
    <row r="17" spans="1:3" ht="52">
      <c r="A17" s="212" t="s">
        <v>13753</v>
      </c>
      <c r="B17" s="151" t="s">
        <v>13752</v>
      </c>
      <c r="C17" s="135">
        <v>959</v>
      </c>
    </row>
    <row r="18" spans="1:3">
      <c r="A18" s="148"/>
      <c r="B18" s="150"/>
      <c r="C18" s="210"/>
    </row>
    <row r="19" spans="1:3" ht="26">
      <c r="A19" s="231" t="s">
        <v>13511</v>
      </c>
      <c r="B19" s="217" t="s">
        <v>13537</v>
      </c>
      <c r="C19" s="210"/>
    </row>
    <row r="20" spans="1:3" ht="39">
      <c r="A20" s="212" t="s">
        <v>13751</v>
      </c>
      <c r="B20" s="151" t="s">
        <v>13750</v>
      </c>
      <c r="C20" s="135">
        <v>999</v>
      </c>
    </row>
    <row r="21" spans="1:3" ht="39">
      <c r="A21" s="212" t="s">
        <v>13749</v>
      </c>
      <c r="B21" s="151" t="s">
        <v>13748</v>
      </c>
      <c r="C21" s="135">
        <v>959</v>
      </c>
    </row>
    <row r="22" spans="1:3" ht="39">
      <c r="A22" s="212" t="s">
        <v>13747</v>
      </c>
      <c r="B22" s="151" t="s">
        <v>13746</v>
      </c>
      <c r="C22" s="135">
        <v>1049</v>
      </c>
    </row>
    <row r="23" spans="1:3" ht="39">
      <c r="A23" s="212" t="s">
        <v>13745</v>
      </c>
      <c r="B23" s="151" t="s">
        <v>13744</v>
      </c>
      <c r="C23" s="135">
        <v>979</v>
      </c>
    </row>
    <row r="24" spans="1:3" ht="39">
      <c r="A24" s="212" t="s">
        <v>13743</v>
      </c>
      <c r="B24" s="151" t="s">
        <v>13742</v>
      </c>
      <c r="C24" s="135">
        <v>1009</v>
      </c>
    </row>
    <row r="25" spans="1:3" ht="39">
      <c r="A25" s="212" t="s">
        <v>13741</v>
      </c>
      <c r="B25" s="151" t="s">
        <v>13740</v>
      </c>
      <c r="C25" s="135">
        <v>969</v>
      </c>
    </row>
    <row r="26" spans="1:3">
      <c r="A26" s="231" t="s">
        <v>13524</v>
      </c>
      <c r="B26" s="150"/>
      <c r="C26" s="210"/>
    </row>
    <row r="27" spans="1:3" ht="39">
      <c r="A27" s="212" t="s">
        <v>13739</v>
      </c>
      <c r="B27" s="151" t="s">
        <v>13738</v>
      </c>
      <c r="C27" s="135">
        <v>1099</v>
      </c>
    </row>
    <row r="28" spans="1:3" ht="39">
      <c r="A28" s="212" t="s">
        <v>13737</v>
      </c>
      <c r="B28" s="151" t="s">
        <v>13736</v>
      </c>
      <c r="C28" s="135">
        <v>1059</v>
      </c>
    </row>
    <row r="29" spans="1:3" ht="52">
      <c r="A29" s="212" t="s">
        <v>13735</v>
      </c>
      <c r="B29" s="151" t="s">
        <v>13734</v>
      </c>
      <c r="C29" s="135">
        <v>1149</v>
      </c>
    </row>
    <row r="30" spans="1:3" ht="52">
      <c r="A30" s="212" t="s">
        <v>13733</v>
      </c>
      <c r="B30" s="151" t="s">
        <v>13732</v>
      </c>
      <c r="C30" s="135">
        <v>1109</v>
      </c>
    </row>
    <row r="31" spans="1:3" ht="52">
      <c r="A31" s="212" t="s">
        <v>13731</v>
      </c>
      <c r="B31" s="151" t="s">
        <v>13730</v>
      </c>
      <c r="C31" s="135">
        <v>1139</v>
      </c>
    </row>
    <row r="32" spans="1:3" ht="52">
      <c r="A32" s="212" t="s">
        <v>13729</v>
      </c>
      <c r="B32" s="151" t="s">
        <v>13728</v>
      </c>
      <c r="C32" s="135">
        <v>1099</v>
      </c>
    </row>
    <row r="33" spans="1:3">
      <c r="A33" s="194" t="s">
        <v>13484</v>
      </c>
      <c r="B33" s="150"/>
      <c r="C33" s="210"/>
    </row>
    <row r="34" spans="1:3">
      <c r="A34" s="194"/>
      <c r="B34" s="150"/>
      <c r="C34" s="210"/>
    </row>
    <row r="35" spans="1:3" ht="39">
      <c r="A35" s="231" t="s">
        <v>13483</v>
      </c>
      <c r="B35" s="147" t="s">
        <v>13727</v>
      </c>
      <c r="C35" s="210"/>
    </row>
    <row r="36" spans="1:3" ht="91">
      <c r="A36" s="212" t="s">
        <v>13726</v>
      </c>
      <c r="B36" s="230" t="s">
        <v>13725</v>
      </c>
      <c r="C36" s="135">
        <v>1279</v>
      </c>
    </row>
    <row r="37" spans="1:3" ht="104">
      <c r="A37" s="212" t="s">
        <v>13724</v>
      </c>
      <c r="B37" s="230" t="s">
        <v>13723</v>
      </c>
      <c r="C37" s="135">
        <v>1279</v>
      </c>
    </row>
    <row r="38" spans="1:3" ht="91">
      <c r="A38" s="212" t="s">
        <v>13722</v>
      </c>
      <c r="B38" s="230" t="s">
        <v>13721</v>
      </c>
      <c r="C38" s="135">
        <v>1279</v>
      </c>
    </row>
    <row r="39" spans="1:3" ht="91">
      <c r="A39" s="212" t="s">
        <v>13720</v>
      </c>
      <c r="B39" s="230" t="s">
        <v>13719</v>
      </c>
      <c r="C39" s="135">
        <v>1279</v>
      </c>
    </row>
    <row r="40" spans="1:3">
      <c r="A40" s="229"/>
      <c r="B40" s="228"/>
      <c r="C40" s="210"/>
    </row>
    <row r="41" spans="1:3" ht="26">
      <c r="A41" s="176" t="s">
        <v>13467</v>
      </c>
      <c r="B41" s="155" t="s">
        <v>13718</v>
      </c>
      <c r="C41" s="227"/>
    </row>
    <row r="42" spans="1:3" ht="78">
      <c r="A42" s="146" t="s">
        <v>13717</v>
      </c>
      <c r="B42" s="171" t="s">
        <v>13716</v>
      </c>
      <c r="C42" s="135">
        <v>599</v>
      </c>
    </row>
    <row r="43" spans="1:3" ht="65">
      <c r="A43" s="146" t="s">
        <v>13715</v>
      </c>
      <c r="B43" s="171" t="s">
        <v>13714</v>
      </c>
      <c r="C43" s="135">
        <v>599</v>
      </c>
    </row>
    <row r="44" spans="1:3" ht="78">
      <c r="A44" s="146" t="s">
        <v>13713</v>
      </c>
      <c r="B44" s="171" t="s">
        <v>13712</v>
      </c>
      <c r="C44" s="135">
        <v>599</v>
      </c>
    </row>
    <row r="45" spans="1:3" ht="65">
      <c r="A45" s="146" t="s">
        <v>13711</v>
      </c>
      <c r="B45" s="171" t="s">
        <v>13710</v>
      </c>
      <c r="C45" s="135">
        <v>599</v>
      </c>
    </row>
    <row r="46" spans="1:3" ht="78">
      <c r="A46" s="146" t="s">
        <v>13709</v>
      </c>
      <c r="B46" s="171" t="s">
        <v>13708</v>
      </c>
      <c r="C46" s="135">
        <v>599</v>
      </c>
    </row>
    <row r="47" spans="1:3" ht="65">
      <c r="A47" s="146" t="s">
        <v>13707</v>
      </c>
      <c r="B47" s="171" t="s">
        <v>13706</v>
      </c>
      <c r="C47" s="135">
        <v>599</v>
      </c>
    </row>
    <row r="48" spans="1:3">
      <c r="A48" s="148"/>
      <c r="B48" s="150"/>
      <c r="C48" s="210"/>
    </row>
    <row r="49" spans="1:3" ht="23.5">
      <c r="A49" s="148"/>
      <c r="B49" s="219" t="s">
        <v>13686</v>
      </c>
      <c r="C49" s="210"/>
    </row>
    <row r="50" spans="1:3">
      <c r="A50" s="148"/>
      <c r="B50" s="211" t="s">
        <v>13440</v>
      </c>
      <c r="C50" s="210"/>
    </row>
    <row r="51" spans="1:3" ht="39">
      <c r="A51" s="212" t="s">
        <v>13705</v>
      </c>
      <c r="B51" s="151" t="s">
        <v>13438</v>
      </c>
      <c r="C51" s="135">
        <v>579</v>
      </c>
    </row>
    <row r="52" spans="1:3" ht="39">
      <c r="A52" s="212" t="s">
        <v>13704</v>
      </c>
      <c r="B52" s="151" t="s">
        <v>13662</v>
      </c>
      <c r="C52" s="135">
        <v>579</v>
      </c>
    </row>
    <row r="53" spans="1:3" ht="65">
      <c r="A53" s="212" t="s">
        <v>13703</v>
      </c>
      <c r="B53" s="220" t="s">
        <v>13664</v>
      </c>
      <c r="C53" s="135">
        <v>959</v>
      </c>
    </row>
    <row r="54" spans="1:3">
      <c r="A54" s="148"/>
      <c r="B54" s="225" t="s">
        <v>13379</v>
      </c>
      <c r="C54" s="210"/>
    </row>
    <row r="55" spans="1:3">
      <c r="A55" s="148"/>
      <c r="B55" s="150"/>
      <c r="C55" s="210"/>
    </row>
    <row r="56" spans="1:3" ht="23.5">
      <c r="A56" s="148"/>
      <c r="B56" s="219" t="s">
        <v>13686</v>
      </c>
      <c r="C56" s="210"/>
    </row>
    <row r="57" spans="1:3" ht="39">
      <c r="A57" s="148"/>
      <c r="B57" s="147" t="s">
        <v>13435</v>
      </c>
      <c r="C57" s="210"/>
    </row>
    <row r="58" spans="1:3" ht="26">
      <c r="A58" s="212" t="s">
        <v>13702</v>
      </c>
      <c r="B58" s="151" t="s">
        <v>13434</v>
      </c>
      <c r="C58" s="135">
        <v>949</v>
      </c>
    </row>
    <row r="59" spans="1:3" ht="26">
      <c r="A59" s="212" t="s">
        <v>13701</v>
      </c>
      <c r="B59" s="151" t="s">
        <v>13433</v>
      </c>
      <c r="C59" s="135">
        <v>949</v>
      </c>
    </row>
    <row r="60" spans="1:3" ht="26">
      <c r="A60" s="212" t="s">
        <v>13700</v>
      </c>
      <c r="B60" s="151" t="s">
        <v>13432</v>
      </c>
      <c r="C60" s="135">
        <v>1029</v>
      </c>
    </row>
    <row r="61" spans="1:3">
      <c r="A61" s="148"/>
      <c r="B61" s="225" t="s">
        <v>13379</v>
      </c>
      <c r="C61" s="210"/>
    </row>
    <row r="62" spans="1:3">
      <c r="A62" s="148"/>
      <c r="B62" s="150"/>
      <c r="C62" s="210"/>
    </row>
    <row r="63" spans="1:3" ht="23.5">
      <c r="A63" s="148"/>
      <c r="B63" s="219" t="s">
        <v>13686</v>
      </c>
      <c r="C63" s="210"/>
    </row>
    <row r="64" spans="1:3" ht="39">
      <c r="A64" s="148"/>
      <c r="B64" s="147" t="s">
        <v>13431</v>
      </c>
      <c r="C64" s="210"/>
    </row>
    <row r="65" spans="1:3" ht="26">
      <c r="A65" s="212" t="s">
        <v>13699</v>
      </c>
      <c r="B65" s="141" t="s">
        <v>13430</v>
      </c>
      <c r="C65" s="135">
        <v>1179</v>
      </c>
    </row>
    <row r="66" spans="1:3" ht="26">
      <c r="A66" s="212" t="s">
        <v>13698</v>
      </c>
      <c r="B66" s="141" t="s">
        <v>13429</v>
      </c>
      <c r="C66" s="135">
        <v>1179</v>
      </c>
    </row>
    <row r="67" spans="1:3" ht="26">
      <c r="A67" s="212" t="s">
        <v>13697</v>
      </c>
      <c r="B67" s="141" t="s">
        <v>13428</v>
      </c>
      <c r="C67" s="135">
        <v>1339</v>
      </c>
    </row>
    <row r="68" spans="1:3">
      <c r="A68" s="148"/>
      <c r="B68" s="225" t="s">
        <v>13379</v>
      </c>
      <c r="C68" s="210"/>
    </row>
    <row r="69" spans="1:3">
      <c r="A69" s="148"/>
      <c r="B69" s="225"/>
      <c r="C69" s="210"/>
    </row>
    <row r="70" spans="1:3" ht="39">
      <c r="A70" s="140"/>
      <c r="B70" s="155" t="s">
        <v>13427</v>
      </c>
      <c r="C70" s="210"/>
    </row>
    <row r="71" spans="1:3" ht="26">
      <c r="A71" s="177" t="s">
        <v>13696</v>
      </c>
      <c r="B71" s="141" t="s">
        <v>13426</v>
      </c>
      <c r="C71" s="135">
        <v>1459</v>
      </c>
    </row>
    <row r="72" spans="1:3" ht="26">
      <c r="A72" s="177" t="s">
        <v>13695</v>
      </c>
      <c r="B72" s="141" t="s">
        <v>13425</v>
      </c>
      <c r="C72" s="135">
        <v>1459</v>
      </c>
    </row>
    <row r="73" spans="1:3" ht="26">
      <c r="A73" s="177" t="s">
        <v>13694</v>
      </c>
      <c r="B73" s="141" t="s">
        <v>13424</v>
      </c>
      <c r="C73" s="135">
        <v>1689</v>
      </c>
    </row>
    <row r="74" spans="1:3">
      <c r="A74" s="148"/>
      <c r="B74" s="225"/>
      <c r="C74" s="210"/>
    </row>
    <row r="75" spans="1:3" ht="23.5">
      <c r="A75" s="148"/>
      <c r="B75" s="219" t="s">
        <v>13686</v>
      </c>
      <c r="C75" s="210"/>
    </row>
    <row r="76" spans="1:3">
      <c r="A76" s="134"/>
      <c r="B76" s="175" t="s">
        <v>13393</v>
      </c>
      <c r="C76" s="210"/>
    </row>
    <row r="77" spans="1:3" ht="26">
      <c r="A77" s="185"/>
      <c r="B77" s="160" t="s">
        <v>13423</v>
      </c>
      <c r="C77" s="210"/>
    </row>
    <row r="78" spans="1:3" ht="26">
      <c r="A78" s="177" t="s">
        <v>13693</v>
      </c>
      <c r="B78" s="141" t="s">
        <v>13421</v>
      </c>
      <c r="C78" s="135">
        <v>609</v>
      </c>
    </row>
    <row r="79" spans="1:3" ht="26">
      <c r="A79" s="177" t="s">
        <v>13692</v>
      </c>
      <c r="B79" s="141" t="s">
        <v>13419</v>
      </c>
      <c r="C79" s="135">
        <v>609</v>
      </c>
    </row>
    <row r="80" spans="1:3" ht="26">
      <c r="A80" s="177" t="s">
        <v>13691</v>
      </c>
      <c r="B80" s="141" t="s">
        <v>13417</v>
      </c>
      <c r="C80" s="135">
        <v>609</v>
      </c>
    </row>
    <row r="81" spans="1:3" ht="26">
      <c r="A81" s="177" t="s">
        <v>13690</v>
      </c>
      <c r="B81" s="141" t="s">
        <v>13415</v>
      </c>
      <c r="C81" s="135">
        <v>609</v>
      </c>
    </row>
    <row r="82" spans="1:3" ht="26">
      <c r="A82" s="177" t="s">
        <v>13689</v>
      </c>
      <c r="B82" s="141" t="s">
        <v>13413</v>
      </c>
      <c r="C82" s="135">
        <v>609</v>
      </c>
    </row>
    <row r="83" spans="1:3" ht="26">
      <c r="A83" s="177" t="s">
        <v>13688</v>
      </c>
      <c r="B83" s="141" t="s">
        <v>13411</v>
      </c>
      <c r="C83" s="135">
        <v>609</v>
      </c>
    </row>
    <row r="84" spans="1:3" ht="26">
      <c r="A84" s="177" t="s">
        <v>13687</v>
      </c>
      <c r="B84" s="141" t="s">
        <v>13409</v>
      </c>
      <c r="C84" s="135">
        <v>609</v>
      </c>
    </row>
    <row r="85" spans="1:3">
      <c r="A85" s="134"/>
      <c r="B85" s="184" t="s">
        <v>13379</v>
      </c>
      <c r="C85" s="210"/>
    </row>
    <row r="86" spans="1:3">
      <c r="A86" s="134"/>
      <c r="B86" s="184"/>
      <c r="C86" s="210"/>
    </row>
    <row r="87" spans="1:3" ht="23.5">
      <c r="A87" s="134"/>
      <c r="B87" s="219" t="s">
        <v>13686</v>
      </c>
      <c r="C87" s="210"/>
    </row>
    <row r="88" spans="1:3">
      <c r="A88" s="134"/>
      <c r="B88" s="175" t="s">
        <v>13393</v>
      </c>
      <c r="C88" s="210"/>
    </row>
    <row r="89" spans="1:3" ht="26">
      <c r="A89" s="185"/>
      <c r="B89" s="160" t="s">
        <v>13408</v>
      </c>
      <c r="C89" s="210"/>
    </row>
    <row r="90" spans="1:3" ht="26">
      <c r="A90" s="177" t="s">
        <v>13685</v>
      </c>
      <c r="B90" s="141" t="s">
        <v>13406</v>
      </c>
      <c r="C90" s="135">
        <v>619</v>
      </c>
    </row>
    <row r="91" spans="1:3" ht="26">
      <c r="A91" s="177" t="s">
        <v>13684</v>
      </c>
      <c r="B91" s="141" t="s">
        <v>13404</v>
      </c>
      <c r="C91" s="135">
        <v>619</v>
      </c>
    </row>
    <row r="92" spans="1:3" ht="26">
      <c r="A92" s="177" t="s">
        <v>13683</v>
      </c>
      <c r="B92" s="141" t="s">
        <v>13402</v>
      </c>
      <c r="C92" s="135">
        <v>619</v>
      </c>
    </row>
    <row r="93" spans="1:3" ht="26">
      <c r="A93" s="177" t="s">
        <v>13682</v>
      </c>
      <c r="B93" s="141" t="s">
        <v>13400</v>
      </c>
      <c r="C93" s="135">
        <v>619</v>
      </c>
    </row>
    <row r="94" spans="1:3" ht="26">
      <c r="A94" s="177" t="s">
        <v>13681</v>
      </c>
      <c r="B94" s="141" t="s">
        <v>13398</v>
      </c>
      <c r="C94" s="135">
        <v>619</v>
      </c>
    </row>
    <row r="95" spans="1:3" ht="26">
      <c r="A95" s="177" t="s">
        <v>13680</v>
      </c>
      <c r="B95" s="141" t="s">
        <v>13396</v>
      </c>
      <c r="C95" s="135">
        <v>619</v>
      </c>
    </row>
    <row r="96" spans="1:3" ht="26">
      <c r="A96" s="177" t="s">
        <v>13679</v>
      </c>
      <c r="B96" s="141" t="s">
        <v>13394</v>
      </c>
      <c r="C96" s="135">
        <v>619</v>
      </c>
    </row>
    <row r="97" spans="1:3">
      <c r="A97" s="134"/>
      <c r="B97" s="184" t="s">
        <v>13379</v>
      </c>
      <c r="C97" s="210"/>
    </row>
    <row r="98" spans="1:3">
      <c r="A98" s="134"/>
      <c r="B98" s="184"/>
      <c r="C98" s="210"/>
    </row>
    <row r="99" spans="1:3">
      <c r="A99" s="134"/>
      <c r="B99" s="175" t="s">
        <v>13393</v>
      </c>
      <c r="C99" s="210"/>
    </row>
    <row r="100" spans="1:3" ht="26">
      <c r="A100" s="185"/>
      <c r="B100" s="160" t="s">
        <v>13392</v>
      </c>
      <c r="C100" s="210"/>
    </row>
    <row r="101" spans="1:3" ht="26">
      <c r="A101" s="177" t="s">
        <v>13678</v>
      </c>
      <c r="B101" s="141" t="s">
        <v>13390</v>
      </c>
      <c r="C101" s="135">
        <v>629</v>
      </c>
    </row>
    <row r="102" spans="1:3" ht="26">
      <c r="A102" s="178" t="s">
        <v>4895</v>
      </c>
      <c r="B102" s="141" t="s">
        <v>13389</v>
      </c>
      <c r="C102" s="135">
        <v>0</v>
      </c>
    </row>
    <row r="103" spans="1:3" ht="26">
      <c r="A103" s="177" t="s">
        <v>13677</v>
      </c>
      <c r="B103" s="141" t="s">
        <v>13387</v>
      </c>
      <c r="C103" s="135">
        <v>629</v>
      </c>
    </row>
    <row r="104" spans="1:3" ht="26">
      <c r="A104" s="177" t="s">
        <v>4895</v>
      </c>
      <c r="B104" s="141" t="s">
        <v>13386</v>
      </c>
      <c r="C104" s="135">
        <v>0</v>
      </c>
    </row>
    <row r="105" spans="1:3" ht="26">
      <c r="A105" s="177" t="s">
        <v>13676</v>
      </c>
      <c r="B105" s="141" t="s">
        <v>13384</v>
      </c>
      <c r="C105" s="135">
        <v>629</v>
      </c>
    </row>
    <row r="106" spans="1:3" ht="26">
      <c r="A106" s="177" t="s">
        <v>13675</v>
      </c>
      <c r="B106" s="141" t="s">
        <v>13382</v>
      </c>
      <c r="C106" s="135">
        <v>629</v>
      </c>
    </row>
    <row r="107" spans="1:3" ht="26">
      <c r="A107" s="177" t="s">
        <v>13674</v>
      </c>
      <c r="B107" s="141" t="s">
        <v>13380</v>
      </c>
      <c r="C107" s="135">
        <v>629</v>
      </c>
    </row>
    <row r="108" spans="1:3">
      <c r="A108" s="157" t="s">
        <v>13378</v>
      </c>
      <c r="B108" s="150"/>
      <c r="C108" s="210"/>
    </row>
    <row r="109" spans="1:3">
      <c r="A109" s="148"/>
      <c r="B109" s="150"/>
      <c r="C109" s="210"/>
    </row>
    <row r="110" spans="1:3" ht="23.5">
      <c r="A110" s="148"/>
      <c r="B110" s="219" t="s">
        <v>13673</v>
      </c>
      <c r="C110" s="210"/>
    </row>
    <row r="111" spans="1:3">
      <c r="A111" s="148"/>
      <c r="B111" s="211" t="s">
        <v>13364</v>
      </c>
      <c r="C111" s="210"/>
    </row>
    <row r="112" spans="1:3" ht="39">
      <c r="A112" s="212" t="s">
        <v>13672</v>
      </c>
      <c r="B112" s="224" t="s">
        <v>13360</v>
      </c>
      <c r="C112" s="135">
        <v>699</v>
      </c>
    </row>
    <row r="113" spans="1:3" ht="39">
      <c r="A113" s="218" t="s">
        <v>13671</v>
      </c>
      <c r="B113" s="224" t="s">
        <v>13358</v>
      </c>
      <c r="C113" s="135">
        <v>699</v>
      </c>
    </row>
    <row r="114" spans="1:3">
      <c r="A114" s="148"/>
      <c r="B114" s="150"/>
      <c r="C114" s="210"/>
    </row>
    <row r="115" spans="1:3" ht="23.5">
      <c r="A115" s="148"/>
      <c r="B115" s="219" t="s">
        <v>13670</v>
      </c>
      <c r="C115" s="210"/>
    </row>
    <row r="116" spans="1:3">
      <c r="A116" s="148"/>
      <c r="B116" s="211" t="s">
        <v>13356</v>
      </c>
      <c r="C116" s="210"/>
    </row>
    <row r="117" spans="1:3" ht="26">
      <c r="A117" s="212" t="s">
        <v>13669</v>
      </c>
      <c r="B117" s="151" t="s">
        <v>13617</v>
      </c>
      <c r="C117" s="135">
        <v>459</v>
      </c>
    </row>
    <row r="118" spans="1:3" ht="52">
      <c r="A118" s="146" t="s">
        <v>13668</v>
      </c>
      <c r="B118" s="151" t="s">
        <v>13615</v>
      </c>
      <c r="C118" s="135">
        <v>929</v>
      </c>
    </row>
    <row r="119" spans="1:3" ht="52">
      <c r="A119" s="146" t="s">
        <v>13667</v>
      </c>
      <c r="B119" s="151" t="s">
        <v>13613</v>
      </c>
      <c r="C119" s="135">
        <v>929</v>
      </c>
    </row>
    <row r="120" spans="1:3">
      <c r="A120" s="148"/>
      <c r="B120" s="150"/>
      <c r="C120" s="210"/>
    </row>
    <row r="121" spans="1:3" ht="23.5">
      <c r="A121" s="148"/>
      <c r="B121" s="219" t="s">
        <v>13635</v>
      </c>
      <c r="C121" s="210"/>
    </row>
    <row r="122" spans="1:3">
      <c r="A122" s="148"/>
      <c r="B122" s="211" t="s">
        <v>13440</v>
      </c>
      <c r="C122" s="210"/>
    </row>
    <row r="123" spans="1:3" ht="39">
      <c r="A123" s="212" t="s">
        <v>13666</v>
      </c>
      <c r="B123" s="151" t="s">
        <v>13438</v>
      </c>
      <c r="C123" s="135">
        <v>579</v>
      </c>
    </row>
    <row r="124" spans="1:3" ht="65">
      <c r="A124" s="212" t="s">
        <v>13665</v>
      </c>
      <c r="B124" s="220" t="s">
        <v>13664</v>
      </c>
      <c r="C124" s="135">
        <v>959</v>
      </c>
    </row>
    <row r="125" spans="1:3" ht="39">
      <c r="A125" s="212" t="s">
        <v>13663</v>
      </c>
      <c r="B125" s="151" t="s">
        <v>13662</v>
      </c>
      <c r="C125" s="135">
        <v>579</v>
      </c>
    </row>
    <row r="126" spans="1:3">
      <c r="A126" s="148"/>
      <c r="B126" s="225" t="s">
        <v>13379</v>
      </c>
      <c r="C126" s="210"/>
    </row>
    <row r="127" spans="1:3">
      <c r="A127" s="148"/>
      <c r="B127" s="150"/>
      <c r="C127" s="210"/>
    </row>
    <row r="128" spans="1:3" ht="23.5">
      <c r="A128" s="148"/>
      <c r="B128" s="219" t="s">
        <v>13635</v>
      </c>
      <c r="C128" s="210"/>
    </row>
    <row r="129" spans="1:3" ht="39">
      <c r="A129" s="148"/>
      <c r="B129" s="147" t="s">
        <v>13435</v>
      </c>
      <c r="C129" s="210"/>
    </row>
    <row r="130" spans="1:3">
      <c r="A130" s="148"/>
      <c r="B130" s="226" t="s">
        <v>13658</v>
      </c>
      <c r="C130" s="210"/>
    </row>
    <row r="131" spans="1:3" ht="26">
      <c r="A131" s="212" t="s">
        <v>13661</v>
      </c>
      <c r="B131" s="151" t="s">
        <v>13434</v>
      </c>
      <c r="C131" s="135">
        <v>949</v>
      </c>
    </row>
    <row r="132" spans="1:3" ht="26">
      <c r="A132" s="212" t="s">
        <v>13660</v>
      </c>
      <c r="B132" s="151" t="s">
        <v>13433</v>
      </c>
      <c r="C132" s="135">
        <v>949</v>
      </c>
    </row>
    <row r="133" spans="1:3" ht="26">
      <c r="A133" s="212" t="s">
        <v>13659</v>
      </c>
      <c r="B133" s="151" t="s">
        <v>13432</v>
      </c>
      <c r="C133" s="135">
        <v>1029</v>
      </c>
    </row>
    <row r="134" spans="1:3">
      <c r="A134" s="148"/>
      <c r="B134" s="225" t="s">
        <v>13379</v>
      </c>
      <c r="C134" s="210"/>
    </row>
    <row r="135" spans="1:3">
      <c r="A135" s="148"/>
      <c r="B135" s="150"/>
      <c r="C135" s="210"/>
    </row>
    <row r="136" spans="1:3" ht="23.5">
      <c r="A136" s="148"/>
      <c r="B136" s="219" t="s">
        <v>13635</v>
      </c>
      <c r="C136" s="210"/>
    </row>
    <row r="137" spans="1:3" ht="39">
      <c r="A137" s="148"/>
      <c r="B137" s="147" t="s">
        <v>13431</v>
      </c>
      <c r="C137" s="210"/>
    </row>
    <row r="138" spans="1:3">
      <c r="A138" s="148"/>
      <c r="B138" s="226" t="s">
        <v>13658</v>
      </c>
      <c r="C138" s="210"/>
    </row>
    <row r="139" spans="1:3" ht="26">
      <c r="A139" s="212" t="s">
        <v>13657</v>
      </c>
      <c r="B139" s="151" t="s">
        <v>13430</v>
      </c>
      <c r="C139" s="135">
        <v>1179</v>
      </c>
    </row>
    <row r="140" spans="1:3" ht="26">
      <c r="A140" s="212" t="s">
        <v>13656</v>
      </c>
      <c r="B140" s="151" t="s">
        <v>13429</v>
      </c>
      <c r="C140" s="135">
        <v>1179</v>
      </c>
    </row>
    <row r="141" spans="1:3" ht="26">
      <c r="A141" s="212" t="s">
        <v>13655</v>
      </c>
      <c r="B141" s="151" t="s">
        <v>13428</v>
      </c>
      <c r="C141" s="135">
        <v>1339</v>
      </c>
    </row>
    <row r="142" spans="1:3" ht="52">
      <c r="A142" s="212" t="s">
        <v>13654</v>
      </c>
      <c r="B142" s="213" t="s">
        <v>13653</v>
      </c>
      <c r="C142" s="135">
        <v>1559</v>
      </c>
    </row>
    <row r="143" spans="1:3">
      <c r="A143" s="148"/>
      <c r="B143" s="225" t="s">
        <v>13379</v>
      </c>
      <c r="C143" s="210"/>
    </row>
    <row r="144" spans="1:3">
      <c r="A144" s="148"/>
      <c r="B144" s="225"/>
      <c r="C144" s="210"/>
    </row>
    <row r="145" spans="1:3" ht="39">
      <c r="A145" s="140"/>
      <c r="B145" s="155" t="s">
        <v>13427</v>
      </c>
      <c r="C145" s="210"/>
    </row>
    <row r="146" spans="1:3" ht="26">
      <c r="A146" s="177" t="s">
        <v>13652</v>
      </c>
      <c r="B146" s="141" t="s">
        <v>13426</v>
      </c>
      <c r="C146" s="135">
        <v>1459</v>
      </c>
    </row>
    <row r="147" spans="1:3" ht="26">
      <c r="A147" s="177" t="s">
        <v>13651</v>
      </c>
      <c r="B147" s="141" t="s">
        <v>13425</v>
      </c>
      <c r="C147" s="135">
        <v>1459</v>
      </c>
    </row>
    <row r="148" spans="1:3" ht="26">
      <c r="A148" s="177" t="s">
        <v>13650</v>
      </c>
      <c r="B148" s="141" t="s">
        <v>13424</v>
      </c>
      <c r="C148" s="135">
        <v>1689</v>
      </c>
    </row>
    <row r="149" spans="1:3">
      <c r="A149" s="148"/>
      <c r="B149" s="225"/>
      <c r="C149" s="210"/>
    </row>
    <row r="150" spans="1:3" ht="23.5">
      <c r="A150" s="148"/>
      <c r="B150" s="219" t="s">
        <v>13635</v>
      </c>
      <c r="C150" s="210"/>
    </row>
    <row r="151" spans="1:3">
      <c r="A151" s="134"/>
      <c r="B151" s="175" t="s">
        <v>13393</v>
      </c>
      <c r="C151" s="210"/>
    </row>
    <row r="152" spans="1:3" ht="26">
      <c r="A152" s="185"/>
      <c r="B152" s="160" t="s">
        <v>13423</v>
      </c>
      <c r="C152" s="210"/>
    </row>
    <row r="153" spans="1:3" ht="26">
      <c r="A153" s="177" t="s">
        <v>13649</v>
      </c>
      <c r="B153" s="141" t="s">
        <v>13648</v>
      </c>
      <c r="C153" s="135">
        <v>609</v>
      </c>
    </row>
    <row r="154" spans="1:3" ht="26">
      <c r="A154" s="177" t="s">
        <v>13647</v>
      </c>
      <c r="B154" s="141" t="s">
        <v>13646</v>
      </c>
      <c r="C154" s="135">
        <v>609</v>
      </c>
    </row>
    <row r="155" spans="1:3" ht="26">
      <c r="A155" s="177" t="s">
        <v>13645</v>
      </c>
      <c r="B155" s="141" t="s">
        <v>13644</v>
      </c>
      <c r="C155" s="135">
        <v>609</v>
      </c>
    </row>
    <row r="156" spans="1:3" ht="26">
      <c r="A156" s="177" t="s">
        <v>13643</v>
      </c>
      <c r="B156" s="141" t="s">
        <v>13642</v>
      </c>
      <c r="C156" s="135">
        <v>609</v>
      </c>
    </row>
    <row r="157" spans="1:3" ht="26">
      <c r="A157" s="177" t="s">
        <v>13641</v>
      </c>
      <c r="B157" s="141" t="s">
        <v>13640</v>
      </c>
      <c r="C157" s="135">
        <v>609</v>
      </c>
    </row>
    <row r="158" spans="1:3" ht="26">
      <c r="A158" s="177" t="s">
        <v>13639</v>
      </c>
      <c r="B158" s="141" t="s">
        <v>13638</v>
      </c>
      <c r="C158" s="135">
        <v>609</v>
      </c>
    </row>
    <row r="159" spans="1:3" ht="26">
      <c r="A159" s="177" t="s">
        <v>13637</v>
      </c>
      <c r="B159" s="141" t="s">
        <v>13636</v>
      </c>
      <c r="C159" s="135">
        <v>609</v>
      </c>
    </row>
    <row r="160" spans="1:3">
      <c r="A160" s="134"/>
      <c r="B160" s="184" t="s">
        <v>13379</v>
      </c>
      <c r="C160" s="210"/>
    </row>
    <row r="161" spans="1:3">
      <c r="A161" s="134"/>
      <c r="B161" s="184"/>
      <c r="C161" s="210"/>
    </row>
    <row r="162" spans="1:3" ht="23.5">
      <c r="A162" s="134"/>
      <c r="B162" s="219" t="s">
        <v>13635</v>
      </c>
      <c r="C162" s="210"/>
    </row>
    <row r="163" spans="1:3">
      <c r="A163" s="134"/>
      <c r="B163" s="175" t="s">
        <v>13393</v>
      </c>
      <c r="C163" s="210"/>
    </row>
    <row r="164" spans="1:3" ht="26">
      <c r="A164" s="185"/>
      <c r="B164" s="160" t="s">
        <v>13408</v>
      </c>
      <c r="C164" s="210"/>
    </row>
    <row r="165" spans="1:3" ht="26">
      <c r="A165" s="177" t="s">
        <v>13634</v>
      </c>
      <c r="B165" s="141" t="s">
        <v>13406</v>
      </c>
      <c r="C165" s="135">
        <v>619</v>
      </c>
    </row>
    <row r="166" spans="1:3" ht="26">
      <c r="A166" s="177" t="s">
        <v>13633</v>
      </c>
      <c r="B166" s="141" t="s">
        <v>13404</v>
      </c>
      <c r="C166" s="135">
        <v>619</v>
      </c>
    </row>
    <row r="167" spans="1:3" ht="26">
      <c r="A167" s="177" t="s">
        <v>13632</v>
      </c>
      <c r="B167" s="141" t="s">
        <v>13402</v>
      </c>
      <c r="C167" s="135">
        <v>619</v>
      </c>
    </row>
    <row r="168" spans="1:3" ht="26">
      <c r="A168" s="177" t="s">
        <v>13631</v>
      </c>
      <c r="B168" s="141" t="s">
        <v>13400</v>
      </c>
      <c r="C168" s="135">
        <v>619</v>
      </c>
    </row>
    <row r="169" spans="1:3" ht="26">
      <c r="A169" s="177" t="s">
        <v>13630</v>
      </c>
      <c r="B169" s="141" t="s">
        <v>13398</v>
      </c>
      <c r="C169" s="135">
        <v>619</v>
      </c>
    </row>
    <row r="170" spans="1:3" ht="26">
      <c r="A170" s="177" t="s">
        <v>13629</v>
      </c>
      <c r="B170" s="141" t="s">
        <v>13396</v>
      </c>
      <c r="C170" s="135">
        <v>619</v>
      </c>
    </row>
    <row r="171" spans="1:3" ht="26">
      <c r="A171" s="177" t="s">
        <v>13628</v>
      </c>
      <c r="B171" s="141" t="s">
        <v>13394</v>
      </c>
      <c r="C171" s="135">
        <v>619</v>
      </c>
    </row>
    <row r="172" spans="1:3">
      <c r="A172" s="134"/>
      <c r="B172" s="184" t="s">
        <v>13379</v>
      </c>
      <c r="C172" s="210"/>
    </row>
    <row r="173" spans="1:3">
      <c r="A173" s="134"/>
      <c r="B173" s="184"/>
      <c r="C173" s="210"/>
    </row>
    <row r="174" spans="1:3">
      <c r="A174" s="134"/>
      <c r="B174" s="175" t="s">
        <v>13393</v>
      </c>
      <c r="C174" s="210"/>
    </row>
    <row r="175" spans="1:3" ht="26">
      <c r="A175" s="185"/>
      <c r="B175" s="160" t="s">
        <v>13392</v>
      </c>
      <c r="C175" s="210"/>
    </row>
    <row r="176" spans="1:3" ht="26">
      <c r="A176" s="177" t="s">
        <v>13627</v>
      </c>
      <c r="B176" s="141" t="s">
        <v>13390</v>
      </c>
      <c r="C176" s="135">
        <v>629</v>
      </c>
    </row>
    <row r="177" spans="1:3" ht="26">
      <c r="A177" s="178" t="s">
        <v>4895</v>
      </c>
      <c r="B177" s="141" t="s">
        <v>13389</v>
      </c>
      <c r="C177" s="135">
        <v>0</v>
      </c>
    </row>
    <row r="178" spans="1:3" ht="26">
      <c r="A178" s="177" t="s">
        <v>13626</v>
      </c>
      <c r="B178" s="141" t="s">
        <v>13387</v>
      </c>
      <c r="C178" s="135">
        <v>629</v>
      </c>
    </row>
    <row r="179" spans="1:3" ht="26">
      <c r="A179" s="177" t="s">
        <v>4895</v>
      </c>
      <c r="B179" s="141" t="s">
        <v>13386</v>
      </c>
      <c r="C179" s="135">
        <v>0</v>
      </c>
    </row>
    <row r="180" spans="1:3" ht="26">
      <c r="A180" s="177" t="s">
        <v>13625</v>
      </c>
      <c r="B180" s="141" t="s">
        <v>13384</v>
      </c>
      <c r="C180" s="135">
        <v>629</v>
      </c>
    </row>
    <row r="181" spans="1:3" ht="26">
      <c r="A181" s="177" t="s">
        <v>13624</v>
      </c>
      <c r="B181" s="141" t="s">
        <v>13382</v>
      </c>
      <c r="C181" s="135">
        <v>629</v>
      </c>
    </row>
    <row r="182" spans="1:3" ht="26">
      <c r="A182" s="177" t="s">
        <v>13623</v>
      </c>
      <c r="B182" s="141" t="s">
        <v>13380</v>
      </c>
      <c r="C182" s="135">
        <v>629</v>
      </c>
    </row>
    <row r="183" spans="1:3">
      <c r="A183" s="157" t="s">
        <v>13378</v>
      </c>
      <c r="B183" s="150"/>
      <c r="C183" s="210"/>
    </row>
    <row r="184" spans="1:3">
      <c r="A184" s="157"/>
      <c r="B184" s="150"/>
      <c r="C184" s="210"/>
    </row>
    <row r="185" spans="1:3" ht="23.5">
      <c r="A185" s="148"/>
      <c r="B185" s="219" t="s">
        <v>13622</v>
      </c>
      <c r="C185" s="210"/>
    </row>
    <row r="186" spans="1:3">
      <c r="A186" s="148"/>
      <c r="B186" s="211" t="s">
        <v>13364</v>
      </c>
      <c r="C186" s="210"/>
    </row>
    <row r="187" spans="1:3" ht="39">
      <c r="A187" s="212" t="s">
        <v>13621</v>
      </c>
      <c r="B187" s="224" t="s">
        <v>13360</v>
      </c>
      <c r="C187" s="135">
        <v>699</v>
      </c>
    </row>
    <row r="188" spans="1:3" ht="39">
      <c r="A188" s="218" t="s">
        <v>13620</v>
      </c>
      <c r="B188" s="224" t="s">
        <v>13358</v>
      </c>
      <c r="C188" s="135">
        <v>699</v>
      </c>
    </row>
    <row r="189" spans="1:3">
      <c r="A189" s="148"/>
      <c r="B189" s="150"/>
      <c r="C189" s="210"/>
    </row>
    <row r="190" spans="1:3" ht="23.5">
      <c r="A190" s="148"/>
      <c r="B190" s="219" t="s">
        <v>13619</v>
      </c>
      <c r="C190" s="210"/>
    </row>
    <row r="191" spans="1:3">
      <c r="A191" s="148"/>
      <c r="B191" s="211" t="s">
        <v>13356</v>
      </c>
      <c r="C191" s="210"/>
    </row>
    <row r="192" spans="1:3" ht="26">
      <c r="A192" s="212" t="s">
        <v>13618</v>
      </c>
      <c r="B192" s="151" t="s">
        <v>13617</v>
      </c>
      <c r="C192" s="135">
        <v>459</v>
      </c>
    </row>
    <row r="193" spans="1:3" ht="52">
      <c r="A193" s="146" t="s">
        <v>13616</v>
      </c>
      <c r="B193" s="151" t="s">
        <v>13615</v>
      </c>
      <c r="C193" s="135">
        <v>929</v>
      </c>
    </row>
    <row r="194" spans="1:3" ht="52">
      <c r="A194" s="146" t="s">
        <v>13614</v>
      </c>
      <c r="B194" s="151" t="s">
        <v>13613</v>
      </c>
      <c r="C194" s="135">
        <v>929</v>
      </c>
    </row>
    <row r="195" spans="1:3">
      <c r="A195" s="148"/>
      <c r="B195" s="150"/>
      <c r="C195" s="210"/>
    </row>
    <row r="196" spans="1:3">
      <c r="A196" s="148"/>
      <c r="B196" s="147" t="s">
        <v>13346</v>
      </c>
      <c r="C196" s="210"/>
    </row>
    <row r="197" spans="1:3" ht="26">
      <c r="A197" s="212" t="s">
        <v>13612</v>
      </c>
      <c r="B197" s="220" t="s">
        <v>13611</v>
      </c>
      <c r="C197" s="135">
        <v>359</v>
      </c>
    </row>
    <row r="198" spans="1:3" ht="26">
      <c r="A198" s="212" t="s">
        <v>13610</v>
      </c>
      <c r="B198" s="220" t="s">
        <v>13609</v>
      </c>
      <c r="C198" s="135">
        <v>409</v>
      </c>
    </row>
    <row r="199" spans="1:3" ht="39">
      <c r="A199" s="212" t="s">
        <v>13569</v>
      </c>
      <c r="B199" s="220" t="s">
        <v>13608</v>
      </c>
      <c r="C199" s="135">
        <v>329</v>
      </c>
    </row>
    <row r="200" spans="1:3" ht="26">
      <c r="A200" s="212" t="s">
        <v>13607</v>
      </c>
      <c r="B200" s="220" t="s">
        <v>13606</v>
      </c>
      <c r="C200" s="135">
        <v>359</v>
      </c>
    </row>
    <row r="201" spans="1:3" ht="52">
      <c r="A201" s="212" t="s">
        <v>13605</v>
      </c>
      <c r="B201" s="220" t="s">
        <v>13604</v>
      </c>
      <c r="C201" s="135">
        <v>259</v>
      </c>
    </row>
    <row r="202" spans="1:3" ht="39">
      <c r="A202" s="223" t="s">
        <v>13571</v>
      </c>
      <c r="B202" s="220" t="s">
        <v>13603</v>
      </c>
      <c r="C202" s="135">
        <v>259</v>
      </c>
    </row>
    <row r="203" spans="1:3" ht="39">
      <c r="A203" s="223" t="s">
        <v>13602</v>
      </c>
      <c r="B203" s="220" t="s">
        <v>13601</v>
      </c>
      <c r="C203" s="135">
        <v>359</v>
      </c>
    </row>
    <row r="204" spans="1:3">
      <c r="A204" s="222"/>
      <c r="B204" s="221"/>
      <c r="C204" s="210"/>
    </row>
    <row r="205" spans="1:3" ht="23.5">
      <c r="A205" s="148"/>
      <c r="B205" s="219" t="s">
        <v>13600</v>
      </c>
      <c r="C205" s="210"/>
    </row>
    <row r="206" spans="1:3">
      <c r="A206" s="148"/>
      <c r="B206" s="211" t="s">
        <v>13327</v>
      </c>
      <c r="C206" s="210"/>
    </row>
    <row r="207" spans="1:3" ht="39">
      <c r="A207" s="218" t="s">
        <v>13599</v>
      </c>
      <c r="B207" s="151" t="s">
        <v>13325</v>
      </c>
      <c r="C207" s="135">
        <v>339</v>
      </c>
    </row>
    <row r="208" spans="1:3" ht="39">
      <c r="A208" s="212" t="s">
        <v>13598</v>
      </c>
      <c r="B208" s="220" t="s">
        <v>13597</v>
      </c>
      <c r="C208" s="135">
        <v>249</v>
      </c>
    </row>
    <row r="209" spans="1:3">
      <c r="A209" s="148"/>
      <c r="B209" s="150"/>
      <c r="C209" s="210"/>
    </row>
    <row r="210" spans="1:3" ht="23.5">
      <c r="A210" s="148"/>
      <c r="B210" s="219" t="s">
        <v>13596</v>
      </c>
      <c r="C210" s="210"/>
    </row>
    <row r="211" spans="1:3">
      <c r="A211" s="148"/>
      <c r="B211" s="211" t="s">
        <v>13327</v>
      </c>
      <c r="C211" s="210"/>
    </row>
    <row r="212" spans="1:3" ht="39">
      <c r="A212" s="212" t="s">
        <v>13595</v>
      </c>
      <c r="B212" s="151" t="s">
        <v>13325</v>
      </c>
      <c r="C212" s="135">
        <v>339</v>
      </c>
    </row>
    <row r="213" spans="1:3">
      <c r="A213" s="148"/>
      <c r="B213" s="150"/>
      <c r="C213" s="210"/>
    </row>
    <row r="214" spans="1:3" ht="26">
      <c r="A214" s="148"/>
      <c r="B214" s="147" t="s">
        <v>13303</v>
      </c>
      <c r="C214" s="210"/>
    </row>
    <row r="215" spans="1:3" ht="26">
      <c r="A215" s="218" t="s">
        <v>13594</v>
      </c>
      <c r="B215" s="151" t="s">
        <v>13301</v>
      </c>
      <c r="C215" s="135">
        <v>379</v>
      </c>
    </row>
    <row r="216" spans="1:3">
      <c r="A216" s="148"/>
      <c r="B216" s="150"/>
      <c r="C216" s="210"/>
    </row>
    <row r="217" spans="1:3">
      <c r="A217" s="148"/>
      <c r="B217" s="217" t="s">
        <v>13593</v>
      </c>
      <c r="C217" s="210"/>
    </row>
    <row r="218" spans="1:3">
      <c r="A218" s="148"/>
      <c r="B218" s="217" t="s">
        <v>13592</v>
      </c>
      <c r="C218" s="210"/>
    </row>
    <row r="219" spans="1:3">
      <c r="A219" s="148"/>
      <c r="B219" s="214" t="s">
        <v>13591</v>
      </c>
      <c r="C219" s="210"/>
    </row>
    <row r="220" spans="1:3" ht="65">
      <c r="A220" s="216" t="s">
        <v>13590</v>
      </c>
      <c r="B220" s="151" t="s">
        <v>13589</v>
      </c>
      <c r="C220" s="135">
        <v>89</v>
      </c>
    </row>
    <row r="221" spans="1:3">
      <c r="A221" s="148"/>
      <c r="B221" s="150"/>
      <c r="C221" s="210"/>
    </row>
    <row r="222" spans="1:3">
      <c r="A222" s="148"/>
      <c r="B222" s="215" t="s">
        <v>13588</v>
      </c>
      <c r="C222" s="210"/>
    </row>
    <row r="223" spans="1:3">
      <c r="A223" s="148"/>
      <c r="B223" s="214" t="s">
        <v>13587</v>
      </c>
      <c r="C223" s="210"/>
    </row>
    <row r="224" spans="1:3" ht="39">
      <c r="A224" s="146" t="s">
        <v>13576</v>
      </c>
      <c r="B224" s="151" t="s">
        <v>13575</v>
      </c>
      <c r="C224" s="135">
        <v>899</v>
      </c>
    </row>
    <row r="225" spans="1:3" ht="39">
      <c r="A225" s="146" t="s">
        <v>13574</v>
      </c>
      <c r="B225" s="151" t="s">
        <v>13573</v>
      </c>
      <c r="C225" s="135">
        <v>1299</v>
      </c>
    </row>
    <row r="226" spans="1:3">
      <c r="A226" s="148"/>
      <c r="B226" s="150"/>
      <c r="C226" s="210"/>
    </row>
    <row r="227" spans="1:3">
      <c r="A227" s="148"/>
      <c r="B227" s="211" t="s">
        <v>13586</v>
      </c>
      <c r="C227" s="210"/>
    </row>
    <row r="228" spans="1:3" ht="52">
      <c r="A228" s="212" t="s">
        <v>13585</v>
      </c>
      <c r="B228" s="213" t="s">
        <v>13584</v>
      </c>
      <c r="C228" s="135">
        <v>969</v>
      </c>
    </row>
    <row r="229" spans="1:3">
      <c r="A229" s="148"/>
      <c r="B229" s="150"/>
      <c r="C229" s="210"/>
    </row>
    <row r="230" spans="1:3" ht="26">
      <c r="A230" s="148"/>
      <c r="B230" s="149" t="s">
        <v>13107</v>
      </c>
      <c r="C230" s="210"/>
    </row>
    <row r="231" spans="1:3" ht="26">
      <c r="A231" s="148"/>
      <c r="B231" s="147" t="s">
        <v>13583</v>
      </c>
      <c r="C231" s="210"/>
    </row>
    <row r="232" spans="1:3" ht="156">
      <c r="A232" s="146" t="s">
        <v>13582</v>
      </c>
      <c r="B232" s="145" t="s">
        <v>13581</v>
      </c>
      <c r="C232" s="135">
        <v>2609</v>
      </c>
    </row>
    <row r="233" spans="1:3" ht="156">
      <c r="A233" s="146" t="s">
        <v>13580</v>
      </c>
      <c r="B233" s="145" t="s">
        <v>13579</v>
      </c>
      <c r="C233" s="135">
        <v>2609</v>
      </c>
    </row>
    <row r="234" spans="1:3">
      <c r="A234" s="148"/>
      <c r="C234" s="210"/>
    </row>
    <row r="235" spans="1:3" ht="26">
      <c r="A235" s="148"/>
      <c r="B235" s="149" t="s">
        <v>13107</v>
      </c>
      <c r="C235" s="210"/>
    </row>
    <row r="236" spans="1:3" ht="28.5">
      <c r="A236" s="148"/>
      <c r="B236" s="147" t="s">
        <v>13104</v>
      </c>
      <c r="C236" s="210"/>
    </row>
    <row r="237" spans="1:3" ht="39">
      <c r="A237" s="212" t="s">
        <v>13578</v>
      </c>
      <c r="B237" s="152" t="s">
        <v>13577</v>
      </c>
      <c r="C237" s="135">
        <v>299.99</v>
      </c>
    </row>
    <row r="238" spans="1:3" ht="39">
      <c r="A238" s="146" t="s">
        <v>13576</v>
      </c>
      <c r="B238" s="151" t="s">
        <v>13575</v>
      </c>
      <c r="C238" s="135">
        <v>899</v>
      </c>
    </row>
    <row r="239" spans="1:3" ht="39">
      <c r="A239" s="146" t="s">
        <v>13574</v>
      </c>
      <c r="B239" s="151" t="s">
        <v>13573</v>
      </c>
      <c r="C239" s="135">
        <v>1299</v>
      </c>
    </row>
    <row r="240" spans="1:3">
      <c r="A240" s="146" t="s">
        <v>13572</v>
      </c>
      <c r="B240" s="151" t="s">
        <v>13100</v>
      </c>
      <c r="C240" s="135">
        <v>149</v>
      </c>
    </row>
    <row r="241" spans="1:3" ht="39">
      <c r="A241" s="146" t="s">
        <v>13571</v>
      </c>
      <c r="B241" s="151" t="s">
        <v>13570</v>
      </c>
      <c r="C241" s="135">
        <v>259</v>
      </c>
    </row>
    <row r="242" spans="1:3">
      <c r="A242" s="146" t="s">
        <v>13569</v>
      </c>
      <c r="B242" s="151" t="s">
        <v>13098</v>
      </c>
      <c r="C242" s="135">
        <v>329</v>
      </c>
    </row>
    <row r="243" spans="1:3">
      <c r="A243" s="148"/>
      <c r="B243" s="150"/>
      <c r="C243" s="210"/>
    </row>
    <row r="244" spans="1:3" ht="26">
      <c r="A244" s="148"/>
      <c r="B244" s="149" t="s">
        <v>13097</v>
      </c>
      <c r="C244" s="210"/>
    </row>
    <row r="245" spans="1:3" ht="26">
      <c r="A245" s="148"/>
      <c r="B245" s="147" t="s">
        <v>13568</v>
      </c>
      <c r="C245" s="210"/>
    </row>
    <row r="246" spans="1:3" ht="234">
      <c r="A246" s="146" t="s">
        <v>13567</v>
      </c>
      <c r="B246" s="145" t="s">
        <v>13566</v>
      </c>
      <c r="C246" s="135">
        <v>4429</v>
      </c>
    </row>
    <row r="247" spans="1:3">
      <c r="A247" s="148"/>
    </row>
    <row r="248" spans="1:3">
      <c r="A248" s="148"/>
      <c r="B248" s="211" t="s">
        <v>13091</v>
      </c>
      <c r="C248" s="210"/>
    </row>
    <row r="249" spans="1:3" ht="26">
      <c r="A249" s="209" t="s">
        <v>13565</v>
      </c>
      <c r="B249" s="151" t="s">
        <v>13088</v>
      </c>
      <c r="C249" s="135">
        <v>2619</v>
      </c>
    </row>
    <row r="250" spans="1:3">
      <c r="B250" s="150"/>
    </row>
    <row r="251" spans="1:3">
      <c r="B251" s="150"/>
    </row>
    <row r="252" spans="1:3">
      <c r="B252" s="150"/>
    </row>
    <row r="253" spans="1:3">
      <c r="B253" s="150"/>
    </row>
    <row r="254" spans="1:3">
      <c r="B254" s="150"/>
    </row>
    <row r="255" spans="1:3">
      <c r="B255" s="150"/>
    </row>
    <row r="256" spans="1:3">
      <c r="B256" s="150"/>
    </row>
    <row r="257" spans="2:3">
      <c r="B257" s="150"/>
    </row>
    <row r="258" spans="2:3">
      <c r="B258" s="150"/>
    </row>
    <row r="259" spans="2:3">
      <c r="B259" s="150"/>
    </row>
    <row r="260" spans="2:3">
      <c r="B260" s="150"/>
    </row>
    <row r="261" spans="2:3">
      <c r="C261" s="208"/>
    </row>
    <row r="262" spans="2:3">
      <c r="C262" s="208"/>
    </row>
    <row r="263" spans="2:3">
      <c r="C263" s="208"/>
    </row>
  </sheetData>
  <sheetProtection insertColumns="0" insertRows="0"/>
  <autoFilter ref="A2:C178" xr:uid="{00000000-0009-0000-0000-000012000000}"/>
  <printOptions horizontalCentered="1"/>
  <pageMargins left="0.4" right="0.4" top="0.75" bottom="0.5" header="0.3" footer="0.3"/>
  <pageSetup scale="78" fitToHeight="0" orientation="portrait" r:id="rId1"/>
  <headerFooter>
    <oddHeader>&amp;C SETINA MFG 2022 PRICE LIST&amp;R&amp;A</oddHeader>
    <oddFooter>&amp;C&amp;F&amp;R&amp;P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C0376-5236-4BBD-A19A-EBDEDF2A0D75}">
  <sheetPr codeName="Sheet24">
    <tabColor theme="2" tint="-9.9978637043366805E-2"/>
  </sheetPr>
  <dimension ref="A1:C128"/>
  <sheetViews>
    <sheetView zoomScale="120" zoomScaleNormal="120" workbookViewId="0">
      <selection activeCell="C8" sqref="C8"/>
    </sheetView>
  </sheetViews>
  <sheetFormatPr defaultRowHeight="14.5"/>
  <cols>
    <col min="1" max="1" width="20" bestFit="1" customWidth="1"/>
    <col min="2" max="2" width="76.26953125" bestFit="1" customWidth="1"/>
    <col min="3" max="3" width="13.453125" bestFit="1" customWidth="1"/>
  </cols>
  <sheetData>
    <row r="1" spans="1:3">
      <c r="A1" s="243" t="s">
        <v>15417</v>
      </c>
      <c r="B1" s="242"/>
      <c r="C1" s="241"/>
    </row>
    <row r="2" spans="1:3">
      <c r="A2" s="235" t="s">
        <v>3519</v>
      </c>
      <c r="B2" s="240" t="s">
        <v>3518</v>
      </c>
      <c r="C2" s="200" t="s">
        <v>13563</v>
      </c>
    </row>
    <row r="3" spans="1:3">
      <c r="A3" s="148"/>
      <c r="B3" s="150"/>
      <c r="C3" s="233"/>
    </row>
    <row r="4" spans="1:3" ht="26">
      <c r="A4" s="231" t="s">
        <v>13511</v>
      </c>
      <c r="B4" s="217" t="s">
        <v>13537</v>
      </c>
      <c r="C4" s="210"/>
    </row>
    <row r="5" spans="1:3" ht="39">
      <c r="A5" s="212" t="s">
        <v>15416</v>
      </c>
      <c r="B5" s="151" t="s">
        <v>13750</v>
      </c>
      <c r="C5" s="135">
        <v>999</v>
      </c>
    </row>
    <row r="6" spans="1:3" ht="39">
      <c r="A6" s="212" t="s">
        <v>15415</v>
      </c>
      <c r="B6" s="151" t="s">
        <v>13748</v>
      </c>
      <c r="C6" s="135">
        <v>959</v>
      </c>
    </row>
    <row r="7" spans="1:3" ht="39">
      <c r="A7" s="212" t="s">
        <v>15414</v>
      </c>
      <c r="B7" s="151" t="s">
        <v>13746</v>
      </c>
      <c r="C7" s="135">
        <v>1049</v>
      </c>
    </row>
    <row r="8" spans="1:3" ht="39">
      <c r="A8" s="212" t="s">
        <v>15413</v>
      </c>
      <c r="B8" s="151" t="s">
        <v>13744</v>
      </c>
      <c r="C8" s="135">
        <v>979</v>
      </c>
    </row>
    <row r="9" spans="1:3" ht="39">
      <c r="A9" s="212" t="s">
        <v>15412</v>
      </c>
      <c r="B9" s="151" t="s">
        <v>13742</v>
      </c>
      <c r="C9" s="135">
        <v>1009</v>
      </c>
    </row>
    <row r="10" spans="1:3" ht="39">
      <c r="A10" s="212" t="s">
        <v>15411</v>
      </c>
      <c r="B10" s="151" t="s">
        <v>13740</v>
      </c>
      <c r="C10" s="135">
        <v>969</v>
      </c>
    </row>
    <row r="11" spans="1:3">
      <c r="A11" s="231" t="s">
        <v>13524</v>
      </c>
      <c r="B11" s="150"/>
      <c r="C11" s="210"/>
    </row>
    <row r="12" spans="1:3" ht="39">
      <c r="A12" s="212" t="s">
        <v>15410</v>
      </c>
      <c r="B12" s="151" t="s">
        <v>13738</v>
      </c>
      <c r="C12" s="135">
        <v>1099</v>
      </c>
    </row>
    <row r="13" spans="1:3" ht="39">
      <c r="A13" s="212" t="s">
        <v>15409</v>
      </c>
      <c r="B13" s="151" t="s">
        <v>13736</v>
      </c>
      <c r="C13" s="135">
        <v>1059</v>
      </c>
    </row>
    <row r="14" spans="1:3" ht="52">
      <c r="A14" s="212" t="s">
        <v>15408</v>
      </c>
      <c r="B14" s="151" t="s">
        <v>13734</v>
      </c>
      <c r="C14" s="135">
        <v>1149</v>
      </c>
    </row>
    <row r="15" spans="1:3" ht="52">
      <c r="A15" s="212" t="s">
        <v>15407</v>
      </c>
      <c r="B15" s="151" t="s">
        <v>13732</v>
      </c>
      <c r="C15" s="135">
        <v>1109</v>
      </c>
    </row>
    <row r="16" spans="1:3" ht="52">
      <c r="A16" s="212" t="s">
        <v>15406</v>
      </c>
      <c r="B16" s="151" t="s">
        <v>13730</v>
      </c>
      <c r="C16" s="135">
        <v>1139</v>
      </c>
    </row>
    <row r="17" spans="1:3" ht="52">
      <c r="A17" s="212" t="s">
        <v>15405</v>
      </c>
      <c r="B17" s="151" t="s">
        <v>13728</v>
      </c>
      <c r="C17" s="135">
        <v>1099</v>
      </c>
    </row>
    <row r="18" spans="1:3">
      <c r="A18" s="194" t="s">
        <v>13484</v>
      </c>
      <c r="B18" s="150"/>
      <c r="C18" s="210"/>
    </row>
    <row r="19" spans="1:3">
      <c r="A19" s="194"/>
      <c r="B19" s="150"/>
      <c r="C19" s="210"/>
    </row>
    <row r="20" spans="1:3" ht="39">
      <c r="A20" s="231" t="s">
        <v>13483</v>
      </c>
      <c r="B20" s="147" t="s">
        <v>13727</v>
      </c>
      <c r="C20" s="210"/>
    </row>
    <row r="21" spans="1:3" ht="91">
      <c r="A21" s="212" t="s">
        <v>15404</v>
      </c>
      <c r="B21" s="230" t="s">
        <v>13725</v>
      </c>
      <c r="C21" s="135">
        <v>1279</v>
      </c>
    </row>
    <row r="22" spans="1:3" ht="104">
      <c r="A22" s="212" t="s">
        <v>15403</v>
      </c>
      <c r="B22" s="230" t="s">
        <v>13723</v>
      </c>
      <c r="C22" s="135">
        <v>1279</v>
      </c>
    </row>
    <row r="23" spans="1:3" ht="91">
      <c r="A23" s="212" t="s">
        <v>15402</v>
      </c>
      <c r="B23" s="230" t="s">
        <v>13721</v>
      </c>
      <c r="C23" s="135">
        <v>1279</v>
      </c>
    </row>
    <row r="24" spans="1:3" ht="91">
      <c r="A24" s="212" t="s">
        <v>15401</v>
      </c>
      <c r="B24" s="230" t="s">
        <v>13719</v>
      </c>
      <c r="C24" s="135">
        <v>1279</v>
      </c>
    </row>
    <row r="25" spans="1:3">
      <c r="A25" s="148"/>
      <c r="B25" s="150"/>
      <c r="C25" s="210"/>
    </row>
    <row r="26" spans="1:3">
      <c r="A26" s="148"/>
      <c r="B26" s="211" t="s">
        <v>13440</v>
      </c>
      <c r="C26" s="210"/>
    </row>
    <row r="27" spans="1:3" ht="39">
      <c r="A27" s="212" t="s">
        <v>15400</v>
      </c>
      <c r="B27" s="151" t="s">
        <v>13438</v>
      </c>
      <c r="C27" s="135">
        <v>579</v>
      </c>
    </row>
    <row r="28" spans="1:3">
      <c r="A28" s="148"/>
      <c r="B28" s="225" t="s">
        <v>13379</v>
      </c>
      <c r="C28" s="210"/>
    </row>
    <row r="29" spans="1:3" ht="23.5">
      <c r="A29" s="148"/>
      <c r="B29" s="219"/>
      <c r="C29" s="210"/>
    </row>
    <row r="30" spans="1:3" ht="39">
      <c r="A30" s="148"/>
      <c r="B30" s="147" t="s">
        <v>13435</v>
      </c>
      <c r="C30" s="210"/>
    </row>
    <row r="31" spans="1:3" ht="26">
      <c r="A31" s="212" t="s">
        <v>15399</v>
      </c>
      <c r="B31" s="151" t="s">
        <v>13434</v>
      </c>
      <c r="C31" s="135">
        <v>949</v>
      </c>
    </row>
    <row r="32" spans="1:3" ht="26">
      <c r="A32" s="212" t="s">
        <v>15398</v>
      </c>
      <c r="B32" s="151" t="s">
        <v>13433</v>
      </c>
      <c r="C32" s="135">
        <v>949</v>
      </c>
    </row>
    <row r="33" spans="1:3" ht="26">
      <c r="A33" s="212" t="s">
        <v>15397</v>
      </c>
      <c r="B33" s="151" t="s">
        <v>13432</v>
      </c>
      <c r="C33" s="135">
        <v>1029</v>
      </c>
    </row>
    <row r="34" spans="1:3">
      <c r="A34" s="148"/>
      <c r="B34" s="225" t="s">
        <v>13379</v>
      </c>
      <c r="C34" s="210"/>
    </row>
    <row r="35" spans="1:3">
      <c r="A35" s="148"/>
      <c r="B35" s="150"/>
      <c r="C35" s="210"/>
    </row>
    <row r="36" spans="1:3" ht="39">
      <c r="A36" s="148"/>
      <c r="B36" s="147" t="s">
        <v>13431</v>
      </c>
      <c r="C36" s="210"/>
    </row>
    <row r="37" spans="1:3" ht="26">
      <c r="A37" s="212" t="s">
        <v>15396</v>
      </c>
      <c r="B37" s="151" t="s">
        <v>13430</v>
      </c>
      <c r="C37" s="135">
        <v>1179</v>
      </c>
    </row>
    <row r="38" spans="1:3" ht="26">
      <c r="A38" s="212" t="s">
        <v>15395</v>
      </c>
      <c r="B38" s="151" t="s">
        <v>13429</v>
      </c>
      <c r="C38" s="135">
        <v>1179</v>
      </c>
    </row>
    <row r="39" spans="1:3" ht="26">
      <c r="A39" s="212" t="s">
        <v>15394</v>
      </c>
      <c r="B39" s="141" t="s">
        <v>13428</v>
      </c>
      <c r="C39" s="135">
        <v>1339</v>
      </c>
    </row>
    <row r="40" spans="1:3">
      <c r="A40" s="148"/>
      <c r="B40" s="225" t="s">
        <v>13379</v>
      </c>
      <c r="C40" s="210"/>
    </row>
    <row r="41" spans="1:3">
      <c r="A41" s="148"/>
      <c r="B41" s="225"/>
      <c r="C41" s="210"/>
    </row>
    <row r="42" spans="1:3" ht="39">
      <c r="A42" s="140"/>
      <c r="B42" s="155" t="s">
        <v>13427</v>
      </c>
      <c r="C42" s="210"/>
    </row>
    <row r="43" spans="1:3" ht="26">
      <c r="A43" s="177" t="s">
        <v>15393</v>
      </c>
      <c r="B43" s="141" t="s">
        <v>13426</v>
      </c>
      <c r="C43" s="135">
        <v>1459</v>
      </c>
    </row>
    <row r="44" spans="1:3" ht="26">
      <c r="A44" s="177" t="s">
        <v>15392</v>
      </c>
      <c r="B44" s="141" t="s">
        <v>13425</v>
      </c>
      <c r="C44" s="135">
        <v>1459</v>
      </c>
    </row>
    <row r="45" spans="1:3" ht="26">
      <c r="A45" s="177" t="s">
        <v>15391</v>
      </c>
      <c r="B45" s="141" t="s">
        <v>13424</v>
      </c>
      <c r="C45" s="135">
        <v>1689</v>
      </c>
    </row>
    <row r="46" spans="1:3">
      <c r="A46" s="148"/>
      <c r="B46" s="225"/>
      <c r="C46" s="210"/>
    </row>
    <row r="47" spans="1:3">
      <c r="A47" s="134"/>
      <c r="B47" s="175" t="s">
        <v>13393</v>
      </c>
      <c r="C47" s="210"/>
    </row>
    <row r="48" spans="1:3" ht="26.5">
      <c r="A48" s="185"/>
      <c r="B48" s="160" t="s">
        <v>13423</v>
      </c>
      <c r="C48" s="210"/>
    </row>
    <row r="49" spans="1:3" ht="26">
      <c r="A49" s="177" t="s">
        <v>15390</v>
      </c>
      <c r="B49" s="141" t="s">
        <v>13421</v>
      </c>
      <c r="C49" s="135">
        <v>609</v>
      </c>
    </row>
    <row r="50" spans="1:3" ht="26">
      <c r="A50" s="177" t="s">
        <v>15389</v>
      </c>
      <c r="B50" s="141" t="s">
        <v>13419</v>
      </c>
      <c r="C50" s="135">
        <v>609</v>
      </c>
    </row>
    <row r="51" spans="1:3" ht="26">
      <c r="A51" s="177" t="s">
        <v>15388</v>
      </c>
      <c r="B51" s="141" t="s">
        <v>13417</v>
      </c>
      <c r="C51" s="135">
        <v>609</v>
      </c>
    </row>
    <row r="52" spans="1:3" ht="26">
      <c r="A52" s="177" t="s">
        <v>15387</v>
      </c>
      <c r="B52" s="141" t="s">
        <v>13415</v>
      </c>
      <c r="C52" s="135">
        <v>609</v>
      </c>
    </row>
    <row r="53" spans="1:3" ht="26">
      <c r="A53" s="177" t="s">
        <v>15386</v>
      </c>
      <c r="B53" s="141" t="s">
        <v>13413</v>
      </c>
      <c r="C53" s="135">
        <v>609</v>
      </c>
    </row>
    <row r="54" spans="1:3" ht="26">
      <c r="A54" s="177" t="s">
        <v>15385</v>
      </c>
      <c r="B54" s="141" t="s">
        <v>13411</v>
      </c>
      <c r="C54" s="135">
        <v>609</v>
      </c>
    </row>
    <row r="55" spans="1:3" ht="26">
      <c r="A55" s="177" t="s">
        <v>15384</v>
      </c>
      <c r="B55" s="141" t="s">
        <v>13409</v>
      </c>
      <c r="C55" s="135">
        <v>609</v>
      </c>
    </row>
    <row r="56" spans="1:3">
      <c r="A56" s="134"/>
      <c r="B56" s="184" t="s">
        <v>13379</v>
      </c>
      <c r="C56" s="210"/>
    </row>
    <row r="57" spans="1:3">
      <c r="A57" s="134"/>
      <c r="B57" s="184"/>
      <c r="C57" s="210"/>
    </row>
    <row r="58" spans="1:3">
      <c r="A58" s="134"/>
      <c r="B58" s="175" t="s">
        <v>13393</v>
      </c>
      <c r="C58" s="210"/>
    </row>
    <row r="59" spans="1:3" ht="26.5">
      <c r="A59" s="185"/>
      <c r="B59" s="160" t="s">
        <v>13408</v>
      </c>
      <c r="C59" s="210"/>
    </row>
    <row r="60" spans="1:3" ht="26">
      <c r="A60" s="177" t="s">
        <v>15383</v>
      </c>
      <c r="B60" s="141" t="s">
        <v>13406</v>
      </c>
      <c r="C60" s="135">
        <v>619</v>
      </c>
    </row>
    <row r="61" spans="1:3" ht="26">
      <c r="A61" s="177" t="s">
        <v>15382</v>
      </c>
      <c r="B61" s="141" t="s">
        <v>13404</v>
      </c>
      <c r="C61" s="135">
        <v>619</v>
      </c>
    </row>
    <row r="62" spans="1:3" ht="26">
      <c r="A62" s="177" t="s">
        <v>15381</v>
      </c>
      <c r="B62" s="141" t="s">
        <v>13402</v>
      </c>
      <c r="C62" s="135">
        <v>619</v>
      </c>
    </row>
    <row r="63" spans="1:3" ht="26">
      <c r="A63" s="177" t="s">
        <v>15380</v>
      </c>
      <c r="B63" s="141" t="s">
        <v>13400</v>
      </c>
      <c r="C63" s="135">
        <v>619</v>
      </c>
    </row>
    <row r="64" spans="1:3" ht="26">
      <c r="A64" s="177" t="s">
        <v>15379</v>
      </c>
      <c r="B64" s="141" t="s">
        <v>13398</v>
      </c>
      <c r="C64" s="135">
        <v>619</v>
      </c>
    </row>
    <row r="65" spans="1:3" ht="26">
      <c r="A65" s="177" t="s">
        <v>15378</v>
      </c>
      <c r="B65" s="141" t="s">
        <v>13396</v>
      </c>
      <c r="C65" s="135">
        <v>619</v>
      </c>
    </row>
    <row r="66" spans="1:3" ht="26">
      <c r="A66" s="177" t="s">
        <v>15377</v>
      </c>
      <c r="B66" s="141" t="s">
        <v>13394</v>
      </c>
      <c r="C66" s="135">
        <v>619</v>
      </c>
    </row>
    <row r="67" spans="1:3">
      <c r="A67" s="134"/>
      <c r="B67" s="184" t="s">
        <v>13379</v>
      </c>
      <c r="C67" s="210"/>
    </row>
    <row r="68" spans="1:3">
      <c r="A68" s="134"/>
      <c r="B68" s="184"/>
      <c r="C68" s="210"/>
    </row>
    <row r="69" spans="1:3">
      <c r="A69" s="134"/>
      <c r="B69" s="175" t="s">
        <v>13393</v>
      </c>
      <c r="C69" s="210"/>
    </row>
    <row r="70" spans="1:3" ht="26.5">
      <c r="A70" s="185"/>
      <c r="B70" s="160" t="s">
        <v>13392</v>
      </c>
      <c r="C70" s="210"/>
    </row>
    <row r="71" spans="1:3" ht="26">
      <c r="A71" s="177" t="s">
        <v>15376</v>
      </c>
      <c r="B71" s="141" t="s">
        <v>13390</v>
      </c>
      <c r="C71" s="135">
        <v>629</v>
      </c>
    </row>
    <row r="72" spans="1:3" ht="26">
      <c r="A72" s="178" t="s">
        <v>4895</v>
      </c>
      <c r="B72" s="141" t="s">
        <v>13389</v>
      </c>
      <c r="C72" s="135">
        <v>0</v>
      </c>
    </row>
    <row r="73" spans="1:3" ht="26">
      <c r="A73" s="177" t="s">
        <v>15375</v>
      </c>
      <c r="B73" s="141" t="s">
        <v>13387</v>
      </c>
      <c r="C73" s="135">
        <v>629</v>
      </c>
    </row>
    <row r="74" spans="1:3" ht="26">
      <c r="A74" s="177" t="s">
        <v>4895</v>
      </c>
      <c r="B74" s="141" t="s">
        <v>13386</v>
      </c>
      <c r="C74" s="135">
        <v>0</v>
      </c>
    </row>
    <row r="75" spans="1:3" ht="26">
      <c r="A75" s="177" t="s">
        <v>15374</v>
      </c>
      <c r="B75" s="141" t="s">
        <v>13384</v>
      </c>
      <c r="C75" s="135">
        <v>629</v>
      </c>
    </row>
    <row r="76" spans="1:3" ht="26">
      <c r="A76" s="177" t="s">
        <v>15373</v>
      </c>
      <c r="B76" s="141" t="s">
        <v>13382</v>
      </c>
      <c r="C76" s="135">
        <v>629</v>
      </c>
    </row>
    <row r="77" spans="1:3" ht="26">
      <c r="A77" s="177" t="s">
        <v>15372</v>
      </c>
      <c r="B77" s="141" t="s">
        <v>13380</v>
      </c>
      <c r="C77" s="135">
        <v>629</v>
      </c>
    </row>
    <row r="78" spans="1:3">
      <c r="A78" s="157" t="s">
        <v>13378</v>
      </c>
      <c r="B78" s="150"/>
      <c r="C78" s="210"/>
    </row>
    <row r="79" spans="1:3">
      <c r="A79" s="157"/>
      <c r="B79" s="150"/>
      <c r="C79" s="210"/>
    </row>
    <row r="80" spans="1:3">
      <c r="A80" s="148"/>
      <c r="B80" s="211" t="s">
        <v>13364</v>
      </c>
      <c r="C80" s="210"/>
    </row>
    <row r="81" spans="1:3" ht="39">
      <c r="A81" s="212" t="s">
        <v>15371</v>
      </c>
      <c r="B81" s="224" t="s">
        <v>13360</v>
      </c>
      <c r="C81" s="135">
        <v>699</v>
      </c>
    </row>
    <row r="82" spans="1:3">
      <c r="A82" s="148"/>
      <c r="B82" s="150"/>
      <c r="C82" s="210"/>
    </row>
    <row r="83" spans="1:3">
      <c r="A83" s="148"/>
      <c r="B83" s="211" t="s">
        <v>13356</v>
      </c>
      <c r="C83" s="210"/>
    </row>
    <row r="84" spans="1:3" ht="26">
      <c r="A84" s="212" t="s">
        <v>15370</v>
      </c>
      <c r="B84" s="151" t="s">
        <v>13617</v>
      </c>
      <c r="C84" s="135">
        <v>459</v>
      </c>
    </row>
    <row r="85" spans="1:3" ht="52">
      <c r="A85" s="146" t="s">
        <v>15369</v>
      </c>
      <c r="B85" s="151" t="s">
        <v>13613</v>
      </c>
      <c r="C85" s="135">
        <v>929</v>
      </c>
    </row>
    <row r="86" spans="1:3">
      <c r="A86" s="148"/>
      <c r="B86" s="150"/>
      <c r="C86" s="210"/>
    </row>
    <row r="87" spans="1:3">
      <c r="A87" s="148"/>
      <c r="B87" s="211" t="s">
        <v>13327</v>
      </c>
      <c r="C87" s="210"/>
    </row>
    <row r="88" spans="1:3" ht="39">
      <c r="A88" s="218" t="s">
        <v>15368</v>
      </c>
      <c r="B88" s="151" t="s">
        <v>13325</v>
      </c>
      <c r="C88" s="135">
        <v>339</v>
      </c>
    </row>
    <row r="89" spans="1:3" ht="39.5">
      <c r="A89" s="212" t="s">
        <v>15367</v>
      </c>
      <c r="B89" s="220" t="s">
        <v>13597</v>
      </c>
      <c r="C89" s="135">
        <v>249</v>
      </c>
    </row>
    <row r="90" spans="1:3">
      <c r="A90" s="229"/>
      <c r="B90" s="221"/>
      <c r="C90" s="210"/>
    </row>
    <row r="91" spans="1:3">
      <c r="A91" s="148"/>
      <c r="B91" s="382" t="s">
        <v>13346</v>
      </c>
      <c r="C91" s="210"/>
    </row>
    <row r="92" spans="1:3" ht="26.5">
      <c r="A92" s="212" t="s">
        <v>15366</v>
      </c>
      <c r="B92" s="220" t="s">
        <v>13611</v>
      </c>
      <c r="C92" s="135">
        <v>359</v>
      </c>
    </row>
    <row r="93" spans="1:3" ht="26.5">
      <c r="A93" s="212" t="s">
        <v>15365</v>
      </c>
      <c r="B93" s="220" t="s">
        <v>13609</v>
      </c>
      <c r="C93" s="135">
        <v>409</v>
      </c>
    </row>
    <row r="94" spans="1:3" ht="39.5">
      <c r="A94" s="212" t="s">
        <v>15349</v>
      </c>
      <c r="B94" s="220" t="s">
        <v>13608</v>
      </c>
      <c r="C94" s="135">
        <v>329</v>
      </c>
    </row>
    <row r="95" spans="1:3" ht="26.5">
      <c r="A95" s="212" t="s">
        <v>15364</v>
      </c>
      <c r="B95" s="220" t="s">
        <v>13606</v>
      </c>
      <c r="C95" s="135">
        <v>359</v>
      </c>
    </row>
    <row r="96" spans="1:3" ht="52.5">
      <c r="A96" s="212" t="s">
        <v>15363</v>
      </c>
      <c r="B96" s="220" t="s">
        <v>13604</v>
      </c>
      <c r="C96" s="135">
        <v>259</v>
      </c>
    </row>
    <row r="97" spans="1:3" ht="39.5">
      <c r="A97" s="223" t="s">
        <v>15350</v>
      </c>
      <c r="B97" s="220" t="s">
        <v>13603</v>
      </c>
      <c r="C97" s="135">
        <v>259</v>
      </c>
    </row>
    <row r="98" spans="1:3">
      <c r="A98" s="148"/>
      <c r="B98" s="150"/>
      <c r="C98" s="210"/>
    </row>
    <row r="99" spans="1:3" ht="26">
      <c r="A99" s="148"/>
      <c r="B99" s="147" t="s">
        <v>13303</v>
      </c>
      <c r="C99" s="210"/>
    </row>
    <row r="100" spans="1:3" ht="26">
      <c r="A100" s="218" t="s">
        <v>15362</v>
      </c>
      <c r="B100" s="151" t="s">
        <v>13301</v>
      </c>
      <c r="C100" s="135">
        <v>379</v>
      </c>
    </row>
    <row r="101" spans="1:3">
      <c r="A101" s="148"/>
      <c r="B101" s="150"/>
      <c r="C101" s="210"/>
    </row>
    <row r="102" spans="1:3">
      <c r="A102" s="148"/>
      <c r="B102" s="215" t="s">
        <v>13588</v>
      </c>
      <c r="C102" s="210"/>
    </row>
    <row r="103" spans="1:3" ht="39">
      <c r="A103" s="146" t="s">
        <v>15353</v>
      </c>
      <c r="B103" s="151" t="s">
        <v>13575</v>
      </c>
      <c r="C103" s="135">
        <v>899</v>
      </c>
    </row>
    <row r="104" spans="1:3" ht="39">
      <c r="A104" s="146" t="s">
        <v>15352</v>
      </c>
      <c r="B104" s="151" t="s">
        <v>13573</v>
      </c>
      <c r="C104" s="135">
        <v>1299</v>
      </c>
    </row>
    <row r="105" spans="1:3">
      <c r="A105" s="148"/>
      <c r="B105" s="150"/>
      <c r="C105" s="210"/>
    </row>
    <row r="106" spans="1:3">
      <c r="A106" s="148"/>
      <c r="B106" s="211" t="s">
        <v>13586</v>
      </c>
      <c r="C106" s="210"/>
    </row>
    <row r="107" spans="1:3" ht="52">
      <c r="A107" s="212" t="s">
        <v>15361</v>
      </c>
      <c r="B107" s="213" t="s">
        <v>13584</v>
      </c>
      <c r="C107" s="135">
        <v>969</v>
      </c>
    </row>
    <row r="108" spans="1:3">
      <c r="A108" s="229"/>
      <c r="B108" s="268"/>
      <c r="C108" s="210"/>
    </row>
    <row r="109" spans="1:3">
      <c r="B109" s="1" t="s">
        <v>15360</v>
      </c>
      <c r="C109" s="210"/>
    </row>
    <row r="110" spans="1:3">
      <c r="A110" s="212" t="s">
        <v>15359</v>
      </c>
      <c r="B110" s="213" t="s">
        <v>15358</v>
      </c>
      <c r="C110" s="135">
        <v>479</v>
      </c>
    </row>
    <row r="111" spans="1:3">
      <c r="A111" s="229"/>
      <c r="B111" s="268"/>
      <c r="C111" s="210"/>
    </row>
    <row r="112" spans="1:3" ht="26">
      <c r="A112" s="148"/>
      <c r="B112" s="149" t="s">
        <v>13107</v>
      </c>
      <c r="C112" s="210"/>
    </row>
    <row r="113" spans="1:3" ht="26">
      <c r="A113" s="148"/>
      <c r="B113" s="147" t="s">
        <v>13583</v>
      </c>
      <c r="C113" s="210"/>
    </row>
    <row r="114" spans="1:3" ht="156">
      <c r="A114" s="146" t="s">
        <v>15357</v>
      </c>
      <c r="B114" s="145" t="s">
        <v>13581</v>
      </c>
      <c r="C114" s="135">
        <v>2609</v>
      </c>
    </row>
    <row r="115" spans="1:3" ht="156">
      <c r="A115" s="146" t="s">
        <v>15356</v>
      </c>
      <c r="B115" s="145" t="s">
        <v>13579</v>
      </c>
      <c r="C115" s="135">
        <v>2609</v>
      </c>
    </row>
    <row r="116" spans="1:3">
      <c r="A116" s="148"/>
      <c r="B116" s="207" t="s">
        <v>15355</v>
      </c>
      <c r="C116" s="210"/>
    </row>
    <row r="117" spans="1:3" ht="26">
      <c r="A117" s="148"/>
      <c r="B117" s="149" t="s">
        <v>13107</v>
      </c>
      <c r="C117" s="210"/>
    </row>
    <row r="118" spans="1:3" ht="28.5">
      <c r="A118" s="148"/>
      <c r="B118" s="147" t="s">
        <v>13104</v>
      </c>
      <c r="C118" s="210"/>
    </row>
    <row r="119" spans="1:3" ht="39">
      <c r="A119" s="212" t="s">
        <v>13578</v>
      </c>
      <c r="B119" s="152" t="s">
        <v>15354</v>
      </c>
      <c r="C119" s="135">
        <v>299.99</v>
      </c>
    </row>
    <row r="120" spans="1:3" ht="39">
      <c r="A120" s="146" t="s">
        <v>15353</v>
      </c>
      <c r="B120" s="151" t="s">
        <v>13575</v>
      </c>
      <c r="C120" s="135">
        <v>899</v>
      </c>
    </row>
    <row r="121" spans="1:3" ht="39">
      <c r="A121" s="146" t="s">
        <v>15352</v>
      </c>
      <c r="B121" s="151" t="s">
        <v>13573</v>
      </c>
      <c r="C121" s="135">
        <v>1299</v>
      </c>
    </row>
    <row r="122" spans="1:3">
      <c r="A122" s="146" t="s">
        <v>15351</v>
      </c>
      <c r="B122" s="151" t="s">
        <v>13100</v>
      </c>
      <c r="C122" s="135">
        <v>149</v>
      </c>
    </row>
    <row r="123" spans="1:3" ht="39">
      <c r="A123" s="146" t="s">
        <v>15350</v>
      </c>
      <c r="B123" s="151" t="s">
        <v>13570</v>
      </c>
      <c r="C123" s="135">
        <v>259</v>
      </c>
    </row>
    <row r="124" spans="1:3">
      <c r="A124" s="146" t="s">
        <v>15349</v>
      </c>
      <c r="B124" s="151" t="s">
        <v>13098</v>
      </c>
      <c r="C124" s="135">
        <v>329</v>
      </c>
    </row>
    <row r="125" spans="1:3">
      <c r="A125" s="148"/>
      <c r="B125" s="150"/>
      <c r="C125" s="210"/>
    </row>
    <row r="126" spans="1:3" ht="26">
      <c r="A126" s="148"/>
      <c r="B126" s="149" t="s">
        <v>13097</v>
      </c>
      <c r="C126" s="210"/>
    </row>
    <row r="127" spans="1:3" ht="26">
      <c r="A127" s="148"/>
      <c r="B127" s="147" t="s">
        <v>13568</v>
      </c>
      <c r="C127" s="210"/>
    </row>
    <row r="128" spans="1:3" ht="234">
      <c r="A128" s="146" t="s">
        <v>15348</v>
      </c>
      <c r="B128" s="145" t="s">
        <v>13566</v>
      </c>
      <c r="C128" s="135">
        <v>4429</v>
      </c>
    </row>
  </sheetData>
  <sheetProtection insertColumns="0" insertRows="0"/>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2AD75-692E-4322-88EC-44D28CF474F8}">
  <sheetPr codeName="Sheet23">
    <tabColor theme="2" tint="-9.9978637043366805E-2"/>
    <pageSetUpPr fitToPage="1"/>
  </sheetPr>
  <dimension ref="A1:G107"/>
  <sheetViews>
    <sheetView zoomScale="120" zoomScaleNormal="120" workbookViewId="0">
      <pane ySplit="2" topLeftCell="A9" activePane="bottomLeft" state="frozen"/>
      <selection activeCell="C8" sqref="C8"/>
      <selection pane="bottomLeft" activeCell="C8" sqref="C8"/>
    </sheetView>
  </sheetViews>
  <sheetFormatPr defaultColWidth="9.1796875" defaultRowHeight="14.5"/>
  <cols>
    <col min="1" max="1" width="22.81640625" style="332" bestFit="1" customWidth="1"/>
    <col min="2" max="2" width="78.7265625" style="332" customWidth="1"/>
    <col min="3" max="3" width="15.7265625" style="332" customWidth="1"/>
    <col min="4" max="16384" width="9.1796875" style="332"/>
  </cols>
  <sheetData>
    <row r="1" spans="1:3">
      <c r="A1" s="351" t="s">
        <v>15347</v>
      </c>
      <c r="B1" s="350"/>
      <c r="C1" s="349"/>
    </row>
    <row r="2" spans="1:3">
      <c r="A2" s="235" t="s">
        <v>3519</v>
      </c>
      <c r="B2" s="234" t="s">
        <v>3518</v>
      </c>
      <c r="C2" s="200" t="s">
        <v>13563</v>
      </c>
    </row>
    <row r="3" spans="1:3">
      <c r="A3" s="381"/>
      <c r="B3" s="380"/>
      <c r="C3" s="233"/>
    </row>
    <row r="4" spans="1:3" ht="26">
      <c r="A4" s="176" t="s">
        <v>13511</v>
      </c>
      <c r="B4" s="173" t="s">
        <v>13510</v>
      </c>
      <c r="C4" s="379"/>
    </row>
    <row r="5" spans="1:3" ht="39">
      <c r="A5" s="177" t="s">
        <v>15346</v>
      </c>
      <c r="B5" s="141" t="s">
        <v>13508</v>
      </c>
      <c r="C5" s="135">
        <v>979</v>
      </c>
    </row>
    <row r="6" spans="1:3" ht="39">
      <c r="A6" s="177" t="s">
        <v>15345</v>
      </c>
      <c r="B6" s="141" t="s">
        <v>13506</v>
      </c>
      <c r="C6" s="135">
        <v>939</v>
      </c>
    </row>
    <row r="7" spans="1:3" ht="39">
      <c r="A7" s="177" t="s">
        <v>15344</v>
      </c>
      <c r="B7" s="141" t="s">
        <v>13504</v>
      </c>
      <c r="C7" s="135">
        <v>1029</v>
      </c>
    </row>
    <row r="8" spans="1:3" ht="39">
      <c r="A8" s="177" t="s">
        <v>15343</v>
      </c>
      <c r="B8" s="141" t="s">
        <v>13502</v>
      </c>
      <c r="C8" s="135">
        <v>969</v>
      </c>
    </row>
    <row r="9" spans="1:3" ht="39">
      <c r="A9" s="177" t="s">
        <v>15342</v>
      </c>
      <c r="B9" s="141" t="s">
        <v>13500</v>
      </c>
      <c r="C9" s="135">
        <v>1009</v>
      </c>
    </row>
    <row r="10" spans="1:3" ht="39">
      <c r="A10" s="177" t="s">
        <v>15341</v>
      </c>
      <c r="B10" s="141" t="s">
        <v>13498</v>
      </c>
      <c r="C10" s="135">
        <v>969</v>
      </c>
    </row>
    <row r="11" spans="1:3">
      <c r="A11" s="176" t="s">
        <v>13497</v>
      </c>
      <c r="B11" s="140"/>
      <c r="C11" s="378"/>
    </row>
    <row r="12" spans="1:3" ht="39">
      <c r="A12" s="177" t="s">
        <v>15340</v>
      </c>
      <c r="B12" s="141" t="s">
        <v>13495</v>
      </c>
      <c r="C12" s="135">
        <v>1089</v>
      </c>
    </row>
    <row r="13" spans="1:3" ht="39">
      <c r="A13" s="177" t="s">
        <v>15339</v>
      </c>
      <c r="B13" s="141" t="s">
        <v>13493</v>
      </c>
      <c r="C13" s="135">
        <v>1049</v>
      </c>
    </row>
    <row r="14" spans="1:3" ht="52">
      <c r="A14" s="177" t="s">
        <v>15338</v>
      </c>
      <c r="B14" s="141" t="s">
        <v>13491</v>
      </c>
      <c r="C14" s="135">
        <v>1149</v>
      </c>
    </row>
    <row r="15" spans="1:3" ht="52">
      <c r="A15" s="177" t="s">
        <v>15337</v>
      </c>
      <c r="B15" s="141" t="s">
        <v>13489</v>
      </c>
      <c r="C15" s="135">
        <v>1099</v>
      </c>
    </row>
    <row r="16" spans="1:3" ht="52">
      <c r="A16" s="377" t="s">
        <v>15336</v>
      </c>
      <c r="B16" s="161" t="s">
        <v>13487</v>
      </c>
      <c r="C16" s="135">
        <v>1129</v>
      </c>
    </row>
    <row r="17" spans="1:7" ht="52">
      <c r="A17" s="177" t="s">
        <v>15335</v>
      </c>
      <c r="B17" s="141" t="s">
        <v>13485</v>
      </c>
      <c r="C17" s="135">
        <v>1089</v>
      </c>
    </row>
    <row r="18" spans="1:7">
      <c r="A18" s="194" t="s">
        <v>13484</v>
      </c>
      <c r="B18" s="373"/>
      <c r="C18" s="227"/>
    </row>
    <row r="19" spans="1:7">
      <c r="A19" s="194"/>
      <c r="B19" s="373"/>
      <c r="C19" s="227"/>
    </row>
    <row r="20" spans="1:7">
      <c r="A20" s="376"/>
      <c r="B20" s="147" t="s">
        <v>15334</v>
      </c>
      <c r="C20" s="227"/>
      <c r="G20" s="373"/>
    </row>
    <row r="21" spans="1:7">
      <c r="A21" s="376"/>
      <c r="B21" s="147" t="s">
        <v>15333</v>
      </c>
      <c r="C21" s="227"/>
      <c r="G21" s="373"/>
    </row>
    <row r="22" spans="1:7">
      <c r="A22" s="231" t="s">
        <v>13483</v>
      </c>
      <c r="B22" s="147" t="s">
        <v>15332</v>
      </c>
      <c r="C22" s="227"/>
      <c r="G22" s="373"/>
    </row>
    <row r="23" spans="1:7" ht="65">
      <c r="A23" s="212" t="s">
        <v>15331</v>
      </c>
      <c r="B23" s="141" t="s">
        <v>13474</v>
      </c>
      <c r="C23" s="135">
        <v>1279</v>
      </c>
    </row>
    <row r="24" spans="1:7" ht="65">
      <c r="A24" s="212" t="s">
        <v>15330</v>
      </c>
      <c r="B24" s="141" t="s">
        <v>15329</v>
      </c>
      <c r="C24" s="135">
        <v>1279</v>
      </c>
    </row>
    <row r="25" spans="1:7">
      <c r="A25" s="229"/>
      <c r="B25" s="375"/>
      <c r="C25" s="227"/>
    </row>
    <row r="26" spans="1:7" ht="26">
      <c r="A26" s="176" t="s">
        <v>13467</v>
      </c>
      <c r="B26" s="155" t="s">
        <v>13466</v>
      </c>
      <c r="C26" s="227"/>
    </row>
    <row r="27" spans="1:7" ht="52">
      <c r="A27" s="146" t="s">
        <v>15328</v>
      </c>
      <c r="B27" s="171" t="s">
        <v>14768</v>
      </c>
      <c r="C27" s="135">
        <v>599</v>
      </c>
    </row>
    <row r="28" spans="1:7">
      <c r="A28" s="373"/>
      <c r="B28" s="373"/>
      <c r="C28" s="227"/>
    </row>
    <row r="29" spans="1:7">
      <c r="A29" s="373"/>
      <c r="B29" s="147" t="s">
        <v>15327</v>
      </c>
      <c r="C29" s="227"/>
    </row>
    <row r="30" spans="1:7">
      <c r="A30" s="373"/>
      <c r="B30" s="147" t="s">
        <v>15326</v>
      </c>
      <c r="C30" s="227"/>
    </row>
    <row r="31" spans="1:7" ht="39">
      <c r="A31" s="212" t="s">
        <v>15325</v>
      </c>
      <c r="B31" s="141" t="s">
        <v>15324</v>
      </c>
      <c r="C31" s="135">
        <v>699</v>
      </c>
    </row>
    <row r="32" spans="1:7">
      <c r="A32" s="373"/>
      <c r="B32" s="373"/>
      <c r="C32" s="227"/>
    </row>
    <row r="33" spans="1:3">
      <c r="A33" s="373"/>
      <c r="B33" s="211" t="s">
        <v>13440</v>
      </c>
      <c r="C33" s="227"/>
    </row>
    <row r="34" spans="1:3" ht="39">
      <c r="A34" s="212" t="s">
        <v>15323</v>
      </c>
      <c r="B34" s="213" t="s">
        <v>13438</v>
      </c>
      <c r="C34" s="135">
        <v>579</v>
      </c>
    </row>
    <row r="35" spans="1:3" ht="39">
      <c r="A35" s="212" t="s">
        <v>15322</v>
      </c>
      <c r="B35" s="213" t="s">
        <v>13662</v>
      </c>
      <c r="C35" s="135">
        <v>579</v>
      </c>
    </row>
    <row r="36" spans="1:3">
      <c r="A36" s="373"/>
      <c r="B36" s="373"/>
      <c r="C36" s="227"/>
    </row>
    <row r="37" spans="1:3">
      <c r="A37" s="373"/>
      <c r="B37" s="147" t="s">
        <v>15317</v>
      </c>
      <c r="C37" s="227"/>
    </row>
    <row r="38" spans="1:3">
      <c r="A38" s="373"/>
      <c r="B38" s="147" t="s">
        <v>15321</v>
      </c>
      <c r="C38" s="227"/>
    </row>
    <row r="39" spans="1:3" ht="26">
      <c r="A39" s="212" t="s">
        <v>15320</v>
      </c>
      <c r="B39" s="141" t="s">
        <v>13835</v>
      </c>
      <c r="C39" s="135">
        <v>949</v>
      </c>
    </row>
    <row r="40" spans="1:3" ht="26">
      <c r="A40" s="212" t="s">
        <v>15319</v>
      </c>
      <c r="B40" s="141" t="s">
        <v>13433</v>
      </c>
      <c r="C40" s="135">
        <v>949</v>
      </c>
    </row>
    <row r="41" spans="1:3" ht="26">
      <c r="A41" s="212" t="s">
        <v>15318</v>
      </c>
      <c r="B41" s="141" t="s">
        <v>13432</v>
      </c>
      <c r="C41" s="135">
        <v>1029</v>
      </c>
    </row>
    <row r="42" spans="1:3">
      <c r="A42" s="373"/>
      <c r="B42" s="373"/>
      <c r="C42" s="227"/>
    </row>
    <row r="43" spans="1:3">
      <c r="A43" s="373"/>
      <c r="B43" s="147" t="s">
        <v>15317</v>
      </c>
      <c r="C43" s="227"/>
    </row>
    <row r="44" spans="1:3">
      <c r="A44" s="373"/>
      <c r="B44" s="147" t="s">
        <v>15316</v>
      </c>
      <c r="C44" s="227"/>
    </row>
    <row r="45" spans="1:3" ht="26">
      <c r="A45" s="212" t="s">
        <v>15315</v>
      </c>
      <c r="B45" s="141" t="s">
        <v>13430</v>
      </c>
      <c r="C45" s="135">
        <v>1179</v>
      </c>
    </row>
    <row r="46" spans="1:3" ht="26">
      <c r="A46" s="212" t="s">
        <v>15314</v>
      </c>
      <c r="B46" s="141" t="s">
        <v>13429</v>
      </c>
      <c r="C46" s="135">
        <v>1179</v>
      </c>
    </row>
    <row r="47" spans="1:3" ht="26">
      <c r="A47" s="212" t="s">
        <v>15313</v>
      </c>
      <c r="B47" s="141" t="s">
        <v>13428</v>
      </c>
      <c r="C47" s="135">
        <v>1339</v>
      </c>
    </row>
    <row r="48" spans="1:3">
      <c r="A48" s="229"/>
      <c r="B48" s="153"/>
      <c r="C48" s="227"/>
    </row>
    <row r="49" spans="1:3" ht="39">
      <c r="A49" s="140"/>
      <c r="B49" s="155" t="s">
        <v>13427</v>
      </c>
      <c r="C49" s="227"/>
    </row>
    <row r="50" spans="1:3" ht="26">
      <c r="A50" s="177" t="s">
        <v>15312</v>
      </c>
      <c r="B50" s="141" t="s">
        <v>13426</v>
      </c>
      <c r="C50" s="135">
        <v>1459</v>
      </c>
    </row>
    <row r="51" spans="1:3" ht="26">
      <c r="A51" s="177" t="s">
        <v>15311</v>
      </c>
      <c r="B51" s="141" t="s">
        <v>13425</v>
      </c>
      <c r="C51" s="135">
        <v>1459</v>
      </c>
    </row>
    <row r="52" spans="1:3" ht="26">
      <c r="A52" s="177" t="s">
        <v>15310</v>
      </c>
      <c r="B52" s="141" t="s">
        <v>13424</v>
      </c>
      <c r="C52" s="135">
        <v>1689</v>
      </c>
    </row>
    <row r="53" spans="1:3">
      <c r="A53" s="229"/>
      <c r="B53" s="153"/>
      <c r="C53" s="227"/>
    </row>
    <row r="54" spans="1:3">
      <c r="A54" s="140"/>
      <c r="B54" s="175" t="s">
        <v>13393</v>
      </c>
      <c r="C54" s="227"/>
    </row>
    <row r="55" spans="1:3" ht="26.5">
      <c r="A55" s="185"/>
      <c r="B55" s="160" t="s">
        <v>13423</v>
      </c>
      <c r="C55" s="227"/>
    </row>
    <row r="56" spans="1:3" ht="26">
      <c r="A56" s="177" t="s">
        <v>15309</v>
      </c>
      <c r="B56" s="141" t="s">
        <v>13421</v>
      </c>
      <c r="C56" s="135">
        <v>609</v>
      </c>
    </row>
    <row r="57" spans="1:3" ht="26">
      <c r="A57" s="177" t="s">
        <v>15308</v>
      </c>
      <c r="B57" s="141" t="s">
        <v>13419</v>
      </c>
      <c r="C57" s="135">
        <v>609</v>
      </c>
    </row>
    <row r="58" spans="1:3" ht="26">
      <c r="A58" s="177" t="s">
        <v>15307</v>
      </c>
      <c r="B58" s="141" t="s">
        <v>13417</v>
      </c>
      <c r="C58" s="135">
        <v>609</v>
      </c>
    </row>
    <row r="59" spans="1:3" ht="26">
      <c r="A59" s="177" t="s">
        <v>15306</v>
      </c>
      <c r="B59" s="141" t="s">
        <v>13415</v>
      </c>
      <c r="C59" s="135">
        <v>609</v>
      </c>
    </row>
    <row r="60" spans="1:3" ht="26">
      <c r="A60" s="177" t="s">
        <v>15305</v>
      </c>
      <c r="B60" s="141" t="s">
        <v>13413</v>
      </c>
      <c r="C60" s="135">
        <v>609</v>
      </c>
    </row>
    <row r="61" spans="1:3" ht="26">
      <c r="A61" s="177" t="s">
        <v>15304</v>
      </c>
      <c r="B61" s="141" t="s">
        <v>13411</v>
      </c>
      <c r="C61" s="135">
        <v>609</v>
      </c>
    </row>
    <row r="62" spans="1:3" ht="26">
      <c r="A62" s="177" t="s">
        <v>15303</v>
      </c>
      <c r="B62" s="141" t="s">
        <v>13409</v>
      </c>
      <c r="C62" s="135">
        <v>609</v>
      </c>
    </row>
    <row r="63" spans="1:3">
      <c r="A63" s="134"/>
      <c r="B63" s="184" t="s">
        <v>13379</v>
      </c>
      <c r="C63" s="227"/>
    </row>
    <row r="64" spans="1:3">
      <c r="A64" s="134"/>
      <c r="B64" s="184"/>
      <c r="C64" s="227"/>
    </row>
    <row r="65" spans="1:3">
      <c r="A65" s="134"/>
      <c r="B65" s="175" t="s">
        <v>13393</v>
      </c>
      <c r="C65" s="227"/>
    </row>
    <row r="66" spans="1:3" ht="26.5">
      <c r="A66" s="185"/>
      <c r="B66" s="160" t="s">
        <v>13408</v>
      </c>
      <c r="C66" s="227"/>
    </row>
    <row r="67" spans="1:3" ht="26">
      <c r="A67" s="177" t="s">
        <v>15302</v>
      </c>
      <c r="B67" s="141" t="s">
        <v>13406</v>
      </c>
      <c r="C67" s="135">
        <v>619</v>
      </c>
    </row>
    <row r="68" spans="1:3" ht="26">
      <c r="A68" s="177" t="s">
        <v>15301</v>
      </c>
      <c r="B68" s="141" t="s">
        <v>13404</v>
      </c>
      <c r="C68" s="135">
        <v>619</v>
      </c>
    </row>
    <row r="69" spans="1:3" ht="26">
      <c r="A69" s="177" t="s">
        <v>15300</v>
      </c>
      <c r="B69" s="141" t="s">
        <v>13402</v>
      </c>
      <c r="C69" s="135">
        <v>619</v>
      </c>
    </row>
    <row r="70" spans="1:3" ht="26">
      <c r="A70" s="177" t="s">
        <v>15299</v>
      </c>
      <c r="B70" s="141" t="s">
        <v>13400</v>
      </c>
      <c r="C70" s="135">
        <v>619</v>
      </c>
    </row>
    <row r="71" spans="1:3" ht="26">
      <c r="A71" s="177" t="s">
        <v>15298</v>
      </c>
      <c r="B71" s="141" t="s">
        <v>13398</v>
      </c>
      <c r="C71" s="135">
        <v>619</v>
      </c>
    </row>
    <row r="72" spans="1:3" ht="26">
      <c r="A72" s="177" t="s">
        <v>15297</v>
      </c>
      <c r="B72" s="141" t="s">
        <v>13396</v>
      </c>
      <c r="C72" s="135">
        <v>619</v>
      </c>
    </row>
    <row r="73" spans="1:3" ht="26">
      <c r="A73" s="177" t="s">
        <v>15296</v>
      </c>
      <c r="B73" s="141" t="s">
        <v>13394</v>
      </c>
      <c r="C73" s="135">
        <v>619</v>
      </c>
    </row>
    <row r="74" spans="1:3">
      <c r="A74" s="140"/>
      <c r="B74" s="184" t="s">
        <v>13379</v>
      </c>
      <c r="C74" s="227"/>
    </row>
    <row r="75" spans="1:3">
      <c r="A75" s="140"/>
      <c r="B75" s="184"/>
      <c r="C75" s="227"/>
    </row>
    <row r="76" spans="1:3">
      <c r="A76" s="134"/>
      <c r="B76" s="175" t="s">
        <v>13393</v>
      </c>
      <c r="C76" s="227"/>
    </row>
    <row r="77" spans="1:3" ht="26.5">
      <c r="A77" s="185"/>
      <c r="B77" s="160" t="s">
        <v>13392</v>
      </c>
      <c r="C77" s="227"/>
    </row>
    <row r="78" spans="1:3" ht="26">
      <c r="A78" s="177" t="s">
        <v>15295</v>
      </c>
      <c r="B78" s="141" t="s">
        <v>13390</v>
      </c>
      <c r="C78" s="135">
        <v>629</v>
      </c>
    </row>
    <row r="79" spans="1:3" ht="26">
      <c r="A79" s="178" t="s">
        <v>4895</v>
      </c>
      <c r="B79" s="141" t="s">
        <v>13389</v>
      </c>
      <c r="C79" s="135">
        <v>0</v>
      </c>
    </row>
    <row r="80" spans="1:3" ht="26">
      <c r="A80" s="177" t="s">
        <v>15294</v>
      </c>
      <c r="B80" s="141" t="s">
        <v>13387</v>
      </c>
      <c r="C80" s="135">
        <v>629</v>
      </c>
    </row>
    <row r="81" spans="1:3" ht="26">
      <c r="A81" s="177" t="s">
        <v>4895</v>
      </c>
      <c r="B81" s="141" t="s">
        <v>13386</v>
      </c>
      <c r="C81" s="135">
        <v>0</v>
      </c>
    </row>
    <row r="82" spans="1:3" ht="26">
      <c r="A82" s="177" t="s">
        <v>15293</v>
      </c>
      <c r="B82" s="141" t="s">
        <v>13384</v>
      </c>
      <c r="C82" s="135">
        <v>629</v>
      </c>
    </row>
    <row r="83" spans="1:3" ht="26">
      <c r="A83" s="177" t="s">
        <v>15292</v>
      </c>
      <c r="B83" s="141" t="s">
        <v>13382</v>
      </c>
      <c r="C83" s="135">
        <v>629</v>
      </c>
    </row>
    <row r="84" spans="1:3" ht="26">
      <c r="A84" s="177" t="s">
        <v>15291</v>
      </c>
      <c r="B84" s="141" t="s">
        <v>13380</v>
      </c>
      <c r="C84" s="135">
        <v>629</v>
      </c>
    </row>
    <row r="85" spans="1:3" ht="23.5">
      <c r="A85" s="157" t="s">
        <v>13378</v>
      </c>
      <c r="B85" s="219"/>
      <c r="C85" s="227"/>
    </row>
    <row r="86" spans="1:3">
      <c r="A86" s="140"/>
      <c r="B86" s="139" t="s">
        <v>13356</v>
      </c>
      <c r="C86" s="227"/>
    </row>
    <row r="87" spans="1:3" ht="39">
      <c r="A87" s="374" t="s">
        <v>15290</v>
      </c>
      <c r="B87" s="141" t="s">
        <v>13352</v>
      </c>
      <c r="C87" s="135">
        <v>459</v>
      </c>
    </row>
    <row r="88" spans="1:3">
      <c r="A88" s="373"/>
      <c r="B88" s="373"/>
      <c r="C88" s="227"/>
    </row>
    <row r="89" spans="1:3">
      <c r="A89" s="373"/>
      <c r="B89" s="211" t="s">
        <v>13364</v>
      </c>
      <c r="C89" s="227"/>
    </row>
    <row r="90" spans="1:3" ht="26">
      <c r="A90" s="212" t="s">
        <v>15289</v>
      </c>
      <c r="B90" s="213" t="s">
        <v>15288</v>
      </c>
      <c r="C90" s="135">
        <v>679</v>
      </c>
    </row>
    <row r="91" spans="1:3">
      <c r="A91" s="373"/>
      <c r="B91" s="373"/>
      <c r="C91" s="227"/>
    </row>
    <row r="92" spans="1:3">
      <c r="A92" s="373"/>
      <c r="B92" s="211" t="s">
        <v>13327</v>
      </c>
      <c r="C92" s="227"/>
    </row>
    <row r="93" spans="1:3" ht="39">
      <c r="A93" s="212" t="s">
        <v>15287</v>
      </c>
      <c r="B93" s="141" t="s">
        <v>13323</v>
      </c>
      <c r="C93" s="135">
        <v>249</v>
      </c>
    </row>
    <row r="94" spans="1:3">
      <c r="A94" s="373"/>
      <c r="B94" s="373"/>
      <c r="C94" s="227"/>
    </row>
    <row r="95" spans="1:3">
      <c r="A95" s="373"/>
      <c r="B95" s="211" t="s">
        <v>13346</v>
      </c>
      <c r="C95" s="227"/>
    </row>
    <row r="96" spans="1:3" ht="26">
      <c r="A96" s="212" t="s">
        <v>15286</v>
      </c>
      <c r="B96" s="141" t="s">
        <v>13344</v>
      </c>
      <c r="C96" s="135">
        <v>359</v>
      </c>
    </row>
    <row r="97" spans="1:3">
      <c r="A97" s="229"/>
      <c r="B97" s="153"/>
      <c r="C97" s="227"/>
    </row>
    <row r="98" spans="1:3">
      <c r="A98" s="229"/>
      <c r="B98" s="155" t="s">
        <v>13338</v>
      </c>
      <c r="C98" s="227"/>
    </row>
    <row r="99" spans="1:3" ht="39">
      <c r="A99" s="299" t="s">
        <v>15285</v>
      </c>
      <c r="B99" s="141" t="s">
        <v>15284</v>
      </c>
      <c r="C99" s="135">
        <v>329</v>
      </c>
    </row>
    <row r="100" spans="1:3">
      <c r="A100" s="298"/>
      <c r="B100" s="153"/>
      <c r="C100" s="227"/>
    </row>
    <row r="101" spans="1:3">
      <c r="A101" s="373"/>
      <c r="B101" s="211" t="s">
        <v>13588</v>
      </c>
      <c r="C101" s="227"/>
    </row>
    <row r="102" spans="1:3">
      <c r="A102" s="373"/>
      <c r="B102" s="147" t="s">
        <v>13278</v>
      </c>
      <c r="C102" s="227"/>
    </row>
    <row r="103" spans="1:3" ht="39">
      <c r="A103" s="212" t="s">
        <v>15283</v>
      </c>
      <c r="B103" s="141" t="s">
        <v>15282</v>
      </c>
      <c r="C103" s="135">
        <v>779</v>
      </c>
    </row>
    <row r="104" spans="1:3">
      <c r="A104" s="373"/>
      <c r="B104" s="373"/>
      <c r="C104" s="227"/>
    </row>
    <row r="105" spans="1:3">
      <c r="A105" s="373"/>
      <c r="B105" s="217" t="s">
        <v>15023</v>
      </c>
      <c r="C105" s="227"/>
    </row>
    <row r="106" spans="1:3" ht="65">
      <c r="A106" s="212" t="s">
        <v>15281</v>
      </c>
      <c r="B106" s="152" t="s">
        <v>15021</v>
      </c>
      <c r="C106" s="135">
        <v>369</v>
      </c>
    </row>
    <row r="107" spans="1:3" ht="65">
      <c r="A107" s="212" t="s">
        <v>15280</v>
      </c>
      <c r="B107" s="152" t="s">
        <v>15019</v>
      </c>
      <c r="C107" s="135">
        <v>369</v>
      </c>
    </row>
  </sheetData>
  <sheetProtection insertColumns="0" insertRows="0"/>
  <autoFilter ref="A2:C66" xr:uid="{00000000-0009-0000-0000-00000F000000}"/>
  <printOptions horizontalCentered="1"/>
  <pageMargins left="0.25" right="0.25" top="0.75" bottom="0.5" header="0.3" footer="0.3"/>
  <pageSetup scale="80" fitToHeight="0" orientation="portrait" verticalDpi="1200" r:id="rId1"/>
  <headerFooter>
    <oddHeader>&amp;C SETINA MFG 2022 PRICE LIST&amp;R&amp;A</oddHeader>
    <oddFooter>&amp;C&amp;F&amp;R&amp;P of &amp;N</oddFooter>
  </headerFooter>
  <rowBreaks count="1" manualBreakCount="1">
    <brk id="92" max="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8AECB-50D7-4A65-ADC2-DF126D55A532}">
  <sheetPr codeName="Sheet11">
    <tabColor theme="2" tint="-9.9978637043366805E-2"/>
    <pageSetUpPr fitToPage="1"/>
  </sheetPr>
  <dimension ref="A1:C226"/>
  <sheetViews>
    <sheetView zoomScale="120" zoomScaleNormal="120" zoomScaleSheetLayoutView="80" zoomScalePageLayoutView="112" workbookViewId="0">
      <pane xSplit="1" ySplit="2" topLeftCell="B3" activePane="bottomRight" state="frozen"/>
      <selection activeCell="C8" sqref="C8"/>
      <selection pane="topRight" activeCell="C8" sqref="C8"/>
      <selection pane="bottomLeft" activeCell="C8" sqref="C8"/>
      <selection pane="bottomRight" activeCell="C8" sqref="C8"/>
    </sheetView>
  </sheetViews>
  <sheetFormatPr defaultColWidth="9.1796875" defaultRowHeight="14.5"/>
  <cols>
    <col min="1" max="1" width="30.54296875" style="158" bestFit="1" customWidth="1"/>
    <col min="2" max="2" width="78.7265625" style="207" customWidth="1"/>
    <col min="3" max="3" width="15" style="206" bestFit="1" customWidth="1"/>
    <col min="4" max="16384" width="9.1796875" style="167"/>
  </cols>
  <sheetData>
    <row r="1" spans="1:3">
      <c r="A1" s="243" t="s">
        <v>13910</v>
      </c>
      <c r="B1" s="242"/>
      <c r="C1" s="241"/>
    </row>
    <row r="2" spans="1:3" s="158" customFormat="1" ht="15" customHeight="1">
      <c r="A2" s="235" t="s">
        <v>3519</v>
      </c>
      <c r="B2" s="240" t="s">
        <v>3518</v>
      </c>
      <c r="C2" s="200" t="s">
        <v>13563</v>
      </c>
    </row>
    <row r="3" spans="1:3">
      <c r="A3" s="231"/>
      <c r="C3" s="233"/>
    </row>
    <row r="4" spans="1:3" ht="26">
      <c r="A4" s="231" t="s">
        <v>13511</v>
      </c>
      <c r="B4" s="217" t="s">
        <v>13776</v>
      </c>
      <c r="C4" s="232"/>
    </row>
    <row r="5" spans="1:3" ht="39">
      <c r="A5" s="212" t="s">
        <v>13909</v>
      </c>
      <c r="B5" s="151" t="s">
        <v>13774</v>
      </c>
      <c r="C5" s="135">
        <v>839</v>
      </c>
    </row>
    <row r="6" spans="1:3" ht="39">
      <c r="A6" s="212" t="s">
        <v>13908</v>
      </c>
      <c r="B6" s="151" t="s">
        <v>13772</v>
      </c>
      <c r="C6" s="135">
        <v>799</v>
      </c>
    </row>
    <row r="7" spans="1:3" ht="39">
      <c r="A7" s="212" t="s">
        <v>13907</v>
      </c>
      <c r="B7" s="151" t="s">
        <v>13770</v>
      </c>
      <c r="C7" s="135">
        <v>899</v>
      </c>
    </row>
    <row r="8" spans="1:3" ht="39">
      <c r="A8" s="212" t="s">
        <v>13906</v>
      </c>
      <c r="B8" s="151" t="s">
        <v>13768</v>
      </c>
      <c r="C8" s="135">
        <v>819</v>
      </c>
    </row>
    <row r="9" spans="1:3" ht="39">
      <c r="A9" s="212" t="s">
        <v>13905</v>
      </c>
      <c r="B9" s="151" t="s">
        <v>13766</v>
      </c>
      <c r="C9" s="135">
        <v>859</v>
      </c>
    </row>
    <row r="10" spans="1:3" ht="39">
      <c r="A10" s="212" t="s">
        <v>13904</v>
      </c>
      <c r="B10" s="151" t="s">
        <v>13764</v>
      </c>
      <c r="C10" s="135">
        <v>819</v>
      </c>
    </row>
    <row r="11" spans="1:3">
      <c r="A11" s="231" t="s">
        <v>13497</v>
      </c>
      <c r="B11" s="150"/>
      <c r="C11" s="210"/>
    </row>
    <row r="12" spans="1:3" ht="39">
      <c r="A12" s="212" t="s">
        <v>13903</v>
      </c>
      <c r="B12" s="151" t="s">
        <v>13762</v>
      </c>
      <c r="C12" s="135">
        <v>959</v>
      </c>
    </row>
    <row r="13" spans="1:3" ht="39">
      <c r="A13" s="212" t="s">
        <v>13902</v>
      </c>
      <c r="B13" s="151" t="s">
        <v>13760</v>
      </c>
      <c r="C13" s="135">
        <v>919</v>
      </c>
    </row>
    <row r="14" spans="1:3" ht="52">
      <c r="A14" s="212" t="s">
        <v>13901</v>
      </c>
      <c r="B14" s="151" t="s">
        <v>13758</v>
      </c>
      <c r="C14" s="135">
        <v>1009</v>
      </c>
    </row>
    <row r="15" spans="1:3" ht="52">
      <c r="A15" s="212" t="s">
        <v>13900</v>
      </c>
      <c r="B15" s="151" t="s">
        <v>13756</v>
      </c>
      <c r="C15" s="135">
        <v>969</v>
      </c>
    </row>
    <row r="16" spans="1:3" ht="39">
      <c r="A16" s="212" t="s">
        <v>13899</v>
      </c>
      <c r="B16" s="151" t="s">
        <v>13754</v>
      </c>
      <c r="C16" s="135">
        <v>999</v>
      </c>
    </row>
    <row r="17" spans="1:3" ht="52">
      <c r="A17" s="212" t="s">
        <v>13898</v>
      </c>
      <c r="B17" s="151" t="s">
        <v>13752</v>
      </c>
      <c r="C17" s="135">
        <v>959</v>
      </c>
    </row>
    <row r="18" spans="1:3">
      <c r="A18" s="148"/>
      <c r="B18" s="150"/>
      <c r="C18" s="210"/>
    </row>
    <row r="19" spans="1:3" ht="26">
      <c r="A19" s="231" t="s">
        <v>13511</v>
      </c>
      <c r="B19" s="217" t="s">
        <v>13537</v>
      </c>
      <c r="C19" s="210"/>
    </row>
    <row r="20" spans="1:3" ht="39">
      <c r="A20" s="212" t="s">
        <v>13897</v>
      </c>
      <c r="B20" s="151" t="s">
        <v>13750</v>
      </c>
      <c r="C20" s="135">
        <v>999</v>
      </c>
    </row>
    <row r="21" spans="1:3" ht="39">
      <c r="A21" s="212" t="s">
        <v>13896</v>
      </c>
      <c r="B21" s="151" t="s">
        <v>13748</v>
      </c>
      <c r="C21" s="135">
        <v>959</v>
      </c>
    </row>
    <row r="22" spans="1:3" ht="39">
      <c r="A22" s="212" t="s">
        <v>13895</v>
      </c>
      <c r="B22" s="151" t="s">
        <v>13746</v>
      </c>
      <c r="C22" s="135">
        <v>1049</v>
      </c>
    </row>
    <row r="23" spans="1:3" ht="39">
      <c r="A23" s="212" t="s">
        <v>13894</v>
      </c>
      <c r="B23" s="151" t="s">
        <v>13744</v>
      </c>
      <c r="C23" s="135">
        <v>979</v>
      </c>
    </row>
    <row r="24" spans="1:3" ht="39">
      <c r="A24" s="212" t="s">
        <v>13893</v>
      </c>
      <c r="B24" s="151" t="s">
        <v>13742</v>
      </c>
      <c r="C24" s="135">
        <v>1009</v>
      </c>
    </row>
    <row r="25" spans="1:3" ht="39">
      <c r="A25" s="212" t="s">
        <v>13892</v>
      </c>
      <c r="B25" s="151" t="s">
        <v>13740</v>
      </c>
      <c r="C25" s="135">
        <v>969</v>
      </c>
    </row>
    <row r="26" spans="1:3">
      <c r="A26" s="231" t="s">
        <v>13524</v>
      </c>
      <c r="B26" s="150"/>
      <c r="C26" s="210"/>
    </row>
    <row r="27" spans="1:3" ht="39">
      <c r="A27" s="212" t="s">
        <v>13891</v>
      </c>
      <c r="B27" s="151" t="s">
        <v>13738</v>
      </c>
      <c r="C27" s="135">
        <v>1099</v>
      </c>
    </row>
    <row r="28" spans="1:3" ht="39">
      <c r="A28" s="212" t="s">
        <v>13890</v>
      </c>
      <c r="B28" s="151" t="s">
        <v>13736</v>
      </c>
      <c r="C28" s="135">
        <v>1059</v>
      </c>
    </row>
    <row r="29" spans="1:3" ht="52">
      <c r="A29" s="212" t="s">
        <v>13889</v>
      </c>
      <c r="B29" s="151" t="s">
        <v>13734</v>
      </c>
      <c r="C29" s="135">
        <v>1149</v>
      </c>
    </row>
    <row r="30" spans="1:3" ht="52">
      <c r="A30" s="212" t="s">
        <v>13888</v>
      </c>
      <c r="B30" s="151" t="s">
        <v>13732</v>
      </c>
      <c r="C30" s="135">
        <v>1109</v>
      </c>
    </row>
    <row r="31" spans="1:3" ht="52">
      <c r="A31" s="212" t="s">
        <v>13887</v>
      </c>
      <c r="B31" s="151" t="s">
        <v>13730</v>
      </c>
      <c r="C31" s="135">
        <v>1139</v>
      </c>
    </row>
    <row r="32" spans="1:3" ht="52">
      <c r="A32" s="212" t="s">
        <v>13886</v>
      </c>
      <c r="B32" s="151" t="s">
        <v>13728</v>
      </c>
      <c r="C32" s="135">
        <v>1099</v>
      </c>
    </row>
    <row r="33" spans="1:3">
      <c r="A33" s="194" t="s">
        <v>13484</v>
      </c>
      <c r="B33" s="150"/>
      <c r="C33" s="210"/>
    </row>
    <row r="34" spans="1:3">
      <c r="A34" s="194"/>
      <c r="B34" s="150"/>
      <c r="C34" s="210"/>
    </row>
    <row r="35" spans="1:3" ht="52">
      <c r="A35" s="231" t="s">
        <v>13483</v>
      </c>
      <c r="B35" s="147" t="s">
        <v>13885</v>
      </c>
      <c r="C35" s="210"/>
    </row>
    <row r="36" spans="1:3" ht="91">
      <c r="A36" s="212" t="s">
        <v>13884</v>
      </c>
      <c r="B36" s="230" t="s">
        <v>13725</v>
      </c>
      <c r="C36" s="135">
        <v>1279</v>
      </c>
    </row>
    <row r="37" spans="1:3" ht="91">
      <c r="A37" s="212" t="s">
        <v>13883</v>
      </c>
      <c r="B37" s="230" t="s">
        <v>13882</v>
      </c>
      <c r="C37" s="135">
        <v>1279</v>
      </c>
    </row>
    <row r="38" spans="1:3" ht="91">
      <c r="A38" s="212" t="s">
        <v>13881</v>
      </c>
      <c r="B38" s="230" t="s">
        <v>13721</v>
      </c>
      <c r="C38" s="135">
        <v>1279</v>
      </c>
    </row>
    <row r="39" spans="1:3" ht="91">
      <c r="A39" s="212" t="s">
        <v>13880</v>
      </c>
      <c r="B39" s="230" t="s">
        <v>13719</v>
      </c>
      <c r="C39" s="135">
        <v>1279</v>
      </c>
    </row>
    <row r="40" spans="1:3">
      <c r="A40" s="229"/>
      <c r="B40" s="228"/>
      <c r="C40" s="210"/>
    </row>
    <row r="41" spans="1:3" ht="26">
      <c r="A41" s="176" t="s">
        <v>13467</v>
      </c>
      <c r="B41" s="155" t="s">
        <v>13718</v>
      </c>
      <c r="C41" s="227"/>
    </row>
    <row r="42" spans="1:3" ht="78">
      <c r="A42" s="146" t="s">
        <v>13879</v>
      </c>
      <c r="B42" s="171" t="s">
        <v>13716</v>
      </c>
      <c r="C42" s="135">
        <v>599</v>
      </c>
    </row>
    <row r="43" spans="1:3" ht="65">
      <c r="A43" s="146" t="s">
        <v>13878</v>
      </c>
      <c r="B43" s="171" t="s">
        <v>13714</v>
      </c>
      <c r="C43" s="135">
        <v>599</v>
      </c>
    </row>
    <row r="44" spans="1:3" ht="78">
      <c r="A44" s="146" t="s">
        <v>13877</v>
      </c>
      <c r="B44" s="171" t="s">
        <v>13712</v>
      </c>
      <c r="C44" s="135">
        <v>599</v>
      </c>
    </row>
    <row r="45" spans="1:3" ht="65">
      <c r="A45" s="146" t="s">
        <v>13876</v>
      </c>
      <c r="B45" s="171" t="s">
        <v>13710</v>
      </c>
      <c r="C45" s="135">
        <v>599</v>
      </c>
    </row>
    <row r="46" spans="1:3" ht="78">
      <c r="A46" s="146" t="s">
        <v>13875</v>
      </c>
      <c r="B46" s="171" t="s">
        <v>13708</v>
      </c>
      <c r="C46" s="135">
        <v>599</v>
      </c>
    </row>
    <row r="47" spans="1:3">
      <c r="A47" s="148"/>
      <c r="B47" s="150"/>
      <c r="C47" s="210"/>
    </row>
    <row r="48" spans="1:3" ht="23.5">
      <c r="A48" s="148"/>
      <c r="B48" s="219" t="s">
        <v>13855</v>
      </c>
      <c r="C48" s="210"/>
    </row>
    <row r="49" spans="1:3">
      <c r="A49" s="148"/>
      <c r="B49" s="211" t="s">
        <v>13440</v>
      </c>
      <c r="C49" s="210"/>
    </row>
    <row r="50" spans="1:3" ht="39">
      <c r="A50" s="212" t="s">
        <v>13874</v>
      </c>
      <c r="B50" s="151" t="s">
        <v>13438</v>
      </c>
      <c r="C50" s="135">
        <v>579</v>
      </c>
    </row>
    <row r="51" spans="1:3" ht="65">
      <c r="A51" s="218" t="s">
        <v>13873</v>
      </c>
      <c r="B51" s="220" t="s">
        <v>13664</v>
      </c>
      <c r="C51" s="135">
        <v>959</v>
      </c>
    </row>
    <row r="52" spans="1:3" ht="39">
      <c r="A52" s="212" t="s">
        <v>13872</v>
      </c>
      <c r="B52" s="151" t="s">
        <v>13662</v>
      </c>
      <c r="C52" s="135">
        <v>579</v>
      </c>
    </row>
    <row r="53" spans="1:3">
      <c r="A53" s="148"/>
      <c r="B53" s="225" t="s">
        <v>13379</v>
      </c>
      <c r="C53" s="210"/>
    </row>
    <row r="54" spans="1:3">
      <c r="A54" s="148"/>
      <c r="B54" s="150"/>
      <c r="C54" s="210"/>
    </row>
    <row r="55" spans="1:3" ht="23.5">
      <c r="A55" s="148"/>
      <c r="B55" s="219" t="s">
        <v>13855</v>
      </c>
      <c r="C55" s="210"/>
    </row>
    <row r="56" spans="1:3" ht="39">
      <c r="A56" s="148"/>
      <c r="B56" s="147" t="s">
        <v>13435</v>
      </c>
      <c r="C56" s="210"/>
    </row>
    <row r="57" spans="1:3" ht="26">
      <c r="A57" s="212" t="s">
        <v>13871</v>
      </c>
      <c r="B57" s="151" t="s">
        <v>13835</v>
      </c>
      <c r="C57" s="135">
        <v>949</v>
      </c>
    </row>
    <row r="58" spans="1:3" ht="26">
      <c r="A58" s="212" t="s">
        <v>13870</v>
      </c>
      <c r="B58" s="151" t="s">
        <v>13433</v>
      </c>
      <c r="C58" s="135">
        <v>949</v>
      </c>
    </row>
    <row r="59" spans="1:3" ht="26">
      <c r="A59" s="212" t="s">
        <v>13869</v>
      </c>
      <c r="B59" s="151" t="s">
        <v>13432</v>
      </c>
      <c r="C59" s="135">
        <v>1029</v>
      </c>
    </row>
    <row r="60" spans="1:3">
      <c r="A60" s="148"/>
      <c r="B60" s="225" t="s">
        <v>13379</v>
      </c>
      <c r="C60" s="210"/>
    </row>
    <row r="61" spans="1:3">
      <c r="A61" s="148"/>
      <c r="B61" s="150"/>
      <c r="C61" s="210"/>
    </row>
    <row r="62" spans="1:3" ht="23.5">
      <c r="A62" s="148"/>
      <c r="B62" s="219" t="s">
        <v>13855</v>
      </c>
      <c r="C62" s="210"/>
    </row>
    <row r="63" spans="1:3" ht="39">
      <c r="A63" s="148"/>
      <c r="B63" s="147" t="s">
        <v>13431</v>
      </c>
      <c r="C63" s="210"/>
    </row>
    <row r="64" spans="1:3" ht="26">
      <c r="A64" s="212" t="s">
        <v>13868</v>
      </c>
      <c r="B64" s="224" t="s">
        <v>13430</v>
      </c>
      <c r="C64" s="135">
        <v>1179</v>
      </c>
    </row>
    <row r="65" spans="1:3" ht="26">
      <c r="A65" s="212" t="s">
        <v>13867</v>
      </c>
      <c r="B65" s="224" t="s">
        <v>13429</v>
      </c>
      <c r="C65" s="135">
        <v>1179</v>
      </c>
    </row>
    <row r="66" spans="1:3" ht="26">
      <c r="A66" s="212" t="s">
        <v>13866</v>
      </c>
      <c r="B66" s="224" t="s">
        <v>13428</v>
      </c>
      <c r="C66" s="135">
        <v>1339</v>
      </c>
    </row>
    <row r="67" spans="1:3">
      <c r="A67" s="148"/>
      <c r="B67" s="225" t="s">
        <v>13379</v>
      </c>
      <c r="C67" s="210"/>
    </row>
    <row r="68" spans="1:3">
      <c r="A68" s="148"/>
      <c r="B68" s="225"/>
      <c r="C68" s="210"/>
    </row>
    <row r="69" spans="1:3" ht="39">
      <c r="A69" s="140"/>
      <c r="B69" s="155" t="s">
        <v>13427</v>
      </c>
      <c r="C69" s="210"/>
    </row>
    <row r="70" spans="1:3" ht="26">
      <c r="A70" s="177" t="s">
        <v>13865</v>
      </c>
      <c r="B70" s="141" t="s">
        <v>13426</v>
      </c>
      <c r="C70" s="135">
        <v>1459</v>
      </c>
    </row>
    <row r="71" spans="1:3" ht="26">
      <c r="A71" s="177" t="s">
        <v>13864</v>
      </c>
      <c r="B71" s="141" t="s">
        <v>13425</v>
      </c>
      <c r="C71" s="135">
        <v>1459</v>
      </c>
    </row>
    <row r="72" spans="1:3" ht="26">
      <c r="A72" s="177" t="s">
        <v>13863</v>
      </c>
      <c r="B72" s="141" t="s">
        <v>13424</v>
      </c>
      <c r="C72" s="135">
        <v>1689</v>
      </c>
    </row>
    <row r="73" spans="1:3">
      <c r="A73" s="179"/>
      <c r="B73" s="153"/>
      <c r="C73" s="210"/>
    </row>
    <row r="74" spans="1:3" ht="23.5">
      <c r="A74" s="148"/>
      <c r="B74" s="219" t="s">
        <v>13855</v>
      </c>
      <c r="C74" s="210"/>
    </row>
    <row r="75" spans="1:3">
      <c r="A75" s="134"/>
      <c r="B75" s="175" t="s">
        <v>13393</v>
      </c>
      <c r="C75" s="210"/>
    </row>
    <row r="76" spans="1:3" ht="26">
      <c r="A76" s="185"/>
      <c r="B76" s="160" t="s">
        <v>13423</v>
      </c>
      <c r="C76" s="210"/>
    </row>
    <row r="77" spans="1:3" ht="26">
      <c r="A77" s="177" t="s">
        <v>13862</v>
      </c>
      <c r="B77" s="141" t="s">
        <v>13421</v>
      </c>
      <c r="C77" s="135">
        <v>609</v>
      </c>
    </row>
    <row r="78" spans="1:3" ht="26">
      <c r="A78" s="177" t="s">
        <v>13861</v>
      </c>
      <c r="B78" s="141" t="s">
        <v>13419</v>
      </c>
      <c r="C78" s="135">
        <v>609</v>
      </c>
    </row>
    <row r="79" spans="1:3" ht="26">
      <c r="A79" s="177" t="s">
        <v>13860</v>
      </c>
      <c r="B79" s="141" t="s">
        <v>13417</v>
      </c>
      <c r="C79" s="135">
        <v>609</v>
      </c>
    </row>
    <row r="80" spans="1:3" ht="26">
      <c r="A80" s="177" t="s">
        <v>13859</v>
      </c>
      <c r="B80" s="141" t="s">
        <v>13415</v>
      </c>
      <c r="C80" s="135">
        <v>609</v>
      </c>
    </row>
    <row r="81" spans="1:3" ht="26">
      <c r="A81" s="177" t="s">
        <v>13858</v>
      </c>
      <c r="B81" s="141" t="s">
        <v>13413</v>
      </c>
      <c r="C81" s="135">
        <v>609</v>
      </c>
    </row>
    <row r="82" spans="1:3" ht="26">
      <c r="A82" s="177" t="s">
        <v>13857</v>
      </c>
      <c r="B82" s="141" t="s">
        <v>13411</v>
      </c>
      <c r="C82" s="135">
        <v>609</v>
      </c>
    </row>
    <row r="83" spans="1:3" ht="26">
      <c r="A83" s="177" t="s">
        <v>13856</v>
      </c>
      <c r="B83" s="141" t="s">
        <v>13409</v>
      </c>
      <c r="C83" s="135">
        <v>609</v>
      </c>
    </row>
    <row r="84" spans="1:3">
      <c r="A84" s="134"/>
      <c r="B84" s="184" t="s">
        <v>13379</v>
      </c>
      <c r="C84" s="210"/>
    </row>
    <row r="85" spans="1:3">
      <c r="A85" s="134"/>
      <c r="B85" s="184"/>
      <c r="C85" s="210"/>
    </row>
    <row r="86" spans="1:3" ht="23.5">
      <c r="A86" s="134"/>
      <c r="B86" s="219" t="s">
        <v>13855</v>
      </c>
      <c r="C86" s="210"/>
    </row>
    <row r="87" spans="1:3">
      <c r="A87" s="134"/>
      <c r="B87" s="175" t="s">
        <v>13393</v>
      </c>
      <c r="C87" s="210"/>
    </row>
    <row r="88" spans="1:3" ht="26">
      <c r="A88" s="185"/>
      <c r="B88" s="160" t="s">
        <v>13408</v>
      </c>
      <c r="C88" s="210"/>
    </row>
    <row r="89" spans="1:3" ht="26">
      <c r="A89" s="177" t="s">
        <v>13854</v>
      </c>
      <c r="B89" s="141" t="s">
        <v>13406</v>
      </c>
      <c r="C89" s="135">
        <v>619</v>
      </c>
    </row>
    <row r="90" spans="1:3" ht="26">
      <c r="A90" s="177" t="s">
        <v>13853</v>
      </c>
      <c r="B90" s="141" t="s">
        <v>13404</v>
      </c>
      <c r="C90" s="135">
        <v>619</v>
      </c>
    </row>
    <row r="91" spans="1:3" ht="26">
      <c r="A91" s="177" t="s">
        <v>13852</v>
      </c>
      <c r="B91" s="141" t="s">
        <v>13402</v>
      </c>
      <c r="C91" s="135">
        <v>619</v>
      </c>
    </row>
    <row r="92" spans="1:3" ht="26">
      <c r="A92" s="177" t="s">
        <v>13851</v>
      </c>
      <c r="B92" s="141" t="s">
        <v>13400</v>
      </c>
      <c r="C92" s="135">
        <v>619</v>
      </c>
    </row>
    <row r="93" spans="1:3" ht="26">
      <c r="A93" s="177" t="s">
        <v>13850</v>
      </c>
      <c r="B93" s="141" t="s">
        <v>13398</v>
      </c>
      <c r="C93" s="135">
        <v>619</v>
      </c>
    </row>
    <row r="94" spans="1:3" ht="26">
      <c r="A94" s="177" t="s">
        <v>13849</v>
      </c>
      <c r="B94" s="141" t="s">
        <v>13396</v>
      </c>
      <c r="C94" s="135">
        <v>619</v>
      </c>
    </row>
    <row r="95" spans="1:3" ht="26">
      <c r="A95" s="177" t="s">
        <v>13848</v>
      </c>
      <c r="B95" s="141" t="s">
        <v>13394</v>
      </c>
      <c r="C95" s="135">
        <v>619</v>
      </c>
    </row>
    <row r="96" spans="1:3">
      <c r="A96" s="134"/>
      <c r="B96" s="184" t="s">
        <v>13379</v>
      </c>
      <c r="C96" s="210"/>
    </row>
    <row r="97" spans="1:3">
      <c r="A97" s="134"/>
      <c r="B97" s="184"/>
      <c r="C97" s="210"/>
    </row>
    <row r="98" spans="1:3">
      <c r="A98" s="134"/>
      <c r="B98" s="175" t="s">
        <v>13393</v>
      </c>
      <c r="C98" s="210"/>
    </row>
    <row r="99" spans="1:3" ht="26">
      <c r="A99" s="185"/>
      <c r="B99" s="160" t="s">
        <v>13392</v>
      </c>
      <c r="C99" s="210"/>
    </row>
    <row r="100" spans="1:3" ht="26">
      <c r="A100" s="177" t="s">
        <v>13847</v>
      </c>
      <c r="B100" s="141" t="s">
        <v>13390</v>
      </c>
      <c r="C100" s="135">
        <v>629</v>
      </c>
    </row>
    <row r="101" spans="1:3" ht="26">
      <c r="A101" s="178" t="s">
        <v>4895</v>
      </c>
      <c r="B101" s="141" t="s">
        <v>13389</v>
      </c>
      <c r="C101" s="135">
        <v>0</v>
      </c>
    </row>
    <row r="102" spans="1:3" ht="26">
      <c r="A102" s="177" t="s">
        <v>13846</v>
      </c>
      <c r="B102" s="141" t="s">
        <v>13387</v>
      </c>
      <c r="C102" s="135">
        <v>629</v>
      </c>
    </row>
    <row r="103" spans="1:3" ht="26">
      <c r="A103" s="177" t="s">
        <v>4895</v>
      </c>
      <c r="B103" s="141" t="s">
        <v>13386</v>
      </c>
      <c r="C103" s="135">
        <v>0</v>
      </c>
    </row>
    <row r="104" spans="1:3" ht="26">
      <c r="A104" s="177" t="s">
        <v>13845</v>
      </c>
      <c r="B104" s="141" t="s">
        <v>13384</v>
      </c>
      <c r="C104" s="135">
        <v>629</v>
      </c>
    </row>
    <row r="105" spans="1:3" ht="26">
      <c r="A105" s="177" t="s">
        <v>13844</v>
      </c>
      <c r="B105" s="141" t="s">
        <v>13382</v>
      </c>
      <c r="C105" s="135">
        <v>629</v>
      </c>
    </row>
    <row r="106" spans="1:3" ht="26">
      <c r="A106" s="177" t="s">
        <v>13843</v>
      </c>
      <c r="B106" s="141" t="s">
        <v>13380</v>
      </c>
      <c r="C106" s="135">
        <v>629</v>
      </c>
    </row>
    <row r="107" spans="1:3">
      <c r="A107" s="157" t="s">
        <v>13378</v>
      </c>
      <c r="B107" s="239"/>
      <c r="C107" s="210"/>
    </row>
    <row r="108" spans="1:3">
      <c r="A108" s="157"/>
      <c r="B108" s="239"/>
      <c r="C108" s="210"/>
    </row>
    <row r="109" spans="1:3" ht="23.5">
      <c r="A109" s="148"/>
      <c r="B109" s="219" t="s">
        <v>13842</v>
      </c>
      <c r="C109" s="210"/>
    </row>
    <row r="110" spans="1:3">
      <c r="A110" s="148"/>
      <c r="B110" s="211" t="s">
        <v>13356</v>
      </c>
      <c r="C110" s="210"/>
    </row>
    <row r="111" spans="1:3" ht="26">
      <c r="A111" s="212" t="s">
        <v>13841</v>
      </c>
      <c r="B111" s="151" t="s">
        <v>13617</v>
      </c>
      <c r="C111" s="135">
        <v>459</v>
      </c>
    </row>
    <row r="112" spans="1:3">
      <c r="A112" s="229"/>
      <c r="B112" s="239"/>
      <c r="C112" s="210"/>
    </row>
    <row r="113" spans="1:3" ht="23.5">
      <c r="A113" s="148"/>
      <c r="B113" s="219" t="s">
        <v>13812</v>
      </c>
      <c r="C113" s="210"/>
    </row>
    <row r="114" spans="1:3">
      <c r="A114" s="148"/>
      <c r="B114" s="211" t="s">
        <v>13440</v>
      </c>
      <c r="C114" s="210"/>
    </row>
    <row r="115" spans="1:3" ht="39">
      <c r="A115" s="212" t="s">
        <v>13840</v>
      </c>
      <c r="B115" s="151" t="s">
        <v>13438</v>
      </c>
      <c r="C115" s="135">
        <v>579</v>
      </c>
    </row>
    <row r="116" spans="1:3" ht="78">
      <c r="A116" s="218" t="s">
        <v>13839</v>
      </c>
      <c r="B116" s="220" t="s">
        <v>13838</v>
      </c>
      <c r="C116" s="135">
        <v>959</v>
      </c>
    </row>
    <row r="117" spans="1:3" ht="39">
      <c r="A117" s="212" t="s">
        <v>13837</v>
      </c>
      <c r="B117" s="151" t="s">
        <v>13662</v>
      </c>
      <c r="C117" s="135">
        <v>579</v>
      </c>
    </row>
    <row r="118" spans="1:3">
      <c r="A118" s="148"/>
      <c r="B118" s="225" t="s">
        <v>13379</v>
      </c>
      <c r="C118" s="210"/>
    </row>
    <row r="119" spans="1:3">
      <c r="A119" s="148"/>
      <c r="B119" s="150"/>
      <c r="C119" s="210"/>
    </row>
    <row r="120" spans="1:3" ht="23.5">
      <c r="A120" s="148"/>
      <c r="B120" s="219" t="s">
        <v>13812</v>
      </c>
      <c r="C120" s="210"/>
    </row>
    <row r="121" spans="1:3" ht="39">
      <c r="A121" s="148"/>
      <c r="B121" s="147" t="s">
        <v>13435</v>
      </c>
      <c r="C121" s="210"/>
    </row>
    <row r="122" spans="1:3" ht="26">
      <c r="A122" s="212" t="s">
        <v>13836</v>
      </c>
      <c r="B122" s="151" t="s">
        <v>13835</v>
      </c>
      <c r="C122" s="135">
        <v>949</v>
      </c>
    </row>
    <row r="123" spans="1:3" ht="26">
      <c r="A123" s="212" t="s">
        <v>13834</v>
      </c>
      <c r="B123" s="151" t="s">
        <v>13433</v>
      </c>
      <c r="C123" s="135">
        <v>949</v>
      </c>
    </row>
    <row r="124" spans="1:3" ht="26">
      <c r="A124" s="212" t="s">
        <v>13833</v>
      </c>
      <c r="B124" s="151" t="s">
        <v>13432</v>
      </c>
      <c r="C124" s="135">
        <v>1029</v>
      </c>
    </row>
    <row r="125" spans="1:3">
      <c r="A125" s="148"/>
      <c r="B125" s="225" t="s">
        <v>13379</v>
      </c>
      <c r="C125" s="210"/>
    </row>
    <row r="126" spans="1:3">
      <c r="A126" s="148"/>
      <c r="B126" s="150"/>
      <c r="C126" s="210"/>
    </row>
    <row r="127" spans="1:3" ht="23.5">
      <c r="A127" s="148"/>
      <c r="B127" s="219" t="s">
        <v>13812</v>
      </c>
      <c r="C127" s="210"/>
    </row>
    <row r="128" spans="1:3" ht="39">
      <c r="A128" s="148"/>
      <c r="B128" s="147" t="s">
        <v>13431</v>
      </c>
      <c r="C128" s="210"/>
    </row>
    <row r="129" spans="1:3" ht="26">
      <c r="A129" s="212" t="s">
        <v>13832</v>
      </c>
      <c r="B129" s="224" t="s">
        <v>13430</v>
      </c>
      <c r="C129" s="135">
        <v>1179</v>
      </c>
    </row>
    <row r="130" spans="1:3" ht="26">
      <c r="A130" s="212" t="s">
        <v>13831</v>
      </c>
      <c r="B130" s="224" t="s">
        <v>13429</v>
      </c>
      <c r="C130" s="135">
        <v>1179</v>
      </c>
    </row>
    <row r="131" spans="1:3" ht="26">
      <c r="A131" s="212" t="s">
        <v>13830</v>
      </c>
      <c r="B131" s="224" t="s">
        <v>13428</v>
      </c>
      <c r="C131" s="135">
        <v>1339</v>
      </c>
    </row>
    <row r="132" spans="1:3">
      <c r="A132" s="148"/>
      <c r="B132" s="225" t="s">
        <v>13379</v>
      </c>
      <c r="C132" s="210"/>
    </row>
    <row r="133" spans="1:3">
      <c r="A133" s="148"/>
      <c r="B133" s="225"/>
      <c r="C133" s="210"/>
    </row>
    <row r="134" spans="1:3" ht="23.5">
      <c r="A134" s="148"/>
      <c r="B134" s="219" t="s">
        <v>13812</v>
      </c>
      <c r="C134" s="210"/>
    </row>
    <row r="135" spans="1:3" ht="39">
      <c r="A135" s="140"/>
      <c r="B135" s="155" t="s">
        <v>13427</v>
      </c>
      <c r="C135" s="210"/>
    </row>
    <row r="136" spans="1:3" ht="26">
      <c r="A136" s="177" t="s">
        <v>13829</v>
      </c>
      <c r="B136" s="141" t="s">
        <v>13426</v>
      </c>
      <c r="C136" s="135">
        <v>1459</v>
      </c>
    </row>
    <row r="137" spans="1:3" ht="26">
      <c r="A137" s="177" t="s">
        <v>13828</v>
      </c>
      <c r="B137" s="141" t="s">
        <v>13425</v>
      </c>
      <c r="C137" s="135">
        <v>1459</v>
      </c>
    </row>
    <row r="138" spans="1:3" ht="26">
      <c r="A138" s="177" t="s">
        <v>13827</v>
      </c>
      <c r="B138" s="141" t="s">
        <v>13424</v>
      </c>
      <c r="C138" s="135">
        <v>1689</v>
      </c>
    </row>
    <row r="139" spans="1:3">
      <c r="A139" s="179"/>
      <c r="B139" s="153"/>
      <c r="C139" s="210"/>
    </row>
    <row r="140" spans="1:3" ht="23.5">
      <c r="A140" s="148"/>
      <c r="B140" s="219" t="s">
        <v>13812</v>
      </c>
      <c r="C140" s="210"/>
    </row>
    <row r="141" spans="1:3">
      <c r="A141" s="134"/>
      <c r="B141" s="175" t="s">
        <v>13393</v>
      </c>
      <c r="C141" s="210"/>
    </row>
    <row r="142" spans="1:3" ht="26">
      <c r="A142" s="185"/>
      <c r="B142" s="160" t="s">
        <v>13423</v>
      </c>
      <c r="C142" s="210"/>
    </row>
    <row r="143" spans="1:3" ht="26">
      <c r="A143" s="177" t="s">
        <v>13826</v>
      </c>
      <c r="B143" s="141" t="s">
        <v>13421</v>
      </c>
      <c r="C143" s="135">
        <v>609</v>
      </c>
    </row>
    <row r="144" spans="1:3" ht="26">
      <c r="A144" s="177" t="s">
        <v>13825</v>
      </c>
      <c r="B144" s="141" t="s">
        <v>13419</v>
      </c>
      <c r="C144" s="135">
        <v>609</v>
      </c>
    </row>
    <row r="145" spans="1:3" ht="26">
      <c r="A145" s="177" t="s">
        <v>13824</v>
      </c>
      <c r="B145" s="141" t="s">
        <v>13417</v>
      </c>
      <c r="C145" s="135">
        <v>609</v>
      </c>
    </row>
    <row r="146" spans="1:3" ht="26">
      <c r="A146" s="177" t="s">
        <v>13823</v>
      </c>
      <c r="B146" s="141" t="s">
        <v>13415</v>
      </c>
      <c r="C146" s="135">
        <v>609</v>
      </c>
    </row>
    <row r="147" spans="1:3" ht="26">
      <c r="A147" s="177" t="s">
        <v>13822</v>
      </c>
      <c r="B147" s="141" t="s">
        <v>13413</v>
      </c>
      <c r="C147" s="135">
        <v>609</v>
      </c>
    </row>
    <row r="148" spans="1:3" ht="26">
      <c r="A148" s="177" t="s">
        <v>13821</v>
      </c>
      <c r="B148" s="141" t="s">
        <v>13411</v>
      </c>
      <c r="C148" s="135">
        <v>609</v>
      </c>
    </row>
    <row r="149" spans="1:3" ht="26">
      <c r="A149" s="177" t="s">
        <v>13820</v>
      </c>
      <c r="B149" s="141" t="s">
        <v>13409</v>
      </c>
      <c r="C149" s="135">
        <v>609</v>
      </c>
    </row>
    <row r="150" spans="1:3">
      <c r="A150" s="134"/>
      <c r="B150" s="184" t="s">
        <v>13379</v>
      </c>
      <c r="C150" s="210"/>
    </row>
    <row r="151" spans="1:3">
      <c r="A151" s="134"/>
      <c r="B151" s="184"/>
      <c r="C151" s="210"/>
    </row>
    <row r="152" spans="1:3" ht="23.5">
      <c r="A152" s="134"/>
      <c r="B152" s="219" t="s">
        <v>13812</v>
      </c>
      <c r="C152" s="210"/>
    </row>
    <row r="153" spans="1:3">
      <c r="A153" s="134"/>
      <c r="B153" s="175" t="s">
        <v>13393</v>
      </c>
      <c r="C153" s="210"/>
    </row>
    <row r="154" spans="1:3" ht="26">
      <c r="A154" s="185"/>
      <c r="B154" s="160" t="s">
        <v>13408</v>
      </c>
    </row>
    <row r="155" spans="1:3" ht="26">
      <c r="A155" s="177" t="s">
        <v>13819</v>
      </c>
      <c r="B155" s="141" t="s">
        <v>13406</v>
      </c>
      <c r="C155" s="135">
        <v>619</v>
      </c>
    </row>
    <row r="156" spans="1:3" ht="26">
      <c r="A156" s="177" t="s">
        <v>13818</v>
      </c>
      <c r="B156" s="141" t="s">
        <v>13404</v>
      </c>
      <c r="C156" s="135">
        <v>619</v>
      </c>
    </row>
    <row r="157" spans="1:3" ht="26">
      <c r="A157" s="177" t="s">
        <v>13817</v>
      </c>
      <c r="B157" s="141" t="s">
        <v>13402</v>
      </c>
      <c r="C157" s="135">
        <v>619</v>
      </c>
    </row>
    <row r="158" spans="1:3" ht="26">
      <c r="A158" s="177" t="s">
        <v>13816</v>
      </c>
      <c r="B158" s="141" t="s">
        <v>13400</v>
      </c>
      <c r="C158" s="135">
        <v>619</v>
      </c>
    </row>
    <row r="159" spans="1:3" ht="26">
      <c r="A159" s="177" t="s">
        <v>13815</v>
      </c>
      <c r="B159" s="141" t="s">
        <v>13398</v>
      </c>
      <c r="C159" s="135">
        <v>619</v>
      </c>
    </row>
    <row r="160" spans="1:3" ht="26">
      <c r="A160" s="177" t="s">
        <v>13814</v>
      </c>
      <c r="B160" s="141" t="s">
        <v>13396</v>
      </c>
      <c r="C160" s="135">
        <v>619</v>
      </c>
    </row>
    <row r="161" spans="1:3" ht="26">
      <c r="A161" s="177" t="s">
        <v>13813</v>
      </c>
      <c r="B161" s="141" t="s">
        <v>13394</v>
      </c>
      <c r="C161" s="135">
        <v>619</v>
      </c>
    </row>
    <row r="162" spans="1:3">
      <c r="A162" s="134"/>
      <c r="B162" s="184" t="s">
        <v>13379</v>
      </c>
      <c r="C162" s="210"/>
    </row>
    <row r="163" spans="1:3">
      <c r="A163" s="134"/>
      <c r="B163" s="184"/>
      <c r="C163" s="210"/>
    </row>
    <row r="164" spans="1:3" ht="23.5">
      <c r="A164" s="134"/>
      <c r="B164" s="219" t="s">
        <v>13812</v>
      </c>
      <c r="C164" s="210"/>
    </row>
    <row r="165" spans="1:3">
      <c r="A165" s="134"/>
      <c r="B165" s="175" t="s">
        <v>13393</v>
      </c>
      <c r="C165" s="210"/>
    </row>
    <row r="166" spans="1:3" ht="26">
      <c r="A166" s="185"/>
      <c r="B166" s="160" t="s">
        <v>13392</v>
      </c>
      <c r="C166" s="210"/>
    </row>
    <row r="167" spans="1:3" ht="26">
      <c r="A167" s="177" t="s">
        <v>13811</v>
      </c>
      <c r="B167" s="141" t="s">
        <v>13390</v>
      </c>
      <c r="C167" s="135">
        <v>629</v>
      </c>
    </row>
    <row r="168" spans="1:3" ht="26">
      <c r="A168" s="178" t="s">
        <v>4895</v>
      </c>
      <c r="B168" s="141" t="s">
        <v>13389</v>
      </c>
      <c r="C168" s="135">
        <v>0</v>
      </c>
    </row>
    <row r="169" spans="1:3" ht="26">
      <c r="A169" s="177" t="s">
        <v>13810</v>
      </c>
      <c r="B169" s="141" t="s">
        <v>13387</v>
      </c>
      <c r="C169" s="135">
        <v>629</v>
      </c>
    </row>
    <row r="170" spans="1:3" ht="26">
      <c r="A170" s="177" t="s">
        <v>4895</v>
      </c>
      <c r="B170" s="141" t="s">
        <v>13386</v>
      </c>
      <c r="C170" s="135">
        <v>0</v>
      </c>
    </row>
    <row r="171" spans="1:3" ht="26">
      <c r="A171" s="177" t="s">
        <v>13809</v>
      </c>
      <c r="B171" s="141" t="s">
        <v>13384</v>
      </c>
      <c r="C171" s="135">
        <v>629</v>
      </c>
    </row>
    <row r="172" spans="1:3" ht="26">
      <c r="A172" s="177" t="s">
        <v>13808</v>
      </c>
      <c r="B172" s="141" t="s">
        <v>13382</v>
      </c>
      <c r="C172" s="135">
        <v>629</v>
      </c>
    </row>
    <row r="173" spans="1:3" ht="26">
      <c r="A173" s="177" t="s">
        <v>13807</v>
      </c>
      <c r="B173" s="141" t="s">
        <v>13380</v>
      </c>
      <c r="C173" s="135">
        <v>629</v>
      </c>
    </row>
    <row r="174" spans="1:3">
      <c r="A174" s="157" t="s">
        <v>13378</v>
      </c>
      <c r="B174" s="239"/>
      <c r="C174" s="210"/>
    </row>
    <row r="175" spans="1:3">
      <c r="A175" s="157"/>
      <c r="B175" s="239"/>
      <c r="C175" s="210"/>
    </row>
    <row r="176" spans="1:3" ht="23.5">
      <c r="A176" s="148"/>
      <c r="B176" s="219" t="s">
        <v>13806</v>
      </c>
      <c r="C176" s="210"/>
    </row>
    <row r="177" spans="1:3">
      <c r="A177" s="148"/>
      <c r="B177" s="211" t="s">
        <v>13356</v>
      </c>
      <c r="C177" s="210"/>
    </row>
    <row r="178" spans="1:3" ht="26">
      <c r="A178" s="212" t="s">
        <v>13805</v>
      </c>
      <c r="B178" s="151" t="s">
        <v>13617</v>
      </c>
      <c r="C178" s="135">
        <v>459</v>
      </c>
    </row>
    <row r="179" spans="1:3">
      <c r="A179" s="229"/>
      <c r="B179" s="239"/>
      <c r="C179" s="210"/>
    </row>
    <row r="180" spans="1:3" ht="23.5">
      <c r="A180" s="148"/>
      <c r="B180" s="219" t="s">
        <v>13804</v>
      </c>
      <c r="C180" s="210"/>
    </row>
    <row r="181" spans="1:3">
      <c r="A181" s="148"/>
      <c r="B181" s="147" t="s">
        <v>13346</v>
      </c>
      <c r="C181" s="210"/>
    </row>
    <row r="182" spans="1:3" ht="26">
      <c r="A182" s="218" t="s">
        <v>13803</v>
      </c>
      <c r="B182" s="220" t="s">
        <v>13611</v>
      </c>
      <c r="C182" s="135">
        <v>359</v>
      </c>
    </row>
    <row r="183" spans="1:3" ht="26">
      <c r="A183" s="218" t="s">
        <v>13802</v>
      </c>
      <c r="B183" s="220" t="s">
        <v>13609</v>
      </c>
      <c r="C183" s="135">
        <v>409</v>
      </c>
    </row>
    <row r="184" spans="1:3" ht="39">
      <c r="A184" s="218" t="s">
        <v>13780</v>
      </c>
      <c r="B184" s="220" t="s">
        <v>13608</v>
      </c>
      <c r="C184" s="135">
        <v>329</v>
      </c>
    </row>
    <row r="185" spans="1:3" ht="26">
      <c r="A185" s="212" t="s">
        <v>13801</v>
      </c>
      <c r="B185" s="220" t="s">
        <v>13606</v>
      </c>
      <c r="C185" s="135">
        <v>359</v>
      </c>
    </row>
    <row r="186" spans="1:3" ht="39">
      <c r="A186" s="212" t="s">
        <v>13800</v>
      </c>
      <c r="B186" s="220" t="s">
        <v>13570</v>
      </c>
      <c r="C186" s="135">
        <v>259</v>
      </c>
    </row>
    <row r="187" spans="1:3" ht="39">
      <c r="A187" s="223" t="s">
        <v>13782</v>
      </c>
      <c r="B187" s="220" t="s">
        <v>13603</v>
      </c>
      <c r="C187" s="135">
        <v>259</v>
      </c>
    </row>
    <row r="188" spans="1:3">
      <c r="B188" s="221"/>
      <c r="C188" s="210"/>
    </row>
    <row r="189" spans="1:3">
      <c r="A189" s="148"/>
      <c r="B189" s="211" t="s">
        <v>13327</v>
      </c>
      <c r="C189" s="210"/>
    </row>
    <row r="190" spans="1:3" ht="39">
      <c r="A190" s="218" t="s">
        <v>13799</v>
      </c>
      <c r="B190" s="151" t="s">
        <v>13325</v>
      </c>
      <c r="C190" s="135">
        <v>339</v>
      </c>
    </row>
    <row r="191" spans="1:3" ht="39">
      <c r="A191" s="212" t="s">
        <v>13798</v>
      </c>
      <c r="B191" s="220" t="s">
        <v>13597</v>
      </c>
      <c r="C191" s="135">
        <v>249</v>
      </c>
    </row>
    <row r="192" spans="1:3">
      <c r="A192" s="148"/>
      <c r="B192" s="150"/>
      <c r="C192" s="210"/>
    </row>
    <row r="193" spans="1:3" ht="26">
      <c r="A193" s="148"/>
      <c r="B193" s="147" t="s">
        <v>13303</v>
      </c>
      <c r="C193" s="210"/>
    </row>
    <row r="194" spans="1:3" ht="26">
      <c r="A194" s="218" t="s">
        <v>13797</v>
      </c>
      <c r="B194" s="151" t="s">
        <v>13301</v>
      </c>
      <c r="C194" s="135">
        <v>379</v>
      </c>
    </row>
    <row r="195" spans="1:3">
      <c r="A195" s="148"/>
      <c r="B195" s="150"/>
      <c r="C195" s="210"/>
    </row>
    <row r="196" spans="1:3">
      <c r="A196" s="148"/>
      <c r="B196" s="217" t="s">
        <v>13593</v>
      </c>
      <c r="C196" s="210"/>
    </row>
    <row r="197" spans="1:3">
      <c r="A197" s="148"/>
      <c r="B197" s="217" t="s">
        <v>13592</v>
      </c>
      <c r="C197" s="210"/>
    </row>
    <row r="198" spans="1:3">
      <c r="A198" s="148"/>
      <c r="B198" s="214" t="s">
        <v>13796</v>
      </c>
      <c r="C198" s="210"/>
    </row>
    <row r="199" spans="1:3" ht="65">
      <c r="A199" s="218" t="s">
        <v>13795</v>
      </c>
      <c r="B199" s="151" t="s">
        <v>13794</v>
      </c>
      <c r="C199" s="135">
        <v>89</v>
      </c>
    </row>
    <row r="200" spans="1:3">
      <c r="A200" s="148"/>
      <c r="B200" s="150"/>
      <c r="C200" s="210"/>
    </row>
    <row r="201" spans="1:3">
      <c r="A201" s="148"/>
      <c r="B201" s="215" t="s">
        <v>13588</v>
      </c>
      <c r="C201" s="210"/>
    </row>
    <row r="202" spans="1:3">
      <c r="A202" s="148"/>
      <c r="B202" s="214" t="s">
        <v>13587</v>
      </c>
      <c r="C202" s="210"/>
    </row>
    <row r="203" spans="1:3" ht="39">
      <c r="A203" s="146" t="s">
        <v>13785</v>
      </c>
      <c r="B203" s="151" t="s">
        <v>13575</v>
      </c>
      <c r="C203" s="135">
        <v>899</v>
      </c>
    </row>
    <row r="204" spans="1:3" ht="39">
      <c r="A204" s="146" t="s">
        <v>13784</v>
      </c>
      <c r="B204" s="151" t="s">
        <v>13573</v>
      </c>
      <c r="C204" s="135">
        <v>1299</v>
      </c>
    </row>
    <row r="205" spans="1:3">
      <c r="A205" s="148"/>
      <c r="B205" s="150"/>
      <c r="C205" s="210"/>
    </row>
    <row r="206" spans="1:3">
      <c r="A206" s="148"/>
      <c r="B206" s="211" t="s">
        <v>13181</v>
      </c>
      <c r="C206" s="210"/>
    </row>
    <row r="207" spans="1:3">
      <c r="A207" s="148"/>
      <c r="B207" s="214" t="s">
        <v>13793</v>
      </c>
      <c r="C207" s="210"/>
    </row>
    <row r="208" spans="1:3" ht="39">
      <c r="A208" s="177" t="s">
        <v>13792</v>
      </c>
      <c r="B208" s="151" t="s">
        <v>13791</v>
      </c>
      <c r="C208" s="135">
        <v>969</v>
      </c>
    </row>
    <row r="209" spans="1:3">
      <c r="A209" s="148"/>
      <c r="B209" s="150"/>
      <c r="C209" s="210"/>
    </row>
    <row r="210" spans="1:3" ht="26">
      <c r="A210" s="148"/>
      <c r="B210" s="149" t="s">
        <v>13107</v>
      </c>
      <c r="C210" s="210"/>
    </row>
    <row r="211" spans="1:3" ht="26">
      <c r="A211" s="148"/>
      <c r="B211" s="147" t="s">
        <v>13583</v>
      </c>
      <c r="C211" s="210"/>
    </row>
    <row r="212" spans="1:3" ht="156">
      <c r="A212" s="146" t="s">
        <v>13790</v>
      </c>
      <c r="B212" s="151" t="s">
        <v>13789</v>
      </c>
      <c r="C212" s="135">
        <v>2609</v>
      </c>
    </row>
    <row r="213" spans="1:3" ht="156">
      <c r="A213" s="146" t="s">
        <v>13788</v>
      </c>
      <c r="B213" s="151" t="s">
        <v>13787</v>
      </c>
      <c r="C213" s="135">
        <v>2609</v>
      </c>
    </row>
    <row r="214" spans="1:3">
      <c r="A214" s="148"/>
      <c r="B214" s="150"/>
      <c r="C214" s="210"/>
    </row>
    <row r="215" spans="1:3" ht="26">
      <c r="A215" s="148"/>
      <c r="B215" s="149" t="s">
        <v>13107</v>
      </c>
      <c r="C215" s="210"/>
    </row>
    <row r="216" spans="1:3" ht="28.5">
      <c r="A216" s="148"/>
      <c r="B216" s="147" t="s">
        <v>13104</v>
      </c>
      <c r="C216" s="210"/>
    </row>
    <row r="217" spans="1:3" ht="39">
      <c r="A217" s="212" t="s">
        <v>13578</v>
      </c>
      <c r="B217" s="152" t="s">
        <v>13786</v>
      </c>
      <c r="C217" s="135">
        <v>299.99</v>
      </c>
    </row>
    <row r="218" spans="1:3" ht="39">
      <c r="A218" s="146" t="s">
        <v>13785</v>
      </c>
      <c r="B218" s="151" t="s">
        <v>13575</v>
      </c>
      <c r="C218" s="135">
        <v>899</v>
      </c>
    </row>
    <row r="219" spans="1:3" ht="39">
      <c r="A219" s="146" t="s">
        <v>13784</v>
      </c>
      <c r="B219" s="151" t="s">
        <v>13573</v>
      </c>
      <c r="C219" s="135">
        <v>1299</v>
      </c>
    </row>
    <row r="220" spans="1:3">
      <c r="A220" s="146" t="s">
        <v>13783</v>
      </c>
      <c r="B220" s="151" t="s">
        <v>13100</v>
      </c>
      <c r="C220" s="135">
        <v>149</v>
      </c>
    </row>
    <row r="221" spans="1:3">
      <c r="A221" s="146" t="s">
        <v>13782</v>
      </c>
      <c r="B221" s="151" t="s">
        <v>13781</v>
      </c>
      <c r="C221" s="135">
        <v>259</v>
      </c>
    </row>
    <row r="222" spans="1:3">
      <c r="A222" s="146" t="s">
        <v>13780</v>
      </c>
      <c r="B222" s="151" t="s">
        <v>13098</v>
      </c>
      <c r="C222" s="135">
        <v>329</v>
      </c>
    </row>
    <row r="223" spans="1:3">
      <c r="A223" s="148"/>
      <c r="B223" s="150"/>
      <c r="C223" s="210"/>
    </row>
    <row r="224" spans="1:3" ht="26">
      <c r="A224" s="148"/>
      <c r="B224" s="149" t="s">
        <v>13097</v>
      </c>
      <c r="C224" s="210"/>
    </row>
    <row r="225" spans="1:3" ht="26">
      <c r="A225" s="148"/>
      <c r="B225" s="147" t="s">
        <v>13568</v>
      </c>
      <c r="C225" s="210"/>
    </row>
    <row r="226" spans="1:3" ht="182">
      <c r="A226" s="146" t="s">
        <v>13779</v>
      </c>
      <c r="B226" s="151" t="s">
        <v>13778</v>
      </c>
      <c r="C226" s="135">
        <v>4429</v>
      </c>
    </row>
  </sheetData>
  <sheetProtection insertColumns="0" insertRows="0"/>
  <autoFilter ref="A2:C112" xr:uid="{00000000-0009-0000-0000-000013000000}"/>
  <printOptions horizontalCentered="1"/>
  <pageMargins left="0.4" right="0.4" top="0.75" bottom="0.5" header="0.3" footer="0.3"/>
  <pageSetup scale="78" fitToHeight="0" orientation="portrait" r:id="rId1"/>
  <headerFooter>
    <oddHeader>&amp;C SETINA MFG 2022 PRICE LIST&amp;R&amp;A</oddHeader>
    <oddFooter>&amp;C&amp;F&amp;R&amp;P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9CCA5-1FF9-4CE7-944E-98E14DEE10FE}">
  <sheetPr codeName="Sheet12">
    <tabColor theme="2" tint="-9.9978637043366805E-2"/>
    <pageSetUpPr fitToPage="1"/>
  </sheetPr>
  <dimension ref="A1:C375"/>
  <sheetViews>
    <sheetView zoomScale="120" zoomScaleNormal="120" zoomScaleSheetLayoutView="80" workbookViewId="0">
      <pane xSplit="1" ySplit="2" topLeftCell="B3" activePane="bottomRight" state="frozen"/>
      <selection activeCell="C8" sqref="C8"/>
      <selection pane="topRight" activeCell="C8" sqref="C8"/>
      <selection pane="bottomLeft" activeCell="C8" sqref="C8"/>
      <selection pane="bottomRight" activeCell="C8" sqref="C8"/>
    </sheetView>
  </sheetViews>
  <sheetFormatPr defaultColWidth="9.1796875" defaultRowHeight="14.5"/>
  <cols>
    <col min="1" max="1" width="23.7265625" style="158" customWidth="1"/>
    <col min="2" max="2" width="78.7265625" style="207" customWidth="1"/>
    <col min="3" max="3" width="15" style="206" bestFit="1" customWidth="1"/>
    <col min="4" max="16384" width="9.1796875" style="167"/>
  </cols>
  <sheetData>
    <row r="1" spans="1:3">
      <c r="A1" s="243" t="s">
        <v>14202</v>
      </c>
      <c r="B1" s="242"/>
      <c r="C1" s="241"/>
    </row>
    <row r="2" spans="1:3" s="158" customFormat="1">
      <c r="A2" s="235" t="s">
        <v>3519</v>
      </c>
      <c r="B2" s="240" t="s">
        <v>3518</v>
      </c>
      <c r="C2" s="200" t="s">
        <v>13563</v>
      </c>
    </row>
    <row r="3" spans="1:3">
      <c r="A3" s="148"/>
      <c r="B3" s="150"/>
      <c r="C3" s="233"/>
    </row>
    <row r="4" spans="1:3" ht="26">
      <c r="A4" s="231" t="s">
        <v>13511</v>
      </c>
      <c r="B4" s="217" t="s">
        <v>13776</v>
      </c>
      <c r="C4" s="232"/>
    </row>
    <row r="5" spans="1:3" ht="39">
      <c r="A5" s="212" t="s">
        <v>14201</v>
      </c>
      <c r="B5" s="151" t="s">
        <v>13774</v>
      </c>
      <c r="C5" s="135">
        <v>839</v>
      </c>
    </row>
    <row r="6" spans="1:3" ht="39">
      <c r="A6" s="212" t="s">
        <v>14200</v>
      </c>
      <c r="B6" s="151" t="s">
        <v>13772</v>
      </c>
      <c r="C6" s="135">
        <v>799</v>
      </c>
    </row>
    <row r="7" spans="1:3" ht="39">
      <c r="A7" s="212" t="s">
        <v>14199</v>
      </c>
      <c r="B7" s="151" t="s">
        <v>13770</v>
      </c>
      <c r="C7" s="135">
        <v>899</v>
      </c>
    </row>
    <row r="8" spans="1:3" ht="39">
      <c r="A8" s="212" t="s">
        <v>14198</v>
      </c>
      <c r="B8" s="151" t="s">
        <v>13768</v>
      </c>
      <c r="C8" s="135">
        <v>819</v>
      </c>
    </row>
    <row r="9" spans="1:3" ht="39">
      <c r="A9" s="212" t="s">
        <v>14197</v>
      </c>
      <c r="B9" s="151" t="s">
        <v>13766</v>
      </c>
      <c r="C9" s="135">
        <v>859</v>
      </c>
    </row>
    <row r="10" spans="1:3" ht="39">
      <c r="A10" s="212" t="s">
        <v>14196</v>
      </c>
      <c r="B10" s="151" t="s">
        <v>13764</v>
      </c>
      <c r="C10" s="135">
        <v>819</v>
      </c>
    </row>
    <row r="11" spans="1:3">
      <c r="A11" s="231" t="s">
        <v>13497</v>
      </c>
      <c r="B11" s="150"/>
      <c r="C11" s="210"/>
    </row>
    <row r="12" spans="1:3" ht="39">
      <c r="A12" s="212" t="s">
        <v>14195</v>
      </c>
      <c r="B12" s="151" t="s">
        <v>13762</v>
      </c>
      <c r="C12" s="135">
        <v>959</v>
      </c>
    </row>
    <row r="13" spans="1:3" ht="39">
      <c r="A13" s="212" t="s">
        <v>14194</v>
      </c>
      <c r="B13" s="151" t="s">
        <v>13760</v>
      </c>
      <c r="C13" s="135">
        <v>919</v>
      </c>
    </row>
    <row r="14" spans="1:3" ht="52">
      <c r="A14" s="212" t="s">
        <v>14193</v>
      </c>
      <c r="B14" s="151" t="s">
        <v>14192</v>
      </c>
      <c r="C14" s="135">
        <v>1009</v>
      </c>
    </row>
    <row r="15" spans="1:3" ht="52">
      <c r="A15" s="212" t="s">
        <v>14191</v>
      </c>
      <c r="B15" s="151" t="s">
        <v>14190</v>
      </c>
      <c r="C15" s="135">
        <v>969</v>
      </c>
    </row>
    <row r="16" spans="1:3" ht="52">
      <c r="A16" s="212" t="s">
        <v>14189</v>
      </c>
      <c r="B16" s="151" t="s">
        <v>14188</v>
      </c>
      <c r="C16" s="135">
        <v>999</v>
      </c>
    </row>
    <row r="17" spans="1:3" ht="52">
      <c r="A17" s="212" t="s">
        <v>14187</v>
      </c>
      <c r="B17" s="151" t="s">
        <v>13752</v>
      </c>
      <c r="C17" s="135">
        <v>959</v>
      </c>
    </row>
    <row r="18" spans="1:3">
      <c r="A18" s="148"/>
      <c r="B18" s="150"/>
      <c r="C18" s="210"/>
    </row>
    <row r="19" spans="1:3" ht="26">
      <c r="A19" s="231" t="s">
        <v>13511</v>
      </c>
      <c r="B19" s="217" t="s">
        <v>13537</v>
      </c>
      <c r="C19" s="210"/>
    </row>
    <row r="20" spans="1:3" ht="39">
      <c r="A20" s="212" t="s">
        <v>14186</v>
      </c>
      <c r="B20" s="151" t="s">
        <v>13750</v>
      </c>
      <c r="C20" s="135">
        <v>999</v>
      </c>
    </row>
    <row r="21" spans="1:3" ht="39">
      <c r="A21" s="212" t="s">
        <v>14185</v>
      </c>
      <c r="B21" s="151" t="s">
        <v>13748</v>
      </c>
      <c r="C21" s="135">
        <v>959</v>
      </c>
    </row>
    <row r="22" spans="1:3" ht="39">
      <c r="A22" s="212" t="s">
        <v>14184</v>
      </c>
      <c r="B22" s="151" t="s">
        <v>13746</v>
      </c>
      <c r="C22" s="135">
        <v>1049</v>
      </c>
    </row>
    <row r="23" spans="1:3" ht="39">
      <c r="A23" s="212" t="s">
        <v>14183</v>
      </c>
      <c r="B23" s="151" t="s">
        <v>13744</v>
      </c>
      <c r="C23" s="135">
        <v>979</v>
      </c>
    </row>
    <row r="24" spans="1:3" ht="39">
      <c r="A24" s="212" t="s">
        <v>14182</v>
      </c>
      <c r="B24" s="151" t="s">
        <v>13742</v>
      </c>
      <c r="C24" s="135">
        <v>1009</v>
      </c>
    </row>
    <row r="25" spans="1:3" ht="39">
      <c r="A25" s="212" t="s">
        <v>14181</v>
      </c>
      <c r="B25" s="151" t="s">
        <v>13740</v>
      </c>
      <c r="C25" s="135">
        <v>969</v>
      </c>
    </row>
    <row r="26" spans="1:3">
      <c r="A26" s="231" t="s">
        <v>13524</v>
      </c>
      <c r="B26" s="150"/>
      <c r="C26" s="210"/>
    </row>
    <row r="27" spans="1:3" ht="39">
      <c r="A27" s="212" t="s">
        <v>14180</v>
      </c>
      <c r="B27" s="151" t="s">
        <v>13738</v>
      </c>
      <c r="C27" s="135">
        <v>1099</v>
      </c>
    </row>
    <row r="28" spans="1:3" ht="39">
      <c r="A28" s="212" t="s">
        <v>14179</v>
      </c>
      <c r="B28" s="151" t="s">
        <v>13736</v>
      </c>
      <c r="C28" s="135">
        <v>1059</v>
      </c>
    </row>
    <row r="29" spans="1:3" ht="52">
      <c r="A29" s="212" t="s">
        <v>14178</v>
      </c>
      <c r="B29" s="151" t="s">
        <v>13734</v>
      </c>
      <c r="C29" s="135">
        <v>1149</v>
      </c>
    </row>
    <row r="30" spans="1:3" ht="52">
      <c r="A30" s="212" t="s">
        <v>14177</v>
      </c>
      <c r="B30" s="151" t="s">
        <v>13732</v>
      </c>
      <c r="C30" s="135">
        <v>1109</v>
      </c>
    </row>
    <row r="31" spans="1:3" ht="52">
      <c r="A31" s="212" t="s">
        <v>14176</v>
      </c>
      <c r="B31" s="151" t="s">
        <v>13730</v>
      </c>
      <c r="C31" s="135">
        <v>1139</v>
      </c>
    </row>
    <row r="32" spans="1:3" ht="52">
      <c r="A32" s="212" t="s">
        <v>14175</v>
      </c>
      <c r="B32" s="151" t="s">
        <v>13728</v>
      </c>
      <c r="C32" s="135">
        <v>1099</v>
      </c>
    </row>
    <row r="33" spans="1:3">
      <c r="A33" s="148"/>
      <c r="B33" s="150"/>
      <c r="C33" s="210"/>
    </row>
    <row r="34" spans="1:3" ht="26">
      <c r="A34" s="231" t="s">
        <v>13511</v>
      </c>
      <c r="B34" s="217" t="s">
        <v>13510</v>
      </c>
      <c r="C34" s="210"/>
    </row>
    <row r="35" spans="1:3" ht="39">
      <c r="A35" s="212" t="s">
        <v>14174</v>
      </c>
      <c r="B35" s="151" t="s">
        <v>14173</v>
      </c>
      <c r="C35" s="135">
        <v>999</v>
      </c>
    </row>
    <row r="36" spans="1:3" ht="39">
      <c r="A36" s="212" t="s">
        <v>14172</v>
      </c>
      <c r="B36" s="151" t="s">
        <v>14171</v>
      </c>
      <c r="C36" s="135">
        <v>959</v>
      </c>
    </row>
    <row r="37" spans="1:3" ht="39">
      <c r="A37" s="212" t="s">
        <v>14170</v>
      </c>
      <c r="B37" s="151" t="s">
        <v>14169</v>
      </c>
      <c r="C37" s="135">
        <v>1049</v>
      </c>
    </row>
    <row r="38" spans="1:3" ht="39">
      <c r="A38" s="212" t="s">
        <v>14168</v>
      </c>
      <c r="B38" s="151" t="s">
        <v>14167</v>
      </c>
      <c r="C38" s="135">
        <v>979</v>
      </c>
    </row>
    <row r="39" spans="1:3" ht="39">
      <c r="A39" s="212" t="s">
        <v>14166</v>
      </c>
      <c r="B39" s="151" t="s">
        <v>14165</v>
      </c>
      <c r="C39" s="135">
        <v>1009</v>
      </c>
    </row>
    <row r="40" spans="1:3" ht="39">
      <c r="A40" s="212" t="s">
        <v>14164</v>
      </c>
      <c r="B40" s="151" t="s">
        <v>14163</v>
      </c>
      <c r="C40" s="135">
        <v>969</v>
      </c>
    </row>
    <row r="41" spans="1:3">
      <c r="A41" s="231" t="s">
        <v>13497</v>
      </c>
      <c r="B41" s="150"/>
      <c r="C41" s="210"/>
    </row>
    <row r="42" spans="1:3" ht="39">
      <c r="A42" s="212" t="s">
        <v>14162</v>
      </c>
      <c r="B42" s="151" t="s">
        <v>14161</v>
      </c>
      <c r="C42" s="135">
        <v>1099</v>
      </c>
    </row>
    <row r="43" spans="1:3" ht="39">
      <c r="A43" s="212" t="s">
        <v>14160</v>
      </c>
      <c r="B43" s="151" t="s">
        <v>14159</v>
      </c>
      <c r="C43" s="135">
        <v>1059</v>
      </c>
    </row>
    <row r="44" spans="1:3" ht="52">
      <c r="A44" s="212" t="s">
        <v>14158</v>
      </c>
      <c r="B44" s="151" t="s">
        <v>14157</v>
      </c>
      <c r="C44" s="135">
        <v>1149</v>
      </c>
    </row>
    <row r="45" spans="1:3" ht="52">
      <c r="A45" s="212" t="s">
        <v>14156</v>
      </c>
      <c r="B45" s="151" t="s">
        <v>14155</v>
      </c>
      <c r="C45" s="135">
        <v>1109</v>
      </c>
    </row>
    <row r="46" spans="1:3" ht="52">
      <c r="A46" s="212" t="s">
        <v>14154</v>
      </c>
      <c r="B46" s="151" t="s">
        <v>14153</v>
      </c>
      <c r="C46" s="135">
        <v>1139</v>
      </c>
    </row>
    <row r="47" spans="1:3" ht="52">
      <c r="A47" s="212" t="s">
        <v>14152</v>
      </c>
      <c r="B47" s="151" t="s">
        <v>14151</v>
      </c>
      <c r="C47" s="135">
        <v>1099</v>
      </c>
    </row>
    <row r="48" spans="1:3">
      <c r="A48" s="194" t="s">
        <v>13484</v>
      </c>
      <c r="B48" s="150"/>
      <c r="C48" s="210"/>
    </row>
    <row r="49" spans="1:3">
      <c r="A49" s="194"/>
      <c r="B49" s="150"/>
      <c r="C49" s="210"/>
    </row>
    <row r="50" spans="1:3" ht="39">
      <c r="A50" s="231" t="s">
        <v>13483</v>
      </c>
      <c r="B50" s="147" t="s">
        <v>14150</v>
      </c>
      <c r="C50" s="210"/>
    </row>
    <row r="51" spans="1:3" ht="65">
      <c r="A51" s="212" t="s">
        <v>14149</v>
      </c>
      <c r="B51" s="230" t="s">
        <v>14148</v>
      </c>
      <c r="C51" s="135">
        <v>1279</v>
      </c>
    </row>
    <row r="52" spans="1:3" ht="65">
      <c r="A52" s="212" t="s">
        <v>14147</v>
      </c>
      <c r="B52" s="230" t="s">
        <v>14146</v>
      </c>
      <c r="C52" s="135">
        <v>1279</v>
      </c>
    </row>
    <row r="53" spans="1:3" ht="65">
      <c r="A53" s="212" t="s">
        <v>14145</v>
      </c>
      <c r="B53" s="230" t="s">
        <v>14144</v>
      </c>
      <c r="C53" s="135">
        <v>1279</v>
      </c>
    </row>
    <row r="54" spans="1:3" ht="65">
      <c r="A54" s="212" t="s">
        <v>14143</v>
      </c>
      <c r="B54" s="230" t="s">
        <v>14142</v>
      </c>
      <c r="C54" s="135">
        <v>1279</v>
      </c>
    </row>
    <row r="55" spans="1:3" ht="65">
      <c r="A55" s="212" t="s">
        <v>14141</v>
      </c>
      <c r="B55" s="151" t="s">
        <v>14140</v>
      </c>
      <c r="C55" s="135">
        <v>1279</v>
      </c>
    </row>
    <row r="56" spans="1:3" ht="65">
      <c r="A56" s="212" t="s">
        <v>14139</v>
      </c>
      <c r="B56" s="151" t="s">
        <v>14138</v>
      </c>
      <c r="C56" s="135">
        <v>1279</v>
      </c>
    </row>
    <row r="57" spans="1:3">
      <c r="A57" s="229"/>
      <c r="B57" s="239"/>
      <c r="C57" s="210"/>
    </row>
    <row r="58" spans="1:3" ht="26">
      <c r="A58" s="176" t="s">
        <v>13467</v>
      </c>
      <c r="B58" s="155" t="s">
        <v>13466</v>
      </c>
      <c r="C58" s="227"/>
    </row>
    <row r="59" spans="1:3" ht="52">
      <c r="A59" s="146" t="s">
        <v>14137</v>
      </c>
      <c r="B59" s="171" t="s">
        <v>14136</v>
      </c>
      <c r="C59" s="135">
        <v>599</v>
      </c>
    </row>
    <row r="60" spans="1:3" ht="52">
      <c r="A60" s="146" t="s">
        <v>14135</v>
      </c>
      <c r="B60" s="171" t="s">
        <v>14134</v>
      </c>
      <c r="C60" s="135">
        <v>599</v>
      </c>
    </row>
    <row r="61" spans="1:3" ht="52">
      <c r="A61" s="146" t="s">
        <v>14133</v>
      </c>
      <c r="B61" s="171" t="s">
        <v>13464</v>
      </c>
      <c r="C61" s="135">
        <v>599</v>
      </c>
    </row>
    <row r="62" spans="1:3" ht="52">
      <c r="A62" s="146" t="s">
        <v>14132</v>
      </c>
      <c r="B62" s="171" t="s">
        <v>14131</v>
      </c>
      <c r="C62" s="135">
        <v>599</v>
      </c>
    </row>
    <row r="63" spans="1:3" ht="52">
      <c r="A63" s="146" t="s">
        <v>14130</v>
      </c>
      <c r="B63" s="171" t="s">
        <v>13460</v>
      </c>
      <c r="C63" s="135">
        <v>599</v>
      </c>
    </row>
    <row r="64" spans="1:3" ht="52">
      <c r="A64" s="146" t="s">
        <v>14129</v>
      </c>
      <c r="B64" s="171" t="s">
        <v>13458</v>
      </c>
      <c r="C64" s="135">
        <v>599</v>
      </c>
    </row>
    <row r="65" spans="1:3">
      <c r="A65" s="229"/>
      <c r="B65" s="239"/>
      <c r="C65" s="210"/>
    </row>
    <row r="66" spans="1:3" ht="26">
      <c r="A66" s="148"/>
      <c r="B66" s="147" t="s">
        <v>13455</v>
      </c>
      <c r="C66" s="210"/>
    </row>
    <row r="67" spans="1:3" ht="52">
      <c r="A67" s="146" t="s">
        <v>14128</v>
      </c>
      <c r="B67" s="151" t="s">
        <v>14127</v>
      </c>
      <c r="C67" s="135">
        <v>659</v>
      </c>
    </row>
    <row r="68" spans="1:3" ht="52">
      <c r="A68" s="212" t="s">
        <v>14126</v>
      </c>
      <c r="B68" s="151" t="s">
        <v>14125</v>
      </c>
      <c r="C68" s="135">
        <v>689</v>
      </c>
    </row>
    <row r="69" spans="1:3">
      <c r="B69" s="239"/>
      <c r="C69" s="210"/>
    </row>
    <row r="70" spans="1:3" ht="23.5">
      <c r="B70" s="219" t="s">
        <v>14098</v>
      </c>
      <c r="C70" s="264"/>
    </row>
    <row r="71" spans="1:3">
      <c r="A71" s="148"/>
      <c r="B71" s="168" t="s">
        <v>14092</v>
      </c>
      <c r="C71" s="210"/>
    </row>
    <row r="72" spans="1:3" ht="39">
      <c r="A72" s="212" t="s">
        <v>14124</v>
      </c>
      <c r="B72" s="151" t="s">
        <v>13438</v>
      </c>
      <c r="C72" s="135">
        <v>579</v>
      </c>
    </row>
    <row r="73" spans="1:3" ht="65">
      <c r="A73" s="212" t="s">
        <v>14123</v>
      </c>
      <c r="B73" s="213" t="s">
        <v>13664</v>
      </c>
      <c r="C73" s="135">
        <v>959</v>
      </c>
    </row>
    <row r="74" spans="1:3" ht="39">
      <c r="A74" s="212" t="s">
        <v>14122</v>
      </c>
      <c r="B74" s="151" t="s">
        <v>13662</v>
      </c>
      <c r="C74" s="135">
        <v>579</v>
      </c>
    </row>
    <row r="75" spans="1:3">
      <c r="A75" s="148"/>
      <c r="B75" s="225" t="s">
        <v>13379</v>
      </c>
      <c r="C75" s="210"/>
    </row>
    <row r="76" spans="1:3">
      <c r="A76" s="148"/>
      <c r="B76" s="225"/>
      <c r="C76" s="210"/>
    </row>
    <row r="77" spans="1:3" ht="23.5">
      <c r="B77" s="219" t="s">
        <v>14098</v>
      </c>
      <c r="C77" s="264"/>
    </row>
    <row r="78" spans="1:3" ht="39">
      <c r="A78" s="148"/>
      <c r="B78" s="147" t="s">
        <v>13435</v>
      </c>
      <c r="C78" s="210"/>
    </row>
    <row r="79" spans="1:3" ht="26">
      <c r="A79" s="212" t="s">
        <v>14121</v>
      </c>
      <c r="B79" s="141" t="s">
        <v>13434</v>
      </c>
      <c r="C79" s="135">
        <v>949</v>
      </c>
    </row>
    <row r="80" spans="1:3" ht="26">
      <c r="A80" s="212" t="s">
        <v>14120</v>
      </c>
      <c r="B80" s="141" t="s">
        <v>13433</v>
      </c>
      <c r="C80" s="135">
        <v>949</v>
      </c>
    </row>
    <row r="81" spans="1:3" ht="26">
      <c r="A81" s="212" t="s">
        <v>14119</v>
      </c>
      <c r="B81" s="141" t="s">
        <v>13432</v>
      </c>
      <c r="C81" s="135">
        <v>1029</v>
      </c>
    </row>
    <row r="82" spans="1:3">
      <c r="A82" s="148"/>
      <c r="B82" s="225" t="s">
        <v>13379</v>
      </c>
      <c r="C82" s="210"/>
    </row>
    <row r="83" spans="1:3">
      <c r="A83" s="148"/>
      <c r="B83" s="225"/>
      <c r="C83" s="210"/>
    </row>
    <row r="84" spans="1:3" ht="23.5">
      <c r="A84" s="264"/>
      <c r="B84" s="219" t="s">
        <v>14098</v>
      </c>
      <c r="C84" s="264"/>
    </row>
    <row r="85" spans="1:3" ht="39">
      <c r="A85" s="148"/>
      <c r="B85" s="147" t="s">
        <v>13431</v>
      </c>
      <c r="C85" s="210"/>
    </row>
    <row r="86" spans="1:3" ht="26">
      <c r="A86" s="212" t="s">
        <v>14118</v>
      </c>
      <c r="B86" s="141" t="s">
        <v>13430</v>
      </c>
      <c r="C86" s="135">
        <v>1179</v>
      </c>
    </row>
    <row r="87" spans="1:3" ht="26">
      <c r="A87" s="212" t="s">
        <v>14117</v>
      </c>
      <c r="B87" s="141" t="s">
        <v>13429</v>
      </c>
      <c r="C87" s="135">
        <v>1179</v>
      </c>
    </row>
    <row r="88" spans="1:3" ht="26">
      <c r="A88" s="212" t="s">
        <v>14116</v>
      </c>
      <c r="B88" s="141" t="s">
        <v>13428</v>
      </c>
      <c r="C88" s="135">
        <v>1339</v>
      </c>
    </row>
    <row r="89" spans="1:3">
      <c r="A89" s="148"/>
      <c r="B89" s="225" t="s">
        <v>13379</v>
      </c>
      <c r="C89" s="210"/>
    </row>
    <row r="90" spans="1:3">
      <c r="A90" s="148"/>
      <c r="B90" s="225"/>
      <c r="C90" s="210"/>
    </row>
    <row r="91" spans="1:3" ht="23.5">
      <c r="B91" s="219" t="s">
        <v>14098</v>
      </c>
      <c r="C91" s="264"/>
    </row>
    <row r="92" spans="1:3" ht="39">
      <c r="A92" s="140"/>
      <c r="B92" s="155" t="s">
        <v>13427</v>
      </c>
      <c r="C92" s="210"/>
    </row>
    <row r="93" spans="1:3" ht="26">
      <c r="A93" s="177" t="s">
        <v>14115</v>
      </c>
      <c r="B93" s="141" t="s">
        <v>13426</v>
      </c>
      <c r="C93" s="135">
        <v>1459</v>
      </c>
    </row>
    <row r="94" spans="1:3" ht="26">
      <c r="A94" s="177" t="s">
        <v>14114</v>
      </c>
      <c r="B94" s="141" t="s">
        <v>13425</v>
      </c>
      <c r="C94" s="135">
        <v>1459</v>
      </c>
    </row>
    <row r="95" spans="1:3" ht="26">
      <c r="A95" s="177" t="s">
        <v>14113</v>
      </c>
      <c r="B95" s="141" t="s">
        <v>13424</v>
      </c>
      <c r="C95" s="135">
        <v>1689</v>
      </c>
    </row>
    <row r="96" spans="1:3">
      <c r="A96" s="179"/>
      <c r="B96" s="153"/>
      <c r="C96" s="210"/>
    </row>
    <row r="97" spans="1:3" ht="23.5">
      <c r="B97" s="219" t="s">
        <v>14098</v>
      </c>
      <c r="C97" s="264"/>
    </row>
    <row r="98" spans="1:3">
      <c r="A98" s="134"/>
      <c r="B98" s="175" t="s">
        <v>13393</v>
      </c>
      <c r="C98" s="210"/>
    </row>
    <row r="99" spans="1:3" ht="26">
      <c r="A99" s="185"/>
      <c r="B99" s="160" t="s">
        <v>13423</v>
      </c>
      <c r="C99" s="210"/>
    </row>
    <row r="100" spans="1:3" ht="26">
      <c r="A100" s="177" t="s">
        <v>14112</v>
      </c>
      <c r="B100" s="141" t="s">
        <v>13421</v>
      </c>
      <c r="C100" s="135">
        <v>609</v>
      </c>
    </row>
    <row r="101" spans="1:3" ht="26">
      <c r="A101" s="177" t="s">
        <v>14111</v>
      </c>
      <c r="B101" s="141" t="s">
        <v>13419</v>
      </c>
      <c r="C101" s="135">
        <v>609</v>
      </c>
    </row>
    <row r="102" spans="1:3" ht="26">
      <c r="A102" s="177" t="s">
        <v>14110</v>
      </c>
      <c r="B102" s="141" t="s">
        <v>13417</v>
      </c>
      <c r="C102" s="135">
        <v>609</v>
      </c>
    </row>
    <row r="103" spans="1:3" ht="26">
      <c r="A103" s="177" t="s">
        <v>14109</v>
      </c>
      <c r="B103" s="141" t="s">
        <v>13415</v>
      </c>
      <c r="C103" s="135">
        <v>609</v>
      </c>
    </row>
    <row r="104" spans="1:3" ht="26">
      <c r="A104" s="177" t="s">
        <v>14108</v>
      </c>
      <c r="B104" s="141" t="s">
        <v>13413</v>
      </c>
      <c r="C104" s="135">
        <v>609</v>
      </c>
    </row>
    <row r="105" spans="1:3" ht="26">
      <c r="A105" s="177" t="s">
        <v>14107</v>
      </c>
      <c r="B105" s="141" t="s">
        <v>13411</v>
      </c>
      <c r="C105" s="135">
        <v>609</v>
      </c>
    </row>
    <row r="106" spans="1:3" ht="26">
      <c r="A106" s="177" t="s">
        <v>14106</v>
      </c>
      <c r="B106" s="141" t="s">
        <v>13409</v>
      </c>
      <c r="C106" s="135">
        <v>609</v>
      </c>
    </row>
    <row r="107" spans="1:3">
      <c r="A107" s="134"/>
      <c r="B107" s="184" t="s">
        <v>13379</v>
      </c>
      <c r="C107" s="210"/>
    </row>
    <row r="108" spans="1:3">
      <c r="A108" s="134"/>
      <c r="B108" s="184"/>
      <c r="C108" s="210"/>
    </row>
    <row r="109" spans="1:3" ht="23.5">
      <c r="B109" s="219" t="s">
        <v>14098</v>
      </c>
      <c r="C109" s="264"/>
    </row>
    <row r="110" spans="1:3">
      <c r="A110" s="134"/>
      <c r="B110" s="175" t="s">
        <v>13393</v>
      </c>
      <c r="C110" s="210"/>
    </row>
    <row r="111" spans="1:3" ht="26">
      <c r="A111" s="185"/>
      <c r="B111" s="160" t="s">
        <v>13408</v>
      </c>
      <c r="C111" s="210"/>
    </row>
    <row r="112" spans="1:3" ht="26">
      <c r="A112" s="177" t="s">
        <v>14105</v>
      </c>
      <c r="B112" s="141" t="s">
        <v>13406</v>
      </c>
      <c r="C112" s="135">
        <v>619</v>
      </c>
    </row>
    <row r="113" spans="1:3" ht="26">
      <c r="A113" s="177" t="s">
        <v>14104</v>
      </c>
      <c r="B113" s="141" t="s">
        <v>13404</v>
      </c>
      <c r="C113" s="135">
        <v>619</v>
      </c>
    </row>
    <row r="114" spans="1:3" ht="26">
      <c r="A114" s="177" t="s">
        <v>14103</v>
      </c>
      <c r="B114" s="141" t="s">
        <v>13402</v>
      </c>
      <c r="C114" s="135">
        <v>619</v>
      </c>
    </row>
    <row r="115" spans="1:3" ht="26">
      <c r="A115" s="177" t="s">
        <v>14102</v>
      </c>
      <c r="B115" s="141" t="s">
        <v>13400</v>
      </c>
      <c r="C115" s="135">
        <v>619</v>
      </c>
    </row>
    <row r="116" spans="1:3" ht="26">
      <c r="A116" s="177" t="s">
        <v>14101</v>
      </c>
      <c r="B116" s="141" t="s">
        <v>13398</v>
      </c>
      <c r="C116" s="135">
        <v>619</v>
      </c>
    </row>
    <row r="117" spans="1:3" ht="26">
      <c r="A117" s="177" t="s">
        <v>14100</v>
      </c>
      <c r="B117" s="141" t="s">
        <v>13396</v>
      </c>
      <c r="C117" s="135">
        <v>619</v>
      </c>
    </row>
    <row r="118" spans="1:3" ht="26">
      <c r="A118" s="177" t="s">
        <v>14099</v>
      </c>
      <c r="B118" s="141" t="s">
        <v>13394</v>
      </c>
      <c r="C118" s="135">
        <v>619</v>
      </c>
    </row>
    <row r="119" spans="1:3">
      <c r="A119" s="134"/>
      <c r="B119" s="184" t="s">
        <v>13379</v>
      </c>
      <c r="C119" s="210"/>
    </row>
    <row r="120" spans="1:3">
      <c r="A120" s="134"/>
      <c r="B120" s="184"/>
      <c r="C120" s="210"/>
    </row>
    <row r="121" spans="1:3" ht="23.5">
      <c r="B121" s="219" t="s">
        <v>14098</v>
      </c>
      <c r="C121" s="264"/>
    </row>
    <row r="122" spans="1:3">
      <c r="A122" s="134"/>
      <c r="B122" s="175" t="s">
        <v>13393</v>
      </c>
      <c r="C122" s="210"/>
    </row>
    <row r="123" spans="1:3" ht="26">
      <c r="A123" s="185"/>
      <c r="B123" s="160" t="s">
        <v>13392</v>
      </c>
      <c r="C123" s="210"/>
    </row>
    <row r="124" spans="1:3" ht="26">
      <c r="A124" s="177" t="s">
        <v>14097</v>
      </c>
      <c r="B124" s="141" t="s">
        <v>13390</v>
      </c>
      <c r="C124" s="135">
        <v>629</v>
      </c>
    </row>
    <row r="125" spans="1:3" ht="26">
      <c r="A125" s="178" t="s">
        <v>4895</v>
      </c>
      <c r="B125" s="141" t="s">
        <v>13389</v>
      </c>
      <c r="C125" s="135">
        <v>0</v>
      </c>
    </row>
    <row r="126" spans="1:3" ht="26">
      <c r="A126" s="177" t="s">
        <v>14096</v>
      </c>
      <c r="B126" s="141" t="s">
        <v>13387</v>
      </c>
      <c r="C126" s="135">
        <v>629</v>
      </c>
    </row>
    <row r="127" spans="1:3" ht="26">
      <c r="A127" s="177" t="s">
        <v>4895</v>
      </c>
      <c r="B127" s="141" t="s">
        <v>13386</v>
      </c>
      <c r="C127" s="135">
        <v>0</v>
      </c>
    </row>
    <row r="128" spans="1:3" ht="26">
      <c r="A128" s="177" t="s">
        <v>14095</v>
      </c>
      <c r="B128" s="141" t="s">
        <v>13384</v>
      </c>
      <c r="C128" s="135">
        <v>629</v>
      </c>
    </row>
    <row r="129" spans="1:3" ht="26">
      <c r="A129" s="177" t="s">
        <v>14094</v>
      </c>
      <c r="B129" s="141" t="s">
        <v>13382</v>
      </c>
      <c r="C129" s="135">
        <v>629</v>
      </c>
    </row>
    <row r="130" spans="1:3" ht="26">
      <c r="A130" s="177" t="s">
        <v>14093</v>
      </c>
      <c r="B130" s="141" t="s">
        <v>13380</v>
      </c>
      <c r="C130" s="135">
        <v>629</v>
      </c>
    </row>
    <row r="131" spans="1:3">
      <c r="A131" s="157" t="s">
        <v>13378</v>
      </c>
      <c r="B131" s="150"/>
      <c r="C131" s="210"/>
    </row>
    <row r="132" spans="1:3">
      <c r="A132" s="157"/>
      <c r="B132" s="150"/>
      <c r="C132" s="210"/>
    </row>
    <row r="133" spans="1:3">
      <c r="A133" s="148"/>
      <c r="B133" s="211" t="s">
        <v>14059</v>
      </c>
      <c r="C133" s="210"/>
    </row>
    <row r="134" spans="1:3">
      <c r="A134" s="212" t="s">
        <v>14058</v>
      </c>
      <c r="B134" s="270" t="s">
        <v>13375</v>
      </c>
      <c r="C134" s="135">
        <v>279</v>
      </c>
    </row>
    <row r="135" spans="1:3">
      <c r="A135" s="229"/>
      <c r="B135" s="269"/>
      <c r="C135" s="210"/>
    </row>
    <row r="136" spans="1:3" ht="23.5">
      <c r="B136" s="219" t="s">
        <v>14065</v>
      </c>
      <c r="C136" s="264"/>
    </row>
    <row r="137" spans="1:3">
      <c r="A137" s="148"/>
      <c r="B137" s="168" t="s">
        <v>14092</v>
      </c>
      <c r="C137" s="210"/>
    </row>
    <row r="138" spans="1:3" ht="39">
      <c r="A138" s="212" t="s">
        <v>14091</v>
      </c>
      <c r="B138" s="151" t="s">
        <v>13438</v>
      </c>
      <c r="C138" s="135">
        <v>579</v>
      </c>
    </row>
    <row r="139" spans="1:3" ht="65">
      <c r="A139" s="212" t="s">
        <v>14090</v>
      </c>
      <c r="B139" s="213" t="s">
        <v>13664</v>
      </c>
      <c r="C139" s="135">
        <v>959</v>
      </c>
    </row>
    <row r="140" spans="1:3" ht="39">
      <c r="A140" s="212" t="s">
        <v>14089</v>
      </c>
      <c r="B140" s="151" t="s">
        <v>13662</v>
      </c>
      <c r="C140" s="135">
        <v>579</v>
      </c>
    </row>
    <row r="141" spans="1:3">
      <c r="A141" s="148"/>
      <c r="B141" s="225" t="s">
        <v>13379</v>
      </c>
      <c r="C141" s="210"/>
    </row>
    <row r="142" spans="1:3">
      <c r="A142" s="148"/>
      <c r="B142" s="225"/>
      <c r="C142" s="210"/>
    </row>
    <row r="143" spans="1:3" ht="23.5">
      <c r="B143" s="219" t="s">
        <v>14065</v>
      </c>
      <c r="C143" s="264"/>
    </row>
    <row r="144" spans="1:3" ht="39">
      <c r="A144" s="148"/>
      <c r="B144" s="147" t="s">
        <v>13435</v>
      </c>
      <c r="C144" s="210"/>
    </row>
    <row r="145" spans="1:3" ht="26">
      <c r="A145" s="212" t="s">
        <v>14088</v>
      </c>
      <c r="B145" s="141" t="s">
        <v>13434</v>
      </c>
      <c r="C145" s="135">
        <v>949</v>
      </c>
    </row>
    <row r="146" spans="1:3" ht="26">
      <c r="A146" s="212" t="s">
        <v>14087</v>
      </c>
      <c r="B146" s="141" t="s">
        <v>13433</v>
      </c>
      <c r="C146" s="135">
        <v>949</v>
      </c>
    </row>
    <row r="147" spans="1:3" ht="26">
      <c r="A147" s="212" t="s">
        <v>14086</v>
      </c>
      <c r="B147" s="141" t="s">
        <v>13432</v>
      </c>
      <c r="C147" s="135">
        <v>1029</v>
      </c>
    </row>
    <row r="148" spans="1:3">
      <c r="A148" s="148"/>
      <c r="B148" s="225" t="s">
        <v>13379</v>
      </c>
      <c r="C148" s="210"/>
    </row>
    <row r="149" spans="1:3">
      <c r="A149" s="148"/>
      <c r="B149" s="225"/>
      <c r="C149" s="210"/>
    </row>
    <row r="150" spans="1:3" ht="23.5">
      <c r="B150" s="219" t="s">
        <v>14065</v>
      </c>
      <c r="C150" s="264"/>
    </row>
    <row r="151" spans="1:3" ht="39">
      <c r="A151" s="148"/>
      <c r="B151" s="147" t="s">
        <v>13431</v>
      </c>
      <c r="C151" s="210"/>
    </row>
    <row r="152" spans="1:3" ht="26">
      <c r="A152" s="212" t="s">
        <v>14085</v>
      </c>
      <c r="B152" s="141" t="s">
        <v>13430</v>
      </c>
      <c r="C152" s="135">
        <v>1179</v>
      </c>
    </row>
    <row r="153" spans="1:3" ht="26">
      <c r="A153" s="212" t="s">
        <v>14084</v>
      </c>
      <c r="B153" s="141" t="s">
        <v>13429</v>
      </c>
      <c r="C153" s="135">
        <v>1179</v>
      </c>
    </row>
    <row r="154" spans="1:3" ht="26">
      <c r="A154" s="212" t="s">
        <v>14083</v>
      </c>
      <c r="B154" s="141" t="s">
        <v>13428</v>
      </c>
      <c r="C154" s="135">
        <v>1339</v>
      </c>
    </row>
    <row r="155" spans="1:3">
      <c r="A155" s="148"/>
      <c r="B155" s="225" t="s">
        <v>13379</v>
      </c>
      <c r="C155" s="210"/>
    </row>
    <row r="156" spans="1:3">
      <c r="A156" s="148"/>
      <c r="B156" s="225"/>
      <c r="C156" s="210"/>
    </row>
    <row r="157" spans="1:3" ht="23.5">
      <c r="B157" s="219" t="s">
        <v>14065</v>
      </c>
      <c r="C157" s="264"/>
    </row>
    <row r="158" spans="1:3" ht="39">
      <c r="A158" s="140"/>
      <c r="B158" s="155" t="s">
        <v>13427</v>
      </c>
      <c r="C158" s="210"/>
    </row>
    <row r="159" spans="1:3" ht="26">
      <c r="A159" s="177" t="s">
        <v>14082</v>
      </c>
      <c r="B159" s="141" t="s">
        <v>13426</v>
      </c>
      <c r="C159" s="135">
        <v>1459</v>
      </c>
    </row>
    <row r="160" spans="1:3" ht="26">
      <c r="A160" s="177" t="s">
        <v>14081</v>
      </c>
      <c r="B160" s="141" t="s">
        <v>13425</v>
      </c>
      <c r="C160" s="135">
        <v>1459</v>
      </c>
    </row>
    <row r="161" spans="1:3" ht="26">
      <c r="A161" s="177" t="s">
        <v>14080</v>
      </c>
      <c r="B161" s="141" t="s">
        <v>13424</v>
      </c>
      <c r="C161" s="135">
        <v>1689</v>
      </c>
    </row>
    <row r="162" spans="1:3">
      <c r="A162" s="179"/>
      <c r="B162" s="153"/>
      <c r="C162" s="210"/>
    </row>
    <row r="163" spans="1:3" ht="23.5">
      <c r="B163" s="219" t="s">
        <v>14065</v>
      </c>
      <c r="C163" s="264"/>
    </row>
    <row r="164" spans="1:3">
      <c r="A164" s="134"/>
      <c r="B164" s="175" t="s">
        <v>13393</v>
      </c>
      <c r="C164" s="210"/>
    </row>
    <row r="165" spans="1:3" ht="26">
      <c r="A165" s="185"/>
      <c r="B165" s="160" t="s">
        <v>13423</v>
      </c>
      <c r="C165" s="210"/>
    </row>
    <row r="166" spans="1:3" ht="26">
      <c r="A166" s="177" t="s">
        <v>14079</v>
      </c>
      <c r="B166" s="141" t="s">
        <v>13421</v>
      </c>
      <c r="C166" s="135">
        <v>609</v>
      </c>
    </row>
    <row r="167" spans="1:3" ht="26">
      <c r="A167" s="177" t="s">
        <v>14078</v>
      </c>
      <c r="B167" s="141" t="s">
        <v>13419</v>
      </c>
      <c r="C167" s="135">
        <v>609</v>
      </c>
    </row>
    <row r="168" spans="1:3" ht="26">
      <c r="A168" s="177" t="s">
        <v>14077</v>
      </c>
      <c r="B168" s="141" t="s">
        <v>13417</v>
      </c>
      <c r="C168" s="135">
        <v>609</v>
      </c>
    </row>
    <row r="169" spans="1:3" ht="26">
      <c r="A169" s="177" t="s">
        <v>14076</v>
      </c>
      <c r="B169" s="141" t="s">
        <v>13415</v>
      </c>
      <c r="C169" s="135">
        <v>609</v>
      </c>
    </row>
    <row r="170" spans="1:3" ht="26">
      <c r="A170" s="177" t="s">
        <v>14075</v>
      </c>
      <c r="B170" s="141" t="s">
        <v>13413</v>
      </c>
      <c r="C170" s="135">
        <v>609</v>
      </c>
    </row>
    <row r="171" spans="1:3" ht="26">
      <c r="A171" s="177" t="s">
        <v>14074</v>
      </c>
      <c r="B171" s="141" t="s">
        <v>13411</v>
      </c>
      <c r="C171" s="135">
        <v>609</v>
      </c>
    </row>
    <row r="172" spans="1:3" ht="26">
      <c r="A172" s="177" t="s">
        <v>14073</v>
      </c>
      <c r="B172" s="141" t="s">
        <v>13409</v>
      </c>
      <c r="C172" s="135">
        <v>609</v>
      </c>
    </row>
    <row r="173" spans="1:3">
      <c r="A173" s="134"/>
      <c r="B173" s="184" t="s">
        <v>13379</v>
      </c>
      <c r="C173" s="210"/>
    </row>
    <row r="174" spans="1:3">
      <c r="A174" s="134"/>
      <c r="B174" s="184"/>
      <c r="C174" s="210"/>
    </row>
    <row r="175" spans="1:3" ht="23.5">
      <c r="B175" s="219" t="s">
        <v>14065</v>
      </c>
      <c r="C175" s="264"/>
    </row>
    <row r="176" spans="1:3">
      <c r="A176" s="134"/>
      <c r="B176" s="175" t="s">
        <v>13393</v>
      </c>
      <c r="C176" s="210"/>
    </row>
    <row r="177" spans="1:3" ht="26">
      <c r="A177" s="185"/>
      <c r="B177" s="160" t="s">
        <v>13408</v>
      </c>
      <c r="C177" s="210"/>
    </row>
    <row r="178" spans="1:3" ht="26">
      <c r="A178" s="177" t="s">
        <v>14072</v>
      </c>
      <c r="B178" s="141" t="s">
        <v>13406</v>
      </c>
      <c r="C178" s="135">
        <v>619</v>
      </c>
    </row>
    <row r="179" spans="1:3" ht="26">
      <c r="A179" s="177" t="s">
        <v>14071</v>
      </c>
      <c r="B179" s="141" t="s">
        <v>13404</v>
      </c>
      <c r="C179" s="135">
        <v>619</v>
      </c>
    </row>
    <row r="180" spans="1:3" ht="26">
      <c r="A180" s="177" t="s">
        <v>14070</v>
      </c>
      <c r="B180" s="141" t="s">
        <v>13402</v>
      </c>
      <c r="C180" s="135">
        <v>619</v>
      </c>
    </row>
    <row r="181" spans="1:3" ht="26">
      <c r="A181" s="177" t="s">
        <v>14069</v>
      </c>
      <c r="B181" s="141" t="s">
        <v>13400</v>
      </c>
      <c r="C181" s="135">
        <v>619</v>
      </c>
    </row>
    <row r="182" spans="1:3" ht="26">
      <c r="A182" s="177" t="s">
        <v>14068</v>
      </c>
      <c r="B182" s="141" t="s">
        <v>13398</v>
      </c>
      <c r="C182" s="135">
        <v>619</v>
      </c>
    </row>
    <row r="183" spans="1:3" ht="26">
      <c r="A183" s="177" t="s">
        <v>14067</v>
      </c>
      <c r="B183" s="141" t="s">
        <v>13396</v>
      </c>
      <c r="C183" s="135">
        <v>619</v>
      </c>
    </row>
    <row r="184" spans="1:3" ht="26">
      <c r="A184" s="177" t="s">
        <v>14066</v>
      </c>
      <c r="B184" s="141" t="s">
        <v>13394</v>
      </c>
      <c r="C184" s="135">
        <v>619</v>
      </c>
    </row>
    <row r="185" spans="1:3">
      <c r="A185" s="134"/>
      <c r="B185" s="184" t="s">
        <v>13379</v>
      </c>
      <c r="C185" s="210"/>
    </row>
    <row r="186" spans="1:3">
      <c r="A186" s="134"/>
      <c r="B186" s="184"/>
      <c r="C186" s="210"/>
    </row>
    <row r="187" spans="1:3" ht="23.5">
      <c r="B187" s="219" t="s">
        <v>14065</v>
      </c>
      <c r="C187" s="264"/>
    </row>
    <row r="188" spans="1:3">
      <c r="A188" s="134"/>
      <c r="B188" s="175" t="s">
        <v>13393</v>
      </c>
      <c r="C188" s="210"/>
    </row>
    <row r="189" spans="1:3" ht="26">
      <c r="A189" s="185"/>
      <c r="B189" s="160" t="s">
        <v>13392</v>
      </c>
      <c r="C189" s="210"/>
    </row>
    <row r="190" spans="1:3" ht="26">
      <c r="A190" s="177" t="s">
        <v>14064</v>
      </c>
      <c r="B190" s="141" t="s">
        <v>13390</v>
      </c>
      <c r="C190" s="135">
        <v>629</v>
      </c>
    </row>
    <row r="191" spans="1:3" ht="26">
      <c r="A191" s="178" t="s">
        <v>4895</v>
      </c>
      <c r="B191" s="141" t="s">
        <v>13389</v>
      </c>
      <c r="C191" s="135">
        <v>0</v>
      </c>
    </row>
    <row r="192" spans="1:3" ht="26">
      <c r="A192" s="177" t="s">
        <v>14063</v>
      </c>
      <c r="B192" s="141" t="s">
        <v>13387</v>
      </c>
      <c r="C192" s="135">
        <v>629</v>
      </c>
    </row>
    <row r="193" spans="1:3" ht="26">
      <c r="A193" s="177" t="s">
        <v>4895</v>
      </c>
      <c r="B193" s="141" t="s">
        <v>13386</v>
      </c>
      <c r="C193" s="135">
        <v>0</v>
      </c>
    </row>
    <row r="194" spans="1:3" ht="26">
      <c r="A194" s="177" t="s">
        <v>14062</v>
      </c>
      <c r="B194" s="141" t="s">
        <v>13384</v>
      </c>
      <c r="C194" s="135">
        <v>629</v>
      </c>
    </row>
    <row r="195" spans="1:3" ht="26">
      <c r="A195" s="177" t="s">
        <v>14061</v>
      </c>
      <c r="B195" s="141" t="s">
        <v>13382</v>
      </c>
      <c r="C195" s="135">
        <v>629</v>
      </c>
    </row>
    <row r="196" spans="1:3" ht="26">
      <c r="A196" s="177" t="s">
        <v>14060</v>
      </c>
      <c r="B196" s="141" t="s">
        <v>13380</v>
      </c>
      <c r="C196" s="135">
        <v>629</v>
      </c>
    </row>
    <row r="197" spans="1:3">
      <c r="A197" s="157" t="s">
        <v>13378</v>
      </c>
      <c r="B197" s="150"/>
      <c r="C197" s="210"/>
    </row>
    <row r="198" spans="1:3">
      <c r="A198" s="157"/>
      <c r="B198" s="150"/>
      <c r="C198" s="210"/>
    </row>
    <row r="199" spans="1:3">
      <c r="A199" s="148"/>
      <c r="B199" s="211" t="s">
        <v>14059</v>
      </c>
      <c r="C199" s="210"/>
    </row>
    <row r="200" spans="1:3">
      <c r="A200" s="212" t="s">
        <v>14058</v>
      </c>
      <c r="B200" s="270" t="s">
        <v>13375</v>
      </c>
      <c r="C200" s="135">
        <v>279</v>
      </c>
    </row>
    <row r="201" spans="1:3">
      <c r="A201" s="229"/>
      <c r="B201" s="269"/>
      <c r="C201" s="210"/>
    </row>
    <row r="202" spans="1:3">
      <c r="A202" s="229"/>
      <c r="B202" s="269"/>
      <c r="C202" s="210"/>
    </row>
    <row r="203" spans="1:3" ht="23.5">
      <c r="B203" s="219" t="s">
        <v>13622</v>
      </c>
      <c r="C203" s="219"/>
    </row>
    <row r="204" spans="1:3">
      <c r="A204" s="148"/>
      <c r="B204" s="211" t="s">
        <v>13364</v>
      </c>
      <c r="C204" s="210"/>
    </row>
    <row r="205" spans="1:3" ht="39">
      <c r="A205" s="212" t="s">
        <v>14057</v>
      </c>
      <c r="B205" s="151" t="s">
        <v>13362</v>
      </c>
      <c r="C205" s="135">
        <v>679</v>
      </c>
    </row>
    <row r="206" spans="1:3" ht="39">
      <c r="A206" s="212" t="s">
        <v>14056</v>
      </c>
      <c r="B206" s="151" t="s">
        <v>13360</v>
      </c>
      <c r="C206" s="135">
        <v>699</v>
      </c>
    </row>
    <row r="207" spans="1:3" ht="39">
      <c r="A207" s="212" t="s">
        <v>14055</v>
      </c>
      <c r="B207" s="151" t="s">
        <v>13358</v>
      </c>
      <c r="C207" s="135">
        <v>699</v>
      </c>
    </row>
    <row r="208" spans="1:3">
      <c r="A208" s="229"/>
      <c r="B208" s="239"/>
      <c r="C208" s="210"/>
    </row>
    <row r="209" spans="1:3" ht="23.5">
      <c r="B209" s="264" t="s">
        <v>13619</v>
      </c>
      <c r="C209" s="264"/>
    </row>
    <row r="210" spans="1:3">
      <c r="A210" s="148"/>
      <c r="B210" s="211" t="s">
        <v>13356</v>
      </c>
      <c r="C210" s="210"/>
    </row>
    <row r="211" spans="1:3" ht="52">
      <c r="A211" s="212" t="s">
        <v>14054</v>
      </c>
      <c r="B211" s="151" t="s">
        <v>13354</v>
      </c>
      <c r="C211" s="135">
        <v>889</v>
      </c>
    </row>
    <row r="212" spans="1:3" ht="39">
      <c r="A212" s="212" t="s">
        <v>14053</v>
      </c>
      <c r="B212" s="151" t="s">
        <v>13352</v>
      </c>
      <c r="C212" s="135">
        <v>459</v>
      </c>
    </row>
    <row r="213" spans="1:3" ht="52">
      <c r="A213" s="212" t="s">
        <v>14052</v>
      </c>
      <c r="B213" s="213" t="s">
        <v>13348</v>
      </c>
      <c r="C213" s="135">
        <v>929</v>
      </c>
    </row>
    <row r="214" spans="1:3" ht="52">
      <c r="A214" s="212" t="s">
        <v>14051</v>
      </c>
      <c r="B214" s="213" t="s">
        <v>14050</v>
      </c>
      <c r="C214" s="135">
        <v>929</v>
      </c>
    </row>
    <row r="215" spans="1:3">
      <c r="A215" s="229"/>
      <c r="B215" s="268"/>
      <c r="C215" s="210"/>
    </row>
    <row r="216" spans="1:3" ht="23.5">
      <c r="B216" s="219" t="s">
        <v>14032</v>
      </c>
      <c r="C216" s="264"/>
    </row>
    <row r="217" spans="1:3">
      <c r="A217" s="148"/>
      <c r="B217" s="211" t="s">
        <v>13346</v>
      </c>
      <c r="C217" s="210"/>
    </row>
    <row r="218" spans="1:3" ht="78">
      <c r="A218" s="212" t="s">
        <v>14049</v>
      </c>
      <c r="B218" s="151" t="s">
        <v>14048</v>
      </c>
      <c r="C218" s="135">
        <v>359</v>
      </c>
    </row>
    <row r="219" spans="1:3" ht="78">
      <c r="A219" s="212" t="s">
        <v>14047</v>
      </c>
      <c r="B219" s="151" t="s">
        <v>14046</v>
      </c>
      <c r="C219" s="135">
        <v>409</v>
      </c>
    </row>
    <row r="220" spans="1:3" ht="91">
      <c r="A220" s="212" t="s">
        <v>14045</v>
      </c>
      <c r="B220" s="151" t="s">
        <v>14044</v>
      </c>
      <c r="C220" s="135">
        <v>329</v>
      </c>
    </row>
    <row r="221" spans="1:3" ht="91">
      <c r="A221" s="212" t="s">
        <v>13916</v>
      </c>
      <c r="B221" s="151" t="s">
        <v>14043</v>
      </c>
      <c r="C221" s="135">
        <v>329</v>
      </c>
    </row>
    <row r="222" spans="1:3">
      <c r="A222" s="229"/>
      <c r="B222" s="239"/>
      <c r="C222" s="210"/>
    </row>
    <row r="223" spans="1:3">
      <c r="A223" s="229"/>
      <c r="B223" s="249" t="s">
        <v>13338</v>
      </c>
      <c r="C223" s="210"/>
    </row>
    <row r="224" spans="1:3" ht="39">
      <c r="A224" s="212" t="s">
        <v>14042</v>
      </c>
      <c r="B224" s="151" t="s">
        <v>14041</v>
      </c>
      <c r="C224" s="135">
        <v>259</v>
      </c>
    </row>
    <row r="225" spans="1:3" ht="78">
      <c r="A225" s="212" t="s">
        <v>14040</v>
      </c>
      <c r="B225" s="151" t="s">
        <v>14039</v>
      </c>
      <c r="C225" s="135">
        <v>489</v>
      </c>
    </row>
    <row r="226" spans="1:3" ht="52">
      <c r="A226" s="212" t="s">
        <v>14038</v>
      </c>
      <c r="B226" s="151" t="s">
        <v>14037</v>
      </c>
      <c r="C226" s="135">
        <v>259</v>
      </c>
    </row>
    <row r="227" spans="1:3">
      <c r="A227" s="148"/>
      <c r="B227" s="150"/>
      <c r="C227" s="210"/>
    </row>
    <row r="228" spans="1:3" ht="23.5">
      <c r="A228" s="264"/>
      <c r="B228" s="219" t="s">
        <v>14032</v>
      </c>
      <c r="C228" s="264"/>
    </row>
    <row r="229" spans="1:3">
      <c r="A229" s="148"/>
      <c r="B229" s="211" t="s">
        <v>13327</v>
      </c>
      <c r="C229" s="210"/>
    </row>
    <row r="230" spans="1:3" ht="39">
      <c r="A230" s="212" t="s">
        <v>14036</v>
      </c>
      <c r="B230" s="151" t="s">
        <v>14035</v>
      </c>
      <c r="C230" s="135">
        <v>339</v>
      </c>
    </row>
    <row r="231" spans="1:3" ht="39">
      <c r="A231" s="212" t="s">
        <v>14034</v>
      </c>
      <c r="B231" s="151" t="s">
        <v>14033</v>
      </c>
      <c r="C231" s="135">
        <v>249</v>
      </c>
    </row>
    <row r="232" spans="1:3">
      <c r="A232" s="267"/>
      <c r="B232" s="266"/>
      <c r="C232" s="265"/>
    </row>
    <row r="233" spans="1:3" ht="23.5">
      <c r="B233" s="219" t="s">
        <v>14032</v>
      </c>
      <c r="C233" s="264"/>
    </row>
    <row r="234" spans="1:3">
      <c r="A234" s="148"/>
      <c r="B234" s="147" t="s">
        <v>14026</v>
      </c>
      <c r="C234" s="210"/>
    </row>
    <row r="235" spans="1:3">
      <c r="A235" s="148"/>
      <c r="B235" s="215" t="s">
        <v>14031</v>
      </c>
      <c r="C235" s="210"/>
    </row>
    <row r="236" spans="1:3">
      <c r="A236" s="148"/>
      <c r="B236" s="226" t="s">
        <v>14020</v>
      </c>
      <c r="C236" s="210"/>
    </row>
    <row r="237" spans="1:3" ht="91">
      <c r="A237" s="212" t="s">
        <v>14030</v>
      </c>
      <c r="B237" s="151" t="s">
        <v>14029</v>
      </c>
      <c r="C237" s="135">
        <v>4119</v>
      </c>
    </row>
    <row r="238" spans="1:3" ht="117">
      <c r="A238" s="212" t="s">
        <v>14028</v>
      </c>
      <c r="B238" s="151" t="s">
        <v>14027</v>
      </c>
      <c r="C238" s="135">
        <v>4119</v>
      </c>
    </row>
    <row r="239" spans="1:3">
      <c r="A239" s="229"/>
      <c r="B239" s="239"/>
      <c r="C239" s="210"/>
    </row>
    <row r="240" spans="1:3">
      <c r="A240" s="246"/>
      <c r="B240" s="147" t="s">
        <v>14026</v>
      </c>
      <c r="C240" s="210"/>
    </row>
    <row r="241" spans="1:3">
      <c r="A241" s="246"/>
      <c r="B241" s="215" t="s">
        <v>14025</v>
      </c>
      <c r="C241" s="210"/>
    </row>
    <row r="242" spans="1:3">
      <c r="A242" s="246"/>
      <c r="B242" s="226" t="s">
        <v>14020</v>
      </c>
      <c r="C242" s="210"/>
    </row>
    <row r="243" spans="1:3" ht="104">
      <c r="A243" s="212" t="s">
        <v>14024</v>
      </c>
      <c r="B243" s="151" t="s">
        <v>14023</v>
      </c>
      <c r="C243" s="135">
        <v>4839</v>
      </c>
    </row>
    <row r="244" spans="1:3" ht="130">
      <c r="A244" s="212" t="s">
        <v>14022</v>
      </c>
      <c r="B244" s="151" t="s">
        <v>14021</v>
      </c>
      <c r="C244" s="135">
        <v>4839</v>
      </c>
    </row>
    <row r="245" spans="1:3">
      <c r="A245" s="246"/>
      <c r="B245" s="246"/>
      <c r="C245" s="210"/>
    </row>
    <row r="246" spans="1:3">
      <c r="A246" s="140"/>
      <c r="B246" s="155" t="s">
        <v>13309</v>
      </c>
      <c r="C246" s="210"/>
    </row>
    <row r="247" spans="1:3">
      <c r="A247" s="140"/>
      <c r="B247" s="155" t="s">
        <v>13308</v>
      </c>
      <c r="C247" s="210"/>
    </row>
    <row r="248" spans="1:3">
      <c r="A248" s="140"/>
      <c r="B248" s="226" t="s">
        <v>14020</v>
      </c>
      <c r="C248" s="210"/>
    </row>
    <row r="249" spans="1:3" ht="91">
      <c r="A249" s="156" t="s">
        <v>14019</v>
      </c>
      <c r="B249" s="141" t="s">
        <v>14018</v>
      </c>
      <c r="C249" s="135">
        <v>3239</v>
      </c>
    </row>
    <row r="250" spans="1:3" ht="117">
      <c r="A250" s="156" t="s">
        <v>14017</v>
      </c>
      <c r="B250" s="141" t="s">
        <v>14016</v>
      </c>
      <c r="C250" s="135">
        <v>3239</v>
      </c>
    </row>
    <row r="251" spans="1:3">
      <c r="A251" s="148"/>
      <c r="B251" s="150"/>
      <c r="C251" s="210"/>
    </row>
    <row r="252" spans="1:3" ht="26">
      <c r="A252" s="148"/>
      <c r="B252" s="147" t="s">
        <v>13303</v>
      </c>
      <c r="C252" s="210"/>
    </row>
    <row r="253" spans="1:3" ht="26">
      <c r="A253" s="218" t="s">
        <v>14015</v>
      </c>
      <c r="B253" s="151" t="s">
        <v>13301</v>
      </c>
      <c r="C253" s="135">
        <v>289</v>
      </c>
    </row>
    <row r="254" spans="1:3">
      <c r="A254" s="148"/>
      <c r="B254" s="150"/>
      <c r="C254" s="210"/>
    </row>
    <row r="255" spans="1:3" ht="26">
      <c r="A255" s="148"/>
      <c r="B255" s="217" t="s">
        <v>14014</v>
      </c>
      <c r="C255" s="210"/>
    </row>
    <row r="256" spans="1:3" ht="65">
      <c r="A256" s="218" t="s">
        <v>14013</v>
      </c>
      <c r="B256" s="151" t="s">
        <v>14012</v>
      </c>
      <c r="C256" s="135">
        <v>89</v>
      </c>
    </row>
    <row r="257" spans="1:3">
      <c r="A257" s="148"/>
      <c r="B257" s="150"/>
      <c r="C257" s="210"/>
    </row>
    <row r="258" spans="1:3">
      <c r="A258" s="148"/>
      <c r="B258" s="211" t="s">
        <v>14011</v>
      </c>
      <c r="C258" s="210"/>
    </row>
    <row r="259" spans="1:3">
      <c r="A259" s="148"/>
      <c r="B259" s="147" t="s">
        <v>13278</v>
      </c>
      <c r="C259" s="210"/>
    </row>
    <row r="260" spans="1:3" ht="104">
      <c r="A260" s="146" t="s">
        <v>14010</v>
      </c>
      <c r="B260" s="151" t="s">
        <v>14009</v>
      </c>
      <c r="C260" s="135">
        <v>1239</v>
      </c>
    </row>
    <row r="261" spans="1:3" ht="104">
      <c r="A261" s="212" t="s">
        <v>14008</v>
      </c>
      <c r="B261" s="151" t="s">
        <v>14007</v>
      </c>
      <c r="C261" s="135">
        <v>1959</v>
      </c>
    </row>
    <row r="262" spans="1:3">
      <c r="A262" s="148"/>
      <c r="B262" s="150"/>
      <c r="C262" s="210"/>
    </row>
    <row r="263" spans="1:3" ht="26">
      <c r="A263" s="148"/>
      <c r="B263" s="147" t="s">
        <v>14006</v>
      </c>
      <c r="C263" s="210"/>
    </row>
    <row r="264" spans="1:3" ht="117">
      <c r="A264" s="212" t="s">
        <v>14005</v>
      </c>
      <c r="B264" s="151" t="s">
        <v>14004</v>
      </c>
      <c r="C264" s="135">
        <v>1909</v>
      </c>
    </row>
    <row r="265" spans="1:3" ht="117">
      <c r="A265" s="212" t="s">
        <v>14003</v>
      </c>
      <c r="B265" s="151" t="s">
        <v>14002</v>
      </c>
      <c r="C265" s="135">
        <v>1919</v>
      </c>
    </row>
    <row r="266" spans="1:3" ht="117">
      <c r="A266" s="212" t="s">
        <v>14001</v>
      </c>
      <c r="B266" s="151" t="s">
        <v>14000</v>
      </c>
      <c r="C266" s="135">
        <v>2489</v>
      </c>
    </row>
    <row r="267" spans="1:3" ht="117">
      <c r="A267" s="212" t="s">
        <v>13999</v>
      </c>
      <c r="B267" s="151" t="s">
        <v>13998</v>
      </c>
      <c r="C267" s="135">
        <v>2499</v>
      </c>
    </row>
    <row r="268" spans="1:3">
      <c r="A268" s="148"/>
      <c r="B268" s="150"/>
      <c r="C268" s="210"/>
    </row>
    <row r="269" spans="1:3">
      <c r="A269" s="148"/>
      <c r="B269" s="147" t="s">
        <v>13994</v>
      </c>
      <c r="C269" s="210"/>
    </row>
    <row r="270" spans="1:3" ht="26">
      <c r="A270" s="148"/>
      <c r="B270" s="249" t="s">
        <v>13997</v>
      </c>
      <c r="C270" s="210"/>
    </row>
    <row r="271" spans="1:3" ht="39">
      <c r="A271" s="212" t="s">
        <v>13996</v>
      </c>
      <c r="B271" s="151" t="s">
        <v>13276</v>
      </c>
      <c r="C271" s="135">
        <v>1239</v>
      </c>
    </row>
    <row r="272" spans="1:3" ht="39">
      <c r="A272" s="212" t="s">
        <v>13995</v>
      </c>
      <c r="B272" s="151" t="s">
        <v>13274</v>
      </c>
      <c r="C272" s="135">
        <v>1959</v>
      </c>
    </row>
    <row r="273" spans="1:3">
      <c r="A273" s="148"/>
      <c r="B273" s="150"/>
      <c r="C273" s="210"/>
    </row>
    <row r="274" spans="1:3">
      <c r="A274" s="148"/>
      <c r="B274" s="147" t="s">
        <v>13994</v>
      </c>
      <c r="C274" s="210"/>
    </row>
    <row r="275" spans="1:3" ht="26">
      <c r="A275" s="148"/>
      <c r="B275" s="249" t="s">
        <v>13993</v>
      </c>
      <c r="C275" s="210"/>
    </row>
    <row r="276" spans="1:3" ht="78">
      <c r="A276" s="212" t="s">
        <v>13992</v>
      </c>
      <c r="B276" s="151" t="s">
        <v>13981</v>
      </c>
      <c r="C276" s="135">
        <v>1909</v>
      </c>
    </row>
    <row r="277" spans="1:3" ht="78">
      <c r="A277" s="212" t="s">
        <v>13991</v>
      </c>
      <c r="B277" s="151" t="s">
        <v>13979</v>
      </c>
      <c r="C277" s="135">
        <v>1919</v>
      </c>
    </row>
    <row r="278" spans="1:3" ht="78">
      <c r="A278" s="212" t="s">
        <v>13990</v>
      </c>
      <c r="B278" s="151" t="s">
        <v>13977</v>
      </c>
      <c r="C278" s="135">
        <v>2609</v>
      </c>
    </row>
    <row r="279" spans="1:3" ht="78">
      <c r="A279" s="212" t="s">
        <v>13989</v>
      </c>
      <c r="B279" s="151" t="s">
        <v>13975</v>
      </c>
      <c r="C279" s="135">
        <v>2619</v>
      </c>
    </row>
    <row r="280" spans="1:3">
      <c r="A280" s="148"/>
      <c r="B280" s="150"/>
      <c r="C280" s="210"/>
    </row>
    <row r="281" spans="1:3" ht="21">
      <c r="A281" s="167"/>
      <c r="B281" s="254" t="s">
        <v>13974</v>
      </c>
      <c r="C281" s="246"/>
    </row>
    <row r="282" spans="1:3" ht="39">
      <c r="A282" s="148"/>
      <c r="B282" s="261" t="s">
        <v>13984</v>
      </c>
      <c r="C282" s="210"/>
    </row>
    <row r="283" spans="1:3" ht="26">
      <c r="A283" s="148"/>
      <c r="B283" s="261" t="s">
        <v>13988</v>
      </c>
      <c r="C283" s="210"/>
    </row>
    <row r="284" spans="1:3" ht="43.5">
      <c r="A284" s="246"/>
      <c r="B284" s="259" t="s">
        <v>13987</v>
      </c>
      <c r="C284" s="210"/>
    </row>
    <row r="285" spans="1:3" ht="39">
      <c r="A285" s="212" t="s">
        <v>13986</v>
      </c>
      <c r="B285" s="253" t="s">
        <v>13276</v>
      </c>
      <c r="C285" s="135">
        <v>1559</v>
      </c>
    </row>
    <row r="286" spans="1:3" ht="39">
      <c r="A286" s="263" t="s">
        <v>13985</v>
      </c>
      <c r="B286" s="253" t="s">
        <v>13274</v>
      </c>
      <c r="C286" s="135">
        <v>2029</v>
      </c>
    </row>
    <row r="287" spans="1:3">
      <c r="A287" s="262"/>
      <c r="B287" s="260"/>
      <c r="C287" s="210"/>
    </row>
    <row r="288" spans="1:3" ht="21">
      <c r="A288" s="148"/>
      <c r="B288" s="254" t="s">
        <v>13974</v>
      </c>
      <c r="C288" s="210"/>
    </row>
    <row r="289" spans="1:3" ht="39">
      <c r="A289" s="148"/>
      <c r="B289" s="261" t="s">
        <v>13984</v>
      </c>
      <c r="C289" s="210"/>
    </row>
    <row r="290" spans="1:3">
      <c r="A290" s="148"/>
      <c r="B290" s="261" t="s">
        <v>13983</v>
      </c>
      <c r="C290" s="210"/>
    </row>
    <row r="291" spans="1:3" ht="78">
      <c r="A291" s="212" t="s">
        <v>13982</v>
      </c>
      <c r="B291" s="253" t="s">
        <v>13981</v>
      </c>
      <c r="C291" s="135">
        <v>2219</v>
      </c>
    </row>
    <row r="292" spans="1:3" ht="78">
      <c r="A292" s="212" t="s">
        <v>13980</v>
      </c>
      <c r="B292" s="253" t="s">
        <v>13979</v>
      </c>
      <c r="C292" s="135">
        <v>2229</v>
      </c>
    </row>
    <row r="293" spans="1:3" ht="78">
      <c r="A293" s="212" t="s">
        <v>13978</v>
      </c>
      <c r="B293" s="253" t="s">
        <v>13977</v>
      </c>
      <c r="C293" s="135">
        <v>2919</v>
      </c>
    </row>
    <row r="294" spans="1:3" ht="78">
      <c r="A294" s="212" t="s">
        <v>13976</v>
      </c>
      <c r="B294" s="253" t="s">
        <v>13975</v>
      </c>
      <c r="C294" s="135">
        <v>2929</v>
      </c>
    </row>
    <row r="295" spans="1:3">
      <c r="A295" s="229"/>
      <c r="B295" s="260"/>
      <c r="C295" s="210"/>
    </row>
    <row r="296" spans="1:3" ht="21">
      <c r="A296" s="148"/>
      <c r="B296" s="254" t="s">
        <v>13974</v>
      </c>
      <c r="C296" s="210"/>
    </row>
    <row r="297" spans="1:3">
      <c r="A297" s="246"/>
      <c r="B297" s="147" t="s">
        <v>13973</v>
      </c>
      <c r="C297" s="210"/>
    </row>
    <row r="298" spans="1:3" ht="29">
      <c r="A298" s="246"/>
      <c r="B298" s="259" t="s">
        <v>13972</v>
      </c>
      <c r="C298" s="210"/>
    </row>
    <row r="299" spans="1:3">
      <c r="A299" s="258" t="s">
        <v>13971</v>
      </c>
      <c r="B299" s="257" t="s">
        <v>13970</v>
      </c>
      <c r="C299" s="135">
        <v>310</v>
      </c>
    </row>
    <row r="300" spans="1:3">
      <c r="A300" s="255"/>
      <c r="B300" s="256"/>
      <c r="C300" s="210"/>
    </row>
    <row r="301" spans="1:3" ht="21">
      <c r="A301" s="255"/>
      <c r="B301" s="254" t="s">
        <v>13969</v>
      </c>
      <c r="C301" s="210"/>
    </row>
    <row r="302" spans="1:3" ht="26">
      <c r="A302" s="134"/>
      <c r="B302" s="155" t="s">
        <v>13270</v>
      </c>
      <c r="C302" s="210"/>
    </row>
    <row r="303" spans="1:3" ht="65">
      <c r="A303" s="142" t="s">
        <v>13968</v>
      </c>
      <c r="B303" s="141" t="s">
        <v>13268</v>
      </c>
      <c r="C303" s="135">
        <v>619</v>
      </c>
    </row>
    <row r="304" spans="1:3">
      <c r="A304" s="148"/>
      <c r="B304" s="150"/>
      <c r="C304" s="210"/>
    </row>
    <row r="305" spans="1:3" ht="26">
      <c r="A305" s="148"/>
      <c r="B305" s="147" t="s">
        <v>13967</v>
      </c>
      <c r="C305" s="210"/>
    </row>
    <row r="306" spans="1:3">
      <c r="A306" s="158" t="s">
        <v>13179</v>
      </c>
      <c r="B306" s="147" t="s">
        <v>13180</v>
      </c>
      <c r="C306" s="210"/>
    </row>
    <row r="307" spans="1:3" ht="39">
      <c r="A307" s="212" t="s">
        <v>13966</v>
      </c>
      <c r="B307" s="151" t="s">
        <v>13231</v>
      </c>
      <c r="C307" s="135">
        <v>1259</v>
      </c>
    </row>
    <row r="308" spans="1:3" ht="39">
      <c r="A308" s="212" t="s">
        <v>13965</v>
      </c>
      <c r="B308" s="151" t="s">
        <v>13229</v>
      </c>
      <c r="C308" s="135">
        <v>1479</v>
      </c>
    </row>
    <row r="309" spans="1:3" ht="39">
      <c r="A309" s="212" t="s">
        <v>13964</v>
      </c>
      <c r="B309" s="151" t="s">
        <v>13227</v>
      </c>
      <c r="C309" s="135">
        <v>1479</v>
      </c>
    </row>
    <row r="310" spans="1:3" ht="39">
      <c r="A310" s="212" t="s">
        <v>13963</v>
      </c>
      <c r="B310" s="253" t="s">
        <v>13225</v>
      </c>
      <c r="C310" s="135">
        <v>1799</v>
      </c>
    </row>
    <row r="311" spans="1:3">
      <c r="A311" s="158" t="s">
        <v>13169</v>
      </c>
      <c r="B311" s="150"/>
      <c r="C311" s="210"/>
    </row>
    <row r="312" spans="1:3" ht="39">
      <c r="A312" s="212" t="s">
        <v>13962</v>
      </c>
      <c r="B312" s="151" t="s">
        <v>13223</v>
      </c>
      <c r="C312" s="135">
        <v>1359</v>
      </c>
    </row>
    <row r="313" spans="1:3" ht="39">
      <c r="A313" s="212" t="s">
        <v>13961</v>
      </c>
      <c r="B313" s="151" t="s">
        <v>13221</v>
      </c>
      <c r="C313" s="135">
        <v>1579</v>
      </c>
    </row>
    <row r="314" spans="1:3" ht="39">
      <c r="A314" s="212" t="s">
        <v>13960</v>
      </c>
      <c r="B314" s="151" t="s">
        <v>13219</v>
      </c>
      <c r="C314" s="135">
        <v>1579</v>
      </c>
    </row>
    <row r="315" spans="1:3" ht="39">
      <c r="A315" s="212" t="s">
        <v>13959</v>
      </c>
      <c r="B315" s="253" t="s">
        <v>13958</v>
      </c>
      <c r="C315" s="135">
        <v>1899</v>
      </c>
    </row>
    <row r="316" spans="1:3" ht="39">
      <c r="A316" s="212" t="s">
        <v>13957</v>
      </c>
      <c r="B316" s="253" t="s">
        <v>13215</v>
      </c>
      <c r="C316" s="135">
        <v>1799</v>
      </c>
    </row>
    <row r="317" spans="1:3">
      <c r="A317" s="158" t="s">
        <v>13214</v>
      </c>
      <c r="B317" s="150"/>
      <c r="C317" s="210"/>
    </row>
    <row r="318" spans="1:3" ht="39">
      <c r="A318" s="212" t="s">
        <v>13956</v>
      </c>
      <c r="B318" s="151" t="s">
        <v>13212</v>
      </c>
      <c r="C318" s="135">
        <v>1879</v>
      </c>
    </row>
    <row r="319" spans="1:3" ht="39">
      <c r="A319" s="212" t="s">
        <v>13955</v>
      </c>
      <c r="B319" s="151" t="s">
        <v>13210</v>
      </c>
      <c r="C319" s="135">
        <v>2099</v>
      </c>
    </row>
    <row r="320" spans="1:3" ht="39">
      <c r="A320" s="212" t="s">
        <v>13954</v>
      </c>
      <c r="B320" s="151" t="s">
        <v>13208</v>
      </c>
      <c r="C320" s="135">
        <v>2099</v>
      </c>
    </row>
    <row r="321" spans="1:3" ht="39">
      <c r="A321" s="212" t="s">
        <v>13953</v>
      </c>
      <c r="B321" s="151" t="s">
        <v>13206</v>
      </c>
      <c r="C321" s="135">
        <v>1879</v>
      </c>
    </row>
    <row r="322" spans="1:3" ht="39">
      <c r="A322" s="212" t="s">
        <v>13952</v>
      </c>
      <c r="B322" s="151" t="s">
        <v>13204</v>
      </c>
      <c r="C322" s="135">
        <v>2099</v>
      </c>
    </row>
    <row r="323" spans="1:3" ht="39">
      <c r="A323" s="212" t="s">
        <v>13951</v>
      </c>
      <c r="B323" s="151" t="s">
        <v>13202</v>
      </c>
      <c r="C323" s="135">
        <v>2099</v>
      </c>
    </row>
    <row r="324" spans="1:3" ht="39">
      <c r="A324" s="212" t="s">
        <v>13950</v>
      </c>
      <c r="B324" s="151" t="s">
        <v>13200</v>
      </c>
      <c r="C324" s="135">
        <v>2059</v>
      </c>
    </row>
    <row r="325" spans="1:3" ht="39">
      <c r="A325" s="212" t="s">
        <v>13949</v>
      </c>
      <c r="B325" s="151" t="s">
        <v>13198</v>
      </c>
      <c r="C325" s="135">
        <v>2039</v>
      </c>
    </row>
    <row r="326" spans="1:3">
      <c r="A326" s="158" t="s">
        <v>13158</v>
      </c>
      <c r="B326" s="150"/>
      <c r="C326" s="210"/>
    </row>
    <row r="327" spans="1:3" ht="39">
      <c r="A327" s="212" t="s">
        <v>13948</v>
      </c>
      <c r="B327" s="151" t="s">
        <v>13196</v>
      </c>
      <c r="C327" s="135">
        <v>1879</v>
      </c>
    </row>
    <row r="328" spans="1:3" ht="39">
      <c r="A328" s="212" t="s">
        <v>13947</v>
      </c>
      <c r="B328" s="151" t="s">
        <v>13194</v>
      </c>
      <c r="C328" s="135">
        <v>2099</v>
      </c>
    </row>
    <row r="329" spans="1:3" ht="39">
      <c r="A329" s="212" t="s">
        <v>13946</v>
      </c>
      <c r="B329" s="151" t="s">
        <v>13192</v>
      </c>
      <c r="C329" s="135">
        <v>2099</v>
      </c>
    </row>
    <row r="330" spans="1:3" ht="39">
      <c r="A330" s="212" t="s">
        <v>13945</v>
      </c>
      <c r="B330" s="151" t="s">
        <v>13190</v>
      </c>
      <c r="C330" s="135">
        <v>1879</v>
      </c>
    </row>
    <row r="331" spans="1:3" ht="39">
      <c r="A331" s="212" t="s">
        <v>13944</v>
      </c>
      <c r="B331" s="151" t="s">
        <v>13188</v>
      </c>
      <c r="C331" s="135">
        <v>2099</v>
      </c>
    </row>
    <row r="332" spans="1:3" ht="39">
      <c r="A332" s="212" t="s">
        <v>13943</v>
      </c>
      <c r="B332" s="151" t="s">
        <v>13186</v>
      </c>
      <c r="C332" s="135">
        <v>2099</v>
      </c>
    </row>
    <row r="333" spans="1:3" ht="39">
      <c r="A333" s="212" t="s">
        <v>13942</v>
      </c>
      <c r="B333" s="151" t="s">
        <v>13184</v>
      </c>
      <c r="C333" s="135">
        <v>2059</v>
      </c>
    </row>
    <row r="334" spans="1:3" ht="39">
      <c r="A334" s="212" t="s">
        <v>13941</v>
      </c>
      <c r="B334" s="151" t="s">
        <v>13182</v>
      </c>
      <c r="C334" s="135">
        <v>2039</v>
      </c>
    </row>
    <row r="335" spans="1:3">
      <c r="A335" s="252" t="s">
        <v>13141</v>
      </c>
      <c r="B335" s="246"/>
      <c r="C335" s="210"/>
    </row>
    <row r="336" spans="1:3">
      <c r="A336" s="252"/>
      <c r="B336" s="246"/>
      <c r="C336" s="210"/>
    </row>
    <row r="337" spans="1:3" ht="39">
      <c r="A337" s="246"/>
      <c r="B337" s="249" t="s">
        <v>13940</v>
      </c>
      <c r="C337" s="210"/>
    </row>
    <row r="338" spans="1:3" ht="26">
      <c r="A338" s="212" t="s">
        <v>13939</v>
      </c>
      <c r="B338" s="141" t="s">
        <v>13938</v>
      </c>
      <c r="C338" s="135">
        <v>3489</v>
      </c>
    </row>
    <row r="339" spans="1:3" ht="26">
      <c r="A339" s="251" t="s">
        <v>13937</v>
      </c>
      <c r="B339" s="141" t="s">
        <v>13936</v>
      </c>
      <c r="C339" s="135">
        <v>719</v>
      </c>
    </row>
    <row r="340" spans="1:3">
      <c r="A340" s="250"/>
      <c r="B340" s="153"/>
      <c r="C340" s="210"/>
    </row>
    <row r="341" spans="1:3" ht="39">
      <c r="A341" s="246"/>
      <c r="B341" s="249" t="s">
        <v>13935</v>
      </c>
      <c r="C341" s="210"/>
    </row>
    <row r="342" spans="1:3" ht="26">
      <c r="A342" s="212" t="s">
        <v>13934</v>
      </c>
      <c r="B342" s="141" t="s">
        <v>13933</v>
      </c>
      <c r="C342" s="135">
        <v>1539</v>
      </c>
    </row>
    <row r="343" spans="1:3">
      <c r="A343" s="246"/>
      <c r="B343" s="246"/>
      <c r="C343" s="210"/>
    </row>
    <row r="344" spans="1:3">
      <c r="A344" s="148"/>
      <c r="B344" s="147" t="s">
        <v>13932</v>
      </c>
      <c r="C344" s="210"/>
    </row>
    <row r="345" spans="1:3">
      <c r="A345" s="148"/>
      <c r="B345" s="214" t="s">
        <v>13931</v>
      </c>
      <c r="C345" s="210"/>
    </row>
    <row r="346" spans="1:3">
      <c r="A346" s="212" t="s">
        <v>13930</v>
      </c>
      <c r="B346" s="247" t="s">
        <v>13926</v>
      </c>
      <c r="C346" s="135">
        <v>689</v>
      </c>
    </row>
    <row r="347" spans="1:3">
      <c r="A347" s="212" t="s">
        <v>13929</v>
      </c>
      <c r="B347" s="247" t="s">
        <v>13924</v>
      </c>
      <c r="C347" s="135"/>
    </row>
    <row r="348" spans="1:3">
      <c r="A348" s="229"/>
      <c r="B348" s="248"/>
      <c r="C348" s="210"/>
    </row>
    <row r="349" spans="1:3" ht="26">
      <c r="A349" s="148"/>
      <c r="B349" s="147" t="s">
        <v>13928</v>
      </c>
      <c r="C349" s="210"/>
    </row>
    <row r="350" spans="1:3">
      <c r="A350" s="218" t="s">
        <v>13927</v>
      </c>
      <c r="B350" s="247" t="s">
        <v>13926</v>
      </c>
      <c r="C350" s="135">
        <v>519</v>
      </c>
    </row>
    <row r="351" spans="1:3">
      <c r="A351" s="218" t="s">
        <v>13925</v>
      </c>
      <c r="B351" s="247" t="s">
        <v>13924</v>
      </c>
      <c r="C351" s="135">
        <v>1139</v>
      </c>
    </row>
    <row r="352" spans="1:3">
      <c r="A352" s="246"/>
      <c r="B352" s="246"/>
      <c r="C352" s="210"/>
    </row>
    <row r="353" spans="1:3" ht="26">
      <c r="A353" s="148"/>
      <c r="B353" s="147" t="s">
        <v>13140</v>
      </c>
      <c r="C353" s="210"/>
    </row>
    <row r="354" spans="1:3" ht="26">
      <c r="A354" s="212" t="s">
        <v>13139</v>
      </c>
      <c r="B354" s="151" t="s">
        <v>13138</v>
      </c>
      <c r="C354" s="135">
        <v>389.99</v>
      </c>
    </row>
    <row r="355" spans="1:3" ht="39">
      <c r="A355" s="212" t="s">
        <v>13137</v>
      </c>
      <c r="B355" s="151" t="s">
        <v>13136</v>
      </c>
      <c r="C355" s="135">
        <v>479</v>
      </c>
    </row>
    <row r="356" spans="1:3" ht="39">
      <c r="A356" s="212" t="s">
        <v>13135</v>
      </c>
      <c r="B356" s="151" t="s">
        <v>13134</v>
      </c>
      <c r="C356" s="135">
        <v>479</v>
      </c>
    </row>
    <row r="357" spans="1:3">
      <c r="A357" s="148"/>
      <c r="B357" s="150"/>
      <c r="C357" s="210"/>
    </row>
    <row r="358" spans="1:3">
      <c r="A358" s="148"/>
      <c r="B358" s="147" t="s">
        <v>13133</v>
      </c>
      <c r="C358" s="210"/>
    </row>
    <row r="359" spans="1:3" ht="39">
      <c r="A359" s="212" t="s">
        <v>13923</v>
      </c>
      <c r="B359" s="151" t="s">
        <v>13922</v>
      </c>
      <c r="C359" s="135">
        <v>309</v>
      </c>
    </row>
    <row r="360" spans="1:3">
      <c r="A360" s="245"/>
      <c r="B360" s="244"/>
      <c r="C360" s="210"/>
    </row>
    <row r="361" spans="1:3" ht="26">
      <c r="A361" s="148"/>
      <c r="B361" s="149" t="s">
        <v>13107</v>
      </c>
      <c r="C361" s="210"/>
    </row>
    <row r="362" spans="1:3" ht="130">
      <c r="A362" s="146" t="s">
        <v>13921</v>
      </c>
      <c r="B362" s="145" t="s">
        <v>13920</v>
      </c>
      <c r="C362" s="135">
        <v>1609</v>
      </c>
    </row>
    <row r="363" spans="1:3" ht="28.5">
      <c r="A363" s="148"/>
      <c r="B363" s="147" t="s">
        <v>13104</v>
      </c>
      <c r="C363" s="210"/>
    </row>
    <row r="364" spans="1:3" ht="39">
      <c r="A364" s="212" t="s">
        <v>13919</v>
      </c>
      <c r="B364" s="152" t="s">
        <v>13918</v>
      </c>
      <c r="C364" s="135">
        <v>309.99</v>
      </c>
    </row>
    <row r="365" spans="1:3">
      <c r="A365" s="146" t="s">
        <v>13917</v>
      </c>
      <c r="B365" s="151" t="s">
        <v>13100</v>
      </c>
      <c r="C365" s="135">
        <v>149</v>
      </c>
    </row>
    <row r="366" spans="1:3">
      <c r="A366" s="146" t="s">
        <v>13916</v>
      </c>
      <c r="B366" s="151" t="s">
        <v>13098</v>
      </c>
      <c r="C366" s="135">
        <v>329</v>
      </c>
    </row>
    <row r="367" spans="1:3">
      <c r="A367" s="148"/>
      <c r="B367" s="150"/>
      <c r="C367" s="210"/>
    </row>
    <row r="368" spans="1:3" ht="26">
      <c r="A368" s="148"/>
      <c r="B368" s="149" t="s">
        <v>13097</v>
      </c>
      <c r="C368" s="210"/>
    </row>
    <row r="369" spans="1:3" ht="36.75" customHeight="1">
      <c r="A369" s="148"/>
      <c r="B369" s="147" t="s">
        <v>13096</v>
      </c>
      <c r="C369" s="210"/>
    </row>
    <row r="370" spans="1:3" ht="195">
      <c r="A370" s="146" t="s">
        <v>13915</v>
      </c>
      <c r="B370" s="145" t="s">
        <v>13914</v>
      </c>
      <c r="C370" s="135">
        <v>3199</v>
      </c>
    </row>
    <row r="371" spans="1:3" ht="195">
      <c r="A371" s="146" t="s">
        <v>13913</v>
      </c>
      <c r="B371" s="145" t="s">
        <v>13912</v>
      </c>
      <c r="C371" s="135">
        <v>3369</v>
      </c>
    </row>
    <row r="372" spans="1:3">
      <c r="A372" s="148"/>
      <c r="B372" s="150"/>
      <c r="C372" s="210"/>
    </row>
    <row r="373" spans="1:3">
      <c r="A373" s="148"/>
      <c r="B373" s="211" t="s">
        <v>13091</v>
      </c>
      <c r="C373" s="210"/>
    </row>
    <row r="374" spans="1:3">
      <c r="A374" s="148"/>
      <c r="B374" s="211" t="s">
        <v>13090</v>
      </c>
      <c r="C374" s="210"/>
    </row>
    <row r="375" spans="1:3" ht="26">
      <c r="A375" s="209" t="s">
        <v>13911</v>
      </c>
      <c r="B375" s="151" t="s">
        <v>13088</v>
      </c>
      <c r="C375" s="135">
        <v>2619</v>
      </c>
    </row>
  </sheetData>
  <sheetProtection insertColumns="0" insertRows="0"/>
  <autoFilter ref="A2:C323" xr:uid="{00000000-0009-0000-0000-000016000000}"/>
  <printOptions horizontalCentered="1"/>
  <pageMargins left="0.4" right="0.4" top="0.75" bottom="0.5" header="0.3" footer="0.3"/>
  <pageSetup scale="83" fitToHeight="0" orientation="portrait" r:id="rId1"/>
  <headerFooter>
    <oddHeader>&amp;C SETINA MFG 2022 PRICE LIST&amp;R&amp;A</oddHeader>
    <oddFooter>&amp;C&amp;F&amp;R&amp;P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B3A06-D81A-46A3-A377-0DC076533352}">
  <sheetPr codeName="Sheet26">
    <tabColor theme="2" tint="-9.9978637043366805E-2"/>
    <pageSetUpPr fitToPage="1"/>
  </sheetPr>
  <dimension ref="A1:C217"/>
  <sheetViews>
    <sheetView zoomScale="120" zoomScaleNormal="120" workbookViewId="0">
      <pane ySplit="2" topLeftCell="A3" activePane="bottomLeft" state="frozen"/>
      <selection activeCell="C8" sqref="C8"/>
      <selection pane="bottomLeft" activeCell="C8" sqref="C8"/>
    </sheetView>
  </sheetViews>
  <sheetFormatPr defaultColWidth="9.1796875" defaultRowHeight="14.5"/>
  <cols>
    <col min="1" max="1" width="28.1796875" style="332" bestFit="1" customWidth="1"/>
    <col min="2" max="2" width="78.7265625" style="332" customWidth="1"/>
    <col min="3" max="3" width="14.26953125" style="389" bestFit="1" customWidth="1"/>
    <col min="4" max="16384" width="9.1796875" style="332"/>
  </cols>
  <sheetData>
    <row r="1" spans="1:3" s="280" customFormat="1">
      <c r="A1" s="281" t="s">
        <v>15595</v>
      </c>
      <c r="B1" s="360"/>
      <c r="C1" s="392"/>
    </row>
    <row r="2" spans="1:3" s="158" customFormat="1">
      <c r="A2" s="235" t="s">
        <v>3519</v>
      </c>
      <c r="B2" s="234" t="s">
        <v>3518</v>
      </c>
      <c r="C2" s="200" t="s">
        <v>13563</v>
      </c>
    </row>
    <row r="3" spans="1:3">
      <c r="A3" s="246"/>
      <c r="B3" s="150"/>
      <c r="C3" s="197"/>
    </row>
    <row r="4" spans="1:3" ht="26">
      <c r="A4" s="231" t="s">
        <v>13511</v>
      </c>
      <c r="B4" s="217" t="s">
        <v>13776</v>
      </c>
      <c r="C4" s="391"/>
    </row>
    <row r="5" spans="1:3" ht="39">
      <c r="A5" s="212" t="s">
        <v>15594</v>
      </c>
      <c r="B5" s="213" t="s">
        <v>13774</v>
      </c>
      <c r="C5" s="135">
        <v>839</v>
      </c>
    </row>
    <row r="6" spans="1:3" ht="39">
      <c r="A6" s="212" t="s">
        <v>15593</v>
      </c>
      <c r="B6" s="213" t="s">
        <v>13772</v>
      </c>
      <c r="C6" s="135">
        <v>799</v>
      </c>
    </row>
    <row r="7" spans="1:3" ht="39">
      <c r="A7" s="212" t="s">
        <v>15592</v>
      </c>
      <c r="B7" s="213" t="s">
        <v>13770</v>
      </c>
      <c r="C7" s="135">
        <v>899</v>
      </c>
    </row>
    <row r="8" spans="1:3" ht="39">
      <c r="A8" s="212" t="s">
        <v>15591</v>
      </c>
      <c r="B8" s="213" t="s">
        <v>13768</v>
      </c>
      <c r="C8" s="135">
        <v>819</v>
      </c>
    </row>
    <row r="9" spans="1:3" ht="39">
      <c r="A9" s="212" t="s">
        <v>15590</v>
      </c>
      <c r="B9" s="213" t="s">
        <v>13766</v>
      </c>
      <c r="C9" s="135">
        <v>859</v>
      </c>
    </row>
    <row r="10" spans="1:3" ht="39">
      <c r="A10" s="212" t="s">
        <v>15589</v>
      </c>
      <c r="B10" s="213" t="s">
        <v>13764</v>
      </c>
      <c r="C10" s="135">
        <v>819</v>
      </c>
    </row>
    <row r="11" spans="1:3">
      <c r="A11" s="231" t="s">
        <v>13497</v>
      </c>
      <c r="B11" s="150"/>
    </row>
    <row r="12" spans="1:3" ht="39">
      <c r="A12" s="212" t="s">
        <v>15588</v>
      </c>
      <c r="B12" s="213" t="s">
        <v>13762</v>
      </c>
      <c r="C12" s="135">
        <v>959</v>
      </c>
    </row>
    <row r="13" spans="1:3" ht="39">
      <c r="A13" s="212" t="s">
        <v>15587</v>
      </c>
      <c r="B13" s="213" t="s">
        <v>13760</v>
      </c>
      <c r="C13" s="135">
        <v>919</v>
      </c>
    </row>
    <row r="14" spans="1:3" ht="52">
      <c r="A14" s="212" t="s">
        <v>15586</v>
      </c>
      <c r="B14" s="213" t="s">
        <v>13758</v>
      </c>
      <c r="C14" s="135">
        <v>1009</v>
      </c>
    </row>
    <row r="15" spans="1:3" ht="52">
      <c r="A15" s="212" t="s">
        <v>15585</v>
      </c>
      <c r="B15" s="213" t="s">
        <v>14190</v>
      </c>
      <c r="C15" s="135">
        <v>969</v>
      </c>
    </row>
    <row r="16" spans="1:3" ht="52">
      <c r="A16" s="212" t="s">
        <v>15584</v>
      </c>
      <c r="B16" s="213" t="s">
        <v>14188</v>
      </c>
      <c r="C16" s="135">
        <v>999</v>
      </c>
    </row>
    <row r="17" spans="1:3" ht="52">
      <c r="A17" s="212" t="s">
        <v>15583</v>
      </c>
      <c r="B17" s="213" t="s">
        <v>13752</v>
      </c>
      <c r="C17" s="135">
        <v>959</v>
      </c>
    </row>
    <row r="18" spans="1:3">
      <c r="A18" s="246"/>
      <c r="B18" s="150"/>
    </row>
    <row r="19" spans="1:3" ht="26">
      <c r="A19" s="231" t="s">
        <v>13511</v>
      </c>
      <c r="B19" s="217" t="s">
        <v>13537</v>
      </c>
    </row>
    <row r="20" spans="1:3" ht="39">
      <c r="A20" s="212" t="s">
        <v>15582</v>
      </c>
      <c r="B20" s="213" t="s">
        <v>13750</v>
      </c>
      <c r="C20" s="135">
        <v>999</v>
      </c>
    </row>
    <row r="21" spans="1:3" ht="39">
      <c r="A21" s="212" t="s">
        <v>15581</v>
      </c>
      <c r="B21" s="213" t="s">
        <v>13748</v>
      </c>
      <c r="C21" s="135">
        <v>959</v>
      </c>
    </row>
    <row r="22" spans="1:3" ht="39">
      <c r="A22" s="212" t="s">
        <v>15580</v>
      </c>
      <c r="B22" s="213" t="s">
        <v>13746</v>
      </c>
      <c r="C22" s="135">
        <v>1049</v>
      </c>
    </row>
    <row r="23" spans="1:3" ht="39">
      <c r="A23" s="212" t="s">
        <v>15579</v>
      </c>
      <c r="B23" s="213" t="s">
        <v>13744</v>
      </c>
      <c r="C23" s="135">
        <v>979</v>
      </c>
    </row>
    <row r="24" spans="1:3" ht="39">
      <c r="A24" s="212" t="s">
        <v>15578</v>
      </c>
      <c r="B24" s="213" t="s">
        <v>13742</v>
      </c>
      <c r="C24" s="135">
        <v>1009</v>
      </c>
    </row>
    <row r="25" spans="1:3" ht="39">
      <c r="A25" s="212" t="s">
        <v>15577</v>
      </c>
      <c r="B25" s="213" t="s">
        <v>13740</v>
      </c>
      <c r="C25" s="135">
        <v>969</v>
      </c>
    </row>
    <row r="26" spans="1:3">
      <c r="A26" s="231" t="s">
        <v>13497</v>
      </c>
      <c r="B26" s="150"/>
    </row>
    <row r="27" spans="1:3" ht="39">
      <c r="A27" s="212" t="s">
        <v>15576</v>
      </c>
      <c r="B27" s="213" t="s">
        <v>13738</v>
      </c>
      <c r="C27" s="135">
        <v>1099</v>
      </c>
    </row>
    <row r="28" spans="1:3" ht="39">
      <c r="A28" s="212" t="s">
        <v>15575</v>
      </c>
      <c r="B28" s="213" t="s">
        <v>13736</v>
      </c>
      <c r="C28" s="135">
        <v>1059</v>
      </c>
    </row>
    <row r="29" spans="1:3" ht="52">
      <c r="A29" s="212" t="s">
        <v>15574</v>
      </c>
      <c r="B29" s="213" t="s">
        <v>13734</v>
      </c>
      <c r="C29" s="135">
        <v>1149</v>
      </c>
    </row>
    <row r="30" spans="1:3" ht="52">
      <c r="A30" s="212" t="s">
        <v>15573</v>
      </c>
      <c r="B30" s="213" t="s">
        <v>13732</v>
      </c>
      <c r="C30" s="135">
        <v>1109</v>
      </c>
    </row>
    <row r="31" spans="1:3" ht="52">
      <c r="A31" s="212" t="s">
        <v>15572</v>
      </c>
      <c r="B31" s="213" t="s">
        <v>13730</v>
      </c>
      <c r="C31" s="135">
        <v>1139</v>
      </c>
    </row>
    <row r="32" spans="1:3" ht="52">
      <c r="A32" s="212" t="s">
        <v>15571</v>
      </c>
      <c r="B32" s="213" t="s">
        <v>13728</v>
      </c>
      <c r="C32" s="135">
        <v>1099</v>
      </c>
    </row>
    <row r="33" spans="1:3">
      <c r="A33" s="194" t="s">
        <v>13484</v>
      </c>
      <c r="B33" s="150"/>
    </row>
    <row r="34" spans="1:3">
      <c r="A34" s="194"/>
      <c r="B34" s="150"/>
    </row>
    <row r="35" spans="1:3" ht="39">
      <c r="A35" s="246"/>
      <c r="B35" s="147" t="s">
        <v>13727</v>
      </c>
    </row>
    <row r="36" spans="1:3" ht="65">
      <c r="A36" s="218" t="s">
        <v>15570</v>
      </c>
      <c r="B36" s="278" t="s">
        <v>15569</v>
      </c>
      <c r="C36" s="135">
        <v>1279</v>
      </c>
    </row>
    <row r="37" spans="1:3" ht="65">
      <c r="A37" s="218" t="s">
        <v>15568</v>
      </c>
      <c r="B37" s="278" t="s">
        <v>15567</v>
      </c>
      <c r="C37" s="135">
        <v>1279</v>
      </c>
    </row>
    <row r="38" spans="1:3">
      <c r="A38" s="158"/>
      <c r="B38" s="277"/>
    </row>
    <row r="39" spans="1:3" ht="26">
      <c r="A39" s="176" t="s">
        <v>13467</v>
      </c>
      <c r="B39" s="155" t="s">
        <v>13718</v>
      </c>
      <c r="C39" s="227"/>
    </row>
    <row r="40" spans="1:3" ht="91">
      <c r="A40" s="146" t="s">
        <v>15566</v>
      </c>
      <c r="B40" s="171" t="s">
        <v>14300</v>
      </c>
      <c r="C40" s="135">
        <v>599</v>
      </c>
    </row>
    <row r="41" spans="1:3">
      <c r="A41" s="246"/>
      <c r="B41" s="150"/>
    </row>
    <row r="42" spans="1:3" ht="26">
      <c r="A42" s="246"/>
      <c r="B42" s="273" t="s">
        <v>15534</v>
      </c>
    </row>
    <row r="43" spans="1:3">
      <c r="A43" s="246"/>
      <c r="B43" s="211" t="s">
        <v>13440</v>
      </c>
    </row>
    <row r="44" spans="1:3" ht="39">
      <c r="A44" s="212" t="s">
        <v>15565</v>
      </c>
      <c r="B44" s="213" t="s">
        <v>13438</v>
      </c>
      <c r="C44" s="135">
        <v>579</v>
      </c>
    </row>
    <row r="45" spans="1:3" ht="39">
      <c r="A45" s="212" t="s">
        <v>15564</v>
      </c>
      <c r="B45" s="213" t="s">
        <v>13662</v>
      </c>
      <c r="C45" s="135">
        <v>579</v>
      </c>
    </row>
    <row r="46" spans="1:3">
      <c r="A46" s="246"/>
      <c r="B46" s="225" t="s">
        <v>13379</v>
      </c>
    </row>
    <row r="47" spans="1:3">
      <c r="A47" s="246"/>
      <c r="B47" s="225"/>
    </row>
    <row r="48" spans="1:3" ht="26">
      <c r="A48" s="246"/>
      <c r="B48" s="273" t="s">
        <v>15534</v>
      </c>
    </row>
    <row r="49" spans="1:3">
      <c r="A49" s="246"/>
      <c r="B49" s="168" t="s">
        <v>15530</v>
      </c>
    </row>
    <row r="50" spans="1:3" ht="26">
      <c r="A50" s="246"/>
      <c r="B50" s="390" t="s">
        <v>15529</v>
      </c>
    </row>
    <row r="51" spans="1:3" ht="26">
      <c r="A51" s="212" t="s">
        <v>15563</v>
      </c>
      <c r="B51" s="213" t="s">
        <v>15527</v>
      </c>
      <c r="C51" s="135">
        <v>959</v>
      </c>
    </row>
    <row r="52" spans="1:3">
      <c r="A52" s="246"/>
      <c r="B52" s="150"/>
    </row>
    <row r="53" spans="1:3" ht="26">
      <c r="A53" s="246"/>
      <c r="B53" s="273" t="s">
        <v>15534</v>
      </c>
    </row>
    <row r="54" spans="1:3" ht="39">
      <c r="A54" s="246"/>
      <c r="B54" s="147" t="s">
        <v>13435</v>
      </c>
    </row>
    <row r="55" spans="1:3" ht="26">
      <c r="A55" s="212" t="s">
        <v>15562</v>
      </c>
      <c r="B55" s="141" t="s">
        <v>13434</v>
      </c>
      <c r="C55" s="135">
        <v>949</v>
      </c>
    </row>
    <row r="56" spans="1:3" ht="26">
      <c r="A56" s="212" t="s">
        <v>15561</v>
      </c>
      <c r="B56" s="141" t="s">
        <v>13433</v>
      </c>
      <c r="C56" s="135">
        <v>949</v>
      </c>
    </row>
    <row r="57" spans="1:3" ht="26">
      <c r="A57" s="212" t="s">
        <v>15560</v>
      </c>
      <c r="B57" s="141" t="s">
        <v>13432</v>
      </c>
      <c r="C57" s="135">
        <v>1029</v>
      </c>
    </row>
    <row r="58" spans="1:3">
      <c r="A58" s="246"/>
      <c r="B58" s="225" t="s">
        <v>13379</v>
      </c>
    </row>
    <row r="59" spans="1:3">
      <c r="A59" s="246"/>
      <c r="B59" s="225"/>
    </row>
    <row r="60" spans="1:3" ht="26">
      <c r="A60" s="246"/>
      <c r="B60" s="273" t="s">
        <v>15534</v>
      </c>
    </row>
    <row r="61" spans="1:3" ht="39">
      <c r="A61" s="246"/>
      <c r="B61" s="147" t="s">
        <v>13431</v>
      </c>
    </row>
    <row r="62" spans="1:3" ht="26">
      <c r="A62" s="212" t="s">
        <v>15559</v>
      </c>
      <c r="B62" s="141" t="s">
        <v>13430</v>
      </c>
      <c r="C62" s="135">
        <v>1179</v>
      </c>
    </row>
    <row r="63" spans="1:3" ht="26">
      <c r="A63" s="212" t="s">
        <v>15558</v>
      </c>
      <c r="B63" s="141" t="s">
        <v>13429</v>
      </c>
      <c r="C63" s="135">
        <v>1179</v>
      </c>
    </row>
    <row r="64" spans="1:3" ht="26">
      <c r="A64" s="212" t="s">
        <v>15557</v>
      </c>
      <c r="B64" s="141" t="s">
        <v>13428</v>
      </c>
      <c r="C64" s="135">
        <v>1339</v>
      </c>
    </row>
    <row r="65" spans="1:3">
      <c r="A65" s="246"/>
      <c r="B65" s="225" t="s">
        <v>13379</v>
      </c>
    </row>
    <row r="66" spans="1:3">
      <c r="A66" s="246"/>
      <c r="B66" s="225"/>
    </row>
    <row r="67" spans="1:3" ht="26">
      <c r="A67" s="246"/>
      <c r="B67" s="273" t="s">
        <v>15534</v>
      </c>
    </row>
    <row r="68" spans="1:3" ht="39">
      <c r="A68" s="140"/>
      <c r="B68" s="155" t="s">
        <v>13427</v>
      </c>
    </row>
    <row r="69" spans="1:3" ht="26">
      <c r="A69" s="177" t="s">
        <v>15556</v>
      </c>
      <c r="B69" s="141" t="s">
        <v>13426</v>
      </c>
      <c r="C69" s="135">
        <v>1459</v>
      </c>
    </row>
    <row r="70" spans="1:3" ht="26">
      <c r="A70" s="177" t="s">
        <v>15555</v>
      </c>
      <c r="B70" s="141" t="s">
        <v>13425</v>
      </c>
      <c r="C70" s="135">
        <v>1459</v>
      </c>
    </row>
    <row r="71" spans="1:3" ht="26">
      <c r="A71" s="177" t="s">
        <v>15554</v>
      </c>
      <c r="B71" s="141" t="s">
        <v>13424</v>
      </c>
      <c r="C71" s="135">
        <v>1689</v>
      </c>
    </row>
    <row r="72" spans="1:3">
      <c r="A72" s="179"/>
      <c r="B72" s="153"/>
    </row>
    <row r="73" spans="1:3" ht="26">
      <c r="A73" s="246"/>
      <c r="B73" s="273" t="s">
        <v>15534</v>
      </c>
    </row>
    <row r="74" spans="1:3">
      <c r="A74" s="134"/>
      <c r="B74" s="175" t="s">
        <v>13393</v>
      </c>
    </row>
    <row r="75" spans="1:3" ht="26.5">
      <c r="A75" s="185"/>
      <c r="B75" s="160" t="s">
        <v>13423</v>
      </c>
    </row>
    <row r="76" spans="1:3" ht="26">
      <c r="A76" s="177" t="s">
        <v>15553</v>
      </c>
      <c r="B76" s="141" t="s">
        <v>13421</v>
      </c>
      <c r="C76" s="135">
        <v>609</v>
      </c>
    </row>
    <row r="77" spans="1:3" ht="26">
      <c r="A77" s="177" t="s">
        <v>15552</v>
      </c>
      <c r="B77" s="141" t="s">
        <v>13419</v>
      </c>
      <c r="C77" s="135">
        <v>609</v>
      </c>
    </row>
    <row r="78" spans="1:3" ht="26">
      <c r="A78" s="177" t="s">
        <v>15551</v>
      </c>
      <c r="B78" s="141" t="s">
        <v>13417</v>
      </c>
      <c r="C78" s="135">
        <v>609</v>
      </c>
    </row>
    <row r="79" spans="1:3" ht="26">
      <c r="A79" s="177" t="s">
        <v>15550</v>
      </c>
      <c r="B79" s="141" t="s">
        <v>13415</v>
      </c>
      <c r="C79" s="135">
        <v>609</v>
      </c>
    </row>
    <row r="80" spans="1:3" ht="26">
      <c r="A80" s="177" t="s">
        <v>15549</v>
      </c>
      <c r="B80" s="141" t="s">
        <v>13413</v>
      </c>
      <c r="C80" s="135">
        <v>609</v>
      </c>
    </row>
    <row r="81" spans="1:3" ht="26">
      <c r="A81" s="177" t="s">
        <v>15548</v>
      </c>
      <c r="B81" s="141" t="s">
        <v>13411</v>
      </c>
      <c r="C81" s="135">
        <v>609</v>
      </c>
    </row>
    <row r="82" spans="1:3" ht="26">
      <c r="A82" s="177" t="s">
        <v>15547</v>
      </c>
      <c r="B82" s="141" t="s">
        <v>13409</v>
      </c>
      <c r="C82" s="135">
        <v>609</v>
      </c>
    </row>
    <row r="83" spans="1:3">
      <c r="A83" s="134"/>
      <c r="B83" s="184" t="s">
        <v>13379</v>
      </c>
    </row>
    <row r="84" spans="1:3">
      <c r="A84" s="134"/>
      <c r="B84" s="184"/>
    </row>
    <row r="85" spans="1:3" ht="26">
      <c r="A85" s="134"/>
      <c r="B85" s="273" t="s">
        <v>15534</v>
      </c>
    </row>
    <row r="86" spans="1:3">
      <c r="A86" s="134"/>
      <c r="B86" s="175" t="s">
        <v>13393</v>
      </c>
    </row>
    <row r="87" spans="1:3" ht="26.5">
      <c r="A87" s="185"/>
      <c r="B87" s="160" t="s">
        <v>13408</v>
      </c>
    </row>
    <row r="88" spans="1:3" ht="26">
      <c r="A88" s="177" t="s">
        <v>15546</v>
      </c>
      <c r="B88" s="141" t="s">
        <v>13406</v>
      </c>
      <c r="C88" s="135">
        <v>619</v>
      </c>
    </row>
    <row r="89" spans="1:3" ht="26">
      <c r="A89" s="177" t="s">
        <v>15545</v>
      </c>
      <c r="B89" s="141" t="s">
        <v>13404</v>
      </c>
      <c r="C89" s="135">
        <v>619</v>
      </c>
    </row>
    <row r="90" spans="1:3" ht="26">
      <c r="A90" s="177" t="s">
        <v>15544</v>
      </c>
      <c r="B90" s="141" t="s">
        <v>13402</v>
      </c>
      <c r="C90" s="135">
        <v>619</v>
      </c>
    </row>
    <row r="91" spans="1:3" ht="26">
      <c r="A91" s="177" t="s">
        <v>15543</v>
      </c>
      <c r="B91" s="141" t="s">
        <v>13400</v>
      </c>
      <c r="C91" s="135">
        <v>619</v>
      </c>
    </row>
    <row r="92" spans="1:3" ht="26">
      <c r="A92" s="177" t="s">
        <v>15542</v>
      </c>
      <c r="B92" s="141" t="s">
        <v>13398</v>
      </c>
      <c r="C92" s="135">
        <v>619</v>
      </c>
    </row>
    <row r="93" spans="1:3" ht="26">
      <c r="A93" s="177" t="s">
        <v>15541</v>
      </c>
      <c r="B93" s="141" t="s">
        <v>13396</v>
      </c>
      <c r="C93" s="135">
        <v>619</v>
      </c>
    </row>
    <row r="94" spans="1:3" ht="26">
      <c r="A94" s="177" t="s">
        <v>15540</v>
      </c>
      <c r="B94" s="141" t="s">
        <v>13394</v>
      </c>
      <c r="C94" s="135">
        <v>619</v>
      </c>
    </row>
    <row r="95" spans="1:3">
      <c r="A95" s="134"/>
      <c r="B95" s="184" t="s">
        <v>13379</v>
      </c>
    </row>
    <row r="96" spans="1:3">
      <c r="A96" s="134"/>
      <c r="B96" s="184"/>
    </row>
    <row r="97" spans="1:3" ht="26">
      <c r="A97" s="134"/>
      <c r="B97" s="273" t="s">
        <v>15534</v>
      </c>
    </row>
    <row r="98" spans="1:3">
      <c r="A98" s="134"/>
      <c r="B98" s="175" t="s">
        <v>13393</v>
      </c>
    </row>
    <row r="99" spans="1:3" ht="26.5">
      <c r="A99" s="185"/>
      <c r="B99" s="160" t="s">
        <v>13392</v>
      </c>
    </row>
    <row r="100" spans="1:3" ht="26">
      <c r="A100" s="177" t="s">
        <v>15539</v>
      </c>
      <c r="B100" s="141" t="s">
        <v>13390</v>
      </c>
      <c r="C100" s="135">
        <v>629</v>
      </c>
    </row>
    <row r="101" spans="1:3" ht="26">
      <c r="A101" s="178" t="s">
        <v>4895</v>
      </c>
      <c r="B101" s="141" t="s">
        <v>13389</v>
      </c>
      <c r="C101" s="135">
        <v>0</v>
      </c>
    </row>
    <row r="102" spans="1:3" ht="26">
      <c r="A102" s="177" t="s">
        <v>15538</v>
      </c>
      <c r="B102" s="141" t="s">
        <v>13387</v>
      </c>
      <c r="C102" s="135">
        <v>629</v>
      </c>
    </row>
    <row r="103" spans="1:3" ht="26">
      <c r="A103" s="177" t="s">
        <v>4895</v>
      </c>
      <c r="B103" s="141" t="s">
        <v>13386</v>
      </c>
      <c r="C103" s="135">
        <v>0</v>
      </c>
    </row>
    <row r="104" spans="1:3" ht="26">
      <c r="A104" s="177" t="s">
        <v>15537</v>
      </c>
      <c r="B104" s="141" t="s">
        <v>13384</v>
      </c>
      <c r="C104" s="135">
        <v>629</v>
      </c>
    </row>
    <row r="105" spans="1:3" ht="26">
      <c r="A105" s="177" t="s">
        <v>15536</v>
      </c>
      <c r="B105" s="141" t="s">
        <v>13382</v>
      </c>
      <c r="C105" s="135">
        <v>629</v>
      </c>
    </row>
    <row r="106" spans="1:3" ht="26">
      <c r="A106" s="177" t="s">
        <v>15535</v>
      </c>
      <c r="B106" s="141" t="s">
        <v>13380</v>
      </c>
      <c r="C106" s="135">
        <v>629</v>
      </c>
    </row>
    <row r="107" spans="1:3">
      <c r="A107" s="157" t="s">
        <v>13378</v>
      </c>
      <c r="B107" s="268"/>
    </row>
    <row r="108" spans="1:3">
      <c r="A108" s="157"/>
      <c r="B108" s="268"/>
    </row>
    <row r="109" spans="1:3" ht="26">
      <c r="A109" s="272"/>
      <c r="B109" s="273" t="s">
        <v>15534</v>
      </c>
    </row>
    <row r="110" spans="1:3">
      <c r="A110" s="272"/>
      <c r="B110" s="211" t="s">
        <v>13356</v>
      </c>
    </row>
    <row r="111" spans="1:3" ht="39">
      <c r="A111" s="218" t="s">
        <v>15533</v>
      </c>
      <c r="B111" s="213" t="s">
        <v>14226</v>
      </c>
      <c r="C111" s="135">
        <v>459</v>
      </c>
    </row>
    <row r="112" spans="1:3">
      <c r="A112" s="246"/>
      <c r="B112" s="150"/>
    </row>
    <row r="113" spans="1:3" ht="26">
      <c r="A113" s="246"/>
      <c r="B113" s="273" t="s">
        <v>15503</v>
      </c>
    </row>
    <row r="114" spans="1:3">
      <c r="A114" s="246"/>
      <c r="B114" s="211" t="s">
        <v>13440</v>
      </c>
    </row>
    <row r="115" spans="1:3" ht="39">
      <c r="A115" s="212" t="s">
        <v>15532</v>
      </c>
      <c r="B115" s="213" t="s">
        <v>13438</v>
      </c>
      <c r="C115" s="135">
        <v>579</v>
      </c>
    </row>
    <row r="116" spans="1:3" ht="39">
      <c r="A116" s="212" t="s">
        <v>15531</v>
      </c>
      <c r="B116" s="213" t="s">
        <v>13662</v>
      </c>
      <c r="C116" s="135">
        <v>579</v>
      </c>
    </row>
    <row r="117" spans="1:3">
      <c r="A117" s="246"/>
      <c r="B117" s="225" t="s">
        <v>13379</v>
      </c>
    </row>
    <row r="118" spans="1:3">
      <c r="A118" s="246"/>
      <c r="B118" s="150"/>
    </row>
    <row r="119" spans="1:3" ht="26">
      <c r="A119" s="246"/>
      <c r="B119" s="273" t="s">
        <v>15503</v>
      </c>
    </row>
    <row r="120" spans="1:3">
      <c r="A120" s="246"/>
      <c r="B120" s="168" t="s">
        <v>15530</v>
      </c>
    </row>
    <row r="121" spans="1:3" ht="26">
      <c r="A121" s="246"/>
      <c r="B121" s="390" t="s">
        <v>15529</v>
      </c>
    </row>
    <row r="122" spans="1:3" ht="26">
      <c r="A122" s="212" t="s">
        <v>15528</v>
      </c>
      <c r="B122" s="213" t="s">
        <v>15527</v>
      </c>
      <c r="C122" s="135">
        <v>959</v>
      </c>
    </row>
    <row r="123" spans="1:3">
      <c r="A123" s="246"/>
      <c r="B123" s="150"/>
    </row>
    <row r="124" spans="1:3" ht="26">
      <c r="A124" s="246"/>
      <c r="B124" s="273" t="s">
        <v>15503</v>
      </c>
    </row>
    <row r="125" spans="1:3" ht="39">
      <c r="A125" s="246"/>
      <c r="B125" s="147" t="s">
        <v>13435</v>
      </c>
    </row>
    <row r="126" spans="1:3" ht="26">
      <c r="A126" s="212" t="s">
        <v>15526</v>
      </c>
      <c r="B126" s="141" t="s">
        <v>13434</v>
      </c>
      <c r="C126" s="135">
        <v>949</v>
      </c>
    </row>
    <row r="127" spans="1:3" ht="26">
      <c r="A127" s="212" t="s">
        <v>15525</v>
      </c>
      <c r="B127" s="141" t="s">
        <v>13433</v>
      </c>
      <c r="C127" s="135">
        <v>949</v>
      </c>
    </row>
    <row r="128" spans="1:3" ht="26">
      <c r="A128" s="212" t="s">
        <v>15524</v>
      </c>
      <c r="B128" s="141" t="s">
        <v>13432</v>
      </c>
      <c r="C128" s="135">
        <v>1029</v>
      </c>
    </row>
    <row r="129" spans="1:3">
      <c r="A129" s="246"/>
      <c r="B129" s="225" t="s">
        <v>13379</v>
      </c>
    </row>
    <row r="130" spans="1:3">
      <c r="A130" s="246"/>
      <c r="B130" s="150"/>
    </row>
    <row r="131" spans="1:3" ht="26">
      <c r="A131" s="246"/>
      <c r="B131" s="273" t="s">
        <v>15503</v>
      </c>
    </row>
    <row r="132" spans="1:3" ht="39">
      <c r="A132" s="246"/>
      <c r="B132" s="147" t="s">
        <v>13431</v>
      </c>
    </row>
    <row r="133" spans="1:3" ht="26">
      <c r="A133" s="212" t="s">
        <v>15523</v>
      </c>
      <c r="B133" s="141" t="s">
        <v>13430</v>
      </c>
      <c r="C133" s="135">
        <v>1179</v>
      </c>
    </row>
    <row r="134" spans="1:3" ht="26">
      <c r="A134" s="212" t="s">
        <v>15522</v>
      </c>
      <c r="B134" s="141" t="s">
        <v>13429</v>
      </c>
      <c r="C134" s="135">
        <v>1179</v>
      </c>
    </row>
    <row r="135" spans="1:3" ht="26">
      <c r="A135" s="212" t="s">
        <v>15521</v>
      </c>
      <c r="B135" s="141" t="s">
        <v>13428</v>
      </c>
      <c r="C135" s="135">
        <v>1339</v>
      </c>
    </row>
    <row r="136" spans="1:3">
      <c r="A136" s="246"/>
      <c r="B136" s="225" t="s">
        <v>13379</v>
      </c>
    </row>
    <row r="137" spans="1:3">
      <c r="A137" s="246"/>
      <c r="B137" s="225"/>
    </row>
    <row r="138" spans="1:3" ht="26">
      <c r="A138" s="246"/>
      <c r="B138" s="273" t="s">
        <v>15503</v>
      </c>
    </row>
    <row r="139" spans="1:3" ht="39">
      <c r="A139" s="140"/>
      <c r="B139" s="155" t="s">
        <v>13427</v>
      </c>
    </row>
    <row r="140" spans="1:3" ht="26">
      <c r="A140" s="177" t="s">
        <v>15520</v>
      </c>
      <c r="B140" s="141" t="s">
        <v>13426</v>
      </c>
      <c r="C140" s="135">
        <v>1459</v>
      </c>
    </row>
    <row r="141" spans="1:3" ht="26">
      <c r="A141" s="177" t="s">
        <v>15519</v>
      </c>
      <c r="B141" s="141" t="s">
        <v>13425</v>
      </c>
      <c r="C141" s="135">
        <v>1459</v>
      </c>
    </row>
    <row r="142" spans="1:3" ht="26">
      <c r="A142" s="177" t="s">
        <v>15518</v>
      </c>
      <c r="B142" s="141" t="s">
        <v>13424</v>
      </c>
      <c r="C142" s="135">
        <v>1689</v>
      </c>
    </row>
    <row r="143" spans="1:3">
      <c r="A143" s="246"/>
      <c r="B143" s="225"/>
    </row>
    <row r="144" spans="1:3" ht="26">
      <c r="A144" s="246"/>
      <c r="B144" s="273" t="s">
        <v>15503</v>
      </c>
    </row>
    <row r="145" spans="1:3">
      <c r="A145" s="134"/>
      <c r="B145" s="175" t="s">
        <v>13393</v>
      </c>
    </row>
    <row r="146" spans="1:3" ht="26.5">
      <c r="A146" s="185"/>
      <c r="B146" s="160" t="s">
        <v>13423</v>
      </c>
    </row>
    <row r="147" spans="1:3" ht="26">
      <c r="A147" s="177" t="s">
        <v>15517</v>
      </c>
      <c r="B147" s="141" t="s">
        <v>13421</v>
      </c>
      <c r="C147" s="135">
        <v>609</v>
      </c>
    </row>
    <row r="148" spans="1:3" ht="26">
      <c r="A148" s="177" t="s">
        <v>15516</v>
      </c>
      <c r="B148" s="141" t="s">
        <v>13419</v>
      </c>
      <c r="C148" s="135">
        <v>609</v>
      </c>
    </row>
    <row r="149" spans="1:3" ht="26">
      <c r="A149" s="177" t="s">
        <v>15515</v>
      </c>
      <c r="B149" s="141" t="s">
        <v>13417</v>
      </c>
      <c r="C149" s="135">
        <v>609</v>
      </c>
    </row>
    <row r="150" spans="1:3" ht="26">
      <c r="A150" s="177" t="s">
        <v>15514</v>
      </c>
      <c r="B150" s="141" t="s">
        <v>13415</v>
      </c>
      <c r="C150" s="135">
        <v>609</v>
      </c>
    </row>
    <row r="151" spans="1:3" ht="26">
      <c r="A151" s="177" t="s">
        <v>15513</v>
      </c>
      <c r="B151" s="141" t="s">
        <v>13413</v>
      </c>
      <c r="C151" s="135">
        <v>609</v>
      </c>
    </row>
    <row r="152" spans="1:3" ht="26">
      <c r="A152" s="177" t="s">
        <v>15512</v>
      </c>
      <c r="B152" s="141" t="s">
        <v>13411</v>
      </c>
      <c r="C152" s="135">
        <v>609</v>
      </c>
    </row>
    <row r="153" spans="1:3" ht="26">
      <c r="A153" s="177" t="s">
        <v>15511</v>
      </c>
      <c r="B153" s="141" t="s">
        <v>13409</v>
      </c>
      <c r="C153" s="135">
        <v>609</v>
      </c>
    </row>
    <row r="154" spans="1:3">
      <c r="A154" s="134"/>
      <c r="B154" s="184" t="s">
        <v>13379</v>
      </c>
    </row>
    <row r="155" spans="1:3">
      <c r="A155" s="134"/>
      <c r="B155" s="184"/>
    </row>
    <row r="156" spans="1:3" ht="26">
      <c r="A156" s="134"/>
      <c r="B156" s="273" t="s">
        <v>15503</v>
      </c>
    </row>
    <row r="157" spans="1:3">
      <c r="A157" s="134"/>
      <c r="B157" s="175" t="s">
        <v>13393</v>
      </c>
    </row>
    <row r="158" spans="1:3" ht="26.5">
      <c r="A158" s="185"/>
      <c r="B158" s="160" t="s">
        <v>13408</v>
      </c>
    </row>
    <row r="159" spans="1:3" ht="26">
      <c r="A159" s="177" t="s">
        <v>15510</v>
      </c>
      <c r="B159" s="141" t="s">
        <v>13406</v>
      </c>
      <c r="C159" s="135">
        <v>619</v>
      </c>
    </row>
    <row r="160" spans="1:3" ht="26">
      <c r="A160" s="177" t="s">
        <v>15509</v>
      </c>
      <c r="B160" s="141" t="s">
        <v>13404</v>
      </c>
      <c r="C160" s="135">
        <v>619</v>
      </c>
    </row>
    <row r="161" spans="1:3" ht="26">
      <c r="A161" s="177" t="s">
        <v>15508</v>
      </c>
      <c r="B161" s="141" t="s">
        <v>13402</v>
      </c>
      <c r="C161" s="135">
        <v>619</v>
      </c>
    </row>
    <row r="162" spans="1:3" ht="26">
      <c r="A162" s="177" t="s">
        <v>15507</v>
      </c>
      <c r="B162" s="141" t="s">
        <v>13400</v>
      </c>
      <c r="C162" s="135">
        <v>619</v>
      </c>
    </row>
    <row r="163" spans="1:3" ht="26">
      <c r="A163" s="177" t="s">
        <v>15506</v>
      </c>
      <c r="B163" s="141" t="s">
        <v>13398</v>
      </c>
      <c r="C163" s="135">
        <v>619</v>
      </c>
    </row>
    <row r="164" spans="1:3" ht="26">
      <c r="A164" s="177" t="s">
        <v>15505</v>
      </c>
      <c r="B164" s="141" t="s">
        <v>13396</v>
      </c>
      <c r="C164" s="135">
        <v>619</v>
      </c>
    </row>
    <row r="165" spans="1:3" ht="26">
      <c r="A165" s="177" t="s">
        <v>15504</v>
      </c>
      <c r="B165" s="141" t="s">
        <v>13394</v>
      </c>
      <c r="C165" s="135">
        <v>619</v>
      </c>
    </row>
    <row r="166" spans="1:3">
      <c r="A166" s="134"/>
      <c r="B166" s="184" t="s">
        <v>13379</v>
      </c>
    </row>
    <row r="167" spans="1:3">
      <c r="A167" s="134"/>
      <c r="B167" s="184"/>
    </row>
    <row r="168" spans="1:3" ht="26">
      <c r="A168" s="134"/>
      <c r="B168" s="273" t="s">
        <v>15503</v>
      </c>
    </row>
    <row r="169" spans="1:3">
      <c r="A169" s="134"/>
      <c r="B169" s="175" t="s">
        <v>13393</v>
      </c>
    </row>
    <row r="170" spans="1:3" ht="26.5">
      <c r="A170" s="185"/>
      <c r="B170" s="160" t="s">
        <v>13392</v>
      </c>
    </row>
    <row r="171" spans="1:3" ht="26">
      <c r="A171" s="177" t="s">
        <v>15502</v>
      </c>
      <c r="B171" s="141" t="s">
        <v>13390</v>
      </c>
      <c r="C171" s="135">
        <v>629</v>
      </c>
    </row>
    <row r="172" spans="1:3" ht="26">
      <c r="A172" s="178" t="s">
        <v>4895</v>
      </c>
      <c r="B172" s="141" t="s">
        <v>13389</v>
      </c>
      <c r="C172" s="135">
        <v>0</v>
      </c>
    </row>
    <row r="173" spans="1:3" ht="26">
      <c r="A173" s="177" t="s">
        <v>15501</v>
      </c>
      <c r="B173" s="141" t="s">
        <v>13387</v>
      </c>
      <c r="C173" s="135">
        <v>629</v>
      </c>
    </row>
    <row r="174" spans="1:3" ht="26">
      <c r="A174" s="177" t="s">
        <v>4895</v>
      </c>
      <c r="B174" s="141" t="s">
        <v>13386</v>
      </c>
      <c r="C174" s="135">
        <v>0</v>
      </c>
    </row>
    <row r="175" spans="1:3" ht="26">
      <c r="A175" s="177" t="s">
        <v>15500</v>
      </c>
      <c r="B175" s="141" t="s">
        <v>13384</v>
      </c>
      <c r="C175" s="135">
        <v>629</v>
      </c>
    </row>
    <row r="176" spans="1:3" ht="26">
      <c r="A176" s="177" t="s">
        <v>15499</v>
      </c>
      <c r="B176" s="141" t="s">
        <v>13382</v>
      </c>
      <c r="C176" s="135">
        <v>629</v>
      </c>
    </row>
    <row r="177" spans="1:3" ht="26">
      <c r="A177" s="177" t="s">
        <v>15498</v>
      </c>
      <c r="B177" s="141" t="s">
        <v>13380</v>
      </c>
      <c r="C177" s="135">
        <v>629</v>
      </c>
    </row>
    <row r="178" spans="1:3">
      <c r="A178" s="157" t="s">
        <v>13378</v>
      </c>
      <c r="B178" s="268"/>
    </row>
    <row r="179" spans="1:3">
      <c r="A179" s="157"/>
      <c r="B179" s="268"/>
    </row>
    <row r="180" spans="1:3" ht="26">
      <c r="A180" s="229"/>
      <c r="B180" s="273" t="s">
        <v>15497</v>
      </c>
    </row>
    <row r="181" spans="1:3">
      <c r="A181" s="272"/>
      <c r="B181" s="211" t="s">
        <v>13356</v>
      </c>
    </row>
    <row r="182" spans="1:3" ht="39">
      <c r="A182" s="218" t="s">
        <v>15496</v>
      </c>
      <c r="B182" s="213" t="s">
        <v>14226</v>
      </c>
      <c r="C182" s="135">
        <v>459</v>
      </c>
    </row>
    <row r="183" spans="1:3">
      <c r="A183" s="246"/>
      <c r="B183" s="150"/>
    </row>
    <row r="184" spans="1:3" ht="26">
      <c r="A184" s="246"/>
      <c r="B184" s="273" t="s">
        <v>15495</v>
      </c>
    </row>
    <row r="185" spans="1:3">
      <c r="A185" s="246"/>
      <c r="B185" s="211" t="s">
        <v>13346</v>
      </c>
    </row>
    <row r="186" spans="1:3" ht="52">
      <c r="A186" s="212" t="s">
        <v>15494</v>
      </c>
      <c r="B186" s="213" t="s">
        <v>15493</v>
      </c>
      <c r="C186" s="135">
        <v>359</v>
      </c>
    </row>
    <row r="187" spans="1:3" ht="65">
      <c r="A187" s="212" t="s">
        <v>15492</v>
      </c>
      <c r="B187" s="213" t="s">
        <v>15491</v>
      </c>
      <c r="C187" s="135">
        <v>329</v>
      </c>
    </row>
    <row r="188" spans="1:3" ht="65">
      <c r="A188" s="212" t="s">
        <v>15479</v>
      </c>
      <c r="B188" s="213" t="s">
        <v>15490</v>
      </c>
      <c r="C188" s="135">
        <v>329</v>
      </c>
    </row>
    <row r="189" spans="1:3" ht="26.5">
      <c r="A189" s="212" t="s">
        <v>15489</v>
      </c>
      <c r="B189" s="220" t="s">
        <v>13606</v>
      </c>
      <c r="C189" s="135">
        <v>359</v>
      </c>
    </row>
    <row r="190" spans="1:3" ht="39.5">
      <c r="A190" s="212" t="s">
        <v>15480</v>
      </c>
      <c r="B190" s="220" t="s">
        <v>13570</v>
      </c>
      <c r="C190" s="135">
        <v>259</v>
      </c>
    </row>
    <row r="191" spans="1:3">
      <c r="A191" s="246"/>
      <c r="B191" s="150"/>
    </row>
    <row r="192" spans="1:3">
      <c r="A192" s="298"/>
      <c r="B192" s="211" t="s">
        <v>13327</v>
      </c>
    </row>
    <row r="193" spans="1:3" ht="39">
      <c r="A193" s="212" t="s">
        <v>15488</v>
      </c>
      <c r="B193" s="213" t="s">
        <v>14033</v>
      </c>
      <c r="C193" s="135">
        <v>249</v>
      </c>
    </row>
    <row r="194" spans="1:3">
      <c r="A194" s="246"/>
      <c r="B194" s="150"/>
    </row>
    <row r="195" spans="1:3">
      <c r="A195" s="246"/>
      <c r="B195" s="147" t="s">
        <v>15487</v>
      </c>
    </row>
    <row r="196" spans="1:3">
      <c r="A196" s="246"/>
      <c r="B196" s="147" t="s">
        <v>15486</v>
      </c>
    </row>
    <row r="197" spans="1:3" ht="26">
      <c r="A197" s="218" t="s">
        <v>15485</v>
      </c>
      <c r="B197" s="213" t="s">
        <v>13301</v>
      </c>
      <c r="C197" s="135">
        <v>379</v>
      </c>
    </row>
    <row r="198" spans="1:3">
      <c r="A198" s="246"/>
      <c r="B198" s="150"/>
    </row>
    <row r="199" spans="1:3">
      <c r="A199" s="246"/>
      <c r="B199" s="217" t="s">
        <v>13593</v>
      </c>
    </row>
    <row r="200" spans="1:3">
      <c r="A200" s="246"/>
      <c r="B200" s="217" t="s">
        <v>13592</v>
      </c>
    </row>
    <row r="201" spans="1:3">
      <c r="A201" s="246"/>
      <c r="B201" s="214" t="s">
        <v>14892</v>
      </c>
    </row>
    <row r="202" spans="1:3" ht="65">
      <c r="A202" s="218" t="s">
        <v>15484</v>
      </c>
      <c r="B202" s="213" t="s">
        <v>14012</v>
      </c>
      <c r="C202" s="135">
        <v>89</v>
      </c>
    </row>
    <row r="204" spans="1:3" ht="26">
      <c r="A204" s="246"/>
      <c r="B204" s="149" t="s">
        <v>13107</v>
      </c>
    </row>
    <row r="205" spans="1:3" ht="26">
      <c r="A205" s="271"/>
      <c r="B205" s="147" t="s">
        <v>13583</v>
      </c>
    </row>
    <row r="206" spans="1:3" ht="169">
      <c r="A206" s="146" t="s">
        <v>15483</v>
      </c>
      <c r="B206" s="145" t="s">
        <v>14211</v>
      </c>
      <c r="C206" s="135">
        <v>2669</v>
      </c>
    </row>
    <row r="207" spans="1:3" ht="169">
      <c r="A207" s="146" t="s">
        <v>15482</v>
      </c>
      <c r="B207" s="145" t="s">
        <v>14209</v>
      </c>
      <c r="C207" s="135">
        <v>2669</v>
      </c>
    </row>
    <row r="208" spans="1:3">
      <c r="A208" s="246"/>
      <c r="B208" s="150"/>
    </row>
    <row r="209" spans="1:3" ht="26">
      <c r="A209" s="246"/>
      <c r="B209" s="149" t="s">
        <v>13107</v>
      </c>
    </row>
    <row r="210" spans="1:3" ht="28.5">
      <c r="A210" s="246"/>
      <c r="B210" s="147" t="s">
        <v>13104</v>
      </c>
    </row>
    <row r="211" spans="1:3" ht="39">
      <c r="A211" s="212" t="s">
        <v>14208</v>
      </c>
      <c r="B211" s="152" t="s">
        <v>15481</v>
      </c>
      <c r="C211" s="135">
        <v>259.99</v>
      </c>
    </row>
    <row r="212" spans="1:3">
      <c r="A212" s="146" t="s">
        <v>15480</v>
      </c>
      <c r="B212" s="151" t="s">
        <v>13781</v>
      </c>
      <c r="C212" s="135">
        <v>259</v>
      </c>
    </row>
    <row r="213" spans="1:3">
      <c r="A213" s="146" t="s">
        <v>15479</v>
      </c>
      <c r="B213" s="151" t="s">
        <v>13098</v>
      </c>
      <c r="C213" s="135">
        <v>329</v>
      </c>
    </row>
    <row r="214" spans="1:3">
      <c r="A214" s="246"/>
      <c r="B214" s="150"/>
    </row>
    <row r="215" spans="1:3" ht="26">
      <c r="A215" s="246"/>
      <c r="B215" s="149" t="s">
        <v>13097</v>
      </c>
    </row>
    <row r="216" spans="1:3" ht="26">
      <c r="A216" s="271"/>
      <c r="B216" s="147" t="s">
        <v>13568</v>
      </c>
    </row>
    <row r="217" spans="1:3" ht="221">
      <c r="A217" s="146" t="s">
        <v>15478</v>
      </c>
      <c r="B217" s="145" t="s">
        <v>14203</v>
      </c>
      <c r="C217" s="135">
        <v>3459</v>
      </c>
    </row>
  </sheetData>
  <sheetProtection insertColumns="0" insertRows="0"/>
  <autoFilter ref="A2:C87" xr:uid="{00000000-0009-0000-0000-00001A000000}"/>
  <printOptions horizontalCentered="1"/>
  <pageMargins left="0.4" right="0.4" top="0.75" bottom="0.5" header="0.3" footer="0.3"/>
  <pageSetup scale="80" fitToHeight="0" orientation="portrait" r:id="rId1"/>
  <headerFooter>
    <oddHeader>&amp;C SETINA MFG 2022 PRICE LIST&amp;R&amp;A</oddHeader>
    <oddFooter>&amp;C&amp;F&amp;R&amp;P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74270-A574-4891-B2C2-BC652A766376}">
  <sheetPr codeName="Sheet25">
    <tabColor theme="2" tint="-9.9978637043366805E-2"/>
  </sheetPr>
  <dimension ref="A1:C104"/>
  <sheetViews>
    <sheetView zoomScale="120" zoomScaleNormal="120" workbookViewId="0">
      <selection activeCell="C8" sqref="C8"/>
    </sheetView>
  </sheetViews>
  <sheetFormatPr defaultRowHeight="14.5"/>
  <cols>
    <col min="1" max="1" width="20" bestFit="1" customWidth="1"/>
    <col min="2" max="2" width="76.1796875" bestFit="1" customWidth="1"/>
    <col min="3" max="3" width="12.7265625" bestFit="1" customWidth="1"/>
  </cols>
  <sheetData>
    <row r="1" spans="1:3">
      <c r="A1" s="238" t="s">
        <v>15477</v>
      </c>
      <c r="B1" s="282"/>
      <c r="C1" s="281"/>
    </row>
    <row r="2" spans="1:3">
      <c r="A2" s="235" t="s">
        <v>3519</v>
      </c>
      <c r="B2" s="234" t="s">
        <v>3518</v>
      </c>
      <c r="C2" s="200" t="s">
        <v>13563</v>
      </c>
    </row>
    <row r="3" spans="1:3">
      <c r="A3" s="388"/>
      <c r="B3" s="388"/>
      <c r="C3" s="332"/>
    </row>
    <row r="4" spans="1:3" ht="26">
      <c r="A4" s="387" t="s">
        <v>13511</v>
      </c>
      <c r="B4" s="173" t="s">
        <v>13510</v>
      </c>
      <c r="C4" s="227"/>
    </row>
    <row r="5" spans="1:3" ht="39">
      <c r="A5" s="178" t="s">
        <v>15476</v>
      </c>
      <c r="B5" s="141" t="s">
        <v>13508</v>
      </c>
      <c r="C5" s="135">
        <v>979</v>
      </c>
    </row>
    <row r="6" spans="1:3" ht="39">
      <c r="A6" s="178" t="s">
        <v>15475</v>
      </c>
      <c r="B6" s="141" t="s">
        <v>13506</v>
      </c>
      <c r="C6" s="135">
        <v>939</v>
      </c>
    </row>
    <row r="7" spans="1:3" ht="39">
      <c r="A7" s="178" t="s">
        <v>15474</v>
      </c>
      <c r="B7" s="141" t="s">
        <v>13504</v>
      </c>
      <c r="C7" s="135">
        <v>1029</v>
      </c>
    </row>
    <row r="8" spans="1:3" ht="39">
      <c r="A8" s="178" t="s">
        <v>15473</v>
      </c>
      <c r="B8" s="141" t="s">
        <v>13502</v>
      </c>
      <c r="C8" s="135">
        <v>969</v>
      </c>
    </row>
    <row r="9" spans="1:3" ht="39">
      <c r="A9" s="178" t="s">
        <v>15472</v>
      </c>
      <c r="B9" s="141" t="s">
        <v>13500</v>
      </c>
      <c r="C9" s="135">
        <v>1009</v>
      </c>
    </row>
    <row r="10" spans="1:3" ht="39">
      <c r="A10" s="178" t="s">
        <v>15471</v>
      </c>
      <c r="B10" s="141" t="s">
        <v>13498</v>
      </c>
      <c r="C10" s="135">
        <v>969</v>
      </c>
    </row>
    <row r="11" spans="1:3">
      <c r="A11" s="387" t="s">
        <v>13497</v>
      </c>
      <c r="B11" s="140"/>
      <c r="C11" s="227"/>
    </row>
    <row r="12" spans="1:3" ht="39">
      <c r="A12" s="178" t="s">
        <v>15470</v>
      </c>
      <c r="B12" s="141" t="s">
        <v>13495</v>
      </c>
      <c r="C12" s="135">
        <v>1089</v>
      </c>
    </row>
    <row r="13" spans="1:3" ht="39">
      <c r="A13" s="178" t="s">
        <v>15469</v>
      </c>
      <c r="B13" s="141" t="s">
        <v>13493</v>
      </c>
      <c r="C13" s="135">
        <v>1049</v>
      </c>
    </row>
    <row r="14" spans="1:3" ht="52">
      <c r="A14" s="178" t="s">
        <v>15468</v>
      </c>
      <c r="B14" s="141" t="s">
        <v>13491</v>
      </c>
      <c r="C14" s="135">
        <v>1149</v>
      </c>
    </row>
    <row r="15" spans="1:3" ht="52">
      <c r="A15" s="178" t="s">
        <v>15467</v>
      </c>
      <c r="B15" s="141" t="s">
        <v>13489</v>
      </c>
      <c r="C15" s="135">
        <v>1099</v>
      </c>
    </row>
    <row r="16" spans="1:3" ht="52">
      <c r="A16" s="178" t="s">
        <v>15466</v>
      </c>
      <c r="B16" s="141" t="s">
        <v>13487</v>
      </c>
      <c r="C16" s="135">
        <v>1129</v>
      </c>
    </row>
    <row r="17" spans="1:3" ht="52">
      <c r="A17" s="178" t="s">
        <v>15465</v>
      </c>
      <c r="B17" s="141" t="s">
        <v>13485</v>
      </c>
      <c r="C17" s="135">
        <v>1089</v>
      </c>
    </row>
    <row r="18" spans="1:3">
      <c r="A18" s="194" t="s">
        <v>13484</v>
      </c>
      <c r="B18" s="153"/>
      <c r="C18" s="227"/>
    </row>
    <row r="19" spans="1:3">
      <c r="A19" s="194"/>
      <c r="B19" s="153"/>
      <c r="C19" s="227"/>
    </row>
    <row r="20" spans="1:3" ht="26">
      <c r="A20" s="386"/>
      <c r="B20" s="147" t="s">
        <v>13455</v>
      </c>
      <c r="C20" s="227"/>
    </row>
    <row r="21" spans="1:3" ht="65">
      <c r="A21" s="178" t="s">
        <v>15464</v>
      </c>
      <c r="B21" s="141" t="s">
        <v>13451</v>
      </c>
      <c r="C21" s="135">
        <v>689</v>
      </c>
    </row>
    <row r="22" spans="1:3">
      <c r="C22" s="227"/>
    </row>
    <row r="23" spans="1:3">
      <c r="A23" s="385"/>
      <c r="B23" s="139" t="s">
        <v>13440</v>
      </c>
      <c r="C23" s="227"/>
    </row>
    <row r="24" spans="1:3" ht="39">
      <c r="A24" s="178" t="s">
        <v>15463</v>
      </c>
      <c r="B24" s="141" t="s">
        <v>13438</v>
      </c>
      <c r="C24" s="135">
        <v>579</v>
      </c>
    </row>
    <row r="25" spans="1:3" ht="39">
      <c r="A25" s="156" t="s">
        <v>15462</v>
      </c>
      <c r="B25" s="141" t="s">
        <v>13436</v>
      </c>
      <c r="C25" s="135">
        <v>579</v>
      </c>
    </row>
    <row r="26" spans="1:3">
      <c r="A26" s="323"/>
      <c r="B26" s="184" t="s">
        <v>13379</v>
      </c>
      <c r="C26" s="227"/>
    </row>
    <row r="27" spans="1:3">
      <c r="A27" s="323"/>
      <c r="B27" s="140"/>
      <c r="C27" s="227"/>
    </row>
    <row r="28" spans="1:3" ht="39">
      <c r="A28" s="323"/>
      <c r="B28" s="155" t="s">
        <v>13435</v>
      </c>
      <c r="C28" s="227"/>
    </row>
    <row r="29" spans="1:3" ht="26">
      <c r="A29" s="178" t="s">
        <v>15461</v>
      </c>
      <c r="B29" s="141" t="s">
        <v>13434</v>
      </c>
      <c r="C29" s="135">
        <v>949</v>
      </c>
    </row>
    <row r="30" spans="1:3" ht="26">
      <c r="A30" s="178" t="s">
        <v>15460</v>
      </c>
      <c r="B30" s="141" t="s">
        <v>13433</v>
      </c>
      <c r="C30" s="135">
        <v>949</v>
      </c>
    </row>
    <row r="31" spans="1:3" ht="26">
      <c r="A31" s="178" t="s">
        <v>15459</v>
      </c>
      <c r="B31" s="141" t="s">
        <v>13432</v>
      </c>
      <c r="C31" s="135">
        <v>1029</v>
      </c>
    </row>
    <row r="32" spans="1:3">
      <c r="A32" s="323"/>
      <c r="B32" s="184" t="s">
        <v>13379</v>
      </c>
      <c r="C32" s="227"/>
    </row>
    <row r="33" spans="1:3">
      <c r="A33" s="323"/>
      <c r="B33" s="140"/>
      <c r="C33" s="227"/>
    </row>
    <row r="34" spans="1:3" ht="39">
      <c r="A34" s="323"/>
      <c r="B34" s="155" t="s">
        <v>13431</v>
      </c>
      <c r="C34" s="227"/>
    </row>
    <row r="35" spans="1:3" ht="26">
      <c r="A35" s="178" t="s">
        <v>15458</v>
      </c>
      <c r="B35" s="141" t="s">
        <v>13430</v>
      </c>
      <c r="C35" s="135">
        <v>1179</v>
      </c>
    </row>
    <row r="36" spans="1:3" ht="26">
      <c r="A36" s="178" t="s">
        <v>15457</v>
      </c>
      <c r="B36" s="141" t="s">
        <v>13429</v>
      </c>
      <c r="C36" s="135">
        <v>1179</v>
      </c>
    </row>
    <row r="37" spans="1:3" ht="26">
      <c r="A37" s="178" t="s">
        <v>15456</v>
      </c>
      <c r="B37" s="141" t="s">
        <v>13428</v>
      </c>
      <c r="C37" s="135">
        <v>1339</v>
      </c>
    </row>
    <row r="38" spans="1:3">
      <c r="A38" s="323"/>
      <c r="B38" s="184" t="s">
        <v>13379</v>
      </c>
      <c r="C38" s="227"/>
    </row>
    <row r="39" spans="1:3">
      <c r="A39" s="323"/>
      <c r="B39" s="184"/>
      <c r="C39" s="227"/>
    </row>
    <row r="40" spans="1:3" ht="39">
      <c r="A40" s="323"/>
      <c r="B40" s="155" t="s">
        <v>13427</v>
      </c>
      <c r="C40" s="227"/>
    </row>
    <row r="41" spans="1:3" ht="26">
      <c r="A41" s="178" t="s">
        <v>15455</v>
      </c>
      <c r="B41" s="141" t="s">
        <v>13426</v>
      </c>
      <c r="C41" s="135">
        <v>1459</v>
      </c>
    </row>
    <row r="42" spans="1:3" ht="26">
      <c r="A42" s="178" t="s">
        <v>15454</v>
      </c>
      <c r="B42" s="141" t="s">
        <v>13425</v>
      </c>
      <c r="C42" s="135">
        <v>1459</v>
      </c>
    </row>
    <row r="43" spans="1:3" ht="26">
      <c r="A43" s="178" t="s">
        <v>15453</v>
      </c>
      <c r="B43" s="141" t="s">
        <v>13424</v>
      </c>
      <c r="C43" s="135">
        <v>1689</v>
      </c>
    </row>
    <row r="44" spans="1:3">
      <c r="A44" s="323"/>
      <c r="B44" s="184"/>
      <c r="C44" s="227"/>
    </row>
    <row r="45" spans="1:3">
      <c r="A45" s="323"/>
      <c r="B45" s="175" t="s">
        <v>13393</v>
      </c>
      <c r="C45" s="227"/>
    </row>
    <row r="46" spans="1:3" ht="26.5">
      <c r="A46" s="321"/>
      <c r="B46" s="160" t="s">
        <v>13423</v>
      </c>
      <c r="C46" s="227"/>
    </row>
    <row r="47" spans="1:3" ht="26">
      <c r="A47" s="178" t="s">
        <v>15452</v>
      </c>
      <c r="B47" s="141" t="s">
        <v>13421</v>
      </c>
      <c r="C47" s="135">
        <v>609</v>
      </c>
    </row>
    <row r="48" spans="1:3" ht="26">
      <c r="A48" s="178" t="s">
        <v>15451</v>
      </c>
      <c r="B48" s="141" t="s">
        <v>13419</v>
      </c>
      <c r="C48" s="135">
        <v>609</v>
      </c>
    </row>
    <row r="49" spans="1:3" ht="26">
      <c r="A49" s="178" t="s">
        <v>15450</v>
      </c>
      <c r="B49" s="141" t="s">
        <v>13417</v>
      </c>
      <c r="C49" s="135">
        <v>609</v>
      </c>
    </row>
    <row r="50" spans="1:3" ht="26">
      <c r="A50" s="178" t="s">
        <v>15449</v>
      </c>
      <c r="B50" s="141" t="s">
        <v>13415</v>
      </c>
      <c r="C50" s="135">
        <v>609</v>
      </c>
    </row>
    <row r="51" spans="1:3" ht="26">
      <c r="A51" s="178" t="s">
        <v>15448</v>
      </c>
      <c r="B51" s="141" t="s">
        <v>13413</v>
      </c>
      <c r="C51" s="135">
        <v>609</v>
      </c>
    </row>
    <row r="52" spans="1:3" ht="26">
      <c r="A52" s="178" t="s">
        <v>15447</v>
      </c>
      <c r="B52" s="141" t="s">
        <v>13411</v>
      </c>
      <c r="C52" s="135">
        <v>609</v>
      </c>
    </row>
    <row r="53" spans="1:3" ht="26">
      <c r="A53" s="178" t="s">
        <v>15446</v>
      </c>
      <c r="B53" s="141" t="s">
        <v>13409</v>
      </c>
      <c r="C53" s="135">
        <v>609</v>
      </c>
    </row>
    <row r="54" spans="1:3">
      <c r="A54" s="164"/>
      <c r="B54" s="184" t="s">
        <v>13379</v>
      </c>
      <c r="C54" s="227"/>
    </row>
    <row r="55" spans="1:3">
      <c r="A55" s="164"/>
      <c r="B55" s="184"/>
      <c r="C55" s="227"/>
    </row>
    <row r="56" spans="1:3">
      <c r="A56" s="164"/>
      <c r="B56" s="175" t="s">
        <v>13393</v>
      </c>
      <c r="C56" s="227"/>
    </row>
    <row r="57" spans="1:3" ht="26.5">
      <c r="A57" s="321"/>
      <c r="B57" s="160" t="s">
        <v>13408</v>
      </c>
      <c r="C57" s="227"/>
    </row>
    <row r="58" spans="1:3" ht="26">
      <c r="A58" s="178" t="s">
        <v>15445</v>
      </c>
      <c r="B58" s="141" t="s">
        <v>13406</v>
      </c>
      <c r="C58" s="135">
        <v>619</v>
      </c>
    </row>
    <row r="59" spans="1:3" ht="26">
      <c r="A59" s="178" t="s">
        <v>15444</v>
      </c>
      <c r="B59" s="141" t="s">
        <v>13404</v>
      </c>
      <c r="C59" s="135">
        <v>619</v>
      </c>
    </row>
    <row r="60" spans="1:3" ht="26">
      <c r="A60" s="178" t="s">
        <v>15443</v>
      </c>
      <c r="B60" s="141" t="s">
        <v>13402</v>
      </c>
      <c r="C60" s="135">
        <v>619</v>
      </c>
    </row>
    <row r="61" spans="1:3" ht="26">
      <c r="A61" s="178" t="s">
        <v>15442</v>
      </c>
      <c r="B61" s="141" t="s">
        <v>13400</v>
      </c>
      <c r="C61" s="135">
        <v>619</v>
      </c>
    </row>
    <row r="62" spans="1:3" ht="26">
      <c r="A62" s="178" t="s">
        <v>15441</v>
      </c>
      <c r="B62" s="141" t="s">
        <v>13398</v>
      </c>
      <c r="C62" s="135">
        <v>619</v>
      </c>
    </row>
    <row r="63" spans="1:3" ht="26">
      <c r="A63" s="178" t="s">
        <v>15440</v>
      </c>
      <c r="B63" s="141" t="s">
        <v>13396</v>
      </c>
      <c r="C63" s="135">
        <v>619</v>
      </c>
    </row>
    <row r="64" spans="1:3" ht="26">
      <c r="A64" s="178" t="s">
        <v>15439</v>
      </c>
      <c r="B64" s="141" t="s">
        <v>13394</v>
      </c>
      <c r="C64" s="135">
        <v>619</v>
      </c>
    </row>
    <row r="65" spans="1:3">
      <c r="A65" s="323"/>
      <c r="B65" s="184" t="s">
        <v>13379</v>
      </c>
      <c r="C65" s="227"/>
    </row>
    <row r="66" spans="1:3">
      <c r="A66" s="323"/>
      <c r="B66" s="184"/>
      <c r="C66" s="227"/>
    </row>
    <row r="67" spans="1:3">
      <c r="A67" s="164"/>
      <c r="B67" s="175" t="s">
        <v>13393</v>
      </c>
      <c r="C67" s="227"/>
    </row>
    <row r="68" spans="1:3" ht="26.5">
      <c r="A68" s="321"/>
      <c r="B68" s="160" t="s">
        <v>13392</v>
      </c>
      <c r="C68" s="227"/>
    </row>
    <row r="69" spans="1:3" ht="26">
      <c r="A69" s="178" t="s">
        <v>15438</v>
      </c>
      <c r="B69" s="141" t="s">
        <v>13390</v>
      </c>
      <c r="C69" s="135">
        <v>629</v>
      </c>
    </row>
    <row r="70" spans="1:3" ht="26">
      <c r="A70" s="178" t="s">
        <v>4895</v>
      </c>
      <c r="B70" s="141" t="s">
        <v>13389</v>
      </c>
      <c r="C70" s="135">
        <v>0</v>
      </c>
    </row>
    <row r="71" spans="1:3" ht="26">
      <c r="A71" s="178" t="s">
        <v>15437</v>
      </c>
      <c r="B71" s="141" t="s">
        <v>13387</v>
      </c>
      <c r="C71" s="135">
        <v>629</v>
      </c>
    </row>
    <row r="72" spans="1:3" ht="26">
      <c r="A72" s="178" t="s">
        <v>4895</v>
      </c>
      <c r="B72" s="141" t="s">
        <v>13386</v>
      </c>
      <c r="C72" s="135">
        <v>0</v>
      </c>
    </row>
    <row r="73" spans="1:3" ht="26">
      <c r="A73" s="178" t="s">
        <v>15436</v>
      </c>
      <c r="B73" s="141" t="s">
        <v>13384</v>
      </c>
      <c r="C73" s="135">
        <v>629</v>
      </c>
    </row>
    <row r="74" spans="1:3" ht="26">
      <c r="A74" s="178" t="s">
        <v>15435</v>
      </c>
      <c r="B74" s="141" t="s">
        <v>13382</v>
      </c>
      <c r="C74" s="135">
        <v>629</v>
      </c>
    </row>
    <row r="75" spans="1:3" ht="26">
      <c r="A75" s="178" t="s">
        <v>15434</v>
      </c>
      <c r="B75" s="141" t="s">
        <v>13380</v>
      </c>
      <c r="C75" s="135">
        <v>629</v>
      </c>
    </row>
    <row r="76" spans="1:3">
      <c r="A76" s="323"/>
      <c r="B76" s="184" t="s">
        <v>13379</v>
      </c>
      <c r="C76" s="227"/>
    </row>
    <row r="77" spans="1:3">
      <c r="A77" s="157" t="s">
        <v>13378</v>
      </c>
      <c r="B77" s="184"/>
      <c r="C77" s="227"/>
    </row>
    <row r="78" spans="1:3">
      <c r="A78" s="157"/>
      <c r="B78" s="184"/>
      <c r="C78" s="227"/>
    </row>
    <row r="79" spans="1:3">
      <c r="A79" s="323"/>
      <c r="B79" s="155" t="s">
        <v>13346</v>
      </c>
      <c r="C79" s="227"/>
    </row>
    <row r="80" spans="1:3" ht="39.5">
      <c r="A80" s="178" t="s">
        <v>15433</v>
      </c>
      <c r="B80" s="220" t="s">
        <v>14723</v>
      </c>
      <c r="C80" s="135">
        <v>329</v>
      </c>
    </row>
    <row r="81" spans="1:3" ht="39.5">
      <c r="A81" s="383" t="s">
        <v>15432</v>
      </c>
      <c r="B81" s="220" t="s">
        <v>13608</v>
      </c>
      <c r="C81" s="135">
        <v>329</v>
      </c>
    </row>
    <row r="82" spans="1:3" ht="26.5">
      <c r="A82" s="383" t="s">
        <v>15431</v>
      </c>
      <c r="B82" s="220" t="s">
        <v>13606</v>
      </c>
      <c r="C82" s="135">
        <v>359</v>
      </c>
    </row>
    <row r="83" spans="1:3">
      <c r="C83" s="210"/>
    </row>
    <row r="84" spans="1:3">
      <c r="B84" s="384" t="s">
        <v>13327</v>
      </c>
      <c r="C84" s="210"/>
    </row>
    <row r="85" spans="1:3" ht="39.5">
      <c r="A85" s="383" t="s">
        <v>15430</v>
      </c>
      <c r="B85" s="220" t="s">
        <v>13597</v>
      </c>
      <c r="C85" s="135">
        <v>249</v>
      </c>
    </row>
    <row r="86" spans="1:3" ht="39">
      <c r="A86" s="383" t="s">
        <v>15429</v>
      </c>
      <c r="B86" s="151" t="s">
        <v>13325</v>
      </c>
      <c r="C86" s="135">
        <v>339</v>
      </c>
    </row>
    <row r="87" spans="1:3">
      <c r="C87" s="227"/>
    </row>
    <row r="88" spans="1:3">
      <c r="A88" s="323"/>
      <c r="B88" s="139" t="s">
        <v>13248</v>
      </c>
      <c r="C88" s="227"/>
    </row>
    <row r="89" spans="1:3">
      <c r="A89" s="323"/>
      <c r="B89" s="166" t="s">
        <v>13278</v>
      </c>
      <c r="C89" s="227"/>
    </row>
    <row r="90" spans="1:3">
      <c r="A90" s="323"/>
      <c r="B90" s="165" t="s">
        <v>15426</v>
      </c>
      <c r="C90" s="227"/>
    </row>
    <row r="91" spans="1:3" ht="39">
      <c r="A91" s="156" t="s">
        <v>15428</v>
      </c>
      <c r="B91" s="141" t="s">
        <v>13276</v>
      </c>
      <c r="C91" s="135">
        <v>1389</v>
      </c>
    </row>
    <row r="92" spans="1:3" ht="39">
      <c r="A92" s="156" t="s">
        <v>15427</v>
      </c>
      <c r="B92" s="141" t="s">
        <v>13274</v>
      </c>
      <c r="C92" s="135">
        <v>2409</v>
      </c>
    </row>
    <row r="93" spans="1:3">
      <c r="A93" s="323"/>
      <c r="B93" s="140"/>
      <c r="C93" s="227"/>
    </row>
    <row r="94" spans="1:3">
      <c r="A94" s="323"/>
      <c r="B94" s="139" t="s">
        <v>13248</v>
      </c>
      <c r="C94" s="227"/>
    </row>
    <row r="95" spans="1:3">
      <c r="A95" s="323"/>
      <c r="B95" s="166" t="s">
        <v>13247</v>
      </c>
      <c r="C95" s="227"/>
    </row>
    <row r="96" spans="1:3">
      <c r="A96" s="323"/>
      <c r="B96" s="165" t="s">
        <v>15426</v>
      </c>
      <c r="C96" s="227"/>
    </row>
    <row r="97" spans="1:3" ht="78">
      <c r="A97" s="156" t="s">
        <v>15425</v>
      </c>
      <c r="B97" s="141" t="s">
        <v>265</v>
      </c>
      <c r="C97" s="135">
        <v>1869</v>
      </c>
    </row>
    <row r="98" spans="1:3" ht="78">
      <c r="A98" s="156" t="s">
        <v>15424</v>
      </c>
      <c r="B98" s="141" t="s">
        <v>13241</v>
      </c>
      <c r="C98" s="135">
        <v>2889</v>
      </c>
    </row>
    <row r="99" spans="1:3">
      <c r="C99" s="227"/>
    </row>
    <row r="100" spans="1:3" ht="26">
      <c r="B100" s="147" t="s">
        <v>13967</v>
      </c>
      <c r="C100" s="227"/>
    </row>
    <row r="101" spans="1:3">
      <c r="B101" s="147" t="s">
        <v>15423</v>
      </c>
      <c r="C101" s="227"/>
    </row>
    <row r="102" spans="1:3" ht="26">
      <c r="A102" s="156" t="s">
        <v>15422</v>
      </c>
      <c r="B102" s="151" t="s">
        <v>15421</v>
      </c>
      <c r="C102" s="135">
        <v>1819</v>
      </c>
    </row>
    <row r="103" spans="1:3" ht="26">
      <c r="A103" s="156" t="s">
        <v>15420</v>
      </c>
      <c r="B103" s="151" t="s">
        <v>15419</v>
      </c>
      <c r="C103" s="135">
        <v>2039</v>
      </c>
    </row>
    <row r="104" spans="1:3">
      <c r="A104" s="156" t="s">
        <v>15418</v>
      </c>
      <c r="B104" s="247" t="s">
        <v>13926</v>
      </c>
      <c r="C104" s="135">
        <v>429</v>
      </c>
    </row>
  </sheetData>
  <sheetProtection insertColumns="0" insertRows="0"/>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48891-CC46-4574-875A-B5FACFEEBA45}">
  <sheetPr codeName="Sheet13">
    <tabColor theme="2" tint="-9.9978637043366805E-2"/>
    <pageSetUpPr fitToPage="1"/>
  </sheetPr>
  <dimension ref="A1:C242"/>
  <sheetViews>
    <sheetView zoomScale="120" zoomScaleNormal="120" zoomScaleSheetLayoutView="80" zoomScalePageLayoutView="112" workbookViewId="0">
      <pane ySplit="2" topLeftCell="A3" activePane="bottomLeft" state="frozen"/>
      <selection activeCell="C8" sqref="C8"/>
      <selection pane="bottomLeft" activeCell="C8" sqref="C8"/>
    </sheetView>
  </sheetViews>
  <sheetFormatPr defaultColWidth="9.1796875" defaultRowHeight="14.5"/>
  <cols>
    <col min="1" max="1" width="29.453125" style="158" bestFit="1" customWidth="1"/>
    <col min="2" max="2" width="78.7265625" style="207" customWidth="1"/>
    <col min="3" max="3" width="15" style="206" bestFit="1" customWidth="1"/>
    <col min="4" max="16384" width="9.1796875" style="167"/>
  </cols>
  <sheetData>
    <row r="1" spans="1:3" s="280" customFormat="1">
      <c r="A1" s="238" t="s">
        <v>14343</v>
      </c>
      <c r="B1" s="282"/>
      <c r="C1" s="281"/>
    </row>
    <row r="2" spans="1:3" s="158" customFormat="1">
      <c r="A2" s="235" t="s">
        <v>3519</v>
      </c>
      <c r="B2" s="234" t="s">
        <v>3518</v>
      </c>
      <c r="C2" s="200" t="s">
        <v>13563</v>
      </c>
    </row>
    <row r="3" spans="1:3">
      <c r="A3" s="246"/>
      <c r="B3" s="150"/>
      <c r="C3" s="233"/>
    </row>
    <row r="4" spans="1:3" ht="26">
      <c r="A4" s="231" t="s">
        <v>13511</v>
      </c>
      <c r="B4" s="217" t="s">
        <v>13776</v>
      </c>
      <c r="C4" s="232"/>
    </row>
    <row r="5" spans="1:3" ht="39">
      <c r="A5" s="212" t="s">
        <v>14342</v>
      </c>
      <c r="B5" s="213" t="s">
        <v>13774</v>
      </c>
      <c r="C5" s="135">
        <v>839</v>
      </c>
    </row>
    <row r="6" spans="1:3" ht="39">
      <c r="A6" s="212" t="s">
        <v>14341</v>
      </c>
      <c r="B6" s="213" t="s">
        <v>13772</v>
      </c>
      <c r="C6" s="135">
        <v>799</v>
      </c>
    </row>
    <row r="7" spans="1:3" ht="39">
      <c r="A7" s="212" t="s">
        <v>14340</v>
      </c>
      <c r="B7" s="213" t="s">
        <v>13770</v>
      </c>
      <c r="C7" s="135">
        <v>899</v>
      </c>
    </row>
    <row r="8" spans="1:3" ht="39">
      <c r="A8" s="212" t="s">
        <v>14339</v>
      </c>
      <c r="B8" s="213" t="s">
        <v>13768</v>
      </c>
      <c r="C8" s="135">
        <v>819</v>
      </c>
    </row>
    <row r="9" spans="1:3" ht="39">
      <c r="A9" s="212" t="s">
        <v>14338</v>
      </c>
      <c r="B9" s="213" t="s">
        <v>13766</v>
      </c>
      <c r="C9" s="135">
        <v>859</v>
      </c>
    </row>
    <row r="10" spans="1:3" ht="39">
      <c r="A10" s="212" t="s">
        <v>14337</v>
      </c>
      <c r="B10" s="213" t="s">
        <v>13764</v>
      </c>
      <c r="C10" s="135">
        <v>819</v>
      </c>
    </row>
    <row r="11" spans="1:3">
      <c r="A11" s="231" t="s">
        <v>13497</v>
      </c>
      <c r="B11" s="279"/>
      <c r="C11" s="210"/>
    </row>
    <row r="12" spans="1:3" ht="39">
      <c r="A12" s="212" t="s">
        <v>14336</v>
      </c>
      <c r="B12" s="213" t="s">
        <v>13762</v>
      </c>
      <c r="C12" s="135">
        <v>959</v>
      </c>
    </row>
    <row r="13" spans="1:3" ht="39">
      <c r="A13" s="212" t="s">
        <v>14335</v>
      </c>
      <c r="B13" s="213" t="s">
        <v>13760</v>
      </c>
      <c r="C13" s="135">
        <v>919</v>
      </c>
    </row>
    <row r="14" spans="1:3" ht="52">
      <c r="A14" s="212" t="s">
        <v>14334</v>
      </c>
      <c r="B14" s="213" t="s">
        <v>13758</v>
      </c>
      <c r="C14" s="135">
        <v>1009</v>
      </c>
    </row>
    <row r="15" spans="1:3" ht="52">
      <c r="A15" s="212" t="s">
        <v>14333</v>
      </c>
      <c r="B15" s="213" t="s">
        <v>13756</v>
      </c>
      <c r="C15" s="135">
        <v>969</v>
      </c>
    </row>
    <row r="16" spans="1:3" ht="52">
      <c r="A16" s="212" t="s">
        <v>14332</v>
      </c>
      <c r="B16" s="213" t="s">
        <v>14188</v>
      </c>
      <c r="C16" s="135">
        <v>999</v>
      </c>
    </row>
    <row r="17" spans="1:3" ht="52">
      <c r="A17" s="212" t="s">
        <v>14331</v>
      </c>
      <c r="B17" s="213" t="s">
        <v>13752</v>
      </c>
      <c r="C17" s="135">
        <v>959</v>
      </c>
    </row>
    <row r="18" spans="1:3">
      <c r="A18" s="272"/>
      <c r="B18" s="272"/>
      <c r="C18" s="210"/>
    </row>
    <row r="19" spans="1:3" ht="26">
      <c r="A19" s="231" t="s">
        <v>13511</v>
      </c>
      <c r="B19" s="217" t="s">
        <v>13537</v>
      </c>
      <c r="C19" s="210"/>
    </row>
    <row r="20" spans="1:3" ht="39">
      <c r="A20" s="212" t="s">
        <v>14330</v>
      </c>
      <c r="B20" s="213" t="s">
        <v>13750</v>
      </c>
      <c r="C20" s="135">
        <v>999</v>
      </c>
    </row>
    <row r="21" spans="1:3" ht="39">
      <c r="A21" s="212" t="s">
        <v>14329</v>
      </c>
      <c r="B21" s="213" t="s">
        <v>13748</v>
      </c>
      <c r="C21" s="135">
        <v>959</v>
      </c>
    </row>
    <row r="22" spans="1:3" ht="39">
      <c r="A22" s="212" t="s">
        <v>14328</v>
      </c>
      <c r="B22" s="213" t="s">
        <v>13746</v>
      </c>
      <c r="C22" s="135">
        <v>1049</v>
      </c>
    </row>
    <row r="23" spans="1:3" ht="39">
      <c r="A23" s="212" t="s">
        <v>14327</v>
      </c>
      <c r="B23" s="213" t="s">
        <v>13744</v>
      </c>
      <c r="C23" s="135">
        <v>979</v>
      </c>
    </row>
    <row r="24" spans="1:3" ht="39">
      <c r="A24" s="212" t="s">
        <v>14326</v>
      </c>
      <c r="B24" s="213" t="s">
        <v>13742</v>
      </c>
      <c r="C24" s="135">
        <v>1009</v>
      </c>
    </row>
    <row r="25" spans="1:3" ht="39">
      <c r="A25" s="212" t="s">
        <v>14325</v>
      </c>
      <c r="B25" s="213" t="s">
        <v>13740</v>
      </c>
      <c r="C25" s="135">
        <v>969</v>
      </c>
    </row>
    <row r="26" spans="1:3">
      <c r="A26" s="231" t="s">
        <v>13497</v>
      </c>
      <c r="B26" s="272"/>
      <c r="C26" s="210"/>
    </row>
    <row r="27" spans="1:3" ht="39">
      <c r="A27" s="212" t="s">
        <v>14324</v>
      </c>
      <c r="B27" s="213" t="s">
        <v>13738</v>
      </c>
      <c r="C27" s="135">
        <v>1099</v>
      </c>
    </row>
    <row r="28" spans="1:3" ht="39">
      <c r="A28" s="212" t="s">
        <v>14323</v>
      </c>
      <c r="B28" s="213" t="s">
        <v>13736</v>
      </c>
      <c r="C28" s="135">
        <v>1059</v>
      </c>
    </row>
    <row r="29" spans="1:3" ht="52">
      <c r="A29" s="212" t="s">
        <v>14322</v>
      </c>
      <c r="B29" s="213" t="s">
        <v>13734</v>
      </c>
      <c r="C29" s="135">
        <v>1149</v>
      </c>
    </row>
    <row r="30" spans="1:3" ht="52">
      <c r="A30" s="212" t="s">
        <v>14321</v>
      </c>
      <c r="B30" s="213" t="s">
        <v>13732</v>
      </c>
      <c r="C30" s="135">
        <v>1109</v>
      </c>
    </row>
    <row r="31" spans="1:3" ht="52">
      <c r="A31" s="212" t="s">
        <v>14320</v>
      </c>
      <c r="B31" s="213" t="s">
        <v>13730</v>
      </c>
      <c r="C31" s="135">
        <v>1139</v>
      </c>
    </row>
    <row r="32" spans="1:3" ht="52">
      <c r="A32" s="212" t="s">
        <v>14319</v>
      </c>
      <c r="B32" s="213" t="s">
        <v>13728</v>
      </c>
      <c r="C32" s="135">
        <v>1099</v>
      </c>
    </row>
    <row r="33" spans="1:3">
      <c r="A33" s="272"/>
      <c r="B33" s="272"/>
      <c r="C33" s="210"/>
    </row>
    <row r="34" spans="1:3" ht="26">
      <c r="A34" s="231" t="s">
        <v>13511</v>
      </c>
      <c r="B34" s="217" t="s">
        <v>13510</v>
      </c>
      <c r="C34" s="210"/>
    </row>
    <row r="35" spans="1:3" ht="39">
      <c r="A35" s="212" t="s">
        <v>14318</v>
      </c>
      <c r="B35" s="213" t="s">
        <v>14173</v>
      </c>
      <c r="C35" s="135">
        <v>999</v>
      </c>
    </row>
    <row r="36" spans="1:3" ht="39">
      <c r="A36" s="212" t="s">
        <v>14317</v>
      </c>
      <c r="B36" s="213" t="s">
        <v>14171</v>
      </c>
      <c r="C36" s="135">
        <v>959</v>
      </c>
    </row>
    <row r="37" spans="1:3" ht="39">
      <c r="A37" s="212" t="s">
        <v>14316</v>
      </c>
      <c r="B37" s="213" t="s">
        <v>14169</v>
      </c>
      <c r="C37" s="135">
        <v>1049</v>
      </c>
    </row>
    <row r="38" spans="1:3" ht="39">
      <c r="A38" s="212" t="s">
        <v>14315</v>
      </c>
      <c r="B38" s="213" t="s">
        <v>14167</v>
      </c>
      <c r="C38" s="135">
        <v>979</v>
      </c>
    </row>
    <row r="39" spans="1:3" ht="39">
      <c r="A39" s="212" t="s">
        <v>14314</v>
      </c>
      <c r="B39" s="213" t="s">
        <v>14165</v>
      </c>
      <c r="C39" s="135">
        <v>1009</v>
      </c>
    </row>
    <row r="40" spans="1:3" ht="39">
      <c r="A40" s="212" t="s">
        <v>14313</v>
      </c>
      <c r="B40" s="213" t="s">
        <v>14163</v>
      </c>
      <c r="C40" s="135">
        <v>969</v>
      </c>
    </row>
    <row r="41" spans="1:3">
      <c r="A41" s="231" t="s">
        <v>13497</v>
      </c>
      <c r="B41" s="272"/>
      <c r="C41" s="210"/>
    </row>
    <row r="42" spans="1:3" ht="39">
      <c r="A42" s="212" t="s">
        <v>14312</v>
      </c>
      <c r="B42" s="213" t="s">
        <v>14161</v>
      </c>
      <c r="C42" s="135">
        <v>1099</v>
      </c>
    </row>
    <row r="43" spans="1:3" ht="39">
      <c r="A43" s="212" t="s">
        <v>14311</v>
      </c>
      <c r="B43" s="213" t="s">
        <v>14159</v>
      </c>
      <c r="C43" s="135">
        <v>1059</v>
      </c>
    </row>
    <row r="44" spans="1:3" ht="52">
      <c r="A44" s="212" t="s">
        <v>14310</v>
      </c>
      <c r="B44" s="213" t="s">
        <v>14309</v>
      </c>
      <c r="C44" s="135">
        <v>1149</v>
      </c>
    </row>
    <row r="45" spans="1:3" ht="52">
      <c r="A45" s="212" t="s">
        <v>14308</v>
      </c>
      <c r="B45" s="213" t="s">
        <v>14155</v>
      </c>
      <c r="C45" s="135">
        <v>1109</v>
      </c>
    </row>
    <row r="46" spans="1:3" ht="52">
      <c r="A46" s="212" t="s">
        <v>14307</v>
      </c>
      <c r="B46" s="213" t="s">
        <v>14153</v>
      </c>
      <c r="C46" s="135">
        <v>1139</v>
      </c>
    </row>
    <row r="47" spans="1:3" ht="52">
      <c r="A47" s="212" t="s">
        <v>14306</v>
      </c>
      <c r="B47" s="213" t="s">
        <v>14151</v>
      </c>
      <c r="C47" s="135">
        <v>1099</v>
      </c>
    </row>
    <row r="48" spans="1:3">
      <c r="A48" s="194" t="s">
        <v>13484</v>
      </c>
      <c r="B48" s="272"/>
      <c r="C48" s="210"/>
    </row>
    <row r="49" spans="1:3">
      <c r="A49" s="194"/>
      <c r="B49" s="272"/>
      <c r="C49" s="210"/>
    </row>
    <row r="50" spans="1:3" ht="39">
      <c r="A50" s="272"/>
      <c r="B50" s="147" t="s">
        <v>13727</v>
      </c>
      <c r="C50" s="210"/>
    </row>
    <row r="51" spans="1:3" ht="52">
      <c r="A51" s="218" t="s">
        <v>14305</v>
      </c>
      <c r="B51" s="278" t="s">
        <v>14304</v>
      </c>
      <c r="C51" s="135">
        <v>1279</v>
      </c>
    </row>
    <row r="52" spans="1:3" ht="52">
      <c r="A52" s="218" t="s">
        <v>14303</v>
      </c>
      <c r="B52" s="278" t="s">
        <v>14302</v>
      </c>
      <c r="C52" s="135">
        <v>1279</v>
      </c>
    </row>
    <row r="53" spans="1:3">
      <c r="B53" s="277"/>
      <c r="C53" s="210"/>
    </row>
    <row r="54" spans="1:3" ht="26">
      <c r="A54" s="176" t="s">
        <v>13467</v>
      </c>
      <c r="B54" s="155" t="s">
        <v>13718</v>
      </c>
      <c r="C54" s="227"/>
    </row>
    <row r="55" spans="1:3" ht="91">
      <c r="A55" s="146" t="s">
        <v>14301</v>
      </c>
      <c r="B55" s="171" t="s">
        <v>14300</v>
      </c>
      <c r="C55" s="135">
        <v>599</v>
      </c>
    </row>
    <row r="56" spans="1:3" ht="78">
      <c r="A56" s="146" t="s">
        <v>14299</v>
      </c>
      <c r="B56" s="171" t="s">
        <v>14298</v>
      </c>
      <c r="C56" s="135">
        <v>599</v>
      </c>
    </row>
    <row r="57" spans="1:3">
      <c r="A57" s="272"/>
      <c r="B57" s="272"/>
      <c r="C57" s="210"/>
    </row>
    <row r="58" spans="1:3" ht="26">
      <c r="A58" s="272"/>
      <c r="B58" s="273" t="s">
        <v>14272</v>
      </c>
      <c r="C58" s="210"/>
    </row>
    <row r="59" spans="1:3" ht="15.5">
      <c r="A59" s="272"/>
      <c r="B59" s="274" t="s">
        <v>14265</v>
      </c>
      <c r="C59" s="210"/>
    </row>
    <row r="60" spans="1:3">
      <c r="A60" s="272"/>
      <c r="B60" s="211" t="s">
        <v>13440</v>
      </c>
      <c r="C60" s="210"/>
    </row>
    <row r="61" spans="1:3" ht="39">
      <c r="A61" s="212" t="s">
        <v>14297</v>
      </c>
      <c r="B61" s="213" t="s">
        <v>13438</v>
      </c>
      <c r="C61" s="135">
        <v>579</v>
      </c>
    </row>
    <row r="62" spans="1:3" ht="39">
      <c r="A62" s="212" t="s">
        <v>14296</v>
      </c>
      <c r="B62" s="213" t="s">
        <v>13662</v>
      </c>
      <c r="C62" s="135">
        <v>579</v>
      </c>
    </row>
    <row r="63" spans="1:3">
      <c r="A63" s="272"/>
      <c r="B63" s="225" t="s">
        <v>13379</v>
      </c>
      <c r="C63" s="210"/>
    </row>
    <row r="64" spans="1:3">
      <c r="A64" s="272"/>
      <c r="B64" s="225"/>
      <c r="C64" s="210"/>
    </row>
    <row r="65" spans="1:3" ht="26">
      <c r="A65" s="272"/>
      <c r="B65" s="273" t="s">
        <v>14272</v>
      </c>
      <c r="C65" s="210"/>
    </row>
    <row r="66" spans="1:3" ht="15.5">
      <c r="A66" s="272"/>
      <c r="B66" s="274" t="s">
        <v>14265</v>
      </c>
      <c r="C66" s="210"/>
    </row>
    <row r="67" spans="1:3" ht="39">
      <c r="A67" s="272"/>
      <c r="B67" s="147" t="s">
        <v>13435</v>
      </c>
      <c r="C67" s="210"/>
    </row>
    <row r="68" spans="1:3" ht="26">
      <c r="A68" s="212" t="s">
        <v>14295</v>
      </c>
      <c r="B68" s="213" t="s">
        <v>13434</v>
      </c>
      <c r="C68" s="135">
        <v>949</v>
      </c>
    </row>
    <row r="69" spans="1:3" ht="26">
      <c r="A69" s="212" t="s">
        <v>14294</v>
      </c>
      <c r="B69" s="213" t="s">
        <v>13433</v>
      </c>
      <c r="C69" s="135">
        <v>949</v>
      </c>
    </row>
    <row r="70" spans="1:3" ht="26">
      <c r="A70" s="212" t="s">
        <v>14293</v>
      </c>
      <c r="B70" s="213" t="s">
        <v>13432</v>
      </c>
      <c r="C70" s="135">
        <v>1029</v>
      </c>
    </row>
    <row r="71" spans="1:3">
      <c r="A71" s="272"/>
      <c r="B71" s="225" t="s">
        <v>13379</v>
      </c>
      <c r="C71" s="210"/>
    </row>
    <row r="72" spans="1:3">
      <c r="A72" s="272"/>
      <c r="B72" s="225"/>
      <c r="C72" s="210"/>
    </row>
    <row r="73" spans="1:3" ht="26">
      <c r="A73" s="272"/>
      <c r="B73" s="273" t="s">
        <v>14272</v>
      </c>
      <c r="C73" s="210"/>
    </row>
    <row r="74" spans="1:3" ht="15.5">
      <c r="A74" s="272"/>
      <c r="B74" s="274" t="s">
        <v>14265</v>
      </c>
      <c r="C74" s="210"/>
    </row>
    <row r="75" spans="1:3" ht="39">
      <c r="A75" s="272"/>
      <c r="B75" s="147" t="s">
        <v>13431</v>
      </c>
      <c r="C75" s="210"/>
    </row>
    <row r="76" spans="1:3" ht="26">
      <c r="A76" s="212" t="s">
        <v>14292</v>
      </c>
      <c r="B76" s="213" t="s">
        <v>13430</v>
      </c>
      <c r="C76" s="135">
        <v>1179</v>
      </c>
    </row>
    <row r="77" spans="1:3" ht="26">
      <c r="A77" s="212" t="s">
        <v>14291</v>
      </c>
      <c r="B77" s="213" t="s">
        <v>13429</v>
      </c>
      <c r="C77" s="135">
        <v>1179</v>
      </c>
    </row>
    <row r="78" spans="1:3" ht="26">
      <c r="A78" s="212" t="s">
        <v>14290</v>
      </c>
      <c r="B78" s="213" t="s">
        <v>13428</v>
      </c>
      <c r="C78" s="135">
        <v>1339</v>
      </c>
    </row>
    <row r="79" spans="1:3">
      <c r="A79" s="272"/>
      <c r="B79" s="225" t="s">
        <v>13379</v>
      </c>
      <c r="C79" s="210"/>
    </row>
    <row r="80" spans="1:3">
      <c r="A80" s="272"/>
      <c r="B80" s="225"/>
      <c r="C80" s="210"/>
    </row>
    <row r="81" spans="1:3" ht="26">
      <c r="A81" s="272"/>
      <c r="B81" s="273" t="s">
        <v>14272</v>
      </c>
      <c r="C81" s="210"/>
    </row>
    <row r="82" spans="1:3" ht="15.5">
      <c r="A82" s="272"/>
      <c r="B82" s="274" t="s">
        <v>14265</v>
      </c>
      <c r="C82" s="210"/>
    </row>
    <row r="83" spans="1:3" ht="39">
      <c r="A83" s="140"/>
      <c r="B83" s="155" t="s">
        <v>13427</v>
      </c>
      <c r="C83" s="210"/>
    </row>
    <row r="84" spans="1:3" ht="26">
      <c r="A84" s="177" t="s">
        <v>14289</v>
      </c>
      <c r="B84" s="141" t="s">
        <v>13426</v>
      </c>
      <c r="C84" s="135">
        <v>1459</v>
      </c>
    </row>
    <row r="85" spans="1:3" ht="26">
      <c r="A85" s="177" t="s">
        <v>14288</v>
      </c>
      <c r="B85" s="141" t="s">
        <v>13425</v>
      </c>
      <c r="C85" s="135">
        <v>1459</v>
      </c>
    </row>
    <row r="86" spans="1:3" ht="26">
      <c r="A86" s="177" t="s">
        <v>14287</v>
      </c>
      <c r="B86" s="141" t="s">
        <v>13424</v>
      </c>
      <c r="C86" s="135">
        <v>1689</v>
      </c>
    </row>
    <row r="87" spans="1:3">
      <c r="A87" s="272"/>
      <c r="B87" s="225"/>
      <c r="C87" s="210"/>
    </row>
    <row r="88" spans="1:3" ht="26">
      <c r="A88" s="272"/>
      <c r="B88" s="273" t="s">
        <v>14272</v>
      </c>
      <c r="C88" s="210"/>
    </row>
    <row r="89" spans="1:3" ht="15.5">
      <c r="A89" s="272"/>
      <c r="B89" s="274" t="s">
        <v>14265</v>
      </c>
      <c r="C89" s="210"/>
    </row>
    <row r="90" spans="1:3">
      <c r="A90" s="134"/>
      <c r="B90" s="175" t="s">
        <v>13393</v>
      </c>
      <c r="C90" s="210"/>
    </row>
    <row r="91" spans="1:3" ht="26">
      <c r="A91" s="185"/>
      <c r="B91" s="160" t="s">
        <v>13423</v>
      </c>
      <c r="C91" s="210"/>
    </row>
    <row r="92" spans="1:3" ht="26">
      <c r="A92" s="177" t="s">
        <v>14286</v>
      </c>
      <c r="B92" s="141" t="s">
        <v>13421</v>
      </c>
      <c r="C92" s="135">
        <v>609</v>
      </c>
    </row>
    <row r="93" spans="1:3" ht="26">
      <c r="A93" s="177" t="s">
        <v>14285</v>
      </c>
      <c r="B93" s="141" t="s">
        <v>13419</v>
      </c>
      <c r="C93" s="135">
        <v>609</v>
      </c>
    </row>
    <row r="94" spans="1:3" ht="26">
      <c r="A94" s="177" t="s">
        <v>14284</v>
      </c>
      <c r="B94" s="141" t="s">
        <v>13417</v>
      </c>
      <c r="C94" s="135">
        <v>609</v>
      </c>
    </row>
    <row r="95" spans="1:3" ht="26">
      <c r="A95" s="177" t="s">
        <v>14283</v>
      </c>
      <c r="B95" s="141" t="s">
        <v>13415</v>
      </c>
      <c r="C95" s="135">
        <v>609</v>
      </c>
    </row>
    <row r="96" spans="1:3" ht="26">
      <c r="A96" s="177" t="s">
        <v>14282</v>
      </c>
      <c r="B96" s="141" t="s">
        <v>13413</v>
      </c>
      <c r="C96" s="135">
        <v>609</v>
      </c>
    </row>
    <row r="97" spans="1:3" ht="26">
      <c r="A97" s="177" t="s">
        <v>14281</v>
      </c>
      <c r="B97" s="141" t="s">
        <v>13411</v>
      </c>
      <c r="C97" s="135">
        <v>609</v>
      </c>
    </row>
    <row r="98" spans="1:3" ht="26">
      <c r="A98" s="177" t="s">
        <v>14280</v>
      </c>
      <c r="B98" s="141" t="s">
        <v>13409</v>
      </c>
      <c r="C98" s="135">
        <v>609</v>
      </c>
    </row>
    <row r="99" spans="1:3">
      <c r="A99" s="134"/>
      <c r="B99" s="184" t="s">
        <v>13379</v>
      </c>
      <c r="C99" s="210"/>
    </row>
    <row r="100" spans="1:3">
      <c r="A100" s="134"/>
      <c r="B100" s="184"/>
      <c r="C100" s="210"/>
    </row>
    <row r="101" spans="1:3" ht="26">
      <c r="A101" s="134"/>
      <c r="B101" s="273" t="s">
        <v>14272</v>
      </c>
      <c r="C101" s="210"/>
    </row>
    <row r="102" spans="1:3" ht="15.5">
      <c r="A102" s="134"/>
      <c r="B102" s="274" t="s">
        <v>14265</v>
      </c>
      <c r="C102" s="210"/>
    </row>
    <row r="103" spans="1:3">
      <c r="A103" s="134"/>
      <c r="B103" s="175" t="s">
        <v>13393</v>
      </c>
      <c r="C103" s="210"/>
    </row>
    <row r="104" spans="1:3" ht="26">
      <c r="A104" s="185"/>
      <c r="B104" s="160" t="s">
        <v>13408</v>
      </c>
      <c r="C104" s="210"/>
    </row>
    <row r="105" spans="1:3" ht="26">
      <c r="A105" s="177" t="s">
        <v>14279</v>
      </c>
      <c r="B105" s="141" t="s">
        <v>13406</v>
      </c>
      <c r="C105" s="135">
        <v>619</v>
      </c>
    </row>
    <row r="106" spans="1:3" ht="26">
      <c r="A106" s="177" t="s">
        <v>14278</v>
      </c>
      <c r="B106" s="141" t="s">
        <v>13404</v>
      </c>
      <c r="C106" s="135">
        <v>619</v>
      </c>
    </row>
    <row r="107" spans="1:3" ht="26">
      <c r="A107" s="177" t="s">
        <v>14277</v>
      </c>
      <c r="B107" s="141" t="s">
        <v>13402</v>
      </c>
      <c r="C107" s="135">
        <v>619</v>
      </c>
    </row>
    <row r="108" spans="1:3" ht="26">
      <c r="A108" s="177" t="s">
        <v>14276</v>
      </c>
      <c r="B108" s="141" t="s">
        <v>13400</v>
      </c>
      <c r="C108" s="135">
        <v>619</v>
      </c>
    </row>
    <row r="109" spans="1:3" ht="26">
      <c r="A109" s="177" t="s">
        <v>14275</v>
      </c>
      <c r="B109" s="141" t="s">
        <v>13398</v>
      </c>
      <c r="C109" s="135">
        <v>619</v>
      </c>
    </row>
    <row r="110" spans="1:3" ht="26">
      <c r="A110" s="177" t="s">
        <v>14274</v>
      </c>
      <c r="B110" s="141" t="s">
        <v>13396</v>
      </c>
      <c r="C110" s="135">
        <v>619</v>
      </c>
    </row>
    <row r="111" spans="1:3" ht="26">
      <c r="A111" s="177" t="s">
        <v>14273</v>
      </c>
      <c r="B111" s="141" t="s">
        <v>13394</v>
      </c>
      <c r="C111" s="135">
        <v>619</v>
      </c>
    </row>
    <row r="112" spans="1:3">
      <c r="A112" s="134"/>
      <c r="B112" s="184" t="s">
        <v>13379</v>
      </c>
      <c r="C112" s="210"/>
    </row>
    <row r="113" spans="1:3">
      <c r="A113" s="134"/>
      <c r="B113" s="184"/>
      <c r="C113" s="210"/>
    </row>
    <row r="114" spans="1:3" ht="26">
      <c r="A114" s="134"/>
      <c r="B114" s="273" t="s">
        <v>14272</v>
      </c>
      <c r="C114" s="210"/>
    </row>
    <row r="115" spans="1:3" ht="15.5">
      <c r="A115" s="134"/>
      <c r="B115" s="274" t="s">
        <v>14265</v>
      </c>
      <c r="C115" s="210"/>
    </row>
    <row r="116" spans="1:3">
      <c r="A116" s="134"/>
      <c r="B116" s="175" t="s">
        <v>13393</v>
      </c>
      <c r="C116" s="210"/>
    </row>
    <row r="117" spans="1:3" ht="26">
      <c r="A117" s="185"/>
      <c r="B117" s="160" t="s">
        <v>13392</v>
      </c>
      <c r="C117" s="210"/>
    </row>
    <row r="118" spans="1:3" ht="26">
      <c r="A118" s="177" t="s">
        <v>14271</v>
      </c>
      <c r="B118" s="141" t="s">
        <v>13390</v>
      </c>
      <c r="C118" s="135">
        <v>629</v>
      </c>
    </row>
    <row r="119" spans="1:3" ht="26">
      <c r="A119" s="178" t="s">
        <v>4895</v>
      </c>
      <c r="B119" s="141" t="s">
        <v>13389</v>
      </c>
      <c r="C119" s="135">
        <v>0</v>
      </c>
    </row>
    <row r="120" spans="1:3" ht="26">
      <c r="A120" s="177" t="s">
        <v>14270</v>
      </c>
      <c r="B120" s="141" t="s">
        <v>13387</v>
      </c>
      <c r="C120" s="135">
        <v>629</v>
      </c>
    </row>
    <row r="121" spans="1:3" ht="26">
      <c r="A121" s="177" t="s">
        <v>4895</v>
      </c>
      <c r="B121" s="141" t="s">
        <v>13386</v>
      </c>
      <c r="C121" s="135">
        <v>0</v>
      </c>
    </row>
    <row r="122" spans="1:3" ht="26">
      <c r="A122" s="177" t="s">
        <v>14269</v>
      </c>
      <c r="B122" s="141" t="s">
        <v>13384</v>
      </c>
      <c r="C122" s="135">
        <v>629</v>
      </c>
    </row>
    <row r="123" spans="1:3" ht="26">
      <c r="A123" s="177" t="s">
        <v>14268</v>
      </c>
      <c r="B123" s="141" t="s">
        <v>13382</v>
      </c>
      <c r="C123" s="135">
        <v>629</v>
      </c>
    </row>
    <row r="124" spans="1:3" ht="26">
      <c r="A124" s="177" t="s">
        <v>14267</v>
      </c>
      <c r="B124" s="141" t="s">
        <v>13380</v>
      </c>
      <c r="C124" s="135">
        <v>629</v>
      </c>
    </row>
    <row r="125" spans="1:3">
      <c r="A125" s="157" t="s">
        <v>13378</v>
      </c>
      <c r="B125" s="272"/>
      <c r="C125" s="210"/>
    </row>
    <row r="126" spans="1:3">
      <c r="A126" s="157"/>
      <c r="B126" s="272"/>
      <c r="C126" s="210"/>
    </row>
    <row r="127" spans="1:3" ht="26">
      <c r="A127" s="272"/>
      <c r="B127" s="273" t="s">
        <v>14266</v>
      </c>
      <c r="C127" s="210"/>
    </row>
    <row r="128" spans="1:3" ht="15.5">
      <c r="A128" s="272"/>
      <c r="B128" s="274" t="s">
        <v>14265</v>
      </c>
      <c r="C128" s="210"/>
    </row>
    <row r="129" spans="1:3">
      <c r="A129" s="272"/>
      <c r="B129" s="211" t="s">
        <v>13356</v>
      </c>
      <c r="C129" s="210"/>
    </row>
    <row r="130" spans="1:3" ht="39">
      <c r="A130" s="218" t="s">
        <v>14264</v>
      </c>
      <c r="B130" s="213" t="s">
        <v>14226</v>
      </c>
      <c r="C130" s="135">
        <v>459</v>
      </c>
    </row>
    <row r="131" spans="1:3">
      <c r="A131" s="272"/>
      <c r="B131" s="272"/>
      <c r="C131" s="210"/>
    </row>
    <row r="132" spans="1:3" ht="26">
      <c r="A132" s="272"/>
      <c r="B132" s="273" t="s">
        <v>14238</v>
      </c>
      <c r="C132" s="210"/>
    </row>
    <row r="133" spans="1:3" ht="15.5">
      <c r="A133" s="272"/>
      <c r="B133" s="274" t="s">
        <v>14228</v>
      </c>
      <c r="C133" s="210"/>
    </row>
    <row r="134" spans="1:3">
      <c r="A134" s="272"/>
      <c r="B134" s="211" t="s">
        <v>13440</v>
      </c>
      <c r="C134" s="210"/>
    </row>
    <row r="135" spans="1:3" ht="39">
      <c r="A135" s="212" t="s">
        <v>14263</v>
      </c>
      <c r="B135" s="213" t="s">
        <v>13438</v>
      </c>
      <c r="C135" s="135">
        <v>579</v>
      </c>
    </row>
    <row r="136" spans="1:3" ht="39">
      <c r="A136" s="212" t="s">
        <v>14262</v>
      </c>
      <c r="B136" s="213" t="s">
        <v>13662</v>
      </c>
      <c r="C136" s="135">
        <v>579</v>
      </c>
    </row>
    <row r="137" spans="1:3">
      <c r="A137" s="272"/>
      <c r="B137" s="225" t="s">
        <v>13379</v>
      </c>
      <c r="C137" s="210"/>
    </row>
    <row r="138" spans="1:3">
      <c r="A138" s="272"/>
      <c r="B138" s="225"/>
      <c r="C138" s="210"/>
    </row>
    <row r="139" spans="1:3" ht="26">
      <c r="A139" s="272"/>
      <c r="B139" s="273" t="s">
        <v>14238</v>
      </c>
      <c r="C139" s="210"/>
    </row>
    <row r="140" spans="1:3" ht="15.5">
      <c r="A140" s="272"/>
      <c r="B140" s="274" t="s">
        <v>14228</v>
      </c>
      <c r="C140" s="210"/>
    </row>
    <row r="141" spans="1:3" ht="39">
      <c r="A141" s="272"/>
      <c r="B141" s="147" t="s">
        <v>13435</v>
      </c>
      <c r="C141" s="210"/>
    </row>
    <row r="142" spans="1:3" ht="26">
      <c r="A142" s="212" t="s">
        <v>14261</v>
      </c>
      <c r="B142" s="213" t="s">
        <v>13434</v>
      </c>
      <c r="C142" s="135">
        <v>949</v>
      </c>
    </row>
    <row r="143" spans="1:3" ht="26">
      <c r="A143" s="212" t="s">
        <v>14260</v>
      </c>
      <c r="B143" s="213" t="s">
        <v>13433</v>
      </c>
      <c r="C143" s="135">
        <v>949</v>
      </c>
    </row>
    <row r="144" spans="1:3" ht="26">
      <c r="A144" s="212" t="s">
        <v>14259</v>
      </c>
      <c r="B144" s="213" t="s">
        <v>13432</v>
      </c>
      <c r="C144" s="135">
        <v>1029</v>
      </c>
    </row>
    <row r="145" spans="1:3">
      <c r="A145" s="272"/>
      <c r="B145" s="225" t="s">
        <v>13379</v>
      </c>
      <c r="C145" s="210"/>
    </row>
    <row r="146" spans="1:3">
      <c r="A146" s="272"/>
      <c r="B146" s="225"/>
      <c r="C146" s="210"/>
    </row>
    <row r="147" spans="1:3" ht="26">
      <c r="A147" s="272"/>
      <c r="B147" s="273" t="s">
        <v>14238</v>
      </c>
      <c r="C147" s="210"/>
    </row>
    <row r="148" spans="1:3" ht="15.5">
      <c r="A148" s="272"/>
      <c r="B148" s="274" t="s">
        <v>14228</v>
      </c>
      <c r="C148" s="210"/>
    </row>
    <row r="149" spans="1:3" ht="39">
      <c r="A149" s="272"/>
      <c r="B149" s="147" t="s">
        <v>13431</v>
      </c>
      <c r="C149" s="210"/>
    </row>
    <row r="150" spans="1:3" ht="26">
      <c r="A150" s="212" t="s">
        <v>14258</v>
      </c>
      <c r="B150" s="213" t="s">
        <v>13430</v>
      </c>
      <c r="C150" s="135">
        <v>1179</v>
      </c>
    </row>
    <row r="151" spans="1:3" ht="26">
      <c r="A151" s="212" t="s">
        <v>14257</v>
      </c>
      <c r="B151" s="213" t="s">
        <v>13429</v>
      </c>
      <c r="C151" s="135">
        <v>1179</v>
      </c>
    </row>
    <row r="152" spans="1:3" ht="26">
      <c r="A152" s="212" t="s">
        <v>14256</v>
      </c>
      <c r="B152" s="213" t="s">
        <v>13428</v>
      </c>
      <c r="C152" s="135">
        <v>1339</v>
      </c>
    </row>
    <row r="153" spans="1:3">
      <c r="A153" s="272"/>
      <c r="B153" s="225" t="s">
        <v>13379</v>
      </c>
      <c r="C153" s="210"/>
    </row>
    <row r="154" spans="1:3">
      <c r="A154" s="272"/>
      <c r="B154" s="225"/>
      <c r="C154" s="210"/>
    </row>
    <row r="155" spans="1:3" ht="26">
      <c r="A155" s="272"/>
      <c r="B155" s="273" t="s">
        <v>14238</v>
      </c>
      <c r="C155" s="210"/>
    </row>
    <row r="156" spans="1:3" ht="15.5">
      <c r="A156" s="272"/>
      <c r="B156" s="274" t="s">
        <v>14228</v>
      </c>
      <c r="C156" s="210"/>
    </row>
    <row r="157" spans="1:3" ht="39">
      <c r="A157" s="140"/>
      <c r="B157" s="155" t="s">
        <v>13427</v>
      </c>
      <c r="C157" s="210"/>
    </row>
    <row r="158" spans="1:3" ht="26">
      <c r="A158" s="177" t="s">
        <v>14255</v>
      </c>
      <c r="B158" s="141" t="s">
        <v>13426</v>
      </c>
      <c r="C158" s="135">
        <v>1459</v>
      </c>
    </row>
    <row r="159" spans="1:3" ht="26">
      <c r="A159" s="177" t="s">
        <v>14254</v>
      </c>
      <c r="B159" s="141" t="s">
        <v>13425</v>
      </c>
      <c r="C159" s="135">
        <v>1459</v>
      </c>
    </row>
    <row r="160" spans="1:3" ht="26">
      <c r="A160" s="177" t="s">
        <v>14253</v>
      </c>
      <c r="B160" s="141" t="s">
        <v>13424</v>
      </c>
      <c r="C160" s="135">
        <v>1689</v>
      </c>
    </row>
    <row r="161" spans="1:3">
      <c r="A161" s="272"/>
      <c r="B161" s="225"/>
      <c r="C161" s="210"/>
    </row>
    <row r="162" spans="1:3" ht="26">
      <c r="A162" s="272"/>
      <c r="B162" s="273" t="s">
        <v>14238</v>
      </c>
      <c r="C162" s="210"/>
    </row>
    <row r="163" spans="1:3" ht="15.5">
      <c r="A163" s="272"/>
      <c r="B163" s="274" t="s">
        <v>14228</v>
      </c>
      <c r="C163" s="210"/>
    </row>
    <row r="164" spans="1:3">
      <c r="A164" s="134"/>
      <c r="B164" s="175" t="s">
        <v>13393</v>
      </c>
      <c r="C164" s="210"/>
    </row>
    <row r="165" spans="1:3" ht="26">
      <c r="A165" s="185"/>
      <c r="B165" s="160" t="s">
        <v>13423</v>
      </c>
      <c r="C165" s="210"/>
    </row>
    <row r="166" spans="1:3" ht="26">
      <c r="A166" s="177" t="s">
        <v>14252</v>
      </c>
      <c r="B166" s="141" t="s">
        <v>13421</v>
      </c>
      <c r="C166" s="135">
        <v>609</v>
      </c>
    </row>
    <row r="167" spans="1:3" ht="26">
      <c r="A167" s="177" t="s">
        <v>14251</v>
      </c>
      <c r="B167" s="141" t="s">
        <v>13419</v>
      </c>
      <c r="C167" s="135">
        <v>609</v>
      </c>
    </row>
    <row r="168" spans="1:3" ht="26">
      <c r="A168" s="177" t="s">
        <v>14250</v>
      </c>
      <c r="B168" s="141" t="s">
        <v>13417</v>
      </c>
      <c r="C168" s="135">
        <v>609</v>
      </c>
    </row>
    <row r="169" spans="1:3" ht="26">
      <c r="A169" s="177" t="s">
        <v>14249</v>
      </c>
      <c r="B169" s="141" t="s">
        <v>13415</v>
      </c>
      <c r="C169" s="135">
        <v>609</v>
      </c>
    </row>
    <row r="170" spans="1:3" ht="26">
      <c r="A170" s="177" t="s">
        <v>14248</v>
      </c>
      <c r="B170" s="141" t="s">
        <v>13413</v>
      </c>
      <c r="C170" s="135">
        <v>609</v>
      </c>
    </row>
    <row r="171" spans="1:3" ht="26">
      <c r="A171" s="177" t="s">
        <v>14247</v>
      </c>
      <c r="B171" s="141" t="s">
        <v>13411</v>
      </c>
      <c r="C171" s="135">
        <v>609</v>
      </c>
    </row>
    <row r="172" spans="1:3" ht="26">
      <c r="A172" s="177" t="s">
        <v>14246</v>
      </c>
      <c r="B172" s="141" t="s">
        <v>13409</v>
      </c>
      <c r="C172" s="135">
        <v>609</v>
      </c>
    </row>
    <row r="173" spans="1:3">
      <c r="A173" s="134"/>
      <c r="B173" s="184" t="s">
        <v>13379</v>
      </c>
      <c r="C173" s="210"/>
    </row>
    <row r="174" spans="1:3">
      <c r="A174" s="134"/>
      <c r="B174" s="184"/>
      <c r="C174" s="210"/>
    </row>
    <row r="175" spans="1:3" ht="26">
      <c r="A175" s="134"/>
      <c r="B175" s="273" t="s">
        <v>14238</v>
      </c>
      <c r="C175" s="210"/>
    </row>
    <row r="176" spans="1:3" ht="15.5">
      <c r="A176" s="134"/>
      <c r="B176" s="274" t="s">
        <v>14228</v>
      </c>
      <c r="C176" s="210"/>
    </row>
    <row r="177" spans="1:3">
      <c r="A177" s="134"/>
      <c r="B177" s="175" t="s">
        <v>13393</v>
      </c>
      <c r="C177" s="210"/>
    </row>
    <row r="178" spans="1:3" ht="26">
      <c r="A178" s="185"/>
      <c r="B178" s="160" t="s">
        <v>13408</v>
      </c>
      <c r="C178" s="210"/>
    </row>
    <row r="179" spans="1:3" ht="26">
      <c r="A179" s="177" t="s">
        <v>14245</v>
      </c>
      <c r="B179" s="141" t="s">
        <v>13406</v>
      </c>
      <c r="C179" s="135">
        <v>619</v>
      </c>
    </row>
    <row r="180" spans="1:3" ht="26">
      <c r="A180" s="177" t="s">
        <v>14244</v>
      </c>
      <c r="B180" s="141" t="s">
        <v>13404</v>
      </c>
      <c r="C180" s="135">
        <v>619</v>
      </c>
    </row>
    <row r="181" spans="1:3" ht="26">
      <c r="A181" s="177" t="s">
        <v>14243</v>
      </c>
      <c r="B181" s="141" t="s">
        <v>13402</v>
      </c>
      <c r="C181" s="135">
        <v>619</v>
      </c>
    </row>
    <row r="182" spans="1:3" ht="26">
      <c r="A182" s="177" t="s">
        <v>14242</v>
      </c>
      <c r="B182" s="141" t="s">
        <v>13400</v>
      </c>
      <c r="C182" s="135">
        <v>619</v>
      </c>
    </row>
    <row r="183" spans="1:3" ht="26">
      <c r="A183" s="177" t="s">
        <v>14241</v>
      </c>
      <c r="B183" s="141" t="s">
        <v>13398</v>
      </c>
      <c r="C183" s="135">
        <v>619</v>
      </c>
    </row>
    <row r="184" spans="1:3" ht="26">
      <c r="A184" s="177" t="s">
        <v>14240</v>
      </c>
      <c r="B184" s="141" t="s">
        <v>13396</v>
      </c>
      <c r="C184" s="135">
        <v>619</v>
      </c>
    </row>
    <row r="185" spans="1:3" ht="26">
      <c r="A185" s="177" t="s">
        <v>14239</v>
      </c>
      <c r="B185" s="141" t="s">
        <v>13394</v>
      </c>
      <c r="C185" s="135">
        <v>619</v>
      </c>
    </row>
    <row r="186" spans="1:3">
      <c r="A186" s="134"/>
      <c r="B186" s="184" t="s">
        <v>13379</v>
      </c>
      <c r="C186" s="210"/>
    </row>
    <row r="187" spans="1:3">
      <c r="A187" s="134"/>
      <c r="B187" s="184"/>
      <c r="C187" s="210"/>
    </row>
    <row r="188" spans="1:3" ht="26">
      <c r="A188" s="134"/>
      <c r="B188" s="273" t="s">
        <v>14238</v>
      </c>
      <c r="C188" s="210"/>
    </row>
    <row r="189" spans="1:3" ht="15.5">
      <c r="A189" s="134"/>
      <c r="B189" s="274" t="s">
        <v>14228</v>
      </c>
      <c r="C189" s="210"/>
    </row>
    <row r="190" spans="1:3">
      <c r="A190" s="134"/>
      <c r="B190" s="175" t="s">
        <v>13393</v>
      </c>
      <c r="C190" s="210"/>
    </row>
    <row r="191" spans="1:3" ht="26">
      <c r="A191" s="185"/>
      <c r="B191" s="160" t="s">
        <v>13392</v>
      </c>
      <c r="C191" s="210"/>
    </row>
    <row r="192" spans="1:3" ht="26">
      <c r="A192" s="177" t="s">
        <v>14237</v>
      </c>
      <c r="B192" s="141" t="s">
        <v>13390</v>
      </c>
      <c r="C192" s="135">
        <v>629</v>
      </c>
    </row>
    <row r="193" spans="1:3" ht="26">
      <c r="A193" s="178" t="s">
        <v>4895</v>
      </c>
      <c r="B193" s="141" t="s">
        <v>13389</v>
      </c>
      <c r="C193" s="135">
        <v>0</v>
      </c>
    </row>
    <row r="194" spans="1:3" ht="26">
      <c r="A194" s="177" t="s">
        <v>14236</v>
      </c>
      <c r="B194" s="141" t="s">
        <v>13387</v>
      </c>
      <c r="C194" s="135">
        <v>629</v>
      </c>
    </row>
    <row r="195" spans="1:3" ht="26">
      <c r="A195" s="177" t="s">
        <v>4895</v>
      </c>
      <c r="B195" s="141" t="s">
        <v>13386</v>
      </c>
      <c r="C195" s="135">
        <v>0</v>
      </c>
    </row>
    <row r="196" spans="1:3" ht="26">
      <c r="A196" s="177" t="s">
        <v>14235</v>
      </c>
      <c r="B196" s="141" t="s">
        <v>13384</v>
      </c>
      <c r="C196" s="135">
        <v>629</v>
      </c>
    </row>
    <row r="197" spans="1:3" ht="26">
      <c r="A197" s="177" t="s">
        <v>14234</v>
      </c>
      <c r="B197" s="141" t="s">
        <v>13382</v>
      </c>
      <c r="C197" s="135">
        <v>629</v>
      </c>
    </row>
    <row r="198" spans="1:3" ht="26">
      <c r="A198" s="177" t="s">
        <v>14233</v>
      </c>
      <c r="B198" s="141" t="s">
        <v>13380</v>
      </c>
      <c r="C198" s="135">
        <v>629</v>
      </c>
    </row>
    <row r="199" spans="1:3">
      <c r="A199" s="157" t="s">
        <v>13378</v>
      </c>
      <c r="B199" s="184"/>
      <c r="C199" s="210"/>
    </row>
    <row r="200" spans="1:3">
      <c r="A200" s="157"/>
      <c r="B200" s="184"/>
      <c r="C200" s="210"/>
    </row>
    <row r="201" spans="1:3" ht="26">
      <c r="A201" s="134"/>
      <c r="B201" s="273" t="s">
        <v>14232</v>
      </c>
      <c r="C201" s="210"/>
    </row>
    <row r="202" spans="1:3" ht="15.5">
      <c r="A202" s="134"/>
      <c r="B202" s="274" t="s">
        <v>14228</v>
      </c>
      <c r="C202" s="210"/>
    </row>
    <row r="203" spans="1:3">
      <c r="A203" s="134"/>
      <c r="B203" s="211" t="s">
        <v>13364</v>
      </c>
      <c r="C203" s="210"/>
    </row>
    <row r="204" spans="1:3" ht="39">
      <c r="A204" s="142" t="s">
        <v>14231</v>
      </c>
      <c r="B204" s="151" t="s">
        <v>13360</v>
      </c>
      <c r="C204" s="135">
        <v>699</v>
      </c>
    </row>
    <row r="205" spans="1:3" ht="39">
      <c r="A205" s="276" t="s">
        <v>14230</v>
      </c>
      <c r="B205" s="151" t="s">
        <v>13358</v>
      </c>
      <c r="C205" s="135">
        <v>699</v>
      </c>
    </row>
    <row r="206" spans="1:3">
      <c r="A206" s="275"/>
      <c r="B206" s="239"/>
      <c r="C206" s="210"/>
    </row>
    <row r="207" spans="1:3" ht="26">
      <c r="A207" s="272"/>
      <c r="B207" s="273" t="s">
        <v>14229</v>
      </c>
      <c r="C207" s="210"/>
    </row>
    <row r="208" spans="1:3" ht="15.5">
      <c r="A208" s="272"/>
      <c r="B208" s="274" t="s">
        <v>14228</v>
      </c>
      <c r="C208" s="210"/>
    </row>
    <row r="209" spans="1:3">
      <c r="A209" s="272"/>
      <c r="B209" s="211" t="s">
        <v>13356</v>
      </c>
      <c r="C209" s="210"/>
    </row>
    <row r="210" spans="1:3" ht="39">
      <c r="A210" s="218" t="s">
        <v>14227</v>
      </c>
      <c r="B210" s="213" t="s">
        <v>14226</v>
      </c>
      <c r="C210" s="135">
        <v>459</v>
      </c>
    </row>
    <row r="211" spans="1:3" ht="52">
      <c r="A211" s="212" t="s">
        <v>14225</v>
      </c>
      <c r="B211" s="213" t="s">
        <v>13348</v>
      </c>
      <c r="C211" s="135">
        <v>929</v>
      </c>
    </row>
    <row r="212" spans="1:3" ht="52">
      <c r="A212" s="137" t="s">
        <v>14224</v>
      </c>
      <c r="B212" s="213" t="s">
        <v>14050</v>
      </c>
      <c r="C212" s="135">
        <v>929</v>
      </c>
    </row>
    <row r="213" spans="1:3" ht="26">
      <c r="A213" s="272"/>
      <c r="B213" s="273"/>
      <c r="C213" s="210"/>
    </row>
    <row r="214" spans="1:3">
      <c r="A214" s="272"/>
      <c r="B214" s="211" t="s">
        <v>13346</v>
      </c>
      <c r="C214" s="210"/>
    </row>
    <row r="215" spans="1:3" ht="39">
      <c r="A215" s="212" t="s">
        <v>14223</v>
      </c>
      <c r="B215" s="213" t="s">
        <v>14222</v>
      </c>
      <c r="C215" s="135">
        <v>359</v>
      </c>
    </row>
    <row r="216" spans="1:3" ht="39">
      <c r="A216" s="212" t="s">
        <v>14221</v>
      </c>
      <c r="B216" s="213" t="s">
        <v>14220</v>
      </c>
      <c r="C216" s="135">
        <v>409</v>
      </c>
    </row>
    <row r="217" spans="1:3" ht="39">
      <c r="A217" s="212" t="s">
        <v>14219</v>
      </c>
      <c r="B217" s="213" t="s">
        <v>14218</v>
      </c>
      <c r="C217" s="135">
        <v>329</v>
      </c>
    </row>
    <row r="218" spans="1:3" ht="39">
      <c r="A218" s="212" t="s">
        <v>14205</v>
      </c>
      <c r="B218" s="213" t="s">
        <v>14217</v>
      </c>
      <c r="C218" s="135">
        <v>329</v>
      </c>
    </row>
    <row r="219" spans="1:3" ht="26">
      <c r="A219" s="212" t="s">
        <v>14216</v>
      </c>
      <c r="B219" s="220" t="s">
        <v>13606</v>
      </c>
      <c r="C219" s="135">
        <v>359</v>
      </c>
    </row>
    <row r="220" spans="1:3" ht="52">
      <c r="A220" s="212" t="s">
        <v>14206</v>
      </c>
      <c r="B220" s="220" t="s">
        <v>13604</v>
      </c>
      <c r="C220" s="135">
        <v>259</v>
      </c>
    </row>
    <row r="221" spans="1:3">
      <c r="A221" s="272"/>
      <c r="B221" s="272"/>
      <c r="C221" s="210"/>
    </row>
    <row r="222" spans="1:3">
      <c r="A222" s="272"/>
      <c r="B222" s="211" t="s">
        <v>13327</v>
      </c>
      <c r="C222" s="210"/>
    </row>
    <row r="223" spans="1:3" ht="39">
      <c r="A223" s="212" t="s">
        <v>14215</v>
      </c>
      <c r="B223" s="213" t="s">
        <v>14033</v>
      </c>
      <c r="C223" s="135">
        <v>249</v>
      </c>
    </row>
    <row r="224" spans="1:3">
      <c r="A224" s="272"/>
      <c r="B224" s="272"/>
      <c r="C224" s="210"/>
    </row>
    <row r="225" spans="1:3">
      <c r="A225" s="272"/>
      <c r="B225" s="272"/>
      <c r="C225" s="210"/>
    </row>
    <row r="226" spans="1:3" ht="26">
      <c r="A226" s="272"/>
      <c r="B226" s="147" t="s">
        <v>13303</v>
      </c>
      <c r="C226" s="210"/>
    </row>
    <row r="227" spans="1:3" ht="26">
      <c r="A227" s="218" t="s">
        <v>14214</v>
      </c>
      <c r="B227" s="213" t="s">
        <v>14213</v>
      </c>
      <c r="C227" s="135">
        <v>379</v>
      </c>
    </row>
    <row r="228" spans="1:3">
      <c r="A228" s="246"/>
      <c r="B228" s="150"/>
      <c r="C228" s="210"/>
    </row>
    <row r="229" spans="1:3" ht="26">
      <c r="A229" s="246"/>
      <c r="B229" s="149" t="s">
        <v>13107</v>
      </c>
      <c r="C229" s="210"/>
    </row>
    <row r="230" spans="1:3" ht="26">
      <c r="A230" s="271"/>
      <c r="B230" s="147" t="s">
        <v>13583</v>
      </c>
      <c r="C230" s="210"/>
    </row>
    <row r="231" spans="1:3" ht="169">
      <c r="A231" s="146" t="s">
        <v>14212</v>
      </c>
      <c r="B231" s="145" t="s">
        <v>14211</v>
      </c>
      <c r="C231" s="135">
        <v>2669</v>
      </c>
    </row>
    <row r="232" spans="1:3" ht="169">
      <c r="A232" s="146" t="s">
        <v>14210</v>
      </c>
      <c r="B232" s="145" t="s">
        <v>14209</v>
      </c>
      <c r="C232" s="135">
        <v>2669</v>
      </c>
    </row>
    <row r="233" spans="1:3">
      <c r="A233" s="246"/>
      <c r="B233" s="150"/>
      <c r="C233" s="210"/>
    </row>
    <row r="234" spans="1:3" ht="26">
      <c r="A234" s="246"/>
      <c r="B234" s="149" t="s">
        <v>13107</v>
      </c>
      <c r="C234" s="210"/>
    </row>
    <row r="235" spans="1:3" ht="28.5">
      <c r="A235" s="246"/>
      <c r="B235" s="147" t="s">
        <v>13104</v>
      </c>
      <c r="C235" s="210"/>
    </row>
    <row r="236" spans="1:3" ht="39">
      <c r="A236" s="212" t="s">
        <v>14208</v>
      </c>
      <c r="B236" s="152" t="s">
        <v>14207</v>
      </c>
      <c r="C236" s="135">
        <v>259.99</v>
      </c>
    </row>
    <row r="237" spans="1:3">
      <c r="A237" s="146" t="s">
        <v>14206</v>
      </c>
      <c r="B237" s="151" t="s">
        <v>13781</v>
      </c>
      <c r="C237" s="135">
        <v>259</v>
      </c>
    </row>
    <row r="238" spans="1:3">
      <c r="A238" s="146" t="s">
        <v>14205</v>
      </c>
      <c r="B238" s="151" t="s">
        <v>13098</v>
      </c>
      <c r="C238" s="135">
        <v>329</v>
      </c>
    </row>
    <row r="239" spans="1:3">
      <c r="A239" s="246"/>
      <c r="B239" s="150"/>
      <c r="C239" s="210"/>
    </row>
    <row r="240" spans="1:3" ht="26">
      <c r="A240" s="246"/>
      <c r="B240" s="149" t="s">
        <v>13097</v>
      </c>
      <c r="C240" s="210"/>
    </row>
    <row r="241" spans="1:3" ht="26">
      <c r="A241" s="271"/>
      <c r="B241" s="147" t="s">
        <v>13568</v>
      </c>
      <c r="C241" s="210"/>
    </row>
    <row r="242" spans="1:3" ht="221">
      <c r="A242" s="146" t="s">
        <v>14204</v>
      </c>
      <c r="B242" s="145" t="s">
        <v>14203</v>
      </c>
      <c r="C242" s="135">
        <v>3459</v>
      </c>
    </row>
  </sheetData>
  <sheetProtection insertColumns="0" insertRows="0"/>
  <autoFilter ref="A2:C121" xr:uid="{00000000-0009-0000-0000-000019000000}"/>
  <printOptions horizontalCentered="1"/>
  <pageMargins left="0.4" right="0.4" top="0.75" bottom="0.5" header="0.3" footer="0.3"/>
  <pageSetup scale="76" fitToHeight="0" orientation="portrait" r:id="rId1"/>
  <headerFooter>
    <oddHeader>&amp;C SETINA MFG 2022 PRICE LIST&amp;R&amp;A</oddHeader>
    <oddFooter>&amp;C&amp;F&amp;R&amp;P of &amp;N</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6EC81-FF41-46A4-AA04-27AA7AFC4167}">
  <sheetPr codeName="Sheet14">
    <tabColor theme="2" tint="-9.9978637043366805E-2"/>
    <pageSetUpPr fitToPage="1"/>
  </sheetPr>
  <dimension ref="A1:C319"/>
  <sheetViews>
    <sheetView zoomScale="120" zoomScaleNormal="120" zoomScaleSheetLayoutView="80" zoomScalePageLayoutView="98" workbookViewId="0">
      <pane xSplit="1" ySplit="2" topLeftCell="B3" activePane="bottomRight" state="frozen"/>
      <selection activeCell="C8" sqref="C8"/>
      <selection pane="topRight" activeCell="C8" sqref="C8"/>
      <selection pane="bottomLeft" activeCell="C8" sqref="C8"/>
      <selection pane="bottomRight" activeCell="C8" sqref="C8"/>
    </sheetView>
  </sheetViews>
  <sheetFormatPr defaultColWidth="9.1796875" defaultRowHeight="14.5"/>
  <cols>
    <col min="1" max="1" width="20.81640625" style="158" customWidth="1"/>
    <col min="2" max="2" width="79.26953125" style="207" customWidth="1"/>
    <col min="3" max="3" width="15" style="206" bestFit="1" customWidth="1"/>
    <col min="4" max="16384" width="9.1796875" style="167"/>
  </cols>
  <sheetData>
    <row r="1" spans="1:3">
      <c r="A1" s="238" t="s">
        <v>14559</v>
      </c>
      <c r="B1" s="237"/>
      <c r="C1" s="281"/>
    </row>
    <row r="2" spans="1:3" s="158" customFormat="1">
      <c r="A2" s="235" t="s">
        <v>3519</v>
      </c>
      <c r="B2" s="234" t="s">
        <v>3518</v>
      </c>
      <c r="C2" s="200" t="s">
        <v>13563</v>
      </c>
    </row>
    <row r="3" spans="1:3">
      <c r="A3" s="246"/>
      <c r="B3" s="150"/>
      <c r="C3" s="233"/>
    </row>
    <row r="4" spans="1:3" ht="26">
      <c r="A4" s="231" t="s">
        <v>13511</v>
      </c>
      <c r="B4" s="217" t="s">
        <v>13776</v>
      </c>
      <c r="C4" s="233"/>
    </row>
    <row r="5" spans="1:3" ht="39">
      <c r="A5" s="212" t="s">
        <v>14558</v>
      </c>
      <c r="B5" s="151" t="s">
        <v>13774</v>
      </c>
      <c r="C5" s="135">
        <v>839</v>
      </c>
    </row>
    <row r="6" spans="1:3" ht="39">
      <c r="A6" s="212" t="s">
        <v>14557</v>
      </c>
      <c r="B6" s="151" t="s">
        <v>13772</v>
      </c>
      <c r="C6" s="135">
        <v>799</v>
      </c>
    </row>
    <row r="7" spans="1:3" ht="39">
      <c r="A7" s="212" t="s">
        <v>14556</v>
      </c>
      <c r="B7" s="151" t="s">
        <v>13770</v>
      </c>
      <c r="C7" s="135">
        <v>899</v>
      </c>
    </row>
    <row r="8" spans="1:3" ht="39">
      <c r="A8" s="212" t="s">
        <v>14555</v>
      </c>
      <c r="B8" s="151" t="s">
        <v>13768</v>
      </c>
      <c r="C8" s="135">
        <v>819</v>
      </c>
    </row>
    <row r="9" spans="1:3" ht="39">
      <c r="A9" s="212" t="s">
        <v>14554</v>
      </c>
      <c r="B9" s="151" t="s">
        <v>13766</v>
      </c>
      <c r="C9" s="135">
        <v>859</v>
      </c>
    </row>
    <row r="10" spans="1:3" ht="39">
      <c r="A10" s="212" t="s">
        <v>14553</v>
      </c>
      <c r="B10" s="151" t="s">
        <v>13764</v>
      </c>
      <c r="C10" s="135">
        <v>819</v>
      </c>
    </row>
    <row r="11" spans="1:3">
      <c r="A11" s="231" t="s">
        <v>13497</v>
      </c>
      <c r="B11" s="279"/>
      <c r="C11" s="210"/>
    </row>
    <row r="12" spans="1:3" ht="39">
      <c r="A12" s="212" t="s">
        <v>14552</v>
      </c>
      <c r="B12" s="151" t="s">
        <v>13762</v>
      </c>
      <c r="C12" s="135">
        <v>959</v>
      </c>
    </row>
    <row r="13" spans="1:3" ht="39">
      <c r="A13" s="212" t="s">
        <v>14551</v>
      </c>
      <c r="B13" s="151" t="s">
        <v>13760</v>
      </c>
      <c r="C13" s="135">
        <v>919</v>
      </c>
    </row>
    <row r="14" spans="1:3" ht="52">
      <c r="A14" s="212" t="s">
        <v>14550</v>
      </c>
      <c r="B14" s="151" t="s">
        <v>13758</v>
      </c>
      <c r="C14" s="135">
        <v>1009</v>
      </c>
    </row>
    <row r="15" spans="1:3" ht="52">
      <c r="A15" s="212" t="s">
        <v>14549</v>
      </c>
      <c r="B15" s="151" t="s">
        <v>13756</v>
      </c>
      <c r="C15" s="135">
        <v>969</v>
      </c>
    </row>
    <row r="16" spans="1:3" ht="52">
      <c r="A16" s="212" t="s">
        <v>14548</v>
      </c>
      <c r="B16" s="151" t="s">
        <v>14188</v>
      </c>
      <c r="C16" s="135">
        <v>999</v>
      </c>
    </row>
    <row r="17" spans="1:3" ht="52">
      <c r="A17" s="212" t="s">
        <v>14547</v>
      </c>
      <c r="B17" s="151" t="s">
        <v>13752</v>
      </c>
      <c r="C17" s="135">
        <v>959</v>
      </c>
    </row>
    <row r="18" spans="1:3">
      <c r="A18" s="271"/>
      <c r="B18" s="279"/>
      <c r="C18" s="210"/>
    </row>
    <row r="19" spans="1:3" ht="26">
      <c r="A19" s="231" t="s">
        <v>13511</v>
      </c>
      <c r="B19" s="217" t="s">
        <v>13537</v>
      </c>
      <c r="C19" s="210"/>
    </row>
    <row r="20" spans="1:3" ht="39">
      <c r="A20" s="212" t="s">
        <v>14546</v>
      </c>
      <c r="B20" s="151" t="s">
        <v>13750</v>
      </c>
      <c r="C20" s="135">
        <v>999</v>
      </c>
    </row>
    <row r="21" spans="1:3" ht="39">
      <c r="A21" s="212" t="s">
        <v>14545</v>
      </c>
      <c r="B21" s="151" t="s">
        <v>13748</v>
      </c>
      <c r="C21" s="135">
        <v>959</v>
      </c>
    </row>
    <row r="22" spans="1:3" ht="39">
      <c r="A22" s="212" t="s">
        <v>14544</v>
      </c>
      <c r="B22" s="151" t="s">
        <v>13746</v>
      </c>
      <c r="C22" s="135">
        <v>1049</v>
      </c>
    </row>
    <row r="23" spans="1:3" ht="39">
      <c r="A23" s="212" t="s">
        <v>14543</v>
      </c>
      <c r="B23" s="151" t="s">
        <v>13744</v>
      </c>
      <c r="C23" s="135">
        <v>979</v>
      </c>
    </row>
    <row r="24" spans="1:3" ht="39">
      <c r="A24" s="212" t="s">
        <v>14542</v>
      </c>
      <c r="B24" s="151" t="s">
        <v>13742</v>
      </c>
      <c r="C24" s="135">
        <v>1009</v>
      </c>
    </row>
    <row r="25" spans="1:3" ht="39">
      <c r="A25" s="212" t="s">
        <v>14541</v>
      </c>
      <c r="B25" s="151" t="s">
        <v>13740</v>
      </c>
      <c r="C25" s="135">
        <v>969</v>
      </c>
    </row>
    <row r="26" spans="1:3">
      <c r="A26" s="231" t="s">
        <v>13524</v>
      </c>
      <c r="B26" s="295"/>
      <c r="C26" s="210"/>
    </row>
    <row r="27" spans="1:3" ht="39">
      <c r="A27" s="212" t="s">
        <v>14540</v>
      </c>
      <c r="B27" s="151" t="s">
        <v>13738</v>
      </c>
      <c r="C27" s="135">
        <v>1099</v>
      </c>
    </row>
    <row r="28" spans="1:3" ht="39">
      <c r="A28" s="212" t="s">
        <v>14539</v>
      </c>
      <c r="B28" s="151" t="s">
        <v>13736</v>
      </c>
      <c r="C28" s="135">
        <v>1059</v>
      </c>
    </row>
    <row r="29" spans="1:3" ht="52">
      <c r="A29" s="212" t="s">
        <v>14538</v>
      </c>
      <c r="B29" s="151" t="s">
        <v>13734</v>
      </c>
      <c r="C29" s="135">
        <v>1149</v>
      </c>
    </row>
    <row r="30" spans="1:3" ht="52">
      <c r="A30" s="212" t="s">
        <v>14537</v>
      </c>
      <c r="B30" s="151" t="s">
        <v>13732</v>
      </c>
      <c r="C30" s="135">
        <v>1109</v>
      </c>
    </row>
    <row r="31" spans="1:3" ht="52">
      <c r="A31" s="212" t="s">
        <v>14536</v>
      </c>
      <c r="B31" s="151" t="s">
        <v>13730</v>
      </c>
      <c r="C31" s="135">
        <v>1139</v>
      </c>
    </row>
    <row r="32" spans="1:3" ht="52">
      <c r="A32" s="212" t="s">
        <v>14535</v>
      </c>
      <c r="B32" s="151" t="s">
        <v>13728</v>
      </c>
      <c r="C32" s="135">
        <v>1099</v>
      </c>
    </row>
    <row r="33" spans="1:3">
      <c r="A33" s="271"/>
      <c r="B33" s="150"/>
      <c r="C33" s="210"/>
    </row>
    <row r="34" spans="1:3" ht="26">
      <c r="A34" s="231" t="s">
        <v>13511</v>
      </c>
      <c r="B34" s="217" t="s">
        <v>13510</v>
      </c>
      <c r="C34" s="210"/>
    </row>
    <row r="35" spans="1:3" ht="39">
      <c r="A35" s="212" t="s">
        <v>14534</v>
      </c>
      <c r="B35" s="151" t="s">
        <v>14173</v>
      </c>
      <c r="C35" s="135">
        <v>979</v>
      </c>
    </row>
    <row r="36" spans="1:3" ht="39">
      <c r="A36" s="212" t="s">
        <v>14533</v>
      </c>
      <c r="B36" s="151" t="s">
        <v>14171</v>
      </c>
      <c r="C36" s="135">
        <v>939</v>
      </c>
    </row>
    <row r="37" spans="1:3" ht="39">
      <c r="A37" s="212" t="s">
        <v>14532</v>
      </c>
      <c r="B37" s="151" t="s">
        <v>14169</v>
      </c>
      <c r="C37" s="135">
        <v>1049</v>
      </c>
    </row>
    <row r="38" spans="1:3" ht="39">
      <c r="A38" s="212" t="s">
        <v>14531</v>
      </c>
      <c r="B38" s="151" t="s">
        <v>14167</v>
      </c>
      <c r="C38" s="135">
        <v>969</v>
      </c>
    </row>
    <row r="39" spans="1:3" ht="39">
      <c r="A39" s="212" t="s">
        <v>14530</v>
      </c>
      <c r="B39" s="151" t="s">
        <v>14165</v>
      </c>
      <c r="C39" s="135">
        <v>1009</v>
      </c>
    </row>
    <row r="40" spans="1:3" ht="39">
      <c r="A40" s="212" t="s">
        <v>14529</v>
      </c>
      <c r="B40" s="151" t="s">
        <v>14163</v>
      </c>
      <c r="C40" s="135">
        <v>969</v>
      </c>
    </row>
    <row r="41" spans="1:3">
      <c r="A41" s="231" t="s">
        <v>13497</v>
      </c>
      <c r="B41" s="295"/>
      <c r="C41" s="210"/>
    </row>
    <row r="42" spans="1:3" ht="39">
      <c r="A42" s="212" t="s">
        <v>14528</v>
      </c>
      <c r="B42" s="151" t="s">
        <v>14161</v>
      </c>
      <c r="C42" s="135">
        <v>1089</v>
      </c>
    </row>
    <row r="43" spans="1:3" ht="39">
      <c r="A43" s="212" t="s">
        <v>14527</v>
      </c>
      <c r="B43" s="151" t="s">
        <v>14159</v>
      </c>
      <c r="C43" s="135">
        <v>1049</v>
      </c>
    </row>
    <row r="44" spans="1:3" ht="52">
      <c r="A44" s="212" t="s">
        <v>14526</v>
      </c>
      <c r="B44" s="151" t="s">
        <v>14309</v>
      </c>
      <c r="C44" s="135">
        <v>1149</v>
      </c>
    </row>
    <row r="45" spans="1:3" ht="52">
      <c r="A45" s="212" t="s">
        <v>14525</v>
      </c>
      <c r="B45" s="151" t="s">
        <v>14155</v>
      </c>
      <c r="C45" s="135">
        <v>1099</v>
      </c>
    </row>
    <row r="46" spans="1:3" ht="52">
      <c r="A46" s="212" t="s">
        <v>14524</v>
      </c>
      <c r="B46" s="151" t="s">
        <v>14153</v>
      </c>
      <c r="C46" s="135">
        <v>1129</v>
      </c>
    </row>
    <row r="47" spans="1:3" ht="52">
      <c r="A47" s="212" t="s">
        <v>14523</v>
      </c>
      <c r="B47" s="151" t="s">
        <v>14151</v>
      </c>
      <c r="C47" s="135">
        <v>1089</v>
      </c>
    </row>
    <row r="48" spans="1:3">
      <c r="A48" s="194" t="s">
        <v>13484</v>
      </c>
      <c r="B48" s="150"/>
      <c r="C48" s="210"/>
    </row>
    <row r="49" spans="1:3">
      <c r="A49" s="194"/>
      <c r="B49" s="150"/>
      <c r="C49" s="210"/>
    </row>
    <row r="50" spans="1:3" ht="39">
      <c r="A50" s="271"/>
      <c r="B50" s="147" t="s">
        <v>14522</v>
      </c>
      <c r="C50" s="210"/>
    </row>
    <row r="51" spans="1:3" ht="65">
      <c r="A51" s="212" t="s">
        <v>14521</v>
      </c>
      <c r="B51" s="230" t="s">
        <v>14520</v>
      </c>
      <c r="C51" s="135">
        <v>1279</v>
      </c>
    </row>
    <row r="52" spans="1:3" ht="65">
      <c r="A52" s="212" t="s">
        <v>14519</v>
      </c>
      <c r="B52" s="230" t="s">
        <v>14518</v>
      </c>
      <c r="C52" s="135">
        <v>1279</v>
      </c>
    </row>
    <row r="53" spans="1:3" ht="65">
      <c r="A53" s="212" t="s">
        <v>14517</v>
      </c>
      <c r="B53" s="230" t="s">
        <v>14516</v>
      </c>
      <c r="C53" s="135">
        <v>1279</v>
      </c>
    </row>
    <row r="54" spans="1:3" ht="65">
      <c r="A54" s="212" t="s">
        <v>14515</v>
      </c>
      <c r="B54" s="230" t="s">
        <v>14514</v>
      </c>
      <c r="C54" s="135">
        <v>1279</v>
      </c>
    </row>
    <row r="55" spans="1:3">
      <c r="A55" s="229"/>
      <c r="B55" s="228"/>
      <c r="C55" s="210"/>
    </row>
    <row r="56" spans="1:3" ht="26">
      <c r="A56" s="176" t="s">
        <v>13467</v>
      </c>
      <c r="B56" s="155" t="s">
        <v>13466</v>
      </c>
      <c r="C56" s="227"/>
    </row>
    <row r="57" spans="1:3" ht="52">
      <c r="A57" s="146" t="s">
        <v>14513</v>
      </c>
      <c r="B57" s="171" t="s">
        <v>13464</v>
      </c>
      <c r="C57" s="135">
        <v>599</v>
      </c>
    </row>
    <row r="58" spans="1:3" ht="52">
      <c r="A58" s="146" t="s">
        <v>14512</v>
      </c>
      <c r="B58" s="171" t="s">
        <v>14511</v>
      </c>
      <c r="C58" s="135">
        <v>599</v>
      </c>
    </row>
    <row r="59" spans="1:3">
      <c r="A59" s="271"/>
      <c r="B59" s="271"/>
      <c r="C59" s="210"/>
    </row>
    <row r="60" spans="1:3" ht="26">
      <c r="A60" s="271"/>
      <c r="B60" s="147" t="s">
        <v>13455</v>
      </c>
      <c r="C60" s="210"/>
    </row>
    <row r="61" spans="1:3" ht="65">
      <c r="A61" s="212" t="s">
        <v>14510</v>
      </c>
      <c r="B61" s="151" t="s">
        <v>14509</v>
      </c>
      <c r="C61" s="135">
        <v>659</v>
      </c>
    </row>
    <row r="62" spans="1:3" ht="65">
      <c r="A62" s="212" t="s">
        <v>14508</v>
      </c>
      <c r="B62" s="151" t="s">
        <v>14507</v>
      </c>
      <c r="C62" s="135">
        <v>689</v>
      </c>
    </row>
    <row r="63" spans="1:3">
      <c r="A63" s="271"/>
      <c r="B63" s="271"/>
      <c r="C63" s="210"/>
    </row>
    <row r="64" spans="1:3" ht="23.5">
      <c r="A64" s="271"/>
      <c r="B64" s="219" t="s">
        <v>14488</v>
      </c>
      <c r="C64" s="210"/>
    </row>
    <row r="65" spans="1:3">
      <c r="A65" s="271"/>
      <c r="B65" s="211" t="s">
        <v>13440</v>
      </c>
      <c r="C65" s="210"/>
    </row>
    <row r="66" spans="1:3" ht="39">
      <c r="A66" s="212" t="s">
        <v>14506</v>
      </c>
      <c r="B66" s="151" t="s">
        <v>13438</v>
      </c>
      <c r="C66" s="135">
        <v>579</v>
      </c>
    </row>
    <row r="67" spans="1:3" ht="39">
      <c r="A67" s="212" t="s">
        <v>14505</v>
      </c>
      <c r="B67" s="151" t="s">
        <v>13662</v>
      </c>
      <c r="C67" s="135">
        <v>579</v>
      </c>
    </row>
    <row r="68" spans="1:3">
      <c r="A68" s="271"/>
      <c r="B68" s="225" t="s">
        <v>13379</v>
      </c>
      <c r="C68" s="210"/>
    </row>
    <row r="69" spans="1:3">
      <c r="A69" s="271"/>
      <c r="B69" s="271"/>
      <c r="C69" s="210"/>
    </row>
    <row r="70" spans="1:3" ht="23.5">
      <c r="A70" s="271"/>
      <c r="B70" s="219" t="s">
        <v>14488</v>
      </c>
      <c r="C70" s="210"/>
    </row>
    <row r="71" spans="1:3" ht="39">
      <c r="A71" s="271"/>
      <c r="B71" s="147" t="s">
        <v>13435</v>
      </c>
      <c r="C71" s="210"/>
    </row>
    <row r="72" spans="1:3" ht="26">
      <c r="A72" s="212" t="s">
        <v>14504</v>
      </c>
      <c r="B72" s="141" t="s">
        <v>13434</v>
      </c>
      <c r="C72" s="135">
        <v>949</v>
      </c>
    </row>
    <row r="73" spans="1:3" ht="26">
      <c r="A73" s="212" t="s">
        <v>14503</v>
      </c>
      <c r="B73" s="141" t="s">
        <v>13433</v>
      </c>
      <c r="C73" s="135">
        <v>949</v>
      </c>
    </row>
    <row r="74" spans="1:3" ht="26">
      <c r="A74" s="212" t="s">
        <v>14502</v>
      </c>
      <c r="B74" s="141" t="s">
        <v>13432</v>
      </c>
      <c r="C74" s="135">
        <v>1029</v>
      </c>
    </row>
    <row r="75" spans="1:3">
      <c r="A75" s="271"/>
      <c r="B75" s="225" t="s">
        <v>13379</v>
      </c>
      <c r="C75" s="210"/>
    </row>
    <row r="76" spans="1:3">
      <c r="A76" s="271"/>
      <c r="B76" s="286"/>
      <c r="C76" s="210"/>
    </row>
    <row r="77" spans="1:3" ht="23.5">
      <c r="A77" s="271"/>
      <c r="B77" s="219" t="s">
        <v>14488</v>
      </c>
      <c r="C77" s="210"/>
    </row>
    <row r="78" spans="1:3" ht="39">
      <c r="A78" s="271"/>
      <c r="B78" s="147" t="s">
        <v>13431</v>
      </c>
      <c r="C78" s="210"/>
    </row>
    <row r="79" spans="1:3" ht="26">
      <c r="A79" s="212" t="s">
        <v>14501</v>
      </c>
      <c r="B79" s="141" t="s">
        <v>13430</v>
      </c>
      <c r="C79" s="135">
        <v>1179</v>
      </c>
    </row>
    <row r="80" spans="1:3" ht="26">
      <c r="A80" s="212" t="s">
        <v>14500</v>
      </c>
      <c r="B80" s="141" t="s">
        <v>13429</v>
      </c>
      <c r="C80" s="135">
        <v>1179</v>
      </c>
    </row>
    <row r="81" spans="1:3" ht="26">
      <c r="A81" s="212" t="s">
        <v>14499</v>
      </c>
      <c r="B81" s="141" t="s">
        <v>13428</v>
      </c>
      <c r="C81" s="135">
        <v>1339</v>
      </c>
    </row>
    <row r="82" spans="1:3">
      <c r="A82" s="271"/>
      <c r="B82" s="225" t="s">
        <v>13379</v>
      </c>
      <c r="C82" s="210"/>
    </row>
    <row r="83" spans="1:3">
      <c r="A83" s="271"/>
      <c r="B83" s="225"/>
      <c r="C83" s="210"/>
    </row>
    <row r="84" spans="1:3" ht="39">
      <c r="A84" s="140"/>
      <c r="B84" s="155" t="s">
        <v>13427</v>
      </c>
      <c r="C84" s="210"/>
    </row>
    <row r="85" spans="1:3" ht="26">
      <c r="A85" s="177" t="s">
        <v>14498</v>
      </c>
      <c r="B85" s="141" t="s">
        <v>13426</v>
      </c>
      <c r="C85" s="135">
        <v>1459</v>
      </c>
    </row>
    <row r="86" spans="1:3" ht="26">
      <c r="A86" s="177" t="s">
        <v>14497</v>
      </c>
      <c r="B86" s="141" t="s">
        <v>13425</v>
      </c>
      <c r="C86" s="135">
        <v>1459</v>
      </c>
    </row>
    <row r="87" spans="1:3" ht="26">
      <c r="A87" s="177" t="s">
        <v>14496</v>
      </c>
      <c r="B87" s="141" t="s">
        <v>13424</v>
      </c>
      <c r="C87" s="135">
        <v>1689</v>
      </c>
    </row>
    <row r="88" spans="1:3">
      <c r="A88" s="271"/>
      <c r="B88" s="225"/>
      <c r="C88" s="210"/>
    </row>
    <row r="89" spans="1:3" ht="23.5">
      <c r="A89" s="271"/>
      <c r="B89" s="219" t="s">
        <v>14488</v>
      </c>
      <c r="C89" s="210"/>
    </row>
    <row r="90" spans="1:3">
      <c r="A90" s="134"/>
      <c r="B90" s="175" t="s">
        <v>13393</v>
      </c>
      <c r="C90" s="210"/>
    </row>
    <row r="91" spans="1:3" ht="26">
      <c r="A91" s="185"/>
      <c r="B91" s="160" t="s">
        <v>13423</v>
      </c>
      <c r="C91" s="210"/>
    </row>
    <row r="92" spans="1:3" ht="26">
      <c r="A92" s="177" t="s">
        <v>14495</v>
      </c>
      <c r="B92" s="141" t="s">
        <v>13421</v>
      </c>
      <c r="C92" s="135">
        <v>609</v>
      </c>
    </row>
    <row r="93" spans="1:3" ht="26">
      <c r="A93" s="177" t="s">
        <v>14494</v>
      </c>
      <c r="B93" s="141" t="s">
        <v>13419</v>
      </c>
      <c r="C93" s="135">
        <v>609</v>
      </c>
    </row>
    <row r="94" spans="1:3" ht="26">
      <c r="A94" s="177" t="s">
        <v>14493</v>
      </c>
      <c r="B94" s="141" t="s">
        <v>13417</v>
      </c>
      <c r="C94" s="135">
        <v>609</v>
      </c>
    </row>
    <row r="95" spans="1:3" ht="26">
      <c r="A95" s="177" t="s">
        <v>14492</v>
      </c>
      <c r="B95" s="141" t="s">
        <v>13415</v>
      </c>
      <c r="C95" s="135">
        <v>609</v>
      </c>
    </row>
    <row r="96" spans="1:3" ht="26">
      <c r="A96" s="177" t="s">
        <v>14491</v>
      </c>
      <c r="B96" s="141" t="s">
        <v>13413</v>
      </c>
      <c r="C96" s="135">
        <v>609</v>
      </c>
    </row>
    <row r="97" spans="1:3" ht="26">
      <c r="A97" s="177" t="s">
        <v>14490</v>
      </c>
      <c r="B97" s="141" t="s">
        <v>13411</v>
      </c>
      <c r="C97" s="135">
        <v>609</v>
      </c>
    </row>
    <row r="98" spans="1:3" ht="26">
      <c r="A98" s="177" t="s">
        <v>14489</v>
      </c>
      <c r="B98" s="141" t="s">
        <v>13409</v>
      </c>
      <c r="C98" s="135">
        <v>609</v>
      </c>
    </row>
    <row r="99" spans="1:3">
      <c r="A99" s="134"/>
      <c r="B99" s="184" t="s">
        <v>13379</v>
      </c>
      <c r="C99" s="210"/>
    </row>
    <row r="100" spans="1:3">
      <c r="A100" s="134"/>
      <c r="B100" s="184"/>
      <c r="C100" s="210"/>
    </row>
    <row r="101" spans="1:3" ht="23.5">
      <c r="A101" s="134"/>
      <c r="B101" s="219" t="s">
        <v>14488</v>
      </c>
      <c r="C101" s="210"/>
    </row>
    <row r="102" spans="1:3">
      <c r="A102" s="134"/>
      <c r="B102" s="175" t="s">
        <v>13393</v>
      </c>
      <c r="C102" s="210"/>
    </row>
    <row r="103" spans="1:3" ht="26">
      <c r="A103" s="185"/>
      <c r="B103" s="160" t="s">
        <v>13408</v>
      </c>
      <c r="C103" s="210"/>
    </row>
    <row r="104" spans="1:3" ht="26">
      <c r="A104" s="177" t="s">
        <v>14487</v>
      </c>
      <c r="B104" s="141" t="s">
        <v>13406</v>
      </c>
      <c r="C104" s="135">
        <v>619</v>
      </c>
    </row>
    <row r="105" spans="1:3" ht="26">
      <c r="A105" s="177" t="s">
        <v>14486</v>
      </c>
      <c r="B105" s="141" t="s">
        <v>13404</v>
      </c>
      <c r="C105" s="135">
        <v>619</v>
      </c>
    </row>
    <row r="106" spans="1:3" ht="26">
      <c r="A106" s="177" t="s">
        <v>14485</v>
      </c>
      <c r="B106" s="141" t="s">
        <v>13402</v>
      </c>
      <c r="C106" s="135">
        <v>619</v>
      </c>
    </row>
    <row r="107" spans="1:3" ht="26">
      <c r="A107" s="177" t="s">
        <v>14484</v>
      </c>
      <c r="B107" s="141" t="s">
        <v>13400</v>
      </c>
      <c r="C107" s="135">
        <v>619</v>
      </c>
    </row>
    <row r="108" spans="1:3" ht="26">
      <c r="A108" s="177" t="s">
        <v>14483</v>
      </c>
      <c r="B108" s="141" t="s">
        <v>13398</v>
      </c>
      <c r="C108" s="135">
        <v>619</v>
      </c>
    </row>
    <row r="109" spans="1:3" ht="26">
      <c r="A109" s="177" t="s">
        <v>14482</v>
      </c>
      <c r="B109" s="141" t="s">
        <v>13396</v>
      </c>
      <c r="C109" s="135">
        <v>619</v>
      </c>
    </row>
    <row r="110" spans="1:3" ht="26">
      <c r="A110" s="177" t="s">
        <v>14481</v>
      </c>
      <c r="B110" s="141" t="s">
        <v>14480</v>
      </c>
      <c r="C110" s="135">
        <v>619</v>
      </c>
    </row>
    <row r="111" spans="1:3">
      <c r="A111" s="134"/>
      <c r="B111" s="184" t="s">
        <v>13379</v>
      </c>
      <c r="C111" s="210"/>
    </row>
    <row r="112" spans="1:3">
      <c r="A112" s="134"/>
      <c r="B112" s="184"/>
      <c r="C112" s="210"/>
    </row>
    <row r="113" spans="1:3">
      <c r="A113" s="134"/>
      <c r="B113" s="175" t="s">
        <v>13393</v>
      </c>
      <c r="C113" s="210"/>
    </row>
    <row r="114" spans="1:3" ht="26">
      <c r="A114" s="185"/>
      <c r="B114" s="160" t="s">
        <v>13392</v>
      </c>
      <c r="C114" s="210"/>
    </row>
    <row r="115" spans="1:3" ht="26">
      <c r="A115" s="177" t="s">
        <v>14479</v>
      </c>
      <c r="B115" s="141" t="s">
        <v>13390</v>
      </c>
      <c r="C115" s="135">
        <v>629</v>
      </c>
    </row>
    <row r="116" spans="1:3" ht="26">
      <c r="A116" s="178" t="s">
        <v>4895</v>
      </c>
      <c r="B116" s="141" t="s">
        <v>13389</v>
      </c>
      <c r="C116" s="135">
        <v>0</v>
      </c>
    </row>
    <row r="117" spans="1:3" ht="26">
      <c r="A117" s="177" t="s">
        <v>14478</v>
      </c>
      <c r="B117" s="141" t="s">
        <v>13387</v>
      </c>
      <c r="C117" s="135">
        <v>629</v>
      </c>
    </row>
    <row r="118" spans="1:3" ht="26">
      <c r="A118" s="177" t="s">
        <v>4895</v>
      </c>
      <c r="B118" s="141" t="s">
        <v>13386</v>
      </c>
      <c r="C118" s="135">
        <v>0</v>
      </c>
    </row>
    <row r="119" spans="1:3" ht="26">
      <c r="A119" s="177" t="s">
        <v>14477</v>
      </c>
      <c r="B119" s="141" t="s">
        <v>13384</v>
      </c>
      <c r="C119" s="135">
        <v>629</v>
      </c>
    </row>
    <row r="120" spans="1:3" ht="26">
      <c r="A120" s="177" t="s">
        <v>14476</v>
      </c>
      <c r="B120" s="141" t="s">
        <v>13382</v>
      </c>
      <c r="C120" s="135">
        <v>629</v>
      </c>
    </row>
    <row r="121" spans="1:3" ht="26">
      <c r="A121" s="177" t="s">
        <v>14475</v>
      </c>
      <c r="B121" s="141" t="s">
        <v>13380</v>
      </c>
      <c r="C121" s="135">
        <v>629</v>
      </c>
    </row>
    <row r="122" spans="1:3">
      <c r="A122" s="157" t="s">
        <v>13378</v>
      </c>
      <c r="B122" s="286"/>
      <c r="C122" s="210"/>
    </row>
    <row r="123" spans="1:3">
      <c r="A123" s="157"/>
      <c r="B123" s="286"/>
      <c r="C123" s="210"/>
    </row>
    <row r="124" spans="1:3">
      <c r="A124" s="271"/>
      <c r="B124" s="211" t="s">
        <v>13377</v>
      </c>
      <c r="C124" s="210"/>
    </row>
    <row r="125" spans="1:3">
      <c r="A125" s="212" t="s">
        <v>14434</v>
      </c>
      <c r="B125" s="151" t="s">
        <v>13375</v>
      </c>
      <c r="C125" s="135">
        <v>279</v>
      </c>
    </row>
    <row r="126" spans="1:3">
      <c r="A126" s="271"/>
      <c r="B126" s="286"/>
      <c r="C126" s="210"/>
    </row>
    <row r="127" spans="1:3" ht="23.5">
      <c r="A127" s="271"/>
      <c r="B127" s="219" t="s">
        <v>14474</v>
      </c>
      <c r="C127" s="210"/>
    </row>
    <row r="128" spans="1:3">
      <c r="A128" s="271"/>
      <c r="B128" s="211" t="s">
        <v>13364</v>
      </c>
      <c r="C128" s="210"/>
    </row>
    <row r="129" spans="1:3" ht="39">
      <c r="A129" s="212" t="s">
        <v>14473</v>
      </c>
      <c r="B129" s="151" t="s">
        <v>13362</v>
      </c>
      <c r="C129" s="135">
        <v>679</v>
      </c>
    </row>
    <row r="130" spans="1:3" ht="39">
      <c r="A130" s="212" t="s">
        <v>14472</v>
      </c>
      <c r="B130" s="151" t="s">
        <v>13360</v>
      </c>
      <c r="C130" s="135">
        <v>699</v>
      </c>
    </row>
    <row r="131" spans="1:3" ht="39">
      <c r="A131" s="212" t="s">
        <v>14471</v>
      </c>
      <c r="B131" s="151" t="s">
        <v>13358</v>
      </c>
      <c r="C131" s="135">
        <v>699</v>
      </c>
    </row>
    <row r="132" spans="1:3">
      <c r="A132" s="271"/>
      <c r="B132" s="286"/>
      <c r="C132" s="210"/>
    </row>
    <row r="133" spans="1:3" ht="23.5">
      <c r="A133" s="271"/>
      <c r="B133" s="219" t="s">
        <v>14470</v>
      </c>
      <c r="C133" s="210"/>
    </row>
    <row r="134" spans="1:3">
      <c r="A134" s="271"/>
      <c r="B134" s="211" t="s">
        <v>13356</v>
      </c>
      <c r="C134" s="210"/>
    </row>
    <row r="135" spans="1:3" ht="52">
      <c r="A135" s="212" t="s">
        <v>14469</v>
      </c>
      <c r="B135" s="224" t="s">
        <v>13354</v>
      </c>
      <c r="C135" s="135">
        <v>889</v>
      </c>
    </row>
    <row r="136" spans="1:3" ht="26">
      <c r="A136" s="212" t="s">
        <v>14468</v>
      </c>
      <c r="B136" s="151" t="s">
        <v>13617</v>
      </c>
      <c r="C136" s="135">
        <v>459</v>
      </c>
    </row>
    <row r="137" spans="1:3" ht="52">
      <c r="A137" s="212" t="s">
        <v>14467</v>
      </c>
      <c r="B137" s="224" t="s">
        <v>13348</v>
      </c>
      <c r="C137" s="135">
        <v>929</v>
      </c>
    </row>
    <row r="138" spans="1:3" ht="52">
      <c r="A138" s="212" t="s">
        <v>14466</v>
      </c>
      <c r="B138" s="224" t="s">
        <v>13350</v>
      </c>
      <c r="C138" s="135">
        <v>929</v>
      </c>
    </row>
    <row r="139" spans="1:3">
      <c r="A139" s="271"/>
      <c r="B139" s="286"/>
      <c r="C139" s="210"/>
    </row>
    <row r="140" spans="1:3" ht="23.5">
      <c r="A140" s="271"/>
      <c r="B140" s="219" t="s">
        <v>14440</v>
      </c>
      <c r="C140" s="210"/>
    </row>
    <row r="141" spans="1:3">
      <c r="A141" s="271"/>
      <c r="B141" s="211" t="s">
        <v>13440</v>
      </c>
      <c r="C141" s="210"/>
    </row>
    <row r="142" spans="1:3" ht="39">
      <c r="A142" s="212" t="s">
        <v>14465</v>
      </c>
      <c r="B142" s="151" t="s">
        <v>13438</v>
      </c>
      <c r="C142" s="135">
        <v>579</v>
      </c>
    </row>
    <row r="143" spans="1:3" ht="39">
      <c r="A143" s="212" t="s">
        <v>14464</v>
      </c>
      <c r="B143" s="151" t="s">
        <v>13662</v>
      </c>
      <c r="C143" s="135">
        <v>579</v>
      </c>
    </row>
    <row r="144" spans="1:3">
      <c r="A144" s="271"/>
      <c r="B144" s="225" t="s">
        <v>13379</v>
      </c>
      <c r="C144" s="210"/>
    </row>
    <row r="145" spans="1:3">
      <c r="A145" s="271"/>
      <c r="B145" s="286"/>
      <c r="C145" s="210"/>
    </row>
    <row r="146" spans="1:3" ht="23.5">
      <c r="A146" s="271"/>
      <c r="B146" s="219" t="s">
        <v>14440</v>
      </c>
      <c r="C146" s="210"/>
    </row>
    <row r="147" spans="1:3" ht="39">
      <c r="A147" s="271"/>
      <c r="B147" s="147" t="s">
        <v>13435</v>
      </c>
      <c r="C147" s="210"/>
    </row>
    <row r="148" spans="1:3" ht="26">
      <c r="A148" s="212" t="s">
        <v>14463</v>
      </c>
      <c r="B148" s="141" t="s">
        <v>13434</v>
      </c>
      <c r="C148" s="135">
        <v>949</v>
      </c>
    </row>
    <row r="149" spans="1:3" ht="26">
      <c r="A149" s="212" t="s">
        <v>14462</v>
      </c>
      <c r="B149" s="141" t="s">
        <v>13433</v>
      </c>
      <c r="C149" s="135">
        <v>949</v>
      </c>
    </row>
    <row r="150" spans="1:3" ht="26">
      <c r="A150" s="212" t="s">
        <v>14461</v>
      </c>
      <c r="B150" s="141" t="s">
        <v>13432</v>
      </c>
      <c r="C150" s="135">
        <v>1029</v>
      </c>
    </row>
    <row r="151" spans="1:3">
      <c r="A151" s="271"/>
      <c r="B151" s="225" t="s">
        <v>13379</v>
      </c>
      <c r="C151" s="210"/>
    </row>
    <row r="152" spans="1:3">
      <c r="A152" s="271"/>
      <c r="B152" s="286"/>
      <c r="C152" s="210"/>
    </row>
    <row r="153" spans="1:3" ht="23.5">
      <c r="A153" s="271"/>
      <c r="B153" s="219" t="s">
        <v>14440</v>
      </c>
      <c r="C153" s="210"/>
    </row>
    <row r="154" spans="1:3" ht="39">
      <c r="A154" s="271"/>
      <c r="B154" s="147" t="s">
        <v>13431</v>
      </c>
      <c r="C154" s="210"/>
    </row>
    <row r="155" spans="1:3" ht="26">
      <c r="A155" s="212" t="s">
        <v>14460</v>
      </c>
      <c r="B155" s="141" t="s">
        <v>13430</v>
      </c>
      <c r="C155" s="135">
        <v>1179</v>
      </c>
    </row>
    <row r="156" spans="1:3" ht="26">
      <c r="A156" s="212" t="s">
        <v>14459</v>
      </c>
      <c r="B156" s="141" t="s">
        <v>13429</v>
      </c>
      <c r="C156" s="135">
        <v>1179</v>
      </c>
    </row>
    <row r="157" spans="1:3" ht="26">
      <c r="A157" s="212" t="s">
        <v>14458</v>
      </c>
      <c r="B157" s="141" t="s">
        <v>13428</v>
      </c>
      <c r="C157" s="135">
        <v>1339</v>
      </c>
    </row>
    <row r="158" spans="1:3">
      <c r="A158" s="271"/>
      <c r="B158" s="225" t="s">
        <v>13379</v>
      </c>
      <c r="C158" s="210"/>
    </row>
    <row r="159" spans="1:3">
      <c r="A159" s="271"/>
      <c r="B159" s="225"/>
      <c r="C159" s="210"/>
    </row>
    <row r="160" spans="1:3" ht="23.5">
      <c r="A160" s="271"/>
      <c r="B160" s="219" t="s">
        <v>14440</v>
      </c>
      <c r="C160" s="210"/>
    </row>
    <row r="161" spans="1:3" ht="39">
      <c r="A161" s="140"/>
      <c r="B161" s="155" t="s">
        <v>13427</v>
      </c>
      <c r="C161" s="210"/>
    </row>
    <row r="162" spans="1:3" ht="26">
      <c r="A162" s="177" t="s">
        <v>14457</v>
      </c>
      <c r="B162" s="141" t="s">
        <v>13426</v>
      </c>
      <c r="C162" s="135">
        <v>1459</v>
      </c>
    </row>
    <row r="163" spans="1:3" ht="26">
      <c r="A163" s="177" t="s">
        <v>14456</v>
      </c>
      <c r="B163" s="141" t="s">
        <v>13425</v>
      </c>
      <c r="C163" s="135">
        <v>1459</v>
      </c>
    </row>
    <row r="164" spans="1:3" ht="26">
      <c r="A164" s="177" t="s">
        <v>14455</v>
      </c>
      <c r="B164" s="141" t="s">
        <v>13424</v>
      </c>
      <c r="C164" s="135">
        <v>1689</v>
      </c>
    </row>
    <row r="165" spans="1:3">
      <c r="A165" s="271"/>
      <c r="B165" s="225"/>
      <c r="C165" s="210"/>
    </row>
    <row r="166" spans="1:3" ht="23.5">
      <c r="A166" s="271"/>
      <c r="B166" s="219" t="s">
        <v>14440</v>
      </c>
      <c r="C166" s="210"/>
    </row>
    <row r="167" spans="1:3">
      <c r="A167" s="134"/>
      <c r="B167" s="175" t="s">
        <v>13393</v>
      </c>
      <c r="C167" s="210"/>
    </row>
    <row r="168" spans="1:3" ht="26">
      <c r="A168" s="185"/>
      <c r="B168" s="160" t="s">
        <v>13423</v>
      </c>
      <c r="C168" s="210"/>
    </row>
    <row r="169" spans="1:3" ht="26">
      <c r="A169" s="177" t="s">
        <v>14454</v>
      </c>
      <c r="B169" s="141" t="s">
        <v>13421</v>
      </c>
      <c r="C169" s="135">
        <v>609</v>
      </c>
    </row>
    <row r="170" spans="1:3" ht="26">
      <c r="A170" s="177" t="s">
        <v>14453</v>
      </c>
      <c r="B170" s="141" t="s">
        <v>13419</v>
      </c>
      <c r="C170" s="135">
        <v>609</v>
      </c>
    </row>
    <row r="171" spans="1:3" ht="26">
      <c r="A171" s="177" t="s">
        <v>14452</v>
      </c>
      <c r="B171" s="141" t="s">
        <v>13417</v>
      </c>
      <c r="C171" s="135">
        <v>609</v>
      </c>
    </row>
    <row r="172" spans="1:3" ht="26">
      <c r="A172" s="177" t="s">
        <v>14451</v>
      </c>
      <c r="B172" s="141" t="s">
        <v>13415</v>
      </c>
      <c r="C172" s="135">
        <v>609</v>
      </c>
    </row>
    <row r="173" spans="1:3" ht="26">
      <c r="A173" s="177" t="s">
        <v>14450</v>
      </c>
      <c r="B173" s="141" t="s">
        <v>13413</v>
      </c>
      <c r="C173" s="135">
        <v>609</v>
      </c>
    </row>
    <row r="174" spans="1:3" ht="26">
      <c r="A174" s="177" t="s">
        <v>14449</v>
      </c>
      <c r="B174" s="141" t="s">
        <v>13411</v>
      </c>
      <c r="C174" s="135">
        <v>609</v>
      </c>
    </row>
    <row r="175" spans="1:3" ht="26">
      <c r="A175" s="177" t="s">
        <v>14448</v>
      </c>
      <c r="B175" s="141" t="s">
        <v>13409</v>
      </c>
      <c r="C175" s="135">
        <v>609</v>
      </c>
    </row>
    <row r="176" spans="1:3">
      <c r="A176" s="134"/>
      <c r="B176" s="184" t="s">
        <v>13379</v>
      </c>
      <c r="C176" s="210"/>
    </row>
    <row r="177" spans="1:3">
      <c r="A177" s="134"/>
      <c r="B177" s="184"/>
      <c r="C177" s="210"/>
    </row>
    <row r="178" spans="1:3" ht="23.5">
      <c r="A178" s="134"/>
      <c r="B178" s="219" t="s">
        <v>14440</v>
      </c>
      <c r="C178" s="210"/>
    </row>
    <row r="179" spans="1:3">
      <c r="A179" s="134"/>
      <c r="B179" s="175" t="s">
        <v>13393</v>
      </c>
      <c r="C179" s="210"/>
    </row>
    <row r="180" spans="1:3" ht="26">
      <c r="A180" s="185"/>
      <c r="B180" s="160" t="s">
        <v>13408</v>
      </c>
      <c r="C180" s="210"/>
    </row>
    <row r="181" spans="1:3" ht="26">
      <c r="A181" s="177" t="s">
        <v>14447</v>
      </c>
      <c r="B181" s="141" t="s">
        <v>13406</v>
      </c>
      <c r="C181" s="135">
        <v>619</v>
      </c>
    </row>
    <row r="182" spans="1:3" ht="26">
      <c r="A182" s="177" t="s">
        <v>14446</v>
      </c>
      <c r="B182" s="141" t="s">
        <v>13404</v>
      </c>
      <c r="C182" s="135">
        <v>619</v>
      </c>
    </row>
    <row r="183" spans="1:3" ht="26">
      <c r="A183" s="177" t="s">
        <v>14445</v>
      </c>
      <c r="B183" s="141" t="s">
        <v>13402</v>
      </c>
      <c r="C183" s="135">
        <v>619</v>
      </c>
    </row>
    <row r="184" spans="1:3" ht="26">
      <c r="A184" s="177" t="s">
        <v>14444</v>
      </c>
      <c r="B184" s="141" t="s">
        <v>13400</v>
      </c>
      <c r="C184" s="135">
        <v>619</v>
      </c>
    </row>
    <row r="185" spans="1:3" ht="26">
      <c r="A185" s="177" t="s">
        <v>14443</v>
      </c>
      <c r="B185" s="141" t="s">
        <v>13398</v>
      </c>
      <c r="C185" s="135">
        <v>619</v>
      </c>
    </row>
    <row r="186" spans="1:3" ht="26">
      <c r="A186" s="177" t="s">
        <v>14442</v>
      </c>
      <c r="B186" s="141" t="s">
        <v>13396</v>
      </c>
      <c r="C186" s="135">
        <v>619</v>
      </c>
    </row>
    <row r="187" spans="1:3" ht="26">
      <c r="A187" s="177" t="s">
        <v>14441</v>
      </c>
      <c r="B187" s="141" t="s">
        <v>13394</v>
      </c>
      <c r="C187" s="135">
        <v>619</v>
      </c>
    </row>
    <row r="188" spans="1:3">
      <c r="A188" s="134"/>
      <c r="B188" s="184" t="s">
        <v>13379</v>
      </c>
      <c r="C188" s="210"/>
    </row>
    <row r="189" spans="1:3">
      <c r="A189" s="134"/>
      <c r="B189" s="184"/>
      <c r="C189" s="210"/>
    </row>
    <row r="190" spans="1:3" ht="23.5">
      <c r="A190" s="134"/>
      <c r="B190" s="219" t="s">
        <v>14440</v>
      </c>
      <c r="C190" s="210"/>
    </row>
    <row r="191" spans="1:3">
      <c r="A191" s="134"/>
      <c r="B191" s="175" t="s">
        <v>13393</v>
      </c>
      <c r="C191" s="210"/>
    </row>
    <row r="192" spans="1:3" ht="26">
      <c r="A192" s="185"/>
      <c r="B192" s="160" t="s">
        <v>13392</v>
      </c>
      <c r="C192" s="210"/>
    </row>
    <row r="193" spans="1:3" ht="26">
      <c r="A193" s="177" t="s">
        <v>14439</v>
      </c>
      <c r="B193" s="141" t="s">
        <v>13390</v>
      </c>
      <c r="C193" s="135">
        <v>629</v>
      </c>
    </row>
    <row r="194" spans="1:3" ht="26">
      <c r="A194" s="178" t="s">
        <v>4895</v>
      </c>
      <c r="B194" s="141" t="s">
        <v>13389</v>
      </c>
      <c r="C194" s="135">
        <v>0</v>
      </c>
    </row>
    <row r="195" spans="1:3" ht="26">
      <c r="A195" s="177" t="s">
        <v>14438</v>
      </c>
      <c r="B195" s="141" t="s">
        <v>13387</v>
      </c>
      <c r="C195" s="135">
        <v>629</v>
      </c>
    </row>
    <row r="196" spans="1:3" ht="26">
      <c r="A196" s="177" t="s">
        <v>4895</v>
      </c>
      <c r="B196" s="141" t="s">
        <v>13386</v>
      </c>
      <c r="C196" s="135">
        <v>0</v>
      </c>
    </row>
    <row r="197" spans="1:3" ht="26">
      <c r="A197" s="177" t="s">
        <v>14437</v>
      </c>
      <c r="B197" s="141" t="s">
        <v>13384</v>
      </c>
      <c r="C197" s="135">
        <v>629</v>
      </c>
    </row>
    <row r="198" spans="1:3" ht="26">
      <c r="A198" s="177" t="s">
        <v>14436</v>
      </c>
      <c r="B198" s="141" t="s">
        <v>13382</v>
      </c>
      <c r="C198" s="135">
        <v>629</v>
      </c>
    </row>
    <row r="199" spans="1:3" ht="26">
      <c r="A199" s="177" t="s">
        <v>14435</v>
      </c>
      <c r="B199" s="141" t="s">
        <v>13380</v>
      </c>
      <c r="C199" s="135">
        <v>629</v>
      </c>
    </row>
    <row r="200" spans="1:3">
      <c r="A200" s="157" t="s">
        <v>13378</v>
      </c>
      <c r="B200" s="286"/>
      <c r="C200" s="210"/>
    </row>
    <row r="201" spans="1:3">
      <c r="A201" s="157"/>
      <c r="B201" s="286"/>
      <c r="C201" s="210"/>
    </row>
    <row r="202" spans="1:3">
      <c r="A202" s="271"/>
      <c r="B202" s="211" t="s">
        <v>13377</v>
      </c>
      <c r="C202" s="210"/>
    </row>
    <row r="203" spans="1:3">
      <c r="A203" s="212" t="s">
        <v>14434</v>
      </c>
      <c r="B203" s="151" t="s">
        <v>13375</v>
      </c>
      <c r="C203" s="135">
        <v>279</v>
      </c>
    </row>
    <row r="204" spans="1:3">
      <c r="A204" s="271"/>
      <c r="B204" s="286"/>
      <c r="C204" s="210"/>
    </row>
    <row r="205" spans="1:3" ht="23.5">
      <c r="A205" s="271"/>
      <c r="B205" s="219" t="s">
        <v>14433</v>
      </c>
      <c r="C205" s="210"/>
    </row>
    <row r="206" spans="1:3">
      <c r="A206" s="271"/>
      <c r="B206" s="211" t="s">
        <v>13364</v>
      </c>
      <c r="C206" s="210"/>
    </row>
    <row r="207" spans="1:3" ht="39">
      <c r="A207" s="212" t="s">
        <v>14432</v>
      </c>
      <c r="B207" s="151" t="s">
        <v>13362</v>
      </c>
      <c r="C207" s="135">
        <v>679</v>
      </c>
    </row>
    <row r="208" spans="1:3" ht="39">
      <c r="A208" s="212" t="s">
        <v>14431</v>
      </c>
      <c r="B208" s="151" t="s">
        <v>13360</v>
      </c>
      <c r="C208" s="135">
        <v>699</v>
      </c>
    </row>
    <row r="209" spans="1:3" ht="39">
      <c r="A209" s="212" t="s">
        <v>14430</v>
      </c>
      <c r="B209" s="151" t="s">
        <v>13358</v>
      </c>
      <c r="C209" s="135">
        <v>699</v>
      </c>
    </row>
    <row r="210" spans="1:3">
      <c r="A210" s="271"/>
      <c r="B210" s="286"/>
      <c r="C210" s="210"/>
    </row>
    <row r="211" spans="1:3" ht="23.5">
      <c r="A211" s="271"/>
      <c r="B211" s="219" t="s">
        <v>14429</v>
      </c>
      <c r="C211" s="210"/>
    </row>
    <row r="212" spans="1:3">
      <c r="A212" s="271"/>
      <c r="B212" s="211" t="s">
        <v>13356</v>
      </c>
      <c r="C212" s="210"/>
    </row>
    <row r="213" spans="1:3" ht="52">
      <c r="A213" s="212" t="s">
        <v>14428</v>
      </c>
      <c r="B213" s="224" t="s">
        <v>13354</v>
      </c>
      <c r="C213" s="135">
        <v>889</v>
      </c>
    </row>
    <row r="214" spans="1:3" ht="26">
      <c r="A214" s="212" t="s">
        <v>14427</v>
      </c>
      <c r="B214" s="151" t="s">
        <v>13617</v>
      </c>
      <c r="C214" s="135">
        <v>459</v>
      </c>
    </row>
    <row r="215" spans="1:3" ht="52">
      <c r="A215" s="212" t="s">
        <v>14426</v>
      </c>
      <c r="B215" s="224" t="s">
        <v>13348</v>
      </c>
      <c r="C215" s="135">
        <v>929</v>
      </c>
    </row>
    <row r="216" spans="1:3" ht="52">
      <c r="A216" s="212" t="s">
        <v>14425</v>
      </c>
      <c r="B216" s="224" t="s">
        <v>13350</v>
      </c>
      <c r="C216" s="135">
        <v>929</v>
      </c>
    </row>
    <row r="217" spans="1:3">
      <c r="A217" s="271"/>
      <c r="B217" s="286"/>
      <c r="C217" s="210"/>
    </row>
    <row r="218" spans="1:3" ht="23.5">
      <c r="A218" s="271"/>
      <c r="B218" s="219" t="s">
        <v>14424</v>
      </c>
      <c r="C218" s="210"/>
    </row>
    <row r="219" spans="1:3">
      <c r="A219" s="271"/>
      <c r="B219" s="147" t="s">
        <v>13346</v>
      </c>
      <c r="C219" s="210"/>
    </row>
    <row r="220" spans="1:3" ht="65">
      <c r="A220" s="212" t="s">
        <v>14423</v>
      </c>
      <c r="B220" s="151" t="s">
        <v>14422</v>
      </c>
      <c r="C220" s="135">
        <v>359</v>
      </c>
    </row>
    <row r="221" spans="1:3" ht="65">
      <c r="A221" s="212" t="s">
        <v>14421</v>
      </c>
      <c r="B221" s="151" t="s">
        <v>14420</v>
      </c>
      <c r="C221" s="135">
        <v>409</v>
      </c>
    </row>
    <row r="222" spans="1:3" ht="78">
      <c r="A222" s="212" t="s">
        <v>14419</v>
      </c>
      <c r="B222" s="151" t="s">
        <v>14418</v>
      </c>
      <c r="C222" s="135">
        <v>329</v>
      </c>
    </row>
    <row r="223" spans="1:3" ht="78">
      <c r="A223" s="212" t="s">
        <v>14417</v>
      </c>
      <c r="B223" s="151" t="s">
        <v>14416</v>
      </c>
      <c r="C223" s="135">
        <v>329</v>
      </c>
    </row>
    <row r="224" spans="1:3">
      <c r="A224" s="229"/>
      <c r="B224" s="239"/>
      <c r="C224" s="210"/>
    </row>
    <row r="225" spans="1:3">
      <c r="A225" s="229"/>
      <c r="B225" s="249" t="s">
        <v>13338</v>
      </c>
      <c r="C225" s="210"/>
    </row>
    <row r="226" spans="1:3" ht="78">
      <c r="A226" s="146" t="s">
        <v>14415</v>
      </c>
      <c r="B226" s="151" t="s">
        <v>14414</v>
      </c>
      <c r="C226" s="135">
        <v>489</v>
      </c>
    </row>
    <row r="227" spans="1:3">
      <c r="A227" s="271"/>
      <c r="B227" s="286"/>
      <c r="C227" s="210"/>
    </row>
    <row r="228" spans="1:3">
      <c r="A228" s="271"/>
      <c r="B228" s="211" t="s">
        <v>13327</v>
      </c>
      <c r="C228" s="210"/>
    </row>
    <row r="229" spans="1:3" ht="39">
      <c r="A229" s="212" t="s">
        <v>14413</v>
      </c>
      <c r="B229" s="151" t="s">
        <v>14035</v>
      </c>
      <c r="C229" s="135">
        <v>339</v>
      </c>
    </row>
    <row r="230" spans="1:3">
      <c r="A230" s="271"/>
      <c r="B230" s="286"/>
      <c r="C230" s="210"/>
    </row>
    <row r="231" spans="1:3">
      <c r="A231" s="271"/>
      <c r="B231" s="283" t="s">
        <v>13322</v>
      </c>
      <c r="C231" s="210"/>
    </row>
    <row r="232" spans="1:3">
      <c r="A232" s="271"/>
      <c r="B232" s="283" t="s">
        <v>14412</v>
      </c>
      <c r="C232" s="210"/>
    </row>
    <row r="233" spans="1:3">
      <c r="A233" s="271"/>
      <c r="B233" s="226" t="s">
        <v>13314</v>
      </c>
      <c r="C233" s="210"/>
    </row>
    <row r="234" spans="1:3" ht="65">
      <c r="A234" s="142" t="s">
        <v>14411</v>
      </c>
      <c r="B234" s="224" t="s">
        <v>13319</v>
      </c>
      <c r="C234" s="135">
        <v>3899</v>
      </c>
    </row>
    <row r="235" spans="1:3" ht="91">
      <c r="A235" s="142" t="s">
        <v>14410</v>
      </c>
      <c r="B235" s="224" t="s">
        <v>13317</v>
      </c>
      <c r="C235" s="135">
        <v>3899</v>
      </c>
    </row>
    <row r="236" spans="1:3">
      <c r="A236" s="271"/>
      <c r="B236" s="286"/>
      <c r="C236" s="210"/>
    </row>
    <row r="237" spans="1:3" ht="26">
      <c r="A237" s="271"/>
      <c r="B237" s="147" t="s">
        <v>13303</v>
      </c>
      <c r="C237" s="210"/>
    </row>
    <row r="238" spans="1:3" ht="26">
      <c r="A238" s="218" t="s">
        <v>14409</v>
      </c>
      <c r="B238" s="151" t="s">
        <v>13301</v>
      </c>
      <c r="C238" s="135">
        <v>289</v>
      </c>
    </row>
    <row r="239" spans="1:3">
      <c r="A239" s="271"/>
      <c r="B239" s="286"/>
      <c r="C239" s="210"/>
    </row>
    <row r="240" spans="1:3">
      <c r="A240" s="271"/>
      <c r="B240" s="217" t="s">
        <v>13593</v>
      </c>
      <c r="C240" s="210"/>
    </row>
    <row r="241" spans="1:3" ht="91">
      <c r="A241" s="218" t="s">
        <v>14408</v>
      </c>
      <c r="B241" s="151" t="s">
        <v>14407</v>
      </c>
      <c r="C241" s="135">
        <v>89</v>
      </c>
    </row>
    <row r="242" spans="1:3" ht="91">
      <c r="A242" s="216" t="s">
        <v>14406</v>
      </c>
      <c r="B242" s="151" t="s">
        <v>14405</v>
      </c>
      <c r="C242" s="135">
        <v>89</v>
      </c>
    </row>
    <row r="243" spans="1:3">
      <c r="A243" s="294"/>
      <c r="B243" s="293"/>
      <c r="C243" s="210"/>
    </row>
    <row r="244" spans="1:3" ht="26">
      <c r="A244" s="292"/>
      <c r="B244" s="217" t="s">
        <v>14404</v>
      </c>
      <c r="C244" s="210"/>
    </row>
    <row r="245" spans="1:3" ht="78">
      <c r="A245" s="218" t="s">
        <v>14403</v>
      </c>
      <c r="B245" s="152" t="s">
        <v>14402</v>
      </c>
      <c r="C245" s="135">
        <v>469</v>
      </c>
    </row>
    <row r="246" spans="1:3" ht="78">
      <c r="A246" s="218" t="s">
        <v>14401</v>
      </c>
      <c r="B246" s="152" t="s">
        <v>14400</v>
      </c>
      <c r="C246" s="135">
        <v>469</v>
      </c>
    </row>
    <row r="247" spans="1:3" ht="78">
      <c r="A247" s="218" t="s">
        <v>14399</v>
      </c>
      <c r="B247" s="152" t="s">
        <v>14398</v>
      </c>
      <c r="C247" s="135">
        <v>699</v>
      </c>
    </row>
    <row r="248" spans="1:3" ht="78">
      <c r="A248" s="218" t="s">
        <v>14397</v>
      </c>
      <c r="B248" s="152" t="s">
        <v>14396</v>
      </c>
      <c r="C248" s="135">
        <v>699</v>
      </c>
    </row>
    <row r="249" spans="1:3">
      <c r="A249" s="271"/>
      <c r="B249" s="286"/>
      <c r="C249" s="210"/>
    </row>
    <row r="250" spans="1:3">
      <c r="A250" s="271"/>
      <c r="B250" s="211" t="s">
        <v>13588</v>
      </c>
      <c r="C250" s="210"/>
    </row>
    <row r="251" spans="1:3">
      <c r="A251" s="271"/>
      <c r="B251" s="147" t="s">
        <v>13278</v>
      </c>
      <c r="C251" s="210"/>
    </row>
    <row r="252" spans="1:3" ht="39">
      <c r="A252" s="218" t="s">
        <v>14395</v>
      </c>
      <c r="B252" s="151" t="s">
        <v>13276</v>
      </c>
      <c r="C252" s="135">
        <v>1099</v>
      </c>
    </row>
    <row r="253" spans="1:3" ht="39">
      <c r="A253" s="218" t="s">
        <v>14394</v>
      </c>
      <c r="B253" s="291" t="s">
        <v>14393</v>
      </c>
      <c r="C253" s="135">
        <v>1839</v>
      </c>
    </row>
    <row r="254" spans="1:3">
      <c r="A254" s="271"/>
      <c r="B254" s="286"/>
      <c r="C254" s="210"/>
    </row>
    <row r="255" spans="1:3">
      <c r="A255" s="271"/>
      <c r="B255" s="211" t="s">
        <v>14392</v>
      </c>
      <c r="C255" s="210"/>
    </row>
    <row r="256" spans="1:3">
      <c r="A256" s="271"/>
      <c r="B256" s="147" t="s">
        <v>14391</v>
      </c>
      <c r="C256" s="210"/>
    </row>
    <row r="257" spans="1:3" ht="78">
      <c r="A257" s="218" t="s">
        <v>14390</v>
      </c>
      <c r="B257" s="151" t="s">
        <v>13979</v>
      </c>
      <c r="C257" s="135">
        <v>1759</v>
      </c>
    </row>
    <row r="258" spans="1:3" ht="78">
      <c r="A258" s="218" t="s">
        <v>14389</v>
      </c>
      <c r="B258" s="151" t="s">
        <v>13981</v>
      </c>
      <c r="C258" s="135">
        <v>1749</v>
      </c>
    </row>
    <row r="259" spans="1:3">
      <c r="A259" s="271"/>
      <c r="B259" s="286"/>
      <c r="C259" s="210"/>
    </row>
    <row r="260" spans="1:3">
      <c r="A260" s="271"/>
      <c r="B260" s="147" t="s">
        <v>13994</v>
      </c>
      <c r="C260" s="210"/>
    </row>
    <row r="261" spans="1:3">
      <c r="A261" s="271"/>
      <c r="B261" s="147" t="s">
        <v>13983</v>
      </c>
      <c r="C261" s="210"/>
    </row>
    <row r="262" spans="1:3" ht="78">
      <c r="A262" s="218" t="s">
        <v>14388</v>
      </c>
      <c r="B262" s="151" t="s">
        <v>13975</v>
      </c>
      <c r="C262" s="135">
        <v>2509</v>
      </c>
    </row>
    <row r="263" spans="1:3" ht="78">
      <c r="A263" s="218" t="s">
        <v>14387</v>
      </c>
      <c r="B263" s="151" t="s">
        <v>14386</v>
      </c>
      <c r="C263" s="135">
        <v>2499</v>
      </c>
    </row>
    <row r="264" spans="1:3">
      <c r="A264" s="271"/>
      <c r="B264" s="286"/>
      <c r="C264" s="210"/>
    </row>
    <row r="265" spans="1:3">
      <c r="A265" s="271"/>
      <c r="B265" s="290" t="s">
        <v>14385</v>
      </c>
      <c r="C265" s="210"/>
    </row>
    <row r="266" spans="1:3" ht="26">
      <c r="A266" s="218" t="s">
        <v>14384</v>
      </c>
      <c r="B266" s="151" t="s">
        <v>267</v>
      </c>
      <c r="C266" s="135">
        <v>289</v>
      </c>
    </row>
    <row r="267" spans="1:3" ht="26">
      <c r="A267" s="218" t="s">
        <v>13235</v>
      </c>
      <c r="B267" s="151" t="s">
        <v>13234</v>
      </c>
      <c r="C267" s="135">
        <v>35.99</v>
      </c>
    </row>
    <row r="268" spans="1:3">
      <c r="A268" s="271"/>
      <c r="B268" s="289"/>
      <c r="C268" s="210"/>
    </row>
    <row r="269" spans="1:3">
      <c r="A269" s="271"/>
      <c r="B269" s="147" t="s">
        <v>13181</v>
      </c>
      <c r="C269" s="210"/>
    </row>
    <row r="270" spans="1:3">
      <c r="A270" s="154" t="s">
        <v>13179</v>
      </c>
      <c r="B270" s="147" t="s">
        <v>14383</v>
      </c>
      <c r="C270" s="210"/>
    </row>
    <row r="271" spans="1:3" ht="39">
      <c r="A271" s="212" t="s">
        <v>14382</v>
      </c>
      <c r="B271" s="151" t="s">
        <v>13231</v>
      </c>
      <c r="C271" s="135">
        <v>1259</v>
      </c>
    </row>
    <row r="272" spans="1:3" ht="39">
      <c r="A272" s="212" t="s">
        <v>14381</v>
      </c>
      <c r="B272" s="151" t="s">
        <v>13229</v>
      </c>
      <c r="C272" s="135">
        <v>1479</v>
      </c>
    </row>
    <row r="273" spans="1:3" ht="39">
      <c r="A273" s="212" t="s">
        <v>14380</v>
      </c>
      <c r="B273" s="151" t="s">
        <v>13227</v>
      </c>
      <c r="C273" s="135">
        <v>1479</v>
      </c>
    </row>
    <row r="274" spans="1:3" ht="39">
      <c r="A274" s="212" t="s">
        <v>14379</v>
      </c>
      <c r="B274" s="151" t="s">
        <v>13225</v>
      </c>
      <c r="C274" s="135">
        <v>1799</v>
      </c>
    </row>
    <row r="275" spans="1:3">
      <c r="A275" s="154" t="s">
        <v>13169</v>
      </c>
      <c r="B275" s="288"/>
      <c r="C275" s="210"/>
    </row>
    <row r="276" spans="1:3" ht="39">
      <c r="A276" s="212" t="s">
        <v>14378</v>
      </c>
      <c r="B276" s="151" t="s">
        <v>13223</v>
      </c>
      <c r="C276" s="135">
        <v>1359</v>
      </c>
    </row>
    <row r="277" spans="1:3" ht="39">
      <c r="A277" s="212" t="s">
        <v>14377</v>
      </c>
      <c r="B277" s="151" t="s">
        <v>13221</v>
      </c>
      <c r="C277" s="135">
        <v>1579</v>
      </c>
    </row>
    <row r="278" spans="1:3" ht="39">
      <c r="A278" s="212" t="s">
        <v>14376</v>
      </c>
      <c r="B278" s="151" t="s">
        <v>13219</v>
      </c>
      <c r="C278" s="135">
        <v>1579</v>
      </c>
    </row>
    <row r="279" spans="1:3" ht="39">
      <c r="A279" s="212" t="s">
        <v>14375</v>
      </c>
      <c r="B279" s="151" t="s">
        <v>13958</v>
      </c>
      <c r="C279" s="135">
        <v>1899</v>
      </c>
    </row>
    <row r="280" spans="1:3" ht="39">
      <c r="A280" s="212" t="s">
        <v>14374</v>
      </c>
      <c r="B280" s="151" t="s">
        <v>13215</v>
      </c>
      <c r="C280" s="135">
        <v>1799</v>
      </c>
    </row>
    <row r="281" spans="1:3">
      <c r="A281" s="154" t="s">
        <v>13214</v>
      </c>
      <c r="B281" s="288"/>
      <c r="C281" s="210"/>
    </row>
    <row r="282" spans="1:3" ht="39">
      <c r="A282" s="212" t="s">
        <v>14373</v>
      </c>
      <c r="B282" s="151" t="s">
        <v>13212</v>
      </c>
      <c r="C282" s="135">
        <v>1879</v>
      </c>
    </row>
    <row r="283" spans="1:3" ht="39">
      <c r="A283" s="212" t="s">
        <v>14372</v>
      </c>
      <c r="B283" s="151" t="s">
        <v>13210</v>
      </c>
      <c r="C283" s="135">
        <v>2099</v>
      </c>
    </row>
    <row r="284" spans="1:3" ht="39">
      <c r="A284" s="212" t="s">
        <v>14371</v>
      </c>
      <c r="B284" s="151" t="s">
        <v>13208</v>
      </c>
      <c r="C284" s="135">
        <v>2099</v>
      </c>
    </row>
    <row r="285" spans="1:3" ht="39">
      <c r="A285" s="212" t="s">
        <v>14370</v>
      </c>
      <c r="B285" s="151" t="s">
        <v>13206</v>
      </c>
      <c r="C285" s="135">
        <v>1879</v>
      </c>
    </row>
    <row r="286" spans="1:3" ht="39">
      <c r="A286" s="212" t="s">
        <v>14369</v>
      </c>
      <c r="B286" s="151" t="s">
        <v>13204</v>
      </c>
      <c r="C286" s="135">
        <v>2099</v>
      </c>
    </row>
    <row r="287" spans="1:3" ht="39">
      <c r="A287" s="212" t="s">
        <v>14368</v>
      </c>
      <c r="B287" s="151" t="s">
        <v>13202</v>
      </c>
      <c r="C287" s="135">
        <v>2099</v>
      </c>
    </row>
    <row r="288" spans="1:3" ht="39">
      <c r="A288" s="212" t="s">
        <v>14367</v>
      </c>
      <c r="B288" s="151" t="s">
        <v>13200</v>
      </c>
      <c r="C288" s="135">
        <v>2059</v>
      </c>
    </row>
    <row r="289" spans="1:3" ht="39">
      <c r="A289" s="212" t="s">
        <v>14366</v>
      </c>
      <c r="B289" s="151" t="s">
        <v>13198</v>
      </c>
      <c r="C289" s="135">
        <v>2039</v>
      </c>
    </row>
    <row r="290" spans="1:3">
      <c r="A290" s="154" t="s">
        <v>13158</v>
      </c>
      <c r="B290" s="288"/>
      <c r="C290" s="210"/>
    </row>
    <row r="291" spans="1:3" ht="39">
      <c r="A291" s="212" t="s">
        <v>14365</v>
      </c>
      <c r="B291" s="151" t="s">
        <v>13196</v>
      </c>
      <c r="C291" s="135">
        <v>1879</v>
      </c>
    </row>
    <row r="292" spans="1:3" ht="39">
      <c r="A292" s="212" t="s">
        <v>14364</v>
      </c>
      <c r="B292" s="151" t="s">
        <v>13194</v>
      </c>
      <c r="C292" s="135">
        <v>2099</v>
      </c>
    </row>
    <row r="293" spans="1:3" ht="39">
      <c r="A293" s="212" t="s">
        <v>14363</v>
      </c>
      <c r="B293" s="151" t="s">
        <v>13192</v>
      </c>
      <c r="C293" s="135">
        <v>2099</v>
      </c>
    </row>
    <row r="294" spans="1:3" ht="39">
      <c r="A294" s="212" t="s">
        <v>14362</v>
      </c>
      <c r="B294" s="151" t="s">
        <v>13190</v>
      </c>
      <c r="C294" s="135">
        <v>1879</v>
      </c>
    </row>
    <row r="295" spans="1:3" ht="39">
      <c r="A295" s="212" t="s">
        <v>14361</v>
      </c>
      <c r="B295" s="151" t="s">
        <v>13188</v>
      </c>
      <c r="C295" s="135">
        <v>2099</v>
      </c>
    </row>
    <row r="296" spans="1:3" ht="39">
      <c r="A296" s="212" t="s">
        <v>14360</v>
      </c>
      <c r="B296" s="151" t="s">
        <v>13186</v>
      </c>
      <c r="C296" s="135">
        <v>2099</v>
      </c>
    </row>
    <row r="297" spans="1:3" ht="39">
      <c r="A297" s="212" t="s">
        <v>14359</v>
      </c>
      <c r="B297" s="151" t="s">
        <v>13184</v>
      </c>
      <c r="C297" s="135">
        <v>2059</v>
      </c>
    </row>
    <row r="298" spans="1:3" ht="39">
      <c r="A298" s="212" t="s">
        <v>14358</v>
      </c>
      <c r="B298" s="151" t="s">
        <v>13182</v>
      </c>
      <c r="C298" s="135">
        <v>2039</v>
      </c>
    </row>
    <row r="299" spans="1:3">
      <c r="A299" s="287" t="s">
        <v>13141</v>
      </c>
      <c r="B299" s="286"/>
      <c r="C299" s="210"/>
    </row>
    <row r="300" spans="1:3">
      <c r="A300" s="287"/>
      <c r="B300" s="286"/>
      <c r="C300" s="210"/>
    </row>
    <row r="301" spans="1:3">
      <c r="A301" s="271"/>
      <c r="B301" s="147" t="s">
        <v>14357</v>
      </c>
      <c r="C301" s="210"/>
    </row>
    <row r="302" spans="1:3" ht="26">
      <c r="A302" s="212" t="s">
        <v>14356</v>
      </c>
      <c r="B302" s="151" t="s">
        <v>14355</v>
      </c>
      <c r="C302" s="135">
        <v>719</v>
      </c>
    </row>
    <row r="303" spans="1:3">
      <c r="A303" s="271"/>
      <c r="B303" s="286"/>
      <c r="C303" s="210"/>
    </row>
    <row r="304" spans="1:3" ht="26">
      <c r="A304" s="271"/>
      <c r="B304" s="147" t="s">
        <v>13140</v>
      </c>
      <c r="C304" s="210"/>
    </row>
    <row r="305" spans="1:3" ht="26">
      <c r="A305" s="212" t="s">
        <v>13139</v>
      </c>
      <c r="B305" s="151" t="s">
        <v>13138</v>
      </c>
      <c r="C305" s="135">
        <v>389.99</v>
      </c>
    </row>
    <row r="306" spans="1:3" ht="39">
      <c r="A306" s="212" t="s">
        <v>13137</v>
      </c>
      <c r="B306" s="151" t="s">
        <v>13136</v>
      </c>
      <c r="C306" s="135">
        <v>479</v>
      </c>
    </row>
    <row r="307" spans="1:3" ht="39">
      <c r="A307" s="212" t="s">
        <v>13135</v>
      </c>
      <c r="B307" s="151" t="s">
        <v>13134</v>
      </c>
      <c r="C307" s="135">
        <v>479</v>
      </c>
    </row>
    <row r="308" spans="1:3">
      <c r="A308" s="229"/>
      <c r="B308" s="239"/>
      <c r="C308" s="210"/>
    </row>
    <row r="309" spans="1:3">
      <c r="A309" s="229"/>
      <c r="B309" s="249" t="s">
        <v>14354</v>
      </c>
      <c r="C309" s="210"/>
    </row>
    <row r="310" spans="1:3" ht="65">
      <c r="A310" s="137" t="s">
        <v>14353</v>
      </c>
      <c r="B310" s="141" t="s">
        <v>14352</v>
      </c>
      <c r="C310" s="135">
        <v>1209</v>
      </c>
    </row>
    <row r="311" spans="1:3">
      <c r="A311" s="154"/>
      <c r="B311" s="286"/>
      <c r="C311" s="210"/>
    </row>
    <row r="312" spans="1:3">
      <c r="A312" s="271"/>
      <c r="B312" s="147" t="s">
        <v>13932</v>
      </c>
      <c r="C312" s="210"/>
    </row>
    <row r="313" spans="1:3">
      <c r="A313" s="212" t="s">
        <v>14351</v>
      </c>
      <c r="B313" s="285" t="s">
        <v>14350</v>
      </c>
      <c r="C313" s="135">
        <v>779</v>
      </c>
    </row>
    <row r="314" spans="1:3" ht="26">
      <c r="A314" s="212" t="s">
        <v>14349</v>
      </c>
      <c r="B314" s="213" t="s">
        <v>14348</v>
      </c>
      <c r="C314" s="135">
        <v>1079</v>
      </c>
    </row>
    <row r="315" spans="1:3" ht="26">
      <c r="A315" s="212" t="s">
        <v>14347</v>
      </c>
      <c r="B315" s="224" t="s">
        <v>13938</v>
      </c>
      <c r="C315" s="135">
        <v>2969</v>
      </c>
    </row>
    <row r="316" spans="1:3" ht="39">
      <c r="A316" s="137" t="s">
        <v>14346</v>
      </c>
      <c r="B316" s="152" t="s">
        <v>13121</v>
      </c>
      <c r="C316" s="135">
        <v>1539</v>
      </c>
    </row>
    <row r="317" spans="1:3">
      <c r="A317" s="271"/>
      <c r="B317" s="284"/>
      <c r="C317" s="210"/>
    </row>
    <row r="318" spans="1:3">
      <c r="A318" s="271"/>
      <c r="B318" s="283" t="s">
        <v>13133</v>
      </c>
      <c r="C318" s="210"/>
    </row>
    <row r="319" spans="1:3">
      <c r="A319" s="212" t="s">
        <v>14345</v>
      </c>
      <c r="B319" s="213" t="s">
        <v>14344</v>
      </c>
      <c r="C319" s="135">
        <v>179</v>
      </c>
    </row>
  </sheetData>
  <sheetProtection insertColumns="0" insertRows="0"/>
  <autoFilter ref="A2:C242" xr:uid="{00000000-0009-0000-0000-00001D000000}"/>
  <printOptions horizontalCentered="1"/>
  <pageMargins left="0.4" right="0.4" top="0.75" bottom="0.5" header="0.3" footer="0.3"/>
  <pageSetup scale="85" fitToHeight="0" orientation="portrait" r:id="rId1"/>
  <headerFooter>
    <oddHeader>&amp;C SETINA MFG 2022 PRICE LIST&amp;R&amp;A</oddHeader>
    <oddFooter>&amp;C&amp;F&amp;R&amp;P of &amp;N</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5787C-6C15-4770-B332-466DF2FC4366}">
  <sheetPr codeName="Sheet15">
    <tabColor theme="2" tint="-9.9978637043366805E-2"/>
    <pageSetUpPr fitToPage="1"/>
  </sheetPr>
  <dimension ref="A1:C182"/>
  <sheetViews>
    <sheetView zoomScale="120" zoomScaleNormal="120" workbookViewId="0">
      <pane ySplit="2" topLeftCell="A3" activePane="bottomLeft" state="frozen"/>
      <selection activeCell="C8" sqref="C8"/>
      <selection pane="bottomLeft" activeCell="C8" sqref="C8"/>
    </sheetView>
  </sheetViews>
  <sheetFormatPr defaultColWidth="9.1796875" defaultRowHeight="14.5"/>
  <cols>
    <col min="1" max="1" width="26" style="167" bestFit="1" customWidth="1"/>
    <col min="2" max="2" width="78.7265625" style="207" customWidth="1"/>
    <col min="3" max="3" width="12.7265625" style="167" bestFit="1" customWidth="1"/>
    <col min="4" max="16384" width="9.1796875" style="167"/>
  </cols>
  <sheetData>
    <row r="1" spans="1:3">
      <c r="A1" s="281" t="s">
        <v>14680</v>
      </c>
      <c r="B1" s="310"/>
      <c r="C1" s="309"/>
    </row>
    <row r="2" spans="1:3" s="158" customFormat="1">
      <c r="A2" s="235" t="s">
        <v>3519</v>
      </c>
      <c r="B2" s="234" t="s">
        <v>3518</v>
      </c>
      <c r="C2" s="200" t="s">
        <v>13563</v>
      </c>
    </row>
    <row r="3" spans="1:3" s="158" customFormat="1">
      <c r="A3" s="308"/>
      <c r="B3" s="307"/>
      <c r="C3" s="306"/>
    </row>
    <row r="4" spans="1:3">
      <c r="A4" s="231"/>
      <c r="B4" s="217" t="s">
        <v>14679</v>
      </c>
      <c r="C4" s="305"/>
    </row>
    <row r="5" spans="1:3">
      <c r="A5" s="231" t="s">
        <v>13511</v>
      </c>
      <c r="B5" s="217" t="s">
        <v>14678</v>
      </c>
      <c r="C5" s="305"/>
    </row>
    <row r="6" spans="1:3" ht="78">
      <c r="A6" s="212" t="s">
        <v>14677</v>
      </c>
      <c r="B6" s="302" t="s">
        <v>14676</v>
      </c>
      <c r="C6" s="135">
        <v>799</v>
      </c>
    </row>
    <row r="7" spans="1:3" ht="78">
      <c r="A7" s="212" t="s">
        <v>14675</v>
      </c>
      <c r="B7" s="302" t="s">
        <v>14674</v>
      </c>
      <c r="C7" s="135">
        <v>839</v>
      </c>
    </row>
    <row r="8" spans="1:3" ht="78">
      <c r="A8" s="212" t="s">
        <v>14673</v>
      </c>
      <c r="B8" s="302" t="s">
        <v>14672</v>
      </c>
      <c r="C8" s="135">
        <v>899</v>
      </c>
    </row>
    <row r="9" spans="1:3" ht="78">
      <c r="A9" s="212" t="s">
        <v>14671</v>
      </c>
      <c r="B9" s="302" t="s">
        <v>14670</v>
      </c>
      <c r="C9" s="135">
        <v>819</v>
      </c>
    </row>
    <row r="10" spans="1:3" ht="78">
      <c r="A10" s="212" t="s">
        <v>14669</v>
      </c>
      <c r="B10" s="302" t="s">
        <v>14668</v>
      </c>
      <c r="C10" s="135">
        <v>819</v>
      </c>
    </row>
    <row r="11" spans="1:3" ht="78">
      <c r="A11" s="212" t="s">
        <v>14667</v>
      </c>
      <c r="B11" s="302" t="s">
        <v>14666</v>
      </c>
      <c r="C11" s="135">
        <v>859</v>
      </c>
    </row>
    <row r="12" spans="1:3">
      <c r="A12" s="231" t="s">
        <v>13497</v>
      </c>
      <c r="B12" s="297"/>
      <c r="C12" s="210"/>
    </row>
    <row r="13" spans="1:3" ht="78">
      <c r="A13" s="212" t="s">
        <v>14665</v>
      </c>
      <c r="B13" s="302" t="s">
        <v>14664</v>
      </c>
      <c r="C13" s="135">
        <v>919</v>
      </c>
    </row>
    <row r="14" spans="1:3" ht="78">
      <c r="A14" s="212" t="s">
        <v>14663</v>
      </c>
      <c r="B14" s="302" t="s">
        <v>14662</v>
      </c>
      <c r="C14" s="135">
        <v>959</v>
      </c>
    </row>
    <row r="15" spans="1:3" ht="78">
      <c r="A15" s="212" t="s">
        <v>14661</v>
      </c>
      <c r="B15" s="302" t="s">
        <v>14660</v>
      </c>
      <c r="C15" s="135">
        <v>969</v>
      </c>
    </row>
    <row r="16" spans="1:3" ht="91">
      <c r="A16" s="212" t="s">
        <v>14659</v>
      </c>
      <c r="B16" s="302" t="s">
        <v>14658</v>
      </c>
      <c r="C16" s="135">
        <v>959</v>
      </c>
    </row>
    <row r="17" spans="1:3" ht="91">
      <c r="A17" s="212" t="s">
        <v>14657</v>
      </c>
      <c r="B17" s="302" t="s">
        <v>14656</v>
      </c>
      <c r="C17" s="135">
        <v>999</v>
      </c>
    </row>
    <row r="18" spans="1:3" ht="26">
      <c r="A18" s="231" t="s">
        <v>13497</v>
      </c>
      <c r="B18" s="217" t="s">
        <v>13537</v>
      </c>
      <c r="C18" s="210"/>
    </row>
    <row r="19" spans="1:3" ht="65">
      <c r="A19" s="212" t="s">
        <v>14655</v>
      </c>
      <c r="B19" s="302" t="s">
        <v>14654</v>
      </c>
      <c r="C19" s="135">
        <v>1059</v>
      </c>
    </row>
    <row r="20" spans="1:3" ht="65">
      <c r="A20" s="212" t="s">
        <v>14653</v>
      </c>
      <c r="B20" s="302" t="s">
        <v>14652</v>
      </c>
      <c r="C20" s="135">
        <v>1099</v>
      </c>
    </row>
    <row r="21" spans="1:3">
      <c r="A21" s="194" t="s">
        <v>13484</v>
      </c>
      <c r="B21" s="301"/>
      <c r="C21" s="210"/>
    </row>
    <row r="22" spans="1:3">
      <c r="A22" s="194"/>
      <c r="B22" s="301"/>
      <c r="C22" s="210"/>
    </row>
    <row r="23" spans="1:3" ht="39">
      <c r="A23" s="231" t="s">
        <v>13483</v>
      </c>
      <c r="B23" s="147" t="s">
        <v>13727</v>
      </c>
      <c r="C23" s="210"/>
    </row>
    <row r="24" spans="1:3" ht="78">
      <c r="A24" s="212" t="s">
        <v>14651</v>
      </c>
      <c r="B24" s="278" t="s">
        <v>14650</v>
      </c>
      <c r="C24" s="135">
        <v>1279</v>
      </c>
    </row>
    <row r="25" spans="1:3" ht="78">
      <c r="A25" s="212" t="s">
        <v>14649</v>
      </c>
      <c r="B25" s="278" t="s">
        <v>14648</v>
      </c>
      <c r="C25" s="135">
        <v>1279</v>
      </c>
    </row>
    <row r="26" spans="1:3">
      <c r="A26" s="229"/>
      <c r="B26" s="277"/>
      <c r="C26" s="210"/>
    </row>
    <row r="27" spans="1:3" ht="23.5">
      <c r="A27" s="280"/>
      <c r="B27" s="304" t="s">
        <v>14583</v>
      </c>
      <c r="C27" s="210"/>
    </row>
    <row r="28" spans="1:3" ht="26">
      <c r="A28" s="280"/>
      <c r="B28" s="147" t="s">
        <v>14617</v>
      </c>
      <c r="C28" s="210"/>
    </row>
    <row r="29" spans="1:3" ht="39">
      <c r="A29" s="212" t="s">
        <v>14647</v>
      </c>
      <c r="B29" s="302" t="s">
        <v>13438</v>
      </c>
      <c r="C29" s="135">
        <v>579</v>
      </c>
    </row>
    <row r="30" spans="1:3" ht="53.25" customHeight="1">
      <c r="A30" s="212" t="s">
        <v>14646</v>
      </c>
      <c r="B30" s="302" t="s">
        <v>13662</v>
      </c>
      <c r="C30" s="135">
        <v>579</v>
      </c>
    </row>
    <row r="31" spans="1:3">
      <c r="A31" s="280"/>
      <c r="B31" s="225" t="s">
        <v>13379</v>
      </c>
      <c r="C31" s="210"/>
    </row>
    <row r="32" spans="1:3">
      <c r="A32" s="280"/>
      <c r="B32" s="225"/>
      <c r="C32" s="210"/>
    </row>
    <row r="33" spans="1:3" ht="23.5">
      <c r="A33" s="280"/>
      <c r="B33" s="304" t="s">
        <v>14583</v>
      </c>
      <c r="C33" s="210"/>
    </row>
    <row r="34" spans="1:3" ht="52">
      <c r="A34" s="280"/>
      <c r="B34" s="147" t="s">
        <v>14614</v>
      </c>
      <c r="C34" s="210"/>
    </row>
    <row r="35" spans="1:3" ht="26">
      <c r="A35" s="212" t="s">
        <v>14645</v>
      </c>
      <c r="B35" s="141" t="s">
        <v>13434</v>
      </c>
      <c r="C35" s="135">
        <v>949</v>
      </c>
    </row>
    <row r="36" spans="1:3" ht="26">
      <c r="A36" s="212" t="s">
        <v>14644</v>
      </c>
      <c r="B36" s="141" t="s">
        <v>13433</v>
      </c>
      <c r="C36" s="135">
        <v>949</v>
      </c>
    </row>
    <row r="37" spans="1:3" ht="26">
      <c r="A37" s="212" t="s">
        <v>14643</v>
      </c>
      <c r="B37" s="141" t="s">
        <v>13432</v>
      </c>
      <c r="C37" s="135">
        <v>1029</v>
      </c>
    </row>
    <row r="38" spans="1:3">
      <c r="A38" s="280"/>
      <c r="B38" s="225" t="s">
        <v>13379</v>
      </c>
      <c r="C38" s="210"/>
    </row>
    <row r="39" spans="1:3">
      <c r="A39" s="280"/>
      <c r="B39" s="225"/>
      <c r="C39" s="210"/>
    </row>
    <row r="40" spans="1:3" ht="23.5">
      <c r="A40" s="280"/>
      <c r="B40" s="304" t="s">
        <v>14583</v>
      </c>
      <c r="C40" s="210"/>
    </row>
    <row r="41" spans="1:3" ht="52">
      <c r="A41" s="280"/>
      <c r="B41" s="147" t="s">
        <v>14610</v>
      </c>
      <c r="C41" s="210"/>
    </row>
    <row r="42" spans="1:3" ht="26">
      <c r="A42" s="212" t="s">
        <v>14642</v>
      </c>
      <c r="B42" s="141" t="s">
        <v>13430</v>
      </c>
      <c r="C42" s="135">
        <v>1179</v>
      </c>
    </row>
    <row r="43" spans="1:3" ht="26">
      <c r="A43" s="212" t="s">
        <v>14641</v>
      </c>
      <c r="B43" s="141" t="s">
        <v>13429</v>
      </c>
      <c r="C43" s="135">
        <v>1179</v>
      </c>
    </row>
    <row r="44" spans="1:3" ht="26">
      <c r="A44" s="212" t="s">
        <v>14640</v>
      </c>
      <c r="B44" s="141" t="s">
        <v>13428</v>
      </c>
      <c r="C44" s="135">
        <v>1339</v>
      </c>
    </row>
    <row r="45" spans="1:3">
      <c r="A45" s="280"/>
      <c r="B45" s="225" t="s">
        <v>13379</v>
      </c>
      <c r="C45" s="210"/>
    </row>
    <row r="46" spans="1:3">
      <c r="A46" s="280"/>
      <c r="B46" s="225"/>
      <c r="C46" s="210"/>
    </row>
    <row r="47" spans="1:3" ht="23.5">
      <c r="A47" s="280"/>
      <c r="B47" s="304" t="s">
        <v>14583</v>
      </c>
      <c r="C47" s="210"/>
    </row>
    <row r="48" spans="1:3" ht="39">
      <c r="A48" s="140"/>
      <c r="B48" s="155" t="s">
        <v>13427</v>
      </c>
      <c r="C48" s="210"/>
    </row>
    <row r="49" spans="1:3" ht="26">
      <c r="A49" s="177" t="s">
        <v>14639</v>
      </c>
      <c r="B49" s="141" t="s">
        <v>13426</v>
      </c>
      <c r="C49" s="135">
        <v>1459</v>
      </c>
    </row>
    <row r="50" spans="1:3" ht="26">
      <c r="A50" s="177" t="s">
        <v>14638</v>
      </c>
      <c r="B50" s="141" t="s">
        <v>13425</v>
      </c>
      <c r="C50" s="135">
        <v>1459</v>
      </c>
    </row>
    <row r="51" spans="1:3" ht="26">
      <c r="A51" s="177" t="s">
        <v>14637</v>
      </c>
      <c r="B51" s="141" t="s">
        <v>13424</v>
      </c>
      <c r="C51" s="135">
        <v>1689</v>
      </c>
    </row>
    <row r="52" spans="1:3">
      <c r="A52" s="179"/>
      <c r="B52" s="153"/>
      <c r="C52" s="210"/>
    </row>
    <row r="53" spans="1:3" ht="23.5">
      <c r="A53" s="280"/>
      <c r="B53" s="304" t="s">
        <v>14583</v>
      </c>
      <c r="C53" s="210"/>
    </row>
    <row r="54" spans="1:3">
      <c r="A54" s="134"/>
      <c r="B54" s="175" t="s">
        <v>13393</v>
      </c>
      <c r="C54" s="210"/>
    </row>
    <row r="55" spans="1:3" ht="26">
      <c r="A55" s="185"/>
      <c r="B55" s="160" t="s">
        <v>13423</v>
      </c>
      <c r="C55" s="210"/>
    </row>
    <row r="56" spans="1:3" ht="26">
      <c r="A56" s="177" t="s">
        <v>14636</v>
      </c>
      <c r="B56" s="141" t="s">
        <v>13421</v>
      </c>
      <c r="C56" s="135">
        <v>609</v>
      </c>
    </row>
    <row r="57" spans="1:3" ht="26">
      <c r="A57" s="177" t="s">
        <v>14635</v>
      </c>
      <c r="B57" s="141" t="s">
        <v>13419</v>
      </c>
      <c r="C57" s="135">
        <v>609</v>
      </c>
    </row>
    <row r="58" spans="1:3" ht="26">
      <c r="A58" s="177" t="s">
        <v>14634</v>
      </c>
      <c r="B58" s="141" t="s">
        <v>13417</v>
      </c>
      <c r="C58" s="135">
        <v>609</v>
      </c>
    </row>
    <row r="59" spans="1:3" ht="26">
      <c r="A59" s="177" t="s">
        <v>14633</v>
      </c>
      <c r="B59" s="141" t="s">
        <v>13415</v>
      </c>
      <c r="C59" s="135">
        <v>609</v>
      </c>
    </row>
    <row r="60" spans="1:3" ht="26">
      <c r="A60" s="177" t="s">
        <v>14632</v>
      </c>
      <c r="B60" s="141" t="s">
        <v>13413</v>
      </c>
      <c r="C60" s="135">
        <v>609</v>
      </c>
    </row>
    <row r="61" spans="1:3" ht="26">
      <c r="A61" s="177" t="s">
        <v>14631</v>
      </c>
      <c r="B61" s="141" t="s">
        <v>13411</v>
      </c>
      <c r="C61" s="135">
        <v>609</v>
      </c>
    </row>
    <row r="62" spans="1:3" ht="26">
      <c r="A62" s="177" t="s">
        <v>14630</v>
      </c>
      <c r="B62" s="141" t="s">
        <v>13409</v>
      </c>
      <c r="C62" s="135">
        <v>609</v>
      </c>
    </row>
    <row r="63" spans="1:3">
      <c r="A63" s="134"/>
      <c r="B63" s="184" t="s">
        <v>13379</v>
      </c>
      <c r="C63" s="210"/>
    </row>
    <row r="64" spans="1:3">
      <c r="A64" s="134"/>
      <c r="B64" s="184"/>
      <c r="C64" s="210"/>
    </row>
    <row r="65" spans="1:3" ht="23.5">
      <c r="A65" s="134"/>
      <c r="B65" s="304" t="s">
        <v>14583</v>
      </c>
      <c r="C65" s="210"/>
    </row>
    <row r="66" spans="1:3">
      <c r="A66" s="134"/>
      <c r="B66" s="175" t="s">
        <v>13393</v>
      </c>
      <c r="C66" s="210"/>
    </row>
    <row r="67" spans="1:3" ht="26">
      <c r="A67" s="185"/>
      <c r="B67" s="160" t="s">
        <v>13408</v>
      </c>
      <c r="C67" s="210"/>
    </row>
    <row r="68" spans="1:3" ht="26">
      <c r="A68" s="177" t="s">
        <v>14629</v>
      </c>
      <c r="B68" s="141" t="s">
        <v>13406</v>
      </c>
      <c r="C68" s="135">
        <v>619</v>
      </c>
    </row>
    <row r="69" spans="1:3" ht="26">
      <c r="A69" s="177" t="s">
        <v>14628</v>
      </c>
      <c r="B69" s="141" t="s">
        <v>13404</v>
      </c>
      <c r="C69" s="135">
        <v>619</v>
      </c>
    </row>
    <row r="70" spans="1:3" ht="26">
      <c r="A70" s="177" t="s">
        <v>14627</v>
      </c>
      <c r="B70" s="141" t="s">
        <v>13402</v>
      </c>
      <c r="C70" s="135">
        <v>619</v>
      </c>
    </row>
    <row r="71" spans="1:3" ht="26">
      <c r="A71" s="177" t="s">
        <v>14626</v>
      </c>
      <c r="B71" s="141" t="s">
        <v>13400</v>
      </c>
      <c r="C71" s="135">
        <v>619</v>
      </c>
    </row>
    <row r="72" spans="1:3" ht="26">
      <c r="A72" s="177" t="s">
        <v>14625</v>
      </c>
      <c r="B72" s="141" t="s">
        <v>13398</v>
      </c>
      <c r="C72" s="135">
        <v>619</v>
      </c>
    </row>
    <row r="73" spans="1:3" ht="26">
      <c r="A73" s="177" t="s">
        <v>14624</v>
      </c>
      <c r="B73" s="141" t="s">
        <v>13396</v>
      </c>
      <c r="C73" s="135">
        <v>619</v>
      </c>
    </row>
    <row r="74" spans="1:3" ht="26">
      <c r="A74" s="177" t="s">
        <v>14623</v>
      </c>
      <c r="B74" s="141" t="s">
        <v>13394</v>
      </c>
      <c r="C74" s="135">
        <v>619</v>
      </c>
    </row>
    <row r="75" spans="1:3">
      <c r="A75" s="134"/>
      <c r="B75" s="184" t="s">
        <v>13379</v>
      </c>
      <c r="C75" s="210"/>
    </row>
    <row r="76" spans="1:3">
      <c r="A76" s="134"/>
      <c r="B76" s="184"/>
      <c r="C76" s="210"/>
    </row>
    <row r="77" spans="1:3" ht="23.5">
      <c r="A77" s="134"/>
      <c r="B77" s="304" t="s">
        <v>14583</v>
      </c>
      <c r="C77" s="210"/>
    </row>
    <row r="78" spans="1:3">
      <c r="A78" s="134"/>
      <c r="B78" s="175" t="s">
        <v>13393</v>
      </c>
      <c r="C78" s="210"/>
    </row>
    <row r="79" spans="1:3" ht="26">
      <c r="A79" s="185"/>
      <c r="B79" s="160" t="s">
        <v>13392</v>
      </c>
      <c r="C79" s="210"/>
    </row>
    <row r="80" spans="1:3" ht="26">
      <c r="A80" s="177" t="s">
        <v>14622</v>
      </c>
      <c r="B80" s="141" t="s">
        <v>13390</v>
      </c>
      <c r="C80" s="135">
        <v>629</v>
      </c>
    </row>
    <row r="81" spans="1:3" ht="26">
      <c r="A81" s="178" t="s">
        <v>4895</v>
      </c>
      <c r="B81" s="141" t="s">
        <v>13389</v>
      </c>
      <c r="C81" s="135">
        <v>0</v>
      </c>
    </row>
    <row r="82" spans="1:3" ht="26">
      <c r="A82" s="177" t="s">
        <v>14621</v>
      </c>
      <c r="B82" s="141" t="s">
        <v>13387</v>
      </c>
      <c r="C82" s="135">
        <v>629</v>
      </c>
    </row>
    <row r="83" spans="1:3" ht="26">
      <c r="A83" s="177" t="s">
        <v>4895</v>
      </c>
      <c r="B83" s="141" t="s">
        <v>13386</v>
      </c>
      <c r="C83" s="135">
        <v>0</v>
      </c>
    </row>
    <row r="84" spans="1:3" ht="26">
      <c r="A84" s="177" t="s">
        <v>14620</v>
      </c>
      <c r="B84" s="141" t="s">
        <v>13384</v>
      </c>
      <c r="C84" s="135">
        <v>629</v>
      </c>
    </row>
    <row r="85" spans="1:3" ht="26">
      <c r="A85" s="177" t="s">
        <v>14619</v>
      </c>
      <c r="B85" s="141" t="s">
        <v>13382</v>
      </c>
      <c r="C85" s="135">
        <v>629</v>
      </c>
    </row>
    <row r="86" spans="1:3" ht="26">
      <c r="A86" s="177" t="s">
        <v>14618</v>
      </c>
      <c r="B86" s="141" t="s">
        <v>13380</v>
      </c>
      <c r="C86" s="135">
        <v>629</v>
      </c>
    </row>
    <row r="87" spans="1:3">
      <c r="A87" s="157" t="s">
        <v>13378</v>
      </c>
      <c r="B87" s="153"/>
      <c r="C87" s="210"/>
    </row>
    <row r="88" spans="1:3">
      <c r="A88" s="157"/>
      <c r="B88" s="153"/>
      <c r="C88" s="210"/>
    </row>
    <row r="89" spans="1:3" ht="23.5">
      <c r="A89" s="280"/>
      <c r="B89" s="304" t="s">
        <v>14589</v>
      </c>
      <c r="C89" s="210"/>
    </row>
    <row r="90" spans="1:3" ht="26">
      <c r="A90" s="280"/>
      <c r="B90" s="147" t="s">
        <v>14617</v>
      </c>
      <c r="C90" s="210"/>
    </row>
    <row r="91" spans="1:3" ht="39">
      <c r="A91" s="212" t="s">
        <v>14616</v>
      </c>
      <c r="B91" s="302" t="s">
        <v>13438</v>
      </c>
      <c r="C91" s="135">
        <v>579</v>
      </c>
    </row>
    <row r="92" spans="1:3" ht="39">
      <c r="A92" s="212" t="s">
        <v>14615</v>
      </c>
      <c r="B92" s="302" t="s">
        <v>13662</v>
      </c>
      <c r="C92" s="135">
        <v>579</v>
      </c>
    </row>
    <row r="93" spans="1:3">
      <c r="A93" s="280"/>
      <c r="B93" s="225" t="s">
        <v>13379</v>
      </c>
      <c r="C93" s="210"/>
    </row>
    <row r="94" spans="1:3">
      <c r="A94" s="280"/>
      <c r="B94" s="225"/>
      <c r="C94" s="210"/>
    </row>
    <row r="95" spans="1:3" ht="23.5">
      <c r="A95" s="280"/>
      <c r="B95" s="304" t="s">
        <v>14589</v>
      </c>
      <c r="C95" s="210"/>
    </row>
    <row r="96" spans="1:3" ht="52">
      <c r="A96" s="280"/>
      <c r="B96" s="147" t="s">
        <v>14614</v>
      </c>
      <c r="C96" s="210"/>
    </row>
    <row r="97" spans="1:3" ht="26">
      <c r="A97" s="212" t="s">
        <v>14613</v>
      </c>
      <c r="B97" s="141" t="s">
        <v>13434</v>
      </c>
      <c r="C97" s="135">
        <v>949</v>
      </c>
    </row>
    <row r="98" spans="1:3" ht="26">
      <c r="A98" s="212" t="s">
        <v>14612</v>
      </c>
      <c r="B98" s="141" t="s">
        <v>13433</v>
      </c>
      <c r="C98" s="135">
        <v>949</v>
      </c>
    </row>
    <row r="99" spans="1:3" ht="26">
      <c r="A99" s="212" t="s">
        <v>14611</v>
      </c>
      <c r="B99" s="141" t="s">
        <v>13432</v>
      </c>
      <c r="C99" s="135">
        <v>1029</v>
      </c>
    </row>
    <row r="100" spans="1:3">
      <c r="A100" s="280"/>
      <c r="B100" s="225" t="s">
        <v>13379</v>
      </c>
      <c r="C100" s="210"/>
    </row>
    <row r="101" spans="1:3">
      <c r="A101" s="280"/>
      <c r="B101" s="225"/>
      <c r="C101" s="210"/>
    </row>
    <row r="102" spans="1:3" ht="23.5">
      <c r="A102" s="280"/>
      <c r="B102" s="304" t="s">
        <v>14589</v>
      </c>
      <c r="C102" s="210"/>
    </row>
    <row r="103" spans="1:3" ht="52">
      <c r="A103" s="280"/>
      <c r="B103" s="147" t="s">
        <v>14610</v>
      </c>
      <c r="C103" s="210"/>
    </row>
    <row r="104" spans="1:3" ht="26">
      <c r="A104" s="212" t="s">
        <v>14609</v>
      </c>
      <c r="B104" s="141" t="s">
        <v>13430</v>
      </c>
      <c r="C104" s="135">
        <v>1179</v>
      </c>
    </row>
    <row r="105" spans="1:3" ht="26">
      <c r="A105" s="212" t="s">
        <v>14608</v>
      </c>
      <c r="B105" s="141" t="s">
        <v>13429</v>
      </c>
      <c r="C105" s="135">
        <v>1179</v>
      </c>
    </row>
    <row r="106" spans="1:3" ht="26">
      <c r="A106" s="212" t="s">
        <v>14607</v>
      </c>
      <c r="B106" s="141" t="s">
        <v>13428</v>
      </c>
      <c r="C106" s="135">
        <v>1339</v>
      </c>
    </row>
    <row r="107" spans="1:3">
      <c r="A107" s="280"/>
      <c r="B107" s="225" t="s">
        <v>13379</v>
      </c>
      <c r="C107" s="210"/>
    </row>
    <row r="108" spans="1:3">
      <c r="A108" s="280"/>
      <c r="B108" s="225"/>
      <c r="C108" s="210"/>
    </row>
    <row r="109" spans="1:3" ht="23.5">
      <c r="A109" s="280"/>
      <c r="B109" s="304" t="s">
        <v>14589</v>
      </c>
      <c r="C109" s="210"/>
    </row>
    <row r="110" spans="1:3" ht="39">
      <c r="A110" s="140"/>
      <c r="B110" s="155" t="s">
        <v>13427</v>
      </c>
      <c r="C110" s="210"/>
    </row>
    <row r="111" spans="1:3" ht="26">
      <c r="A111" s="177" t="s">
        <v>14606</v>
      </c>
      <c r="B111" s="141" t="s">
        <v>13426</v>
      </c>
      <c r="C111" s="135">
        <v>1459</v>
      </c>
    </row>
    <row r="112" spans="1:3" ht="26">
      <c r="A112" s="177" t="s">
        <v>14605</v>
      </c>
      <c r="B112" s="141" t="s">
        <v>13425</v>
      </c>
      <c r="C112" s="135">
        <v>1459</v>
      </c>
    </row>
    <row r="113" spans="1:3" ht="26">
      <c r="A113" s="177" t="s">
        <v>14604</v>
      </c>
      <c r="B113" s="141" t="s">
        <v>13424</v>
      </c>
      <c r="C113" s="135">
        <v>1689</v>
      </c>
    </row>
    <row r="114" spans="1:3">
      <c r="A114" s="179"/>
      <c r="B114" s="153"/>
      <c r="C114" s="210"/>
    </row>
    <row r="115" spans="1:3" ht="23.5">
      <c r="A115" s="280"/>
      <c r="B115" s="304" t="s">
        <v>14589</v>
      </c>
      <c r="C115" s="210"/>
    </row>
    <row r="116" spans="1:3">
      <c r="A116" s="134"/>
      <c r="B116" s="175" t="s">
        <v>13393</v>
      </c>
      <c r="C116" s="210"/>
    </row>
    <row r="117" spans="1:3" ht="26">
      <c r="A117" s="185"/>
      <c r="B117" s="160" t="s">
        <v>13423</v>
      </c>
      <c r="C117" s="210"/>
    </row>
    <row r="118" spans="1:3" ht="26">
      <c r="A118" s="177" t="s">
        <v>14603</v>
      </c>
      <c r="B118" s="141" t="s">
        <v>13421</v>
      </c>
      <c r="C118" s="135">
        <v>609</v>
      </c>
    </row>
    <row r="119" spans="1:3" ht="26">
      <c r="A119" s="177" t="s">
        <v>14602</v>
      </c>
      <c r="B119" s="141" t="s">
        <v>13419</v>
      </c>
      <c r="C119" s="135">
        <v>609</v>
      </c>
    </row>
    <row r="120" spans="1:3" ht="26">
      <c r="A120" s="177" t="s">
        <v>14601</v>
      </c>
      <c r="B120" s="141" t="s">
        <v>13417</v>
      </c>
      <c r="C120" s="135">
        <v>609</v>
      </c>
    </row>
    <row r="121" spans="1:3" ht="26">
      <c r="A121" s="177" t="s">
        <v>14600</v>
      </c>
      <c r="B121" s="141" t="s">
        <v>13415</v>
      </c>
      <c r="C121" s="135">
        <v>609</v>
      </c>
    </row>
    <row r="122" spans="1:3" ht="26">
      <c r="A122" s="177" t="s">
        <v>14599</v>
      </c>
      <c r="B122" s="141" t="s">
        <v>13413</v>
      </c>
      <c r="C122" s="135">
        <v>609</v>
      </c>
    </row>
    <row r="123" spans="1:3" ht="26">
      <c r="A123" s="177" t="s">
        <v>14598</v>
      </c>
      <c r="B123" s="141" t="s">
        <v>13411</v>
      </c>
      <c r="C123" s="135">
        <v>609</v>
      </c>
    </row>
    <row r="124" spans="1:3" ht="26">
      <c r="A124" s="177" t="s">
        <v>14597</v>
      </c>
      <c r="B124" s="141" t="s">
        <v>13409</v>
      </c>
      <c r="C124" s="135">
        <v>609</v>
      </c>
    </row>
    <row r="125" spans="1:3">
      <c r="A125" s="134"/>
      <c r="B125" s="184" t="s">
        <v>13379</v>
      </c>
      <c r="C125" s="210"/>
    </row>
    <row r="126" spans="1:3">
      <c r="A126" s="134"/>
      <c r="B126" s="184"/>
      <c r="C126" s="210"/>
    </row>
    <row r="127" spans="1:3" ht="23.5">
      <c r="A127" s="134"/>
      <c r="B127" s="304" t="s">
        <v>14589</v>
      </c>
      <c r="C127" s="210"/>
    </row>
    <row r="128" spans="1:3">
      <c r="A128" s="134"/>
      <c r="B128" s="175" t="s">
        <v>13393</v>
      </c>
      <c r="C128" s="210"/>
    </row>
    <row r="129" spans="1:3" ht="26">
      <c r="A129" s="185"/>
      <c r="B129" s="160" t="s">
        <v>13408</v>
      </c>
      <c r="C129" s="210"/>
    </row>
    <row r="130" spans="1:3" ht="26">
      <c r="A130" s="177" t="s">
        <v>14596</v>
      </c>
      <c r="B130" s="141" t="s">
        <v>13406</v>
      </c>
      <c r="C130" s="135">
        <v>619</v>
      </c>
    </row>
    <row r="131" spans="1:3" ht="26">
      <c r="A131" s="177" t="s">
        <v>14595</v>
      </c>
      <c r="B131" s="141" t="s">
        <v>13404</v>
      </c>
      <c r="C131" s="135">
        <v>619</v>
      </c>
    </row>
    <row r="132" spans="1:3" ht="26">
      <c r="A132" s="177" t="s">
        <v>14594</v>
      </c>
      <c r="B132" s="141" t="s">
        <v>13402</v>
      </c>
      <c r="C132" s="135">
        <v>619</v>
      </c>
    </row>
    <row r="133" spans="1:3" ht="26">
      <c r="A133" s="177" t="s">
        <v>14593</v>
      </c>
      <c r="B133" s="141" t="s">
        <v>13400</v>
      </c>
      <c r="C133" s="135">
        <v>619</v>
      </c>
    </row>
    <row r="134" spans="1:3" ht="26">
      <c r="A134" s="177" t="s">
        <v>14592</v>
      </c>
      <c r="B134" s="141" t="s">
        <v>13398</v>
      </c>
      <c r="C134" s="135">
        <v>619</v>
      </c>
    </row>
    <row r="135" spans="1:3" ht="26">
      <c r="A135" s="177" t="s">
        <v>14591</v>
      </c>
      <c r="B135" s="141" t="s">
        <v>13396</v>
      </c>
      <c r="C135" s="135">
        <v>619</v>
      </c>
    </row>
    <row r="136" spans="1:3" ht="26">
      <c r="A136" s="177" t="s">
        <v>14590</v>
      </c>
      <c r="B136" s="141" t="s">
        <v>13394</v>
      </c>
      <c r="C136" s="135">
        <v>619</v>
      </c>
    </row>
    <row r="137" spans="1:3">
      <c r="A137" s="134"/>
      <c r="B137" s="184" t="s">
        <v>13379</v>
      </c>
      <c r="C137" s="210"/>
    </row>
    <row r="138" spans="1:3">
      <c r="A138" s="134"/>
      <c r="B138" s="184"/>
      <c r="C138" s="210"/>
    </row>
    <row r="139" spans="1:3" ht="23.5">
      <c r="A139" s="134"/>
      <c r="B139" s="304" t="s">
        <v>14589</v>
      </c>
      <c r="C139" s="210"/>
    </row>
    <row r="140" spans="1:3">
      <c r="A140" s="134"/>
      <c r="B140" s="175" t="s">
        <v>13393</v>
      </c>
      <c r="C140" s="210"/>
    </row>
    <row r="141" spans="1:3" ht="26">
      <c r="A141" s="185"/>
      <c r="B141" s="160" t="s">
        <v>13392</v>
      </c>
      <c r="C141" s="210"/>
    </row>
    <row r="142" spans="1:3" ht="26">
      <c r="A142" s="177" t="s">
        <v>14588</v>
      </c>
      <c r="B142" s="141" t="s">
        <v>13390</v>
      </c>
      <c r="C142" s="135">
        <v>629</v>
      </c>
    </row>
    <row r="143" spans="1:3" ht="26">
      <c r="A143" s="178" t="s">
        <v>4895</v>
      </c>
      <c r="B143" s="141" t="s">
        <v>13389</v>
      </c>
      <c r="C143" s="135">
        <v>0</v>
      </c>
    </row>
    <row r="144" spans="1:3" ht="26">
      <c r="A144" s="177" t="s">
        <v>14587</v>
      </c>
      <c r="B144" s="141" t="s">
        <v>13387</v>
      </c>
      <c r="C144" s="135">
        <v>629</v>
      </c>
    </row>
    <row r="145" spans="1:3" ht="26">
      <c r="A145" s="177" t="s">
        <v>4895</v>
      </c>
      <c r="B145" s="141" t="s">
        <v>13386</v>
      </c>
      <c r="C145" s="135">
        <v>0</v>
      </c>
    </row>
    <row r="146" spans="1:3" ht="26">
      <c r="A146" s="177" t="s">
        <v>14586</v>
      </c>
      <c r="B146" s="141" t="s">
        <v>13384</v>
      </c>
      <c r="C146" s="135">
        <v>629</v>
      </c>
    </row>
    <row r="147" spans="1:3" ht="26">
      <c r="A147" s="177" t="s">
        <v>14585</v>
      </c>
      <c r="B147" s="141" t="s">
        <v>13382</v>
      </c>
      <c r="C147" s="135">
        <v>629</v>
      </c>
    </row>
    <row r="148" spans="1:3" ht="26">
      <c r="A148" s="177" t="s">
        <v>14584</v>
      </c>
      <c r="B148" s="141" t="s">
        <v>13380</v>
      </c>
      <c r="C148" s="135">
        <v>629</v>
      </c>
    </row>
    <row r="149" spans="1:3">
      <c r="A149" s="157" t="s">
        <v>13378</v>
      </c>
      <c r="B149" s="153"/>
      <c r="C149" s="210"/>
    </row>
    <row r="150" spans="1:3">
      <c r="A150" s="157"/>
      <c r="B150" s="153"/>
      <c r="C150" s="210"/>
    </row>
    <row r="151" spans="1:3" ht="23.5">
      <c r="A151" s="280"/>
      <c r="B151" s="304" t="s">
        <v>14583</v>
      </c>
      <c r="C151" s="210"/>
    </row>
    <row r="152" spans="1:3">
      <c r="A152" s="280"/>
      <c r="B152" s="211" t="s">
        <v>13356</v>
      </c>
      <c r="C152" s="210"/>
    </row>
    <row r="153" spans="1:3" ht="26">
      <c r="A153" s="212" t="s">
        <v>14582</v>
      </c>
      <c r="B153" s="302" t="s">
        <v>13617</v>
      </c>
      <c r="C153" s="135">
        <v>459</v>
      </c>
    </row>
    <row r="154" spans="1:3">
      <c r="A154" s="229"/>
      <c r="B154" s="301"/>
      <c r="C154" s="210"/>
    </row>
    <row r="155" spans="1:3" ht="23.5">
      <c r="A155" s="229"/>
      <c r="B155" s="304" t="s">
        <v>14581</v>
      </c>
      <c r="C155" s="210"/>
    </row>
    <row r="156" spans="1:3">
      <c r="A156" s="280"/>
      <c r="B156" s="303" t="s">
        <v>14580</v>
      </c>
      <c r="C156" s="210"/>
    </row>
    <row r="157" spans="1:3" ht="39">
      <c r="A157" s="212" t="s">
        <v>14579</v>
      </c>
      <c r="B157" s="302" t="s">
        <v>14033</v>
      </c>
      <c r="C157" s="135">
        <v>249</v>
      </c>
    </row>
    <row r="158" spans="1:3">
      <c r="A158" s="229"/>
      <c r="B158" s="301"/>
      <c r="C158" s="210"/>
    </row>
    <row r="159" spans="1:3">
      <c r="A159" s="246"/>
      <c r="B159" s="211" t="s">
        <v>13346</v>
      </c>
      <c r="C159" s="210"/>
    </row>
    <row r="160" spans="1:3" ht="65">
      <c r="A160" s="212" t="s">
        <v>14578</v>
      </c>
      <c r="B160" s="213" t="s">
        <v>14577</v>
      </c>
      <c r="C160" s="135">
        <v>359</v>
      </c>
    </row>
    <row r="161" spans="1:3" ht="65">
      <c r="A161" s="212" t="s">
        <v>14576</v>
      </c>
      <c r="B161" s="213" t="s">
        <v>14575</v>
      </c>
      <c r="C161" s="135">
        <v>409</v>
      </c>
    </row>
    <row r="162" spans="1:3" ht="78">
      <c r="A162" s="212" t="s">
        <v>14562</v>
      </c>
      <c r="B162" s="213" t="s">
        <v>14574</v>
      </c>
      <c r="C162" s="135">
        <v>329</v>
      </c>
    </row>
    <row r="163" spans="1:3">
      <c r="A163" s="229"/>
      <c r="B163" s="268"/>
      <c r="C163" s="210"/>
    </row>
    <row r="164" spans="1:3">
      <c r="A164" s="229"/>
      <c r="B164" s="147" t="s">
        <v>14573</v>
      </c>
      <c r="C164" s="210"/>
    </row>
    <row r="165" spans="1:3" ht="26">
      <c r="A165" s="212" t="s">
        <v>14572</v>
      </c>
      <c r="B165" s="213" t="s">
        <v>14571</v>
      </c>
      <c r="C165" s="135">
        <v>259</v>
      </c>
    </row>
    <row r="166" spans="1:3">
      <c r="A166" s="271"/>
      <c r="B166" s="300"/>
      <c r="C166" s="210"/>
    </row>
    <row r="167" spans="1:3" ht="39">
      <c r="A167" s="271"/>
      <c r="B167" s="147" t="s">
        <v>14570</v>
      </c>
      <c r="C167" s="210"/>
    </row>
    <row r="168" spans="1:3" ht="26">
      <c r="A168" s="299" t="s">
        <v>14569</v>
      </c>
      <c r="B168" s="151" t="s">
        <v>13301</v>
      </c>
      <c r="C168" s="135">
        <v>379</v>
      </c>
    </row>
    <row r="169" spans="1:3">
      <c r="A169" s="298"/>
      <c r="B169" s="239"/>
      <c r="C169" s="210"/>
    </row>
    <row r="170" spans="1:3" ht="26">
      <c r="A170" s="280"/>
      <c r="B170" s="149" t="s">
        <v>14566</v>
      </c>
      <c r="C170" s="210"/>
    </row>
    <row r="171" spans="1:3" ht="26">
      <c r="A171" s="280"/>
      <c r="B171" s="147" t="s">
        <v>13583</v>
      </c>
      <c r="C171" s="210"/>
    </row>
    <row r="172" spans="1:3" ht="169">
      <c r="A172" s="212" t="s">
        <v>14568</v>
      </c>
      <c r="B172" s="296" t="s">
        <v>14567</v>
      </c>
      <c r="C172" s="135">
        <v>2809</v>
      </c>
    </row>
    <row r="173" spans="1:3">
      <c r="A173" s="280"/>
      <c r="C173" s="210"/>
    </row>
    <row r="174" spans="1:3" ht="26">
      <c r="A174" s="280"/>
      <c r="B174" s="149" t="s">
        <v>14566</v>
      </c>
      <c r="C174" s="210"/>
    </row>
    <row r="175" spans="1:3" ht="28.5">
      <c r="A175" s="280"/>
      <c r="B175" s="147" t="s">
        <v>13104</v>
      </c>
      <c r="C175" s="210"/>
    </row>
    <row r="176" spans="1:3" ht="39">
      <c r="A176" s="212" t="s">
        <v>14565</v>
      </c>
      <c r="B176" s="152" t="s">
        <v>14564</v>
      </c>
      <c r="C176" s="135">
        <v>339</v>
      </c>
    </row>
    <row r="177" spans="1:3">
      <c r="A177" s="212" t="s">
        <v>14563</v>
      </c>
      <c r="B177" s="213" t="s">
        <v>13100</v>
      </c>
      <c r="C177" s="135">
        <v>149</v>
      </c>
    </row>
    <row r="178" spans="1:3">
      <c r="A178" s="212" t="s">
        <v>14562</v>
      </c>
      <c r="B178" s="213" t="s">
        <v>13098</v>
      </c>
      <c r="C178" s="135">
        <v>329</v>
      </c>
    </row>
    <row r="179" spans="1:3">
      <c r="A179" s="280"/>
      <c r="B179" s="297"/>
      <c r="C179" s="210"/>
    </row>
    <row r="180" spans="1:3" ht="26">
      <c r="A180" s="280"/>
      <c r="B180" s="149" t="s">
        <v>13097</v>
      </c>
      <c r="C180" s="210"/>
    </row>
    <row r="181" spans="1:3" ht="26">
      <c r="A181" s="280"/>
      <c r="B181" s="147" t="s">
        <v>13568</v>
      </c>
      <c r="C181" s="210"/>
    </row>
    <row r="182" spans="1:3" ht="221">
      <c r="A182" s="212" t="s">
        <v>14561</v>
      </c>
      <c r="B182" s="296" t="s">
        <v>14560</v>
      </c>
      <c r="C182" s="135">
        <v>3229</v>
      </c>
    </row>
  </sheetData>
  <sheetProtection insertColumns="0" insertRows="0"/>
  <autoFilter ref="A2:C69" xr:uid="{00000000-0009-0000-0000-00001F000000}"/>
  <printOptions horizontalCentered="1"/>
  <pageMargins left="0.4" right="0.4" top="0.75" bottom="0.5" header="0.3" footer="0.3"/>
  <pageSetup scale="77" fitToHeight="0" orientation="portrait" r:id="rId1"/>
  <headerFooter>
    <oddHeader>&amp;C SETINA MFG 2022 PRICE LIST&amp;R&amp;A</oddHeader>
    <oddFooter>&amp;C&amp;F&amp;R&amp;P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CD795-05D8-42BA-BEE9-99C4A6108D04}">
  <sheetPr>
    <tabColor theme="2" tint="-9.9978637043366805E-2"/>
  </sheetPr>
  <dimension ref="A1:E144"/>
  <sheetViews>
    <sheetView workbookViewId="0">
      <selection activeCell="C8" sqref="C8"/>
    </sheetView>
  </sheetViews>
  <sheetFormatPr defaultRowHeight="14.5"/>
  <cols>
    <col min="1" max="2" width="29.453125" bestFit="1" customWidth="1"/>
    <col min="3" max="3" width="51.26953125" customWidth="1"/>
    <col min="4" max="4" width="79" customWidth="1"/>
  </cols>
  <sheetData>
    <row r="1" spans="1:5">
      <c r="A1" t="s">
        <v>54220</v>
      </c>
      <c r="B1" t="s">
        <v>54219</v>
      </c>
      <c r="C1" t="s">
        <v>54218</v>
      </c>
      <c r="D1" t="s">
        <v>52214</v>
      </c>
      <c r="E1" t="s">
        <v>5146</v>
      </c>
    </row>
    <row r="2" spans="1:5">
      <c r="A2" t="s">
        <v>230</v>
      </c>
      <c r="B2" t="s">
        <v>230</v>
      </c>
      <c r="C2" t="s">
        <v>54217</v>
      </c>
      <c r="D2" t="s">
        <v>54216</v>
      </c>
      <c r="E2">
        <v>4740</v>
      </c>
    </row>
    <row r="3" spans="1:5">
      <c r="A3" t="s">
        <v>231</v>
      </c>
      <c r="B3" t="s">
        <v>231</v>
      </c>
      <c r="C3" t="s">
        <v>54215</v>
      </c>
      <c r="D3" t="s">
        <v>54214</v>
      </c>
      <c r="E3">
        <v>6110</v>
      </c>
    </row>
    <row r="4" spans="1:5">
      <c r="A4" t="s">
        <v>232</v>
      </c>
      <c r="B4" t="s">
        <v>232</v>
      </c>
      <c r="C4" t="s">
        <v>54213</v>
      </c>
      <c r="D4" t="s">
        <v>54212</v>
      </c>
      <c r="E4">
        <v>6110</v>
      </c>
    </row>
    <row r="5" spans="1:5">
      <c r="A5" t="s">
        <v>54211</v>
      </c>
      <c r="B5" t="s">
        <v>233</v>
      </c>
      <c r="C5" t="s">
        <v>54210</v>
      </c>
      <c r="D5" t="s">
        <v>54209</v>
      </c>
      <c r="E5">
        <v>5690</v>
      </c>
    </row>
    <row r="6" spans="1:5">
      <c r="A6" t="s">
        <v>54208</v>
      </c>
      <c r="B6" t="s">
        <v>54208</v>
      </c>
      <c r="C6" t="s">
        <v>54207</v>
      </c>
      <c r="D6" t="s">
        <v>54206</v>
      </c>
      <c r="E6">
        <v>360</v>
      </c>
    </row>
    <row r="7" spans="1:5">
      <c r="A7" t="s">
        <v>54205</v>
      </c>
      <c r="B7" t="s">
        <v>54205</v>
      </c>
      <c r="C7" t="s">
        <v>54204</v>
      </c>
      <c r="D7" t="s">
        <v>54203</v>
      </c>
      <c r="E7">
        <v>230</v>
      </c>
    </row>
    <row r="8" spans="1:5">
      <c r="A8" t="s">
        <v>54202</v>
      </c>
      <c r="B8" t="s">
        <v>54202</v>
      </c>
      <c r="C8" t="s">
        <v>54198</v>
      </c>
      <c r="D8" t="s">
        <v>54200</v>
      </c>
      <c r="E8">
        <v>970</v>
      </c>
    </row>
    <row r="9" spans="1:5">
      <c r="A9" t="s">
        <v>54201</v>
      </c>
      <c r="B9" t="s">
        <v>54201</v>
      </c>
      <c r="C9" t="s">
        <v>54198</v>
      </c>
      <c r="D9" t="s">
        <v>54200</v>
      </c>
      <c r="E9">
        <v>970</v>
      </c>
    </row>
    <row r="10" spans="1:5">
      <c r="A10" t="s">
        <v>54199</v>
      </c>
      <c r="B10" t="s">
        <v>54199</v>
      </c>
      <c r="C10" t="s">
        <v>54198</v>
      </c>
      <c r="D10" t="s">
        <v>54195</v>
      </c>
      <c r="E10">
        <v>860</v>
      </c>
    </row>
    <row r="11" spans="1:5">
      <c r="A11" t="s">
        <v>54197</v>
      </c>
      <c r="B11" t="s">
        <v>54197</v>
      </c>
      <c r="C11" t="s">
        <v>54196</v>
      </c>
      <c r="D11" t="s">
        <v>54195</v>
      </c>
      <c r="E11">
        <v>860</v>
      </c>
    </row>
    <row r="12" spans="1:5">
      <c r="A12" t="s">
        <v>54194</v>
      </c>
      <c r="B12" t="s">
        <v>54194</v>
      </c>
      <c r="C12" t="s">
        <v>54193</v>
      </c>
      <c r="D12" t="s">
        <v>54192</v>
      </c>
      <c r="E12">
        <v>2180</v>
      </c>
    </row>
    <row r="13" spans="1:5">
      <c r="A13" t="s">
        <v>234</v>
      </c>
      <c r="B13" t="s">
        <v>234</v>
      </c>
      <c r="C13" t="s">
        <v>54191</v>
      </c>
      <c r="D13" t="s">
        <v>54190</v>
      </c>
      <c r="E13">
        <v>660</v>
      </c>
    </row>
    <row r="14" spans="1:5">
      <c r="A14" t="s">
        <v>235</v>
      </c>
      <c r="B14" t="s">
        <v>235</v>
      </c>
      <c r="C14" s="912" t="s">
        <v>54189</v>
      </c>
      <c r="D14" t="s">
        <v>54188</v>
      </c>
      <c r="E14">
        <v>2610</v>
      </c>
    </row>
    <row r="15" spans="1:5">
      <c r="A15" t="s">
        <v>54187</v>
      </c>
      <c r="B15" t="s">
        <v>54187</v>
      </c>
      <c r="C15" t="s">
        <v>54187</v>
      </c>
      <c r="D15" t="s">
        <v>54186</v>
      </c>
      <c r="E15">
        <v>1240</v>
      </c>
    </row>
    <row r="16" spans="1:5">
      <c r="A16" t="s">
        <v>54185</v>
      </c>
      <c r="B16" t="s">
        <v>54185</v>
      </c>
      <c r="C16" t="s">
        <v>54185</v>
      </c>
      <c r="D16" t="s">
        <v>54184</v>
      </c>
      <c r="E16">
        <v>199</v>
      </c>
    </row>
    <row r="17" spans="1:5">
      <c r="A17" t="s">
        <v>236</v>
      </c>
      <c r="B17" t="s">
        <v>236</v>
      </c>
      <c r="C17" t="s">
        <v>236</v>
      </c>
      <c r="D17" t="s">
        <v>54183</v>
      </c>
      <c r="E17">
        <v>630</v>
      </c>
    </row>
    <row r="18" spans="1:5">
      <c r="A18" t="s">
        <v>237</v>
      </c>
      <c r="B18" t="s">
        <v>237</v>
      </c>
      <c r="C18" t="s">
        <v>237</v>
      </c>
      <c r="D18" t="s">
        <v>54182</v>
      </c>
      <c r="E18">
        <v>360</v>
      </c>
    </row>
    <row r="19" spans="1:5">
      <c r="A19" t="s">
        <v>54181</v>
      </c>
      <c r="B19" t="s">
        <v>54181</v>
      </c>
      <c r="C19" t="s">
        <v>54181</v>
      </c>
      <c r="D19" t="s">
        <v>54180</v>
      </c>
      <c r="E19">
        <v>990</v>
      </c>
    </row>
    <row r="20" spans="1:5">
      <c r="A20" t="s">
        <v>54179</v>
      </c>
      <c r="B20" t="s">
        <v>54179</v>
      </c>
      <c r="C20" t="s">
        <v>54179</v>
      </c>
      <c r="D20" t="s">
        <v>54178</v>
      </c>
      <c r="E20">
        <v>1990</v>
      </c>
    </row>
    <row r="21" spans="1:5">
      <c r="A21" t="s">
        <v>238</v>
      </c>
      <c r="B21" t="s">
        <v>238</v>
      </c>
      <c r="C21" t="s">
        <v>54177</v>
      </c>
      <c r="D21" t="s">
        <v>54176</v>
      </c>
      <c r="E21">
        <v>4300</v>
      </c>
    </row>
    <row r="22" spans="1:5">
      <c r="A22" t="s">
        <v>239</v>
      </c>
      <c r="B22" t="s">
        <v>239</v>
      </c>
      <c r="C22" t="s">
        <v>54175</v>
      </c>
      <c r="D22" t="s">
        <v>54174</v>
      </c>
      <c r="E22">
        <v>5160</v>
      </c>
    </row>
    <row r="23" spans="1:5">
      <c r="A23" t="s">
        <v>240</v>
      </c>
      <c r="B23" t="s">
        <v>240</v>
      </c>
      <c r="C23" t="s">
        <v>54173</v>
      </c>
      <c r="D23" t="s">
        <v>54172</v>
      </c>
      <c r="E23">
        <v>7800</v>
      </c>
    </row>
    <row r="24" spans="1:5">
      <c r="A24" t="s">
        <v>241</v>
      </c>
      <c r="B24" t="s">
        <v>241</v>
      </c>
      <c r="C24" t="s">
        <v>54171</v>
      </c>
      <c r="D24" t="s">
        <v>54170</v>
      </c>
      <c r="E24">
        <v>2780</v>
      </c>
    </row>
    <row r="25" spans="1:5">
      <c r="A25" t="s">
        <v>54169</v>
      </c>
      <c r="B25" t="s">
        <v>54169</v>
      </c>
      <c r="C25" t="s">
        <v>54168</v>
      </c>
      <c r="D25" t="s">
        <v>54160</v>
      </c>
      <c r="E25">
        <v>1730</v>
      </c>
    </row>
    <row r="26" spans="1:5">
      <c r="A26" t="s">
        <v>54167</v>
      </c>
      <c r="B26" t="s">
        <v>54167</v>
      </c>
      <c r="C26" t="s">
        <v>54166</v>
      </c>
      <c r="D26" t="s">
        <v>54165</v>
      </c>
      <c r="E26">
        <v>2070</v>
      </c>
    </row>
    <row r="27" spans="1:5">
      <c r="A27" t="s">
        <v>54164</v>
      </c>
      <c r="B27" t="s">
        <v>54164</v>
      </c>
      <c r="C27" t="s">
        <v>54163</v>
      </c>
      <c r="D27" t="s">
        <v>54162</v>
      </c>
      <c r="E27">
        <v>2420</v>
      </c>
    </row>
    <row r="28" spans="1:5">
      <c r="A28" t="s">
        <v>54161</v>
      </c>
      <c r="B28" t="s">
        <v>54161</v>
      </c>
      <c r="C28" t="s">
        <v>54161</v>
      </c>
      <c r="D28" t="s">
        <v>54160</v>
      </c>
      <c r="E28">
        <v>1730</v>
      </c>
    </row>
    <row r="29" spans="1:5">
      <c r="A29" t="s">
        <v>54159</v>
      </c>
      <c r="B29" t="s">
        <v>54159</v>
      </c>
      <c r="C29" t="s">
        <v>54158</v>
      </c>
      <c r="D29" t="s">
        <v>54157</v>
      </c>
      <c r="E29">
        <v>2380</v>
      </c>
    </row>
    <row r="30" spans="1:5">
      <c r="A30" t="s">
        <v>54156</v>
      </c>
      <c r="B30" t="s">
        <v>54156</v>
      </c>
      <c r="C30" t="s">
        <v>54155</v>
      </c>
      <c r="D30" t="s">
        <v>54148</v>
      </c>
      <c r="E30">
        <v>4770</v>
      </c>
    </row>
    <row r="31" spans="1:5">
      <c r="A31" t="s">
        <v>54154</v>
      </c>
      <c r="B31" t="s">
        <v>54154</v>
      </c>
      <c r="C31" t="s">
        <v>54153</v>
      </c>
      <c r="D31" t="s">
        <v>54148</v>
      </c>
      <c r="E31">
        <v>5170</v>
      </c>
    </row>
    <row r="32" spans="1:5">
      <c r="A32" t="s">
        <v>54152</v>
      </c>
      <c r="B32" t="s">
        <v>54152</v>
      </c>
      <c r="C32" t="s">
        <v>54151</v>
      </c>
      <c r="D32" t="s">
        <v>54148</v>
      </c>
      <c r="E32">
        <v>5710</v>
      </c>
    </row>
    <row r="33" spans="1:5">
      <c r="A33" t="s">
        <v>54150</v>
      </c>
      <c r="B33" t="s">
        <v>54150</v>
      </c>
      <c r="C33" t="s">
        <v>54149</v>
      </c>
      <c r="D33" t="s">
        <v>54148</v>
      </c>
      <c r="E33">
        <v>8420</v>
      </c>
    </row>
    <row r="34" spans="1:5">
      <c r="A34" t="s">
        <v>54147</v>
      </c>
      <c r="B34" t="s">
        <v>54147</v>
      </c>
      <c r="C34" t="s">
        <v>54146</v>
      </c>
      <c r="D34" t="s">
        <v>54145</v>
      </c>
      <c r="E34">
        <v>3790</v>
      </c>
    </row>
    <row r="35" spans="1:5">
      <c r="A35" t="s">
        <v>54144</v>
      </c>
      <c r="B35" t="s">
        <v>54144</v>
      </c>
      <c r="C35" t="s">
        <v>54143</v>
      </c>
      <c r="D35" t="s">
        <v>54142</v>
      </c>
      <c r="E35">
        <v>810</v>
      </c>
    </row>
    <row r="36" spans="1:5">
      <c r="A36" t="s">
        <v>54141</v>
      </c>
      <c r="B36" t="s">
        <v>54141</v>
      </c>
      <c r="C36" t="s">
        <v>54140</v>
      </c>
      <c r="D36" t="s">
        <v>54139</v>
      </c>
      <c r="E36">
        <v>1540</v>
      </c>
    </row>
    <row r="37" spans="1:5">
      <c r="A37" t="s">
        <v>54138</v>
      </c>
      <c r="B37" t="s">
        <v>54138</v>
      </c>
      <c r="C37" t="s">
        <v>54137</v>
      </c>
      <c r="D37" t="s">
        <v>54136</v>
      </c>
      <c r="E37">
        <v>820</v>
      </c>
    </row>
    <row r="38" spans="1:5">
      <c r="A38" t="s">
        <v>54135</v>
      </c>
      <c r="B38" t="s">
        <v>54135</v>
      </c>
      <c r="C38" t="s">
        <v>54134</v>
      </c>
      <c r="D38" t="s">
        <v>54133</v>
      </c>
      <c r="E38">
        <v>6800</v>
      </c>
    </row>
    <row r="39" spans="1:5">
      <c r="A39" t="s">
        <v>54132</v>
      </c>
      <c r="B39" t="s">
        <v>54132</v>
      </c>
      <c r="C39" t="s">
        <v>54131</v>
      </c>
      <c r="D39" t="s">
        <v>54130</v>
      </c>
      <c r="E39">
        <v>5450</v>
      </c>
    </row>
    <row r="40" spans="1:5">
      <c r="A40" t="s">
        <v>54129</v>
      </c>
      <c r="B40" t="s">
        <v>54129</v>
      </c>
      <c r="C40" t="s">
        <v>54129</v>
      </c>
      <c r="D40" t="s">
        <v>54127</v>
      </c>
      <c r="E40">
        <v>2910</v>
      </c>
    </row>
    <row r="41" spans="1:5">
      <c r="A41" t="s">
        <v>54128</v>
      </c>
      <c r="B41" t="s">
        <v>54128</v>
      </c>
      <c r="C41" t="s">
        <v>54128</v>
      </c>
      <c r="D41" t="s">
        <v>54127</v>
      </c>
      <c r="E41">
        <v>2910</v>
      </c>
    </row>
    <row r="42" spans="1:5">
      <c r="A42" t="s">
        <v>54126</v>
      </c>
      <c r="B42" t="s">
        <v>54126</v>
      </c>
      <c r="C42" t="s">
        <v>54126</v>
      </c>
      <c r="D42" t="s">
        <v>54124</v>
      </c>
      <c r="E42">
        <v>1220</v>
      </c>
    </row>
    <row r="43" spans="1:5">
      <c r="A43" t="s">
        <v>54125</v>
      </c>
      <c r="B43" t="s">
        <v>54125</v>
      </c>
      <c r="C43" t="s">
        <v>54125</v>
      </c>
      <c r="D43" t="s">
        <v>54124</v>
      </c>
      <c r="E43">
        <v>1220</v>
      </c>
    </row>
    <row r="44" spans="1:5">
      <c r="A44" t="s">
        <v>54123</v>
      </c>
      <c r="B44" t="s">
        <v>54123</v>
      </c>
      <c r="C44" t="s">
        <v>54122</v>
      </c>
      <c r="D44" t="s">
        <v>54119</v>
      </c>
      <c r="E44">
        <v>25230</v>
      </c>
    </row>
    <row r="45" spans="1:5">
      <c r="A45" t="s">
        <v>54121</v>
      </c>
      <c r="B45" t="s">
        <v>54121</v>
      </c>
      <c r="C45" t="s">
        <v>54120</v>
      </c>
      <c r="D45" t="s">
        <v>54119</v>
      </c>
      <c r="E45">
        <v>25230</v>
      </c>
    </row>
    <row r="46" spans="1:5">
      <c r="A46" t="s">
        <v>54118</v>
      </c>
      <c r="B46" t="s">
        <v>54118</v>
      </c>
      <c r="C46" t="s">
        <v>54117</v>
      </c>
      <c r="D46" t="s">
        <v>54114</v>
      </c>
      <c r="E46">
        <v>26490</v>
      </c>
    </row>
    <row r="47" spans="1:5">
      <c r="A47" t="s">
        <v>54116</v>
      </c>
      <c r="B47" t="s">
        <v>54116</v>
      </c>
      <c r="C47" t="s">
        <v>54115</v>
      </c>
      <c r="D47" t="s">
        <v>54114</v>
      </c>
      <c r="E47">
        <v>26490</v>
      </c>
    </row>
    <row r="48" spans="1:5">
      <c r="A48" t="s">
        <v>54113</v>
      </c>
      <c r="B48" t="s">
        <v>54113</v>
      </c>
      <c r="C48" t="s">
        <v>54112</v>
      </c>
      <c r="D48" t="s">
        <v>54109</v>
      </c>
      <c r="E48">
        <v>26730</v>
      </c>
    </row>
    <row r="49" spans="1:5">
      <c r="A49" t="s">
        <v>54111</v>
      </c>
      <c r="B49" t="s">
        <v>54111</v>
      </c>
      <c r="C49" t="s">
        <v>54110</v>
      </c>
      <c r="D49" t="s">
        <v>54109</v>
      </c>
      <c r="E49">
        <v>26730</v>
      </c>
    </row>
    <row r="50" spans="1:5">
      <c r="A50" t="s">
        <v>54108</v>
      </c>
      <c r="B50" t="s">
        <v>54108</v>
      </c>
      <c r="C50" t="s">
        <v>54108</v>
      </c>
      <c r="D50" t="s">
        <v>54105</v>
      </c>
      <c r="E50">
        <v>27980</v>
      </c>
    </row>
    <row r="51" spans="1:5">
      <c r="A51" t="s">
        <v>54107</v>
      </c>
      <c r="B51" t="s">
        <v>54107</v>
      </c>
      <c r="C51" t="s">
        <v>54106</v>
      </c>
      <c r="D51" t="s">
        <v>54105</v>
      </c>
      <c r="E51">
        <v>27980</v>
      </c>
    </row>
    <row r="52" spans="1:5">
      <c r="A52" t="s">
        <v>54104</v>
      </c>
      <c r="B52" t="s">
        <v>54104</v>
      </c>
      <c r="C52" t="s">
        <v>54103</v>
      </c>
      <c r="D52" t="s">
        <v>54102</v>
      </c>
      <c r="E52">
        <v>4180</v>
      </c>
    </row>
    <row r="53" spans="1:5">
      <c r="A53" t="s">
        <v>54101</v>
      </c>
      <c r="B53" t="s">
        <v>54101</v>
      </c>
      <c r="C53" t="s">
        <v>54100</v>
      </c>
      <c r="D53" t="s">
        <v>54099</v>
      </c>
      <c r="E53">
        <v>2910</v>
      </c>
    </row>
    <row r="54" spans="1:5">
      <c r="A54" t="s">
        <v>54098</v>
      </c>
      <c r="B54" t="s">
        <v>54098</v>
      </c>
      <c r="C54" t="s">
        <v>54097</v>
      </c>
      <c r="D54" t="s">
        <v>54096</v>
      </c>
      <c r="E54">
        <v>2840</v>
      </c>
    </row>
    <row r="55" spans="1:5">
      <c r="A55" t="s">
        <v>54095</v>
      </c>
      <c r="B55" t="s">
        <v>54095</v>
      </c>
      <c r="C55" t="s">
        <v>54094</v>
      </c>
      <c r="D55" t="s">
        <v>54093</v>
      </c>
      <c r="E55">
        <v>4300</v>
      </c>
    </row>
    <row r="56" spans="1:5">
      <c r="A56" t="s">
        <v>54092</v>
      </c>
      <c r="B56" t="s">
        <v>54092</v>
      </c>
      <c r="C56" t="s">
        <v>54091</v>
      </c>
      <c r="D56" t="s">
        <v>54090</v>
      </c>
      <c r="E56">
        <v>2890</v>
      </c>
    </row>
    <row r="57" spans="1:5">
      <c r="A57" t="s">
        <v>54089</v>
      </c>
      <c r="B57" t="s">
        <v>54089</v>
      </c>
      <c r="C57" t="s">
        <v>54088</v>
      </c>
      <c r="D57" t="s">
        <v>54087</v>
      </c>
      <c r="E57">
        <v>3220</v>
      </c>
    </row>
    <row r="58" spans="1:5">
      <c r="A58" t="s">
        <v>54086</v>
      </c>
      <c r="B58" t="s">
        <v>54086</v>
      </c>
      <c r="C58" t="s">
        <v>54085</v>
      </c>
      <c r="D58" t="s">
        <v>54084</v>
      </c>
      <c r="E58">
        <v>3560</v>
      </c>
    </row>
    <row r="59" spans="1:5">
      <c r="A59" t="s">
        <v>54083</v>
      </c>
      <c r="B59" t="s">
        <v>54083</v>
      </c>
      <c r="C59" t="s">
        <v>54082</v>
      </c>
      <c r="D59" t="s">
        <v>54081</v>
      </c>
      <c r="E59">
        <v>3910</v>
      </c>
    </row>
    <row r="60" spans="1:5">
      <c r="A60" t="s">
        <v>54080</v>
      </c>
      <c r="B60" t="s">
        <v>54080</v>
      </c>
      <c r="C60" t="s">
        <v>54079</v>
      </c>
      <c r="D60" t="s">
        <v>54078</v>
      </c>
      <c r="E60">
        <v>4610</v>
      </c>
    </row>
    <row r="61" spans="1:5">
      <c r="A61" t="s">
        <v>54077</v>
      </c>
      <c r="B61" t="s">
        <v>54077</v>
      </c>
      <c r="C61" t="s">
        <v>54077</v>
      </c>
      <c r="D61" t="s">
        <v>54076</v>
      </c>
      <c r="E61">
        <v>2090</v>
      </c>
    </row>
    <row r="62" spans="1:5">
      <c r="A62" t="s">
        <v>54075</v>
      </c>
      <c r="B62" t="s">
        <v>54075</v>
      </c>
      <c r="C62" t="s">
        <v>54075</v>
      </c>
      <c r="D62" t="s">
        <v>54074</v>
      </c>
      <c r="E62">
        <v>1110</v>
      </c>
    </row>
    <row r="63" spans="1:5">
      <c r="A63" t="s">
        <v>54073</v>
      </c>
      <c r="B63" t="s">
        <v>54073</v>
      </c>
      <c r="C63" t="s">
        <v>54072</v>
      </c>
      <c r="D63" t="s">
        <v>54069</v>
      </c>
      <c r="E63">
        <v>4530</v>
      </c>
    </row>
    <row r="64" spans="1:5">
      <c r="A64" t="s">
        <v>54071</v>
      </c>
      <c r="B64" t="s">
        <v>54071</v>
      </c>
      <c r="C64" t="s">
        <v>54070</v>
      </c>
      <c r="D64" t="s">
        <v>54069</v>
      </c>
      <c r="E64">
        <v>5670</v>
      </c>
    </row>
    <row r="65" spans="1:5">
      <c r="A65" t="s">
        <v>54068</v>
      </c>
      <c r="B65" t="s">
        <v>54068</v>
      </c>
      <c r="C65" t="s">
        <v>54068</v>
      </c>
      <c r="D65" t="s">
        <v>54067</v>
      </c>
      <c r="E65">
        <v>430</v>
      </c>
    </row>
    <row r="66" spans="1:5">
      <c r="A66" t="s">
        <v>54066</v>
      </c>
      <c r="B66" t="s">
        <v>54066</v>
      </c>
      <c r="C66" t="s">
        <v>54066</v>
      </c>
      <c r="D66" t="s">
        <v>54065</v>
      </c>
      <c r="E66">
        <v>430</v>
      </c>
    </row>
    <row r="67" spans="1:5">
      <c r="A67" t="s">
        <v>54064</v>
      </c>
      <c r="B67" t="s">
        <v>54064</v>
      </c>
      <c r="C67" t="s">
        <v>54064</v>
      </c>
      <c r="D67" t="s">
        <v>54063</v>
      </c>
      <c r="E67">
        <v>770</v>
      </c>
    </row>
    <row r="68" spans="1:5">
      <c r="A68" t="s">
        <v>54062</v>
      </c>
      <c r="B68" t="s">
        <v>54062</v>
      </c>
      <c r="C68" t="s">
        <v>54062</v>
      </c>
      <c r="D68" t="s">
        <v>54061</v>
      </c>
      <c r="E68">
        <v>110</v>
      </c>
    </row>
    <row r="69" spans="1:5">
      <c r="A69" t="s">
        <v>54060</v>
      </c>
      <c r="B69" t="s">
        <v>54060</v>
      </c>
      <c r="C69" t="s">
        <v>54060</v>
      </c>
      <c r="D69" t="s">
        <v>54059</v>
      </c>
      <c r="E69">
        <v>110</v>
      </c>
    </row>
    <row r="70" spans="1:5">
      <c r="A70" t="s">
        <v>54058</v>
      </c>
      <c r="B70" t="s">
        <v>54058</v>
      </c>
      <c r="C70" t="s">
        <v>54057</v>
      </c>
      <c r="D70" t="s">
        <v>54056</v>
      </c>
      <c r="E70">
        <v>760</v>
      </c>
    </row>
    <row r="71" spans="1:5">
      <c r="A71" t="s">
        <v>54055</v>
      </c>
      <c r="B71" t="s">
        <v>54055</v>
      </c>
      <c r="C71" t="s">
        <v>54054</v>
      </c>
      <c r="D71" t="s">
        <v>54053</v>
      </c>
      <c r="E71">
        <v>420</v>
      </c>
    </row>
    <row r="72" spans="1:5">
      <c r="A72" t="s">
        <v>54052</v>
      </c>
      <c r="B72" t="s">
        <v>54052</v>
      </c>
      <c r="C72" t="s">
        <v>54051</v>
      </c>
      <c r="D72" t="s">
        <v>54050</v>
      </c>
      <c r="E72">
        <v>23910</v>
      </c>
    </row>
    <row r="73" spans="1:5">
      <c r="A73" t="s">
        <v>54049</v>
      </c>
      <c r="B73" t="s">
        <v>54049</v>
      </c>
      <c r="C73" t="s">
        <v>54048</v>
      </c>
      <c r="D73" t="s">
        <v>54047</v>
      </c>
      <c r="E73">
        <v>27290</v>
      </c>
    </row>
    <row r="74" spans="1:5">
      <c r="A74" t="s">
        <v>54046</v>
      </c>
      <c r="B74" t="s">
        <v>54046</v>
      </c>
      <c r="C74" t="s">
        <v>54046</v>
      </c>
      <c r="D74" t="s">
        <v>54045</v>
      </c>
      <c r="E74">
        <v>620</v>
      </c>
    </row>
    <row r="75" spans="1:5">
      <c r="A75" t="s">
        <v>54044</v>
      </c>
      <c r="B75" t="s">
        <v>54044</v>
      </c>
      <c r="C75" t="s">
        <v>54044</v>
      </c>
      <c r="D75" t="s">
        <v>54043</v>
      </c>
      <c r="E75">
        <v>120</v>
      </c>
    </row>
    <row r="76" spans="1:5">
      <c r="A76" t="s">
        <v>54042</v>
      </c>
      <c r="B76" t="s">
        <v>54042</v>
      </c>
      <c r="C76" t="s">
        <v>54042</v>
      </c>
      <c r="D76" t="s">
        <v>54041</v>
      </c>
      <c r="E76">
        <v>160</v>
      </c>
    </row>
    <row r="77" spans="1:5">
      <c r="A77" t="s">
        <v>54040</v>
      </c>
      <c r="B77" t="s">
        <v>54040</v>
      </c>
      <c r="C77" t="s">
        <v>54040</v>
      </c>
      <c r="D77" t="s">
        <v>54039</v>
      </c>
      <c r="E77">
        <v>480</v>
      </c>
    </row>
    <row r="78" spans="1:5">
      <c r="A78" t="s">
        <v>54038</v>
      </c>
      <c r="B78" t="s">
        <v>54038</v>
      </c>
      <c r="C78" t="s">
        <v>54038</v>
      </c>
      <c r="D78" t="s">
        <v>54037</v>
      </c>
      <c r="E78">
        <v>41740</v>
      </c>
    </row>
    <row r="79" spans="1:5">
      <c r="A79" t="s">
        <v>54036</v>
      </c>
      <c r="B79" t="s">
        <v>54036</v>
      </c>
      <c r="C79" t="s">
        <v>54036</v>
      </c>
      <c r="D79" t="s">
        <v>54035</v>
      </c>
      <c r="E79">
        <v>15250</v>
      </c>
    </row>
    <row r="80" spans="1:5">
      <c r="A80" t="s">
        <v>54034</v>
      </c>
      <c r="B80" t="s">
        <v>54034</v>
      </c>
      <c r="C80" t="s">
        <v>54034</v>
      </c>
      <c r="D80" t="s">
        <v>54033</v>
      </c>
      <c r="E80">
        <v>33100</v>
      </c>
    </row>
    <row r="81" spans="1:5">
      <c r="A81" t="s">
        <v>54032</v>
      </c>
      <c r="B81" t="s">
        <v>54032</v>
      </c>
      <c r="C81" t="s">
        <v>54032</v>
      </c>
      <c r="D81" t="s">
        <v>54031</v>
      </c>
      <c r="E81">
        <v>55600</v>
      </c>
    </row>
    <row r="82" spans="1:5">
      <c r="A82" t="s">
        <v>54030</v>
      </c>
      <c r="B82" t="s">
        <v>54030</v>
      </c>
      <c r="C82" t="s">
        <v>54030</v>
      </c>
      <c r="D82" t="s">
        <v>54029</v>
      </c>
      <c r="E82">
        <v>34630</v>
      </c>
    </row>
    <row r="83" spans="1:5">
      <c r="A83" t="s">
        <v>54028</v>
      </c>
      <c r="B83" t="s">
        <v>54028</v>
      </c>
      <c r="C83" t="s">
        <v>54028</v>
      </c>
      <c r="D83" t="s">
        <v>54027</v>
      </c>
      <c r="E83">
        <v>6730</v>
      </c>
    </row>
    <row r="84" spans="1:5">
      <c r="A84" t="s">
        <v>54026</v>
      </c>
      <c r="B84" t="s">
        <v>54026</v>
      </c>
      <c r="C84" t="s">
        <v>54026</v>
      </c>
      <c r="D84" t="s">
        <v>54025</v>
      </c>
      <c r="E84">
        <v>970</v>
      </c>
    </row>
    <row r="85" spans="1:5">
      <c r="A85" t="s">
        <v>54024</v>
      </c>
      <c r="B85" t="s">
        <v>54024</v>
      </c>
      <c r="C85" t="s">
        <v>54024</v>
      </c>
      <c r="D85" t="s">
        <v>54023</v>
      </c>
      <c r="E85">
        <v>750</v>
      </c>
    </row>
    <row r="86" spans="1:5">
      <c r="A86" t="s">
        <v>54022</v>
      </c>
      <c r="B86" t="s">
        <v>54022</v>
      </c>
      <c r="C86" t="s">
        <v>54022</v>
      </c>
      <c r="D86" t="s">
        <v>54021</v>
      </c>
      <c r="E86">
        <v>220</v>
      </c>
    </row>
    <row r="87" spans="1:5">
      <c r="A87" t="s">
        <v>54020</v>
      </c>
      <c r="B87" t="s">
        <v>54020</v>
      </c>
      <c r="C87" t="s">
        <v>54020</v>
      </c>
      <c r="D87" t="s">
        <v>54019</v>
      </c>
      <c r="E87">
        <v>1190</v>
      </c>
    </row>
    <row r="88" spans="1:5">
      <c r="A88" t="s">
        <v>54018</v>
      </c>
      <c r="B88" t="s">
        <v>54018</v>
      </c>
      <c r="C88" t="s">
        <v>54018</v>
      </c>
      <c r="D88" t="s">
        <v>54017</v>
      </c>
      <c r="E88">
        <v>680</v>
      </c>
    </row>
    <row r="89" spans="1:5">
      <c r="A89" t="s">
        <v>54016</v>
      </c>
      <c r="B89" t="s">
        <v>54016</v>
      </c>
      <c r="C89" t="s">
        <v>54016</v>
      </c>
      <c r="D89" t="s">
        <v>54015</v>
      </c>
      <c r="E89">
        <v>6200</v>
      </c>
    </row>
    <row r="90" spans="1:5">
      <c r="A90" t="s">
        <v>54014</v>
      </c>
      <c r="B90" t="s">
        <v>54014</v>
      </c>
      <c r="C90" t="s">
        <v>54014</v>
      </c>
      <c r="D90" t="s">
        <v>54013</v>
      </c>
      <c r="E90">
        <v>520</v>
      </c>
    </row>
    <row r="91" spans="1:5">
      <c r="A91" t="s">
        <v>54012</v>
      </c>
      <c r="B91" t="s">
        <v>54012</v>
      </c>
      <c r="C91" t="s">
        <v>54012</v>
      </c>
      <c r="D91" t="s">
        <v>54011</v>
      </c>
      <c r="E91">
        <v>1450</v>
      </c>
    </row>
    <row r="92" spans="1:5">
      <c r="A92" t="s">
        <v>54010</v>
      </c>
      <c r="B92" t="s">
        <v>54010</v>
      </c>
      <c r="C92" t="s">
        <v>54010</v>
      </c>
      <c r="D92" t="s">
        <v>54009</v>
      </c>
      <c r="E92">
        <v>1740</v>
      </c>
    </row>
    <row r="93" spans="1:5">
      <c r="A93" t="s">
        <v>54008</v>
      </c>
      <c r="B93" t="s">
        <v>54008</v>
      </c>
      <c r="C93" t="s">
        <v>54008</v>
      </c>
      <c r="D93" t="s">
        <v>54007</v>
      </c>
      <c r="E93">
        <v>510</v>
      </c>
    </row>
    <row r="94" spans="1:5">
      <c r="A94" t="s">
        <v>54006</v>
      </c>
      <c r="B94" t="s">
        <v>54006</v>
      </c>
      <c r="C94" t="s">
        <v>54006</v>
      </c>
      <c r="D94" t="s">
        <v>54005</v>
      </c>
      <c r="E94">
        <v>150</v>
      </c>
    </row>
    <row r="95" spans="1:5">
      <c r="A95" t="s">
        <v>54004</v>
      </c>
      <c r="B95" t="s">
        <v>54004</v>
      </c>
      <c r="C95" t="s">
        <v>54004</v>
      </c>
      <c r="D95" t="s">
        <v>54003</v>
      </c>
      <c r="E95">
        <v>630</v>
      </c>
    </row>
    <row r="96" spans="1:5">
      <c r="A96" t="s">
        <v>54002</v>
      </c>
      <c r="B96" t="s">
        <v>54002</v>
      </c>
      <c r="C96" t="s">
        <v>54002</v>
      </c>
      <c r="D96" t="s">
        <v>54001</v>
      </c>
      <c r="E96">
        <v>810</v>
      </c>
    </row>
    <row r="97" spans="1:5">
      <c r="A97" t="s">
        <v>54000</v>
      </c>
      <c r="B97" t="s">
        <v>54000</v>
      </c>
      <c r="C97" t="s">
        <v>54000</v>
      </c>
      <c r="D97" t="s">
        <v>53999</v>
      </c>
      <c r="E97">
        <v>1550</v>
      </c>
    </row>
    <row r="98" spans="1:5">
      <c r="A98" t="s">
        <v>53998</v>
      </c>
      <c r="B98" t="s">
        <v>53998</v>
      </c>
      <c r="C98" t="s">
        <v>53998</v>
      </c>
      <c r="D98" t="s">
        <v>53997</v>
      </c>
      <c r="E98">
        <v>140</v>
      </c>
    </row>
    <row r="99" spans="1:5">
      <c r="A99" t="s">
        <v>53996</v>
      </c>
      <c r="B99" t="s">
        <v>53996</v>
      </c>
      <c r="C99" t="s">
        <v>53996</v>
      </c>
      <c r="D99" t="s">
        <v>53995</v>
      </c>
      <c r="E99">
        <v>570</v>
      </c>
    </row>
    <row r="100" spans="1:5">
      <c r="A100" t="s">
        <v>53994</v>
      </c>
      <c r="B100" t="s">
        <v>53994</v>
      </c>
      <c r="C100" t="s">
        <v>53994</v>
      </c>
      <c r="D100" t="s">
        <v>53993</v>
      </c>
      <c r="E100">
        <v>510</v>
      </c>
    </row>
    <row r="101" spans="1:5">
      <c r="A101" t="s">
        <v>53992</v>
      </c>
      <c r="B101" t="s">
        <v>53992</v>
      </c>
      <c r="C101" t="s">
        <v>53992</v>
      </c>
      <c r="D101" t="s">
        <v>53991</v>
      </c>
      <c r="E101">
        <v>250</v>
      </c>
    </row>
    <row r="102" spans="1:5">
      <c r="A102" t="s">
        <v>53990</v>
      </c>
      <c r="B102" t="s">
        <v>53990</v>
      </c>
      <c r="C102" t="s">
        <v>53990</v>
      </c>
      <c r="D102" t="s">
        <v>53989</v>
      </c>
      <c r="E102">
        <v>250</v>
      </c>
    </row>
    <row r="103" spans="1:5">
      <c r="A103" t="s">
        <v>53988</v>
      </c>
      <c r="B103" t="s">
        <v>53988</v>
      </c>
      <c r="C103" t="s">
        <v>53988</v>
      </c>
      <c r="D103" t="s">
        <v>53987</v>
      </c>
      <c r="E103">
        <v>190</v>
      </c>
    </row>
    <row r="104" spans="1:5">
      <c r="A104" t="s">
        <v>53986</v>
      </c>
      <c r="B104" t="s">
        <v>53986</v>
      </c>
      <c r="C104" t="s">
        <v>53986</v>
      </c>
      <c r="D104" t="s">
        <v>53985</v>
      </c>
      <c r="E104">
        <v>130</v>
      </c>
    </row>
    <row r="105" spans="1:5">
      <c r="A105" t="s">
        <v>53984</v>
      </c>
      <c r="B105" t="s">
        <v>53984</v>
      </c>
      <c r="C105" t="s">
        <v>53984</v>
      </c>
      <c r="D105" t="s">
        <v>53983</v>
      </c>
      <c r="E105">
        <v>90</v>
      </c>
    </row>
    <row r="106" spans="1:5">
      <c r="A106" t="s">
        <v>53982</v>
      </c>
      <c r="B106" t="s">
        <v>53982</v>
      </c>
      <c r="C106" t="s">
        <v>53982</v>
      </c>
      <c r="D106" t="s">
        <v>53981</v>
      </c>
      <c r="E106">
        <v>1750</v>
      </c>
    </row>
    <row r="107" spans="1:5">
      <c r="A107" t="s">
        <v>53980</v>
      </c>
      <c r="B107" t="s">
        <v>53980</v>
      </c>
      <c r="C107" t="s">
        <v>53980</v>
      </c>
      <c r="D107" t="s">
        <v>53979</v>
      </c>
      <c r="E107">
        <v>1450</v>
      </c>
    </row>
    <row r="108" spans="1:5">
      <c r="A108" t="s">
        <v>53978</v>
      </c>
      <c r="B108" t="s">
        <v>53978</v>
      </c>
      <c r="C108" t="s">
        <v>53978</v>
      </c>
      <c r="D108" t="s">
        <v>53977</v>
      </c>
      <c r="E108">
        <v>130</v>
      </c>
    </row>
    <row r="109" spans="1:5">
      <c r="A109" t="s">
        <v>53976</v>
      </c>
      <c r="B109" t="s">
        <v>53976</v>
      </c>
      <c r="C109" t="s">
        <v>53976</v>
      </c>
      <c r="D109" t="s">
        <v>53975</v>
      </c>
      <c r="E109">
        <v>290</v>
      </c>
    </row>
    <row r="110" spans="1:5">
      <c r="A110" t="s">
        <v>53974</v>
      </c>
      <c r="B110" t="s">
        <v>53974</v>
      </c>
      <c r="C110" t="s">
        <v>53974</v>
      </c>
      <c r="D110" t="s">
        <v>53973</v>
      </c>
      <c r="E110">
        <v>150</v>
      </c>
    </row>
    <row r="111" spans="1:5">
      <c r="A111" t="s">
        <v>53972</v>
      </c>
      <c r="B111" t="s">
        <v>53972</v>
      </c>
      <c r="C111" t="s">
        <v>53972</v>
      </c>
      <c r="D111" t="s">
        <v>53971</v>
      </c>
      <c r="E111">
        <v>150</v>
      </c>
    </row>
    <row r="112" spans="1:5">
      <c r="A112" t="s">
        <v>53970</v>
      </c>
      <c r="B112" t="s">
        <v>53970</v>
      </c>
      <c r="C112" t="s">
        <v>53970</v>
      </c>
      <c r="D112" t="s">
        <v>53969</v>
      </c>
      <c r="E112">
        <v>80</v>
      </c>
    </row>
    <row r="113" spans="1:5">
      <c r="A113" t="s">
        <v>53968</v>
      </c>
      <c r="B113" t="s">
        <v>53968</v>
      </c>
      <c r="C113" t="s">
        <v>53968</v>
      </c>
      <c r="D113" t="s">
        <v>53967</v>
      </c>
      <c r="E113">
        <v>190</v>
      </c>
    </row>
    <row r="114" spans="1:5">
      <c r="A114" t="s">
        <v>53966</v>
      </c>
      <c r="B114" t="s">
        <v>53966</v>
      </c>
      <c r="C114" t="s">
        <v>53966</v>
      </c>
      <c r="D114" t="s">
        <v>53965</v>
      </c>
      <c r="E114">
        <v>190</v>
      </c>
    </row>
    <row r="115" spans="1:5">
      <c r="A115" t="s">
        <v>53964</v>
      </c>
      <c r="B115" t="s">
        <v>53964</v>
      </c>
      <c r="C115" t="s">
        <v>53964</v>
      </c>
      <c r="D115" t="s">
        <v>53963</v>
      </c>
      <c r="E115">
        <v>350</v>
      </c>
    </row>
    <row r="116" spans="1:5">
      <c r="A116" t="s">
        <v>53962</v>
      </c>
      <c r="B116" t="s">
        <v>53962</v>
      </c>
      <c r="C116" t="s">
        <v>53962</v>
      </c>
      <c r="D116" t="s">
        <v>53961</v>
      </c>
      <c r="E116">
        <v>350</v>
      </c>
    </row>
    <row r="117" spans="1:5">
      <c r="A117" t="s">
        <v>53960</v>
      </c>
      <c r="B117" t="s">
        <v>53960</v>
      </c>
      <c r="C117" t="s">
        <v>53959</v>
      </c>
      <c r="D117" t="s">
        <v>53958</v>
      </c>
      <c r="E117">
        <v>80</v>
      </c>
    </row>
    <row r="118" spans="1:5">
      <c r="A118" t="s">
        <v>53957</v>
      </c>
      <c r="B118" t="s">
        <v>53957</v>
      </c>
      <c r="C118" t="s">
        <v>53957</v>
      </c>
      <c r="D118" t="s">
        <v>53956</v>
      </c>
      <c r="E118">
        <v>130</v>
      </c>
    </row>
    <row r="119" spans="1:5">
      <c r="A119" t="s">
        <v>53955</v>
      </c>
      <c r="B119" t="s">
        <v>53955</v>
      </c>
      <c r="C119" t="s">
        <v>53954</v>
      </c>
      <c r="D119" t="s">
        <v>53953</v>
      </c>
      <c r="E119">
        <v>400</v>
      </c>
    </row>
    <row r="120" spans="1:5">
      <c r="A120" t="s">
        <v>53952</v>
      </c>
      <c r="B120" t="s">
        <v>53952</v>
      </c>
      <c r="C120" t="s">
        <v>53952</v>
      </c>
      <c r="D120" t="s">
        <v>53951</v>
      </c>
      <c r="E120">
        <v>360</v>
      </c>
    </row>
    <row r="121" spans="1:5">
      <c r="A121" t="s">
        <v>53950</v>
      </c>
      <c r="B121" t="s">
        <v>53950</v>
      </c>
      <c r="C121" t="s">
        <v>53950</v>
      </c>
      <c r="D121" t="s">
        <v>53949</v>
      </c>
      <c r="E121">
        <v>430</v>
      </c>
    </row>
    <row r="122" spans="1:5">
      <c r="A122" t="s">
        <v>53948</v>
      </c>
      <c r="B122" t="s">
        <v>53948</v>
      </c>
      <c r="C122" t="s">
        <v>53948</v>
      </c>
      <c r="D122" t="s">
        <v>53947</v>
      </c>
      <c r="E122">
        <v>110</v>
      </c>
    </row>
    <row r="123" spans="1:5">
      <c r="A123" t="s">
        <v>53946</v>
      </c>
      <c r="B123" t="s">
        <v>53946</v>
      </c>
      <c r="C123" t="s">
        <v>53946</v>
      </c>
      <c r="D123" t="s">
        <v>53945</v>
      </c>
      <c r="E123">
        <v>40</v>
      </c>
    </row>
    <row r="124" spans="1:5">
      <c r="A124" t="s">
        <v>53944</v>
      </c>
      <c r="B124" t="s">
        <v>53944</v>
      </c>
      <c r="C124" t="s">
        <v>53943</v>
      </c>
      <c r="D124" t="s">
        <v>53942</v>
      </c>
      <c r="E124">
        <v>120</v>
      </c>
    </row>
    <row r="125" spans="1:5">
      <c r="A125" t="s">
        <v>53941</v>
      </c>
      <c r="B125" t="s">
        <v>53941</v>
      </c>
      <c r="C125" t="s">
        <v>53940</v>
      </c>
      <c r="D125" t="s">
        <v>53939</v>
      </c>
      <c r="E125">
        <v>310</v>
      </c>
    </row>
    <row r="126" spans="1:5">
      <c r="A126" t="s">
        <v>53938</v>
      </c>
      <c r="B126" t="s">
        <v>53938</v>
      </c>
      <c r="C126" t="s">
        <v>53937</v>
      </c>
      <c r="D126" t="s">
        <v>53936</v>
      </c>
      <c r="E126">
        <v>120</v>
      </c>
    </row>
    <row r="127" spans="1:5">
      <c r="A127" t="s">
        <v>53935</v>
      </c>
      <c r="B127" t="s">
        <v>53935</v>
      </c>
      <c r="C127" t="s">
        <v>53934</v>
      </c>
      <c r="D127" t="s">
        <v>53933</v>
      </c>
      <c r="E127">
        <v>1110</v>
      </c>
    </row>
    <row r="128" spans="1:5">
      <c r="A128" t="s">
        <v>53932</v>
      </c>
      <c r="B128" t="s">
        <v>53932</v>
      </c>
      <c r="C128" t="s">
        <v>53932</v>
      </c>
      <c r="D128" t="s">
        <v>53931</v>
      </c>
      <c r="E128">
        <v>240</v>
      </c>
    </row>
    <row r="129" spans="1:5">
      <c r="A129" t="s">
        <v>53930</v>
      </c>
      <c r="B129" t="s">
        <v>53930</v>
      </c>
      <c r="C129" t="s">
        <v>53929</v>
      </c>
      <c r="D129" t="s">
        <v>53928</v>
      </c>
      <c r="E129">
        <v>360</v>
      </c>
    </row>
    <row r="130" spans="1:5">
      <c r="A130" t="s">
        <v>53927</v>
      </c>
      <c r="B130" t="s">
        <v>53927</v>
      </c>
      <c r="C130" t="s">
        <v>53926</v>
      </c>
      <c r="D130" t="s">
        <v>53925</v>
      </c>
      <c r="E130">
        <v>120</v>
      </c>
    </row>
    <row r="131" spans="1:5">
      <c r="A131" t="s">
        <v>53924</v>
      </c>
      <c r="B131" t="s">
        <v>53924</v>
      </c>
      <c r="C131" t="s">
        <v>53924</v>
      </c>
      <c r="D131" t="s">
        <v>53923</v>
      </c>
      <c r="E131">
        <v>1110</v>
      </c>
    </row>
    <row r="132" spans="1:5">
      <c r="A132" t="s">
        <v>53922</v>
      </c>
      <c r="B132" t="s">
        <v>53922</v>
      </c>
      <c r="C132" t="s">
        <v>53921</v>
      </c>
      <c r="D132" t="s">
        <v>53920</v>
      </c>
      <c r="E132">
        <v>330</v>
      </c>
    </row>
    <row r="133" spans="1:5">
      <c r="A133" t="s">
        <v>53919</v>
      </c>
      <c r="B133" t="s">
        <v>53919</v>
      </c>
      <c r="C133" t="s">
        <v>53918</v>
      </c>
      <c r="D133" t="s">
        <v>53917</v>
      </c>
      <c r="E133">
        <v>240</v>
      </c>
    </row>
    <row r="134" spans="1:5">
      <c r="A134" t="s">
        <v>53916</v>
      </c>
      <c r="B134" t="s">
        <v>53916</v>
      </c>
      <c r="C134" t="s">
        <v>53916</v>
      </c>
      <c r="D134" t="s">
        <v>53915</v>
      </c>
      <c r="E134">
        <v>280</v>
      </c>
    </row>
    <row r="135" spans="1:5">
      <c r="A135" t="s">
        <v>53914</v>
      </c>
      <c r="B135" t="s">
        <v>53914</v>
      </c>
      <c r="C135" t="s">
        <v>53914</v>
      </c>
      <c r="D135" t="s">
        <v>53913</v>
      </c>
      <c r="E135">
        <v>970</v>
      </c>
    </row>
    <row r="136" spans="1:5">
      <c r="A136" t="s">
        <v>53912</v>
      </c>
      <c r="B136" t="s">
        <v>53912</v>
      </c>
      <c r="C136" t="s">
        <v>53912</v>
      </c>
      <c r="D136" t="s">
        <v>53911</v>
      </c>
      <c r="E136">
        <v>130</v>
      </c>
    </row>
    <row r="137" spans="1:5">
      <c r="A137" t="s">
        <v>53910</v>
      </c>
      <c r="B137" t="s">
        <v>53910</v>
      </c>
      <c r="C137" t="s">
        <v>53910</v>
      </c>
      <c r="D137" t="s">
        <v>53909</v>
      </c>
      <c r="E137">
        <v>360</v>
      </c>
    </row>
    <row r="138" spans="1:5">
      <c r="A138" t="s">
        <v>53908</v>
      </c>
      <c r="B138" t="s">
        <v>53908</v>
      </c>
      <c r="C138" t="s">
        <v>53908</v>
      </c>
      <c r="D138" t="s">
        <v>53907</v>
      </c>
      <c r="E138">
        <v>120</v>
      </c>
    </row>
    <row r="139" spans="1:5">
      <c r="A139" t="s">
        <v>53906</v>
      </c>
      <c r="B139" t="s">
        <v>53906</v>
      </c>
      <c r="C139" t="s">
        <v>53906</v>
      </c>
      <c r="D139" t="s">
        <v>53905</v>
      </c>
      <c r="E139">
        <v>320</v>
      </c>
    </row>
    <row r="140" spans="1:5">
      <c r="A140" t="s">
        <v>53904</v>
      </c>
      <c r="B140" t="s">
        <v>53904</v>
      </c>
      <c r="C140" t="s">
        <v>53904</v>
      </c>
      <c r="D140" t="s">
        <v>53903</v>
      </c>
      <c r="E140">
        <v>1170</v>
      </c>
    </row>
    <row r="141" spans="1:5">
      <c r="A141" t="s">
        <v>53902</v>
      </c>
      <c r="B141" t="s">
        <v>53902</v>
      </c>
      <c r="C141" t="s">
        <v>53902</v>
      </c>
      <c r="D141" t="s">
        <v>53901</v>
      </c>
      <c r="E141">
        <v>570</v>
      </c>
    </row>
    <row r="142" spans="1:5">
      <c r="A142" t="s">
        <v>53900</v>
      </c>
      <c r="B142" t="s">
        <v>53900</v>
      </c>
      <c r="C142" t="s">
        <v>53900</v>
      </c>
      <c r="D142" t="s">
        <v>53899</v>
      </c>
      <c r="E142">
        <v>430</v>
      </c>
    </row>
    <row r="143" spans="1:5">
      <c r="A143" t="s">
        <v>53898</v>
      </c>
      <c r="B143" t="s">
        <v>53898</v>
      </c>
      <c r="C143" t="s">
        <v>53898</v>
      </c>
      <c r="D143" t="s">
        <v>53897</v>
      </c>
      <c r="E143">
        <v>230</v>
      </c>
    </row>
    <row r="144" spans="1:5">
      <c r="A144" t="s">
        <v>53896</v>
      </c>
      <c r="B144" t="s">
        <v>53896</v>
      </c>
      <c r="C144" t="s">
        <v>53895</v>
      </c>
      <c r="D144" t="s">
        <v>53894</v>
      </c>
      <c r="E144">
        <v>2210</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B711D-14A7-495D-B0E8-48E32E15F45E}">
  <sheetPr codeName="Sheet16">
    <tabColor theme="2" tint="-9.9978637043366805E-2"/>
    <pageSetUpPr fitToPage="1"/>
  </sheetPr>
  <dimension ref="A1:C203"/>
  <sheetViews>
    <sheetView zoomScale="120" zoomScaleNormal="120" zoomScaleSheetLayoutView="80" zoomScalePageLayoutView="106" workbookViewId="0">
      <pane xSplit="1" ySplit="2" topLeftCell="B3" activePane="bottomRight" state="frozen"/>
      <selection activeCell="C8" sqref="C8"/>
      <selection pane="topRight" activeCell="C8" sqref="C8"/>
      <selection pane="bottomLeft" activeCell="C8" sqref="C8"/>
      <selection pane="bottomRight" activeCell="C8" sqref="C8"/>
    </sheetView>
  </sheetViews>
  <sheetFormatPr defaultColWidth="9.1796875" defaultRowHeight="14.5"/>
  <cols>
    <col min="1" max="1" width="23.26953125" style="158" customWidth="1"/>
    <col min="2" max="2" width="78.7265625" style="207" customWidth="1"/>
    <col min="3" max="3" width="15" style="206" bestFit="1" customWidth="1"/>
    <col min="4" max="16384" width="9.1796875" style="167"/>
  </cols>
  <sheetData>
    <row r="1" spans="1:3">
      <c r="A1" s="331" t="s">
        <v>14869</v>
      </c>
      <c r="B1" s="237"/>
      <c r="C1" s="309"/>
    </row>
    <row r="2" spans="1:3" s="158" customFormat="1">
      <c r="A2" s="235" t="s">
        <v>3519</v>
      </c>
      <c r="B2" s="234" t="s">
        <v>3518</v>
      </c>
      <c r="C2" s="200" t="s">
        <v>13563</v>
      </c>
    </row>
    <row r="3" spans="1:3" s="158" customFormat="1">
      <c r="A3" s="308"/>
      <c r="B3" s="307"/>
      <c r="C3" s="306"/>
    </row>
    <row r="4" spans="1:3" ht="26">
      <c r="A4" s="326" t="s">
        <v>13511</v>
      </c>
      <c r="B4" s="217" t="s">
        <v>14868</v>
      </c>
      <c r="C4" s="330"/>
    </row>
    <row r="5" spans="1:3" ht="39">
      <c r="A5" s="325" t="s">
        <v>14867</v>
      </c>
      <c r="B5" s="151" t="s">
        <v>14866</v>
      </c>
      <c r="C5" s="135">
        <v>729</v>
      </c>
    </row>
    <row r="6" spans="1:3" ht="39">
      <c r="A6" s="325" t="s">
        <v>14865</v>
      </c>
      <c r="B6" s="151" t="s">
        <v>14864</v>
      </c>
      <c r="C6" s="135">
        <v>689</v>
      </c>
    </row>
    <row r="7" spans="1:3" ht="39">
      <c r="A7" s="325" t="s">
        <v>14863</v>
      </c>
      <c r="B7" s="151" t="s">
        <v>14862</v>
      </c>
      <c r="C7" s="135">
        <v>779</v>
      </c>
    </row>
    <row r="8" spans="1:3" ht="39">
      <c r="A8" s="325" t="s">
        <v>14861</v>
      </c>
      <c r="B8" s="151" t="s">
        <v>14860</v>
      </c>
      <c r="C8" s="135">
        <v>729</v>
      </c>
    </row>
    <row r="9" spans="1:3" ht="39">
      <c r="A9" s="325" t="s">
        <v>14859</v>
      </c>
      <c r="B9" s="151" t="s">
        <v>14858</v>
      </c>
      <c r="C9" s="135">
        <v>769</v>
      </c>
    </row>
    <row r="10" spans="1:3" ht="39">
      <c r="A10" s="325" t="s">
        <v>14857</v>
      </c>
      <c r="B10" s="151" t="s">
        <v>14856</v>
      </c>
      <c r="C10" s="135">
        <v>719</v>
      </c>
    </row>
    <row r="11" spans="1:3">
      <c r="A11" s="327" t="s">
        <v>13524</v>
      </c>
      <c r="B11" s="150"/>
      <c r="C11" s="311"/>
    </row>
    <row r="12" spans="1:3" ht="39">
      <c r="A12" s="325" t="s">
        <v>14855</v>
      </c>
      <c r="B12" s="151" t="s">
        <v>14854</v>
      </c>
      <c r="C12" s="135">
        <v>839</v>
      </c>
    </row>
    <row r="13" spans="1:3" ht="39">
      <c r="A13" s="216" t="s">
        <v>14853</v>
      </c>
      <c r="B13" s="151" t="s">
        <v>14852</v>
      </c>
      <c r="C13" s="135">
        <v>799</v>
      </c>
    </row>
    <row r="14" spans="1:3" ht="52">
      <c r="A14" s="325" t="s">
        <v>14851</v>
      </c>
      <c r="B14" s="151" t="s">
        <v>14850</v>
      </c>
      <c r="C14" s="135">
        <v>899</v>
      </c>
    </row>
    <row r="15" spans="1:3" ht="52">
      <c r="A15" s="325" t="s">
        <v>14849</v>
      </c>
      <c r="B15" s="151" t="s">
        <v>14848</v>
      </c>
      <c r="C15" s="135">
        <v>849</v>
      </c>
    </row>
    <row r="16" spans="1:3" ht="52">
      <c r="A16" s="325" t="s">
        <v>14847</v>
      </c>
      <c r="B16" s="151" t="s">
        <v>14846</v>
      </c>
      <c r="C16" s="135">
        <v>889</v>
      </c>
    </row>
    <row r="17" spans="1:3" ht="52">
      <c r="A17" s="325" t="s">
        <v>14845</v>
      </c>
      <c r="B17" s="151" t="s">
        <v>14844</v>
      </c>
      <c r="C17" s="135">
        <v>839</v>
      </c>
    </row>
    <row r="18" spans="1:3">
      <c r="A18" s="312"/>
      <c r="B18" s="226" t="s">
        <v>14815</v>
      </c>
      <c r="C18" s="311"/>
    </row>
    <row r="19" spans="1:3">
      <c r="A19" s="312"/>
      <c r="B19" s="150"/>
      <c r="C19" s="311"/>
    </row>
    <row r="20" spans="1:3" ht="26">
      <c r="A20" s="312"/>
      <c r="B20" s="329" t="s">
        <v>14843</v>
      </c>
      <c r="C20" s="311"/>
    </row>
    <row r="21" spans="1:3" ht="26">
      <c r="A21" s="325" t="s">
        <v>14842</v>
      </c>
      <c r="B21" s="328" t="s">
        <v>14841</v>
      </c>
      <c r="C21" s="135">
        <v>109</v>
      </c>
    </row>
    <row r="22" spans="1:3">
      <c r="A22" s="312"/>
      <c r="B22" s="150"/>
      <c r="C22" s="311"/>
    </row>
    <row r="23" spans="1:3" ht="26">
      <c r="A23" s="327" t="s">
        <v>13511</v>
      </c>
      <c r="B23" s="217" t="s">
        <v>14840</v>
      </c>
      <c r="C23" s="311"/>
    </row>
    <row r="24" spans="1:3" ht="39">
      <c r="A24" s="325" t="s">
        <v>14839</v>
      </c>
      <c r="B24" s="151" t="s">
        <v>14838</v>
      </c>
      <c r="C24" s="135">
        <v>949</v>
      </c>
    </row>
    <row r="25" spans="1:3" ht="39">
      <c r="A25" s="325" t="s">
        <v>14837</v>
      </c>
      <c r="B25" s="151" t="s">
        <v>14836</v>
      </c>
      <c r="C25" s="135">
        <v>909</v>
      </c>
    </row>
    <row r="26" spans="1:3" ht="39">
      <c r="A26" s="325" t="s">
        <v>14835</v>
      </c>
      <c r="B26" s="151" t="s">
        <v>14834</v>
      </c>
      <c r="C26" s="135">
        <v>999</v>
      </c>
    </row>
    <row r="27" spans="1:3" ht="39">
      <c r="A27" s="325" t="s">
        <v>14833</v>
      </c>
      <c r="B27" s="151" t="s">
        <v>14832</v>
      </c>
      <c r="C27" s="135">
        <v>939</v>
      </c>
    </row>
    <row r="28" spans="1:3" ht="39">
      <c r="A28" s="325" t="s">
        <v>14831</v>
      </c>
      <c r="B28" s="151" t="s">
        <v>14830</v>
      </c>
      <c r="C28" s="135">
        <v>979</v>
      </c>
    </row>
    <row r="29" spans="1:3" ht="39">
      <c r="A29" s="325" t="s">
        <v>14829</v>
      </c>
      <c r="B29" s="151" t="s">
        <v>14828</v>
      </c>
      <c r="C29" s="135">
        <v>939</v>
      </c>
    </row>
    <row r="30" spans="1:3">
      <c r="A30" s="327" t="s">
        <v>13524</v>
      </c>
      <c r="B30" s="150"/>
      <c r="C30" s="311"/>
    </row>
    <row r="31" spans="1:3" ht="39">
      <c r="A31" s="325" t="s">
        <v>14827</v>
      </c>
      <c r="B31" s="151" t="s">
        <v>14826</v>
      </c>
      <c r="C31" s="135">
        <v>1059</v>
      </c>
    </row>
    <row r="32" spans="1:3" ht="39">
      <c r="A32" s="325" t="s">
        <v>14825</v>
      </c>
      <c r="B32" s="151" t="s">
        <v>14824</v>
      </c>
      <c r="C32" s="135">
        <v>1019</v>
      </c>
    </row>
    <row r="33" spans="1:3" ht="52">
      <c r="A33" s="325" t="s">
        <v>14823</v>
      </c>
      <c r="B33" s="151" t="s">
        <v>14822</v>
      </c>
      <c r="C33" s="135">
        <v>1139</v>
      </c>
    </row>
    <row r="34" spans="1:3" ht="52">
      <c r="A34" s="325" t="s">
        <v>14821</v>
      </c>
      <c r="B34" s="151" t="s">
        <v>14820</v>
      </c>
      <c r="C34" s="135">
        <v>1069</v>
      </c>
    </row>
    <row r="35" spans="1:3" ht="52">
      <c r="A35" s="325" t="s">
        <v>14819</v>
      </c>
      <c r="B35" s="151" t="s">
        <v>14818</v>
      </c>
      <c r="C35" s="135">
        <v>1099</v>
      </c>
    </row>
    <row r="36" spans="1:3" ht="52">
      <c r="A36" s="325" t="s">
        <v>14817</v>
      </c>
      <c r="B36" s="151" t="s">
        <v>14816</v>
      </c>
      <c r="C36" s="135">
        <v>1059</v>
      </c>
    </row>
    <row r="37" spans="1:3">
      <c r="A37" s="312"/>
      <c r="B37" s="226" t="s">
        <v>14815</v>
      </c>
      <c r="C37" s="311"/>
    </row>
    <row r="38" spans="1:3">
      <c r="A38" s="312"/>
      <c r="B38" s="150"/>
      <c r="C38" s="311"/>
    </row>
    <row r="39" spans="1:3" ht="26">
      <c r="A39" s="312"/>
      <c r="B39" s="329" t="s">
        <v>14814</v>
      </c>
      <c r="C39" s="311"/>
    </row>
    <row r="40" spans="1:3" ht="26">
      <c r="A40" s="325" t="s">
        <v>14813</v>
      </c>
      <c r="B40" s="328" t="s">
        <v>14812</v>
      </c>
      <c r="C40" s="135">
        <v>109</v>
      </c>
    </row>
    <row r="41" spans="1:3">
      <c r="A41" s="312"/>
      <c r="B41" s="150"/>
      <c r="C41" s="311"/>
    </row>
    <row r="42" spans="1:3" ht="39">
      <c r="A42" s="326" t="s">
        <v>13511</v>
      </c>
      <c r="B42" s="217" t="s">
        <v>14811</v>
      </c>
      <c r="C42" s="311"/>
    </row>
    <row r="43" spans="1:3" ht="65">
      <c r="A43" s="325" t="s">
        <v>14810</v>
      </c>
      <c r="B43" s="151" t="s">
        <v>14809</v>
      </c>
      <c r="C43" s="135">
        <v>979</v>
      </c>
    </row>
    <row r="44" spans="1:3" ht="65">
      <c r="A44" s="325" t="s">
        <v>14808</v>
      </c>
      <c r="B44" s="151" t="s">
        <v>14807</v>
      </c>
      <c r="C44" s="135">
        <v>939</v>
      </c>
    </row>
    <row r="45" spans="1:3" ht="65">
      <c r="A45" s="325" t="s">
        <v>14806</v>
      </c>
      <c r="B45" s="151" t="s">
        <v>14805</v>
      </c>
      <c r="C45" s="135">
        <v>1029</v>
      </c>
    </row>
    <row r="46" spans="1:3" ht="65">
      <c r="A46" s="325" t="s">
        <v>14804</v>
      </c>
      <c r="B46" s="151" t="s">
        <v>14803</v>
      </c>
      <c r="C46" s="135">
        <v>969</v>
      </c>
    </row>
    <row r="47" spans="1:3" ht="65">
      <c r="A47" s="325" t="s">
        <v>14802</v>
      </c>
      <c r="B47" s="151" t="s">
        <v>14801</v>
      </c>
      <c r="C47" s="135">
        <v>1009</v>
      </c>
    </row>
    <row r="48" spans="1:3" ht="65">
      <c r="A48" s="325" t="s">
        <v>14800</v>
      </c>
      <c r="B48" s="151" t="s">
        <v>14799</v>
      </c>
      <c r="C48" s="135">
        <v>969</v>
      </c>
    </row>
    <row r="49" spans="1:3">
      <c r="A49" s="327" t="s">
        <v>13524</v>
      </c>
      <c r="B49" s="150"/>
      <c r="C49" s="311"/>
    </row>
    <row r="50" spans="1:3" ht="65">
      <c r="A50" s="325" t="s">
        <v>14798</v>
      </c>
      <c r="B50" s="151" t="s">
        <v>14797</v>
      </c>
      <c r="C50" s="135">
        <v>1089</v>
      </c>
    </row>
    <row r="51" spans="1:3" ht="65">
      <c r="A51" s="325" t="s">
        <v>14796</v>
      </c>
      <c r="B51" s="151" t="s">
        <v>14795</v>
      </c>
      <c r="C51" s="135">
        <v>1049</v>
      </c>
    </row>
    <row r="52" spans="1:3" ht="78">
      <c r="A52" s="325" t="s">
        <v>14794</v>
      </c>
      <c r="B52" s="151" t="s">
        <v>14793</v>
      </c>
      <c r="C52" s="135">
        <v>1149</v>
      </c>
    </row>
    <row r="53" spans="1:3" ht="78">
      <c r="A53" s="325" t="s">
        <v>14792</v>
      </c>
      <c r="B53" s="151" t="s">
        <v>14791</v>
      </c>
      <c r="C53" s="135">
        <v>1099</v>
      </c>
    </row>
    <row r="54" spans="1:3" ht="78">
      <c r="A54" s="325" t="s">
        <v>14790</v>
      </c>
      <c r="B54" s="151" t="s">
        <v>14789</v>
      </c>
      <c r="C54" s="135">
        <v>1129</v>
      </c>
    </row>
    <row r="55" spans="1:3" ht="78">
      <c r="A55" s="325" t="s">
        <v>14788</v>
      </c>
      <c r="B55" s="151" t="s">
        <v>14787</v>
      </c>
      <c r="C55" s="135">
        <v>1089</v>
      </c>
    </row>
    <row r="56" spans="1:3">
      <c r="A56" s="194" t="s">
        <v>13484</v>
      </c>
      <c r="B56" s="150"/>
      <c r="C56" s="311"/>
    </row>
    <row r="57" spans="1:3">
      <c r="A57" s="194"/>
      <c r="B57" s="150"/>
      <c r="C57" s="311"/>
    </row>
    <row r="58" spans="1:3" ht="26">
      <c r="A58" s="326" t="s">
        <v>13483</v>
      </c>
      <c r="B58" s="147" t="s">
        <v>14786</v>
      </c>
      <c r="C58" s="311"/>
    </row>
    <row r="59" spans="1:3" ht="65">
      <c r="A59" s="325" t="s">
        <v>14785</v>
      </c>
      <c r="B59" s="230" t="s">
        <v>14784</v>
      </c>
      <c r="C59" s="135">
        <v>1269</v>
      </c>
    </row>
    <row r="60" spans="1:3" ht="65">
      <c r="A60" s="325" t="s">
        <v>14783</v>
      </c>
      <c r="B60" s="151" t="s">
        <v>14782</v>
      </c>
      <c r="C60" s="135">
        <v>1269</v>
      </c>
    </row>
    <row r="61" spans="1:3" ht="65">
      <c r="A61" s="325" t="s">
        <v>14781</v>
      </c>
      <c r="B61" s="230" t="s">
        <v>14780</v>
      </c>
      <c r="C61" s="135">
        <v>1199</v>
      </c>
    </row>
    <row r="62" spans="1:3" ht="65">
      <c r="A62" s="325" t="s">
        <v>14779</v>
      </c>
      <c r="B62" s="151" t="s">
        <v>14778</v>
      </c>
      <c r="C62" s="135">
        <v>1199</v>
      </c>
    </row>
    <row r="63" spans="1:3">
      <c r="A63" s="324"/>
      <c r="B63" s="239"/>
      <c r="C63" s="311"/>
    </row>
    <row r="64" spans="1:3" ht="26">
      <c r="A64" s="176" t="s">
        <v>13467</v>
      </c>
      <c r="B64" s="155" t="s">
        <v>13718</v>
      </c>
      <c r="C64" s="227"/>
    </row>
    <row r="65" spans="1:3" ht="52">
      <c r="A65" s="146" t="s">
        <v>14777</v>
      </c>
      <c r="B65" s="171" t="s">
        <v>14776</v>
      </c>
      <c r="C65" s="135">
        <v>569</v>
      </c>
    </row>
    <row r="66" spans="1:3" ht="52">
      <c r="A66" s="146" t="s">
        <v>14775</v>
      </c>
      <c r="B66" s="171" t="s">
        <v>14774</v>
      </c>
      <c r="C66" s="135">
        <v>569</v>
      </c>
    </row>
    <row r="67" spans="1:3" ht="52">
      <c r="A67" s="146" t="s">
        <v>14773</v>
      </c>
      <c r="B67" s="171" t="s">
        <v>14772</v>
      </c>
      <c r="C67" s="135">
        <v>569</v>
      </c>
    </row>
    <row r="68" spans="1:3" ht="52">
      <c r="A68" s="146" t="s">
        <v>14771</v>
      </c>
      <c r="B68" s="171" t="s">
        <v>14770</v>
      </c>
      <c r="C68" s="135">
        <v>569</v>
      </c>
    </row>
    <row r="69" spans="1:3" ht="52">
      <c r="A69" s="146" t="s">
        <v>14769</v>
      </c>
      <c r="B69" s="171" t="s">
        <v>14768</v>
      </c>
      <c r="C69" s="135">
        <v>569</v>
      </c>
    </row>
    <row r="70" spans="1:3">
      <c r="A70" s="312"/>
      <c r="B70" s="150"/>
      <c r="C70" s="311"/>
    </row>
    <row r="71" spans="1:3">
      <c r="A71" s="312"/>
      <c r="B71" s="211" t="s">
        <v>13440</v>
      </c>
      <c r="C71" s="311"/>
    </row>
    <row r="72" spans="1:3" ht="15.5">
      <c r="A72" s="312"/>
      <c r="B72" s="320" t="s">
        <v>14733</v>
      </c>
      <c r="C72" s="311"/>
    </row>
    <row r="73" spans="1:3" ht="26">
      <c r="A73" s="146" t="s">
        <v>14767</v>
      </c>
      <c r="B73" s="151" t="s">
        <v>14766</v>
      </c>
      <c r="C73" s="135">
        <v>519</v>
      </c>
    </row>
    <row r="74" spans="1:3" ht="26">
      <c r="A74" s="146" t="s">
        <v>14765</v>
      </c>
      <c r="B74" s="151" t="s">
        <v>14764</v>
      </c>
      <c r="C74" s="135">
        <v>519</v>
      </c>
    </row>
    <row r="75" spans="1:3">
      <c r="A75" s="312"/>
      <c r="B75" s="225" t="s">
        <v>13379</v>
      </c>
      <c r="C75" s="311"/>
    </row>
    <row r="76" spans="1:3">
      <c r="A76" s="312"/>
      <c r="B76" s="150"/>
      <c r="C76" s="311"/>
    </row>
    <row r="77" spans="1:3" ht="26">
      <c r="A77" s="312"/>
      <c r="B77" s="147" t="s">
        <v>14763</v>
      </c>
      <c r="C77" s="311"/>
    </row>
    <row r="78" spans="1:3">
      <c r="A78" s="312"/>
      <c r="B78" s="226" t="s">
        <v>13658</v>
      </c>
      <c r="C78" s="311"/>
    </row>
    <row r="79" spans="1:3" ht="26">
      <c r="A79" s="146" t="s">
        <v>14762</v>
      </c>
      <c r="B79" s="141" t="s">
        <v>13434</v>
      </c>
      <c r="C79" s="135">
        <v>849</v>
      </c>
    </row>
    <row r="80" spans="1:3" ht="26">
      <c r="A80" s="146" t="s">
        <v>14761</v>
      </c>
      <c r="B80" s="141" t="s">
        <v>13433</v>
      </c>
      <c r="C80" s="135">
        <v>849</v>
      </c>
    </row>
    <row r="81" spans="1:3" ht="26">
      <c r="A81" s="146" t="s">
        <v>14760</v>
      </c>
      <c r="B81" s="141" t="s">
        <v>13432</v>
      </c>
      <c r="C81" s="135">
        <v>929</v>
      </c>
    </row>
    <row r="82" spans="1:3">
      <c r="A82" s="312"/>
      <c r="B82" s="225" t="s">
        <v>13379</v>
      </c>
      <c r="C82" s="311"/>
    </row>
    <row r="83" spans="1:3">
      <c r="A83" s="312"/>
      <c r="B83" s="150"/>
      <c r="C83" s="311"/>
    </row>
    <row r="84" spans="1:3" ht="26">
      <c r="A84" s="312"/>
      <c r="B84" s="147" t="s">
        <v>14759</v>
      </c>
      <c r="C84" s="311"/>
    </row>
    <row r="85" spans="1:3">
      <c r="A85" s="312"/>
      <c r="B85" s="226" t="s">
        <v>13658</v>
      </c>
      <c r="C85" s="311"/>
    </row>
    <row r="86" spans="1:3" ht="26">
      <c r="A86" s="146" t="s">
        <v>14758</v>
      </c>
      <c r="B86" s="141" t="s">
        <v>13430</v>
      </c>
      <c r="C86" s="135">
        <v>1099</v>
      </c>
    </row>
    <row r="87" spans="1:3" ht="26">
      <c r="A87" s="146" t="s">
        <v>14757</v>
      </c>
      <c r="B87" s="141" t="s">
        <v>13429</v>
      </c>
      <c r="C87" s="135">
        <v>1099</v>
      </c>
    </row>
    <row r="88" spans="1:3" ht="26">
      <c r="A88" s="146" t="s">
        <v>14756</v>
      </c>
      <c r="B88" s="141" t="s">
        <v>13428</v>
      </c>
      <c r="C88" s="135">
        <v>1219</v>
      </c>
    </row>
    <row r="89" spans="1:3">
      <c r="A89" s="312"/>
      <c r="B89" s="225" t="s">
        <v>13379</v>
      </c>
      <c r="C89" s="311"/>
    </row>
    <row r="90" spans="1:3">
      <c r="A90" s="312"/>
      <c r="B90" s="225"/>
      <c r="C90" s="311"/>
    </row>
    <row r="91" spans="1:3" ht="39">
      <c r="A91" s="323"/>
      <c r="B91" s="155" t="s">
        <v>13427</v>
      </c>
      <c r="C91" s="311"/>
    </row>
    <row r="92" spans="1:3" ht="26">
      <c r="A92" s="178" t="s">
        <v>14755</v>
      </c>
      <c r="B92" s="141" t="s">
        <v>13426</v>
      </c>
      <c r="C92" s="135">
        <v>1379</v>
      </c>
    </row>
    <row r="93" spans="1:3" ht="26">
      <c r="A93" s="178" t="s">
        <v>14754</v>
      </c>
      <c r="B93" s="141" t="s">
        <v>13425</v>
      </c>
      <c r="C93" s="135">
        <v>1379</v>
      </c>
    </row>
    <row r="94" spans="1:3" ht="26">
      <c r="A94" s="178" t="s">
        <v>4895</v>
      </c>
      <c r="B94" s="141" t="s">
        <v>13424</v>
      </c>
      <c r="C94" s="135">
        <v>0</v>
      </c>
    </row>
    <row r="95" spans="1:3">
      <c r="A95" s="312"/>
      <c r="B95" s="225"/>
      <c r="C95" s="311"/>
    </row>
    <row r="96" spans="1:3">
      <c r="A96" s="164"/>
      <c r="B96" s="175" t="s">
        <v>13393</v>
      </c>
      <c r="C96" s="311"/>
    </row>
    <row r="97" spans="1:3" ht="26">
      <c r="A97" s="321"/>
      <c r="B97" s="160" t="s">
        <v>13423</v>
      </c>
      <c r="C97" s="311"/>
    </row>
    <row r="98" spans="1:3" ht="26">
      <c r="A98" s="178" t="s">
        <v>14753</v>
      </c>
      <c r="B98" s="141" t="s">
        <v>13421</v>
      </c>
      <c r="C98" s="135">
        <v>549</v>
      </c>
    </row>
    <row r="99" spans="1:3" ht="26">
      <c r="A99" s="178" t="s">
        <v>14752</v>
      </c>
      <c r="B99" s="141" t="s">
        <v>13419</v>
      </c>
      <c r="C99" s="135">
        <v>569</v>
      </c>
    </row>
    <row r="100" spans="1:3" ht="26">
      <c r="A100" s="178" t="s">
        <v>14751</v>
      </c>
      <c r="B100" s="141" t="s">
        <v>13417</v>
      </c>
      <c r="C100" s="135">
        <v>549</v>
      </c>
    </row>
    <row r="101" spans="1:3" ht="26">
      <c r="A101" s="178" t="s">
        <v>4895</v>
      </c>
      <c r="B101" s="141" t="s">
        <v>13415</v>
      </c>
      <c r="C101" s="135">
        <v>0</v>
      </c>
    </row>
    <row r="102" spans="1:3" ht="26">
      <c r="A102" s="178" t="s">
        <v>14750</v>
      </c>
      <c r="B102" s="141" t="s">
        <v>13413</v>
      </c>
      <c r="C102" s="135">
        <v>569</v>
      </c>
    </row>
    <row r="103" spans="1:3" ht="26">
      <c r="A103" s="178" t="s">
        <v>14749</v>
      </c>
      <c r="B103" s="141" t="s">
        <v>13411</v>
      </c>
      <c r="C103" s="135">
        <v>569</v>
      </c>
    </row>
    <row r="104" spans="1:3" ht="26">
      <c r="A104" s="178" t="s">
        <v>14748</v>
      </c>
      <c r="B104" s="141" t="s">
        <v>13409</v>
      </c>
      <c r="C104" s="135">
        <v>569</v>
      </c>
    </row>
    <row r="105" spans="1:3">
      <c r="A105" s="164"/>
      <c r="B105" s="184" t="s">
        <v>13379</v>
      </c>
      <c r="C105" s="311"/>
    </row>
    <row r="106" spans="1:3">
      <c r="A106" s="164"/>
      <c r="B106" s="184"/>
      <c r="C106" s="311"/>
    </row>
    <row r="107" spans="1:3" ht="18.5">
      <c r="A107" s="322"/>
      <c r="B107" s="175" t="s">
        <v>13393</v>
      </c>
      <c r="C107" s="311"/>
    </row>
    <row r="108" spans="1:3" ht="26">
      <c r="A108" s="321"/>
      <c r="B108" s="160" t="s">
        <v>13408</v>
      </c>
      <c r="C108" s="311"/>
    </row>
    <row r="109" spans="1:3" ht="26">
      <c r="A109" s="178" t="s">
        <v>14747</v>
      </c>
      <c r="B109" s="141" t="s">
        <v>13406</v>
      </c>
      <c r="C109" s="135">
        <v>579</v>
      </c>
    </row>
    <row r="110" spans="1:3" ht="26">
      <c r="A110" s="178" t="s">
        <v>14746</v>
      </c>
      <c r="B110" s="141" t="s">
        <v>13404</v>
      </c>
      <c r="C110" s="135">
        <v>579</v>
      </c>
    </row>
    <row r="111" spans="1:3" ht="26">
      <c r="A111" s="178" t="s">
        <v>14745</v>
      </c>
      <c r="B111" s="141" t="s">
        <v>13402</v>
      </c>
      <c r="C111" s="135">
        <v>559</v>
      </c>
    </row>
    <row r="112" spans="1:3" ht="26">
      <c r="A112" s="178" t="s">
        <v>4895</v>
      </c>
      <c r="B112" s="141" t="s">
        <v>13400</v>
      </c>
      <c r="C112" s="135">
        <v>0</v>
      </c>
    </row>
    <row r="113" spans="1:3" ht="26">
      <c r="A113" s="178" t="s">
        <v>14744</v>
      </c>
      <c r="B113" s="141" t="s">
        <v>13398</v>
      </c>
      <c r="C113" s="135">
        <v>579</v>
      </c>
    </row>
    <row r="114" spans="1:3" ht="26">
      <c r="A114" s="178" t="s">
        <v>14743</v>
      </c>
      <c r="B114" s="141" t="s">
        <v>13396</v>
      </c>
      <c r="C114" s="135">
        <v>579</v>
      </c>
    </row>
    <row r="115" spans="1:3" ht="26">
      <c r="A115" s="178" t="s">
        <v>14742</v>
      </c>
      <c r="B115" s="141" t="s">
        <v>13394</v>
      </c>
      <c r="C115" s="135">
        <v>579</v>
      </c>
    </row>
    <row r="116" spans="1:3">
      <c r="A116" s="164"/>
      <c r="B116" s="184" t="s">
        <v>13379</v>
      </c>
      <c r="C116" s="311"/>
    </row>
    <row r="117" spans="1:3">
      <c r="A117" s="164"/>
      <c r="B117" s="184"/>
      <c r="C117" s="311"/>
    </row>
    <row r="118" spans="1:3">
      <c r="A118" s="164"/>
      <c r="B118" s="175" t="s">
        <v>13393</v>
      </c>
      <c r="C118" s="311"/>
    </row>
    <row r="119" spans="1:3" ht="26">
      <c r="A119" s="321"/>
      <c r="B119" s="160" t="s">
        <v>13392</v>
      </c>
      <c r="C119" s="311"/>
    </row>
    <row r="120" spans="1:3" ht="26">
      <c r="A120" s="178" t="s">
        <v>4895</v>
      </c>
      <c r="B120" s="141" t="s">
        <v>13390</v>
      </c>
      <c r="C120" s="135">
        <v>0</v>
      </c>
    </row>
    <row r="121" spans="1:3" ht="26">
      <c r="A121" s="178" t="s">
        <v>4895</v>
      </c>
      <c r="B121" s="141" t="s">
        <v>13389</v>
      </c>
      <c r="C121" s="135">
        <v>0</v>
      </c>
    </row>
    <row r="122" spans="1:3" ht="26">
      <c r="A122" s="178" t="s">
        <v>4895</v>
      </c>
      <c r="B122" s="141" t="s">
        <v>13387</v>
      </c>
      <c r="C122" s="135">
        <v>0</v>
      </c>
    </row>
    <row r="123" spans="1:3" ht="26">
      <c r="A123" s="178" t="s">
        <v>14741</v>
      </c>
      <c r="B123" s="141" t="s">
        <v>13386</v>
      </c>
      <c r="C123" s="135">
        <v>569</v>
      </c>
    </row>
    <row r="124" spans="1:3" ht="26">
      <c r="A124" s="178" t="s">
        <v>14740</v>
      </c>
      <c r="B124" s="141" t="s">
        <v>13384</v>
      </c>
      <c r="C124" s="135">
        <v>569</v>
      </c>
    </row>
    <row r="125" spans="1:3" ht="26">
      <c r="A125" s="178" t="s">
        <v>14739</v>
      </c>
      <c r="B125" s="141" t="s">
        <v>13382</v>
      </c>
      <c r="C125" s="135">
        <v>589</v>
      </c>
    </row>
    <row r="126" spans="1:3" ht="26">
      <c r="A126" s="178" t="s">
        <v>14738</v>
      </c>
      <c r="B126" s="141" t="s">
        <v>13380</v>
      </c>
      <c r="C126" s="135">
        <v>569</v>
      </c>
    </row>
    <row r="127" spans="1:3">
      <c r="A127" s="157" t="s">
        <v>13378</v>
      </c>
      <c r="B127" s="150"/>
      <c r="C127" s="311"/>
    </row>
    <row r="128" spans="1:3">
      <c r="A128" s="157"/>
      <c r="B128" s="150"/>
      <c r="C128" s="311"/>
    </row>
    <row r="129" spans="1:3">
      <c r="A129" s="312"/>
      <c r="B129" s="211" t="s">
        <v>13377</v>
      </c>
      <c r="C129" s="311"/>
    </row>
    <row r="130" spans="1:3">
      <c r="A130" s="146" t="s">
        <v>14737</v>
      </c>
      <c r="B130" s="151" t="s">
        <v>13375</v>
      </c>
      <c r="C130" s="135">
        <v>299</v>
      </c>
    </row>
    <row r="131" spans="1:3">
      <c r="A131" s="312"/>
      <c r="B131" s="150"/>
      <c r="C131" s="311"/>
    </row>
    <row r="132" spans="1:3">
      <c r="A132" s="312"/>
      <c r="B132" s="211" t="s">
        <v>13364</v>
      </c>
      <c r="C132" s="311"/>
    </row>
    <row r="133" spans="1:3" ht="15.5">
      <c r="A133" s="312"/>
      <c r="B133" s="320" t="s">
        <v>14733</v>
      </c>
      <c r="C133" s="311"/>
    </row>
    <row r="134" spans="1:3" ht="39">
      <c r="A134" s="146" t="s">
        <v>14736</v>
      </c>
      <c r="B134" s="151" t="s">
        <v>13362</v>
      </c>
      <c r="C134" s="135">
        <v>619</v>
      </c>
    </row>
    <row r="135" spans="1:3" ht="39">
      <c r="A135" s="146" t="s">
        <v>14735</v>
      </c>
      <c r="B135" s="151" t="s">
        <v>13360</v>
      </c>
      <c r="C135" s="135">
        <v>599</v>
      </c>
    </row>
    <row r="136" spans="1:3" ht="39">
      <c r="A136" s="146" t="s">
        <v>14734</v>
      </c>
      <c r="B136" s="151" t="s">
        <v>13358</v>
      </c>
      <c r="C136" s="135">
        <v>599</v>
      </c>
    </row>
    <row r="137" spans="1:3">
      <c r="A137" s="312"/>
      <c r="B137" s="150"/>
      <c r="C137" s="311"/>
    </row>
    <row r="138" spans="1:3">
      <c r="A138" s="312"/>
      <c r="B138" s="211" t="s">
        <v>13356</v>
      </c>
      <c r="C138" s="311"/>
    </row>
    <row r="139" spans="1:3" ht="15.5">
      <c r="A139" s="312"/>
      <c r="B139" s="320" t="s">
        <v>14733</v>
      </c>
      <c r="C139" s="311"/>
    </row>
    <row r="140" spans="1:3" ht="26">
      <c r="A140" s="146" t="s">
        <v>14732</v>
      </c>
      <c r="B140" s="213" t="s">
        <v>14731</v>
      </c>
      <c r="C140" s="135">
        <v>739</v>
      </c>
    </row>
    <row r="141" spans="1:3" ht="26">
      <c r="A141" s="146" t="s">
        <v>14730</v>
      </c>
      <c r="B141" s="213" t="s">
        <v>14729</v>
      </c>
      <c r="C141" s="135">
        <v>399</v>
      </c>
    </row>
    <row r="142" spans="1:3" ht="52">
      <c r="A142" s="146" t="s">
        <v>14728</v>
      </c>
      <c r="B142" s="213" t="s">
        <v>13348</v>
      </c>
      <c r="C142" s="135">
        <v>759</v>
      </c>
    </row>
    <row r="143" spans="1:3" ht="52">
      <c r="A143" s="319" t="s">
        <v>14727</v>
      </c>
      <c r="B143" s="213" t="s">
        <v>14050</v>
      </c>
      <c r="C143" s="135">
        <v>759</v>
      </c>
    </row>
    <row r="144" spans="1:3">
      <c r="A144" s="318"/>
      <c r="B144" s="268"/>
      <c r="C144" s="311"/>
    </row>
    <row r="145" spans="1:3">
      <c r="A145" s="312"/>
      <c r="B145" s="211" t="s">
        <v>13346</v>
      </c>
      <c r="C145" s="311"/>
    </row>
    <row r="146" spans="1:3">
      <c r="A146" s="312"/>
      <c r="B146" s="316" t="s">
        <v>14704</v>
      </c>
      <c r="C146" s="311"/>
    </row>
    <row r="147" spans="1:3" ht="26">
      <c r="A147" s="146" t="s">
        <v>14726</v>
      </c>
      <c r="B147" s="213" t="s">
        <v>13611</v>
      </c>
      <c r="C147" s="135">
        <v>299</v>
      </c>
    </row>
    <row r="148" spans="1:3" ht="26">
      <c r="A148" s="146" t="s">
        <v>14725</v>
      </c>
      <c r="B148" s="213" t="s">
        <v>13609</v>
      </c>
      <c r="C148" s="135">
        <v>319</v>
      </c>
    </row>
    <row r="149" spans="1:3" ht="39">
      <c r="A149" s="146" t="s">
        <v>14724</v>
      </c>
      <c r="B149" s="213" t="s">
        <v>14723</v>
      </c>
      <c r="C149" s="135">
        <v>279</v>
      </c>
    </row>
    <row r="150" spans="1:3">
      <c r="A150" s="312"/>
      <c r="B150" s="150"/>
      <c r="C150" s="311"/>
    </row>
    <row r="151" spans="1:3">
      <c r="A151" s="312"/>
      <c r="B151" s="211" t="s">
        <v>13327</v>
      </c>
      <c r="C151" s="311"/>
    </row>
    <row r="152" spans="1:3" ht="39">
      <c r="A152" s="146" t="s">
        <v>14722</v>
      </c>
      <c r="B152" s="213" t="s">
        <v>14035</v>
      </c>
      <c r="C152" s="135">
        <v>339</v>
      </c>
    </row>
    <row r="153" spans="1:3">
      <c r="A153" s="144"/>
      <c r="B153" s="268"/>
      <c r="C153" s="311"/>
    </row>
    <row r="154" spans="1:3">
      <c r="A154" s="312"/>
      <c r="B154" s="211" t="s">
        <v>13295</v>
      </c>
      <c r="C154" s="311"/>
    </row>
    <row r="155" spans="1:3" ht="23.5">
      <c r="A155" s="312"/>
      <c r="B155" s="219" t="s">
        <v>14721</v>
      </c>
      <c r="C155" s="311"/>
    </row>
    <row r="156" spans="1:3" ht="91">
      <c r="A156" s="216" t="s">
        <v>14720</v>
      </c>
      <c r="B156" s="291" t="s">
        <v>14709</v>
      </c>
      <c r="C156" s="135">
        <v>249</v>
      </c>
    </row>
    <row r="157" spans="1:3">
      <c r="A157" s="312"/>
      <c r="B157" s="150"/>
      <c r="C157" s="311"/>
    </row>
    <row r="158" spans="1:3" ht="23.5">
      <c r="A158" s="312"/>
      <c r="B158" s="219" t="s">
        <v>14719</v>
      </c>
      <c r="C158" s="311"/>
    </row>
    <row r="159" spans="1:3" ht="91">
      <c r="A159" s="216" t="s">
        <v>14718</v>
      </c>
      <c r="B159" s="291" t="s">
        <v>14717</v>
      </c>
      <c r="C159" s="135">
        <v>249</v>
      </c>
    </row>
    <row r="160" spans="1:3">
      <c r="A160" s="312"/>
      <c r="B160" s="150"/>
      <c r="C160" s="311"/>
    </row>
    <row r="161" spans="1:3" ht="23.5">
      <c r="A161" s="312"/>
      <c r="B161" s="219" t="s">
        <v>14716</v>
      </c>
      <c r="C161" s="311"/>
    </row>
    <row r="162" spans="1:3" ht="78">
      <c r="A162" s="216" t="s">
        <v>14715</v>
      </c>
      <c r="B162" s="291" t="s">
        <v>14714</v>
      </c>
      <c r="C162" s="135">
        <v>229</v>
      </c>
    </row>
    <row r="163" spans="1:3">
      <c r="A163" s="312"/>
      <c r="B163" s="150"/>
      <c r="C163" s="311"/>
    </row>
    <row r="164" spans="1:3" ht="23.5">
      <c r="A164" s="312"/>
      <c r="B164" s="219" t="s">
        <v>14713</v>
      </c>
      <c r="C164" s="311"/>
    </row>
    <row r="165" spans="1:3" ht="91">
      <c r="A165" s="216" t="s">
        <v>14712</v>
      </c>
      <c r="B165" s="291" t="s">
        <v>14711</v>
      </c>
      <c r="C165" s="135">
        <v>249</v>
      </c>
    </row>
    <row r="166" spans="1:3" ht="91">
      <c r="A166" s="216" t="s">
        <v>14710</v>
      </c>
      <c r="B166" s="291" t="s">
        <v>14709</v>
      </c>
      <c r="C166" s="135">
        <v>249</v>
      </c>
    </row>
    <row r="167" spans="1:3">
      <c r="A167" s="312"/>
      <c r="B167" s="150"/>
      <c r="C167" s="311"/>
    </row>
    <row r="168" spans="1:3" ht="23.5">
      <c r="A168" s="312"/>
      <c r="B168" s="219" t="s">
        <v>14708</v>
      </c>
      <c r="C168" s="311"/>
    </row>
    <row r="169" spans="1:3" ht="78">
      <c r="A169" s="216" t="s">
        <v>14707</v>
      </c>
      <c r="B169" s="291" t="s">
        <v>14706</v>
      </c>
      <c r="C169" s="135">
        <v>229</v>
      </c>
    </row>
    <row r="170" spans="1:3">
      <c r="A170" s="313"/>
      <c r="B170" s="317"/>
      <c r="C170" s="311"/>
    </row>
    <row r="171" spans="1:3" ht="26">
      <c r="A171" s="312"/>
      <c r="B171" s="147" t="s">
        <v>14705</v>
      </c>
      <c r="C171" s="311"/>
    </row>
    <row r="172" spans="1:3">
      <c r="A172" s="312"/>
      <c r="B172" s="316" t="s">
        <v>14020</v>
      </c>
      <c r="C172" s="311"/>
    </row>
    <row r="173" spans="1:3">
      <c r="A173" s="312"/>
      <c r="B173" s="316" t="s">
        <v>14704</v>
      </c>
      <c r="C173" s="311"/>
    </row>
    <row r="174" spans="1:3" ht="52">
      <c r="A174" s="146" t="s">
        <v>14703</v>
      </c>
      <c r="B174" s="291" t="s">
        <v>14702</v>
      </c>
      <c r="C174" s="135">
        <v>1769</v>
      </c>
    </row>
    <row r="175" spans="1:3" ht="39">
      <c r="A175" s="146" t="s">
        <v>14701</v>
      </c>
      <c r="B175" s="151" t="s">
        <v>14700</v>
      </c>
      <c r="C175" s="135">
        <v>1769</v>
      </c>
    </row>
    <row r="176" spans="1:3">
      <c r="A176" s="312"/>
      <c r="B176" s="315" t="s">
        <v>14699</v>
      </c>
      <c r="C176" s="311"/>
    </row>
    <row r="177" spans="1:3">
      <c r="A177" s="312"/>
      <c r="B177" s="150"/>
      <c r="C177" s="311"/>
    </row>
    <row r="178" spans="1:3" ht="39">
      <c r="A178" s="312"/>
      <c r="B178" s="147" t="s">
        <v>14570</v>
      </c>
      <c r="C178" s="311"/>
    </row>
    <row r="179" spans="1:3">
      <c r="A179" s="216" t="s">
        <v>14698</v>
      </c>
      <c r="B179" s="151" t="s">
        <v>14697</v>
      </c>
      <c r="C179" s="135">
        <v>289</v>
      </c>
    </row>
    <row r="180" spans="1:3">
      <c r="A180" s="312"/>
      <c r="B180" s="150"/>
      <c r="C180" s="311"/>
    </row>
    <row r="181" spans="1:3" ht="26">
      <c r="A181" s="312"/>
      <c r="B181" s="314" t="s">
        <v>13298</v>
      </c>
      <c r="C181" s="311"/>
    </row>
    <row r="182" spans="1:3" ht="65">
      <c r="A182" s="216" t="s">
        <v>14696</v>
      </c>
      <c r="B182" s="151" t="s">
        <v>14012</v>
      </c>
      <c r="C182" s="135">
        <v>89</v>
      </c>
    </row>
    <row r="183" spans="1:3">
      <c r="A183" s="312"/>
      <c r="B183" s="150"/>
      <c r="C183" s="311"/>
    </row>
    <row r="184" spans="1:3">
      <c r="A184" s="312"/>
      <c r="B184" s="150"/>
      <c r="C184" s="311"/>
    </row>
    <row r="185" spans="1:3">
      <c r="A185" s="312"/>
      <c r="B185" s="147" t="s">
        <v>13994</v>
      </c>
      <c r="C185" s="311"/>
    </row>
    <row r="186" spans="1:3" ht="39">
      <c r="A186" s="216" t="s">
        <v>14695</v>
      </c>
      <c r="B186" s="151" t="s">
        <v>13276</v>
      </c>
      <c r="C186" s="135">
        <v>1099</v>
      </c>
    </row>
    <row r="187" spans="1:3" ht="39">
      <c r="A187" s="216" t="s">
        <v>14694</v>
      </c>
      <c r="B187" s="151" t="s">
        <v>13274</v>
      </c>
      <c r="C187" s="135">
        <v>1839</v>
      </c>
    </row>
    <row r="188" spans="1:3">
      <c r="A188" s="313"/>
      <c r="B188" s="239"/>
      <c r="C188" s="311"/>
    </row>
    <row r="189" spans="1:3" ht="26">
      <c r="A189" s="312"/>
      <c r="B189" s="147" t="s">
        <v>14693</v>
      </c>
      <c r="C189" s="311"/>
    </row>
    <row r="190" spans="1:3" ht="39">
      <c r="A190" s="216" t="s">
        <v>14692</v>
      </c>
      <c r="B190" s="151" t="s">
        <v>14690</v>
      </c>
      <c r="C190" s="135">
        <v>619</v>
      </c>
    </row>
    <row r="191" spans="1:3">
      <c r="A191" s="312"/>
      <c r="B191" s="150"/>
      <c r="C191" s="311"/>
    </row>
    <row r="192" spans="1:3" ht="26">
      <c r="A192" s="312"/>
      <c r="B192" s="147" t="s">
        <v>13264</v>
      </c>
      <c r="C192" s="311"/>
    </row>
    <row r="193" spans="1:3" ht="39">
      <c r="A193" s="216" t="s">
        <v>14691</v>
      </c>
      <c r="B193" s="151" t="s">
        <v>14690</v>
      </c>
      <c r="C193" s="135">
        <v>1249</v>
      </c>
    </row>
    <row r="194" spans="1:3">
      <c r="A194" s="313"/>
      <c r="B194" s="239"/>
      <c r="C194" s="311"/>
    </row>
    <row r="195" spans="1:3" ht="26">
      <c r="A195" s="312"/>
      <c r="B195" s="147" t="s">
        <v>14689</v>
      </c>
      <c r="C195" s="311"/>
    </row>
    <row r="196" spans="1:3" ht="26">
      <c r="A196" s="216" t="s">
        <v>14688</v>
      </c>
      <c r="B196" s="151" t="s">
        <v>267</v>
      </c>
      <c r="C196" s="135">
        <v>289</v>
      </c>
    </row>
    <row r="197" spans="1:3" ht="26">
      <c r="A197" s="216" t="s">
        <v>13235</v>
      </c>
      <c r="B197" s="151" t="s">
        <v>13234</v>
      </c>
      <c r="C197" s="135">
        <v>35.99</v>
      </c>
    </row>
    <row r="198" spans="1:3">
      <c r="A198" s="312"/>
      <c r="B198" s="150"/>
      <c r="C198" s="311"/>
    </row>
    <row r="199" spans="1:3">
      <c r="A199" s="312"/>
      <c r="B199" s="147" t="s">
        <v>14687</v>
      </c>
      <c r="C199" s="311"/>
    </row>
    <row r="200" spans="1:3" ht="26">
      <c r="A200" s="216" t="s">
        <v>14686</v>
      </c>
      <c r="B200" s="291" t="s">
        <v>14685</v>
      </c>
      <c r="C200" s="135">
        <v>509</v>
      </c>
    </row>
    <row r="201" spans="1:3" ht="39">
      <c r="A201" s="216" t="s">
        <v>14684</v>
      </c>
      <c r="B201" s="291" t="s">
        <v>14683</v>
      </c>
      <c r="C201" s="135">
        <v>669</v>
      </c>
    </row>
    <row r="202" spans="1:3" ht="26">
      <c r="A202" s="216" t="s">
        <v>14682</v>
      </c>
      <c r="B202" s="291" t="s">
        <v>14681</v>
      </c>
      <c r="C202" s="135">
        <v>199</v>
      </c>
    </row>
    <row r="203" spans="1:3">
      <c r="B203" s="150"/>
    </row>
  </sheetData>
  <sheetProtection insertColumns="0" insertRows="0"/>
  <autoFilter ref="A2:C171" xr:uid="{00000000-0009-0000-0000-000021000000}"/>
  <printOptions horizontalCentered="1"/>
  <pageMargins left="0.4" right="0.4" top="0.75" bottom="0.5" header="0.3" footer="0.3"/>
  <pageSetup scale="83" fitToHeight="0" orientation="portrait" r:id="rId1"/>
  <headerFooter>
    <oddHeader>&amp;C SETINA MFG 2022 PRICE LIST&amp;R&amp;A</oddHeader>
    <oddFooter>&amp;C&amp;F&amp;R&amp;P of &amp;N</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CA9A2-5AF6-411B-96EC-EE5A6A2E246A}">
  <sheetPr codeName="Sheet17">
    <tabColor theme="2" tint="-9.9978637043366805E-2"/>
    <pageSetUpPr fitToPage="1"/>
  </sheetPr>
  <dimension ref="A1:F24"/>
  <sheetViews>
    <sheetView zoomScale="120" zoomScaleNormal="120" workbookViewId="0">
      <pane ySplit="2" topLeftCell="A8" activePane="bottomLeft" state="frozen"/>
      <selection activeCell="C8" sqref="C8"/>
      <selection pane="bottomLeft" activeCell="C8" sqref="C8"/>
    </sheetView>
  </sheetViews>
  <sheetFormatPr defaultColWidth="9.1796875" defaultRowHeight="14.5"/>
  <cols>
    <col min="1" max="1" width="26" style="332" bestFit="1" customWidth="1"/>
    <col min="2" max="2" width="54" style="332" bestFit="1" customWidth="1"/>
    <col min="3" max="3" width="12.453125" style="332" bestFit="1" customWidth="1"/>
    <col min="4" max="16384" width="9.1796875" style="332"/>
  </cols>
  <sheetData>
    <row r="1" spans="1:3" s="167" customFormat="1">
      <c r="A1" s="238" t="s">
        <v>14889</v>
      </c>
      <c r="B1" s="237"/>
      <c r="C1" s="338"/>
    </row>
    <row r="2" spans="1:3" s="158" customFormat="1">
      <c r="A2" s="235" t="s">
        <v>3519</v>
      </c>
      <c r="B2" s="234" t="s">
        <v>3518</v>
      </c>
      <c r="C2" s="200" t="s">
        <v>13563</v>
      </c>
    </row>
    <row r="3" spans="1:3" s="335" customFormat="1">
      <c r="A3" s="337"/>
      <c r="B3" s="336" t="s">
        <v>14888</v>
      </c>
      <c r="C3" s="233"/>
    </row>
    <row r="4" spans="1:3" ht="26">
      <c r="A4" s="231" t="s">
        <v>13511</v>
      </c>
      <c r="B4" s="217" t="s">
        <v>13776</v>
      </c>
      <c r="C4" s="334"/>
    </row>
    <row r="5" spans="1:3" ht="39">
      <c r="A5" s="212" t="s">
        <v>14887</v>
      </c>
      <c r="B5" s="213" t="s">
        <v>13774</v>
      </c>
      <c r="C5" s="135">
        <v>839</v>
      </c>
    </row>
    <row r="6" spans="1:3" ht="39">
      <c r="A6" s="212" t="s">
        <v>14886</v>
      </c>
      <c r="B6" s="213" t="s">
        <v>13768</v>
      </c>
      <c r="C6" s="135">
        <v>819</v>
      </c>
    </row>
    <row r="7" spans="1:3" ht="39">
      <c r="A7" s="212" t="s">
        <v>14885</v>
      </c>
      <c r="B7" s="213" t="s">
        <v>13766</v>
      </c>
      <c r="C7" s="135">
        <v>859</v>
      </c>
    </row>
    <row r="8" spans="1:3" ht="39">
      <c r="A8" s="212" t="s">
        <v>14884</v>
      </c>
      <c r="B8" s="213" t="s">
        <v>13764</v>
      </c>
      <c r="C8" s="135">
        <v>819</v>
      </c>
    </row>
    <row r="9" spans="1:3">
      <c r="A9" s="231" t="s">
        <v>13497</v>
      </c>
      <c r="B9" s="279"/>
      <c r="C9" s="210"/>
    </row>
    <row r="10" spans="1:3" ht="39">
      <c r="A10" s="212" t="s">
        <v>14883</v>
      </c>
      <c r="B10" s="213" t="s">
        <v>13762</v>
      </c>
      <c r="C10" s="135">
        <v>959</v>
      </c>
    </row>
    <row r="11" spans="1:3" ht="52">
      <c r="A11" s="212" t="s">
        <v>14882</v>
      </c>
      <c r="B11" s="213" t="s">
        <v>13758</v>
      </c>
      <c r="C11" s="135">
        <v>1009</v>
      </c>
    </row>
    <row r="12" spans="1:3" ht="52">
      <c r="A12" s="212" t="s">
        <v>14881</v>
      </c>
      <c r="B12" s="213" t="s">
        <v>14188</v>
      </c>
      <c r="C12" s="135">
        <v>999</v>
      </c>
    </row>
    <row r="13" spans="1:3">
      <c r="A13" s="194" t="s">
        <v>13484</v>
      </c>
      <c r="B13" s="150"/>
      <c r="C13" s="210"/>
    </row>
    <row r="14" spans="1:3">
      <c r="A14" s="194"/>
      <c r="B14" s="150"/>
      <c r="C14" s="210"/>
    </row>
    <row r="15" spans="1:3" ht="26">
      <c r="A15" s="231" t="s">
        <v>14877</v>
      </c>
      <c r="B15" s="147" t="s">
        <v>13455</v>
      </c>
      <c r="C15" s="210"/>
    </row>
    <row r="16" spans="1:3" ht="65">
      <c r="A16" s="212" t="s">
        <v>14880</v>
      </c>
      <c r="B16" s="213" t="s">
        <v>14509</v>
      </c>
      <c r="C16" s="135">
        <v>659</v>
      </c>
    </row>
    <row r="17" spans="1:6" ht="65">
      <c r="A17" s="212" t="s">
        <v>14879</v>
      </c>
      <c r="B17" s="213" t="s">
        <v>14878</v>
      </c>
      <c r="C17" s="135">
        <v>689</v>
      </c>
    </row>
    <row r="18" spans="1:6">
      <c r="A18" s="148"/>
      <c r="B18" s="150"/>
      <c r="C18" s="210"/>
    </row>
    <row r="19" spans="1:6" ht="26">
      <c r="A19" s="231" t="s">
        <v>14877</v>
      </c>
      <c r="B19" s="147" t="s">
        <v>14876</v>
      </c>
      <c r="C19" s="210"/>
    </row>
    <row r="20" spans="1:6" ht="65">
      <c r="A20" s="212" t="s">
        <v>14875</v>
      </c>
      <c r="B20" s="213" t="s">
        <v>14874</v>
      </c>
      <c r="C20" s="135">
        <v>659</v>
      </c>
    </row>
    <row r="21" spans="1:6" ht="65">
      <c r="A21" s="212" t="s">
        <v>14873</v>
      </c>
      <c r="B21" s="213" t="s">
        <v>14872</v>
      </c>
      <c r="C21" s="135">
        <v>689</v>
      </c>
      <c r="F21" s="210"/>
    </row>
    <row r="22" spans="1:6">
      <c r="C22" s="210"/>
    </row>
    <row r="23" spans="1:6">
      <c r="B23" s="211" t="s">
        <v>13346</v>
      </c>
      <c r="C23" s="210"/>
    </row>
    <row r="24" spans="1:6" ht="26">
      <c r="A24" s="333" t="s">
        <v>14871</v>
      </c>
      <c r="B24" s="151" t="s">
        <v>14870</v>
      </c>
      <c r="C24" s="135">
        <v>1139</v>
      </c>
    </row>
  </sheetData>
  <sheetProtection insertColumns="0" insertRows="0"/>
  <autoFilter ref="A2:C21" xr:uid="{00000000-0009-0000-0000-000023000000}"/>
  <printOptions horizontalCentered="1"/>
  <pageMargins left="0.4" right="0.4" top="0.75" bottom="0.5" header="0.3" footer="0.3"/>
  <pageSetup scale="79" fitToHeight="0" orientation="portrait" r:id="rId1"/>
  <headerFooter>
    <oddHeader>&amp;C SETINA MFG 2022 PRICE LIST&amp;R&amp;A</oddHeader>
    <oddFooter>&amp;C&amp;F&amp;R&amp;P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F06EB-5395-442A-9393-F8F6144F1746}">
  <sheetPr codeName="Sheet18">
    <tabColor theme="2" tint="-9.9978637043366805E-2"/>
  </sheetPr>
  <dimension ref="A1:C149"/>
  <sheetViews>
    <sheetView zoomScale="120" zoomScaleNormal="120" workbookViewId="0">
      <selection activeCell="C8" sqref="C8"/>
    </sheetView>
  </sheetViews>
  <sheetFormatPr defaultColWidth="9.1796875" defaultRowHeight="14.5"/>
  <cols>
    <col min="1" max="1" width="26.81640625" style="158" bestFit="1" customWidth="1"/>
    <col min="2" max="2" width="78.7265625" style="207" customWidth="1"/>
    <col min="3" max="3" width="15" style="206" bestFit="1" customWidth="1"/>
    <col min="4" max="16384" width="9.1796875" style="167"/>
  </cols>
  <sheetData>
    <row r="1" spans="1:3">
      <c r="A1" s="281" t="s">
        <v>14995</v>
      </c>
      <c r="B1" s="310"/>
      <c r="C1" s="309"/>
    </row>
    <row r="2" spans="1:3" s="158" customFormat="1">
      <c r="A2" s="235" t="s">
        <v>3519</v>
      </c>
      <c r="B2" s="234" t="s">
        <v>3518</v>
      </c>
      <c r="C2" s="200" t="s">
        <v>13563</v>
      </c>
    </row>
    <row r="3" spans="1:3" s="158" customFormat="1">
      <c r="A3" s="308"/>
      <c r="B3" s="307"/>
      <c r="C3" s="306"/>
    </row>
    <row r="4" spans="1:3" ht="26">
      <c r="A4" s="231" t="s">
        <v>13511</v>
      </c>
      <c r="B4" s="217" t="s">
        <v>13776</v>
      </c>
      <c r="C4" s="232"/>
    </row>
    <row r="5" spans="1:3" ht="39">
      <c r="A5" s="212" t="s">
        <v>14994</v>
      </c>
      <c r="B5" s="151" t="s">
        <v>13774</v>
      </c>
      <c r="C5" s="135">
        <v>839</v>
      </c>
    </row>
    <row r="6" spans="1:3" ht="39">
      <c r="A6" s="212" t="s">
        <v>14993</v>
      </c>
      <c r="B6" s="151" t="s">
        <v>13772</v>
      </c>
      <c r="C6" s="135">
        <v>799</v>
      </c>
    </row>
    <row r="7" spans="1:3" ht="39">
      <c r="A7" s="212" t="s">
        <v>14992</v>
      </c>
      <c r="B7" s="151" t="s">
        <v>13770</v>
      </c>
      <c r="C7" s="135">
        <v>899</v>
      </c>
    </row>
    <row r="8" spans="1:3" ht="39">
      <c r="A8" s="212" t="s">
        <v>14991</v>
      </c>
      <c r="B8" s="151" t="s">
        <v>13768</v>
      </c>
      <c r="C8" s="135">
        <v>819</v>
      </c>
    </row>
    <row r="9" spans="1:3" ht="39">
      <c r="A9" s="212" t="s">
        <v>14990</v>
      </c>
      <c r="B9" s="151" t="s">
        <v>13766</v>
      </c>
      <c r="C9" s="135">
        <v>859</v>
      </c>
    </row>
    <row r="10" spans="1:3" ht="39">
      <c r="A10" s="212" t="s">
        <v>14989</v>
      </c>
      <c r="B10" s="151" t="s">
        <v>13764</v>
      </c>
      <c r="C10" s="135">
        <v>819</v>
      </c>
    </row>
    <row r="11" spans="1:3">
      <c r="A11" s="342" t="s">
        <v>13497</v>
      </c>
      <c r="B11" s="150"/>
      <c r="C11" s="210"/>
    </row>
    <row r="12" spans="1:3" ht="39">
      <c r="A12" s="212" t="s">
        <v>14988</v>
      </c>
      <c r="B12" s="151" t="s">
        <v>13762</v>
      </c>
      <c r="C12" s="135">
        <v>959</v>
      </c>
    </row>
    <row r="13" spans="1:3" ht="39">
      <c r="A13" s="212" t="s">
        <v>14987</v>
      </c>
      <c r="B13" s="151" t="s">
        <v>13760</v>
      </c>
      <c r="C13" s="135">
        <v>919</v>
      </c>
    </row>
    <row r="14" spans="1:3" ht="52">
      <c r="A14" s="212" t="s">
        <v>14986</v>
      </c>
      <c r="B14" s="151" t="s">
        <v>13758</v>
      </c>
      <c r="C14" s="135">
        <v>1009</v>
      </c>
    </row>
    <row r="15" spans="1:3" ht="52">
      <c r="A15" s="212" t="s">
        <v>14985</v>
      </c>
      <c r="B15" s="151" t="s">
        <v>13756</v>
      </c>
      <c r="C15" s="135">
        <v>969</v>
      </c>
    </row>
    <row r="16" spans="1:3" ht="52">
      <c r="A16" s="212" t="s">
        <v>14984</v>
      </c>
      <c r="B16" s="151" t="s">
        <v>14188</v>
      </c>
      <c r="C16" s="135">
        <v>999</v>
      </c>
    </row>
    <row r="17" spans="1:3" ht="52">
      <c r="A17" s="212" t="s">
        <v>14983</v>
      </c>
      <c r="B17" s="151" t="s">
        <v>13752</v>
      </c>
      <c r="C17" s="135">
        <v>959</v>
      </c>
    </row>
    <row r="18" spans="1:3">
      <c r="A18" s="246"/>
      <c r="B18" s="150"/>
      <c r="C18" s="210"/>
    </row>
    <row r="19" spans="1:3" ht="26">
      <c r="A19" s="231" t="s">
        <v>13511</v>
      </c>
      <c r="B19" s="217" t="s">
        <v>13537</v>
      </c>
      <c r="C19" s="210"/>
    </row>
    <row r="20" spans="1:3" ht="65">
      <c r="A20" s="212" t="s">
        <v>14982</v>
      </c>
      <c r="B20" s="151" t="s">
        <v>14981</v>
      </c>
      <c r="C20" s="135">
        <v>999</v>
      </c>
    </row>
    <row r="21" spans="1:3" ht="65">
      <c r="A21" s="212" t="s">
        <v>14980</v>
      </c>
      <c r="B21" s="151" t="s">
        <v>14979</v>
      </c>
      <c r="C21" s="135">
        <v>959</v>
      </c>
    </row>
    <row r="22" spans="1:3" ht="65">
      <c r="A22" s="212" t="s">
        <v>14978</v>
      </c>
      <c r="B22" s="151" t="s">
        <v>14977</v>
      </c>
      <c r="C22" s="135">
        <v>1049</v>
      </c>
    </row>
    <row r="23" spans="1:3" ht="65">
      <c r="A23" s="146" t="s">
        <v>14976</v>
      </c>
      <c r="B23" s="151" t="s">
        <v>14975</v>
      </c>
      <c r="C23" s="135">
        <v>979</v>
      </c>
    </row>
    <row r="24" spans="1:3" ht="65">
      <c r="A24" s="146" t="s">
        <v>14974</v>
      </c>
      <c r="B24" s="151" t="s">
        <v>14973</v>
      </c>
      <c r="C24" s="135">
        <v>1009</v>
      </c>
    </row>
    <row r="25" spans="1:3" ht="65">
      <c r="A25" s="146" t="s">
        <v>14972</v>
      </c>
      <c r="B25" s="151" t="s">
        <v>14971</v>
      </c>
      <c r="C25" s="135">
        <v>969</v>
      </c>
    </row>
    <row r="26" spans="1:3">
      <c r="A26" s="342" t="s">
        <v>13524</v>
      </c>
      <c r="B26" s="150"/>
      <c r="C26" s="210"/>
    </row>
    <row r="27" spans="1:3" ht="65">
      <c r="A27" s="212" t="s">
        <v>14970</v>
      </c>
      <c r="B27" s="151" t="s">
        <v>14969</v>
      </c>
      <c r="C27" s="135">
        <v>1099</v>
      </c>
    </row>
    <row r="28" spans="1:3" ht="65">
      <c r="A28" s="212" t="s">
        <v>14968</v>
      </c>
      <c r="B28" s="151" t="s">
        <v>14967</v>
      </c>
      <c r="C28" s="135">
        <v>1059</v>
      </c>
    </row>
    <row r="29" spans="1:3" ht="78">
      <c r="A29" s="212" t="s">
        <v>14966</v>
      </c>
      <c r="B29" s="151" t="s">
        <v>14965</v>
      </c>
      <c r="C29" s="135">
        <v>1149</v>
      </c>
    </row>
    <row r="30" spans="1:3" ht="78">
      <c r="A30" s="212" t="s">
        <v>14964</v>
      </c>
      <c r="B30" s="151" t="s">
        <v>14963</v>
      </c>
      <c r="C30" s="135">
        <v>1109</v>
      </c>
    </row>
    <row r="31" spans="1:3" ht="78">
      <c r="A31" s="212" t="s">
        <v>14962</v>
      </c>
      <c r="B31" s="151" t="s">
        <v>14961</v>
      </c>
      <c r="C31" s="135">
        <v>1139</v>
      </c>
    </row>
    <row r="32" spans="1:3" ht="78">
      <c r="A32" s="212" t="s">
        <v>14960</v>
      </c>
      <c r="B32" s="151" t="s">
        <v>14959</v>
      </c>
      <c r="C32" s="135">
        <v>1099</v>
      </c>
    </row>
    <row r="33" spans="1:3">
      <c r="A33" s="194" t="s">
        <v>13484</v>
      </c>
      <c r="B33" s="150"/>
      <c r="C33" s="210"/>
    </row>
    <row r="34" spans="1:3">
      <c r="A34" s="194"/>
      <c r="B34" s="150"/>
      <c r="C34" s="210"/>
    </row>
    <row r="35" spans="1:3" ht="15" customHeight="1">
      <c r="A35" s="246"/>
      <c r="B35" s="219" t="s">
        <v>14958</v>
      </c>
      <c r="C35" s="210"/>
    </row>
    <row r="36" spans="1:3" ht="26">
      <c r="A36" s="231" t="s">
        <v>13483</v>
      </c>
      <c r="B36" s="147" t="s">
        <v>14786</v>
      </c>
      <c r="C36" s="210"/>
    </row>
    <row r="37" spans="1:3" ht="78">
      <c r="A37" s="212" t="s">
        <v>14957</v>
      </c>
      <c r="B37" s="230" t="s">
        <v>14954</v>
      </c>
      <c r="C37" s="135">
        <v>1279</v>
      </c>
    </row>
    <row r="38" spans="1:3" ht="78">
      <c r="A38" s="212" t="s">
        <v>14956</v>
      </c>
      <c r="B38" s="230" t="s">
        <v>14952</v>
      </c>
      <c r="C38" s="135">
        <v>1279</v>
      </c>
    </row>
    <row r="39" spans="1:3">
      <c r="A39" s="246"/>
      <c r="B39" s="150"/>
      <c r="C39" s="210"/>
    </row>
    <row r="40" spans="1:3" ht="26">
      <c r="A40" s="231" t="s">
        <v>13483</v>
      </c>
      <c r="B40" s="147" t="s">
        <v>14786</v>
      </c>
      <c r="C40" s="210"/>
    </row>
    <row r="41" spans="1:3" ht="78">
      <c r="A41" s="212" t="s">
        <v>14955</v>
      </c>
      <c r="B41" s="230" t="s">
        <v>14954</v>
      </c>
      <c r="C41" s="135">
        <v>1279</v>
      </c>
    </row>
    <row r="42" spans="1:3" ht="78">
      <c r="A42" s="212" t="s">
        <v>14953</v>
      </c>
      <c r="B42" s="230" t="s">
        <v>14952</v>
      </c>
      <c r="C42" s="135">
        <v>1279</v>
      </c>
    </row>
    <row r="43" spans="1:3">
      <c r="A43" s="229"/>
      <c r="B43" s="228"/>
      <c r="C43" s="210"/>
    </row>
    <row r="44" spans="1:3" ht="26">
      <c r="A44" s="176" t="s">
        <v>13467</v>
      </c>
      <c r="B44" s="155" t="s">
        <v>13718</v>
      </c>
      <c r="C44" s="227"/>
    </row>
    <row r="45" spans="1:3" ht="91">
      <c r="A45" s="146" t="s">
        <v>14951</v>
      </c>
      <c r="B45" s="171" t="s">
        <v>14950</v>
      </c>
      <c r="C45" s="135">
        <v>599</v>
      </c>
    </row>
    <row r="46" spans="1:3">
      <c r="A46" s="246"/>
      <c r="B46" s="150"/>
      <c r="C46" s="210"/>
    </row>
    <row r="47" spans="1:3" ht="26">
      <c r="A47" s="246"/>
      <c r="B47" s="147" t="s">
        <v>14617</v>
      </c>
      <c r="C47" s="210"/>
    </row>
    <row r="48" spans="1:3" ht="39">
      <c r="A48" s="212" t="s">
        <v>14949</v>
      </c>
      <c r="B48" s="151" t="s">
        <v>13438</v>
      </c>
      <c r="C48" s="135">
        <v>579</v>
      </c>
    </row>
    <row r="49" spans="1:3" ht="39">
      <c r="A49" s="212" t="s">
        <v>14948</v>
      </c>
      <c r="B49" s="151" t="s">
        <v>13662</v>
      </c>
      <c r="C49" s="135">
        <v>579</v>
      </c>
    </row>
    <row r="50" spans="1:3">
      <c r="A50" s="246"/>
      <c r="B50" s="225" t="s">
        <v>13379</v>
      </c>
      <c r="C50" s="210"/>
    </row>
    <row r="51" spans="1:3">
      <c r="A51" s="246"/>
      <c r="B51" s="150"/>
      <c r="C51" s="210"/>
    </row>
    <row r="52" spans="1:3" ht="39">
      <c r="A52" s="246"/>
      <c r="B52" s="147" t="s">
        <v>14947</v>
      </c>
      <c r="C52" s="210"/>
    </row>
    <row r="53" spans="1:3" ht="65">
      <c r="A53" s="212" t="s">
        <v>14946</v>
      </c>
      <c r="B53" s="151" t="s">
        <v>13664</v>
      </c>
      <c r="C53" s="135">
        <v>959</v>
      </c>
    </row>
    <row r="54" spans="1:3">
      <c r="A54" s="246"/>
      <c r="B54" s="150"/>
      <c r="C54" s="210"/>
    </row>
    <row r="55" spans="1:3" ht="52">
      <c r="A55" s="246"/>
      <c r="B55" s="147" t="s">
        <v>14945</v>
      </c>
      <c r="C55" s="210"/>
    </row>
    <row r="56" spans="1:3" ht="26">
      <c r="A56" s="212" t="s">
        <v>14944</v>
      </c>
      <c r="B56" s="141" t="s">
        <v>13434</v>
      </c>
      <c r="C56" s="135">
        <v>949</v>
      </c>
    </row>
    <row r="57" spans="1:3" ht="26">
      <c r="A57" s="212" t="s">
        <v>14943</v>
      </c>
      <c r="B57" s="141" t="s">
        <v>13432</v>
      </c>
      <c r="C57" s="135">
        <v>1029</v>
      </c>
    </row>
    <row r="58" spans="1:3" ht="26">
      <c r="A58" s="212" t="s">
        <v>14942</v>
      </c>
      <c r="B58" s="141" t="s">
        <v>13433</v>
      </c>
      <c r="C58" s="135">
        <v>949</v>
      </c>
    </row>
    <row r="59" spans="1:3">
      <c r="A59" s="246"/>
      <c r="B59" s="225" t="s">
        <v>13379</v>
      </c>
      <c r="C59" s="210"/>
    </row>
    <row r="60" spans="1:3">
      <c r="A60" s="246"/>
      <c r="B60" s="150"/>
      <c r="C60" s="210"/>
    </row>
    <row r="61" spans="1:3" ht="52">
      <c r="A61" s="246"/>
      <c r="B61" s="147" t="s">
        <v>14610</v>
      </c>
      <c r="C61" s="210"/>
    </row>
    <row r="62" spans="1:3" ht="26">
      <c r="A62" s="212" t="s">
        <v>14941</v>
      </c>
      <c r="B62" s="141" t="s">
        <v>13430</v>
      </c>
      <c r="C62" s="135">
        <v>1179</v>
      </c>
    </row>
    <row r="63" spans="1:3" ht="26">
      <c r="A63" s="212" t="s">
        <v>14940</v>
      </c>
      <c r="B63" s="141" t="s">
        <v>13428</v>
      </c>
      <c r="C63" s="135">
        <v>1339</v>
      </c>
    </row>
    <row r="64" spans="1:3" ht="26">
      <c r="A64" s="212" t="s">
        <v>14939</v>
      </c>
      <c r="B64" s="141" t="s">
        <v>13429</v>
      </c>
      <c r="C64" s="135">
        <v>1179</v>
      </c>
    </row>
    <row r="65" spans="1:3">
      <c r="A65" s="246"/>
      <c r="B65" s="225" t="s">
        <v>13379</v>
      </c>
      <c r="C65" s="210"/>
    </row>
    <row r="66" spans="1:3">
      <c r="A66" s="246"/>
      <c r="B66" s="225"/>
      <c r="C66" s="210"/>
    </row>
    <row r="67" spans="1:3" ht="39">
      <c r="A67" s="140"/>
      <c r="B67" s="155" t="s">
        <v>13427</v>
      </c>
      <c r="C67" s="210"/>
    </row>
    <row r="68" spans="1:3" ht="26">
      <c r="A68" s="177" t="s">
        <v>14938</v>
      </c>
      <c r="B68" s="141" t="s">
        <v>13426</v>
      </c>
      <c r="C68" s="135">
        <v>1459</v>
      </c>
    </row>
    <row r="69" spans="1:3" ht="26">
      <c r="A69" s="177" t="s">
        <v>14937</v>
      </c>
      <c r="B69" s="141" t="s">
        <v>13425</v>
      </c>
      <c r="C69" s="135">
        <v>1459</v>
      </c>
    </row>
    <row r="70" spans="1:3" ht="26">
      <c r="A70" s="177" t="s">
        <v>14936</v>
      </c>
      <c r="B70" s="141" t="s">
        <v>13424</v>
      </c>
      <c r="C70" s="135">
        <v>1689</v>
      </c>
    </row>
    <row r="71" spans="1:3">
      <c r="A71" s="246"/>
      <c r="B71" s="225"/>
      <c r="C71" s="210"/>
    </row>
    <row r="72" spans="1:3">
      <c r="A72" s="134"/>
      <c r="B72" s="175" t="s">
        <v>13393</v>
      </c>
      <c r="C72" s="210"/>
    </row>
    <row r="73" spans="1:3" ht="26">
      <c r="A73" s="185"/>
      <c r="B73" s="160" t="s">
        <v>13423</v>
      </c>
      <c r="C73" s="210"/>
    </row>
    <row r="74" spans="1:3" ht="26">
      <c r="A74" s="177" t="s">
        <v>14935</v>
      </c>
      <c r="B74" s="141" t="s">
        <v>13421</v>
      </c>
      <c r="C74" s="135">
        <v>609</v>
      </c>
    </row>
    <row r="75" spans="1:3" ht="26">
      <c r="A75" s="177" t="s">
        <v>14934</v>
      </c>
      <c r="B75" s="141" t="s">
        <v>13419</v>
      </c>
      <c r="C75" s="135">
        <v>609</v>
      </c>
    </row>
    <row r="76" spans="1:3" ht="26">
      <c r="A76" s="177" t="s">
        <v>14933</v>
      </c>
      <c r="B76" s="141" t="s">
        <v>13417</v>
      </c>
      <c r="C76" s="135">
        <v>609</v>
      </c>
    </row>
    <row r="77" spans="1:3" ht="26">
      <c r="A77" s="177" t="s">
        <v>14932</v>
      </c>
      <c r="B77" s="141" t="s">
        <v>13415</v>
      </c>
      <c r="C77" s="135">
        <v>609</v>
      </c>
    </row>
    <row r="78" spans="1:3" ht="26">
      <c r="A78" s="177" t="s">
        <v>14931</v>
      </c>
      <c r="B78" s="141" t="s">
        <v>13413</v>
      </c>
      <c r="C78" s="135">
        <v>609</v>
      </c>
    </row>
    <row r="79" spans="1:3" ht="26">
      <c r="A79" s="177" t="s">
        <v>14930</v>
      </c>
      <c r="B79" s="141" t="s">
        <v>13411</v>
      </c>
      <c r="C79" s="135">
        <v>609</v>
      </c>
    </row>
    <row r="80" spans="1:3" ht="26">
      <c r="A80" s="177" t="s">
        <v>14929</v>
      </c>
      <c r="B80" s="141" t="s">
        <v>13409</v>
      </c>
      <c r="C80" s="135">
        <v>609</v>
      </c>
    </row>
    <row r="81" spans="1:3">
      <c r="A81" s="134"/>
      <c r="B81" s="184" t="s">
        <v>13379</v>
      </c>
      <c r="C81" s="210"/>
    </row>
    <row r="82" spans="1:3">
      <c r="A82" s="134"/>
      <c r="B82" s="184"/>
      <c r="C82" s="210"/>
    </row>
    <row r="83" spans="1:3">
      <c r="A83" s="134"/>
      <c r="B83" s="175" t="s">
        <v>13393</v>
      </c>
      <c r="C83" s="210"/>
    </row>
    <row r="84" spans="1:3" ht="26">
      <c r="A84" s="185"/>
      <c r="B84" s="160" t="s">
        <v>13408</v>
      </c>
      <c r="C84" s="210"/>
    </row>
    <row r="85" spans="1:3" ht="26">
      <c r="A85" s="177" t="s">
        <v>14928</v>
      </c>
      <c r="B85" s="141" t="s">
        <v>13406</v>
      </c>
      <c r="C85" s="135">
        <v>619</v>
      </c>
    </row>
    <row r="86" spans="1:3" ht="26">
      <c r="A86" s="177" t="s">
        <v>14927</v>
      </c>
      <c r="B86" s="141" t="s">
        <v>13404</v>
      </c>
      <c r="C86" s="135">
        <v>619</v>
      </c>
    </row>
    <row r="87" spans="1:3" ht="26">
      <c r="A87" s="177" t="s">
        <v>14926</v>
      </c>
      <c r="B87" s="141" t="s">
        <v>13402</v>
      </c>
      <c r="C87" s="135">
        <v>619</v>
      </c>
    </row>
    <row r="88" spans="1:3" ht="26">
      <c r="A88" s="177" t="s">
        <v>14925</v>
      </c>
      <c r="B88" s="141" t="s">
        <v>13400</v>
      </c>
      <c r="C88" s="135">
        <v>619</v>
      </c>
    </row>
    <row r="89" spans="1:3" ht="26">
      <c r="A89" s="177" t="s">
        <v>14924</v>
      </c>
      <c r="B89" s="141" t="s">
        <v>13398</v>
      </c>
      <c r="C89" s="135">
        <v>619</v>
      </c>
    </row>
    <row r="90" spans="1:3" ht="26">
      <c r="A90" s="177" t="s">
        <v>14923</v>
      </c>
      <c r="B90" s="141" t="s">
        <v>13396</v>
      </c>
      <c r="C90" s="135">
        <v>619</v>
      </c>
    </row>
    <row r="91" spans="1:3" ht="26">
      <c r="A91" s="177" t="s">
        <v>14922</v>
      </c>
      <c r="B91" s="141" t="s">
        <v>13394</v>
      </c>
      <c r="C91" s="135">
        <v>619</v>
      </c>
    </row>
    <row r="92" spans="1:3">
      <c r="A92" s="134"/>
      <c r="B92" s="184" t="s">
        <v>13379</v>
      </c>
      <c r="C92" s="210"/>
    </row>
    <row r="93" spans="1:3">
      <c r="A93" s="134"/>
      <c r="B93" s="184"/>
      <c r="C93" s="210"/>
    </row>
    <row r="94" spans="1:3">
      <c r="A94" s="134"/>
      <c r="B94" s="175" t="s">
        <v>13393</v>
      </c>
      <c r="C94" s="210"/>
    </row>
    <row r="95" spans="1:3" ht="26">
      <c r="A95" s="185"/>
      <c r="B95" s="160" t="s">
        <v>13392</v>
      </c>
      <c r="C95" s="210"/>
    </row>
    <row r="96" spans="1:3" ht="26">
      <c r="A96" s="177" t="s">
        <v>14921</v>
      </c>
      <c r="B96" s="141" t="s">
        <v>13390</v>
      </c>
      <c r="C96" s="135">
        <v>629</v>
      </c>
    </row>
    <row r="97" spans="1:3" ht="26">
      <c r="A97" s="178" t="s">
        <v>4895</v>
      </c>
      <c r="B97" s="141" t="s">
        <v>13389</v>
      </c>
      <c r="C97" s="135">
        <v>0</v>
      </c>
    </row>
    <row r="98" spans="1:3" ht="26">
      <c r="A98" s="177" t="s">
        <v>14920</v>
      </c>
      <c r="B98" s="141" t="s">
        <v>13387</v>
      </c>
      <c r="C98" s="135">
        <v>629</v>
      </c>
    </row>
    <row r="99" spans="1:3" ht="26">
      <c r="A99" s="177" t="s">
        <v>4895</v>
      </c>
      <c r="B99" s="141" t="s">
        <v>13386</v>
      </c>
      <c r="C99" s="135">
        <v>0</v>
      </c>
    </row>
    <row r="100" spans="1:3" ht="26">
      <c r="A100" s="177" t="s">
        <v>14919</v>
      </c>
      <c r="B100" s="141" t="s">
        <v>13384</v>
      </c>
      <c r="C100" s="135">
        <v>629</v>
      </c>
    </row>
    <row r="101" spans="1:3" ht="26">
      <c r="A101" s="177" t="s">
        <v>14918</v>
      </c>
      <c r="B101" s="141" t="s">
        <v>13382</v>
      </c>
      <c r="C101" s="135">
        <v>629</v>
      </c>
    </row>
    <row r="102" spans="1:3" ht="26">
      <c r="A102" s="177" t="s">
        <v>14917</v>
      </c>
      <c r="B102" s="141" t="s">
        <v>13380</v>
      </c>
      <c r="C102" s="135">
        <v>629</v>
      </c>
    </row>
    <row r="103" spans="1:3">
      <c r="A103" s="157" t="s">
        <v>13378</v>
      </c>
      <c r="B103" s="150"/>
      <c r="C103" s="210"/>
    </row>
    <row r="104" spans="1:3">
      <c r="A104" s="157"/>
      <c r="B104" s="150"/>
      <c r="C104" s="210"/>
    </row>
    <row r="105" spans="1:3">
      <c r="A105" s="246"/>
      <c r="B105" s="211" t="s">
        <v>13356</v>
      </c>
      <c r="C105" s="210"/>
    </row>
    <row r="106" spans="1:3" ht="26">
      <c r="A106" s="218" t="s">
        <v>14916</v>
      </c>
      <c r="B106" s="151" t="s">
        <v>13617</v>
      </c>
      <c r="C106" s="135">
        <v>459</v>
      </c>
    </row>
    <row r="107" spans="1:3">
      <c r="B107" s="239"/>
      <c r="C107" s="210"/>
    </row>
    <row r="108" spans="1:3" ht="18.5">
      <c r="B108" s="341" t="s">
        <v>14908</v>
      </c>
      <c r="C108" s="210"/>
    </row>
    <row r="109" spans="1:3">
      <c r="A109" s="280"/>
      <c r="B109" s="303" t="s">
        <v>14580</v>
      </c>
      <c r="C109" s="210"/>
    </row>
    <row r="110" spans="1:3" ht="39">
      <c r="A110" s="212" t="s">
        <v>14915</v>
      </c>
      <c r="B110" s="302" t="s">
        <v>14033</v>
      </c>
      <c r="C110" s="135">
        <v>249</v>
      </c>
    </row>
    <row r="111" spans="1:3">
      <c r="A111" s="229"/>
      <c r="B111" s="301"/>
      <c r="C111" s="210"/>
    </row>
    <row r="112" spans="1:3" ht="18.5">
      <c r="A112" s="246"/>
      <c r="B112" s="341" t="s">
        <v>14908</v>
      </c>
      <c r="C112" s="210"/>
    </row>
    <row r="113" spans="1:3">
      <c r="A113" s="246"/>
      <c r="B113" s="211" t="s">
        <v>13346</v>
      </c>
      <c r="C113" s="210"/>
    </row>
    <row r="114" spans="1:3" ht="65">
      <c r="A114" s="212" t="s">
        <v>14914</v>
      </c>
      <c r="B114" s="151" t="s">
        <v>14913</v>
      </c>
      <c r="C114" s="135">
        <v>359</v>
      </c>
    </row>
    <row r="115" spans="1:3" ht="65">
      <c r="A115" s="212" t="s">
        <v>14912</v>
      </c>
      <c r="B115" s="151" t="s">
        <v>14911</v>
      </c>
      <c r="C115" s="135">
        <v>409</v>
      </c>
    </row>
    <row r="116" spans="1:3" ht="65">
      <c r="A116" s="212" t="s">
        <v>14896</v>
      </c>
      <c r="B116" s="151" t="s">
        <v>14910</v>
      </c>
      <c r="C116" s="135">
        <v>329</v>
      </c>
    </row>
    <row r="117" spans="1:3" ht="65">
      <c r="A117" s="212" t="s">
        <v>14894</v>
      </c>
      <c r="B117" s="151" t="s">
        <v>14909</v>
      </c>
      <c r="C117" s="135">
        <v>329</v>
      </c>
    </row>
    <row r="118" spans="1:3">
      <c r="A118" s="229"/>
      <c r="B118" s="239"/>
      <c r="C118" s="210"/>
    </row>
    <row r="119" spans="1:3" ht="18.5">
      <c r="A119" s="229"/>
      <c r="B119" s="341" t="s">
        <v>14908</v>
      </c>
      <c r="C119" s="210"/>
    </row>
    <row r="120" spans="1:3">
      <c r="A120" s="246"/>
      <c r="B120" s="211" t="s">
        <v>14907</v>
      </c>
      <c r="C120" s="210"/>
    </row>
    <row r="121" spans="1:3" ht="26">
      <c r="A121" s="299" t="s">
        <v>14906</v>
      </c>
      <c r="B121" s="213" t="s">
        <v>14571</v>
      </c>
      <c r="C121" s="135">
        <v>259</v>
      </c>
    </row>
    <row r="122" spans="1:3">
      <c r="A122" s="246"/>
      <c r="B122" s="211"/>
      <c r="C122" s="210"/>
    </row>
    <row r="123" spans="1:3" ht="39">
      <c r="A123" s="246"/>
      <c r="B123" s="147" t="s">
        <v>14570</v>
      </c>
      <c r="C123" s="210"/>
    </row>
    <row r="124" spans="1:3">
      <c r="A124" s="246"/>
      <c r="B124" s="147" t="s">
        <v>14905</v>
      </c>
      <c r="C124" s="210"/>
    </row>
    <row r="125" spans="1:3">
      <c r="A125" s="339"/>
      <c r="B125" s="214" t="s">
        <v>14892</v>
      </c>
      <c r="C125" s="210"/>
    </row>
    <row r="126" spans="1:3" ht="26">
      <c r="A126" s="218" t="s">
        <v>14904</v>
      </c>
      <c r="B126" s="151" t="s">
        <v>13301</v>
      </c>
      <c r="C126" s="135">
        <v>289</v>
      </c>
    </row>
    <row r="127" spans="1:3">
      <c r="A127" s="148" t="s">
        <v>14902</v>
      </c>
      <c r="B127" s="340"/>
      <c r="C127" s="210"/>
    </row>
    <row r="128" spans="1:3">
      <c r="A128" s="148"/>
      <c r="B128" s="217" t="s">
        <v>14903</v>
      </c>
      <c r="C128" s="210"/>
    </row>
    <row r="129" spans="1:3">
      <c r="A129" s="339" t="s">
        <v>14902</v>
      </c>
      <c r="B129" s="217" t="s">
        <v>13592</v>
      </c>
      <c r="C129" s="210"/>
    </row>
    <row r="130" spans="1:3">
      <c r="A130" s="339"/>
      <c r="B130" s="214" t="s">
        <v>13591</v>
      </c>
      <c r="C130" s="210"/>
    </row>
    <row r="131" spans="1:3" ht="65">
      <c r="A131" s="218" t="s">
        <v>14901</v>
      </c>
      <c r="B131" s="151" t="s">
        <v>14012</v>
      </c>
      <c r="C131" s="135">
        <v>89</v>
      </c>
    </row>
    <row r="133" spans="1:3" ht="26">
      <c r="A133" s="280"/>
      <c r="B133" s="149" t="s">
        <v>14566</v>
      </c>
      <c r="C133" s="210"/>
    </row>
    <row r="134" spans="1:3" ht="26">
      <c r="A134" s="280"/>
      <c r="B134" s="147" t="s">
        <v>13583</v>
      </c>
      <c r="C134" s="210"/>
    </row>
    <row r="135" spans="1:3">
      <c r="A135" s="280"/>
      <c r="B135" s="214" t="s">
        <v>14892</v>
      </c>
      <c r="C135" s="210"/>
    </row>
    <row r="136" spans="1:3" ht="169">
      <c r="A136" s="212" t="s">
        <v>14900</v>
      </c>
      <c r="B136" s="296" t="s">
        <v>14899</v>
      </c>
      <c r="C136" s="135">
        <v>2809</v>
      </c>
    </row>
    <row r="137" spans="1:3">
      <c r="A137" s="280"/>
      <c r="C137" s="210"/>
    </row>
    <row r="138" spans="1:3" ht="26">
      <c r="A138" s="280"/>
      <c r="B138" s="149" t="s">
        <v>14566</v>
      </c>
      <c r="C138" s="210"/>
    </row>
    <row r="139" spans="1:3" ht="28.5">
      <c r="A139" s="280"/>
      <c r="B139" s="147" t="s">
        <v>13104</v>
      </c>
      <c r="C139" s="210"/>
    </row>
    <row r="140" spans="1:3">
      <c r="A140" s="280"/>
      <c r="B140" s="214" t="s">
        <v>14892</v>
      </c>
      <c r="C140" s="210"/>
    </row>
    <row r="141" spans="1:3" ht="39">
      <c r="A141" s="212" t="s">
        <v>14565</v>
      </c>
      <c r="B141" s="152" t="s">
        <v>14898</v>
      </c>
      <c r="C141" s="135">
        <v>339</v>
      </c>
    </row>
    <row r="142" spans="1:3">
      <c r="A142" s="212" t="s">
        <v>14897</v>
      </c>
      <c r="B142" s="213" t="s">
        <v>13100</v>
      </c>
      <c r="C142" s="135">
        <v>149</v>
      </c>
    </row>
    <row r="143" spans="1:3" ht="26">
      <c r="A143" s="212" t="s">
        <v>14896</v>
      </c>
      <c r="B143" s="213" t="s">
        <v>14895</v>
      </c>
      <c r="C143" s="135">
        <v>329</v>
      </c>
    </row>
    <row r="144" spans="1:3" ht="26">
      <c r="A144" s="299" t="s">
        <v>14894</v>
      </c>
      <c r="B144" s="213" t="s">
        <v>14893</v>
      </c>
      <c r="C144" s="135">
        <v>329</v>
      </c>
    </row>
    <row r="145" spans="1:3">
      <c r="A145" s="298"/>
      <c r="B145" s="268"/>
      <c r="C145" s="210"/>
    </row>
    <row r="146" spans="1:3" ht="26">
      <c r="A146" s="280"/>
      <c r="B146" s="149" t="s">
        <v>13097</v>
      </c>
      <c r="C146" s="210"/>
    </row>
    <row r="147" spans="1:3" ht="26">
      <c r="A147" s="280"/>
      <c r="B147" s="147" t="s">
        <v>13568</v>
      </c>
      <c r="C147" s="210"/>
    </row>
    <row r="148" spans="1:3">
      <c r="A148" s="280"/>
      <c r="B148" s="214" t="s">
        <v>14892</v>
      </c>
      <c r="C148" s="210"/>
    </row>
    <row r="149" spans="1:3" ht="221">
      <c r="A149" s="212" t="s">
        <v>14891</v>
      </c>
      <c r="B149" s="296" t="s">
        <v>14890</v>
      </c>
      <c r="C149" s="135">
        <v>3229</v>
      </c>
    </row>
  </sheetData>
  <sheetProtection insertColumns="0" insertRows="0"/>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6CD20-8969-4BD0-89B0-ECA18DD81084}">
  <sheetPr codeName="Sheet19">
    <tabColor theme="2" tint="-9.9978637043366805E-2"/>
    <pageSetUpPr fitToPage="1"/>
  </sheetPr>
  <dimension ref="A1:C31"/>
  <sheetViews>
    <sheetView zoomScale="120" zoomScaleNormal="120" zoomScaleSheetLayoutView="80" workbookViewId="0">
      <pane xSplit="1" ySplit="2" topLeftCell="B3" activePane="bottomRight" state="frozen"/>
      <selection activeCell="C8" sqref="C8"/>
      <selection pane="topRight" activeCell="C8" sqref="C8"/>
      <selection pane="bottomLeft" activeCell="C8" sqref="C8"/>
      <selection pane="bottomRight" activeCell="C8" sqref="C8"/>
    </sheetView>
  </sheetViews>
  <sheetFormatPr defaultColWidth="9.1796875" defaultRowHeight="14.5"/>
  <cols>
    <col min="1" max="1" width="22.54296875" style="158" customWidth="1"/>
    <col min="2" max="2" width="78.7265625" style="207" customWidth="1"/>
    <col min="3" max="3" width="15" style="206" bestFit="1" customWidth="1"/>
    <col min="4" max="16384" width="9.1796875" style="167"/>
  </cols>
  <sheetData>
    <row r="1" spans="1:3">
      <c r="A1" s="238" t="s">
        <v>15018</v>
      </c>
      <c r="B1" s="237"/>
      <c r="C1" s="338"/>
    </row>
    <row r="2" spans="1:3" s="158" customFormat="1">
      <c r="A2" s="235" t="s">
        <v>3519</v>
      </c>
      <c r="B2" s="234" t="s">
        <v>3518</v>
      </c>
      <c r="C2" s="200" t="s">
        <v>13563</v>
      </c>
    </row>
    <row r="3" spans="1:3" s="158" customFormat="1">
      <c r="A3" s="308"/>
      <c r="B3" s="307"/>
      <c r="C3" s="306"/>
    </row>
    <row r="4" spans="1:3" ht="26">
      <c r="A4" s="231" t="s">
        <v>13511</v>
      </c>
      <c r="B4" s="217" t="s">
        <v>13776</v>
      </c>
      <c r="C4" s="232"/>
    </row>
    <row r="5" spans="1:3" ht="39">
      <c r="A5" s="212" t="s">
        <v>15017</v>
      </c>
      <c r="B5" s="151" t="s">
        <v>13774</v>
      </c>
      <c r="C5" s="135">
        <v>839</v>
      </c>
    </row>
    <row r="6" spans="1:3" ht="39">
      <c r="A6" s="212" t="s">
        <v>15016</v>
      </c>
      <c r="B6" s="151" t="s">
        <v>13772</v>
      </c>
      <c r="C6" s="135">
        <v>799</v>
      </c>
    </row>
    <row r="7" spans="1:3" ht="39">
      <c r="A7" s="212" t="s">
        <v>15015</v>
      </c>
      <c r="B7" s="151" t="s">
        <v>13770</v>
      </c>
      <c r="C7" s="135">
        <v>899</v>
      </c>
    </row>
    <row r="8" spans="1:3" ht="39">
      <c r="A8" s="212" t="s">
        <v>15014</v>
      </c>
      <c r="B8" s="151" t="s">
        <v>13768</v>
      </c>
      <c r="C8" s="135">
        <v>819</v>
      </c>
    </row>
    <row r="9" spans="1:3" ht="39">
      <c r="A9" s="212" t="s">
        <v>15013</v>
      </c>
      <c r="B9" s="151" t="s">
        <v>13766</v>
      </c>
      <c r="C9" s="135">
        <v>859</v>
      </c>
    </row>
    <row r="10" spans="1:3" ht="39">
      <c r="A10" s="212" t="s">
        <v>15012</v>
      </c>
      <c r="B10" s="151" t="s">
        <v>13764</v>
      </c>
      <c r="C10" s="135">
        <v>819</v>
      </c>
    </row>
    <row r="11" spans="1:3">
      <c r="A11" s="231" t="s">
        <v>13497</v>
      </c>
      <c r="B11" s="279"/>
      <c r="C11" s="210"/>
    </row>
    <row r="12" spans="1:3" ht="39">
      <c r="A12" s="212" t="s">
        <v>15011</v>
      </c>
      <c r="B12" s="151" t="s">
        <v>13762</v>
      </c>
      <c r="C12" s="135">
        <v>959</v>
      </c>
    </row>
    <row r="13" spans="1:3" ht="39">
      <c r="A13" s="212" t="s">
        <v>15010</v>
      </c>
      <c r="B13" s="151" t="s">
        <v>13760</v>
      </c>
      <c r="C13" s="135">
        <v>919</v>
      </c>
    </row>
    <row r="14" spans="1:3" ht="52">
      <c r="A14" s="212" t="s">
        <v>15009</v>
      </c>
      <c r="B14" s="151" t="s">
        <v>13758</v>
      </c>
      <c r="C14" s="135">
        <v>1009</v>
      </c>
    </row>
    <row r="15" spans="1:3" ht="52">
      <c r="A15" s="212" t="s">
        <v>15008</v>
      </c>
      <c r="B15" s="151" t="s">
        <v>13756</v>
      </c>
      <c r="C15" s="135">
        <v>969</v>
      </c>
    </row>
    <row r="16" spans="1:3" ht="52">
      <c r="A16" s="212" t="s">
        <v>15007</v>
      </c>
      <c r="B16" s="151" t="s">
        <v>14188</v>
      </c>
      <c r="C16" s="135">
        <v>999</v>
      </c>
    </row>
    <row r="17" spans="1:3" ht="52">
      <c r="A17" s="212" t="s">
        <v>15006</v>
      </c>
      <c r="B17" s="151" t="s">
        <v>13752</v>
      </c>
      <c r="C17" s="135">
        <v>959</v>
      </c>
    </row>
    <row r="18" spans="1:3">
      <c r="A18" s="194" t="s">
        <v>13484</v>
      </c>
      <c r="B18" s="150"/>
      <c r="C18" s="210"/>
    </row>
    <row r="19" spans="1:3">
      <c r="A19" s="194"/>
      <c r="B19" s="150"/>
      <c r="C19" s="210"/>
    </row>
    <row r="20" spans="1:3" ht="26">
      <c r="A20" s="231" t="s">
        <v>14877</v>
      </c>
      <c r="B20" s="147" t="s">
        <v>13455</v>
      </c>
      <c r="C20" s="210"/>
    </row>
    <row r="21" spans="1:3" ht="65">
      <c r="A21" s="212" t="s">
        <v>15005</v>
      </c>
      <c r="B21" s="151" t="s">
        <v>14509</v>
      </c>
      <c r="C21" s="135">
        <v>659</v>
      </c>
    </row>
    <row r="22" spans="1:3" ht="78">
      <c r="A22" s="212" t="s">
        <v>15004</v>
      </c>
      <c r="B22" s="151" t="s">
        <v>15003</v>
      </c>
      <c r="C22" s="135">
        <v>659</v>
      </c>
    </row>
    <row r="23" spans="1:3" ht="65">
      <c r="A23" s="212" t="s">
        <v>15002</v>
      </c>
      <c r="B23" s="151" t="s">
        <v>14878</v>
      </c>
      <c r="C23" s="135">
        <v>689</v>
      </c>
    </row>
    <row r="24" spans="1:3" ht="78">
      <c r="A24" s="212" t="s">
        <v>15001</v>
      </c>
      <c r="B24" s="151" t="s">
        <v>15000</v>
      </c>
      <c r="C24" s="135">
        <v>689</v>
      </c>
    </row>
    <row r="25" spans="1:3">
      <c r="A25" s="148"/>
      <c r="B25" s="150"/>
      <c r="C25" s="210"/>
    </row>
    <row r="26" spans="1:3" ht="26">
      <c r="A26" s="231" t="s">
        <v>14877</v>
      </c>
      <c r="B26" s="147" t="s">
        <v>14876</v>
      </c>
      <c r="C26" s="210"/>
    </row>
    <row r="27" spans="1:3" ht="65">
      <c r="A27" s="212" t="s">
        <v>14999</v>
      </c>
      <c r="B27" s="151" t="s">
        <v>14874</v>
      </c>
      <c r="C27" s="135">
        <v>659</v>
      </c>
    </row>
    <row r="28" spans="1:3" ht="65">
      <c r="A28" s="212" t="s">
        <v>14998</v>
      </c>
      <c r="B28" s="151" t="s">
        <v>14872</v>
      </c>
      <c r="C28" s="135">
        <v>689</v>
      </c>
    </row>
    <row r="29" spans="1:3">
      <c r="A29" s="148"/>
      <c r="B29" s="150"/>
      <c r="C29" s="210"/>
    </row>
    <row r="30" spans="1:3" ht="39">
      <c r="A30" s="148"/>
      <c r="B30" s="147" t="s">
        <v>14570</v>
      </c>
      <c r="C30" s="210"/>
    </row>
    <row r="31" spans="1:3" ht="78">
      <c r="A31" s="218" t="s">
        <v>14997</v>
      </c>
      <c r="B31" s="291" t="s">
        <v>14996</v>
      </c>
      <c r="C31" s="135">
        <v>289</v>
      </c>
    </row>
  </sheetData>
  <sheetProtection insertColumns="0" insertRows="0"/>
  <autoFilter ref="A2:C31" xr:uid="{00000000-0009-0000-0000-000022000000}"/>
  <printOptions horizontalCentered="1"/>
  <pageMargins left="0.4" right="0.4" top="0.75" bottom="0.5" header="0.3" footer="0.3"/>
  <pageSetup scale="68" fitToHeight="0" orientation="portrait" r:id="rId1"/>
  <headerFooter>
    <oddHeader>&amp;C SETINA MFG 2022 PRICE LIST&amp;R&amp;A</oddHeader>
    <oddFooter>&amp;C&amp;F&amp;R&amp;P of &amp;N</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86A4A-F98B-4515-99CB-642B4861DF7C}">
  <sheetPr codeName="Sheet20">
    <tabColor theme="2" tint="-9.9978637043366805E-2"/>
    <pageSetUpPr fitToPage="1"/>
  </sheetPr>
  <dimension ref="A1:C83"/>
  <sheetViews>
    <sheetView zoomScale="120" zoomScaleNormal="120" workbookViewId="0">
      <pane ySplit="2" topLeftCell="A3" activePane="bottomLeft" state="frozen"/>
      <selection activeCell="C8" sqref="C8"/>
      <selection pane="bottomLeft" activeCell="C8" sqref="C8"/>
    </sheetView>
  </sheetViews>
  <sheetFormatPr defaultColWidth="9.1796875" defaultRowHeight="14.5"/>
  <cols>
    <col min="1" max="1" width="23.26953125" style="167" bestFit="1" customWidth="1"/>
    <col min="2" max="2" width="78.7265625" style="207" customWidth="1"/>
    <col min="3" max="3" width="12.7265625" style="167" bestFit="1" customWidth="1"/>
    <col min="4" max="16384" width="9.1796875" style="167"/>
  </cols>
  <sheetData>
    <row r="1" spans="1:3">
      <c r="A1" s="351" t="s">
        <v>15071</v>
      </c>
      <c r="B1" s="350"/>
      <c r="C1" s="349"/>
    </row>
    <row r="2" spans="1:3">
      <c r="A2" s="202" t="s">
        <v>3519</v>
      </c>
      <c r="B2" s="348" t="s">
        <v>3518</v>
      </c>
      <c r="C2" s="200" t="s">
        <v>13563</v>
      </c>
    </row>
    <row r="3" spans="1:3">
      <c r="A3" s="347"/>
      <c r="B3" s="346"/>
      <c r="C3" s="306"/>
    </row>
    <row r="4" spans="1:3" ht="26">
      <c r="A4" s="345" t="s">
        <v>13497</v>
      </c>
      <c r="B4" s="217" t="s">
        <v>15070</v>
      </c>
      <c r="C4" s="280"/>
    </row>
    <row r="5" spans="1:3" ht="39">
      <c r="A5" s="137" t="s">
        <v>15069</v>
      </c>
      <c r="B5" s="151" t="s">
        <v>15068</v>
      </c>
      <c r="C5" s="135">
        <v>1089</v>
      </c>
    </row>
    <row r="6" spans="1:3" ht="52">
      <c r="A6" s="137" t="s">
        <v>15067</v>
      </c>
      <c r="B6" s="151" t="s">
        <v>15066</v>
      </c>
      <c r="C6" s="135">
        <v>1139</v>
      </c>
    </row>
    <row r="7" spans="1:3">
      <c r="A7" s="280"/>
      <c r="B7" s="150"/>
      <c r="C7" s="343"/>
    </row>
    <row r="8" spans="1:3" ht="39">
      <c r="A8" s="231" t="s">
        <v>13483</v>
      </c>
      <c r="B8" s="147" t="s">
        <v>15065</v>
      </c>
      <c r="C8" s="343"/>
    </row>
    <row r="9" spans="1:3" ht="65">
      <c r="A9" s="137" t="s">
        <v>15064</v>
      </c>
      <c r="B9" s="141" t="s">
        <v>13474</v>
      </c>
      <c r="C9" s="135">
        <v>1279</v>
      </c>
    </row>
    <row r="10" spans="1:3" ht="65">
      <c r="A10" s="137" t="s">
        <v>15063</v>
      </c>
      <c r="B10" s="192" t="s">
        <v>15062</v>
      </c>
      <c r="C10" s="135">
        <v>1279</v>
      </c>
    </row>
    <row r="11" spans="1:3">
      <c r="A11" s="280"/>
      <c r="B11" s="280"/>
      <c r="C11" s="343"/>
    </row>
    <row r="12" spans="1:3" ht="26">
      <c r="A12" s="280"/>
      <c r="B12" s="147" t="s">
        <v>13455</v>
      </c>
      <c r="C12" s="343"/>
    </row>
    <row r="13" spans="1:3" ht="39">
      <c r="A13" s="177" t="s">
        <v>15061</v>
      </c>
      <c r="B13" s="141" t="s">
        <v>15060</v>
      </c>
      <c r="C13" s="135">
        <v>699</v>
      </c>
    </row>
    <row r="14" spans="1:3">
      <c r="A14" s="280"/>
      <c r="B14" s="280"/>
      <c r="C14" s="343"/>
    </row>
    <row r="15" spans="1:3">
      <c r="A15" s="280"/>
      <c r="B15" s="211" t="s">
        <v>13440</v>
      </c>
      <c r="C15" s="343"/>
    </row>
    <row r="16" spans="1:3" ht="39">
      <c r="A16" s="137" t="s">
        <v>15059</v>
      </c>
      <c r="B16" s="151" t="s">
        <v>13438</v>
      </c>
      <c r="C16" s="135">
        <v>579</v>
      </c>
    </row>
    <row r="17" spans="1:3" ht="39">
      <c r="A17" s="137" t="s">
        <v>15058</v>
      </c>
      <c r="B17" s="151" t="s">
        <v>13662</v>
      </c>
      <c r="C17" s="135">
        <v>579</v>
      </c>
    </row>
    <row r="18" spans="1:3">
      <c r="A18" s="280"/>
      <c r="B18" s="280"/>
      <c r="C18" s="343"/>
    </row>
    <row r="19" spans="1:3" ht="26">
      <c r="A19" s="280"/>
      <c r="B19" s="147" t="s">
        <v>14763</v>
      </c>
      <c r="C19" s="343"/>
    </row>
    <row r="20" spans="1:3" ht="26">
      <c r="A20" s="137" t="s">
        <v>15057</v>
      </c>
      <c r="B20" s="141" t="s">
        <v>13434</v>
      </c>
      <c r="C20" s="135">
        <v>949</v>
      </c>
    </row>
    <row r="21" spans="1:3" ht="26">
      <c r="A21" s="137" t="s">
        <v>15056</v>
      </c>
      <c r="B21" s="141" t="s">
        <v>13433</v>
      </c>
      <c r="C21" s="135">
        <v>949</v>
      </c>
    </row>
    <row r="22" spans="1:3" ht="26">
      <c r="A22" s="137" t="s">
        <v>15055</v>
      </c>
      <c r="B22" s="141" t="s">
        <v>13432</v>
      </c>
      <c r="C22" s="135">
        <v>1029</v>
      </c>
    </row>
    <row r="23" spans="1:3">
      <c r="A23" s="280"/>
      <c r="B23" s="280"/>
      <c r="C23" s="343"/>
    </row>
    <row r="24" spans="1:3" ht="26">
      <c r="A24" s="280"/>
      <c r="B24" s="147" t="s">
        <v>14759</v>
      </c>
      <c r="C24" s="343"/>
    </row>
    <row r="25" spans="1:3" ht="26">
      <c r="A25" s="137" t="s">
        <v>15054</v>
      </c>
      <c r="B25" s="141" t="s">
        <v>13430</v>
      </c>
      <c r="C25" s="135">
        <v>1179</v>
      </c>
    </row>
    <row r="26" spans="1:3" ht="26">
      <c r="A26" s="137" t="s">
        <v>15053</v>
      </c>
      <c r="B26" s="141" t="s">
        <v>13429</v>
      </c>
      <c r="C26" s="135">
        <v>1179</v>
      </c>
    </row>
    <row r="27" spans="1:3" ht="26">
      <c r="A27" s="137" t="s">
        <v>15052</v>
      </c>
      <c r="B27" s="141" t="s">
        <v>13428</v>
      </c>
      <c r="C27" s="135">
        <v>1339</v>
      </c>
    </row>
    <row r="28" spans="1:3">
      <c r="A28" s="154"/>
      <c r="B28" s="153"/>
      <c r="C28" s="343"/>
    </row>
    <row r="29" spans="1:3" ht="39">
      <c r="A29" s="140"/>
      <c r="B29" s="155" t="s">
        <v>13427</v>
      </c>
      <c r="C29" s="343"/>
    </row>
    <row r="30" spans="1:3" ht="26">
      <c r="A30" s="177" t="s">
        <v>15051</v>
      </c>
      <c r="B30" s="141" t="s">
        <v>13426</v>
      </c>
      <c r="C30" s="135">
        <v>1459</v>
      </c>
    </row>
    <row r="31" spans="1:3" ht="26">
      <c r="A31" s="177" t="s">
        <v>15050</v>
      </c>
      <c r="B31" s="141" t="s">
        <v>13425</v>
      </c>
      <c r="C31" s="135">
        <v>1459</v>
      </c>
    </row>
    <row r="32" spans="1:3" ht="26">
      <c r="A32" s="177" t="s">
        <v>15049</v>
      </c>
      <c r="B32" s="141" t="s">
        <v>13424</v>
      </c>
      <c r="C32" s="135">
        <v>1689</v>
      </c>
    </row>
    <row r="33" spans="1:3">
      <c r="A33" s="134"/>
      <c r="B33" s="153"/>
      <c r="C33" s="343"/>
    </row>
    <row r="34" spans="1:3">
      <c r="B34" s="175" t="s">
        <v>13393</v>
      </c>
      <c r="C34" s="343"/>
    </row>
    <row r="35" spans="1:3" ht="26">
      <c r="A35" s="185"/>
      <c r="B35" s="160" t="s">
        <v>13423</v>
      </c>
      <c r="C35" s="343"/>
    </row>
    <row r="36" spans="1:3" ht="26">
      <c r="A36" s="177" t="s">
        <v>15048</v>
      </c>
      <c r="B36" s="141" t="s">
        <v>13421</v>
      </c>
      <c r="C36" s="135">
        <v>609</v>
      </c>
    </row>
    <row r="37" spans="1:3" ht="26">
      <c r="A37" s="177" t="s">
        <v>15047</v>
      </c>
      <c r="B37" s="141" t="s">
        <v>13419</v>
      </c>
      <c r="C37" s="135">
        <v>609</v>
      </c>
    </row>
    <row r="38" spans="1:3" ht="26">
      <c r="A38" s="177" t="s">
        <v>15046</v>
      </c>
      <c r="B38" s="141" t="s">
        <v>13417</v>
      </c>
      <c r="C38" s="135">
        <v>609</v>
      </c>
    </row>
    <row r="39" spans="1:3" ht="26">
      <c r="A39" s="177" t="s">
        <v>15045</v>
      </c>
      <c r="B39" s="141" t="s">
        <v>13415</v>
      </c>
      <c r="C39" s="135">
        <v>609</v>
      </c>
    </row>
    <row r="40" spans="1:3" ht="26">
      <c r="A40" s="177" t="s">
        <v>15044</v>
      </c>
      <c r="B40" s="141" t="s">
        <v>13413</v>
      </c>
      <c r="C40" s="135">
        <v>609</v>
      </c>
    </row>
    <row r="41" spans="1:3" ht="26">
      <c r="A41" s="177" t="s">
        <v>15043</v>
      </c>
      <c r="B41" s="141" t="s">
        <v>13411</v>
      </c>
      <c r="C41" s="135">
        <v>609</v>
      </c>
    </row>
    <row r="42" spans="1:3" ht="26">
      <c r="A42" s="177" t="s">
        <v>15042</v>
      </c>
      <c r="B42" s="141" t="s">
        <v>13409</v>
      </c>
      <c r="C42" s="135">
        <v>609</v>
      </c>
    </row>
    <row r="43" spans="1:3">
      <c r="A43" s="134"/>
      <c r="B43" s="184" t="s">
        <v>13379</v>
      </c>
      <c r="C43" s="343"/>
    </row>
    <row r="44" spans="1:3">
      <c r="A44" s="134"/>
      <c r="B44" s="184"/>
      <c r="C44" s="343"/>
    </row>
    <row r="45" spans="1:3">
      <c r="A45" s="134"/>
      <c r="B45" s="175" t="s">
        <v>13393</v>
      </c>
      <c r="C45" s="343"/>
    </row>
    <row r="46" spans="1:3" ht="26">
      <c r="A46" s="185"/>
      <c r="B46" s="160" t="s">
        <v>13408</v>
      </c>
      <c r="C46" s="343"/>
    </row>
    <row r="47" spans="1:3" ht="26">
      <c r="A47" s="177" t="s">
        <v>15041</v>
      </c>
      <c r="B47" s="141" t="s">
        <v>13406</v>
      </c>
      <c r="C47" s="135">
        <v>619</v>
      </c>
    </row>
    <row r="48" spans="1:3" ht="26">
      <c r="A48" s="177" t="s">
        <v>15040</v>
      </c>
      <c r="B48" s="141" t="s">
        <v>13404</v>
      </c>
      <c r="C48" s="135">
        <v>619</v>
      </c>
    </row>
    <row r="49" spans="1:3" ht="26">
      <c r="A49" s="177" t="s">
        <v>15039</v>
      </c>
      <c r="B49" s="141" t="s">
        <v>13402</v>
      </c>
      <c r="C49" s="135">
        <v>619</v>
      </c>
    </row>
    <row r="50" spans="1:3" ht="26">
      <c r="A50" s="177" t="s">
        <v>15038</v>
      </c>
      <c r="B50" s="141" t="s">
        <v>13400</v>
      </c>
      <c r="C50" s="135">
        <v>619</v>
      </c>
    </row>
    <row r="51" spans="1:3" ht="26">
      <c r="A51" s="177" t="s">
        <v>15037</v>
      </c>
      <c r="B51" s="141" t="s">
        <v>13398</v>
      </c>
      <c r="C51" s="135">
        <v>619</v>
      </c>
    </row>
    <row r="52" spans="1:3" ht="26">
      <c r="A52" s="177" t="s">
        <v>15036</v>
      </c>
      <c r="B52" s="141" t="s">
        <v>13396</v>
      </c>
      <c r="C52" s="135">
        <v>619</v>
      </c>
    </row>
    <row r="53" spans="1:3" ht="26">
      <c r="A53" s="177" t="s">
        <v>15035</v>
      </c>
      <c r="B53" s="141" t="s">
        <v>13394</v>
      </c>
      <c r="C53" s="135">
        <v>619</v>
      </c>
    </row>
    <row r="54" spans="1:3">
      <c r="A54" s="134"/>
      <c r="B54" s="184" t="s">
        <v>13379</v>
      </c>
      <c r="C54" s="343"/>
    </row>
    <row r="55" spans="1:3">
      <c r="A55" s="134"/>
      <c r="B55" s="184"/>
      <c r="C55" s="343"/>
    </row>
    <row r="56" spans="1:3">
      <c r="A56" s="134"/>
      <c r="B56" s="175" t="s">
        <v>13393</v>
      </c>
      <c r="C56" s="343"/>
    </row>
    <row r="57" spans="1:3" ht="26">
      <c r="A57" s="185"/>
      <c r="B57" s="160" t="s">
        <v>13392</v>
      </c>
      <c r="C57" s="343"/>
    </row>
    <row r="58" spans="1:3" ht="26">
      <c r="A58" s="177" t="s">
        <v>15034</v>
      </c>
      <c r="B58" s="141" t="s">
        <v>13390</v>
      </c>
      <c r="C58" s="135">
        <v>629</v>
      </c>
    </row>
    <row r="59" spans="1:3" ht="26">
      <c r="A59" s="178" t="s">
        <v>4895</v>
      </c>
      <c r="B59" s="141" t="s">
        <v>13389</v>
      </c>
      <c r="C59" s="135">
        <v>0</v>
      </c>
    </row>
    <row r="60" spans="1:3" ht="26">
      <c r="A60" s="177" t="s">
        <v>15033</v>
      </c>
      <c r="B60" s="141" t="s">
        <v>13387</v>
      </c>
      <c r="C60" s="135">
        <v>629</v>
      </c>
    </row>
    <row r="61" spans="1:3" ht="26">
      <c r="A61" s="177" t="s">
        <v>4895</v>
      </c>
      <c r="B61" s="141" t="s">
        <v>13386</v>
      </c>
      <c r="C61" s="135">
        <v>0</v>
      </c>
    </row>
    <row r="62" spans="1:3" ht="26">
      <c r="A62" s="177" t="s">
        <v>15032</v>
      </c>
      <c r="B62" s="141" t="s">
        <v>13384</v>
      </c>
      <c r="C62" s="135">
        <v>629</v>
      </c>
    </row>
    <row r="63" spans="1:3" ht="26">
      <c r="A63" s="177" t="s">
        <v>15031</v>
      </c>
      <c r="B63" s="141" t="s">
        <v>13382</v>
      </c>
      <c r="C63" s="135">
        <v>629</v>
      </c>
    </row>
    <row r="64" spans="1:3" ht="26">
      <c r="A64" s="177" t="s">
        <v>15030</v>
      </c>
      <c r="B64" s="141" t="s">
        <v>13380</v>
      </c>
      <c r="C64" s="135">
        <v>629</v>
      </c>
    </row>
    <row r="65" spans="1:3">
      <c r="A65" s="140"/>
      <c r="B65" s="184" t="s">
        <v>13379</v>
      </c>
      <c r="C65" s="343"/>
    </row>
    <row r="66" spans="1:3">
      <c r="A66" s="157" t="s">
        <v>13378</v>
      </c>
      <c r="B66" s="280"/>
      <c r="C66" s="343"/>
    </row>
    <row r="67" spans="1:3">
      <c r="A67" s="157"/>
      <c r="B67" s="280"/>
      <c r="C67" s="343"/>
    </row>
    <row r="68" spans="1:3">
      <c r="A68" s="280"/>
      <c r="B68" s="211" t="s">
        <v>13364</v>
      </c>
      <c r="C68" s="343"/>
    </row>
    <row r="69" spans="1:3" ht="39">
      <c r="A69" s="137" t="s">
        <v>15029</v>
      </c>
      <c r="B69" s="151" t="s">
        <v>13362</v>
      </c>
      <c r="C69" s="135">
        <v>679</v>
      </c>
    </row>
    <row r="70" spans="1:3">
      <c r="A70" s="280"/>
      <c r="B70" s="280"/>
      <c r="C70" s="343"/>
    </row>
    <row r="71" spans="1:3">
      <c r="A71" s="280"/>
      <c r="B71" s="211" t="s">
        <v>13327</v>
      </c>
      <c r="C71" s="343"/>
    </row>
    <row r="72" spans="1:3" ht="39">
      <c r="A72" s="137" t="s">
        <v>15028</v>
      </c>
      <c r="B72" s="151" t="s">
        <v>14035</v>
      </c>
      <c r="C72" s="135">
        <v>339</v>
      </c>
    </row>
    <row r="73" spans="1:3">
      <c r="A73" s="280"/>
      <c r="B73" s="280"/>
      <c r="C73" s="343"/>
    </row>
    <row r="74" spans="1:3">
      <c r="A74" s="280"/>
      <c r="B74" s="211" t="s">
        <v>13588</v>
      </c>
      <c r="C74" s="343"/>
    </row>
    <row r="75" spans="1:3">
      <c r="A75" s="280"/>
      <c r="B75" s="147" t="s">
        <v>13278</v>
      </c>
      <c r="C75" s="343"/>
    </row>
    <row r="76" spans="1:3" ht="39">
      <c r="A76" s="137" t="s">
        <v>15027</v>
      </c>
      <c r="B76" s="151" t="s">
        <v>15026</v>
      </c>
      <c r="C76" s="135">
        <v>779</v>
      </c>
    </row>
    <row r="77" spans="1:3">
      <c r="A77" s="280"/>
      <c r="B77" s="280"/>
      <c r="C77" s="343"/>
    </row>
    <row r="78" spans="1:3">
      <c r="A78" s="280"/>
      <c r="B78" s="211" t="s">
        <v>15025</v>
      </c>
      <c r="C78" s="343"/>
    </row>
    <row r="79" spans="1:3">
      <c r="A79" s="137" t="s">
        <v>15024</v>
      </c>
      <c r="B79" s="344" t="s">
        <v>5493</v>
      </c>
      <c r="C79" s="135">
        <v>639</v>
      </c>
    </row>
    <row r="80" spans="1:3">
      <c r="A80" s="280"/>
      <c r="B80" s="280"/>
      <c r="C80" s="343"/>
    </row>
    <row r="81" spans="1:3">
      <c r="A81" s="280"/>
      <c r="B81" s="217" t="s">
        <v>15023</v>
      </c>
      <c r="C81" s="343"/>
    </row>
    <row r="82" spans="1:3" ht="65">
      <c r="A82" s="137" t="s">
        <v>15022</v>
      </c>
      <c r="B82" s="152" t="s">
        <v>15021</v>
      </c>
      <c r="C82" s="135">
        <v>369</v>
      </c>
    </row>
    <row r="83" spans="1:3" ht="65">
      <c r="A83" s="137" t="s">
        <v>15020</v>
      </c>
      <c r="B83" s="152" t="s">
        <v>15019</v>
      </c>
      <c r="C83" s="135">
        <v>369</v>
      </c>
    </row>
  </sheetData>
  <sheetProtection insertColumns="0" insertRows="0"/>
  <autoFilter ref="A2:C44" xr:uid="{00000000-0009-0000-0000-000024000000}"/>
  <printOptions horizontalCentered="1"/>
  <pageMargins left="0.4" right="0.4" top="0.75" bottom="0.5" header="0.3" footer="0.3"/>
  <pageSetup scale="79" fitToHeight="0" orientation="portrait" r:id="rId1"/>
  <headerFooter>
    <oddHeader>&amp;C SETINA MFG 2022 PRICE LIST&amp;R&amp;A</oddHeader>
    <oddFooter>&amp;C&amp;F&amp;R&amp;P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2F828-9CB4-43ED-A4F8-D43A1B4E1854}">
  <sheetPr codeName="Sheet21">
    <tabColor theme="2" tint="-9.9978637043366805E-2"/>
    <pageSetUpPr fitToPage="1"/>
  </sheetPr>
  <dimension ref="A1:C114"/>
  <sheetViews>
    <sheetView zoomScale="120" zoomScaleNormal="120" zoomScaleSheetLayoutView="80" zoomScalePageLayoutView="98" workbookViewId="0">
      <pane ySplit="2" topLeftCell="A32" activePane="bottomLeft" state="frozen"/>
      <selection activeCell="C8" sqref="C8"/>
      <selection pane="bottomLeft" activeCell="C8" sqref="C8"/>
    </sheetView>
  </sheetViews>
  <sheetFormatPr defaultColWidth="9.1796875" defaultRowHeight="14.5"/>
  <cols>
    <col min="1" max="1" width="27.1796875" style="158" customWidth="1"/>
    <col min="2" max="2" width="78.7265625" style="207" customWidth="1"/>
    <col min="3" max="3" width="15" style="206" bestFit="1" customWidth="1"/>
    <col min="4" max="16384" width="9.1796875" style="167"/>
  </cols>
  <sheetData>
    <row r="1" spans="1:3">
      <c r="A1" s="281" t="s">
        <v>15218</v>
      </c>
      <c r="B1" s="360"/>
      <c r="C1" s="236"/>
    </row>
    <row r="2" spans="1:3" s="158" customFormat="1">
      <c r="A2" s="235" t="s">
        <v>3519</v>
      </c>
      <c r="B2" s="234" t="s">
        <v>3518</v>
      </c>
      <c r="C2" s="200" t="s">
        <v>13563</v>
      </c>
    </row>
    <row r="3" spans="1:3" s="158" customFormat="1">
      <c r="A3" s="308"/>
      <c r="B3" s="307"/>
      <c r="C3" s="306"/>
    </row>
    <row r="4" spans="1:3">
      <c r="A4" s="246">
        <v>0</v>
      </c>
      <c r="B4" s="353" t="s">
        <v>15164</v>
      </c>
      <c r="C4" s="233"/>
    </row>
    <row r="5" spans="1:3" ht="26">
      <c r="A5" s="246">
        <v>0</v>
      </c>
      <c r="B5" s="329" t="s">
        <v>15138</v>
      </c>
      <c r="C5" s="359"/>
    </row>
    <row r="6" spans="1:3" ht="39">
      <c r="A6" s="137" t="s">
        <v>15217</v>
      </c>
      <c r="B6" s="152" t="s">
        <v>15216</v>
      </c>
      <c r="C6" s="135">
        <v>359</v>
      </c>
    </row>
    <row r="7" spans="1:3" ht="39">
      <c r="A7" s="137" t="s">
        <v>15215</v>
      </c>
      <c r="B7" s="152" t="s">
        <v>15214</v>
      </c>
      <c r="C7" s="135">
        <v>359</v>
      </c>
    </row>
    <row r="8" spans="1:3" ht="39">
      <c r="A8" s="137" t="s">
        <v>15213</v>
      </c>
      <c r="B8" s="152" t="s">
        <v>15212</v>
      </c>
      <c r="C8" s="135">
        <v>359</v>
      </c>
    </row>
    <row r="9" spans="1:3" ht="39">
      <c r="A9" s="137" t="s">
        <v>15211</v>
      </c>
      <c r="B9" s="152" t="s">
        <v>15210</v>
      </c>
      <c r="C9" s="135">
        <v>359</v>
      </c>
    </row>
    <row r="10" spans="1:3" ht="39">
      <c r="A10" s="137" t="s">
        <v>15209</v>
      </c>
      <c r="B10" s="152" t="s">
        <v>15208</v>
      </c>
      <c r="C10" s="135">
        <v>409</v>
      </c>
    </row>
    <row r="11" spans="1:3" ht="39">
      <c r="A11" s="137" t="s">
        <v>15207</v>
      </c>
      <c r="B11" s="152" t="s">
        <v>15206</v>
      </c>
      <c r="C11" s="135">
        <v>409</v>
      </c>
    </row>
    <row r="12" spans="1:3" ht="52">
      <c r="A12" s="137" t="s">
        <v>13086</v>
      </c>
      <c r="B12" s="152" t="s">
        <v>13085</v>
      </c>
      <c r="C12" s="135">
        <v>319</v>
      </c>
    </row>
    <row r="13" spans="1:3" ht="52">
      <c r="A13" s="137" t="s">
        <v>13084</v>
      </c>
      <c r="B13" s="152" t="s">
        <v>13083</v>
      </c>
      <c r="C13" s="135">
        <v>309</v>
      </c>
    </row>
    <row r="14" spans="1:3">
      <c r="A14" s="246">
        <v>0</v>
      </c>
      <c r="B14" s="354">
        <v>0</v>
      </c>
      <c r="C14" s="352"/>
    </row>
    <row r="15" spans="1:3">
      <c r="A15" s="246">
        <v>0</v>
      </c>
      <c r="B15" s="353" t="s">
        <v>15157</v>
      </c>
      <c r="C15" s="352"/>
    </row>
    <row r="16" spans="1:3" ht="26">
      <c r="A16" s="246">
        <v>0</v>
      </c>
      <c r="B16" s="329" t="s">
        <v>15138</v>
      </c>
      <c r="C16" s="352"/>
    </row>
    <row r="17" spans="1:3" ht="52">
      <c r="A17" s="137" t="s">
        <v>15205</v>
      </c>
      <c r="B17" s="152" t="s">
        <v>15204</v>
      </c>
      <c r="C17" s="135">
        <v>479</v>
      </c>
    </row>
    <row r="18" spans="1:3" ht="52">
      <c r="A18" s="137" t="s">
        <v>15203</v>
      </c>
      <c r="B18" s="152" t="s">
        <v>15202</v>
      </c>
      <c r="C18" s="135">
        <v>479</v>
      </c>
    </row>
    <row r="19" spans="1:3" ht="39">
      <c r="A19" s="137" t="s">
        <v>15201</v>
      </c>
      <c r="B19" s="152" t="s">
        <v>15200</v>
      </c>
      <c r="C19" s="135">
        <v>529</v>
      </c>
    </row>
    <row r="20" spans="1:3" ht="52">
      <c r="A20" s="137" t="s">
        <v>15199</v>
      </c>
      <c r="B20" s="152" t="s">
        <v>15198</v>
      </c>
      <c r="C20" s="135">
        <v>529</v>
      </c>
    </row>
    <row r="21" spans="1:3" ht="52">
      <c r="A21" s="218" t="s">
        <v>15197</v>
      </c>
      <c r="B21" s="291" t="s">
        <v>15196</v>
      </c>
      <c r="C21" s="135">
        <v>579</v>
      </c>
    </row>
    <row r="22" spans="1:3" ht="52">
      <c r="A22" s="137" t="s">
        <v>15195</v>
      </c>
      <c r="B22" s="152" t="s">
        <v>15194</v>
      </c>
      <c r="C22" s="135">
        <v>579</v>
      </c>
    </row>
    <row r="23" spans="1:3" ht="39">
      <c r="A23" s="137" t="s">
        <v>15193</v>
      </c>
      <c r="B23" s="152" t="s">
        <v>15192</v>
      </c>
      <c r="C23" s="135">
        <v>449</v>
      </c>
    </row>
    <row r="24" spans="1:3" ht="39">
      <c r="A24" s="137" t="s">
        <v>15191</v>
      </c>
      <c r="B24" s="152" t="s">
        <v>15190</v>
      </c>
      <c r="C24" s="135">
        <v>449</v>
      </c>
    </row>
    <row r="25" spans="1:3" ht="39">
      <c r="A25" s="137" t="s">
        <v>15189</v>
      </c>
      <c r="B25" s="152" t="s">
        <v>15188</v>
      </c>
      <c r="C25" s="135">
        <v>509</v>
      </c>
    </row>
    <row r="26" spans="1:3" ht="39">
      <c r="A26" s="137" t="s">
        <v>15187</v>
      </c>
      <c r="B26" s="152" t="s">
        <v>15186</v>
      </c>
      <c r="C26" s="135">
        <v>509</v>
      </c>
    </row>
    <row r="27" spans="1:3" ht="39">
      <c r="A27" s="137" t="s">
        <v>15185</v>
      </c>
      <c r="B27" s="152" t="s">
        <v>15184</v>
      </c>
      <c r="C27" s="135">
        <v>629</v>
      </c>
    </row>
    <row r="28" spans="1:3" ht="39">
      <c r="A28" s="137" t="s">
        <v>15183</v>
      </c>
      <c r="B28" s="152" t="s">
        <v>15182</v>
      </c>
      <c r="C28" s="135">
        <v>629</v>
      </c>
    </row>
    <row r="29" spans="1:3">
      <c r="A29" s="246">
        <v>0</v>
      </c>
      <c r="B29" s="354">
        <v>0</v>
      </c>
      <c r="C29" s="352"/>
    </row>
    <row r="30" spans="1:3">
      <c r="A30" s="246">
        <v>0</v>
      </c>
      <c r="B30" s="353" t="s">
        <v>15139</v>
      </c>
      <c r="C30" s="352"/>
    </row>
    <row r="31" spans="1:3" ht="26">
      <c r="A31" s="246">
        <v>0</v>
      </c>
      <c r="B31" s="329" t="s">
        <v>15138</v>
      </c>
      <c r="C31" s="352"/>
    </row>
    <row r="32" spans="1:3" ht="39">
      <c r="A32" s="137" t="s">
        <v>15181</v>
      </c>
      <c r="B32" s="152" t="s">
        <v>15180</v>
      </c>
      <c r="C32" s="135">
        <v>339</v>
      </c>
    </row>
    <row r="33" spans="1:3" ht="39">
      <c r="A33" s="137" t="s">
        <v>15179</v>
      </c>
      <c r="B33" s="152" t="s">
        <v>15178</v>
      </c>
      <c r="C33" s="135">
        <v>339</v>
      </c>
    </row>
    <row r="34" spans="1:3" ht="39">
      <c r="A34" s="137" t="s">
        <v>15177</v>
      </c>
      <c r="B34" s="152" t="s">
        <v>15176</v>
      </c>
      <c r="C34" s="135">
        <v>369</v>
      </c>
    </row>
    <row r="35" spans="1:3" ht="39">
      <c r="A35" s="137" t="s">
        <v>15175</v>
      </c>
      <c r="B35" s="152" t="s">
        <v>15174</v>
      </c>
      <c r="C35" s="135">
        <v>369</v>
      </c>
    </row>
    <row r="36" spans="1:3" ht="39">
      <c r="A36" s="137" t="s">
        <v>15173</v>
      </c>
      <c r="B36" s="152" t="s">
        <v>15172</v>
      </c>
      <c r="C36" s="135">
        <v>419</v>
      </c>
    </row>
    <row r="37" spans="1:3" ht="39">
      <c r="A37" s="137" t="s">
        <v>15171</v>
      </c>
      <c r="B37" s="152" t="s">
        <v>15170</v>
      </c>
      <c r="C37" s="135">
        <v>419</v>
      </c>
    </row>
    <row r="38" spans="1:3">
      <c r="A38" s="246">
        <v>0</v>
      </c>
      <c r="B38" s="354">
        <v>0</v>
      </c>
      <c r="C38" s="352"/>
    </row>
    <row r="39" spans="1:3">
      <c r="A39" s="246">
        <v>0</v>
      </c>
      <c r="B39" s="353" t="s">
        <v>15169</v>
      </c>
      <c r="C39" s="352"/>
    </row>
    <row r="40" spans="1:3" ht="26">
      <c r="A40" s="246">
        <v>0</v>
      </c>
      <c r="B40" s="329" t="s">
        <v>15138</v>
      </c>
      <c r="C40" s="352"/>
    </row>
    <row r="41" spans="1:3" ht="26">
      <c r="A41" s="137" t="s">
        <v>15168</v>
      </c>
      <c r="B41" s="152" t="s">
        <v>15167</v>
      </c>
      <c r="C41" s="135">
        <v>219</v>
      </c>
    </row>
    <row r="42" spans="1:3" ht="26">
      <c r="A42" s="137" t="s">
        <v>15166</v>
      </c>
      <c r="B42" s="152" t="s">
        <v>15165</v>
      </c>
      <c r="C42" s="135">
        <v>229</v>
      </c>
    </row>
    <row r="43" spans="1:3">
      <c r="A43" s="246">
        <v>0</v>
      </c>
      <c r="B43" s="150">
        <v>0</v>
      </c>
      <c r="C43" s="352"/>
    </row>
    <row r="44" spans="1:3" ht="19.5">
      <c r="A44" s="358">
        <v>0</v>
      </c>
      <c r="B44" s="357" t="s">
        <v>15140</v>
      </c>
      <c r="C44" s="352"/>
    </row>
    <row r="45" spans="1:3">
      <c r="A45" s="246">
        <v>0</v>
      </c>
      <c r="B45" s="353" t="s">
        <v>15164</v>
      </c>
      <c r="C45" s="352"/>
    </row>
    <row r="46" spans="1:3" ht="26">
      <c r="A46" s="246">
        <v>0</v>
      </c>
      <c r="B46" s="329" t="s">
        <v>15138</v>
      </c>
      <c r="C46" s="352"/>
    </row>
    <row r="47" spans="1:3" ht="39">
      <c r="A47" s="218" t="s">
        <v>15163</v>
      </c>
      <c r="B47" s="152" t="s">
        <v>15162</v>
      </c>
      <c r="C47" s="135">
        <v>529</v>
      </c>
    </row>
    <row r="48" spans="1:3" ht="65">
      <c r="A48" s="137" t="s">
        <v>15161</v>
      </c>
      <c r="B48" s="152" t="s">
        <v>15160</v>
      </c>
      <c r="C48" s="135">
        <v>889</v>
      </c>
    </row>
    <row r="49" spans="1:3" ht="26">
      <c r="A49" s="137" t="s">
        <v>15159</v>
      </c>
      <c r="B49" s="152" t="s">
        <v>15158</v>
      </c>
      <c r="C49" s="135">
        <v>779</v>
      </c>
    </row>
    <row r="50" spans="1:3">
      <c r="A50" s="246">
        <v>0</v>
      </c>
      <c r="B50" s="246">
        <v>0</v>
      </c>
      <c r="C50" s="352"/>
    </row>
    <row r="51" spans="1:3" ht="19.5">
      <c r="A51" s="358">
        <v>0</v>
      </c>
      <c r="B51" s="357" t="s">
        <v>15140</v>
      </c>
      <c r="C51" s="352"/>
    </row>
    <row r="52" spans="1:3">
      <c r="A52" s="246">
        <v>0</v>
      </c>
      <c r="B52" s="353" t="s">
        <v>15157</v>
      </c>
      <c r="C52" s="352"/>
    </row>
    <row r="53" spans="1:3" ht="26">
      <c r="A53" s="246">
        <v>0</v>
      </c>
      <c r="B53" s="329" t="s">
        <v>15138</v>
      </c>
      <c r="C53" s="352"/>
    </row>
    <row r="54" spans="1:3" ht="91">
      <c r="A54" s="218" t="s">
        <v>15156</v>
      </c>
      <c r="B54" s="152" t="s">
        <v>15155</v>
      </c>
      <c r="C54" s="135">
        <v>1339</v>
      </c>
    </row>
    <row r="55" spans="1:3" ht="78">
      <c r="A55" s="137" t="s">
        <v>15154</v>
      </c>
      <c r="B55" s="152" t="s">
        <v>15153</v>
      </c>
      <c r="C55" s="135">
        <v>1059</v>
      </c>
    </row>
    <row r="56" spans="1:3" ht="78">
      <c r="A56" s="137" t="s">
        <v>15152</v>
      </c>
      <c r="B56" s="152" t="s">
        <v>15151</v>
      </c>
      <c r="C56" s="135">
        <v>1059</v>
      </c>
    </row>
    <row r="57" spans="1:3" ht="78">
      <c r="A57" s="137" t="s">
        <v>15150</v>
      </c>
      <c r="B57" s="152" t="s">
        <v>15149</v>
      </c>
      <c r="C57" s="135">
        <v>1079</v>
      </c>
    </row>
    <row r="58" spans="1:3" ht="78">
      <c r="A58" s="137" t="s">
        <v>15148</v>
      </c>
      <c r="B58" s="152" t="s">
        <v>15147</v>
      </c>
      <c r="C58" s="135">
        <v>1079</v>
      </c>
    </row>
    <row r="59" spans="1:3" ht="91">
      <c r="A59" s="137" t="s">
        <v>15146</v>
      </c>
      <c r="B59" s="152" t="s">
        <v>15145</v>
      </c>
      <c r="C59" s="135">
        <v>1179</v>
      </c>
    </row>
    <row r="60" spans="1:3" ht="78">
      <c r="A60" s="137" t="s">
        <v>15144</v>
      </c>
      <c r="B60" s="152" t="s">
        <v>15143</v>
      </c>
      <c r="C60" s="135">
        <v>1179</v>
      </c>
    </row>
    <row r="61" spans="1:3" ht="65">
      <c r="A61" s="137" t="s">
        <v>15142</v>
      </c>
      <c r="B61" s="152" t="s">
        <v>15141</v>
      </c>
      <c r="C61" s="135">
        <v>1749</v>
      </c>
    </row>
    <row r="62" spans="1:3">
      <c r="A62" s="246">
        <v>0</v>
      </c>
      <c r="B62" s="246">
        <v>0</v>
      </c>
      <c r="C62" s="352"/>
    </row>
    <row r="63" spans="1:3" ht="19.5">
      <c r="A63" s="358">
        <v>0</v>
      </c>
      <c r="B63" s="357" t="s">
        <v>15140</v>
      </c>
      <c r="C63" s="352"/>
    </row>
    <row r="64" spans="1:3">
      <c r="A64" s="246">
        <v>0</v>
      </c>
      <c r="B64" s="353" t="s">
        <v>15139</v>
      </c>
      <c r="C64" s="352"/>
    </row>
    <row r="65" spans="1:3" ht="26">
      <c r="A65" s="246">
        <v>0</v>
      </c>
      <c r="B65" s="329" t="s">
        <v>15138</v>
      </c>
      <c r="C65" s="352"/>
    </row>
    <row r="66" spans="1:3" ht="65">
      <c r="A66" s="137" t="s">
        <v>15137</v>
      </c>
      <c r="B66" s="152" t="s">
        <v>15136</v>
      </c>
      <c r="C66" s="135">
        <v>909</v>
      </c>
    </row>
    <row r="67" spans="1:3">
      <c r="A67" s="246">
        <v>0</v>
      </c>
      <c r="B67" s="354">
        <v>0</v>
      </c>
      <c r="C67" s="352"/>
    </row>
    <row r="68" spans="1:3">
      <c r="A68" s="246">
        <v>0</v>
      </c>
      <c r="B68" s="353" t="s">
        <v>15135</v>
      </c>
      <c r="C68" s="352"/>
    </row>
    <row r="69" spans="1:3" ht="26">
      <c r="A69" s="218" t="s">
        <v>15134</v>
      </c>
      <c r="B69" s="152" t="s">
        <v>15133</v>
      </c>
      <c r="C69" s="135">
        <v>809</v>
      </c>
    </row>
    <row r="70" spans="1:3" ht="65">
      <c r="A70" s="218" t="s">
        <v>15132</v>
      </c>
      <c r="B70" s="152" t="s">
        <v>15131</v>
      </c>
      <c r="C70" s="135">
        <v>839</v>
      </c>
    </row>
    <row r="71" spans="1:3" ht="26">
      <c r="A71" s="218" t="s">
        <v>15130</v>
      </c>
      <c r="B71" s="152" t="s">
        <v>15129</v>
      </c>
      <c r="C71" s="135">
        <v>1019</v>
      </c>
    </row>
    <row r="72" spans="1:3" ht="26">
      <c r="A72" s="218" t="s">
        <v>15128</v>
      </c>
      <c r="B72" s="152" t="s">
        <v>15127</v>
      </c>
      <c r="C72" s="135">
        <v>9.99</v>
      </c>
    </row>
    <row r="73" spans="1:3">
      <c r="A73" s="246">
        <v>0</v>
      </c>
      <c r="B73" s="354">
        <v>0</v>
      </c>
      <c r="C73" s="352"/>
    </row>
    <row r="74" spans="1:3" ht="21">
      <c r="A74" s="246">
        <v>0</v>
      </c>
      <c r="B74" s="356" t="s">
        <v>15126</v>
      </c>
      <c r="C74" s="352"/>
    </row>
    <row r="75" spans="1:3" ht="39">
      <c r="A75" s="218" t="s">
        <v>15125</v>
      </c>
      <c r="B75" s="152" t="s">
        <v>15124</v>
      </c>
      <c r="C75" s="135">
        <v>399</v>
      </c>
    </row>
    <row r="76" spans="1:3">
      <c r="A76" s="246"/>
      <c r="B76" s="354"/>
      <c r="C76" s="352"/>
    </row>
    <row r="77" spans="1:3" ht="29">
      <c r="A77" s="246">
        <v>0</v>
      </c>
      <c r="B77" s="353" t="s">
        <v>15123</v>
      </c>
      <c r="C77" s="352"/>
    </row>
    <row r="78" spans="1:3" s="355" customFormat="1" ht="52">
      <c r="A78" s="218" t="s">
        <v>15122</v>
      </c>
      <c r="B78" s="152" t="s">
        <v>15121</v>
      </c>
      <c r="C78" s="135">
        <v>39</v>
      </c>
    </row>
    <row r="79" spans="1:3" ht="91">
      <c r="A79" s="218" t="s">
        <v>15120</v>
      </c>
      <c r="B79" s="152" t="s">
        <v>15119</v>
      </c>
      <c r="C79" s="135">
        <v>109</v>
      </c>
    </row>
    <row r="80" spans="1:3" ht="91">
      <c r="A80" s="218" t="s">
        <v>15118</v>
      </c>
      <c r="B80" s="152" t="s">
        <v>15117</v>
      </c>
      <c r="C80" s="135">
        <v>49</v>
      </c>
    </row>
    <row r="81" spans="1:3">
      <c r="A81" s="246">
        <v>0</v>
      </c>
      <c r="B81" s="354">
        <v>0</v>
      </c>
      <c r="C81" s="352"/>
    </row>
    <row r="82" spans="1:3" ht="43.5">
      <c r="A82" s="246">
        <v>0</v>
      </c>
      <c r="B82" s="353" t="s">
        <v>15116</v>
      </c>
      <c r="C82" s="352"/>
    </row>
    <row r="83" spans="1:3" ht="39">
      <c r="A83" s="212" t="s">
        <v>15115</v>
      </c>
      <c r="B83" s="213" t="s">
        <v>15114</v>
      </c>
      <c r="C83" s="135">
        <v>619</v>
      </c>
    </row>
    <row r="84" spans="1:3" s="355" customFormat="1" ht="39">
      <c r="A84" s="212" t="s">
        <v>15113</v>
      </c>
      <c r="B84" s="213" t="s">
        <v>15112</v>
      </c>
      <c r="C84" s="135">
        <v>619</v>
      </c>
    </row>
    <row r="85" spans="1:3">
      <c r="A85" s="246">
        <v>0</v>
      </c>
      <c r="B85" s="354">
        <v>0</v>
      </c>
      <c r="C85" s="352"/>
    </row>
    <row r="86" spans="1:3" ht="43.5">
      <c r="A86" s="246">
        <v>0</v>
      </c>
      <c r="B86" s="353" t="s">
        <v>15111</v>
      </c>
      <c r="C86" s="352"/>
    </row>
    <row r="87" spans="1:3" ht="52">
      <c r="A87" s="218" t="s">
        <v>15110</v>
      </c>
      <c r="B87" s="291" t="s">
        <v>15109</v>
      </c>
      <c r="C87" s="135">
        <v>819</v>
      </c>
    </row>
    <row r="88" spans="1:3" ht="39">
      <c r="A88" s="218" t="s">
        <v>15108</v>
      </c>
      <c r="B88" s="291" t="s">
        <v>15107</v>
      </c>
      <c r="C88" s="135">
        <v>819</v>
      </c>
    </row>
    <row r="89" spans="1:3" ht="65">
      <c r="A89" s="212" t="s">
        <v>15106</v>
      </c>
      <c r="B89" s="213" t="s">
        <v>15105</v>
      </c>
      <c r="C89" s="135">
        <v>739</v>
      </c>
    </row>
    <row r="90" spans="1:3" ht="65">
      <c r="A90" s="212" t="s">
        <v>15104</v>
      </c>
      <c r="B90" s="213" t="s">
        <v>15103</v>
      </c>
      <c r="C90" s="135">
        <v>739</v>
      </c>
    </row>
    <row r="91" spans="1:3">
      <c r="A91" s="246">
        <v>0</v>
      </c>
      <c r="B91" s="354">
        <v>0</v>
      </c>
      <c r="C91" s="352"/>
    </row>
    <row r="92" spans="1:3">
      <c r="A92" s="246">
        <v>0</v>
      </c>
      <c r="B92" s="353" t="s">
        <v>15102</v>
      </c>
      <c r="C92" s="352"/>
    </row>
    <row r="93" spans="1:3" ht="52">
      <c r="A93" s="137" t="s">
        <v>15101</v>
      </c>
      <c r="B93" s="152" t="s">
        <v>15100</v>
      </c>
      <c r="C93" s="135">
        <v>359</v>
      </c>
    </row>
    <row r="94" spans="1:3" ht="52">
      <c r="A94" s="137" t="s">
        <v>15099</v>
      </c>
      <c r="B94" s="152" t="s">
        <v>15098</v>
      </c>
      <c r="C94" s="135">
        <v>359</v>
      </c>
    </row>
    <row r="95" spans="1:3" s="355" customFormat="1" ht="52">
      <c r="A95" s="137" t="s">
        <v>15097</v>
      </c>
      <c r="B95" s="152" t="s">
        <v>15096</v>
      </c>
      <c r="C95" s="135">
        <v>359</v>
      </c>
    </row>
    <row r="96" spans="1:3" ht="39">
      <c r="A96" s="137" t="s">
        <v>15095</v>
      </c>
      <c r="B96" s="152" t="s">
        <v>15094</v>
      </c>
      <c r="C96" s="135">
        <v>359</v>
      </c>
    </row>
    <row r="97" spans="1:3">
      <c r="A97" s="246">
        <v>0</v>
      </c>
      <c r="B97" s="354">
        <v>0</v>
      </c>
      <c r="C97" s="352"/>
    </row>
    <row r="98" spans="1:3">
      <c r="A98" s="246">
        <v>0</v>
      </c>
      <c r="B98" s="353" t="s">
        <v>15093</v>
      </c>
      <c r="C98" s="352"/>
    </row>
    <row r="99" spans="1:3" ht="26">
      <c r="A99" s="218" t="s">
        <v>14682</v>
      </c>
      <c r="B99" s="291" t="s">
        <v>14681</v>
      </c>
      <c r="C99" s="135">
        <v>199</v>
      </c>
    </row>
    <row r="100" spans="1:3">
      <c r="A100" s="246">
        <v>0</v>
      </c>
      <c r="B100" s="354">
        <v>0</v>
      </c>
      <c r="C100" s="352"/>
    </row>
    <row r="101" spans="1:3">
      <c r="A101" s="246">
        <v>0</v>
      </c>
      <c r="B101" s="353" t="s">
        <v>15092</v>
      </c>
      <c r="C101" s="352"/>
    </row>
    <row r="102" spans="1:3" ht="26">
      <c r="A102" s="218" t="s">
        <v>15091</v>
      </c>
      <c r="B102" s="291" t="s">
        <v>15090</v>
      </c>
      <c r="C102" s="135">
        <v>129</v>
      </c>
    </row>
    <row r="103" spans="1:3" ht="26">
      <c r="A103" s="218" t="s">
        <v>15089</v>
      </c>
      <c r="B103" s="291" t="s">
        <v>15088</v>
      </c>
      <c r="C103" s="135">
        <v>129</v>
      </c>
    </row>
    <row r="104" spans="1:3" ht="26">
      <c r="A104" s="218" t="s">
        <v>15087</v>
      </c>
      <c r="B104" s="291" t="s">
        <v>15086</v>
      </c>
      <c r="C104" s="135">
        <v>159</v>
      </c>
    </row>
    <row r="105" spans="1:3" s="355" customFormat="1" ht="26">
      <c r="A105" s="218" t="s">
        <v>15085</v>
      </c>
      <c r="B105" s="291" t="s">
        <v>15084</v>
      </c>
      <c r="C105" s="135">
        <v>159</v>
      </c>
    </row>
    <row r="106" spans="1:3" ht="26">
      <c r="A106" s="218" t="s">
        <v>15083</v>
      </c>
      <c r="B106" s="291" t="s">
        <v>15082</v>
      </c>
      <c r="C106" s="135">
        <v>249</v>
      </c>
    </row>
    <row r="107" spans="1:3" ht="26">
      <c r="A107" s="218" t="s">
        <v>15081</v>
      </c>
      <c r="B107" s="291" t="s">
        <v>15080</v>
      </c>
      <c r="C107" s="135">
        <v>249</v>
      </c>
    </row>
    <row r="108" spans="1:3" ht="26">
      <c r="A108" s="218" t="s">
        <v>15079</v>
      </c>
      <c r="B108" s="291" t="s">
        <v>15078</v>
      </c>
      <c r="C108" s="135">
        <v>9</v>
      </c>
    </row>
    <row r="109" spans="1:3">
      <c r="A109" s="246">
        <v>0</v>
      </c>
      <c r="B109" s="354">
        <v>0</v>
      </c>
      <c r="C109" s="352"/>
    </row>
    <row r="110" spans="1:3">
      <c r="A110" s="246">
        <v>0</v>
      </c>
      <c r="B110" s="353" t="s">
        <v>15077</v>
      </c>
      <c r="C110" s="352"/>
    </row>
    <row r="111" spans="1:3" ht="26">
      <c r="A111" s="218" t="s">
        <v>15076</v>
      </c>
      <c r="B111" s="291" t="s">
        <v>15075</v>
      </c>
      <c r="C111" s="135">
        <v>8.99</v>
      </c>
    </row>
    <row r="112" spans="1:3">
      <c r="A112" s="246">
        <v>0</v>
      </c>
      <c r="B112" s="354">
        <v>0</v>
      </c>
      <c r="C112" s="352"/>
    </row>
    <row r="113" spans="1:3">
      <c r="A113" s="246">
        <v>0</v>
      </c>
      <c r="B113" s="353" t="s">
        <v>15074</v>
      </c>
      <c r="C113" s="352"/>
    </row>
    <row r="114" spans="1:3">
      <c r="A114" s="218" t="s">
        <v>15073</v>
      </c>
      <c r="B114" s="291" t="s">
        <v>15072</v>
      </c>
      <c r="C114" s="135">
        <v>49</v>
      </c>
    </row>
  </sheetData>
  <sheetProtection insertColumns="0" insertRows="0"/>
  <autoFilter ref="A2:C114" xr:uid="{00000000-0009-0000-0000-000025000000}"/>
  <printOptions horizontalCentered="1"/>
  <pageMargins left="0.4" right="0.4" top="0.75" bottom="0.5" header="0.3" footer="0.3"/>
  <pageSetup scale="66" fitToHeight="0" orientation="portrait" r:id="rId1"/>
  <headerFooter>
    <oddHeader>&amp;C SETINA MFG 2022 PRICE LIST&amp;R&amp;A</oddHeader>
    <oddFooter>&amp;C&amp;F&amp;R&amp;P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0E71E-180E-49C1-9AC3-575863DAB9EA}">
  <sheetPr codeName="Sheet22">
    <tabColor theme="2" tint="-9.9978637043366805E-2"/>
    <pageSetUpPr fitToPage="1"/>
  </sheetPr>
  <dimension ref="A1:C72"/>
  <sheetViews>
    <sheetView zoomScale="120" zoomScaleNormal="120" zoomScaleSheetLayoutView="80" zoomScalePageLayoutView="140" workbookViewId="0">
      <pane ySplit="2" topLeftCell="A3" activePane="bottomLeft" state="frozen"/>
      <selection activeCell="C8" sqref="C8"/>
      <selection pane="bottomLeft" activeCell="C8" sqref="C8"/>
    </sheetView>
  </sheetViews>
  <sheetFormatPr defaultColWidth="9.1796875" defaultRowHeight="14.5"/>
  <cols>
    <col min="1" max="1" width="26.7265625" style="298" customWidth="1"/>
    <col min="2" max="2" width="78.7265625" style="361" customWidth="1"/>
    <col min="3" max="3" width="13.453125" style="158" bestFit="1" customWidth="1"/>
    <col min="4" max="16384" width="9.1796875" style="167"/>
  </cols>
  <sheetData>
    <row r="1" spans="1:3">
      <c r="A1" s="372" t="s">
        <v>15279</v>
      </c>
      <c r="B1" s="371"/>
      <c r="C1" s="236"/>
    </row>
    <row r="2" spans="1:3" s="158" customFormat="1">
      <c r="A2" s="370" t="s">
        <v>0</v>
      </c>
      <c r="B2" s="369" t="s">
        <v>3518</v>
      </c>
      <c r="C2" s="200" t="s">
        <v>13563</v>
      </c>
    </row>
    <row r="3" spans="1:3" s="246" customFormat="1">
      <c r="A3" s="294"/>
      <c r="B3" s="180"/>
      <c r="C3" s="233"/>
    </row>
    <row r="4" spans="1:3">
      <c r="A4" s="298" t="s">
        <v>15278</v>
      </c>
      <c r="B4" s="368"/>
      <c r="C4" s="233"/>
    </row>
    <row r="5" spans="1:3">
      <c r="A5" s="364" t="s">
        <v>14869</v>
      </c>
      <c r="B5" s="363"/>
      <c r="C5" s="367"/>
    </row>
    <row r="6" spans="1:3" ht="29">
      <c r="A6" s="137" t="s">
        <v>15277</v>
      </c>
      <c r="B6" s="362" t="s">
        <v>15227</v>
      </c>
      <c r="C6" s="135">
        <v>679</v>
      </c>
    </row>
    <row r="7" spans="1:3" ht="58">
      <c r="A7" s="137" t="s">
        <v>15276</v>
      </c>
      <c r="B7" s="362" t="s">
        <v>15225</v>
      </c>
      <c r="C7" s="135">
        <v>3449</v>
      </c>
    </row>
    <row r="8" spans="1:3" ht="29">
      <c r="A8" s="137" t="s">
        <v>15275</v>
      </c>
      <c r="B8" s="362" t="s">
        <v>15223</v>
      </c>
      <c r="C8" s="135">
        <v>2499</v>
      </c>
    </row>
    <row r="9" spans="1:3" ht="29">
      <c r="A9" s="137" t="s">
        <v>15274</v>
      </c>
      <c r="B9" s="362" t="s">
        <v>15273</v>
      </c>
      <c r="C9" s="135">
        <v>439</v>
      </c>
    </row>
    <row r="10" spans="1:3" ht="43.5">
      <c r="A10" s="137" t="s">
        <v>15272</v>
      </c>
      <c r="B10" s="362" t="s">
        <v>15271</v>
      </c>
      <c r="C10" s="135">
        <v>779</v>
      </c>
    </row>
    <row r="11" spans="1:3">
      <c r="A11" s="365"/>
      <c r="B11" s="363"/>
      <c r="C11" s="352"/>
    </row>
    <row r="12" spans="1:3">
      <c r="A12" s="298" t="s">
        <v>15270</v>
      </c>
      <c r="B12" s="366"/>
      <c r="C12" s="352"/>
    </row>
    <row r="13" spans="1:3">
      <c r="A13" s="364" t="s">
        <v>14202</v>
      </c>
      <c r="B13" s="363"/>
      <c r="C13" s="352"/>
    </row>
    <row r="14" spans="1:3" ht="29">
      <c r="A14" s="137" t="s">
        <v>15269</v>
      </c>
      <c r="B14" s="362" t="s">
        <v>15227</v>
      </c>
      <c r="C14" s="135">
        <v>679</v>
      </c>
    </row>
    <row r="15" spans="1:3" ht="58">
      <c r="A15" s="137" t="s">
        <v>15268</v>
      </c>
      <c r="B15" s="362" t="s">
        <v>15225</v>
      </c>
      <c r="C15" s="135">
        <v>3449</v>
      </c>
    </row>
    <row r="16" spans="1:3" ht="29">
      <c r="A16" s="137" t="s">
        <v>15267</v>
      </c>
      <c r="B16" s="362" t="s">
        <v>15223</v>
      </c>
      <c r="C16" s="135">
        <v>2499</v>
      </c>
    </row>
    <row r="17" spans="1:3" ht="29">
      <c r="A17" s="137" t="s">
        <v>15266</v>
      </c>
      <c r="B17" s="362" t="s">
        <v>15231</v>
      </c>
      <c r="C17" s="135">
        <v>449</v>
      </c>
    </row>
    <row r="18" spans="1:3" ht="43.5">
      <c r="A18" s="137" t="s">
        <v>15265</v>
      </c>
      <c r="B18" s="362" t="s">
        <v>15219</v>
      </c>
      <c r="C18" s="135">
        <v>779</v>
      </c>
    </row>
    <row r="19" spans="1:3">
      <c r="A19" s="365"/>
      <c r="B19" s="363"/>
      <c r="C19" s="352"/>
    </row>
    <row r="20" spans="1:3">
      <c r="A20" s="364" t="s">
        <v>15264</v>
      </c>
      <c r="B20" s="363"/>
      <c r="C20" s="352"/>
    </row>
    <row r="21" spans="1:3" ht="29">
      <c r="A21" s="137" t="s">
        <v>15262</v>
      </c>
      <c r="B21" s="362" t="s">
        <v>15227</v>
      </c>
      <c r="C21" s="135">
        <v>679</v>
      </c>
    </row>
    <row r="22" spans="1:3" ht="58">
      <c r="A22" s="137" t="s">
        <v>15261</v>
      </c>
      <c r="B22" s="362" t="s">
        <v>15225</v>
      </c>
      <c r="C22" s="135">
        <v>3449</v>
      </c>
    </row>
    <row r="23" spans="1:3" ht="29">
      <c r="A23" s="137" t="s">
        <v>15260</v>
      </c>
      <c r="B23" s="362" t="s">
        <v>15223</v>
      </c>
      <c r="C23" s="135">
        <v>2499</v>
      </c>
    </row>
    <row r="24" spans="1:3">
      <c r="A24" s="365"/>
      <c r="B24" s="363"/>
      <c r="C24" s="352"/>
    </row>
    <row r="25" spans="1:3">
      <c r="A25" s="364" t="s">
        <v>15263</v>
      </c>
      <c r="B25" s="363"/>
      <c r="C25" s="352"/>
    </row>
    <row r="26" spans="1:3" ht="29">
      <c r="A26" s="137" t="s">
        <v>15262</v>
      </c>
      <c r="B26" s="362" t="s">
        <v>15227</v>
      </c>
      <c r="C26" s="135">
        <v>679</v>
      </c>
    </row>
    <row r="27" spans="1:3" ht="58">
      <c r="A27" s="137" t="s">
        <v>15261</v>
      </c>
      <c r="B27" s="362" t="s">
        <v>15225</v>
      </c>
      <c r="C27" s="135">
        <v>3449</v>
      </c>
    </row>
    <row r="28" spans="1:3" ht="29">
      <c r="A28" s="137" t="s">
        <v>15260</v>
      </c>
      <c r="B28" s="362" t="s">
        <v>15223</v>
      </c>
      <c r="C28" s="135">
        <v>2499</v>
      </c>
    </row>
    <row r="29" spans="1:3" ht="29">
      <c r="A29" s="137" t="s">
        <v>15259</v>
      </c>
      <c r="B29" s="362" t="s">
        <v>15231</v>
      </c>
      <c r="C29" s="135">
        <v>449</v>
      </c>
    </row>
    <row r="30" spans="1:3" ht="43.5">
      <c r="A30" s="137" t="s">
        <v>15258</v>
      </c>
      <c r="B30" s="362" t="s">
        <v>15219</v>
      </c>
      <c r="C30" s="135">
        <v>779</v>
      </c>
    </row>
    <row r="31" spans="1:3">
      <c r="A31" s="365"/>
      <c r="B31" s="363"/>
      <c r="C31" s="352"/>
    </row>
    <row r="32" spans="1:3">
      <c r="A32" s="364" t="s">
        <v>15257</v>
      </c>
      <c r="B32" s="363"/>
      <c r="C32" s="352"/>
    </row>
    <row r="33" spans="1:3" ht="29">
      <c r="A33" s="137" t="s">
        <v>15256</v>
      </c>
      <c r="B33" s="362" t="s">
        <v>15227</v>
      </c>
      <c r="C33" s="135">
        <v>679</v>
      </c>
    </row>
    <row r="34" spans="1:3" ht="58">
      <c r="A34" s="137" t="s">
        <v>15255</v>
      </c>
      <c r="B34" s="362" t="s">
        <v>15225</v>
      </c>
      <c r="C34" s="135">
        <v>3449</v>
      </c>
    </row>
    <row r="35" spans="1:3" ht="29">
      <c r="A35" s="137" t="s">
        <v>15254</v>
      </c>
      <c r="B35" s="362" t="s">
        <v>15223</v>
      </c>
      <c r="C35" s="135">
        <v>2499</v>
      </c>
    </row>
    <row r="36" spans="1:3" ht="29">
      <c r="A36" s="137" t="s">
        <v>15253</v>
      </c>
      <c r="B36" s="362" t="s">
        <v>15231</v>
      </c>
      <c r="C36" s="135">
        <v>449</v>
      </c>
    </row>
    <row r="37" spans="1:3" ht="43.5">
      <c r="A37" s="137" t="s">
        <v>15248</v>
      </c>
      <c r="B37" s="362" t="s">
        <v>15219</v>
      </c>
      <c r="C37" s="135">
        <v>779</v>
      </c>
    </row>
    <row r="38" spans="1:3">
      <c r="A38" s="365"/>
      <c r="B38" s="363"/>
      <c r="C38" s="352"/>
    </row>
    <row r="39" spans="1:3">
      <c r="A39" s="364" t="s">
        <v>14559</v>
      </c>
      <c r="B39" s="363"/>
      <c r="C39" s="352"/>
    </row>
    <row r="40" spans="1:3" ht="29">
      <c r="A40" s="137" t="s">
        <v>15252</v>
      </c>
      <c r="B40" s="362" t="s">
        <v>15227</v>
      </c>
      <c r="C40" s="135">
        <v>679</v>
      </c>
    </row>
    <row r="41" spans="1:3" ht="58">
      <c r="A41" s="137" t="s">
        <v>15251</v>
      </c>
      <c r="B41" s="362" t="s">
        <v>15225</v>
      </c>
      <c r="C41" s="135">
        <v>3449</v>
      </c>
    </row>
    <row r="42" spans="1:3" ht="29">
      <c r="A42" s="137" t="s">
        <v>15250</v>
      </c>
      <c r="B42" s="362" t="s">
        <v>15223</v>
      </c>
      <c r="C42" s="135">
        <v>2499</v>
      </c>
    </row>
    <row r="43" spans="1:3" ht="29">
      <c r="A43" s="137" t="s">
        <v>15249</v>
      </c>
      <c r="B43" s="362" t="s">
        <v>15231</v>
      </c>
      <c r="C43" s="135">
        <v>449</v>
      </c>
    </row>
    <row r="44" spans="1:3" ht="43.5">
      <c r="A44" s="137" t="s">
        <v>15248</v>
      </c>
      <c r="B44" s="362" t="s">
        <v>15219</v>
      </c>
      <c r="C44" s="135">
        <v>779</v>
      </c>
    </row>
    <row r="45" spans="1:3">
      <c r="A45" s="365"/>
      <c r="B45" s="363"/>
      <c r="C45" s="352"/>
    </row>
    <row r="46" spans="1:3">
      <c r="A46" s="364" t="s">
        <v>15247</v>
      </c>
      <c r="B46" s="363"/>
      <c r="C46" s="352"/>
    </row>
    <row r="47" spans="1:3" ht="29">
      <c r="A47" s="137" t="s">
        <v>15246</v>
      </c>
      <c r="B47" s="362" t="s">
        <v>15227</v>
      </c>
      <c r="C47" s="135">
        <v>679</v>
      </c>
    </row>
    <row r="48" spans="1:3" ht="58">
      <c r="A48" s="137" t="s">
        <v>15245</v>
      </c>
      <c r="B48" s="362" t="s">
        <v>15225</v>
      </c>
      <c r="C48" s="135">
        <v>3449</v>
      </c>
    </row>
    <row r="49" spans="1:3" ht="29">
      <c r="A49" s="137" t="s">
        <v>15244</v>
      </c>
      <c r="B49" s="362" t="s">
        <v>15223</v>
      </c>
      <c r="C49" s="135">
        <v>2499</v>
      </c>
    </row>
    <row r="50" spans="1:3" ht="29">
      <c r="A50" s="137" t="s">
        <v>15243</v>
      </c>
      <c r="B50" s="362" t="s">
        <v>15231</v>
      </c>
      <c r="C50" s="135">
        <v>449</v>
      </c>
    </row>
    <row r="51" spans="1:3" ht="43.5">
      <c r="A51" s="137" t="s">
        <v>15242</v>
      </c>
      <c r="B51" s="362" t="s">
        <v>15219</v>
      </c>
      <c r="C51" s="135">
        <v>779</v>
      </c>
    </row>
    <row r="52" spans="1:3">
      <c r="A52" s="365"/>
      <c r="B52" s="363"/>
      <c r="C52" s="352"/>
    </row>
    <row r="53" spans="1:3">
      <c r="A53" s="364" t="s">
        <v>13564</v>
      </c>
      <c r="B53" s="363"/>
      <c r="C53" s="352"/>
    </row>
    <row r="54" spans="1:3" ht="29">
      <c r="A54" s="137" t="s">
        <v>15241</v>
      </c>
      <c r="B54" s="362" t="s">
        <v>15227</v>
      </c>
      <c r="C54" s="135">
        <v>679</v>
      </c>
    </row>
    <row r="55" spans="1:3" ht="58">
      <c r="A55" s="137" t="s">
        <v>15240</v>
      </c>
      <c r="B55" s="362" t="s">
        <v>15225</v>
      </c>
      <c r="C55" s="135">
        <v>3449</v>
      </c>
    </row>
    <row r="56" spans="1:3" ht="29">
      <c r="A56" s="137" t="s">
        <v>15239</v>
      </c>
      <c r="B56" s="362" t="s">
        <v>15223</v>
      </c>
      <c r="C56" s="135">
        <v>2499</v>
      </c>
    </row>
    <row r="57" spans="1:3" ht="29">
      <c r="A57" s="137" t="s">
        <v>15238</v>
      </c>
      <c r="B57" s="362" t="s">
        <v>15221</v>
      </c>
      <c r="C57" s="135">
        <v>449</v>
      </c>
    </row>
    <row r="58" spans="1:3" ht="43.5">
      <c r="A58" s="137" t="s">
        <v>15237</v>
      </c>
      <c r="B58" s="362" t="s">
        <v>15219</v>
      </c>
      <c r="C58" s="135">
        <v>779</v>
      </c>
    </row>
    <row r="59" spans="1:3">
      <c r="A59" s="365"/>
      <c r="B59" s="363"/>
      <c r="C59" s="352"/>
    </row>
    <row r="60" spans="1:3">
      <c r="A60" s="364" t="s">
        <v>15236</v>
      </c>
      <c r="B60" s="363"/>
      <c r="C60" s="352"/>
    </row>
    <row r="61" spans="1:3" ht="29">
      <c r="A61" s="137" t="s">
        <v>15235</v>
      </c>
      <c r="B61" s="362" t="s">
        <v>15227</v>
      </c>
      <c r="C61" s="135">
        <v>679</v>
      </c>
    </row>
    <row r="62" spans="1:3" ht="58">
      <c r="A62" s="137" t="s">
        <v>15234</v>
      </c>
      <c r="B62" s="362" t="s">
        <v>15225</v>
      </c>
      <c r="C62" s="135">
        <v>3449</v>
      </c>
    </row>
    <row r="63" spans="1:3" ht="29">
      <c r="A63" s="137" t="s">
        <v>15233</v>
      </c>
      <c r="B63" s="362" t="s">
        <v>15223</v>
      </c>
      <c r="C63" s="135">
        <v>2499</v>
      </c>
    </row>
    <row r="64" spans="1:3" ht="29">
      <c r="A64" s="137" t="s">
        <v>15232</v>
      </c>
      <c r="B64" s="362" t="s">
        <v>15231</v>
      </c>
      <c r="C64" s="135">
        <v>449</v>
      </c>
    </row>
    <row r="65" spans="1:3" ht="43.5">
      <c r="A65" s="137" t="s">
        <v>15230</v>
      </c>
      <c r="B65" s="362" t="s">
        <v>15219</v>
      </c>
      <c r="C65" s="135">
        <v>779</v>
      </c>
    </row>
    <row r="66" spans="1:3">
      <c r="A66" s="365"/>
      <c r="B66" s="363"/>
      <c r="C66" s="352"/>
    </row>
    <row r="67" spans="1:3">
      <c r="A67" s="364" t="s">
        <v>15229</v>
      </c>
      <c r="B67" s="363"/>
      <c r="C67" s="352"/>
    </row>
    <row r="68" spans="1:3" ht="29">
      <c r="A68" s="137" t="s">
        <v>15228</v>
      </c>
      <c r="B68" s="362" t="s">
        <v>15227</v>
      </c>
      <c r="C68" s="135">
        <v>679</v>
      </c>
    </row>
    <row r="69" spans="1:3" ht="58">
      <c r="A69" s="137" t="s">
        <v>15226</v>
      </c>
      <c r="B69" s="362" t="s">
        <v>15225</v>
      </c>
      <c r="C69" s="135">
        <v>3449</v>
      </c>
    </row>
    <row r="70" spans="1:3" ht="29">
      <c r="A70" s="137" t="s">
        <v>15224</v>
      </c>
      <c r="B70" s="362" t="s">
        <v>15223</v>
      </c>
      <c r="C70" s="135">
        <v>2499</v>
      </c>
    </row>
    <row r="71" spans="1:3" ht="29">
      <c r="A71" s="137" t="s">
        <v>15222</v>
      </c>
      <c r="B71" s="362" t="s">
        <v>15221</v>
      </c>
      <c r="C71" s="135">
        <v>449</v>
      </c>
    </row>
    <row r="72" spans="1:3" ht="43.5">
      <c r="A72" s="137" t="s">
        <v>15220</v>
      </c>
      <c r="B72" s="362" t="s">
        <v>15219</v>
      </c>
      <c r="C72" s="135">
        <v>779</v>
      </c>
    </row>
  </sheetData>
  <sheetProtection insertColumns="0" insertRows="0"/>
  <autoFilter ref="A2:C72" xr:uid="{00000000-0009-0000-0000-000026000000}"/>
  <printOptions horizontalCentered="1"/>
  <pageMargins left="0.4" right="0.4" top="0.75" bottom="0.5" header="0.3" footer="0.3"/>
  <pageSetup scale="66" fitToHeight="0" orientation="portrait" r:id="rId1"/>
  <headerFooter>
    <oddHeader>&amp;C SETINA MFG 2022 PRICE LIST&amp;R&amp;A</oddHeader>
    <oddFooter>&amp;C&amp;F&amp;R&amp;P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CFA9-906B-4CBF-B784-40E6794F5FE9}">
  <sheetPr>
    <tabColor theme="2" tint="-9.9978637043366805E-2"/>
  </sheetPr>
  <dimension ref="A1:H132"/>
  <sheetViews>
    <sheetView zoomScaleNormal="100" workbookViewId="0">
      <selection activeCell="C8" sqref="C8"/>
    </sheetView>
  </sheetViews>
  <sheetFormatPr defaultColWidth="9" defaultRowHeight="18.5"/>
  <cols>
    <col min="1" max="1" width="22.7265625" style="1156" bestFit="1" customWidth="1"/>
    <col min="2" max="2" width="53.7265625" style="1155" customWidth="1"/>
    <col min="3" max="3" width="9.54296875" style="1154" customWidth="1"/>
    <col min="4" max="16384" width="9" style="1153"/>
  </cols>
  <sheetData>
    <row r="1" spans="1:8" ht="18" customHeight="1">
      <c r="A1" s="1203" t="s">
        <v>58707</v>
      </c>
      <c r="B1" s="1202" t="s">
        <v>58706</v>
      </c>
      <c r="C1" s="1201" t="s">
        <v>263</v>
      </c>
    </row>
    <row r="2" spans="1:8" ht="30">
      <c r="A2" s="1167">
        <v>8211</v>
      </c>
      <c r="B2" s="1175" t="s">
        <v>58705</v>
      </c>
      <c r="C2" s="1157">
        <v>772.27</v>
      </c>
    </row>
    <row r="3" spans="1:8" ht="30">
      <c r="A3" s="1167" t="s">
        <v>58704</v>
      </c>
      <c r="B3" s="1175" t="s">
        <v>58703</v>
      </c>
      <c r="C3" s="1157">
        <v>854.99</v>
      </c>
    </row>
    <row r="4" spans="1:8" ht="30">
      <c r="A4" s="1167" t="s">
        <v>58702</v>
      </c>
      <c r="B4" s="1175" t="s">
        <v>58701</v>
      </c>
      <c r="C4" s="1157">
        <v>803.25</v>
      </c>
    </row>
    <row r="5" spans="1:8" ht="30">
      <c r="A5" s="1167" t="s">
        <v>58700</v>
      </c>
      <c r="B5" s="1175" t="s">
        <v>58699</v>
      </c>
      <c r="C5" s="1157">
        <v>797.17</v>
      </c>
    </row>
    <row r="6" spans="1:8" ht="30">
      <c r="A6" s="1200" t="s">
        <v>37600</v>
      </c>
      <c r="B6" s="1192" t="s">
        <v>58698</v>
      </c>
      <c r="C6" s="1157">
        <v>842.73</v>
      </c>
    </row>
    <row r="7" spans="1:8" ht="44.5">
      <c r="A7" s="1200" t="s">
        <v>58697</v>
      </c>
      <c r="B7" s="1192" t="s">
        <v>58696</v>
      </c>
      <c r="C7" s="1157">
        <v>895.87</v>
      </c>
    </row>
    <row r="8" spans="1:8" ht="30">
      <c r="A8" s="1200" t="s">
        <v>58695</v>
      </c>
      <c r="B8" s="1192" t="s">
        <v>58694</v>
      </c>
      <c r="C8" s="1157">
        <v>819.95</v>
      </c>
    </row>
    <row r="9" spans="1:8" ht="30">
      <c r="A9" s="1200" t="s">
        <v>54234</v>
      </c>
      <c r="B9" s="1192" t="s">
        <v>58693</v>
      </c>
      <c r="C9" s="1157">
        <v>865.5</v>
      </c>
    </row>
    <row r="10" spans="1:8" ht="44.5">
      <c r="A10" s="1200" t="s">
        <v>58692</v>
      </c>
      <c r="B10" s="1192" t="s">
        <v>58691</v>
      </c>
      <c r="C10" s="1157">
        <v>918.65</v>
      </c>
    </row>
    <row r="11" spans="1:8" ht="30">
      <c r="A11" s="1188">
        <v>4110</v>
      </c>
      <c r="B11" s="1169" t="s">
        <v>58690</v>
      </c>
      <c r="C11" s="1157">
        <v>357.70612499999999</v>
      </c>
      <c r="D11" s="1197"/>
      <c r="E11" s="1197"/>
      <c r="F11" s="1196"/>
      <c r="H11" s="1195"/>
    </row>
    <row r="12" spans="1:8" ht="44.5">
      <c r="A12" s="1188" t="s">
        <v>58689</v>
      </c>
      <c r="B12" s="912" t="s">
        <v>58688</v>
      </c>
      <c r="C12" s="1157">
        <v>509.36823000000004</v>
      </c>
      <c r="D12" s="1197"/>
      <c r="E12" s="1197"/>
      <c r="F12" s="1196"/>
      <c r="H12" s="1195"/>
    </row>
    <row r="13" spans="1:8" ht="44.5">
      <c r="A13" s="1188" t="s">
        <v>58687</v>
      </c>
      <c r="B13" s="912" t="s">
        <v>58686</v>
      </c>
      <c r="C13" s="1157">
        <v>555.15726000000006</v>
      </c>
      <c r="D13" s="1197"/>
      <c r="E13" s="1197"/>
      <c r="F13" s="1196"/>
      <c r="H13" s="1195"/>
    </row>
    <row r="14" spans="1:8" ht="44.5">
      <c r="A14" s="1188" t="s">
        <v>58685</v>
      </c>
      <c r="B14" s="912" t="s">
        <v>58684</v>
      </c>
      <c r="C14" s="1157">
        <v>572.32980000000009</v>
      </c>
      <c r="D14" s="1197"/>
      <c r="E14" s="1197"/>
      <c r="F14" s="1196"/>
      <c r="H14" s="1195"/>
    </row>
    <row r="15" spans="1:8" s="1198" customFormat="1" ht="44.5">
      <c r="A15" s="1188" t="s">
        <v>54235</v>
      </c>
      <c r="B15" s="912" t="s">
        <v>58683</v>
      </c>
      <c r="C15" s="1157">
        <v>618.11883</v>
      </c>
      <c r="D15" s="1197"/>
      <c r="E15" s="1197"/>
      <c r="F15" s="1199"/>
    </row>
    <row r="16" spans="1:8">
      <c r="A16" s="1188">
        <v>4100</v>
      </c>
      <c r="B16" s="1169" t="s">
        <v>58682</v>
      </c>
      <c r="C16" s="1157">
        <v>272.53800000000001</v>
      </c>
      <c r="D16" s="1197"/>
      <c r="E16" s="1197"/>
      <c r="F16" s="1196"/>
      <c r="H16" s="1195"/>
    </row>
    <row r="17" spans="1:8" ht="30">
      <c r="A17" s="1188" t="s">
        <v>58681</v>
      </c>
      <c r="B17" s="912" t="s">
        <v>58680</v>
      </c>
      <c r="C17" s="1157">
        <v>424.20672000000002</v>
      </c>
      <c r="D17" s="1197"/>
      <c r="E17" s="1197"/>
      <c r="F17" s="1196"/>
      <c r="H17" s="1195"/>
    </row>
    <row r="18" spans="1:8" ht="44.5">
      <c r="A18" s="1188" t="s">
        <v>58663</v>
      </c>
      <c r="B18" s="912" t="s">
        <v>58679</v>
      </c>
      <c r="C18" s="1157">
        <v>487.16829000000007</v>
      </c>
      <c r="D18" s="1197"/>
      <c r="E18" s="1197"/>
      <c r="F18" s="1196"/>
      <c r="H18" s="1195"/>
    </row>
    <row r="19" spans="1:8" ht="30" customHeight="1">
      <c r="A19" s="1186" t="s">
        <v>58655</v>
      </c>
      <c r="B19" s="1185" t="s">
        <v>58678</v>
      </c>
      <c r="C19" s="1177">
        <v>1539.9</v>
      </c>
    </row>
    <row r="20" spans="1:8" ht="59">
      <c r="A20" s="1186" t="s">
        <v>58651</v>
      </c>
      <c r="B20" s="1185" t="s">
        <v>58677</v>
      </c>
      <c r="C20" s="1177">
        <v>1353.74</v>
      </c>
    </row>
    <row r="21" spans="1:8" ht="59">
      <c r="A21" s="1186" t="s">
        <v>58647</v>
      </c>
      <c r="B21" s="1185" t="s">
        <v>58676</v>
      </c>
      <c r="C21" s="1177">
        <v>1376.51</v>
      </c>
    </row>
    <row r="22" spans="1:8" ht="44.5">
      <c r="A22" s="1194" t="s">
        <v>58643</v>
      </c>
      <c r="B22" s="1185" t="s">
        <v>58675</v>
      </c>
      <c r="C22" s="1157">
        <v>1841.87</v>
      </c>
    </row>
    <row r="23" spans="1:8" ht="30">
      <c r="A23" s="1182">
        <v>8800</v>
      </c>
      <c r="B23" s="1193" t="s">
        <v>58674</v>
      </c>
      <c r="C23" s="1157">
        <v>745.09</v>
      </c>
    </row>
    <row r="24" spans="1:8" ht="30">
      <c r="A24" s="1182" t="s">
        <v>58673</v>
      </c>
      <c r="B24" s="1192" t="s">
        <v>58672</v>
      </c>
      <c r="C24" s="1157">
        <v>785.15</v>
      </c>
    </row>
    <row r="25" spans="1:8" ht="30">
      <c r="A25" s="1182" t="s">
        <v>58671</v>
      </c>
      <c r="B25" s="1192" t="s">
        <v>58670</v>
      </c>
      <c r="C25" s="1157">
        <v>838.81</v>
      </c>
    </row>
    <row r="26" spans="1:8" ht="30">
      <c r="A26" s="1182" t="s">
        <v>58669</v>
      </c>
      <c r="B26" s="1192" t="s">
        <v>58668</v>
      </c>
      <c r="C26" s="1157">
        <v>808.05</v>
      </c>
    </row>
    <row r="27" spans="1:8" ht="30">
      <c r="A27" s="1182" t="s">
        <v>58667</v>
      </c>
      <c r="B27" s="1192" t="s">
        <v>58666</v>
      </c>
      <c r="C27" s="1157">
        <v>861.71</v>
      </c>
    </row>
    <row r="28" spans="1:8" ht="29">
      <c r="A28" s="1191">
        <v>9111</v>
      </c>
      <c r="B28" s="1190" t="s">
        <v>58665</v>
      </c>
      <c r="C28" s="1189">
        <v>801.47</v>
      </c>
    </row>
    <row r="29" spans="1:8" ht="29">
      <c r="A29" s="1191">
        <v>9101</v>
      </c>
      <c r="B29" s="1190" t="s">
        <v>58664</v>
      </c>
      <c r="C29" s="1189">
        <v>709.86</v>
      </c>
    </row>
    <row r="30" spans="1:8" ht="44.5">
      <c r="A30" s="1188" t="s">
        <v>58663</v>
      </c>
      <c r="B30" s="912" t="s">
        <v>58662</v>
      </c>
      <c r="C30" s="1177">
        <v>572.33000000000004</v>
      </c>
    </row>
    <row r="31" spans="1:8" ht="30">
      <c r="A31" s="1187" t="s">
        <v>58661</v>
      </c>
      <c r="B31" s="1185" t="s">
        <v>58660</v>
      </c>
      <c r="C31" s="1157">
        <v>1710.77</v>
      </c>
    </row>
    <row r="32" spans="1:8" ht="44.5">
      <c r="A32" s="1187" t="s">
        <v>58659</v>
      </c>
      <c r="B32" s="1185" t="s">
        <v>58658</v>
      </c>
      <c r="C32" s="1157">
        <v>1756.56</v>
      </c>
    </row>
    <row r="33" spans="1:3" ht="44.5">
      <c r="A33" s="1170" t="s">
        <v>58657</v>
      </c>
      <c r="B33" s="1185" t="s">
        <v>58656</v>
      </c>
      <c r="C33" s="1157">
        <v>1463.32</v>
      </c>
    </row>
    <row r="34" spans="1:3" ht="59">
      <c r="A34" s="396" t="s">
        <v>58655</v>
      </c>
      <c r="B34" s="1185" t="s">
        <v>58654</v>
      </c>
      <c r="C34" s="1157">
        <v>1509.11</v>
      </c>
    </row>
    <row r="35" spans="1:3" ht="59">
      <c r="A35" s="1170" t="s">
        <v>58653</v>
      </c>
      <c r="B35" s="1185" t="s">
        <v>58652</v>
      </c>
      <c r="C35" s="1157">
        <v>1369.21</v>
      </c>
    </row>
    <row r="36" spans="1:3" ht="59">
      <c r="A36" s="1186" t="s">
        <v>58651</v>
      </c>
      <c r="B36" s="1185" t="s">
        <v>58650</v>
      </c>
      <c r="C36" s="1157">
        <v>1415</v>
      </c>
    </row>
    <row r="37" spans="1:3" ht="59">
      <c r="A37" s="1170" t="s">
        <v>58649</v>
      </c>
      <c r="B37" s="1185" t="s">
        <v>58648</v>
      </c>
      <c r="C37" s="1157">
        <v>1392.11</v>
      </c>
    </row>
    <row r="38" spans="1:3" ht="59">
      <c r="A38" s="1186" t="s">
        <v>58647</v>
      </c>
      <c r="B38" s="1185" t="s">
        <v>58646</v>
      </c>
      <c r="C38" s="1157">
        <v>1437.9</v>
      </c>
    </row>
    <row r="39" spans="1:3" ht="30">
      <c r="A39" s="1170" t="s">
        <v>58645</v>
      </c>
      <c r="B39" s="1185" t="s">
        <v>58644</v>
      </c>
      <c r="C39" s="1157">
        <v>1798.94</v>
      </c>
    </row>
    <row r="40" spans="1:3" ht="44.5">
      <c r="A40" s="1186" t="s">
        <v>58643</v>
      </c>
      <c r="B40" s="1185" t="s">
        <v>58642</v>
      </c>
      <c r="C40" s="1157">
        <v>1844.73</v>
      </c>
    </row>
    <row r="41" spans="1:3" ht="30">
      <c r="A41" s="1186" t="s">
        <v>58641</v>
      </c>
      <c r="B41" s="1185" t="s">
        <v>58640</v>
      </c>
      <c r="C41" s="1157">
        <v>1681.93</v>
      </c>
    </row>
    <row r="42" spans="1:3" ht="44.5">
      <c r="A42" s="1186" t="s">
        <v>58639</v>
      </c>
      <c r="B42" s="1185" t="s">
        <v>58638</v>
      </c>
      <c r="C42" s="1157">
        <v>1727.72</v>
      </c>
    </row>
    <row r="43" spans="1:3">
      <c r="A43" s="1184" t="s">
        <v>58637</v>
      </c>
      <c r="B43" s="1183" t="s">
        <v>58636</v>
      </c>
      <c r="C43" s="1177">
        <v>137.66</v>
      </c>
    </row>
    <row r="44" spans="1:3">
      <c r="A44" s="1182" t="s">
        <v>58635</v>
      </c>
      <c r="B44" s="1158" t="s">
        <v>58634</v>
      </c>
      <c r="C44" s="1177">
        <v>363.55</v>
      </c>
    </row>
    <row r="45" spans="1:3">
      <c r="A45" s="1182" t="s">
        <v>58633</v>
      </c>
      <c r="B45" s="1158" t="s">
        <v>58632</v>
      </c>
      <c r="C45" s="1177">
        <v>386.91</v>
      </c>
    </row>
    <row r="46" spans="1:3">
      <c r="A46" s="1182">
        <v>26019</v>
      </c>
      <c r="B46" s="1158" t="s">
        <v>58631</v>
      </c>
      <c r="C46" s="1177">
        <v>276.70999999999998</v>
      </c>
    </row>
    <row r="47" spans="1:3">
      <c r="A47" s="1182">
        <v>26022</v>
      </c>
      <c r="B47" s="1158" t="s">
        <v>58630</v>
      </c>
      <c r="C47" s="1177">
        <v>298.95999999999998</v>
      </c>
    </row>
    <row r="48" spans="1:3">
      <c r="A48" s="1181" t="s">
        <v>58629</v>
      </c>
      <c r="B48" s="1178" t="s">
        <v>58628</v>
      </c>
      <c r="C48" s="1177">
        <v>459.9</v>
      </c>
    </row>
    <row r="49" spans="1:3">
      <c r="A49" s="1179" t="s">
        <v>58627</v>
      </c>
      <c r="B49" s="1178" t="s">
        <v>58626</v>
      </c>
      <c r="C49" s="1177">
        <v>459.9</v>
      </c>
    </row>
    <row r="50" spans="1:3">
      <c r="A50" s="1179" t="s">
        <v>58625</v>
      </c>
      <c r="B50" s="1178" t="s">
        <v>58624</v>
      </c>
      <c r="C50" s="1177">
        <v>539.33000000000004</v>
      </c>
    </row>
    <row r="51" spans="1:3">
      <c r="A51" s="1179" t="s">
        <v>58623</v>
      </c>
      <c r="B51" s="1178" t="s">
        <v>58622</v>
      </c>
      <c r="C51" s="1177">
        <v>459.9</v>
      </c>
    </row>
    <row r="52" spans="1:3">
      <c r="A52" s="1180" t="s">
        <v>58621</v>
      </c>
      <c r="B52" s="1178" t="s">
        <v>58620</v>
      </c>
      <c r="C52" s="1177">
        <v>459.9</v>
      </c>
    </row>
    <row r="53" spans="1:3">
      <c r="A53" s="1180" t="s">
        <v>58619</v>
      </c>
      <c r="B53" s="1178" t="s">
        <v>58618</v>
      </c>
      <c r="C53" s="1177">
        <v>480.34</v>
      </c>
    </row>
    <row r="54" spans="1:3">
      <c r="A54" s="1179" t="s">
        <v>58617</v>
      </c>
      <c r="B54" s="1178" t="s">
        <v>58616</v>
      </c>
      <c r="C54" s="1177">
        <v>459.9</v>
      </c>
    </row>
    <row r="55" spans="1:3">
      <c r="A55" s="1179" t="s">
        <v>58615</v>
      </c>
      <c r="B55" s="1178" t="s">
        <v>58614</v>
      </c>
      <c r="C55" s="1177">
        <v>459.9</v>
      </c>
    </row>
    <row r="56" spans="1:3">
      <c r="A56" s="1179" t="s">
        <v>58613</v>
      </c>
      <c r="B56" s="1178" t="s">
        <v>58612</v>
      </c>
      <c r="C56" s="1177">
        <v>776.32</v>
      </c>
    </row>
    <row r="57" spans="1:3" ht="43.5">
      <c r="A57" s="1170">
        <v>8411</v>
      </c>
      <c r="B57" s="1176" t="s">
        <v>58611</v>
      </c>
      <c r="C57" s="1157">
        <v>772.27</v>
      </c>
    </row>
    <row r="58" spans="1:3" ht="43.5">
      <c r="A58" s="1172" t="s">
        <v>58610</v>
      </c>
      <c r="B58" s="1174" t="s">
        <v>58609</v>
      </c>
      <c r="C58" s="1157">
        <v>1076.22</v>
      </c>
    </row>
    <row r="59" spans="1:3" ht="59">
      <c r="A59" s="1170">
        <v>30050</v>
      </c>
      <c r="B59" s="1158" t="s">
        <v>58608</v>
      </c>
      <c r="C59" s="1157">
        <v>270.10000000000002</v>
      </c>
    </row>
    <row r="60" spans="1:3">
      <c r="A60" s="1170">
        <v>30051</v>
      </c>
      <c r="B60" s="1163" t="s">
        <v>58607</v>
      </c>
      <c r="C60" s="1157">
        <v>51.1</v>
      </c>
    </row>
    <row r="61" spans="1:3" ht="44.5">
      <c r="A61" s="1170">
        <v>30052</v>
      </c>
      <c r="B61" s="1163" t="s">
        <v>58606</v>
      </c>
      <c r="C61" s="1157">
        <v>109.5</v>
      </c>
    </row>
    <row r="62" spans="1:3">
      <c r="A62" s="1159">
        <v>30700</v>
      </c>
      <c r="B62" s="1163" t="s">
        <v>58600</v>
      </c>
      <c r="C62" s="1157">
        <v>118.19</v>
      </c>
    </row>
    <row r="63" spans="1:3" ht="30">
      <c r="A63" s="396">
        <v>8211</v>
      </c>
      <c r="B63" s="1175" t="s">
        <v>58605</v>
      </c>
      <c r="C63" s="1157">
        <v>772.27</v>
      </c>
    </row>
    <row r="64" spans="1:3" ht="43.5">
      <c r="A64" s="396" t="s">
        <v>58604</v>
      </c>
      <c r="B64" s="1174" t="s">
        <v>58603</v>
      </c>
      <c r="C64" s="1157">
        <v>905.92</v>
      </c>
    </row>
    <row r="65" spans="1:3">
      <c r="A65" s="396">
        <v>30070</v>
      </c>
      <c r="B65" s="1174" t="s">
        <v>58602</v>
      </c>
      <c r="C65" s="1157">
        <v>114.75</v>
      </c>
    </row>
    <row r="66" spans="1:3">
      <c r="A66" s="396">
        <v>30071</v>
      </c>
      <c r="B66" s="1108" t="s">
        <v>58601</v>
      </c>
      <c r="C66" s="1157">
        <v>133.65</v>
      </c>
    </row>
    <row r="67" spans="1:3">
      <c r="A67" s="1159">
        <v>30700</v>
      </c>
      <c r="B67" s="1163" t="s">
        <v>58600</v>
      </c>
      <c r="C67" s="1157">
        <v>118.19</v>
      </c>
    </row>
    <row r="68" spans="1:3">
      <c r="A68" s="1173">
        <v>25001</v>
      </c>
      <c r="B68" s="1158" t="s">
        <v>58599</v>
      </c>
      <c r="C68" s="1157">
        <v>12.51</v>
      </c>
    </row>
    <row r="69" spans="1:3" ht="30">
      <c r="A69" s="1172">
        <v>25002</v>
      </c>
      <c r="B69" s="1171" t="s">
        <v>58598</v>
      </c>
      <c r="C69" s="1157">
        <v>16.79</v>
      </c>
    </row>
    <row r="70" spans="1:3">
      <c r="A70" s="1172">
        <v>25003</v>
      </c>
      <c r="B70" s="1171" t="s">
        <v>58597</v>
      </c>
      <c r="C70" s="1157">
        <v>14.18</v>
      </c>
    </row>
    <row r="71" spans="1:3" ht="30">
      <c r="A71" s="1170">
        <v>25035</v>
      </c>
      <c r="B71" s="1169" t="s">
        <v>58596</v>
      </c>
      <c r="C71" s="1157">
        <v>27.74</v>
      </c>
    </row>
    <row r="72" spans="1:3">
      <c r="A72" s="1159">
        <v>25045</v>
      </c>
      <c r="B72" s="1158" t="s">
        <v>58595</v>
      </c>
      <c r="C72" s="1157">
        <v>5.56</v>
      </c>
    </row>
    <row r="73" spans="1:3">
      <c r="A73" s="1159">
        <v>25046</v>
      </c>
      <c r="B73" s="1158" t="s">
        <v>58594</v>
      </c>
      <c r="C73" s="1157">
        <v>9.4499999999999993</v>
      </c>
    </row>
    <row r="74" spans="1:3" ht="30">
      <c r="A74" s="1159">
        <v>25047</v>
      </c>
      <c r="B74" s="1158" t="s">
        <v>58593</v>
      </c>
      <c r="C74" s="1157">
        <v>10.8</v>
      </c>
    </row>
    <row r="75" spans="1:3" ht="30">
      <c r="A75" s="1162">
        <v>25055</v>
      </c>
      <c r="B75" s="1161" t="s">
        <v>58592</v>
      </c>
      <c r="C75" s="1157">
        <v>16.059999999999999</v>
      </c>
    </row>
    <row r="76" spans="1:3">
      <c r="A76" s="1162">
        <v>25056</v>
      </c>
      <c r="B76" s="1161" t="s">
        <v>58591</v>
      </c>
      <c r="C76" s="1157">
        <v>27</v>
      </c>
    </row>
    <row r="77" spans="1:3">
      <c r="A77" s="1162">
        <v>25200</v>
      </c>
      <c r="B77" s="1163" t="s">
        <v>58590</v>
      </c>
      <c r="C77" s="1157">
        <v>52.84</v>
      </c>
    </row>
    <row r="78" spans="1:3" ht="30">
      <c r="A78" s="1159">
        <v>29001</v>
      </c>
      <c r="B78" s="1158" t="s">
        <v>58589</v>
      </c>
      <c r="C78" s="1157">
        <v>124.1</v>
      </c>
    </row>
    <row r="79" spans="1:3">
      <c r="A79" s="1159">
        <v>29004</v>
      </c>
      <c r="B79" s="1158" t="s">
        <v>58588</v>
      </c>
      <c r="C79" s="1157">
        <v>46.72</v>
      </c>
    </row>
    <row r="80" spans="1:3">
      <c r="A80" s="1159">
        <v>29020</v>
      </c>
      <c r="B80" s="1158" t="s">
        <v>58587</v>
      </c>
      <c r="C80" s="1157">
        <v>58.4</v>
      </c>
    </row>
    <row r="81" spans="1:3">
      <c r="A81" s="1159">
        <v>29030</v>
      </c>
      <c r="B81" s="1158" t="s">
        <v>58586</v>
      </c>
      <c r="C81" s="1157">
        <v>58.4</v>
      </c>
    </row>
    <row r="82" spans="1:3" ht="30">
      <c r="A82" s="1159">
        <v>29475</v>
      </c>
      <c r="B82" s="1158" t="s">
        <v>58585</v>
      </c>
      <c r="C82" s="1157">
        <v>32.5</v>
      </c>
    </row>
    <row r="83" spans="1:3">
      <c r="A83" s="1167">
        <v>30201</v>
      </c>
      <c r="B83" s="1168" t="s">
        <v>58584</v>
      </c>
      <c r="C83" s="1157">
        <v>4.38</v>
      </c>
    </row>
    <row r="84" spans="1:3" ht="30">
      <c r="A84" s="1167">
        <v>30202</v>
      </c>
      <c r="B84" s="1163" t="s">
        <v>58583</v>
      </c>
      <c r="C84" s="1157">
        <v>16.059999999999999</v>
      </c>
    </row>
    <row r="85" spans="1:3">
      <c r="A85" s="1167">
        <v>40010</v>
      </c>
      <c r="B85" s="1163" t="s">
        <v>58582</v>
      </c>
      <c r="C85" s="1157">
        <v>11.68</v>
      </c>
    </row>
    <row r="86" spans="1:3">
      <c r="A86" s="1167">
        <v>40011</v>
      </c>
      <c r="B86" s="1163" t="s">
        <v>58581</v>
      </c>
      <c r="C86" s="1157">
        <v>11.68</v>
      </c>
    </row>
    <row r="87" spans="1:3">
      <c r="A87" s="1166">
        <v>25000</v>
      </c>
      <c r="B87" s="500" t="s">
        <v>58580</v>
      </c>
      <c r="C87" s="1157">
        <v>46.72</v>
      </c>
    </row>
    <row r="88" spans="1:3" ht="30">
      <c r="A88" s="1159" t="s">
        <v>58578</v>
      </c>
      <c r="B88" s="1158" t="s">
        <v>58579</v>
      </c>
      <c r="C88" s="1157">
        <v>46.72</v>
      </c>
    </row>
    <row r="89" spans="1:3">
      <c r="A89" s="1166" t="s">
        <v>58578</v>
      </c>
      <c r="B89" s="500" t="s">
        <v>58577</v>
      </c>
      <c r="C89" s="1157">
        <v>46.72</v>
      </c>
    </row>
    <row r="90" spans="1:3">
      <c r="A90" s="1166">
        <v>25005</v>
      </c>
      <c r="B90" s="1165" t="s">
        <v>58576</v>
      </c>
      <c r="C90" s="1157">
        <v>46.72</v>
      </c>
    </row>
    <row r="91" spans="1:3">
      <c r="A91" s="1166" t="s">
        <v>58575</v>
      </c>
      <c r="B91" s="1165" t="s">
        <v>58574</v>
      </c>
      <c r="C91" s="1157">
        <v>46.72</v>
      </c>
    </row>
    <row r="92" spans="1:3">
      <c r="A92" s="1166">
        <v>25006</v>
      </c>
      <c r="B92" s="500" t="s">
        <v>58573</v>
      </c>
      <c r="C92" s="1157">
        <v>46.72</v>
      </c>
    </row>
    <row r="93" spans="1:3">
      <c r="A93" s="1166" t="s">
        <v>58572</v>
      </c>
      <c r="B93" s="500" t="s">
        <v>58571</v>
      </c>
      <c r="C93" s="1157">
        <v>46.72</v>
      </c>
    </row>
    <row r="94" spans="1:3">
      <c r="A94" s="1166">
        <v>25007</v>
      </c>
      <c r="B94" s="500" t="s">
        <v>58570</v>
      </c>
      <c r="C94" s="1157">
        <v>46.72</v>
      </c>
    </row>
    <row r="95" spans="1:3">
      <c r="A95" s="1166" t="s">
        <v>58569</v>
      </c>
      <c r="B95" s="500" t="s">
        <v>58568</v>
      </c>
      <c r="C95" s="1157">
        <v>46.72</v>
      </c>
    </row>
    <row r="96" spans="1:3">
      <c r="A96" s="1166">
        <v>25008</v>
      </c>
      <c r="B96" s="1165" t="s">
        <v>58566</v>
      </c>
      <c r="C96" s="1157">
        <v>48.11</v>
      </c>
    </row>
    <row r="97" spans="1:3">
      <c r="A97" s="1166" t="s">
        <v>58567</v>
      </c>
      <c r="B97" s="1165" t="s">
        <v>58566</v>
      </c>
      <c r="C97" s="1157">
        <v>46.72</v>
      </c>
    </row>
    <row r="98" spans="1:3">
      <c r="A98" s="1159">
        <v>25010</v>
      </c>
      <c r="B98" s="1158" t="s">
        <v>58565</v>
      </c>
      <c r="C98" s="1157">
        <v>40.880000000000003</v>
      </c>
    </row>
    <row r="99" spans="1:3">
      <c r="A99" s="1159">
        <v>25011</v>
      </c>
      <c r="B99" s="1158" t="s">
        <v>58564</v>
      </c>
      <c r="C99" s="1157">
        <v>133.65</v>
      </c>
    </row>
    <row r="100" spans="1:3">
      <c r="A100" s="1159">
        <v>25018</v>
      </c>
      <c r="B100" s="1158" t="s">
        <v>58563</v>
      </c>
      <c r="C100" s="1157">
        <v>64.239999999999995</v>
      </c>
    </row>
    <row r="101" spans="1:3">
      <c r="A101" s="1159">
        <v>25019</v>
      </c>
      <c r="B101" s="1158" t="s">
        <v>58562</v>
      </c>
      <c r="C101" s="1157">
        <v>64.25</v>
      </c>
    </row>
    <row r="102" spans="1:3">
      <c r="A102" s="1159">
        <v>25020</v>
      </c>
      <c r="B102" s="1158" t="s">
        <v>58561</v>
      </c>
      <c r="C102" s="1157">
        <v>40.880000000000003</v>
      </c>
    </row>
    <row r="103" spans="1:3">
      <c r="A103" s="1159">
        <v>25029</v>
      </c>
      <c r="B103" s="1158" t="s">
        <v>58560</v>
      </c>
      <c r="C103" s="1157">
        <v>201.15</v>
      </c>
    </row>
    <row r="104" spans="1:3">
      <c r="A104" s="1159">
        <v>25030</v>
      </c>
      <c r="B104" s="1158" t="s">
        <v>58559</v>
      </c>
      <c r="C104" s="1157">
        <v>201.15</v>
      </c>
    </row>
    <row r="105" spans="1:3">
      <c r="A105" s="1164">
        <v>25060</v>
      </c>
      <c r="B105" s="1163" t="s">
        <v>58558</v>
      </c>
      <c r="C105" s="1157">
        <v>7.3</v>
      </c>
    </row>
    <row r="106" spans="1:3">
      <c r="A106" s="1164">
        <v>25061</v>
      </c>
      <c r="B106" s="1163" t="s">
        <v>58557</v>
      </c>
      <c r="C106" s="1157">
        <v>4.38</v>
      </c>
    </row>
    <row r="107" spans="1:3">
      <c r="A107" s="1162">
        <v>26003</v>
      </c>
      <c r="B107" s="1161" t="s">
        <v>58556</v>
      </c>
      <c r="C107" s="1157">
        <v>197.1</v>
      </c>
    </row>
    <row r="108" spans="1:3">
      <c r="A108" s="1162">
        <v>26007</v>
      </c>
      <c r="B108" s="1161" t="s">
        <v>58555</v>
      </c>
      <c r="C108" s="1157">
        <v>133.65</v>
      </c>
    </row>
    <row r="109" spans="1:3">
      <c r="A109" s="1159">
        <v>26075</v>
      </c>
      <c r="B109" s="1158" t="s">
        <v>58554</v>
      </c>
      <c r="C109" s="1157">
        <v>108.41</v>
      </c>
    </row>
    <row r="110" spans="1:3">
      <c r="A110" s="1159">
        <v>26078</v>
      </c>
      <c r="B110" s="1158" t="s">
        <v>58553</v>
      </c>
      <c r="C110" s="1157">
        <v>108.41</v>
      </c>
    </row>
    <row r="111" spans="1:3">
      <c r="A111" s="1159">
        <v>26100</v>
      </c>
      <c r="B111" s="1158" t="s">
        <v>58552</v>
      </c>
      <c r="C111" s="1157">
        <v>108.41</v>
      </c>
    </row>
    <row r="112" spans="1:3">
      <c r="A112" s="1159">
        <v>26125</v>
      </c>
      <c r="B112" s="1158" t="s">
        <v>58551</v>
      </c>
      <c r="C112" s="1157">
        <v>108.41</v>
      </c>
    </row>
    <row r="113" spans="1:3">
      <c r="A113" s="1159">
        <v>26150</v>
      </c>
      <c r="B113" s="1158" t="s">
        <v>58550</v>
      </c>
      <c r="C113" s="1157">
        <v>108.41</v>
      </c>
    </row>
    <row r="114" spans="1:3">
      <c r="A114" s="1159">
        <v>26158</v>
      </c>
      <c r="B114" s="1158" t="s">
        <v>58549</v>
      </c>
      <c r="C114" s="1157">
        <v>108.41</v>
      </c>
    </row>
    <row r="115" spans="1:3">
      <c r="A115" s="1159">
        <v>26171</v>
      </c>
      <c r="B115" s="1158" t="s">
        <v>58548</v>
      </c>
      <c r="C115" s="1157">
        <v>108.41</v>
      </c>
    </row>
    <row r="116" spans="1:3">
      <c r="A116" s="1159">
        <v>26175</v>
      </c>
      <c r="B116" s="1158" t="s">
        <v>58547</v>
      </c>
      <c r="C116" s="1157">
        <v>108.41</v>
      </c>
    </row>
    <row r="117" spans="1:3">
      <c r="A117" s="1159">
        <v>26178</v>
      </c>
      <c r="B117" s="1158" t="s">
        <v>58546</v>
      </c>
      <c r="C117" s="1157">
        <v>108.41</v>
      </c>
    </row>
    <row r="118" spans="1:3">
      <c r="A118" s="1159">
        <v>26200</v>
      </c>
      <c r="B118" s="1158" t="s">
        <v>58545</v>
      </c>
      <c r="C118" s="1157">
        <v>108.41</v>
      </c>
    </row>
    <row r="119" spans="1:3">
      <c r="A119" s="1159">
        <v>26225</v>
      </c>
      <c r="B119" s="1158" t="s">
        <v>58544</v>
      </c>
      <c r="C119" s="1157">
        <v>116.8</v>
      </c>
    </row>
    <row r="120" spans="1:3">
      <c r="A120" s="1159">
        <v>26300</v>
      </c>
      <c r="B120" s="1158" t="s">
        <v>58543</v>
      </c>
      <c r="C120" s="1157">
        <v>116.8</v>
      </c>
    </row>
    <row r="121" spans="1:3">
      <c r="A121" s="1159">
        <v>27001</v>
      </c>
      <c r="B121" s="1158" t="s">
        <v>58542</v>
      </c>
      <c r="C121" s="1157">
        <v>54.75</v>
      </c>
    </row>
    <row r="122" spans="1:3" ht="30">
      <c r="A122" s="1159" t="s">
        <v>58541</v>
      </c>
      <c r="B122" s="1158" t="s">
        <v>58540</v>
      </c>
      <c r="C122" s="1157">
        <v>94.41</v>
      </c>
    </row>
    <row r="123" spans="1:3" ht="30">
      <c r="A123" s="1159" t="s">
        <v>58539</v>
      </c>
      <c r="B123" s="1158" t="s">
        <v>58538</v>
      </c>
      <c r="C123" s="1157">
        <v>117.62</v>
      </c>
    </row>
    <row r="124" spans="1:3" ht="44.5">
      <c r="A124" s="1159">
        <v>27002</v>
      </c>
      <c r="B124" s="1158" t="s">
        <v>58537</v>
      </c>
      <c r="C124" s="1157">
        <v>56.21</v>
      </c>
    </row>
    <row r="125" spans="1:3">
      <c r="A125" s="1159" t="s">
        <v>58536</v>
      </c>
      <c r="B125" s="1160" t="s">
        <v>58535</v>
      </c>
      <c r="C125" s="1157">
        <v>95.87</v>
      </c>
    </row>
    <row r="126" spans="1:3" ht="44.5">
      <c r="A126" s="1159" t="s">
        <v>58534</v>
      </c>
      <c r="B126" s="1158" t="s">
        <v>58533</v>
      </c>
      <c r="C126" s="1157">
        <v>119.08</v>
      </c>
    </row>
    <row r="127" spans="1:3" ht="30">
      <c r="A127" s="1159" t="s">
        <v>58532</v>
      </c>
      <c r="B127" s="1158" t="s">
        <v>58531</v>
      </c>
      <c r="C127" s="1157">
        <v>89.91</v>
      </c>
    </row>
    <row r="128" spans="1:3" ht="30">
      <c r="A128" s="1159" t="s">
        <v>58530</v>
      </c>
      <c r="B128" s="1158" t="s">
        <v>58529</v>
      </c>
      <c r="C128" s="1157">
        <v>112.02</v>
      </c>
    </row>
    <row r="129" spans="1:3">
      <c r="A129" s="1159">
        <v>27600</v>
      </c>
      <c r="B129" s="1158" t="s">
        <v>58528</v>
      </c>
      <c r="C129" s="1157">
        <v>54.17</v>
      </c>
    </row>
    <row r="130" spans="1:3">
      <c r="A130" s="1159">
        <v>27610</v>
      </c>
      <c r="B130" s="1158" t="s">
        <v>58527</v>
      </c>
      <c r="C130" s="1157">
        <v>54.17</v>
      </c>
    </row>
    <row r="131" spans="1:3">
      <c r="A131" s="1159">
        <v>27620</v>
      </c>
      <c r="B131" s="1158" t="s">
        <v>58526</v>
      </c>
      <c r="C131" s="1157">
        <v>46.43</v>
      </c>
    </row>
    <row r="132" spans="1:3" ht="30">
      <c r="A132" s="1159">
        <v>27625</v>
      </c>
      <c r="B132" s="1158" t="s">
        <v>58525</v>
      </c>
      <c r="C132" s="1157">
        <v>58.4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E0ADE-3D9F-481F-ACBA-FF6DD1B6A934}">
  <sheetPr>
    <tabColor theme="2" tint="-9.9978637043366805E-2"/>
    <outlinePr summaryBelow="0" summaryRight="0"/>
    <pageSetUpPr fitToPage="1"/>
  </sheetPr>
  <dimension ref="A1:Y71"/>
  <sheetViews>
    <sheetView topLeftCell="B1" workbookViewId="0">
      <selection activeCell="C8" sqref="C8"/>
    </sheetView>
  </sheetViews>
  <sheetFormatPr defaultColWidth="12.54296875" defaultRowHeight="15.75" customHeight="1"/>
  <cols>
    <col min="1" max="1" width="16.7265625" style="932" bestFit="1" customWidth="1"/>
    <col min="2" max="2" width="31.54296875" style="932" bestFit="1" customWidth="1"/>
    <col min="3" max="3" width="65.7265625" style="932" customWidth="1"/>
    <col min="4" max="4" width="49.81640625" style="932" customWidth="1"/>
    <col min="5" max="5" width="30.26953125" style="932" customWidth="1"/>
    <col min="6" max="6" width="23.26953125" style="932" customWidth="1"/>
    <col min="7" max="7" width="15" style="932" customWidth="1"/>
    <col min="8" max="16384" width="12.54296875" style="932"/>
  </cols>
  <sheetData>
    <row r="1" spans="1:25" ht="116.25" customHeight="1">
      <c r="A1" s="935"/>
      <c r="B1" s="979" t="s">
        <v>54375</v>
      </c>
      <c r="C1" s="978"/>
      <c r="D1" s="978"/>
      <c r="E1" s="977"/>
      <c r="F1" s="935"/>
      <c r="G1" s="976"/>
    </row>
    <row r="2" spans="1:25" ht="14">
      <c r="A2" s="975" t="s">
        <v>54374</v>
      </c>
      <c r="B2" s="974" t="s">
        <v>54373</v>
      </c>
      <c r="C2" s="974" t="s">
        <v>1</v>
      </c>
      <c r="D2" s="974" t="s">
        <v>54372</v>
      </c>
      <c r="E2" s="973" t="s">
        <v>54371</v>
      </c>
      <c r="F2" s="973" t="s">
        <v>54370</v>
      </c>
      <c r="G2" s="973" t="s">
        <v>3862</v>
      </c>
      <c r="H2" s="972"/>
      <c r="I2" s="972"/>
      <c r="J2" s="972"/>
      <c r="K2" s="972"/>
      <c r="L2" s="972"/>
      <c r="M2" s="972"/>
      <c r="N2" s="972"/>
      <c r="O2" s="972"/>
      <c r="P2" s="972"/>
      <c r="Q2" s="972"/>
      <c r="R2" s="972"/>
      <c r="S2" s="972"/>
      <c r="T2" s="972"/>
      <c r="U2" s="972"/>
      <c r="V2" s="972"/>
      <c r="W2" s="972"/>
      <c r="X2" s="972"/>
      <c r="Y2" s="972"/>
    </row>
    <row r="3" spans="1:25" ht="16.5">
      <c r="A3" s="948" t="s">
        <v>54369</v>
      </c>
      <c r="B3" s="947" t="s">
        <v>54368</v>
      </c>
      <c r="C3" s="947" t="s">
        <v>54367</v>
      </c>
      <c r="D3" s="947" t="s">
        <v>54366</v>
      </c>
      <c r="E3" s="946" t="s">
        <v>54308</v>
      </c>
      <c r="F3" s="946" t="s">
        <v>54365</v>
      </c>
      <c r="G3" s="942">
        <v>624</v>
      </c>
    </row>
    <row r="4" spans="1:25" ht="16.5">
      <c r="A4" s="943"/>
      <c r="B4" s="944" t="s">
        <v>54364</v>
      </c>
      <c r="C4" s="944" t="s">
        <v>54363</v>
      </c>
      <c r="D4" s="944" t="s">
        <v>54356</v>
      </c>
      <c r="E4" s="943" t="s">
        <v>54308</v>
      </c>
      <c r="F4" s="943" t="s">
        <v>54307</v>
      </c>
      <c r="G4" s="942">
        <v>624</v>
      </c>
      <c r="K4" s="939"/>
      <c r="L4" s="939"/>
      <c r="M4" s="939"/>
      <c r="N4" s="939"/>
      <c r="O4" s="939"/>
      <c r="P4" s="939"/>
      <c r="Q4" s="939"/>
      <c r="R4" s="939"/>
      <c r="S4" s="939"/>
      <c r="T4" s="939"/>
      <c r="U4" s="939"/>
      <c r="V4" s="939"/>
      <c r="W4" s="939"/>
      <c r="X4" s="939"/>
      <c r="Y4" s="939"/>
    </row>
    <row r="5" spans="1:25" ht="16.5">
      <c r="A5" s="969"/>
      <c r="B5" s="971" t="s">
        <v>54362</v>
      </c>
      <c r="C5" s="970" t="s">
        <v>54361</v>
      </c>
      <c r="D5" s="947" t="s">
        <v>54356</v>
      </c>
      <c r="E5" s="946" t="s">
        <v>54312</v>
      </c>
      <c r="F5" s="969" t="s">
        <v>54311</v>
      </c>
      <c r="G5" s="942">
        <v>624</v>
      </c>
      <c r="H5" s="968"/>
      <c r="I5" s="968"/>
      <c r="J5" s="968"/>
      <c r="K5" s="968"/>
      <c r="L5" s="968"/>
      <c r="M5" s="968"/>
      <c r="N5" s="968"/>
      <c r="O5" s="968"/>
      <c r="P5" s="968"/>
      <c r="Q5" s="968"/>
      <c r="R5" s="968"/>
      <c r="S5" s="968"/>
      <c r="T5" s="968"/>
      <c r="U5" s="968"/>
      <c r="V5" s="968"/>
      <c r="W5" s="968"/>
      <c r="X5" s="968"/>
      <c r="Y5" s="968"/>
    </row>
    <row r="6" spans="1:25" ht="16.5">
      <c r="A6" s="943"/>
      <c r="B6" s="944" t="s">
        <v>54360</v>
      </c>
      <c r="C6" s="944" t="s">
        <v>54359</v>
      </c>
      <c r="D6" s="944" t="s">
        <v>54356</v>
      </c>
      <c r="E6" s="943" t="s">
        <v>54302</v>
      </c>
      <c r="F6" s="943" t="s">
        <v>54352</v>
      </c>
      <c r="G6" s="942">
        <v>624</v>
      </c>
      <c r="H6" s="939"/>
      <c r="I6" s="939"/>
      <c r="J6" s="939"/>
      <c r="K6" s="939"/>
      <c r="L6" s="939"/>
      <c r="M6" s="939"/>
      <c r="N6" s="939"/>
      <c r="O6" s="939"/>
      <c r="P6" s="939"/>
      <c r="Q6" s="939"/>
      <c r="R6" s="939"/>
      <c r="S6" s="939"/>
      <c r="T6" s="939"/>
      <c r="U6" s="939"/>
      <c r="V6" s="939"/>
      <c r="W6" s="939"/>
      <c r="X6" s="939"/>
      <c r="Y6" s="939"/>
    </row>
    <row r="7" spans="1:25" ht="16.5">
      <c r="A7" s="946"/>
      <c r="B7" s="947" t="s">
        <v>54358</v>
      </c>
      <c r="C7" s="947" t="s">
        <v>54357</v>
      </c>
      <c r="D7" s="947" t="s">
        <v>54356</v>
      </c>
      <c r="E7" s="946" t="s">
        <v>15247</v>
      </c>
      <c r="F7" s="946" t="s">
        <v>54311</v>
      </c>
      <c r="G7" s="942">
        <v>624</v>
      </c>
      <c r="H7" s="939"/>
      <c r="I7" s="939"/>
      <c r="J7" s="939"/>
      <c r="K7" s="939"/>
      <c r="L7" s="939"/>
    </row>
    <row r="8" spans="1:25" ht="28">
      <c r="A8" s="967" t="s">
        <v>54355</v>
      </c>
      <c r="B8" s="966" t="s">
        <v>54354</v>
      </c>
      <c r="C8" s="965" t="s">
        <v>54353</v>
      </c>
      <c r="D8" s="964" t="s">
        <v>8782</v>
      </c>
      <c r="E8" s="963" t="s">
        <v>54281</v>
      </c>
      <c r="F8" s="963" t="s">
        <v>54352</v>
      </c>
      <c r="G8" s="962">
        <v>149</v>
      </c>
      <c r="H8" s="939"/>
      <c r="I8" s="939"/>
      <c r="J8" s="939"/>
      <c r="K8" s="939"/>
      <c r="L8" s="939"/>
    </row>
    <row r="9" spans="1:25" ht="16.5">
      <c r="A9" s="955" t="s">
        <v>54351</v>
      </c>
      <c r="B9" s="954" t="s">
        <v>54350</v>
      </c>
      <c r="C9" s="954" t="s">
        <v>54349</v>
      </c>
      <c r="D9" s="954" t="s">
        <v>54348</v>
      </c>
      <c r="E9" s="953" t="s">
        <v>54281</v>
      </c>
      <c r="F9" s="953" t="s">
        <v>5206</v>
      </c>
      <c r="G9" s="949">
        <v>274</v>
      </c>
      <c r="H9" s="939"/>
      <c r="I9" s="939"/>
      <c r="J9" s="939"/>
      <c r="K9" s="939"/>
      <c r="L9" s="939"/>
    </row>
    <row r="10" spans="1:25" ht="16.5">
      <c r="A10" s="961"/>
      <c r="B10" s="944" t="s">
        <v>54347</v>
      </c>
      <c r="C10" s="944" t="s">
        <v>54346</v>
      </c>
      <c r="D10" s="944" t="s">
        <v>54345</v>
      </c>
      <c r="E10" s="943" t="s">
        <v>54281</v>
      </c>
      <c r="F10" s="943" t="s">
        <v>5206</v>
      </c>
      <c r="G10" s="942">
        <v>274</v>
      </c>
      <c r="H10" s="939"/>
      <c r="I10" s="939"/>
      <c r="J10" s="939"/>
      <c r="K10" s="939"/>
      <c r="L10" s="939"/>
      <c r="M10" s="939"/>
      <c r="N10" s="939"/>
      <c r="O10" s="939"/>
      <c r="P10" s="939"/>
      <c r="Q10" s="939"/>
      <c r="R10" s="939"/>
      <c r="S10" s="939"/>
      <c r="T10" s="939"/>
      <c r="U10" s="939"/>
      <c r="V10" s="939"/>
      <c r="W10" s="939"/>
      <c r="X10" s="939"/>
      <c r="Y10" s="939"/>
    </row>
    <row r="11" spans="1:25" ht="16.5">
      <c r="A11" s="946"/>
      <c r="B11" s="947" t="s">
        <v>54344</v>
      </c>
      <c r="C11" s="947" t="s">
        <v>54343</v>
      </c>
      <c r="D11" s="947"/>
      <c r="E11" s="946" t="s">
        <v>54342</v>
      </c>
      <c r="F11" s="946" t="s">
        <v>5206</v>
      </c>
      <c r="G11" s="942">
        <v>59</v>
      </c>
      <c r="H11" s="939"/>
      <c r="I11" s="939"/>
      <c r="J11" s="939"/>
      <c r="K11" s="939"/>
      <c r="L11" s="939"/>
    </row>
    <row r="12" spans="1:25" ht="16.5">
      <c r="A12" s="943"/>
      <c r="B12" s="944" t="s">
        <v>54341</v>
      </c>
      <c r="C12" s="944" t="s">
        <v>54340</v>
      </c>
      <c r="D12" s="944" t="s">
        <v>54339</v>
      </c>
      <c r="E12" s="943" t="s">
        <v>54338</v>
      </c>
      <c r="F12" s="943" t="s">
        <v>5206</v>
      </c>
      <c r="G12" s="942">
        <v>114</v>
      </c>
      <c r="H12" s="939"/>
      <c r="I12" s="939"/>
      <c r="J12" s="960"/>
      <c r="K12" s="939"/>
      <c r="L12" s="939"/>
    </row>
    <row r="13" spans="1:25" ht="16.5">
      <c r="A13" s="946"/>
      <c r="B13" s="947" t="s">
        <v>54337</v>
      </c>
      <c r="C13" s="947" t="s">
        <v>54336</v>
      </c>
      <c r="D13" s="947"/>
      <c r="E13" s="946" t="s">
        <v>54281</v>
      </c>
      <c r="F13" s="946" t="s">
        <v>5206</v>
      </c>
      <c r="G13" s="942">
        <v>49</v>
      </c>
      <c r="H13" s="939"/>
      <c r="I13" s="939"/>
      <c r="J13" s="960"/>
      <c r="K13" s="939"/>
      <c r="L13" s="939"/>
    </row>
    <row r="14" spans="1:25" ht="16.5">
      <c r="A14" s="943"/>
      <c r="B14" s="944" t="s">
        <v>54335</v>
      </c>
      <c r="C14" s="944" t="s">
        <v>54334</v>
      </c>
      <c r="D14" s="944"/>
      <c r="E14" s="943" t="s">
        <v>54281</v>
      </c>
      <c r="F14" s="943" t="s">
        <v>5206</v>
      </c>
      <c r="G14" s="942">
        <v>29</v>
      </c>
      <c r="H14" s="939"/>
      <c r="I14" s="939"/>
      <c r="J14" s="960"/>
      <c r="K14" s="939"/>
      <c r="L14" s="939"/>
    </row>
    <row r="15" spans="1:25" ht="16.5">
      <c r="A15" s="946"/>
      <c r="B15" s="947" t="s">
        <v>54333</v>
      </c>
      <c r="C15" s="947" t="s">
        <v>54332</v>
      </c>
      <c r="D15" s="947"/>
      <c r="E15" s="946" t="s">
        <v>54281</v>
      </c>
      <c r="F15" s="946" t="s">
        <v>5206</v>
      </c>
      <c r="G15" s="942">
        <v>79</v>
      </c>
      <c r="H15" s="939"/>
      <c r="I15" s="939"/>
      <c r="J15" s="939"/>
      <c r="K15" s="939"/>
      <c r="L15" s="939"/>
    </row>
    <row r="16" spans="1:25" ht="16.5">
      <c r="A16" s="943"/>
      <c r="B16" s="944" t="s">
        <v>54331</v>
      </c>
      <c r="C16" s="944" t="s">
        <v>54330</v>
      </c>
      <c r="D16" s="944"/>
      <c r="E16" s="943" t="s">
        <v>54281</v>
      </c>
      <c r="F16" s="943" t="s">
        <v>5206</v>
      </c>
      <c r="G16" s="942">
        <v>79</v>
      </c>
      <c r="H16" s="939"/>
      <c r="I16" s="939"/>
      <c r="J16" s="939"/>
      <c r="K16" s="939"/>
      <c r="L16" s="939"/>
    </row>
    <row r="17" spans="1:25" ht="16.5">
      <c r="A17" s="946"/>
      <c r="B17" s="947" t="s">
        <v>54329</v>
      </c>
      <c r="C17" s="947" t="s">
        <v>54328</v>
      </c>
      <c r="D17" s="947"/>
      <c r="E17" s="946" t="s">
        <v>54281</v>
      </c>
      <c r="F17" s="946" t="s">
        <v>5206</v>
      </c>
      <c r="G17" s="942">
        <v>14</v>
      </c>
      <c r="H17" s="939"/>
      <c r="I17" s="939"/>
      <c r="J17" s="939"/>
      <c r="K17" s="939"/>
      <c r="L17" s="939"/>
    </row>
    <row r="18" spans="1:25" ht="16.5">
      <c r="A18" s="955" t="s">
        <v>54327</v>
      </c>
      <c r="B18" s="954" t="s">
        <v>54326</v>
      </c>
      <c r="C18" s="954" t="s">
        <v>54325</v>
      </c>
      <c r="D18" s="954"/>
      <c r="E18" s="953" t="s">
        <v>54281</v>
      </c>
      <c r="F18" s="953" t="s">
        <v>5206</v>
      </c>
      <c r="G18" s="949">
        <v>39</v>
      </c>
      <c r="H18" s="939"/>
      <c r="I18" s="939"/>
      <c r="J18" s="939"/>
      <c r="K18" s="939"/>
      <c r="L18" s="939"/>
    </row>
    <row r="19" spans="1:25" ht="16.5">
      <c r="A19" s="959"/>
      <c r="B19" s="958" t="s">
        <v>54324</v>
      </c>
      <c r="C19" s="958" t="s">
        <v>54323</v>
      </c>
      <c r="D19" s="958" t="s">
        <v>54322</v>
      </c>
      <c r="E19" s="957" t="s">
        <v>54281</v>
      </c>
      <c r="F19" s="957" t="s">
        <v>5206</v>
      </c>
      <c r="G19" s="956">
        <v>73</v>
      </c>
      <c r="H19" s="939"/>
      <c r="I19" s="939"/>
      <c r="J19" s="939"/>
      <c r="K19" s="939"/>
      <c r="L19" s="939"/>
    </row>
    <row r="20" spans="1:25" ht="16.5">
      <c r="A20" s="945" t="s">
        <v>54321</v>
      </c>
      <c r="B20" s="944" t="s">
        <v>54320</v>
      </c>
      <c r="C20" s="944" t="s">
        <v>54319</v>
      </c>
      <c r="D20" s="944"/>
      <c r="E20" s="943" t="s">
        <v>54308</v>
      </c>
      <c r="F20" s="943" t="s">
        <v>54307</v>
      </c>
      <c r="G20" s="942">
        <v>344</v>
      </c>
      <c r="H20" s="939"/>
      <c r="I20" s="939"/>
      <c r="J20" s="939"/>
      <c r="K20" s="939"/>
      <c r="L20" s="939"/>
    </row>
    <row r="21" spans="1:25" ht="16.5">
      <c r="A21" s="955" t="s">
        <v>54318</v>
      </c>
      <c r="B21" s="954" t="s">
        <v>54317</v>
      </c>
      <c r="C21" s="954" t="s">
        <v>54316</v>
      </c>
      <c r="D21" s="954" t="s">
        <v>54315</v>
      </c>
      <c r="E21" s="953" t="s">
        <v>54281</v>
      </c>
      <c r="F21" s="953" t="s">
        <v>54311</v>
      </c>
      <c r="G21" s="949">
        <v>794</v>
      </c>
      <c r="H21" s="939"/>
      <c r="I21" s="939"/>
      <c r="J21" s="939"/>
      <c r="K21" s="939"/>
      <c r="L21" s="939"/>
      <c r="M21" s="939"/>
      <c r="N21" s="939"/>
      <c r="O21" s="939"/>
      <c r="P21" s="939"/>
      <c r="Q21" s="939"/>
      <c r="R21" s="939"/>
      <c r="S21" s="939"/>
      <c r="T21" s="939"/>
      <c r="U21" s="939"/>
      <c r="V21" s="939"/>
      <c r="W21" s="939"/>
      <c r="X21" s="939"/>
      <c r="Y21" s="939"/>
    </row>
    <row r="22" spans="1:25" ht="16.5">
      <c r="A22" s="952" t="s">
        <v>54306</v>
      </c>
      <c r="B22" s="951" t="s">
        <v>54314</v>
      </c>
      <c r="C22" s="951" t="s">
        <v>54313</v>
      </c>
      <c r="D22" s="951" t="s">
        <v>54303</v>
      </c>
      <c r="E22" s="950" t="s">
        <v>54312</v>
      </c>
      <c r="F22" s="950" t="s">
        <v>54311</v>
      </c>
      <c r="G22" s="949">
        <v>874</v>
      </c>
      <c r="H22" s="939"/>
      <c r="I22" s="939"/>
      <c r="J22" s="939"/>
      <c r="K22" s="939"/>
      <c r="L22" s="939"/>
    </row>
    <row r="23" spans="1:25" ht="16.5">
      <c r="A23" s="948" t="s">
        <v>54306</v>
      </c>
      <c r="B23" s="947" t="s">
        <v>54310</v>
      </c>
      <c r="C23" s="947" t="s">
        <v>54309</v>
      </c>
      <c r="D23" s="947" t="s">
        <v>54303</v>
      </c>
      <c r="E23" s="946" t="s">
        <v>54308</v>
      </c>
      <c r="F23" s="946" t="s">
        <v>54307</v>
      </c>
      <c r="G23" s="942">
        <v>874</v>
      </c>
      <c r="H23" s="939"/>
      <c r="I23" s="939"/>
      <c r="J23" s="939"/>
      <c r="K23" s="939"/>
      <c r="L23" s="939"/>
    </row>
    <row r="24" spans="1:25" ht="16.5">
      <c r="A24" s="945" t="s">
        <v>54306</v>
      </c>
      <c r="B24" s="944" t="s">
        <v>54305</v>
      </c>
      <c r="C24" s="944" t="s">
        <v>54304</v>
      </c>
      <c r="D24" s="944" t="s">
        <v>54303</v>
      </c>
      <c r="E24" s="943" t="s">
        <v>54302</v>
      </c>
      <c r="F24" s="943" t="s">
        <v>54301</v>
      </c>
      <c r="G24" s="942">
        <v>874</v>
      </c>
      <c r="H24" s="939"/>
      <c r="I24" s="939"/>
      <c r="J24" s="939"/>
      <c r="K24" s="939"/>
      <c r="L24" s="939"/>
    </row>
    <row r="25" spans="1:25" ht="16.5">
      <c r="A25" s="955" t="s">
        <v>54300</v>
      </c>
      <c r="B25" s="954" t="s">
        <v>54299</v>
      </c>
      <c r="C25" s="954" t="s">
        <v>54298</v>
      </c>
      <c r="D25" s="954" t="s">
        <v>54297</v>
      </c>
      <c r="E25" s="953" t="s">
        <v>54296</v>
      </c>
      <c r="F25" s="953" t="s">
        <v>5206</v>
      </c>
      <c r="G25" s="949">
        <v>774</v>
      </c>
      <c r="H25" s="939"/>
      <c r="I25" s="939"/>
      <c r="J25" s="939"/>
      <c r="K25" s="939"/>
      <c r="L25" s="939"/>
    </row>
    <row r="26" spans="1:25" ht="16.5">
      <c r="A26" s="952" t="s">
        <v>3860</v>
      </c>
      <c r="B26" s="951" t="s">
        <v>54295</v>
      </c>
      <c r="C26" s="951" t="s">
        <v>54294</v>
      </c>
      <c r="D26" s="951" t="s">
        <v>54293</v>
      </c>
      <c r="E26" s="950" t="s">
        <v>54281</v>
      </c>
      <c r="F26" s="950" t="s">
        <v>5206</v>
      </c>
      <c r="G26" s="949">
        <v>274</v>
      </c>
      <c r="H26" s="939"/>
      <c r="I26" s="939"/>
      <c r="J26" s="939"/>
      <c r="K26" s="939"/>
      <c r="L26" s="939"/>
    </row>
    <row r="27" spans="1:25" ht="16.5">
      <c r="A27" s="948"/>
      <c r="B27" s="947" t="s">
        <v>54292</v>
      </c>
      <c r="C27" s="947" t="s">
        <v>54291</v>
      </c>
      <c r="D27" s="947" t="s">
        <v>54290</v>
      </c>
      <c r="E27" s="946" t="s">
        <v>54281</v>
      </c>
      <c r="F27" s="946" t="s">
        <v>5206</v>
      </c>
      <c r="G27" s="942">
        <v>239</v>
      </c>
      <c r="H27" s="939"/>
      <c r="I27" s="939"/>
      <c r="J27" s="939"/>
      <c r="K27" s="939"/>
      <c r="L27" s="939"/>
    </row>
    <row r="28" spans="1:25" ht="16.5">
      <c r="A28" s="945"/>
      <c r="B28" s="944" t="s">
        <v>54289</v>
      </c>
      <c r="C28" s="944" t="s">
        <v>54288</v>
      </c>
      <c r="D28" s="944" t="s">
        <v>54282</v>
      </c>
      <c r="E28" s="943" t="s">
        <v>54281</v>
      </c>
      <c r="F28" s="943" t="s">
        <v>5206</v>
      </c>
      <c r="G28" s="942">
        <v>49</v>
      </c>
      <c r="H28" s="939"/>
      <c r="I28" s="939"/>
      <c r="J28" s="939"/>
      <c r="K28" s="939"/>
      <c r="L28" s="939"/>
    </row>
    <row r="29" spans="1:25" ht="16.5">
      <c r="A29" s="948"/>
      <c r="B29" s="947" t="s">
        <v>54287</v>
      </c>
      <c r="C29" s="947" t="s">
        <v>54286</v>
      </c>
      <c r="D29" s="947" t="s">
        <v>54285</v>
      </c>
      <c r="E29" s="946" t="s">
        <v>54281</v>
      </c>
      <c r="F29" s="946" t="s">
        <v>5206</v>
      </c>
      <c r="G29" s="942">
        <v>79</v>
      </c>
      <c r="H29" s="939"/>
      <c r="I29" s="939"/>
      <c r="J29" s="939"/>
      <c r="K29" s="939"/>
      <c r="L29" s="939"/>
    </row>
    <row r="30" spans="1:25" ht="16.5">
      <c r="A30" s="945"/>
      <c r="B30" s="944" t="s">
        <v>54284</v>
      </c>
      <c r="C30" s="944" t="s">
        <v>54283</v>
      </c>
      <c r="D30" s="944" t="s">
        <v>54282</v>
      </c>
      <c r="E30" s="943" t="s">
        <v>54281</v>
      </c>
      <c r="F30" s="943" t="s">
        <v>5206</v>
      </c>
      <c r="G30" s="942">
        <v>49</v>
      </c>
      <c r="H30" s="939"/>
      <c r="I30" s="939"/>
      <c r="J30" s="939"/>
      <c r="K30" s="939"/>
      <c r="L30" s="939"/>
    </row>
    <row r="31" spans="1:25" ht="13">
      <c r="A31" s="941"/>
      <c r="B31" s="941"/>
      <c r="C31" s="941"/>
      <c r="D31" s="941"/>
      <c r="E31" s="941"/>
      <c r="F31" s="941"/>
      <c r="G31" s="941"/>
      <c r="H31" s="939"/>
      <c r="I31" s="939"/>
      <c r="J31" s="939"/>
      <c r="K31" s="939"/>
      <c r="L31" s="939"/>
    </row>
    <row r="32" spans="1:25" ht="14.5">
      <c r="A32" s="938"/>
      <c r="B32" s="937"/>
      <c r="C32" s="937"/>
      <c r="D32" s="940"/>
      <c r="E32" s="935"/>
      <c r="F32" s="936"/>
      <c r="G32" s="935"/>
      <c r="H32" s="939"/>
      <c r="I32" s="939"/>
      <c r="J32" s="939"/>
      <c r="K32" s="939"/>
      <c r="L32" s="939"/>
    </row>
    <row r="33" spans="1:12" ht="14.5">
      <c r="A33" s="938"/>
      <c r="B33" s="937"/>
      <c r="C33" s="937"/>
      <c r="D33" s="935"/>
      <c r="E33" s="935"/>
      <c r="F33" s="936"/>
      <c r="G33" s="935"/>
      <c r="H33" s="939"/>
      <c r="I33" s="939"/>
      <c r="J33" s="939"/>
      <c r="K33" s="939"/>
      <c r="L33" s="939"/>
    </row>
    <row r="34" spans="1:12" ht="14.5">
      <c r="A34" s="938"/>
      <c r="B34" s="937"/>
      <c r="C34" s="937"/>
      <c r="D34" s="935"/>
      <c r="E34" s="935"/>
      <c r="F34" s="936"/>
      <c r="G34" s="935"/>
    </row>
    <row r="53" spans="3:3" ht="23.5">
      <c r="C53" s="934"/>
    </row>
    <row r="58" spans="3:3" ht="23.5">
      <c r="C58" s="934"/>
    </row>
    <row r="71" spans="6:6" ht="14.5">
      <c r="F71" s="933"/>
    </row>
  </sheetData>
  <printOptions horizontalCentered="1" verticalCentered="1" gridLines="1"/>
  <pageMargins left="0.25" right="0.25" top="0.75" bottom="0.75" header="0" footer="0"/>
  <pageSetup pageOrder="overThenDown" orientation="landscape" cellComments="atEnd"/>
  <drawing r:id="rId1"/>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63DC5-3A27-496E-8768-D963C885B720}">
  <sheetPr codeName="Sheet7">
    <tabColor theme="2" tint="-9.9978637043366805E-2"/>
    <pageSetUpPr fitToPage="1"/>
  </sheetPr>
  <dimension ref="A1:D1376"/>
  <sheetViews>
    <sheetView view="pageBreakPreview" zoomScaleNormal="100" zoomScaleSheetLayoutView="100" workbookViewId="0">
      <pane xSplit="1" ySplit="6" topLeftCell="B1312" activePane="bottomRight" state="frozen"/>
      <selection activeCell="C8" sqref="C8"/>
      <selection pane="topRight" activeCell="C8" sqref="C8"/>
      <selection pane="bottomLeft" activeCell="C8" sqref="C8"/>
      <selection pane="bottomRight" activeCell="C8" sqref="C8"/>
    </sheetView>
  </sheetViews>
  <sheetFormatPr defaultColWidth="9.1796875" defaultRowHeight="12.5"/>
  <cols>
    <col min="1" max="1" width="25.54296875" style="91" customWidth="1"/>
    <col min="2" max="2" width="57.453125" style="90" bestFit="1" customWidth="1"/>
    <col min="3" max="3" width="9.453125" style="89" customWidth="1"/>
    <col min="4" max="4" width="13.453125" style="88" customWidth="1"/>
    <col min="5" max="16384" width="9.1796875" style="87"/>
  </cols>
  <sheetData>
    <row r="1" spans="1:4" s="112" customFormat="1" ht="21" customHeight="1">
      <c r="A1" s="116"/>
      <c r="D1" s="119"/>
    </row>
    <row r="2" spans="1:4" s="112" customFormat="1" ht="21" customHeight="1">
      <c r="A2" s="116"/>
      <c r="D2" s="118"/>
    </row>
    <row r="3" spans="1:4" s="112" customFormat="1" ht="25.5" customHeight="1">
      <c r="A3" s="116"/>
      <c r="D3" s="117"/>
    </row>
    <row r="4" spans="1:4" s="112" customFormat="1" ht="21" customHeight="1">
      <c r="A4" s="116"/>
      <c r="D4" s="115"/>
    </row>
    <row r="5" spans="1:4" s="112" customFormat="1" ht="21" customHeight="1">
      <c r="A5" s="114"/>
      <c r="D5" s="113"/>
    </row>
    <row r="6" spans="1:4" ht="39.75" customHeight="1">
      <c r="A6" s="111" t="s">
        <v>10533</v>
      </c>
      <c r="B6" s="110" t="s">
        <v>1</v>
      </c>
      <c r="C6" s="109" t="s">
        <v>10532</v>
      </c>
      <c r="D6" s="108" t="s">
        <v>10531</v>
      </c>
    </row>
    <row r="7" spans="1:4" s="97" customFormat="1" ht="15" customHeight="1">
      <c r="A7" s="94">
        <v>585</v>
      </c>
      <c r="B7" s="94" t="s">
        <v>10530</v>
      </c>
      <c r="C7" s="93" t="s">
        <v>7814</v>
      </c>
      <c r="D7" s="92">
        <v>54.72</v>
      </c>
    </row>
    <row r="8" spans="1:4" s="97" customFormat="1" ht="15" customHeight="1">
      <c r="A8" s="94" t="s">
        <v>10529</v>
      </c>
      <c r="B8" s="94" t="s">
        <v>10528</v>
      </c>
      <c r="C8" s="93" t="s">
        <v>7814</v>
      </c>
      <c r="D8" s="92">
        <v>151.15</v>
      </c>
    </row>
    <row r="9" spans="1:4" s="97" customFormat="1" ht="15" customHeight="1">
      <c r="A9" s="94" t="s">
        <v>10527</v>
      </c>
      <c r="B9" s="94" t="s">
        <v>10526</v>
      </c>
      <c r="C9" s="93" t="s">
        <v>7814</v>
      </c>
      <c r="D9" s="92">
        <v>796.99</v>
      </c>
    </row>
    <row r="10" spans="1:4" s="97" customFormat="1" ht="15" customHeight="1">
      <c r="A10" s="94" t="s">
        <v>10525</v>
      </c>
      <c r="B10" s="94" t="s">
        <v>10524</v>
      </c>
      <c r="C10" s="93" t="s">
        <v>7814</v>
      </c>
      <c r="D10" s="92">
        <v>797.21</v>
      </c>
    </row>
    <row r="11" spans="1:4" s="97" customFormat="1" ht="15" customHeight="1">
      <c r="A11" s="94" t="s">
        <v>10523</v>
      </c>
      <c r="B11" s="94" t="s">
        <v>10522</v>
      </c>
      <c r="C11" s="93" t="s">
        <v>7814</v>
      </c>
      <c r="D11" s="92">
        <v>796.99</v>
      </c>
    </row>
    <row r="12" spans="1:4" s="97" customFormat="1" ht="15" customHeight="1">
      <c r="A12" s="94" t="s">
        <v>10521</v>
      </c>
      <c r="B12" s="94" t="s">
        <v>10520</v>
      </c>
      <c r="C12" s="93" t="s">
        <v>7814</v>
      </c>
      <c r="D12" s="92">
        <v>797.17</v>
      </c>
    </row>
    <row r="13" spans="1:4" s="97" customFormat="1" ht="15" customHeight="1">
      <c r="A13" s="94" t="s">
        <v>10519</v>
      </c>
      <c r="B13" s="94" t="s">
        <v>10518</v>
      </c>
      <c r="C13" s="93" t="s">
        <v>7814</v>
      </c>
      <c r="D13" s="92">
        <v>797.17</v>
      </c>
    </row>
    <row r="14" spans="1:4" s="97" customFormat="1" ht="15" customHeight="1">
      <c r="A14" s="94" t="s">
        <v>10517</v>
      </c>
      <c r="B14" s="94" t="s">
        <v>10516</v>
      </c>
      <c r="C14" s="93" t="s">
        <v>7814</v>
      </c>
      <c r="D14" s="92">
        <v>1138.77</v>
      </c>
    </row>
    <row r="15" spans="1:4" s="97" customFormat="1" ht="15" customHeight="1">
      <c r="A15" s="94" t="s">
        <v>10515</v>
      </c>
      <c r="B15" s="94" t="s">
        <v>10514</v>
      </c>
      <c r="C15" s="93" t="s">
        <v>7814</v>
      </c>
      <c r="D15" s="92">
        <v>1138.77</v>
      </c>
    </row>
    <row r="16" spans="1:4" s="97" customFormat="1" ht="15" customHeight="1">
      <c r="A16" s="94" t="s">
        <v>10513</v>
      </c>
      <c r="B16" s="94" t="s">
        <v>10512</v>
      </c>
      <c r="C16" s="93" t="s">
        <v>7814</v>
      </c>
      <c r="D16" s="92">
        <v>1139.2</v>
      </c>
    </row>
    <row r="17" spans="1:4" s="107" customFormat="1" ht="15" customHeight="1">
      <c r="A17" s="94" t="s">
        <v>10511</v>
      </c>
      <c r="B17" s="94" t="s">
        <v>10510</v>
      </c>
      <c r="C17" s="93" t="s">
        <v>7814</v>
      </c>
      <c r="D17" s="92">
        <v>1138.98</v>
      </c>
    </row>
    <row r="18" spans="1:4" s="107" customFormat="1" ht="15" customHeight="1">
      <c r="A18" s="94" t="s">
        <v>10509</v>
      </c>
      <c r="B18" s="94" t="s">
        <v>10508</v>
      </c>
      <c r="C18" s="93" t="s">
        <v>7814</v>
      </c>
      <c r="D18" s="92">
        <v>1138.77</v>
      </c>
    </row>
    <row r="19" spans="1:4" s="107" customFormat="1" ht="15" customHeight="1">
      <c r="A19" s="94" t="s">
        <v>10507</v>
      </c>
      <c r="B19" s="94" t="s">
        <v>10506</v>
      </c>
      <c r="C19" s="93" t="s">
        <v>7814</v>
      </c>
      <c r="D19" s="92">
        <v>1138.77</v>
      </c>
    </row>
    <row r="20" spans="1:4" s="107" customFormat="1" ht="15" customHeight="1">
      <c r="A20" s="94" t="s">
        <v>10505</v>
      </c>
      <c r="B20" s="94" t="s">
        <v>10504</v>
      </c>
      <c r="C20" s="93" t="s">
        <v>7814</v>
      </c>
      <c r="D20" s="92">
        <v>1139.2</v>
      </c>
    </row>
    <row r="21" spans="1:4" s="107" customFormat="1" ht="15" customHeight="1">
      <c r="A21" s="94" t="s">
        <v>10503</v>
      </c>
      <c r="B21" s="94" t="s">
        <v>10502</v>
      </c>
      <c r="C21" s="93" t="s">
        <v>7814</v>
      </c>
      <c r="D21" s="92">
        <v>1138.98</v>
      </c>
    </row>
    <row r="22" spans="1:4" s="97" customFormat="1" ht="15" customHeight="1">
      <c r="A22" s="94" t="s">
        <v>10501</v>
      </c>
      <c r="B22" s="94" t="s">
        <v>10500</v>
      </c>
      <c r="C22" s="93" t="s">
        <v>7814</v>
      </c>
      <c r="D22" s="92">
        <v>1139.1400000000001</v>
      </c>
    </row>
    <row r="23" spans="1:4" s="97" customFormat="1" ht="15" customHeight="1">
      <c r="A23" s="94" t="s">
        <v>10499</v>
      </c>
      <c r="B23" s="94" t="s">
        <v>10498</v>
      </c>
      <c r="C23" s="93" t="s">
        <v>7814</v>
      </c>
      <c r="D23" s="92">
        <v>1138.95</v>
      </c>
    </row>
    <row r="24" spans="1:4" s="97" customFormat="1" ht="15" customHeight="1">
      <c r="A24" s="94" t="s">
        <v>10497</v>
      </c>
      <c r="B24" s="94" t="s">
        <v>10496</v>
      </c>
      <c r="C24" s="93" t="s">
        <v>7814</v>
      </c>
      <c r="D24" s="92">
        <v>1139.17</v>
      </c>
    </row>
    <row r="25" spans="1:4" s="97" customFormat="1" ht="15" customHeight="1">
      <c r="A25" s="94" t="s">
        <v>10495</v>
      </c>
      <c r="B25" s="94" t="s">
        <v>10494</v>
      </c>
      <c r="C25" s="93" t="s">
        <v>7814</v>
      </c>
      <c r="D25" s="92">
        <v>1138.95</v>
      </c>
    </row>
    <row r="26" spans="1:4" s="97" customFormat="1" ht="15" customHeight="1">
      <c r="A26" s="94" t="s">
        <v>10493</v>
      </c>
      <c r="B26" s="94" t="s">
        <v>10492</v>
      </c>
      <c r="C26" s="93" t="s">
        <v>7814</v>
      </c>
      <c r="D26" s="92">
        <v>1139.1400000000001</v>
      </c>
    </row>
    <row r="27" spans="1:4" s="97" customFormat="1" ht="15" customHeight="1">
      <c r="A27" s="94" t="s">
        <v>10491</v>
      </c>
      <c r="B27" s="94" t="s">
        <v>10490</v>
      </c>
      <c r="C27" s="93" t="s">
        <v>7814</v>
      </c>
      <c r="D27" s="92">
        <v>1138.95</v>
      </c>
    </row>
    <row r="28" spans="1:4" s="97" customFormat="1" ht="15" customHeight="1">
      <c r="A28" s="94" t="s">
        <v>10489</v>
      </c>
      <c r="B28" s="94" t="s">
        <v>10488</v>
      </c>
      <c r="C28" s="93" t="s">
        <v>7814</v>
      </c>
      <c r="D28" s="92">
        <v>1138.77</v>
      </c>
    </row>
    <row r="29" spans="1:4" s="97" customFormat="1" ht="15" customHeight="1">
      <c r="A29" s="94" t="s">
        <v>10487</v>
      </c>
      <c r="B29" s="94" t="s">
        <v>10486</v>
      </c>
      <c r="C29" s="93" t="s">
        <v>7829</v>
      </c>
      <c r="D29" s="92">
        <v>239.24</v>
      </c>
    </row>
    <row r="30" spans="1:4" s="97" customFormat="1" ht="15" customHeight="1">
      <c r="A30" s="98" t="s">
        <v>10485</v>
      </c>
      <c r="B30" s="94" t="s">
        <v>10484</v>
      </c>
      <c r="C30" s="93" t="s">
        <v>7814</v>
      </c>
      <c r="D30" s="92">
        <v>569.04</v>
      </c>
    </row>
    <row r="31" spans="1:4" s="97" customFormat="1" ht="15" customHeight="1">
      <c r="A31" s="98" t="s">
        <v>10483</v>
      </c>
      <c r="B31" s="94" t="s">
        <v>10482</v>
      </c>
      <c r="C31" s="93" t="s">
        <v>7814</v>
      </c>
      <c r="D31" s="92">
        <v>628.66999999999996</v>
      </c>
    </row>
    <row r="32" spans="1:4" s="97" customFormat="1" ht="15" customHeight="1">
      <c r="A32" s="98" t="s">
        <v>10481</v>
      </c>
      <c r="B32" s="94" t="s">
        <v>10480</v>
      </c>
      <c r="C32" s="93" t="s">
        <v>7814</v>
      </c>
      <c r="D32" s="92">
        <v>569.04</v>
      </c>
    </row>
    <row r="33" spans="1:4" s="97" customFormat="1" ht="15" customHeight="1">
      <c r="A33" s="98" t="s">
        <v>10479</v>
      </c>
      <c r="B33" s="94" t="s">
        <v>10478</v>
      </c>
      <c r="C33" s="93" t="s">
        <v>7814</v>
      </c>
      <c r="D33" s="92">
        <v>628.66999999999996</v>
      </c>
    </row>
    <row r="34" spans="1:4" s="97" customFormat="1" ht="15" customHeight="1">
      <c r="A34" s="98" t="s">
        <v>10477</v>
      </c>
      <c r="B34" s="94" t="s">
        <v>10476</v>
      </c>
      <c r="C34" s="93" t="s">
        <v>7814</v>
      </c>
      <c r="D34" s="92">
        <v>570.55999999999995</v>
      </c>
    </row>
    <row r="35" spans="1:4" s="97" customFormat="1" ht="15" customHeight="1">
      <c r="A35" s="98" t="s">
        <v>10475</v>
      </c>
      <c r="B35" s="94" t="s">
        <v>10474</v>
      </c>
      <c r="C35" s="93" t="s">
        <v>7814</v>
      </c>
      <c r="D35" s="92">
        <v>630.19000000000005</v>
      </c>
    </row>
    <row r="36" spans="1:4" s="97" customFormat="1" ht="15" customHeight="1">
      <c r="A36" s="98" t="s">
        <v>10473</v>
      </c>
      <c r="B36" s="94" t="s">
        <v>10472</v>
      </c>
      <c r="C36" s="93" t="s">
        <v>7814</v>
      </c>
      <c r="D36" s="92">
        <v>571.09</v>
      </c>
    </row>
    <row r="37" spans="1:4" s="97" customFormat="1" ht="15" customHeight="1">
      <c r="A37" s="98" t="s">
        <v>10471</v>
      </c>
      <c r="B37" s="94" t="s">
        <v>10470</v>
      </c>
      <c r="C37" s="93" t="s">
        <v>7814</v>
      </c>
      <c r="D37" s="92">
        <v>637.14</v>
      </c>
    </row>
    <row r="38" spans="1:4" s="97" customFormat="1" ht="15" customHeight="1">
      <c r="A38" s="98" t="s">
        <v>10469</v>
      </c>
      <c r="B38" s="94" t="s">
        <v>10468</v>
      </c>
      <c r="C38" s="93" t="s">
        <v>7814</v>
      </c>
      <c r="D38" s="92">
        <v>723</v>
      </c>
    </row>
    <row r="39" spans="1:4" s="97" customFormat="1" ht="15" customHeight="1">
      <c r="A39" s="98" t="s">
        <v>10467</v>
      </c>
      <c r="B39" s="94" t="s">
        <v>10466</v>
      </c>
      <c r="C39" s="93" t="s">
        <v>7814</v>
      </c>
      <c r="D39" s="92">
        <v>630.69000000000005</v>
      </c>
    </row>
    <row r="40" spans="1:4" s="97" customFormat="1" ht="15" customHeight="1">
      <c r="A40" s="94" t="s">
        <v>10465</v>
      </c>
      <c r="B40" s="94" t="s">
        <v>10464</v>
      </c>
      <c r="C40" s="93" t="s">
        <v>7814</v>
      </c>
      <c r="D40" s="92">
        <v>442.76</v>
      </c>
    </row>
    <row r="41" spans="1:4" s="97" customFormat="1" ht="15" customHeight="1">
      <c r="A41" s="94" t="s">
        <v>10463</v>
      </c>
      <c r="B41" s="94" t="s">
        <v>10462</v>
      </c>
      <c r="C41" s="93" t="s">
        <v>7814</v>
      </c>
      <c r="D41" s="92">
        <v>479.96</v>
      </c>
    </row>
    <row r="42" spans="1:4" s="97" customFormat="1" ht="15" customHeight="1">
      <c r="A42" s="94" t="s">
        <v>10461</v>
      </c>
      <c r="B42" s="94" t="s">
        <v>10460</v>
      </c>
      <c r="C42" s="93" t="s">
        <v>7814</v>
      </c>
      <c r="D42" s="92">
        <v>442.76</v>
      </c>
    </row>
    <row r="43" spans="1:4" s="97" customFormat="1" ht="15" customHeight="1">
      <c r="A43" s="94" t="s">
        <v>10459</v>
      </c>
      <c r="B43" s="94" t="s">
        <v>10458</v>
      </c>
      <c r="C43" s="93" t="s">
        <v>7814</v>
      </c>
      <c r="D43" s="92">
        <v>446.25</v>
      </c>
    </row>
    <row r="44" spans="1:4" s="97" customFormat="1" ht="15" customHeight="1">
      <c r="A44" s="94" t="s">
        <v>10457</v>
      </c>
      <c r="B44" s="94" t="s">
        <v>10456</v>
      </c>
      <c r="C44" s="93" t="s">
        <v>7814</v>
      </c>
      <c r="D44" s="92">
        <v>483.46</v>
      </c>
    </row>
    <row r="45" spans="1:4" s="97" customFormat="1" ht="15" customHeight="1">
      <c r="A45" s="94" t="s">
        <v>10455</v>
      </c>
      <c r="B45" s="94" t="s">
        <v>10434</v>
      </c>
      <c r="C45" s="93" t="s">
        <v>7814</v>
      </c>
      <c r="D45" s="92">
        <v>479.96</v>
      </c>
    </row>
    <row r="46" spans="1:4" s="97" customFormat="1" ht="15" customHeight="1">
      <c r="A46" s="94" t="s">
        <v>10454</v>
      </c>
      <c r="B46" s="94" t="s">
        <v>10453</v>
      </c>
      <c r="C46" s="93" t="s">
        <v>7814</v>
      </c>
      <c r="D46" s="92">
        <v>444.26</v>
      </c>
    </row>
    <row r="47" spans="1:4" s="97" customFormat="1" ht="15" customHeight="1">
      <c r="A47" s="94" t="s">
        <v>10452</v>
      </c>
      <c r="B47" s="94" t="s">
        <v>10451</v>
      </c>
      <c r="C47" s="93" t="s">
        <v>7814</v>
      </c>
      <c r="D47" s="92">
        <v>481.46</v>
      </c>
    </row>
    <row r="48" spans="1:4" s="97" customFormat="1" ht="15" customHeight="1">
      <c r="A48" s="94" t="s">
        <v>10450</v>
      </c>
      <c r="B48" s="94" t="s">
        <v>10446</v>
      </c>
      <c r="C48" s="93" t="s">
        <v>7814</v>
      </c>
      <c r="D48" s="92">
        <v>446.25</v>
      </c>
    </row>
    <row r="49" spans="1:4" s="97" customFormat="1" ht="15" customHeight="1">
      <c r="A49" s="94" t="s">
        <v>10449</v>
      </c>
      <c r="B49" s="94" t="s">
        <v>10448</v>
      </c>
      <c r="C49" s="93" t="s">
        <v>7814</v>
      </c>
      <c r="D49" s="92">
        <v>483.46</v>
      </c>
    </row>
    <row r="50" spans="1:4" s="97" customFormat="1" ht="15" customHeight="1">
      <c r="A50" s="94" t="s">
        <v>10447</v>
      </c>
      <c r="B50" s="94" t="s">
        <v>10446</v>
      </c>
      <c r="C50" s="93" t="s">
        <v>7814</v>
      </c>
      <c r="D50" s="92">
        <v>446.25</v>
      </c>
    </row>
    <row r="51" spans="1:4" s="97" customFormat="1" ht="15" customHeight="1">
      <c r="A51" s="94" t="s">
        <v>10445</v>
      </c>
      <c r="B51" s="94" t="s">
        <v>10444</v>
      </c>
      <c r="C51" s="93" t="s">
        <v>7814</v>
      </c>
      <c r="D51" s="92">
        <v>483.46</v>
      </c>
    </row>
    <row r="52" spans="1:4" s="97" customFormat="1" ht="15" customHeight="1">
      <c r="A52" s="94" t="s">
        <v>10443</v>
      </c>
      <c r="B52" s="94" t="s">
        <v>10442</v>
      </c>
      <c r="C52" s="93" t="s">
        <v>7814</v>
      </c>
      <c r="D52" s="92">
        <v>443.91</v>
      </c>
    </row>
    <row r="53" spans="1:4" s="97" customFormat="1" ht="15" customHeight="1">
      <c r="A53" s="94" t="s">
        <v>10441</v>
      </c>
      <c r="B53" s="94" t="s">
        <v>10432</v>
      </c>
      <c r="C53" s="93" t="s">
        <v>7814</v>
      </c>
      <c r="D53" s="92">
        <v>446.57</v>
      </c>
    </row>
    <row r="54" spans="1:4" s="97" customFormat="1" ht="15" customHeight="1">
      <c r="A54" s="94" t="s">
        <v>10440</v>
      </c>
      <c r="B54" s="94" t="s">
        <v>10439</v>
      </c>
      <c r="C54" s="93" t="s">
        <v>7814</v>
      </c>
      <c r="D54" s="92">
        <v>483.77</v>
      </c>
    </row>
    <row r="55" spans="1:4" s="97" customFormat="1" ht="15" customHeight="1">
      <c r="A55" s="94" t="s">
        <v>10438</v>
      </c>
      <c r="B55" s="94" t="s">
        <v>10432</v>
      </c>
      <c r="C55" s="93" t="s">
        <v>7814</v>
      </c>
      <c r="D55" s="92">
        <v>445.82</v>
      </c>
    </row>
    <row r="56" spans="1:4" s="97" customFormat="1" ht="15" customHeight="1">
      <c r="A56" s="94" t="s">
        <v>10437</v>
      </c>
      <c r="B56" s="94" t="s">
        <v>10436</v>
      </c>
      <c r="C56" s="93" t="s">
        <v>7814</v>
      </c>
      <c r="D56" s="92">
        <v>483.03</v>
      </c>
    </row>
    <row r="57" spans="1:4" s="97" customFormat="1" ht="15" customHeight="1">
      <c r="A57" s="94" t="s">
        <v>10435</v>
      </c>
      <c r="B57" s="94" t="s">
        <v>10434</v>
      </c>
      <c r="C57" s="93" t="s">
        <v>7814</v>
      </c>
      <c r="D57" s="92">
        <v>481.12</v>
      </c>
    </row>
    <row r="58" spans="1:4" s="97" customFormat="1" ht="15" customHeight="1">
      <c r="A58" s="94" t="s">
        <v>10433</v>
      </c>
      <c r="B58" s="94" t="s">
        <v>10432</v>
      </c>
      <c r="C58" s="93" t="s">
        <v>7814</v>
      </c>
      <c r="D58" s="92">
        <v>445.2</v>
      </c>
    </row>
    <row r="59" spans="1:4" s="97" customFormat="1" ht="15" customHeight="1">
      <c r="A59" s="94" t="s">
        <v>10431</v>
      </c>
      <c r="B59" s="94" t="s">
        <v>10430</v>
      </c>
      <c r="C59" s="93" t="s">
        <v>7814</v>
      </c>
      <c r="D59" s="92">
        <v>482.4</v>
      </c>
    </row>
    <row r="60" spans="1:4" s="97" customFormat="1" ht="15" customHeight="1">
      <c r="A60" s="94" t="s">
        <v>10429</v>
      </c>
      <c r="B60" s="94" t="s">
        <v>10428</v>
      </c>
      <c r="C60" s="93" t="s">
        <v>7814</v>
      </c>
      <c r="D60" s="92">
        <v>550.82000000000005</v>
      </c>
    </row>
    <row r="61" spans="1:4" s="97" customFormat="1" ht="15" customHeight="1">
      <c r="A61" s="94" t="s">
        <v>10427</v>
      </c>
      <c r="B61" s="94" t="s">
        <v>10426</v>
      </c>
      <c r="C61" s="93" t="s">
        <v>7814</v>
      </c>
      <c r="D61" s="92">
        <v>618.04999999999995</v>
      </c>
    </row>
    <row r="62" spans="1:4" s="97" customFormat="1" ht="15" customHeight="1">
      <c r="A62" s="94" t="s">
        <v>10425</v>
      </c>
      <c r="B62" s="94" t="s">
        <v>10424</v>
      </c>
      <c r="C62" s="93" t="s">
        <v>7814</v>
      </c>
      <c r="D62" s="92">
        <v>550.73</v>
      </c>
    </row>
    <row r="63" spans="1:4" s="97" customFormat="1" ht="15" customHeight="1">
      <c r="A63" s="94" t="s">
        <v>10423</v>
      </c>
      <c r="B63" s="94" t="s">
        <v>10422</v>
      </c>
      <c r="C63" s="93" t="s">
        <v>7814</v>
      </c>
      <c r="D63" s="92">
        <v>617.29</v>
      </c>
    </row>
    <row r="64" spans="1:4" s="97" customFormat="1" ht="15" customHeight="1">
      <c r="A64" s="94" t="s">
        <v>10421</v>
      </c>
      <c r="B64" s="94" t="s">
        <v>10420</v>
      </c>
      <c r="C64" s="93" t="s">
        <v>7814</v>
      </c>
      <c r="D64" s="92">
        <v>573.15</v>
      </c>
    </row>
    <row r="65" spans="1:4" s="97" customFormat="1" ht="15" customHeight="1">
      <c r="A65" s="94" t="s">
        <v>10419</v>
      </c>
      <c r="B65" s="94" t="s">
        <v>10418</v>
      </c>
      <c r="C65" s="93" t="s">
        <v>7814</v>
      </c>
      <c r="D65" s="92">
        <v>642.1</v>
      </c>
    </row>
    <row r="66" spans="1:4" s="97" customFormat="1" ht="15" customHeight="1">
      <c r="A66" s="94" t="s">
        <v>10417</v>
      </c>
      <c r="B66" s="94" t="s">
        <v>10416</v>
      </c>
      <c r="C66" s="93" t="s">
        <v>7814</v>
      </c>
      <c r="D66" s="92">
        <v>572.29999999999995</v>
      </c>
    </row>
    <row r="67" spans="1:4" s="97" customFormat="1" ht="15" customHeight="1">
      <c r="A67" s="94" t="s">
        <v>10415</v>
      </c>
      <c r="B67" s="94" t="s">
        <v>10414</v>
      </c>
      <c r="C67" s="93" t="s">
        <v>7814</v>
      </c>
      <c r="D67" s="92">
        <v>641.25</v>
      </c>
    </row>
    <row r="68" spans="1:4" s="97" customFormat="1" ht="15" customHeight="1">
      <c r="A68" s="94" t="s">
        <v>10413</v>
      </c>
      <c r="B68" s="94" t="s">
        <v>10412</v>
      </c>
      <c r="C68" s="93" t="s">
        <v>7814</v>
      </c>
      <c r="D68" s="92">
        <v>642.1</v>
      </c>
    </row>
    <row r="69" spans="1:4" s="97" customFormat="1" ht="15" customHeight="1">
      <c r="A69" s="94" t="s">
        <v>10411</v>
      </c>
      <c r="B69" s="94" t="s">
        <v>10410</v>
      </c>
      <c r="C69" s="93" t="s">
        <v>7814</v>
      </c>
      <c r="D69" s="92">
        <v>246.01</v>
      </c>
    </row>
    <row r="70" spans="1:4" s="97" customFormat="1" ht="15" customHeight="1">
      <c r="A70" s="94" t="s">
        <v>10409</v>
      </c>
      <c r="B70" s="94" t="s">
        <v>10408</v>
      </c>
      <c r="C70" s="93" t="s">
        <v>7829</v>
      </c>
      <c r="D70" s="92">
        <v>63.49</v>
      </c>
    </row>
    <row r="71" spans="1:4" s="97" customFormat="1" ht="15" customHeight="1">
      <c r="A71" s="94" t="s">
        <v>10407</v>
      </c>
      <c r="B71" s="94" t="s">
        <v>10406</v>
      </c>
      <c r="C71" s="93" t="s">
        <v>7829</v>
      </c>
      <c r="D71" s="92">
        <v>89.14</v>
      </c>
    </row>
    <row r="72" spans="1:4" s="97" customFormat="1" ht="15" customHeight="1">
      <c r="A72" s="94" t="s">
        <v>10405</v>
      </c>
      <c r="B72" s="94" t="s">
        <v>10404</v>
      </c>
      <c r="C72" s="93" t="s">
        <v>7829</v>
      </c>
      <c r="D72" s="92">
        <v>231.43</v>
      </c>
    </row>
    <row r="73" spans="1:4" s="97" customFormat="1" ht="15" customHeight="1">
      <c r="A73" s="94" t="s">
        <v>10403</v>
      </c>
      <c r="B73" s="94" t="s">
        <v>10402</v>
      </c>
      <c r="C73" s="93" t="s">
        <v>7829</v>
      </c>
      <c r="D73" s="92">
        <v>396.88</v>
      </c>
    </row>
    <row r="74" spans="1:4" s="97" customFormat="1" ht="15" customHeight="1">
      <c r="A74" s="94" t="s">
        <v>10401</v>
      </c>
      <c r="B74" s="94" t="s">
        <v>10400</v>
      </c>
      <c r="C74" s="93" t="s">
        <v>7814</v>
      </c>
      <c r="D74" s="92">
        <v>989.03</v>
      </c>
    </row>
    <row r="75" spans="1:4" s="97" customFormat="1" ht="15" customHeight="1">
      <c r="A75" s="94" t="s">
        <v>10399</v>
      </c>
      <c r="B75" s="94" t="s">
        <v>10398</v>
      </c>
      <c r="C75" s="93" t="s">
        <v>7814</v>
      </c>
      <c r="D75" s="92">
        <v>989.03</v>
      </c>
    </row>
    <row r="76" spans="1:4" s="97" customFormat="1" ht="15" customHeight="1">
      <c r="A76" s="94" t="s">
        <v>10397</v>
      </c>
      <c r="B76" s="94" t="s">
        <v>10396</v>
      </c>
      <c r="C76" s="93" t="s">
        <v>7814</v>
      </c>
      <c r="D76" s="92">
        <v>989.03</v>
      </c>
    </row>
    <row r="77" spans="1:4" s="97" customFormat="1" ht="15" customHeight="1">
      <c r="A77" s="94" t="s">
        <v>10395</v>
      </c>
      <c r="B77" s="94" t="s">
        <v>10394</v>
      </c>
      <c r="C77" s="93" t="s">
        <v>7814</v>
      </c>
      <c r="D77" s="92">
        <v>1171.17</v>
      </c>
    </row>
    <row r="78" spans="1:4" s="97" customFormat="1" ht="15" customHeight="1">
      <c r="A78" s="94" t="s">
        <v>10393</v>
      </c>
      <c r="B78" s="94" t="s">
        <v>10392</v>
      </c>
      <c r="C78" s="93" t="s">
        <v>7814</v>
      </c>
      <c r="D78" s="92">
        <v>1171.17</v>
      </c>
    </row>
    <row r="79" spans="1:4" s="97" customFormat="1" ht="15" customHeight="1">
      <c r="A79" s="94" t="s">
        <v>10391</v>
      </c>
      <c r="B79" s="94" t="s">
        <v>10390</v>
      </c>
      <c r="C79" s="93" t="s">
        <v>7814</v>
      </c>
      <c r="D79" s="92">
        <v>1171.17</v>
      </c>
    </row>
    <row r="80" spans="1:4" s="97" customFormat="1" ht="15" customHeight="1">
      <c r="A80" s="94" t="s">
        <v>10389</v>
      </c>
      <c r="B80" s="94" t="s">
        <v>10388</v>
      </c>
      <c r="C80" s="93" t="s">
        <v>7814</v>
      </c>
      <c r="D80" s="92">
        <v>2342.3000000000002</v>
      </c>
    </row>
    <row r="81" spans="1:4" s="97" customFormat="1" ht="15" customHeight="1">
      <c r="A81" s="94" t="s">
        <v>10387</v>
      </c>
      <c r="B81" s="94" t="s">
        <v>10386</v>
      </c>
      <c r="C81" s="93" t="s">
        <v>7814</v>
      </c>
      <c r="D81" s="92">
        <v>1171.17</v>
      </c>
    </row>
    <row r="82" spans="1:4" s="97" customFormat="1" ht="15" customHeight="1">
      <c r="A82" s="94" t="s">
        <v>10385</v>
      </c>
      <c r="B82" s="94" t="s">
        <v>10384</v>
      </c>
      <c r="C82" s="93" t="s">
        <v>7814</v>
      </c>
      <c r="D82" s="92">
        <v>1020.5</v>
      </c>
    </row>
    <row r="83" spans="1:4" s="97" customFormat="1" ht="15" customHeight="1">
      <c r="A83" s="94" t="s">
        <v>10383</v>
      </c>
      <c r="B83" s="94" t="s">
        <v>10382</v>
      </c>
      <c r="C83" s="93" t="s">
        <v>7814</v>
      </c>
      <c r="D83" s="92">
        <v>900.77</v>
      </c>
    </row>
    <row r="84" spans="1:4" s="97" customFormat="1" ht="15" customHeight="1">
      <c r="A84" s="94" t="s">
        <v>10381</v>
      </c>
      <c r="B84" s="94" t="s">
        <v>10380</v>
      </c>
      <c r="C84" s="93" t="s">
        <v>7814</v>
      </c>
      <c r="D84" s="92">
        <v>900.77</v>
      </c>
    </row>
    <row r="85" spans="1:4" s="97" customFormat="1" ht="15" customHeight="1">
      <c r="A85" s="94" t="s">
        <v>10379</v>
      </c>
      <c r="B85" s="94" t="s">
        <v>10378</v>
      </c>
      <c r="C85" s="93" t="s">
        <v>7814</v>
      </c>
      <c r="D85" s="92">
        <v>900.77</v>
      </c>
    </row>
    <row r="86" spans="1:4" s="97" customFormat="1" ht="15" customHeight="1">
      <c r="A86" s="94" t="s">
        <v>10377</v>
      </c>
      <c r="B86" s="94" t="s">
        <v>10376</v>
      </c>
      <c r="C86" s="93" t="s">
        <v>7814</v>
      </c>
      <c r="D86" s="92">
        <v>2092.1799999999998</v>
      </c>
    </row>
    <row r="87" spans="1:4" s="97" customFormat="1" ht="15" customHeight="1">
      <c r="A87" s="94" t="s">
        <v>10375</v>
      </c>
      <c r="B87" s="94" t="s">
        <v>10374</v>
      </c>
      <c r="C87" s="93" t="s">
        <v>7814</v>
      </c>
      <c r="D87" s="92">
        <v>2091.65</v>
      </c>
    </row>
    <row r="88" spans="1:4" s="97" customFormat="1" ht="15" customHeight="1">
      <c r="A88" s="94" t="s">
        <v>10373</v>
      </c>
      <c r="B88" s="94" t="s">
        <v>10372</v>
      </c>
      <c r="C88" s="93" t="s">
        <v>7814</v>
      </c>
      <c r="D88" s="92">
        <v>1492.18</v>
      </c>
    </row>
    <row r="89" spans="1:4" s="102" customFormat="1" ht="15" customHeight="1">
      <c r="A89" s="94" t="s">
        <v>10371</v>
      </c>
      <c r="B89" s="94" t="s">
        <v>10370</v>
      </c>
      <c r="C89" s="93" t="s">
        <v>7814</v>
      </c>
      <c r="D89" s="92">
        <v>1492.22</v>
      </c>
    </row>
    <row r="90" spans="1:4" s="97" customFormat="1" ht="15" customHeight="1">
      <c r="A90" s="94" t="s">
        <v>10369</v>
      </c>
      <c r="B90" s="94" t="s">
        <v>10368</v>
      </c>
      <c r="C90" s="93" t="s">
        <v>7814</v>
      </c>
      <c r="D90" s="92">
        <v>1204.3800000000001</v>
      </c>
    </row>
    <row r="91" spans="1:4" s="97" customFormat="1" ht="15" customHeight="1">
      <c r="A91" s="94" t="s">
        <v>10367</v>
      </c>
      <c r="B91" s="94" t="s">
        <v>10366</v>
      </c>
      <c r="C91" s="93" t="s">
        <v>7814</v>
      </c>
      <c r="D91" s="92">
        <v>1204.3800000000001</v>
      </c>
    </row>
    <row r="92" spans="1:4" s="97" customFormat="1" ht="15" customHeight="1">
      <c r="A92" s="94" t="s">
        <v>10365</v>
      </c>
      <c r="B92" s="94" t="s">
        <v>10364</v>
      </c>
      <c r="C92" s="93" t="s">
        <v>7814</v>
      </c>
      <c r="D92" s="92">
        <v>1548.22</v>
      </c>
    </row>
    <row r="93" spans="1:4" s="97" customFormat="1" ht="15" customHeight="1">
      <c r="A93" s="94" t="s">
        <v>10363</v>
      </c>
      <c r="B93" s="94" t="s">
        <v>10362</v>
      </c>
      <c r="C93" s="93" t="s">
        <v>7814</v>
      </c>
      <c r="D93" s="92">
        <v>327.45</v>
      </c>
    </row>
    <row r="94" spans="1:4" s="97" customFormat="1" ht="15" customHeight="1">
      <c r="A94" s="94" t="s">
        <v>10361</v>
      </c>
      <c r="B94" s="94" t="s">
        <v>10360</v>
      </c>
      <c r="C94" s="93" t="s">
        <v>7829</v>
      </c>
      <c r="D94" s="92">
        <v>350.6</v>
      </c>
    </row>
    <row r="95" spans="1:4" s="97" customFormat="1" ht="15" customHeight="1">
      <c r="A95" s="94" t="s">
        <v>10359</v>
      </c>
      <c r="B95" s="94" t="s">
        <v>10358</v>
      </c>
      <c r="C95" s="93" t="s">
        <v>7829</v>
      </c>
      <c r="D95" s="92">
        <v>349.65</v>
      </c>
    </row>
    <row r="96" spans="1:4" s="105" customFormat="1" ht="15" customHeight="1">
      <c r="A96" s="94" t="s">
        <v>10357</v>
      </c>
      <c r="B96" s="94" t="s">
        <v>10356</v>
      </c>
      <c r="C96" s="93" t="s">
        <v>7829</v>
      </c>
      <c r="D96" s="92">
        <v>356.87</v>
      </c>
    </row>
    <row r="97" spans="1:4" s="105" customFormat="1" ht="15" customHeight="1">
      <c r="A97" s="94" t="s">
        <v>10355</v>
      </c>
      <c r="B97" s="94" t="s">
        <v>10354</v>
      </c>
      <c r="C97" s="93" t="s">
        <v>7829</v>
      </c>
      <c r="D97" s="92">
        <v>350.6</v>
      </c>
    </row>
    <row r="98" spans="1:4" s="105" customFormat="1" ht="15" customHeight="1">
      <c r="A98" s="94" t="s">
        <v>10353</v>
      </c>
      <c r="B98" s="94" t="s">
        <v>10352</v>
      </c>
      <c r="C98" s="93" t="s">
        <v>7814</v>
      </c>
      <c r="D98" s="92">
        <v>793.19</v>
      </c>
    </row>
    <row r="99" spans="1:4" s="105" customFormat="1" ht="15" customHeight="1">
      <c r="A99" s="94" t="s">
        <v>10351</v>
      </c>
      <c r="B99" s="94" t="s">
        <v>10350</v>
      </c>
      <c r="C99" s="93" t="s">
        <v>7814</v>
      </c>
      <c r="D99" s="92">
        <v>793.74</v>
      </c>
    </row>
    <row r="100" spans="1:4" s="105" customFormat="1" ht="15" customHeight="1">
      <c r="A100" s="94" t="s">
        <v>10349</v>
      </c>
      <c r="B100" s="94" t="s">
        <v>10348</v>
      </c>
      <c r="C100" s="93" t="s">
        <v>7814</v>
      </c>
      <c r="D100" s="92">
        <v>793.19</v>
      </c>
    </row>
    <row r="101" spans="1:4" s="97" customFormat="1" ht="15" customHeight="1">
      <c r="A101" s="94" t="s">
        <v>10347</v>
      </c>
      <c r="B101" s="94" t="s">
        <v>10346</v>
      </c>
      <c r="C101" s="93" t="s">
        <v>7814</v>
      </c>
      <c r="D101" s="92">
        <v>794.29</v>
      </c>
    </row>
    <row r="102" spans="1:4" s="97" customFormat="1" ht="15" customHeight="1">
      <c r="A102" s="94" t="s">
        <v>10345</v>
      </c>
      <c r="B102" s="94" t="s">
        <v>10344</v>
      </c>
      <c r="C102" s="93" t="s">
        <v>7814</v>
      </c>
      <c r="D102" s="92">
        <v>794.29</v>
      </c>
    </row>
    <row r="103" spans="1:4" s="97" customFormat="1" ht="15" customHeight="1">
      <c r="A103" s="94" t="s">
        <v>10343</v>
      </c>
      <c r="B103" s="94" t="s">
        <v>10342</v>
      </c>
      <c r="C103" s="93" t="s">
        <v>7829</v>
      </c>
      <c r="D103" s="92">
        <v>117.51</v>
      </c>
    </row>
    <row r="104" spans="1:4" s="97" customFormat="1" ht="15" customHeight="1">
      <c r="A104" s="94" t="s">
        <v>10341</v>
      </c>
      <c r="B104" s="94" t="s">
        <v>10340</v>
      </c>
      <c r="C104" s="93" t="s">
        <v>7814</v>
      </c>
      <c r="D104" s="92">
        <v>471.2</v>
      </c>
    </row>
    <row r="105" spans="1:4" s="97" customFormat="1" ht="15" customHeight="1">
      <c r="A105" s="94" t="s">
        <v>10339</v>
      </c>
      <c r="B105" s="94" t="s">
        <v>10338</v>
      </c>
      <c r="C105" s="93" t="s">
        <v>7814</v>
      </c>
      <c r="D105" s="92">
        <v>499.28</v>
      </c>
    </row>
    <row r="106" spans="1:4" s="97" customFormat="1" ht="15" customHeight="1">
      <c r="A106" s="94" t="s">
        <v>10337</v>
      </c>
      <c r="B106" s="94" t="s">
        <v>10336</v>
      </c>
      <c r="C106" s="93" t="s">
        <v>7814</v>
      </c>
      <c r="D106" s="92">
        <v>499.25</v>
      </c>
    </row>
    <row r="107" spans="1:4" s="97" customFormat="1" ht="15" customHeight="1">
      <c r="A107" s="94" t="s">
        <v>10335</v>
      </c>
      <c r="B107" s="94" t="s">
        <v>10334</v>
      </c>
      <c r="C107" s="93" t="s">
        <v>7814</v>
      </c>
      <c r="D107" s="92">
        <v>499.28</v>
      </c>
    </row>
    <row r="108" spans="1:4" s="97" customFormat="1" ht="15" customHeight="1">
      <c r="A108" s="94" t="s">
        <v>10333</v>
      </c>
      <c r="B108" s="94" t="s">
        <v>10332</v>
      </c>
      <c r="C108" s="93" t="s">
        <v>7814</v>
      </c>
      <c r="D108" s="92">
        <v>538.22</v>
      </c>
    </row>
    <row r="109" spans="1:4" s="97" customFormat="1" ht="15" customHeight="1">
      <c r="A109" s="94" t="s">
        <v>10331</v>
      </c>
      <c r="B109" s="94" t="s">
        <v>10330</v>
      </c>
      <c r="C109" s="93" t="s">
        <v>7814</v>
      </c>
      <c r="D109" s="92">
        <v>471.17</v>
      </c>
    </row>
    <row r="110" spans="1:4" s="97" customFormat="1" ht="15" customHeight="1">
      <c r="A110" s="94" t="s">
        <v>10329</v>
      </c>
      <c r="B110" s="94" t="s">
        <v>10328</v>
      </c>
      <c r="C110" s="93" t="s">
        <v>7814</v>
      </c>
      <c r="D110" s="92">
        <v>499.25</v>
      </c>
    </row>
    <row r="111" spans="1:4" s="97" customFormat="1" ht="15" customHeight="1">
      <c r="A111" s="94" t="s">
        <v>10327</v>
      </c>
      <c r="B111" s="94" t="s">
        <v>10326</v>
      </c>
      <c r="C111" s="93" t="s">
        <v>7814</v>
      </c>
      <c r="D111" s="92">
        <v>499.47</v>
      </c>
    </row>
    <row r="112" spans="1:4" s="97" customFormat="1" ht="15" customHeight="1">
      <c r="A112" s="94" t="s">
        <v>10325</v>
      </c>
      <c r="B112" s="94" t="s">
        <v>10324</v>
      </c>
      <c r="C112" s="93" t="s">
        <v>7814</v>
      </c>
      <c r="D112" s="92">
        <v>471.2</v>
      </c>
    </row>
    <row r="113" spans="1:4" s="97" customFormat="1" ht="15" customHeight="1">
      <c r="A113" s="94" t="s">
        <v>10323</v>
      </c>
      <c r="B113" s="94" t="s">
        <v>10322</v>
      </c>
      <c r="C113" s="93" t="s">
        <v>7814</v>
      </c>
      <c r="D113" s="92">
        <v>510.14</v>
      </c>
    </row>
    <row r="114" spans="1:4" s="105" customFormat="1" ht="15" customHeight="1">
      <c r="A114" s="94" t="s">
        <v>10321</v>
      </c>
      <c r="B114" s="94" t="s">
        <v>10320</v>
      </c>
      <c r="C114" s="93" t="s">
        <v>7814</v>
      </c>
      <c r="D114" s="92">
        <v>538.21</v>
      </c>
    </row>
    <row r="115" spans="1:4" s="97" customFormat="1" ht="15" customHeight="1">
      <c r="A115" s="94" t="s">
        <v>10319</v>
      </c>
      <c r="B115" s="94" t="s">
        <v>10318</v>
      </c>
      <c r="C115" s="93" t="s">
        <v>7814</v>
      </c>
      <c r="D115" s="92">
        <v>499.28</v>
      </c>
    </row>
    <row r="116" spans="1:4" s="97" customFormat="1" ht="15" customHeight="1">
      <c r="A116" s="94" t="s">
        <v>10317</v>
      </c>
      <c r="B116" s="94" t="s">
        <v>10316</v>
      </c>
      <c r="C116" s="93" t="s">
        <v>7814</v>
      </c>
      <c r="D116" s="92">
        <v>510.14</v>
      </c>
    </row>
    <row r="117" spans="1:4" s="97" customFormat="1" ht="15" customHeight="1">
      <c r="A117" s="94" t="s">
        <v>10315</v>
      </c>
      <c r="B117" s="94" t="s">
        <v>10314</v>
      </c>
      <c r="C117" s="93" t="s">
        <v>7814</v>
      </c>
      <c r="D117" s="92">
        <v>538.22</v>
      </c>
    </row>
    <row r="118" spans="1:4" s="97" customFormat="1" ht="15" customHeight="1">
      <c r="A118" s="94" t="s">
        <v>10313</v>
      </c>
      <c r="B118" s="94" t="s">
        <v>10312</v>
      </c>
      <c r="C118" s="93" t="s">
        <v>7814</v>
      </c>
      <c r="D118" s="92">
        <v>471.2</v>
      </c>
    </row>
    <row r="119" spans="1:4" s="97" customFormat="1" ht="15" customHeight="1">
      <c r="A119" s="94" t="s">
        <v>10311</v>
      </c>
      <c r="B119" s="94" t="s">
        <v>10310</v>
      </c>
      <c r="C119" s="93" t="s">
        <v>7814</v>
      </c>
      <c r="D119" s="92">
        <v>499.28</v>
      </c>
    </row>
    <row r="120" spans="1:4" s="97" customFormat="1" ht="15" customHeight="1">
      <c r="A120" s="94" t="s">
        <v>10309</v>
      </c>
      <c r="B120" s="94" t="s">
        <v>10308</v>
      </c>
      <c r="C120" s="93" t="s">
        <v>7814</v>
      </c>
      <c r="D120" s="92">
        <v>484.08</v>
      </c>
    </row>
    <row r="121" spans="1:4" s="97" customFormat="1" ht="15" customHeight="1">
      <c r="A121" s="94" t="s">
        <v>10307</v>
      </c>
      <c r="B121" s="94" t="s">
        <v>10306</v>
      </c>
      <c r="C121" s="93" t="s">
        <v>7814</v>
      </c>
      <c r="D121" s="92">
        <v>499.28</v>
      </c>
    </row>
    <row r="122" spans="1:4" s="97" customFormat="1" ht="15" customHeight="1">
      <c r="A122" s="94" t="s">
        <v>10305</v>
      </c>
      <c r="B122" s="94" t="s">
        <v>10304</v>
      </c>
      <c r="C122" s="93" t="s">
        <v>7814</v>
      </c>
      <c r="D122" s="92">
        <v>517.63</v>
      </c>
    </row>
    <row r="123" spans="1:4" s="97" customFormat="1" ht="15" customHeight="1">
      <c r="A123" s="94" t="s">
        <v>10303</v>
      </c>
      <c r="B123" s="94" t="s">
        <v>10302</v>
      </c>
      <c r="C123" s="93" t="s">
        <v>7814</v>
      </c>
      <c r="D123" s="92">
        <v>544.98</v>
      </c>
    </row>
    <row r="124" spans="1:4" s="102" customFormat="1" ht="15" customHeight="1">
      <c r="A124" s="94" t="s">
        <v>10301</v>
      </c>
      <c r="B124" s="94" t="s">
        <v>10300</v>
      </c>
      <c r="C124" s="93" t="s">
        <v>7814</v>
      </c>
      <c r="D124" s="92">
        <v>517.66</v>
      </c>
    </row>
    <row r="125" spans="1:4" s="97" customFormat="1" ht="15" customHeight="1">
      <c r="A125" s="94" t="s">
        <v>10299</v>
      </c>
      <c r="B125" s="94" t="s">
        <v>10298</v>
      </c>
      <c r="C125" s="93" t="s">
        <v>7814</v>
      </c>
      <c r="D125" s="92">
        <v>545.02</v>
      </c>
    </row>
    <row r="126" spans="1:4" s="97" customFormat="1" ht="15" customHeight="1">
      <c r="A126" s="94" t="s">
        <v>10297</v>
      </c>
      <c r="B126" s="94" t="s">
        <v>10296</v>
      </c>
      <c r="C126" s="93" t="s">
        <v>7814</v>
      </c>
      <c r="D126" s="92">
        <v>517.66999999999996</v>
      </c>
    </row>
    <row r="127" spans="1:4" s="97" customFormat="1" ht="15" customHeight="1">
      <c r="A127" s="94" t="s">
        <v>10295</v>
      </c>
      <c r="B127" s="94" t="s">
        <v>10294</v>
      </c>
      <c r="C127" s="93" t="s">
        <v>7814</v>
      </c>
      <c r="D127" s="92">
        <v>545.02</v>
      </c>
    </row>
    <row r="128" spans="1:4" s="97" customFormat="1" ht="15" customHeight="1">
      <c r="A128" s="94" t="s">
        <v>10293</v>
      </c>
      <c r="B128" s="94" t="s">
        <v>10292</v>
      </c>
      <c r="C128" s="93" t="s">
        <v>7814</v>
      </c>
      <c r="D128" s="92">
        <v>545.03</v>
      </c>
    </row>
    <row r="129" spans="1:4" s="97" customFormat="1" ht="15" customHeight="1">
      <c r="A129" s="94" t="s">
        <v>10291</v>
      </c>
      <c r="B129" s="94" t="s">
        <v>10290</v>
      </c>
      <c r="C129" s="93" t="s">
        <v>7814</v>
      </c>
      <c r="D129" s="92">
        <v>517.66999999999996</v>
      </c>
    </row>
    <row r="130" spans="1:4" s="102" customFormat="1" ht="15" customHeight="1">
      <c r="A130" s="94" t="s">
        <v>10289</v>
      </c>
      <c r="B130" s="94" t="s">
        <v>10288</v>
      </c>
      <c r="C130" s="93" t="s">
        <v>7814</v>
      </c>
      <c r="D130" s="92">
        <v>545.03</v>
      </c>
    </row>
    <row r="131" spans="1:4" s="102" customFormat="1" ht="15" customHeight="1">
      <c r="A131" s="94" t="s">
        <v>10287</v>
      </c>
      <c r="B131" s="94" t="s">
        <v>10286</v>
      </c>
      <c r="C131" s="93" t="s">
        <v>7814</v>
      </c>
      <c r="D131" s="92">
        <v>517.69000000000005</v>
      </c>
    </row>
    <row r="132" spans="1:4" s="97" customFormat="1" ht="15" customHeight="1">
      <c r="A132" s="94" t="s">
        <v>10285</v>
      </c>
      <c r="B132" s="94" t="s">
        <v>10284</v>
      </c>
      <c r="C132" s="93" t="s">
        <v>7814</v>
      </c>
      <c r="D132" s="92">
        <v>545.04</v>
      </c>
    </row>
    <row r="133" spans="1:4" s="97" customFormat="1" ht="15" customHeight="1">
      <c r="A133" s="94" t="s">
        <v>10283</v>
      </c>
      <c r="B133" s="94" t="s">
        <v>10282</v>
      </c>
      <c r="C133" s="93" t="s">
        <v>7829</v>
      </c>
      <c r="D133" s="92">
        <v>25.04</v>
      </c>
    </row>
    <row r="134" spans="1:4" s="97" customFormat="1" ht="15" customHeight="1">
      <c r="A134" s="94" t="s">
        <v>10281</v>
      </c>
      <c r="B134" s="94" t="s">
        <v>10280</v>
      </c>
      <c r="C134" s="93" t="s">
        <v>7814</v>
      </c>
      <c r="D134" s="92">
        <v>398.23</v>
      </c>
    </row>
    <row r="135" spans="1:4" s="97" customFormat="1" ht="15" customHeight="1">
      <c r="A135" s="94" t="s">
        <v>10279</v>
      </c>
      <c r="B135" s="94" t="s">
        <v>10278</v>
      </c>
      <c r="C135" s="93" t="s">
        <v>7814</v>
      </c>
      <c r="D135" s="92">
        <v>427.33</v>
      </c>
    </row>
    <row r="136" spans="1:4" s="97" customFormat="1" ht="15" customHeight="1">
      <c r="A136" s="94" t="s">
        <v>10277</v>
      </c>
      <c r="B136" s="94" t="s">
        <v>10276</v>
      </c>
      <c r="C136" s="93" t="s">
        <v>7814</v>
      </c>
      <c r="D136" s="92">
        <v>398.21</v>
      </c>
    </row>
    <row r="137" spans="1:4" s="97" customFormat="1" ht="15" customHeight="1">
      <c r="A137" s="94" t="s">
        <v>10275</v>
      </c>
      <c r="B137" s="94" t="s">
        <v>10274</v>
      </c>
      <c r="C137" s="93" t="s">
        <v>7814</v>
      </c>
      <c r="D137" s="92">
        <v>427.32</v>
      </c>
    </row>
    <row r="138" spans="1:4" s="97" customFormat="1" ht="15" customHeight="1">
      <c r="A138" s="94" t="s">
        <v>10273</v>
      </c>
      <c r="B138" s="94" t="s">
        <v>10272</v>
      </c>
      <c r="C138" s="93" t="s">
        <v>7814</v>
      </c>
      <c r="D138" s="92">
        <v>398.23</v>
      </c>
    </row>
    <row r="139" spans="1:4" s="97" customFormat="1" ht="15" customHeight="1">
      <c r="A139" s="94" t="s">
        <v>10271</v>
      </c>
      <c r="B139" s="94" t="s">
        <v>10270</v>
      </c>
      <c r="C139" s="93" t="s">
        <v>7814</v>
      </c>
      <c r="D139" s="92">
        <v>427.33</v>
      </c>
    </row>
    <row r="140" spans="1:4" s="102" customFormat="1" ht="15" customHeight="1">
      <c r="A140" s="94" t="s">
        <v>10269</v>
      </c>
      <c r="B140" s="94" t="s">
        <v>10268</v>
      </c>
      <c r="C140" s="93" t="s">
        <v>7814</v>
      </c>
      <c r="D140" s="92">
        <v>398.21</v>
      </c>
    </row>
    <row r="141" spans="1:4" s="102" customFormat="1" ht="15" customHeight="1">
      <c r="A141" s="94" t="s">
        <v>10267</v>
      </c>
      <c r="B141" s="94" t="s">
        <v>10266</v>
      </c>
      <c r="C141" s="93" t="s">
        <v>7814</v>
      </c>
      <c r="D141" s="92">
        <v>427.32</v>
      </c>
    </row>
    <row r="142" spans="1:4" s="102" customFormat="1" ht="15" customHeight="1">
      <c r="A142" s="94" t="s">
        <v>10265</v>
      </c>
      <c r="B142" s="94" t="s">
        <v>10264</v>
      </c>
      <c r="C142" s="93" t="s">
        <v>7814</v>
      </c>
      <c r="D142" s="92">
        <v>398.37</v>
      </c>
    </row>
    <row r="143" spans="1:4" s="102" customFormat="1" ht="15" customHeight="1">
      <c r="A143" s="94" t="s">
        <v>10263</v>
      </c>
      <c r="B143" s="94" t="s">
        <v>10262</v>
      </c>
      <c r="C143" s="93" t="s">
        <v>7814</v>
      </c>
      <c r="D143" s="92">
        <v>427.48</v>
      </c>
    </row>
    <row r="144" spans="1:4" s="102" customFormat="1" ht="15" customHeight="1">
      <c r="A144" s="94" t="s">
        <v>10261</v>
      </c>
      <c r="B144" s="94" t="s">
        <v>10260</v>
      </c>
      <c r="C144" s="93" t="s">
        <v>7814</v>
      </c>
      <c r="D144" s="92">
        <v>398.37</v>
      </c>
    </row>
    <row r="145" spans="1:4" s="102" customFormat="1" ht="15" customHeight="1">
      <c r="A145" s="94" t="s">
        <v>10259</v>
      </c>
      <c r="B145" s="94" t="s">
        <v>10258</v>
      </c>
      <c r="C145" s="93" t="s">
        <v>7814</v>
      </c>
      <c r="D145" s="92">
        <v>427.48</v>
      </c>
    </row>
    <row r="146" spans="1:4" s="97" customFormat="1" ht="15" customHeight="1">
      <c r="A146" s="94" t="s">
        <v>10257</v>
      </c>
      <c r="B146" s="94" t="s">
        <v>10256</v>
      </c>
      <c r="C146" s="93" t="s">
        <v>7814</v>
      </c>
      <c r="D146" s="92">
        <v>374.49</v>
      </c>
    </row>
    <row r="147" spans="1:4" s="97" customFormat="1" ht="15" customHeight="1">
      <c r="A147" s="94" t="s">
        <v>10255</v>
      </c>
      <c r="B147" s="94" t="s">
        <v>10254</v>
      </c>
      <c r="C147" s="93" t="s">
        <v>7814</v>
      </c>
      <c r="D147" s="92">
        <v>398.23</v>
      </c>
    </row>
    <row r="148" spans="1:4" s="97" customFormat="1" ht="15" customHeight="1">
      <c r="A148" s="94" t="s">
        <v>10253</v>
      </c>
      <c r="B148" s="94" t="s">
        <v>10252</v>
      </c>
      <c r="C148" s="93" t="s">
        <v>7814</v>
      </c>
      <c r="D148" s="92">
        <v>427.33</v>
      </c>
    </row>
    <row r="149" spans="1:4" s="97" customFormat="1" ht="15" customHeight="1">
      <c r="A149" s="94" t="s">
        <v>10251</v>
      </c>
      <c r="B149" s="94" t="s">
        <v>10250</v>
      </c>
      <c r="C149" s="93" t="s">
        <v>7814</v>
      </c>
      <c r="D149" s="92">
        <v>567.44000000000005</v>
      </c>
    </row>
    <row r="150" spans="1:4" s="97" customFormat="1" ht="15" customHeight="1">
      <c r="A150" s="94" t="s">
        <v>10249</v>
      </c>
      <c r="B150" s="94" t="s">
        <v>10248</v>
      </c>
      <c r="C150" s="93" t="s">
        <v>7814</v>
      </c>
      <c r="D150" s="92">
        <v>378.63</v>
      </c>
    </row>
    <row r="151" spans="1:4" s="97" customFormat="1" ht="15" customHeight="1">
      <c r="A151" s="94" t="s">
        <v>10247</v>
      </c>
      <c r="B151" s="94" t="s">
        <v>10246</v>
      </c>
      <c r="C151" s="93" t="s">
        <v>7814</v>
      </c>
      <c r="D151" s="92">
        <v>380.72</v>
      </c>
    </row>
    <row r="152" spans="1:4" s="97" customFormat="1" ht="15" customHeight="1">
      <c r="A152" s="94" t="s">
        <v>10245</v>
      </c>
      <c r="B152" s="94" t="s">
        <v>10244</v>
      </c>
      <c r="C152" s="93" t="s">
        <v>7814</v>
      </c>
      <c r="D152" s="92">
        <v>378.81</v>
      </c>
    </row>
    <row r="153" spans="1:4" s="97" customFormat="1" ht="15" customHeight="1">
      <c r="A153" s="94" t="s">
        <v>10243</v>
      </c>
      <c r="B153" s="94" t="s">
        <v>10242</v>
      </c>
      <c r="C153" s="93" t="s">
        <v>7814</v>
      </c>
      <c r="D153" s="92">
        <v>380.91</v>
      </c>
    </row>
    <row r="154" spans="1:4" s="97" customFormat="1" ht="15" customHeight="1">
      <c r="A154" s="94" t="s">
        <v>10241</v>
      </c>
      <c r="B154" s="94" t="s">
        <v>10240</v>
      </c>
      <c r="C154" s="93" t="s">
        <v>7814</v>
      </c>
      <c r="D154" s="92">
        <v>378.48</v>
      </c>
    </row>
    <row r="155" spans="1:4" s="97" customFormat="1" ht="15" customHeight="1">
      <c r="A155" s="94" t="s">
        <v>10239</v>
      </c>
      <c r="B155" s="94" t="s">
        <v>10238</v>
      </c>
      <c r="C155" s="93" t="s">
        <v>7814</v>
      </c>
      <c r="D155" s="92">
        <v>380.3</v>
      </c>
    </row>
    <row r="156" spans="1:4" s="97" customFormat="1" ht="15" customHeight="1">
      <c r="A156" s="94" t="s">
        <v>10237</v>
      </c>
      <c r="B156" s="94" t="s">
        <v>10236</v>
      </c>
      <c r="C156" s="93" t="s">
        <v>7814</v>
      </c>
      <c r="D156" s="92">
        <v>380.27</v>
      </c>
    </row>
    <row r="157" spans="1:4" s="97" customFormat="1" ht="15" customHeight="1">
      <c r="A157" s="94" t="s">
        <v>10235</v>
      </c>
      <c r="B157" s="94" t="s">
        <v>10234</v>
      </c>
      <c r="C157" s="93" t="s">
        <v>7814</v>
      </c>
      <c r="D157" s="92">
        <v>378.3</v>
      </c>
    </row>
    <row r="158" spans="1:4" s="97" customFormat="1" ht="15" customHeight="1">
      <c r="A158" s="94" t="s">
        <v>10233</v>
      </c>
      <c r="B158" s="94" t="s">
        <v>10232</v>
      </c>
      <c r="C158" s="93" t="s">
        <v>7814</v>
      </c>
      <c r="D158" s="92">
        <v>379.05</v>
      </c>
    </row>
    <row r="159" spans="1:4" s="97" customFormat="1" ht="15" customHeight="1">
      <c r="A159" s="94" t="s">
        <v>10231</v>
      </c>
      <c r="B159" s="94" t="s">
        <v>10230</v>
      </c>
      <c r="C159" s="93" t="s">
        <v>7814</v>
      </c>
      <c r="D159" s="92">
        <v>380.3</v>
      </c>
    </row>
    <row r="160" spans="1:4" s="97" customFormat="1" ht="15" customHeight="1">
      <c r="A160" s="94" t="s">
        <v>10229</v>
      </c>
      <c r="B160" s="94" t="s">
        <v>10228</v>
      </c>
      <c r="C160" s="93" t="s">
        <v>7814</v>
      </c>
      <c r="D160" s="92">
        <v>757.37</v>
      </c>
    </row>
    <row r="161" spans="1:4" s="97" customFormat="1" ht="15" customHeight="1">
      <c r="A161" s="94" t="s">
        <v>10227</v>
      </c>
      <c r="B161" s="94" t="s">
        <v>10226</v>
      </c>
      <c r="C161" s="93" t="s">
        <v>7814</v>
      </c>
      <c r="D161" s="92">
        <v>380.72</v>
      </c>
    </row>
    <row r="162" spans="1:4" s="97" customFormat="1" ht="15" customHeight="1">
      <c r="A162" s="94" t="s">
        <v>10225</v>
      </c>
      <c r="B162" s="94" t="s">
        <v>10224</v>
      </c>
      <c r="C162" s="93" t="s">
        <v>7814</v>
      </c>
      <c r="D162" s="92">
        <v>327.27</v>
      </c>
    </row>
    <row r="163" spans="1:4" s="97" customFormat="1" ht="15" customHeight="1">
      <c r="A163" s="94" t="s">
        <v>10223</v>
      </c>
      <c r="B163" s="94" t="s">
        <v>10222</v>
      </c>
      <c r="C163" s="93" t="s">
        <v>7814</v>
      </c>
      <c r="D163" s="92">
        <v>381.45</v>
      </c>
    </row>
    <row r="164" spans="1:4" s="97" customFormat="1" ht="15" customHeight="1">
      <c r="A164" s="94" t="s">
        <v>10221</v>
      </c>
      <c r="B164" s="94" t="s">
        <v>10220</v>
      </c>
      <c r="C164" s="93" t="s">
        <v>7814</v>
      </c>
      <c r="D164" s="92">
        <v>344.71</v>
      </c>
    </row>
    <row r="165" spans="1:4" s="97" customFormat="1" ht="15" customHeight="1">
      <c r="A165" s="94" t="s">
        <v>10219</v>
      </c>
      <c r="B165" s="94" t="s">
        <v>10218</v>
      </c>
      <c r="C165" s="93" t="s">
        <v>7814</v>
      </c>
      <c r="D165" s="92">
        <v>345.81</v>
      </c>
    </row>
    <row r="166" spans="1:4" s="97" customFormat="1" ht="15" customHeight="1">
      <c r="A166" s="94" t="s">
        <v>10217</v>
      </c>
      <c r="B166" s="94" t="s">
        <v>10216</v>
      </c>
      <c r="C166" s="93" t="s">
        <v>7814</v>
      </c>
      <c r="D166" s="92">
        <v>346.16</v>
      </c>
    </row>
    <row r="167" spans="1:4" s="97" customFormat="1" ht="15" customHeight="1">
      <c r="A167" s="94" t="s">
        <v>10215</v>
      </c>
      <c r="B167" s="94" t="s">
        <v>10214</v>
      </c>
      <c r="C167" s="93" t="s">
        <v>7814</v>
      </c>
      <c r="D167" s="92">
        <v>738.42</v>
      </c>
    </row>
    <row r="168" spans="1:4" s="97" customFormat="1" ht="15" customHeight="1">
      <c r="A168" s="94" t="s">
        <v>10213</v>
      </c>
      <c r="B168" s="94" t="s">
        <v>10212</v>
      </c>
      <c r="C168" s="93" t="s">
        <v>7814</v>
      </c>
      <c r="D168" s="92">
        <v>327.02</v>
      </c>
    </row>
    <row r="169" spans="1:4" s="97" customFormat="1" ht="15" customHeight="1">
      <c r="A169" s="94" t="s">
        <v>10211</v>
      </c>
      <c r="B169" s="94" t="s">
        <v>10210</v>
      </c>
      <c r="C169" s="93" t="s">
        <v>7814</v>
      </c>
      <c r="D169" s="92">
        <v>285.66000000000003</v>
      </c>
    </row>
    <row r="170" spans="1:4" s="97" customFormat="1" ht="15" customHeight="1">
      <c r="A170" s="94" t="s">
        <v>10209</v>
      </c>
      <c r="B170" s="94" t="s">
        <v>10208</v>
      </c>
      <c r="C170" s="93" t="s">
        <v>7814</v>
      </c>
      <c r="D170" s="92">
        <v>347.32</v>
      </c>
    </row>
    <row r="171" spans="1:4" s="97" customFormat="1" ht="15" customHeight="1">
      <c r="A171" s="94" t="s">
        <v>10207</v>
      </c>
      <c r="B171" s="94" t="s">
        <v>10206</v>
      </c>
      <c r="C171" s="93" t="s">
        <v>7814</v>
      </c>
      <c r="D171" s="92">
        <v>470.97</v>
      </c>
    </row>
    <row r="172" spans="1:4" s="97" customFormat="1" ht="15" customHeight="1">
      <c r="A172" s="94" t="s">
        <v>10205</v>
      </c>
      <c r="B172" s="94" t="s">
        <v>10204</v>
      </c>
      <c r="C172" s="93" t="s">
        <v>7814</v>
      </c>
      <c r="D172" s="92">
        <v>499.06</v>
      </c>
    </row>
    <row r="173" spans="1:4" s="97" customFormat="1" ht="15" customHeight="1">
      <c r="A173" s="94" t="s">
        <v>10203</v>
      </c>
      <c r="B173" s="94" t="s">
        <v>10202</v>
      </c>
      <c r="C173" s="93" t="s">
        <v>7814</v>
      </c>
      <c r="D173" s="92">
        <v>470.94</v>
      </c>
    </row>
    <row r="174" spans="1:4" s="97" customFormat="1" ht="15" customHeight="1">
      <c r="A174" s="94" t="s">
        <v>10201</v>
      </c>
      <c r="B174" s="94" t="s">
        <v>10200</v>
      </c>
      <c r="C174" s="93" t="s">
        <v>7814</v>
      </c>
      <c r="D174" s="92">
        <v>499.04</v>
      </c>
    </row>
    <row r="175" spans="1:4" s="97" customFormat="1" ht="15" customHeight="1">
      <c r="A175" s="94" t="s">
        <v>10199</v>
      </c>
      <c r="B175" s="94" t="s">
        <v>10198</v>
      </c>
      <c r="C175" s="93" t="s">
        <v>7814</v>
      </c>
      <c r="D175" s="92">
        <v>470.97</v>
      </c>
    </row>
    <row r="176" spans="1:4" s="97" customFormat="1" ht="15" customHeight="1">
      <c r="A176" s="94" t="s">
        <v>10197</v>
      </c>
      <c r="B176" s="94" t="s">
        <v>10196</v>
      </c>
      <c r="C176" s="93" t="s">
        <v>7814</v>
      </c>
      <c r="D176" s="92">
        <v>499.06</v>
      </c>
    </row>
    <row r="177" spans="1:4" s="97" customFormat="1" ht="15" customHeight="1">
      <c r="A177" s="94" t="s">
        <v>10195</v>
      </c>
      <c r="B177" s="94" t="s">
        <v>10194</v>
      </c>
      <c r="C177" s="93" t="s">
        <v>7814</v>
      </c>
      <c r="D177" s="92">
        <v>538</v>
      </c>
    </row>
    <row r="178" spans="1:4" s="97" customFormat="1" ht="15" customHeight="1">
      <c r="A178" s="94" t="s">
        <v>10193</v>
      </c>
      <c r="B178" s="94" t="s">
        <v>10192</v>
      </c>
      <c r="C178" s="93" t="s">
        <v>7814</v>
      </c>
      <c r="D178" s="92">
        <v>470.94</v>
      </c>
    </row>
    <row r="179" spans="1:4" s="97" customFormat="1" ht="15" customHeight="1">
      <c r="A179" s="94" t="s">
        <v>10191</v>
      </c>
      <c r="B179" s="94" t="s">
        <v>10190</v>
      </c>
      <c r="C179" s="93" t="s">
        <v>7814</v>
      </c>
      <c r="D179" s="92">
        <v>499.04</v>
      </c>
    </row>
    <row r="180" spans="1:4" s="97" customFormat="1" ht="15" customHeight="1">
      <c r="A180" s="94" t="s">
        <v>10189</v>
      </c>
      <c r="B180" s="94" t="s">
        <v>10188</v>
      </c>
      <c r="C180" s="93" t="s">
        <v>7814</v>
      </c>
      <c r="D180" s="92">
        <v>471.16</v>
      </c>
    </row>
    <row r="181" spans="1:4" s="97" customFormat="1" ht="15" customHeight="1">
      <c r="A181" s="94" t="s">
        <v>10187</v>
      </c>
      <c r="B181" s="94" t="s">
        <v>10186</v>
      </c>
      <c r="C181" s="93" t="s">
        <v>7814</v>
      </c>
      <c r="D181" s="92">
        <v>499.25</v>
      </c>
    </row>
    <row r="182" spans="1:4" s="97" customFormat="1" ht="15" customHeight="1">
      <c r="A182" s="94" t="s">
        <v>10185</v>
      </c>
      <c r="B182" s="94" t="s">
        <v>10184</v>
      </c>
      <c r="C182" s="93" t="s">
        <v>7814</v>
      </c>
      <c r="D182" s="92">
        <v>470.97</v>
      </c>
    </row>
    <row r="183" spans="1:4" s="97" customFormat="1" ht="15" customHeight="1">
      <c r="A183" s="94" t="s">
        <v>10183</v>
      </c>
      <c r="B183" s="94" t="s">
        <v>10182</v>
      </c>
      <c r="C183" s="93" t="s">
        <v>7814</v>
      </c>
      <c r="D183" s="92">
        <v>509.9</v>
      </c>
    </row>
    <row r="184" spans="1:4" s="97" customFormat="1" ht="15" customHeight="1">
      <c r="A184" s="94" t="s">
        <v>10181</v>
      </c>
      <c r="B184" s="94" t="s">
        <v>10180</v>
      </c>
      <c r="C184" s="93" t="s">
        <v>7814</v>
      </c>
      <c r="D184" s="92">
        <v>537.99</v>
      </c>
    </row>
    <row r="185" spans="1:4" s="97" customFormat="1" ht="15" customHeight="1">
      <c r="A185" s="94" t="s">
        <v>10179</v>
      </c>
      <c r="B185" s="94" t="s">
        <v>10178</v>
      </c>
      <c r="C185" s="93" t="s">
        <v>7814</v>
      </c>
      <c r="D185" s="92">
        <v>499.06</v>
      </c>
    </row>
    <row r="186" spans="1:4" s="97" customFormat="1" ht="15" customHeight="1">
      <c r="A186" s="94" t="s">
        <v>10177</v>
      </c>
      <c r="B186" s="94" t="s">
        <v>10176</v>
      </c>
      <c r="C186" s="93" t="s">
        <v>7814</v>
      </c>
      <c r="D186" s="92">
        <v>509.91</v>
      </c>
    </row>
    <row r="187" spans="1:4" s="97" customFormat="1" ht="15" customHeight="1">
      <c r="A187" s="94" t="s">
        <v>10175</v>
      </c>
      <c r="B187" s="94" t="s">
        <v>10174</v>
      </c>
      <c r="C187" s="93" t="s">
        <v>7814</v>
      </c>
      <c r="D187" s="92">
        <v>538</v>
      </c>
    </row>
    <row r="188" spans="1:4" s="97" customFormat="1" ht="15" customHeight="1">
      <c r="A188" s="94" t="s">
        <v>10173</v>
      </c>
      <c r="B188" s="94" t="s">
        <v>10172</v>
      </c>
      <c r="C188" s="93" t="s">
        <v>7814</v>
      </c>
      <c r="D188" s="92">
        <v>562.53</v>
      </c>
    </row>
    <row r="189" spans="1:4" s="97" customFormat="1" ht="15" customHeight="1">
      <c r="A189" s="94" t="s">
        <v>10171</v>
      </c>
      <c r="B189" s="94" t="s">
        <v>10170</v>
      </c>
      <c r="C189" s="93" t="s">
        <v>7814</v>
      </c>
      <c r="D189" s="92">
        <v>562.53</v>
      </c>
    </row>
    <row r="190" spans="1:4" s="97" customFormat="1" ht="15" customHeight="1">
      <c r="A190" s="94" t="s">
        <v>10169</v>
      </c>
      <c r="B190" s="94" t="s">
        <v>10168</v>
      </c>
      <c r="C190" s="93" t="s">
        <v>7814</v>
      </c>
      <c r="D190" s="92">
        <v>573.29</v>
      </c>
    </row>
    <row r="191" spans="1:4" s="97" customFormat="1" ht="15" customHeight="1">
      <c r="A191" s="94" t="s">
        <v>10167</v>
      </c>
      <c r="B191" s="94" t="s">
        <v>10166</v>
      </c>
      <c r="C191" s="93" t="s">
        <v>7814</v>
      </c>
      <c r="D191" s="92">
        <v>573.32000000000005</v>
      </c>
    </row>
    <row r="192" spans="1:4" s="97" customFormat="1" ht="15" customHeight="1">
      <c r="A192" s="94" t="s">
        <v>10165</v>
      </c>
      <c r="B192" s="94" t="s">
        <v>10164</v>
      </c>
      <c r="C192" s="93" t="s">
        <v>7814</v>
      </c>
      <c r="D192" s="92">
        <v>573.32000000000005</v>
      </c>
    </row>
    <row r="193" spans="1:4" s="97" customFormat="1" ht="15" customHeight="1">
      <c r="A193" s="94" t="s">
        <v>10163</v>
      </c>
      <c r="B193" s="94" t="s">
        <v>10162</v>
      </c>
      <c r="C193" s="93" t="s">
        <v>7814</v>
      </c>
      <c r="D193" s="92">
        <v>471.16</v>
      </c>
    </row>
    <row r="194" spans="1:4" s="97" customFormat="1" ht="15" customHeight="1">
      <c r="A194" s="94" t="s">
        <v>10161</v>
      </c>
      <c r="B194" s="94" t="s">
        <v>10160</v>
      </c>
      <c r="C194" s="93" t="s">
        <v>7814</v>
      </c>
      <c r="D194" s="92">
        <v>499.25</v>
      </c>
    </row>
    <row r="195" spans="1:4" s="97" customFormat="1" ht="15" customHeight="1">
      <c r="A195" s="94" t="s">
        <v>10159</v>
      </c>
      <c r="B195" s="94" t="s">
        <v>10158</v>
      </c>
      <c r="C195" s="93" t="s">
        <v>7814</v>
      </c>
      <c r="D195" s="92">
        <v>470.97</v>
      </c>
    </row>
    <row r="196" spans="1:4" s="97" customFormat="1" ht="15" customHeight="1">
      <c r="A196" s="94" t="s">
        <v>10157</v>
      </c>
      <c r="B196" s="94" t="s">
        <v>10156</v>
      </c>
      <c r="C196" s="93" t="s">
        <v>7814</v>
      </c>
      <c r="D196" s="92">
        <v>499.06</v>
      </c>
    </row>
    <row r="197" spans="1:4" s="97" customFormat="1" ht="15" customHeight="1">
      <c r="A197" s="94" t="s">
        <v>10155</v>
      </c>
      <c r="B197" s="94" t="s">
        <v>10154</v>
      </c>
      <c r="C197" s="93" t="s">
        <v>7814</v>
      </c>
      <c r="D197" s="92">
        <v>483.81</v>
      </c>
    </row>
    <row r="198" spans="1:4" s="97" customFormat="1" ht="15" customHeight="1">
      <c r="A198" s="94" t="s">
        <v>10153</v>
      </c>
      <c r="B198" s="94" t="s">
        <v>10152</v>
      </c>
      <c r="C198" s="93" t="s">
        <v>7814</v>
      </c>
      <c r="D198" s="92">
        <v>470.95</v>
      </c>
    </row>
    <row r="199" spans="1:4" s="97" customFormat="1" ht="15" customHeight="1">
      <c r="A199" s="94" t="s">
        <v>10151</v>
      </c>
      <c r="B199" s="94" t="s">
        <v>10150</v>
      </c>
      <c r="C199" s="93" t="s">
        <v>7814</v>
      </c>
      <c r="D199" s="92">
        <v>499.06</v>
      </c>
    </row>
    <row r="200" spans="1:4" s="97" customFormat="1" ht="15" customHeight="1">
      <c r="A200" s="94" t="s">
        <v>10149</v>
      </c>
      <c r="B200" s="94" t="s">
        <v>10148</v>
      </c>
      <c r="C200" s="93" t="s">
        <v>7814</v>
      </c>
      <c r="D200" s="92">
        <v>517.4</v>
      </c>
    </row>
    <row r="201" spans="1:4" s="97" customFormat="1" ht="15" customHeight="1">
      <c r="A201" s="94" t="s">
        <v>10147</v>
      </c>
      <c r="B201" s="94" t="s">
        <v>10146</v>
      </c>
      <c r="C201" s="93" t="s">
        <v>7814</v>
      </c>
      <c r="D201" s="92">
        <v>544.76</v>
      </c>
    </row>
    <row r="202" spans="1:4" s="97" customFormat="1" ht="15" customHeight="1">
      <c r="A202" s="94" t="s">
        <v>10145</v>
      </c>
      <c r="B202" s="94" t="s">
        <v>10144</v>
      </c>
      <c r="C202" s="93" t="s">
        <v>7814</v>
      </c>
      <c r="D202" s="92">
        <v>517.42999999999995</v>
      </c>
    </row>
    <row r="203" spans="1:4" s="97" customFormat="1" ht="15" customHeight="1">
      <c r="A203" s="94" t="s">
        <v>10143</v>
      </c>
      <c r="B203" s="94" t="s">
        <v>10142</v>
      </c>
      <c r="C203" s="93" t="s">
        <v>7814</v>
      </c>
      <c r="D203" s="92">
        <v>544.95000000000005</v>
      </c>
    </row>
    <row r="204" spans="1:4" s="97" customFormat="1" ht="15" customHeight="1">
      <c r="A204" s="94" t="s">
        <v>10141</v>
      </c>
      <c r="B204" s="94" t="s">
        <v>10140</v>
      </c>
      <c r="C204" s="93" t="s">
        <v>7814</v>
      </c>
      <c r="D204" s="92">
        <v>517.44000000000005</v>
      </c>
    </row>
    <row r="205" spans="1:4" s="97" customFormat="1" ht="15" customHeight="1">
      <c r="A205" s="94" t="s">
        <v>10139</v>
      </c>
      <c r="B205" s="94" t="s">
        <v>10138</v>
      </c>
      <c r="C205" s="93" t="s">
        <v>7814</v>
      </c>
      <c r="D205" s="92">
        <v>544.79999999999995</v>
      </c>
    </row>
    <row r="206" spans="1:4" s="97" customFormat="1" ht="15" customHeight="1">
      <c r="A206" s="94" t="s">
        <v>10137</v>
      </c>
      <c r="B206" s="94" t="s">
        <v>10136</v>
      </c>
      <c r="C206" s="93" t="s">
        <v>7814</v>
      </c>
      <c r="D206" s="92">
        <v>517.45000000000005</v>
      </c>
    </row>
    <row r="207" spans="1:4" s="97" customFormat="1" ht="15" customHeight="1">
      <c r="A207" s="94" t="s">
        <v>10135</v>
      </c>
      <c r="B207" s="94" t="s">
        <v>10134</v>
      </c>
      <c r="C207" s="93" t="s">
        <v>7814</v>
      </c>
      <c r="D207" s="92">
        <v>544.80999999999995</v>
      </c>
    </row>
    <row r="208" spans="1:4" s="97" customFormat="1" ht="15" customHeight="1">
      <c r="A208" s="94" t="s">
        <v>10133</v>
      </c>
      <c r="B208" s="94" t="s">
        <v>10132</v>
      </c>
      <c r="C208" s="93" t="s">
        <v>7814</v>
      </c>
      <c r="D208" s="92">
        <v>517.44000000000005</v>
      </c>
    </row>
    <row r="209" spans="1:4" s="97" customFormat="1" ht="15" customHeight="1">
      <c r="A209" s="94" t="s">
        <v>10131</v>
      </c>
      <c r="B209" s="94" t="s">
        <v>10130</v>
      </c>
      <c r="C209" s="93" t="s">
        <v>7814</v>
      </c>
      <c r="D209" s="92">
        <v>544.79999999999995</v>
      </c>
    </row>
    <row r="210" spans="1:4" s="97" customFormat="1" ht="15" customHeight="1">
      <c r="A210" s="94" t="s">
        <v>10129</v>
      </c>
      <c r="B210" s="94" t="s">
        <v>10128</v>
      </c>
      <c r="C210" s="93" t="s">
        <v>7814</v>
      </c>
      <c r="D210" s="92">
        <v>517.46</v>
      </c>
    </row>
    <row r="211" spans="1:4" s="97" customFormat="1" ht="15" customHeight="1">
      <c r="A211" s="94" t="s">
        <v>10127</v>
      </c>
      <c r="B211" s="94" t="s">
        <v>10126</v>
      </c>
      <c r="C211" s="93" t="s">
        <v>7814</v>
      </c>
      <c r="D211" s="92">
        <v>544.82000000000005</v>
      </c>
    </row>
    <row r="212" spans="1:4" s="97" customFormat="1" ht="15" customHeight="1">
      <c r="A212" s="94" t="s">
        <v>10125</v>
      </c>
      <c r="B212" s="94" t="s">
        <v>10124</v>
      </c>
      <c r="C212" s="93" t="s">
        <v>7814</v>
      </c>
      <c r="D212" s="92">
        <v>398</v>
      </c>
    </row>
    <row r="213" spans="1:4" s="97" customFormat="1" ht="15" customHeight="1">
      <c r="A213" s="94" t="s">
        <v>10123</v>
      </c>
      <c r="B213" s="94" t="s">
        <v>10122</v>
      </c>
      <c r="C213" s="93" t="s">
        <v>7814</v>
      </c>
      <c r="D213" s="92">
        <v>427.11</v>
      </c>
    </row>
    <row r="214" spans="1:4" s="97" customFormat="1" ht="15" customHeight="1">
      <c r="A214" s="94" t="s">
        <v>10121</v>
      </c>
      <c r="B214" s="94" t="s">
        <v>10120</v>
      </c>
      <c r="C214" s="93" t="s">
        <v>7814</v>
      </c>
      <c r="D214" s="92">
        <v>397.98</v>
      </c>
    </row>
    <row r="215" spans="1:4" s="97" customFormat="1" ht="15" customHeight="1">
      <c r="A215" s="94" t="s">
        <v>10119</v>
      </c>
      <c r="B215" s="94" t="s">
        <v>10118</v>
      </c>
      <c r="C215" s="93" t="s">
        <v>7814</v>
      </c>
      <c r="D215" s="92">
        <v>427.1</v>
      </c>
    </row>
    <row r="216" spans="1:4" s="97" customFormat="1" ht="15" customHeight="1">
      <c r="A216" s="94" t="s">
        <v>10117</v>
      </c>
      <c r="B216" s="94" t="s">
        <v>10116</v>
      </c>
      <c r="C216" s="93" t="s">
        <v>7814</v>
      </c>
      <c r="D216" s="92">
        <v>398</v>
      </c>
    </row>
    <row r="217" spans="1:4" s="97" customFormat="1" ht="15" customHeight="1">
      <c r="A217" s="94" t="s">
        <v>10115</v>
      </c>
      <c r="B217" s="94" t="s">
        <v>10114</v>
      </c>
      <c r="C217" s="93" t="s">
        <v>7814</v>
      </c>
      <c r="D217" s="92">
        <v>427.11</v>
      </c>
    </row>
    <row r="218" spans="1:4" s="97" customFormat="1" ht="15" customHeight="1">
      <c r="A218" s="94" t="s">
        <v>10113</v>
      </c>
      <c r="B218" s="94" t="s">
        <v>10112</v>
      </c>
      <c r="C218" s="93" t="s">
        <v>7814</v>
      </c>
      <c r="D218" s="92">
        <v>397.98</v>
      </c>
    </row>
    <row r="219" spans="1:4" s="97" customFormat="1" ht="15" customHeight="1">
      <c r="A219" s="94" t="s">
        <v>10111</v>
      </c>
      <c r="B219" s="94" t="s">
        <v>10110</v>
      </c>
      <c r="C219" s="93" t="s">
        <v>7814</v>
      </c>
      <c r="D219" s="92">
        <v>427.1</v>
      </c>
    </row>
    <row r="220" spans="1:4" s="97" customFormat="1" ht="15" customHeight="1">
      <c r="A220" s="94" t="s">
        <v>10109</v>
      </c>
      <c r="B220" s="94" t="s">
        <v>10108</v>
      </c>
      <c r="C220" s="93" t="s">
        <v>7814</v>
      </c>
      <c r="D220" s="92">
        <v>398.14</v>
      </c>
    </row>
    <row r="221" spans="1:4" s="97" customFormat="1" ht="15" customHeight="1">
      <c r="A221" s="94" t="s">
        <v>10107</v>
      </c>
      <c r="B221" s="94" t="s">
        <v>10106</v>
      </c>
      <c r="C221" s="93" t="s">
        <v>7814</v>
      </c>
      <c r="D221" s="92">
        <v>427.26</v>
      </c>
    </row>
    <row r="222" spans="1:4" s="97" customFormat="1" ht="15" customHeight="1">
      <c r="A222" s="94" t="s">
        <v>10105</v>
      </c>
      <c r="B222" s="94" t="s">
        <v>10104</v>
      </c>
      <c r="C222" s="93" t="s">
        <v>7814</v>
      </c>
      <c r="D222" s="92">
        <v>455.57</v>
      </c>
    </row>
    <row r="223" spans="1:4" s="97" customFormat="1" ht="15" customHeight="1">
      <c r="A223" s="94" t="s">
        <v>10103</v>
      </c>
      <c r="B223" s="94" t="s">
        <v>10102</v>
      </c>
      <c r="C223" s="93" t="s">
        <v>7829</v>
      </c>
      <c r="D223" s="92">
        <v>341.9</v>
      </c>
    </row>
    <row r="224" spans="1:4" s="97" customFormat="1" ht="15" customHeight="1">
      <c r="A224" s="94" t="s">
        <v>10101</v>
      </c>
      <c r="B224" s="94" t="s">
        <v>10100</v>
      </c>
      <c r="C224" s="93" t="s">
        <v>7814</v>
      </c>
      <c r="D224" s="92">
        <v>398.14</v>
      </c>
    </row>
    <row r="225" spans="1:4" s="97" customFormat="1" ht="15" customHeight="1">
      <c r="A225" s="94" t="s">
        <v>10099</v>
      </c>
      <c r="B225" s="94" t="s">
        <v>10098</v>
      </c>
      <c r="C225" s="93" t="s">
        <v>7814</v>
      </c>
      <c r="D225" s="92">
        <v>427.26</v>
      </c>
    </row>
    <row r="226" spans="1:4" s="97" customFormat="1" ht="15" customHeight="1">
      <c r="A226" s="94" t="s">
        <v>10097</v>
      </c>
      <c r="B226" s="94" t="s">
        <v>10096</v>
      </c>
      <c r="C226" s="93" t="s">
        <v>7814</v>
      </c>
      <c r="D226" s="92">
        <v>398</v>
      </c>
    </row>
    <row r="227" spans="1:4" s="97" customFormat="1" ht="15" customHeight="1">
      <c r="A227" s="94" t="s">
        <v>10095</v>
      </c>
      <c r="B227" s="94" t="s">
        <v>10094</v>
      </c>
      <c r="C227" s="93" t="s">
        <v>7814</v>
      </c>
      <c r="D227" s="92">
        <v>427.11</v>
      </c>
    </row>
    <row r="228" spans="1:4" s="105" customFormat="1" ht="15" customHeight="1">
      <c r="A228" s="101" t="s">
        <v>10093</v>
      </c>
      <c r="B228" s="94" t="s">
        <v>10092</v>
      </c>
      <c r="C228" s="93" t="s">
        <v>7829</v>
      </c>
      <c r="D228" s="92">
        <v>45.43</v>
      </c>
    </row>
    <row r="229" spans="1:4" s="105" customFormat="1" ht="15" customHeight="1">
      <c r="A229" s="94" t="s">
        <v>10091</v>
      </c>
      <c r="B229" s="94" t="s">
        <v>10090</v>
      </c>
      <c r="C229" s="93" t="s">
        <v>7814</v>
      </c>
      <c r="D229" s="92">
        <v>407.17</v>
      </c>
    </row>
    <row r="230" spans="1:4" s="105" customFormat="1" ht="15" customHeight="1">
      <c r="A230" s="94" t="s">
        <v>10089</v>
      </c>
      <c r="B230" s="94" t="s">
        <v>10088</v>
      </c>
      <c r="C230" s="93" t="s">
        <v>7814</v>
      </c>
      <c r="D230" s="92">
        <v>445.42</v>
      </c>
    </row>
    <row r="231" spans="1:4" s="105" customFormat="1" ht="15" customHeight="1">
      <c r="A231" s="94" t="s">
        <v>10087</v>
      </c>
      <c r="B231" s="94" t="s">
        <v>10086</v>
      </c>
      <c r="C231" s="93" t="s">
        <v>7814</v>
      </c>
      <c r="D231" s="92">
        <v>448.5</v>
      </c>
    </row>
    <row r="232" spans="1:4" s="105" customFormat="1" ht="15" customHeight="1">
      <c r="A232" s="94" t="s">
        <v>10085</v>
      </c>
      <c r="B232" s="94" t="s">
        <v>10084</v>
      </c>
      <c r="C232" s="93" t="s">
        <v>7814</v>
      </c>
      <c r="D232" s="92">
        <v>445.64</v>
      </c>
    </row>
    <row r="233" spans="1:4" s="105" customFormat="1" ht="15" customHeight="1">
      <c r="A233" s="94" t="s">
        <v>10083</v>
      </c>
      <c r="B233" s="94" t="s">
        <v>10082</v>
      </c>
      <c r="C233" s="93" t="s">
        <v>7814</v>
      </c>
      <c r="D233" s="92">
        <v>448.72</v>
      </c>
    </row>
    <row r="234" spans="1:4" s="105" customFormat="1" ht="15" customHeight="1">
      <c r="A234" s="94" t="s">
        <v>10081</v>
      </c>
      <c r="B234" s="94" t="s">
        <v>10080</v>
      </c>
      <c r="C234" s="93" t="s">
        <v>7814</v>
      </c>
      <c r="D234" s="92">
        <v>445.23</v>
      </c>
    </row>
    <row r="235" spans="1:4" s="105" customFormat="1" ht="15" customHeight="1">
      <c r="A235" s="94" t="s">
        <v>10079</v>
      </c>
      <c r="B235" s="94" t="s">
        <v>10078</v>
      </c>
      <c r="C235" s="93" t="s">
        <v>7814</v>
      </c>
      <c r="D235" s="92">
        <v>445.01</v>
      </c>
    </row>
    <row r="236" spans="1:4" s="97" customFormat="1" ht="15" customHeight="1">
      <c r="A236" s="94" t="s">
        <v>10077</v>
      </c>
      <c r="B236" s="94" t="s">
        <v>10076</v>
      </c>
      <c r="C236" s="93" t="s">
        <v>7814</v>
      </c>
      <c r="D236" s="92">
        <v>445.87</v>
      </c>
    </row>
    <row r="237" spans="1:4" s="106" customFormat="1" ht="15" customHeight="1">
      <c r="A237" s="94" t="s">
        <v>10075</v>
      </c>
      <c r="B237" s="94" t="s">
        <v>10074</v>
      </c>
      <c r="C237" s="93" t="s">
        <v>7814</v>
      </c>
      <c r="D237" s="92">
        <v>448.07</v>
      </c>
    </row>
    <row r="238" spans="1:4" s="97" customFormat="1" ht="15" customHeight="1">
      <c r="A238" s="94" t="s">
        <v>10073</v>
      </c>
      <c r="B238" s="94" t="s">
        <v>10072</v>
      </c>
      <c r="C238" s="93" t="s">
        <v>7814</v>
      </c>
      <c r="D238" s="92">
        <v>419.99</v>
      </c>
    </row>
    <row r="239" spans="1:4" s="97" customFormat="1" ht="15" customHeight="1">
      <c r="A239" s="94" t="s">
        <v>10071</v>
      </c>
      <c r="B239" s="94" t="s">
        <v>10070</v>
      </c>
      <c r="C239" s="93" t="s">
        <v>7814</v>
      </c>
      <c r="D239" s="92">
        <v>818</v>
      </c>
    </row>
    <row r="240" spans="1:4" s="97" customFormat="1" ht="15" customHeight="1">
      <c r="A240" s="94" t="s">
        <v>10069</v>
      </c>
      <c r="B240" s="94" t="s">
        <v>10068</v>
      </c>
      <c r="C240" s="93" t="s">
        <v>7814</v>
      </c>
      <c r="D240" s="92">
        <v>448.58</v>
      </c>
    </row>
    <row r="241" spans="1:4" s="97" customFormat="1" ht="15" customHeight="1">
      <c r="A241" s="94" t="s">
        <v>10067</v>
      </c>
      <c r="B241" s="94" t="s">
        <v>10066</v>
      </c>
      <c r="C241" s="93" t="s">
        <v>7814</v>
      </c>
      <c r="D241" s="92">
        <v>449.4</v>
      </c>
    </row>
    <row r="242" spans="1:4" s="97" customFormat="1" ht="15" customHeight="1">
      <c r="A242" s="94" t="s">
        <v>10065</v>
      </c>
      <c r="B242" s="94" t="s">
        <v>10064</v>
      </c>
      <c r="C242" s="93" t="s">
        <v>7814</v>
      </c>
      <c r="D242" s="92">
        <v>377.98</v>
      </c>
    </row>
    <row r="243" spans="1:4" s="97" customFormat="1" ht="15" customHeight="1">
      <c r="A243" s="94" t="s">
        <v>10063</v>
      </c>
      <c r="B243" s="94" t="s">
        <v>10062</v>
      </c>
      <c r="C243" s="93" t="s">
        <v>7814</v>
      </c>
      <c r="D243" s="92">
        <v>465.18</v>
      </c>
    </row>
    <row r="244" spans="1:4" s="97" customFormat="1" ht="15" customHeight="1">
      <c r="A244" s="94" t="s">
        <v>10061</v>
      </c>
      <c r="B244" s="94" t="s">
        <v>10060</v>
      </c>
      <c r="C244" s="93" t="s">
        <v>7814</v>
      </c>
      <c r="D244" s="92">
        <v>471.66</v>
      </c>
    </row>
    <row r="245" spans="1:4" s="97" customFormat="1" ht="15" customHeight="1">
      <c r="A245" s="94" t="s">
        <v>10059</v>
      </c>
      <c r="B245" s="94" t="s">
        <v>10058</v>
      </c>
      <c r="C245" s="93" t="s">
        <v>7814</v>
      </c>
      <c r="D245" s="92">
        <v>468.53</v>
      </c>
    </row>
    <row r="246" spans="1:4" s="97" customFormat="1" ht="15" customHeight="1">
      <c r="A246" s="94" t="s">
        <v>10057</v>
      </c>
      <c r="B246" s="94" t="s">
        <v>10056</v>
      </c>
      <c r="C246" s="93" t="s">
        <v>7814</v>
      </c>
      <c r="D246" s="92">
        <v>430.87</v>
      </c>
    </row>
    <row r="247" spans="1:4" s="97" customFormat="1" ht="15" customHeight="1">
      <c r="A247" s="94" t="s">
        <v>10055</v>
      </c>
      <c r="B247" s="94" t="s">
        <v>10054</v>
      </c>
      <c r="C247" s="93" t="s">
        <v>7814</v>
      </c>
      <c r="D247" s="92">
        <v>423.03</v>
      </c>
    </row>
    <row r="248" spans="1:4" s="97" customFormat="1" ht="15" customHeight="1">
      <c r="A248" s="94" t="s">
        <v>10053</v>
      </c>
      <c r="B248" s="94" t="s">
        <v>10052</v>
      </c>
      <c r="C248" s="93" t="s">
        <v>7814</v>
      </c>
      <c r="D248" s="92">
        <v>1437.94</v>
      </c>
    </row>
    <row r="249" spans="1:4" s="97" customFormat="1" ht="15" customHeight="1">
      <c r="A249" s="94" t="s">
        <v>10051</v>
      </c>
      <c r="B249" s="94" t="s">
        <v>10050</v>
      </c>
      <c r="C249" s="93" t="s">
        <v>7814</v>
      </c>
      <c r="D249" s="92">
        <v>1266.8499999999999</v>
      </c>
    </row>
    <row r="250" spans="1:4" s="97" customFormat="1" ht="15" customHeight="1">
      <c r="A250" s="94" t="s">
        <v>10049</v>
      </c>
      <c r="B250" s="94" t="s">
        <v>10048</v>
      </c>
      <c r="C250" s="93" t="s">
        <v>7814</v>
      </c>
      <c r="D250" s="92">
        <v>1573.11</v>
      </c>
    </row>
    <row r="251" spans="1:4" s="97" customFormat="1" ht="15" customHeight="1">
      <c r="A251" s="94" t="s">
        <v>10047</v>
      </c>
      <c r="B251" s="94" t="s">
        <v>10046</v>
      </c>
      <c r="C251" s="93" t="s">
        <v>7814</v>
      </c>
      <c r="D251" s="92">
        <v>404.75</v>
      </c>
    </row>
    <row r="252" spans="1:4" s="97" customFormat="1" ht="15" customHeight="1">
      <c r="A252" s="94" t="s">
        <v>10045</v>
      </c>
      <c r="B252" s="94" t="s">
        <v>10044</v>
      </c>
      <c r="C252" s="93" t="s">
        <v>7814</v>
      </c>
      <c r="D252" s="92">
        <v>799.06</v>
      </c>
    </row>
    <row r="253" spans="1:4" s="97" customFormat="1" ht="15" customHeight="1">
      <c r="A253" s="94" t="s">
        <v>10043</v>
      </c>
      <c r="B253" s="94" t="s">
        <v>10042</v>
      </c>
      <c r="C253" s="93" t="s">
        <v>7814</v>
      </c>
      <c r="D253" s="92">
        <v>407.23</v>
      </c>
    </row>
    <row r="254" spans="1:4" s="97" customFormat="1" ht="15" customHeight="1">
      <c r="A254" s="94" t="s">
        <v>10041</v>
      </c>
      <c r="B254" s="94" t="s">
        <v>10040</v>
      </c>
      <c r="C254" s="93" t="s">
        <v>7814</v>
      </c>
      <c r="D254" s="92">
        <v>344.27</v>
      </c>
    </row>
    <row r="255" spans="1:4" s="97" customFormat="1" ht="15" customHeight="1">
      <c r="A255" s="94" t="s">
        <v>10039</v>
      </c>
      <c r="B255" s="94" t="s">
        <v>10038</v>
      </c>
      <c r="C255" s="93" t="s">
        <v>7814</v>
      </c>
      <c r="D255" s="92">
        <v>385.96</v>
      </c>
    </row>
    <row r="256" spans="1:4" s="97" customFormat="1" ht="15" customHeight="1">
      <c r="A256" s="94" t="s">
        <v>10037</v>
      </c>
      <c r="B256" s="94" t="s">
        <v>10036</v>
      </c>
      <c r="C256" s="93" t="s">
        <v>7814</v>
      </c>
      <c r="D256" s="92">
        <v>385.63</v>
      </c>
    </row>
    <row r="257" spans="1:4" s="97" customFormat="1" ht="15" customHeight="1">
      <c r="A257" s="94" t="s">
        <v>10035</v>
      </c>
      <c r="B257" s="94" t="s">
        <v>10034</v>
      </c>
      <c r="C257" s="93" t="s">
        <v>7814</v>
      </c>
      <c r="D257" s="92">
        <v>398.81</v>
      </c>
    </row>
    <row r="258" spans="1:4" s="97" customFormat="1" ht="15" customHeight="1">
      <c r="A258" s="94" t="s">
        <v>10033</v>
      </c>
      <c r="B258" s="94" t="s">
        <v>10032</v>
      </c>
      <c r="C258" s="93" t="s">
        <v>7814</v>
      </c>
      <c r="D258" s="92">
        <v>461.11</v>
      </c>
    </row>
    <row r="259" spans="1:4" s="97" customFormat="1" ht="15" customHeight="1">
      <c r="A259" s="94" t="s">
        <v>10031</v>
      </c>
      <c r="B259" s="94" t="s">
        <v>10030</v>
      </c>
      <c r="C259" s="93" t="s">
        <v>7814</v>
      </c>
      <c r="D259" s="92">
        <v>343.95</v>
      </c>
    </row>
    <row r="260" spans="1:4" s="97" customFormat="1" ht="15" customHeight="1">
      <c r="A260" s="94" t="s">
        <v>10029</v>
      </c>
      <c r="B260" s="94" t="s">
        <v>10028</v>
      </c>
      <c r="C260" s="93" t="s">
        <v>7814</v>
      </c>
      <c r="D260" s="92">
        <v>1035.9100000000001</v>
      </c>
    </row>
    <row r="261" spans="1:4" s="97" customFormat="1" ht="15" customHeight="1">
      <c r="A261" s="94" t="s">
        <v>10027</v>
      </c>
      <c r="B261" s="94" t="s">
        <v>10026</v>
      </c>
      <c r="C261" s="93" t="s">
        <v>7814</v>
      </c>
      <c r="D261" s="92">
        <v>1035.78</v>
      </c>
    </row>
    <row r="262" spans="1:4" s="97" customFormat="1" ht="15" customHeight="1">
      <c r="A262" s="94" t="s">
        <v>10025</v>
      </c>
      <c r="B262" s="94" t="s">
        <v>10024</v>
      </c>
      <c r="C262" s="93" t="s">
        <v>7814</v>
      </c>
      <c r="D262" s="92">
        <v>991.34</v>
      </c>
    </row>
    <row r="263" spans="1:4" s="97" customFormat="1" ht="15" customHeight="1">
      <c r="A263" s="94" t="s">
        <v>10023</v>
      </c>
      <c r="B263" s="94" t="s">
        <v>10022</v>
      </c>
      <c r="C263" s="93" t="s">
        <v>7814</v>
      </c>
      <c r="D263" s="92">
        <v>1035.9100000000001</v>
      </c>
    </row>
    <row r="264" spans="1:4" s="97" customFormat="1" ht="15" customHeight="1">
      <c r="A264" s="94" t="s">
        <v>10021</v>
      </c>
      <c r="B264" s="94" t="s">
        <v>10020</v>
      </c>
      <c r="C264" s="93" t="s">
        <v>7814</v>
      </c>
      <c r="D264" s="92">
        <v>991.21</v>
      </c>
    </row>
    <row r="265" spans="1:4" s="97" customFormat="1" ht="15" customHeight="1">
      <c r="A265" s="94" t="s">
        <v>10019</v>
      </c>
      <c r="B265" s="94" t="s">
        <v>10018</v>
      </c>
      <c r="C265" s="93" t="s">
        <v>7814</v>
      </c>
      <c r="D265" s="92">
        <v>991.34</v>
      </c>
    </row>
    <row r="266" spans="1:4" s="97" customFormat="1" ht="15" customHeight="1">
      <c r="A266" s="94" t="s">
        <v>10017</v>
      </c>
      <c r="B266" s="94" t="s">
        <v>10016</v>
      </c>
      <c r="C266" s="93" t="s">
        <v>7814</v>
      </c>
      <c r="D266" s="92">
        <v>1035.9100000000001</v>
      </c>
    </row>
    <row r="267" spans="1:4" s="97" customFormat="1" ht="15" customHeight="1">
      <c r="A267" s="94" t="s">
        <v>10015</v>
      </c>
      <c r="B267" s="94" t="s">
        <v>10014</v>
      </c>
      <c r="C267" s="93" t="s">
        <v>7814</v>
      </c>
      <c r="D267" s="92">
        <v>991.34</v>
      </c>
    </row>
    <row r="268" spans="1:4" s="105" customFormat="1" ht="15" customHeight="1">
      <c r="A268" s="94" t="s">
        <v>10013</v>
      </c>
      <c r="B268" s="94" t="s">
        <v>10012</v>
      </c>
      <c r="C268" s="93" t="s">
        <v>7814</v>
      </c>
      <c r="D268" s="92">
        <v>1035.9100000000001</v>
      </c>
    </row>
    <row r="269" spans="1:4" s="97" customFormat="1" ht="15" customHeight="1">
      <c r="A269" s="94" t="s">
        <v>10011</v>
      </c>
      <c r="B269" s="94" t="s">
        <v>10010</v>
      </c>
      <c r="C269" s="93" t="s">
        <v>7814</v>
      </c>
      <c r="D269" s="92">
        <v>991.25</v>
      </c>
    </row>
    <row r="270" spans="1:4" s="97" customFormat="1" ht="15" customHeight="1">
      <c r="A270" s="94" t="s">
        <v>10009</v>
      </c>
      <c r="B270" s="94" t="s">
        <v>10008</v>
      </c>
      <c r="C270" s="93" t="s">
        <v>7814</v>
      </c>
      <c r="D270" s="92">
        <v>1035.82</v>
      </c>
    </row>
    <row r="271" spans="1:4" s="97" customFormat="1" ht="15" customHeight="1">
      <c r="A271" s="94" t="s">
        <v>10007</v>
      </c>
      <c r="B271" s="94" t="s">
        <v>10006</v>
      </c>
      <c r="C271" s="93" t="s">
        <v>7814</v>
      </c>
      <c r="D271" s="92">
        <v>1116.79</v>
      </c>
    </row>
    <row r="272" spans="1:4" s="97" customFormat="1" ht="15" customHeight="1">
      <c r="A272" s="94" t="s">
        <v>10005</v>
      </c>
      <c r="B272" s="94" t="s">
        <v>10004</v>
      </c>
      <c r="C272" s="93" t="s">
        <v>7814</v>
      </c>
      <c r="D272" s="92">
        <v>1116.9100000000001</v>
      </c>
    </row>
    <row r="273" spans="1:4" s="97" customFormat="1" ht="15" customHeight="1">
      <c r="A273" s="94" t="s">
        <v>10003</v>
      </c>
      <c r="B273" s="94" t="s">
        <v>10002</v>
      </c>
      <c r="C273" s="93" t="s">
        <v>7814</v>
      </c>
      <c r="D273" s="92">
        <v>1160.8</v>
      </c>
    </row>
    <row r="274" spans="1:4" s="97" customFormat="1" ht="15" customHeight="1">
      <c r="A274" s="94" t="s">
        <v>10001</v>
      </c>
      <c r="B274" s="94" t="s">
        <v>10000</v>
      </c>
      <c r="C274" s="93" t="s">
        <v>7814</v>
      </c>
      <c r="D274" s="92">
        <v>1160.83</v>
      </c>
    </row>
    <row r="275" spans="1:4" s="97" customFormat="1" ht="15" customHeight="1">
      <c r="A275" s="94" t="s">
        <v>9999</v>
      </c>
      <c r="B275" s="94" t="s">
        <v>9998</v>
      </c>
      <c r="C275" s="93" t="s">
        <v>7814</v>
      </c>
      <c r="D275" s="92">
        <v>1160.7</v>
      </c>
    </row>
    <row r="276" spans="1:4" s="97" customFormat="1" ht="15" customHeight="1">
      <c r="A276" s="94" t="s">
        <v>9997</v>
      </c>
      <c r="B276" s="94" t="s">
        <v>9996</v>
      </c>
      <c r="C276" s="93" t="s">
        <v>7814</v>
      </c>
      <c r="D276" s="92">
        <v>1116.94</v>
      </c>
    </row>
    <row r="277" spans="1:4" s="97" customFormat="1" ht="15" customHeight="1">
      <c r="A277" s="94" t="s">
        <v>9995</v>
      </c>
      <c r="B277" s="94" t="s">
        <v>9994</v>
      </c>
      <c r="C277" s="93" t="s">
        <v>7814</v>
      </c>
      <c r="D277" s="92">
        <v>1160.83</v>
      </c>
    </row>
    <row r="278" spans="1:4" s="97" customFormat="1" ht="15" customHeight="1">
      <c r="A278" s="94" t="s">
        <v>9993</v>
      </c>
      <c r="B278" s="94" t="s">
        <v>9992</v>
      </c>
      <c r="C278" s="93" t="s">
        <v>7814</v>
      </c>
      <c r="D278" s="92">
        <v>1116.97</v>
      </c>
    </row>
    <row r="279" spans="1:4" s="97" customFormat="1" ht="15" customHeight="1">
      <c r="A279" s="94" t="s">
        <v>9991</v>
      </c>
      <c r="B279" s="94" t="s">
        <v>9990</v>
      </c>
      <c r="C279" s="93" t="s">
        <v>7814</v>
      </c>
      <c r="D279" s="92">
        <v>1160.8800000000001</v>
      </c>
    </row>
    <row r="280" spans="1:4" s="97" customFormat="1" ht="15" customHeight="1">
      <c r="A280" s="94" t="s">
        <v>9989</v>
      </c>
      <c r="B280" s="94" t="s">
        <v>9988</v>
      </c>
      <c r="C280" s="93" t="s">
        <v>7814</v>
      </c>
      <c r="D280" s="92">
        <v>745.49</v>
      </c>
    </row>
    <row r="281" spans="1:4" s="97" customFormat="1" ht="15" customHeight="1">
      <c r="A281" s="94" t="s">
        <v>9987</v>
      </c>
      <c r="B281" s="94" t="s">
        <v>9986</v>
      </c>
      <c r="C281" s="93" t="s">
        <v>7814</v>
      </c>
      <c r="D281" s="92">
        <v>790.16</v>
      </c>
    </row>
    <row r="282" spans="1:4" s="97" customFormat="1" ht="15" customHeight="1">
      <c r="A282" s="94" t="s">
        <v>9985</v>
      </c>
      <c r="B282" s="94" t="s">
        <v>9984</v>
      </c>
      <c r="C282" s="93" t="s">
        <v>7814</v>
      </c>
      <c r="D282" s="92">
        <v>745.44</v>
      </c>
    </row>
    <row r="283" spans="1:4" s="97" customFormat="1" ht="15" customHeight="1">
      <c r="A283" s="94" t="s">
        <v>9983</v>
      </c>
      <c r="B283" s="94" t="s">
        <v>9982</v>
      </c>
      <c r="C283" s="93" t="s">
        <v>7814</v>
      </c>
      <c r="D283" s="92">
        <v>790.1</v>
      </c>
    </row>
    <row r="284" spans="1:4" s="97" customFormat="1" ht="15" customHeight="1">
      <c r="A284" s="94" t="s">
        <v>9981</v>
      </c>
      <c r="B284" s="94" t="s">
        <v>9980</v>
      </c>
      <c r="C284" s="93" t="s">
        <v>7814</v>
      </c>
      <c r="D284" s="92">
        <v>745.49</v>
      </c>
    </row>
    <row r="285" spans="1:4" s="97" customFormat="1" ht="15" customHeight="1">
      <c r="A285" s="94" t="s">
        <v>9979</v>
      </c>
      <c r="B285" s="94" t="s">
        <v>9978</v>
      </c>
      <c r="C285" s="93" t="s">
        <v>7814</v>
      </c>
      <c r="D285" s="92">
        <v>790.16</v>
      </c>
    </row>
    <row r="286" spans="1:4" s="97" customFormat="1" ht="15" customHeight="1">
      <c r="A286" s="94" t="s">
        <v>9977</v>
      </c>
      <c r="B286" s="94" t="s">
        <v>9976</v>
      </c>
      <c r="C286" s="93" t="s">
        <v>7814</v>
      </c>
      <c r="D286" s="92">
        <v>745.44</v>
      </c>
    </row>
    <row r="287" spans="1:4" s="97" customFormat="1" ht="15" customHeight="1">
      <c r="A287" s="94" t="s">
        <v>9975</v>
      </c>
      <c r="B287" s="94" t="s">
        <v>9974</v>
      </c>
      <c r="C287" s="93" t="s">
        <v>7814</v>
      </c>
      <c r="D287" s="92">
        <v>790.1</v>
      </c>
    </row>
    <row r="288" spans="1:4" s="97" customFormat="1" ht="15" customHeight="1">
      <c r="A288" s="94" t="s">
        <v>9973</v>
      </c>
      <c r="B288" s="94" t="s">
        <v>9972</v>
      </c>
      <c r="C288" s="93" t="s">
        <v>7814</v>
      </c>
      <c r="D288" s="92">
        <v>745.65</v>
      </c>
    </row>
    <row r="289" spans="1:4" s="97" customFormat="1" ht="15" customHeight="1">
      <c r="A289" s="94" t="s">
        <v>9971</v>
      </c>
      <c r="B289" s="94" t="s">
        <v>9970</v>
      </c>
      <c r="C289" s="93" t="s">
        <v>7814</v>
      </c>
      <c r="D289" s="92">
        <v>790.3</v>
      </c>
    </row>
    <row r="290" spans="1:4" s="97" customFormat="1" ht="15" customHeight="1">
      <c r="A290" s="94" t="s">
        <v>9969</v>
      </c>
      <c r="B290" s="94" t="s">
        <v>9968</v>
      </c>
      <c r="C290" s="93" t="s">
        <v>7814</v>
      </c>
      <c r="D290" s="92">
        <v>745.65</v>
      </c>
    </row>
    <row r="291" spans="1:4" s="97" customFormat="1" ht="15" customHeight="1">
      <c r="A291" s="94" t="s">
        <v>9967</v>
      </c>
      <c r="B291" s="94" t="s">
        <v>9966</v>
      </c>
      <c r="C291" s="93" t="s">
        <v>7814</v>
      </c>
      <c r="D291" s="92">
        <v>790.3</v>
      </c>
    </row>
    <row r="292" spans="1:4" s="97" customFormat="1" ht="15" customHeight="1">
      <c r="A292" s="94" t="s">
        <v>9965</v>
      </c>
      <c r="B292" s="94" t="s">
        <v>9964</v>
      </c>
      <c r="C292" s="93" t="s">
        <v>7814</v>
      </c>
      <c r="D292" s="92">
        <v>685.5</v>
      </c>
    </row>
    <row r="293" spans="1:4" s="97" customFormat="1" ht="15" customHeight="1">
      <c r="A293" s="94" t="s">
        <v>9963</v>
      </c>
      <c r="B293" s="94" t="s">
        <v>9962</v>
      </c>
      <c r="C293" s="93" t="s">
        <v>7814</v>
      </c>
      <c r="D293" s="92">
        <v>694.03</v>
      </c>
    </row>
    <row r="294" spans="1:4" s="97" customFormat="1" ht="15" customHeight="1">
      <c r="A294" s="94" t="s">
        <v>9961</v>
      </c>
      <c r="B294" s="94" t="s">
        <v>9960</v>
      </c>
      <c r="C294" s="93" t="s">
        <v>7814</v>
      </c>
      <c r="D294" s="92">
        <v>751.54</v>
      </c>
    </row>
    <row r="295" spans="1:4" s="97" customFormat="1" ht="15" customHeight="1">
      <c r="A295" s="94" t="s">
        <v>9959</v>
      </c>
      <c r="B295" s="94" t="s">
        <v>9958</v>
      </c>
      <c r="C295" s="93" t="s">
        <v>7814</v>
      </c>
      <c r="D295" s="92">
        <v>756.85</v>
      </c>
    </row>
    <row r="296" spans="1:4" s="97" customFormat="1" ht="15" customHeight="1">
      <c r="A296" s="94" t="s">
        <v>9957</v>
      </c>
      <c r="B296" s="94" t="s">
        <v>9956</v>
      </c>
      <c r="C296" s="93" t="s">
        <v>7814</v>
      </c>
      <c r="D296" s="92">
        <v>793.68</v>
      </c>
    </row>
    <row r="297" spans="1:4" s="97" customFormat="1" ht="15" customHeight="1">
      <c r="A297" s="94" t="s">
        <v>9955</v>
      </c>
      <c r="B297" s="94" t="s">
        <v>9954</v>
      </c>
      <c r="C297" s="93" t="s">
        <v>7814</v>
      </c>
      <c r="D297" s="92">
        <v>798.98</v>
      </c>
    </row>
    <row r="298" spans="1:4" s="97" customFormat="1" ht="15" customHeight="1">
      <c r="A298" s="94" t="s">
        <v>9953</v>
      </c>
      <c r="B298" s="94" t="s">
        <v>9952</v>
      </c>
      <c r="C298" s="93" t="s">
        <v>7814</v>
      </c>
      <c r="D298" s="92">
        <v>792.95</v>
      </c>
    </row>
    <row r="299" spans="1:4" s="97" customFormat="1" ht="15" customHeight="1">
      <c r="A299" s="94" t="s">
        <v>9951</v>
      </c>
      <c r="B299" s="94" t="s">
        <v>9950</v>
      </c>
      <c r="C299" s="93" t="s">
        <v>7814</v>
      </c>
      <c r="D299" s="92">
        <v>793.77</v>
      </c>
    </row>
    <row r="300" spans="1:4" s="97" customFormat="1" ht="15" customHeight="1">
      <c r="A300" s="94" t="s">
        <v>9949</v>
      </c>
      <c r="B300" s="94" t="s">
        <v>9948</v>
      </c>
      <c r="C300" s="93" t="s">
        <v>7814</v>
      </c>
      <c r="D300" s="92">
        <v>800.45</v>
      </c>
    </row>
    <row r="301" spans="1:4" s="97" customFormat="1" ht="15" customHeight="1">
      <c r="A301" s="94" t="s">
        <v>9947</v>
      </c>
      <c r="B301" s="94" t="s">
        <v>9946</v>
      </c>
      <c r="C301" s="93" t="s">
        <v>7814</v>
      </c>
      <c r="D301" s="92">
        <v>751.35</v>
      </c>
    </row>
    <row r="302" spans="1:4" s="97" customFormat="1" ht="15" customHeight="1">
      <c r="A302" s="94" t="s">
        <v>9945</v>
      </c>
      <c r="B302" s="94" t="s">
        <v>9944</v>
      </c>
      <c r="C302" s="93" t="s">
        <v>7814</v>
      </c>
      <c r="D302" s="92">
        <v>758.29</v>
      </c>
    </row>
    <row r="303" spans="1:4" s="97" customFormat="1" ht="15" customHeight="1">
      <c r="A303" s="94" t="s">
        <v>9943</v>
      </c>
      <c r="B303" s="94" t="s">
        <v>9942</v>
      </c>
      <c r="C303" s="93" t="s">
        <v>7829</v>
      </c>
      <c r="D303" s="92">
        <v>139.91</v>
      </c>
    </row>
    <row r="304" spans="1:4" s="97" customFormat="1" ht="15" customHeight="1">
      <c r="A304" s="94" t="s">
        <v>9941</v>
      </c>
      <c r="B304" s="94" t="s">
        <v>9940</v>
      </c>
      <c r="C304" s="93" t="s">
        <v>7829</v>
      </c>
      <c r="D304" s="92">
        <v>133.72999999999999</v>
      </c>
    </row>
    <row r="305" spans="1:4" s="97" customFormat="1" ht="15" customHeight="1">
      <c r="A305" s="94" t="s">
        <v>9939</v>
      </c>
      <c r="B305" s="94" t="s">
        <v>9938</v>
      </c>
      <c r="C305" s="93" t="s">
        <v>7829</v>
      </c>
      <c r="D305" s="92">
        <v>40.61</v>
      </c>
    </row>
    <row r="306" spans="1:4" s="97" customFormat="1" ht="15" customHeight="1">
      <c r="A306" s="95" t="s">
        <v>9937</v>
      </c>
      <c r="B306" s="94" t="s">
        <v>9936</v>
      </c>
      <c r="C306" s="93" t="s">
        <v>7814</v>
      </c>
      <c r="D306" s="92">
        <v>174.68</v>
      </c>
    </row>
    <row r="307" spans="1:4" s="97" customFormat="1" ht="15" customHeight="1">
      <c r="A307" s="94" t="s">
        <v>9935</v>
      </c>
      <c r="B307" s="94" t="s">
        <v>9934</v>
      </c>
      <c r="C307" s="93" t="s">
        <v>7829</v>
      </c>
      <c r="D307" s="92">
        <v>94.56</v>
      </c>
    </row>
    <row r="308" spans="1:4" s="97" customFormat="1" ht="15" customHeight="1">
      <c r="A308" s="94" t="s">
        <v>9933</v>
      </c>
      <c r="B308" s="94" t="s">
        <v>9932</v>
      </c>
      <c r="C308" s="93" t="s">
        <v>7829</v>
      </c>
      <c r="D308" s="92">
        <v>94.56</v>
      </c>
    </row>
    <row r="309" spans="1:4" s="97" customFormat="1" ht="15" customHeight="1">
      <c r="A309" s="94" t="s">
        <v>9931</v>
      </c>
      <c r="B309" s="94" t="s">
        <v>9930</v>
      </c>
      <c r="C309" s="93" t="s">
        <v>7829</v>
      </c>
      <c r="D309" s="92">
        <v>94.56</v>
      </c>
    </row>
    <row r="310" spans="1:4" s="97" customFormat="1" ht="15" customHeight="1">
      <c r="A310" s="94" t="s">
        <v>9929</v>
      </c>
      <c r="B310" s="94" t="s">
        <v>9928</v>
      </c>
      <c r="C310" s="93" t="s">
        <v>7829</v>
      </c>
      <c r="D310" s="92">
        <v>147.11000000000001</v>
      </c>
    </row>
    <row r="311" spans="1:4" s="97" customFormat="1" ht="15" customHeight="1">
      <c r="A311" s="94" t="s">
        <v>9927</v>
      </c>
      <c r="B311" s="94" t="s">
        <v>9926</v>
      </c>
      <c r="C311" s="93" t="s">
        <v>7829</v>
      </c>
      <c r="D311" s="92">
        <v>94.56</v>
      </c>
    </row>
    <row r="312" spans="1:4" s="97" customFormat="1" ht="15" customHeight="1">
      <c r="A312" s="94" t="s">
        <v>9925</v>
      </c>
      <c r="B312" s="94" t="s">
        <v>9924</v>
      </c>
      <c r="C312" s="93" t="s">
        <v>7829</v>
      </c>
      <c r="D312" s="92">
        <v>90.51</v>
      </c>
    </row>
    <row r="313" spans="1:4" s="97" customFormat="1" ht="15" customHeight="1">
      <c r="A313" s="94" t="s">
        <v>9923</v>
      </c>
      <c r="B313" s="94" t="s">
        <v>9922</v>
      </c>
      <c r="C313" s="93" t="s">
        <v>7829</v>
      </c>
      <c r="D313" s="92">
        <v>90.48</v>
      </c>
    </row>
    <row r="314" spans="1:4" s="97" customFormat="1" ht="15" customHeight="1">
      <c r="A314" s="94" t="s">
        <v>9921</v>
      </c>
      <c r="B314" s="94" t="s">
        <v>9920</v>
      </c>
      <c r="C314" s="93" t="s">
        <v>7829</v>
      </c>
      <c r="D314" s="92">
        <v>90.38</v>
      </c>
    </row>
    <row r="315" spans="1:4" s="97" customFormat="1" ht="15" customHeight="1">
      <c r="A315" s="101" t="s">
        <v>9919</v>
      </c>
      <c r="B315" s="94" t="s">
        <v>9918</v>
      </c>
      <c r="C315" s="93" t="s">
        <v>7829</v>
      </c>
      <c r="D315" s="92">
        <v>90.32</v>
      </c>
    </row>
    <row r="316" spans="1:4" s="97" customFormat="1" ht="15" customHeight="1">
      <c r="A316" s="94" t="s">
        <v>9917</v>
      </c>
      <c r="B316" s="94" t="s">
        <v>9916</v>
      </c>
      <c r="C316" s="93" t="s">
        <v>7829</v>
      </c>
      <c r="D316" s="92">
        <v>90.48</v>
      </c>
    </row>
    <row r="317" spans="1:4" s="97" customFormat="1" ht="15" customHeight="1">
      <c r="A317" s="94" t="s">
        <v>9915</v>
      </c>
      <c r="B317" s="94" t="s">
        <v>9914</v>
      </c>
      <c r="C317" s="93" t="s">
        <v>7829</v>
      </c>
      <c r="D317" s="92">
        <v>90.39</v>
      </c>
    </row>
    <row r="318" spans="1:4" s="97" customFormat="1" ht="15" customHeight="1">
      <c r="A318" s="94" t="s">
        <v>9913</v>
      </c>
      <c r="B318" s="94" t="s">
        <v>9912</v>
      </c>
      <c r="C318" s="93" t="s">
        <v>7814</v>
      </c>
      <c r="D318" s="92">
        <v>388.06</v>
      </c>
    </row>
    <row r="319" spans="1:4" s="97" customFormat="1" ht="15" customHeight="1">
      <c r="A319" s="94" t="s">
        <v>9911</v>
      </c>
      <c r="B319" s="94" t="s">
        <v>9910</v>
      </c>
      <c r="C319" s="93" t="s">
        <v>7814</v>
      </c>
      <c r="D319" s="92">
        <v>376.23</v>
      </c>
    </row>
    <row r="320" spans="1:4" s="97" customFormat="1" ht="15" customHeight="1">
      <c r="A320" s="94" t="s">
        <v>9909</v>
      </c>
      <c r="B320" s="94" t="s">
        <v>9908</v>
      </c>
      <c r="C320" s="93" t="s">
        <v>7814</v>
      </c>
      <c r="D320" s="92">
        <v>376.53</v>
      </c>
    </row>
    <row r="321" spans="1:4" s="97" customFormat="1" ht="15" customHeight="1">
      <c r="A321" s="94" t="s">
        <v>9907</v>
      </c>
      <c r="B321" s="94" t="s">
        <v>9906</v>
      </c>
      <c r="C321" s="93" t="s">
        <v>7814</v>
      </c>
      <c r="D321" s="92">
        <v>376.74</v>
      </c>
    </row>
    <row r="322" spans="1:4" s="97" customFormat="1" ht="15" customHeight="1">
      <c r="A322" s="94" t="s">
        <v>9905</v>
      </c>
      <c r="B322" s="94" t="s">
        <v>9904</v>
      </c>
      <c r="C322" s="93" t="s">
        <v>7829</v>
      </c>
      <c r="D322" s="92">
        <v>433.24</v>
      </c>
    </row>
    <row r="323" spans="1:4" s="105" customFormat="1" ht="15" customHeight="1">
      <c r="A323" s="94" t="s">
        <v>9903</v>
      </c>
      <c r="B323" s="94" t="s">
        <v>9902</v>
      </c>
      <c r="C323" s="93" t="s">
        <v>7814</v>
      </c>
      <c r="D323" s="92">
        <v>465.12</v>
      </c>
    </row>
    <row r="324" spans="1:4" s="97" customFormat="1" ht="15" customHeight="1">
      <c r="A324" s="94" t="s">
        <v>9901</v>
      </c>
      <c r="B324" s="94" t="s">
        <v>9900</v>
      </c>
      <c r="C324" s="93" t="s">
        <v>7829</v>
      </c>
      <c r="D324" s="92">
        <v>435.03</v>
      </c>
    </row>
    <row r="325" spans="1:4" s="97" customFormat="1" ht="15" customHeight="1">
      <c r="A325" s="94" t="s">
        <v>9899</v>
      </c>
      <c r="B325" s="94" t="s">
        <v>9898</v>
      </c>
      <c r="C325" s="93" t="s">
        <v>7814</v>
      </c>
      <c r="D325" s="92">
        <v>770.42</v>
      </c>
    </row>
    <row r="326" spans="1:4" s="105" customFormat="1" ht="15" customHeight="1">
      <c r="A326" s="94" t="s">
        <v>9897</v>
      </c>
      <c r="B326" s="94" t="s">
        <v>9896</v>
      </c>
      <c r="C326" s="93" t="s">
        <v>7814</v>
      </c>
      <c r="D326" s="92">
        <v>770.42</v>
      </c>
    </row>
    <row r="327" spans="1:4" s="105" customFormat="1" ht="15" customHeight="1">
      <c r="A327" s="94" t="s">
        <v>9895</v>
      </c>
      <c r="B327" s="94" t="s">
        <v>9894</v>
      </c>
      <c r="C327" s="93" t="s">
        <v>7814</v>
      </c>
      <c r="D327" s="92">
        <v>770.97</v>
      </c>
    </row>
    <row r="328" spans="1:4" s="97" customFormat="1" ht="15" customHeight="1">
      <c r="A328" s="94" t="s">
        <v>9893</v>
      </c>
      <c r="B328" s="94" t="s">
        <v>9892</v>
      </c>
      <c r="C328" s="93" t="s">
        <v>7814</v>
      </c>
      <c r="D328" s="92">
        <v>771.77</v>
      </c>
    </row>
    <row r="329" spans="1:4" s="97" customFormat="1" ht="15" customHeight="1">
      <c r="A329" s="94" t="s">
        <v>9891</v>
      </c>
      <c r="B329" s="94" t="s">
        <v>9890</v>
      </c>
      <c r="C329" s="93" t="s">
        <v>7814</v>
      </c>
      <c r="D329" s="92">
        <v>770.42</v>
      </c>
    </row>
    <row r="330" spans="1:4" s="97" customFormat="1" ht="15" customHeight="1">
      <c r="A330" s="94" t="s">
        <v>9889</v>
      </c>
      <c r="B330" s="94" t="s">
        <v>9888</v>
      </c>
      <c r="C330" s="93" t="s">
        <v>7814</v>
      </c>
      <c r="D330" s="92">
        <v>770.42</v>
      </c>
    </row>
    <row r="331" spans="1:4" s="97" customFormat="1" ht="15" customHeight="1">
      <c r="A331" s="94" t="s">
        <v>9887</v>
      </c>
      <c r="B331" s="94" t="s">
        <v>9886</v>
      </c>
      <c r="C331" s="93" t="s">
        <v>7814</v>
      </c>
      <c r="D331" s="92">
        <v>770.97</v>
      </c>
    </row>
    <row r="332" spans="1:4" s="97" customFormat="1" ht="15" customHeight="1">
      <c r="A332" s="94" t="s">
        <v>9885</v>
      </c>
      <c r="B332" s="94" t="s">
        <v>9884</v>
      </c>
      <c r="C332" s="93" t="s">
        <v>7814</v>
      </c>
      <c r="D332" s="92">
        <v>771.77</v>
      </c>
    </row>
    <row r="333" spans="1:4" s="97" customFormat="1" ht="15" customHeight="1">
      <c r="A333" s="94" t="s">
        <v>9883</v>
      </c>
      <c r="B333" s="94" t="s">
        <v>9882</v>
      </c>
      <c r="C333" s="93" t="s">
        <v>7814</v>
      </c>
      <c r="D333" s="92">
        <v>893.25</v>
      </c>
    </row>
    <row r="334" spans="1:4" s="97" customFormat="1" ht="15" customHeight="1">
      <c r="A334" s="94" t="s">
        <v>9881</v>
      </c>
      <c r="B334" s="94" t="s">
        <v>9880</v>
      </c>
      <c r="C334" s="93" t="s">
        <v>7814</v>
      </c>
      <c r="D334" s="92">
        <v>893.25</v>
      </c>
    </row>
    <row r="335" spans="1:4" s="97" customFormat="1" ht="15" customHeight="1">
      <c r="A335" s="94" t="s">
        <v>9879</v>
      </c>
      <c r="B335" s="94" t="s">
        <v>9878</v>
      </c>
      <c r="C335" s="93" t="s">
        <v>7814</v>
      </c>
      <c r="D335" s="92">
        <v>894</v>
      </c>
    </row>
    <row r="336" spans="1:4" s="97" customFormat="1" ht="15" customHeight="1">
      <c r="A336" s="94" t="s">
        <v>9877</v>
      </c>
      <c r="B336" s="94" t="s">
        <v>9876</v>
      </c>
      <c r="C336" s="93" t="s">
        <v>7814</v>
      </c>
      <c r="D336" s="92">
        <v>894.81</v>
      </c>
    </row>
    <row r="337" spans="1:4" s="97" customFormat="1" ht="15" customHeight="1">
      <c r="A337" s="94" t="s">
        <v>9875</v>
      </c>
      <c r="B337" s="94" t="s">
        <v>9874</v>
      </c>
      <c r="C337" s="93" t="s">
        <v>7814</v>
      </c>
      <c r="D337" s="92">
        <v>893.25</v>
      </c>
    </row>
    <row r="338" spans="1:4" s="97" customFormat="1" ht="15" customHeight="1">
      <c r="A338" s="94" t="s">
        <v>9873</v>
      </c>
      <c r="B338" s="94" t="s">
        <v>9872</v>
      </c>
      <c r="C338" s="93" t="s">
        <v>7814</v>
      </c>
      <c r="D338" s="92">
        <v>893.25</v>
      </c>
    </row>
    <row r="339" spans="1:4" s="97" customFormat="1" ht="15" customHeight="1">
      <c r="A339" s="94" t="s">
        <v>9871</v>
      </c>
      <c r="B339" s="94" t="s">
        <v>9870</v>
      </c>
      <c r="C339" s="93" t="s">
        <v>7814</v>
      </c>
      <c r="D339" s="92">
        <v>894</v>
      </c>
    </row>
    <row r="340" spans="1:4" s="97" customFormat="1" ht="15" customHeight="1">
      <c r="A340" s="94" t="s">
        <v>9869</v>
      </c>
      <c r="B340" s="94" t="s">
        <v>9868</v>
      </c>
      <c r="C340" s="93" t="s">
        <v>7814</v>
      </c>
      <c r="D340" s="92">
        <v>894.81</v>
      </c>
    </row>
    <row r="341" spans="1:4" s="97" customFormat="1" ht="15" customHeight="1">
      <c r="A341" s="94" t="s">
        <v>9867</v>
      </c>
      <c r="B341" s="94" t="s">
        <v>9866</v>
      </c>
      <c r="C341" s="93" t="s">
        <v>7814</v>
      </c>
      <c r="D341" s="92">
        <v>146.57</v>
      </c>
    </row>
    <row r="342" spans="1:4" s="97" customFormat="1" ht="15" customHeight="1">
      <c r="A342" s="94" t="s">
        <v>9865</v>
      </c>
      <c r="B342" s="94" t="s">
        <v>9864</v>
      </c>
      <c r="C342" s="93" t="s">
        <v>7814</v>
      </c>
      <c r="D342" s="92">
        <v>154.74</v>
      </c>
    </row>
    <row r="343" spans="1:4" s="97" customFormat="1" ht="15" customHeight="1">
      <c r="A343" s="94" t="s">
        <v>9863</v>
      </c>
      <c r="B343" s="94" t="s">
        <v>9862</v>
      </c>
      <c r="C343" s="93" t="s">
        <v>7814</v>
      </c>
      <c r="D343" s="92">
        <v>155.47</v>
      </c>
    </row>
    <row r="344" spans="1:4" s="97" customFormat="1" ht="15" customHeight="1">
      <c r="A344" s="94" t="s">
        <v>9861</v>
      </c>
      <c r="B344" s="94" t="s">
        <v>9860</v>
      </c>
      <c r="C344" s="93" t="s">
        <v>7814</v>
      </c>
      <c r="D344" s="92">
        <v>155.36000000000001</v>
      </c>
    </row>
    <row r="345" spans="1:4" s="97" customFormat="1" ht="15" customHeight="1">
      <c r="A345" s="94" t="s">
        <v>9859</v>
      </c>
      <c r="B345" s="94" t="s">
        <v>9858</v>
      </c>
      <c r="C345" s="93" t="s">
        <v>7814</v>
      </c>
      <c r="D345" s="92">
        <v>147.65</v>
      </c>
    </row>
    <row r="346" spans="1:4" s="97" customFormat="1" ht="15" customHeight="1">
      <c r="A346" s="94" t="s">
        <v>9857</v>
      </c>
      <c r="B346" s="94" t="s">
        <v>9856</v>
      </c>
      <c r="C346" s="93" t="s">
        <v>7814</v>
      </c>
      <c r="D346" s="92">
        <v>155.72</v>
      </c>
    </row>
    <row r="347" spans="1:4" s="97" customFormat="1" ht="15" customHeight="1">
      <c r="A347" s="94" t="s">
        <v>9855</v>
      </c>
      <c r="B347" s="94" t="s">
        <v>9854</v>
      </c>
      <c r="C347" s="93" t="s">
        <v>7814</v>
      </c>
      <c r="D347" s="92">
        <v>147.13999999999999</v>
      </c>
    </row>
    <row r="348" spans="1:4" s="97" customFormat="1" ht="15" customHeight="1">
      <c r="A348" s="94" t="s">
        <v>9853</v>
      </c>
      <c r="B348" s="94" t="s">
        <v>9852</v>
      </c>
      <c r="C348" s="93" t="s">
        <v>7814</v>
      </c>
      <c r="D348" s="92">
        <v>156.05000000000001</v>
      </c>
    </row>
    <row r="349" spans="1:4" s="97" customFormat="1" ht="15" customHeight="1">
      <c r="A349" s="94" t="s">
        <v>9851</v>
      </c>
      <c r="B349" s="94" t="s">
        <v>9850</v>
      </c>
      <c r="C349" s="93" t="s">
        <v>7814</v>
      </c>
      <c r="D349" s="92">
        <v>155.47</v>
      </c>
    </row>
    <row r="350" spans="1:4" s="97" customFormat="1" ht="15" customHeight="1">
      <c r="A350" s="94" t="s">
        <v>9849</v>
      </c>
      <c r="B350" s="94" t="s">
        <v>9848</v>
      </c>
      <c r="C350" s="93" t="s">
        <v>7814</v>
      </c>
      <c r="D350" s="92">
        <v>146.57</v>
      </c>
    </row>
    <row r="351" spans="1:4" s="97" customFormat="1" ht="15" customHeight="1">
      <c r="A351" s="94" t="s">
        <v>9847</v>
      </c>
      <c r="B351" s="94" t="s">
        <v>9846</v>
      </c>
      <c r="C351" s="93" t="s">
        <v>7814</v>
      </c>
      <c r="D351" s="92">
        <v>144.72999999999999</v>
      </c>
    </row>
    <row r="352" spans="1:4" s="97" customFormat="1" ht="15" customHeight="1">
      <c r="A352" s="94" t="s">
        <v>9845</v>
      </c>
      <c r="B352" s="94" t="s">
        <v>9844</v>
      </c>
      <c r="C352" s="93" t="s">
        <v>7814</v>
      </c>
      <c r="D352" s="92">
        <v>144.88</v>
      </c>
    </row>
    <row r="353" spans="1:4" s="97" customFormat="1" ht="15" customHeight="1">
      <c r="A353" s="94" t="s">
        <v>9843</v>
      </c>
      <c r="B353" s="94" t="s">
        <v>9842</v>
      </c>
      <c r="C353" s="93" t="s">
        <v>7814</v>
      </c>
      <c r="D353" s="92">
        <v>145.02000000000001</v>
      </c>
    </row>
    <row r="354" spans="1:4" s="97" customFormat="1" ht="15" customHeight="1">
      <c r="A354" s="94" t="s">
        <v>9841</v>
      </c>
      <c r="B354" s="94" t="s">
        <v>9840</v>
      </c>
      <c r="C354" s="93" t="s">
        <v>7814</v>
      </c>
      <c r="D354" s="92">
        <v>144.88</v>
      </c>
    </row>
    <row r="355" spans="1:4" s="97" customFormat="1" ht="15" customHeight="1">
      <c r="A355" s="94" t="s">
        <v>9839</v>
      </c>
      <c r="B355" s="94" t="s">
        <v>9838</v>
      </c>
      <c r="C355" s="93" t="s">
        <v>7814</v>
      </c>
      <c r="D355" s="92">
        <v>188.07</v>
      </c>
    </row>
    <row r="356" spans="1:4" s="97" customFormat="1" ht="15" customHeight="1">
      <c r="A356" s="94" t="s">
        <v>9837</v>
      </c>
      <c r="B356" s="94" t="s">
        <v>9836</v>
      </c>
      <c r="C356" s="93" t="s">
        <v>7814</v>
      </c>
      <c r="D356" s="92">
        <v>188.07</v>
      </c>
    </row>
    <row r="357" spans="1:4" s="97" customFormat="1" ht="15" customHeight="1">
      <c r="A357" s="94" t="s">
        <v>9835</v>
      </c>
      <c r="B357" s="94" t="s">
        <v>9834</v>
      </c>
      <c r="C357" s="93" t="s">
        <v>7814</v>
      </c>
      <c r="D357" s="92">
        <v>188.07</v>
      </c>
    </row>
    <row r="358" spans="1:4" s="97" customFormat="1" ht="15" customHeight="1">
      <c r="A358" s="94" t="s">
        <v>9833</v>
      </c>
      <c r="B358" s="94" t="s">
        <v>9831</v>
      </c>
      <c r="C358" s="93" t="s">
        <v>7814</v>
      </c>
      <c r="D358" s="92">
        <v>188.07</v>
      </c>
    </row>
    <row r="359" spans="1:4" s="97" customFormat="1" ht="15" customHeight="1">
      <c r="A359" s="94" t="s">
        <v>9832</v>
      </c>
      <c r="B359" s="94" t="s">
        <v>9831</v>
      </c>
      <c r="C359" s="93" t="s">
        <v>7814</v>
      </c>
      <c r="D359" s="92">
        <v>188.07</v>
      </c>
    </row>
    <row r="360" spans="1:4" s="97" customFormat="1" ht="15" customHeight="1">
      <c r="A360" s="94" t="s">
        <v>9830</v>
      </c>
      <c r="B360" s="94" t="s">
        <v>9829</v>
      </c>
      <c r="C360" s="93" t="s">
        <v>7814</v>
      </c>
      <c r="D360" s="92">
        <v>188.07</v>
      </c>
    </row>
    <row r="361" spans="1:4" s="97" customFormat="1" ht="15" customHeight="1">
      <c r="A361" s="94" t="s">
        <v>9828</v>
      </c>
      <c r="B361" s="94" t="s">
        <v>9827</v>
      </c>
      <c r="C361" s="93" t="s">
        <v>7814</v>
      </c>
      <c r="D361" s="92">
        <v>188.07</v>
      </c>
    </row>
    <row r="362" spans="1:4" s="97" customFormat="1" ht="15" customHeight="1">
      <c r="A362" s="94" t="s">
        <v>9826</v>
      </c>
      <c r="B362" s="94" t="s">
        <v>9825</v>
      </c>
      <c r="C362" s="93" t="s">
        <v>7814</v>
      </c>
      <c r="D362" s="92">
        <v>136.04</v>
      </c>
    </row>
    <row r="363" spans="1:4" s="97" customFormat="1" ht="15" customHeight="1">
      <c r="A363" s="94" t="s">
        <v>9824</v>
      </c>
      <c r="B363" s="94" t="s">
        <v>9822</v>
      </c>
      <c r="C363" s="93" t="s">
        <v>7814</v>
      </c>
      <c r="D363" s="92">
        <v>136.24</v>
      </c>
    </row>
    <row r="364" spans="1:4" s="97" customFormat="1" ht="15" customHeight="1">
      <c r="A364" s="94" t="s">
        <v>9823</v>
      </c>
      <c r="B364" s="94" t="s">
        <v>9822</v>
      </c>
      <c r="C364" s="93" t="s">
        <v>7814</v>
      </c>
      <c r="D364" s="92">
        <v>136.24</v>
      </c>
    </row>
    <row r="365" spans="1:4" s="97" customFormat="1" ht="15" customHeight="1">
      <c r="A365" s="94" t="s">
        <v>9821</v>
      </c>
      <c r="B365" s="94" t="s">
        <v>9820</v>
      </c>
      <c r="C365" s="93" t="s">
        <v>7814</v>
      </c>
      <c r="D365" s="92">
        <v>136.22</v>
      </c>
    </row>
    <row r="366" spans="1:4" s="97" customFormat="1" ht="15" customHeight="1">
      <c r="A366" s="94" t="s">
        <v>9819</v>
      </c>
      <c r="B366" s="94" t="s">
        <v>9818</v>
      </c>
      <c r="C366" s="93" t="s">
        <v>7814</v>
      </c>
      <c r="D366" s="92">
        <v>136.19</v>
      </c>
    </row>
    <row r="367" spans="1:4" s="97" customFormat="1" ht="15" customHeight="1">
      <c r="A367" s="94" t="s">
        <v>9817</v>
      </c>
      <c r="B367" s="94" t="s">
        <v>9816</v>
      </c>
      <c r="C367" s="93" t="s">
        <v>7814</v>
      </c>
      <c r="D367" s="92">
        <v>136.35</v>
      </c>
    </row>
    <row r="368" spans="1:4" s="97" customFormat="1" ht="15" customHeight="1">
      <c r="A368" s="94" t="s">
        <v>9815</v>
      </c>
      <c r="B368" s="94" t="s">
        <v>9814</v>
      </c>
      <c r="C368" s="93" t="s">
        <v>7814</v>
      </c>
      <c r="D368" s="92">
        <v>136.15</v>
      </c>
    </row>
    <row r="369" spans="1:4" s="97" customFormat="1" ht="15" customHeight="1">
      <c r="A369" s="94" t="s">
        <v>9813</v>
      </c>
      <c r="B369" s="94" t="s">
        <v>9812</v>
      </c>
      <c r="C369" s="93" t="s">
        <v>7814</v>
      </c>
      <c r="D369" s="92">
        <v>166.44</v>
      </c>
    </row>
    <row r="370" spans="1:4" s="97" customFormat="1" ht="15" customHeight="1">
      <c r="A370" s="94" t="s">
        <v>9811</v>
      </c>
      <c r="B370" s="94" t="s">
        <v>9810</v>
      </c>
      <c r="C370" s="93" t="s">
        <v>7814</v>
      </c>
      <c r="D370" s="92">
        <v>166.44</v>
      </c>
    </row>
    <row r="371" spans="1:4" s="97" customFormat="1" ht="15" customHeight="1">
      <c r="A371" s="94" t="s">
        <v>9809</v>
      </c>
      <c r="B371" s="94" t="s">
        <v>9808</v>
      </c>
      <c r="C371" s="93" t="s">
        <v>7814</v>
      </c>
      <c r="D371" s="92">
        <v>251.19</v>
      </c>
    </row>
    <row r="372" spans="1:4" s="97" customFormat="1" ht="15" customHeight="1">
      <c r="A372" s="94" t="s">
        <v>9807</v>
      </c>
      <c r="B372" s="94" t="s">
        <v>9806</v>
      </c>
      <c r="C372" s="93" t="s">
        <v>7814</v>
      </c>
      <c r="D372" s="92">
        <v>166.44</v>
      </c>
    </row>
    <row r="373" spans="1:4" s="97" customFormat="1" ht="15" customHeight="1">
      <c r="A373" s="94" t="s">
        <v>9805</v>
      </c>
      <c r="B373" s="94" t="s">
        <v>9804</v>
      </c>
      <c r="C373" s="93" t="s">
        <v>7814</v>
      </c>
      <c r="D373" s="92">
        <v>166.44</v>
      </c>
    </row>
    <row r="374" spans="1:4" s="97" customFormat="1" ht="15" customHeight="1">
      <c r="A374" s="94" t="s">
        <v>9803</v>
      </c>
      <c r="B374" s="94" t="s">
        <v>9802</v>
      </c>
      <c r="C374" s="93" t="s">
        <v>7814</v>
      </c>
      <c r="D374" s="92">
        <v>251.12</v>
      </c>
    </row>
    <row r="375" spans="1:4" s="97" customFormat="1" ht="15" customHeight="1">
      <c r="A375" s="94" t="s">
        <v>9801</v>
      </c>
      <c r="B375" s="94" t="s">
        <v>9800</v>
      </c>
      <c r="C375" s="93" t="s">
        <v>7814</v>
      </c>
      <c r="D375" s="92">
        <v>251.42</v>
      </c>
    </row>
    <row r="376" spans="1:4" s="97" customFormat="1" ht="15" customHeight="1">
      <c r="A376" s="94" t="s">
        <v>9799</v>
      </c>
      <c r="B376" s="94" t="s">
        <v>9798</v>
      </c>
      <c r="C376" s="93" t="s">
        <v>7814</v>
      </c>
      <c r="D376" s="92">
        <v>166.44</v>
      </c>
    </row>
    <row r="377" spans="1:4" s="103" customFormat="1" ht="15" customHeight="1">
      <c r="A377" s="94" t="s">
        <v>9797</v>
      </c>
      <c r="B377" s="94" t="s">
        <v>9796</v>
      </c>
      <c r="C377" s="93" t="s">
        <v>7814</v>
      </c>
      <c r="D377" s="92">
        <v>251.38</v>
      </c>
    </row>
    <row r="378" spans="1:4" s="103" customFormat="1" ht="15" customHeight="1">
      <c r="A378" s="94" t="s">
        <v>9795</v>
      </c>
      <c r="B378" s="94" t="s">
        <v>9794</v>
      </c>
      <c r="C378" s="93" t="s">
        <v>7814</v>
      </c>
      <c r="D378" s="92">
        <v>166.44</v>
      </c>
    </row>
    <row r="379" spans="1:4" s="103" customFormat="1" ht="15" customHeight="1">
      <c r="A379" s="94" t="s">
        <v>9793</v>
      </c>
      <c r="B379" s="94" t="s">
        <v>9792</v>
      </c>
      <c r="C379" s="93" t="s">
        <v>7814</v>
      </c>
      <c r="D379" s="92">
        <v>167.11</v>
      </c>
    </row>
    <row r="380" spans="1:4" s="103" customFormat="1" ht="15" customHeight="1">
      <c r="A380" s="94" t="s">
        <v>9791</v>
      </c>
      <c r="B380" s="94" t="s">
        <v>9790</v>
      </c>
      <c r="C380" s="93" t="s">
        <v>7814</v>
      </c>
      <c r="D380" s="92">
        <v>152.47999999999999</v>
      </c>
    </row>
    <row r="381" spans="1:4" s="97" customFormat="1" ht="15" customHeight="1">
      <c r="A381" s="94" t="s">
        <v>9789</v>
      </c>
      <c r="B381" s="94" t="s">
        <v>9788</v>
      </c>
      <c r="C381" s="93" t="s">
        <v>7814</v>
      </c>
      <c r="D381" s="92">
        <v>152.63</v>
      </c>
    </row>
    <row r="382" spans="1:4" s="97" customFormat="1" ht="15" customHeight="1">
      <c r="A382" s="94" t="s">
        <v>9787</v>
      </c>
      <c r="B382" s="94" t="s">
        <v>9786</v>
      </c>
      <c r="C382" s="93" t="s">
        <v>7814</v>
      </c>
      <c r="D382" s="92">
        <v>152.81</v>
      </c>
    </row>
    <row r="383" spans="1:4" s="97" customFormat="1" ht="15" customHeight="1">
      <c r="A383" s="94" t="s">
        <v>9785</v>
      </c>
      <c r="B383" s="94" t="s">
        <v>9784</v>
      </c>
      <c r="C383" s="93" t="s">
        <v>7814</v>
      </c>
      <c r="D383" s="92">
        <v>152.72999999999999</v>
      </c>
    </row>
    <row r="384" spans="1:4" s="97" customFormat="1" ht="15" customHeight="1">
      <c r="A384" s="94" t="s">
        <v>9783</v>
      </c>
      <c r="B384" s="94" t="s">
        <v>9782</v>
      </c>
      <c r="C384" s="93" t="s">
        <v>7814</v>
      </c>
      <c r="D384" s="92">
        <v>152.31</v>
      </c>
    </row>
    <row r="385" spans="1:4" s="97" customFormat="1" ht="15" customHeight="1">
      <c r="A385" s="94" t="s">
        <v>9781</v>
      </c>
      <c r="B385" s="94" t="s">
        <v>9780</v>
      </c>
      <c r="C385" s="93" t="s">
        <v>7814</v>
      </c>
      <c r="D385" s="92">
        <v>176.48</v>
      </c>
    </row>
    <row r="386" spans="1:4" s="97" customFormat="1" ht="15" customHeight="1">
      <c r="A386" s="94" t="s">
        <v>9779</v>
      </c>
      <c r="B386" s="94" t="s">
        <v>9778</v>
      </c>
      <c r="C386" s="93" t="s">
        <v>7814</v>
      </c>
      <c r="D386" s="92">
        <v>176.59</v>
      </c>
    </row>
    <row r="387" spans="1:4" s="103" customFormat="1" ht="15" customHeight="1">
      <c r="A387" s="94" t="s">
        <v>9777</v>
      </c>
      <c r="B387" s="94" t="s">
        <v>9776</v>
      </c>
      <c r="C387" s="93" t="s">
        <v>7814</v>
      </c>
      <c r="D387" s="92">
        <v>209.35</v>
      </c>
    </row>
    <row r="388" spans="1:4" s="103" customFormat="1" ht="15" customHeight="1">
      <c r="A388" s="94" t="s">
        <v>9775</v>
      </c>
      <c r="B388" s="94" t="s">
        <v>9774</v>
      </c>
      <c r="C388" s="93" t="s">
        <v>7814</v>
      </c>
      <c r="D388" s="92">
        <v>176.59</v>
      </c>
    </row>
    <row r="389" spans="1:4" s="103" customFormat="1" ht="15" customHeight="1">
      <c r="A389" s="94" t="s">
        <v>9773</v>
      </c>
      <c r="B389" s="94" t="s">
        <v>9772</v>
      </c>
      <c r="C389" s="93" t="s">
        <v>7814</v>
      </c>
      <c r="D389" s="92">
        <v>176.09</v>
      </c>
    </row>
    <row r="390" spans="1:4" s="102" customFormat="1" ht="15" customHeight="1">
      <c r="A390" s="94" t="s">
        <v>9771</v>
      </c>
      <c r="B390" s="94" t="s">
        <v>9770</v>
      </c>
      <c r="C390" s="93" t="s">
        <v>7814</v>
      </c>
      <c r="D390" s="92">
        <v>206.48</v>
      </c>
    </row>
    <row r="391" spans="1:4" s="97" customFormat="1" ht="15" customHeight="1">
      <c r="A391" s="94" t="s">
        <v>9769</v>
      </c>
      <c r="B391" s="94" t="s">
        <v>9768</v>
      </c>
      <c r="C391" s="93" t="s">
        <v>7814</v>
      </c>
      <c r="D391" s="92">
        <v>176.33</v>
      </c>
    </row>
    <row r="392" spans="1:4" s="97" customFormat="1" ht="15" customHeight="1">
      <c r="A392" s="94" t="s">
        <v>9767</v>
      </c>
      <c r="B392" s="94" t="s">
        <v>9766</v>
      </c>
      <c r="C392" s="93" t="s">
        <v>7814</v>
      </c>
      <c r="D392" s="92">
        <v>206.43</v>
      </c>
    </row>
    <row r="393" spans="1:4" s="97" customFormat="1" ht="15" customHeight="1">
      <c r="A393" s="94" t="s">
        <v>9765</v>
      </c>
      <c r="B393" s="94" t="s">
        <v>9764</v>
      </c>
      <c r="C393" s="93" t="s">
        <v>7814</v>
      </c>
      <c r="D393" s="92">
        <v>206.74</v>
      </c>
    </row>
    <row r="394" spans="1:4" s="97" customFormat="1" ht="15" customHeight="1">
      <c r="A394" s="94" t="s">
        <v>9763</v>
      </c>
      <c r="B394" s="94" t="s">
        <v>9762</v>
      </c>
      <c r="C394" s="93" t="s">
        <v>7814</v>
      </c>
      <c r="D394" s="92">
        <v>176.72</v>
      </c>
    </row>
    <row r="395" spans="1:4" s="97" customFormat="1" ht="15" customHeight="1">
      <c r="A395" s="94" t="s">
        <v>9761</v>
      </c>
      <c r="B395" s="94" t="s">
        <v>9760</v>
      </c>
      <c r="C395" s="93" t="s">
        <v>7814</v>
      </c>
      <c r="D395" s="92">
        <v>206.67</v>
      </c>
    </row>
    <row r="396" spans="1:4" s="97" customFormat="1" ht="15" customHeight="1">
      <c r="A396" s="94" t="s">
        <v>9759</v>
      </c>
      <c r="B396" s="94" t="s">
        <v>9758</v>
      </c>
      <c r="C396" s="93" t="s">
        <v>7814</v>
      </c>
      <c r="D396" s="92">
        <v>206.8</v>
      </c>
    </row>
    <row r="397" spans="1:4" s="97" customFormat="1" ht="15" customHeight="1">
      <c r="A397" s="94" t="s">
        <v>9757</v>
      </c>
      <c r="B397" s="94" t="s">
        <v>9756</v>
      </c>
      <c r="C397" s="93" t="s">
        <v>7814</v>
      </c>
      <c r="D397" s="92">
        <v>176.44</v>
      </c>
    </row>
    <row r="398" spans="1:4" s="97" customFormat="1" ht="15" customHeight="1">
      <c r="A398" s="94" t="s">
        <v>9755</v>
      </c>
      <c r="B398" s="94" t="s">
        <v>9754</v>
      </c>
      <c r="C398" s="93" t="s">
        <v>7814</v>
      </c>
      <c r="D398" s="92">
        <v>301.52</v>
      </c>
    </row>
    <row r="399" spans="1:4" s="97" customFormat="1" ht="15" customHeight="1">
      <c r="A399" s="94" t="s">
        <v>9753</v>
      </c>
      <c r="B399" s="94" t="s">
        <v>9752</v>
      </c>
      <c r="C399" s="93" t="s">
        <v>7814</v>
      </c>
      <c r="D399" s="92">
        <v>301.52</v>
      </c>
    </row>
    <row r="400" spans="1:4" s="97" customFormat="1" ht="15" customHeight="1">
      <c r="A400" s="94" t="s">
        <v>9751</v>
      </c>
      <c r="B400" s="94" t="s">
        <v>9750</v>
      </c>
      <c r="C400" s="93" t="s">
        <v>7814</v>
      </c>
      <c r="D400" s="92">
        <v>301.52</v>
      </c>
    </row>
    <row r="401" spans="1:4" s="97" customFormat="1" ht="15" customHeight="1">
      <c r="A401" s="94" t="s">
        <v>9749</v>
      </c>
      <c r="B401" s="94" t="s">
        <v>9748</v>
      </c>
      <c r="C401" s="93" t="s">
        <v>7814</v>
      </c>
      <c r="D401" s="92">
        <v>301.52</v>
      </c>
    </row>
    <row r="402" spans="1:4" s="97" customFormat="1" ht="15" customHeight="1">
      <c r="A402" s="94" t="s">
        <v>9747</v>
      </c>
      <c r="B402" s="94" t="s">
        <v>9746</v>
      </c>
      <c r="C402" s="93" t="s">
        <v>7814</v>
      </c>
      <c r="D402" s="92">
        <v>265.99</v>
      </c>
    </row>
    <row r="403" spans="1:4" s="97" customFormat="1" ht="15" customHeight="1">
      <c r="A403" s="94" t="s">
        <v>9745</v>
      </c>
      <c r="B403" s="94" t="s">
        <v>9744</v>
      </c>
      <c r="C403" s="93" t="s">
        <v>7814</v>
      </c>
      <c r="D403" s="92">
        <v>266.18</v>
      </c>
    </row>
    <row r="404" spans="1:4" s="97" customFormat="1" ht="15" customHeight="1">
      <c r="A404" s="94" t="s">
        <v>9743</v>
      </c>
      <c r="B404" s="94" t="s">
        <v>9742</v>
      </c>
      <c r="C404" s="93" t="s">
        <v>7814</v>
      </c>
      <c r="D404" s="92">
        <v>266.45999999999998</v>
      </c>
    </row>
    <row r="405" spans="1:4" s="97" customFormat="1" ht="15" customHeight="1">
      <c r="A405" s="94" t="s">
        <v>9741</v>
      </c>
      <c r="B405" s="94" t="s">
        <v>9740</v>
      </c>
      <c r="C405" s="93" t="s">
        <v>7814</v>
      </c>
      <c r="D405" s="92">
        <v>265.99</v>
      </c>
    </row>
    <row r="406" spans="1:4" s="97" customFormat="1" ht="15" customHeight="1">
      <c r="A406" s="94" t="s">
        <v>9739</v>
      </c>
      <c r="B406" s="94" t="s">
        <v>9738</v>
      </c>
      <c r="C406" s="93" t="s">
        <v>7814</v>
      </c>
      <c r="D406" s="92">
        <v>266.17</v>
      </c>
    </row>
    <row r="407" spans="1:4" s="97" customFormat="1" ht="15" customHeight="1">
      <c r="A407" s="94" t="s">
        <v>9737</v>
      </c>
      <c r="B407" s="94" t="s">
        <v>9736</v>
      </c>
      <c r="C407" s="93" t="s">
        <v>7814</v>
      </c>
      <c r="D407" s="92">
        <v>266.18</v>
      </c>
    </row>
    <row r="408" spans="1:4" s="97" customFormat="1" ht="15" customHeight="1">
      <c r="A408" s="94" t="s">
        <v>9735</v>
      </c>
      <c r="B408" s="94" t="s">
        <v>9734</v>
      </c>
      <c r="C408" s="93" t="s">
        <v>7814</v>
      </c>
      <c r="D408" s="92">
        <v>265.8</v>
      </c>
    </row>
    <row r="409" spans="1:4" s="97" customFormat="1" ht="15" customHeight="1">
      <c r="A409" s="94" t="s">
        <v>9733</v>
      </c>
      <c r="B409" s="94" t="s">
        <v>9732</v>
      </c>
      <c r="C409" s="93" t="s">
        <v>7814</v>
      </c>
      <c r="D409" s="92">
        <v>266</v>
      </c>
    </row>
    <row r="410" spans="1:4" s="97" customFormat="1" ht="15" customHeight="1">
      <c r="A410" s="94" t="s">
        <v>9731</v>
      </c>
      <c r="B410" s="94" t="s">
        <v>9730</v>
      </c>
      <c r="C410" s="93" t="s">
        <v>7814</v>
      </c>
      <c r="D410" s="92">
        <v>266.27</v>
      </c>
    </row>
    <row r="411" spans="1:4" s="97" customFormat="1" ht="15" customHeight="1">
      <c r="A411" s="94" t="s">
        <v>9729</v>
      </c>
      <c r="B411" s="94" t="s">
        <v>9728</v>
      </c>
      <c r="C411" s="93" t="s">
        <v>7814</v>
      </c>
      <c r="D411" s="92">
        <v>266.19</v>
      </c>
    </row>
    <row r="412" spans="1:4" s="97" customFormat="1" ht="15" customHeight="1">
      <c r="A412" s="94" t="s">
        <v>9727</v>
      </c>
      <c r="B412" s="94" t="s">
        <v>9726</v>
      </c>
      <c r="C412" s="93" t="s">
        <v>7814</v>
      </c>
      <c r="D412" s="92">
        <v>265.8</v>
      </c>
    </row>
    <row r="413" spans="1:4" s="97" customFormat="1" ht="15" customHeight="1">
      <c r="A413" s="94" t="s">
        <v>9725</v>
      </c>
      <c r="B413" s="94" t="s">
        <v>9724</v>
      </c>
      <c r="C413" s="93" t="s">
        <v>7814</v>
      </c>
      <c r="D413" s="92">
        <v>266.32</v>
      </c>
    </row>
    <row r="414" spans="1:4" s="97" customFormat="1" ht="15" customHeight="1">
      <c r="A414" s="94" t="s">
        <v>9723</v>
      </c>
      <c r="B414" s="94" t="s">
        <v>9722</v>
      </c>
      <c r="C414" s="93" t="s">
        <v>7814</v>
      </c>
      <c r="D414" s="92">
        <v>190.36</v>
      </c>
    </row>
    <row r="415" spans="1:4" s="97" customFormat="1" ht="15" customHeight="1">
      <c r="A415" s="94" t="s">
        <v>9721</v>
      </c>
      <c r="B415" s="94" t="s">
        <v>9720</v>
      </c>
      <c r="C415" s="93" t="s">
        <v>7814</v>
      </c>
      <c r="D415" s="92">
        <v>284.52</v>
      </c>
    </row>
    <row r="416" spans="1:4" s="97" customFormat="1" ht="15" customHeight="1">
      <c r="A416" s="94" t="s">
        <v>9719</v>
      </c>
      <c r="B416" s="94" t="s">
        <v>9718</v>
      </c>
      <c r="C416" s="93" t="s">
        <v>7814</v>
      </c>
      <c r="D416" s="92">
        <v>190.43</v>
      </c>
    </row>
    <row r="417" spans="1:4" s="104" customFormat="1" ht="15" customHeight="1">
      <c r="A417" s="94" t="s">
        <v>9717</v>
      </c>
      <c r="B417" s="94" t="s">
        <v>9715</v>
      </c>
      <c r="C417" s="93" t="s">
        <v>7814</v>
      </c>
      <c r="D417" s="92">
        <v>284.45</v>
      </c>
    </row>
    <row r="418" spans="1:4" s="104" customFormat="1" ht="15" customHeight="1">
      <c r="A418" s="94" t="s">
        <v>9716</v>
      </c>
      <c r="B418" s="94" t="s">
        <v>9715</v>
      </c>
      <c r="C418" s="93" t="s">
        <v>7814</v>
      </c>
      <c r="D418" s="92">
        <v>284.45</v>
      </c>
    </row>
    <row r="419" spans="1:4" s="104" customFormat="1" ht="15" customHeight="1">
      <c r="A419" s="94" t="s">
        <v>9714</v>
      </c>
      <c r="B419" s="94" t="s">
        <v>9713</v>
      </c>
      <c r="C419" s="93" t="s">
        <v>7814</v>
      </c>
      <c r="D419" s="92">
        <v>284.74</v>
      </c>
    </row>
    <row r="420" spans="1:4" s="104" customFormat="1" ht="15" customHeight="1">
      <c r="A420" s="94" t="s">
        <v>9712</v>
      </c>
      <c r="B420" s="94" t="s">
        <v>9711</v>
      </c>
      <c r="C420" s="93" t="s">
        <v>7814</v>
      </c>
      <c r="D420" s="92">
        <v>190.67</v>
      </c>
    </row>
    <row r="421" spans="1:4" s="104" customFormat="1" ht="15" customHeight="1">
      <c r="A421" s="94" t="s">
        <v>9710</v>
      </c>
      <c r="B421" s="94" t="s">
        <v>9709</v>
      </c>
      <c r="C421" s="93" t="s">
        <v>7814</v>
      </c>
      <c r="D421" s="92">
        <v>284.70999999999998</v>
      </c>
    </row>
    <row r="422" spans="1:4" s="97" customFormat="1" ht="15" customHeight="1">
      <c r="A422" s="94" t="s">
        <v>9708</v>
      </c>
      <c r="B422" s="94" t="s">
        <v>9707</v>
      </c>
      <c r="C422" s="93" t="s">
        <v>7814</v>
      </c>
      <c r="D422" s="92">
        <v>190.6</v>
      </c>
    </row>
    <row r="423" spans="1:4" s="97" customFormat="1" ht="15" customHeight="1">
      <c r="A423" s="94" t="s">
        <v>9706</v>
      </c>
      <c r="B423" s="94" t="s">
        <v>9705</v>
      </c>
      <c r="C423" s="93" t="s">
        <v>7814</v>
      </c>
      <c r="D423" s="92">
        <v>201.57</v>
      </c>
    </row>
    <row r="424" spans="1:4" s="97" customFormat="1" ht="15" customHeight="1">
      <c r="A424" s="94" t="s">
        <v>9704</v>
      </c>
      <c r="B424" s="94" t="s">
        <v>9703</v>
      </c>
      <c r="C424" s="93" t="s">
        <v>7814</v>
      </c>
      <c r="D424" s="92">
        <v>239.32</v>
      </c>
    </row>
    <row r="425" spans="1:4" s="102" customFormat="1" ht="15" customHeight="1">
      <c r="A425" s="94" t="s">
        <v>9702</v>
      </c>
      <c r="B425" s="94" t="s">
        <v>9701</v>
      </c>
      <c r="C425" s="93" t="s">
        <v>7814</v>
      </c>
      <c r="D425" s="92">
        <v>202.22</v>
      </c>
    </row>
    <row r="426" spans="1:4" s="102" customFormat="1" ht="15" customHeight="1">
      <c r="A426" s="94" t="s">
        <v>9700</v>
      </c>
      <c r="B426" s="94" t="s">
        <v>9699</v>
      </c>
      <c r="C426" s="93" t="s">
        <v>7814</v>
      </c>
      <c r="D426" s="92">
        <v>239.32</v>
      </c>
    </row>
    <row r="427" spans="1:4" s="102" customFormat="1" ht="15" customHeight="1">
      <c r="A427" s="94" t="s">
        <v>9698</v>
      </c>
      <c r="B427" s="94" t="s">
        <v>9697</v>
      </c>
      <c r="C427" s="93" t="s">
        <v>7814</v>
      </c>
      <c r="D427" s="92">
        <v>239.32</v>
      </c>
    </row>
    <row r="428" spans="1:4" s="102" customFormat="1" ht="15" customHeight="1">
      <c r="A428" s="94" t="s">
        <v>9696</v>
      </c>
      <c r="B428" s="94" t="s">
        <v>9695</v>
      </c>
      <c r="C428" s="93" t="s">
        <v>7814</v>
      </c>
      <c r="D428" s="92">
        <v>201.9</v>
      </c>
    </row>
    <row r="429" spans="1:4" s="102" customFormat="1" ht="15" customHeight="1">
      <c r="A429" s="94" t="s">
        <v>9694</v>
      </c>
      <c r="B429" s="94" t="s">
        <v>9693</v>
      </c>
      <c r="C429" s="93" t="s">
        <v>7814</v>
      </c>
      <c r="D429" s="92">
        <v>239.32</v>
      </c>
    </row>
    <row r="430" spans="1:4" s="102" customFormat="1" ht="15" customHeight="1">
      <c r="A430" s="94" t="s">
        <v>9692</v>
      </c>
      <c r="B430" s="94" t="s">
        <v>9691</v>
      </c>
      <c r="C430" s="93" t="s">
        <v>7814</v>
      </c>
      <c r="D430" s="92">
        <v>239.32</v>
      </c>
    </row>
    <row r="431" spans="1:4" s="102" customFormat="1" ht="15" customHeight="1">
      <c r="A431" s="94" t="s">
        <v>9690</v>
      </c>
      <c r="B431" s="94" t="s">
        <v>9689</v>
      </c>
      <c r="C431" s="93" t="s">
        <v>7814</v>
      </c>
      <c r="D431" s="92">
        <v>239.32</v>
      </c>
    </row>
    <row r="432" spans="1:4" s="102" customFormat="1" ht="15" customHeight="1">
      <c r="A432" s="94" t="s">
        <v>9688</v>
      </c>
      <c r="B432" s="94" t="s">
        <v>9687</v>
      </c>
      <c r="C432" s="93" t="s">
        <v>7814</v>
      </c>
      <c r="D432" s="92">
        <v>206.09</v>
      </c>
    </row>
    <row r="433" spans="1:4" s="97" customFormat="1" ht="15" customHeight="1">
      <c r="A433" s="94" t="s">
        <v>9686</v>
      </c>
      <c r="B433" s="94" t="s">
        <v>9685</v>
      </c>
      <c r="C433" s="93" t="s">
        <v>7814</v>
      </c>
      <c r="D433" s="92">
        <v>207.32</v>
      </c>
    </row>
    <row r="434" spans="1:4" s="97" customFormat="1" ht="15" customHeight="1">
      <c r="A434" s="94" t="s">
        <v>9684</v>
      </c>
      <c r="B434" s="94" t="s">
        <v>9683</v>
      </c>
      <c r="C434" s="93" t="s">
        <v>7814</v>
      </c>
      <c r="D434" s="92">
        <v>204.61</v>
      </c>
    </row>
    <row r="435" spans="1:4" s="97" customFormat="1" ht="15" customHeight="1">
      <c r="A435" s="94" t="s">
        <v>9682</v>
      </c>
      <c r="B435" s="94" t="s">
        <v>9681</v>
      </c>
      <c r="C435" s="93" t="s">
        <v>7814</v>
      </c>
      <c r="D435" s="92">
        <v>209.2</v>
      </c>
    </row>
    <row r="436" spans="1:4" s="97" customFormat="1" ht="15" customHeight="1">
      <c r="A436" s="94" t="s">
        <v>9680</v>
      </c>
      <c r="B436" s="94" t="s">
        <v>9679</v>
      </c>
      <c r="C436" s="93" t="s">
        <v>7814</v>
      </c>
      <c r="D436" s="92">
        <v>204.61</v>
      </c>
    </row>
    <row r="437" spans="1:4" s="97" customFormat="1" ht="15" customHeight="1">
      <c r="A437" s="94" t="s">
        <v>9678</v>
      </c>
      <c r="B437" s="94" t="s">
        <v>9677</v>
      </c>
      <c r="C437" s="93" t="s">
        <v>7814</v>
      </c>
      <c r="D437" s="92">
        <v>357.99</v>
      </c>
    </row>
    <row r="438" spans="1:4" s="97" customFormat="1" ht="15" customHeight="1">
      <c r="A438" s="94" t="s">
        <v>9676</v>
      </c>
      <c r="B438" s="94" t="s">
        <v>9675</v>
      </c>
      <c r="C438" s="93" t="s">
        <v>7814</v>
      </c>
      <c r="D438" s="92">
        <v>357.99</v>
      </c>
    </row>
    <row r="439" spans="1:4" s="97" customFormat="1" ht="15" customHeight="1">
      <c r="A439" s="94" t="s">
        <v>9674</v>
      </c>
      <c r="B439" s="94" t="s">
        <v>9673</v>
      </c>
      <c r="C439" s="93" t="s">
        <v>7814</v>
      </c>
      <c r="D439" s="92">
        <v>357.99</v>
      </c>
    </row>
    <row r="440" spans="1:4" s="97" customFormat="1" ht="15" customHeight="1">
      <c r="A440" s="94" t="s">
        <v>9672</v>
      </c>
      <c r="B440" s="94" t="s">
        <v>9671</v>
      </c>
      <c r="C440" s="93" t="s">
        <v>7814</v>
      </c>
      <c r="D440" s="92">
        <v>357.99</v>
      </c>
    </row>
    <row r="441" spans="1:4" s="97" customFormat="1" ht="15" customHeight="1">
      <c r="A441" s="94" t="s">
        <v>9670</v>
      </c>
      <c r="B441" s="94" t="s">
        <v>9669</v>
      </c>
      <c r="C441" s="93" t="s">
        <v>7814</v>
      </c>
      <c r="D441" s="92">
        <v>190.77</v>
      </c>
    </row>
    <row r="442" spans="1:4" s="97" customFormat="1" ht="15" customHeight="1">
      <c r="A442" s="94" t="s">
        <v>9668</v>
      </c>
      <c r="B442" s="94" t="s">
        <v>9667</v>
      </c>
      <c r="C442" s="93" t="s">
        <v>7814</v>
      </c>
      <c r="D442" s="92">
        <v>157.9</v>
      </c>
    </row>
    <row r="443" spans="1:4" s="97" customFormat="1" ht="15" customHeight="1">
      <c r="A443" s="94" t="s">
        <v>9666</v>
      </c>
      <c r="B443" s="94" t="s">
        <v>9665</v>
      </c>
      <c r="C443" s="93" t="s">
        <v>7814</v>
      </c>
      <c r="D443" s="92">
        <v>157.97</v>
      </c>
    </row>
    <row r="444" spans="1:4" s="97" customFormat="1" ht="15" customHeight="1">
      <c r="A444" s="94" t="s">
        <v>9664</v>
      </c>
      <c r="B444" s="94" t="s">
        <v>9663</v>
      </c>
      <c r="C444" s="93" t="s">
        <v>7814</v>
      </c>
      <c r="D444" s="92">
        <v>166.71</v>
      </c>
    </row>
    <row r="445" spans="1:4" s="104" customFormat="1" ht="15" customHeight="1">
      <c r="A445" s="94" t="s">
        <v>9662</v>
      </c>
      <c r="B445" s="94" t="s">
        <v>9661</v>
      </c>
      <c r="C445" s="93" t="s">
        <v>7814</v>
      </c>
      <c r="D445" s="92">
        <v>166.76</v>
      </c>
    </row>
    <row r="446" spans="1:4" s="104" customFormat="1" ht="15" customHeight="1">
      <c r="A446" s="94" t="s">
        <v>9660</v>
      </c>
      <c r="B446" s="94" t="s">
        <v>9659</v>
      </c>
      <c r="C446" s="93" t="s">
        <v>7814</v>
      </c>
      <c r="D446" s="92">
        <v>166.71</v>
      </c>
    </row>
    <row r="447" spans="1:4" s="97" customFormat="1" ht="15" customHeight="1">
      <c r="A447" s="94" t="s">
        <v>9658</v>
      </c>
      <c r="B447" s="94" t="s">
        <v>9657</v>
      </c>
      <c r="C447" s="93" t="s">
        <v>7814</v>
      </c>
      <c r="D447" s="92">
        <v>165.95</v>
      </c>
    </row>
    <row r="448" spans="1:4" s="104" customFormat="1" ht="15" customHeight="1">
      <c r="A448" s="94" t="s">
        <v>9656</v>
      </c>
      <c r="B448" s="94" t="s">
        <v>9655</v>
      </c>
      <c r="C448" s="93" t="s">
        <v>7814</v>
      </c>
      <c r="D448" s="92">
        <v>158.03</v>
      </c>
    </row>
    <row r="449" spans="1:4" s="104" customFormat="1" ht="15" customHeight="1">
      <c r="A449" s="94" t="s">
        <v>9654</v>
      </c>
      <c r="B449" s="94" t="s">
        <v>9653</v>
      </c>
      <c r="C449" s="93" t="s">
        <v>7814</v>
      </c>
      <c r="D449" s="92">
        <v>157.97</v>
      </c>
    </row>
    <row r="450" spans="1:4" s="97" customFormat="1" ht="15" customHeight="1">
      <c r="A450" s="94" t="s">
        <v>9652</v>
      </c>
      <c r="B450" s="94" t="s">
        <v>9651</v>
      </c>
      <c r="C450" s="93" t="s">
        <v>7814</v>
      </c>
      <c r="D450" s="92">
        <v>157.22</v>
      </c>
    </row>
    <row r="451" spans="1:4" s="97" customFormat="1" ht="15" customHeight="1">
      <c r="A451" s="94" t="s">
        <v>9650</v>
      </c>
      <c r="B451" s="94" t="s">
        <v>9649</v>
      </c>
      <c r="C451" s="93" t="s">
        <v>7814</v>
      </c>
      <c r="D451" s="92">
        <v>778.01</v>
      </c>
    </row>
    <row r="452" spans="1:4" s="97" customFormat="1" ht="15" customHeight="1">
      <c r="A452" s="94" t="s">
        <v>9648</v>
      </c>
      <c r="B452" s="94" t="s">
        <v>9647</v>
      </c>
      <c r="C452" s="93" t="s">
        <v>7814</v>
      </c>
      <c r="D452" s="92">
        <v>778.01</v>
      </c>
    </row>
    <row r="453" spans="1:4" s="97" customFormat="1" ht="15" customHeight="1">
      <c r="A453" s="94" t="s">
        <v>9646</v>
      </c>
      <c r="B453" s="94" t="s">
        <v>9645</v>
      </c>
      <c r="C453" s="93" t="s">
        <v>7814</v>
      </c>
      <c r="D453" s="92">
        <v>778.01</v>
      </c>
    </row>
    <row r="454" spans="1:4" s="102" customFormat="1" ht="15" customHeight="1">
      <c r="A454" s="94" t="s">
        <v>9644</v>
      </c>
      <c r="B454" s="94" t="s">
        <v>9643</v>
      </c>
      <c r="C454" s="93" t="s">
        <v>7814</v>
      </c>
      <c r="D454" s="92">
        <v>724.61</v>
      </c>
    </row>
    <row r="455" spans="1:4" s="102" customFormat="1" ht="15" customHeight="1">
      <c r="A455" s="94" t="s">
        <v>9642</v>
      </c>
      <c r="B455" s="94" t="s">
        <v>9641</v>
      </c>
      <c r="C455" s="93" t="s">
        <v>7829</v>
      </c>
      <c r="D455" s="92">
        <v>92.14</v>
      </c>
    </row>
    <row r="456" spans="1:4" s="102" customFormat="1" ht="15" customHeight="1">
      <c r="A456" s="94" t="s">
        <v>9640</v>
      </c>
      <c r="B456" s="94" t="s">
        <v>9639</v>
      </c>
      <c r="C456" s="93" t="s">
        <v>7829</v>
      </c>
      <c r="D456" s="92">
        <v>57.09</v>
      </c>
    </row>
    <row r="457" spans="1:4" s="97" customFormat="1" ht="15" customHeight="1">
      <c r="A457" s="94" t="s">
        <v>9638</v>
      </c>
      <c r="B457" s="94" t="s">
        <v>9637</v>
      </c>
      <c r="C457" s="93" t="s">
        <v>7829</v>
      </c>
      <c r="D457" s="92">
        <v>135.56</v>
      </c>
    </row>
    <row r="458" spans="1:4" s="97" customFormat="1" ht="15" customHeight="1">
      <c r="A458" s="94" t="s">
        <v>9636</v>
      </c>
      <c r="B458" s="94" t="s">
        <v>9635</v>
      </c>
      <c r="C458" s="93" t="s">
        <v>7829</v>
      </c>
      <c r="D458" s="92">
        <v>137.77000000000001</v>
      </c>
    </row>
    <row r="459" spans="1:4" s="97" customFormat="1" ht="15" customHeight="1">
      <c r="A459" s="94" t="s">
        <v>9634</v>
      </c>
      <c r="B459" s="94" t="s">
        <v>9633</v>
      </c>
      <c r="C459" s="93" t="s">
        <v>7829</v>
      </c>
      <c r="D459" s="92">
        <v>175.99</v>
      </c>
    </row>
    <row r="460" spans="1:4" s="102" customFormat="1" ht="15" customHeight="1">
      <c r="A460" s="94" t="s">
        <v>9632</v>
      </c>
      <c r="B460" s="94" t="s">
        <v>9631</v>
      </c>
      <c r="C460" s="93" t="s">
        <v>7829</v>
      </c>
      <c r="D460" s="92">
        <v>175.49</v>
      </c>
    </row>
    <row r="461" spans="1:4" s="102" customFormat="1" ht="15" customHeight="1">
      <c r="A461" s="94" t="s">
        <v>9630</v>
      </c>
      <c r="B461" s="94" t="s">
        <v>9629</v>
      </c>
      <c r="C461" s="93" t="s">
        <v>7829</v>
      </c>
      <c r="D461" s="92">
        <v>179.47</v>
      </c>
    </row>
    <row r="462" spans="1:4" s="102" customFormat="1" ht="15" customHeight="1">
      <c r="A462" s="94" t="s">
        <v>9628</v>
      </c>
      <c r="B462" s="94" t="s">
        <v>9627</v>
      </c>
      <c r="C462" s="93" t="s">
        <v>7829</v>
      </c>
      <c r="D462" s="92">
        <v>34.270000000000003</v>
      </c>
    </row>
    <row r="463" spans="1:4" s="102" customFormat="1" ht="15" customHeight="1">
      <c r="A463" s="94" t="s">
        <v>9626</v>
      </c>
      <c r="B463" s="94" t="s">
        <v>9625</v>
      </c>
      <c r="C463" s="93" t="s">
        <v>7829</v>
      </c>
      <c r="D463" s="92">
        <v>152.72</v>
      </c>
    </row>
    <row r="464" spans="1:4" s="102" customFormat="1" ht="15" customHeight="1">
      <c r="A464" s="94" t="s">
        <v>9624</v>
      </c>
      <c r="B464" s="94" t="s">
        <v>9623</v>
      </c>
      <c r="C464" s="93" t="s">
        <v>7829</v>
      </c>
      <c r="D464" s="92">
        <v>373.75</v>
      </c>
    </row>
    <row r="465" spans="1:4" s="102" customFormat="1" ht="15" customHeight="1">
      <c r="A465" s="94" t="s">
        <v>9622</v>
      </c>
      <c r="B465" s="94" t="s">
        <v>9621</v>
      </c>
      <c r="C465" s="93" t="s">
        <v>7829</v>
      </c>
      <c r="D465" s="92">
        <v>160.22999999999999</v>
      </c>
    </row>
    <row r="466" spans="1:4" s="102" customFormat="1" ht="15" customHeight="1">
      <c r="A466" s="94" t="s">
        <v>9620</v>
      </c>
      <c r="B466" s="94" t="s">
        <v>9619</v>
      </c>
      <c r="C466" s="93" t="s">
        <v>7829</v>
      </c>
      <c r="D466" s="92">
        <v>160.19</v>
      </c>
    </row>
    <row r="467" spans="1:4" s="102" customFormat="1" ht="15" customHeight="1">
      <c r="A467" s="94" t="s">
        <v>9618</v>
      </c>
      <c r="B467" s="94" t="s">
        <v>9617</v>
      </c>
      <c r="C467" s="93" t="s">
        <v>7829</v>
      </c>
      <c r="D467" s="92">
        <v>160.26</v>
      </c>
    </row>
    <row r="468" spans="1:4" s="102" customFormat="1" ht="15" customHeight="1">
      <c r="A468" s="94" t="s">
        <v>9616</v>
      </c>
      <c r="B468" s="94" t="s">
        <v>9615</v>
      </c>
      <c r="C468" s="93" t="s">
        <v>7829</v>
      </c>
      <c r="D468" s="92">
        <v>87.24</v>
      </c>
    </row>
    <row r="469" spans="1:4" s="102" customFormat="1" ht="15" customHeight="1">
      <c r="A469" s="94" t="s">
        <v>9614</v>
      </c>
      <c r="B469" s="94" t="s">
        <v>9613</v>
      </c>
      <c r="C469" s="93" t="s">
        <v>7829</v>
      </c>
      <c r="D469" s="92">
        <v>195.73</v>
      </c>
    </row>
    <row r="470" spans="1:4" s="102" customFormat="1" ht="15" customHeight="1">
      <c r="A470" s="94" t="s">
        <v>9612</v>
      </c>
      <c r="B470" s="94" t="s">
        <v>9611</v>
      </c>
      <c r="C470" s="93" t="s">
        <v>7829</v>
      </c>
      <c r="D470" s="92">
        <v>323</v>
      </c>
    </row>
    <row r="471" spans="1:4" s="102" customFormat="1" ht="15" customHeight="1">
      <c r="A471" s="94" t="s">
        <v>9610</v>
      </c>
      <c r="B471" s="94" t="s">
        <v>9609</v>
      </c>
      <c r="C471" s="93" t="s">
        <v>7829</v>
      </c>
      <c r="D471" s="92">
        <v>197.71</v>
      </c>
    </row>
    <row r="472" spans="1:4" s="102" customFormat="1" ht="15" customHeight="1">
      <c r="A472" s="94" t="s">
        <v>9608</v>
      </c>
      <c r="B472" s="94" t="s">
        <v>9607</v>
      </c>
      <c r="C472" s="93" t="s">
        <v>7829</v>
      </c>
      <c r="D472" s="92">
        <v>152.58000000000001</v>
      </c>
    </row>
    <row r="473" spans="1:4" s="102" customFormat="1" ht="15" customHeight="1">
      <c r="A473" s="94" t="s">
        <v>9606</v>
      </c>
      <c r="B473" s="94" t="s">
        <v>9605</v>
      </c>
      <c r="C473" s="93" t="s">
        <v>7829</v>
      </c>
      <c r="D473" s="92">
        <v>161.41999999999999</v>
      </c>
    </row>
    <row r="474" spans="1:4" s="102" customFormat="1" ht="15" customHeight="1">
      <c r="A474" s="94" t="s">
        <v>9604</v>
      </c>
      <c r="B474" s="94" t="s">
        <v>9603</v>
      </c>
      <c r="C474" s="93" t="s">
        <v>7829</v>
      </c>
      <c r="D474" s="92">
        <v>168.85</v>
      </c>
    </row>
    <row r="475" spans="1:4" s="102" customFormat="1" ht="15" customHeight="1">
      <c r="A475" s="94" t="s">
        <v>9602</v>
      </c>
      <c r="B475" s="94" t="s">
        <v>9601</v>
      </c>
      <c r="C475" s="93" t="s">
        <v>7829</v>
      </c>
      <c r="D475" s="92">
        <v>152.03</v>
      </c>
    </row>
    <row r="476" spans="1:4" s="102" customFormat="1" ht="15" customHeight="1">
      <c r="A476" s="94" t="s">
        <v>9600</v>
      </c>
      <c r="B476" s="94" t="s">
        <v>9599</v>
      </c>
      <c r="C476" s="93" t="s">
        <v>7829</v>
      </c>
      <c r="D476" s="92">
        <v>152.19</v>
      </c>
    </row>
    <row r="477" spans="1:4" s="102" customFormat="1" ht="15" customHeight="1">
      <c r="A477" s="94" t="s">
        <v>9598</v>
      </c>
      <c r="B477" s="94" t="s">
        <v>9597</v>
      </c>
      <c r="C477" s="93" t="s">
        <v>7829</v>
      </c>
      <c r="D477" s="92">
        <v>150.11000000000001</v>
      </c>
    </row>
    <row r="478" spans="1:4" s="102" customFormat="1" ht="15" customHeight="1">
      <c r="A478" s="94" t="s">
        <v>9596</v>
      </c>
      <c r="B478" s="94" t="s">
        <v>9595</v>
      </c>
      <c r="C478" s="93" t="s">
        <v>7829</v>
      </c>
      <c r="D478" s="92">
        <v>150.11000000000001</v>
      </c>
    </row>
    <row r="479" spans="1:4" s="102" customFormat="1" ht="15" customHeight="1">
      <c r="A479" s="94" t="s">
        <v>9594</v>
      </c>
      <c r="B479" s="94" t="s">
        <v>9593</v>
      </c>
      <c r="C479" s="93" t="s">
        <v>7829</v>
      </c>
      <c r="D479" s="92">
        <v>150.16999999999999</v>
      </c>
    </row>
    <row r="480" spans="1:4" s="102" customFormat="1" ht="15" customHeight="1">
      <c r="A480" s="94" t="s">
        <v>9592</v>
      </c>
      <c r="B480" s="94" t="s">
        <v>9591</v>
      </c>
      <c r="C480" s="93" t="s">
        <v>7829</v>
      </c>
      <c r="D480" s="92">
        <v>158.88</v>
      </c>
    </row>
    <row r="481" spans="1:4" s="102" customFormat="1" ht="15" customHeight="1">
      <c r="A481" s="94" t="s">
        <v>9590</v>
      </c>
      <c r="B481" s="94" t="s">
        <v>9589</v>
      </c>
      <c r="C481" s="93" t="s">
        <v>7829</v>
      </c>
      <c r="D481" s="92">
        <v>158.88</v>
      </c>
    </row>
    <row r="482" spans="1:4" s="102" customFormat="1" ht="15" customHeight="1">
      <c r="A482" s="94" t="s">
        <v>9588</v>
      </c>
      <c r="B482" s="94" t="s">
        <v>9587</v>
      </c>
      <c r="C482" s="93" t="s">
        <v>7829</v>
      </c>
      <c r="D482" s="92">
        <v>172.28</v>
      </c>
    </row>
    <row r="483" spans="1:4" s="102" customFormat="1" ht="15" customHeight="1">
      <c r="A483" s="94" t="s">
        <v>9586</v>
      </c>
      <c r="B483" s="94" t="s">
        <v>9585</v>
      </c>
      <c r="C483" s="93" t="s">
        <v>7829</v>
      </c>
      <c r="D483" s="92">
        <v>172.28</v>
      </c>
    </row>
    <row r="484" spans="1:4" s="102" customFormat="1" ht="15" customHeight="1">
      <c r="A484" s="94" t="s">
        <v>9584</v>
      </c>
      <c r="B484" s="94" t="s">
        <v>9583</v>
      </c>
      <c r="C484" s="93" t="s">
        <v>7829</v>
      </c>
      <c r="D484" s="92">
        <v>172.28</v>
      </c>
    </row>
    <row r="485" spans="1:4" s="102" customFormat="1" ht="15" customHeight="1">
      <c r="A485" s="94" t="s">
        <v>9582</v>
      </c>
      <c r="B485" s="94" t="s">
        <v>9581</v>
      </c>
      <c r="C485" s="93" t="s">
        <v>7829</v>
      </c>
      <c r="D485" s="92">
        <v>172.36</v>
      </c>
    </row>
    <row r="486" spans="1:4" s="102" customFormat="1" ht="15" customHeight="1">
      <c r="A486" s="94" t="s">
        <v>9580</v>
      </c>
      <c r="B486" s="94" t="s">
        <v>9579</v>
      </c>
      <c r="C486" s="93" t="s">
        <v>7829</v>
      </c>
      <c r="D486" s="92">
        <v>179.44</v>
      </c>
    </row>
    <row r="487" spans="1:4" s="97" customFormat="1" ht="15" customHeight="1">
      <c r="A487" s="94" t="s">
        <v>9578</v>
      </c>
      <c r="B487" s="94" t="s">
        <v>9577</v>
      </c>
      <c r="C487" s="93" t="s">
        <v>7829</v>
      </c>
      <c r="D487" s="92">
        <v>179.44</v>
      </c>
    </row>
    <row r="488" spans="1:4" s="103" customFormat="1" ht="15" customHeight="1">
      <c r="A488" s="94" t="s">
        <v>9576</v>
      </c>
      <c r="B488" s="94" t="s">
        <v>9575</v>
      </c>
      <c r="C488" s="93" t="s">
        <v>7829</v>
      </c>
      <c r="D488" s="92">
        <v>120.17</v>
      </c>
    </row>
    <row r="489" spans="1:4" s="103" customFormat="1" ht="15" customHeight="1">
      <c r="A489" s="94" t="s">
        <v>9574</v>
      </c>
      <c r="B489" s="94" t="s">
        <v>9573</v>
      </c>
      <c r="C489" s="93" t="s">
        <v>7829</v>
      </c>
      <c r="D489" s="92">
        <v>66.650000000000006</v>
      </c>
    </row>
    <row r="490" spans="1:4" s="103" customFormat="1" ht="15" customHeight="1">
      <c r="A490" s="94" t="s">
        <v>9572</v>
      </c>
      <c r="B490" s="94" t="s">
        <v>9571</v>
      </c>
      <c r="C490" s="93" t="s">
        <v>7829</v>
      </c>
      <c r="D490" s="92">
        <v>18.57</v>
      </c>
    </row>
    <row r="491" spans="1:4" s="103" customFormat="1" ht="15" customHeight="1">
      <c r="A491" s="94" t="s">
        <v>9570</v>
      </c>
      <c r="B491" s="94" t="s">
        <v>9569</v>
      </c>
      <c r="C491" s="93" t="s">
        <v>7829</v>
      </c>
      <c r="D491" s="92">
        <v>22.82</v>
      </c>
    </row>
    <row r="492" spans="1:4" s="103" customFormat="1" ht="15" customHeight="1">
      <c r="A492" s="98" t="s">
        <v>9568</v>
      </c>
      <c r="B492" s="94" t="s">
        <v>9567</v>
      </c>
      <c r="C492" s="93" t="s">
        <v>7814</v>
      </c>
      <c r="D492" s="92">
        <v>13.46</v>
      </c>
    </row>
    <row r="493" spans="1:4" s="97" customFormat="1" ht="15" customHeight="1">
      <c r="A493" s="94" t="s">
        <v>9566</v>
      </c>
      <c r="B493" s="94" t="s">
        <v>9565</v>
      </c>
      <c r="C493" s="93" t="s">
        <v>7829</v>
      </c>
      <c r="D493" s="92">
        <v>7.67</v>
      </c>
    </row>
    <row r="494" spans="1:4" s="103" customFormat="1" ht="15" customHeight="1">
      <c r="A494" s="94" t="s">
        <v>9564</v>
      </c>
      <c r="B494" s="94" t="s">
        <v>9563</v>
      </c>
      <c r="C494" s="93" t="s">
        <v>7829</v>
      </c>
      <c r="D494" s="92">
        <v>11.8</v>
      </c>
    </row>
    <row r="495" spans="1:4" s="103" customFormat="1" ht="15" customHeight="1">
      <c r="A495" s="94" t="s">
        <v>9562</v>
      </c>
      <c r="B495" s="94" t="s">
        <v>9561</v>
      </c>
      <c r="C495" s="93" t="s">
        <v>7829</v>
      </c>
      <c r="D495" s="92">
        <v>19.940000000000001</v>
      </c>
    </row>
    <row r="496" spans="1:4" s="103" customFormat="1" ht="15" customHeight="1">
      <c r="A496" s="94" t="s">
        <v>9560</v>
      </c>
      <c r="B496" s="94" t="s">
        <v>9559</v>
      </c>
      <c r="C496" s="93" t="s">
        <v>7829</v>
      </c>
      <c r="D496" s="92">
        <v>10.63</v>
      </c>
    </row>
    <row r="497" spans="1:4" s="103" customFormat="1" ht="15" customHeight="1">
      <c r="A497" s="94" t="s">
        <v>9558</v>
      </c>
      <c r="B497" s="94" t="s">
        <v>9557</v>
      </c>
      <c r="C497" s="93" t="s">
        <v>7829</v>
      </c>
      <c r="D497" s="92">
        <v>23.87</v>
      </c>
    </row>
    <row r="498" spans="1:4" s="97" customFormat="1" ht="15" customHeight="1">
      <c r="A498" s="94" t="s">
        <v>9556</v>
      </c>
      <c r="B498" s="94" t="s">
        <v>9555</v>
      </c>
      <c r="C498" s="93" t="s">
        <v>7829</v>
      </c>
      <c r="D498" s="92">
        <v>12.81</v>
      </c>
    </row>
    <row r="499" spans="1:4" s="97" customFormat="1" ht="15" customHeight="1">
      <c r="A499" s="94" t="s">
        <v>9554</v>
      </c>
      <c r="B499" s="94" t="s">
        <v>9553</v>
      </c>
      <c r="C499" s="93" t="s">
        <v>7829</v>
      </c>
      <c r="D499" s="92">
        <v>83.09</v>
      </c>
    </row>
    <row r="500" spans="1:4" s="103" customFormat="1" ht="15" customHeight="1">
      <c r="A500" s="94" t="s">
        <v>9552</v>
      </c>
      <c r="B500" s="94" t="s">
        <v>9551</v>
      </c>
      <c r="C500" s="93" t="s">
        <v>7829</v>
      </c>
      <c r="D500" s="92">
        <v>120.27</v>
      </c>
    </row>
    <row r="501" spans="1:4" s="102" customFormat="1" ht="15" customHeight="1">
      <c r="A501" s="94" t="s">
        <v>9550</v>
      </c>
      <c r="B501" s="94" t="s">
        <v>9549</v>
      </c>
      <c r="C501" s="93" t="s">
        <v>7829</v>
      </c>
      <c r="D501" s="92">
        <v>90.42</v>
      </c>
    </row>
    <row r="502" spans="1:4" s="103" customFormat="1" ht="15" customHeight="1">
      <c r="A502" s="94" t="s">
        <v>9548</v>
      </c>
      <c r="B502" s="94" t="s">
        <v>9547</v>
      </c>
      <c r="C502" s="93" t="s">
        <v>7829</v>
      </c>
      <c r="D502" s="92">
        <v>90.42</v>
      </c>
    </row>
    <row r="503" spans="1:4" s="103" customFormat="1" ht="15" customHeight="1">
      <c r="A503" s="94" t="s">
        <v>9546</v>
      </c>
      <c r="B503" s="94" t="s">
        <v>9545</v>
      </c>
      <c r="C503" s="93" t="s">
        <v>7829</v>
      </c>
      <c r="D503" s="92">
        <v>94.5</v>
      </c>
    </row>
    <row r="504" spans="1:4" s="103" customFormat="1" ht="15" customHeight="1">
      <c r="A504" s="94" t="s">
        <v>9544</v>
      </c>
      <c r="B504" s="94" t="s">
        <v>9543</v>
      </c>
      <c r="C504" s="93" t="s">
        <v>7829</v>
      </c>
      <c r="D504" s="92">
        <v>91.73</v>
      </c>
    </row>
    <row r="505" spans="1:4" s="97" customFormat="1" ht="15" customHeight="1">
      <c r="A505" s="94" t="s">
        <v>9542</v>
      </c>
      <c r="B505" s="94" t="s">
        <v>9541</v>
      </c>
      <c r="C505" s="93" t="s">
        <v>7829</v>
      </c>
      <c r="D505" s="92">
        <v>144.44999999999999</v>
      </c>
    </row>
    <row r="506" spans="1:4" s="97" customFormat="1" ht="15" customHeight="1">
      <c r="A506" s="94" t="s">
        <v>9540</v>
      </c>
      <c r="B506" s="94" t="s">
        <v>9539</v>
      </c>
      <c r="C506" s="93" t="s">
        <v>7829</v>
      </c>
      <c r="D506" s="92">
        <v>151.18</v>
      </c>
    </row>
    <row r="507" spans="1:4" s="97" customFormat="1" ht="15" customHeight="1">
      <c r="A507" s="94" t="s">
        <v>9538</v>
      </c>
      <c r="B507" s="94" t="s">
        <v>9537</v>
      </c>
      <c r="C507" s="93" t="s">
        <v>7829</v>
      </c>
      <c r="D507" s="92">
        <v>144.41999999999999</v>
      </c>
    </row>
    <row r="508" spans="1:4" s="97" customFormat="1" ht="15" customHeight="1">
      <c r="A508" s="94" t="s">
        <v>9536</v>
      </c>
      <c r="B508" s="94" t="s">
        <v>9535</v>
      </c>
      <c r="C508" s="93" t="s">
        <v>7829</v>
      </c>
      <c r="D508" s="92">
        <v>144.80000000000001</v>
      </c>
    </row>
    <row r="509" spans="1:4" s="97" customFormat="1" ht="15" customHeight="1">
      <c r="A509" s="94" t="s">
        <v>9534</v>
      </c>
      <c r="B509" s="94" t="s">
        <v>9533</v>
      </c>
      <c r="C509" s="93" t="s">
        <v>7829</v>
      </c>
      <c r="D509" s="92">
        <v>151.18</v>
      </c>
    </row>
    <row r="510" spans="1:4" s="97" customFormat="1" ht="15" customHeight="1">
      <c r="A510" s="94" t="s">
        <v>9532</v>
      </c>
      <c r="B510" s="94" t="s">
        <v>9531</v>
      </c>
      <c r="C510" s="93" t="s">
        <v>7829</v>
      </c>
      <c r="D510" s="92">
        <v>144.47999999999999</v>
      </c>
    </row>
    <row r="511" spans="1:4" s="97" customFormat="1" ht="15" customHeight="1">
      <c r="A511" s="94" t="s">
        <v>9530</v>
      </c>
      <c r="B511" s="94" t="s">
        <v>9529</v>
      </c>
      <c r="C511" s="93" t="s">
        <v>7829</v>
      </c>
      <c r="D511" s="92">
        <v>144.57</v>
      </c>
    </row>
    <row r="512" spans="1:4" s="102" customFormat="1" ht="15" customHeight="1">
      <c r="A512" s="94" t="s">
        <v>9528</v>
      </c>
      <c r="B512" s="94" t="s">
        <v>9527</v>
      </c>
      <c r="C512" s="93" t="s">
        <v>7814</v>
      </c>
      <c r="D512" s="92">
        <v>243.81</v>
      </c>
    </row>
    <row r="513" spans="1:4" s="102" customFormat="1" ht="15" customHeight="1">
      <c r="A513" s="94" t="s">
        <v>9526</v>
      </c>
      <c r="B513" s="94" t="s">
        <v>9525</v>
      </c>
      <c r="C513" s="93" t="s">
        <v>7814</v>
      </c>
      <c r="D513" s="92">
        <v>282.39</v>
      </c>
    </row>
    <row r="514" spans="1:4" s="102" customFormat="1" ht="15" customHeight="1">
      <c r="A514" s="94" t="s">
        <v>9524</v>
      </c>
      <c r="B514" s="94" t="s">
        <v>9523</v>
      </c>
      <c r="C514" s="93" t="s">
        <v>7814</v>
      </c>
      <c r="D514" s="92">
        <v>284.13</v>
      </c>
    </row>
    <row r="515" spans="1:4" s="102" customFormat="1" ht="15" customHeight="1">
      <c r="A515" s="94" t="s">
        <v>9522</v>
      </c>
      <c r="B515" s="94" t="s">
        <v>9521</v>
      </c>
      <c r="C515" s="93" t="s">
        <v>7814</v>
      </c>
      <c r="D515" s="92">
        <v>282.39</v>
      </c>
    </row>
    <row r="516" spans="1:4" s="102" customFormat="1" ht="15" customHeight="1">
      <c r="A516" s="94" t="s">
        <v>9520</v>
      </c>
      <c r="B516" s="94" t="s">
        <v>9519</v>
      </c>
      <c r="C516" s="93" t="s">
        <v>7814</v>
      </c>
      <c r="D516" s="92">
        <v>232.65</v>
      </c>
    </row>
    <row r="517" spans="1:4" s="102" customFormat="1" ht="15" customHeight="1">
      <c r="A517" s="94" t="s">
        <v>9518</v>
      </c>
      <c r="B517" s="94" t="s">
        <v>9517</v>
      </c>
      <c r="C517" s="93" t="s">
        <v>7814</v>
      </c>
      <c r="D517" s="92">
        <v>223.8</v>
      </c>
    </row>
    <row r="518" spans="1:4" s="102" customFormat="1" ht="15" customHeight="1">
      <c r="A518" s="94" t="s">
        <v>9516</v>
      </c>
      <c r="B518" s="94" t="s">
        <v>9515</v>
      </c>
      <c r="C518" s="93" t="s">
        <v>7814</v>
      </c>
      <c r="D518" s="92">
        <v>222.9</v>
      </c>
    </row>
    <row r="519" spans="1:4" s="102" customFormat="1" ht="15" customHeight="1">
      <c r="A519" s="94" t="s">
        <v>9514</v>
      </c>
      <c r="B519" s="94" t="s">
        <v>9513</v>
      </c>
      <c r="C519" s="93" t="s">
        <v>7814</v>
      </c>
      <c r="D519" s="92">
        <v>214.02</v>
      </c>
    </row>
    <row r="520" spans="1:4" s="102" customFormat="1" ht="15" customHeight="1">
      <c r="A520" s="94" t="s">
        <v>9512</v>
      </c>
      <c r="B520" s="94" t="s">
        <v>9511</v>
      </c>
      <c r="C520" s="93" t="s">
        <v>7814</v>
      </c>
      <c r="D520" s="92">
        <v>227.71</v>
      </c>
    </row>
    <row r="521" spans="1:4" s="102" customFormat="1" ht="15" customHeight="1">
      <c r="A521" s="94" t="s">
        <v>9510</v>
      </c>
      <c r="B521" s="94" t="s">
        <v>9509</v>
      </c>
      <c r="C521" s="93" t="s">
        <v>7814</v>
      </c>
      <c r="D521" s="92">
        <v>1570.45</v>
      </c>
    </row>
    <row r="522" spans="1:4" s="102" customFormat="1" ht="15" customHeight="1">
      <c r="A522" s="94" t="s">
        <v>9508</v>
      </c>
      <c r="B522" s="94" t="s">
        <v>9507</v>
      </c>
      <c r="C522" s="93" t="s">
        <v>7814</v>
      </c>
      <c r="D522" s="92">
        <v>1491.39</v>
      </c>
    </row>
    <row r="523" spans="1:4" s="102" customFormat="1" ht="15" customHeight="1">
      <c r="A523" s="94" t="s">
        <v>9506</v>
      </c>
      <c r="B523" s="94" t="s">
        <v>9505</v>
      </c>
      <c r="C523" s="93" t="s">
        <v>7814</v>
      </c>
      <c r="D523" s="92">
        <v>1613.59</v>
      </c>
    </row>
    <row r="524" spans="1:4" s="102" customFormat="1" ht="15" customHeight="1">
      <c r="A524" s="94" t="s">
        <v>9504</v>
      </c>
      <c r="B524" s="94" t="s">
        <v>9503</v>
      </c>
      <c r="C524" s="93" t="s">
        <v>7814</v>
      </c>
      <c r="D524" s="92">
        <v>698.73</v>
      </c>
    </row>
    <row r="525" spans="1:4" s="102" customFormat="1" ht="15" customHeight="1">
      <c r="A525" s="94" t="s">
        <v>9502</v>
      </c>
      <c r="B525" s="94" t="s">
        <v>9501</v>
      </c>
      <c r="C525" s="93" t="s">
        <v>7814</v>
      </c>
      <c r="D525" s="92">
        <v>2317.11</v>
      </c>
    </row>
    <row r="526" spans="1:4" s="97" customFormat="1" ht="15" customHeight="1">
      <c r="A526" s="94" t="s">
        <v>9500</v>
      </c>
      <c r="B526" s="94" t="s">
        <v>9499</v>
      </c>
      <c r="C526" s="93" t="s">
        <v>7814</v>
      </c>
      <c r="D526" s="92">
        <v>415.17</v>
      </c>
    </row>
    <row r="527" spans="1:4" s="102" customFormat="1" ht="15" customHeight="1">
      <c r="A527" s="94" t="s">
        <v>9498</v>
      </c>
      <c r="B527" s="94" t="s">
        <v>9497</v>
      </c>
      <c r="C527" s="93" t="s">
        <v>7829</v>
      </c>
      <c r="D527" s="92">
        <v>326.64</v>
      </c>
    </row>
    <row r="528" spans="1:4" s="97" customFormat="1" ht="15" customHeight="1">
      <c r="A528" s="94" t="s">
        <v>9496</v>
      </c>
      <c r="B528" s="94" t="s">
        <v>9495</v>
      </c>
      <c r="C528" s="93" t="s">
        <v>7829</v>
      </c>
      <c r="D528" s="92">
        <v>96.26</v>
      </c>
    </row>
    <row r="529" spans="1:4" s="97" customFormat="1" ht="15" customHeight="1">
      <c r="A529" s="94" t="s">
        <v>9494</v>
      </c>
      <c r="B529" s="94" t="s">
        <v>9493</v>
      </c>
      <c r="C529" s="93" t="s">
        <v>7829</v>
      </c>
      <c r="D529" s="92">
        <v>79.22</v>
      </c>
    </row>
    <row r="530" spans="1:4" s="97" customFormat="1" ht="15" customHeight="1">
      <c r="A530" s="94" t="s">
        <v>9492</v>
      </c>
      <c r="B530" s="94" t="s">
        <v>9491</v>
      </c>
      <c r="C530" s="93" t="s">
        <v>7829</v>
      </c>
      <c r="D530" s="92">
        <v>91.73</v>
      </c>
    </row>
    <row r="531" spans="1:4" s="97" customFormat="1" ht="15" customHeight="1">
      <c r="A531" s="94" t="s">
        <v>9490</v>
      </c>
      <c r="B531" s="94" t="s">
        <v>9489</v>
      </c>
      <c r="C531" s="93" t="s">
        <v>7814</v>
      </c>
      <c r="D531" s="92">
        <v>251.38</v>
      </c>
    </row>
    <row r="532" spans="1:4" s="97" customFormat="1" ht="15" customHeight="1">
      <c r="A532" s="94" t="s">
        <v>9488</v>
      </c>
      <c r="B532" s="94" t="s">
        <v>9487</v>
      </c>
      <c r="C532" s="93" t="s">
        <v>7814</v>
      </c>
      <c r="D532" s="92">
        <v>347.96</v>
      </c>
    </row>
    <row r="533" spans="1:4" s="97" customFormat="1" ht="15" customHeight="1">
      <c r="A533" s="94" t="s">
        <v>9486</v>
      </c>
      <c r="B533" s="94" t="s">
        <v>9485</v>
      </c>
      <c r="C533" s="93" t="s">
        <v>7814</v>
      </c>
      <c r="D533" s="92">
        <v>347.98</v>
      </c>
    </row>
    <row r="534" spans="1:4" s="97" customFormat="1" ht="15" customHeight="1">
      <c r="A534" s="94" t="s">
        <v>9484</v>
      </c>
      <c r="B534" s="94" t="s">
        <v>9483</v>
      </c>
      <c r="C534" s="93" t="s">
        <v>7814</v>
      </c>
      <c r="D534" s="92">
        <v>347.96</v>
      </c>
    </row>
    <row r="535" spans="1:4" s="97" customFormat="1" ht="15" customHeight="1">
      <c r="A535" s="94" t="s">
        <v>9482</v>
      </c>
      <c r="B535" s="94" t="s">
        <v>9481</v>
      </c>
      <c r="C535" s="93" t="s">
        <v>7814</v>
      </c>
      <c r="D535" s="92">
        <v>348.02</v>
      </c>
    </row>
    <row r="536" spans="1:4" s="97" customFormat="1" ht="15" customHeight="1">
      <c r="A536" s="94" t="s">
        <v>9480</v>
      </c>
      <c r="B536" s="94" t="s">
        <v>9479</v>
      </c>
      <c r="C536" s="93" t="s">
        <v>7814</v>
      </c>
      <c r="D536" s="92">
        <v>375.71</v>
      </c>
    </row>
    <row r="537" spans="1:4" s="97" customFormat="1" ht="15" customHeight="1">
      <c r="A537" s="94" t="s">
        <v>9478</v>
      </c>
      <c r="B537" s="94" t="s">
        <v>9477</v>
      </c>
      <c r="C537" s="93" t="s">
        <v>7814</v>
      </c>
      <c r="D537" s="92">
        <v>869.36</v>
      </c>
    </row>
    <row r="538" spans="1:4" s="97" customFormat="1" ht="15" customHeight="1">
      <c r="A538" s="94" t="s">
        <v>9476</v>
      </c>
      <c r="B538" s="94" t="s">
        <v>9475</v>
      </c>
      <c r="C538" s="93" t="s">
        <v>7814</v>
      </c>
      <c r="D538" s="92">
        <v>869.36</v>
      </c>
    </row>
    <row r="539" spans="1:4" s="97" customFormat="1" ht="15" customHeight="1">
      <c r="A539" s="94" t="s">
        <v>9474</v>
      </c>
      <c r="B539" s="94" t="s">
        <v>9473</v>
      </c>
      <c r="C539" s="93" t="s">
        <v>7814</v>
      </c>
      <c r="D539" s="92">
        <v>869.36</v>
      </c>
    </row>
    <row r="540" spans="1:4" s="97" customFormat="1" ht="15" customHeight="1">
      <c r="A540" s="94" t="s">
        <v>9472</v>
      </c>
      <c r="B540" s="94" t="s">
        <v>9471</v>
      </c>
      <c r="C540" s="93" t="s">
        <v>7814</v>
      </c>
      <c r="D540" s="92">
        <v>869.4</v>
      </c>
    </row>
    <row r="541" spans="1:4" s="97" customFormat="1" ht="15" customHeight="1">
      <c r="A541" s="94" t="s">
        <v>9470</v>
      </c>
      <c r="B541" s="94" t="s">
        <v>9469</v>
      </c>
      <c r="C541" s="93" t="s">
        <v>7814</v>
      </c>
      <c r="D541" s="92">
        <v>869.37</v>
      </c>
    </row>
    <row r="542" spans="1:4" s="97" customFormat="1" ht="15" customHeight="1">
      <c r="A542" s="94" t="s">
        <v>9468</v>
      </c>
      <c r="B542" s="94" t="s">
        <v>9467</v>
      </c>
      <c r="C542" s="93" t="s">
        <v>7814</v>
      </c>
      <c r="D542" s="92">
        <v>869.36</v>
      </c>
    </row>
    <row r="543" spans="1:4" s="97" customFormat="1" ht="15" customHeight="1">
      <c r="A543" s="94" t="s">
        <v>9466</v>
      </c>
      <c r="B543" s="94" t="s">
        <v>9465</v>
      </c>
      <c r="C543" s="93" t="s">
        <v>7814</v>
      </c>
      <c r="D543" s="92">
        <v>869.41</v>
      </c>
    </row>
    <row r="544" spans="1:4" s="97" customFormat="1" ht="15" customHeight="1">
      <c r="A544" s="94" t="s">
        <v>9464</v>
      </c>
      <c r="B544" s="94" t="s">
        <v>9463</v>
      </c>
      <c r="C544" s="93" t="s">
        <v>7814</v>
      </c>
      <c r="D544" s="92">
        <v>869.36</v>
      </c>
    </row>
    <row r="545" spans="1:4" s="97" customFormat="1" ht="15" customHeight="1">
      <c r="A545" s="94" t="s">
        <v>9462</v>
      </c>
      <c r="B545" s="94" t="s">
        <v>9461</v>
      </c>
      <c r="C545" s="93" t="s">
        <v>7814</v>
      </c>
      <c r="D545" s="92">
        <v>869.4</v>
      </c>
    </row>
    <row r="546" spans="1:4" s="97" customFormat="1" ht="15" customHeight="1">
      <c r="A546" s="94" t="s">
        <v>9460</v>
      </c>
      <c r="B546" s="94" t="s">
        <v>9459</v>
      </c>
      <c r="C546" s="93" t="s">
        <v>7814</v>
      </c>
      <c r="D546" s="92">
        <v>869.41</v>
      </c>
    </row>
    <row r="547" spans="1:4" s="97" customFormat="1" ht="15" customHeight="1">
      <c r="A547" s="94" t="s">
        <v>9458</v>
      </c>
      <c r="B547" s="94" t="s">
        <v>9457</v>
      </c>
      <c r="C547" s="93" t="s">
        <v>7829</v>
      </c>
      <c r="D547" s="92">
        <v>46.66</v>
      </c>
    </row>
    <row r="548" spans="1:4" s="97" customFormat="1" ht="15" customHeight="1">
      <c r="A548" s="94" t="s">
        <v>9456</v>
      </c>
      <c r="B548" s="94" t="s">
        <v>9455</v>
      </c>
      <c r="C548" s="93" t="s">
        <v>7814</v>
      </c>
      <c r="D548" s="92">
        <v>331.65</v>
      </c>
    </row>
    <row r="549" spans="1:4" s="97" customFormat="1" ht="15" customHeight="1">
      <c r="A549" s="94" t="s">
        <v>9454</v>
      </c>
      <c r="B549" s="94" t="s">
        <v>9453</v>
      </c>
      <c r="C549" s="93" t="s">
        <v>7814</v>
      </c>
      <c r="D549" s="92">
        <v>331.65</v>
      </c>
    </row>
    <row r="550" spans="1:4" s="97" customFormat="1" ht="15" customHeight="1">
      <c r="A550" s="94" t="s">
        <v>9452</v>
      </c>
      <c r="B550" s="94" t="s">
        <v>9451</v>
      </c>
      <c r="C550" s="93" t="s">
        <v>7814</v>
      </c>
      <c r="D550" s="92">
        <v>331.65</v>
      </c>
    </row>
    <row r="551" spans="1:4" s="97" customFormat="1" ht="15" customHeight="1">
      <c r="A551" s="94" t="s">
        <v>9450</v>
      </c>
      <c r="B551" s="94" t="s">
        <v>9449</v>
      </c>
      <c r="C551" s="93" t="s">
        <v>7814</v>
      </c>
      <c r="D551" s="92">
        <v>331.69</v>
      </c>
    </row>
    <row r="552" spans="1:4" s="97" customFormat="1" ht="15" customHeight="1">
      <c r="A552" s="94" t="s">
        <v>9448</v>
      </c>
      <c r="B552" s="94" t="s">
        <v>9447</v>
      </c>
      <c r="C552" s="93" t="s">
        <v>7814</v>
      </c>
      <c r="D552" s="92">
        <v>817.33</v>
      </c>
    </row>
    <row r="553" spans="1:4" s="97" customFormat="1" ht="15" customHeight="1">
      <c r="A553" s="94" t="s">
        <v>9446</v>
      </c>
      <c r="B553" s="94" t="s">
        <v>9445</v>
      </c>
      <c r="C553" s="93" t="s">
        <v>7814</v>
      </c>
      <c r="D553" s="92">
        <v>817.37</v>
      </c>
    </row>
    <row r="554" spans="1:4" s="97" customFormat="1" ht="15" customHeight="1">
      <c r="A554" s="94" t="s">
        <v>9444</v>
      </c>
      <c r="B554" s="94" t="s">
        <v>9443</v>
      </c>
      <c r="C554" s="93" t="s">
        <v>7814</v>
      </c>
      <c r="D554" s="92">
        <v>817.33</v>
      </c>
    </row>
    <row r="555" spans="1:4" s="97" customFormat="1" ht="15" customHeight="1">
      <c r="A555" s="94" t="s">
        <v>9442</v>
      </c>
      <c r="B555" s="94" t="s">
        <v>9441</v>
      </c>
      <c r="C555" s="93" t="s">
        <v>7829</v>
      </c>
      <c r="D555" s="92">
        <v>82.53</v>
      </c>
    </row>
    <row r="556" spans="1:4" s="97" customFormat="1" ht="15" customHeight="1">
      <c r="A556" s="94" t="s">
        <v>9440</v>
      </c>
      <c r="B556" s="94" t="s">
        <v>9439</v>
      </c>
      <c r="C556" s="93" t="s">
        <v>7829</v>
      </c>
      <c r="D556" s="92">
        <v>59.03</v>
      </c>
    </row>
    <row r="557" spans="1:4" s="97" customFormat="1" ht="15" customHeight="1">
      <c r="A557" s="94" t="s">
        <v>9438</v>
      </c>
      <c r="B557" s="94" t="s">
        <v>9437</v>
      </c>
      <c r="C557" s="93" t="s">
        <v>7829</v>
      </c>
      <c r="D557" s="92">
        <v>92.43</v>
      </c>
    </row>
    <row r="558" spans="1:4" s="97" customFormat="1" ht="15" customHeight="1">
      <c r="A558" s="94" t="s">
        <v>9436</v>
      </c>
      <c r="B558" s="94" t="s">
        <v>9435</v>
      </c>
      <c r="C558" s="93" t="s">
        <v>7829</v>
      </c>
      <c r="D558" s="92">
        <v>91.73</v>
      </c>
    </row>
    <row r="559" spans="1:4" s="97" customFormat="1" ht="15" customHeight="1">
      <c r="A559" s="94" t="s">
        <v>9434</v>
      </c>
      <c r="B559" s="94" t="s">
        <v>9433</v>
      </c>
      <c r="C559" s="93" t="s">
        <v>7829</v>
      </c>
      <c r="D559" s="92">
        <v>88.66</v>
      </c>
    </row>
    <row r="560" spans="1:4" s="97" customFormat="1" ht="15" customHeight="1">
      <c r="A560" s="94" t="s">
        <v>9432</v>
      </c>
      <c r="B560" s="94" t="s">
        <v>9431</v>
      </c>
      <c r="C560" s="93" t="s">
        <v>7829</v>
      </c>
      <c r="D560" s="92">
        <v>59.03</v>
      </c>
    </row>
    <row r="561" spans="1:4" s="97" customFormat="1" ht="15" customHeight="1">
      <c r="A561" s="94" t="s">
        <v>9430</v>
      </c>
      <c r="B561" s="94" t="s">
        <v>9429</v>
      </c>
      <c r="C561" s="93" t="s">
        <v>7829</v>
      </c>
      <c r="D561" s="92">
        <v>92.78</v>
      </c>
    </row>
    <row r="562" spans="1:4" s="97" customFormat="1" ht="15" customHeight="1">
      <c r="A562" s="94" t="s">
        <v>9428</v>
      </c>
      <c r="B562" s="94" t="s">
        <v>9427</v>
      </c>
      <c r="C562" s="93" t="s">
        <v>7829</v>
      </c>
      <c r="D562" s="92">
        <v>59.09</v>
      </c>
    </row>
    <row r="563" spans="1:4" s="97" customFormat="1" ht="15" customHeight="1">
      <c r="A563" s="94" t="s">
        <v>9426</v>
      </c>
      <c r="B563" s="94" t="s">
        <v>9425</v>
      </c>
      <c r="C563" s="93" t="s">
        <v>7829</v>
      </c>
      <c r="D563" s="92">
        <v>59.09</v>
      </c>
    </row>
    <row r="564" spans="1:4" s="97" customFormat="1" ht="15" customHeight="1">
      <c r="A564" s="94" t="s">
        <v>9424</v>
      </c>
      <c r="B564" s="94" t="s">
        <v>9423</v>
      </c>
      <c r="C564" s="93" t="s">
        <v>7829</v>
      </c>
      <c r="D564" s="92">
        <v>68.23</v>
      </c>
    </row>
    <row r="565" spans="1:4" s="97" customFormat="1" ht="15" customHeight="1">
      <c r="A565" s="94" t="s">
        <v>9422</v>
      </c>
      <c r="B565" s="94" t="s">
        <v>9421</v>
      </c>
      <c r="C565" s="93" t="s">
        <v>7814</v>
      </c>
      <c r="D565" s="92">
        <v>349.4</v>
      </c>
    </row>
    <row r="566" spans="1:4" s="97" customFormat="1" ht="15" customHeight="1">
      <c r="A566" s="94" t="s">
        <v>9420</v>
      </c>
      <c r="B566" s="94" t="s">
        <v>9419</v>
      </c>
      <c r="C566" s="93" t="s">
        <v>7814</v>
      </c>
      <c r="D566" s="92">
        <v>349.18</v>
      </c>
    </row>
    <row r="567" spans="1:4" s="97" customFormat="1" ht="15" customHeight="1">
      <c r="A567" s="94" t="s">
        <v>9418</v>
      </c>
      <c r="B567" s="94" t="s">
        <v>9416</v>
      </c>
      <c r="C567" s="93" t="s">
        <v>7814</v>
      </c>
      <c r="D567" s="92">
        <v>352.33</v>
      </c>
    </row>
    <row r="568" spans="1:4" s="97" customFormat="1" ht="15" customHeight="1">
      <c r="A568" s="94" t="s">
        <v>9417</v>
      </c>
      <c r="B568" s="94" t="s">
        <v>9416</v>
      </c>
      <c r="C568" s="93" t="s">
        <v>7814</v>
      </c>
      <c r="D568" s="92">
        <v>349.18</v>
      </c>
    </row>
    <row r="569" spans="1:4" s="97" customFormat="1" ht="15" customHeight="1">
      <c r="A569" s="94" t="s">
        <v>9415</v>
      </c>
      <c r="B569" s="94" t="s">
        <v>9414</v>
      </c>
      <c r="C569" s="93" t="s">
        <v>7829</v>
      </c>
      <c r="D569" s="92">
        <v>22.88</v>
      </c>
    </row>
    <row r="570" spans="1:4" s="97" customFormat="1" ht="15" customHeight="1">
      <c r="A570" s="94" t="s">
        <v>9413</v>
      </c>
      <c r="B570" s="94" t="s">
        <v>9412</v>
      </c>
      <c r="C570" s="93" t="s">
        <v>7814</v>
      </c>
      <c r="D570" s="92">
        <v>403.04</v>
      </c>
    </row>
    <row r="571" spans="1:4" s="97" customFormat="1" ht="15" customHeight="1">
      <c r="A571" s="94" t="s">
        <v>9411</v>
      </c>
      <c r="B571" s="94" t="s">
        <v>9410</v>
      </c>
      <c r="C571" s="93" t="s">
        <v>7814</v>
      </c>
      <c r="D571" s="92">
        <v>403.04</v>
      </c>
    </row>
    <row r="572" spans="1:4" s="97" customFormat="1" ht="15" customHeight="1">
      <c r="A572" s="94" t="s">
        <v>9409</v>
      </c>
      <c r="B572" s="94" t="s">
        <v>9408</v>
      </c>
      <c r="C572" s="93" t="s">
        <v>7814</v>
      </c>
      <c r="D572" s="92">
        <v>402.85</v>
      </c>
    </row>
    <row r="573" spans="1:4" s="97" customFormat="1" ht="15" customHeight="1">
      <c r="A573" s="94" t="s">
        <v>9407</v>
      </c>
      <c r="B573" s="94" t="s">
        <v>9406</v>
      </c>
      <c r="C573" s="93" t="s">
        <v>7814</v>
      </c>
      <c r="D573" s="92">
        <v>403.41</v>
      </c>
    </row>
    <row r="574" spans="1:4" s="97" customFormat="1" ht="15" customHeight="1">
      <c r="A574" s="94" t="s">
        <v>9405</v>
      </c>
      <c r="B574" s="94" t="s">
        <v>9404</v>
      </c>
      <c r="C574" s="93" t="s">
        <v>7814</v>
      </c>
      <c r="D574" s="92">
        <v>405.16</v>
      </c>
    </row>
    <row r="575" spans="1:4" s="97" customFormat="1" ht="15" customHeight="1">
      <c r="A575" s="94" t="s">
        <v>9403</v>
      </c>
      <c r="B575" s="94" t="s">
        <v>9402</v>
      </c>
      <c r="C575" s="93" t="s">
        <v>7814</v>
      </c>
      <c r="D575" s="92">
        <v>403.22</v>
      </c>
    </row>
    <row r="576" spans="1:4" s="97" customFormat="1" ht="15" customHeight="1">
      <c r="A576" s="94" t="s">
        <v>9401</v>
      </c>
      <c r="B576" s="94" t="s">
        <v>9400</v>
      </c>
      <c r="C576" s="93" t="s">
        <v>7814</v>
      </c>
      <c r="D576" s="92">
        <v>403.22</v>
      </c>
    </row>
    <row r="577" spans="1:4" s="97" customFormat="1" ht="15" customHeight="1">
      <c r="A577" s="94" t="s">
        <v>9399</v>
      </c>
      <c r="B577" s="94" t="s">
        <v>9398</v>
      </c>
      <c r="C577" s="93" t="s">
        <v>7814</v>
      </c>
      <c r="D577" s="92">
        <v>349.64</v>
      </c>
    </row>
    <row r="578" spans="1:4" s="97" customFormat="1" ht="15" customHeight="1">
      <c r="A578" s="94" t="s">
        <v>9397</v>
      </c>
      <c r="B578" s="94" t="s">
        <v>9395</v>
      </c>
      <c r="C578" s="93" t="s">
        <v>7814</v>
      </c>
      <c r="D578" s="92">
        <v>352.33</v>
      </c>
    </row>
    <row r="579" spans="1:4" s="97" customFormat="1" ht="15" customHeight="1">
      <c r="A579" s="94" t="s">
        <v>9396</v>
      </c>
      <c r="B579" s="94" t="s">
        <v>9395</v>
      </c>
      <c r="C579" s="93" t="s">
        <v>7814</v>
      </c>
      <c r="D579" s="92">
        <v>349.18</v>
      </c>
    </row>
    <row r="580" spans="1:4" s="97" customFormat="1" ht="15" customHeight="1">
      <c r="A580" s="94" t="s">
        <v>9394</v>
      </c>
      <c r="B580" s="94" t="s">
        <v>9393</v>
      </c>
      <c r="C580" s="93" t="s">
        <v>7814</v>
      </c>
      <c r="D580" s="92">
        <v>225.83</v>
      </c>
    </row>
    <row r="581" spans="1:4" s="97" customFormat="1" ht="15" customHeight="1">
      <c r="A581" s="94" t="s">
        <v>9392</v>
      </c>
      <c r="B581" s="94" t="s">
        <v>9391</v>
      </c>
      <c r="C581" s="93" t="s">
        <v>7814</v>
      </c>
      <c r="D581" s="92">
        <v>222.58</v>
      </c>
    </row>
    <row r="582" spans="1:4" s="97" customFormat="1" ht="15" customHeight="1">
      <c r="A582" s="94" t="s">
        <v>9390</v>
      </c>
      <c r="B582" s="94" t="s">
        <v>9389</v>
      </c>
      <c r="C582" s="93" t="s">
        <v>7814</v>
      </c>
      <c r="D582" s="92">
        <v>222.58</v>
      </c>
    </row>
    <row r="583" spans="1:4" s="97" customFormat="1" ht="15" customHeight="1">
      <c r="A583" s="94" t="s">
        <v>9388</v>
      </c>
      <c r="B583" s="94" t="s">
        <v>9387</v>
      </c>
      <c r="C583" s="93" t="s">
        <v>7814</v>
      </c>
      <c r="D583" s="92">
        <v>222.58</v>
      </c>
    </row>
    <row r="584" spans="1:4" s="97" customFormat="1" ht="15" customHeight="1">
      <c r="A584" s="94" t="s">
        <v>9386</v>
      </c>
      <c r="B584" s="94" t="s">
        <v>9385</v>
      </c>
      <c r="C584" s="93" t="s">
        <v>7814</v>
      </c>
      <c r="D584" s="92">
        <v>262.41000000000003</v>
      </c>
    </row>
    <row r="585" spans="1:4" s="97" customFormat="1" ht="15" customHeight="1">
      <c r="A585" s="94" t="s">
        <v>9384</v>
      </c>
      <c r="B585" s="94" t="s">
        <v>9383</v>
      </c>
      <c r="C585" s="93" t="s">
        <v>7814</v>
      </c>
      <c r="D585" s="92">
        <v>262.06</v>
      </c>
    </row>
    <row r="586" spans="1:4" s="97" customFormat="1" ht="15" customHeight="1">
      <c r="A586" s="94" t="s">
        <v>9382</v>
      </c>
      <c r="B586" s="94" t="s">
        <v>9381</v>
      </c>
      <c r="C586" s="93" t="s">
        <v>7814</v>
      </c>
      <c r="D586" s="92">
        <v>262.10000000000002</v>
      </c>
    </row>
    <row r="587" spans="1:4" s="97" customFormat="1" ht="15" customHeight="1">
      <c r="A587" s="94" t="s">
        <v>9380</v>
      </c>
      <c r="B587" s="94" t="s">
        <v>9379</v>
      </c>
      <c r="C587" s="93" t="s">
        <v>7814</v>
      </c>
      <c r="D587" s="92">
        <v>262.06</v>
      </c>
    </row>
    <row r="588" spans="1:4" s="97" customFormat="1" ht="15" customHeight="1">
      <c r="A588" s="94" t="s">
        <v>9378</v>
      </c>
      <c r="B588" s="94" t="s">
        <v>9377</v>
      </c>
      <c r="C588" s="93" t="s">
        <v>7814</v>
      </c>
      <c r="D588" s="92">
        <v>262.41000000000003</v>
      </c>
    </row>
    <row r="589" spans="1:4" s="97" customFormat="1" ht="15" customHeight="1">
      <c r="A589" s="94" t="s">
        <v>9376</v>
      </c>
      <c r="B589" s="94" t="s">
        <v>9375</v>
      </c>
      <c r="C589" s="93" t="s">
        <v>7814</v>
      </c>
      <c r="D589" s="92">
        <v>262.44</v>
      </c>
    </row>
    <row r="590" spans="1:4" s="97" customFormat="1" ht="15" customHeight="1">
      <c r="A590" s="94" t="s">
        <v>9374</v>
      </c>
      <c r="B590" s="94" t="s">
        <v>9373</v>
      </c>
      <c r="C590" s="93" t="s">
        <v>7814</v>
      </c>
      <c r="D590" s="92">
        <v>262.44</v>
      </c>
    </row>
    <row r="591" spans="1:4" s="97" customFormat="1" ht="15" customHeight="1">
      <c r="A591" s="94" t="s">
        <v>9372</v>
      </c>
      <c r="B591" s="94" t="s">
        <v>9371</v>
      </c>
      <c r="C591" s="93" t="s">
        <v>7814</v>
      </c>
      <c r="D591" s="92">
        <v>222.58</v>
      </c>
    </row>
    <row r="592" spans="1:4" s="97" customFormat="1" ht="15" customHeight="1">
      <c r="A592" s="94" t="s">
        <v>9370</v>
      </c>
      <c r="B592" s="94" t="s">
        <v>9369</v>
      </c>
      <c r="C592" s="93" t="s">
        <v>7814</v>
      </c>
      <c r="D592" s="92">
        <v>222.58</v>
      </c>
    </row>
    <row r="593" spans="1:4" s="97" customFormat="1" ht="15" customHeight="1">
      <c r="A593" s="94" t="s">
        <v>9368</v>
      </c>
      <c r="B593" s="94" t="s">
        <v>9367</v>
      </c>
      <c r="C593" s="93" t="s">
        <v>7814</v>
      </c>
      <c r="D593" s="92">
        <v>128.33000000000001</v>
      </c>
    </row>
    <row r="594" spans="1:4" s="97" customFormat="1" ht="15" customHeight="1">
      <c r="A594" s="94" t="s">
        <v>9366</v>
      </c>
      <c r="B594" s="94" t="s">
        <v>9365</v>
      </c>
      <c r="C594" s="93" t="s">
        <v>7814</v>
      </c>
      <c r="D594" s="92">
        <v>128.63999999999999</v>
      </c>
    </row>
    <row r="595" spans="1:4" s="97" customFormat="1" ht="15" customHeight="1">
      <c r="A595" s="94" t="s">
        <v>9364</v>
      </c>
      <c r="B595" s="94" t="s">
        <v>9363</v>
      </c>
      <c r="C595" s="93" t="s">
        <v>7814</v>
      </c>
      <c r="D595" s="92">
        <v>136.07</v>
      </c>
    </row>
    <row r="596" spans="1:4" s="97" customFormat="1" ht="15" customHeight="1">
      <c r="A596" s="94" t="s">
        <v>9362</v>
      </c>
      <c r="B596" s="94" t="s">
        <v>9361</v>
      </c>
      <c r="C596" s="93" t="s">
        <v>7814</v>
      </c>
      <c r="D596" s="92">
        <v>135.99</v>
      </c>
    </row>
    <row r="597" spans="1:4" s="97" customFormat="1" ht="15" customHeight="1">
      <c r="A597" s="94" t="s">
        <v>9360</v>
      </c>
      <c r="B597" s="94" t="s">
        <v>9359</v>
      </c>
      <c r="C597" s="93" t="s">
        <v>7814</v>
      </c>
      <c r="D597" s="92">
        <v>136.15</v>
      </c>
    </row>
    <row r="598" spans="1:4" s="97" customFormat="1" ht="15" customHeight="1">
      <c r="A598" s="94" t="s">
        <v>9358</v>
      </c>
      <c r="B598" s="94" t="s">
        <v>9357</v>
      </c>
      <c r="C598" s="93" t="s">
        <v>7814</v>
      </c>
      <c r="D598" s="92">
        <v>136.15</v>
      </c>
    </row>
    <row r="599" spans="1:4" s="97" customFormat="1" ht="15" customHeight="1">
      <c r="A599" s="94" t="s">
        <v>9356</v>
      </c>
      <c r="B599" s="94" t="s">
        <v>9355</v>
      </c>
      <c r="C599" s="93" t="s">
        <v>7814</v>
      </c>
      <c r="D599" s="92">
        <v>136.07</v>
      </c>
    </row>
    <row r="600" spans="1:4" s="97" customFormat="1" ht="15" customHeight="1">
      <c r="A600" s="94" t="s">
        <v>9354</v>
      </c>
      <c r="B600" s="94" t="s">
        <v>9353</v>
      </c>
      <c r="C600" s="93" t="s">
        <v>7814</v>
      </c>
      <c r="D600" s="92">
        <v>136.38999999999999</v>
      </c>
    </row>
    <row r="601" spans="1:4" s="97" customFormat="1" ht="15" customHeight="1">
      <c r="A601" s="94" t="s">
        <v>9352</v>
      </c>
      <c r="B601" s="94" t="s">
        <v>9351</v>
      </c>
      <c r="C601" s="93" t="s">
        <v>7814</v>
      </c>
      <c r="D601" s="92">
        <v>136.07</v>
      </c>
    </row>
    <row r="602" spans="1:4" s="97" customFormat="1" ht="15" customHeight="1">
      <c r="A602" s="94" t="s">
        <v>9350</v>
      </c>
      <c r="B602" s="94" t="s">
        <v>9349</v>
      </c>
      <c r="C602" s="93" t="s">
        <v>7814</v>
      </c>
      <c r="D602" s="92">
        <v>128.47999999999999</v>
      </c>
    </row>
    <row r="603" spans="1:4" s="97" customFormat="1" ht="15" customHeight="1">
      <c r="A603" s="94" t="s">
        <v>9348</v>
      </c>
      <c r="B603" s="94" t="s">
        <v>9347</v>
      </c>
      <c r="C603" s="93" t="s">
        <v>7829</v>
      </c>
      <c r="D603" s="92">
        <v>62.36</v>
      </c>
    </row>
    <row r="604" spans="1:4" s="97" customFormat="1" ht="15" customHeight="1">
      <c r="A604" s="94" t="s">
        <v>9346</v>
      </c>
      <c r="B604" s="94" t="s">
        <v>9345</v>
      </c>
      <c r="C604" s="93" t="s">
        <v>7814</v>
      </c>
      <c r="D604" s="92">
        <v>128.47999999999999</v>
      </c>
    </row>
    <row r="605" spans="1:4" s="97" customFormat="1" ht="15" customHeight="1">
      <c r="A605" s="94" t="s">
        <v>9344</v>
      </c>
      <c r="B605" s="94" t="s">
        <v>9343</v>
      </c>
      <c r="C605" s="93" t="s">
        <v>7814</v>
      </c>
      <c r="D605" s="92">
        <v>128.33000000000001</v>
      </c>
    </row>
    <row r="606" spans="1:4" s="97" customFormat="1" ht="15" customHeight="1">
      <c r="A606" s="94" t="s">
        <v>9342</v>
      </c>
      <c r="B606" s="94" t="s">
        <v>9341</v>
      </c>
      <c r="C606" s="93" t="s">
        <v>7814</v>
      </c>
      <c r="D606" s="92">
        <v>206.17</v>
      </c>
    </row>
    <row r="607" spans="1:4" s="97" customFormat="1" ht="15" customHeight="1">
      <c r="A607" s="94" t="s">
        <v>9340</v>
      </c>
      <c r="B607" s="94" t="s">
        <v>9339</v>
      </c>
      <c r="C607" s="93" t="s">
        <v>7814</v>
      </c>
      <c r="D607" s="92">
        <v>164.58</v>
      </c>
    </row>
    <row r="608" spans="1:4" s="97" customFormat="1" ht="15" customHeight="1">
      <c r="A608" s="94" t="s">
        <v>9338</v>
      </c>
      <c r="B608" s="94" t="s">
        <v>9337</v>
      </c>
      <c r="C608" s="93" t="s">
        <v>7814</v>
      </c>
      <c r="D608" s="92">
        <v>164.64</v>
      </c>
    </row>
    <row r="609" spans="1:4" s="97" customFormat="1" ht="15" customHeight="1">
      <c r="A609" s="94" t="s">
        <v>9336</v>
      </c>
      <c r="B609" s="94" t="s">
        <v>9335</v>
      </c>
      <c r="C609" s="93" t="s">
        <v>7829</v>
      </c>
      <c r="D609" s="92">
        <v>31.34</v>
      </c>
    </row>
    <row r="610" spans="1:4" s="97" customFormat="1" ht="15" customHeight="1">
      <c r="A610" s="94" t="s">
        <v>9334</v>
      </c>
      <c r="B610" s="94" t="s">
        <v>9333</v>
      </c>
      <c r="C610" s="93" t="s">
        <v>7814</v>
      </c>
      <c r="D610" s="92">
        <v>166.86</v>
      </c>
    </row>
    <row r="611" spans="1:4" s="97" customFormat="1" ht="15" customHeight="1">
      <c r="A611" s="94" t="s">
        <v>9332</v>
      </c>
      <c r="B611" s="94" t="s">
        <v>9331</v>
      </c>
      <c r="C611" s="93" t="s">
        <v>7829</v>
      </c>
      <c r="D611" s="92">
        <v>16.86</v>
      </c>
    </row>
    <row r="612" spans="1:4" s="97" customFormat="1" ht="15" customHeight="1">
      <c r="A612" s="94" t="s">
        <v>9330</v>
      </c>
      <c r="B612" s="94" t="s">
        <v>9329</v>
      </c>
      <c r="C612" s="93" t="s">
        <v>7829</v>
      </c>
      <c r="D612" s="92">
        <v>99.95</v>
      </c>
    </row>
    <row r="613" spans="1:4" s="97" customFormat="1" ht="15" customHeight="1">
      <c r="A613" s="94" t="s">
        <v>9328</v>
      </c>
      <c r="B613" s="94" t="s">
        <v>9327</v>
      </c>
      <c r="C613" s="93" t="s">
        <v>7814</v>
      </c>
      <c r="D613" s="92">
        <v>189.17</v>
      </c>
    </row>
    <row r="614" spans="1:4" s="97" customFormat="1" ht="15" customHeight="1">
      <c r="A614" s="94" t="s">
        <v>9326</v>
      </c>
      <c r="B614" s="94" t="s">
        <v>9325</v>
      </c>
      <c r="C614" s="93" t="s">
        <v>7814</v>
      </c>
      <c r="D614" s="92">
        <v>188.87</v>
      </c>
    </row>
    <row r="615" spans="1:4" s="97" customFormat="1" ht="15" customHeight="1">
      <c r="A615" s="94" t="s">
        <v>9324</v>
      </c>
      <c r="B615" s="94" t="s">
        <v>9323</v>
      </c>
      <c r="C615" s="93" t="s">
        <v>7814</v>
      </c>
      <c r="D615" s="92">
        <v>188.93</v>
      </c>
    </row>
    <row r="616" spans="1:4" s="97" customFormat="1" ht="15" customHeight="1">
      <c r="A616" s="94" t="s">
        <v>9322</v>
      </c>
      <c r="B616" s="94" t="s">
        <v>9321</v>
      </c>
      <c r="C616" s="93" t="s">
        <v>7814</v>
      </c>
      <c r="D616" s="92">
        <v>188.93</v>
      </c>
    </row>
    <row r="617" spans="1:4" s="97" customFormat="1" ht="15" customHeight="1">
      <c r="A617" s="94" t="s">
        <v>9320</v>
      </c>
      <c r="B617" s="94" t="s">
        <v>9319</v>
      </c>
      <c r="C617" s="93" t="s">
        <v>7814</v>
      </c>
      <c r="D617" s="92">
        <v>189.14</v>
      </c>
    </row>
    <row r="618" spans="1:4" s="97" customFormat="1" ht="15" customHeight="1">
      <c r="A618" s="94" t="s">
        <v>9318</v>
      </c>
      <c r="B618" s="94" t="s">
        <v>9317</v>
      </c>
      <c r="C618" s="93" t="s">
        <v>7814</v>
      </c>
      <c r="D618" s="92">
        <v>189.2</v>
      </c>
    </row>
    <row r="619" spans="1:4" s="97" customFormat="1" ht="15" customHeight="1">
      <c r="A619" s="94" t="s">
        <v>9316</v>
      </c>
      <c r="B619" s="94" t="s">
        <v>9315</v>
      </c>
      <c r="C619" s="93" t="s">
        <v>7814</v>
      </c>
      <c r="D619" s="92">
        <v>189.14</v>
      </c>
    </row>
    <row r="620" spans="1:4" s="97" customFormat="1" ht="15" customHeight="1">
      <c r="A620" s="94" t="s">
        <v>9314</v>
      </c>
      <c r="B620" s="94" t="s">
        <v>9313</v>
      </c>
      <c r="C620" s="93" t="s">
        <v>7814</v>
      </c>
      <c r="D620" s="92">
        <v>164.85</v>
      </c>
    </row>
    <row r="621" spans="1:4" s="97" customFormat="1" ht="15" customHeight="1">
      <c r="A621" s="94" t="s">
        <v>9312</v>
      </c>
      <c r="B621" s="94" t="s">
        <v>9311</v>
      </c>
      <c r="C621" s="93" t="s">
        <v>7829</v>
      </c>
      <c r="D621" s="92">
        <v>25.88</v>
      </c>
    </row>
    <row r="622" spans="1:4" s="97" customFormat="1" ht="15" customHeight="1">
      <c r="A622" s="94" t="s">
        <v>9310</v>
      </c>
      <c r="B622" s="94" t="s">
        <v>9309</v>
      </c>
      <c r="C622" s="93" t="s">
        <v>7814</v>
      </c>
      <c r="D622" s="92">
        <v>164.58</v>
      </c>
    </row>
    <row r="623" spans="1:4" s="97" customFormat="1" ht="15" customHeight="1">
      <c r="A623" s="94" t="s">
        <v>9308</v>
      </c>
      <c r="B623" s="94" t="s">
        <v>9307</v>
      </c>
      <c r="C623" s="93" t="s">
        <v>7829</v>
      </c>
      <c r="D623" s="92">
        <v>15.24</v>
      </c>
    </row>
    <row r="624" spans="1:4" s="97" customFormat="1" ht="15" customHeight="1">
      <c r="A624" s="94" t="s">
        <v>9306</v>
      </c>
      <c r="B624" s="94" t="s">
        <v>9305</v>
      </c>
      <c r="C624" s="93" t="s">
        <v>7814</v>
      </c>
      <c r="D624" s="92">
        <v>1362.54</v>
      </c>
    </row>
    <row r="625" spans="1:4" s="97" customFormat="1" ht="15" customHeight="1">
      <c r="A625" s="94" t="s">
        <v>9304</v>
      </c>
      <c r="B625" s="94" t="s">
        <v>9303</v>
      </c>
      <c r="C625" s="93" t="s">
        <v>7814</v>
      </c>
      <c r="D625" s="92">
        <v>1362.54</v>
      </c>
    </row>
    <row r="626" spans="1:4" s="97" customFormat="1" ht="15" customHeight="1">
      <c r="A626" s="94" t="s">
        <v>9302</v>
      </c>
      <c r="B626" s="94" t="s">
        <v>9301</v>
      </c>
      <c r="C626" s="93" t="s">
        <v>7814</v>
      </c>
      <c r="D626" s="92">
        <v>1770.69</v>
      </c>
    </row>
    <row r="627" spans="1:4" s="97" customFormat="1" ht="15" customHeight="1">
      <c r="A627" s="94" t="s">
        <v>9300</v>
      </c>
      <c r="B627" s="94" t="s">
        <v>9299</v>
      </c>
      <c r="C627" s="93" t="s">
        <v>7814</v>
      </c>
      <c r="D627" s="92">
        <v>1770.69</v>
      </c>
    </row>
    <row r="628" spans="1:4" s="97" customFormat="1" ht="15" customHeight="1">
      <c r="A628" s="94" t="s">
        <v>9298</v>
      </c>
      <c r="B628" s="94" t="s">
        <v>9297</v>
      </c>
      <c r="C628" s="93" t="s">
        <v>7814</v>
      </c>
      <c r="D628" s="92">
        <v>1124.25</v>
      </c>
    </row>
    <row r="629" spans="1:4" s="97" customFormat="1" ht="15" customHeight="1">
      <c r="A629" s="94" t="s">
        <v>9296</v>
      </c>
      <c r="B629" s="94" t="s">
        <v>9295</v>
      </c>
      <c r="C629" s="93" t="s">
        <v>7814</v>
      </c>
      <c r="D629" s="92">
        <v>1307.4000000000001</v>
      </c>
    </row>
    <row r="630" spans="1:4" s="97" customFormat="1" ht="15" customHeight="1">
      <c r="A630" s="94" t="s">
        <v>9294</v>
      </c>
      <c r="B630" s="94" t="s">
        <v>9293</v>
      </c>
      <c r="C630" s="93" t="s">
        <v>7814</v>
      </c>
      <c r="D630" s="92">
        <v>1307.45</v>
      </c>
    </row>
    <row r="631" spans="1:4" s="97" customFormat="1" ht="15" customHeight="1">
      <c r="A631" s="94" t="s">
        <v>9292</v>
      </c>
      <c r="B631" s="94" t="s">
        <v>9291</v>
      </c>
      <c r="C631" s="93" t="s">
        <v>7814</v>
      </c>
      <c r="D631" s="92">
        <v>1307.45</v>
      </c>
    </row>
    <row r="632" spans="1:4" s="97" customFormat="1" ht="15" customHeight="1">
      <c r="A632" s="94" t="s">
        <v>9290</v>
      </c>
      <c r="B632" s="94" t="s">
        <v>9289</v>
      </c>
      <c r="C632" s="93" t="s">
        <v>7814</v>
      </c>
      <c r="D632" s="92">
        <v>1307.6199999999999</v>
      </c>
    </row>
    <row r="633" spans="1:4" s="97" customFormat="1" ht="15" customHeight="1">
      <c r="A633" s="94" t="s">
        <v>9288</v>
      </c>
      <c r="B633" s="94" t="s">
        <v>9287</v>
      </c>
      <c r="C633" s="93" t="s">
        <v>7814</v>
      </c>
      <c r="D633" s="92">
        <v>1307.6600000000001</v>
      </c>
    </row>
    <row r="634" spans="1:4" s="97" customFormat="1" ht="15" customHeight="1">
      <c r="A634" s="94" t="s">
        <v>9286</v>
      </c>
      <c r="B634" s="94" t="s">
        <v>9285</v>
      </c>
      <c r="C634" s="93" t="s">
        <v>7814</v>
      </c>
      <c r="D634" s="92">
        <v>1318.72</v>
      </c>
    </row>
    <row r="635" spans="1:4" s="97" customFormat="1" ht="15" customHeight="1">
      <c r="A635" s="94" t="s">
        <v>9284</v>
      </c>
      <c r="B635" s="94" t="s">
        <v>9283</v>
      </c>
      <c r="C635" s="93" t="s">
        <v>7814</v>
      </c>
      <c r="D635" s="92">
        <v>1308.07</v>
      </c>
    </row>
    <row r="636" spans="1:4" s="97" customFormat="1" ht="15" customHeight="1">
      <c r="A636" s="94" t="s">
        <v>9282</v>
      </c>
      <c r="B636" s="94" t="s">
        <v>9281</v>
      </c>
      <c r="C636" s="93" t="s">
        <v>7814</v>
      </c>
      <c r="D636" s="92">
        <v>1307.49</v>
      </c>
    </row>
    <row r="637" spans="1:4" s="97" customFormat="1" ht="15" customHeight="1">
      <c r="A637" s="94" t="s">
        <v>9280</v>
      </c>
      <c r="B637" s="94" t="s">
        <v>9279</v>
      </c>
      <c r="C637" s="93" t="s">
        <v>7814</v>
      </c>
      <c r="D637" s="92">
        <v>1086.07</v>
      </c>
    </row>
    <row r="638" spans="1:4" s="97" customFormat="1" ht="15" customHeight="1">
      <c r="A638" s="94" t="s">
        <v>9278</v>
      </c>
      <c r="B638" s="94" t="s">
        <v>9277</v>
      </c>
      <c r="C638" s="93" t="s">
        <v>7814</v>
      </c>
      <c r="D638" s="92">
        <v>1088.8599999999999</v>
      </c>
    </row>
    <row r="639" spans="1:4" s="97" customFormat="1" ht="15" customHeight="1">
      <c r="A639" s="94" t="s">
        <v>9276</v>
      </c>
      <c r="B639" s="94" t="s">
        <v>9275</v>
      </c>
      <c r="C639" s="93" t="s">
        <v>7814</v>
      </c>
      <c r="D639" s="92">
        <v>1088.33</v>
      </c>
    </row>
    <row r="640" spans="1:4" s="97" customFormat="1" ht="15" customHeight="1">
      <c r="A640" s="94" t="s">
        <v>9274</v>
      </c>
      <c r="B640" s="94" t="s">
        <v>9273</v>
      </c>
      <c r="C640" s="93" t="s">
        <v>7814</v>
      </c>
      <c r="D640" s="92">
        <v>1568.52</v>
      </c>
    </row>
    <row r="641" spans="1:4" s="97" customFormat="1" ht="15" customHeight="1">
      <c r="A641" s="94" t="s">
        <v>9272</v>
      </c>
      <c r="B641" s="94" t="s">
        <v>9271</v>
      </c>
      <c r="C641" s="93" t="s">
        <v>7814</v>
      </c>
      <c r="D641" s="92">
        <v>1571.12</v>
      </c>
    </row>
    <row r="642" spans="1:4" s="97" customFormat="1" ht="15" customHeight="1">
      <c r="A642" s="94" t="s">
        <v>9270</v>
      </c>
      <c r="B642" s="94" t="s">
        <v>9269</v>
      </c>
      <c r="C642" s="93" t="s">
        <v>7814</v>
      </c>
      <c r="D642" s="92">
        <v>1571.97</v>
      </c>
    </row>
    <row r="643" spans="1:4" s="97" customFormat="1" ht="15" customHeight="1">
      <c r="A643" s="94" t="s">
        <v>9268</v>
      </c>
      <c r="B643" s="94" t="s">
        <v>9267</v>
      </c>
      <c r="C643" s="93" t="s">
        <v>7814</v>
      </c>
      <c r="D643" s="92">
        <v>1570.87</v>
      </c>
    </row>
    <row r="644" spans="1:4" s="97" customFormat="1" ht="15" customHeight="1">
      <c r="A644" s="94" t="s">
        <v>9266</v>
      </c>
      <c r="B644" s="94" t="s">
        <v>9265</v>
      </c>
      <c r="C644" s="93" t="s">
        <v>7814</v>
      </c>
      <c r="D644" s="92">
        <v>1572.02</v>
      </c>
    </row>
    <row r="645" spans="1:4" s="97" customFormat="1" ht="15" customHeight="1">
      <c r="A645" s="94" t="s">
        <v>9264</v>
      </c>
      <c r="B645" s="94" t="s">
        <v>9263</v>
      </c>
      <c r="C645" s="93" t="s">
        <v>7814</v>
      </c>
      <c r="D645" s="92">
        <v>1571.95</v>
      </c>
    </row>
    <row r="646" spans="1:4" s="97" customFormat="1" ht="15" customHeight="1">
      <c r="A646" s="94" t="s">
        <v>9262</v>
      </c>
      <c r="B646" s="94" t="s">
        <v>9261</v>
      </c>
      <c r="C646" s="93" t="s">
        <v>7814</v>
      </c>
      <c r="D646" s="92">
        <v>1571.91</v>
      </c>
    </row>
    <row r="647" spans="1:4" s="97" customFormat="1" ht="15" customHeight="1">
      <c r="A647" s="94" t="s">
        <v>9260</v>
      </c>
      <c r="B647" s="94" t="s">
        <v>9259</v>
      </c>
      <c r="C647" s="93" t="s">
        <v>7814</v>
      </c>
      <c r="D647" s="92">
        <v>1339.61</v>
      </c>
    </row>
    <row r="648" spans="1:4" s="97" customFormat="1" ht="15" customHeight="1">
      <c r="A648" s="94" t="s">
        <v>9258</v>
      </c>
      <c r="B648" s="94" t="s">
        <v>9257</v>
      </c>
      <c r="C648" s="93" t="s">
        <v>7814</v>
      </c>
      <c r="D648" s="92">
        <v>1342.46</v>
      </c>
    </row>
    <row r="649" spans="1:4" s="97" customFormat="1" ht="15" customHeight="1">
      <c r="A649" s="94" t="s">
        <v>9256</v>
      </c>
      <c r="B649" s="94" t="s">
        <v>9255</v>
      </c>
      <c r="C649" s="93" t="s">
        <v>7814</v>
      </c>
      <c r="D649" s="92">
        <v>1343.13</v>
      </c>
    </row>
    <row r="650" spans="1:4" s="97" customFormat="1" ht="15" customHeight="1">
      <c r="A650" s="94" t="s">
        <v>9254</v>
      </c>
      <c r="B650" s="94" t="s">
        <v>9253</v>
      </c>
      <c r="C650" s="93" t="s">
        <v>7814</v>
      </c>
      <c r="D650" s="92">
        <v>278.95999999999998</v>
      </c>
    </row>
    <row r="651" spans="1:4" s="97" customFormat="1" ht="15" customHeight="1">
      <c r="A651" s="94" t="s">
        <v>9252</v>
      </c>
      <c r="B651" s="94" t="s">
        <v>9251</v>
      </c>
      <c r="C651" s="93" t="s">
        <v>7814</v>
      </c>
      <c r="D651" s="92">
        <v>1468.37</v>
      </c>
    </row>
    <row r="652" spans="1:4" s="97" customFormat="1" ht="15" customHeight="1">
      <c r="A652" s="94" t="s">
        <v>9250</v>
      </c>
      <c r="B652" s="94" t="s">
        <v>9249</v>
      </c>
      <c r="C652" s="93" t="s">
        <v>7814</v>
      </c>
      <c r="D652" s="92">
        <v>1553.29</v>
      </c>
    </row>
    <row r="653" spans="1:4" s="97" customFormat="1" ht="15" customHeight="1">
      <c r="A653" s="94" t="s">
        <v>9248</v>
      </c>
      <c r="B653" s="94" t="s">
        <v>9247</v>
      </c>
      <c r="C653" s="93" t="s">
        <v>7814</v>
      </c>
      <c r="D653" s="92">
        <v>1553.29</v>
      </c>
    </row>
    <row r="654" spans="1:4" s="97" customFormat="1" ht="15" customHeight="1">
      <c r="A654" s="94" t="s">
        <v>9246</v>
      </c>
      <c r="B654" s="94" t="s">
        <v>9245</v>
      </c>
      <c r="C654" s="93" t="s">
        <v>7814</v>
      </c>
      <c r="D654" s="92">
        <v>1599.01</v>
      </c>
    </row>
    <row r="655" spans="1:4" s="97" customFormat="1" ht="15" customHeight="1">
      <c r="A655" s="94" t="s">
        <v>9244</v>
      </c>
      <c r="B655" s="94" t="s">
        <v>9243</v>
      </c>
      <c r="C655" s="93" t="s">
        <v>7814</v>
      </c>
      <c r="D655" s="92">
        <v>2329.77</v>
      </c>
    </row>
    <row r="656" spans="1:4" s="97" customFormat="1" ht="15" customHeight="1">
      <c r="A656" s="94" t="s">
        <v>9242</v>
      </c>
      <c r="B656" s="94" t="s">
        <v>9241</v>
      </c>
      <c r="C656" s="93" t="s">
        <v>7814</v>
      </c>
      <c r="D656" s="92">
        <v>2422.77</v>
      </c>
    </row>
    <row r="657" spans="1:4" s="97" customFormat="1" ht="15" customHeight="1">
      <c r="A657" s="94" t="s">
        <v>9240</v>
      </c>
      <c r="B657" s="94" t="s">
        <v>9239</v>
      </c>
      <c r="C657" s="93" t="s">
        <v>7814</v>
      </c>
      <c r="D657" s="92">
        <v>1859.38</v>
      </c>
    </row>
    <row r="658" spans="1:4" s="97" customFormat="1" ht="15" customHeight="1">
      <c r="A658" s="94" t="s">
        <v>9238</v>
      </c>
      <c r="B658" s="94" t="s">
        <v>9237</v>
      </c>
      <c r="C658" s="93" t="s">
        <v>7814</v>
      </c>
      <c r="D658" s="92">
        <v>1880.29</v>
      </c>
    </row>
    <row r="659" spans="1:4" s="97" customFormat="1" ht="15" customHeight="1">
      <c r="A659" s="94" t="s">
        <v>9236</v>
      </c>
      <c r="B659" s="94" t="s">
        <v>9235</v>
      </c>
      <c r="C659" s="93" t="s">
        <v>7814</v>
      </c>
      <c r="D659" s="92">
        <v>1944.24</v>
      </c>
    </row>
    <row r="660" spans="1:4" s="97" customFormat="1" ht="15" customHeight="1">
      <c r="A660" s="94" t="s">
        <v>9234</v>
      </c>
      <c r="B660" s="94" t="s">
        <v>9233</v>
      </c>
      <c r="C660" s="93" t="s">
        <v>7814</v>
      </c>
      <c r="D660" s="92">
        <v>1917.29</v>
      </c>
    </row>
    <row r="661" spans="1:4" s="97" customFormat="1" ht="15" customHeight="1">
      <c r="A661" s="94" t="s">
        <v>9232</v>
      </c>
      <c r="B661" s="94" t="s">
        <v>9231</v>
      </c>
      <c r="C661" s="93" t="s">
        <v>7814</v>
      </c>
      <c r="D661" s="92">
        <v>1862.18</v>
      </c>
    </row>
    <row r="662" spans="1:4" s="97" customFormat="1" ht="15" customHeight="1">
      <c r="A662" s="94" t="s">
        <v>9230</v>
      </c>
      <c r="B662" s="94" t="s">
        <v>9229</v>
      </c>
      <c r="C662" s="93" t="s">
        <v>7814</v>
      </c>
      <c r="D662" s="92">
        <v>1883.09</v>
      </c>
    </row>
    <row r="663" spans="1:4" s="97" customFormat="1" ht="15" customHeight="1">
      <c r="A663" s="94" t="s">
        <v>9228</v>
      </c>
      <c r="B663" s="94" t="s">
        <v>9227</v>
      </c>
      <c r="C663" s="93" t="s">
        <v>7814</v>
      </c>
      <c r="D663" s="92">
        <v>1947.04</v>
      </c>
    </row>
    <row r="664" spans="1:4" s="97" customFormat="1" ht="15" customHeight="1">
      <c r="A664" s="94" t="s">
        <v>9226</v>
      </c>
      <c r="B664" s="94" t="s">
        <v>9225</v>
      </c>
      <c r="C664" s="93" t="s">
        <v>7814</v>
      </c>
      <c r="D664" s="92">
        <v>2719.16</v>
      </c>
    </row>
    <row r="665" spans="1:4" s="97" customFormat="1" ht="15" customHeight="1">
      <c r="A665" s="94" t="s">
        <v>9224</v>
      </c>
      <c r="B665" s="94" t="s">
        <v>9223</v>
      </c>
      <c r="C665" s="93" t="s">
        <v>7814</v>
      </c>
      <c r="D665" s="92">
        <v>194.07</v>
      </c>
    </row>
    <row r="666" spans="1:4" s="97" customFormat="1" ht="15" customHeight="1">
      <c r="A666" s="94" t="s">
        <v>9222</v>
      </c>
      <c r="B666" s="94" t="s">
        <v>9221</v>
      </c>
      <c r="C666" s="93" t="s">
        <v>7814</v>
      </c>
      <c r="D666" s="92">
        <v>194.03</v>
      </c>
    </row>
    <row r="667" spans="1:4" s="97" customFormat="1" ht="15" customHeight="1">
      <c r="A667" s="94" t="s">
        <v>9220</v>
      </c>
      <c r="B667" s="94" t="s">
        <v>9219</v>
      </c>
      <c r="C667" s="93" t="s">
        <v>7829</v>
      </c>
      <c r="D667" s="92">
        <v>56.78</v>
      </c>
    </row>
    <row r="668" spans="1:4" s="97" customFormat="1" ht="15" customHeight="1">
      <c r="A668" s="94" t="s">
        <v>9218</v>
      </c>
      <c r="B668" s="94" t="s">
        <v>9217</v>
      </c>
      <c r="C668" s="93" t="s">
        <v>7814</v>
      </c>
      <c r="D668" s="92">
        <v>873.03</v>
      </c>
    </row>
    <row r="669" spans="1:4" s="97" customFormat="1" ht="15" customHeight="1">
      <c r="A669" s="94" t="s">
        <v>9216</v>
      </c>
      <c r="B669" s="94" t="s">
        <v>9215</v>
      </c>
      <c r="C669" s="93" t="s">
        <v>7814</v>
      </c>
      <c r="D669" s="92">
        <v>873.03</v>
      </c>
    </row>
    <row r="670" spans="1:4" s="97" customFormat="1" ht="15" customHeight="1">
      <c r="A670" s="94" t="s">
        <v>9214</v>
      </c>
      <c r="B670" s="94" t="s">
        <v>9213</v>
      </c>
      <c r="C670" s="93" t="s">
        <v>7814</v>
      </c>
      <c r="D670" s="92">
        <v>873.03</v>
      </c>
    </row>
    <row r="671" spans="1:4" s="97" customFormat="1" ht="15" customHeight="1">
      <c r="A671" s="94" t="s">
        <v>9212</v>
      </c>
      <c r="B671" s="94" t="s">
        <v>9211</v>
      </c>
      <c r="C671" s="93" t="s">
        <v>7814</v>
      </c>
      <c r="D671" s="92">
        <v>873.03</v>
      </c>
    </row>
    <row r="672" spans="1:4" s="97" customFormat="1" ht="15" customHeight="1">
      <c r="A672" s="94" t="s">
        <v>9210</v>
      </c>
      <c r="B672" s="94" t="s">
        <v>9209</v>
      </c>
      <c r="C672" s="93" t="s">
        <v>7814</v>
      </c>
      <c r="D672" s="92">
        <v>873.03</v>
      </c>
    </row>
    <row r="673" spans="1:4" s="97" customFormat="1" ht="15" customHeight="1">
      <c r="A673" s="94" t="s">
        <v>9208</v>
      </c>
      <c r="B673" s="94" t="s">
        <v>9207</v>
      </c>
      <c r="C673" s="93" t="s">
        <v>7814</v>
      </c>
      <c r="D673" s="92">
        <v>873.03</v>
      </c>
    </row>
    <row r="674" spans="1:4" s="97" customFormat="1" ht="15" customHeight="1">
      <c r="A674" s="94" t="s">
        <v>9206</v>
      </c>
      <c r="B674" s="94" t="s">
        <v>9205</v>
      </c>
      <c r="C674" s="93" t="s">
        <v>7814</v>
      </c>
      <c r="D674" s="92">
        <v>873.03</v>
      </c>
    </row>
    <row r="675" spans="1:4" s="97" customFormat="1" ht="15" customHeight="1">
      <c r="A675" s="94" t="s">
        <v>9204</v>
      </c>
      <c r="B675" s="94" t="s">
        <v>9203</v>
      </c>
      <c r="C675" s="93" t="s">
        <v>7814</v>
      </c>
      <c r="D675" s="92">
        <v>971.3</v>
      </c>
    </row>
    <row r="676" spans="1:4" s="97" customFormat="1" ht="15" customHeight="1">
      <c r="A676" s="94" t="s">
        <v>9202</v>
      </c>
      <c r="B676" s="94" t="s">
        <v>9201</v>
      </c>
      <c r="C676" s="93" t="s">
        <v>7814</v>
      </c>
      <c r="D676" s="92">
        <v>971.3</v>
      </c>
    </row>
    <row r="677" spans="1:4" s="97" customFormat="1" ht="15" customHeight="1">
      <c r="A677" s="94" t="s">
        <v>9200</v>
      </c>
      <c r="B677" s="94" t="s">
        <v>9199</v>
      </c>
      <c r="C677" s="93" t="s">
        <v>7814</v>
      </c>
      <c r="D677" s="92">
        <v>971.3</v>
      </c>
    </row>
    <row r="678" spans="1:4" s="97" customFormat="1" ht="15" customHeight="1">
      <c r="A678" s="94" t="s">
        <v>9198</v>
      </c>
      <c r="B678" s="94" t="s">
        <v>9197</v>
      </c>
      <c r="C678" s="93" t="s">
        <v>7814</v>
      </c>
      <c r="D678" s="92">
        <v>971.3</v>
      </c>
    </row>
    <row r="679" spans="1:4" s="97" customFormat="1" ht="15" customHeight="1">
      <c r="A679" s="94" t="s">
        <v>9196</v>
      </c>
      <c r="B679" s="94" t="s">
        <v>9195</v>
      </c>
      <c r="C679" s="93" t="s">
        <v>7814</v>
      </c>
      <c r="D679" s="92">
        <v>473.98</v>
      </c>
    </row>
    <row r="680" spans="1:4" s="97" customFormat="1" ht="15" customHeight="1">
      <c r="A680" s="94" t="s">
        <v>9194</v>
      </c>
      <c r="B680" s="94" t="s">
        <v>9193</v>
      </c>
      <c r="C680" s="93" t="s">
        <v>7814</v>
      </c>
      <c r="D680" s="92">
        <v>473.77</v>
      </c>
    </row>
    <row r="681" spans="1:4" s="97" customFormat="1" ht="15" customHeight="1">
      <c r="A681" s="94" t="s">
        <v>9192</v>
      </c>
      <c r="B681" s="94" t="s">
        <v>9191</v>
      </c>
      <c r="C681" s="93" t="s">
        <v>7814</v>
      </c>
      <c r="D681" s="92">
        <v>473.77</v>
      </c>
    </row>
    <row r="682" spans="1:4" s="97" customFormat="1" ht="15" customHeight="1">
      <c r="A682" s="94" t="s">
        <v>9190</v>
      </c>
      <c r="B682" s="94" t="s">
        <v>9189</v>
      </c>
      <c r="C682" s="93" t="s">
        <v>7814</v>
      </c>
      <c r="D682" s="92">
        <v>557.94000000000005</v>
      </c>
    </row>
    <row r="683" spans="1:4" s="97" customFormat="1" ht="15" customHeight="1">
      <c r="A683" s="94" t="s">
        <v>9188</v>
      </c>
      <c r="B683" s="94" t="s">
        <v>9187</v>
      </c>
      <c r="C683" s="93" t="s">
        <v>7814</v>
      </c>
      <c r="D683" s="92">
        <v>557.94000000000005</v>
      </c>
    </row>
    <row r="684" spans="1:4" s="97" customFormat="1" ht="15" customHeight="1">
      <c r="A684" s="94" t="s">
        <v>9186</v>
      </c>
      <c r="B684" s="94" t="s">
        <v>9185</v>
      </c>
      <c r="C684" s="93" t="s">
        <v>7814</v>
      </c>
      <c r="D684" s="92">
        <v>541.52</v>
      </c>
    </row>
    <row r="685" spans="1:4" s="97" customFormat="1" ht="15" customHeight="1">
      <c r="A685" s="94" t="s">
        <v>9184</v>
      </c>
      <c r="B685" s="94" t="s">
        <v>9183</v>
      </c>
      <c r="C685" s="93" t="s">
        <v>7814</v>
      </c>
      <c r="D685" s="92">
        <v>557.77</v>
      </c>
    </row>
    <row r="686" spans="1:4" s="97" customFormat="1" ht="15" customHeight="1">
      <c r="A686" s="94" t="s">
        <v>9182</v>
      </c>
      <c r="B686" s="94" t="s">
        <v>9181</v>
      </c>
      <c r="C686" s="93" t="s">
        <v>7814</v>
      </c>
      <c r="D686" s="92">
        <v>558.30999999999995</v>
      </c>
    </row>
    <row r="687" spans="1:4" s="97" customFormat="1" ht="15" customHeight="1">
      <c r="A687" s="94" t="s">
        <v>9180</v>
      </c>
      <c r="B687" s="94" t="s">
        <v>9179</v>
      </c>
      <c r="C687" s="93" t="s">
        <v>7814</v>
      </c>
      <c r="D687" s="92">
        <v>558.14</v>
      </c>
    </row>
    <row r="688" spans="1:4" s="97" customFormat="1" ht="15" customHeight="1">
      <c r="A688" s="94" t="s">
        <v>9178</v>
      </c>
      <c r="B688" s="94" t="s">
        <v>9177</v>
      </c>
      <c r="C688" s="93" t="s">
        <v>7814</v>
      </c>
      <c r="D688" s="92">
        <v>558.14</v>
      </c>
    </row>
    <row r="689" spans="1:4" s="97" customFormat="1" ht="15" customHeight="1">
      <c r="A689" s="94" t="s">
        <v>9176</v>
      </c>
      <c r="B689" s="94" t="s">
        <v>9175</v>
      </c>
      <c r="C689" s="93" t="s">
        <v>7814</v>
      </c>
      <c r="D689" s="92">
        <v>474.2</v>
      </c>
    </row>
    <row r="690" spans="1:4" s="97" customFormat="1" ht="15" customHeight="1">
      <c r="A690" s="94" t="s">
        <v>9174</v>
      </c>
      <c r="B690" s="94" t="s">
        <v>9173</v>
      </c>
      <c r="C690" s="93" t="s">
        <v>7814</v>
      </c>
      <c r="D690" s="92">
        <v>473.77</v>
      </c>
    </row>
    <row r="691" spans="1:4" s="97" customFormat="1" ht="15" customHeight="1">
      <c r="A691" s="94" t="s">
        <v>9172</v>
      </c>
      <c r="B691" s="94" t="s">
        <v>9171</v>
      </c>
      <c r="C691" s="93" t="s">
        <v>7829</v>
      </c>
      <c r="D691" s="92">
        <v>217.9</v>
      </c>
    </row>
    <row r="692" spans="1:4" s="97" customFormat="1" ht="15" customHeight="1">
      <c r="A692" s="94" t="s">
        <v>9170</v>
      </c>
      <c r="B692" s="94" t="s">
        <v>9169</v>
      </c>
      <c r="C692" s="93" t="s">
        <v>7829</v>
      </c>
      <c r="D692" s="92">
        <v>103.94</v>
      </c>
    </row>
    <row r="693" spans="1:4" s="97" customFormat="1" ht="15" customHeight="1">
      <c r="A693" s="94" t="s">
        <v>9168</v>
      </c>
      <c r="B693" s="94" t="s">
        <v>9167</v>
      </c>
      <c r="C693" s="93" t="s">
        <v>7829</v>
      </c>
      <c r="D693" s="92">
        <v>99.24</v>
      </c>
    </row>
    <row r="694" spans="1:4" s="97" customFormat="1" ht="15" customHeight="1">
      <c r="A694" s="94" t="s">
        <v>9166</v>
      </c>
      <c r="B694" s="94" t="s">
        <v>9165</v>
      </c>
      <c r="C694" s="93" t="s">
        <v>7829</v>
      </c>
      <c r="D694" s="92">
        <v>99.27</v>
      </c>
    </row>
    <row r="695" spans="1:4" s="97" customFormat="1" ht="15" customHeight="1">
      <c r="A695" s="94" t="s">
        <v>9164</v>
      </c>
      <c r="B695" s="94" t="s">
        <v>9163</v>
      </c>
      <c r="C695" s="93" t="s">
        <v>7829</v>
      </c>
      <c r="D695" s="92">
        <v>269.20999999999998</v>
      </c>
    </row>
    <row r="696" spans="1:4" s="97" customFormat="1" ht="15" customHeight="1">
      <c r="A696" s="95" t="s">
        <v>9162</v>
      </c>
      <c r="B696" s="94" t="s">
        <v>9161</v>
      </c>
      <c r="C696" s="93" t="s">
        <v>7814</v>
      </c>
      <c r="D696" s="92">
        <v>360.49</v>
      </c>
    </row>
    <row r="697" spans="1:4" s="97" customFormat="1" ht="15" customHeight="1">
      <c r="A697" s="94" t="s">
        <v>9160</v>
      </c>
      <c r="B697" s="94" t="s">
        <v>9159</v>
      </c>
      <c r="C697" s="93" t="s">
        <v>7829</v>
      </c>
      <c r="D697" s="92">
        <v>90.58</v>
      </c>
    </row>
    <row r="698" spans="1:4" s="97" customFormat="1" ht="15" customHeight="1">
      <c r="A698" s="94" t="s">
        <v>9158</v>
      </c>
      <c r="B698" s="94" t="s">
        <v>9157</v>
      </c>
      <c r="C698" s="93" t="s">
        <v>7829</v>
      </c>
      <c r="D698" s="92">
        <v>90.29</v>
      </c>
    </row>
    <row r="699" spans="1:4" s="97" customFormat="1" ht="15" customHeight="1">
      <c r="A699" s="94" t="s">
        <v>9156</v>
      </c>
      <c r="B699" s="94" t="s">
        <v>9155</v>
      </c>
      <c r="C699" s="93" t="s">
        <v>7829</v>
      </c>
      <c r="D699" s="92">
        <v>90.37</v>
      </c>
    </row>
    <row r="700" spans="1:4" s="97" customFormat="1" ht="15" customHeight="1">
      <c r="A700" s="94" t="s">
        <v>9154</v>
      </c>
      <c r="B700" s="94" t="s">
        <v>9153</v>
      </c>
      <c r="C700" s="93" t="s">
        <v>7829</v>
      </c>
      <c r="D700" s="92">
        <v>91.22</v>
      </c>
    </row>
    <row r="701" spans="1:4" s="97" customFormat="1" ht="15" customHeight="1">
      <c r="A701" s="94" t="s">
        <v>9152</v>
      </c>
      <c r="B701" s="94" t="s">
        <v>9151</v>
      </c>
      <c r="C701" s="93" t="s">
        <v>7829</v>
      </c>
      <c r="D701" s="92">
        <v>90.27</v>
      </c>
    </row>
    <row r="702" spans="1:4" s="97" customFormat="1" ht="15" customHeight="1">
      <c r="A702" s="94" t="s">
        <v>9150</v>
      </c>
      <c r="B702" s="94" t="s">
        <v>9149</v>
      </c>
      <c r="C702" s="93" t="s">
        <v>7829</v>
      </c>
      <c r="D702" s="92">
        <v>90.29</v>
      </c>
    </row>
    <row r="703" spans="1:4" s="97" customFormat="1" ht="15" customHeight="1">
      <c r="A703" s="94" t="s">
        <v>9148</v>
      </c>
      <c r="B703" s="94" t="s">
        <v>9147</v>
      </c>
      <c r="C703" s="93" t="s">
        <v>7829</v>
      </c>
      <c r="D703" s="92">
        <v>90.58</v>
      </c>
    </row>
    <row r="704" spans="1:4" s="97" customFormat="1" ht="15" customHeight="1">
      <c r="A704" s="94" t="s">
        <v>9146</v>
      </c>
      <c r="B704" s="94" t="s">
        <v>9145</v>
      </c>
      <c r="C704" s="93" t="s">
        <v>7829</v>
      </c>
      <c r="D704" s="92">
        <v>90.58</v>
      </c>
    </row>
    <row r="705" spans="1:4" s="97" customFormat="1" ht="15" customHeight="1">
      <c r="A705" s="94" t="s">
        <v>9144</v>
      </c>
      <c r="B705" s="94" t="s">
        <v>9143</v>
      </c>
      <c r="C705" s="93" t="s">
        <v>7829</v>
      </c>
      <c r="D705" s="92">
        <v>90.29</v>
      </c>
    </row>
    <row r="706" spans="1:4" s="97" customFormat="1" ht="15" customHeight="1">
      <c r="A706" s="94" t="s">
        <v>9142</v>
      </c>
      <c r="B706" s="94" t="s">
        <v>9141</v>
      </c>
      <c r="C706" s="93" t="s">
        <v>7829</v>
      </c>
      <c r="D706" s="92">
        <v>90.29</v>
      </c>
    </row>
    <row r="707" spans="1:4" s="97" customFormat="1" ht="15" customHeight="1">
      <c r="A707" s="94" t="s">
        <v>9140</v>
      </c>
      <c r="B707" s="94" t="s">
        <v>9139</v>
      </c>
      <c r="C707" s="93" t="s">
        <v>7829</v>
      </c>
      <c r="D707" s="92">
        <v>94.5</v>
      </c>
    </row>
    <row r="708" spans="1:4" s="97" customFormat="1" ht="15" customHeight="1">
      <c r="A708" s="94" t="s">
        <v>9138</v>
      </c>
      <c r="B708" s="94" t="s">
        <v>9137</v>
      </c>
      <c r="C708" s="93" t="s">
        <v>7814</v>
      </c>
      <c r="D708" s="92">
        <v>140.26</v>
      </c>
    </row>
    <row r="709" spans="1:4" s="97" customFormat="1" ht="15" customHeight="1">
      <c r="A709" s="94" t="s">
        <v>9136</v>
      </c>
      <c r="B709" s="94" t="s">
        <v>9135</v>
      </c>
      <c r="C709" s="93" t="s">
        <v>7829</v>
      </c>
      <c r="D709" s="92">
        <v>16.84</v>
      </c>
    </row>
    <row r="710" spans="1:4" s="97" customFormat="1" ht="15" customHeight="1">
      <c r="A710" s="94" t="s">
        <v>9134</v>
      </c>
      <c r="B710" s="94" t="s">
        <v>9133</v>
      </c>
      <c r="C710" s="93" t="s">
        <v>7829</v>
      </c>
      <c r="D710" s="92">
        <v>25.85</v>
      </c>
    </row>
    <row r="711" spans="1:4" s="97" customFormat="1" ht="15" customHeight="1">
      <c r="A711" s="94" t="s">
        <v>9132</v>
      </c>
      <c r="B711" s="94" t="s">
        <v>9131</v>
      </c>
      <c r="C711" s="93" t="s">
        <v>7829</v>
      </c>
      <c r="D711" s="92">
        <v>22.19</v>
      </c>
    </row>
    <row r="712" spans="1:4" s="97" customFormat="1" ht="15" customHeight="1">
      <c r="A712" s="94" t="s">
        <v>9130</v>
      </c>
      <c r="B712" s="94" t="s">
        <v>9129</v>
      </c>
      <c r="C712" s="93" t="s">
        <v>7814</v>
      </c>
      <c r="D712" s="92">
        <v>274.39</v>
      </c>
    </row>
    <row r="713" spans="1:4" s="97" customFormat="1" ht="15" customHeight="1">
      <c r="A713" s="94" t="s">
        <v>9128</v>
      </c>
      <c r="B713" s="94" t="s">
        <v>9127</v>
      </c>
      <c r="C713" s="93" t="s">
        <v>7829</v>
      </c>
      <c r="D713" s="92">
        <v>348.96</v>
      </c>
    </row>
    <row r="714" spans="1:4" s="97" customFormat="1" ht="15" customHeight="1">
      <c r="A714" s="94" t="s">
        <v>9126</v>
      </c>
      <c r="B714" s="94" t="s">
        <v>9125</v>
      </c>
      <c r="C714" s="93" t="s">
        <v>7814</v>
      </c>
      <c r="D714" s="92">
        <v>107.52</v>
      </c>
    </row>
    <row r="715" spans="1:4" s="97" customFormat="1" ht="15" customHeight="1">
      <c r="A715" s="94" t="s">
        <v>9124</v>
      </c>
      <c r="B715" s="94" t="s">
        <v>9123</v>
      </c>
      <c r="C715" s="93" t="s">
        <v>7829</v>
      </c>
      <c r="D715" s="92">
        <v>76.22</v>
      </c>
    </row>
    <row r="716" spans="1:4" s="97" customFormat="1" ht="15" customHeight="1">
      <c r="A716" s="94" t="s">
        <v>9122</v>
      </c>
      <c r="B716" s="94" t="s">
        <v>9121</v>
      </c>
      <c r="C716" s="93" t="s">
        <v>7814</v>
      </c>
      <c r="D716" s="92">
        <v>225.98</v>
      </c>
    </row>
    <row r="717" spans="1:4" s="97" customFormat="1" ht="15" customHeight="1">
      <c r="A717" s="94" t="s">
        <v>9120</v>
      </c>
      <c r="B717" s="94" t="s">
        <v>9119</v>
      </c>
      <c r="C717" s="93" t="s">
        <v>7814</v>
      </c>
      <c r="D717" s="92">
        <v>226.1</v>
      </c>
    </row>
    <row r="718" spans="1:4" s="97" customFormat="1" ht="15" customHeight="1">
      <c r="A718" s="94" t="s">
        <v>9118</v>
      </c>
      <c r="B718" s="94" t="s">
        <v>9117</v>
      </c>
      <c r="C718" s="93" t="s">
        <v>7814</v>
      </c>
      <c r="D718" s="92">
        <v>225.98</v>
      </c>
    </row>
    <row r="719" spans="1:4" s="97" customFormat="1" ht="15" customHeight="1">
      <c r="A719" s="94" t="s">
        <v>9116</v>
      </c>
      <c r="B719" s="94" t="s">
        <v>9115</v>
      </c>
      <c r="C719" s="93" t="s">
        <v>7814</v>
      </c>
      <c r="D719" s="92">
        <v>165.68</v>
      </c>
    </row>
    <row r="720" spans="1:4" s="97" customFormat="1" ht="15" customHeight="1">
      <c r="A720" s="94" t="s">
        <v>9114</v>
      </c>
      <c r="B720" s="94" t="s">
        <v>9113</v>
      </c>
      <c r="C720" s="93" t="s">
        <v>7814</v>
      </c>
      <c r="D720" s="92">
        <v>194.2</v>
      </c>
    </row>
    <row r="721" spans="1:4" s="97" customFormat="1" ht="15" customHeight="1">
      <c r="A721" s="94" t="s">
        <v>9112</v>
      </c>
      <c r="B721" s="94" t="s">
        <v>9111</v>
      </c>
      <c r="C721" s="93" t="s">
        <v>7814</v>
      </c>
      <c r="D721" s="92">
        <v>168.83</v>
      </c>
    </row>
    <row r="722" spans="1:4" s="97" customFormat="1" ht="15" customHeight="1">
      <c r="A722" s="94" t="s">
        <v>9110</v>
      </c>
      <c r="B722" s="94" t="s">
        <v>9109</v>
      </c>
      <c r="C722" s="93" t="s">
        <v>7814</v>
      </c>
      <c r="D722" s="92">
        <v>198.68</v>
      </c>
    </row>
    <row r="723" spans="1:4" s="97" customFormat="1" ht="15" customHeight="1">
      <c r="A723" s="94" t="s">
        <v>9108</v>
      </c>
      <c r="B723" s="94" t="s">
        <v>9107</v>
      </c>
      <c r="C723" s="93" t="s">
        <v>7814</v>
      </c>
      <c r="D723" s="92">
        <v>198.68</v>
      </c>
    </row>
    <row r="724" spans="1:4" s="97" customFormat="1" ht="15" customHeight="1">
      <c r="A724" s="94" t="s">
        <v>9106</v>
      </c>
      <c r="B724" s="94" t="s">
        <v>9105</v>
      </c>
      <c r="C724" s="93" t="s">
        <v>7814</v>
      </c>
      <c r="D724" s="92">
        <v>192.35</v>
      </c>
    </row>
    <row r="725" spans="1:4" s="97" customFormat="1" ht="15" customHeight="1">
      <c r="A725" s="94" t="s">
        <v>9104</v>
      </c>
      <c r="B725" s="94" t="s">
        <v>9102</v>
      </c>
      <c r="C725" s="93" t="s">
        <v>7814</v>
      </c>
      <c r="D725" s="92">
        <v>254.22</v>
      </c>
    </row>
    <row r="726" spans="1:4" s="97" customFormat="1" ht="15" customHeight="1">
      <c r="A726" s="94" t="s">
        <v>9103</v>
      </c>
      <c r="B726" s="94" t="s">
        <v>9102</v>
      </c>
      <c r="C726" s="93" t="s">
        <v>7814</v>
      </c>
      <c r="D726" s="92">
        <v>217.49</v>
      </c>
    </row>
    <row r="727" spans="1:4" s="97" customFormat="1" ht="15" customHeight="1">
      <c r="A727" s="94" t="s">
        <v>9101</v>
      </c>
      <c r="B727" s="94" t="s">
        <v>9100</v>
      </c>
      <c r="C727" s="93" t="s">
        <v>7814</v>
      </c>
      <c r="D727" s="92">
        <v>246.51</v>
      </c>
    </row>
    <row r="728" spans="1:4" s="97" customFormat="1" ht="15" customHeight="1">
      <c r="A728" s="94" t="s">
        <v>9099</v>
      </c>
      <c r="B728" s="94" t="s">
        <v>9098</v>
      </c>
      <c r="C728" s="93" t="s">
        <v>7814</v>
      </c>
      <c r="D728" s="92">
        <v>221.4</v>
      </c>
    </row>
    <row r="729" spans="1:4" s="97" customFormat="1" ht="15" customHeight="1">
      <c r="A729" s="94" t="s">
        <v>9097</v>
      </c>
      <c r="B729" s="94" t="s">
        <v>9095</v>
      </c>
      <c r="C729" s="93" t="s">
        <v>7814</v>
      </c>
      <c r="D729" s="92">
        <v>254.22</v>
      </c>
    </row>
    <row r="730" spans="1:4" s="97" customFormat="1" ht="15" customHeight="1">
      <c r="A730" s="94" t="s">
        <v>9096</v>
      </c>
      <c r="B730" s="94" t="s">
        <v>9095</v>
      </c>
      <c r="C730" s="93" t="s">
        <v>7814</v>
      </c>
      <c r="D730" s="92">
        <v>217.49</v>
      </c>
    </row>
    <row r="731" spans="1:4" s="97" customFormat="1" ht="15" customHeight="1">
      <c r="A731" s="94" t="s">
        <v>9094</v>
      </c>
      <c r="B731" s="94" t="s">
        <v>9092</v>
      </c>
      <c r="C731" s="93" t="s">
        <v>7814</v>
      </c>
      <c r="D731" s="92">
        <v>254.22</v>
      </c>
    </row>
    <row r="732" spans="1:4" s="97" customFormat="1" ht="15" customHeight="1">
      <c r="A732" s="94" t="s">
        <v>9093</v>
      </c>
      <c r="B732" s="94" t="s">
        <v>9092</v>
      </c>
      <c r="C732" s="93" t="s">
        <v>7814</v>
      </c>
      <c r="D732" s="92">
        <v>221.51</v>
      </c>
    </row>
    <row r="733" spans="1:4" s="97" customFormat="1" ht="15" customHeight="1">
      <c r="A733" s="94" t="s">
        <v>9091</v>
      </c>
      <c r="B733" s="94" t="s">
        <v>9090</v>
      </c>
      <c r="C733" s="93" t="s">
        <v>7814</v>
      </c>
      <c r="D733" s="92">
        <v>217.49</v>
      </c>
    </row>
    <row r="734" spans="1:4" s="97" customFormat="1" ht="15" customHeight="1">
      <c r="A734" s="94" t="s">
        <v>9089</v>
      </c>
      <c r="B734" s="94" t="s">
        <v>9087</v>
      </c>
      <c r="C734" s="93" t="s">
        <v>7814</v>
      </c>
      <c r="D734" s="92">
        <v>246.49</v>
      </c>
    </row>
    <row r="735" spans="1:4" s="97" customFormat="1" ht="15" customHeight="1">
      <c r="A735" s="94" t="s">
        <v>9088</v>
      </c>
      <c r="B735" s="94" t="s">
        <v>9087</v>
      </c>
      <c r="C735" s="93" t="s">
        <v>7814</v>
      </c>
      <c r="D735" s="92">
        <v>221.36</v>
      </c>
    </row>
    <row r="736" spans="1:4" s="97" customFormat="1" ht="15" customHeight="1">
      <c r="A736" s="94" t="s">
        <v>9086</v>
      </c>
      <c r="B736" s="94" t="s">
        <v>9085</v>
      </c>
      <c r="C736" s="93" t="s">
        <v>7814</v>
      </c>
      <c r="D736" s="92">
        <v>228.61</v>
      </c>
    </row>
    <row r="737" spans="1:4" s="97" customFormat="1" ht="15" customHeight="1">
      <c r="A737" s="94" t="s">
        <v>9084</v>
      </c>
      <c r="B737" s="94" t="s">
        <v>9083</v>
      </c>
      <c r="C737" s="93" t="s">
        <v>7814</v>
      </c>
      <c r="D737" s="92">
        <v>228.61</v>
      </c>
    </row>
    <row r="738" spans="1:4" s="97" customFormat="1" ht="15" customHeight="1">
      <c r="A738" s="94" t="s">
        <v>9082</v>
      </c>
      <c r="B738" s="94" t="s">
        <v>9081</v>
      </c>
      <c r="C738" s="93" t="s">
        <v>7829</v>
      </c>
      <c r="D738" s="92">
        <v>55.02</v>
      </c>
    </row>
    <row r="739" spans="1:4" s="97" customFormat="1" ht="15" customHeight="1">
      <c r="A739" s="94" t="s">
        <v>9080</v>
      </c>
      <c r="B739" s="94" t="s">
        <v>9079</v>
      </c>
      <c r="C739" s="93" t="s">
        <v>7814</v>
      </c>
      <c r="D739" s="92">
        <v>144.37</v>
      </c>
    </row>
    <row r="740" spans="1:4" s="97" customFormat="1" ht="15" customHeight="1">
      <c r="A740" s="94" t="s">
        <v>9078</v>
      </c>
      <c r="B740" s="94" t="s">
        <v>9077</v>
      </c>
      <c r="C740" s="93" t="s">
        <v>7829</v>
      </c>
      <c r="D740" s="92">
        <v>89.55</v>
      </c>
    </row>
    <row r="741" spans="1:4" s="97" customFormat="1" ht="15" customHeight="1">
      <c r="A741" s="94" t="s">
        <v>9076</v>
      </c>
      <c r="B741" s="94" t="s">
        <v>9075</v>
      </c>
      <c r="C741" s="93" t="s">
        <v>7829</v>
      </c>
      <c r="D741" s="92">
        <v>56.45</v>
      </c>
    </row>
    <row r="742" spans="1:4" s="97" customFormat="1" ht="15" customHeight="1">
      <c r="A742" s="94" t="s">
        <v>9074</v>
      </c>
      <c r="B742" s="94" t="s">
        <v>9073</v>
      </c>
      <c r="C742" s="93" t="s">
        <v>7814</v>
      </c>
      <c r="D742" s="92">
        <v>354.18</v>
      </c>
    </row>
    <row r="743" spans="1:4" s="97" customFormat="1" ht="15" customHeight="1">
      <c r="A743" s="94" t="s">
        <v>9072</v>
      </c>
      <c r="B743" s="94" t="s">
        <v>9071</v>
      </c>
      <c r="C743" s="93" t="s">
        <v>7814</v>
      </c>
      <c r="D743" s="92">
        <v>354.18</v>
      </c>
    </row>
    <row r="744" spans="1:4" s="97" customFormat="1" ht="15" customHeight="1">
      <c r="A744" s="94" t="s">
        <v>9070</v>
      </c>
      <c r="B744" s="94" t="s">
        <v>9069</v>
      </c>
      <c r="C744" s="93" t="s">
        <v>7814</v>
      </c>
      <c r="D744" s="92">
        <v>354.18</v>
      </c>
    </row>
    <row r="745" spans="1:4" s="97" customFormat="1" ht="15" customHeight="1">
      <c r="A745" s="94" t="s">
        <v>9068</v>
      </c>
      <c r="B745" s="94" t="s">
        <v>9067</v>
      </c>
      <c r="C745" s="93" t="s">
        <v>7814</v>
      </c>
      <c r="D745" s="92">
        <v>356.07</v>
      </c>
    </row>
    <row r="746" spans="1:4" s="97" customFormat="1" ht="15" customHeight="1">
      <c r="A746" s="94" t="s">
        <v>9066</v>
      </c>
      <c r="B746" s="94" t="s">
        <v>9065</v>
      </c>
      <c r="C746" s="93" t="s">
        <v>7814</v>
      </c>
      <c r="D746" s="92">
        <v>356.38</v>
      </c>
    </row>
    <row r="747" spans="1:4" s="97" customFormat="1" ht="15" customHeight="1">
      <c r="A747" s="94" t="s">
        <v>9064</v>
      </c>
      <c r="B747" s="94" t="s">
        <v>9063</v>
      </c>
      <c r="C747" s="93" t="s">
        <v>7814</v>
      </c>
      <c r="D747" s="92">
        <v>354.18</v>
      </c>
    </row>
    <row r="748" spans="1:4" s="97" customFormat="1" ht="15" customHeight="1">
      <c r="A748" s="94" t="s">
        <v>9062</v>
      </c>
      <c r="B748" s="94" t="s">
        <v>9061</v>
      </c>
      <c r="C748" s="93" t="s">
        <v>7814</v>
      </c>
      <c r="D748" s="92">
        <v>356.81</v>
      </c>
    </row>
    <row r="749" spans="1:4" s="97" customFormat="1" ht="15" customHeight="1">
      <c r="A749" s="94" t="s">
        <v>9060</v>
      </c>
      <c r="B749" s="94" t="s">
        <v>9059</v>
      </c>
      <c r="C749" s="93" t="s">
        <v>7814</v>
      </c>
      <c r="D749" s="92">
        <v>118.39</v>
      </c>
    </row>
    <row r="750" spans="1:4" s="97" customFormat="1" ht="15" customHeight="1">
      <c r="A750" s="94" t="s">
        <v>9058</v>
      </c>
      <c r="B750" s="94" t="s">
        <v>9057</v>
      </c>
      <c r="C750" s="93" t="s">
        <v>7814</v>
      </c>
      <c r="D750" s="92">
        <v>121.92</v>
      </c>
    </row>
    <row r="751" spans="1:4" s="97" customFormat="1" ht="15" customHeight="1">
      <c r="A751" s="94" t="s">
        <v>9056</v>
      </c>
      <c r="B751" s="94" t="s">
        <v>9055</v>
      </c>
      <c r="C751" s="93" t="s">
        <v>7814</v>
      </c>
      <c r="D751" s="92">
        <v>119.5</v>
      </c>
    </row>
    <row r="752" spans="1:4" s="97" customFormat="1" ht="15" customHeight="1">
      <c r="A752" s="94" t="s">
        <v>9054</v>
      </c>
      <c r="B752" s="94" t="s">
        <v>9053</v>
      </c>
      <c r="C752" s="93" t="s">
        <v>7814</v>
      </c>
      <c r="D752" s="92">
        <v>119.5</v>
      </c>
    </row>
    <row r="753" spans="1:4" s="97" customFormat="1" ht="15" customHeight="1">
      <c r="A753" s="94" t="s">
        <v>9052</v>
      </c>
      <c r="B753" s="94" t="s">
        <v>9051</v>
      </c>
      <c r="C753" s="93" t="s">
        <v>7814</v>
      </c>
      <c r="D753" s="92">
        <v>119.04</v>
      </c>
    </row>
    <row r="754" spans="1:4" s="97" customFormat="1" ht="15" customHeight="1">
      <c r="A754" s="94" t="s">
        <v>9050</v>
      </c>
      <c r="B754" s="94" t="s">
        <v>9049</v>
      </c>
      <c r="C754" s="93" t="s">
        <v>7814</v>
      </c>
      <c r="D754" s="92">
        <v>118.88</v>
      </c>
    </row>
    <row r="755" spans="1:4" s="97" customFormat="1" ht="15" customHeight="1">
      <c r="A755" s="94" t="s">
        <v>9048</v>
      </c>
      <c r="B755" s="94" t="s">
        <v>9047</v>
      </c>
      <c r="C755" s="93" t="s">
        <v>7814</v>
      </c>
      <c r="D755" s="92">
        <v>119.5</v>
      </c>
    </row>
    <row r="756" spans="1:4" s="97" customFormat="1" ht="15" customHeight="1">
      <c r="A756" s="94" t="s">
        <v>9046</v>
      </c>
      <c r="B756" s="94" t="s">
        <v>9045</v>
      </c>
      <c r="C756" s="93" t="s">
        <v>7814</v>
      </c>
      <c r="D756" s="92">
        <v>118.88</v>
      </c>
    </row>
    <row r="757" spans="1:4" s="97" customFormat="1" ht="15" customHeight="1">
      <c r="A757" s="94" t="s">
        <v>9044</v>
      </c>
      <c r="B757" s="94" t="s">
        <v>9043</v>
      </c>
      <c r="C757" s="93" t="s">
        <v>7814</v>
      </c>
      <c r="D757" s="92">
        <v>119.53</v>
      </c>
    </row>
    <row r="758" spans="1:4" s="97" customFormat="1" ht="15" customHeight="1">
      <c r="A758" s="94" t="s">
        <v>9042</v>
      </c>
      <c r="B758" s="94" t="s">
        <v>9041</v>
      </c>
      <c r="C758" s="93" t="s">
        <v>7814</v>
      </c>
      <c r="D758" s="92">
        <v>119.5</v>
      </c>
    </row>
    <row r="759" spans="1:4" s="97" customFormat="1" ht="15" customHeight="1">
      <c r="A759" s="94" t="s">
        <v>9040</v>
      </c>
      <c r="B759" s="94" t="s">
        <v>9039</v>
      </c>
      <c r="C759" s="93" t="s">
        <v>7814</v>
      </c>
      <c r="D759" s="92">
        <v>118.88</v>
      </c>
    </row>
    <row r="760" spans="1:4" s="97" customFormat="1" ht="15" customHeight="1">
      <c r="A760" s="94" t="s">
        <v>9038</v>
      </c>
      <c r="B760" s="94" t="s">
        <v>9037</v>
      </c>
      <c r="C760" s="93" t="s">
        <v>7829</v>
      </c>
      <c r="D760" s="92">
        <v>43.63</v>
      </c>
    </row>
    <row r="761" spans="1:4" s="97" customFormat="1" ht="15" customHeight="1">
      <c r="A761" s="94" t="s">
        <v>9036</v>
      </c>
      <c r="B761" s="94" t="s">
        <v>9035</v>
      </c>
      <c r="C761" s="93" t="s">
        <v>7829</v>
      </c>
      <c r="D761" s="92">
        <v>43.63</v>
      </c>
    </row>
    <row r="762" spans="1:4" s="97" customFormat="1" ht="15" customHeight="1">
      <c r="A762" s="94" t="s">
        <v>9034</v>
      </c>
      <c r="B762" s="94" t="s">
        <v>9033</v>
      </c>
      <c r="C762" s="93" t="s">
        <v>7814</v>
      </c>
      <c r="D762" s="92">
        <v>23.97</v>
      </c>
    </row>
    <row r="763" spans="1:4" s="97" customFormat="1" ht="15" customHeight="1">
      <c r="A763" s="94" t="s">
        <v>9032</v>
      </c>
      <c r="B763" s="94" t="s">
        <v>9031</v>
      </c>
      <c r="C763" s="93" t="s">
        <v>7814</v>
      </c>
      <c r="D763" s="92">
        <v>42.99</v>
      </c>
    </row>
    <row r="764" spans="1:4" s="97" customFormat="1" ht="15" customHeight="1">
      <c r="A764" s="94" t="s">
        <v>9030</v>
      </c>
      <c r="B764" s="94" t="s">
        <v>9029</v>
      </c>
      <c r="C764" s="93" t="s">
        <v>7814</v>
      </c>
      <c r="D764" s="92">
        <v>360.44</v>
      </c>
    </row>
    <row r="765" spans="1:4" s="97" customFormat="1" ht="15" customHeight="1">
      <c r="A765" s="94" t="s">
        <v>9028</v>
      </c>
      <c r="B765" s="94" t="s">
        <v>9027</v>
      </c>
      <c r="C765" s="93" t="s">
        <v>7814</v>
      </c>
      <c r="D765" s="92">
        <v>360.59</v>
      </c>
    </row>
    <row r="766" spans="1:4" s="97" customFormat="1" ht="15" customHeight="1">
      <c r="A766" s="94" t="s">
        <v>9026</v>
      </c>
      <c r="B766" s="94" t="s">
        <v>9025</v>
      </c>
      <c r="C766" s="93" t="s">
        <v>7814</v>
      </c>
      <c r="D766" s="92">
        <v>360.59</v>
      </c>
    </row>
    <row r="767" spans="1:4" s="97" customFormat="1" ht="15" customHeight="1">
      <c r="A767" s="94" t="s">
        <v>9024</v>
      </c>
      <c r="B767" s="94" t="s">
        <v>9023</v>
      </c>
      <c r="C767" s="93" t="s">
        <v>7814</v>
      </c>
      <c r="D767" s="92">
        <v>360.77</v>
      </c>
    </row>
    <row r="768" spans="1:4" s="97" customFormat="1" ht="15" customHeight="1">
      <c r="A768" s="94" t="s">
        <v>9022</v>
      </c>
      <c r="B768" s="94" t="s">
        <v>9021</v>
      </c>
      <c r="C768" s="93" t="s">
        <v>7814</v>
      </c>
      <c r="D768" s="92">
        <v>362.1</v>
      </c>
    </row>
    <row r="769" spans="1:4" s="97" customFormat="1" ht="15" customHeight="1">
      <c r="A769" s="94" t="s">
        <v>9020</v>
      </c>
      <c r="B769" s="94" t="s">
        <v>9019</v>
      </c>
      <c r="C769" s="93" t="s">
        <v>7829</v>
      </c>
      <c r="D769" s="92">
        <v>367.96</v>
      </c>
    </row>
    <row r="770" spans="1:4" s="97" customFormat="1" ht="15" customHeight="1">
      <c r="A770" s="94" t="s">
        <v>9018</v>
      </c>
      <c r="B770" s="94" t="s">
        <v>9017</v>
      </c>
      <c r="C770" s="93" t="s">
        <v>7814</v>
      </c>
      <c r="D770" s="92">
        <v>360.59</v>
      </c>
    </row>
    <row r="771" spans="1:4" s="97" customFormat="1" ht="15" customHeight="1">
      <c r="A771" s="94" t="s">
        <v>9016</v>
      </c>
      <c r="B771" s="94" t="s">
        <v>9015</v>
      </c>
      <c r="C771" s="93" t="s">
        <v>7814</v>
      </c>
      <c r="D771" s="92">
        <v>360.44</v>
      </c>
    </row>
    <row r="772" spans="1:4" s="97" customFormat="1" ht="15" customHeight="1">
      <c r="A772" s="94" t="s">
        <v>9014</v>
      </c>
      <c r="B772" s="94" t="s">
        <v>9013</v>
      </c>
      <c r="C772" s="93" t="s">
        <v>7814</v>
      </c>
      <c r="D772" s="92">
        <v>360.59</v>
      </c>
    </row>
    <row r="773" spans="1:4" s="97" customFormat="1" ht="15" customHeight="1">
      <c r="A773" s="94" t="s">
        <v>9012</v>
      </c>
      <c r="B773" s="94" t="s">
        <v>9011</v>
      </c>
      <c r="C773" s="93" t="s">
        <v>7814</v>
      </c>
      <c r="D773" s="92">
        <v>653.16</v>
      </c>
    </row>
    <row r="774" spans="1:4" s="97" customFormat="1" ht="15" customHeight="1">
      <c r="A774" s="94" t="s">
        <v>9010</v>
      </c>
      <c r="B774" s="94" t="s">
        <v>9009</v>
      </c>
      <c r="C774" s="93" t="s">
        <v>7814</v>
      </c>
      <c r="D774" s="92">
        <v>653.80999999999995</v>
      </c>
    </row>
    <row r="775" spans="1:4" s="97" customFormat="1" ht="15" customHeight="1">
      <c r="A775" s="94" t="s">
        <v>9008</v>
      </c>
      <c r="B775" s="94" t="s">
        <v>9007</v>
      </c>
      <c r="C775" s="93" t="s">
        <v>7814</v>
      </c>
      <c r="D775" s="92">
        <v>653.48</v>
      </c>
    </row>
    <row r="776" spans="1:4" s="97" customFormat="1" ht="15" customHeight="1">
      <c r="A776" s="94" t="s">
        <v>9006</v>
      </c>
      <c r="B776" s="94" t="s">
        <v>9005</v>
      </c>
      <c r="C776" s="93" t="s">
        <v>7814</v>
      </c>
      <c r="D776" s="92">
        <v>653.16</v>
      </c>
    </row>
    <row r="777" spans="1:4" s="97" customFormat="1" ht="15" customHeight="1">
      <c r="A777" s="94" t="s">
        <v>9004</v>
      </c>
      <c r="B777" s="94" t="s">
        <v>9003</v>
      </c>
      <c r="C777" s="93" t="s">
        <v>7814</v>
      </c>
      <c r="D777" s="92">
        <v>653.48</v>
      </c>
    </row>
    <row r="778" spans="1:4" s="97" customFormat="1" ht="15" customHeight="1">
      <c r="A778" s="94" t="s">
        <v>9002</v>
      </c>
      <c r="B778" s="94" t="s">
        <v>9001</v>
      </c>
      <c r="C778" s="93" t="s">
        <v>7814</v>
      </c>
      <c r="D778" s="92">
        <v>1086.8599999999999</v>
      </c>
    </row>
    <row r="779" spans="1:4" s="97" customFormat="1" ht="15" customHeight="1">
      <c r="A779" s="94" t="s">
        <v>9000</v>
      </c>
      <c r="B779" s="94" t="s">
        <v>8999</v>
      </c>
      <c r="C779" s="93" t="s">
        <v>7814</v>
      </c>
      <c r="D779" s="92">
        <v>1120.72</v>
      </c>
    </row>
    <row r="780" spans="1:4" s="97" customFormat="1" ht="15" customHeight="1">
      <c r="A780" s="94" t="s">
        <v>8998</v>
      </c>
      <c r="B780" s="94" t="s">
        <v>8997</v>
      </c>
      <c r="C780" s="93" t="s">
        <v>7814</v>
      </c>
      <c r="D780" s="92">
        <v>1088.18</v>
      </c>
    </row>
    <row r="781" spans="1:4" s="97" customFormat="1" ht="15" customHeight="1">
      <c r="A781" s="94" t="s">
        <v>8996</v>
      </c>
      <c r="B781" s="94" t="s">
        <v>8995</v>
      </c>
      <c r="C781" s="93" t="s">
        <v>7814</v>
      </c>
      <c r="D781" s="92">
        <v>1087.52</v>
      </c>
    </row>
    <row r="782" spans="1:4" s="97" customFormat="1" ht="15" customHeight="1">
      <c r="A782" s="94" t="s">
        <v>8994</v>
      </c>
      <c r="B782" s="94" t="s">
        <v>8993</v>
      </c>
      <c r="C782" s="93" t="s">
        <v>7814</v>
      </c>
      <c r="D782" s="92">
        <v>1086.8599999999999</v>
      </c>
    </row>
    <row r="783" spans="1:4" s="97" customFormat="1" ht="15" customHeight="1">
      <c r="A783" s="94" t="s">
        <v>8992</v>
      </c>
      <c r="B783" s="94" t="s">
        <v>8991</v>
      </c>
      <c r="C783" s="93" t="s">
        <v>7829</v>
      </c>
      <c r="D783" s="92">
        <v>11.27</v>
      </c>
    </row>
    <row r="784" spans="1:4" s="97" customFormat="1" ht="15" customHeight="1">
      <c r="A784" s="94" t="s">
        <v>8990</v>
      </c>
      <c r="B784" s="94" t="s">
        <v>8989</v>
      </c>
      <c r="C784" s="93" t="s">
        <v>7829</v>
      </c>
      <c r="D784" s="92">
        <v>12.93</v>
      </c>
    </row>
    <row r="785" spans="1:4" s="97" customFormat="1" ht="15" customHeight="1">
      <c r="A785" s="94" t="s">
        <v>8988</v>
      </c>
      <c r="B785" s="94" t="s">
        <v>8987</v>
      </c>
      <c r="C785" s="93" t="s">
        <v>7829</v>
      </c>
      <c r="D785" s="92">
        <v>68.489999999999995</v>
      </c>
    </row>
    <row r="786" spans="1:4" s="97" customFormat="1" ht="15" customHeight="1">
      <c r="A786" s="94" t="s">
        <v>8986</v>
      </c>
      <c r="B786" s="94" t="s">
        <v>8985</v>
      </c>
      <c r="C786" s="93" t="s">
        <v>7814</v>
      </c>
      <c r="D786" s="92">
        <v>1278.45</v>
      </c>
    </row>
    <row r="787" spans="1:4" s="97" customFormat="1" ht="15" customHeight="1">
      <c r="A787" s="94" t="s">
        <v>8984</v>
      </c>
      <c r="B787" s="94" t="s">
        <v>8983</v>
      </c>
      <c r="C787" s="93" t="s">
        <v>7814</v>
      </c>
      <c r="D787" s="92">
        <v>1384.55</v>
      </c>
    </row>
    <row r="788" spans="1:4" s="97" customFormat="1" ht="15" customHeight="1">
      <c r="A788" s="94" t="s">
        <v>8982</v>
      </c>
      <c r="B788" s="94" t="s">
        <v>8981</v>
      </c>
      <c r="C788" s="93" t="s">
        <v>7829</v>
      </c>
      <c r="D788" s="92">
        <v>43.05</v>
      </c>
    </row>
    <row r="789" spans="1:4" s="97" customFormat="1" ht="15" customHeight="1">
      <c r="A789" s="94" t="s">
        <v>8980</v>
      </c>
      <c r="B789" s="94" t="s">
        <v>8979</v>
      </c>
      <c r="C789" s="93" t="s">
        <v>7829</v>
      </c>
      <c r="D789" s="92">
        <v>11.27</v>
      </c>
    </row>
    <row r="790" spans="1:4" s="97" customFormat="1" ht="15" customHeight="1">
      <c r="A790" s="94" t="s">
        <v>8978</v>
      </c>
      <c r="B790" s="94" t="s">
        <v>8977</v>
      </c>
      <c r="C790" s="93" t="s">
        <v>7829</v>
      </c>
      <c r="D790" s="92">
        <v>13.71</v>
      </c>
    </row>
    <row r="791" spans="1:4" s="97" customFormat="1" ht="15" customHeight="1">
      <c r="A791" s="94" t="s">
        <v>8976</v>
      </c>
      <c r="B791" s="94" t="s">
        <v>8975</v>
      </c>
      <c r="C791" s="93" t="s">
        <v>7829</v>
      </c>
      <c r="D791" s="92">
        <v>41.68</v>
      </c>
    </row>
    <row r="792" spans="1:4" s="97" customFormat="1" ht="15" customHeight="1">
      <c r="A792" s="94" t="s">
        <v>8974</v>
      </c>
      <c r="B792" s="94" t="s">
        <v>8973</v>
      </c>
      <c r="C792" s="93" t="s">
        <v>7829</v>
      </c>
      <c r="D792" s="92">
        <v>70.97</v>
      </c>
    </row>
    <row r="793" spans="1:4" s="97" customFormat="1" ht="15" customHeight="1">
      <c r="A793" s="94" t="s">
        <v>8972</v>
      </c>
      <c r="B793" s="94" t="s">
        <v>8971</v>
      </c>
      <c r="C793" s="93" t="s">
        <v>7829</v>
      </c>
      <c r="D793" s="92">
        <v>12.21</v>
      </c>
    </row>
    <row r="794" spans="1:4" s="97" customFormat="1" ht="15" customHeight="1">
      <c r="A794" s="94" t="s">
        <v>8970</v>
      </c>
      <c r="B794" s="94" t="s">
        <v>8969</v>
      </c>
      <c r="C794" s="93" t="s">
        <v>7829</v>
      </c>
      <c r="D794" s="92">
        <v>12.89</v>
      </c>
    </row>
    <row r="795" spans="1:4" s="97" customFormat="1" ht="15" customHeight="1">
      <c r="A795" s="94" t="s">
        <v>8968</v>
      </c>
      <c r="B795" s="94" t="s">
        <v>8967</v>
      </c>
      <c r="C795" s="93" t="s">
        <v>7814</v>
      </c>
      <c r="D795" s="92">
        <v>59.78</v>
      </c>
    </row>
    <row r="796" spans="1:4" s="97" customFormat="1" ht="15" customHeight="1">
      <c r="A796" s="94" t="s">
        <v>8966</v>
      </c>
      <c r="B796" s="94" t="s">
        <v>8965</v>
      </c>
      <c r="C796" s="93" t="s">
        <v>7814</v>
      </c>
      <c r="D796" s="92">
        <v>80.900000000000006</v>
      </c>
    </row>
    <row r="797" spans="1:4" s="97" customFormat="1" ht="15" customHeight="1">
      <c r="A797" s="94" t="s">
        <v>8964</v>
      </c>
      <c r="B797" s="94" t="s">
        <v>8963</v>
      </c>
      <c r="C797" s="93" t="s">
        <v>7814</v>
      </c>
      <c r="D797" s="92">
        <v>80.930000000000007</v>
      </c>
    </row>
    <row r="798" spans="1:4" s="97" customFormat="1" ht="15" customHeight="1">
      <c r="A798" s="94" t="s">
        <v>8962</v>
      </c>
      <c r="B798" s="94" t="s">
        <v>8961</v>
      </c>
      <c r="C798" s="93" t="s">
        <v>7814</v>
      </c>
      <c r="D798" s="92">
        <v>80.959999999999994</v>
      </c>
    </row>
    <row r="799" spans="1:4" s="97" customFormat="1" ht="15" customHeight="1">
      <c r="A799" s="94" t="s">
        <v>8960</v>
      </c>
      <c r="B799" s="94" t="s">
        <v>8959</v>
      </c>
      <c r="C799" s="93" t="s">
        <v>7814</v>
      </c>
      <c r="D799" s="92">
        <v>100.65</v>
      </c>
    </row>
    <row r="800" spans="1:4" s="97" customFormat="1" ht="15" customHeight="1">
      <c r="A800" s="94" t="s">
        <v>8958</v>
      </c>
      <c r="B800" s="94" t="s">
        <v>8957</v>
      </c>
      <c r="C800" s="93" t="s">
        <v>7814</v>
      </c>
      <c r="D800" s="92">
        <v>102.13</v>
      </c>
    </row>
    <row r="801" spans="1:4" s="97" customFormat="1" ht="15" customHeight="1">
      <c r="A801" s="94" t="s">
        <v>8956</v>
      </c>
      <c r="B801" s="94" t="s">
        <v>8955</v>
      </c>
      <c r="C801" s="93" t="s">
        <v>7814</v>
      </c>
      <c r="D801" s="92">
        <v>117.12</v>
      </c>
    </row>
    <row r="802" spans="1:4" s="97" customFormat="1" ht="15" customHeight="1">
      <c r="A802" s="94" t="s">
        <v>8954</v>
      </c>
      <c r="B802" s="94" t="s">
        <v>8953</v>
      </c>
      <c r="C802" s="93" t="s">
        <v>7829</v>
      </c>
      <c r="D802" s="92">
        <v>34.49</v>
      </c>
    </row>
    <row r="803" spans="1:4" s="97" customFormat="1" ht="15" customHeight="1">
      <c r="A803" s="94" t="s">
        <v>8952</v>
      </c>
      <c r="B803" s="94" t="s">
        <v>8951</v>
      </c>
      <c r="C803" s="93" t="s">
        <v>7814</v>
      </c>
      <c r="D803" s="92">
        <v>151.99</v>
      </c>
    </row>
    <row r="804" spans="1:4" s="97" customFormat="1" ht="15" customHeight="1">
      <c r="A804" s="94" t="s">
        <v>8950</v>
      </c>
      <c r="B804" s="94" t="s">
        <v>8949</v>
      </c>
      <c r="C804" s="93" t="s">
        <v>7814</v>
      </c>
      <c r="D804" s="92">
        <v>152.13999999999999</v>
      </c>
    </row>
    <row r="805" spans="1:4" s="97" customFormat="1" ht="15" customHeight="1">
      <c r="A805" s="94" t="s">
        <v>8948</v>
      </c>
      <c r="B805" s="94" t="s">
        <v>8947</v>
      </c>
      <c r="C805" s="93" t="s">
        <v>7814</v>
      </c>
      <c r="D805" s="92">
        <v>62.39</v>
      </c>
    </row>
    <row r="806" spans="1:4" s="97" customFormat="1" ht="15" customHeight="1">
      <c r="A806" s="94" t="s">
        <v>8946</v>
      </c>
      <c r="B806" s="94" t="s">
        <v>8945</v>
      </c>
      <c r="C806" s="93" t="s">
        <v>7814</v>
      </c>
      <c r="D806" s="92">
        <v>201.93</v>
      </c>
    </row>
    <row r="807" spans="1:4" s="97" customFormat="1" ht="15" customHeight="1">
      <c r="A807" s="94" t="s">
        <v>8944</v>
      </c>
      <c r="B807" s="94" t="s">
        <v>8943</v>
      </c>
      <c r="C807" s="93" t="s">
        <v>7814</v>
      </c>
      <c r="D807" s="92">
        <v>202.05</v>
      </c>
    </row>
    <row r="808" spans="1:4" s="97" customFormat="1" ht="15" customHeight="1">
      <c r="A808" s="94" t="s">
        <v>8942</v>
      </c>
      <c r="B808" s="94" t="s">
        <v>8941</v>
      </c>
      <c r="C808" s="93" t="s">
        <v>7814</v>
      </c>
      <c r="D808" s="92">
        <v>202.18</v>
      </c>
    </row>
    <row r="809" spans="1:4" s="97" customFormat="1" ht="15" customHeight="1">
      <c r="A809" s="94" t="s">
        <v>8940</v>
      </c>
      <c r="B809" s="94" t="s">
        <v>8939</v>
      </c>
      <c r="C809" s="93" t="s">
        <v>7814</v>
      </c>
      <c r="D809" s="92">
        <v>201.96</v>
      </c>
    </row>
    <row r="810" spans="1:4" s="97" customFormat="1" ht="15" customHeight="1">
      <c r="A810" s="94" t="s">
        <v>8938</v>
      </c>
      <c r="B810" s="94" t="s">
        <v>8937</v>
      </c>
      <c r="C810" s="93" t="s">
        <v>7814</v>
      </c>
      <c r="D810" s="92">
        <v>152.21</v>
      </c>
    </row>
    <row r="811" spans="1:4" s="97" customFormat="1" ht="15" customHeight="1">
      <c r="A811" s="94" t="s">
        <v>8936</v>
      </c>
      <c r="B811" s="94" t="s">
        <v>8935</v>
      </c>
      <c r="C811" s="93" t="s">
        <v>7814</v>
      </c>
      <c r="D811" s="92">
        <v>151.96</v>
      </c>
    </row>
    <row r="812" spans="1:4" s="97" customFormat="1" ht="15" customHeight="1">
      <c r="A812" s="94" t="s">
        <v>8934</v>
      </c>
      <c r="B812" s="94" t="s">
        <v>8933</v>
      </c>
      <c r="C812" s="93" t="s">
        <v>7814</v>
      </c>
      <c r="D812" s="92">
        <v>100.68</v>
      </c>
    </row>
    <row r="813" spans="1:4" s="97" customFormat="1" ht="15" customHeight="1">
      <c r="A813" s="94" t="s">
        <v>8932</v>
      </c>
      <c r="B813" s="94" t="s">
        <v>8931</v>
      </c>
      <c r="C813" s="93" t="s">
        <v>7814</v>
      </c>
      <c r="D813" s="92">
        <v>134.32</v>
      </c>
    </row>
    <row r="814" spans="1:4" s="97" customFormat="1" ht="15" customHeight="1">
      <c r="A814" s="94" t="s">
        <v>8930</v>
      </c>
      <c r="B814" s="94" t="s">
        <v>8929</v>
      </c>
      <c r="C814" s="93" t="s">
        <v>7814</v>
      </c>
      <c r="D814" s="92">
        <v>134.41</v>
      </c>
    </row>
    <row r="815" spans="1:4" s="97" customFormat="1" ht="15" customHeight="1">
      <c r="A815" s="94" t="s">
        <v>8928</v>
      </c>
      <c r="B815" s="94" t="s">
        <v>8927</v>
      </c>
      <c r="C815" s="93" t="s">
        <v>7814</v>
      </c>
      <c r="D815" s="92">
        <v>134.37</v>
      </c>
    </row>
    <row r="816" spans="1:4" s="97" customFormat="1" ht="15" customHeight="1">
      <c r="A816" s="94" t="s">
        <v>8926</v>
      </c>
      <c r="B816" s="94" t="s">
        <v>8925</v>
      </c>
      <c r="C816" s="93" t="s">
        <v>7814</v>
      </c>
      <c r="D816" s="92">
        <v>134.44999999999999</v>
      </c>
    </row>
    <row r="817" spans="1:4" s="97" customFormat="1" ht="15" customHeight="1">
      <c r="A817" s="94" t="s">
        <v>8924</v>
      </c>
      <c r="B817" s="94" t="s">
        <v>8923</v>
      </c>
      <c r="C817" s="93" t="s">
        <v>7814</v>
      </c>
      <c r="D817" s="92">
        <v>134.52000000000001</v>
      </c>
    </row>
    <row r="818" spans="1:4" s="97" customFormat="1" ht="15" customHeight="1">
      <c r="A818" s="94" t="s">
        <v>8922</v>
      </c>
      <c r="B818" s="94" t="s">
        <v>8921</v>
      </c>
      <c r="C818" s="93" t="s">
        <v>7814</v>
      </c>
      <c r="D818" s="92">
        <v>134.43</v>
      </c>
    </row>
    <row r="819" spans="1:4" s="97" customFormat="1" ht="15" customHeight="1">
      <c r="A819" s="94" t="s">
        <v>8920</v>
      </c>
      <c r="B819" s="94" t="s">
        <v>8919</v>
      </c>
      <c r="C819" s="93" t="s">
        <v>7814</v>
      </c>
      <c r="D819" s="92">
        <v>102.22</v>
      </c>
    </row>
    <row r="820" spans="1:4" s="97" customFormat="1" ht="15" customHeight="1">
      <c r="A820" s="94" t="s">
        <v>8918</v>
      </c>
      <c r="B820" s="94" t="s">
        <v>8917</v>
      </c>
      <c r="C820" s="93" t="s">
        <v>7814</v>
      </c>
      <c r="D820" s="92">
        <v>117.19</v>
      </c>
    </row>
    <row r="821" spans="1:4" s="97" customFormat="1" ht="15" customHeight="1">
      <c r="A821" s="94" t="s">
        <v>8916</v>
      </c>
      <c r="B821" s="94" t="s">
        <v>8915</v>
      </c>
      <c r="C821" s="93" t="s">
        <v>7814</v>
      </c>
      <c r="D821" s="92">
        <v>45.27</v>
      </c>
    </row>
    <row r="822" spans="1:4" s="97" customFormat="1" ht="15" customHeight="1">
      <c r="A822" s="94" t="s">
        <v>8914</v>
      </c>
      <c r="B822" s="94" t="s">
        <v>8913</v>
      </c>
      <c r="C822" s="93" t="s">
        <v>7814</v>
      </c>
      <c r="D822" s="92">
        <v>100.64</v>
      </c>
    </row>
    <row r="823" spans="1:4" s="97" customFormat="1" ht="15" customHeight="1">
      <c r="A823" s="94" t="s">
        <v>8912</v>
      </c>
      <c r="B823" s="94" t="s">
        <v>8911</v>
      </c>
      <c r="C823" s="93" t="s">
        <v>7814</v>
      </c>
      <c r="D823" s="92">
        <v>127.72</v>
      </c>
    </row>
    <row r="824" spans="1:4" s="97" customFormat="1" ht="15" customHeight="1">
      <c r="A824" s="94" t="s">
        <v>8910</v>
      </c>
      <c r="B824" s="94" t="s">
        <v>8909</v>
      </c>
      <c r="C824" s="93" t="s">
        <v>7814</v>
      </c>
      <c r="D824" s="92">
        <v>127.81</v>
      </c>
    </row>
    <row r="825" spans="1:4" s="97" customFormat="1" ht="15" customHeight="1">
      <c r="A825" s="94" t="s">
        <v>8908</v>
      </c>
      <c r="B825" s="94" t="s">
        <v>8907</v>
      </c>
      <c r="C825" s="93" t="s">
        <v>7814</v>
      </c>
      <c r="D825" s="92">
        <v>128.99</v>
      </c>
    </row>
    <row r="826" spans="1:4" s="97" customFormat="1" ht="15" customHeight="1">
      <c r="A826" s="94" t="s">
        <v>8906</v>
      </c>
      <c r="B826" s="94" t="s">
        <v>8905</v>
      </c>
      <c r="C826" s="93" t="s">
        <v>7814</v>
      </c>
      <c r="D826" s="92">
        <v>157.27000000000001</v>
      </c>
    </row>
    <row r="827" spans="1:4" s="97" customFormat="1" ht="15" customHeight="1">
      <c r="A827" s="94" t="s">
        <v>8904</v>
      </c>
      <c r="B827" s="94" t="s">
        <v>8903</v>
      </c>
      <c r="C827" s="93" t="s">
        <v>7814</v>
      </c>
      <c r="D827" s="92">
        <v>157.38</v>
      </c>
    </row>
    <row r="828" spans="1:4" s="97" customFormat="1" ht="15" customHeight="1">
      <c r="A828" s="94" t="s">
        <v>8902</v>
      </c>
      <c r="B828" s="94" t="s">
        <v>8901</v>
      </c>
      <c r="C828" s="93" t="s">
        <v>7814</v>
      </c>
      <c r="D828" s="92">
        <v>157.34</v>
      </c>
    </row>
    <row r="829" spans="1:4" s="97" customFormat="1" ht="15" customHeight="1">
      <c r="A829" s="94" t="s">
        <v>8900</v>
      </c>
      <c r="B829" s="94" t="s">
        <v>8899</v>
      </c>
      <c r="C829" s="93" t="s">
        <v>7814</v>
      </c>
      <c r="D829" s="92">
        <v>157.44999999999999</v>
      </c>
    </row>
    <row r="830" spans="1:4" s="97" customFormat="1" ht="15" customHeight="1">
      <c r="A830" s="94" t="s">
        <v>8898</v>
      </c>
      <c r="B830" s="94" t="s">
        <v>8897</v>
      </c>
      <c r="C830" s="93" t="s">
        <v>7814</v>
      </c>
      <c r="D830" s="92">
        <v>157.54</v>
      </c>
    </row>
    <row r="831" spans="1:4" s="97" customFormat="1" ht="15" customHeight="1">
      <c r="A831" s="94" t="s">
        <v>8896</v>
      </c>
      <c r="B831" s="94" t="s">
        <v>8895</v>
      </c>
      <c r="C831" s="93" t="s">
        <v>7814</v>
      </c>
      <c r="D831" s="92">
        <v>157.41999999999999</v>
      </c>
    </row>
    <row r="832" spans="1:4" s="97" customFormat="1" ht="15" customHeight="1">
      <c r="A832" s="94" t="s">
        <v>8894</v>
      </c>
      <c r="B832" s="94" t="s">
        <v>8893</v>
      </c>
      <c r="C832" s="93" t="s">
        <v>7814</v>
      </c>
      <c r="D832" s="92">
        <v>127.89</v>
      </c>
    </row>
    <row r="833" spans="1:4" s="97" customFormat="1" ht="15" customHeight="1">
      <c r="A833" s="94" t="s">
        <v>8892</v>
      </c>
      <c r="B833" s="94" t="s">
        <v>8891</v>
      </c>
      <c r="C833" s="93" t="s">
        <v>7814</v>
      </c>
      <c r="D833" s="92">
        <v>130.99</v>
      </c>
    </row>
    <row r="834" spans="1:4" s="97" customFormat="1" ht="15" customHeight="1">
      <c r="A834" s="94" t="s">
        <v>8890</v>
      </c>
      <c r="B834" s="94" t="s">
        <v>8889</v>
      </c>
      <c r="C834" s="93" t="s">
        <v>7814</v>
      </c>
      <c r="D834" s="92">
        <v>768.91</v>
      </c>
    </row>
    <row r="835" spans="1:4" s="97" customFormat="1" ht="15" customHeight="1">
      <c r="A835" s="94" t="s">
        <v>8888</v>
      </c>
      <c r="B835" s="94" t="s">
        <v>8887</v>
      </c>
      <c r="C835" s="93" t="s">
        <v>7814</v>
      </c>
      <c r="D835" s="92">
        <v>124.84</v>
      </c>
    </row>
    <row r="836" spans="1:4" s="97" customFormat="1" ht="15" customHeight="1">
      <c r="A836" s="94" t="s">
        <v>8886</v>
      </c>
      <c r="B836" s="94" t="s">
        <v>8885</v>
      </c>
      <c r="C836" s="93" t="s">
        <v>7814</v>
      </c>
      <c r="D836" s="92">
        <v>114.05</v>
      </c>
    </row>
    <row r="837" spans="1:4" s="97" customFormat="1" ht="15" customHeight="1">
      <c r="A837" s="94" t="s">
        <v>8884</v>
      </c>
      <c r="B837" s="94" t="s">
        <v>8883</v>
      </c>
      <c r="C837" s="93" t="s">
        <v>7814</v>
      </c>
      <c r="D837" s="92">
        <v>128.18</v>
      </c>
    </row>
    <row r="838" spans="1:4" s="97" customFormat="1" ht="15" customHeight="1">
      <c r="A838" s="94" t="s">
        <v>8882</v>
      </c>
      <c r="B838" s="94" t="s">
        <v>8881</v>
      </c>
      <c r="C838" s="93" t="s">
        <v>7814</v>
      </c>
      <c r="D838" s="92">
        <v>139.54</v>
      </c>
    </row>
    <row r="839" spans="1:4" s="97" customFormat="1" ht="15" customHeight="1">
      <c r="A839" s="94" t="s">
        <v>8880</v>
      </c>
      <c r="B839" s="94" t="s">
        <v>8879</v>
      </c>
      <c r="C839" s="93" t="s">
        <v>7814</v>
      </c>
      <c r="D839" s="92">
        <v>218.64</v>
      </c>
    </row>
    <row r="840" spans="1:4" s="97" customFormat="1" ht="15" customHeight="1">
      <c r="A840" s="94" t="s">
        <v>8878</v>
      </c>
      <c r="B840" s="94" t="s">
        <v>8877</v>
      </c>
      <c r="C840" s="93" t="s">
        <v>7814</v>
      </c>
      <c r="D840" s="92">
        <v>339.97</v>
      </c>
    </row>
    <row r="841" spans="1:4" s="97" customFormat="1" ht="15" customHeight="1">
      <c r="A841" s="94" t="s">
        <v>8876</v>
      </c>
      <c r="B841" s="94" t="s">
        <v>8875</v>
      </c>
      <c r="C841" s="93" t="s">
        <v>7814</v>
      </c>
      <c r="D841" s="92">
        <v>112.1</v>
      </c>
    </row>
    <row r="842" spans="1:4" s="97" customFormat="1" ht="15" customHeight="1">
      <c r="A842" s="94" t="s">
        <v>8874</v>
      </c>
      <c r="B842" s="94" t="s">
        <v>8873</v>
      </c>
      <c r="C842" s="93" t="s">
        <v>7814</v>
      </c>
      <c r="D842" s="92">
        <v>165.66</v>
      </c>
    </row>
    <row r="843" spans="1:4" s="97" customFormat="1" ht="15" customHeight="1">
      <c r="A843" s="94" t="s">
        <v>8872</v>
      </c>
      <c r="B843" s="94" t="s">
        <v>8871</v>
      </c>
      <c r="C843" s="93" t="s">
        <v>7814</v>
      </c>
      <c r="D843" s="92">
        <v>1358.71</v>
      </c>
    </row>
    <row r="844" spans="1:4" s="97" customFormat="1" ht="15" customHeight="1">
      <c r="A844" s="94" t="s">
        <v>8870</v>
      </c>
      <c r="B844" s="94" t="s">
        <v>8869</v>
      </c>
      <c r="C844" s="93" t="s">
        <v>7814</v>
      </c>
      <c r="D844" s="92">
        <v>1309.52</v>
      </c>
    </row>
    <row r="845" spans="1:4" s="97" customFormat="1" ht="15" customHeight="1">
      <c r="A845" s="94" t="s">
        <v>8868</v>
      </c>
      <c r="B845" s="94" t="s">
        <v>8867</v>
      </c>
      <c r="C845" s="93" t="s">
        <v>7814</v>
      </c>
      <c r="D845" s="92">
        <v>162.59</v>
      </c>
    </row>
    <row r="846" spans="1:4" s="97" customFormat="1" ht="15" customHeight="1">
      <c r="A846" s="94" t="s">
        <v>8866</v>
      </c>
      <c r="B846" s="94" t="s">
        <v>8865</v>
      </c>
      <c r="C846" s="93" t="s">
        <v>7814</v>
      </c>
      <c r="D846" s="92">
        <v>255.57</v>
      </c>
    </row>
    <row r="847" spans="1:4" s="97" customFormat="1" ht="15" customHeight="1">
      <c r="A847" s="94" t="s">
        <v>8864</v>
      </c>
      <c r="B847" s="94" t="s">
        <v>8863</v>
      </c>
      <c r="C847" s="93" t="s">
        <v>7814</v>
      </c>
      <c r="D847" s="92">
        <v>374.57</v>
      </c>
    </row>
    <row r="848" spans="1:4" s="97" customFormat="1" ht="15" customHeight="1">
      <c r="A848" s="94" t="s">
        <v>8862</v>
      </c>
      <c r="B848" s="94" t="s">
        <v>8861</v>
      </c>
      <c r="C848" s="93" t="s">
        <v>7814</v>
      </c>
      <c r="D848" s="92">
        <v>316.33</v>
      </c>
    </row>
    <row r="849" spans="1:4" s="97" customFormat="1" ht="15" customHeight="1">
      <c r="A849" s="94" t="s">
        <v>8860</v>
      </c>
      <c r="B849" s="94" t="s">
        <v>8859</v>
      </c>
      <c r="C849" s="93" t="s">
        <v>7814</v>
      </c>
      <c r="D849" s="92">
        <v>455.05</v>
      </c>
    </row>
    <row r="850" spans="1:4" s="97" customFormat="1" ht="15" customHeight="1">
      <c r="A850" s="94" t="s">
        <v>8858</v>
      </c>
      <c r="B850" s="94" t="s">
        <v>8857</v>
      </c>
      <c r="C850" s="93" t="s">
        <v>7814</v>
      </c>
      <c r="D850" s="92">
        <v>426</v>
      </c>
    </row>
    <row r="851" spans="1:4" s="97" customFormat="1" ht="15" customHeight="1">
      <c r="A851" s="94" t="s">
        <v>8856</v>
      </c>
      <c r="B851" s="94" t="s">
        <v>8855</v>
      </c>
      <c r="C851" s="93" t="s">
        <v>7814</v>
      </c>
      <c r="D851" s="92">
        <v>441.63</v>
      </c>
    </row>
    <row r="852" spans="1:4" s="97" customFormat="1" ht="15" customHeight="1">
      <c r="A852" s="94" t="s">
        <v>8854</v>
      </c>
      <c r="B852" s="94" t="s">
        <v>8853</v>
      </c>
      <c r="C852" s="93" t="s">
        <v>7829</v>
      </c>
      <c r="D852" s="92">
        <v>68.930000000000007</v>
      </c>
    </row>
    <row r="853" spans="1:4" s="97" customFormat="1" ht="15" customHeight="1">
      <c r="A853" s="94" t="s">
        <v>8852</v>
      </c>
      <c r="B853" s="94" t="s">
        <v>8851</v>
      </c>
      <c r="C853" s="93" t="s">
        <v>7829</v>
      </c>
      <c r="D853" s="92">
        <v>82.65</v>
      </c>
    </row>
    <row r="854" spans="1:4" s="97" customFormat="1" ht="15" customHeight="1">
      <c r="A854" s="94" t="s">
        <v>8850</v>
      </c>
      <c r="B854" s="94" t="s">
        <v>8849</v>
      </c>
      <c r="C854" s="93" t="s">
        <v>7829</v>
      </c>
      <c r="D854" s="92">
        <v>104.03</v>
      </c>
    </row>
    <row r="855" spans="1:4" s="97" customFormat="1" ht="15" customHeight="1">
      <c r="A855" s="94" t="s">
        <v>8848</v>
      </c>
      <c r="B855" s="94" t="s">
        <v>8847</v>
      </c>
      <c r="C855" s="93" t="s">
        <v>7829</v>
      </c>
      <c r="D855" s="92">
        <v>119.89</v>
      </c>
    </row>
    <row r="856" spans="1:4" s="97" customFormat="1" ht="15" customHeight="1">
      <c r="A856" s="94" t="s">
        <v>8846</v>
      </c>
      <c r="B856" s="94" t="s">
        <v>8845</v>
      </c>
      <c r="C856" s="93" t="s">
        <v>7829</v>
      </c>
      <c r="D856" s="92">
        <v>75.34</v>
      </c>
    </row>
    <row r="857" spans="1:4" s="97" customFormat="1" ht="15" customHeight="1">
      <c r="A857" s="94" t="s">
        <v>8844</v>
      </c>
      <c r="B857" s="94" t="s">
        <v>8843</v>
      </c>
      <c r="C857" s="93" t="s">
        <v>7814</v>
      </c>
      <c r="D857" s="92">
        <v>1452.05</v>
      </c>
    </row>
    <row r="858" spans="1:4" s="97" customFormat="1" ht="15" customHeight="1">
      <c r="A858" s="96" t="s">
        <v>8842</v>
      </c>
      <c r="B858" s="94" t="s">
        <v>8833</v>
      </c>
      <c r="C858" s="93" t="s">
        <v>7814</v>
      </c>
      <c r="D858" s="92">
        <v>2493.2199999999998</v>
      </c>
    </row>
    <row r="859" spans="1:4" s="97" customFormat="1" ht="15" customHeight="1">
      <c r="A859" s="96" t="s">
        <v>8841</v>
      </c>
      <c r="B859" s="94" t="s">
        <v>8830</v>
      </c>
      <c r="C859" s="93" t="s">
        <v>7814</v>
      </c>
      <c r="D859" s="92">
        <v>2934.93</v>
      </c>
    </row>
    <row r="860" spans="1:4" s="97" customFormat="1" ht="15" customHeight="1">
      <c r="A860" s="96" t="s">
        <v>8840</v>
      </c>
      <c r="B860" s="94" t="s">
        <v>8839</v>
      </c>
      <c r="C860" s="93" t="s">
        <v>7814</v>
      </c>
      <c r="D860" s="92">
        <v>1406.33</v>
      </c>
    </row>
    <row r="861" spans="1:4" s="97" customFormat="1" ht="15" customHeight="1">
      <c r="A861" s="95" t="s">
        <v>8838</v>
      </c>
      <c r="B861" s="94" t="s">
        <v>8833</v>
      </c>
      <c r="C861" s="93" t="s">
        <v>7814</v>
      </c>
      <c r="D861" s="92">
        <v>2829.9</v>
      </c>
    </row>
    <row r="862" spans="1:4" s="97" customFormat="1" ht="15" customHeight="1">
      <c r="A862" s="96" t="s">
        <v>8837</v>
      </c>
      <c r="B862" s="94" t="s">
        <v>8827</v>
      </c>
      <c r="C862" s="93" t="s">
        <v>7814</v>
      </c>
      <c r="D862" s="92">
        <v>2258.09</v>
      </c>
    </row>
    <row r="863" spans="1:4" s="97" customFormat="1" ht="15" customHeight="1">
      <c r="A863" s="95" t="s">
        <v>8836</v>
      </c>
      <c r="B863" s="94" t="s">
        <v>8830</v>
      </c>
      <c r="C863" s="93" t="s">
        <v>7814</v>
      </c>
      <c r="D863" s="92">
        <v>4018.39</v>
      </c>
    </row>
    <row r="864" spans="1:4" s="97" customFormat="1" ht="15" customHeight="1">
      <c r="A864" s="95" t="s">
        <v>8835</v>
      </c>
      <c r="B864" s="94" t="s">
        <v>8833</v>
      </c>
      <c r="C864" s="93" t="s">
        <v>7814</v>
      </c>
      <c r="D864" s="92">
        <v>3744</v>
      </c>
    </row>
    <row r="865" spans="1:4" s="97" customFormat="1" ht="15" customHeight="1">
      <c r="A865" s="95" t="s">
        <v>8834</v>
      </c>
      <c r="B865" s="94" t="s">
        <v>8833</v>
      </c>
      <c r="C865" s="93" t="s">
        <v>7814</v>
      </c>
      <c r="D865" s="92">
        <v>2684.91</v>
      </c>
    </row>
    <row r="866" spans="1:4" s="97" customFormat="1" ht="15" customHeight="1">
      <c r="A866" s="95" t="s">
        <v>8832</v>
      </c>
      <c r="B866" s="94" t="s">
        <v>8830</v>
      </c>
      <c r="C866" s="93" t="s">
        <v>7814</v>
      </c>
      <c r="D866" s="92">
        <v>3034</v>
      </c>
    </row>
    <row r="867" spans="1:4" s="97" customFormat="1" ht="15" customHeight="1">
      <c r="A867" s="95" t="s">
        <v>8831</v>
      </c>
      <c r="B867" s="94" t="s">
        <v>8830</v>
      </c>
      <c r="C867" s="93" t="s">
        <v>7814</v>
      </c>
      <c r="D867" s="92">
        <v>3561.39</v>
      </c>
    </row>
    <row r="868" spans="1:4" s="97" customFormat="1" ht="15" customHeight="1">
      <c r="A868" s="95" t="s">
        <v>8829</v>
      </c>
      <c r="B868" s="94" t="s">
        <v>8827</v>
      </c>
      <c r="C868" s="93" t="s">
        <v>7814</v>
      </c>
      <c r="D868" s="92">
        <v>2459.5</v>
      </c>
    </row>
    <row r="869" spans="1:4" s="97" customFormat="1" ht="15" customHeight="1">
      <c r="A869" s="95" t="s">
        <v>8828</v>
      </c>
      <c r="B869" s="94" t="s">
        <v>8827</v>
      </c>
      <c r="C869" s="93" t="s">
        <v>7814</v>
      </c>
      <c r="D869" s="92">
        <v>2957.64</v>
      </c>
    </row>
    <row r="870" spans="1:4" s="97" customFormat="1" ht="15" customHeight="1">
      <c r="A870" s="94" t="s">
        <v>8826</v>
      </c>
      <c r="B870" s="94" t="s">
        <v>8825</v>
      </c>
      <c r="C870" s="93" t="s">
        <v>7814</v>
      </c>
      <c r="D870" s="92">
        <v>5001.88</v>
      </c>
    </row>
    <row r="871" spans="1:4" s="97" customFormat="1" ht="15" customHeight="1">
      <c r="A871" s="94" t="s">
        <v>8824</v>
      </c>
      <c r="B871" s="94" t="s">
        <v>8823</v>
      </c>
      <c r="C871" s="93" t="s">
        <v>7814</v>
      </c>
      <c r="D871" s="92">
        <v>2767.81</v>
      </c>
    </row>
    <row r="872" spans="1:4" s="97" customFormat="1" ht="15" customHeight="1">
      <c r="A872" s="94" t="s">
        <v>8822</v>
      </c>
      <c r="B872" s="94" t="s">
        <v>8821</v>
      </c>
      <c r="C872" s="93" t="s">
        <v>7814</v>
      </c>
      <c r="D872" s="92">
        <v>4447.78</v>
      </c>
    </row>
    <row r="873" spans="1:4" s="97" customFormat="1" ht="15" customHeight="1">
      <c r="A873" s="94" t="s">
        <v>8820</v>
      </c>
      <c r="B873" s="94" t="s">
        <v>8819</v>
      </c>
      <c r="C873" s="93" t="s">
        <v>7814</v>
      </c>
      <c r="D873" s="92">
        <v>5001.8900000000003</v>
      </c>
    </row>
    <row r="874" spans="1:4" s="97" customFormat="1" ht="15" customHeight="1">
      <c r="A874" s="94" t="s">
        <v>8818</v>
      </c>
      <c r="B874" s="94" t="s">
        <v>8817</v>
      </c>
      <c r="C874" s="93" t="s">
        <v>7814</v>
      </c>
      <c r="D874" s="92">
        <v>4373.32</v>
      </c>
    </row>
    <row r="875" spans="1:4" s="97" customFormat="1" ht="15" customHeight="1">
      <c r="A875" s="94" t="s">
        <v>8816</v>
      </c>
      <c r="B875" s="94" t="s">
        <v>8815</v>
      </c>
      <c r="C875" s="93" t="s">
        <v>7814</v>
      </c>
      <c r="D875" s="92">
        <v>4373.1499999999996</v>
      </c>
    </row>
    <row r="876" spans="1:4" s="97" customFormat="1" ht="15" customHeight="1">
      <c r="A876" s="94" t="s">
        <v>8814</v>
      </c>
      <c r="B876" s="94" t="s">
        <v>8813</v>
      </c>
      <c r="C876" s="93" t="s">
        <v>7814</v>
      </c>
      <c r="D876" s="92">
        <v>5001.8900000000003</v>
      </c>
    </row>
    <row r="877" spans="1:4" s="97" customFormat="1" ht="15" customHeight="1">
      <c r="A877" s="94" t="s">
        <v>8812</v>
      </c>
      <c r="B877" s="94" t="s">
        <v>8811</v>
      </c>
      <c r="C877" s="93" t="s">
        <v>7814</v>
      </c>
      <c r="D877" s="92">
        <v>5369.27</v>
      </c>
    </row>
    <row r="878" spans="1:4" s="97" customFormat="1" ht="15" customHeight="1">
      <c r="A878" s="95" t="s">
        <v>8810</v>
      </c>
      <c r="B878" s="94" t="s">
        <v>8809</v>
      </c>
      <c r="C878" s="93" t="s">
        <v>7814</v>
      </c>
      <c r="D878" s="92">
        <v>4349.29</v>
      </c>
    </row>
    <row r="879" spans="1:4" s="97" customFormat="1" ht="15" customHeight="1">
      <c r="A879" s="95" t="s">
        <v>8808</v>
      </c>
      <c r="B879" s="94" t="s">
        <v>8807</v>
      </c>
      <c r="C879" s="93" t="s">
        <v>7814</v>
      </c>
      <c r="D879" s="92">
        <v>4805.3100000000004</v>
      </c>
    </row>
    <row r="880" spans="1:4" s="97" customFormat="1" ht="15" customHeight="1">
      <c r="A880" s="95" t="s">
        <v>8806</v>
      </c>
      <c r="B880" s="94" t="s">
        <v>8805</v>
      </c>
      <c r="C880" s="93" t="s">
        <v>7814</v>
      </c>
      <c r="D880" s="92">
        <v>6852.61</v>
      </c>
    </row>
    <row r="881" spans="1:4" s="97" customFormat="1" ht="15" customHeight="1">
      <c r="A881" s="95" t="s">
        <v>8804</v>
      </c>
      <c r="B881" s="94" t="s">
        <v>8803</v>
      </c>
      <c r="C881" s="93" t="s">
        <v>7814</v>
      </c>
      <c r="D881" s="92">
        <v>7936.94</v>
      </c>
    </row>
    <row r="882" spans="1:4" s="97" customFormat="1" ht="15" customHeight="1">
      <c r="A882" s="95" t="s">
        <v>8802</v>
      </c>
      <c r="B882" s="94" t="s">
        <v>8801</v>
      </c>
      <c r="C882" s="93" t="s">
        <v>7814</v>
      </c>
      <c r="D882" s="92">
        <v>6266.61</v>
      </c>
    </row>
    <row r="883" spans="1:4" s="97" customFormat="1" ht="15" customHeight="1">
      <c r="A883" s="94" t="s">
        <v>8800</v>
      </c>
      <c r="B883" s="94" t="s">
        <v>8799</v>
      </c>
      <c r="C883" s="93" t="s">
        <v>7814</v>
      </c>
      <c r="D883" s="92">
        <v>1690.6</v>
      </c>
    </row>
    <row r="884" spans="1:4" s="97" customFormat="1" ht="15" customHeight="1">
      <c r="A884" s="94" t="s">
        <v>8798</v>
      </c>
      <c r="B884" s="94" t="s">
        <v>8797</v>
      </c>
      <c r="C884" s="93" t="s">
        <v>7814</v>
      </c>
      <c r="D884" s="92">
        <v>1689.04</v>
      </c>
    </row>
    <row r="885" spans="1:4" s="97" customFormat="1" ht="15" customHeight="1">
      <c r="A885" s="94" t="s">
        <v>8796</v>
      </c>
      <c r="B885" s="94" t="s">
        <v>8795</v>
      </c>
      <c r="C885" s="93" t="s">
        <v>7814</v>
      </c>
      <c r="D885" s="92">
        <v>1746.69</v>
      </c>
    </row>
    <row r="886" spans="1:4" s="97" customFormat="1" ht="15" customHeight="1">
      <c r="A886" s="94" t="s">
        <v>8794</v>
      </c>
      <c r="B886" s="94" t="s">
        <v>8793</v>
      </c>
      <c r="C886" s="93" t="s">
        <v>7814</v>
      </c>
      <c r="D886" s="92">
        <v>1748.05</v>
      </c>
    </row>
    <row r="887" spans="1:4" s="97" customFormat="1" ht="15" customHeight="1">
      <c r="A887" s="94" t="s">
        <v>8792</v>
      </c>
      <c r="B887" s="94" t="s">
        <v>8791</v>
      </c>
      <c r="C887" s="93" t="s">
        <v>7814</v>
      </c>
      <c r="D887" s="92">
        <v>1748.44</v>
      </c>
    </row>
    <row r="888" spans="1:4" s="97" customFormat="1" ht="15" customHeight="1">
      <c r="A888" s="94" t="s">
        <v>8790</v>
      </c>
      <c r="B888" s="94" t="s">
        <v>8789</v>
      </c>
      <c r="C888" s="93" t="s">
        <v>7814</v>
      </c>
      <c r="D888" s="92">
        <v>1748.44</v>
      </c>
    </row>
    <row r="889" spans="1:4" s="97" customFormat="1" ht="15" customHeight="1">
      <c r="A889" s="94" t="s">
        <v>8788</v>
      </c>
      <c r="B889" s="94" t="s">
        <v>8787</v>
      </c>
      <c r="C889" s="93" t="s">
        <v>7814</v>
      </c>
      <c r="D889" s="92">
        <v>1687.95</v>
      </c>
    </row>
    <row r="890" spans="1:4" s="97" customFormat="1" ht="15" customHeight="1">
      <c r="A890" s="101" t="s">
        <v>8786</v>
      </c>
      <c r="B890" s="94" t="s">
        <v>8785</v>
      </c>
      <c r="C890" s="93" t="s">
        <v>7814</v>
      </c>
      <c r="D890" s="92">
        <v>1868.22</v>
      </c>
    </row>
    <row r="891" spans="1:4" s="97" customFormat="1" ht="15" customHeight="1">
      <c r="A891" s="94" t="s">
        <v>8784</v>
      </c>
      <c r="B891" s="94" t="s">
        <v>8783</v>
      </c>
      <c r="C891" s="93" t="s">
        <v>8782</v>
      </c>
      <c r="D891" s="92">
        <v>1917.83</v>
      </c>
    </row>
    <row r="892" spans="1:4" s="97" customFormat="1" ht="15" customHeight="1">
      <c r="A892" s="94" t="s">
        <v>8781</v>
      </c>
      <c r="B892" s="94" t="s">
        <v>8780</v>
      </c>
      <c r="C892" s="93" t="s">
        <v>7814</v>
      </c>
      <c r="D892" s="92">
        <v>1824.31</v>
      </c>
    </row>
    <row r="893" spans="1:4" s="97" customFormat="1" ht="15" customHeight="1">
      <c r="A893" s="94" t="s">
        <v>8779</v>
      </c>
      <c r="B893" s="94" t="s">
        <v>8778</v>
      </c>
      <c r="C893" s="93" t="s">
        <v>7814</v>
      </c>
      <c r="D893" s="92">
        <v>1498.63</v>
      </c>
    </row>
    <row r="894" spans="1:4" s="97" customFormat="1" ht="15" customHeight="1">
      <c r="A894" s="94" t="s">
        <v>8777</v>
      </c>
      <c r="B894" s="94" t="s">
        <v>8776</v>
      </c>
      <c r="C894" s="93" t="s">
        <v>7814</v>
      </c>
      <c r="D894" s="92">
        <v>1496.09</v>
      </c>
    </row>
    <row r="895" spans="1:4" s="97" customFormat="1" ht="15" customHeight="1">
      <c r="A895" s="94" t="s">
        <v>8775</v>
      </c>
      <c r="B895" s="94" t="s">
        <v>8774</v>
      </c>
      <c r="C895" s="93" t="s">
        <v>7814</v>
      </c>
      <c r="D895" s="92">
        <v>1497.08</v>
      </c>
    </row>
    <row r="896" spans="1:4" s="97" customFormat="1" ht="15" customHeight="1">
      <c r="A896" s="94" t="s">
        <v>8773</v>
      </c>
      <c r="B896" s="94" t="s">
        <v>8772</v>
      </c>
      <c r="C896" s="93" t="s">
        <v>7814</v>
      </c>
      <c r="D896" s="92">
        <v>1760.06</v>
      </c>
    </row>
    <row r="897" spans="1:4" s="97" customFormat="1" ht="15" customHeight="1">
      <c r="A897" s="94" t="s">
        <v>8771</v>
      </c>
      <c r="B897" s="94" t="s">
        <v>8770</v>
      </c>
      <c r="C897" s="93" t="s">
        <v>7814</v>
      </c>
      <c r="D897" s="92">
        <v>1761.86</v>
      </c>
    </row>
    <row r="898" spans="1:4" s="97" customFormat="1" ht="15" customHeight="1">
      <c r="A898" s="94" t="s">
        <v>8769</v>
      </c>
      <c r="B898" s="94" t="s">
        <v>8768</v>
      </c>
      <c r="C898" s="93" t="s">
        <v>7814</v>
      </c>
      <c r="D898" s="92">
        <v>1864.11</v>
      </c>
    </row>
    <row r="899" spans="1:4" s="97" customFormat="1" ht="15" customHeight="1">
      <c r="A899" s="94" t="s">
        <v>8767</v>
      </c>
      <c r="B899" s="94" t="s">
        <v>8766</v>
      </c>
      <c r="C899" s="93" t="s">
        <v>7814</v>
      </c>
      <c r="D899" s="92">
        <v>1863.81</v>
      </c>
    </row>
    <row r="900" spans="1:4" s="97" customFormat="1" ht="15" customHeight="1">
      <c r="A900" s="94" t="s">
        <v>8765</v>
      </c>
      <c r="B900" s="94" t="s">
        <v>8764</v>
      </c>
      <c r="C900" s="93" t="s">
        <v>7814</v>
      </c>
      <c r="D900" s="92">
        <v>1862.07</v>
      </c>
    </row>
    <row r="901" spans="1:4" s="97" customFormat="1" ht="15" customHeight="1">
      <c r="A901" s="95" t="s">
        <v>8763</v>
      </c>
      <c r="B901" s="94" t="s">
        <v>8762</v>
      </c>
      <c r="C901" s="93" t="s">
        <v>7814</v>
      </c>
      <c r="D901" s="92">
        <v>1862.69</v>
      </c>
    </row>
    <row r="902" spans="1:4" s="97" customFormat="1" ht="15" customHeight="1">
      <c r="A902" s="94" t="s">
        <v>8761</v>
      </c>
      <c r="B902" s="94" t="s">
        <v>8760</v>
      </c>
      <c r="C902" s="93" t="s">
        <v>7814</v>
      </c>
      <c r="D902" s="92">
        <v>2374.5700000000002</v>
      </c>
    </row>
    <row r="903" spans="1:4" s="97" customFormat="1" ht="15" customHeight="1">
      <c r="A903" s="94" t="s">
        <v>8759</v>
      </c>
      <c r="B903" s="94" t="s">
        <v>8758</v>
      </c>
      <c r="C903" s="93" t="s">
        <v>7814</v>
      </c>
      <c r="D903" s="92">
        <v>2375.92</v>
      </c>
    </row>
    <row r="904" spans="1:4" s="97" customFormat="1" ht="15" customHeight="1">
      <c r="A904" s="94" t="s">
        <v>8757</v>
      </c>
      <c r="B904" s="94" t="s">
        <v>8756</v>
      </c>
      <c r="C904" s="93" t="s">
        <v>7814</v>
      </c>
      <c r="D904" s="92">
        <v>2458.92</v>
      </c>
    </row>
    <row r="905" spans="1:4" s="97" customFormat="1" ht="15" customHeight="1">
      <c r="A905" s="94" t="s">
        <v>8755</v>
      </c>
      <c r="B905" s="94" t="s">
        <v>8736</v>
      </c>
      <c r="C905" s="93" t="s">
        <v>7814</v>
      </c>
      <c r="D905" s="92">
        <v>2459.6</v>
      </c>
    </row>
    <row r="906" spans="1:4" s="97" customFormat="1" ht="15" customHeight="1">
      <c r="A906" s="94" t="s">
        <v>8754</v>
      </c>
      <c r="B906" s="94" t="s">
        <v>8753</v>
      </c>
      <c r="C906" s="93" t="s">
        <v>7814</v>
      </c>
      <c r="D906" s="92">
        <v>2462.3000000000002</v>
      </c>
    </row>
    <row r="907" spans="1:4" s="97" customFormat="1" ht="15" customHeight="1">
      <c r="A907" s="94" t="s">
        <v>8752</v>
      </c>
      <c r="B907" s="94" t="s">
        <v>8751</v>
      </c>
      <c r="C907" s="93" t="s">
        <v>7814</v>
      </c>
      <c r="D907" s="92">
        <v>2462.06</v>
      </c>
    </row>
    <row r="908" spans="1:4" s="97" customFormat="1" ht="15" customHeight="1">
      <c r="A908" s="94" t="s">
        <v>8750</v>
      </c>
      <c r="B908" s="94" t="s">
        <v>8749</v>
      </c>
      <c r="C908" s="93" t="s">
        <v>7814</v>
      </c>
      <c r="D908" s="92">
        <v>2458.2399999999998</v>
      </c>
    </row>
    <row r="909" spans="1:4" s="97" customFormat="1" ht="15" customHeight="1">
      <c r="A909" s="94" t="s">
        <v>8748</v>
      </c>
      <c r="B909" s="94" t="s">
        <v>8747</v>
      </c>
      <c r="C909" s="93" t="s">
        <v>7814</v>
      </c>
      <c r="D909" s="92">
        <v>2459.09</v>
      </c>
    </row>
    <row r="910" spans="1:4" s="97" customFormat="1" ht="15" customHeight="1">
      <c r="A910" s="94" t="s">
        <v>8746</v>
      </c>
      <c r="B910" s="94" t="s">
        <v>8734</v>
      </c>
      <c r="C910" s="93" t="s">
        <v>7814</v>
      </c>
      <c r="D910" s="92">
        <v>2459.2399999999998</v>
      </c>
    </row>
    <row r="911" spans="1:4" s="97" customFormat="1" ht="15" customHeight="1">
      <c r="A911" s="94" t="s">
        <v>8745</v>
      </c>
      <c r="B911" s="94" t="s">
        <v>8744</v>
      </c>
      <c r="C911" s="93" t="s">
        <v>7814</v>
      </c>
      <c r="D911" s="92">
        <v>2458.65</v>
      </c>
    </row>
    <row r="912" spans="1:4" s="97" customFormat="1" ht="15" customHeight="1">
      <c r="A912" s="94" t="s">
        <v>8743</v>
      </c>
      <c r="B912" s="94" t="s">
        <v>8742</v>
      </c>
      <c r="C912" s="93" t="s">
        <v>7814</v>
      </c>
      <c r="D912" s="92">
        <v>2459.75</v>
      </c>
    </row>
    <row r="913" spans="1:4" s="97" customFormat="1" ht="15" customHeight="1">
      <c r="A913" s="94" t="s">
        <v>8741</v>
      </c>
      <c r="B913" s="94" t="s">
        <v>8740</v>
      </c>
      <c r="C913" s="93" t="s">
        <v>7814</v>
      </c>
      <c r="D913" s="92">
        <v>2390.84</v>
      </c>
    </row>
    <row r="914" spans="1:4" s="97" customFormat="1" ht="15" customHeight="1">
      <c r="A914" s="94" t="s">
        <v>8739</v>
      </c>
      <c r="B914" s="94" t="s">
        <v>8738</v>
      </c>
      <c r="C914" s="93" t="s">
        <v>7814</v>
      </c>
      <c r="D914" s="92">
        <v>2392.08</v>
      </c>
    </row>
    <row r="915" spans="1:4" s="97" customFormat="1" ht="15" customHeight="1">
      <c r="A915" s="95" t="s">
        <v>8737</v>
      </c>
      <c r="B915" s="94" t="s">
        <v>8736</v>
      </c>
      <c r="C915" s="93" t="s">
        <v>7814</v>
      </c>
      <c r="D915" s="92">
        <v>2932.36</v>
      </c>
    </row>
    <row r="916" spans="1:4" s="97" customFormat="1" ht="15" customHeight="1">
      <c r="A916" s="95" t="s">
        <v>8735</v>
      </c>
      <c r="B916" s="94" t="s">
        <v>8734</v>
      </c>
      <c r="C916" s="93" t="s">
        <v>7814</v>
      </c>
      <c r="D916" s="92">
        <v>2932</v>
      </c>
    </row>
    <row r="917" spans="1:4" s="97" customFormat="1" ht="15" customHeight="1">
      <c r="A917" s="94" t="s">
        <v>8733</v>
      </c>
      <c r="B917" s="94" t="s">
        <v>8732</v>
      </c>
      <c r="C917" s="93" t="s">
        <v>7814</v>
      </c>
      <c r="D917" s="92">
        <v>1655.89</v>
      </c>
    </row>
    <row r="918" spans="1:4" s="97" customFormat="1" ht="15" customHeight="1">
      <c r="A918" s="94" t="s">
        <v>8731</v>
      </c>
      <c r="B918" s="94" t="s">
        <v>8730</v>
      </c>
      <c r="C918" s="93" t="s">
        <v>7814</v>
      </c>
      <c r="D918" s="92">
        <v>1656.35</v>
      </c>
    </row>
    <row r="919" spans="1:4" s="97" customFormat="1" ht="15" customHeight="1">
      <c r="A919" s="94" t="s">
        <v>8729</v>
      </c>
      <c r="B919" s="94" t="s">
        <v>8728</v>
      </c>
      <c r="C919" s="93" t="s">
        <v>7814</v>
      </c>
      <c r="D919" s="92">
        <v>1657.67</v>
      </c>
    </row>
    <row r="920" spans="1:4" s="97" customFormat="1" ht="15" customHeight="1">
      <c r="A920" s="94" t="s">
        <v>8727</v>
      </c>
      <c r="B920" s="94" t="s">
        <v>8726</v>
      </c>
      <c r="C920" s="93" t="s">
        <v>7814</v>
      </c>
      <c r="D920" s="92">
        <v>1948.16</v>
      </c>
    </row>
    <row r="921" spans="1:4" s="97" customFormat="1" ht="15" customHeight="1">
      <c r="A921" s="94" t="s">
        <v>8725</v>
      </c>
      <c r="B921" s="94" t="s">
        <v>8724</v>
      </c>
      <c r="C921" s="93" t="s">
        <v>7814</v>
      </c>
      <c r="D921" s="92">
        <v>1948</v>
      </c>
    </row>
    <row r="922" spans="1:4" s="97" customFormat="1" ht="15" customHeight="1">
      <c r="A922" s="94" t="s">
        <v>8723</v>
      </c>
      <c r="B922" s="94" t="s">
        <v>8722</v>
      </c>
      <c r="C922" s="93" t="s">
        <v>7814</v>
      </c>
      <c r="D922" s="92">
        <v>1657.14</v>
      </c>
    </row>
    <row r="923" spans="1:4" s="97" customFormat="1" ht="15" customHeight="1">
      <c r="A923" s="94" t="s">
        <v>8721</v>
      </c>
      <c r="B923" s="94" t="s">
        <v>8720</v>
      </c>
      <c r="C923" s="93" t="s">
        <v>7814</v>
      </c>
      <c r="D923" s="92">
        <v>1656.53</v>
      </c>
    </row>
    <row r="924" spans="1:4" s="97" customFormat="1" ht="15" customHeight="1">
      <c r="A924" s="94" t="s">
        <v>8719</v>
      </c>
      <c r="B924" s="94" t="s">
        <v>8718</v>
      </c>
      <c r="C924" s="93" t="s">
        <v>7814</v>
      </c>
      <c r="D924" s="92">
        <v>1744.72</v>
      </c>
    </row>
    <row r="925" spans="1:4" s="97" customFormat="1" ht="15" customHeight="1">
      <c r="A925" s="94" t="s">
        <v>8717</v>
      </c>
      <c r="B925" s="94" t="s">
        <v>8716</v>
      </c>
      <c r="C925" s="93" t="s">
        <v>7814</v>
      </c>
      <c r="D925" s="92">
        <v>1744.72</v>
      </c>
    </row>
    <row r="926" spans="1:4" s="97" customFormat="1" ht="15" customHeight="1">
      <c r="A926" s="94" t="s">
        <v>8715</v>
      </c>
      <c r="B926" s="94" t="s">
        <v>8714</v>
      </c>
      <c r="C926" s="93" t="s">
        <v>7814</v>
      </c>
      <c r="D926" s="92">
        <v>1924.13</v>
      </c>
    </row>
    <row r="927" spans="1:4" s="97" customFormat="1" ht="15" customHeight="1">
      <c r="A927" s="94" t="s">
        <v>8713</v>
      </c>
      <c r="B927" s="94" t="s">
        <v>8712</v>
      </c>
      <c r="C927" s="93" t="s">
        <v>7814</v>
      </c>
      <c r="D927" s="92">
        <v>1923.95</v>
      </c>
    </row>
    <row r="928" spans="1:4" s="97" customFormat="1" ht="15" customHeight="1">
      <c r="A928" s="94" t="s">
        <v>8711</v>
      </c>
      <c r="B928" s="94" t="s">
        <v>8710</v>
      </c>
      <c r="C928" s="93" t="s">
        <v>7814</v>
      </c>
      <c r="D928" s="92">
        <v>1744.72</v>
      </c>
    </row>
    <row r="929" spans="1:4" s="97" customFormat="1" ht="15" customHeight="1">
      <c r="A929" s="94" t="s">
        <v>8709</v>
      </c>
      <c r="B929" s="94" t="s">
        <v>8708</v>
      </c>
      <c r="C929" s="93" t="s">
        <v>7814</v>
      </c>
      <c r="D929" s="92">
        <v>1744.72</v>
      </c>
    </row>
    <row r="930" spans="1:4" s="97" customFormat="1" ht="15" customHeight="1">
      <c r="A930" s="94" t="s">
        <v>8707</v>
      </c>
      <c r="B930" s="94" t="s">
        <v>8706</v>
      </c>
      <c r="C930" s="93" t="s">
        <v>7814</v>
      </c>
      <c r="D930" s="92">
        <v>1663.96</v>
      </c>
    </row>
    <row r="931" spans="1:4" s="97" customFormat="1" ht="15" customHeight="1">
      <c r="A931" s="94" t="s">
        <v>8705</v>
      </c>
      <c r="B931" s="94" t="s">
        <v>8704</v>
      </c>
      <c r="C931" s="93" t="s">
        <v>7814</v>
      </c>
      <c r="D931" s="92">
        <v>1664.4</v>
      </c>
    </row>
    <row r="932" spans="1:4" s="97" customFormat="1" ht="15" customHeight="1">
      <c r="A932" s="94" t="s">
        <v>8703</v>
      </c>
      <c r="B932" s="94" t="s">
        <v>8702</v>
      </c>
      <c r="C932" s="93" t="s">
        <v>7814</v>
      </c>
      <c r="D932" s="92">
        <v>1665.73</v>
      </c>
    </row>
    <row r="933" spans="1:4" s="97" customFormat="1" ht="15" customHeight="1">
      <c r="A933" s="94" t="s">
        <v>8701</v>
      </c>
      <c r="B933" s="94" t="s">
        <v>8700</v>
      </c>
      <c r="C933" s="93" t="s">
        <v>7814</v>
      </c>
      <c r="D933" s="92">
        <v>1920.03</v>
      </c>
    </row>
    <row r="934" spans="1:4" s="97" customFormat="1" ht="15" customHeight="1">
      <c r="A934" s="94" t="s">
        <v>8699</v>
      </c>
      <c r="B934" s="94" t="s">
        <v>8698</v>
      </c>
      <c r="C934" s="93" t="s">
        <v>7814</v>
      </c>
      <c r="D934" s="92">
        <v>1919.87</v>
      </c>
    </row>
    <row r="935" spans="1:4" s="97" customFormat="1" ht="15" customHeight="1">
      <c r="A935" s="94" t="s">
        <v>8697</v>
      </c>
      <c r="B935" s="94" t="s">
        <v>8696</v>
      </c>
      <c r="C935" s="93" t="s">
        <v>7814</v>
      </c>
      <c r="D935" s="92">
        <v>1665.22</v>
      </c>
    </row>
    <row r="936" spans="1:4" s="97" customFormat="1" ht="15" customHeight="1">
      <c r="A936" s="94" t="s">
        <v>8695</v>
      </c>
      <c r="B936" s="94" t="s">
        <v>8694</v>
      </c>
      <c r="C936" s="93" t="s">
        <v>7814</v>
      </c>
      <c r="D936" s="92">
        <v>1664.58</v>
      </c>
    </row>
    <row r="937" spans="1:4" s="97" customFormat="1" ht="15" customHeight="1">
      <c r="A937" s="94" t="s">
        <v>8693</v>
      </c>
      <c r="B937" s="94" t="s">
        <v>8692</v>
      </c>
      <c r="C937" s="93" t="s">
        <v>7814</v>
      </c>
      <c r="D937" s="92">
        <v>1752.78</v>
      </c>
    </row>
    <row r="938" spans="1:4" s="97" customFormat="1" ht="15" customHeight="1">
      <c r="A938" s="94" t="s">
        <v>8691</v>
      </c>
      <c r="B938" s="94" t="s">
        <v>8690</v>
      </c>
      <c r="C938" s="93" t="s">
        <v>7814</v>
      </c>
      <c r="D938" s="92">
        <v>1752.78</v>
      </c>
    </row>
    <row r="939" spans="1:4" s="97" customFormat="1" ht="15" customHeight="1">
      <c r="A939" s="94" t="s">
        <v>8689</v>
      </c>
      <c r="B939" s="94" t="s">
        <v>8688</v>
      </c>
      <c r="C939" s="93" t="s">
        <v>7814</v>
      </c>
      <c r="D939" s="92">
        <v>1953.01</v>
      </c>
    </row>
    <row r="940" spans="1:4" s="97" customFormat="1" ht="15" customHeight="1">
      <c r="A940" s="94" t="s">
        <v>8687</v>
      </c>
      <c r="B940" s="94" t="s">
        <v>8686</v>
      </c>
      <c r="C940" s="93" t="s">
        <v>7814</v>
      </c>
      <c r="D940" s="92">
        <v>1952.83</v>
      </c>
    </row>
    <row r="941" spans="1:4" s="97" customFormat="1" ht="15" customHeight="1">
      <c r="A941" s="94" t="s">
        <v>8685</v>
      </c>
      <c r="B941" s="94" t="s">
        <v>8684</v>
      </c>
      <c r="C941" s="93" t="s">
        <v>7814</v>
      </c>
      <c r="D941" s="92">
        <v>1752.78</v>
      </c>
    </row>
    <row r="942" spans="1:4" s="97" customFormat="1" ht="15" customHeight="1">
      <c r="A942" s="94" t="s">
        <v>8683</v>
      </c>
      <c r="B942" s="94" t="s">
        <v>8682</v>
      </c>
      <c r="C942" s="93" t="s">
        <v>7814</v>
      </c>
      <c r="D942" s="92">
        <v>1752.78</v>
      </c>
    </row>
    <row r="943" spans="1:4" s="97" customFormat="1" ht="15" customHeight="1">
      <c r="A943" s="94" t="s">
        <v>8681</v>
      </c>
      <c r="B943" s="94" t="s">
        <v>8680</v>
      </c>
      <c r="C943" s="93" t="s">
        <v>7829</v>
      </c>
      <c r="D943" s="92">
        <v>124.68</v>
      </c>
    </row>
    <row r="944" spans="1:4" s="97" customFormat="1" ht="15" customHeight="1">
      <c r="A944" s="94" t="s">
        <v>8679</v>
      </c>
      <c r="B944" s="94" t="s">
        <v>8678</v>
      </c>
      <c r="C944" s="93" t="s">
        <v>7829</v>
      </c>
      <c r="D944" s="92">
        <v>124.09</v>
      </c>
    </row>
    <row r="945" spans="1:4" s="97" customFormat="1" ht="15" customHeight="1">
      <c r="A945" s="94" t="s">
        <v>8677</v>
      </c>
      <c r="B945" s="94" t="s">
        <v>8676</v>
      </c>
      <c r="C945" s="93" t="s">
        <v>7829</v>
      </c>
      <c r="D945" s="92">
        <v>124.74</v>
      </c>
    </row>
    <row r="946" spans="1:4" s="97" customFormat="1" ht="15" customHeight="1">
      <c r="A946" s="94" t="s">
        <v>8675</v>
      </c>
      <c r="B946" s="94" t="s">
        <v>8674</v>
      </c>
      <c r="C946" s="93" t="s">
        <v>7829</v>
      </c>
      <c r="D946" s="92">
        <v>124.78</v>
      </c>
    </row>
    <row r="947" spans="1:4" s="97" customFormat="1" ht="15" customHeight="1">
      <c r="A947" s="94" t="s">
        <v>8673</v>
      </c>
      <c r="B947" s="94" t="s">
        <v>8672</v>
      </c>
      <c r="C947" s="93" t="s">
        <v>7829</v>
      </c>
      <c r="D947" s="92">
        <v>124.09</v>
      </c>
    </row>
    <row r="948" spans="1:4" s="97" customFormat="1" ht="15" customHeight="1">
      <c r="A948" s="94" t="s">
        <v>8671</v>
      </c>
      <c r="B948" s="94" t="s">
        <v>8670</v>
      </c>
      <c r="C948" s="93" t="s">
        <v>7829</v>
      </c>
      <c r="D948" s="92">
        <v>124.09</v>
      </c>
    </row>
    <row r="949" spans="1:4" s="97" customFormat="1" ht="15" customHeight="1">
      <c r="A949" s="94" t="s">
        <v>8669</v>
      </c>
      <c r="B949" s="94" t="s">
        <v>8668</v>
      </c>
      <c r="C949" s="93" t="s">
        <v>7829</v>
      </c>
      <c r="D949" s="92">
        <v>124.09</v>
      </c>
    </row>
    <row r="950" spans="1:4" s="97" customFormat="1" ht="15" customHeight="1">
      <c r="A950" s="94" t="s">
        <v>8667</v>
      </c>
      <c r="B950" s="94" t="s">
        <v>8666</v>
      </c>
      <c r="C950" s="93" t="s">
        <v>7829</v>
      </c>
      <c r="D950" s="92">
        <v>124.09</v>
      </c>
    </row>
    <row r="951" spans="1:4" s="97" customFormat="1" ht="15" customHeight="1">
      <c r="A951" s="94" t="s">
        <v>8665</v>
      </c>
      <c r="B951" s="94" t="s">
        <v>8664</v>
      </c>
      <c r="C951" s="93" t="s">
        <v>7829</v>
      </c>
      <c r="D951" s="92">
        <v>124.09</v>
      </c>
    </row>
    <row r="952" spans="1:4" s="97" customFormat="1" ht="15" customHeight="1">
      <c r="A952" s="94" t="s">
        <v>8663</v>
      </c>
      <c r="B952" s="94" t="s">
        <v>8662</v>
      </c>
      <c r="C952" s="93" t="s">
        <v>7829</v>
      </c>
      <c r="D952" s="92">
        <v>124.52</v>
      </c>
    </row>
    <row r="953" spans="1:4" s="97" customFormat="1" ht="15" customHeight="1">
      <c r="A953" s="94" t="s">
        <v>8661</v>
      </c>
      <c r="B953" s="94" t="s">
        <v>8660</v>
      </c>
      <c r="C953" s="93" t="s">
        <v>7829</v>
      </c>
      <c r="D953" s="92">
        <v>124.09</v>
      </c>
    </row>
    <row r="954" spans="1:4" s="97" customFormat="1" ht="15" customHeight="1">
      <c r="A954" s="94" t="s">
        <v>8659</v>
      </c>
      <c r="B954" s="94" t="s">
        <v>8658</v>
      </c>
      <c r="C954" s="93" t="s">
        <v>7829</v>
      </c>
      <c r="D954" s="92">
        <v>124.09</v>
      </c>
    </row>
    <row r="955" spans="1:4" s="97" customFormat="1" ht="15" customHeight="1">
      <c r="A955" s="94" t="s">
        <v>8657</v>
      </c>
      <c r="B955" s="94" t="s">
        <v>8656</v>
      </c>
      <c r="C955" s="93" t="s">
        <v>7829</v>
      </c>
      <c r="D955" s="92">
        <v>124.09</v>
      </c>
    </row>
    <row r="956" spans="1:4" s="97" customFormat="1" ht="15" customHeight="1">
      <c r="A956" s="94" t="s">
        <v>8655</v>
      </c>
      <c r="B956" s="94" t="s">
        <v>8654</v>
      </c>
      <c r="C956" s="93" t="s">
        <v>7829</v>
      </c>
      <c r="D956" s="92">
        <v>124.64</v>
      </c>
    </row>
    <row r="957" spans="1:4" s="97" customFormat="1" ht="15" customHeight="1">
      <c r="A957" s="94" t="s">
        <v>8653</v>
      </c>
      <c r="B957" s="94" t="s">
        <v>8652</v>
      </c>
      <c r="C957" s="93" t="s">
        <v>7829</v>
      </c>
      <c r="D957" s="92">
        <v>124.09</v>
      </c>
    </row>
    <row r="958" spans="1:4" s="97" customFormat="1" ht="15" customHeight="1">
      <c r="A958" s="94" t="s">
        <v>8651</v>
      </c>
      <c r="B958" s="94" t="s">
        <v>8650</v>
      </c>
      <c r="C958" s="93" t="s">
        <v>7829</v>
      </c>
      <c r="D958" s="92">
        <v>124.54</v>
      </c>
    </row>
    <row r="959" spans="1:4" s="97" customFormat="1" ht="15" customHeight="1">
      <c r="A959" s="94" t="s">
        <v>8649</v>
      </c>
      <c r="B959" s="94" t="s">
        <v>8648</v>
      </c>
      <c r="C959" s="93" t="s">
        <v>7829</v>
      </c>
      <c r="D959" s="92">
        <v>124.09</v>
      </c>
    </row>
    <row r="960" spans="1:4" s="97" customFormat="1" ht="15" customHeight="1">
      <c r="A960" s="94" t="s">
        <v>8647</v>
      </c>
      <c r="B960" s="94" t="s">
        <v>8646</v>
      </c>
      <c r="C960" s="93" t="s">
        <v>7829</v>
      </c>
      <c r="D960" s="92">
        <v>129.96</v>
      </c>
    </row>
    <row r="961" spans="1:4" s="97" customFormat="1" ht="15" customHeight="1">
      <c r="A961" s="94" t="s">
        <v>8645</v>
      </c>
      <c r="B961" s="94" t="s">
        <v>8644</v>
      </c>
      <c r="C961" s="93" t="s">
        <v>7829</v>
      </c>
      <c r="D961" s="92">
        <v>129.96</v>
      </c>
    </row>
    <row r="962" spans="1:4" s="97" customFormat="1" ht="15" customHeight="1">
      <c r="A962" s="94" t="s">
        <v>8643</v>
      </c>
      <c r="B962" s="94" t="s">
        <v>8642</v>
      </c>
      <c r="C962" s="93" t="s">
        <v>7829</v>
      </c>
      <c r="D962" s="92">
        <v>124.09</v>
      </c>
    </row>
    <row r="963" spans="1:4" s="97" customFormat="1" ht="15" customHeight="1">
      <c r="A963" s="94" t="s">
        <v>8641</v>
      </c>
      <c r="B963" s="94" t="s">
        <v>8640</v>
      </c>
      <c r="C963" s="93" t="s">
        <v>7829</v>
      </c>
      <c r="D963" s="92">
        <v>201.37</v>
      </c>
    </row>
    <row r="964" spans="1:4" s="97" customFormat="1" ht="15" customHeight="1">
      <c r="A964" s="94" t="s">
        <v>8639</v>
      </c>
      <c r="B964" s="94" t="s">
        <v>8638</v>
      </c>
      <c r="C964" s="93" t="s">
        <v>7829</v>
      </c>
      <c r="D964" s="92">
        <v>266.19</v>
      </c>
    </row>
    <row r="965" spans="1:4" s="97" customFormat="1" ht="15" customHeight="1">
      <c r="A965" s="94" t="s">
        <v>8637</v>
      </c>
      <c r="B965" s="94" t="s">
        <v>8636</v>
      </c>
      <c r="C965" s="93" t="s">
        <v>7829</v>
      </c>
      <c r="D965" s="92">
        <v>141.87</v>
      </c>
    </row>
    <row r="966" spans="1:4" s="97" customFormat="1" ht="15" customHeight="1">
      <c r="A966" s="94" t="s">
        <v>8635</v>
      </c>
      <c r="B966" s="94" t="s">
        <v>8634</v>
      </c>
      <c r="C966" s="93" t="s">
        <v>7829</v>
      </c>
      <c r="D966" s="92">
        <v>217.26</v>
      </c>
    </row>
    <row r="967" spans="1:4" s="97" customFormat="1" ht="15" customHeight="1">
      <c r="A967" s="94" t="s">
        <v>8633</v>
      </c>
      <c r="B967" s="94" t="s">
        <v>8632</v>
      </c>
      <c r="C967" s="93" t="s">
        <v>7814</v>
      </c>
      <c r="D967" s="92">
        <v>2431.14</v>
      </c>
    </row>
    <row r="968" spans="1:4" s="97" customFormat="1" ht="15" customHeight="1">
      <c r="A968" s="94" t="s">
        <v>8631</v>
      </c>
      <c r="B968" s="94" t="s">
        <v>8630</v>
      </c>
      <c r="C968" s="93" t="s">
        <v>7814</v>
      </c>
      <c r="D968" s="92">
        <v>2430.83</v>
      </c>
    </row>
    <row r="969" spans="1:4" s="97" customFormat="1" ht="15" customHeight="1">
      <c r="A969" s="94" t="s">
        <v>8629</v>
      </c>
      <c r="B969" s="94" t="s">
        <v>8628</v>
      </c>
      <c r="C969" s="93" t="s">
        <v>7814</v>
      </c>
      <c r="D969" s="92">
        <v>2432.4899999999998</v>
      </c>
    </row>
    <row r="970" spans="1:4" s="97" customFormat="1" ht="15" customHeight="1">
      <c r="A970" s="94" t="s">
        <v>8627</v>
      </c>
      <c r="B970" s="94" t="s">
        <v>8626</v>
      </c>
      <c r="C970" s="93" t="s">
        <v>7814</v>
      </c>
      <c r="D970" s="92">
        <v>2431</v>
      </c>
    </row>
    <row r="971" spans="1:4" s="97" customFormat="1" ht="15" customHeight="1">
      <c r="A971" s="94" t="s">
        <v>8625</v>
      </c>
      <c r="B971" s="94" t="s">
        <v>8624</v>
      </c>
      <c r="C971" s="93" t="s">
        <v>7814</v>
      </c>
      <c r="D971" s="92">
        <v>2432.1799999999998</v>
      </c>
    </row>
    <row r="972" spans="1:4" s="97" customFormat="1" ht="15" customHeight="1">
      <c r="A972" s="94" t="s">
        <v>8623</v>
      </c>
      <c r="B972" s="94" t="s">
        <v>8622</v>
      </c>
      <c r="C972" s="93" t="s">
        <v>7814</v>
      </c>
      <c r="D972" s="92">
        <v>2431.42</v>
      </c>
    </row>
    <row r="973" spans="1:4" s="97" customFormat="1" ht="15" customHeight="1">
      <c r="A973" s="94" t="s">
        <v>8621</v>
      </c>
      <c r="B973" s="94" t="s">
        <v>8620</v>
      </c>
      <c r="C973" s="93" t="s">
        <v>7814</v>
      </c>
      <c r="D973" s="92">
        <v>2431.12</v>
      </c>
    </row>
    <row r="974" spans="1:4" s="97" customFormat="1" ht="15" customHeight="1">
      <c r="A974" s="94" t="s">
        <v>8619</v>
      </c>
      <c r="B974" s="94" t="s">
        <v>8618</v>
      </c>
      <c r="C974" s="93" t="s">
        <v>7814</v>
      </c>
      <c r="D974" s="92">
        <v>2432.77</v>
      </c>
    </row>
    <row r="975" spans="1:4" s="97" customFormat="1" ht="15" customHeight="1">
      <c r="A975" s="94" t="s">
        <v>8617</v>
      </c>
      <c r="B975" s="94" t="s">
        <v>8616</v>
      </c>
      <c r="C975" s="93" t="s">
        <v>7814</v>
      </c>
      <c r="D975" s="92">
        <v>2431</v>
      </c>
    </row>
    <row r="976" spans="1:4" s="97" customFormat="1" ht="15" customHeight="1">
      <c r="A976" s="94" t="s">
        <v>8615</v>
      </c>
      <c r="B976" s="94" t="s">
        <v>8614</v>
      </c>
      <c r="C976" s="93" t="s">
        <v>7814</v>
      </c>
      <c r="D976" s="92">
        <v>2432.4699999999998</v>
      </c>
    </row>
    <row r="977" spans="1:4" s="97" customFormat="1" ht="15" customHeight="1">
      <c r="A977" s="94" t="s">
        <v>8613</v>
      </c>
      <c r="B977" s="94" t="s">
        <v>8612</v>
      </c>
      <c r="C977" s="93" t="s">
        <v>7814</v>
      </c>
      <c r="D977" s="92">
        <v>2429.77</v>
      </c>
    </row>
    <row r="978" spans="1:4" s="97" customFormat="1" ht="15" customHeight="1">
      <c r="A978" s="94" t="s">
        <v>8611</v>
      </c>
      <c r="B978" s="94" t="s">
        <v>8610</v>
      </c>
      <c r="C978" s="93" t="s">
        <v>7814</v>
      </c>
      <c r="D978" s="92">
        <v>2429.46</v>
      </c>
    </row>
    <row r="979" spans="1:4" s="97" customFormat="1" ht="15" customHeight="1">
      <c r="A979" s="94" t="s">
        <v>8609</v>
      </c>
      <c r="B979" s="94" t="s">
        <v>8608</v>
      </c>
      <c r="C979" s="93" t="s">
        <v>7814</v>
      </c>
      <c r="D979" s="92">
        <v>2431.12</v>
      </c>
    </row>
    <row r="980" spans="1:4" s="97" customFormat="1" ht="15" customHeight="1">
      <c r="A980" s="94" t="s">
        <v>8607</v>
      </c>
      <c r="B980" s="94" t="s">
        <v>8606</v>
      </c>
      <c r="C980" s="93" t="s">
        <v>7814</v>
      </c>
      <c r="D980" s="92">
        <v>2429.63</v>
      </c>
    </row>
    <row r="981" spans="1:4" s="97" customFormat="1" ht="15" customHeight="1">
      <c r="A981" s="94" t="s">
        <v>8605</v>
      </c>
      <c r="B981" s="94" t="s">
        <v>8604</v>
      </c>
      <c r="C981" s="93" t="s">
        <v>7814</v>
      </c>
      <c r="D981" s="92">
        <v>2430.81</v>
      </c>
    </row>
    <row r="982" spans="1:4" s="97" customFormat="1" ht="15" customHeight="1">
      <c r="A982" s="94" t="s">
        <v>8603</v>
      </c>
      <c r="B982" s="94" t="s">
        <v>8602</v>
      </c>
      <c r="C982" s="93" t="s">
        <v>7829</v>
      </c>
      <c r="D982" s="92">
        <v>99.18</v>
      </c>
    </row>
    <row r="983" spans="1:4" s="97" customFormat="1" ht="15" customHeight="1">
      <c r="A983" s="94" t="s">
        <v>8601</v>
      </c>
      <c r="B983" s="94" t="s">
        <v>8600</v>
      </c>
      <c r="C983" s="93" t="s">
        <v>7814</v>
      </c>
      <c r="D983" s="92">
        <v>138.85</v>
      </c>
    </row>
    <row r="984" spans="1:4" s="97" customFormat="1" ht="15" customHeight="1">
      <c r="A984" s="94" t="s">
        <v>8599</v>
      </c>
      <c r="B984" s="94" t="s">
        <v>8598</v>
      </c>
      <c r="C984" s="93" t="s">
        <v>7814</v>
      </c>
      <c r="D984" s="92">
        <v>138.85</v>
      </c>
    </row>
    <row r="985" spans="1:4" s="97" customFormat="1" ht="15" customHeight="1">
      <c r="A985" s="94" t="s">
        <v>8597</v>
      </c>
      <c r="B985" s="94" t="s">
        <v>8596</v>
      </c>
      <c r="C985" s="93" t="s">
        <v>7814</v>
      </c>
      <c r="D985" s="92">
        <v>139.76</v>
      </c>
    </row>
    <row r="986" spans="1:4" s="97" customFormat="1" ht="15" customHeight="1">
      <c r="A986" s="96" t="s">
        <v>8595</v>
      </c>
      <c r="B986" s="94" t="s">
        <v>8594</v>
      </c>
      <c r="C986" s="93" t="s">
        <v>7814</v>
      </c>
      <c r="D986" s="92">
        <v>191.05</v>
      </c>
    </row>
    <row r="987" spans="1:4" s="97" customFormat="1" ht="15" customHeight="1">
      <c r="A987" s="94" t="s">
        <v>8593</v>
      </c>
      <c r="B987" s="94" t="s">
        <v>8592</v>
      </c>
      <c r="C987" s="93" t="s">
        <v>7829</v>
      </c>
      <c r="D987" s="92">
        <v>366.25</v>
      </c>
    </row>
    <row r="988" spans="1:4" s="97" customFormat="1" ht="15" customHeight="1">
      <c r="A988" s="94" t="s">
        <v>8591</v>
      </c>
      <c r="B988" s="94" t="s">
        <v>8590</v>
      </c>
      <c r="C988" s="93" t="s">
        <v>7829</v>
      </c>
      <c r="D988" s="92">
        <v>366.25</v>
      </c>
    </row>
    <row r="989" spans="1:4" s="97" customFormat="1" ht="15" customHeight="1">
      <c r="A989" s="94" t="s">
        <v>8589</v>
      </c>
      <c r="B989" s="94" t="s">
        <v>8588</v>
      </c>
      <c r="C989" s="93" t="s">
        <v>7829</v>
      </c>
      <c r="D989" s="92">
        <v>394.56</v>
      </c>
    </row>
    <row r="990" spans="1:4" s="97" customFormat="1" ht="15" customHeight="1">
      <c r="A990" s="94" t="s">
        <v>8587</v>
      </c>
      <c r="B990" s="94" t="s">
        <v>8586</v>
      </c>
      <c r="C990" s="93" t="s">
        <v>7829</v>
      </c>
      <c r="D990" s="92">
        <v>595.96</v>
      </c>
    </row>
    <row r="991" spans="1:4" s="97" customFormat="1" ht="15" customHeight="1">
      <c r="A991" s="94" t="s">
        <v>8585</v>
      </c>
      <c r="B991" s="94" t="s">
        <v>8584</v>
      </c>
      <c r="C991" s="93" t="s">
        <v>7829</v>
      </c>
      <c r="D991" s="92">
        <v>595.96</v>
      </c>
    </row>
    <row r="992" spans="1:4" s="97" customFormat="1" ht="15" customHeight="1">
      <c r="A992" s="94" t="s">
        <v>8583</v>
      </c>
      <c r="B992" s="94" t="s">
        <v>8582</v>
      </c>
      <c r="C992" s="93" t="s">
        <v>7829</v>
      </c>
      <c r="D992" s="92">
        <v>368.9</v>
      </c>
    </row>
    <row r="993" spans="1:4" s="97" customFormat="1" ht="15" customHeight="1">
      <c r="A993" s="94" t="s">
        <v>8581</v>
      </c>
      <c r="B993" s="94" t="s">
        <v>8580</v>
      </c>
      <c r="C993" s="93" t="s">
        <v>7829</v>
      </c>
      <c r="D993" s="92">
        <v>577.46</v>
      </c>
    </row>
    <row r="994" spans="1:4" s="97" customFormat="1" ht="15" customHeight="1">
      <c r="A994" s="94" t="s">
        <v>8579</v>
      </c>
      <c r="B994" s="94" t="s">
        <v>8578</v>
      </c>
      <c r="C994" s="93" t="s">
        <v>7829</v>
      </c>
      <c r="D994" s="92">
        <v>428.05</v>
      </c>
    </row>
    <row r="995" spans="1:4" s="97" customFormat="1" ht="15" customHeight="1">
      <c r="A995" s="94" t="s">
        <v>8577</v>
      </c>
      <c r="B995" s="94" t="s">
        <v>8576</v>
      </c>
      <c r="C995" s="93" t="s">
        <v>7829</v>
      </c>
      <c r="D995" s="92">
        <v>388.53</v>
      </c>
    </row>
    <row r="996" spans="1:4" s="97" customFormat="1" ht="15" customHeight="1">
      <c r="A996" s="94" t="s">
        <v>8575</v>
      </c>
      <c r="B996" s="94" t="s">
        <v>8574</v>
      </c>
      <c r="C996" s="93" t="s">
        <v>7829</v>
      </c>
      <c r="D996" s="92">
        <v>211.43</v>
      </c>
    </row>
    <row r="997" spans="1:4" s="97" customFormat="1" ht="15" customHeight="1">
      <c r="A997" s="94" t="s">
        <v>8573</v>
      </c>
      <c r="B997" s="94" t="s">
        <v>8572</v>
      </c>
      <c r="C997" s="93" t="s">
        <v>7829</v>
      </c>
      <c r="D997" s="92">
        <v>572.6</v>
      </c>
    </row>
    <row r="998" spans="1:4" s="97" customFormat="1" ht="15" customHeight="1">
      <c r="A998" s="94" t="s">
        <v>8571</v>
      </c>
      <c r="B998" s="94" t="s">
        <v>8570</v>
      </c>
      <c r="C998" s="93" t="s">
        <v>7829</v>
      </c>
      <c r="D998" s="92">
        <v>219.63</v>
      </c>
    </row>
    <row r="999" spans="1:4" s="97" customFormat="1" ht="15" customHeight="1">
      <c r="A999" s="94" t="s">
        <v>8569</v>
      </c>
      <c r="B999" s="94" t="s">
        <v>8568</v>
      </c>
      <c r="C999" s="93" t="s">
        <v>7829</v>
      </c>
      <c r="D999" s="92">
        <v>136.84</v>
      </c>
    </row>
    <row r="1000" spans="1:4" s="97" customFormat="1" ht="15" customHeight="1">
      <c r="A1000" s="94" t="s">
        <v>8567</v>
      </c>
      <c r="B1000" s="94" t="s">
        <v>8566</v>
      </c>
      <c r="C1000" s="93" t="s">
        <v>7829</v>
      </c>
      <c r="D1000" s="92">
        <v>181.31</v>
      </c>
    </row>
    <row r="1001" spans="1:4" s="97" customFormat="1" ht="15" customHeight="1">
      <c r="A1001" s="94" t="s">
        <v>8565</v>
      </c>
      <c r="B1001" s="94" t="s">
        <v>8564</v>
      </c>
      <c r="C1001" s="93" t="s">
        <v>7829</v>
      </c>
      <c r="D1001" s="92">
        <v>580.29999999999995</v>
      </c>
    </row>
    <row r="1002" spans="1:4" s="97" customFormat="1" ht="15" customHeight="1">
      <c r="A1002" s="94" t="s">
        <v>8563</v>
      </c>
      <c r="B1002" s="94" t="s">
        <v>8562</v>
      </c>
      <c r="C1002" s="93" t="s">
        <v>7829</v>
      </c>
      <c r="D1002" s="92">
        <v>580.29999999999995</v>
      </c>
    </row>
    <row r="1003" spans="1:4" s="97" customFormat="1" ht="15" customHeight="1">
      <c r="A1003" s="94" t="s">
        <v>8561</v>
      </c>
      <c r="B1003" s="94" t="s">
        <v>8560</v>
      </c>
      <c r="C1003" s="93" t="s">
        <v>7829</v>
      </c>
      <c r="D1003" s="92">
        <v>410.82</v>
      </c>
    </row>
    <row r="1004" spans="1:4" s="97" customFormat="1" ht="15" customHeight="1">
      <c r="A1004" s="94" t="s">
        <v>8559</v>
      </c>
      <c r="B1004" s="94" t="s">
        <v>8558</v>
      </c>
      <c r="C1004" s="93" t="s">
        <v>7829</v>
      </c>
      <c r="D1004" s="92">
        <v>580.29999999999995</v>
      </c>
    </row>
    <row r="1005" spans="1:4" s="97" customFormat="1" ht="15" customHeight="1">
      <c r="A1005" s="94" t="s">
        <v>8557</v>
      </c>
      <c r="B1005" s="94" t="s">
        <v>8556</v>
      </c>
      <c r="C1005" s="93" t="s">
        <v>7829</v>
      </c>
      <c r="D1005" s="92">
        <v>410.82</v>
      </c>
    </row>
    <row r="1006" spans="1:4" s="97" customFormat="1" ht="15" customHeight="1">
      <c r="A1006" s="94" t="s">
        <v>8555</v>
      </c>
      <c r="B1006" s="94" t="s">
        <v>8554</v>
      </c>
      <c r="C1006" s="93" t="s">
        <v>7829</v>
      </c>
      <c r="D1006" s="92">
        <v>410.82</v>
      </c>
    </row>
    <row r="1007" spans="1:4" s="97" customFormat="1" ht="15" customHeight="1">
      <c r="A1007" s="94" t="s">
        <v>8553</v>
      </c>
      <c r="B1007" s="94" t="s">
        <v>8552</v>
      </c>
      <c r="C1007" s="93" t="s">
        <v>7829</v>
      </c>
      <c r="D1007" s="92">
        <v>416.85</v>
      </c>
    </row>
    <row r="1008" spans="1:4" s="97" customFormat="1" ht="15" customHeight="1">
      <c r="A1008" s="94" t="s">
        <v>8551</v>
      </c>
      <c r="B1008" s="94" t="s">
        <v>8550</v>
      </c>
      <c r="C1008" s="93" t="s">
        <v>7829</v>
      </c>
      <c r="D1008" s="92">
        <v>580.29999999999995</v>
      </c>
    </row>
    <row r="1009" spans="1:4" s="97" customFormat="1" ht="15" customHeight="1">
      <c r="A1009" s="94" t="s">
        <v>8549</v>
      </c>
      <c r="B1009" s="94" t="s">
        <v>8548</v>
      </c>
      <c r="C1009" s="93" t="s">
        <v>7829</v>
      </c>
      <c r="D1009" s="92">
        <v>410.82</v>
      </c>
    </row>
    <row r="1010" spans="1:4" s="97" customFormat="1" ht="15" customHeight="1">
      <c r="A1010" s="94" t="s">
        <v>8547</v>
      </c>
      <c r="B1010" s="94" t="s">
        <v>8546</v>
      </c>
      <c r="C1010" s="93" t="s">
        <v>7829</v>
      </c>
      <c r="D1010" s="92">
        <v>5.5</v>
      </c>
    </row>
    <row r="1011" spans="1:4" s="97" customFormat="1" ht="15" customHeight="1">
      <c r="A1011" s="94" t="s">
        <v>8545</v>
      </c>
      <c r="B1011" s="94" t="s">
        <v>8544</v>
      </c>
      <c r="C1011" s="93" t="s">
        <v>7829</v>
      </c>
      <c r="D1011" s="92">
        <v>418.38</v>
      </c>
    </row>
    <row r="1012" spans="1:4" s="97" customFormat="1" ht="15" customHeight="1">
      <c r="A1012" s="94" t="s">
        <v>8543</v>
      </c>
      <c r="B1012" s="94" t="s">
        <v>8542</v>
      </c>
      <c r="C1012" s="93" t="s">
        <v>7829</v>
      </c>
      <c r="D1012" s="92">
        <v>590.92999999999995</v>
      </c>
    </row>
    <row r="1013" spans="1:4" s="97" customFormat="1" ht="15" customHeight="1">
      <c r="A1013" s="94" t="s">
        <v>8541</v>
      </c>
      <c r="B1013" s="94" t="s">
        <v>8540</v>
      </c>
      <c r="C1013" s="93" t="s">
        <v>7829</v>
      </c>
      <c r="D1013" s="92">
        <v>255.06</v>
      </c>
    </row>
    <row r="1014" spans="1:4" s="97" customFormat="1" ht="15" customHeight="1">
      <c r="A1014" s="94" t="s">
        <v>8539</v>
      </c>
      <c r="B1014" s="94" t="s">
        <v>8538</v>
      </c>
      <c r="C1014" s="93" t="s">
        <v>7829</v>
      </c>
      <c r="D1014" s="92">
        <v>11.71</v>
      </c>
    </row>
    <row r="1015" spans="1:4" s="97" customFormat="1" ht="15" customHeight="1">
      <c r="A1015" s="94" t="s">
        <v>8537</v>
      </c>
      <c r="B1015" s="94" t="s">
        <v>8536</v>
      </c>
      <c r="C1015" s="93" t="s">
        <v>7829</v>
      </c>
      <c r="D1015" s="92">
        <v>257.16000000000003</v>
      </c>
    </row>
    <row r="1016" spans="1:4" s="97" customFormat="1" ht="15" customHeight="1">
      <c r="A1016" s="94" t="s">
        <v>8535</v>
      </c>
      <c r="B1016" s="94" t="s">
        <v>8534</v>
      </c>
      <c r="C1016" s="93" t="s">
        <v>7829</v>
      </c>
      <c r="D1016" s="92">
        <v>306.23</v>
      </c>
    </row>
    <row r="1017" spans="1:4" s="97" customFormat="1" ht="15" customHeight="1">
      <c r="A1017" s="94" t="s">
        <v>8533</v>
      </c>
      <c r="B1017" s="94" t="s">
        <v>8532</v>
      </c>
      <c r="C1017" s="93" t="s">
        <v>7829</v>
      </c>
      <c r="D1017" s="92">
        <v>84.09</v>
      </c>
    </row>
    <row r="1018" spans="1:4" s="97" customFormat="1" ht="15" customHeight="1">
      <c r="A1018" s="94" t="s">
        <v>8531</v>
      </c>
      <c r="B1018" s="94" t="s">
        <v>8530</v>
      </c>
      <c r="C1018" s="93" t="s">
        <v>7829</v>
      </c>
      <c r="D1018" s="92">
        <v>32.75</v>
      </c>
    </row>
    <row r="1019" spans="1:4" s="97" customFormat="1" ht="15" customHeight="1">
      <c r="A1019" s="94" t="s">
        <v>8529</v>
      </c>
      <c r="B1019" s="94" t="s">
        <v>8528</v>
      </c>
      <c r="C1019" s="93" t="s">
        <v>7829</v>
      </c>
      <c r="D1019" s="92">
        <v>55.29</v>
      </c>
    </row>
    <row r="1020" spans="1:4" s="97" customFormat="1" ht="15" customHeight="1">
      <c r="A1020" s="94" t="s">
        <v>8527</v>
      </c>
      <c r="B1020" s="94" t="s">
        <v>8526</v>
      </c>
      <c r="C1020" s="93" t="s">
        <v>7829</v>
      </c>
      <c r="D1020" s="92">
        <v>88.15</v>
      </c>
    </row>
    <row r="1021" spans="1:4" s="97" customFormat="1" ht="15" customHeight="1">
      <c r="A1021" s="94" t="s">
        <v>8525</v>
      </c>
      <c r="B1021" s="94" t="s">
        <v>8524</v>
      </c>
      <c r="C1021" s="93" t="s">
        <v>7829</v>
      </c>
      <c r="D1021" s="92">
        <v>18.309999999999999</v>
      </c>
    </row>
    <row r="1022" spans="1:4" s="97" customFormat="1" ht="15" customHeight="1">
      <c r="A1022" s="94" t="s">
        <v>8523</v>
      </c>
      <c r="B1022" s="94" t="s">
        <v>8522</v>
      </c>
      <c r="C1022" s="93" t="s">
        <v>7829</v>
      </c>
      <c r="D1022" s="92">
        <v>31.05</v>
      </c>
    </row>
    <row r="1023" spans="1:4" s="97" customFormat="1" ht="15" customHeight="1">
      <c r="A1023" s="94" t="s">
        <v>8521</v>
      </c>
      <c r="B1023" s="94" t="s">
        <v>8520</v>
      </c>
      <c r="C1023" s="93" t="s">
        <v>7829</v>
      </c>
      <c r="D1023" s="92">
        <v>9.82</v>
      </c>
    </row>
    <row r="1024" spans="1:4" s="97" customFormat="1" ht="15" customHeight="1">
      <c r="A1024" s="96" t="s">
        <v>8519</v>
      </c>
      <c r="B1024" s="94" t="s">
        <v>8518</v>
      </c>
      <c r="C1024" s="93" t="s">
        <v>7829</v>
      </c>
      <c r="D1024" s="92">
        <v>432.86</v>
      </c>
    </row>
    <row r="1025" spans="1:4" s="97" customFormat="1" ht="15" customHeight="1">
      <c r="A1025" s="96" t="s">
        <v>8517</v>
      </c>
      <c r="B1025" s="94" t="s">
        <v>8516</v>
      </c>
      <c r="C1025" s="93" t="s">
        <v>7829</v>
      </c>
      <c r="D1025" s="92">
        <v>432.86</v>
      </c>
    </row>
    <row r="1026" spans="1:4" s="97" customFormat="1" ht="15" customHeight="1">
      <c r="A1026" s="96" t="s">
        <v>8515</v>
      </c>
      <c r="B1026" s="94" t="s">
        <v>8514</v>
      </c>
      <c r="C1026" s="93" t="s">
        <v>7829</v>
      </c>
      <c r="D1026" s="92">
        <v>432.86</v>
      </c>
    </row>
    <row r="1027" spans="1:4" s="97" customFormat="1" ht="15" customHeight="1">
      <c r="A1027" s="96" t="s">
        <v>8513</v>
      </c>
      <c r="B1027" s="94" t="s">
        <v>8512</v>
      </c>
      <c r="C1027" s="93" t="s">
        <v>7829</v>
      </c>
      <c r="D1027" s="92">
        <v>432.86</v>
      </c>
    </row>
    <row r="1028" spans="1:4" s="97" customFormat="1" ht="15" customHeight="1">
      <c r="A1028" s="96" t="s">
        <v>8511</v>
      </c>
      <c r="B1028" s="94" t="s">
        <v>8510</v>
      </c>
      <c r="C1028" s="93" t="s">
        <v>7829</v>
      </c>
      <c r="D1028" s="92">
        <v>432.86</v>
      </c>
    </row>
    <row r="1029" spans="1:4" s="97" customFormat="1" ht="15" customHeight="1">
      <c r="A1029" s="96" t="s">
        <v>8509</v>
      </c>
      <c r="B1029" s="94" t="s">
        <v>8508</v>
      </c>
      <c r="C1029" s="93" t="s">
        <v>7829</v>
      </c>
      <c r="D1029" s="92">
        <v>432.86</v>
      </c>
    </row>
    <row r="1030" spans="1:4" s="97" customFormat="1" ht="15" customHeight="1">
      <c r="A1030" s="100" t="s">
        <v>8507</v>
      </c>
      <c r="B1030" s="94" t="s">
        <v>8506</v>
      </c>
      <c r="C1030" s="93" t="s">
        <v>7829</v>
      </c>
      <c r="D1030" s="92">
        <v>126.17</v>
      </c>
    </row>
    <row r="1031" spans="1:4" s="97" customFormat="1" ht="15" customHeight="1">
      <c r="A1031" s="94" t="s">
        <v>8505</v>
      </c>
      <c r="B1031" s="94" t="s">
        <v>8504</v>
      </c>
      <c r="C1031" s="93" t="s">
        <v>7829</v>
      </c>
      <c r="D1031" s="92">
        <v>513.02</v>
      </c>
    </row>
    <row r="1032" spans="1:4" s="97" customFormat="1" ht="15" customHeight="1">
      <c r="A1032" s="94" t="s">
        <v>8503</v>
      </c>
      <c r="B1032" s="94" t="s">
        <v>8502</v>
      </c>
      <c r="C1032" s="93" t="s">
        <v>7829</v>
      </c>
      <c r="D1032" s="92">
        <v>38.82</v>
      </c>
    </row>
    <row r="1033" spans="1:4" s="97" customFormat="1" ht="15" customHeight="1">
      <c r="A1033" s="94" t="s">
        <v>8501</v>
      </c>
      <c r="B1033" s="94" t="s">
        <v>8500</v>
      </c>
      <c r="C1033" s="93" t="s">
        <v>7829</v>
      </c>
      <c r="D1033" s="92">
        <v>40.700000000000003</v>
      </c>
    </row>
    <row r="1034" spans="1:4" s="97" customFormat="1" ht="15" customHeight="1">
      <c r="A1034" s="94" t="s">
        <v>8499</v>
      </c>
      <c r="B1034" s="94" t="s">
        <v>8498</v>
      </c>
      <c r="C1034" s="93" t="s">
        <v>7829</v>
      </c>
      <c r="D1034" s="92">
        <v>45.33</v>
      </c>
    </row>
    <row r="1035" spans="1:4" s="97" customFormat="1" ht="15" customHeight="1">
      <c r="A1035" s="94" t="s">
        <v>8497</v>
      </c>
      <c r="B1035" s="94" t="s">
        <v>8496</v>
      </c>
      <c r="C1035" s="93" t="s">
        <v>7829</v>
      </c>
      <c r="D1035" s="92">
        <v>12.23</v>
      </c>
    </row>
    <row r="1036" spans="1:4" s="97" customFormat="1" ht="15" customHeight="1">
      <c r="A1036" s="94" t="s">
        <v>8495</v>
      </c>
      <c r="B1036" s="94" t="s">
        <v>8494</v>
      </c>
      <c r="C1036" s="93" t="s">
        <v>7829</v>
      </c>
      <c r="D1036" s="92">
        <v>16.82</v>
      </c>
    </row>
    <row r="1037" spans="1:4" s="97" customFormat="1" ht="15" customHeight="1">
      <c r="A1037" s="94" t="s">
        <v>8493</v>
      </c>
      <c r="B1037" s="94" t="s">
        <v>8492</v>
      </c>
      <c r="C1037" s="93" t="s">
        <v>7829</v>
      </c>
      <c r="D1037" s="92">
        <v>165.98</v>
      </c>
    </row>
    <row r="1038" spans="1:4" s="97" customFormat="1" ht="15" customHeight="1">
      <c r="A1038" s="94" t="s">
        <v>8491</v>
      </c>
      <c r="B1038" s="94" t="s">
        <v>8490</v>
      </c>
      <c r="C1038" s="93" t="s">
        <v>7829</v>
      </c>
      <c r="D1038" s="92">
        <v>250.94</v>
      </c>
    </row>
    <row r="1039" spans="1:4" s="97" customFormat="1" ht="15" customHeight="1">
      <c r="A1039" s="94" t="s">
        <v>8489</v>
      </c>
      <c r="B1039" s="94" t="s">
        <v>8488</v>
      </c>
      <c r="C1039" s="93" t="s">
        <v>7829</v>
      </c>
      <c r="D1039" s="92">
        <v>165.98</v>
      </c>
    </row>
    <row r="1040" spans="1:4" s="97" customFormat="1" ht="15" customHeight="1">
      <c r="A1040" s="94" t="s">
        <v>8487</v>
      </c>
      <c r="B1040" s="94" t="s">
        <v>8486</v>
      </c>
      <c r="C1040" s="93" t="s">
        <v>7829</v>
      </c>
      <c r="D1040" s="92">
        <v>180.62</v>
      </c>
    </row>
    <row r="1041" spans="1:4" s="97" customFormat="1" ht="15" customHeight="1">
      <c r="A1041" s="94" t="s">
        <v>8485</v>
      </c>
      <c r="B1041" s="94" t="s">
        <v>8484</v>
      </c>
      <c r="C1041" s="93" t="s">
        <v>7829</v>
      </c>
      <c r="D1041" s="92">
        <v>126.36</v>
      </c>
    </row>
    <row r="1042" spans="1:4" s="97" customFormat="1" ht="15" customHeight="1">
      <c r="A1042" s="94" t="s">
        <v>8483</v>
      </c>
      <c r="B1042" s="94" t="s">
        <v>8482</v>
      </c>
      <c r="C1042" s="93" t="s">
        <v>7829</v>
      </c>
      <c r="D1042" s="92">
        <v>119.5</v>
      </c>
    </row>
    <row r="1043" spans="1:4" s="97" customFormat="1" ht="15" customHeight="1">
      <c r="A1043" s="94" t="s">
        <v>8481</v>
      </c>
      <c r="B1043" s="94" t="s">
        <v>8480</v>
      </c>
      <c r="C1043" s="93" t="s">
        <v>7829</v>
      </c>
      <c r="D1043" s="92">
        <v>172.55</v>
      </c>
    </row>
    <row r="1044" spans="1:4" s="97" customFormat="1" ht="15" customHeight="1">
      <c r="A1044" s="94" t="s">
        <v>8479</v>
      </c>
      <c r="B1044" s="94" t="s">
        <v>8478</v>
      </c>
      <c r="C1044" s="93" t="s">
        <v>7829</v>
      </c>
      <c r="D1044" s="92">
        <v>172.63</v>
      </c>
    </row>
    <row r="1045" spans="1:4" s="97" customFormat="1" ht="15" customHeight="1">
      <c r="A1045" s="94" t="s">
        <v>8477</v>
      </c>
      <c r="B1045" s="94" t="s">
        <v>8476</v>
      </c>
      <c r="C1045" s="93" t="s">
        <v>7829</v>
      </c>
      <c r="D1045" s="92">
        <v>172.63</v>
      </c>
    </row>
    <row r="1046" spans="1:4" s="97" customFormat="1" ht="15" customHeight="1">
      <c r="A1046" s="94" t="s">
        <v>8475</v>
      </c>
      <c r="B1046" s="94" t="s">
        <v>8474</v>
      </c>
      <c r="C1046" s="93" t="s">
        <v>7829</v>
      </c>
      <c r="D1046" s="92">
        <v>172.67</v>
      </c>
    </row>
    <row r="1047" spans="1:4" s="97" customFormat="1" ht="15" customHeight="1">
      <c r="A1047" s="94" t="s">
        <v>8473</v>
      </c>
      <c r="B1047" s="94" t="s">
        <v>8472</v>
      </c>
      <c r="C1047" s="93" t="s">
        <v>7829</v>
      </c>
      <c r="D1047" s="92">
        <v>172.62</v>
      </c>
    </row>
    <row r="1048" spans="1:4" s="97" customFormat="1" ht="15" customHeight="1">
      <c r="A1048" s="94" t="s">
        <v>8471</v>
      </c>
      <c r="B1048" s="94" t="s">
        <v>8470</v>
      </c>
      <c r="C1048" s="93" t="s">
        <v>7829</v>
      </c>
      <c r="D1048" s="92">
        <v>190.25</v>
      </c>
    </row>
    <row r="1049" spans="1:4" s="97" customFormat="1" ht="15" customHeight="1">
      <c r="A1049" s="94" t="s">
        <v>8469</v>
      </c>
      <c r="B1049" s="94" t="s">
        <v>8468</v>
      </c>
      <c r="C1049" s="93" t="s">
        <v>7829</v>
      </c>
      <c r="D1049" s="92">
        <v>190.31</v>
      </c>
    </row>
    <row r="1050" spans="1:4" s="97" customFormat="1" ht="15" customHeight="1">
      <c r="A1050" s="94" t="s">
        <v>8467</v>
      </c>
      <c r="B1050" s="94" t="s">
        <v>8466</v>
      </c>
      <c r="C1050" s="93" t="s">
        <v>7829</v>
      </c>
      <c r="D1050" s="92">
        <v>190.25</v>
      </c>
    </row>
    <row r="1051" spans="1:4" s="97" customFormat="1" ht="15" customHeight="1">
      <c r="A1051" s="94" t="s">
        <v>8465</v>
      </c>
      <c r="B1051" s="94" t="s">
        <v>8464</v>
      </c>
      <c r="C1051" s="93" t="s">
        <v>7829</v>
      </c>
      <c r="D1051" s="92">
        <v>119.5</v>
      </c>
    </row>
    <row r="1052" spans="1:4" s="97" customFormat="1" ht="15" customHeight="1">
      <c r="A1052" s="94" t="s">
        <v>8463</v>
      </c>
      <c r="B1052" s="94" t="s">
        <v>8462</v>
      </c>
      <c r="C1052" s="93" t="s">
        <v>7829</v>
      </c>
      <c r="D1052" s="92">
        <v>119.5</v>
      </c>
    </row>
    <row r="1053" spans="1:4" s="97" customFormat="1" ht="15" customHeight="1">
      <c r="A1053" s="94" t="s">
        <v>8461</v>
      </c>
      <c r="B1053" s="94" t="s">
        <v>8460</v>
      </c>
      <c r="C1053" s="93" t="s">
        <v>7829</v>
      </c>
      <c r="D1053" s="92">
        <v>190.39</v>
      </c>
    </row>
    <row r="1054" spans="1:4" s="97" customFormat="1" ht="15" customHeight="1">
      <c r="A1054" s="94" t="s">
        <v>8459</v>
      </c>
      <c r="B1054" s="94" t="s">
        <v>8458</v>
      </c>
      <c r="C1054" s="93" t="s">
        <v>7829</v>
      </c>
      <c r="D1054" s="92">
        <v>190.39</v>
      </c>
    </row>
    <row r="1055" spans="1:4" s="97" customFormat="1" ht="15" customHeight="1">
      <c r="A1055" s="94" t="s">
        <v>8457</v>
      </c>
      <c r="B1055" s="94" t="s">
        <v>8456</v>
      </c>
      <c r="C1055" s="93" t="s">
        <v>7829</v>
      </c>
      <c r="D1055" s="92">
        <v>190.31</v>
      </c>
    </row>
    <row r="1056" spans="1:4" s="97" customFormat="1" ht="15" customHeight="1">
      <c r="A1056" s="94" t="s">
        <v>8455</v>
      </c>
      <c r="B1056" s="94" t="s">
        <v>8454</v>
      </c>
      <c r="C1056" s="93" t="s">
        <v>7829</v>
      </c>
      <c r="D1056" s="92">
        <v>206.27</v>
      </c>
    </row>
    <row r="1057" spans="1:4" s="97" customFormat="1" ht="15" customHeight="1">
      <c r="A1057" s="94" t="s">
        <v>8453</v>
      </c>
      <c r="B1057" s="94" t="s">
        <v>8452</v>
      </c>
      <c r="C1057" s="93" t="s">
        <v>7829</v>
      </c>
      <c r="D1057" s="92">
        <v>202.29</v>
      </c>
    </row>
    <row r="1058" spans="1:4" s="97" customFormat="1" ht="15" customHeight="1">
      <c r="A1058" s="94" t="s">
        <v>8451</v>
      </c>
      <c r="B1058" s="94" t="s">
        <v>8450</v>
      </c>
      <c r="C1058" s="93" t="s">
        <v>7829</v>
      </c>
      <c r="D1058" s="92">
        <v>206.35</v>
      </c>
    </row>
    <row r="1059" spans="1:4" s="97" customFormat="1" ht="15" customHeight="1">
      <c r="A1059" s="94" t="s">
        <v>8449</v>
      </c>
      <c r="B1059" s="94" t="s">
        <v>8448</v>
      </c>
      <c r="C1059" s="93" t="s">
        <v>7829</v>
      </c>
      <c r="D1059" s="92">
        <v>206.27</v>
      </c>
    </row>
    <row r="1060" spans="1:4" s="97" customFormat="1" ht="15" customHeight="1">
      <c r="A1060" s="94" t="s">
        <v>8447</v>
      </c>
      <c r="B1060" s="94" t="s">
        <v>8446</v>
      </c>
      <c r="C1060" s="93" t="s">
        <v>7829</v>
      </c>
      <c r="D1060" s="92">
        <v>206.32</v>
      </c>
    </row>
    <row r="1061" spans="1:4" s="97" customFormat="1" ht="15" customHeight="1">
      <c r="A1061" s="94" t="s">
        <v>8445</v>
      </c>
      <c r="B1061" s="94" t="s">
        <v>8444</v>
      </c>
      <c r="C1061" s="93" t="s">
        <v>7829</v>
      </c>
      <c r="D1061" s="92">
        <v>199.76</v>
      </c>
    </row>
    <row r="1062" spans="1:4" s="97" customFormat="1" ht="15" customHeight="1">
      <c r="A1062" s="94" t="s">
        <v>8443</v>
      </c>
      <c r="B1062" s="94" t="s">
        <v>8442</v>
      </c>
      <c r="C1062" s="93" t="s">
        <v>7829</v>
      </c>
      <c r="D1062" s="92">
        <v>199.79</v>
      </c>
    </row>
    <row r="1063" spans="1:4" s="97" customFormat="1" ht="15" customHeight="1">
      <c r="A1063" s="94" t="s">
        <v>8441</v>
      </c>
      <c r="B1063" s="94" t="s">
        <v>8440</v>
      </c>
      <c r="C1063" s="93" t="s">
        <v>7829</v>
      </c>
      <c r="D1063" s="92">
        <v>96.76</v>
      </c>
    </row>
    <row r="1064" spans="1:4" s="97" customFormat="1" ht="15" customHeight="1">
      <c r="A1064" s="94" t="s">
        <v>8439</v>
      </c>
      <c r="B1064" s="94" t="s">
        <v>8438</v>
      </c>
      <c r="C1064" s="93" t="s">
        <v>7829</v>
      </c>
      <c r="D1064" s="92">
        <v>120.6</v>
      </c>
    </row>
    <row r="1065" spans="1:4" s="97" customFormat="1" ht="15" customHeight="1">
      <c r="A1065" s="94" t="s">
        <v>8437</v>
      </c>
      <c r="B1065" s="94" t="s">
        <v>8436</v>
      </c>
      <c r="C1065" s="93" t="s">
        <v>7829</v>
      </c>
      <c r="D1065" s="92">
        <v>120.6</v>
      </c>
    </row>
    <row r="1066" spans="1:4" s="97" customFormat="1" ht="15" customHeight="1">
      <c r="A1066" s="94" t="s">
        <v>8435</v>
      </c>
      <c r="B1066" s="94" t="s">
        <v>8434</v>
      </c>
      <c r="C1066" s="93" t="s">
        <v>7829</v>
      </c>
      <c r="D1066" s="92">
        <v>77.23</v>
      </c>
    </row>
    <row r="1067" spans="1:4" s="97" customFormat="1" ht="15" customHeight="1">
      <c r="A1067" s="94" t="s">
        <v>8433</v>
      </c>
      <c r="B1067" s="94" t="s">
        <v>8432</v>
      </c>
      <c r="C1067" s="93" t="s">
        <v>7829</v>
      </c>
      <c r="D1067" s="92">
        <v>77.23</v>
      </c>
    </row>
    <row r="1068" spans="1:4" s="97" customFormat="1" ht="15" customHeight="1">
      <c r="A1068" s="94" t="s">
        <v>8431</v>
      </c>
      <c r="B1068" s="94" t="s">
        <v>8430</v>
      </c>
      <c r="C1068" s="93" t="s">
        <v>7829</v>
      </c>
      <c r="D1068" s="92">
        <v>82.68</v>
      </c>
    </row>
    <row r="1069" spans="1:4" s="97" customFormat="1" ht="15" customHeight="1">
      <c r="A1069" s="94" t="s">
        <v>8429</v>
      </c>
      <c r="B1069" s="94" t="s">
        <v>8428</v>
      </c>
      <c r="C1069" s="93" t="s">
        <v>7829</v>
      </c>
      <c r="D1069" s="92">
        <v>103</v>
      </c>
    </row>
    <row r="1070" spans="1:4" s="97" customFormat="1" ht="15" customHeight="1">
      <c r="A1070" s="94" t="s">
        <v>8427</v>
      </c>
      <c r="B1070" s="94" t="s">
        <v>8426</v>
      </c>
      <c r="C1070" s="93" t="s">
        <v>7829</v>
      </c>
      <c r="D1070" s="92">
        <v>79.73</v>
      </c>
    </row>
    <row r="1071" spans="1:4" s="97" customFormat="1" ht="15" customHeight="1">
      <c r="A1071" s="94" t="s">
        <v>8425</v>
      </c>
      <c r="B1071" s="94" t="s">
        <v>8424</v>
      </c>
      <c r="C1071" s="93" t="s">
        <v>7829</v>
      </c>
      <c r="D1071" s="92">
        <v>79.73</v>
      </c>
    </row>
    <row r="1072" spans="1:4" s="97" customFormat="1" ht="15" customHeight="1">
      <c r="A1072" s="94" t="s">
        <v>8423</v>
      </c>
      <c r="B1072" s="94" t="s">
        <v>8422</v>
      </c>
      <c r="C1072" s="93" t="s">
        <v>7829</v>
      </c>
      <c r="D1072" s="92">
        <v>79.73</v>
      </c>
    </row>
    <row r="1073" spans="1:4" s="97" customFormat="1" ht="15" customHeight="1">
      <c r="A1073" s="94" t="s">
        <v>8421</v>
      </c>
      <c r="B1073" s="94" t="s">
        <v>8420</v>
      </c>
      <c r="C1073" s="93" t="s">
        <v>7829</v>
      </c>
      <c r="D1073" s="92">
        <v>79.73</v>
      </c>
    </row>
    <row r="1074" spans="1:4" s="97" customFormat="1" ht="15" customHeight="1">
      <c r="A1074" s="94" t="s">
        <v>8419</v>
      </c>
      <c r="B1074" s="94" t="s">
        <v>8418</v>
      </c>
      <c r="C1074" s="93" t="s">
        <v>7829</v>
      </c>
      <c r="D1074" s="92">
        <v>123.71</v>
      </c>
    </row>
    <row r="1075" spans="1:4" s="97" customFormat="1" ht="15" customHeight="1">
      <c r="A1075" s="94" t="s">
        <v>8417</v>
      </c>
      <c r="B1075" s="94" t="s">
        <v>8416</v>
      </c>
      <c r="C1075" s="93" t="s">
        <v>7829</v>
      </c>
      <c r="D1075" s="92">
        <v>79.73</v>
      </c>
    </row>
    <row r="1076" spans="1:4" s="97" customFormat="1" ht="15" customHeight="1">
      <c r="A1076" s="94" t="s">
        <v>8415</v>
      </c>
      <c r="B1076" s="94" t="s">
        <v>8414</v>
      </c>
      <c r="C1076" s="93" t="s">
        <v>7829</v>
      </c>
      <c r="D1076" s="92">
        <v>123.71</v>
      </c>
    </row>
    <row r="1077" spans="1:4" s="97" customFormat="1" ht="15" customHeight="1">
      <c r="A1077" s="94" t="s">
        <v>8413</v>
      </c>
      <c r="B1077" s="94" t="s">
        <v>8412</v>
      </c>
      <c r="C1077" s="93" t="s">
        <v>7829</v>
      </c>
      <c r="D1077" s="92">
        <v>123.71</v>
      </c>
    </row>
    <row r="1078" spans="1:4" s="97" customFormat="1" ht="15" customHeight="1">
      <c r="A1078" s="94" t="s">
        <v>8411</v>
      </c>
      <c r="B1078" s="94" t="s">
        <v>8410</v>
      </c>
      <c r="C1078" s="93" t="s">
        <v>7829</v>
      </c>
      <c r="D1078" s="92">
        <v>77.23</v>
      </c>
    </row>
    <row r="1079" spans="1:4" s="97" customFormat="1" ht="15" customHeight="1">
      <c r="A1079" s="94" t="s">
        <v>8409</v>
      </c>
      <c r="B1079" s="94" t="s">
        <v>8408</v>
      </c>
      <c r="C1079" s="93" t="s">
        <v>7829</v>
      </c>
      <c r="D1079" s="92">
        <v>79.73</v>
      </c>
    </row>
    <row r="1080" spans="1:4" s="97" customFormat="1" ht="15" customHeight="1">
      <c r="A1080" s="94" t="s">
        <v>8407</v>
      </c>
      <c r="B1080" s="94" t="s">
        <v>8406</v>
      </c>
      <c r="C1080" s="93" t="s">
        <v>7829</v>
      </c>
      <c r="D1080" s="92">
        <v>244.03</v>
      </c>
    </row>
    <row r="1081" spans="1:4" s="97" customFormat="1" ht="15" customHeight="1">
      <c r="A1081" s="94" t="s">
        <v>8405</v>
      </c>
      <c r="B1081" s="94" t="s">
        <v>8404</v>
      </c>
      <c r="C1081" s="93" t="s">
        <v>7829</v>
      </c>
      <c r="D1081" s="92">
        <v>310.75</v>
      </c>
    </row>
    <row r="1082" spans="1:4" s="97" customFormat="1" ht="15" customHeight="1">
      <c r="A1082" s="94" t="s">
        <v>8403</v>
      </c>
      <c r="B1082" s="94" t="s">
        <v>8402</v>
      </c>
      <c r="C1082" s="93" t="s">
        <v>7829</v>
      </c>
      <c r="D1082" s="92">
        <v>336.55</v>
      </c>
    </row>
    <row r="1083" spans="1:4" s="97" customFormat="1" ht="15" customHeight="1">
      <c r="A1083" s="94" t="s">
        <v>8401</v>
      </c>
      <c r="B1083" s="94" t="s">
        <v>8400</v>
      </c>
      <c r="C1083" s="93" t="s">
        <v>7829</v>
      </c>
      <c r="D1083" s="92">
        <v>336.54</v>
      </c>
    </row>
    <row r="1084" spans="1:4" s="97" customFormat="1" ht="15" customHeight="1">
      <c r="A1084" s="94" t="s">
        <v>8399</v>
      </c>
      <c r="B1084" s="94" t="s">
        <v>8398</v>
      </c>
      <c r="C1084" s="93" t="s">
        <v>7829</v>
      </c>
      <c r="D1084" s="92">
        <v>311.47000000000003</v>
      </c>
    </row>
    <row r="1085" spans="1:4" s="97" customFormat="1" ht="15" customHeight="1">
      <c r="A1085" s="94" t="s">
        <v>8397</v>
      </c>
      <c r="B1085" s="94" t="s">
        <v>8396</v>
      </c>
      <c r="C1085" s="93" t="s">
        <v>7829</v>
      </c>
      <c r="D1085" s="92">
        <v>336.63</v>
      </c>
    </row>
    <row r="1086" spans="1:4" s="97" customFormat="1" ht="15" customHeight="1">
      <c r="A1086" s="94" t="s">
        <v>8395</v>
      </c>
      <c r="B1086" s="94" t="s">
        <v>8394</v>
      </c>
      <c r="C1086" s="93" t="s">
        <v>7829</v>
      </c>
      <c r="D1086" s="92">
        <v>330.39</v>
      </c>
    </row>
    <row r="1087" spans="1:4" s="97" customFormat="1" ht="15" customHeight="1">
      <c r="A1087" s="94" t="s">
        <v>8393</v>
      </c>
      <c r="B1087" s="94" t="s">
        <v>8392</v>
      </c>
      <c r="C1087" s="93" t="s">
        <v>7829</v>
      </c>
      <c r="D1087" s="92">
        <v>123.7</v>
      </c>
    </row>
    <row r="1088" spans="1:4" s="97" customFormat="1" ht="15" customHeight="1">
      <c r="A1088" s="94" t="s">
        <v>8391</v>
      </c>
      <c r="B1088" s="94" t="s">
        <v>8390</v>
      </c>
      <c r="C1088" s="93" t="s">
        <v>7829</v>
      </c>
      <c r="D1088" s="92">
        <v>267.42</v>
      </c>
    </row>
    <row r="1089" spans="1:4" s="97" customFormat="1" ht="15" customHeight="1">
      <c r="A1089" s="94" t="s">
        <v>8389</v>
      </c>
      <c r="B1089" s="94" t="s">
        <v>8388</v>
      </c>
      <c r="C1089" s="93" t="s">
        <v>7829</v>
      </c>
      <c r="D1089" s="92">
        <v>123.73</v>
      </c>
    </row>
    <row r="1090" spans="1:4" s="97" customFormat="1" ht="15" customHeight="1">
      <c r="A1090" s="94" t="s">
        <v>8387</v>
      </c>
      <c r="B1090" s="94" t="s">
        <v>8386</v>
      </c>
      <c r="C1090" s="93" t="s">
        <v>7829</v>
      </c>
      <c r="D1090" s="92">
        <v>123.73</v>
      </c>
    </row>
    <row r="1091" spans="1:4" s="97" customFormat="1" ht="15" customHeight="1">
      <c r="A1091" s="94" t="s">
        <v>8385</v>
      </c>
      <c r="B1091" s="94" t="s">
        <v>8384</v>
      </c>
      <c r="C1091" s="93" t="s">
        <v>7829</v>
      </c>
      <c r="D1091" s="92">
        <v>123.7</v>
      </c>
    </row>
    <row r="1092" spans="1:4" s="97" customFormat="1" ht="15" customHeight="1">
      <c r="A1092" s="94" t="s">
        <v>8383</v>
      </c>
      <c r="B1092" s="94" t="s">
        <v>8382</v>
      </c>
      <c r="C1092" s="93" t="s">
        <v>7829</v>
      </c>
      <c r="D1092" s="92">
        <v>152.82</v>
      </c>
    </row>
    <row r="1093" spans="1:4" s="97" customFormat="1" ht="15" customHeight="1">
      <c r="A1093" s="94" t="s">
        <v>8381</v>
      </c>
      <c r="B1093" s="94" t="s">
        <v>8380</v>
      </c>
      <c r="C1093" s="93" t="s">
        <v>7829</v>
      </c>
      <c r="D1093" s="92">
        <v>152.86000000000001</v>
      </c>
    </row>
    <row r="1094" spans="1:4" s="97" customFormat="1" ht="15" customHeight="1">
      <c r="A1094" s="94" t="s">
        <v>8379</v>
      </c>
      <c r="B1094" s="94" t="s">
        <v>8378</v>
      </c>
      <c r="C1094" s="93" t="s">
        <v>7829</v>
      </c>
      <c r="D1094" s="92">
        <v>152.87</v>
      </c>
    </row>
    <row r="1095" spans="1:4" s="97" customFormat="1" ht="15" customHeight="1">
      <c r="A1095" s="94" t="s">
        <v>8377</v>
      </c>
      <c r="B1095" s="94" t="s">
        <v>8376</v>
      </c>
      <c r="C1095" s="93" t="s">
        <v>7829</v>
      </c>
      <c r="D1095" s="92">
        <v>152.86000000000001</v>
      </c>
    </row>
    <row r="1096" spans="1:4" s="97" customFormat="1" ht="15" customHeight="1">
      <c r="A1096" s="94" t="s">
        <v>8375</v>
      </c>
      <c r="B1096" s="94" t="s">
        <v>8374</v>
      </c>
      <c r="C1096" s="93" t="s">
        <v>7829</v>
      </c>
      <c r="D1096" s="92">
        <v>198.55</v>
      </c>
    </row>
    <row r="1097" spans="1:4" s="97" customFormat="1" ht="15" customHeight="1">
      <c r="A1097" s="94" t="s">
        <v>8373</v>
      </c>
      <c r="B1097" s="94" t="s">
        <v>8372</v>
      </c>
      <c r="C1097" s="93" t="s">
        <v>7829</v>
      </c>
      <c r="D1097" s="92">
        <v>198.62</v>
      </c>
    </row>
    <row r="1098" spans="1:4" s="97" customFormat="1" ht="15" customHeight="1">
      <c r="A1098" s="94" t="s">
        <v>8371</v>
      </c>
      <c r="B1098" s="94" t="s">
        <v>8370</v>
      </c>
      <c r="C1098" s="93" t="s">
        <v>7829</v>
      </c>
      <c r="D1098" s="92">
        <v>198.62</v>
      </c>
    </row>
    <row r="1099" spans="1:4" s="97" customFormat="1" ht="15" customHeight="1">
      <c r="A1099" s="94" t="s">
        <v>8369</v>
      </c>
      <c r="B1099" s="94" t="s">
        <v>8368</v>
      </c>
      <c r="C1099" s="93" t="s">
        <v>7829</v>
      </c>
      <c r="D1099" s="92">
        <v>180.12</v>
      </c>
    </row>
    <row r="1100" spans="1:4" s="97" customFormat="1" ht="15" customHeight="1">
      <c r="A1100" s="94" t="s">
        <v>8367</v>
      </c>
      <c r="B1100" s="94" t="s">
        <v>8366</v>
      </c>
      <c r="C1100" s="93" t="s">
        <v>7829</v>
      </c>
      <c r="D1100" s="92">
        <v>180.22</v>
      </c>
    </row>
    <row r="1101" spans="1:4" s="97" customFormat="1" ht="15" customHeight="1">
      <c r="A1101" s="94" t="s">
        <v>8365</v>
      </c>
      <c r="B1101" s="94" t="s">
        <v>8364</v>
      </c>
      <c r="C1101" s="93" t="s">
        <v>7829</v>
      </c>
      <c r="D1101" s="92">
        <v>224.38</v>
      </c>
    </row>
    <row r="1102" spans="1:4" s="97" customFormat="1" ht="15" customHeight="1">
      <c r="A1102" s="94" t="s">
        <v>8363</v>
      </c>
      <c r="B1102" s="94" t="s">
        <v>8362</v>
      </c>
      <c r="C1102" s="93" t="s">
        <v>7829</v>
      </c>
      <c r="D1102" s="92">
        <v>224.37</v>
      </c>
    </row>
    <row r="1103" spans="1:4" s="97" customFormat="1" ht="15" customHeight="1">
      <c r="A1103" s="94" t="s">
        <v>8361</v>
      </c>
      <c r="B1103" s="94" t="s">
        <v>8360</v>
      </c>
      <c r="C1103" s="93" t="s">
        <v>7829</v>
      </c>
      <c r="D1103" s="92">
        <v>224.39</v>
      </c>
    </row>
    <row r="1104" spans="1:4" s="97" customFormat="1" ht="15" customHeight="1">
      <c r="A1104" s="94" t="s">
        <v>8359</v>
      </c>
      <c r="B1104" s="94" t="s">
        <v>8358</v>
      </c>
      <c r="C1104" s="93" t="s">
        <v>7829</v>
      </c>
      <c r="D1104" s="92">
        <v>99.69</v>
      </c>
    </row>
    <row r="1105" spans="1:4" s="97" customFormat="1" ht="15" customHeight="1">
      <c r="A1105" s="94" t="s">
        <v>8357</v>
      </c>
      <c r="B1105" s="94" t="s">
        <v>8356</v>
      </c>
      <c r="C1105" s="93" t="s">
        <v>7829</v>
      </c>
      <c r="D1105" s="92">
        <v>262.43</v>
      </c>
    </row>
    <row r="1106" spans="1:4" s="97" customFormat="1" ht="15" customHeight="1">
      <c r="A1106" s="94" t="s">
        <v>8355</v>
      </c>
      <c r="B1106" s="94" t="s">
        <v>8354</v>
      </c>
      <c r="C1106" s="93" t="s">
        <v>7829</v>
      </c>
      <c r="D1106" s="92">
        <v>262.58</v>
      </c>
    </row>
    <row r="1107" spans="1:4" s="97" customFormat="1" ht="15" customHeight="1">
      <c r="A1107" s="94" t="s">
        <v>8353</v>
      </c>
      <c r="B1107" s="94" t="s">
        <v>8352</v>
      </c>
      <c r="C1107" s="93" t="s">
        <v>7829</v>
      </c>
      <c r="D1107" s="92">
        <v>143.86000000000001</v>
      </c>
    </row>
    <row r="1108" spans="1:4" s="97" customFormat="1" ht="15" customHeight="1">
      <c r="A1108" s="94" t="s">
        <v>8351</v>
      </c>
      <c r="B1108" s="94" t="s">
        <v>8350</v>
      </c>
      <c r="C1108" s="93" t="s">
        <v>7829</v>
      </c>
      <c r="D1108" s="92">
        <v>287.37</v>
      </c>
    </row>
    <row r="1109" spans="1:4" s="97" customFormat="1" ht="15" customHeight="1">
      <c r="A1109" s="94" t="s">
        <v>8349</v>
      </c>
      <c r="B1109" s="94" t="s">
        <v>8348</v>
      </c>
      <c r="C1109" s="93" t="s">
        <v>7829</v>
      </c>
      <c r="D1109" s="92">
        <v>236.58</v>
      </c>
    </row>
    <row r="1110" spans="1:4" s="97" customFormat="1" ht="15" customHeight="1">
      <c r="A1110" s="94" t="s">
        <v>8347</v>
      </c>
      <c r="B1110" s="94" t="s">
        <v>8346</v>
      </c>
      <c r="C1110" s="93" t="s">
        <v>7829</v>
      </c>
      <c r="D1110" s="92">
        <v>236.66</v>
      </c>
    </row>
    <row r="1111" spans="1:4" s="97" customFormat="1" ht="15" customHeight="1">
      <c r="A1111" s="94" t="s">
        <v>8345</v>
      </c>
      <c r="B1111" s="94" t="s">
        <v>8344</v>
      </c>
      <c r="C1111" s="93" t="s">
        <v>7829</v>
      </c>
      <c r="D1111" s="92">
        <v>330.56</v>
      </c>
    </row>
    <row r="1112" spans="1:4" s="97" customFormat="1" ht="15" customHeight="1">
      <c r="A1112" s="94" t="s">
        <v>8343</v>
      </c>
      <c r="B1112" s="94" t="s">
        <v>8342</v>
      </c>
      <c r="C1112" s="93" t="s">
        <v>7829</v>
      </c>
      <c r="D1112" s="92">
        <v>330.56</v>
      </c>
    </row>
    <row r="1113" spans="1:4" s="97" customFormat="1" ht="15" customHeight="1">
      <c r="A1113" s="94" t="s">
        <v>8341</v>
      </c>
      <c r="B1113" s="94" t="s">
        <v>8340</v>
      </c>
      <c r="C1113" s="93" t="s">
        <v>7829</v>
      </c>
      <c r="D1113" s="92">
        <v>236.68</v>
      </c>
    </row>
    <row r="1114" spans="1:4" s="97" customFormat="1" ht="15" customHeight="1">
      <c r="A1114" s="94" t="s">
        <v>8339</v>
      </c>
      <c r="B1114" s="94" t="s">
        <v>8338</v>
      </c>
      <c r="C1114" s="93" t="s">
        <v>7829</v>
      </c>
      <c r="D1114" s="92">
        <v>116.38</v>
      </c>
    </row>
    <row r="1115" spans="1:4" s="97" customFormat="1" ht="15" customHeight="1">
      <c r="A1115" s="94" t="s">
        <v>8337</v>
      </c>
      <c r="B1115" s="94" t="s">
        <v>8336</v>
      </c>
      <c r="C1115" s="93" t="s">
        <v>7829</v>
      </c>
      <c r="D1115" s="92">
        <v>126.94</v>
      </c>
    </row>
    <row r="1116" spans="1:4" s="97" customFormat="1" ht="15" customHeight="1">
      <c r="A1116" s="94" t="s">
        <v>8335</v>
      </c>
      <c r="B1116" s="94" t="s">
        <v>8334</v>
      </c>
      <c r="C1116" s="93" t="s">
        <v>7829</v>
      </c>
      <c r="D1116" s="92">
        <v>100.17</v>
      </c>
    </row>
    <row r="1117" spans="1:4" s="97" customFormat="1" ht="15" customHeight="1">
      <c r="A1117" s="94" t="s">
        <v>8333</v>
      </c>
      <c r="B1117" s="94" t="s">
        <v>8332</v>
      </c>
      <c r="C1117" s="93" t="s">
        <v>7829</v>
      </c>
      <c r="D1117" s="92">
        <v>100.17</v>
      </c>
    </row>
    <row r="1118" spans="1:4" s="97" customFormat="1" ht="15" customHeight="1">
      <c r="A1118" s="94" t="s">
        <v>8331</v>
      </c>
      <c r="B1118" s="94" t="s">
        <v>8330</v>
      </c>
      <c r="C1118" s="93" t="s">
        <v>7829</v>
      </c>
      <c r="D1118" s="92">
        <v>213.56</v>
      </c>
    </row>
    <row r="1119" spans="1:4" s="97" customFormat="1" ht="15" customHeight="1">
      <c r="A1119" s="94" t="s">
        <v>8329</v>
      </c>
      <c r="B1119" s="94" t="s">
        <v>8328</v>
      </c>
      <c r="C1119" s="93" t="s">
        <v>7829</v>
      </c>
      <c r="D1119" s="92">
        <v>292.10000000000002</v>
      </c>
    </row>
    <row r="1120" spans="1:4" s="97" customFormat="1" ht="15" customHeight="1">
      <c r="A1120" s="94" t="s">
        <v>8327</v>
      </c>
      <c r="B1120" s="94" t="s">
        <v>8326</v>
      </c>
      <c r="C1120" s="93" t="s">
        <v>7829</v>
      </c>
      <c r="D1120" s="92">
        <v>252.3</v>
      </c>
    </row>
    <row r="1121" spans="1:4" s="97" customFormat="1" ht="15" customHeight="1">
      <c r="A1121" s="94" t="s">
        <v>8325</v>
      </c>
      <c r="B1121" s="94" t="s">
        <v>8324</v>
      </c>
      <c r="C1121" s="93" t="s">
        <v>7829</v>
      </c>
      <c r="D1121" s="92">
        <v>252.17</v>
      </c>
    </row>
    <row r="1122" spans="1:4" s="97" customFormat="1" ht="15" customHeight="1">
      <c r="A1122" s="94" t="s">
        <v>8323</v>
      </c>
      <c r="B1122" s="94" t="s">
        <v>8322</v>
      </c>
      <c r="C1122" s="93" t="s">
        <v>7829</v>
      </c>
      <c r="D1122" s="92">
        <v>252.22</v>
      </c>
    </row>
    <row r="1123" spans="1:4" s="97" customFormat="1" ht="15" customHeight="1">
      <c r="A1123" s="94" t="s">
        <v>8321</v>
      </c>
      <c r="B1123" s="94" t="s">
        <v>8320</v>
      </c>
      <c r="C1123" s="93" t="s">
        <v>7829</v>
      </c>
      <c r="D1123" s="92">
        <v>241.27</v>
      </c>
    </row>
    <row r="1124" spans="1:4" s="97" customFormat="1" ht="15" customHeight="1">
      <c r="A1124" s="94" t="s">
        <v>8319</v>
      </c>
      <c r="B1124" s="94" t="s">
        <v>8318</v>
      </c>
      <c r="C1124" s="93" t="s">
        <v>7829</v>
      </c>
      <c r="D1124" s="92">
        <v>241.22</v>
      </c>
    </row>
    <row r="1125" spans="1:4" s="97" customFormat="1" ht="15" customHeight="1">
      <c r="A1125" s="94" t="s">
        <v>8317</v>
      </c>
      <c r="B1125" s="94" t="s">
        <v>8316</v>
      </c>
      <c r="C1125" s="93" t="s">
        <v>7829</v>
      </c>
      <c r="D1125" s="92">
        <v>241.3</v>
      </c>
    </row>
    <row r="1126" spans="1:4" s="97" customFormat="1" ht="15" customHeight="1">
      <c r="A1126" s="94" t="s">
        <v>8315</v>
      </c>
      <c r="B1126" s="94" t="s">
        <v>8314</v>
      </c>
      <c r="C1126" s="93" t="s">
        <v>7829</v>
      </c>
      <c r="D1126" s="92">
        <v>241.08</v>
      </c>
    </row>
    <row r="1127" spans="1:4" s="97" customFormat="1" ht="15" customHeight="1">
      <c r="A1127" s="94" t="s">
        <v>8313</v>
      </c>
      <c r="B1127" s="94" t="s">
        <v>8312</v>
      </c>
      <c r="C1127" s="93" t="s">
        <v>7829</v>
      </c>
      <c r="D1127" s="92">
        <v>84.42</v>
      </c>
    </row>
    <row r="1128" spans="1:4" s="97" customFormat="1" ht="15" customHeight="1">
      <c r="A1128" s="94" t="s">
        <v>8311</v>
      </c>
      <c r="B1128" s="94" t="s">
        <v>8310</v>
      </c>
      <c r="C1128" s="93" t="s">
        <v>7829</v>
      </c>
      <c r="D1128" s="92">
        <v>82.81</v>
      </c>
    </row>
    <row r="1129" spans="1:4" s="97" customFormat="1" ht="15" customHeight="1">
      <c r="A1129" s="94" t="s">
        <v>8309</v>
      </c>
      <c r="B1129" s="94" t="s">
        <v>8308</v>
      </c>
      <c r="C1129" s="93" t="s">
        <v>7829</v>
      </c>
      <c r="D1129" s="92">
        <v>83.03</v>
      </c>
    </row>
    <row r="1130" spans="1:4" s="97" customFormat="1" ht="15" customHeight="1">
      <c r="A1130" s="94" t="s">
        <v>8307</v>
      </c>
      <c r="B1130" s="94" t="s">
        <v>8306</v>
      </c>
      <c r="C1130" s="93" t="s">
        <v>7829</v>
      </c>
      <c r="D1130" s="92">
        <v>82.86</v>
      </c>
    </row>
    <row r="1131" spans="1:4" s="97" customFormat="1" ht="15" customHeight="1">
      <c r="A1131" s="94" t="s">
        <v>8305</v>
      </c>
      <c r="B1131" s="94" t="s">
        <v>8304</v>
      </c>
      <c r="C1131" s="93" t="s">
        <v>7829</v>
      </c>
      <c r="D1131" s="92">
        <v>84.84</v>
      </c>
    </row>
    <row r="1132" spans="1:4" s="97" customFormat="1" ht="15" customHeight="1">
      <c r="A1132" s="94" t="s">
        <v>8303</v>
      </c>
      <c r="B1132" s="94" t="s">
        <v>8302</v>
      </c>
      <c r="C1132" s="93" t="s">
        <v>7829</v>
      </c>
      <c r="D1132" s="92">
        <v>84.96</v>
      </c>
    </row>
    <row r="1133" spans="1:4" s="97" customFormat="1" ht="15" customHeight="1">
      <c r="A1133" s="94" t="s">
        <v>8301</v>
      </c>
      <c r="B1133" s="94" t="s">
        <v>8300</v>
      </c>
      <c r="C1133" s="93" t="s">
        <v>7829</v>
      </c>
      <c r="D1133" s="92">
        <v>84.9</v>
      </c>
    </row>
    <row r="1134" spans="1:4" s="97" customFormat="1" ht="15" customHeight="1">
      <c r="A1134" s="94" t="s">
        <v>8299</v>
      </c>
      <c r="B1134" s="94" t="s">
        <v>8298</v>
      </c>
      <c r="C1134" s="93" t="s">
        <v>7829</v>
      </c>
      <c r="D1134" s="92">
        <v>62.78</v>
      </c>
    </row>
    <row r="1135" spans="1:4" s="97" customFormat="1" ht="15" customHeight="1">
      <c r="A1135" s="94" t="s">
        <v>8297</v>
      </c>
      <c r="B1135" s="94" t="s">
        <v>8296</v>
      </c>
      <c r="C1135" s="93" t="s">
        <v>7829</v>
      </c>
      <c r="D1135" s="92">
        <v>62.75</v>
      </c>
    </row>
    <row r="1136" spans="1:4" s="97" customFormat="1" ht="15" customHeight="1">
      <c r="A1136" s="94" t="s">
        <v>8295</v>
      </c>
      <c r="B1136" s="94" t="s">
        <v>8294</v>
      </c>
      <c r="C1136" s="93" t="s">
        <v>7829</v>
      </c>
      <c r="D1136" s="92">
        <v>57.12</v>
      </c>
    </row>
    <row r="1137" spans="1:4" s="97" customFormat="1" ht="15" customHeight="1">
      <c r="A1137" s="94" t="s">
        <v>8293</v>
      </c>
      <c r="B1137" s="94" t="s">
        <v>8292</v>
      </c>
      <c r="C1137" s="93" t="s">
        <v>7829</v>
      </c>
      <c r="D1137" s="92">
        <v>61.4</v>
      </c>
    </row>
    <row r="1138" spans="1:4" s="97" customFormat="1" ht="15" customHeight="1">
      <c r="A1138" s="94" t="s">
        <v>8291</v>
      </c>
      <c r="B1138" s="94" t="s">
        <v>8290</v>
      </c>
      <c r="C1138" s="93" t="s">
        <v>7829</v>
      </c>
      <c r="D1138" s="92">
        <v>52.46</v>
      </c>
    </row>
    <row r="1139" spans="1:4" s="97" customFormat="1" ht="15" customHeight="1">
      <c r="A1139" s="94" t="s">
        <v>8289</v>
      </c>
      <c r="B1139" s="94" t="s">
        <v>8288</v>
      </c>
      <c r="C1139" s="93" t="s">
        <v>7829</v>
      </c>
      <c r="D1139" s="92">
        <v>510.23</v>
      </c>
    </row>
    <row r="1140" spans="1:4" s="97" customFormat="1" ht="15" customHeight="1">
      <c r="A1140" s="94" t="s">
        <v>8287</v>
      </c>
      <c r="B1140" s="94" t="s">
        <v>8286</v>
      </c>
      <c r="C1140" s="93" t="s">
        <v>7829</v>
      </c>
      <c r="D1140" s="92">
        <v>510.22</v>
      </c>
    </row>
    <row r="1141" spans="1:4" s="97" customFormat="1" ht="15" customHeight="1">
      <c r="A1141" s="94" t="s">
        <v>8285</v>
      </c>
      <c r="B1141" s="94" t="s">
        <v>8284</v>
      </c>
      <c r="C1141" s="93" t="s">
        <v>7829</v>
      </c>
      <c r="D1141" s="92">
        <v>158.13</v>
      </c>
    </row>
    <row r="1142" spans="1:4" s="97" customFormat="1" ht="15" customHeight="1">
      <c r="A1142" s="94" t="s">
        <v>8283</v>
      </c>
      <c r="B1142" s="94" t="s">
        <v>8282</v>
      </c>
      <c r="C1142" s="93" t="s">
        <v>7829</v>
      </c>
      <c r="D1142" s="92">
        <v>150.97</v>
      </c>
    </row>
    <row r="1143" spans="1:4" s="97" customFormat="1" ht="15" customHeight="1">
      <c r="A1143" s="94" t="s">
        <v>8281</v>
      </c>
      <c r="B1143" s="94" t="s">
        <v>8280</v>
      </c>
      <c r="C1143" s="93" t="s">
        <v>7829</v>
      </c>
      <c r="D1143" s="92">
        <v>250.92</v>
      </c>
    </row>
    <row r="1144" spans="1:4" s="97" customFormat="1" ht="15" customHeight="1">
      <c r="A1144" s="94" t="s">
        <v>8279</v>
      </c>
      <c r="B1144" s="94" t="s">
        <v>8278</v>
      </c>
      <c r="C1144" s="93" t="s">
        <v>7829</v>
      </c>
      <c r="D1144" s="92">
        <v>70.98</v>
      </c>
    </row>
    <row r="1145" spans="1:4" s="97" customFormat="1" ht="15" customHeight="1">
      <c r="A1145" s="94" t="s">
        <v>8277</v>
      </c>
      <c r="B1145" s="94" t="s">
        <v>8276</v>
      </c>
      <c r="C1145" s="93" t="s">
        <v>7829</v>
      </c>
      <c r="D1145" s="92">
        <v>65.37</v>
      </c>
    </row>
    <row r="1146" spans="1:4" s="97" customFormat="1" ht="15" customHeight="1">
      <c r="A1146" s="94" t="s">
        <v>8275</v>
      </c>
      <c r="B1146" s="94" t="s">
        <v>8274</v>
      </c>
      <c r="C1146" s="93" t="s">
        <v>7829</v>
      </c>
      <c r="D1146" s="92">
        <v>65.37</v>
      </c>
    </row>
    <row r="1147" spans="1:4" s="97" customFormat="1" ht="15" customHeight="1">
      <c r="A1147" s="94" t="s">
        <v>8273</v>
      </c>
      <c r="B1147" s="94" t="s">
        <v>8272</v>
      </c>
      <c r="C1147" s="93" t="s">
        <v>7829</v>
      </c>
      <c r="D1147" s="92">
        <v>65.37</v>
      </c>
    </row>
    <row r="1148" spans="1:4" s="97" customFormat="1" ht="15" customHeight="1">
      <c r="A1148" s="94" t="s">
        <v>8271</v>
      </c>
      <c r="B1148" s="94" t="s">
        <v>8270</v>
      </c>
      <c r="C1148" s="93" t="s">
        <v>7829</v>
      </c>
      <c r="D1148" s="92">
        <v>180.6</v>
      </c>
    </row>
    <row r="1149" spans="1:4" s="97" customFormat="1" ht="15" customHeight="1">
      <c r="A1149" s="94" t="s">
        <v>8269</v>
      </c>
      <c r="B1149" s="94" t="s">
        <v>8268</v>
      </c>
      <c r="C1149" s="93" t="s">
        <v>7829</v>
      </c>
      <c r="D1149" s="92">
        <v>133.02000000000001</v>
      </c>
    </row>
    <row r="1150" spans="1:4" s="97" customFormat="1" ht="15" customHeight="1">
      <c r="A1150" s="94" t="s">
        <v>8267</v>
      </c>
      <c r="B1150" s="94" t="s">
        <v>8266</v>
      </c>
      <c r="C1150" s="93" t="s">
        <v>7829</v>
      </c>
      <c r="D1150" s="92">
        <v>154.27000000000001</v>
      </c>
    </row>
    <row r="1151" spans="1:4" s="97" customFormat="1" ht="15" customHeight="1">
      <c r="A1151" s="94" t="s">
        <v>8265</v>
      </c>
      <c r="B1151" s="94" t="s">
        <v>8264</v>
      </c>
      <c r="C1151" s="93" t="s">
        <v>7829</v>
      </c>
      <c r="D1151" s="92">
        <v>242.42</v>
      </c>
    </row>
    <row r="1152" spans="1:4" s="97" customFormat="1" ht="15" customHeight="1">
      <c r="A1152" s="94" t="s">
        <v>8263</v>
      </c>
      <c r="B1152" s="94" t="s">
        <v>8262</v>
      </c>
      <c r="C1152" s="93" t="s">
        <v>7829</v>
      </c>
      <c r="D1152" s="92">
        <v>242.33</v>
      </c>
    </row>
    <row r="1153" spans="1:4" s="97" customFormat="1" ht="15" customHeight="1">
      <c r="A1153" s="94" t="s">
        <v>8261</v>
      </c>
      <c r="B1153" s="94" t="s">
        <v>8260</v>
      </c>
      <c r="C1153" s="93" t="s">
        <v>7829</v>
      </c>
      <c r="D1153" s="92">
        <v>242.53</v>
      </c>
    </row>
    <row r="1154" spans="1:4" s="97" customFormat="1" ht="15" customHeight="1">
      <c r="A1154" s="94" t="s">
        <v>8259</v>
      </c>
      <c r="B1154" s="94" t="s">
        <v>8258</v>
      </c>
      <c r="C1154" s="93" t="s">
        <v>7829</v>
      </c>
      <c r="D1154" s="92">
        <v>253.61</v>
      </c>
    </row>
    <row r="1155" spans="1:4" s="97" customFormat="1" ht="15" customHeight="1">
      <c r="A1155" s="94" t="s">
        <v>8257</v>
      </c>
      <c r="B1155" s="94" t="s">
        <v>8256</v>
      </c>
      <c r="C1155" s="93" t="s">
        <v>7829</v>
      </c>
      <c r="D1155" s="92">
        <v>253.74</v>
      </c>
    </row>
    <row r="1156" spans="1:4" s="97" customFormat="1" ht="15" customHeight="1">
      <c r="A1156" s="94" t="s">
        <v>8255</v>
      </c>
      <c r="B1156" s="94" t="s">
        <v>8254</v>
      </c>
      <c r="C1156" s="93" t="s">
        <v>7829</v>
      </c>
      <c r="D1156" s="92">
        <v>253.69</v>
      </c>
    </row>
    <row r="1157" spans="1:4" s="97" customFormat="1" ht="15" customHeight="1">
      <c r="A1157" s="94" t="s">
        <v>8253</v>
      </c>
      <c r="B1157" s="94" t="s">
        <v>8252</v>
      </c>
      <c r="C1157" s="93" t="s">
        <v>7829</v>
      </c>
      <c r="D1157" s="92">
        <v>242.43</v>
      </c>
    </row>
    <row r="1158" spans="1:4" s="97" customFormat="1" ht="15" customHeight="1">
      <c r="A1158" s="94" t="s">
        <v>8251</v>
      </c>
      <c r="B1158" s="94" t="s">
        <v>8250</v>
      </c>
      <c r="C1158" s="93" t="s">
        <v>7829</v>
      </c>
      <c r="D1158" s="92">
        <v>142.91</v>
      </c>
    </row>
    <row r="1159" spans="1:4" s="97" customFormat="1" ht="15" customHeight="1">
      <c r="A1159" s="94" t="s">
        <v>8249</v>
      </c>
      <c r="B1159" s="94" t="s">
        <v>8248</v>
      </c>
      <c r="C1159" s="93" t="s">
        <v>7829</v>
      </c>
      <c r="D1159" s="92">
        <v>20.7</v>
      </c>
    </row>
    <row r="1160" spans="1:4" s="97" customFormat="1" ht="15" customHeight="1">
      <c r="A1160" s="94" t="s">
        <v>8247</v>
      </c>
      <c r="B1160" s="94" t="s">
        <v>8246</v>
      </c>
      <c r="C1160" s="93" t="s">
        <v>7829</v>
      </c>
      <c r="D1160" s="92">
        <v>313.67</v>
      </c>
    </row>
    <row r="1161" spans="1:4" s="97" customFormat="1" ht="15" customHeight="1">
      <c r="A1161" s="94" t="s">
        <v>8245</v>
      </c>
      <c r="B1161" s="94" t="s">
        <v>8244</v>
      </c>
      <c r="C1161" s="93" t="s">
        <v>7829</v>
      </c>
      <c r="D1161" s="92">
        <v>237.72</v>
      </c>
    </row>
    <row r="1162" spans="1:4" s="97" customFormat="1" ht="15" customHeight="1">
      <c r="A1162" s="94" t="s">
        <v>8243</v>
      </c>
      <c r="B1162" s="94" t="s">
        <v>8242</v>
      </c>
      <c r="C1162" s="93" t="s">
        <v>7829</v>
      </c>
      <c r="D1162" s="92">
        <v>146.59</v>
      </c>
    </row>
    <row r="1163" spans="1:4" s="97" customFormat="1" ht="15" customHeight="1">
      <c r="A1163" s="94" t="s">
        <v>8241</v>
      </c>
      <c r="B1163" s="94" t="s">
        <v>8240</v>
      </c>
      <c r="C1163" s="93" t="s">
        <v>7829</v>
      </c>
      <c r="D1163" s="92">
        <v>1065.05</v>
      </c>
    </row>
    <row r="1164" spans="1:4" s="97" customFormat="1" ht="15" customHeight="1">
      <c r="A1164" s="94" t="s">
        <v>8239</v>
      </c>
      <c r="B1164" s="94" t="s">
        <v>8238</v>
      </c>
      <c r="C1164" s="93" t="s">
        <v>7829</v>
      </c>
      <c r="D1164" s="92">
        <v>237.77</v>
      </c>
    </row>
    <row r="1165" spans="1:4" s="97" customFormat="1" ht="15" customHeight="1">
      <c r="A1165" s="94" t="s">
        <v>8237</v>
      </c>
      <c r="B1165" s="94" t="s">
        <v>8236</v>
      </c>
      <c r="C1165" s="93" t="s">
        <v>7829</v>
      </c>
      <c r="D1165" s="92">
        <v>237.73</v>
      </c>
    </row>
    <row r="1166" spans="1:4" s="97" customFormat="1" ht="15" customHeight="1">
      <c r="A1166" s="94" t="s">
        <v>8235</v>
      </c>
      <c r="B1166" s="94" t="s">
        <v>8234</v>
      </c>
      <c r="C1166" s="93" t="s">
        <v>7829</v>
      </c>
      <c r="D1166" s="92">
        <v>179.47</v>
      </c>
    </row>
    <row r="1167" spans="1:4" s="97" customFormat="1" ht="15" customHeight="1">
      <c r="A1167" s="94" t="s">
        <v>8233</v>
      </c>
      <c r="B1167" s="94" t="s">
        <v>8232</v>
      </c>
      <c r="C1167" s="93" t="s">
        <v>7829</v>
      </c>
      <c r="D1167" s="92">
        <v>166.2</v>
      </c>
    </row>
    <row r="1168" spans="1:4" s="97" customFormat="1" ht="15" customHeight="1">
      <c r="A1168" s="94" t="s">
        <v>8231</v>
      </c>
      <c r="B1168" s="94" t="s">
        <v>8230</v>
      </c>
      <c r="C1168" s="93" t="s">
        <v>7829</v>
      </c>
      <c r="D1168" s="92">
        <v>179.46</v>
      </c>
    </row>
    <row r="1169" spans="1:4" s="97" customFormat="1" ht="15" customHeight="1">
      <c r="A1169" s="94" t="s">
        <v>8229</v>
      </c>
      <c r="B1169" s="94" t="s">
        <v>8228</v>
      </c>
      <c r="C1169" s="93" t="s">
        <v>7829</v>
      </c>
      <c r="D1169" s="92">
        <v>179.47</v>
      </c>
    </row>
    <row r="1170" spans="1:4" s="97" customFormat="1" ht="15" customHeight="1">
      <c r="A1170" s="94" t="s">
        <v>8227</v>
      </c>
      <c r="B1170" s="94" t="s">
        <v>8226</v>
      </c>
      <c r="C1170" s="93" t="s">
        <v>7829</v>
      </c>
      <c r="D1170" s="92">
        <v>374.14</v>
      </c>
    </row>
    <row r="1171" spans="1:4" s="97" customFormat="1" ht="15" customHeight="1">
      <c r="A1171" s="94" t="s">
        <v>8225</v>
      </c>
      <c r="B1171" s="94" t="s">
        <v>8224</v>
      </c>
      <c r="C1171" s="93" t="s">
        <v>7829</v>
      </c>
      <c r="D1171" s="92">
        <v>143.96</v>
      </c>
    </row>
    <row r="1172" spans="1:4" s="97" customFormat="1" ht="15" customHeight="1">
      <c r="A1172" s="94" t="s">
        <v>8223</v>
      </c>
      <c r="B1172" s="94" t="s">
        <v>8222</v>
      </c>
      <c r="C1172" s="93" t="s">
        <v>7829</v>
      </c>
      <c r="D1172" s="92">
        <v>143.4</v>
      </c>
    </row>
    <row r="1173" spans="1:4" s="97" customFormat="1" ht="15" customHeight="1">
      <c r="A1173" s="94" t="s">
        <v>8221</v>
      </c>
      <c r="B1173" s="94" t="s">
        <v>8220</v>
      </c>
      <c r="C1173" s="93" t="s">
        <v>7829</v>
      </c>
      <c r="D1173" s="92">
        <v>237.55</v>
      </c>
    </row>
    <row r="1174" spans="1:4" s="97" customFormat="1" ht="15" customHeight="1">
      <c r="A1174" s="94" t="s">
        <v>8219</v>
      </c>
      <c r="B1174" s="94" t="s">
        <v>8218</v>
      </c>
      <c r="C1174" s="93" t="s">
        <v>7829</v>
      </c>
      <c r="D1174" s="92">
        <v>237.57</v>
      </c>
    </row>
    <row r="1175" spans="1:4" s="97" customFormat="1" ht="15" customHeight="1">
      <c r="A1175" s="94" t="s">
        <v>8217</v>
      </c>
      <c r="B1175" s="94" t="s">
        <v>8216</v>
      </c>
      <c r="C1175" s="93" t="s">
        <v>7829</v>
      </c>
      <c r="D1175" s="92">
        <v>26.86</v>
      </c>
    </row>
    <row r="1176" spans="1:4" s="97" customFormat="1" ht="15" customHeight="1">
      <c r="A1176" s="94" t="s">
        <v>8215</v>
      </c>
      <c r="B1176" s="94" t="s">
        <v>8214</v>
      </c>
      <c r="C1176" s="93" t="s">
        <v>7829</v>
      </c>
      <c r="D1176" s="92">
        <v>55.14</v>
      </c>
    </row>
    <row r="1177" spans="1:4" s="97" customFormat="1" ht="15" customHeight="1">
      <c r="A1177" s="94" t="s">
        <v>8213</v>
      </c>
      <c r="B1177" s="94" t="s">
        <v>8212</v>
      </c>
      <c r="C1177" s="93" t="s">
        <v>7829</v>
      </c>
      <c r="D1177" s="92">
        <v>169.32</v>
      </c>
    </row>
    <row r="1178" spans="1:4" s="97" customFormat="1" ht="15" customHeight="1">
      <c r="A1178" s="94" t="s">
        <v>8211</v>
      </c>
      <c r="B1178" s="94" t="s">
        <v>8210</v>
      </c>
      <c r="C1178" s="93" t="s">
        <v>7829</v>
      </c>
      <c r="D1178" s="92">
        <v>169.35</v>
      </c>
    </row>
    <row r="1179" spans="1:4" s="97" customFormat="1" ht="15" customHeight="1">
      <c r="A1179" s="94" t="s">
        <v>8209</v>
      </c>
      <c r="B1179" s="94" t="s">
        <v>8203</v>
      </c>
      <c r="C1179" s="93" t="s">
        <v>7829</v>
      </c>
      <c r="D1179" s="92">
        <v>169.32</v>
      </c>
    </row>
    <row r="1180" spans="1:4" s="97" customFormat="1" ht="15" customHeight="1">
      <c r="A1180" s="94" t="s">
        <v>8208</v>
      </c>
      <c r="B1180" s="94" t="s">
        <v>8207</v>
      </c>
      <c r="C1180" s="93" t="s">
        <v>7829</v>
      </c>
      <c r="D1180" s="92">
        <v>133.97</v>
      </c>
    </row>
    <row r="1181" spans="1:4" s="97" customFormat="1" ht="15" customHeight="1">
      <c r="A1181" s="94" t="s">
        <v>8206</v>
      </c>
      <c r="B1181" s="94" t="s">
        <v>8205</v>
      </c>
      <c r="C1181" s="93" t="s">
        <v>7829</v>
      </c>
      <c r="D1181" s="92">
        <v>153.08000000000001</v>
      </c>
    </row>
    <row r="1182" spans="1:4" s="97" customFormat="1" ht="15" customHeight="1">
      <c r="A1182" s="94" t="s">
        <v>8204</v>
      </c>
      <c r="B1182" s="94" t="s">
        <v>8203</v>
      </c>
      <c r="C1182" s="93" t="s">
        <v>7829</v>
      </c>
      <c r="D1182" s="92">
        <v>169.32</v>
      </c>
    </row>
    <row r="1183" spans="1:4" s="97" customFormat="1" ht="15" customHeight="1">
      <c r="A1183" s="94" t="s">
        <v>8202</v>
      </c>
      <c r="B1183" s="94" t="s">
        <v>8201</v>
      </c>
      <c r="C1183" s="93" t="s">
        <v>7829</v>
      </c>
      <c r="D1183" s="92">
        <v>142.80000000000001</v>
      </c>
    </row>
    <row r="1184" spans="1:4" s="97" customFormat="1" ht="14.5">
      <c r="A1184" s="94" t="s">
        <v>8200</v>
      </c>
      <c r="B1184" s="94" t="s">
        <v>8199</v>
      </c>
      <c r="C1184" s="93" t="s">
        <v>7829</v>
      </c>
      <c r="D1184" s="92">
        <v>142.34</v>
      </c>
    </row>
    <row r="1185" spans="1:4" s="97" customFormat="1" ht="14.5">
      <c r="A1185" s="94" t="s">
        <v>8198</v>
      </c>
      <c r="B1185" s="94" t="s">
        <v>8197</v>
      </c>
      <c r="C1185" s="93" t="s">
        <v>7829</v>
      </c>
      <c r="D1185" s="92">
        <v>142.34</v>
      </c>
    </row>
    <row r="1186" spans="1:4" s="97" customFormat="1" ht="14.5">
      <c r="A1186" s="94" t="s">
        <v>8196</v>
      </c>
      <c r="B1186" s="94" t="s">
        <v>8195</v>
      </c>
      <c r="C1186" s="93" t="s">
        <v>7829</v>
      </c>
      <c r="D1186" s="92">
        <v>142.34</v>
      </c>
    </row>
    <row r="1187" spans="1:4" s="97" customFormat="1" ht="14.5">
      <c r="A1187" s="94" t="s">
        <v>8194</v>
      </c>
      <c r="B1187" s="94" t="s">
        <v>8193</v>
      </c>
      <c r="C1187" s="93" t="s">
        <v>7829</v>
      </c>
      <c r="D1187" s="92">
        <v>101.14</v>
      </c>
    </row>
    <row r="1188" spans="1:4" s="97" customFormat="1" ht="14.5">
      <c r="A1188" s="94" t="s">
        <v>8192</v>
      </c>
      <c r="B1188" s="94" t="s">
        <v>8191</v>
      </c>
      <c r="C1188" s="93" t="s">
        <v>7829</v>
      </c>
      <c r="D1188" s="92">
        <v>589.45000000000005</v>
      </c>
    </row>
    <row r="1189" spans="1:4" s="97" customFormat="1" ht="14.5">
      <c r="A1189" s="94" t="s">
        <v>8190</v>
      </c>
      <c r="B1189" s="94" t="s">
        <v>8189</v>
      </c>
      <c r="C1189" s="93" t="s">
        <v>7829</v>
      </c>
      <c r="D1189" s="92">
        <v>38.9</v>
      </c>
    </row>
    <row r="1190" spans="1:4" s="97" customFormat="1" ht="14.5">
      <c r="A1190" s="94" t="s">
        <v>8188</v>
      </c>
      <c r="B1190" s="94" t="s">
        <v>8187</v>
      </c>
      <c r="C1190" s="93" t="s">
        <v>7829</v>
      </c>
      <c r="D1190" s="92">
        <v>81.27</v>
      </c>
    </row>
    <row r="1191" spans="1:4" s="97" customFormat="1" ht="14.5">
      <c r="A1191" s="94" t="s">
        <v>8186</v>
      </c>
      <c r="B1191" s="94" t="s">
        <v>8185</v>
      </c>
      <c r="C1191" s="93" t="s">
        <v>7829</v>
      </c>
      <c r="D1191" s="92">
        <v>19.62</v>
      </c>
    </row>
    <row r="1192" spans="1:4" s="97" customFormat="1" ht="14.5">
      <c r="A1192" s="98" t="s">
        <v>8184</v>
      </c>
      <c r="B1192" s="94" t="s">
        <v>8183</v>
      </c>
      <c r="C1192" s="93" t="s">
        <v>7814</v>
      </c>
      <c r="D1192" s="92">
        <v>195.1</v>
      </c>
    </row>
    <row r="1193" spans="1:4" s="97" customFormat="1" ht="15" customHeight="1">
      <c r="A1193" s="94" t="s">
        <v>8182</v>
      </c>
      <c r="B1193" s="94" t="s">
        <v>8181</v>
      </c>
      <c r="C1193" s="93" t="s">
        <v>7814</v>
      </c>
      <c r="D1193" s="92">
        <v>274.64</v>
      </c>
    </row>
    <row r="1194" spans="1:4" s="97" customFormat="1" ht="15" customHeight="1">
      <c r="A1194" s="98" t="s">
        <v>8180</v>
      </c>
      <c r="B1194" s="94" t="s">
        <v>8179</v>
      </c>
      <c r="C1194" s="93" t="s">
        <v>7814</v>
      </c>
      <c r="D1194" s="92">
        <v>195.17</v>
      </c>
    </row>
    <row r="1195" spans="1:4" s="97" customFormat="1" ht="14.5">
      <c r="A1195" s="98" t="s">
        <v>8178</v>
      </c>
      <c r="B1195" s="94" t="s">
        <v>8177</v>
      </c>
      <c r="C1195" s="93" t="s">
        <v>7814</v>
      </c>
      <c r="D1195" s="92">
        <v>274.56</v>
      </c>
    </row>
    <row r="1196" spans="1:4" s="97" customFormat="1" ht="14.5">
      <c r="A1196" s="99" t="s">
        <v>8176</v>
      </c>
      <c r="B1196" s="94" t="s">
        <v>8175</v>
      </c>
      <c r="C1196" s="93" t="s">
        <v>7814</v>
      </c>
      <c r="D1196" s="92">
        <v>195.39</v>
      </c>
    </row>
    <row r="1197" spans="1:4" s="97" customFormat="1" ht="14.5">
      <c r="A1197" s="98" t="s">
        <v>8174</v>
      </c>
      <c r="B1197" s="94" t="s">
        <v>8173</v>
      </c>
      <c r="C1197" s="93" t="s">
        <v>7814</v>
      </c>
      <c r="D1197" s="92">
        <v>274.82</v>
      </c>
    </row>
    <row r="1198" spans="1:4" s="97" customFormat="1" ht="14.5">
      <c r="A1198" s="98" t="s">
        <v>8172</v>
      </c>
      <c r="B1198" s="94" t="s">
        <v>8171</v>
      </c>
      <c r="C1198" s="93" t="s">
        <v>7814</v>
      </c>
      <c r="D1198" s="92">
        <v>274.81</v>
      </c>
    </row>
    <row r="1199" spans="1:4" s="97" customFormat="1" ht="15" customHeight="1">
      <c r="A1199" s="99" t="s">
        <v>8170</v>
      </c>
      <c r="B1199" s="94" t="s">
        <v>8169</v>
      </c>
      <c r="C1199" s="93" t="s">
        <v>7814</v>
      </c>
      <c r="D1199" s="92">
        <v>195.33</v>
      </c>
    </row>
    <row r="1200" spans="1:4" s="97" customFormat="1" ht="15" customHeight="1">
      <c r="A1200" s="99" t="s">
        <v>8168</v>
      </c>
      <c r="B1200" s="94" t="s">
        <v>8167</v>
      </c>
      <c r="C1200" s="93" t="s">
        <v>7814</v>
      </c>
      <c r="D1200" s="92">
        <v>197.92</v>
      </c>
    </row>
    <row r="1201" spans="1:4" s="97" customFormat="1" ht="14.5">
      <c r="A1201" s="99" t="s">
        <v>8166</v>
      </c>
      <c r="B1201" s="94" t="s">
        <v>8165</v>
      </c>
      <c r="C1201" s="93" t="s">
        <v>7814</v>
      </c>
      <c r="D1201" s="92">
        <v>197.92</v>
      </c>
    </row>
    <row r="1202" spans="1:4" s="97" customFormat="1" ht="14.5">
      <c r="A1202" s="99" t="s">
        <v>8164</v>
      </c>
      <c r="B1202" s="94" t="s">
        <v>8163</v>
      </c>
      <c r="C1202" s="93" t="s">
        <v>7814</v>
      </c>
      <c r="D1202" s="92">
        <v>281.02</v>
      </c>
    </row>
    <row r="1203" spans="1:4" s="97" customFormat="1" ht="15" customHeight="1">
      <c r="A1203" s="99" t="s">
        <v>8162</v>
      </c>
      <c r="B1203" s="94" t="s">
        <v>8161</v>
      </c>
      <c r="C1203" s="93" t="s">
        <v>7814</v>
      </c>
      <c r="D1203" s="92">
        <v>197.92</v>
      </c>
    </row>
    <row r="1204" spans="1:4" s="97" customFormat="1" ht="15" customHeight="1">
      <c r="A1204" s="99" t="s">
        <v>8160</v>
      </c>
      <c r="B1204" s="94" t="s">
        <v>8159</v>
      </c>
      <c r="C1204" s="93" t="s">
        <v>7814</v>
      </c>
      <c r="D1204" s="92">
        <v>197.92</v>
      </c>
    </row>
    <row r="1205" spans="1:4" s="97" customFormat="1" ht="14.5">
      <c r="A1205" s="99" t="s">
        <v>8158</v>
      </c>
      <c r="B1205" s="94" t="s">
        <v>8157</v>
      </c>
      <c r="C1205" s="93" t="s">
        <v>7814</v>
      </c>
      <c r="D1205" s="92">
        <v>280.95</v>
      </c>
    </row>
    <row r="1206" spans="1:4" s="97" customFormat="1" ht="14.5">
      <c r="A1206" s="99" t="s">
        <v>8156</v>
      </c>
      <c r="B1206" s="94" t="s">
        <v>8155</v>
      </c>
      <c r="C1206" s="93" t="s">
        <v>7814</v>
      </c>
      <c r="D1206" s="92">
        <v>197.92</v>
      </c>
    </row>
    <row r="1207" spans="1:4" s="97" customFormat="1" ht="14.5">
      <c r="A1207" s="99" t="s">
        <v>8154</v>
      </c>
      <c r="B1207" s="94" t="s">
        <v>8153</v>
      </c>
      <c r="C1207" s="93" t="s">
        <v>7814</v>
      </c>
      <c r="D1207" s="92">
        <v>281.20999999999998</v>
      </c>
    </row>
    <row r="1208" spans="1:4" s="97" customFormat="1" ht="14.5">
      <c r="A1208" s="99" t="s">
        <v>8152</v>
      </c>
      <c r="B1208" s="94" t="s">
        <v>8151</v>
      </c>
      <c r="C1208" s="93" t="s">
        <v>7814</v>
      </c>
      <c r="D1208" s="92">
        <v>281.18</v>
      </c>
    </row>
    <row r="1209" spans="1:4" s="97" customFormat="1" ht="14.5">
      <c r="A1209" s="99" t="s">
        <v>8150</v>
      </c>
      <c r="B1209" s="94" t="s">
        <v>8149</v>
      </c>
      <c r="C1209" s="93" t="s">
        <v>7814</v>
      </c>
      <c r="D1209" s="92">
        <v>197.92</v>
      </c>
    </row>
    <row r="1210" spans="1:4" s="97" customFormat="1" ht="15" customHeight="1">
      <c r="A1210" s="99" t="s">
        <v>8148</v>
      </c>
      <c r="B1210" s="94" t="s">
        <v>8147</v>
      </c>
      <c r="C1210" s="93" t="s">
        <v>7814</v>
      </c>
      <c r="D1210" s="92">
        <v>158.12</v>
      </c>
    </row>
    <row r="1211" spans="1:4" s="97" customFormat="1" ht="15" customHeight="1">
      <c r="A1211" s="99" t="s">
        <v>8146</v>
      </c>
      <c r="B1211" s="94" t="s">
        <v>8145</v>
      </c>
      <c r="C1211" s="93" t="s">
        <v>7814</v>
      </c>
      <c r="D1211" s="92">
        <v>183.03</v>
      </c>
    </row>
    <row r="1212" spans="1:4" s="97" customFormat="1" ht="14.5">
      <c r="A1212" s="98" t="s">
        <v>8144</v>
      </c>
      <c r="B1212" s="94" t="s">
        <v>8143</v>
      </c>
      <c r="C1212" s="93" t="s">
        <v>7814</v>
      </c>
      <c r="D1212" s="92">
        <v>183.39</v>
      </c>
    </row>
    <row r="1213" spans="1:4" s="97" customFormat="1" ht="14.5">
      <c r="A1213" s="94" t="s">
        <v>8142</v>
      </c>
      <c r="B1213" s="94" t="s">
        <v>8141</v>
      </c>
      <c r="C1213" s="93" t="s">
        <v>7829</v>
      </c>
      <c r="D1213" s="92">
        <v>234.22</v>
      </c>
    </row>
    <row r="1214" spans="1:4" s="97" customFormat="1" ht="14.5">
      <c r="A1214" s="94" t="s">
        <v>8140</v>
      </c>
      <c r="B1214" s="94" t="s">
        <v>8139</v>
      </c>
      <c r="C1214" s="93" t="s">
        <v>7829</v>
      </c>
      <c r="D1214" s="92">
        <v>122.17</v>
      </c>
    </row>
    <row r="1215" spans="1:4" s="97" customFormat="1" ht="14.5">
      <c r="A1215" s="94" t="s">
        <v>8138</v>
      </c>
      <c r="B1215" s="94" t="s">
        <v>8137</v>
      </c>
      <c r="C1215" s="93" t="s">
        <v>7829</v>
      </c>
      <c r="D1215" s="92">
        <v>306.10000000000002</v>
      </c>
    </row>
    <row r="1216" spans="1:4" s="97" customFormat="1" ht="14.5">
      <c r="A1216" s="94" t="s">
        <v>8136</v>
      </c>
      <c r="B1216" s="94" t="s">
        <v>8135</v>
      </c>
      <c r="C1216" s="93" t="s">
        <v>7814</v>
      </c>
      <c r="D1216" s="92">
        <v>138.85</v>
      </c>
    </row>
    <row r="1217" spans="1:4" s="97" customFormat="1" ht="14.5">
      <c r="A1217" s="94" t="s">
        <v>8134</v>
      </c>
      <c r="B1217" s="94" t="s">
        <v>8133</v>
      </c>
      <c r="C1217" s="93" t="s">
        <v>7814</v>
      </c>
      <c r="D1217" s="92">
        <v>138.85</v>
      </c>
    </row>
    <row r="1218" spans="1:4" s="97" customFormat="1" ht="14.5">
      <c r="A1218" s="94" t="s">
        <v>8132</v>
      </c>
      <c r="B1218" s="94" t="s">
        <v>8131</v>
      </c>
      <c r="C1218" s="93" t="s">
        <v>7829</v>
      </c>
      <c r="D1218" s="92">
        <v>139.41</v>
      </c>
    </row>
    <row r="1219" spans="1:4" s="97" customFormat="1" ht="14.5">
      <c r="A1219" s="94" t="s">
        <v>8130</v>
      </c>
      <c r="B1219" s="94" t="s">
        <v>8129</v>
      </c>
      <c r="C1219" s="93" t="s">
        <v>7829</v>
      </c>
      <c r="D1219" s="92">
        <v>138.85</v>
      </c>
    </row>
    <row r="1220" spans="1:4" s="97" customFormat="1" ht="14.5">
      <c r="A1220" s="94" t="s">
        <v>8128</v>
      </c>
      <c r="B1220" s="94" t="s">
        <v>8127</v>
      </c>
      <c r="C1220" s="93" t="s">
        <v>7829</v>
      </c>
      <c r="D1220" s="92">
        <v>138.85</v>
      </c>
    </row>
    <row r="1221" spans="1:4" s="97" customFormat="1" ht="15" customHeight="1">
      <c r="A1221" s="94" t="s">
        <v>8126</v>
      </c>
      <c r="B1221" s="94" t="s">
        <v>8125</v>
      </c>
      <c r="C1221" s="93" t="s">
        <v>7814</v>
      </c>
      <c r="D1221" s="92">
        <v>138.93</v>
      </c>
    </row>
    <row r="1222" spans="1:4" s="97" customFormat="1" ht="15" customHeight="1">
      <c r="A1222" s="94" t="s">
        <v>8124</v>
      </c>
      <c r="B1222" s="94" t="s">
        <v>8123</v>
      </c>
      <c r="C1222" s="93" t="s">
        <v>7814</v>
      </c>
      <c r="D1222" s="92">
        <v>138.85</v>
      </c>
    </row>
    <row r="1223" spans="1:4" s="97" customFormat="1" ht="15" customHeight="1">
      <c r="A1223" s="94" t="s">
        <v>8122</v>
      </c>
      <c r="B1223" s="94" t="s">
        <v>8121</v>
      </c>
      <c r="C1223" s="93" t="s">
        <v>7814</v>
      </c>
      <c r="D1223" s="92">
        <v>144.33000000000001</v>
      </c>
    </row>
    <row r="1224" spans="1:4" s="97" customFormat="1" ht="15" customHeight="1">
      <c r="A1224" s="94" t="s">
        <v>8120</v>
      </c>
      <c r="B1224" s="94" t="s">
        <v>8119</v>
      </c>
      <c r="C1224" s="93" t="s">
        <v>7814</v>
      </c>
      <c r="D1224" s="92">
        <v>145.44</v>
      </c>
    </row>
    <row r="1225" spans="1:4" s="97" customFormat="1" ht="15" customHeight="1">
      <c r="A1225" s="94" t="s">
        <v>8118</v>
      </c>
      <c r="B1225" s="94" t="s">
        <v>8117</v>
      </c>
      <c r="C1225" s="93" t="s">
        <v>7814</v>
      </c>
      <c r="D1225" s="92">
        <v>141.94</v>
      </c>
    </row>
    <row r="1226" spans="1:4" s="97" customFormat="1" ht="15" customHeight="1">
      <c r="A1226" s="94" t="s">
        <v>8116</v>
      </c>
      <c r="B1226" s="94" t="s">
        <v>8115</v>
      </c>
      <c r="C1226" s="93" t="s">
        <v>7814</v>
      </c>
      <c r="D1226" s="92">
        <v>133.22999999999999</v>
      </c>
    </row>
    <row r="1227" spans="1:4" s="97" customFormat="1" ht="15" customHeight="1">
      <c r="A1227" s="95" t="s">
        <v>8114</v>
      </c>
      <c r="B1227" s="94" t="s">
        <v>8113</v>
      </c>
      <c r="C1227" s="93" t="s">
        <v>7829</v>
      </c>
      <c r="D1227" s="92">
        <v>132.56</v>
      </c>
    </row>
    <row r="1228" spans="1:4" s="97" customFormat="1" ht="15" customHeight="1">
      <c r="A1228" s="95" t="s">
        <v>8112</v>
      </c>
      <c r="B1228" s="94" t="s">
        <v>8111</v>
      </c>
      <c r="C1228" s="93" t="s">
        <v>7829</v>
      </c>
      <c r="D1228" s="92">
        <v>132.56</v>
      </c>
    </row>
    <row r="1229" spans="1:4" s="97" customFormat="1" ht="15" customHeight="1">
      <c r="A1229" s="95" t="s">
        <v>8110</v>
      </c>
      <c r="B1229" s="94" t="s">
        <v>8109</v>
      </c>
      <c r="C1229" s="93" t="s">
        <v>7829</v>
      </c>
      <c r="D1229" s="92">
        <v>138.86000000000001</v>
      </c>
    </row>
    <row r="1230" spans="1:4" s="97" customFormat="1" ht="15" customHeight="1">
      <c r="A1230" s="94" t="s">
        <v>8108</v>
      </c>
      <c r="B1230" s="94" t="s">
        <v>8107</v>
      </c>
      <c r="C1230" s="93" t="s">
        <v>7814</v>
      </c>
      <c r="D1230" s="92">
        <v>140.94999999999999</v>
      </c>
    </row>
    <row r="1231" spans="1:4" s="97" customFormat="1" ht="15" customHeight="1">
      <c r="A1231" s="94" t="s">
        <v>8106</v>
      </c>
      <c r="B1231" s="94" t="s">
        <v>8105</v>
      </c>
      <c r="C1231" s="93" t="s">
        <v>7814</v>
      </c>
      <c r="D1231" s="92">
        <v>398.91</v>
      </c>
    </row>
    <row r="1232" spans="1:4" s="97" customFormat="1" ht="15" customHeight="1">
      <c r="A1232" s="96" t="s">
        <v>8104</v>
      </c>
      <c r="B1232" s="94" t="s">
        <v>8103</v>
      </c>
      <c r="C1232" s="93" t="s">
        <v>7829</v>
      </c>
      <c r="D1232" s="92">
        <v>157.21</v>
      </c>
    </row>
    <row r="1233" spans="1:4" s="97" customFormat="1" ht="14.5">
      <c r="A1233" s="96" t="s">
        <v>8102</v>
      </c>
      <c r="B1233" s="94" t="s">
        <v>8101</v>
      </c>
      <c r="C1233" s="93" t="s">
        <v>7829</v>
      </c>
      <c r="D1233" s="92">
        <v>157.19</v>
      </c>
    </row>
    <row r="1234" spans="1:4" s="97" customFormat="1" ht="15" customHeight="1">
      <c r="A1234" s="94" t="s">
        <v>8100</v>
      </c>
      <c r="B1234" s="94" t="s">
        <v>8099</v>
      </c>
      <c r="C1234" s="93" t="s">
        <v>7814</v>
      </c>
      <c r="D1234" s="92">
        <v>138.85</v>
      </c>
    </row>
    <row r="1235" spans="1:4" s="97" customFormat="1" ht="15" customHeight="1">
      <c r="A1235" s="95" t="s">
        <v>8098</v>
      </c>
      <c r="B1235" s="94" t="s">
        <v>8097</v>
      </c>
      <c r="C1235" s="93" t="s">
        <v>7814</v>
      </c>
      <c r="D1235" s="92">
        <v>332.82</v>
      </c>
    </row>
    <row r="1236" spans="1:4" s="97" customFormat="1" ht="14.5">
      <c r="A1236" s="94" t="s">
        <v>8096</v>
      </c>
      <c r="B1236" s="94" t="s">
        <v>8095</v>
      </c>
      <c r="C1236" s="93" t="s">
        <v>7814</v>
      </c>
      <c r="D1236" s="92">
        <v>179.91</v>
      </c>
    </row>
    <row r="1237" spans="1:4" s="97" customFormat="1" ht="14.5">
      <c r="A1237" s="94" t="s">
        <v>8094</v>
      </c>
      <c r="B1237" s="94" t="s">
        <v>8093</v>
      </c>
      <c r="C1237" s="93" t="s">
        <v>7814</v>
      </c>
      <c r="D1237" s="92">
        <v>179.91</v>
      </c>
    </row>
    <row r="1238" spans="1:4" s="97" customFormat="1" ht="14.5">
      <c r="A1238" s="94" t="s">
        <v>8092</v>
      </c>
      <c r="B1238" s="94" t="s">
        <v>8091</v>
      </c>
      <c r="C1238" s="93" t="s">
        <v>7814</v>
      </c>
      <c r="D1238" s="92">
        <v>179.91</v>
      </c>
    </row>
    <row r="1239" spans="1:4" s="97" customFormat="1" ht="14.5">
      <c r="A1239" s="94" t="s">
        <v>8090</v>
      </c>
      <c r="B1239" s="94" t="s">
        <v>8089</v>
      </c>
      <c r="C1239" s="93" t="s">
        <v>7814</v>
      </c>
      <c r="D1239" s="92">
        <v>171.91</v>
      </c>
    </row>
    <row r="1240" spans="1:4" s="97" customFormat="1" ht="14.5">
      <c r="A1240" s="94" t="s">
        <v>8088</v>
      </c>
      <c r="B1240" s="94" t="s">
        <v>8087</v>
      </c>
      <c r="C1240" s="93" t="s">
        <v>7814</v>
      </c>
      <c r="D1240" s="92">
        <v>172.27</v>
      </c>
    </row>
    <row r="1241" spans="1:4" s="97" customFormat="1" ht="14.5">
      <c r="A1241" s="94" t="s">
        <v>8086</v>
      </c>
      <c r="B1241" s="94" t="s">
        <v>8085</v>
      </c>
      <c r="C1241" s="93" t="s">
        <v>7829</v>
      </c>
      <c r="D1241" s="92">
        <v>173.84</v>
      </c>
    </row>
    <row r="1242" spans="1:4" s="97" customFormat="1" ht="14.5">
      <c r="A1242" s="94" t="s">
        <v>8084</v>
      </c>
      <c r="B1242" s="94" t="s">
        <v>8083</v>
      </c>
      <c r="C1242" s="93" t="s">
        <v>7814</v>
      </c>
      <c r="D1242" s="92">
        <v>179.91</v>
      </c>
    </row>
    <row r="1243" spans="1:4" s="97" customFormat="1" ht="14.5">
      <c r="A1243" s="94" t="s">
        <v>8082</v>
      </c>
      <c r="B1243" s="94" t="s">
        <v>8081</v>
      </c>
      <c r="C1243" s="93" t="s">
        <v>7829</v>
      </c>
      <c r="D1243" s="92">
        <v>320.27999999999997</v>
      </c>
    </row>
    <row r="1244" spans="1:4" s="97" customFormat="1" ht="14.5">
      <c r="A1244" s="94" t="s">
        <v>8080</v>
      </c>
      <c r="B1244" s="94" t="s">
        <v>8079</v>
      </c>
      <c r="C1244" s="93" t="s">
        <v>7829</v>
      </c>
      <c r="D1244" s="92">
        <v>3625.61</v>
      </c>
    </row>
    <row r="1245" spans="1:4" s="97" customFormat="1" ht="14.5">
      <c r="A1245" s="94" t="s">
        <v>8078</v>
      </c>
      <c r="B1245" s="94" t="s">
        <v>8077</v>
      </c>
      <c r="C1245" s="93" t="s">
        <v>8076</v>
      </c>
      <c r="D1245" s="92">
        <v>169.52</v>
      </c>
    </row>
    <row r="1246" spans="1:4" s="97" customFormat="1" ht="14.5">
      <c r="A1246" s="94" t="s">
        <v>8075</v>
      </c>
      <c r="B1246" s="94" t="s">
        <v>8074</v>
      </c>
      <c r="C1246" s="93" t="s">
        <v>7840</v>
      </c>
      <c r="D1246" s="92">
        <v>521.85</v>
      </c>
    </row>
    <row r="1247" spans="1:4" s="97" customFormat="1" ht="14.5">
      <c r="A1247" s="94" t="s">
        <v>8073</v>
      </c>
      <c r="B1247" s="94" t="s">
        <v>8072</v>
      </c>
      <c r="C1247" s="93" t="s">
        <v>7829</v>
      </c>
      <c r="D1247" s="92">
        <v>623.16999999999996</v>
      </c>
    </row>
    <row r="1248" spans="1:4" s="97" customFormat="1" ht="14.5">
      <c r="A1248" s="94" t="s">
        <v>8071</v>
      </c>
      <c r="B1248" s="94" t="s">
        <v>8070</v>
      </c>
      <c r="C1248" s="93" t="s">
        <v>7814</v>
      </c>
      <c r="D1248" s="92">
        <v>379.4</v>
      </c>
    </row>
    <row r="1249" spans="1:4" s="97" customFormat="1" ht="15" customHeight="1">
      <c r="A1249" s="94" t="s">
        <v>8069</v>
      </c>
      <c r="B1249" s="94" t="s">
        <v>8068</v>
      </c>
      <c r="C1249" s="93" t="s">
        <v>7814</v>
      </c>
      <c r="D1249" s="92">
        <v>18.73</v>
      </c>
    </row>
    <row r="1250" spans="1:4" s="97" customFormat="1" ht="14.5">
      <c r="A1250" s="94" t="s">
        <v>8067</v>
      </c>
      <c r="B1250" s="94" t="s">
        <v>8066</v>
      </c>
      <c r="C1250" s="93" t="s">
        <v>7814</v>
      </c>
      <c r="D1250" s="92">
        <v>30.1</v>
      </c>
    </row>
    <row r="1251" spans="1:4" s="97" customFormat="1" ht="14.5">
      <c r="A1251" s="94" t="s">
        <v>8065</v>
      </c>
      <c r="B1251" s="94" t="s">
        <v>8064</v>
      </c>
      <c r="C1251" s="93" t="s">
        <v>7814</v>
      </c>
      <c r="D1251" s="92">
        <v>51.18</v>
      </c>
    </row>
    <row r="1252" spans="1:4" s="97" customFormat="1" ht="14.5">
      <c r="A1252" s="94" t="s">
        <v>8063</v>
      </c>
      <c r="B1252" s="94" t="s">
        <v>8062</v>
      </c>
      <c r="C1252" s="93" t="s">
        <v>7814</v>
      </c>
      <c r="D1252" s="92">
        <v>80.14</v>
      </c>
    </row>
    <row r="1253" spans="1:4" s="97" customFormat="1" ht="15" customHeight="1">
      <c r="A1253" s="94" t="s">
        <v>8061</v>
      </c>
      <c r="B1253" s="94" t="s">
        <v>8060</v>
      </c>
      <c r="C1253" s="93" t="s">
        <v>7814</v>
      </c>
      <c r="D1253" s="92">
        <v>141.28</v>
      </c>
    </row>
    <row r="1254" spans="1:4" s="97" customFormat="1" ht="14.5">
      <c r="A1254" s="94" t="s">
        <v>8059</v>
      </c>
      <c r="B1254" s="94" t="s">
        <v>8058</v>
      </c>
      <c r="C1254" s="93" t="s">
        <v>7814</v>
      </c>
      <c r="D1254" s="92">
        <v>117.07</v>
      </c>
    </row>
    <row r="1255" spans="1:4" s="97" customFormat="1" ht="14.5">
      <c r="A1255" s="94" t="s">
        <v>8057</v>
      </c>
      <c r="B1255" s="94" t="s">
        <v>8056</v>
      </c>
      <c r="C1255" s="93" t="s">
        <v>7814</v>
      </c>
      <c r="D1255" s="92">
        <v>124.42</v>
      </c>
    </row>
    <row r="1256" spans="1:4" s="97" customFormat="1" ht="14.5">
      <c r="A1256" s="94" t="s">
        <v>8055</v>
      </c>
      <c r="B1256" s="94" t="s">
        <v>8054</v>
      </c>
      <c r="C1256" s="93" t="s">
        <v>7814</v>
      </c>
      <c r="D1256" s="92">
        <v>189.9</v>
      </c>
    </row>
    <row r="1257" spans="1:4" s="97" customFormat="1" ht="14.5">
      <c r="A1257" s="94" t="s">
        <v>8053</v>
      </c>
      <c r="B1257" s="94" t="s">
        <v>8052</v>
      </c>
      <c r="C1257" s="93" t="s">
        <v>7814</v>
      </c>
      <c r="D1257" s="92">
        <v>229.7</v>
      </c>
    </row>
    <row r="1258" spans="1:4" s="97" customFormat="1" ht="14.5">
      <c r="A1258" s="94" t="s">
        <v>8051</v>
      </c>
      <c r="B1258" s="94" t="s">
        <v>8050</v>
      </c>
      <c r="C1258" s="93" t="s">
        <v>7814</v>
      </c>
      <c r="D1258" s="92">
        <v>262.83999999999997</v>
      </c>
    </row>
    <row r="1259" spans="1:4" s="97" customFormat="1" ht="14.5">
      <c r="A1259" s="94" t="s">
        <v>8049</v>
      </c>
      <c r="B1259" s="94" t="s">
        <v>8048</v>
      </c>
      <c r="C1259" s="93" t="s">
        <v>7814</v>
      </c>
      <c r="D1259" s="92">
        <v>331.18</v>
      </c>
    </row>
    <row r="1260" spans="1:4" s="97" customFormat="1" ht="14.5">
      <c r="A1260" s="94" t="s">
        <v>8047</v>
      </c>
      <c r="B1260" s="94" t="s">
        <v>8046</v>
      </c>
      <c r="C1260" s="93" t="s">
        <v>7814</v>
      </c>
      <c r="D1260" s="92">
        <v>132.09</v>
      </c>
    </row>
    <row r="1261" spans="1:4" s="97" customFormat="1" ht="14.5">
      <c r="A1261" s="94" t="s">
        <v>8045</v>
      </c>
      <c r="B1261" s="94" t="s">
        <v>8044</v>
      </c>
      <c r="C1261" s="93" t="s">
        <v>7814</v>
      </c>
      <c r="D1261" s="92">
        <v>149.78</v>
      </c>
    </row>
    <row r="1262" spans="1:4" s="97" customFormat="1" ht="14.5">
      <c r="A1262" s="94" t="s">
        <v>8043</v>
      </c>
      <c r="B1262" s="94" t="s">
        <v>8042</v>
      </c>
      <c r="C1262" s="93" t="s">
        <v>7814</v>
      </c>
      <c r="D1262" s="92">
        <v>203.21</v>
      </c>
    </row>
    <row r="1263" spans="1:4" s="97" customFormat="1" ht="14.5">
      <c r="A1263" s="94" t="s">
        <v>8041</v>
      </c>
      <c r="B1263" s="94" t="s">
        <v>8040</v>
      </c>
      <c r="C1263" s="93" t="s">
        <v>7814</v>
      </c>
      <c r="D1263" s="92">
        <v>260.3</v>
      </c>
    </row>
    <row r="1264" spans="1:4" s="97" customFormat="1" ht="15" customHeight="1">
      <c r="A1264" s="94" t="s">
        <v>8039</v>
      </c>
      <c r="B1264" s="94" t="s">
        <v>8038</v>
      </c>
      <c r="C1264" s="93" t="s">
        <v>7814</v>
      </c>
      <c r="D1264" s="92">
        <v>273.73</v>
      </c>
    </row>
    <row r="1265" spans="1:4" s="97" customFormat="1" ht="14.5">
      <c r="A1265" s="94" t="s">
        <v>8037</v>
      </c>
      <c r="B1265" s="94" t="s">
        <v>8036</v>
      </c>
      <c r="C1265" s="93" t="s">
        <v>7814</v>
      </c>
      <c r="D1265" s="92">
        <v>347.8</v>
      </c>
    </row>
    <row r="1266" spans="1:4" s="97" customFormat="1" ht="14.5">
      <c r="A1266" s="94" t="s">
        <v>8035</v>
      </c>
      <c r="B1266" s="94" t="s">
        <v>8034</v>
      </c>
      <c r="C1266" s="93" t="s">
        <v>7814</v>
      </c>
      <c r="D1266" s="92">
        <v>122.36</v>
      </c>
    </row>
    <row r="1267" spans="1:4" s="97" customFormat="1" ht="14.5">
      <c r="A1267" s="94" t="s">
        <v>8033</v>
      </c>
      <c r="B1267" s="94" t="s">
        <v>8032</v>
      </c>
      <c r="C1267" s="93" t="s">
        <v>7814</v>
      </c>
      <c r="D1267" s="92">
        <v>276.95999999999998</v>
      </c>
    </row>
    <row r="1268" spans="1:4" s="97" customFormat="1" ht="14.5">
      <c r="A1268" s="94" t="s">
        <v>8031</v>
      </c>
      <c r="B1268" s="94" t="s">
        <v>8030</v>
      </c>
      <c r="C1268" s="93" t="s">
        <v>7814</v>
      </c>
      <c r="D1268" s="92">
        <v>252.52</v>
      </c>
    </row>
    <row r="1269" spans="1:4" s="97" customFormat="1" ht="14.5">
      <c r="A1269" s="94" t="s">
        <v>8029</v>
      </c>
      <c r="B1269" s="94" t="s">
        <v>8028</v>
      </c>
      <c r="C1269" s="93" t="s">
        <v>7814</v>
      </c>
      <c r="D1269" s="92">
        <v>462.73</v>
      </c>
    </row>
    <row r="1270" spans="1:4" s="97" customFormat="1" ht="14.5">
      <c r="A1270" s="94" t="s">
        <v>8027</v>
      </c>
      <c r="B1270" s="94" t="s">
        <v>8026</v>
      </c>
      <c r="C1270" s="93" t="s">
        <v>7814</v>
      </c>
      <c r="D1270" s="92">
        <v>57.69</v>
      </c>
    </row>
    <row r="1271" spans="1:4" ht="14.5">
      <c r="A1271" s="94" t="s">
        <v>8025</v>
      </c>
      <c r="B1271" s="94" t="s">
        <v>8024</v>
      </c>
      <c r="C1271" s="93" t="s">
        <v>7814</v>
      </c>
      <c r="D1271" s="92">
        <v>115.36</v>
      </c>
    </row>
    <row r="1272" spans="1:4" ht="14.5">
      <c r="A1272" s="94" t="s">
        <v>8023</v>
      </c>
      <c r="B1272" s="94" t="s">
        <v>8022</v>
      </c>
      <c r="C1272" s="93" t="s">
        <v>7814</v>
      </c>
      <c r="D1272" s="92">
        <v>173.02</v>
      </c>
    </row>
    <row r="1273" spans="1:4" ht="14.5">
      <c r="A1273" s="94" t="s">
        <v>8021</v>
      </c>
      <c r="B1273" s="94" t="s">
        <v>8020</v>
      </c>
      <c r="C1273" s="93" t="s">
        <v>7814</v>
      </c>
      <c r="D1273" s="92">
        <v>236.18</v>
      </c>
    </row>
    <row r="1274" spans="1:4" ht="14.5">
      <c r="A1274" s="94" t="s">
        <v>8019</v>
      </c>
      <c r="B1274" s="94" t="s">
        <v>8018</v>
      </c>
      <c r="C1274" s="93" t="s">
        <v>7814</v>
      </c>
      <c r="D1274" s="92">
        <v>294.12</v>
      </c>
    </row>
    <row r="1275" spans="1:4" ht="14.5">
      <c r="A1275" s="94" t="s">
        <v>8017</v>
      </c>
      <c r="B1275" s="94" t="s">
        <v>8016</v>
      </c>
      <c r="C1275" s="93" t="s">
        <v>7814</v>
      </c>
      <c r="D1275" s="92">
        <v>352.96</v>
      </c>
    </row>
    <row r="1276" spans="1:4" ht="14.5">
      <c r="A1276" s="94" t="s">
        <v>8015</v>
      </c>
      <c r="B1276" s="94" t="s">
        <v>8014</v>
      </c>
      <c r="C1276" s="93" t="s">
        <v>7814</v>
      </c>
      <c r="D1276" s="92">
        <v>200.79</v>
      </c>
    </row>
    <row r="1277" spans="1:4" ht="14.5">
      <c r="A1277" s="94" t="s">
        <v>8013</v>
      </c>
      <c r="B1277" s="94" t="s">
        <v>8012</v>
      </c>
      <c r="C1277" s="93" t="s">
        <v>7814</v>
      </c>
      <c r="D1277" s="92">
        <v>209.33</v>
      </c>
    </row>
    <row r="1278" spans="1:4" ht="14.5">
      <c r="A1278" s="94" t="s">
        <v>8011</v>
      </c>
      <c r="B1278" s="94" t="s">
        <v>8010</v>
      </c>
      <c r="C1278" s="93" t="s">
        <v>7814</v>
      </c>
      <c r="D1278" s="92">
        <v>695.45</v>
      </c>
    </row>
    <row r="1279" spans="1:4" ht="14.5">
      <c r="A1279" s="94" t="s">
        <v>8009</v>
      </c>
      <c r="B1279" s="94" t="s">
        <v>8008</v>
      </c>
      <c r="C1279" s="93" t="s">
        <v>7814</v>
      </c>
      <c r="D1279" s="92">
        <v>771.17</v>
      </c>
    </row>
    <row r="1280" spans="1:4" ht="14.5">
      <c r="A1280" s="94">
        <v>3450</v>
      </c>
      <c r="B1280" s="94" t="s">
        <v>8007</v>
      </c>
      <c r="C1280" s="93" t="s">
        <v>7814</v>
      </c>
      <c r="D1280" s="92">
        <v>670.69</v>
      </c>
    </row>
    <row r="1281" spans="1:4" ht="14.5">
      <c r="A1281" s="94">
        <v>3955</v>
      </c>
      <c r="B1281" s="94" t="s">
        <v>8006</v>
      </c>
      <c r="C1281" s="93" t="s">
        <v>7814</v>
      </c>
      <c r="D1281" s="92">
        <v>1184.94</v>
      </c>
    </row>
    <row r="1282" spans="1:4" ht="14.5">
      <c r="A1282" s="94" t="s">
        <v>8005</v>
      </c>
      <c r="B1282" s="94" t="s">
        <v>8004</v>
      </c>
      <c r="C1282" s="93" t="s">
        <v>7814</v>
      </c>
      <c r="D1282" s="92">
        <v>31.67</v>
      </c>
    </row>
    <row r="1283" spans="1:4" ht="14.5">
      <c r="A1283" s="94" t="s">
        <v>8003</v>
      </c>
      <c r="B1283" s="94" t="s">
        <v>8002</v>
      </c>
      <c r="C1283" s="93" t="s">
        <v>7814</v>
      </c>
      <c r="D1283" s="92">
        <v>949.34</v>
      </c>
    </row>
    <row r="1284" spans="1:4" ht="14.5">
      <c r="A1284" s="94" t="s">
        <v>8001</v>
      </c>
      <c r="B1284" s="94" t="s">
        <v>8000</v>
      </c>
      <c r="C1284" s="93" t="s">
        <v>7814</v>
      </c>
      <c r="D1284" s="92">
        <v>1388.36</v>
      </c>
    </row>
    <row r="1285" spans="1:4" ht="14.5">
      <c r="A1285" s="94" t="s">
        <v>7999</v>
      </c>
      <c r="B1285" s="94" t="s">
        <v>7998</v>
      </c>
      <c r="C1285" s="93" t="s">
        <v>7814</v>
      </c>
      <c r="D1285" s="92">
        <v>750.17</v>
      </c>
    </row>
    <row r="1286" spans="1:4" ht="14.5">
      <c r="A1286" s="94" t="s">
        <v>7997</v>
      </c>
      <c r="B1286" s="94" t="s">
        <v>7996</v>
      </c>
      <c r="C1286" s="93" t="s">
        <v>7814</v>
      </c>
      <c r="D1286" s="92">
        <v>990.12</v>
      </c>
    </row>
    <row r="1287" spans="1:4" ht="14.5">
      <c r="A1287" s="94" t="s">
        <v>7995</v>
      </c>
      <c r="B1287" s="94" t="s">
        <v>7994</v>
      </c>
      <c r="C1287" s="93" t="s">
        <v>7814</v>
      </c>
      <c r="D1287" s="92">
        <v>805.08</v>
      </c>
    </row>
    <row r="1288" spans="1:4" ht="14.5">
      <c r="A1288" s="94" t="s">
        <v>7993</v>
      </c>
      <c r="B1288" s="94" t="s">
        <v>7992</v>
      </c>
      <c r="C1288" s="93" t="s">
        <v>7814</v>
      </c>
      <c r="D1288" s="92">
        <v>584.62</v>
      </c>
    </row>
    <row r="1289" spans="1:4" ht="14.5">
      <c r="A1289" s="94" t="s">
        <v>7991</v>
      </c>
      <c r="B1289" s="94" t="s">
        <v>7990</v>
      </c>
      <c r="C1289" s="93" t="s">
        <v>7814</v>
      </c>
      <c r="D1289" s="92">
        <v>681.63</v>
      </c>
    </row>
    <row r="1290" spans="1:4" ht="14.5">
      <c r="A1290" s="94" t="s">
        <v>7989</v>
      </c>
      <c r="B1290" s="94" t="s">
        <v>7988</v>
      </c>
      <c r="C1290" s="93" t="s">
        <v>7814</v>
      </c>
      <c r="D1290" s="92">
        <v>681.6</v>
      </c>
    </row>
    <row r="1291" spans="1:4" ht="14.5">
      <c r="A1291" s="94" t="s">
        <v>7987</v>
      </c>
      <c r="B1291" s="94" t="s">
        <v>7986</v>
      </c>
      <c r="C1291" s="93" t="s">
        <v>7814</v>
      </c>
      <c r="D1291" s="92">
        <v>646.09</v>
      </c>
    </row>
    <row r="1292" spans="1:4" ht="15" customHeight="1">
      <c r="A1292" s="94" t="s">
        <v>7985</v>
      </c>
      <c r="B1292" s="94" t="s">
        <v>7984</v>
      </c>
      <c r="C1292" s="93" t="s">
        <v>7814</v>
      </c>
      <c r="D1292" s="92">
        <v>430.4</v>
      </c>
    </row>
    <row r="1293" spans="1:4" ht="14.5">
      <c r="A1293" s="94" t="s">
        <v>7983</v>
      </c>
      <c r="B1293" s="94" t="s">
        <v>7982</v>
      </c>
      <c r="C1293" s="93" t="s">
        <v>7814</v>
      </c>
      <c r="D1293" s="92">
        <v>430.42</v>
      </c>
    </row>
    <row r="1294" spans="1:4" ht="14.5">
      <c r="A1294" s="94" t="s">
        <v>7981</v>
      </c>
      <c r="B1294" s="94" t="s">
        <v>7980</v>
      </c>
      <c r="C1294" s="93" t="s">
        <v>7814</v>
      </c>
      <c r="D1294" s="92">
        <v>430.42</v>
      </c>
    </row>
    <row r="1295" spans="1:4" ht="14.5">
      <c r="A1295" s="94" t="s">
        <v>7979</v>
      </c>
      <c r="B1295" s="94" t="s">
        <v>7978</v>
      </c>
      <c r="C1295" s="93" t="s">
        <v>7814</v>
      </c>
      <c r="D1295" s="92">
        <v>430.44</v>
      </c>
    </row>
    <row r="1296" spans="1:4" ht="14.5">
      <c r="A1296" s="94" t="s">
        <v>7977</v>
      </c>
      <c r="B1296" s="94" t="s">
        <v>7976</v>
      </c>
      <c r="C1296" s="93" t="s">
        <v>7814</v>
      </c>
      <c r="D1296" s="92">
        <v>430.39</v>
      </c>
    </row>
    <row r="1297" spans="1:4" ht="14.5">
      <c r="A1297" s="94" t="s">
        <v>7975</v>
      </c>
      <c r="B1297" s="94" t="s">
        <v>7974</v>
      </c>
      <c r="C1297" s="93" t="s">
        <v>7814</v>
      </c>
      <c r="D1297" s="92">
        <v>482.34</v>
      </c>
    </row>
    <row r="1298" spans="1:4" ht="14.5">
      <c r="A1298" s="94" t="s">
        <v>7973</v>
      </c>
      <c r="B1298" s="94" t="s">
        <v>7972</v>
      </c>
      <c r="C1298" s="93" t="s">
        <v>7814</v>
      </c>
      <c r="D1298" s="92">
        <v>430.39</v>
      </c>
    </row>
    <row r="1299" spans="1:4" ht="14.5">
      <c r="A1299" s="94" t="s">
        <v>7971</v>
      </c>
      <c r="B1299" s="94" t="s">
        <v>7970</v>
      </c>
      <c r="C1299" s="93" t="s">
        <v>7814</v>
      </c>
      <c r="D1299" s="92">
        <v>430.22</v>
      </c>
    </row>
    <row r="1300" spans="1:4" ht="14.5">
      <c r="A1300" s="94" t="s">
        <v>7969</v>
      </c>
      <c r="B1300" s="94" t="s">
        <v>7968</v>
      </c>
      <c r="C1300" s="93" t="s">
        <v>7814</v>
      </c>
      <c r="D1300" s="92">
        <v>430.22</v>
      </c>
    </row>
    <row r="1301" spans="1:4" ht="14.5">
      <c r="A1301" s="94" t="s">
        <v>7967</v>
      </c>
      <c r="B1301" s="94" t="s">
        <v>7966</v>
      </c>
      <c r="C1301" s="93" t="s">
        <v>7814</v>
      </c>
      <c r="D1301" s="92">
        <v>430.39</v>
      </c>
    </row>
    <row r="1302" spans="1:4" ht="14.5">
      <c r="A1302" s="94" t="s">
        <v>7965</v>
      </c>
      <c r="B1302" s="94" t="s">
        <v>7964</v>
      </c>
      <c r="C1302" s="93" t="s">
        <v>7814</v>
      </c>
      <c r="D1302" s="92">
        <v>430.58</v>
      </c>
    </row>
    <row r="1303" spans="1:4" ht="14.5">
      <c r="A1303" s="94" t="s">
        <v>7963</v>
      </c>
      <c r="B1303" s="94" t="s">
        <v>7962</v>
      </c>
      <c r="C1303" s="93" t="s">
        <v>7814</v>
      </c>
      <c r="D1303" s="92">
        <v>431.98</v>
      </c>
    </row>
    <row r="1304" spans="1:4" ht="14.5">
      <c r="A1304" s="94" t="s">
        <v>7961</v>
      </c>
      <c r="B1304" s="94" t="s">
        <v>7960</v>
      </c>
      <c r="C1304" s="93" t="s">
        <v>7814</v>
      </c>
      <c r="D1304" s="92">
        <v>430.67</v>
      </c>
    </row>
    <row r="1305" spans="1:4" ht="14.5">
      <c r="A1305" s="94" t="s">
        <v>7959</v>
      </c>
      <c r="B1305" s="94" t="s">
        <v>7958</v>
      </c>
      <c r="C1305" s="93" t="s">
        <v>7814</v>
      </c>
      <c r="D1305" s="92">
        <v>353.94</v>
      </c>
    </row>
    <row r="1306" spans="1:4" ht="14.5">
      <c r="A1306" s="94" t="s">
        <v>7957</v>
      </c>
      <c r="B1306" s="94" t="s">
        <v>7956</v>
      </c>
      <c r="C1306" s="93" t="s">
        <v>7814</v>
      </c>
      <c r="D1306" s="92">
        <v>450.8</v>
      </c>
    </row>
    <row r="1307" spans="1:4" ht="14.5">
      <c r="A1307" s="94" t="s">
        <v>7955</v>
      </c>
      <c r="B1307" s="94" t="s">
        <v>7954</v>
      </c>
      <c r="C1307" s="93" t="s">
        <v>7814</v>
      </c>
      <c r="D1307" s="92">
        <v>450.98</v>
      </c>
    </row>
    <row r="1308" spans="1:4" ht="14.5">
      <c r="A1308" s="94" t="s">
        <v>7953</v>
      </c>
      <c r="B1308" s="94" t="s">
        <v>7952</v>
      </c>
      <c r="C1308" s="93" t="s">
        <v>7814</v>
      </c>
      <c r="D1308" s="92">
        <v>451.41</v>
      </c>
    </row>
    <row r="1309" spans="1:4" ht="14.5">
      <c r="A1309" s="94" t="s">
        <v>7951</v>
      </c>
      <c r="B1309" s="94" t="s">
        <v>7950</v>
      </c>
      <c r="C1309" s="93" t="s">
        <v>7814</v>
      </c>
      <c r="D1309" s="92">
        <v>450.8</v>
      </c>
    </row>
    <row r="1310" spans="1:4" ht="14.5">
      <c r="A1310" s="94" t="s">
        <v>7949</v>
      </c>
      <c r="B1310" s="94" t="s">
        <v>7948</v>
      </c>
      <c r="C1310" s="93" t="s">
        <v>7814</v>
      </c>
      <c r="D1310" s="92">
        <v>450.8</v>
      </c>
    </row>
    <row r="1311" spans="1:4" ht="14.5">
      <c r="A1311" s="94" t="s">
        <v>7947</v>
      </c>
      <c r="B1311" s="94" t="s">
        <v>7946</v>
      </c>
      <c r="C1311" s="93" t="s">
        <v>7814</v>
      </c>
      <c r="D1311" s="92">
        <v>450.99</v>
      </c>
    </row>
    <row r="1312" spans="1:4" ht="15" customHeight="1">
      <c r="A1312" s="94" t="s">
        <v>7945</v>
      </c>
      <c r="B1312" s="94" t="s">
        <v>7944</v>
      </c>
      <c r="C1312" s="93" t="s">
        <v>7814</v>
      </c>
      <c r="D1312" s="92">
        <v>452.56</v>
      </c>
    </row>
    <row r="1313" spans="1:4" ht="14.5">
      <c r="A1313" s="94" t="s">
        <v>7943</v>
      </c>
      <c r="B1313" s="94" t="s">
        <v>7942</v>
      </c>
      <c r="C1313" s="93" t="s">
        <v>7814</v>
      </c>
      <c r="D1313" s="92">
        <v>451.59</v>
      </c>
    </row>
    <row r="1314" spans="1:4" ht="14.5">
      <c r="A1314" s="94" t="s">
        <v>7941</v>
      </c>
      <c r="B1314" s="94" t="s">
        <v>7940</v>
      </c>
      <c r="C1314" s="93" t="s">
        <v>7814</v>
      </c>
      <c r="D1314" s="92">
        <v>451.13</v>
      </c>
    </row>
    <row r="1315" spans="1:4" ht="14.5">
      <c r="A1315" s="94" t="s">
        <v>7939</v>
      </c>
      <c r="B1315" s="94" t="s">
        <v>7938</v>
      </c>
      <c r="C1315" s="93" t="s">
        <v>7814</v>
      </c>
      <c r="D1315" s="92">
        <v>379.18</v>
      </c>
    </row>
    <row r="1316" spans="1:4" ht="14.5">
      <c r="A1316" s="94" t="s">
        <v>7937</v>
      </c>
      <c r="B1316" s="94" t="s">
        <v>7936</v>
      </c>
      <c r="C1316" s="93" t="s">
        <v>7814</v>
      </c>
      <c r="D1316" s="92">
        <v>4363.5200000000004</v>
      </c>
    </row>
    <row r="1317" spans="1:4" ht="14.5">
      <c r="A1317" s="96" t="s">
        <v>7935</v>
      </c>
      <c r="B1317" s="94" t="s">
        <v>7934</v>
      </c>
      <c r="C1317" s="93" t="s">
        <v>7814</v>
      </c>
      <c r="D1317" s="92">
        <v>2100.62</v>
      </c>
    </row>
    <row r="1318" spans="1:4" ht="14.5">
      <c r="A1318" s="96" t="s">
        <v>7933</v>
      </c>
      <c r="B1318" s="94" t="s">
        <v>7932</v>
      </c>
      <c r="C1318" s="93" t="s">
        <v>7814</v>
      </c>
      <c r="D1318" s="92">
        <v>2740</v>
      </c>
    </row>
    <row r="1319" spans="1:4" ht="14.5">
      <c r="A1319" s="94" t="s">
        <v>7931</v>
      </c>
      <c r="B1319" s="94" t="s">
        <v>7930</v>
      </c>
      <c r="C1319" s="93" t="s">
        <v>7829</v>
      </c>
      <c r="D1319" s="92">
        <v>13.1</v>
      </c>
    </row>
    <row r="1320" spans="1:4" ht="14.5">
      <c r="A1320" s="94" t="s">
        <v>7929</v>
      </c>
      <c r="B1320" s="94" t="s">
        <v>7928</v>
      </c>
      <c r="C1320" s="93" t="s">
        <v>7829</v>
      </c>
      <c r="D1320" s="92">
        <v>202.4</v>
      </c>
    </row>
    <row r="1321" spans="1:4" ht="14.5">
      <c r="A1321" s="94" t="s">
        <v>7927</v>
      </c>
      <c r="B1321" s="94" t="s">
        <v>7926</v>
      </c>
      <c r="C1321" s="93" t="s">
        <v>7829</v>
      </c>
      <c r="D1321" s="92">
        <v>117.88</v>
      </c>
    </row>
    <row r="1322" spans="1:4" ht="14.5">
      <c r="A1322" s="94" t="s">
        <v>7925</v>
      </c>
      <c r="B1322" s="94" t="s">
        <v>7924</v>
      </c>
      <c r="C1322" s="93" t="s">
        <v>7829</v>
      </c>
      <c r="D1322" s="92">
        <v>158.06</v>
      </c>
    </row>
    <row r="1323" spans="1:4" ht="14.5">
      <c r="A1323" s="94" t="s">
        <v>7923</v>
      </c>
      <c r="B1323" s="94" t="s">
        <v>7922</v>
      </c>
      <c r="C1323" s="93" t="s">
        <v>7829</v>
      </c>
      <c r="D1323" s="92">
        <v>164.29</v>
      </c>
    </row>
    <row r="1324" spans="1:4" ht="14.5">
      <c r="A1324" s="94" t="s">
        <v>7921</v>
      </c>
      <c r="B1324" s="94" t="s">
        <v>7920</v>
      </c>
      <c r="C1324" s="93" t="s">
        <v>7829</v>
      </c>
      <c r="D1324" s="92">
        <v>30.29</v>
      </c>
    </row>
    <row r="1325" spans="1:4" ht="14.5">
      <c r="A1325" s="94" t="s">
        <v>7919</v>
      </c>
      <c r="B1325" s="94" t="s">
        <v>7918</v>
      </c>
      <c r="C1325" s="93" t="s">
        <v>7829</v>
      </c>
      <c r="D1325" s="92">
        <v>16.899999999999999</v>
      </c>
    </row>
    <row r="1326" spans="1:4" ht="14.5">
      <c r="A1326" s="94" t="s">
        <v>7917</v>
      </c>
      <c r="B1326" s="94" t="s">
        <v>7916</v>
      </c>
      <c r="C1326" s="93" t="s">
        <v>7829</v>
      </c>
      <c r="D1326" s="92">
        <v>169.98</v>
      </c>
    </row>
    <row r="1327" spans="1:4" ht="14.5">
      <c r="A1327" s="94" t="s">
        <v>7915</v>
      </c>
      <c r="B1327" s="94" t="s">
        <v>7914</v>
      </c>
      <c r="C1327" s="93" t="s">
        <v>7829</v>
      </c>
      <c r="D1327" s="92">
        <v>145.44</v>
      </c>
    </row>
    <row r="1328" spans="1:4" ht="14.5">
      <c r="A1328" s="94" t="s">
        <v>7913</v>
      </c>
      <c r="B1328" s="94" t="s">
        <v>7912</v>
      </c>
      <c r="C1328" s="93" t="s">
        <v>7829</v>
      </c>
      <c r="D1328" s="92">
        <v>27.54</v>
      </c>
    </row>
    <row r="1329" spans="1:4" ht="15" customHeight="1">
      <c r="A1329" s="95" t="s">
        <v>7911</v>
      </c>
      <c r="B1329" s="94" t="s">
        <v>7910</v>
      </c>
      <c r="C1329" s="93" t="s">
        <v>7814</v>
      </c>
      <c r="D1329" s="92">
        <v>484.61</v>
      </c>
    </row>
    <row r="1330" spans="1:4" ht="14.5">
      <c r="A1330" s="94" t="s">
        <v>7909</v>
      </c>
      <c r="B1330" s="94" t="s">
        <v>7908</v>
      </c>
      <c r="C1330" s="93" t="s">
        <v>7829</v>
      </c>
      <c r="D1330" s="92">
        <v>432.52</v>
      </c>
    </row>
    <row r="1331" spans="1:4" ht="14.5">
      <c r="A1331" s="94" t="s">
        <v>7907</v>
      </c>
      <c r="B1331" s="94" t="s">
        <v>7906</v>
      </c>
      <c r="C1331" s="93" t="s">
        <v>7829</v>
      </c>
      <c r="D1331" s="92">
        <v>432.84</v>
      </c>
    </row>
    <row r="1332" spans="1:4" ht="14.5">
      <c r="A1332" s="95" t="s">
        <v>7905</v>
      </c>
      <c r="B1332" s="94" t="s">
        <v>7904</v>
      </c>
      <c r="C1332" s="93" t="s">
        <v>7829</v>
      </c>
      <c r="D1332" s="92">
        <v>60.34</v>
      </c>
    </row>
    <row r="1333" spans="1:4" ht="14.5">
      <c r="A1333" s="94" t="s">
        <v>7903</v>
      </c>
      <c r="B1333" s="94" t="s">
        <v>7902</v>
      </c>
      <c r="C1333" s="93" t="s">
        <v>7829</v>
      </c>
      <c r="D1333" s="92">
        <v>170.64</v>
      </c>
    </row>
    <row r="1334" spans="1:4" ht="14.5">
      <c r="A1334" s="94" t="s">
        <v>7901</v>
      </c>
      <c r="B1334" s="94" t="s">
        <v>7900</v>
      </c>
      <c r="C1334" s="93" t="s">
        <v>7829</v>
      </c>
      <c r="D1334" s="92">
        <v>69.06</v>
      </c>
    </row>
    <row r="1335" spans="1:4" ht="14.5">
      <c r="A1335" s="94" t="s">
        <v>7899</v>
      </c>
      <c r="B1335" s="94" t="s">
        <v>7898</v>
      </c>
      <c r="C1335" s="93" t="s">
        <v>7814</v>
      </c>
      <c r="D1335" s="92">
        <v>1087.3499999999999</v>
      </c>
    </row>
    <row r="1336" spans="1:4" ht="14.5">
      <c r="A1336" s="94" t="s">
        <v>7897</v>
      </c>
      <c r="B1336" s="94" t="s">
        <v>7896</v>
      </c>
      <c r="C1336" s="93" t="s">
        <v>7814</v>
      </c>
      <c r="D1336" s="92">
        <v>372.48</v>
      </c>
    </row>
    <row r="1337" spans="1:4" ht="14.5">
      <c r="A1337" s="94" t="s">
        <v>7895</v>
      </c>
      <c r="B1337" s="94" t="s">
        <v>7894</v>
      </c>
      <c r="C1337" s="93" t="s">
        <v>7814</v>
      </c>
      <c r="D1337" s="92">
        <v>373.02</v>
      </c>
    </row>
    <row r="1338" spans="1:4" ht="14.5">
      <c r="A1338" s="94" t="s">
        <v>7893</v>
      </c>
      <c r="B1338" s="94" t="s">
        <v>7892</v>
      </c>
      <c r="C1338" s="93" t="s">
        <v>7814</v>
      </c>
      <c r="D1338" s="92">
        <v>416.37</v>
      </c>
    </row>
    <row r="1339" spans="1:4" ht="14.5">
      <c r="A1339" s="94" t="s">
        <v>7891</v>
      </c>
      <c r="B1339" s="94" t="s">
        <v>7890</v>
      </c>
      <c r="C1339" s="93" t="s">
        <v>7814</v>
      </c>
      <c r="D1339" s="92">
        <v>212.58</v>
      </c>
    </row>
    <row r="1340" spans="1:4" ht="14.5">
      <c r="A1340" s="94" t="s">
        <v>7889</v>
      </c>
      <c r="B1340" s="94" t="s">
        <v>7888</v>
      </c>
      <c r="C1340" s="93" t="s">
        <v>7814</v>
      </c>
      <c r="D1340" s="92">
        <v>204.88</v>
      </c>
    </row>
    <row r="1341" spans="1:4" ht="14.5">
      <c r="A1341" s="95" t="s">
        <v>7887</v>
      </c>
      <c r="B1341" s="94" t="s">
        <v>7886</v>
      </c>
      <c r="C1341" s="93" t="s">
        <v>7873</v>
      </c>
      <c r="D1341" s="92">
        <v>1491.58</v>
      </c>
    </row>
    <row r="1342" spans="1:4" ht="14.5">
      <c r="A1342" s="95" t="s">
        <v>7885</v>
      </c>
      <c r="B1342" s="94" t="s">
        <v>7884</v>
      </c>
      <c r="C1342" s="93" t="s">
        <v>7873</v>
      </c>
      <c r="D1342" s="92">
        <v>1491.62</v>
      </c>
    </row>
    <row r="1343" spans="1:4" ht="14.5">
      <c r="A1343" s="95" t="s">
        <v>7883</v>
      </c>
      <c r="B1343" s="94" t="s">
        <v>7882</v>
      </c>
      <c r="C1343" s="93" t="s">
        <v>7873</v>
      </c>
      <c r="D1343" s="92">
        <v>1052.25</v>
      </c>
    </row>
    <row r="1344" spans="1:4" ht="14.5">
      <c r="A1344" s="95" t="s">
        <v>7881</v>
      </c>
      <c r="B1344" s="94" t="s">
        <v>7880</v>
      </c>
      <c r="C1344" s="93" t="s">
        <v>7873</v>
      </c>
      <c r="D1344" s="92">
        <v>526.25</v>
      </c>
    </row>
    <row r="1345" spans="1:4" ht="14.5">
      <c r="A1345" s="95" t="s">
        <v>7879</v>
      </c>
      <c r="B1345" s="94" t="s">
        <v>7878</v>
      </c>
      <c r="C1345" s="93" t="s">
        <v>7873</v>
      </c>
      <c r="D1345" s="92">
        <v>1318.25</v>
      </c>
    </row>
    <row r="1346" spans="1:4" ht="14.5">
      <c r="A1346" s="95" t="s">
        <v>7877</v>
      </c>
      <c r="B1346" s="94" t="s">
        <v>7876</v>
      </c>
      <c r="C1346" s="93" t="s">
        <v>7873</v>
      </c>
      <c r="D1346" s="92">
        <v>965.58</v>
      </c>
    </row>
    <row r="1347" spans="1:4" ht="14.5">
      <c r="A1347" s="95" t="s">
        <v>7875</v>
      </c>
      <c r="B1347" s="94" t="s">
        <v>7874</v>
      </c>
      <c r="C1347" s="93" t="s">
        <v>7873</v>
      </c>
      <c r="D1347" s="92">
        <v>482.67</v>
      </c>
    </row>
    <row r="1348" spans="1:4" ht="14.5">
      <c r="A1348" s="94" t="s">
        <v>7872</v>
      </c>
      <c r="B1348" s="94" t="s">
        <v>7871</v>
      </c>
      <c r="C1348" s="93" t="s">
        <v>7814</v>
      </c>
      <c r="D1348" s="92">
        <v>26.34</v>
      </c>
    </row>
    <row r="1349" spans="1:4" ht="14.5">
      <c r="A1349" s="94" t="s">
        <v>7870</v>
      </c>
      <c r="B1349" s="94" t="s">
        <v>7869</v>
      </c>
      <c r="C1349" s="93" t="s">
        <v>7829</v>
      </c>
      <c r="D1349" s="92">
        <v>100.11</v>
      </c>
    </row>
    <row r="1350" spans="1:4" ht="14.5">
      <c r="A1350" s="94" t="s">
        <v>7868</v>
      </c>
      <c r="B1350" s="94" t="s">
        <v>7867</v>
      </c>
      <c r="C1350" s="93" t="s">
        <v>7829</v>
      </c>
      <c r="D1350" s="92">
        <v>109.05</v>
      </c>
    </row>
    <row r="1351" spans="1:4" ht="14.5">
      <c r="A1351" s="94" t="s">
        <v>7866</v>
      </c>
      <c r="B1351" s="94" t="s">
        <v>7865</v>
      </c>
      <c r="C1351" s="93" t="s">
        <v>7814</v>
      </c>
      <c r="D1351" s="92">
        <v>730.47</v>
      </c>
    </row>
    <row r="1352" spans="1:4" ht="14.5">
      <c r="A1352" s="94" t="s">
        <v>7864</v>
      </c>
      <c r="B1352" s="94" t="s">
        <v>7863</v>
      </c>
      <c r="C1352" s="93" t="s">
        <v>7814</v>
      </c>
      <c r="D1352" s="92">
        <v>982.52</v>
      </c>
    </row>
    <row r="1353" spans="1:4" ht="14.5">
      <c r="A1353" s="96" t="s">
        <v>7862</v>
      </c>
      <c r="B1353" s="94" t="s">
        <v>7861</v>
      </c>
      <c r="C1353" s="93" t="s">
        <v>7814</v>
      </c>
      <c r="D1353" s="92">
        <v>375.92</v>
      </c>
    </row>
    <row r="1354" spans="1:4" ht="14.5">
      <c r="A1354" s="95" t="s">
        <v>7860</v>
      </c>
      <c r="B1354" s="94" t="s">
        <v>7859</v>
      </c>
      <c r="C1354" s="93" t="s">
        <v>7814</v>
      </c>
      <c r="D1354" s="92">
        <v>143.87</v>
      </c>
    </row>
    <row r="1355" spans="1:4" ht="14.5">
      <c r="A1355" s="94" t="s">
        <v>7858</v>
      </c>
      <c r="B1355" s="94" t="s">
        <v>7857</v>
      </c>
      <c r="C1355" s="93" t="s">
        <v>7814</v>
      </c>
      <c r="D1355" s="92">
        <v>72.650000000000006</v>
      </c>
    </row>
    <row r="1356" spans="1:4" ht="14.5">
      <c r="A1356" s="95" t="s">
        <v>7856</v>
      </c>
      <c r="B1356" s="94" t="s">
        <v>7855</v>
      </c>
      <c r="C1356" s="93" t="s">
        <v>7814</v>
      </c>
      <c r="D1356" s="92">
        <v>137.38</v>
      </c>
    </row>
    <row r="1357" spans="1:4" ht="14.5">
      <c r="A1357" s="95" t="s">
        <v>7854</v>
      </c>
      <c r="B1357" s="94" t="s">
        <v>7853</v>
      </c>
      <c r="C1357" s="93" t="s">
        <v>7814</v>
      </c>
      <c r="D1357" s="92">
        <v>143.87</v>
      </c>
    </row>
    <row r="1358" spans="1:4" ht="14.5">
      <c r="A1358" s="94" t="s">
        <v>7852</v>
      </c>
      <c r="B1358" s="94" t="s">
        <v>7851</v>
      </c>
      <c r="C1358" s="93" t="s">
        <v>7814</v>
      </c>
      <c r="D1358" s="92">
        <v>72.650000000000006</v>
      </c>
    </row>
    <row r="1359" spans="1:4" ht="14.5">
      <c r="A1359" s="95" t="s">
        <v>7850</v>
      </c>
      <c r="B1359" s="94" t="s">
        <v>7849</v>
      </c>
      <c r="C1359" s="93" t="s">
        <v>7814</v>
      </c>
      <c r="D1359" s="92">
        <v>137.38</v>
      </c>
    </row>
    <row r="1360" spans="1:4" ht="14.5">
      <c r="A1360" s="94" t="s">
        <v>7848</v>
      </c>
      <c r="B1360" s="94" t="s">
        <v>7847</v>
      </c>
      <c r="C1360" s="93" t="s">
        <v>7814</v>
      </c>
      <c r="D1360" s="92">
        <v>426.77</v>
      </c>
    </row>
    <row r="1361" spans="1:4" ht="14.5">
      <c r="A1361" s="94" t="s">
        <v>7846</v>
      </c>
      <c r="B1361" s="94" t="s">
        <v>7845</v>
      </c>
      <c r="C1361" s="93" t="s">
        <v>7829</v>
      </c>
      <c r="D1361" s="92">
        <v>20.05</v>
      </c>
    </row>
    <row r="1362" spans="1:4" ht="14.5">
      <c r="A1362" s="94" t="s">
        <v>7844</v>
      </c>
      <c r="B1362" s="94" t="s">
        <v>7843</v>
      </c>
      <c r="C1362" s="93" t="s">
        <v>7829</v>
      </c>
      <c r="D1362" s="92">
        <v>186.7</v>
      </c>
    </row>
    <row r="1363" spans="1:4" ht="14.5">
      <c r="A1363" s="94" t="s">
        <v>7842</v>
      </c>
      <c r="B1363" s="94" t="s">
        <v>7841</v>
      </c>
      <c r="C1363" s="93" t="s">
        <v>7840</v>
      </c>
      <c r="D1363" s="92">
        <v>343.45</v>
      </c>
    </row>
    <row r="1364" spans="1:4" ht="14.5">
      <c r="A1364" s="94" t="s">
        <v>7839</v>
      </c>
      <c r="B1364" s="94" t="s">
        <v>7838</v>
      </c>
      <c r="C1364" s="93" t="s">
        <v>7829</v>
      </c>
      <c r="D1364" s="92">
        <v>32.07</v>
      </c>
    </row>
    <row r="1365" spans="1:4" ht="14.5">
      <c r="A1365" s="94" t="s">
        <v>7837</v>
      </c>
      <c r="B1365" s="94" t="s">
        <v>7836</v>
      </c>
      <c r="C1365" s="93" t="s">
        <v>7829</v>
      </c>
      <c r="D1365" s="92">
        <v>122.1</v>
      </c>
    </row>
    <row r="1366" spans="1:4" ht="14.5">
      <c r="A1366" s="95" t="s">
        <v>7835</v>
      </c>
      <c r="B1366" s="94" t="s">
        <v>7834</v>
      </c>
      <c r="C1366" s="93" t="s">
        <v>7814</v>
      </c>
      <c r="D1366" s="92">
        <v>1735.97</v>
      </c>
    </row>
    <row r="1367" spans="1:4" ht="14.5">
      <c r="A1367" s="94" t="s">
        <v>7833</v>
      </c>
      <c r="B1367" s="94" t="s">
        <v>7832</v>
      </c>
      <c r="C1367" s="93" t="s">
        <v>7829</v>
      </c>
      <c r="D1367" s="92">
        <v>92.44</v>
      </c>
    </row>
    <row r="1368" spans="1:4" ht="14.5">
      <c r="A1368" s="94" t="s">
        <v>7831</v>
      </c>
      <c r="B1368" s="94" t="s">
        <v>7830</v>
      </c>
      <c r="C1368" s="93" t="s">
        <v>7829</v>
      </c>
      <c r="D1368" s="92">
        <v>584.49</v>
      </c>
    </row>
    <row r="1369" spans="1:4" ht="14.5">
      <c r="A1369" s="94" t="s">
        <v>7828</v>
      </c>
      <c r="B1369" s="94" t="s">
        <v>7827</v>
      </c>
      <c r="C1369" s="93" t="s">
        <v>7814</v>
      </c>
      <c r="D1369" s="92">
        <v>584.21</v>
      </c>
    </row>
    <row r="1370" spans="1:4" ht="14.5">
      <c r="A1370" s="94" t="s">
        <v>7826</v>
      </c>
      <c r="B1370" s="94" t="s">
        <v>7825</v>
      </c>
      <c r="C1370" s="93" t="s">
        <v>7814</v>
      </c>
      <c r="D1370" s="92">
        <v>584.49</v>
      </c>
    </row>
    <row r="1371" spans="1:4" ht="14.5">
      <c r="A1371" s="94" t="s">
        <v>7824</v>
      </c>
      <c r="B1371" s="94" t="s">
        <v>7823</v>
      </c>
      <c r="C1371" s="93" t="s">
        <v>7814</v>
      </c>
      <c r="D1371" s="92">
        <v>1735.03</v>
      </c>
    </row>
    <row r="1372" spans="1:4" ht="14.5">
      <c r="A1372" s="94" t="s">
        <v>7822</v>
      </c>
      <c r="B1372" s="94" t="s">
        <v>7821</v>
      </c>
      <c r="C1372" s="93" t="s">
        <v>7814</v>
      </c>
      <c r="D1372" s="92">
        <v>1738.88</v>
      </c>
    </row>
    <row r="1373" spans="1:4" ht="14.5">
      <c r="A1373" s="94" t="s">
        <v>7820</v>
      </c>
      <c r="B1373" s="94" t="s">
        <v>7819</v>
      </c>
      <c r="C1373" s="93" t="s">
        <v>7814</v>
      </c>
      <c r="D1373" s="92">
        <v>2314.1</v>
      </c>
    </row>
    <row r="1374" spans="1:4" ht="14.5">
      <c r="A1374" s="94" t="s">
        <v>7818</v>
      </c>
      <c r="B1374" s="94" t="s">
        <v>7817</v>
      </c>
      <c r="C1374" s="93" t="s">
        <v>7814</v>
      </c>
      <c r="D1374" s="92">
        <v>2313.16</v>
      </c>
    </row>
    <row r="1375" spans="1:4" ht="14.5">
      <c r="A1375" s="120" t="s">
        <v>7816</v>
      </c>
      <c r="B1375" s="94" t="s">
        <v>7815</v>
      </c>
      <c r="C1375" s="93" t="s">
        <v>7814</v>
      </c>
      <c r="D1375" s="92">
        <v>2316.9899999999998</v>
      </c>
    </row>
    <row r="1376" spans="1:4" ht="14.5">
      <c r="A1376" s="94"/>
      <c r="B1376" s="94"/>
      <c r="C1376" s="93"/>
      <c r="D1376" s="92"/>
    </row>
  </sheetData>
  <autoFilter ref="A6:D1376" xr:uid="{00000000-0001-0000-0100-000000000000}"/>
  <conditionalFormatting sqref="A1:A1048576">
    <cfRule type="duplicateValues" dxfId="206" priority="1"/>
  </conditionalFormatting>
  <conditionalFormatting sqref="A1377:A1048576 A1:A1351">
    <cfRule type="duplicateValues" dxfId="205" priority="2"/>
  </conditionalFormatting>
  <pageMargins left="0.25" right="0.25" top="0.25" bottom="0.5" header="0.3" footer="0.3"/>
  <pageSetup scale="96" fitToHeight="0" orientation="portrait" r:id="rId1"/>
  <headerFooter>
    <oddFooter>&amp;F</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59068-AAC4-4370-9358-9C068973CB62}">
  <sheetPr codeName="Sheet8">
    <tabColor theme="2" tint="-9.9978637043366805E-2"/>
    <pageSetUpPr fitToPage="1"/>
  </sheetPr>
  <dimension ref="A1:C1308"/>
  <sheetViews>
    <sheetView view="pageBreakPreview" zoomScale="80" zoomScaleNormal="80" zoomScaleSheetLayoutView="80" workbookViewId="0">
      <pane ySplit="2" topLeftCell="A3" activePane="bottomLeft" state="frozen"/>
      <selection activeCell="C8" sqref="C8"/>
      <selection pane="bottomLeft" activeCell="C8" sqref="C8"/>
    </sheetView>
  </sheetViews>
  <sheetFormatPr defaultColWidth="9.1796875" defaultRowHeight="29.5" customHeight="1"/>
  <cols>
    <col min="1" max="1" width="20" style="121" bestFit="1" customWidth="1"/>
    <col min="2" max="2" width="47.453125" style="121" bestFit="1" customWidth="1"/>
    <col min="3" max="3" width="13.26953125" style="122" customWidth="1"/>
    <col min="4" max="16384" width="9.1796875" style="121"/>
  </cols>
  <sheetData>
    <row r="1" spans="1:3" s="87" customFormat="1" ht="75" customHeight="1">
      <c r="A1" s="130"/>
      <c r="B1" s="129" t="s">
        <v>13078</v>
      </c>
      <c r="C1" s="128"/>
    </row>
    <row r="2" spans="1:3" s="87" customFormat="1" ht="29.5" customHeight="1">
      <c r="A2" s="111" t="s">
        <v>10533</v>
      </c>
      <c r="B2" s="127" t="s">
        <v>1</v>
      </c>
      <c r="C2" s="108" t="s">
        <v>10531</v>
      </c>
    </row>
    <row r="3" spans="1:3" s="124" customFormat="1" ht="13.5" customHeight="1">
      <c r="A3" s="95" t="s">
        <v>13077</v>
      </c>
      <c r="B3" s="123" t="s">
        <v>8833</v>
      </c>
      <c r="C3" s="92">
        <v>1880.07</v>
      </c>
    </row>
    <row r="4" spans="1:3" s="124" customFormat="1" ht="13.5" customHeight="1">
      <c r="A4" s="125" t="s">
        <v>13076</v>
      </c>
      <c r="B4" s="123" t="s">
        <v>8833</v>
      </c>
      <c r="C4" s="92">
        <v>2205.6</v>
      </c>
    </row>
    <row r="5" spans="1:3" s="124" customFormat="1" ht="13.5" customHeight="1">
      <c r="A5" s="125" t="s">
        <v>13075</v>
      </c>
      <c r="B5" s="123" t="s">
        <v>8830</v>
      </c>
      <c r="C5" s="92">
        <v>2299.8200000000002</v>
      </c>
    </row>
    <row r="6" spans="1:3" s="124" customFormat="1" ht="13.5" customHeight="1">
      <c r="A6" s="125" t="s">
        <v>13074</v>
      </c>
      <c r="B6" s="123" t="s">
        <v>8830</v>
      </c>
      <c r="C6" s="92">
        <v>3300.84</v>
      </c>
    </row>
    <row r="7" spans="1:3" s="124" customFormat="1" ht="13.5" customHeight="1">
      <c r="A7" s="94" t="s">
        <v>13073</v>
      </c>
      <c r="B7" s="123" t="s">
        <v>8839</v>
      </c>
      <c r="C7" s="92">
        <v>1031.55</v>
      </c>
    </row>
    <row r="8" spans="1:3" s="124" customFormat="1" ht="13.5" customHeight="1">
      <c r="A8" s="94" t="s">
        <v>13072</v>
      </c>
      <c r="B8" s="123" t="s">
        <v>8833</v>
      </c>
      <c r="C8" s="92">
        <v>3436.36</v>
      </c>
    </row>
    <row r="9" spans="1:3" s="124" customFormat="1" ht="13.5" customHeight="1">
      <c r="A9" s="94" t="s">
        <v>13071</v>
      </c>
      <c r="B9" s="123" t="s">
        <v>8830</v>
      </c>
      <c r="C9" s="92">
        <v>2348.31</v>
      </c>
    </row>
    <row r="10" spans="1:3" s="124" customFormat="1" ht="13.5" customHeight="1">
      <c r="A10" s="125" t="s">
        <v>13070</v>
      </c>
      <c r="B10" s="123" t="s">
        <v>8830</v>
      </c>
      <c r="C10" s="92">
        <v>3300.69</v>
      </c>
    </row>
    <row r="11" spans="1:3" s="124" customFormat="1" ht="13.5" customHeight="1">
      <c r="A11" s="125" t="s">
        <v>13069</v>
      </c>
      <c r="B11" s="123" t="s">
        <v>8833</v>
      </c>
      <c r="C11" s="92">
        <v>2628.21</v>
      </c>
    </row>
    <row r="12" spans="1:3" s="124" customFormat="1" ht="13.5" customHeight="1">
      <c r="A12" s="94" t="s">
        <v>13068</v>
      </c>
      <c r="B12" s="123" t="s">
        <v>8833</v>
      </c>
      <c r="C12" s="92">
        <v>2252.1999999999998</v>
      </c>
    </row>
    <row r="13" spans="1:3" s="124" customFormat="1" ht="13.5" customHeight="1">
      <c r="A13" s="94" t="s">
        <v>13067</v>
      </c>
      <c r="B13" s="123" t="s">
        <v>8830</v>
      </c>
      <c r="C13" s="92">
        <v>1759.63</v>
      </c>
    </row>
    <row r="14" spans="1:3" s="124" customFormat="1" ht="13.5" customHeight="1">
      <c r="A14" s="94" t="s">
        <v>13066</v>
      </c>
      <c r="B14" s="123" t="s">
        <v>8830</v>
      </c>
      <c r="C14" s="92">
        <v>3639.13</v>
      </c>
    </row>
    <row r="15" spans="1:3" s="124" customFormat="1" ht="13.5" customHeight="1">
      <c r="A15" s="125" t="s">
        <v>13065</v>
      </c>
      <c r="B15" s="123" t="s">
        <v>8839</v>
      </c>
      <c r="C15" s="92">
        <v>1478.53</v>
      </c>
    </row>
    <row r="16" spans="1:3" s="124" customFormat="1" ht="13.5" customHeight="1">
      <c r="A16" s="94" t="s">
        <v>13064</v>
      </c>
      <c r="B16" s="123" t="s">
        <v>8839</v>
      </c>
      <c r="C16" s="92">
        <v>1030.25</v>
      </c>
    </row>
    <row r="17" spans="1:3" s="124" customFormat="1" ht="13.5" customHeight="1">
      <c r="A17" s="126" t="s">
        <v>13063</v>
      </c>
      <c r="B17" s="123" t="s">
        <v>8827</v>
      </c>
      <c r="C17" s="92">
        <v>2168.17</v>
      </c>
    </row>
    <row r="18" spans="1:3" s="124" customFormat="1" ht="13.5" customHeight="1">
      <c r="A18" s="125" t="s">
        <v>13062</v>
      </c>
      <c r="B18" s="123" t="s">
        <v>8830</v>
      </c>
      <c r="C18" s="92">
        <v>3198.73</v>
      </c>
    </row>
    <row r="19" spans="1:3" s="124" customFormat="1" ht="13.5" customHeight="1">
      <c r="A19" s="94" t="s">
        <v>13061</v>
      </c>
      <c r="B19" s="123" t="s">
        <v>8833</v>
      </c>
      <c r="C19" s="92">
        <v>1882.01</v>
      </c>
    </row>
    <row r="20" spans="1:3" s="124" customFormat="1" ht="13.5" customHeight="1">
      <c r="A20" s="94" t="s">
        <v>13060</v>
      </c>
      <c r="B20" s="123" t="s">
        <v>8833</v>
      </c>
      <c r="C20" s="92">
        <v>2767.45</v>
      </c>
    </row>
    <row r="21" spans="1:3" s="124" customFormat="1" ht="13.5" customHeight="1">
      <c r="A21" s="125" t="s">
        <v>13059</v>
      </c>
      <c r="B21" s="123" t="s">
        <v>8830</v>
      </c>
      <c r="C21" s="92">
        <v>3302.52</v>
      </c>
    </row>
    <row r="22" spans="1:3" s="124" customFormat="1" ht="13.5" customHeight="1">
      <c r="A22" s="125" t="s">
        <v>13058</v>
      </c>
      <c r="B22" s="123" t="s">
        <v>8833</v>
      </c>
      <c r="C22" s="92">
        <v>3096.3</v>
      </c>
    </row>
    <row r="23" spans="1:3" s="124" customFormat="1" ht="13.5" customHeight="1">
      <c r="A23" s="125" t="s">
        <v>13057</v>
      </c>
      <c r="B23" s="123" t="s">
        <v>8833</v>
      </c>
      <c r="C23" s="92">
        <v>3840.38</v>
      </c>
    </row>
    <row r="24" spans="1:3" s="124" customFormat="1" ht="13.5" customHeight="1">
      <c r="A24" s="125" t="s">
        <v>13056</v>
      </c>
      <c r="B24" s="123" t="s">
        <v>8830</v>
      </c>
      <c r="C24" s="92">
        <v>2133.48</v>
      </c>
    </row>
    <row r="25" spans="1:3" s="124" customFormat="1" ht="13.5" customHeight="1">
      <c r="A25" s="125" t="s">
        <v>13055</v>
      </c>
      <c r="B25" s="123" t="s">
        <v>8830</v>
      </c>
      <c r="C25" s="92">
        <v>1898.85</v>
      </c>
    </row>
    <row r="26" spans="1:3" s="124" customFormat="1" ht="13.5" customHeight="1">
      <c r="A26" s="125" t="s">
        <v>13054</v>
      </c>
      <c r="B26" s="123" t="s">
        <v>8833</v>
      </c>
      <c r="C26" s="92">
        <v>3699.33</v>
      </c>
    </row>
    <row r="27" spans="1:3" s="124" customFormat="1" ht="13.5" customHeight="1">
      <c r="A27" s="125" t="s">
        <v>13053</v>
      </c>
      <c r="B27" s="123" t="s">
        <v>8833</v>
      </c>
      <c r="C27" s="92">
        <v>2254.39</v>
      </c>
    </row>
    <row r="28" spans="1:3" s="124" customFormat="1" ht="13.5" customHeight="1">
      <c r="A28" s="125" t="s">
        <v>13052</v>
      </c>
      <c r="B28" s="123" t="s">
        <v>8830</v>
      </c>
      <c r="C28" s="92">
        <v>1759.11</v>
      </c>
    </row>
    <row r="29" spans="1:3" s="124" customFormat="1" ht="13.5" customHeight="1">
      <c r="A29" s="125" t="s">
        <v>13051</v>
      </c>
      <c r="B29" s="123" t="s">
        <v>8833</v>
      </c>
      <c r="C29" s="92">
        <v>3698.53</v>
      </c>
    </row>
    <row r="30" spans="1:3" s="124" customFormat="1" ht="13.5" customHeight="1">
      <c r="A30" s="125" t="s">
        <v>13050</v>
      </c>
      <c r="B30" s="123" t="s">
        <v>8827</v>
      </c>
      <c r="C30" s="92">
        <v>3569.71</v>
      </c>
    </row>
    <row r="31" spans="1:3" s="124" customFormat="1" ht="13.5" customHeight="1">
      <c r="A31" s="125" t="s">
        <v>13049</v>
      </c>
      <c r="B31" s="123" t="s">
        <v>8833</v>
      </c>
      <c r="C31" s="92">
        <v>2645.55</v>
      </c>
    </row>
    <row r="32" spans="1:3" s="124" customFormat="1" ht="13.5" customHeight="1">
      <c r="A32" s="125" t="s">
        <v>13048</v>
      </c>
      <c r="B32" s="123" t="s">
        <v>8827</v>
      </c>
      <c r="C32" s="92">
        <v>2244.23</v>
      </c>
    </row>
    <row r="33" spans="1:3" s="124" customFormat="1" ht="13.5" customHeight="1">
      <c r="A33" s="125" t="s">
        <v>13047</v>
      </c>
      <c r="B33" s="123" t="s">
        <v>8833</v>
      </c>
      <c r="C33" s="92">
        <v>1478.1</v>
      </c>
    </row>
    <row r="34" spans="1:3" s="124" customFormat="1" ht="13.5" customHeight="1">
      <c r="A34" s="125" t="s">
        <v>13046</v>
      </c>
      <c r="B34" s="123" t="s">
        <v>8839</v>
      </c>
      <c r="C34" s="92">
        <v>1405.97</v>
      </c>
    </row>
    <row r="35" spans="1:3" s="124" customFormat="1" ht="13.5" customHeight="1">
      <c r="A35" s="125" t="s">
        <v>13045</v>
      </c>
      <c r="B35" s="123" t="s">
        <v>8839</v>
      </c>
      <c r="C35" s="92">
        <v>1031.6400000000001</v>
      </c>
    </row>
    <row r="36" spans="1:3" s="124" customFormat="1" ht="13.5" customHeight="1">
      <c r="A36" s="125" t="s">
        <v>13044</v>
      </c>
      <c r="B36" s="123" t="s">
        <v>8830</v>
      </c>
      <c r="C36" s="92">
        <v>3137.49</v>
      </c>
    </row>
    <row r="37" spans="1:3" s="124" customFormat="1" ht="13.5" customHeight="1">
      <c r="A37" s="125" t="s">
        <v>13043</v>
      </c>
      <c r="B37" s="123" t="s">
        <v>8833</v>
      </c>
      <c r="C37" s="92">
        <v>2441.25</v>
      </c>
    </row>
    <row r="38" spans="1:3" s="124" customFormat="1" ht="13.5" customHeight="1">
      <c r="A38" s="125" t="s">
        <v>13042</v>
      </c>
      <c r="B38" s="123" t="s">
        <v>8830</v>
      </c>
      <c r="C38" s="92">
        <v>3512.65</v>
      </c>
    </row>
    <row r="39" spans="1:3" s="124" customFormat="1" ht="13.5" customHeight="1">
      <c r="A39" s="125" t="s">
        <v>13041</v>
      </c>
      <c r="B39" s="123" t="s">
        <v>8839</v>
      </c>
      <c r="C39" s="92">
        <v>1606.98</v>
      </c>
    </row>
    <row r="40" spans="1:3" s="124" customFormat="1" ht="13.5" customHeight="1">
      <c r="A40" s="125" t="s">
        <v>13040</v>
      </c>
      <c r="B40" s="123" t="s">
        <v>8830</v>
      </c>
      <c r="C40" s="92">
        <v>1946.98</v>
      </c>
    </row>
    <row r="41" spans="1:3" s="124" customFormat="1" ht="13.5" customHeight="1">
      <c r="A41" s="125" t="s">
        <v>13039</v>
      </c>
      <c r="B41" s="123" t="s">
        <v>8830</v>
      </c>
      <c r="C41" s="92">
        <v>1385.73</v>
      </c>
    </row>
    <row r="42" spans="1:3" s="124" customFormat="1" ht="13.5" customHeight="1">
      <c r="A42" s="125" t="s">
        <v>13038</v>
      </c>
      <c r="B42" s="123" t="s">
        <v>8833</v>
      </c>
      <c r="C42" s="92">
        <v>3297.75</v>
      </c>
    </row>
    <row r="43" spans="1:3" s="124" customFormat="1" ht="13.5" customHeight="1">
      <c r="A43" s="125" t="s">
        <v>13037</v>
      </c>
      <c r="B43" s="123" t="s">
        <v>8833</v>
      </c>
      <c r="C43" s="92">
        <v>2767.62</v>
      </c>
    </row>
    <row r="44" spans="1:3" s="124" customFormat="1" ht="13.5" customHeight="1">
      <c r="A44" s="125" t="s">
        <v>13036</v>
      </c>
      <c r="B44" s="123" t="s">
        <v>8833</v>
      </c>
      <c r="C44" s="92">
        <v>2039.22</v>
      </c>
    </row>
    <row r="45" spans="1:3" s="124" customFormat="1" ht="13.5" customHeight="1">
      <c r="A45" s="125" t="s">
        <v>13035</v>
      </c>
      <c r="B45" s="123" t="s">
        <v>8833</v>
      </c>
      <c r="C45" s="92">
        <v>2226.9299999999998</v>
      </c>
    </row>
    <row r="46" spans="1:3" s="124" customFormat="1" ht="13.5" customHeight="1">
      <c r="A46" s="125" t="s">
        <v>13034</v>
      </c>
      <c r="B46" s="123" t="s">
        <v>8827</v>
      </c>
      <c r="C46" s="92">
        <v>2579.71</v>
      </c>
    </row>
    <row r="47" spans="1:3" s="124" customFormat="1" ht="13.5" customHeight="1">
      <c r="A47" s="125" t="s">
        <v>13033</v>
      </c>
      <c r="B47" s="123" t="s">
        <v>8833</v>
      </c>
      <c r="C47" s="92">
        <v>2726.13</v>
      </c>
    </row>
    <row r="48" spans="1:3" s="124" customFormat="1" ht="13.5" customHeight="1">
      <c r="A48" s="125" t="s">
        <v>13032</v>
      </c>
      <c r="B48" s="123" t="s">
        <v>8833</v>
      </c>
      <c r="C48" s="92">
        <v>3277.81</v>
      </c>
    </row>
    <row r="49" spans="1:3" s="124" customFormat="1" ht="13.5" customHeight="1">
      <c r="A49" s="125" t="s">
        <v>13031</v>
      </c>
      <c r="B49" s="123" t="s">
        <v>8833</v>
      </c>
      <c r="C49" s="92">
        <v>2441.5300000000002</v>
      </c>
    </row>
    <row r="50" spans="1:3" s="124" customFormat="1" ht="13.5" customHeight="1">
      <c r="A50" s="125" t="s">
        <v>13030</v>
      </c>
      <c r="B50" s="123" t="s">
        <v>8830</v>
      </c>
      <c r="C50" s="92">
        <v>2301.13</v>
      </c>
    </row>
    <row r="51" spans="1:3" s="124" customFormat="1" ht="13.5" customHeight="1">
      <c r="A51" s="125" t="s">
        <v>13029</v>
      </c>
      <c r="B51" s="123" t="s">
        <v>8830</v>
      </c>
      <c r="C51" s="92">
        <v>2970.55</v>
      </c>
    </row>
    <row r="52" spans="1:3" s="124" customFormat="1" ht="13.5" customHeight="1">
      <c r="A52" s="125" t="s">
        <v>13028</v>
      </c>
      <c r="B52" s="123" t="s">
        <v>8833</v>
      </c>
      <c r="C52" s="92">
        <v>2164.5300000000002</v>
      </c>
    </row>
    <row r="53" spans="1:3" s="124" customFormat="1" ht="13.5" customHeight="1">
      <c r="A53" s="94" t="s">
        <v>13027</v>
      </c>
      <c r="B53" s="123" t="s">
        <v>8830</v>
      </c>
      <c r="C53" s="92">
        <v>2161.37</v>
      </c>
    </row>
    <row r="54" spans="1:3" s="124" customFormat="1" ht="13.5" customHeight="1">
      <c r="A54" s="125" t="s">
        <v>13026</v>
      </c>
      <c r="B54" s="123" t="s">
        <v>8833</v>
      </c>
      <c r="C54" s="92">
        <v>2629.23</v>
      </c>
    </row>
    <row r="55" spans="1:3" s="124" customFormat="1" ht="13.5" customHeight="1">
      <c r="A55" s="125" t="s">
        <v>13025</v>
      </c>
      <c r="B55" s="123" t="s">
        <v>8833</v>
      </c>
      <c r="C55" s="92">
        <v>3069.36</v>
      </c>
    </row>
    <row r="56" spans="1:3" s="124" customFormat="1" ht="13.5" customHeight="1">
      <c r="A56" s="123" t="s">
        <v>13024</v>
      </c>
      <c r="B56" s="123" t="s">
        <v>8830</v>
      </c>
      <c r="C56" s="92">
        <v>634.41999999999996</v>
      </c>
    </row>
    <row r="57" spans="1:3" s="124" customFormat="1" ht="13.5" customHeight="1">
      <c r="A57" s="123" t="s">
        <v>13023</v>
      </c>
      <c r="B57" s="123" t="s">
        <v>8833</v>
      </c>
      <c r="C57" s="92">
        <v>2805.65</v>
      </c>
    </row>
    <row r="58" spans="1:3" s="124" customFormat="1" ht="13.5" customHeight="1">
      <c r="A58" s="123" t="s">
        <v>13022</v>
      </c>
      <c r="B58" s="123" t="s">
        <v>8827</v>
      </c>
      <c r="C58" s="92">
        <v>2242.7600000000002</v>
      </c>
    </row>
    <row r="59" spans="1:3" s="124" customFormat="1" ht="13.5" customHeight="1">
      <c r="A59" s="123" t="s">
        <v>13021</v>
      </c>
      <c r="B59" s="123" t="s">
        <v>8839</v>
      </c>
      <c r="C59" s="92">
        <v>1032.02</v>
      </c>
    </row>
    <row r="60" spans="1:3" s="124" customFormat="1" ht="13.5" customHeight="1">
      <c r="A60" s="123" t="s">
        <v>13020</v>
      </c>
      <c r="B60" s="123" t="s">
        <v>8830</v>
      </c>
      <c r="C60" s="92">
        <v>1947.28</v>
      </c>
    </row>
    <row r="61" spans="1:3" s="124" customFormat="1" ht="13.5" customHeight="1">
      <c r="A61" s="123" t="s">
        <v>13019</v>
      </c>
      <c r="B61" s="123" t="s">
        <v>8830</v>
      </c>
      <c r="C61" s="92">
        <v>1478.99</v>
      </c>
    </row>
    <row r="62" spans="1:3" s="124" customFormat="1" ht="13.5" customHeight="1">
      <c r="A62" s="123" t="s">
        <v>13018</v>
      </c>
      <c r="B62" s="123" t="s">
        <v>8830</v>
      </c>
      <c r="C62" s="92">
        <v>3215.28</v>
      </c>
    </row>
    <row r="63" spans="1:3" s="124" customFormat="1" ht="13.5" customHeight="1">
      <c r="A63" s="123" t="s">
        <v>13017</v>
      </c>
      <c r="B63" s="123" t="s">
        <v>8833</v>
      </c>
      <c r="C63" s="92">
        <v>2254.84</v>
      </c>
    </row>
    <row r="64" spans="1:3" s="124" customFormat="1" ht="13.5" customHeight="1">
      <c r="A64" s="123" t="s">
        <v>13016</v>
      </c>
      <c r="B64" s="123" t="s">
        <v>8830</v>
      </c>
      <c r="C64" s="92">
        <v>3789.51</v>
      </c>
    </row>
    <row r="65" spans="1:3" s="124" customFormat="1" ht="13.5" customHeight="1">
      <c r="A65" s="123" t="s">
        <v>8826</v>
      </c>
      <c r="B65" s="123" t="s">
        <v>8825</v>
      </c>
      <c r="C65" s="92">
        <v>5001.88</v>
      </c>
    </row>
    <row r="66" spans="1:3" s="124" customFormat="1" ht="13.5" customHeight="1">
      <c r="A66" s="125" t="s">
        <v>13015</v>
      </c>
      <c r="B66" s="123" t="s">
        <v>13014</v>
      </c>
      <c r="C66" s="92">
        <v>5001.58</v>
      </c>
    </row>
    <row r="67" spans="1:3" s="124" customFormat="1" ht="13.5" customHeight="1">
      <c r="A67" s="125" t="s">
        <v>10534</v>
      </c>
      <c r="B67" s="123" t="s">
        <v>10535</v>
      </c>
      <c r="C67" s="92">
        <v>5233.4799999999996</v>
      </c>
    </row>
    <row r="68" spans="1:3" s="124" customFormat="1" ht="13.5" customHeight="1">
      <c r="A68" s="125" t="s">
        <v>10536</v>
      </c>
      <c r="B68" s="123" t="s">
        <v>10537</v>
      </c>
      <c r="C68" s="92">
        <v>4933.6899999999996</v>
      </c>
    </row>
    <row r="69" spans="1:3" s="124" customFormat="1" ht="13.5" customHeight="1">
      <c r="A69" s="125" t="s">
        <v>10538</v>
      </c>
      <c r="B69" s="123" t="s">
        <v>10539</v>
      </c>
      <c r="C69" s="92">
        <v>4933.99</v>
      </c>
    </row>
    <row r="70" spans="1:3" s="124" customFormat="1" ht="13.5" customHeight="1">
      <c r="A70" s="125" t="s">
        <v>10540</v>
      </c>
      <c r="B70" s="123" t="s">
        <v>10541</v>
      </c>
      <c r="C70" s="92">
        <v>4933.99</v>
      </c>
    </row>
    <row r="71" spans="1:3" s="124" customFormat="1" ht="13.5" customHeight="1">
      <c r="A71" s="123" t="s">
        <v>10542</v>
      </c>
      <c r="B71" s="123" t="s">
        <v>10543</v>
      </c>
      <c r="C71" s="92">
        <v>5001.88</v>
      </c>
    </row>
    <row r="72" spans="1:3" s="124" customFormat="1" ht="13.5" customHeight="1">
      <c r="A72" s="123" t="s">
        <v>10544</v>
      </c>
      <c r="B72" s="123" t="s">
        <v>10545</v>
      </c>
      <c r="C72" s="92">
        <v>5001.8900000000003</v>
      </c>
    </row>
    <row r="73" spans="1:3" s="124" customFormat="1" ht="13.5" customHeight="1">
      <c r="A73" s="123" t="s">
        <v>10546</v>
      </c>
      <c r="B73" s="123" t="s">
        <v>10547</v>
      </c>
      <c r="C73" s="92">
        <v>4933.99</v>
      </c>
    </row>
    <row r="74" spans="1:3" s="124" customFormat="1" ht="13.5" customHeight="1">
      <c r="A74" s="123" t="s">
        <v>10548</v>
      </c>
      <c r="B74" s="123" t="s">
        <v>10549</v>
      </c>
      <c r="C74" s="92">
        <v>5001.8900000000003</v>
      </c>
    </row>
    <row r="75" spans="1:3" s="124" customFormat="1" ht="13.5" customHeight="1">
      <c r="A75" s="123" t="s">
        <v>10550</v>
      </c>
      <c r="B75" s="123" t="s">
        <v>10551</v>
      </c>
      <c r="C75" s="92">
        <v>4303.78</v>
      </c>
    </row>
    <row r="76" spans="1:3" s="124" customFormat="1" ht="13.5" customHeight="1">
      <c r="A76" s="123" t="s">
        <v>10552</v>
      </c>
      <c r="B76" s="123" t="s">
        <v>10553</v>
      </c>
      <c r="C76" s="92">
        <v>4371.67</v>
      </c>
    </row>
    <row r="77" spans="1:3" s="124" customFormat="1" ht="13.5" customHeight="1">
      <c r="A77" s="123" t="s">
        <v>10554</v>
      </c>
      <c r="B77" s="123" t="s">
        <v>10555</v>
      </c>
      <c r="C77" s="92">
        <v>5001.58</v>
      </c>
    </row>
    <row r="78" spans="1:3" s="124" customFormat="1" ht="13.5" customHeight="1">
      <c r="A78" s="123" t="s">
        <v>8820</v>
      </c>
      <c r="B78" s="123" t="s">
        <v>8819</v>
      </c>
      <c r="C78" s="92">
        <v>5001.8900000000003</v>
      </c>
    </row>
    <row r="79" spans="1:3" s="124" customFormat="1" ht="13.5" customHeight="1">
      <c r="A79" s="123" t="s">
        <v>10556</v>
      </c>
      <c r="B79" s="123" t="s">
        <v>10557</v>
      </c>
      <c r="C79" s="92">
        <v>4933.99</v>
      </c>
    </row>
    <row r="80" spans="1:3" s="124" customFormat="1" ht="13.5" customHeight="1">
      <c r="A80" s="123" t="s">
        <v>10558</v>
      </c>
      <c r="B80" s="123" t="s">
        <v>10559</v>
      </c>
      <c r="C80" s="92">
        <v>4373.07</v>
      </c>
    </row>
    <row r="81" spans="1:3" s="124" customFormat="1" ht="13.5" customHeight="1">
      <c r="A81" s="123" t="s">
        <v>10560</v>
      </c>
      <c r="B81" s="123" t="s">
        <v>10561</v>
      </c>
      <c r="C81" s="92">
        <v>4373.07</v>
      </c>
    </row>
    <row r="82" spans="1:3" s="124" customFormat="1" ht="13.5" customHeight="1">
      <c r="A82" s="123" t="s">
        <v>10562</v>
      </c>
      <c r="B82" s="123" t="s">
        <v>10563</v>
      </c>
      <c r="C82" s="92">
        <v>4447.78</v>
      </c>
    </row>
    <row r="83" spans="1:3" s="124" customFormat="1" ht="13.5" customHeight="1">
      <c r="A83" s="123" t="s">
        <v>10564</v>
      </c>
      <c r="B83" s="123" t="s">
        <v>10565</v>
      </c>
      <c r="C83" s="92">
        <v>4515.67</v>
      </c>
    </row>
    <row r="84" spans="1:3" s="124" customFormat="1" ht="13.5" customHeight="1">
      <c r="A84" s="123" t="s">
        <v>8814</v>
      </c>
      <c r="B84" s="123" t="s">
        <v>8813</v>
      </c>
      <c r="C84" s="92">
        <v>5001.8900000000003</v>
      </c>
    </row>
    <row r="85" spans="1:3" s="124" customFormat="1" ht="13.5" customHeight="1">
      <c r="A85" s="123" t="s">
        <v>10566</v>
      </c>
      <c r="B85" s="123" t="s">
        <v>10567</v>
      </c>
      <c r="C85" s="92">
        <v>5633.14</v>
      </c>
    </row>
    <row r="86" spans="1:3" s="124" customFormat="1" ht="13.5" customHeight="1">
      <c r="A86" s="123" t="s">
        <v>10568</v>
      </c>
      <c r="B86" s="123" t="s">
        <v>10569</v>
      </c>
      <c r="C86" s="92">
        <v>4817.0200000000004</v>
      </c>
    </row>
    <row r="87" spans="1:3" s="124" customFormat="1" ht="13.5" customHeight="1">
      <c r="A87" s="123" t="s">
        <v>10570</v>
      </c>
      <c r="B87" s="123" t="s">
        <v>10571</v>
      </c>
      <c r="C87" s="92">
        <v>4516.2299999999996</v>
      </c>
    </row>
    <row r="88" spans="1:3" s="124" customFormat="1" ht="13.5" customHeight="1">
      <c r="A88" s="123" t="s">
        <v>10572</v>
      </c>
      <c r="B88" s="123" t="s">
        <v>10573</v>
      </c>
      <c r="C88" s="92">
        <v>4305.18</v>
      </c>
    </row>
    <row r="89" spans="1:3" s="124" customFormat="1" ht="13.5" customHeight="1">
      <c r="A89" s="123" t="s">
        <v>10574</v>
      </c>
      <c r="B89" s="123" t="s">
        <v>10575</v>
      </c>
      <c r="C89" s="92">
        <v>4305.18</v>
      </c>
    </row>
    <row r="90" spans="1:3" s="124" customFormat="1" ht="13.5" customHeight="1">
      <c r="A90" s="123" t="s">
        <v>10576</v>
      </c>
      <c r="B90" s="123" t="s">
        <v>10577</v>
      </c>
      <c r="C90" s="92">
        <v>4976.37</v>
      </c>
    </row>
    <row r="91" spans="1:3" s="124" customFormat="1" ht="13.5" customHeight="1">
      <c r="A91" s="123" t="s">
        <v>10578</v>
      </c>
      <c r="B91" s="123" t="s">
        <v>10579</v>
      </c>
      <c r="C91" s="92">
        <v>4816.49</v>
      </c>
    </row>
    <row r="92" spans="1:3" s="124" customFormat="1" ht="13.5" customHeight="1">
      <c r="A92" s="123" t="s">
        <v>10580</v>
      </c>
      <c r="B92" s="123" t="s">
        <v>10581</v>
      </c>
      <c r="C92" s="92">
        <v>4516.34</v>
      </c>
    </row>
    <row r="93" spans="1:3" s="124" customFormat="1" ht="13.5" customHeight="1">
      <c r="A93" s="123" t="s">
        <v>10582</v>
      </c>
      <c r="B93" s="123" t="s">
        <v>10583</v>
      </c>
      <c r="C93" s="92">
        <v>4671.93</v>
      </c>
    </row>
    <row r="94" spans="1:3" s="124" customFormat="1" ht="13.5" customHeight="1">
      <c r="A94" s="123" t="s">
        <v>10584</v>
      </c>
      <c r="B94" s="123" t="s">
        <v>10585</v>
      </c>
      <c r="C94" s="92">
        <v>4516.2299999999996</v>
      </c>
    </row>
    <row r="95" spans="1:3" s="124" customFormat="1" ht="13.5" customHeight="1">
      <c r="A95" s="123" t="s">
        <v>10586</v>
      </c>
      <c r="B95" s="123" t="s">
        <v>10587</v>
      </c>
      <c r="C95" s="92">
        <v>3952.52</v>
      </c>
    </row>
    <row r="96" spans="1:3" s="124" customFormat="1" ht="13.5" customHeight="1">
      <c r="A96" s="123" t="s">
        <v>10588</v>
      </c>
      <c r="B96" s="123" t="s">
        <v>10589</v>
      </c>
      <c r="C96" s="92">
        <v>5741.11</v>
      </c>
    </row>
    <row r="97" spans="1:3" s="124" customFormat="1" ht="13.5" customHeight="1">
      <c r="A97" s="123" t="s">
        <v>10590</v>
      </c>
      <c r="B97" s="123" t="s">
        <v>10591</v>
      </c>
      <c r="C97" s="92">
        <v>5001.88</v>
      </c>
    </row>
    <row r="98" spans="1:3" s="124" customFormat="1" ht="13.5" customHeight="1">
      <c r="A98" s="123" t="s">
        <v>10592</v>
      </c>
      <c r="B98" s="123" t="s">
        <v>10593</v>
      </c>
      <c r="C98" s="92">
        <v>5002.46</v>
      </c>
    </row>
    <row r="99" spans="1:3" s="124" customFormat="1" ht="13.5" customHeight="1">
      <c r="A99" s="123" t="s">
        <v>10594</v>
      </c>
      <c r="B99" s="123" t="s">
        <v>10595</v>
      </c>
      <c r="C99" s="92">
        <v>4817.0200000000004</v>
      </c>
    </row>
    <row r="100" spans="1:3" s="124" customFormat="1" ht="13.5" customHeight="1">
      <c r="A100" s="123" t="s">
        <v>10596</v>
      </c>
      <c r="B100" s="123" t="s">
        <v>10597</v>
      </c>
      <c r="C100" s="92">
        <v>4747.5</v>
      </c>
    </row>
    <row r="101" spans="1:3" s="124" customFormat="1" ht="13.5" customHeight="1">
      <c r="A101" s="123" t="s">
        <v>10598</v>
      </c>
      <c r="B101" s="123" t="s">
        <v>10599</v>
      </c>
      <c r="C101" s="92">
        <v>4448.34</v>
      </c>
    </row>
    <row r="102" spans="1:3" s="124" customFormat="1" ht="13.5" customHeight="1">
      <c r="A102" s="123" t="s">
        <v>10600</v>
      </c>
      <c r="B102" s="123" t="s">
        <v>10601</v>
      </c>
      <c r="C102" s="92">
        <v>5001.7299999999996</v>
      </c>
    </row>
    <row r="103" spans="1:3" s="124" customFormat="1" ht="13.5" customHeight="1">
      <c r="A103" s="123" t="s">
        <v>10602</v>
      </c>
      <c r="B103" s="123" t="s">
        <v>10603</v>
      </c>
      <c r="C103" s="92">
        <v>5001.88</v>
      </c>
    </row>
    <row r="104" spans="1:3" s="124" customFormat="1" ht="13.5" customHeight="1">
      <c r="A104" s="123" t="s">
        <v>10604</v>
      </c>
      <c r="B104" s="123" t="s">
        <v>10605</v>
      </c>
      <c r="C104" s="92">
        <v>5170.09</v>
      </c>
    </row>
    <row r="105" spans="1:3" s="124" customFormat="1" ht="13.5" customHeight="1">
      <c r="A105" s="123" t="s">
        <v>10606</v>
      </c>
      <c r="B105" s="123" t="s">
        <v>10607</v>
      </c>
      <c r="C105" s="92">
        <v>4933.6899999999996</v>
      </c>
    </row>
    <row r="106" spans="1:3" s="124" customFormat="1" ht="13.5" customHeight="1">
      <c r="A106" s="123" t="s">
        <v>10608</v>
      </c>
      <c r="B106" s="123" t="s">
        <v>10609</v>
      </c>
      <c r="C106" s="92">
        <v>4448.34</v>
      </c>
    </row>
    <row r="107" spans="1:3" s="124" customFormat="1" ht="13.5" customHeight="1">
      <c r="A107" s="123" t="s">
        <v>10610</v>
      </c>
      <c r="B107" s="123" t="s">
        <v>10611</v>
      </c>
      <c r="C107" s="92">
        <v>4516.2299999999996</v>
      </c>
    </row>
    <row r="108" spans="1:3" s="124" customFormat="1" ht="13.5" customHeight="1">
      <c r="A108" s="123" t="s">
        <v>10612</v>
      </c>
      <c r="B108" s="123" t="s">
        <v>10613</v>
      </c>
      <c r="C108" s="92">
        <v>4516.2299999999996</v>
      </c>
    </row>
    <row r="109" spans="1:3" s="124" customFormat="1" ht="13.5" customHeight="1">
      <c r="A109" s="123" t="s">
        <v>10614</v>
      </c>
      <c r="B109" s="123" t="s">
        <v>10615</v>
      </c>
      <c r="C109" s="92">
        <v>4447.24</v>
      </c>
    </row>
    <row r="110" spans="1:3" s="124" customFormat="1" ht="13.5" customHeight="1">
      <c r="A110" s="123" t="s">
        <v>10616</v>
      </c>
      <c r="B110" s="123" t="s">
        <v>10617</v>
      </c>
      <c r="C110" s="92">
        <v>4515.13</v>
      </c>
    </row>
    <row r="111" spans="1:3" s="124" customFormat="1" ht="13.5" customHeight="1">
      <c r="A111" s="123" t="s">
        <v>10618</v>
      </c>
      <c r="B111" s="123" t="s">
        <v>10619</v>
      </c>
      <c r="C111" s="92">
        <v>4448.5</v>
      </c>
    </row>
    <row r="112" spans="1:3" s="124" customFormat="1" ht="13.5" customHeight="1">
      <c r="A112" s="123" t="s">
        <v>10620</v>
      </c>
      <c r="B112" s="123" t="s">
        <v>10621</v>
      </c>
      <c r="C112" s="92">
        <v>4516.3900000000003</v>
      </c>
    </row>
    <row r="113" spans="1:3" s="124" customFormat="1" ht="13.5" customHeight="1">
      <c r="A113" s="123" t="s">
        <v>10622</v>
      </c>
      <c r="B113" s="123" t="s">
        <v>10623</v>
      </c>
      <c r="C113" s="92">
        <v>4516.3900000000003</v>
      </c>
    </row>
    <row r="114" spans="1:3" s="124" customFormat="1" ht="13.5" customHeight="1">
      <c r="A114" s="123" t="s">
        <v>10624</v>
      </c>
      <c r="B114" s="123" t="s">
        <v>10625</v>
      </c>
      <c r="C114" s="92">
        <v>4515.67</v>
      </c>
    </row>
    <row r="115" spans="1:3" s="124" customFormat="1" ht="13.5" customHeight="1">
      <c r="A115" s="123" t="s">
        <v>10626</v>
      </c>
      <c r="B115" s="123" t="s">
        <v>10627</v>
      </c>
      <c r="C115" s="92">
        <v>4516.2299999999996</v>
      </c>
    </row>
    <row r="116" spans="1:3" s="124" customFormat="1" ht="13.5" customHeight="1">
      <c r="A116" s="123" t="s">
        <v>10628</v>
      </c>
      <c r="B116" s="123" t="s">
        <v>10629</v>
      </c>
      <c r="C116" s="92">
        <v>4515.67</v>
      </c>
    </row>
    <row r="117" spans="1:3" s="124" customFormat="1" ht="13.5" customHeight="1">
      <c r="A117" s="123" t="s">
        <v>10630</v>
      </c>
      <c r="B117" s="123" t="s">
        <v>10631</v>
      </c>
      <c r="C117" s="92">
        <v>5001.58</v>
      </c>
    </row>
    <row r="118" spans="1:3" s="124" customFormat="1" ht="13.5" customHeight="1">
      <c r="A118" s="123" t="s">
        <v>10632</v>
      </c>
      <c r="B118" s="123" t="s">
        <v>10633</v>
      </c>
      <c r="C118" s="92">
        <v>4869.83</v>
      </c>
    </row>
    <row r="119" spans="1:3" s="124" customFormat="1" ht="13.5" customHeight="1">
      <c r="A119" s="123" t="s">
        <v>10634</v>
      </c>
      <c r="B119" s="123" t="s">
        <v>10635</v>
      </c>
      <c r="C119" s="92">
        <v>4779.54</v>
      </c>
    </row>
    <row r="120" spans="1:3" s="124" customFormat="1" ht="13.5" customHeight="1">
      <c r="A120" s="123" t="s">
        <v>10636</v>
      </c>
      <c r="B120" s="123" t="s">
        <v>10637</v>
      </c>
      <c r="C120" s="92">
        <v>4816.49</v>
      </c>
    </row>
    <row r="121" spans="1:3" s="124" customFormat="1" ht="13.5" customHeight="1">
      <c r="A121" s="123" t="s">
        <v>10638</v>
      </c>
      <c r="B121" s="123" t="s">
        <v>10639</v>
      </c>
      <c r="C121" s="92">
        <v>5001.9799999999996</v>
      </c>
    </row>
    <row r="122" spans="1:3" s="124" customFormat="1" ht="13.5" customHeight="1">
      <c r="A122" s="123" t="s">
        <v>10640</v>
      </c>
      <c r="B122" s="123" t="s">
        <v>10641</v>
      </c>
      <c r="C122" s="92">
        <v>5028.4399999999996</v>
      </c>
    </row>
    <row r="123" spans="1:3" s="124" customFormat="1" ht="13.5" customHeight="1">
      <c r="A123" s="123" t="s">
        <v>10642</v>
      </c>
      <c r="B123" s="123" t="s">
        <v>10643</v>
      </c>
      <c r="C123" s="92">
        <v>4817.0200000000004</v>
      </c>
    </row>
    <row r="124" spans="1:3" s="124" customFormat="1" ht="13.5" customHeight="1">
      <c r="A124" s="123" t="s">
        <v>10644</v>
      </c>
      <c r="B124" s="123" t="s">
        <v>10645</v>
      </c>
      <c r="C124" s="92">
        <v>5001.82</v>
      </c>
    </row>
    <row r="125" spans="1:3" s="124" customFormat="1" ht="13.5" customHeight="1">
      <c r="A125" s="123" t="s">
        <v>10646</v>
      </c>
      <c r="B125" s="123" t="s">
        <v>10647</v>
      </c>
      <c r="C125" s="92">
        <v>5302.14</v>
      </c>
    </row>
    <row r="126" spans="1:3" s="124" customFormat="1" ht="13.5" customHeight="1">
      <c r="A126" s="123" t="s">
        <v>10648</v>
      </c>
      <c r="B126" s="123" t="s">
        <v>10649</v>
      </c>
      <c r="C126" s="92">
        <v>5001.88</v>
      </c>
    </row>
    <row r="127" spans="1:3" s="124" customFormat="1" ht="13.5" customHeight="1">
      <c r="A127" s="123" t="s">
        <v>10650</v>
      </c>
      <c r="B127" s="123" t="s">
        <v>10651</v>
      </c>
      <c r="C127" s="92">
        <v>4933.6899999999996</v>
      </c>
    </row>
    <row r="128" spans="1:3" s="124" customFormat="1" ht="13.5" customHeight="1">
      <c r="A128" s="123" t="s">
        <v>10652</v>
      </c>
      <c r="B128" s="123" t="s">
        <v>10653</v>
      </c>
      <c r="C128" s="92">
        <v>5001.58</v>
      </c>
    </row>
    <row r="129" spans="1:3" s="124" customFormat="1" ht="13.5" customHeight="1">
      <c r="A129" s="123" t="s">
        <v>10654</v>
      </c>
      <c r="B129" s="123" t="s">
        <v>10655</v>
      </c>
      <c r="C129" s="92">
        <v>4933.6400000000003</v>
      </c>
    </row>
    <row r="130" spans="1:3" s="124" customFormat="1" ht="13.5" customHeight="1">
      <c r="A130" s="123" t="s">
        <v>10656</v>
      </c>
      <c r="B130" s="123" t="s">
        <v>10657</v>
      </c>
      <c r="C130" s="92">
        <v>5001.88</v>
      </c>
    </row>
    <row r="131" spans="1:3" s="124" customFormat="1" ht="13.5" customHeight="1">
      <c r="A131" s="123" t="s">
        <v>10658</v>
      </c>
      <c r="B131" s="123" t="s">
        <v>10659</v>
      </c>
      <c r="C131" s="92">
        <v>4259.45</v>
      </c>
    </row>
    <row r="132" spans="1:3" s="124" customFormat="1" ht="13.5" customHeight="1">
      <c r="A132" s="123" t="s">
        <v>10660</v>
      </c>
      <c r="B132" s="123" t="s">
        <v>10661</v>
      </c>
      <c r="C132" s="92">
        <v>4637.28</v>
      </c>
    </row>
    <row r="133" spans="1:3" s="124" customFormat="1" ht="13.5" customHeight="1">
      <c r="A133" s="123" t="s">
        <v>10662</v>
      </c>
      <c r="B133" s="123" t="s">
        <v>10663</v>
      </c>
      <c r="C133" s="92">
        <v>4869.83</v>
      </c>
    </row>
    <row r="134" spans="1:3" s="124" customFormat="1" ht="13.5" customHeight="1">
      <c r="A134" s="123" t="s">
        <v>10664</v>
      </c>
      <c r="B134" s="123" t="s">
        <v>10665</v>
      </c>
      <c r="C134" s="92">
        <v>4218.8100000000004</v>
      </c>
    </row>
    <row r="135" spans="1:3" s="124" customFormat="1" ht="13.5" customHeight="1">
      <c r="A135" s="123" t="s">
        <v>10666</v>
      </c>
      <c r="B135" s="123" t="s">
        <v>10667</v>
      </c>
      <c r="C135" s="92">
        <v>4258.9399999999996</v>
      </c>
    </row>
    <row r="136" spans="1:3" s="124" customFormat="1" ht="13.5" customHeight="1">
      <c r="A136" s="123" t="s">
        <v>10668</v>
      </c>
      <c r="B136" s="123" t="s">
        <v>10669</v>
      </c>
      <c r="C136" s="92">
        <v>5423.25</v>
      </c>
    </row>
    <row r="137" spans="1:3" s="124" customFormat="1" ht="13.5" customHeight="1">
      <c r="A137" s="123" t="s">
        <v>10670</v>
      </c>
      <c r="B137" s="123" t="s">
        <v>10671</v>
      </c>
      <c r="C137" s="92">
        <v>4636.6000000000004</v>
      </c>
    </row>
    <row r="138" spans="1:3" s="124" customFormat="1" ht="13.5" customHeight="1">
      <c r="A138" s="123" t="s">
        <v>10672</v>
      </c>
      <c r="B138" s="123" t="s">
        <v>10673</v>
      </c>
      <c r="C138" s="92">
        <v>4605.4399999999996</v>
      </c>
    </row>
    <row r="139" spans="1:3" s="124" customFormat="1" ht="13.5" customHeight="1">
      <c r="A139" s="123" t="s">
        <v>10674</v>
      </c>
      <c r="B139" s="123" t="s">
        <v>10675</v>
      </c>
      <c r="C139" s="92">
        <v>5232.87</v>
      </c>
    </row>
    <row r="140" spans="1:3" s="124" customFormat="1" ht="13.5" customHeight="1">
      <c r="A140" s="123" t="s">
        <v>10676</v>
      </c>
      <c r="B140" s="123" t="s">
        <v>10677</v>
      </c>
      <c r="C140" s="92">
        <v>4596.33</v>
      </c>
    </row>
    <row r="141" spans="1:3" s="124" customFormat="1" ht="13.5" customHeight="1">
      <c r="A141" s="123" t="s">
        <v>10678</v>
      </c>
      <c r="B141" s="123" t="s">
        <v>10679</v>
      </c>
      <c r="C141" s="92">
        <v>4516.88</v>
      </c>
    </row>
    <row r="142" spans="1:3" s="124" customFormat="1" ht="13.5" customHeight="1">
      <c r="A142" s="123" t="s">
        <v>10680</v>
      </c>
      <c r="B142" s="123" t="s">
        <v>10681</v>
      </c>
      <c r="C142" s="92">
        <v>4801.9399999999996</v>
      </c>
    </row>
    <row r="143" spans="1:3" s="124" customFormat="1" ht="13.5" customHeight="1">
      <c r="A143" s="123" t="s">
        <v>10682</v>
      </c>
      <c r="B143" s="123" t="s">
        <v>10683</v>
      </c>
      <c r="C143" s="92">
        <v>4590.34</v>
      </c>
    </row>
    <row r="144" spans="1:3" s="124" customFormat="1" ht="13.5" customHeight="1">
      <c r="A144" s="123" t="s">
        <v>10684</v>
      </c>
      <c r="B144" s="123" t="s">
        <v>10685</v>
      </c>
      <c r="C144" s="92">
        <v>4516.2299999999996</v>
      </c>
    </row>
    <row r="145" spans="1:3" s="124" customFormat="1" ht="13.5" customHeight="1">
      <c r="A145" s="123" t="s">
        <v>10686</v>
      </c>
      <c r="B145" s="123" t="s">
        <v>10687</v>
      </c>
      <c r="C145" s="92">
        <v>4516.76</v>
      </c>
    </row>
    <row r="146" spans="1:3" s="124" customFormat="1" ht="13.5" customHeight="1">
      <c r="A146" s="123" t="s">
        <v>10688</v>
      </c>
      <c r="B146" s="123" t="s">
        <v>10689</v>
      </c>
      <c r="C146" s="92">
        <v>4407.53</v>
      </c>
    </row>
    <row r="147" spans="1:3" s="124" customFormat="1" ht="13.5" customHeight="1">
      <c r="A147" s="123" t="s">
        <v>10690</v>
      </c>
      <c r="B147" s="123" t="s">
        <v>10691</v>
      </c>
      <c r="C147" s="92">
        <v>4870.24</v>
      </c>
    </row>
    <row r="148" spans="1:3" s="124" customFormat="1" ht="13.5" customHeight="1">
      <c r="A148" s="123" t="s">
        <v>10692</v>
      </c>
      <c r="B148" s="123" t="s">
        <v>10693</v>
      </c>
      <c r="C148" s="92">
        <v>5644.06</v>
      </c>
    </row>
    <row r="149" spans="1:3" s="124" customFormat="1" ht="13.5" customHeight="1">
      <c r="A149" s="123" t="s">
        <v>10694</v>
      </c>
      <c r="B149" s="123" t="s">
        <v>10695</v>
      </c>
      <c r="C149" s="92">
        <v>4516.3900000000003</v>
      </c>
    </row>
    <row r="150" spans="1:3" s="124" customFormat="1" ht="13.5" customHeight="1">
      <c r="A150" s="123" t="s">
        <v>10696</v>
      </c>
      <c r="B150" s="123" t="s">
        <v>10697</v>
      </c>
      <c r="C150" s="92">
        <v>5301.49</v>
      </c>
    </row>
    <row r="151" spans="1:3" s="124" customFormat="1" ht="13.5" customHeight="1">
      <c r="A151" s="123" t="s">
        <v>10698</v>
      </c>
      <c r="B151" s="123" t="s">
        <v>10699</v>
      </c>
      <c r="C151" s="92">
        <v>5301.84</v>
      </c>
    </row>
    <row r="152" spans="1:3" s="124" customFormat="1" ht="13.5" customHeight="1">
      <c r="A152" s="123" t="s">
        <v>10700</v>
      </c>
      <c r="B152" s="123" t="s">
        <v>10701</v>
      </c>
      <c r="C152" s="92">
        <v>4516.16</v>
      </c>
    </row>
    <row r="153" spans="1:3" s="124" customFormat="1" ht="13.5" customHeight="1">
      <c r="A153" s="123" t="s">
        <v>10702</v>
      </c>
      <c r="B153" s="123" t="s">
        <v>10703</v>
      </c>
      <c r="C153" s="92">
        <v>4340.75</v>
      </c>
    </row>
    <row r="154" spans="1:3" s="124" customFormat="1" ht="13.5" customHeight="1">
      <c r="A154" s="123" t="s">
        <v>10704</v>
      </c>
      <c r="B154" s="123" t="s">
        <v>10705</v>
      </c>
      <c r="C154" s="92">
        <v>4869.83</v>
      </c>
    </row>
    <row r="155" spans="1:3" s="124" customFormat="1" ht="13.5" customHeight="1">
      <c r="A155" s="123" t="s">
        <v>10706</v>
      </c>
      <c r="B155" s="123" t="s">
        <v>10707</v>
      </c>
      <c r="C155" s="92">
        <v>4926.12</v>
      </c>
    </row>
    <row r="156" spans="1:3" s="124" customFormat="1" ht="13.5" customHeight="1">
      <c r="A156" s="123" t="s">
        <v>10708</v>
      </c>
      <c r="B156" s="123" t="s">
        <v>10709</v>
      </c>
      <c r="C156" s="92">
        <v>6582.24</v>
      </c>
    </row>
    <row r="157" spans="1:3" s="124" customFormat="1" ht="13.5" customHeight="1">
      <c r="A157" s="123" t="s">
        <v>10710</v>
      </c>
      <c r="B157" s="123" t="s">
        <v>10711</v>
      </c>
      <c r="C157" s="92">
        <v>5205.87</v>
      </c>
    </row>
    <row r="158" spans="1:3" s="124" customFormat="1" ht="13.5" customHeight="1">
      <c r="A158" s="123" t="s">
        <v>10712</v>
      </c>
      <c r="B158" s="123" t="s">
        <v>10713</v>
      </c>
      <c r="C158" s="92">
        <v>4815.3900000000003</v>
      </c>
    </row>
    <row r="159" spans="1:3" s="124" customFormat="1" ht="13.5" customHeight="1">
      <c r="A159" s="123" t="s">
        <v>10714</v>
      </c>
      <c r="B159" s="123" t="s">
        <v>10715</v>
      </c>
      <c r="C159" s="92">
        <v>4351.49</v>
      </c>
    </row>
    <row r="160" spans="1:3" s="124" customFormat="1" ht="13.5" customHeight="1">
      <c r="A160" s="123" t="s">
        <v>10716</v>
      </c>
      <c r="B160" s="123" t="s">
        <v>10717</v>
      </c>
      <c r="C160" s="92">
        <v>4708.53</v>
      </c>
    </row>
    <row r="161" spans="1:3" s="124" customFormat="1" ht="13.5" customHeight="1">
      <c r="A161" s="123" t="s">
        <v>10718</v>
      </c>
      <c r="B161" s="123" t="s">
        <v>10719</v>
      </c>
      <c r="C161" s="92">
        <v>5643.62</v>
      </c>
    </row>
    <row r="162" spans="1:3" s="124" customFormat="1" ht="13.5" customHeight="1">
      <c r="A162" s="123" t="s">
        <v>10720</v>
      </c>
      <c r="B162" s="123" t="s">
        <v>10721</v>
      </c>
      <c r="C162" s="92">
        <v>5411.37</v>
      </c>
    </row>
    <row r="163" spans="1:3" s="124" customFormat="1" ht="13.5" customHeight="1">
      <c r="A163" s="123" t="s">
        <v>10722</v>
      </c>
      <c r="B163" s="123" t="s">
        <v>10723</v>
      </c>
      <c r="C163" s="92">
        <v>5001.88</v>
      </c>
    </row>
    <row r="164" spans="1:3" s="124" customFormat="1" ht="13.5" customHeight="1">
      <c r="A164" s="123" t="s">
        <v>10724</v>
      </c>
      <c r="B164" s="123" t="s">
        <v>10725</v>
      </c>
      <c r="C164" s="92">
        <v>5001.58</v>
      </c>
    </row>
    <row r="165" spans="1:3" s="124" customFormat="1" ht="13.5" customHeight="1">
      <c r="A165" s="123" t="s">
        <v>10726</v>
      </c>
      <c r="B165" s="123" t="s">
        <v>10727</v>
      </c>
      <c r="C165" s="92">
        <v>5001.88</v>
      </c>
    </row>
    <row r="166" spans="1:3" s="124" customFormat="1" ht="13.5" customHeight="1">
      <c r="A166" s="123" t="s">
        <v>10728</v>
      </c>
      <c r="B166" s="123" t="s">
        <v>10729</v>
      </c>
      <c r="C166" s="92">
        <v>4515.3999999999996</v>
      </c>
    </row>
    <row r="167" spans="1:3" s="124" customFormat="1" ht="13.5" customHeight="1">
      <c r="A167" s="123" t="s">
        <v>10730</v>
      </c>
      <c r="B167" s="123" t="s">
        <v>10731</v>
      </c>
      <c r="C167" s="92">
        <v>4516.88</v>
      </c>
    </row>
    <row r="168" spans="1:3" s="124" customFormat="1" ht="13.5" customHeight="1">
      <c r="A168" s="123" t="s">
        <v>10732</v>
      </c>
      <c r="B168" s="123" t="s">
        <v>10733</v>
      </c>
      <c r="C168" s="92">
        <v>5001.88</v>
      </c>
    </row>
    <row r="169" spans="1:3" s="124" customFormat="1" ht="13.5" customHeight="1">
      <c r="A169" s="123" t="s">
        <v>10734</v>
      </c>
      <c r="B169" s="123" t="s">
        <v>10735</v>
      </c>
      <c r="C169" s="92">
        <v>5498.86</v>
      </c>
    </row>
    <row r="170" spans="1:3" s="124" customFormat="1" ht="13.5" customHeight="1">
      <c r="A170" s="123" t="s">
        <v>10736</v>
      </c>
      <c r="B170" s="123" t="s">
        <v>10737</v>
      </c>
      <c r="C170" s="92">
        <v>5409.27</v>
      </c>
    </row>
    <row r="171" spans="1:3" s="124" customFormat="1" ht="13.5" customHeight="1">
      <c r="A171" s="123" t="s">
        <v>10738</v>
      </c>
      <c r="B171" s="123" t="s">
        <v>10739</v>
      </c>
      <c r="C171" s="92">
        <v>5411.69</v>
      </c>
    </row>
    <row r="172" spans="1:3" s="124" customFormat="1" ht="13.5" customHeight="1">
      <c r="A172" s="123" t="s">
        <v>10740</v>
      </c>
      <c r="B172" s="123" t="s">
        <v>10741</v>
      </c>
      <c r="C172" s="92">
        <v>4447.78</v>
      </c>
    </row>
    <row r="173" spans="1:3" s="124" customFormat="1" ht="13.5" customHeight="1">
      <c r="A173" s="123" t="s">
        <v>10742</v>
      </c>
      <c r="B173" s="123" t="s">
        <v>10743</v>
      </c>
      <c r="C173" s="92">
        <v>5301.84</v>
      </c>
    </row>
    <row r="174" spans="1:3" s="124" customFormat="1" ht="13.5" customHeight="1">
      <c r="A174" s="123" t="s">
        <v>10744</v>
      </c>
      <c r="B174" s="123" t="s">
        <v>10745</v>
      </c>
      <c r="C174" s="92">
        <v>4407.53</v>
      </c>
    </row>
    <row r="175" spans="1:3" s="124" customFormat="1" ht="13.5" customHeight="1">
      <c r="A175" s="123" t="s">
        <v>10746</v>
      </c>
      <c r="B175" s="123" t="s">
        <v>10747</v>
      </c>
      <c r="C175" s="92">
        <v>3983.34</v>
      </c>
    </row>
    <row r="176" spans="1:3" s="124" customFormat="1" ht="13.5" customHeight="1">
      <c r="A176" s="123" t="s">
        <v>10748</v>
      </c>
      <c r="B176" s="123" t="s">
        <v>10749</v>
      </c>
      <c r="C176" s="92">
        <v>4408.6400000000003</v>
      </c>
    </row>
    <row r="177" spans="1:3" s="124" customFormat="1" ht="13.5" customHeight="1">
      <c r="A177" s="123" t="s">
        <v>10750</v>
      </c>
      <c r="B177" s="123" t="s">
        <v>10751</v>
      </c>
      <c r="C177" s="92">
        <v>4933.49</v>
      </c>
    </row>
    <row r="178" spans="1:3" s="124" customFormat="1" ht="13.5" customHeight="1">
      <c r="A178" s="123" t="s">
        <v>10752</v>
      </c>
      <c r="B178" s="123" t="s">
        <v>10753</v>
      </c>
      <c r="C178" s="92">
        <v>3985.3</v>
      </c>
    </row>
    <row r="179" spans="1:3" s="124" customFormat="1" ht="13.5" customHeight="1">
      <c r="A179" s="123" t="s">
        <v>10754</v>
      </c>
      <c r="B179" s="123" t="s">
        <v>10755</v>
      </c>
      <c r="C179" s="92">
        <v>5002.38</v>
      </c>
    </row>
    <row r="180" spans="1:3" s="124" customFormat="1" ht="13.5" customHeight="1">
      <c r="A180" s="123" t="s">
        <v>10756</v>
      </c>
      <c r="B180" s="123" t="s">
        <v>10757</v>
      </c>
      <c r="C180" s="92">
        <v>3840.57</v>
      </c>
    </row>
    <row r="181" spans="1:3" s="124" customFormat="1" ht="13.5" customHeight="1">
      <c r="A181" s="123" t="s">
        <v>10758</v>
      </c>
      <c r="B181" s="123" t="s">
        <v>10759</v>
      </c>
      <c r="C181" s="92">
        <v>5101.4799999999996</v>
      </c>
    </row>
    <row r="182" spans="1:3" s="124" customFormat="1" ht="13.5" customHeight="1">
      <c r="A182" s="123" t="s">
        <v>10760</v>
      </c>
      <c r="B182" s="123" t="s">
        <v>10761</v>
      </c>
      <c r="C182" s="92">
        <v>4092.81</v>
      </c>
    </row>
    <row r="183" spans="1:3" s="124" customFormat="1" ht="13.5" customHeight="1">
      <c r="A183" s="123" t="s">
        <v>10762</v>
      </c>
      <c r="B183" s="123" t="s">
        <v>10763</v>
      </c>
      <c r="C183" s="92">
        <v>5001.58</v>
      </c>
    </row>
    <row r="184" spans="1:3" s="124" customFormat="1" ht="13.5" customHeight="1">
      <c r="A184" s="123" t="s">
        <v>10764</v>
      </c>
      <c r="B184" s="123" t="s">
        <v>10765</v>
      </c>
      <c r="C184" s="92">
        <v>4186.67</v>
      </c>
    </row>
    <row r="185" spans="1:3" s="124" customFormat="1" ht="13.5" customHeight="1">
      <c r="A185" s="123" t="s">
        <v>10766</v>
      </c>
      <c r="B185" s="123" t="s">
        <v>10767</v>
      </c>
      <c r="C185" s="92">
        <v>4515.74</v>
      </c>
    </row>
    <row r="186" spans="1:3" s="124" customFormat="1" ht="13.5" customHeight="1">
      <c r="A186" s="123" t="s">
        <v>10768</v>
      </c>
      <c r="B186" s="123" t="s">
        <v>10769</v>
      </c>
      <c r="C186" s="92">
        <v>3735.4</v>
      </c>
    </row>
    <row r="187" spans="1:3" s="124" customFormat="1" ht="13.5" customHeight="1">
      <c r="A187" s="123" t="s">
        <v>10770</v>
      </c>
      <c r="B187" s="123" t="s">
        <v>10771</v>
      </c>
      <c r="C187" s="92">
        <v>3686.33</v>
      </c>
    </row>
    <row r="188" spans="1:3" s="124" customFormat="1" ht="13.5" customHeight="1">
      <c r="A188" s="123" t="s">
        <v>10772</v>
      </c>
      <c r="B188" s="123" t="s">
        <v>10773</v>
      </c>
      <c r="C188" s="92">
        <v>3347.03</v>
      </c>
    </row>
    <row r="189" spans="1:3" s="124" customFormat="1" ht="13.5" customHeight="1">
      <c r="A189" s="123" t="s">
        <v>10774</v>
      </c>
      <c r="B189" s="123" t="s">
        <v>10775</v>
      </c>
      <c r="C189" s="92">
        <v>3347.03</v>
      </c>
    </row>
    <row r="190" spans="1:3" s="124" customFormat="1" ht="13.5" customHeight="1">
      <c r="A190" s="123" t="s">
        <v>10776</v>
      </c>
      <c r="B190" s="123" t="s">
        <v>10777</v>
      </c>
      <c r="C190" s="92">
        <v>5001.2299999999996</v>
      </c>
    </row>
    <row r="191" spans="1:3" s="124" customFormat="1" ht="13.5" customHeight="1">
      <c r="A191" s="123" t="s">
        <v>10778</v>
      </c>
      <c r="B191" s="123" t="s">
        <v>10779</v>
      </c>
      <c r="C191" s="92">
        <v>5514.96</v>
      </c>
    </row>
    <row r="192" spans="1:3" s="124" customFormat="1" ht="13.5" customHeight="1">
      <c r="A192" s="123" t="s">
        <v>10780</v>
      </c>
      <c r="B192" s="123" t="s">
        <v>10781</v>
      </c>
      <c r="C192" s="92">
        <v>3804.55</v>
      </c>
    </row>
    <row r="193" spans="1:3" s="124" customFormat="1" ht="13.5" customHeight="1">
      <c r="A193" s="123" t="s">
        <v>10782</v>
      </c>
      <c r="B193" s="123" t="s">
        <v>10783</v>
      </c>
      <c r="C193" s="92">
        <v>3310.1</v>
      </c>
    </row>
    <row r="194" spans="1:3" s="124" customFormat="1" ht="13.5" customHeight="1">
      <c r="A194" s="123" t="s">
        <v>10784</v>
      </c>
      <c r="B194" s="123" t="s">
        <v>10785</v>
      </c>
      <c r="C194" s="92">
        <v>4816.49</v>
      </c>
    </row>
    <row r="195" spans="1:3" s="124" customFormat="1" ht="13.5" customHeight="1">
      <c r="A195" s="123" t="s">
        <v>10786</v>
      </c>
      <c r="B195" s="123" t="s">
        <v>10787</v>
      </c>
      <c r="C195" s="92">
        <v>3780.3</v>
      </c>
    </row>
    <row r="196" spans="1:3" s="124" customFormat="1" ht="13.5" customHeight="1">
      <c r="A196" s="123" t="s">
        <v>10788</v>
      </c>
      <c r="B196" s="123" t="s">
        <v>10789</v>
      </c>
      <c r="C196" s="92">
        <v>3780.3</v>
      </c>
    </row>
    <row r="197" spans="1:3" s="124" customFormat="1" ht="13.5" customHeight="1">
      <c r="A197" s="123" t="s">
        <v>10790</v>
      </c>
      <c r="B197" s="123" t="s">
        <v>10791</v>
      </c>
      <c r="C197" s="92">
        <v>1794.27</v>
      </c>
    </row>
    <row r="198" spans="1:3" s="124" customFormat="1" ht="13.5" customHeight="1">
      <c r="A198" s="123" t="s">
        <v>10792</v>
      </c>
      <c r="B198" s="123" t="s">
        <v>10793</v>
      </c>
      <c r="C198" s="92">
        <v>4606.01</v>
      </c>
    </row>
    <row r="199" spans="1:3" s="124" customFormat="1" ht="13.5" customHeight="1">
      <c r="A199" s="123" t="s">
        <v>10794</v>
      </c>
      <c r="B199" s="123" t="s">
        <v>10795</v>
      </c>
      <c r="C199" s="92">
        <v>2925.63</v>
      </c>
    </row>
    <row r="200" spans="1:3" s="124" customFormat="1" ht="13.5" customHeight="1">
      <c r="A200" s="123" t="s">
        <v>10796</v>
      </c>
      <c r="B200" s="123" t="s">
        <v>10797</v>
      </c>
      <c r="C200" s="92">
        <v>4458.5</v>
      </c>
    </row>
    <row r="201" spans="1:3" s="124" customFormat="1" ht="13.5" customHeight="1">
      <c r="A201" s="123" t="s">
        <v>10798</v>
      </c>
      <c r="B201" s="123" t="s">
        <v>10799</v>
      </c>
      <c r="C201" s="92">
        <v>5013.21</v>
      </c>
    </row>
    <row r="202" spans="1:3" s="124" customFormat="1" ht="13.5" customHeight="1">
      <c r="A202" s="123" t="s">
        <v>10800</v>
      </c>
      <c r="B202" s="123" t="s">
        <v>10801</v>
      </c>
      <c r="C202" s="92">
        <v>3674.49</v>
      </c>
    </row>
    <row r="203" spans="1:3" s="124" customFormat="1" ht="13.5" customHeight="1">
      <c r="A203" s="123" t="s">
        <v>10802</v>
      </c>
      <c r="B203" s="123" t="s">
        <v>10803</v>
      </c>
      <c r="C203" s="92">
        <v>4515.6400000000003</v>
      </c>
    </row>
    <row r="204" spans="1:3" s="124" customFormat="1" ht="13.5" customHeight="1">
      <c r="A204" s="123" t="s">
        <v>10804</v>
      </c>
      <c r="B204" s="123" t="s">
        <v>10805</v>
      </c>
      <c r="C204" s="92">
        <v>3273.05</v>
      </c>
    </row>
    <row r="205" spans="1:3" s="124" customFormat="1" ht="13.5" customHeight="1">
      <c r="A205" s="123" t="s">
        <v>10806</v>
      </c>
      <c r="B205" s="123" t="s">
        <v>10807</v>
      </c>
      <c r="C205" s="92">
        <v>3590.43</v>
      </c>
    </row>
    <row r="206" spans="1:3" s="124" customFormat="1" ht="13.5" customHeight="1">
      <c r="A206" s="123" t="s">
        <v>10808</v>
      </c>
      <c r="B206" s="123" t="s">
        <v>10809</v>
      </c>
      <c r="C206" s="92">
        <v>2123.9699999999998</v>
      </c>
    </row>
    <row r="207" spans="1:3" s="124" customFormat="1" ht="13.5" customHeight="1">
      <c r="A207" s="123" t="s">
        <v>10810</v>
      </c>
      <c r="B207" s="123" t="s">
        <v>10811</v>
      </c>
      <c r="C207" s="92">
        <v>2123.9699999999998</v>
      </c>
    </row>
    <row r="208" spans="1:3" s="124" customFormat="1" ht="13.5" customHeight="1">
      <c r="A208" s="123" t="s">
        <v>10812</v>
      </c>
      <c r="B208" s="123" t="s">
        <v>10813</v>
      </c>
      <c r="C208" s="92">
        <v>4407.53</v>
      </c>
    </row>
    <row r="209" spans="1:3" s="124" customFormat="1" ht="13.5" customHeight="1">
      <c r="A209" s="123" t="s">
        <v>10814</v>
      </c>
      <c r="B209" s="123" t="s">
        <v>10815</v>
      </c>
      <c r="C209" s="92">
        <v>4398.58</v>
      </c>
    </row>
    <row r="210" spans="1:3" s="124" customFormat="1" ht="13.5" customHeight="1">
      <c r="A210" s="123" t="s">
        <v>10816</v>
      </c>
      <c r="B210" s="123" t="s">
        <v>10817</v>
      </c>
      <c r="C210" s="92">
        <v>4856.83</v>
      </c>
    </row>
    <row r="211" spans="1:3" s="124" customFormat="1" ht="13.5" customHeight="1">
      <c r="A211" s="123" t="s">
        <v>10818</v>
      </c>
      <c r="B211" s="123" t="s">
        <v>10819</v>
      </c>
      <c r="C211" s="92">
        <v>4458.2</v>
      </c>
    </row>
    <row r="212" spans="1:3" s="124" customFormat="1" ht="13.5" customHeight="1">
      <c r="A212" s="123" t="s">
        <v>10820</v>
      </c>
      <c r="B212" s="123" t="s">
        <v>10821</v>
      </c>
      <c r="C212" s="92">
        <v>4047.19</v>
      </c>
    </row>
    <row r="213" spans="1:3" s="124" customFormat="1" ht="13.5" customHeight="1">
      <c r="A213" s="123" t="s">
        <v>10822</v>
      </c>
      <c r="B213" s="123" t="s">
        <v>10823</v>
      </c>
      <c r="C213" s="92">
        <v>5048.29</v>
      </c>
    </row>
    <row r="214" spans="1:3" s="124" customFormat="1" ht="13.5" customHeight="1">
      <c r="A214" s="123" t="s">
        <v>10824</v>
      </c>
      <c r="B214" s="123" t="s">
        <v>10825</v>
      </c>
      <c r="C214" s="92">
        <v>2923.46</v>
      </c>
    </row>
    <row r="215" spans="1:3" s="124" customFormat="1" ht="13.5" customHeight="1">
      <c r="A215" s="123" t="s">
        <v>10826</v>
      </c>
      <c r="B215" s="123" t="s">
        <v>10827</v>
      </c>
      <c r="C215" s="92">
        <v>2923.27</v>
      </c>
    </row>
    <row r="216" spans="1:3" s="124" customFormat="1" ht="13.5" customHeight="1">
      <c r="A216" s="123" t="s">
        <v>10828</v>
      </c>
      <c r="B216" s="123" t="s">
        <v>10829</v>
      </c>
      <c r="C216" s="92">
        <v>2984.57</v>
      </c>
    </row>
    <row r="217" spans="1:3" s="124" customFormat="1" ht="13.5" customHeight="1">
      <c r="A217" s="123" t="s">
        <v>10830</v>
      </c>
      <c r="B217" s="123" t="s">
        <v>10831</v>
      </c>
      <c r="C217" s="92">
        <v>1592.75</v>
      </c>
    </row>
    <row r="218" spans="1:3" s="124" customFormat="1" ht="13.5" customHeight="1">
      <c r="A218" s="123" t="s">
        <v>10832</v>
      </c>
      <c r="B218" s="123" t="s">
        <v>10833</v>
      </c>
      <c r="C218" s="92">
        <v>3332.63</v>
      </c>
    </row>
    <row r="219" spans="1:3" s="124" customFormat="1" ht="13.5" customHeight="1">
      <c r="A219" s="123" t="s">
        <v>10834</v>
      </c>
      <c r="B219" s="123" t="s">
        <v>10835</v>
      </c>
      <c r="C219" s="92">
        <v>3735.36</v>
      </c>
    </row>
    <row r="220" spans="1:3" s="124" customFormat="1" ht="13.5" customHeight="1">
      <c r="A220" s="123" t="s">
        <v>10836</v>
      </c>
      <c r="B220" s="123" t="s">
        <v>10837</v>
      </c>
      <c r="C220" s="92">
        <v>4340.84</v>
      </c>
    </row>
    <row r="221" spans="1:3" s="124" customFormat="1" ht="13.5" customHeight="1">
      <c r="A221" s="123" t="s">
        <v>10838</v>
      </c>
      <c r="B221" s="123" t="s">
        <v>10839</v>
      </c>
      <c r="C221" s="92">
        <v>4400.47</v>
      </c>
    </row>
    <row r="222" spans="1:3" s="124" customFormat="1" ht="13.5" customHeight="1">
      <c r="A222" s="123" t="s">
        <v>10840</v>
      </c>
      <c r="B222" s="123" t="s">
        <v>10841</v>
      </c>
      <c r="C222" s="92">
        <v>4458.2</v>
      </c>
    </row>
    <row r="223" spans="1:3" s="124" customFormat="1" ht="13.5" customHeight="1">
      <c r="A223" s="123" t="s">
        <v>10842</v>
      </c>
      <c r="B223" s="123" t="s">
        <v>10843</v>
      </c>
      <c r="C223" s="92">
        <v>3187.87</v>
      </c>
    </row>
    <row r="224" spans="1:3" s="124" customFormat="1" ht="13.5" customHeight="1">
      <c r="A224" s="123" t="s">
        <v>10844</v>
      </c>
      <c r="B224" s="123" t="s">
        <v>10845</v>
      </c>
      <c r="C224" s="92">
        <v>4723.7700000000004</v>
      </c>
    </row>
    <row r="225" spans="1:3" s="124" customFormat="1" ht="13.5" customHeight="1">
      <c r="A225" s="123" t="s">
        <v>10846</v>
      </c>
      <c r="B225" s="123" t="s">
        <v>10847</v>
      </c>
      <c r="C225" s="92">
        <v>4460.74</v>
      </c>
    </row>
    <row r="226" spans="1:3" s="124" customFormat="1" ht="13.5" customHeight="1">
      <c r="A226" s="123" t="s">
        <v>10848</v>
      </c>
      <c r="B226" s="123" t="s">
        <v>10849</v>
      </c>
      <c r="C226" s="92">
        <v>2963.77</v>
      </c>
    </row>
    <row r="227" spans="1:3" s="124" customFormat="1" ht="13.5" customHeight="1">
      <c r="A227" s="123" t="s">
        <v>10850</v>
      </c>
      <c r="B227" s="123" t="s">
        <v>10851</v>
      </c>
      <c r="C227" s="92">
        <v>4461.01</v>
      </c>
    </row>
    <row r="228" spans="1:3" s="124" customFormat="1" ht="13.5" customHeight="1">
      <c r="A228" s="123" t="s">
        <v>10852</v>
      </c>
      <c r="B228" s="123" t="s">
        <v>10853</v>
      </c>
      <c r="C228" s="92">
        <v>1209.71</v>
      </c>
    </row>
    <row r="229" spans="1:3" s="124" customFormat="1" ht="13.5" customHeight="1">
      <c r="A229" s="123" t="s">
        <v>10854</v>
      </c>
      <c r="B229" s="123" t="s">
        <v>10855</v>
      </c>
      <c r="C229" s="92">
        <v>1209.71</v>
      </c>
    </row>
    <row r="230" spans="1:3" s="124" customFormat="1" ht="13.5" customHeight="1">
      <c r="A230" s="123" t="s">
        <v>10856</v>
      </c>
      <c r="B230" s="123" t="s">
        <v>10857</v>
      </c>
      <c r="C230" s="92">
        <v>3473.73</v>
      </c>
    </row>
    <row r="231" spans="1:3" s="124" customFormat="1" ht="13.5" customHeight="1">
      <c r="A231" s="123" t="s">
        <v>10858</v>
      </c>
      <c r="B231" s="123" t="s">
        <v>10859</v>
      </c>
      <c r="C231" s="92">
        <v>3735.22</v>
      </c>
    </row>
    <row r="232" spans="1:3" s="124" customFormat="1" ht="13.5" customHeight="1">
      <c r="A232" s="123" t="s">
        <v>10860</v>
      </c>
      <c r="B232" s="123" t="s">
        <v>10861</v>
      </c>
      <c r="C232" s="92">
        <v>5002.5600000000004</v>
      </c>
    </row>
    <row r="233" spans="1:3" s="124" customFormat="1" ht="13.5" customHeight="1">
      <c r="A233" s="123" t="s">
        <v>10862</v>
      </c>
      <c r="B233" s="123" t="s">
        <v>10863</v>
      </c>
      <c r="C233" s="92">
        <v>3629.89</v>
      </c>
    </row>
    <row r="234" spans="1:3" s="124" customFormat="1" ht="13.5" customHeight="1">
      <c r="A234" s="123" t="s">
        <v>10864</v>
      </c>
      <c r="B234" s="123" t="s">
        <v>10865</v>
      </c>
      <c r="C234" s="92">
        <v>2926.61</v>
      </c>
    </row>
    <row r="235" spans="1:3" s="124" customFormat="1" ht="13.5" customHeight="1">
      <c r="A235" s="123" t="s">
        <v>10866</v>
      </c>
      <c r="B235" s="123" t="s">
        <v>10867</v>
      </c>
      <c r="C235" s="92">
        <v>3892.42</v>
      </c>
    </row>
    <row r="236" spans="1:3" s="124" customFormat="1" ht="13.5" customHeight="1">
      <c r="A236" s="123" t="s">
        <v>10868</v>
      </c>
      <c r="B236" s="123" t="s">
        <v>10869</v>
      </c>
      <c r="C236" s="92">
        <v>4128.49</v>
      </c>
    </row>
    <row r="237" spans="1:3" s="124" customFormat="1" ht="13.5" customHeight="1">
      <c r="A237" s="123" t="s">
        <v>10870</v>
      </c>
      <c r="B237" s="123" t="s">
        <v>10871</v>
      </c>
      <c r="C237" s="92">
        <v>3551.12</v>
      </c>
    </row>
    <row r="238" spans="1:3" s="124" customFormat="1" ht="13.5" customHeight="1">
      <c r="A238" s="123" t="s">
        <v>10872</v>
      </c>
      <c r="B238" s="123" t="s">
        <v>10873</v>
      </c>
      <c r="C238" s="92">
        <v>4320.1099999999997</v>
      </c>
    </row>
    <row r="239" spans="1:3" s="124" customFormat="1" ht="13.5" customHeight="1">
      <c r="A239" s="123" t="s">
        <v>10874</v>
      </c>
      <c r="B239" s="123" t="s">
        <v>10875</v>
      </c>
      <c r="C239" s="92">
        <v>4340.75</v>
      </c>
    </row>
    <row r="240" spans="1:3" s="124" customFormat="1" ht="13.5" customHeight="1">
      <c r="A240" s="123" t="s">
        <v>10876</v>
      </c>
      <c r="B240" s="123" t="s">
        <v>10877</v>
      </c>
      <c r="C240" s="92">
        <v>4340.75</v>
      </c>
    </row>
    <row r="241" spans="1:3" s="124" customFormat="1" ht="13.5" customHeight="1">
      <c r="A241" s="123" t="s">
        <v>10878</v>
      </c>
      <c r="B241" s="123" t="s">
        <v>10879</v>
      </c>
      <c r="C241" s="92">
        <v>4458.2</v>
      </c>
    </row>
    <row r="242" spans="1:3" s="124" customFormat="1" ht="13.5" customHeight="1">
      <c r="A242" s="123" t="s">
        <v>10880</v>
      </c>
      <c r="B242" s="123" t="s">
        <v>10881</v>
      </c>
      <c r="C242" s="92">
        <v>4458.2</v>
      </c>
    </row>
    <row r="243" spans="1:3" s="124" customFormat="1" ht="13.5" customHeight="1">
      <c r="A243" s="123" t="s">
        <v>10882</v>
      </c>
      <c r="B243" s="123" t="s">
        <v>10883</v>
      </c>
      <c r="C243" s="92">
        <v>3675.08</v>
      </c>
    </row>
    <row r="244" spans="1:3" s="124" customFormat="1" ht="13.5" customHeight="1">
      <c r="A244" s="123" t="s">
        <v>10884</v>
      </c>
      <c r="B244" s="123" t="s">
        <v>10885</v>
      </c>
      <c r="C244" s="92">
        <v>4956.4799999999996</v>
      </c>
    </row>
    <row r="245" spans="1:3" s="124" customFormat="1" ht="13.5" customHeight="1">
      <c r="A245" s="123" t="s">
        <v>10886</v>
      </c>
      <c r="B245" s="123" t="s">
        <v>10887</v>
      </c>
      <c r="C245" s="92">
        <v>1693.21</v>
      </c>
    </row>
    <row r="246" spans="1:3" s="124" customFormat="1" ht="13.5" customHeight="1">
      <c r="A246" s="123" t="s">
        <v>10888</v>
      </c>
      <c r="B246" s="123" t="s">
        <v>10889</v>
      </c>
      <c r="C246" s="92">
        <v>2681.86</v>
      </c>
    </row>
    <row r="247" spans="1:3" s="124" customFormat="1" ht="13.5" customHeight="1">
      <c r="A247" s="123" t="s">
        <v>10890</v>
      </c>
      <c r="B247" s="123" t="s">
        <v>10891</v>
      </c>
      <c r="C247" s="92">
        <v>3735.33</v>
      </c>
    </row>
    <row r="248" spans="1:3" s="124" customFormat="1" ht="13.5" customHeight="1">
      <c r="A248" s="123" t="s">
        <v>10892</v>
      </c>
      <c r="B248" s="123" t="s">
        <v>10893</v>
      </c>
      <c r="C248" s="92">
        <v>4791.1000000000004</v>
      </c>
    </row>
    <row r="249" spans="1:3" s="124" customFormat="1" ht="13.5" customHeight="1">
      <c r="A249" s="123" t="s">
        <v>10894</v>
      </c>
      <c r="B249" s="123" t="s">
        <v>10895</v>
      </c>
      <c r="C249" s="92">
        <v>2204.11</v>
      </c>
    </row>
    <row r="250" spans="1:3" s="124" customFormat="1" ht="13.5" customHeight="1">
      <c r="A250" s="123" t="s">
        <v>10896</v>
      </c>
      <c r="B250" s="123" t="s">
        <v>10897</v>
      </c>
      <c r="C250" s="92">
        <v>3320.48</v>
      </c>
    </row>
    <row r="251" spans="1:3" s="124" customFormat="1" ht="13.5" customHeight="1">
      <c r="A251" s="123" t="s">
        <v>10898</v>
      </c>
      <c r="B251" s="123" t="s">
        <v>10899</v>
      </c>
      <c r="C251" s="92">
        <v>4223.7299999999996</v>
      </c>
    </row>
    <row r="252" spans="1:3" s="124" customFormat="1" ht="13.5" customHeight="1">
      <c r="A252" s="123" t="s">
        <v>10900</v>
      </c>
      <c r="B252" s="123" t="s">
        <v>10901</v>
      </c>
      <c r="C252" s="92">
        <v>3393.56</v>
      </c>
    </row>
    <row r="253" spans="1:3" s="124" customFormat="1" ht="13.5" customHeight="1">
      <c r="A253" s="123" t="s">
        <v>10902</v>
      </c>
      <c r="B253" s="123" t="s">
        <v>10903</v>
      </c>
      <c r="C253" s="92">
        <v>4460.74</v>
      </c>
    </row>
    <row r="254" spans="1:3" s="124" customFormat="1" ht="13.5" customHeight="1">
      <c r="A254" s="123" t="s">
        <v>10904</v>
      </c>
      <c r="B254" s="123" t="s">
        <v>10905</v>
      </c>
      <c r="C254" s="92">
        <v>4397.92</v>
      </c>
    </row>
    <row r="255" spans="1:3" s="124" customFormat="1" ht="13.5" customHeight="1">
      <c r="A255" s="123" t="s">
        <v>10906</v>
      </c>
      <c r="B255" s="123" t="s">
        <v>10907</v>
      </c>
      <c r="C255" s="92">
        <v>2996.85</v>
      </c>
    </row>
    <row r="256" spans="1:3" s="124" customFormat="1" ht="13.5" customHeight="1">
      <c r="A256" s="123" t="s">
        <v>10908</v>
      </c>
      <c r="B256" s="123" t="s">
        <v>10909</v>
      </c>
      <c r="C256" s="92">
        <v>4723.7700000000004</v>
      </c>
    </row>
    <row r="257" spans="1:3" s="124" customFormat="1" ht="13.5" customHeight="1">
      <c r="A257" s="123" t="s">
        <v>10910</v>
      </c>
      <c r="B257" s="123" t="s">
        <v>10911</v>
      </c>
      <c r="C257" s="92">
        <v>4869.83</v>
      </c>
    </row>
    <row r="258" spans="1:3" s="124" customFormat="1" ht="13.5" customHeight="1">
      <c r="A258" s="123" t="s">
        <v>10912</v>
      </c>
      <c r="B258" s="123" t="s">
        <v>10913</v>
      </c>
      <c r="C258" s="92">
        <v>4463.29</v>
      </c>
    </row>
    <row r="259" spans="1:3" s="124" customFormat="1" ht="13.5" customHeight="1">
      <c r="A259" s="123" t="s">
        <v>10914</v>
      </c>
      <c r="B259" s="123" t="s">
        <v>10915</v>
      </c>
      <c r="C259" s="92">
        <v>4459.18</v>
      </c>
    </row>
    <row r="260" spans="1:3" s="124" customFormat="1" ht="13.5" customHeight="1">
      <c r="A260" s="123" t="s">
        <v>10916</v>
      </c>
      <c r="B260" s="123" t="s">
        <v>10917</v>
      </c>
      <c r="C260" s="92">
        <v>4459.16</v>
      </c>
    </row>
    <row r="261" spans="1:3" s="124" customFormat="1" ht="13.5" customHeight="1">
      <c r="A261" s="123" t="s">
        <v>10918</v>
      </c>
      <c r="B261" s="123" t="s">
        <v>10919</v>
      </c>
      <c r="C261" s="92">
        <v>3156.32</v>
      </c>
    </row>
    <row r="262" spans="1:3" s="124" customFormat="1" ht="13.5" customHeight="1">
      <c r="A262" s="123" t="s">
        <v>10920</v>
      </c>
      <c r="B262" s="123" t="s">
        <v>10921</v>
      </c>
      <c r="C262" s="92">
        <v>4459.16</v>
      </c>
    </row>
    <row r="263" spans="1:3" s="124" customFormat="1" ht="13.5" customHeight="1">
      <c r="A263" s="123" t="s">
        <v>10922</v>
      </c>
      <c r="B263" s="123" t="s">
        <v>10923</v>
      </c>
      <c r="C263" s="92">
        <v>4815.47</v>
      </c>
    </row>
    <row r="264" spans="1:3" s="124" customFormat="1" ht="13.5" customHeight="1">
      <c r="A264" s="123" t="s">
        <v>10924</v>
      </c>
      <c r="B264" s="123" t="s">
        <v>10925</v>
      </c>
      <c r="C264" s="92">
        <v>3384.89</v>
      </c>
    </row>
    <row r="265" spans="1:3" s="124" customFormat="1" ht="13.5" customHeight="1">
      <c r="A265" s="123" t="s">
        <v>10926</v>
      </c>
      <c r="B265" s="123" t="s">
        <v>10927</v>
      </c>
      <c r="C265" s="92">
        <v>2971.68</v>
      </c>
    </row>
    <row r="266" spans="1:3" s="124" customFormat="1" ht="13.5" customHeight="1">
      <c r="A266" s="123" t="s">
        <v>10928</v>
      </c>
      <c r="B266" s="123" t="s">
        <v>10929</v>
      </c>
      <c r="C266" s="92">
        <v>2535.13</v>
      </c>
    </row>
    <row r="267" spans="1:3" s="124" customFormat="1" ht="13.5" customHeight="1">
      <c r="A267" s="123" t="s">
        <v>10930</v>
      </c>
      <c r="B267" s="123" t="s">
        <v>10931</v>
      </c>
      <c r="C267" s="92">
        <v>2404.5500000000002</v>
      </c>
    </row>
    <row r="268" spans="1:3" s="124" customFormat="1" ht="13.5" customHeight="1">
      <c r="A268" s="123" t="s">
        <v>10932</v>
      </c>
      <c r="B268" s="123" t="s">
        <v>10933</v>
      </c>
      <c r="C268" s="92">
        <v>4398.8999999999996</v>
      </c>
    </row>
    <row r="269" spans="1:3" s="124" customFormat="1" ht="13.5" customHeight="1">
      <c r="A269" s="123" t="s">
        <v>10934</v>
      </c>
      <c r="B269" s="123" t="s">
        <v>10935</v>
      </c>
      <c r="C269" s="92">
        <v>4139.58</v>
      </c>
    </row>
    <row r="270" spans="1:3" s="124" customFormat="1" ht="13.5" customHeight="1">
      <c r="A270" s="123" t="s">
        <v>10936</v>
      </c>
      <c r="B270" s="123" t="s">
        <v>10937</v>
      </c>
      <c r="C270" s="92">
        <v>3675.08</v>
      </c>
    </row>
    <row r="271" spans="1:3" s="124" customFormat="1" ht="13.5" customHeight="1">
      <c r="A271" s="123" t="s">
        <v>10938</v>
      </c>
      <c r="B271" s="123" t="s">
        <v>10939</v>
      </c>
      <c r="C271" s="92">
        <v>4395.46</v>
      </c>
    </row>
    <row r="272" spans="1:3" s="124" customFormat="1" ht="13.5" customHeight="1">
      <c r="A272" s="123" t="s">
        <v>10940</v>
      </c>
      <c r="B272" s="123" t="s">
        <v>10941</v>
      </c>
      <c r="C272" s="92">
        <v>4598.51</v>
      </c>
    </row>
    <row r="273" spans="1:3" s="124" customFormat="1" ht="13.5" customHeight="1">
      <c r="A273" s="123" t="s">
        <v>10942</v>
      </c>
      <c r="B273" s="123" t="s">
        <v>10943</v>
      </c>
      <c r="C273" s="92">
        <v>2749.65</v>
      </c>
    </row>
    <row r="274" spans="1:3" s="124" customFormat="1" ht="13.5" customHeight="1">
      <c r="A274" s="123" t="s">
        <v>10944</v>
      </c>
      <c r="B274" s="123" t="s">
        <v>10945</v>
      </c>
      <c r="C274" s="92">
        <v>4398.18</v>
      </c>
    </row>
    <row r="275" spans="1:3" s="124" customFormat="1" ht="13.5" customHeight="1">
      <c r="A275" s="123" t="s">
        <v>10946</v>
      </c>
      <c r="B275" s="123" t="s">
        <v>10947</v>
      </c>
      <c r="C275" s="92">
        <v>4445.3999999999996</v>
      </c>
    </row>
    <row r="276" spans="1:3" s="124" customFormat="1" ht="13.5" customHeight="1">
      <c r="A276" s="123" t="s">
        <v>10948</v>
      </c>
      <c r="B276" s="123" t="s">
        <v>10949</v>
      </c>
      <c r="C276" s="92">
        <v>3333.27</v>
      </c>
    </row>
    <row r="277" spans="1:3" s="124" customFormat="1" ht="13.5" customHeight="1">
      <c r="A277" s="123" t="s">
        <v>10950</v>
      </c>
      <c r="B277" s="123" t="s">
        <v>10951</v>
      </c>
      <c r="C277" s="92">
        <v>2785.98</v>
      </c>
    </row>
    <row r="278" spans="1:3" s="124" customFormat="1" ht="13.5" customHeight="1">
      <c r="A278" s="123" t="s">
        <v>10952</v>
      </c>
      <c r="B278" s="123" t="s">
        <v>10953</v>
      </c>
      <c r="C278" s="92">
        <v>1438.95</v>
      </c>
    </row>
    <row r="279" spans="1:3" s="124" customFormat="1" ht="13.5" customHeight="1">
      <c r="A279" s="123" t="s">
        <v>10954</v>
      </c>
      <c r="B279" s="123" t="s">
        <v>10955</v>
      </c>
      <c r="C279" s="92">
        <v>2785.98</v>
      </c>
    </row>
    <row r="280" spans="1:3" s="124" customFormat="1" ht="13.5" customHeight="1">
      <c r="A280" s="123" t="s">
        <v>10956</v>
      </c>
      <c r="B280" s="123" t="s">
        <v>10957</v>
      </c>
      <c r="C280" s="92">
        <v>3610.17</v>
      </c>
    </row>
    <row r="281" spans="1:3" s="124" customFormat="1" ht="13.5" customHeight="1">
      <c r="A281" s="123" t="s">
        <v>10958</v>
      </c>
      <c r="B281" s="123" t="s">
        <v>10959</v>
      </c>
      <c r="C281" s="92">
        <v>4463.29</v>
      </c>
    </row>
    <row r="282" spans="1:3" s="124" customFormat="1" ht="13.5" customHeight="1">
      <c r="A282" s="123" t="s">
        <v>10960</v>
      </c>
      <c r="B282" s="123" t="s">
        <v>10961</v>
      </c>
      <c r="C282" s="92">
        <v>4397.8500000000004</v>
      </c>
    </row>
    <row r="283" spans="1:3" s="124" customFormat="1" ht="13.5" customHeight="1">
      <c r="A283" s="123" t="s">
        <v>10962</v>
      </c>
      <c r="B283" s="123" t="s">
        <v>10963</v>
      </c>
      <c r="C283" s="92">
        <v>3346.18</v>
      </c>
    </row>
    <row r="284" spans="1:3" s="124" customFormat="1" ht="13.5" customHeight="1">
      <c r="A284" s="123" t="s">
        <v>10964</v>
      </c>
      <c r="B284" s="123" t="s">
        <v>10965</v>
      </c>
      <c r="C284" s="92">
        <v>3450.69</v>
      </c>
    </row>
    <row r="285" spans="1:3" s="124" customFormat="1" ht="13.5" customHeight="1">
      <c r="A285" s="123" t="s">
        <v>10966</v>
      </c>
      <c r="B285" s="123" t="s">
        <v>10967</v>
      </c>
      <c r="C285" s="92">
        <v>2036.64</v>
      </c>
    </row>
    <row r="286" spans="1:3" s="124" customFormat="1" ht="13.5" customHeight="1">
      <c r="A286" s="123" t="s">
        <v>10968</v>
      </c>
      <c r="B286" s="123" t="s">
        <v>10969</v>
      </c>
      <c r="C286" s="92">
        <v>3273.07</v>
      </c>
    </row>
    <row r="287" spans="1:3" s="124" customFormat="1" ht="13.5" customHeight="1">
      <c r="A287" s="123" t="s">
        <v>10970</v>
      </c>
      <c r="B287" s="123" t="s">
        <v>10971</v>
      </c>
      <c r="C287" s="92">
        <v>4459.2299999999996</v>
      </c>
    </row>
    <row r="288" spans="1:3" s="124" customFormat="1" ht="13.5" customHeight="1">
      <c r="A288" s="123" t="s">
        <v>10972</v>
      </c>
      <c r="B288" s="123" t="s">
        <v>10973</v>
      </c>
      <c r="C288" s="92">
        <v>1472.86</v>
      </c>
    </row>
    <row r="289" spans="1:3" s="124" customFormat="1" ht="13.5" customHeight="1">
      <c r="A289" s="123" t="s">
        <v>10974</v>
      </c>
      <c r="B289" s="123" t="s">
        <v>10975</v>
      </c>
      <c r="C289" s="92">
        <v>2423.2600000000002</v>
      </c>
    </row>
    <row r="290" spans="1:3" s="124" customFormat="1" ht="13.5" customHeight="1">
      <c r="A290" s="123" t="s">
        <v>10976</v>
      </c>
      <c r="B290" s="123" t="s">
        <v>10977</v>
      </c>
      <c r="C290" s="92">
        <v>3227.75</v>
      </c>
    </row>
    <row r="291" spans="1:3" s="124" customFormat="1" ht="13.5" customHeight="1">
      <c r="A291" s="123" t="s">
        <v>10978</v>
      </c>
      <c r="B291" s="123" t="s">
        <v>10979</v>
      </c>
      <c r="C291" s="92">
        <v>1724.14</v>
      </c>
    </row>
    <row r="292" spans="1:3" s="124" customFormat="1" ht="13.5" customHeight="1">
      <c r="A292" s="123" t="s">
        <v>10980</v>
      </c>
      <c r="B292" s="123" t="s">
        <v>10981</v>
      </c>
      <c r="C292" s="92">
        <v>4347.12</v>
      </c>
    </row>
    <row r="293" spans="1:3" s="124" customFormat="1" ht="13.5" customHeight="1">
      <c r="A293" s="123" t="s">
        <v>10982</v>
      </c>
      <c r="B293" s="123" t="s">
        <v>10983</v>
      </c>
      <c r="C293" s="92">
        <v>3407.29</v>
      </c>
    </row>
    <row r="294" spans="1:3" s="124" customFormat="1" ht="13.5" customHeight="1">
      <c r="A294" s="123" t="s">
        <v>10984</v>
      </c>
      <c r="B294" s="123" t="s">
        <v>10985</v>
      </c>
      <c r="C294" s="92">
        <v>4448.1400000000003</v>
      </c>
    </row>
    <row r="295" spans="1:3" s="124" customFormat="1" ht="13.5" customHeight="1">
      <c r="A295" s="123" t="s">
        <v>10986</v>
      </c>
      <c r="B295" s="123" t="s">
        <v>10987</v>
      </c>
      <c r="C295" s="92">
        <v>4257.3599999999997</v>
      </c>
    </row>
    <row r="296" spans="1:3" s="124" customFormat="1" ht="13.5" customHeight="1">
      <c r="A296" s="123" t="s">
        <v>10988</v>
      </c>
      <c r="B296" s="123" t="s">
        <v>10989</v>
      </c>
      <c r="C296" s="92">
        <v>4460.74</v>
      </c>
    </row>
    <row r="297" spans="1:3" s="124" customFormat="1" ht="13.5" customHeight="1">
      <c r="A297" s="123" t="s">
        <v>10990</v>
      </c>
      <c r="B297" s="123" t="s">
        <v>10991</v>
      </c>
      <c r="C297" s="92">
        <v>4186.3599999999997</v>
      </c>
    </row>
    <row r="298" spans="1:3" s="124" customFormat="1" ht="13.5" customHeight="1">
      <c r="A298" s="123" t="s">
        <v>10992</v>
      </c>
      <c r="B298" s="123" t="s">
        <v>10993</v>
      </c>
      <c r="C298" s="92">
        <v>4143.5</v>
      </c>
    </row>
    <row r="299" spans="1:3" s="124" customFormat="1" ht="13.5" customHeight="1">
      <c r="A299" s="123" t="s">
        <v>10994</v>
      </c>
      <c r="B299" s="123" t="s">
        <v>10995</v>
      </c>
      <c r="C299" s="92">
        <v>3553.8</v>
      </c>
    </row>
    <row r="300" spans="1:3" s="124" customFormat="1" ht="13.5" customHeight="1">
      <c r="A300" s="123" t="s">
        <v>10996</v>
      </c>
      <c r="B300" s="123" t="s">
        <v>10997</v>
      </c>
      <c r="C300" s="92">
        <v>4164.47</v>
      </c>
    </row>
    <row r="301" spans="1:3" s="124" customFormat="1" ht="13.5" customHeight="1">
      <c r="A301" s="123" t="s">
        <v>10998</v>
      </c>
      <c r="B301" s="123" t="s">
        <v>10999</v>
      </c>
      <c r="C301" s="92">
        <v>4458.2700000000004</v>
      </c>
    </row>
    <row r="302" spans="1:3" s="124" customFormat="1" ht="13.5" customHeight="1">
      <c r="A302" s="123" t="s">
        <v>11000</v>
      </c>
      <c r="B302" s="123" t="s">
        <v>11001</v>
      </c>
      <c r="C302" s="92">
        <v>3347.09</v>
      </c>
    </row>
    <row r="303" spans="1:3" s="124" customFormat="1" ht="13.5" customHeight="1">
      <c r="A303" s="123" t="s">
        <v>11002</v>
      </c>
      <c r="B303" s="123" t="s">
        <v>11003</v>
      </c>
      <c r="C303" s="92">
        <v>4398.8999999999996</v>
      </c>
    </row>
    <row r="304" spans="1:3" s="124" customFormat="1" ht="13.5" customHeight="1">
      <c r="A304" s="123" t="s">
        <v>11004</v>
      </c>
      <c r="B304" s="123" t="s">
        <v>11005</v>
      </c>
      <c r="C304" s="92">
        <v>5512.71</v>
      </c>
    </row>
    <row r="305" spans="1:3" s="124" customFormat="1" ht="13.5" customHeight="1">
      <c r="A305" s="123" t="s">
        <v>11006</v>
      </c>
      <c r="B305" s="123" t="s">
        <v>11007</v>
      </c>
      <c r="C305" s="92">
        <v>3212.85</v>
      </c>
    </row>
    <row r="306" spans="1:3" s="124" customFormat="1" ht="13.5" customHeight="1">
      <c r="A306" s="123" t="s">
        <v>11008</v>
      </c>
      <c r="B306" s="123" t="s">
        <v>11009</v>
      </c>
      <c r="C306" s="92">
        <v>4395.46</v>
      </c>
    </row>
    <row r="307" spans="1:3" s="124" customFormat="1" ht="13.5" customHeight="1">
      <c r="A307" s="123" t="s">
        <v>11010</v>
      </c>
      <c r="B307" s="123" t="s">
        <v>11011</v>
      </c>
      <c r="C307" s="92">
        <v>3202.81</v>
      </c>
    </row>
    <row r="308" spans="1:3" s="124" customFormat="1" ht="13.5" customHeight="1">
      <c r="A308" s="123" t="s">
        <v>11012</v>
      </c>
      <c r="B308" s="123" t="s">
        <v>11013</v>
      </c>
      <c r="C308" s="92">
        <v>3347.07</v>
      </c>
    </row>
    <row r="309" spans="1:3" s="124" customFormat="1" ht="13.5" customHeight="1">
      <c r="A309" s="123" t="s">
        <v>11014</v>
      </c>
      <c r="B309" s="123" t="s">
        <v>11015</v>
      </c>
      <c r="C309" s="92">
        <v>2847.43</v>
      </c>
    </row>
    <row r="310" spans="1:3" s="124" customFormat="1" ht="13.5" customHeight="1">
      <c r="A310" s="123" t="s">
        <v>11016</v>
      </c>
      <c r="B310" s="123" t="s">
        <v>11017</v>
      </c>
      <c r="C310" s="92">
        <v>3254.13</v>
      </c>
    </row>
    <row r="311" spans="1:3" s="124" customFormat="1" ht="13.5" customHeight="1">
      <c r="A311" s="123" t="s">
        <v>11018</v>
      </c>
      <c r="B311" s="123" t="s">
        <v>11019</v>
      </c>
      <c r="C311" s="92">
        <v>4106.5600000000004</v>
      </c>
    </row>
    <row r="312" spans="1:3" s="124" customFormat="1" ht="13.5" customHeight="1">
      <c r="A312" s="123" t="s">
        <v>11020</v>
      </c>
      <c r="B312" s="123" t="s">
        <v>11021</v>
      </c>
      <c r="C312" s="92">
        <v>2851.85</v>
      </c>
    </row>
    <row r="313" spans="1:3" s="124" customFormat="1" ht="13.5" customHeight="1">
      <c r="A313" s="123" t="s">
        <v>11022</v>
      </c>
      <c r="B313" s="123" t="s">
        <v>11023</v>
      </c>
      <c r="C313" s="92">
        <v>2749.64</v>
      </c>
    </row>
    <row r="314" spans="1:3" s="124" customFormat="1" ht="13.5" customHeight="1">
      <c r="A314" s="123" t="s">
        <v>11024</v>
      </c>
      <c r="B314" s="123" t="s">
        <v>11025</v>
      </c>
      <c r="C314" s="92">
        <v>3797.31</v>
      </c>
    </row>
    <row r="315" spans="1:3" s="124" customFormat="1" ht="13.5" customHeight="1">
      <c r="A315" s="123" t="s">
        <v>11026</v>
      </c>
      <c r="B315" s="123" t="s">
        <v>11027</v>
      </c>
      <c r="C315" s="92">
        <v>3912.23</v>
      </c>
    </row>
    <row r="316" spans="1:3" s="124" customFormat="1" ht="13.5" customHeight="1">
      <c r="A316" s="123" t="s">
        <v>11028</v>
      </c>
      <c r="B316" s="123" t="s">
        <v>11029</v>
      </c>
      <c r="C316" s="92">
        <v>4515.66</v>
      </c>
    </row>
    <row r="317" spans="1:3" s="124" customFormat="1" ht="13.5" customHeight="1">
      <c r="A317" s="123" t="s">
        <v>11030</v>
      </c>
      <c r="B317" s="123" t="s">
        <v>11031</v>
      </c>
      <c r="C317" s="92">
        <v>2403.4299999999998</v>
      </c>
    </row>
    <row r="318" spans="1:3" s="124" customFormat="1" ht="13.5" customHeight="1">
      <c r="A318" s="123" t="s">
        <v>11032</v>
      </c>
      <c r="B318" s="123" t="s">
        <v>11033</v>
      </c>
      <c r="C318" s="92">
        <v>3440.78</v>
      </c>
    </row>
    <row r="319" spans="1:3" s="124" customFormat="1" ht="13.5" customHeight="1">
      <c r="A319" s="123" t="s">
        <v>11034</v>
      </c>
      <c r="B319" s="123" t="s">
        <v>11035</v>
      </c>
      <c r="C319" s="92">
        <v>4408.67</v>
      </c>
    </row>
    <row r="320" spans="1:3" s="124" customFormat="1" ht="13.5" customHeight="1">
      <c r="A320" s="123" t="s">
        <v>11036</v>
      </c>
      <c r="B320" s="123" t="s">
        <v>11037</v>
      </c>
      <c r="C320" s="92">
        <v>3366.87</v>
      </c>
    </row>
    <row r="321" spans="1:3" s="124" customFormat="1" ht="13.5" customHeight="1">
      <c r="A321" s="123" t="s">
        <v>11038</v>
      </c>
      <c r="B321" s="123" t="s">
        <v>11039</v>
      </c>
      <c r="C321" s="92">
        <v>4968.8500000000004</v>
      </c>
    </row>
    <row r="322" spans="1:3" s="124" customFormat="1" ht="13.5" customHeight="1">
      <c r="A322" s="123" t="s">
        <v>11040</v>
      </c>
      <c r="B322" s="123" t="s">
        <v>11041</v>
      </c>
      <c r="C322" s="92">
        <v>3726.72</v>
      </c>
    </row>
    <row r="323" spans="1:3" s="124" customFormat="1" ht="13.5" customHeight="1">
      <c r="A323" s="123" t="s">
        <v>11042</v>
      </c>
      <c r="B323" s="123" t="s">
        <v>11043</v>
      </c>
      <c r="C323" s="92">
        <v>3343.92</v>
      </c>
    </row>
    <row r="324" spans="1:3" s="124" customFormat="1" ht="13.5" customHeight="1">
      <c r="A324" s="123" t="s">
        <v>11044</v>
      </c>
      <c r="B324" s="123" t="s">
        <v>11045</v>
      </c>
      <c r="C324" s="92">
        <v>4440.1099999999997</v>
      </c>
    </row>
    <row r="325" spans="1:3" s="124" customFormat="1" ht="13.5" customHeight="1">
      <c r="A325" s="123" t="s">
        <v>11046</v>
      </c>
      <c r="B325" s="123" t="s">
        <v>11047</v>
      </c>
      <c r="C325" s="92">
        <v>3406.46</v>
      </c>
    </row>
    <row r="326" spans="1:3" s="124" customFormat="1" ht="13.5" customHeight="1">
      <c r="A326" s="123" t="s">
        <v>11048</v>
      </c>
      <c r="B326" s="123" t="s">
        <v>11049</v>
      </c>
      <c r="C326" s="92">
        <v>4100.28</v>
      </c>
    </row>
    <row r="327" spans="1:3" s="124" customFormat="1" ht="13.5" customHeight="1">
      <c r="A327" s="123" t="s">
        <v>11050</v>
      </c>
      <c r="B327" s="123" t="s">
        <v>11051</v>
      </c>
      <c r="C327" s="92">
        <v>4960.55</v>
      </c>
    </row>
    <row r="328" spans="1:3" s="124" customFormat="1" ht="13.5" customHeight="1">
      <c r="A328" s="123" t="s">
        <v>11052</v>
      </c>
      <c r="B328" s="123" t="s">
        <v>11053</v>
      </c>
      <c r="C328" s="92">
        <v>3578.45</v>
      </c>
    </row>
    <row r="329" spans="1:3" s="124" customFormat="1" ht="13.5" customHeight="1">
      <c r="A329" s="123" t="s">
        <v>11054</v>
      </c>
      <c r="B329" s="123" t="s">
        <v>11055</v>
      </c>
      <c r="C329" s="92">
        <v>5540.14</v>
      </c>
    </row>
    <row r="330" spans="1:3" s="124" customFormat="1" ht="13.5" customHeight="1">
      <c r="A330" s="123" t="s">
        <v>11056</v>
      </c>
      <c r="B330" s="123" t="s">
        <v>11057</v>
      </c>
      <c r="C330" s="92">
        <v>6279.29</v>
      </c>
    </row>
    <row r="331" spans="1:3" s="124" customFormat="1" ht="13.5" customHeight="1">
      <c r="A331" s="123" t="s">
        <v>11058</v>
      </c>
      <c r="B331" s="123" t="s">
        <v>11059</v>
      </c>
      <c r="C331" s="92">
        <v>4992.9399999999996</v>
      </c>
    </row>
    <row r="332" spans="1:3" s="124" customFormat="1" ht="13.5" customHeight="1">
      <c r="A332" s="123" t="s">
        <v>11060</v>
      </c>
      <c r="B332" s="123" t="s">
        <v>11061</v>
      </c>
      <c r="C332" s="92">
        <v>3216.45</v>
      </c>
    </row>
    <row r="333" spans="1:3" s="124" customFormat="1" ht="13.5" customHeight="1">
      <c r="A333" s="123" t="s">
        <v>11062</v>
      </c>
      <c r="B333" s="123" t="s">
        <v>11063</v>
      </c>
      <c r="C333" s="92">
        <v>5028.9399999999996</v>
      </c>
    </row>
    <row r="334" spans="1:3" s="124" customFormat="1" ht="13.5" customHeight="1">
      <c r="A334" s="123" t="s">
        <v>11064</v>
      </c>
      <c r="B334" s="123" t="s">
        <v>11065</v>
      </c>
      <c r="C334" s="92">
        <v>4516.76</v>
      </c>
    </row>
    <row r="335" spans="1:3" s="124" customFormat="1" ht="13.5" customHeight="1">
      <c r="A335" s="123" t="s">
        <v>11066</v>
      </c>
      <c r="B335" s="123" t="s">
        <v>11067</v>
      </c>
      <c r="C335" s="92">
        <v>5001.4399999999996</v>
      </c>
    </row>
    <row r="336" spans="1:3" s="124" customFormat="1" ht="13.5" customHeight="1">
      <c r="A336" s="123" t="s">
        <v>11068</v>
      </c>
      <c r="B336" s="123" t="s">
        <v>11069</v>
      </c>
      <c r="C336" s="92">
        <v>3429.53</v>
      </c>
    </row>
    <row r="337" spans="1:3" s="124" customFormat="1" ht="13.5" customHeight="1">
      <c r="A337" s="123" t="s">
        <v>11070</v>
      </c>
      <c r="B337" s="123" t="s">
        <v>11071</v>
      </c>
      <c r="C337" s="92">
        <v>4159.83</v>
      </c>
    </row>
    <row r="338" spans="1:3" s="124" customFormat="1" ht="13.5" customHeight="1">
      <c r="A338" s="123" t="s">
        <v>11072</v>
      </c>
      <c r="B338" s="123" t="s">
        <v>11073</v>
      </c>
      <c r="C338" s="92">
        <v>3333.25</v>
      </c>
    </row>
    <row r="339" spans="1:3" s="124" customFormat="1" ht="13.5" customHeight="1">
      <c r="A339" s="123" t="s">
        <v>11074</v>
      </c>
      <c r="B339" s="123" t="s">
        <v>11075</v>
      </c>
      <c r="C339" s="92">
        <v>3346.64</v>
      </c>
    </row>
    <row r="340" spans="1:3" s="124" customFormat="1" ht="13.5" customHeight="1">
      <c r="A340" s="123" t="s">
        <v>11076</v>
      </c>
      <c r="B340" s="123" t="s">
        <v>11077</v>
      </c>
      <c r="C340" s="92">
        <v>3891.18</v>
      </c>
    </row>
    <row r="341" spans="1:3" s="124" customFormat="1" ht="13.5" customHeight="1">
      <c r="A341" s="123" t="s">
        <v>11078</v>
      </c>
      <c r="B341" s="123" t="s">
        <v>11079</v>
      </c>
      <c r="C341" s="92">
        <v>2527.81</v>
      </c>
    </row>
    <row r="342" spans="1:3" s="124" customFormat="1" ht="13.5" customHeight="1">
      <c r="A342" s="123" t="s">
        <v>11080</v>
      </c>
      <c r="B342" s="123" t="s">
        <v>11081</v>
      </c>
      <c r="C342" s="92">
        <v>4113.01</v>
      </c>
    </row>
    <row r="343" spans="1:3" s="124" customFormat="1" ht="13.5" customHeight="1">
      <c r="A343" s="123" t="s">
        <v>11082</v>
      </c>
      <c r="B343" s="123" t="s">
        <v>11083</v>
      </c>
      <c r="C343" s="92">
        <v>4458.5</v>
      </c>
    </row>
    <row r="344" spans="1:3" s="124" customFormat="1" ht="13.5" customHeight="1">
      <c r="A344" s="123" t="s">
        <v>11084</v>
      </c>
      <c r="B344" s="123" t="s">
        <v>11085</v>
      </c>
      <c r="C344" s="92">
        <v>4199.49</v>
      </c>
    </row>
    <row r="345" spans="1:3" s="124" customFormat="1" ht="13.5" customHeight="1">
      <c r="A345" s="123" t="s">
        <v>11086</v>
      </c>
      <c r="B345" s="123" t="s">
        <v>11087</v>
      </c>
      <c r="C345" s="92">
        <v>2925.66</v>
      </c>
    </row>
    <row r="346" spans="1:3" s="124" customFormat="1" ht="13.5" customHeight="1">
      <c r="A346" s="123" t="s">
        <v>11088</v>
      </c>
      <c r="B346" s="123" t="s">
        <v>11089</v>
      </c>
      <c r="C346" s="92">
        <v>2504.7399999999998</v>
      </c>
    </row>
    <row r="347" spans="1:3" s="124" customFormat="1" ht="13.5" customHeight="1">
      <c r="A347" s="123" t="s">
        <v>11090</v>
      </c>
      <c r="B347" s="123" t="s">
        <v>11091</v>
      </c>
      <c r="C347" s="92">
        <v>4378.05</v>
      </c>
    </row>
    <row r="348" spans="1:3" s="124" customFormat="1" ht="13.5" customHeight="1">
      <c r="A348" s="123" t="s">
        <v>11092</v>
      </c>
      <c r="B348" s="123" t="s">
        <v>11093</v>
      </c>
      <c r="C348" s="92">
        <v>3610.17</v>
      </c>
    </row>
    <row r="349" spans="1:3" s="124" customFormat="1" ht="13.5" customHeight="1">
      <c r="A349" s="123" t="s">
        <v>11094</v>
      </c>
      <c r="B349" s="123" t="s">
        <v>11095</v>
      </c>
      <c r="C349" s="92">
        <v>2925.47</v>
      </c>
    </row>
    <row r="350" spans="1:3" s="124" customFormat="1" ht="13.5" customHeight="1">
      <c r="A350" s="123" t="s">
        <v>11096</v>
      </c>
      <c r="B350" s="123" t="s">
        <v>11097</v>
      </c>
      <c r="C350" s="92">
        <v>3996.86</v>
      </c>
    </row>
    <row r="351" spans="1:3" s="124" customFormat="1" ht="13.5" customHeight="1">
      <c r="A351" s="123" t="s">
        <v>11098</v>
      </c>
      <c r="B351" s="123" t="s">
        <v>11099</v>
      </c>
      <c r="C351" s="92">
        <v>3621.44</v>
      </c>
    </row>
    <row r="352" spans="1:3" s="124" customFormat="1" ht="13.5" customHeight="1">
      <c r="A352" s="123" t="s">
        <v>11100</v>
      </c>
      <c r="B352" s="123" t="s">
        <v>11101</v>
      </c>
      <c r="C352" s="92">
        <v>3946.46</v>
      </c>
    </row>
    <row r="353" spans="1:3" s="124" customFormat="1" ht="13.5" customHeight="1">
      <c r="A353" s="123" t="s">
        <v>11102</v>
      </c>
      <c r="B353" s="123" t="s">
        <v>11103</v>
      </c>
      <c r="C353" s="92">
        <v>4815.93</v>
      </c>
    </row>
    <row r="354" spans="1:3" s="124" customFormat="1" ht="13.5" customHeight="1">
      <c r="A354" s="123" t="s">
        <v>11104</v>
      </c>
      <c r="B354" s="123" t="s">
        <v>11105</v>
      </c>
      <c r="C354" s="92">
        <v>4748.0600000000004</v>
      </c>
    </row>
    <row r="355" spans="1:3" s="124" customFormat="1" ht="13.5" customHeight="1">
      <c r="A355" s="123" t="s">
        <v>11106</v>
      </c>
      <c r="B355" s="123" t="s">
        <v>11107</v>
      </c>
      <c r="C355" s="92">
        <v>3839.15</v>
      </c>
    </row>
    <row r="356" spans="1:3" s="124" customFormat="1" ht="13.5" customHeight="1">
      <c r="A356" s="123" t="s">
        <v>11108</v>
      </c>
      <c r="B356" s="123" t="s">
        <v>11109</v>
      </c>
      <c r="C356" s="92">
        <v>4398.18</v>
      </c>
    </row>
    <row r="357" spans="1:3" s="124" customFormat="1" ht="13.5" customHeight="1">
      <c r="A357" s="123" t="s">
        <v>11110</v>
      </c>
      <c r="B357" s="123" t="s">
        <v>11111</v>
      </c>
      <c r="C357" s="92">
        <v>2959.94</v>
      </c>
    </row>
    <row r="358" spans="1:3" s="124" customFormat="1" ht="13.5" customHeight="1">
      <c r="A358" s="123" t="s">
        <v>11112</v>
      </c>
      <c r="B358" s="123" t="s">
        <v>11113</v>
      </c>
      <c r="C358" s="92">
        <v>3347.07</v>
      </c>
    </row>
    <row r="359" spans="1:3" s="124" customFormat="1" ht="13.5" customHeight="1">
      <c r="A359" s="123" t="s">
        <v>11114</v>
      </c>
      <c r="B359" s="123" t="s">
        <v>11115</v>
      </c>
      <c r="C359" s="92">
        <v>7178.41</v>
      </c>
    </row>
    <row r="360" spans="1:3" s="124" customFormat="1" ht="13.5" customHeight="1">
      <c r="A360" s="123" t="s">
        <v>11116</v>
      </c>
      <c r="B360" s="123" t="s">
        <v>11117</v>
      </c>
      <c r="C360" s="92">
        <v>3883.02</v>
      </c>
    </row>
    <row r="361" spans="1:3" s="124" customFormat="1" ht="13.5" customHeight="1">
      <c r="A361" s="123" t="s">
        <v>11118</v>
      </c>
      <c r="B361" s="123" t="s">
        <v>11119</v>
      </c>
      <c r="C361" s="92">
        <v>3735.4</v>
      </c>
    </row>
    <row r="362" spans="1:3" s="124" customFormat="1" ht="13.5" customHeight="1">
      <c r="A362" s="123" t="s">
        <v>11120</v>
      </c>
      <c r="B362" s="123" t="s">
        <v>11121</v>
      </c>
      <c r="C362" s="92">
        <v>4458.8599999999997</v>
      </c>
    </row>
    <row r="363" spans="1:3" s="124" customFormat="1" ht="13.5" customHeight="1">
      <c r="A363" s="123" t="s">
        <v>11122</v>
      </c>
      <c r="B363" s="123" t="s">
        <v>11123</v>
      </c>
      <c r="C363" s="92">
        <v>4019.61</v>
      </c>
    </row>
    <row r="364" spans="1:3" s="124" customFormat="1" ht="13.5" customHeight="1">
      <c r="A364" s="123" t="s">
        <v>11124</v>
      </c>
      <c r="B364" s="123" t="s">
        <v>11125</v>
      </c>
      <c r="C364" s="92">
        <v>2925.63</v>
      </c>
    </row>
    <row r="365" spans="1:3" s="124" customFormat="1" ht="13.5" customHeight="1">
      <c r="A365" s="123" t="s">
        <v>11126</v>
      </c>
      <c r="B365" s="123" t="s">
        <v>11127</v>
      </c>
      <c r="C365" s="92">
        <v>3333.27</v>
      </c>
    </row>
    <row r="366" spans="1:3" s="124" customFormat="1" ht="13.5" customHeight="1">
      <c r="A366" s="123" t="s">
        <v>11128</v>
      </c>
      <c r="B366" s="123" t="s">
        <v>11129</v>
      </c>
      <c r="C366" s="92">
        <v>3259.29</v>
      </c>
    </row>
    <row r="367" spans="1:3" s="124" customFormat="1" ht="13.5" customHeight="1">
      <c r="A367" s="123" t="s">
        <v>11130</v>
      </c>
      <c r="B367" s="123" t="s">
        <v>11131</v>
      </c>
      <c r="C367" s="92">
        <v>4921.3900000000003</v>
      </c>
    </row>
    <row r="368" spans="1:3" s="124" customFormat="1" ht="13.5" customHeight="1">
      <c r="A368" s="123" t="s">
        <v>11132</v>
      </c>
      <c r="B368" s="123" t="s">
        <v>11133</v>
      </c>
      <c r="C368" s="92">
        <v>4067.45</v>
      </c>
    </row>
    <row r="369" spans="1:3" s="124" customFormat="1" ht="13.5" customHeight="1">
      <c r="A369" s="123" t="s">
        <v>11134</v>
      </c>
      <c r="B369" s="123" t="s">
        <v>11135</v>
      </c>
      <c r="C369" s="92">
        <v>2970.09</v>
      </c>
    </row>
    <row r="370" spans="1:3" s="124" customFormat="1" ht="13.5" customHeight="1">
      <c r="A370" s="123" t="s">
        <v>11136</v>
      </c>
      <c r="B370" s="123" t="s">
        <v>11137</v>
      </c>
      <c r="C370" s="92">
        <v>3510.57</v>
      </c>
    </row>
    <row r="371" spans="1:3" s="124" customFormat="1" ht="13.5" customHeight="1">
      <c r="A371" s="123" t="s">
        <v>11138</v>
      </c>
      <c r="B371" s="123" t="s">
        <v>11139</v>
      </c>
      <c r="C371" s="92">
        <v>3395.3</v>
      </c>
    </row>
    <row r="372" spans="1:3" s="124" customFormat="1" ht="13.5" customHeight="1">
      <c r="A372" s="123" t="s">
        <v>11140</v>
      </c>
      <c r="B372" s="123" t="s">
        <v>11141</v>
      </c>
      <c r="C372" s="92">
        <v>3320.43</v>
      </c>
    </row>
    <row r="373" spans="1:3" s="124" customFormat="1" ht="13.5" customHeight="1">
      <c r="A373" s="123" t="s">
        <v>11142</v>
      </c>
      <c r="B373" s="123" t="s">
        <v>11143</v>
      </c>
      <c r="C373" s="92">
        <v>3333.36</v>
      </c>
    </row>
    <row r="374" spans="1:3" s="124" customFormat="1" ht="13.5" customHeight="1">
      <c r="A374" s="123" t="s">
        <v>11144</v>
      </c>
      <c r="B374" s="123" t="s">
        <v>11145</v>
      </c>
      <c r="C374" s="92">
        <v>5000.4799999999996</v>
      </c>
    </row>
    <row r="375" spans="1:3" s="124" customFormat="1" ht="13.5" customHeight="1">
      <c r="A375" s="123" t="s">
        <v>11146</v>
      </c>
      <c r="B375" s="123" t="s">
        <v>11147</v>
      </c>
      <c r="C375" s="92">
        <v>4396.41</v>
      </c>
    </row>
    <row r="376" spans="1:3" s="124" customFormat="1" ht="13.5" customHeight="1">
      <c r="A376" s="123" t="s">
        <v>11148</v>
      </c>
      <c r="B376" s="123" t="s">
        <v>11149</v>
      </c>
      <c r="C376" s="92">
        <v>4590.53</v>
      </c>
    </row>
    <row r="377" spans="1:3" s="124" customFormat="1" ht="13.5" customHeight="1">
      <c r="A377" s="123" t="s">
        <v>11150</v>
      </c>
      <c r="B377" s="123" t="s">
        <v>11151</v>
      </c>
      <c r="C377" s="92">
        <v>3347.07</v>
      </c>
    </row>
    <row r="378" spans="1:3" s="124" customFormat="1" ht="13.5" customHeight="1">
      <c r="A378" s="123" t="s">
        <v>11152</v>
      </c>
      <c r="B378" s="123" t="s">
        <v>11153</v>
      </c>
      <c r="C378" s="92">
        <v>4210.32</v>
      </c>
    </row>
    <row r="379" spans="1:3" s="124" customFormat="1" ht="13.5" customHeight="1">
      <c r="A379" s="123" t="s">
        <v>11154</v>
      </c>
      <c r="B379" s="123" t="s">
        <v>11155</v>
      </c>
      <c r="C379" s="92">
        <v>3721.64</v>
      </c>
    </row>
    <row r="380" spans="1:3" s="124" customFormat="1" ht="13.5" customHeight="1">
      <c r="A380" s="123" t="s">
        <v>11156</v>
      </c>
      <c r="B380" s="123" t="s">
        <v>11157</v>
      </c>
      <c r="C380" s="92">
        <v>4869.83</v>
      </c>
    </row>
    <row r="381" spans="1:3" s="124" customFormat="1" ht="13.5" customHeight="1">
      <c r="A381" s="123" t="s">
        <v>11158</v>
      </c>
      <c r="B381" s="123" t="s">
        <v>11159</v>
      </c>
      <c r="C381" s="92">
        <v>3990.31</v>
      </c>
    </row>
    <row r="382" spans="1:3" s="124" customFormat="1" ht="13.5" customHeight="1">
      <c r="A382" s="123" t="s">
        <v>11160</v>
      </c>
      <c r="B382" s="123" t="s">
        <v>11161</v>
      </c>
      <c r="C382" s="92">
        <v>3406.46</v>
      </c>
    </row>
    <row r="383" spans="1:3" s="124" customFormat="1" ht="13.5" customHeight="1">
      <c r="A383" s="123" t="s">
        <v>11162</v>
      </c>
      <c r="B383" s="123" t="s">
        <v>11163</v>
      </c>
      <c r="C383" s="92">
        <v>4461.74</v>
      </c>
    </row>
    <row r="384" spans="1:3" s="124" customFormat="1" ht="13.5" customHeight="1">
      <c r="A384" s="123" t="s">
        <v>11164</v>
      </c>
      <c r="B384" s="123" t="s">
        <v>11165</v>
      </c>
      <c r="C384" s="92">
        <v>4397.92</v>
      </c>
    </row>
    <row r="385" spans="1:3" s="124" customFormat="1" ht="13.5" customHeight="1">
      <c r="A385" s="123" t="s">
        <v>11166</v>
      </c>
      <c r="B385" s="123" t="s">
        <v>11167</v>
      </c>
      <c r="C385" s="92">
        <v>2007.58</v>
      </c>
    </row>
    <row r="386" spans="1:3" s="124" customFormat="1" ht="13.5" customHeight="1">
      <c r="A386" s="123" t="s">
        <v>11168</v>
      </c>
      <c r="B386" s="123" t="s">
        <v>11169</v>
      </c>
      <c r="C386" s="92">
        <v>3892.06</v>
      </c>
    </row>
    <row r="387" spans="1:3" s="124" customFormat="1" ht="13.5" customHeight="1">
      <c r="A387" s="123" t="s">
        <v>11170</v>
      </c>
      <c r="B387" s="123" t="s">
        <v>11171</v>
      </c>
      <c r="C387" s="92">
        <v>4024.6</v>
      </c>
    </row>
    <row r="388" spans="1:3" s="124" customFormat="1" ht="13.5" customHeight="1">
      <c r="A388" s="123" t="s">
        <v>11172</v>
      </c>
      <c r="B388" s="123" t="s">
        <v>11173</v>
      </c>
      <c r="C388" s="92">
        <v>4339.66</v>
      </c>
    </row>
    <row r="389" spans="1:3" s="124" customFormat="1" ht="13.5" customHeight="1">
      <c r="A389" s="123" t="s">
        <v>11174</v>
      </c>
      <c r="B389" s="123" t="s">
        <v>11175</v>
      </c>
      <c r="C389" s="92">
        <v>4515.1899999999996</v>
      </c>
    </row>
    <row r="390" spans="1:3" s="124" customFormat="1" ht="13.5" customHeight="1">
      <c r="A390" s="123" t="s">
        <v>11176</v>
      </c>
      <c r="B390" s="123" t="s">
        <v>11177</v>
      </c>
      <c r="C390" s="92">
        <v>3346.96</v>
      </c>
    </row>
    <row r="391" spans="1:3" s="124" customFormat="1" ht="13.5" customHeight="1">
      <c r="A391" s="123" t="s">
        <v>11178</v>
      </c>
      <c r="B391" s="123" t="s">
        <v>11179</v>
      </c>
      <c r="C391" s="92">
        <v>4514.8500000000004</v>
      </c>
    </row>
    <row r="392" spans="1:3" s="124" customFormat="1" ht="13.5" customHeight="1">
      <c r="A392" s="123" t="s">
        <v>11180</v>
      </c>
      <c r="B392" s="123" t="s">
        <v>11181</v>
      </c>
      <c r="C392" s="92">
        <v>5446.94</v>
      </c>
    </row>
    <row r="393" spans="1:3" s="124" customFormat="1" ht="13.5" customHeight="1">
      <c r="A393" s="123" t="s">
        <v>11182</v>
      </c>
      <c r="B393" s="123" t="s">
        <v>11183</v>
      </c>
      <c r="C393" s="92">
        <v>4516.76</v>
      </c>
    </row>
    <row r="394" spans="1:3" s="124" customFormat="1" ht="13.5" customHeight="1">
      <c r="A394" s="123" t="s">
        <v>11184</v>
      </c>
      <c r="B394" s="123" t="s">
        <v>11185</v>
      </c>
      <c r="C394" s="92">
        <v>5277.72</v>
      </c>
    </row>
    <row r="395" spans="1:3" s="124" customFormat="1" ht="13.5" customHeight="1">
      <c r="A395" s="123" t="s">
        <v>11186</v>
      </c>
      <c r="B395" s="123" t="s">
        <v>11187</v>
      </c>
      <c r="C395" s="92">
        <v>3585.09</v>
      </c>
    </row>
    <row r="396" spans="1:3" s="124" customFormat="1" ht="13.5" customHeight="1">
      <c r="A396" s="123" t="s">
        <v>11188</v>
      </c>
      <c r="B396" s="123" t="s">
        <v>11189</v>
      </c>
      <c r="C396" s="92">
        <v>3255.61</v>
      </c>
    </row>
    <row r="397" spans="1:3" s="124" customFormat="1" ht="13.5" customHeight="1">
      <c r="A397" s="123" t="s">
        <v>11190</v>
      </c>
      <c r="B397" s="123" t="s">
        <v>11191</v>
      </c>
      <c r="C397" s="92">
        <v>5206.78</v>
      </c>
    </row>
    <row r="398" spans="1:3" s="124" customFormat="1" ht="13.5" customHeight="1">
      <c r="A398" s="123" t="s">
        <v>11192</v>
      </c>
      <c r="B398" s="123" t="s">
        <v>11193</v>
      </c>
      <c r="C398" s="92">
        <v>3347.03</v>
      </c>
    </row>
    <row r="399" spans="1:3" s="124" customFormat="1" ht="13.5" customHeight="1">
      <c r="A399" s="123" t="s">
        <v>11194</v>
      </c>
      <c r="B399" s="123" t="s">
        <v>11195</v>
      </c>
      <c r="C399" s="92">
        <v>7068.77</v>
      </c>
    </row>
    <row r="400" spans="1:3" s="124" customFormat="1" ht="13.5" customHeight="1">
      <c r="A400" s="123" t="s">
        <v>11196</v>
      </c>
      <c r="B400" s="123" t="s">
        <v>11197</v>
      </c>
      <c r="C400" s="92">
        <v>4516.6000000000004</v>
      </c>
    </row>
    <row r="401" spans="1:3" s="124" customFormat="1" ht="13.5" customHeight="1">
      <c r="A401" s="123" t="s">
        <v>11198</v>
      </c>
      <c r="B401" s="123" t="s">
        <v>11199</v>
      </c>
      <c r="C401" s="92">
        <v>4112.76</v>
      </c>
    </row>
    <row r="402" spans="1:3" s="124" customFormat="1" ht="13.5" customHeight="1">
      <c r="A402" s="123" t="s">
        <v>11200</v>
      </c>
      <c r="B402" s="123" t="s">
        <v>11201</v>
      </c>
      <c r="C402" s="92">
        <v>4159</v>
      </c>
    </row>
    <row r="403" spans="1:3" s="124" customFormat="1" ht="13.5" customHeight="1">
      <c r="A403" s="123" t="s">
        <v>11202</v>
      </c>
      <c r="B403" s="123" t="s">
        <v>11203</v>
      </c>
      <c r="C403" s="92">
        <v>4460.28</v>
      </c>
    </row>
    <row r="404" spans="1:3" s="124" customFormat="1" ht="13.5" customHeight="1">
      <c r="A404" s="123" t="s">
        <v>11204</v>
      </c>
      <c r="B404" s="123" t="s">
        <v>11205</v>
      </c>
      <c r="C404" s="92">
        <v>2638.49</v>
      </c>
    </row>
    <row r="405" spans="1:3" s="124" customFormat="1" ht="13.5" customHeight="1">
      <c r="A405" s="123" t="s">
        <v>11206</v>
      </c>
      <c r="B405" s="123" t="s">
        <v>11207</v>
      </c>
      <c r="C405" s="92">
        <v>3037.8</v>
      </c>
    </row>
    <row r="406" spans="1:3" s="124" customFormat="1" ht="13.5" customHeight="1">
      <c r="A406" s="123" t="s">
        <v>11208</v>
      </c>
      <c r="B406" s="123" t="s">
        <v>11209</v>
      </c>
      <c r="C406" s="92">
        <v>3042.9</v>
      </c>
    </row>
    <row r="407" spans="1:3" s="124" customFormat="1" ht="13.5" customHeight="1">
      <c r="A407" s="123" t="s">
        <v>11210</v>
      </c>
      <c r="B407" s="123" t="s">
        <v>11211</v>
      </c>
      <c r="C407" s="92">
        <v>5124.38</v>
      </c>
    </row>
    <row r="408" spans="1:3" s="124" customFormat="1" ht="13.5" customHeight="1">
      <c r="A408" s="123" t="s">
        <v>11212</v>
      </c>
      <c r="B408" s="123" t="s">
        <v>11213</v>
      </c>
      <c r="C408" s="92">
        <v>2252.1799999999998</v>
      </c>
    </row>
    <row r="409" spans="1:3" s="124" customFormat="1" ht="13.5" customHeight="1">
      <c r="A409" s="123" t="s">
        <v>11214</v>
      </c>
      <c r="B409" s="123" t="s">
        <v>11215</v>
      </c>
      <c r="C409" s="92">
        <v>2273.3200000000002</v>
      </c>
    </row>
    <row r="410" spans="1:3" s="124" customFormat="1" ht="13.5" customHeight="1">
      <c r="A410" s="123" t="s">
        <v>11216</v>
      </c>
      <c r="B410" s="123" t="s">
        <v>11217</v>
      </c>
      <c r="C410" s="92">
        <v>4408.37</v>
      </c>
    </row>
    <row r="411" spans="1:3" s="124" customFormat="1" ht="13.5" customHeight="1">
      <c r="A411" s="123" t="s">
        <v>11218</v>
      </c>
      <c r="B411" s="123" t="s">
        <v>11219</v>
      </c>
      <c r="C411" s="92">
        <v>5870.61</v>
      </c>
    </row>
    <row r="412" spans="1:3" s="124" customFormat="1" ht="13.5" customHeight="1">
      <c r="A412" s="123" t="s">
        <v>11220</v>
      </c>
      <c r="B412" s="123" t="s">
        <v>11221</v>
      </c>
      <c r="C412" s="92">
        <v>2833.79</v>
      </c>
    </row>
    <row r="413" spans="1:3" s="124" customFormat="1" ht="13.5" customHeight="1">
      <c r="A413" s="123" t="s">
        <v>11222</v>
      </c>
      <c r="B413" s="123" t="s">
        <v>11223</v>
      </c>
      <c r="C413" s="92">
        <v>4270.55</v>
      </c>
    </row>
    <row r="414" spans="1:3" s="124" customFormat="1" ht="13.5" customHeight="1">
      <c r="A414" s="123" t="s">
        <v>11224</v>
      </c>
      <c r="B414" s="123" t="s">
        <v>11225</v>
      </c>
      <c r="C414" s="92">
        <v>6705.36</v>
      </c>
    </row>
    <row r="415" spans="1:3" s="124" customFormat="1" ht="13.5" customHeight="1">
      <c r="A415" s="123" t="s">
        <v>11226</v>
      </c>
      <c r="B415" s="123" t="s">
        <v>11227</v>
      </c>
      <c r="C415" s="92">
        <v>4870.0200000000004</v>
      </c>
    </row>
    <row r="416" spans="1:3" s="124" customFormat="1" ht="13.5" customHeight="1">
      <c r="A416" s="123" t="s">
        <v>11228</v>
      </c>
      <c r="B416" s="123" t="s">
        <v>11229</v>
      </c>
      <c r="C416" s="92">
        <v>2018.25</v>
      </c>
    </row>
    <row r="417" spans="1:3" s="124" customFormat="1" ht="13.5" customHeight="1">
      <c r="A417" s="123" t="s">
        <v>11230</v>
      </c>
      <c r="B417" s="123" t="s">
        <v>11231</v>
      </c>
      <c r="C417" s="92">
        <v>4398.97</v>
      </c>
    </row>
    <row r="418" spans="1:3" s="124" customFormat="1" ht="13.5" customHeight="1">
      <c r="A418" s="123" t="s">
        <v>11232</v>
      </c>
      <c r="B418" s="123" t="s">
        <v>11233</v>
      </c>
      <c r="C418" s="92">
        <v>4999.74</v>
      </c>
    </row>
    <row r="419" spans="1:3" s="124" customFormat="1" ht="13.5" customHeight="1">
      <c r="A419" s="123" t="s">
        <v>11234</v>
      </c>
      <c r="B419" s="123" t="s">
        <v>11235</v>
      </c>
      <c r="C419" s="92">
        <v>2878.57</v>
      </c>
    </row>
    <row r="420" spans="1:3" s="124" customFormat="1" ht="13.5" customHeight="1">
      <c r="A420" s="123" t="s">
        <v>11236</v>
      </c>
      <c r="B420" s="123" t="s">
        <v>11237</v>
      </c>
      <c r="C420" s="92">
        <v>5278.55</v>
      </c>
    </row>
    <row r="421" spans="1:3" s="124" customFormat="1" ht="13.5" customHeight="1">
      <c r="A421" s="123" t="s">
        <v>11238</v>
      </c>
      <c r="B421" s="123" t="s">
        <v>11239</v>
      </c>
      <c r="C421" s="92">
        <v>3238.34</v>
      </c>
    </row>
    <row r="422" spans="1:3" s="124" customFormat="1" ht="13.5" customHeight="1">
      <c r="A422" s="123" t="s">
        <v>11240</v>
      </c>
      <c r="B422" s="123" t="s">
        <v>11241</v>
      </c>
      <c r="C422" s="92">
        <v>4159.1899999999996</v>
      </c>
    </row>
    <row r="423" spans="1:3" s="124" customFormat="1" ht="13.5" customHeight="1">
      <c r="A423" s="123" t="s">
        <v>11242</v>
      </c>
      <c r="B423" s="123" t="s">
        <v>11243</v>
      </c>
      <c r="C423" s="92">
        <v>2543.1999999999998</v>
      </c>
    </row>
    <row r="424" spans="1:3" s="124" customFormat="1" ht="13.5" customHeight="1">
      <c r="A424" s="123" t="s">
        <v>11244</v>
      </c>
      <c r="B424" s="123" t="s">
        <v>11245</v>
      </c>
      <c r="C424" s="92">
        <v>5001.58</v>
      </c>
    </row>
    <row r="425" spans="1:3" s="124" customFormat="1" ht="13.5" customHeight="1">
      <c r="A425" s="123" t="s">
        <v>11246</v>
      </c>
      <c r="B425" s="123" t="s">
        <v>11247</v>
      </c>
      <c r="C425" s="92">
        <v>4153.8900000000003</v>
      </c>
    </row>
    <row r="426" spans="1:3" s="124" customFormat="1" ht="13.5" customHeight="1">
      <c r="A426" s="123" t="s">
        <v>11248</v>
      </c>
      <c r="B426" s="123" t="s">
        <v>11249</v>
      </c>
      <c r="C426" s="92">
        <v>3872.03</v>
      </c>
    </row>
    <row r="427" spans="1:3" s="124" customFormat="1" ht="13.5" customHeight="1">
      <c r="A427" s="123" t="s">
        <v>11250</v>
      </c>
      <c r="B427" s="123" t="s">
        <v>11251</v>
      </c>
      <c r="C427" s="92">
        <v>2869.37</v>
      </c>
    </row>
    <row r="428" spans="1:3" s="124" customFormat="1" ht="13.5" customHeight="1">
      <c r="A428" s="123" t="s">
        <v>11252</v>
      </c>
      <c r="B428" s="123" t="s">
        <v>11253</v>
      </c>
      <c r="C428" s="92">
        <v>4795.09</v>
      </c>
    </row>
    <row r="429" spans="1:3" s="124" customFormat="1" ht="13.5" customHeight="1">
      <c r="A429" s="123" t="s">
        <v>11254</v>
      </c>
      <c r="B429" s="123" t="s">
        <v>11255</v>
      </c>
      <c r="C429" s="92">
        <v>4447.24</v>
      </c>
    </row>
    <row r="430" spans="1:3" s="124" customFormat="1" ht="13.5" customHeight="1">
      <c r="A430" s="123" t="s">
        <v>11256</v>
      </c>
      <c r="B430" s="123" t="s">
        <v>11257</v>
      </c>
      <c r="C430" s="92">
        <v>2962.76</v>
      </c>
    </row>
    <row r="431" spans="1:3" s="124" customFormat="1" ht="13.5" customHeight="1">
      <c r="A431" s="123" t="s">
        <v>11258</v>
      </c>
      <c r="B431" s="123" t="s">
        <v>11259</v>
      </c>
      <c r="C431" s="92">
        <v>7368.02</v>
      </c>
    </row>
    <row r="432" spans="1:3" s="124" customFormat="1" ht="13.5" customHeight="1">
      <c r="A432" s="123" t="s">
        <v>11260</v>
      </c>
      <c r="B432" s="123" t="s">
        <v>11261</v>
      </c>
      <c r="C432" s="92">
        <v>4339.66</v>
      </c>
    </row>
    <row r="433" spans="1:3" s="124" customFormat="1" ht="13.5" customHeight="1">
      <c r="A433" s="123" t="s">
        <v>11262</v>
      </c>
      <c r="B433" s="123" t="s">
        <v>11263</v>
      </c>
      <c r="C433" s="92">
        <v>3347.07</v>
      </c>
    </row>
    <row r="434" spans="1:3" s="124" customFormat="1" ht="13.5" customHeight="1">
      <c r="A434" s="123" t="s">
        <v>11264</v>
      </c>
      <c r="B434" s="123" t="s">
        <v>11265</v>
      </c>
      <c r="C434" s="92">
        <v>4447.91</v>
      </c>
    </row>
    <row r="435" spans="1:3" s="124" customFormat="1" ht="13.5" customHeight="1">
      <c r="A435" s="123" t="s">
        <v>11266</v>
      </c>
      <c r="B435" s="123" t="s">
        <v>11267</v>
      </c>
      <c r="C435" s="92">
        <v>3542.21</v>
      </c>
    </row>
    <row r="436" spans="1:3" s="124" customFormat="1" ht="13.5" customHeight="1">
      <c r="A436" s="123" t="s">
        <v>11268</v>
      </c>
      <c r="B436" s="123" t="s">
        <v>11269</v>
      </c>
      <c r="C436" s="92">
        <v>5048.62</v>
      </c>
    </row>
    <row r="437" spans="1:3" s="124" customFormat="1" ht="13.5" customHeight="1">
      <c r="A437" s="123" t="s">
        <v>11270</v>
      </c>
      <c r="B437" s="123" t="s">
        <v>11271</v>
      </c>
      <c r="C437" s="92">
        <v>4071.29</v>
      </c>
    </row>
    <row r="438" spans="1:3" s="124" customFormat="1" ht="13.5" customHeight="1">
      <c r="A438" s="123" t="s">
        <v>11272</v>
      </c>
      <c r="B438" s="123" t="s">
        <v>11273</v>
      </c>
      <c r="C438" s="92">
        <v>5231.67</v>
      </c>
    </row>
    <row r="439" spans="1:3" s="124" customFormat="1" ht="13.5" customHeight="1">
      <c r="A439" s="123" t="s">
        <v>11274</v>
      </c>
      <c r="B439" s="123" t="s">
        <v>11275</v>
      </c>
      <c r="C439" s="92">
        <v>3322.53</v>
      </c>
    </row>
    <row r="440" spans="1:3" s="124" customFormat="1" ht="13.5" customHeight="1">
      <c r="A440" s="123" t="s">
        <v>11276</v>
      </c>
      <c r="B440" s="123" t="s">
        <v>11277</v>
      </c>
      <c r="C440" s="92">
        <v>3965.19</v>
      </c>
    </row>
    <row r="441" spans="1:3" s="124" customFormat="1" ht="13.5" customHeight="1">
      <c r="A441" s="123" t="s">
        <v>11278</v>
      </c>
      <c r="B441" s="123" t="s">
        <v>11279</v>
      </c>
      <c r="C441" s="92">
        <v>2896.33</v>
      </c>
    </row>
    <row r="442" spans="1:3" s="124" customFormat="1" ht="13.5" customHeight="1">
      <c r="A442" s="123" t="s">
        <v>11280</v>
      </c>
      <c r="B442" s="123" t="s">
        <v>11281</v>
      </c>
      <c r="C442" s="92">
        <v>1829.37</v>
      </c>
    </row>
    <row r="443" spans="1:3" s="124" customFormat="1" ht="13.5" customHeight="1">
      <c r="A443" s="123" t="s">
        <v>11282</v>
      </c>
      <c r="B443" s="123" t="s">
        <v>11283</v>
      </c>
      <c r="C443" s="92">
        <v>4516.8500000000004</v>
      </c>
    </row>
    <row r="444" spans="1:3" s="124" customFormat="1" ht="13.5" customHeight="1">
      <c r="A444" s="123" t="s">
        <v>11284</v>
      </c>
      <c r="B444" s="123" t="s">
        <v>11285</v>
      </c>
      <c r="C444" s="92">
        <v>2897.54</v>
      </c>
    </row>
    <row r="445" spans="1:3" s="124" customFormat="1" ht="13.5" customHeight="1">
      <c r="A445" s="123" t="s">
        <v>11286</v>
      </c>
      <c r="B445" s="123" t="s">
        <v>11287</v>
      </c>
      <c r="C445" s="92">
        <v>1472.83</v>
      </c>
    </row>
    <row r="446" spans="1:3" s="124" customFormat="1" ht="13.5" customHeight="1">
      <c r="A446" s="123" t="s">
        <v>11288</v>
      </c>
      <c r="B446" s="123" t="s">
        <v>11289</v>
      </c>
      <c r="C446" s="92">
        <v>3347.07</v>
      </c>
    </row>
    <row r="447" spans="1:3" s="124" customFormat="1" ht="13.5" customHeight="1">
      <c r="A447" s="123" t="s">
        <v>11290</v>
      </c>
      <c r="B447" s="123" t="s">
        <v>11291</v>
      </c>
      <c r="C447" s="92">
        <v>3592.2</v>
      </c>
    </row>
    <row r="448" spans="1:3" s="124" customFormat="1" ht="13.5" customHeight="1">
      <c r="A448" s="123" t="s">
        <v>11292</v>
      </c>
      <c r="B448" s="123" t="s">
        <v>11293</v>
      </c>
      <c r="C448" s="92">
        <v>4448.34</v>
      </c>
    </row>
    <row r="449" spans="1:3" s="124" customFormat="1" ht="13.5" customHeight="1">
      <c r="A449" s="123" t="s">
        <v>11294</v>
      </c>
      <c r="B449" s="123" t="s">
        <v>11295</v>
      </c>
      <c r="C449" s="92">
        <v>5001.88</v>
      </c>
    </row>
    <row r="450" spans="1:3" s="124" customFormat="1" ht="13.5" customHeight="1">
      <c r="A450" s="123" t="s">
        <v>11296</v>
      </c>
      <c r="B450" s="123" t="s">
        <v>11297</v>
      </c>
      <c r="C450" s="92">
        <v>3398.41</v>
      </c>
    </row>
    <row r="451" spans="1:3" s="124" customFormat="1" ht="13.5" customHeight="1">
      <c r="A451" s="123" t="s">
        <v>11298</v>
      </c>
      <c r="B451" s="123" t="s">
        <v>11299</v>
      </c>
      <c r="C451" s="92">
        <v>2963.99</v>
      </c>
    </row>
    <row r="452" spans="1:3" s="124" customFormat="1" ht="13.5" customHeight="1">
      <c r="A452" s="123" t="s">
        <v>11300</v>
      </c>
      <c r="B452" s="123" t="s">
        <v>11301</v>
      </c>
      <c r="C452" s="92">
        <v>6028.84</v>
      </c>
    </row>
    <row r="453" spans="1:3" s="124" customFormat="1" ht="13.5" customHeight="1">
      <c r="A453" s="123" t="s">
        <v>11302</v>
      </c>
      <c r="B453" s="123" t="s">
        <v>11303</v>
      </c>
      <c r="C453" s="92">
        <v>5411.69</v>
      </c>
    </row>
    <row r="454" spans="1:3" s="124" customFormat="1" ht="13.5" customHeight="1">
      <c r="A454" s="123" t="s">
        <v>11304</v>
      </c>
      <c r="B454" s="123" t="s">
        <v>11305</v>
      </c>
      <c r="C454" s="92">
        <v>3273.09</v>
      </c>
    </row>
    <row r="455" spans="1:3" s="124" customFormat="1" ht="13.5" customHeight="1">
      <c r="A455" s="123" t="s">
        <v>11306</v>
      </c>
      <c r="B455" s="123" t="s">
        <v>11307</v>
      </c>
      <c r="C455" s="92">
        <v>3346.45</v>
      </c>
    </row>
    <row r="456" spans="1:3" s="124" customFormat="1" ht="13.5" customHeight="1">
      <c r="A456" s="123" t="s">
        <v>11308</v>
      </c>
      <c r="B456" s="123" t="s">
        <v>11309</v>
      </c>
      <c r="C456" s="92">
        <v>5001.58</v>
      </c>
    </row>
    <row r="457" spans="1:3" s="124" customFormat="1" ht="13.5" customHeight="1">
      <c r="A457" s="123" t="s">
        <v>11310</v>
      </c>
      <c r="B457" s="123" t="s">
        <v>11311</v>
      </c>
      <c r="C457" s="92">
        <v>2863.22</v>
      </c>
    </row>
    <row r="458" spans="1:3" s="124" customFormat="1" ht="13.5" customHeight="1">
      <c r="A458" s="123" t="s">
        <v>11312</v>
      </c>
      <c r="B458" s="123" t="s">
        <v>11313</v>
      </c>
      <c r="C458" s="92">
        <v>4373.07</v>
      </c>
    </row>
    <row r="459" spans="1:3" s="124" customFormat="1" ht="13.5" customHeight="1">
      <c r="A459" s="123" t="s">
        <v>11314</v>
      </c>
      <c r="B459" s="123" t="s">
        <v>11315</v>
      </c>
      <c r="C459" s="92">
        <v>2500.65</v>
      </c>
    </row>
    <row r="460" spans="1:3" s="124" customFormat="1" ht="13.5" customHeight="1">
      <c r="A460" s="123" t="s">
        <v>11316</v>
      </c>
      <c r="B460" s="123" t="s">
        <v>11317</v>
      </c>
      <c r="C460" s="92">
        <v>4880.3900000000003</v>
      </c>
    </row>
    <row r="461" spans="1:3" s="124" customFormat="1" ht="13.5" customHeight="1">
      <c r="A461" s="123" t="s">
        <v>11318</v>
      </c>
      <c r="B461" s="123" t="s">
        <v>11319</v>
      </c>
      <c r="C461" s="92">
        <v>4458.8599999999997</v>
      </c>
    </row>
    <row r="462" spans="1:3" s="124" customFormat="1" ht="13.5" customHeight="1">
      <c r="A462" s="123" t="s">
        <v>11320</v>
      </c>
      <c r="B462" s="123" t="s">
        <v>11321</v>
      </c>
      <c r="C462" s="92">
        <v>4516.3900000000003</v>
      </c>
    </row>
    <row r="463" spans="1:3" s="124" customFormat="1" ht="13.5" customHeight="1">
      <c r="A463" s="123" t="s">
        <v>11322</v>
      </c>
      <c r="B463" s="123" t="s">
        <v>11323</v>
      </c>
      <c r="C463" s="92">
        <v>5389.18</v>
      </c>
    </row>
    <row r="464" spans="1:3" s="124" customFormat="1" ht="13.5" customHeight="1">
      <c r="A464" s="123" t="s">
        <v>11324</v>
      </c>
      <c r="B464" s="123" t="s">
        <v>11325</v>
      </c>
      <c r="C464" s="92">
        <v>2436.66</v>
      </c>
    </row>
    <row r="465" spans="1:3" s="124" customFormat="1" ht="13.5" customHeight="1">
      <c r="A465" s="123" t="s">
        <v>11326</v>
      </c>
      <c r="B465" s="123" t="s">
        <v>11327</v>
      </c>
      <c r="C465" s="92">
        <v>5001.93</v>
      </c>
    </row>
    <row r="466" spans="1:3" s="124" customFormat="1" ht="13.5" customHeight="1">
      <c r="A466" s="123" t="s">
        <v>11328</v>
      </c>
      <c r="B466" s="123" t="s">
        <v>11329</v>
      </c>
      <c r="C466" s="92">
        <v>4636.4799999999996</v>
      </c>
    </row>
    <row r="467" spans="1:3" s="124" customFormat="1" ht="13.5" customHeight="1">
      <c r="A467" s="123" t="s">
        <v>11330</v>
      </c>
      <c r="B467" s="123" t="s">
        <v>11331</v>
      </c>
      <c r="C467" s="92">
        <v>3619.38</v>
      </c>
    </row>
    <row r="468" spans="1:3" s="124" customFormat="1" ht="13.5" customHeight="1">
      <c r="A468" s="123" t="s">
        <v>11332</v>
      </c>
      <c r="B468" s="123" t="s">
        <v>11333</v>
      </c>
      <c r="C468" s="92">
        <v>3620.1</v>
      </c>
    </row>
    <row r="469" spans="1:3" s="124" customFormat="1" ht="13.5" customHeight="1">
      <c r="A469" s="123" t="s">
        <v>11334</v>
      </c>
      <c r="B469" s="123" t="s">
        <v>11335</v>
      </c>
      <c r="C469" s="92">
        <v>4933.99</v>
      </c>
    </row>
    <row r="470" spans="1:3" s="124" customFormat="1" ht="13.5" customHeight="1">
      <c r="A470" s="123" t="s">
        <v>11336</v>
      </c>
      <c r="B470" s="123" t="s">
        <v>11337</v>
      </c>
      <c r="C470" s="92">
        <v>3675.04</v>
      </c>
    </row>
    <row r="471" spans="1:3" s="124" customFormat="1" ht="13.5" customHeight="1">
      <c r="A471" s="123" t="s">
        <v>11338</v>
      </c>
      <c r="B471" s="123" t="s">
        <v>11339</v>
      </c>
      <c r="C471" s="92">
        <v>4464.01</v>
      </c>
    </row>
    <row r="472" spans="1:3" s="124" customFormat="1" ht="13.5" customHeight="1">
      <c r="A472" s="123" t="s">
        <v>11340</v>
      </c>
      <c r="B472" s="123" t="s">
        <v>11341</v>
      </c>
      <c r="C472" s="92">
        <v>4515.59</v>
      </c>
    </row>
    <row r="473" spans="1:3" s="124" customFormat="1" ht="13.5" customHeight="1">
      <c r="A473" s="123" t="s">
        <v>11342</v>
      </c>
      <c r="B473" s="123" t="s">
        <v>11343</v>
      </c>
      <c r="C473" s="92">
        <v>2643.07</v>
      </c>
    </row>
    <row r="474" spans="1:3" s="124" customFormat="1" ht="13.5" customHeight="1">
      <c r="A474" s="123" t="s">
        <v>11344</v>
      </c>
      <c r="B474" s="123" t="s">
        <v>11345</v>
      </c>
      <c r="C474" s="92">
        <v>5138.04</v>
      </c>
    </row>
    <row r="475" spans="1:3" s="124" customFormat="1" ht="13.5" customHeight="1">
      <c r="A475" s="123" t="s">
        <v>11346</v>
      </c>
      <c r="B475" s="123" t="s">
        <v>11347</v>
      </c>
      <c r="C475" s="92">
        <v>4463.29</v>
      </c>
    </row>
    <row r="476" spans="1:3" s="124" customFormat="1" ht="13.5" customHeight="1">
      <c r="A476" s="123" t="s">
        <v>11348</v>
      </c>
      <c r="B476" s="123" t="s">
        <v>11349</v>
      </c>
      <c r="C476" s="92">
        <v>5515.26</v>
      </c>
    </row>
    <row r="477" spans="1:3" s="124" customFormat="1" ht="13.5" customHeight="1">
      <c r="A477" s="123" t="s">
        <v>11350</v>
      </c>
      <c r="B477" s="123" t="s">
        <v>11351</v>
      </c>
      <c r="C477" s="92">
        <v>3620.1</v>
      </c>
    </row>
    <row r="478" spans="1:3" s="124" customFormat="1" ht="13.5" customHeight="1">
      <c r="A478" s="123" t="s">
        <v>11352</v>
      </c>
      <c r="B478" s="123" t="s">
        <v>11353</v>
      </c>
      <c r="C478" s="92">
        <v>4460.74</v>
      </c>
    </row>
    <row r="479" spans="1:3" s="124" customFormat="1" ht="13.5" customHeight="1">
      <c r="A479" s="123" t="s">
        <v>11354</v>
      </c>
      <c r="B479" s="123" t="s">
        <v>11355</v>
      </c>
      <c r="C479" s="92">
        <v>4459.16</v>
      </c>
    </row>
    <row r="480" spans="1:3" s="124" customFormat="1" ht="13.5" customHeight="1">
      <c r="A480" s="123" t="s">
        <v>11356</v>
      </c>
      <c r="B480" s="123" t="s">
        <v>11357</v>
      </c>
      <c r="C480" s="92">
        <v>2643.49</v>
      </c>
    </row>
    <row r="481" spans="1:3" s="124" customFormat="1" ht="13.5" customHeight="1">
      <c r="A481" s="123" t="s">
        <v>11358</v>
      </c>
      <c r="B481" s="123" t="s">
        <v>11359</v>
      </c>
      <c r="C481" s="92">
        <v>5001.58</v>
      </c>
    </row>
    <row r="482" spans="1:3" s="124" customFormat="1" ht="13.5" customHeight="1">
      <c r="A482" s="123" t="s">
        <v>11360</v>
      </c>
      <c r="B482" s="123" t="s">
        <v>11361</v>
      </c>
      <c r="C482" s="92">
        <v>3542.26</v>
      </c>
    </row>
    <row r="483" spans="1:3" s="124" customFormat="1" ht="13.5" customHeight="1">
      <c r="A483" s="123" t="s">
        <v>11362</v>
      </c>
      <c r="B483" s="123" t="s">
        <v>11363</v>
      </c>
      <c r="C483" s="92">
        <v>5036.34</v>
      </c>
    </row>
    <row r="484" spans="1:3" s="124" customFormat="1" ht="13.5" customHeight="1">
      <c r="A484" s="123" t="s">
        <v>11364</v>
      </c>
      <c r="B484" s="123" t="s">
        <v>11365</v>
      </c>
      <c r="C484" s="92">
        <v>4340.78</v>
      </c>
    </row>
    <row r="485" spans="1:3" s="124" customFormat="1" ht="13.5" customHeight="1">
      <c r="A485" s="123" t="s">
        <v>11366</v>
      </c>
      <c r="B485" s="123" t="s">
        <v>11367</v>
      </c>
      <c r="C485" s="92">
        <v>5725.6</v>
      </c>
    </row>
    <row r="486" spans="1:3" s="124" customFormat="1" ht="13.5" customHeight="1">
      <c r="A486" s="123" t="s">
        <v>11368</v>
      </c>
      <c r="B486" s="123" t="s">
        <v>11369</v>
      </c>
      <c r="C486" s="92">
        <v>2829.06</v>
      </c>
    </row>
    <row r="487" spans="1:3" s="124" customFormat="1" ht="13.5" customHeight="1">
      <c r="A487" s="123" t="s">
        <v>11370</v>
      </c>
      <c r="B487" s="123" t="s">
        <v>11371</v>
      </c>
      <c r="C487" s="92">
        <v>2101.94</v>
      </c>
    </row>
    <row r="488" spans="1:3" s="124" customFormat="1" ht="13.5" customHeight="1">
      <c r="A488" s="123" t="s">
        <v>11372</v>
      </c>
      <c r="B488" s="123" t="s">
        <v>11373</v>
      </c>
      <c r="C488" s="92">
        <v>4107.46</v>
      </c>
    </row>
    <row r="489" spans="1:3" s="124" customFormat="1" ht="13.5" customHeight="1">
      <c r="A489" s="123" t="s">
        <v>11374</v>
      </c>
      <c r="B489" s="123" t="s">
        <v>11375</v>
      </c>
      <c r="C489" s="92">
        <v>2940.96</v>
      </c>
    </row>
    <row r="490" spans="1:3" s="124" customFormat="1" ht="13.5" customHeight="1">
      <c r="A490" s="123" t="s">
        <v>11376</v>
      </c>
      <c r="B490" s="123" t="s">
        <v>11377</v>
      </c>
      <c r="C490" s="92">
        <v>5001.88</v>
      </c>
    </row>
    <row r="491" spans="1:3" s="124" customFormat="1" ht="13.5" customHeight="1">
      <c r="A491" s="123" t="s">
        <v>11378</v>
      </c>
      <c r="B491" s="123" t="s">
        <v>11379</v>
      </c>
      <c r="C491" s="92">
        <v>3407.29</v>
      </c>
    </row>
    <row r="492" spans="1:3" s="124" customFormat="1" ht="13.5" customHeight="1">
      <c r="A492" s="123" t="s">
        <v>11380</v>
      </c>
      <c r="B492" s="123" t="s">
        <v>11381</v>
      </c>
      <c r="C492" s="92">
        <v>4815.93</v>
      </c>
    </row>
    <row r="493" spans="1:3" s="124" customFormat="1" ht="13.5" customHeight="1">
      <c r="A493" s="123" t="s">
        <v>11382</v>
      </c>
      <c r="B493" s="123" t="s">
        <v>11383</v>
      </c>
      <c r="C493" s="92">
        <v>1686.42</v>
      </c>
    </row>
    <row r="494" spans="1:3" s="124" customFormat="1" ht="13.5" customHeight="1">
      <c r="A494" s="123" t="s">
        <v>11384</v>
      </c>
      <c r="B494" s="123" t="s">
        <v>11385</v>
      </c>
      <c r="C494" s="92">
        <v>3003.79</v>
      </c>
    </row>
    <row r="495" spans="1:3" s="124" customFormat="1" ht="13.5" customHeight="1">
      <c r="A495" s="123" t="s">
        <v>11386</v>
      </c>
      <c r="B495" s="123" t="s">
        <v>11387</v>
      </c>
      <c r="C495" s="92">
        <v>3236.99</v>
      </c>
    </row>
    <row r="496" spans="1:3" s="124" customFormat="1" ht="13.5" customHeight="1">
      <c r="A496" s="123" t="s">
        <v>11388</v>
      </c>
      <c r="B496" s="123" t="s">
        <v>11389</v>
      </c>
      <c r="C496" s="92">
        <v>5013.21</v>
      </c>
    </row>
    <row r="497" spans="1:3" s="124" customFormat="1" ht="13.5" customHeight="1">
      <c r="A497" s="123" t="s">
        <v>11390</v>
      </c>
      <c r="B497" s="123" t="s">
        <v>11391</v>
      </c>
      <c r="C497" s="92">
        <v>6582.68</v>
      </c>
    </row>
    <row r="498" spans="1:3" s="124" customFormat="1" ht="13.5" customHeight="1">
      <c r="A498" s="123" t="s">
        <v>11392</v>
      </c>
      <c r="B498" s="123" t="s">
        <v>11393</v>
      </c>
      <c r="C498" s="92">
        <v>5001.3</v>
      </c>
    </row>
    <row r="499" spans="1:3" s="124" customFormat="1" ht="13.5" customHeight="1">
      <c r="A499" s="123" t="s">
        <v>11394</v>
      </c>
      <c r="B499" s="123" t="s">
        <v>11395</v>
      </c>
      <c r="C499" s="92">
        <v>4870.3500000000004</v>
      </c>
    </row>
    <row r="500" spans="1:3" s="124" customFormat="1" ht="13.5" customHeight="1">
      <c r="A500" s="123" t="s">
        <v>11396</v>
      </c>
      <c r="B500" s="123" t="s">
        <v>11397</v>
      </c>
      <c r="C500" s="92">
        <v>5002.46</v>
      </c>
    </row>
    <row r="501" spans="1:3" s="124" customFormat="1" ht="13.5" customHeight="1">
      <c r="A501" s="123" t="s">
        <v>11398</v>
      </c>
      <c r="B501" s="123" t="s">
        <v>11399</v>
      </c>
      <c r="C501" s="92">
        <v>4794.1000000000004</v>
      </c>
    </row>
    <row r="502" spans="1:3" s="124" customFormat="1" ht="13.5" customHeight="1">
      <c r="A502" s="123" t="s">
        <v>11400</v>
      </c>
      <c r="B502" s="123" t="s">
        <v>11401</v>
      </c>
      <c r="C502" s="92">
        <v>4447.7</v>
      </c>
    </row>
    <row r="503" spans="1:3" s="124" customFormat="1" ht="13.5" customHeight="1">
      <c r="A503" s="123" t="s">
        <v>11402</v>
      </c>
      <c r="B503" s="123" t="s">
        <v>11403</v>
      </c>
      <c r="C503" s="92">
        <v>2629.83</v>
      </c>
    </row>
    <row r="504" spans="1:3" s="124" customFormat="1" ht="13.5" customHeight="1">
      <c r="A504" s="123" t="s">
        <v>11404</v>
      </c>
      <c r="B504" s="123" t="s">
        <v>11405</v>
      </c>
      <c r="C504" s="92">
        <v>4589.32</v>
      </c>
    </row>
    <row r="505" spans="1:3" s="124" customFormat="1" ht="13.5" customHeight="1">
      <c r="A505" s="123" t="s">
        <v>11406</v>
      </c>
      <c r="B505" s="123" t="s">
        <v>11407</v>
      </c>
      <c r="C505" s="92">
        <v>4030.1</v>
      </c>
    </row>
    <row r="506" spans="1:3" s="124" customFormat="1" ht="13.5" customHeight="1">
      <c r="A506" s="123" t="s">
        <v>11408</v>
      </c>
      <c r="B506" s="123" t="s">
        <v>11409</v>
      </c>
      <c r="C506" s="92">
        <v>3994.14</v>
      </c>
    </row>
    <row r="507" spans="1:3" s="124" customFormat="1" ht="13.5" customHeight="1">
      <c r="A507" s="123" t="s">
        <v>11410</v>
      </c>
      <c r="B507" s="123" t="s">
        <v>11411</v>
      </c>
      <c r="C507" s="92">
        <v>4097.04</v>
      </c>
    </row>
    <row r="508" spans="1:3" s="124" customFormat="1" ht="13.5" customHeight="1">
      <c r="A508" s="123" t="s">
        <v>11412</v>
      </c>
      <c r="B508" s="123" t="s">
        <v>11413</v>
      </c>
      <c r="C508" s="92">
        <v>4793.1499999999996</v>
      </c>
    </row>
    <row r="509" spans="1:3" s="124" customFormat="1" ht="13.5" customHeight="1">
      <c r="A509" s="123" t="s">
        <v>11414</v>
      </c>
      <c r="B509" s="123" t="s">
        <v>11415</v>
      </c>
      <c r="C509" s="92">
        <v>4106.29</v>
      </c>
    </row>
    <row r="510" spans="1:3" s="124" customFormat="1" ht="13.5" customHeight="1">
      <c r="A510" s="123" t="s">
        <v>11416</v>
      </c>
      <c r="B510" s="123" t="s">
        <v>11417</v>
      </c>
      <c r="C510" s="92">
        <v>4159.71</v>
      </c>
    </row>
    <row r="511" spans="1:3" s="124" customFormat="1" ht="13.5" customHeight="1">
      <c r="A511" s="123" t="s">
        <v>11418</v>
      </c>
      <c r="B511" s="123" t="s">
        <v>11419</v>
      </c>
      <c r="C511" s="92">
        <v>3407.29</v>
      </c>
    </row>
    <row r="512" spans="1:3" s="124" customFormat="1" ht="13.5" customHeight="1">
      <c r="A512" s="123" t="s">
        <v>11420</v>
      </c>
      <c r="B512" s="123" t="s">
        <v>11421</v>
      </c>
      <c r="C512" s="92">
        <v>4791.13</v>
      </c>
    </row>
    <row r="513" spans="1:3" s="124" customFormat="1" ht="13.5" customHeight="1">
      <c r="A513" s="123" t="s">
        <v>11422</v>
      </c>
      <c r="B513" s="123" t="s">
        <v>11423</v>
      </c>
      <c r="C513" s="92">
        <v>4516.76</v>
      </c>
    </row>
    <row r="514" spans="1:3" s="124" customFormat="1" ht="13.5" customHeight="1">
      <c r="A514" s="123" t="s">
        <v>11424</v>
      </c>
      <c r="B514" s="123" t="s">
        <v>11425</v>
      </c>
      <c r="C514" s="92">
        <v>1864.15</v>
      </c>
    </row>
    <row r="515" spans="1:3" s="124" customFormat="1" ht="13.5" customHeight="1">
      <c r="A515" s="123" t="s">
        <v>11426</v>
      </c>
      <c r="B515" s="123" t="s">
        <v>11427</v>
      </c>
      <c r="C515" s="92">
        <v>2391.73</v>
      </c>
    </row>
    <row r="516" spans="1:3" s="124" customFormat="1" ht="13.5" customHeight="1">
      <c r="A516" s="123" t="s">
        <v>11428</v>
      </c>
      <c r="B516" s="123" t="s">
        <v>11429</v>
      </c>
      <c r="C516" s="92">
        <v>2923.16</v>
      </c>
    </row>
    <row r="517" spans="1:3" s="124" customFormat="1" ht="13.5" customHeight="1">
      <c r="A517" s="123" t="s">
        <v>11430</v>
      </c>
      <c r="B517" s="123" t="s">
        <v>11431</v>
      </c>
      <c r="C517" s="92">
        <v>4393.99</v>
      </c>
    </row>
    <row r="518" spans="1:3" s="124" customFormat="1" ht="13.5" customHeight="1">
      <c r="A518" s="123" t="s">
        <v>11432</v>
      </c>
      <c r="B518" s="123" t="s">
        <v>11433</v>
      </c>
      <c r="C518" s="92">
        <v>2851.8</v>
      </c>
    </row>
    <row r="519" spans="1:3" s="124" customFormat="1" ht="13.5" customHeight="1">
      <c r="A519" s="123" t="s">
        <v>11434</v>
      </c>
      <c r="B519" s="123" t="s">
        <v>11435</v>
      </c>
      <c r="C519" s="92">
        <v>4319.68</v>
      </c>
    </row>
    <row r="520" spans="1:3" s="124" customFormat="1" ht="13.5" customHeight="1">
      <c r="A520" s="123" t="s">
        <v>11436</v>
      </c>
      <c r="B520" s="123" t="s">
        <v>11437</v>
      </c>
      <c r="C520" s="92">
        <v>1686.42</v>
      </c>
    </row>
    <row r="521" spans="1:3" s="124" customFormat="1" ht="13.5" customHeight="1">
      <c r="A521" s="123" t="s">
        <v>11438</v>
      </c>
      <c r="B521" s="123" t="s">
        <v>11439</v>
      </c>
      <c r="C521" s="92">
        <v>5043.33</v>
      </c>
    </row>
    <row r="522" spans="1:3" s="124" customFormat="1" ht="13.5" customHeight="1">
      <c r="A522" s="123" t="s">
        <v>11440</v>
      </c>
      <c r="B522" s="123" t="s">
        <v>11441</v>
      </c>
      <c r="C522" s="92">
        <v>4977.3599999999997</v>
      </c>
    </row>
    <row r="523" spans="1:3" s="124" customFormat="1" ht="13.5" customHeight="1">
      <c r="A523" s="123" t="s">
        <v>11442</v>
      </c>
      <c r="B523" s="123" t="s">
        <v>11443</v>
      </c>
      <c r="C523" s="92">
        <v>3972.5</v>
      </c>
    </row>
    <row r="524" spans="1:3" s="124" customFormat="1" ht="13.5" customHeight="1">
      <c r="A524" s="123" t="s">
        <v>11444</v>
      </c>
      <c r="B524" s="123" t="s">
        <v>11445</v>
      </c>
      <c r="C524" s="92">
        <v>2105.0500000000002</v>
      </c>
    </row>
    <row r="525" spans="1:3" s="124" customFormat="1" ht="13.5" customHeight="1">
      <c r="A525" s="123" t="s">
        <v>11446</v>
      </c>
      <c r="B525" s="123" t="s">
        <v>11447</v>
      </c>
      <c r="C525" s="92">
        <v>4158.47</v>
      </c>
    </row>
    <row r="526" spans="1:3" s="124" customFormat="1" ht="13.5" customHeight="1">
      <c r="A526" s="123" t="s">
        <v>11448</v>
      </c>
      <c r="B526" s="123" t="s">
        <v>11449</v>
      </c>
      <c r="C526" s="92">
        <v>4448.34</v>
      </c>
    </row>
    <row r="527" spans="1:3" s="124" customFormat="1" ht="13.5" customHeight="1">
      <c r="A527" s="123" t="s">
        <v>11450</v>
      </c>
      <c r="B527" s="123" t="s">
        <v>11451</v>
      </c>
      <c r="C527" s="92">
        <v>5047.37</v>
      </c>
    </row>
    <row r="528" spans="1:3" s="124" customFormat="1" ht="13.5" customHeight="1">
      <c r="A528" s="123" t="s">
        <v>11452</v>
      </c>
      <c r="B528" s="123" t="s">
        <v>11453</v>
      </c>
      <c r="C528" s="92">
        <v>5001.88</v>
      </c>
    </row>
    <row r="529" spans="1:3" s="124" customFormat="1" ht="13.5" customHeight="1">
      <c r="A529" s="123" t="s">
        <v>11454</v>
      </c>
      <c r="B529" s="123" t="s">
        <v>11455</v>
      </c>
      <c r="C529" s="92">
        <v>4107.17</v>
      </c>
    </row>
    <row r="530" spans="1:3" s="124" customFormat="1" ht="13.5" customHeight="1">
      <c r="A530" s="123" t="s">
        <v>11456</v>
      </c>
      <c r="B530" s="123" t="s">
        <v>11457</v>
      </c>
      <c r="C530" s="92">
        <v>5001.88</v>
      </c>
    </row>
    <row r="531" spans="1:3" s="124" customFormat="1" ht="13.5" customHeight="1">
      <c r="A531" s="123" t="s">
        <v>11458</v>
      </c>
      <c r="B531" s="123" t="s">
        <v>11459</v>
      </c>
      <c r="C531" s="92">
        <v>6870.96</v>
      </c>
    </row>
    <row r="532" spans="1:3" s="124" customFormat="1" ht="13.5" customHeight="1">
      <c r="A532" s="123" t="s">
        <v>11460</v>
      </c>
      <c r="B532" s="123" t="s">
        <v>11461</v>
      </c>
      <c r="C532" s="92">
        <v>3962.81</v>
      </c>
    </row>
    <row r="533" spans="1:3" s="124" customFormat="1" ht="13.5" customHeight="1">
      <c r="A533" s="123" t="s">
        <v>11462</v>
      </c>
      <c r="B533" s="123" t="s">
        <v>11463</v>
      </c>
      <c r="C533" s="92">
        <v>4004.01</v>
      </c>
    </row>
    <row r="534" spans="1:3" s="124" customFormat="1" ht="13.5" customHeight="1">
      <c r="A534" s="123" t="s">
        <v>11464</v>
      </c>
      <c r="B534" s="123" t="s">
        <v>11465</v>
      </c>
      <c r="C534" s="92">
        <v>5278.55</v>
      </c>
    </row>
    <row r="535" spans="1:3" s="124" customFormat="1" ht="13.5" customHeight="1">
      <c r="A535" s="123" t="s">
        <v>11466</v>
      </c>
      <c r="B535" s="123" t="s">
        <v>11467</v>
      </c>
      <c r="C535" s="92">
        <v>4373.07</v>
      </c>
    </row>
    <row r="536" spans="1:3" s="124" customFormat="1" ht="13.5" customHeight="1">
      <c r="A536" s="123" t="s">
        <v>11468</v>
      </c>
      <c r="B536" s="123" t="s">
        <v>11469</v>
      </c>
      <c r="C536" s="92">
        <v>4516.1499999999996</v>
      </c>
    </row>
    <row r="537" spans="1:3" s="124" customFormat="1" ht="13.5" customHeight="1">
      <c r="A537" s="123" t="s">
        <v>11470</v>
      </c>
      <c r="B537" s="123" t="s">
        <v>11471</v>
      </c>
      <c r="C537" s="92">
        <v>5001.1099999999997</v>
      </c>
    </row>
    <row r="538" spans="1:3" s="124" customFormat="1" ht="13.5" customHeight="1">
      <c r="A538" s="123" t="s">
        <v>11472</v>
      </c>
      <c r="B538" s="123" t="s">
        <v>11473</v>
      </c>
      <c r="C538" s="92">
        <v>5001.1099999999997</v>
      </c>
    </row>
    <row r="539" spans="1:3" s="124" customFormat="1" ht="13.5" customHeight="1">
      <c r="A539" s="123" t="s">
        <v>11474</v>
      </c>
      <c r="B539" s="123" t="s">
        <v>11475</v>
      </c>
      <c r="C539" s="92">
        <v>3950.78</v>
      </c>
    </row>
    <row r="540" spans="1:3" s="124" customFormat="1" ht="13.5" customHeight="1">
      <c r="A540" s="123" t="s">
        <v>11476</v>
      </c>
      <c r="B540" s="123" t="s">
        <v>11477</v>
      </c>
      <c r="C540" s="92">
        <v>3860.15</v>
      </c>
    </row>
    <row r="541" spans="1:3" s="124" customFormat="1" ht="13.5" customHeight="1">
      <c r="A541" s="123" t="s">
        <v>11478</v>
      </c>
      <c r="B541" s="123" t="s">
        <v>11479</v>
      </c>
      <c r="C541" s="92">
        <v>4588.6400000000003</v>
      </c>
    </row>
    <row r="542" spans="1:3" s="124" customFormat="1" ht="13.5" customHeight="1">
      <c r="A542" s="123" t="s">
        <v>11480</v>
      </c>
      <c r="B542" s="123" t="s">
        <v>11481</v>
      </c>
      <c r="C542" s="92">
        <v>2334.69</v>
      </c>
    </row>
    <row r="543" spans="1:3" s="124" customFormat="1" ht="13.5" customHeight="1">
      <c r="A543" s="123" t="s">
        <v>11482</v>
      </c>
      <c r="B543" s="123" t="s">
        <v>11483</v>
      </c>
      <c r="C543" s="92">
        <v>4097.45</v>
      </c>
    </row>
    <row r="544" spans="1:3" s="124" customFormat="1" ht="13.5" customHeight="1">
      <c r="A544" s="123" t="s">
        <v>11484</v>
      </c>
      <c r="B544" s="123" t="s">
        <v>11485</v>
      </c>
      <c r="C544" s="92">
        <v>3757.55</v>
      </c>
    </row>
    <row r="545" spans="1:3" s="124" customFormat="1" ht="13.5" customHeight="1">
      <c r="A545" s="123" t="s">
        <v>11486</v>
      </c>
      <c r="B545" s="123" t="s">
        <v>11487</v>
      </c>
      <c r="C545" s="92">
        <v>4816.49</v>
      </c>
    </row>
    <row r="546" spans="1:3" s="124" customFormat="1" ht="13.5" customHeight="1">
      <c r="A546" s="123" t="s">
        <v>11488</v>
      </c>
      <c r="B546" s="123" t="s">
        <v>11489</v>
      </c>
      <c r="C546" s="92">
        <v>6582.25</v>
      </c>
    </row>
    <row r="547" spans="1:3" s="124" customFormat="1" ht="13.5" customHeight="1">
      <c r="A547" s="123" t="s">
        <v>11490</v>
      </c>
      <c r="B547" s="123" t="s">
        <v>11491</v>
      </c>
      <c r="C547" s="92">
        <v>5411.69</v>
      </c>
    </row>
    <row r="548" spans="1:3" s="124" customFormat="1" ht="13.5" customHeight="1">
      <c r="A548" s="123" t="s">
        <v>11492</v>
      </c>
      <c r="B548" s="123" t="s">
        <v>11493</v>
      </c>
      <c r="C548" s="92">
        <v>4620.99</v>
      </c>
    </row>
    <row r="549" spans="1:3" s="124" customFormat="1" ht="13.5" customHeight="1">
      <c r="A549" s="123" t="s">
        <v>11494</v>
      </c>
      <c r="B549" s="123" t="s">
        <v>11495</v>
      </c>
      <c r="C549" s="92">
        <v>3838.34</v>
      </c>
    </row>
    <row r="550" spans="1:3" s="124" customFormat="1" ht="13.5" customHeight="1">
      <c r="A550" s="123" t="s">
        <v>11496</v>
      </c>
      <c r="B550" s="123" t="s">
        <v>11497</v>
      </c>
      <c r="C550" s="92">
        <v>4100.1499999999996</v>
      </c>
    </row>
    <row r="551" spans="1:3" s="124" customFormat="1" ht="13.5" customHeight="1">
      <c r="A551" s="123" t="s">
        <v>11498</v>
      </c>
      <c r="B551" s="123" t="s">
        <v>11499</v>
      </c>
      <c r="C551" s="92">
        <v>4732.17</v>
      </c>
    </row>
    <row r="552" spans="1:3" s="124" customFormat="1" ht="13.5" customHeight="1">
      <c r="A552" s="123" t="s">
        <v>11500</v>
      </c>
      <c r="B552" s="123" t="s">
        <v>11501</v>
      </c>
      <c r="C552" s="92">
        <v>5048.29</v>
      </c>
    </row>
    <row r="553" spans="1:3" s="124" customFormat="1" ht="13.5" customHeight="1">
      <c r="A553" s="123" t="s">
        <v>11502</v>
      </c>
      <c r="B553" s="123" t="s">
        <v>11503</v>
      </c>
      <c r="C553" s="92">
        <v>3564.57</v>
      </c>
    </row>
    <row r="554" spans="1:3" s="124" customFormat="1" ht="13.5" customHeight="1">
      <c r="A554" s="123" t="s">
        <v>11504</v>
      </c>
      <c r="B554" s="123" t="s">
        <v>11505</v>
      </c>
      <c r="C554" s="92">
        <v>4460.74</v>
      </c>
    </row>
    <row r="555" spans="1:3" s="124" customFormat="1" ht="13.5" customHeight="1">
      <c r="A555" s="123" t="s">
        <v>11506</v>
      </c>
      <c r="B555" s="123" t="s">
        <v>11507</v>
      </c>
      <c r="C555" s="92">
        <v>3437.74</v>
      </c>
    </row>
    <row r="556" spans="1:3" s="124" customFormat="1" ht="13.5" customHeight="1">
      <c r="A556" s="123" t="s">
        <v>11508</v>
      </c>
      <c r="B556" s="123" t="s">
        <v>11509</v>
      </c>
      <c r="C556" s="92">
        <v>3215.59</v>
      </c>
    </row>
    <row r="557" spans="1:3" s="124" customFormat="1" ht="13.5" customHeight="1">
      <c r="A557" s="123" t="s">
        <v>11510</v>
      </c>
      <c r="B557" s="123" t="s">
        <v>11511</v>
      </c>
      <c r="C557" s="92">
        <v>4516.2299999999996</v>
      </c>
    </row>
    <row r="558" spans="1:3" s="124" customFormat="1" ht="13.5" customHeight="1">
      <c r="A558" s="123" t="s">
        <v>11512</v>
      </c>
      <c r="B558" s="123" t="s">
        <v>11513</v>
      </c>
      <c r="C558" s="92">
        <v>5002.46</v>
      </c>
    </row>
    <row r="559" spans="1:3" s="124" customFormat="1" ht="13.5" customHeight="1">
      <c r="A559" s="123" t="s">
        <v>11514</v>
      </c>
      <c r="B559" s="123" t="s">
        <v>11515</v>
      </c>
      <c r="C559" s="92">
        <v>3132.81</v>
      </c>
    </row>
    <row r="560" spans="1:3" s="124" customFormat="1" ht="13.5" customHeight="1">
      <c r="A560" s="123" t="s">
        <v>11516</v>
      </c>
      <c r="B560" s="123" t="s">
        <v>11517</v>
      </c>
      <c r="C560" s="92">
        <v>4368.1899999999996</v>
      </c>
    </row>
    <row r="561" spans="1:3" s="124" customFormat="1" ht="13.5" customHeight="1">
      <c r="A561" s="123" t="s">
        <v>11518</v>
      </c>
      <c r="B561" s="123" t="s">
        <v>11519</v>
      </c>
      <c r="C561" s="92">
        <v>4097.45</v>
      </c>
    </row>
    <row r="562" spans="1:3" s="124" customFormat="1" ht="13.5" customHeight="1">
      <c r="A562" s="123" t="s">
        <v>11520</v>
      </c>
      <c r="B562" s="123" t="s">
        <v>11521</v>
      </c>
      <c r="C562" s="92">
        <v>3719.91</v>
      </c>
    </row>
    <row r="563" spans="1:3" s="124" customFormat="1" ht="13.5" customHeight="1">
      <c r="A563" s="123" t="s">
        <v>11522</v>
      </c>
      <c r="B563" s="123" t="s">
        <v>11523</v>
      </c>
      <c r="C563" s="92">
        <v>3514.77</v>
      </c>
    </row>
    <row r="564" spans="1:3" s="124" customFormat="1" ht="13.5" customHeight="1">
      <c r="A564" s="123" t="s">
        <v>11524</v>
      </c>
      <c r="B564" s="123" t="s">
        <v>11525</v>
      </c>
      <c r="C564" s="92">
        <v>2989.79</v>
      </c>
    </row>
    <row r="565" spans="1:3" s="124" customFormat="1" ht="13.5" customHeight="1">
      <c r="A565" s="123" t="s">
        <v>11526</v>
      </c>
      <c r="B565" s="123" t="s">
        <v>11527</v>
      </c>
      <c r="C565" s="92">
        <v>5514.84</v>
      </c>
    </row>
    <row r="566" spans="1:3" s="124" customFormat="1" ht="13.5" customHeight="1">
      <c r="A566" s="123" t="s">
        <v>11528</v>
      </c>
      <c r="B566" s="123" t="s">
        <v>11529</v>
      </c>
      <c r="C566" s="92">
        <v>3450.08</v>
      </c>
    </row>
    <row r="567" spans="1:3" s="124" customFormat="1" ht="13.5" customHeight="1">
      <c r="A567" s="123" t="s">
        <v>11530</v>
      </c>
      <c r="B567" s="123" t="s">
        <v>11531</v>
      </c>
      <c r="C567" s="92">
        <v>4515.74</v>
      </c>
    </row>
    <row r="568" spans="1:3" s="124" customFormat="1" ht="13.5" customHeight="1">
      <c r="A568" s="123" t="s">
        <v>11532</v>
      </c>
      <c r="B568" s="123" t="s">
        <v>11533</v>
      </c>
      <c r="C568" s="92">
        <v>4448.3500000000004</v>
      </c>
    </row>
    <row r="569" spans="1:3" s="124" customFormat="1" ht="13.5" customHeight="1">
      <c r="A569" s="123" t="s">
        <v>11534</v>
      </c>
      <c r="B569" s="123" t="s">
        <v>11535</v>
      </c>
      <c r="C569" s="92">
        <v>5515.26</v>
      </c>
    </row>
    <row r="570" spans="1:3" s="124" customFormat="1" ht="13.5" customHeight="1">
      <c r="A570" s="123" t="s">
        <v>11536</v>
      </c>
      <c r="B570" s="123" t="s">
        <v>11537</v>
      </c>
      <c r="C570" s="92">
        <v>4199.3</v>
      </c>
    </row>
    <row r="571" spans="1:3" s="124" customFormat="1" ht="13.5" customHeight="1">
      <c r="A571" s="123" t="s">
        <v>11538</v>
      </c>
      <c r="B571" s="123" t="s">
        <v>11539</v>
      </c>
      <c r="C571" s="92">
        <v>4304.25</v>
      </c>
    </row>
    <row r="572" spans="1:3" s="124" customFormat="1" ht="13.5" customHeight="1">
      <c r="A572" s="123" t="s">
        <v>11540</v>
      </c>
      <c r="B572" s="123" t="s">
        <v>11541</v>
      </c>
      <c r="C572" s="92">
        <v>4030.1</v>
      </c>
    </row>
    <row r="573" spans="1:3" s="124" customFormat="1" ht="13.5" customHeight="1">
      <c r="A573" s="123" t="s">
        <v>11542</v>
      </c>
      <c r="B573" s="123" t="s">
        <v>11543</v>
      </c>
      <c r="C573" s="92">
        <v>3578.51</v>
      </c>
    </row>
    <row r="574" spans="1:3" s="124" customFormat="1" ht="13.5" customHeight="1">
      <c r="A574" s="123" t="s">
        <v>11544</v>
      </c>
      <c r="B574" s="123" t="s">
        <v>11545</v>
      </c>
      <c r="C574" s="92">
        <v>3952.22</v>
      </c>
    </row>
    <row r="575" spans="1:3" s="124" customFormat="1" ht="13.5" customHeight="1">
      <c r="A575" s="123" t="s">
        <v>11546</v>
      </c>
      <c r="B575" s="123" t="s">
        <v>11547</v>
      </c>
      <c r="C575" s="92">
        <v>3320.3</v>
      </c>
    </row>
    <row r="576" spans="1:3" s="124" customFormat="1" ht="13.5" customHeight="1">
      <c r="A576" s="123" t="s">
        <v>11548</v>
      </c>
      <c r="B576" s="123" t="s">
        <v>11549</v>
      </c>
      <c r="C576" s="92">
        <v>1798.27</v>
      </c>
    </row>
    <row r="577" spans="1:3" s="124" customFormat="1" ht="13.5" customHeight="1">
      <c r="A577" s="123" t="s">
        <v>11550</v>
      </c>
      <c r="B577" s="123" t="s">
        <v>11551</v>
      </c>
      <c r="C577" s="92">
        <v>4175.3900000000003</v>
      </c>
    </row>
    <row r="578" spans="1:3" s="124" customFormat="1" ht="13.5" customHeight="1">
      <c r="A578" s="123" t="s">
        <v>11552</v>
      </c>
      <c r="B578" s="123" t="s">
        <v>11553</v>
      </c>
      <c r="C578" s="92">
        <v>3913.12</v>
      </c>
    </row>
    <row r="579" spans="1:3" s="124" customFormat="1" ht="13.5" customHeight="1">
      <c r="A579" s="123" t="s">
        <v>11554</v>
      </c>
      <c r="B579" s="123" t="s">
        <v>11555</v>
      </c>
      <c r="C579" s="92">
        <v>3275.94</v>
      </c>
    </row>
    <row r="580" spans="1:3" s="124" customFormat="1" ht="13.5" customHeight="1">
      <c r="A580" s="123" t="s">
        <v>11556</v>
      </c>
      <c r="B580" s="123" t="s">
        <v>11557</v>
      </c>
      <c r="C580" s="92">
        <v>4516.2299999999996</v>
      </c>
    </row>
    <row r="581" spans="1:3" s="124" customFormat="1" ht="13.5" customHeight="1">
      <c r="A581" s="123" t="s">
        <v>11558</v>
      </c>
      <c r="B581" s="123" t="s">
        <v>11559</v>
      </c>
      <c r="C581" s="92">
        <v>4076.38</v>
      </c>
    </row>
    <row r="582" spans="1:3" s="124" customFormat="1" ht="13.5" customHeight="1">
      <c r="A582" s="123" t="s">
        <v>11560</v>
      </c>
      <c r="B582" s="123" t="s">
        <v>11561</v>
      </c>
      <c r="C582" s="92">
        <v>5369.97</v>
      </c>
    </row>
    <row r="583" spans="1:3" s="124" customFormat="1" ht="13.5" customHeight="1">
      <c r="A583" s="123" t="s">
        <v>11562</v>
      </c>
      <c r="B583" s="123" t="s">
        <v>11563</v>
      </c>
      <c r="C583" s="92">
        <v>5871.19</v>
      </c>
    </row>
    <row r="584" spans="1:3" s="124" customFormat="1" ht="13.5" customHeight="1">
      <c r="A584" s="123" t="s">
        <v>11564</v>
      </c>
      <c r="B584" s="123" t="s">
        <v>11565</v>
      </c>
      <c r="C584" s="92">
        <v>4515.32</v>
      </c>
    </row>
    <row r="585" spans="1:3" s="124" customFormat="1" ht="13.5" customHeight="1">
      <c r="A585" s="123" t="s">
        <v>11566</v>
      </c>
      <c r="B585" s="123" t="s">
        <v>11567</v>
      </c>
      <c r="C585" s="92">
        <v>3735.41</v>
      </c>
    </row>
    <row r="586" spans="1:3" s="124" customFormat="1" ht="13.5" customHeight="1">
      <c r="A586" s="123" t="s">
        <v>11568</v>
      </c>
      <c r="B586" s="123" t="s">
        <v>11569</v>
      </c>
      <c r="C586" s="92">
        <v>3111.68</v>
      </c>
    </row>
    <row r="587" spans="1:3" s="124" customFormat="1" ht="13.5" customHeight="1">
      <c r="A587" s="123" t="s">
        <v>11570</v>
      </c>
      <c r="B587" s="123" t="s">
        <v>11571</v>
      </c>
      <c r="C587" s="92">
        <v>2515.08</v>
      </c>
    </row>
    <row r="588" spans="1:3" s="124" customFormat="1" ht="13.5" customHeight="1">
      <c r="A588" s="123" t="s">
        <v>11572</v>
      </c>
      <c r="B588" s="123" t="s">
        <v>11573</v>
      </c>
      <c r="C588" s="92">
        <v>3792.47</v>
      </c>
    </row>
    <row r="589" spans="1:3" s="124" customFormat="1" ht="13.5" customHeight="1">
      <c r="A589" s="123" t="s">
        <v>11574</v>
      </c>
      <c r="B589" s="123" t="s">
        <v>11575</v>
      </c>
      <c r="C589" s="92">
        <v>4305.18</v>
      </c>
    </row>
    <row r="590" spans="1:3" s="124" customFormat="1" ht="13.5" customHeight="1">
      <c r="A590" s="123" t="s">
        <v>11576</v>
      </c>
      <c r="B590" s="123" t="s">
        <v>11577</v>
      </c>
      <c r="C590" s="92">
        <v>3392.76</v>
      </c>
    </row>
    <row r="591" spans="1:3" s="124" customFormat="1" ht="13.5" customHeight="1">
      <c r="A591" s="123" t="s">
        <v>11578</v>
      </c>
      <c r="B591" s="123" t="s">
        <v>11579</v>
      </c>
      <c r="C591" s="92">
        <v>3127.17</v>
      </c>
    </row>
    <row r="592" spans="1:3" s="124" customFormat="1" ht="13.5" customHeight="1">
      <c r="A592" s="123" t="s">
        <v>11580</v>
      </c>
      <c r="B592" s="123" t="s">
        <v>11581</v>
      </c>
      <c r="C592" s="92">
        <v>3347.07</v>
      </c>
    </row>
    <row r="593" spans="1:3" s="124" customFormat="1" ht="13.5" customHeight="1">
      <c r="A593" s="123" t="s">
        <v>11582</v>
      </c>
      <c r="B593" s="123" t="s">
        <v>11583</v>
      </c>
      <c r="C593" s="92">
        <v>3476.79</v>
      </c>
    </row>
    <row r="594" spans="1:3" s="124" customFormat="1" ht="13.5" customHeight="1">
      <c r="A594" s="123" t="s">
        <v>11584</v>
      </c>
      <c r="B594" s="123" t="s">
        <v>11585</v>
      </c>
      <c r="C594" s="92">
        <v>3733.06</v>
      </c>
    </row>
    <row r="595" spans="1:3" s="124" customFormat="1" ht="13.5" customHeight="1">
      <c r="A595" s="123" t="s">
        <v>11586</v>
      </c>
      <c r="B595" s="123" t="s">
        <v>11587</v>
      </c>
      <c r="C595" s="92">
        <v>3014.24</v>
      </c>
    </row>
    <row r="596" spans="1:3" s="124" customFormat="1" ht="13.5" customHeight="1">
      <c r="A596" s="123" t="s">
        <v>11588</v>
      </c>
      <c r="B596" s="123" t="s">
        <v>11589</v>
      </c>
      <c r="C596" s="92">
        <v>4449.01</v>
      </c>
    </row>
    <row r="597" spans="1:3" s="124" customFormat="1" ht="13.5" customHeight="1">
      <c r="A597" s="123" t="s">
        <v>11590</v>
      </c>
      <c r="B597" s="123" t="s">
        <v>11591</v>
      </c>
      <c r="C597" s="92">
        <v>4918.6000000000004</v>
      </c>
    </row>
    <row r="598" spans="1:3" s="124" customFormat="1" ht="13.5" customHeight="1">
      <c r="A598" s="123" t="s">
        <v>11592</v>
      </c>
      <c r="B598" s="123" t="s">
        <v>11593</v>
      </c>
      <c r="C598" s="92">
        <v>4439.25</v>
      </c>
    </row>
    <row r="599" spans="1:3" s="124" customFormat="1" ht="13.5" customHeight="1">
      <c r="A599" s="123" t="s">
        <v>11594</v>
      </c>
      <c r="B599" s="123" t="s">
        <v>11595</v>
      </c>
      <c r="C599" s="92">
        <v>3510.36</v>
      </c>
    </row>
    <row r="600" spans="1:3" s="124" customFormat="1" ht="13.5" customHeight="1">
      <c r="A600" s="123" t="s">
        <v>11596</v>
      </c>
      <c r="B600" s="123" t="s">
        <v>11597</v>
      </c>
      <c r="C600" s="92">
        <v>4458.7700000000004</v>
      </c>
    </row>
    <row r="601" spans="1:3" s="124" customFormat="1" ht="13.5" customHeight="1">
      <c r="A601" s="123" t="s">
        <v>11598</v>
      </c>
      <c r="B601" s="123" t="s">
        <v>11599</v>
      </c>
      <c r="C601" s="92">
        <v>4347.6499999999996</v>
      </c>
    </row>
    <row r="602" spans="1:3" s="124" customFormat="1" ht="13.5" customHeight="1">
      <c r="A602" s="123" t="s">
        <v>11600</v>
      </c>
      <c r="B602" s="123" t="s">
        <v>11601</v>
      </c>
      <c r="C602" s="92">
        <v>4458.66</v>
      </c>
    </row>
    <row r="603" spans="1:3" s="124" customFormat="1" ht="13.5" customHeight="1">
      <c r="A603" s="123" t="s">
        <v>11602</v>
      </c>
      <c r="B603" s="123" t="s">
        <v>11603</v>
      </c>
      <c r="C603" s="92">
        <v>3891.94</v>
      </c>
    </row>
    <row r="604" spans="1:3" s="124" customFormat="1" ht="13.5" customHeight="1">
      <c r="A604" s="123" t="s">
        <v>11604</v>
      </c>
      <c r="B604" s="123" t="s">
        <v>11605</v>
      </c>
      <c r="C604" s="92">
        <v>4853.4799999999996</v>
      </c>
    </row>
    <row r="605" spans="1:3" s="124" customFormat="1" ht="13.5" customHeight="1">
      <c r="A605" s="123" t="s">
        <v>11606</v>
      </c>
      <c r="B605" s="123" t="s">
        <v>11607</v>
      </c>
      <c r="C605" s="92">
        <v>3413.07</v>
      </c>
    </row>
    <row r="606" spans="1:3" s="124" customFormat="1" ht="13.5" customHeight="1">
      <c r="A606" s="123" t="s">
        <v>11608</v>
      </c>
      <c r="B606" s="123" t="s">
        <v>11609</v>
      </c>
      <c r="C606" s="92">
        <v>3407.29</v>
      </c>
    </row>
    <row r="607" spans="1:3" s="124" customFormat="1" ht="13.5" customHeight="1">
      <c r="A607" s="123" t="s">
        <v>11610</v>
      </c>
      <c r="B607" s="123" t="s">
        <v>11611</v>
      </c>
      <c r="C607" s="92">
        <v>4107.46</v>
      </c>
    </row>
    <row r="608" spans="1:3" s="124" customFormat="1" ht="13.5" customHeight="1">
      <c r="A608" s="123" t="s">
        <v>11612</v>
      </c>
      <c r="B608" s="123" t="s">
        <v>11613</v>
      </c>
      <c r="C608" s="92">
        <v>3004.25</v>
      </c>
    </row>
    <row r="609" spans="1:3" s="124" customFormat="1" ht="13.5" customHeight="1">
      <c r="A609" s="123" t="s">
        <v>11614</v>
      </c>
      <c r="B609" s="123" t="s">
        <v>11615</v>
      </c>
      <c r="C609" s="92">
        <v>3614.65</v>
      </c>
    </row>
    <row r="610" spans="1:3" s="124" customFormat="1" ht="13.5" customHeight="1">
      <c r="A610" s="123" t="s">
        <v>11616</v>
      </c>
      <c r="B610" s="123" t="s">
        <v>11617</v>
      </c>
      <c r="C610" s="92">
        <v>4460.74</v>
      </c>
    </row>
    <row r="611" spans="1:3" s="124" customFormat="1" ht="13.5" customHeight="1">
      <c r="A611" s="123" t="s">
        <v>11618</v>
      </c>
      <c r="B611" s="123" t="s">
        <v>11619</v>
      </c>
      <c r="C611" s="92">
        <v>5046.03</v>
      </c>
    </row>
    <row r="612" spans="1:3" s="124" customFormat="1" ht="13.5" customHeight="1">
      <c r="A612" s="123" t="s">
        <v>11620</v>
      </c>
      <c r="B612" s="123" t="s">
        <v>11621</v>
      </c>
      <c r="C612" s="92">
        <v>4457.51</v>
      </c>
    </row>
    <row r="613" spans="1:3" s="124" customFormat="1" ht="13.5" customHeight="1">
      <c r="A613" s="123" t="s">
        <v>11622</v>
      </c>
      <c r="B613" s="123" t="s">
        <v>11623</v>
      </c>
      <c r="C613" s="92">
        <v>4053.79</v>
      </c>
    </row>
    <row r="614" spans="1:3" s="124" customFormat="1" ht="13.5" customHeight="1">
      <c r="A614" s="123" t="s">
        <v>11624</v>
      </c>
      <c r="B614" s="123" t="s">
        <v>11625</v>
      </c>
      <c r="C614" s="92">
        <v>3260.36</v>
      </c>
    </row>
    <row r="615" spans="1:3" s="124" customFormat="1" ht="13.5" customHeight="1">
      <c r="A615" s="123" t="s">
        <v>11626</v>
      </c>
      <c r="B615" s="123" t="s">
        <v>11627</v>
      </c>
      <c r="C615" s="92">
        <v>2866.33</v>
      </c>
    </row>
    <row r="616" spans="1:3" s="124" customFormat="1" ht="13.5" customHeight="1">
      <c r="A616" s="123" t="s">
        <v>11628</v>
      </c>
      <c r="B616" s="123" t="s">
        <v>11629</v>
      </c>
      <c r="C616" s="92">
        <v>5028.43</v>
      </c>
    </row>
    <row r="617" spans="1:3" s="124" customFormat="1" ht="13.5" customHeight="1">
      <c r="A617" s="123" t="s">
        <v>11630</v>
      </c>
      <c r="B617" s="123" t="s">
        <v>11631</v>
      </c>
      <c r="C617" s="92">
        <v>4371.67</v>
      </c>
    </row>
    <row r="618" spans="1:3" s="124" customFormat="1" ht="13.5" customHeight="1">
      <c r="A618" s="123" t="s">
        <v>11632</v>
      </c>
      <c r="B618" s="123" t="s">
        <v>11633</v>
      </c>
      <c r="C618" s="92">
        <v>5097.21</v>
      </c>
    </row>
    <row r="619" spans="1:3" s="124" customFormat="1" ht="13.5" customHeight="1">
      <c r="A619" s="123" t="s">
        <v>11634</v>
      </c>
      <c r="B619" s="123" t="s">
        <v>11635</v>
      </c>
      <c r="C619" s="92">
        <v>5048.29</v>
      </c>
    </row>
    <row r="620" spans="1:3" s="124" customFormat="1" ht="13.5" customHeight="1">
      <c r="A620" s="123" t="s">
        <v>11636</v>
      </c>
      <c r="B620" s="123" t="s">
        <v>11637</v>
      </c>
      <c r="C620" s="92">
        <v>4313.1099999999997</v>
      </c>
    </row>
    <row r="621" spans="1:3" s="124" customFormat="1" ht="13.5" customHeight="1">
      <c r="A621" s="123" t="s">
        <v>11638</v>
      </c>
      <c r="B621" s="123" t="s">
        <v>11639</v>
      </c>
      <c r="C621" s="92">
        <v>3509.85</v>
      </c>
    </row>
    <row r="622" spans="1:3" s="124" customFormat="1" ht="13.5" customHeight="1">
      <c r="A622" s="123" t="s">
        <v>11640</v>
      </c>
      <c r="B622" s="123" t="s">
        <v>11641</v>
      </c>
      <c r="C622" s="92">
        <v>2270.2600000000002</v>
      </c>
    </row>
    <row r="623" spans="1:3" s="124" customFormat="1" ht="13.5" customHeight="1">
      <c r="A623" s="123" t="s">
        <v>11642</v>
      </c>
      <c r="B623" s="123" t="s">
        <v>11643</v>
      </c>
      <c r="C623" s="92">
        <v>5342.78</v>
      </c>
    </row>
    <row r="624" spans="1:3" s="124" customFormat="1" ht="13.5" customHeight="1">
      <c r="A624" s="123" t="s">
        <v>11644</v>
      </c>
      <c r="B624" s="123" t="s">
        <v>11645</v>
      </c>
      <c r="C624" s="92">
        <v>4727.37</v>
      </c>
    </row>
    <row r="625" spans="1:3" s="124" customFormat="1" ht="13.5" customHeight="1">
      <c r="A625" s="123" t="s">
        <v>11646</v>
      </c>
      <c r="B625" s="123" t="s">
        <v>11647</v>
      </c>
      <c r="C625" s="92">
        <v>4516.76</v>
      </c>
    </row>
    <row r="626" spans="1:3" s="124" customFormat="1" ht="13.5" customHeight="1">
      <c r="A626" s="123" t="s">
        <v>11648</v>
      </c>
      <c r="B626" s="123" t="s">
        <v>11649</v>
      </c>
      <c r="C626" s="92">
        <v>2695.94</v>
      </c>
    </row>
    <row r="627" spans="1:3" s="124" customFormat="1" ht="13.5" customHeight="1">
      <c r="A627" s="123" t="s">
        <v>11650</v>
      </c>
      <c r="B627" s="123" t="s">
        <v>11651</v>
      </c>
      <c r="C627" s="92">
        <v>5001.6899999999996</v>
      </c>
    </row>
    <row r="628" spans="1:3" s="124" customFormat="1" ht="13.5" customHeight="1">
      <c r="A628" s="123" t="s">
        <v>11652</v>
      </c>
      <c r="B628" s="123" t="s">
        <v>11653</v>
      </c>
      <c r="C628" s="92">
        <v>3315.89</v>
      </c>
    </row>
    <row r="629" spans="1:3" s="124" customFormat="1" ht="13.5" customHeight="1">
      <c r="A629" s="123" t="s">
        <v>11654</v>
      </c>
      <c r="B629" s="123" t="s">
        <v>11655</v>
      </c>
      <c r="C629" s="92">
        <v>5871.19</v>
      </c>
    </row>
    <row r="630" spans="1:3" s="124" customFormat="1" ht="13.5" customHeight="1">
      <c r="A630" s="123" t="s">
        <v>11656</v>
      </c>
      <c r="B630" s="123" t="s">
        <v>11657</v>
      </c>
      <c r="C630" s="92">
        <v>4869.1099999999997</v>
      </c>
    </row>
    <row r="631" spans="1:3" s="124" customFormat="1" ht="13.5" customHeight="1">
      <c r="A631" s="123" t="s">
        <v>11658</v>
      </c>
      <c r="B631" s="123" t="s">
        <v>11659</v>
      </c>
      <c r="C631" s="92">
        <v>4398.8999999999996</v>
      </c>
    </row>
    <row r="632" spans="1:3" s="124" customFormat="1" ht="13.5" customHeight="1">
      <c r="A632" s="123" t="s">
        <v>11660</v>
      </c>
      <c r="B632" s="123" t="s">
        <v>11661</v>
      </c>
      <c r="C632" s="92">
        <v>4459.16</v>
      </c>
    </row>
    <row r="633" spans="1:3" s="124" customFormat="1" ht="13.5" customHeight="1">
      <c r="A633" s="123" t="s">
        <v>11662</v>
      </c>
      <c r="B633" s="123" t="s">
        <v>11663</v>
      </c>
      <c r="C633" s="92">
        <v>2545.34</v>
      </c>
    </row>
    <row r="634" spans="1:3" s="124" customFormat="1" ht="13.5" customHeight="1">
      <c r="A634" s="123" t="s">
        <v>11664</v>
      </c>
      <c r="B634" s="123" t="s">
        <v>11665</v>
      </c>
      <c r="C634" s="92">
        <v>4590.05</v>
      </c>
    </row>
    <row r="635" spans="1:3" s="124" customFormat="1" ht="13.5" customHeight="1">
      <c r="A635" s="123" t="s">
        <v>11666</v>
      </c>
      <c r="B635" s="123" t="s">
        <v>11667</v>
      </c>
      <c r="C635" s="92">
        <v>3319.95</v>
      </c>
    </row>
    <row r="636" spans="1:3" s="124" customFormat="1" ht="13.5" customHeight="1">
      <c r="A636" s="123" t="s">
        <v>11668</v>
      </c>
      <c r="B636" s="123" t="s">
        <v>11669</v>
      </c>
      <c r="C636" s="92">
        <v>4590.05</v>
      </c>
    </row>
    <row r="637" spans="1:3" s="124" customFormat="1" ht="13.5" customHeight="1">
      <c r="A637" s="123" t="s">
        <v>11670</v>
      </c>
      <c r="B637" s="123" t="s">
        <v>11671</v>
      </c>
      <c r="C637" s="92">
        <v>5001.88</v>
      </c>
    </row>
    <row r="638" spans="1:3" s="124" customFormat="1" ht="13.5" customHeight="1">
      <c r="A638" s="123" t="s">
        <v>11672</v>
      </c>
      <c r="B638" s="123" t="s">
        <v>11673</v>
      </c>
      <c r="C638" s="92">
        <v>2866.48</v>
      </c>
    </row>
    <row r="639" spans="1:3" s="124" customFormat="1" ht="13.5" customHeight="1">
      <c r="A639" s="123" t="s">
        <v>11674</v>
      </c>
      <c r="B639" s="123" t="s">
        <v>11675</v>
      </c>
      <c r="C639" s="92">
        <v>3759.92</v>
      </c>
    </row>
    <row r="640" spans="1:3" s="124" customFormat="1" ht="13.5" customHeight="1">
      <c r="A640" s="123" t="s">
        <v>11676</v>
      </c>
      <c r="B640" s="123" t="s">
        <v>11677</v>
      </c>
      <c r="C640" s="92">
        <v>5001.88</v>
      </c>
    </row>
    <row r="641" spans="1:3" s="124" customFormat="1" ht="13.5" customHeight="1">
      <c r="A641" s="123" t="s">
        <v>11678</v>
      </c>
      <c r="B641" s="123" t="s">
        <v>11679</v>
      </c>
      <c r="C641" s="92">
        <v>4220.9799999999996</v>
      </c>
    </row>
    <row r="642" spans="1:3" s="124" customFormat="1" ht="13.5" customHeight="1">
      <c r="A642" s="123" t="s">
        <v>11680</v>
      </c>
      <c r="B642" s="123" t="s">
        <v>11681</v>
      </c>
      <c r="C642" s="92">
        <v>4458.05</v>
      </c>
    </row>
    <row r="643" spans="1:3" s="124" customFormat="1" ht="13.5" customHeight="1">
      <c r="A643" s="123" t="s">
        <v>11682</v>
      </c>
      <c r="B643" s="123" t="s">
        <v>11683</v>
      </c>
      <c r="C643" s="92">
        <v>4514.54</v>
      </c>
    </row>
    <row r="644" spans="1:3" s="124" customFormat="1" ht="13.5" customHeight="1">
      <c r="A644" s="123" t="s">
        <v>11684</v>
      </c>
      <c r="B644" s="123" t="s">
        <v>11685</v>
      </c>
      <c r="C644" s="92">
        <v>4588.1000000000004</v>
      </c>
    </row>
    <row r="645" spans="1:3" s="124" customFormat="1" ht="13.5" customHeight="1">
      <c r="A645" s="123" t="s">
        <v>11686</v>
      </c>
      <c r="B645" s="123" t="s">
        <v>11687</v>
      </c>
      <c r="C645" s="92">
        <v>4245.25</v>
      </c>
    </row>
    <row r="646" spans="1:3" s="124" customFormat="1" ht="13.5" customHeight="1">
      <c r="A646" s="123" t="s">
        <v>11688</v>
      </c>
      <c r="B646" s="123" t="s">
        <v>11689</v>
      </c>
      <c r="C646" s="92">
        <v>4595.08</v>
      </c>
    </row>
    <row r="647" spans="1:3" s="124" customFormat="1" ht="13.5" customHeight="1">
      <c r="A647" s="123" t="s">
        <v>11690</v>
      </c>
      <c r="B647" s="123" t="s">
        <v>11691</v>
      </c>
      <c r="C647" s="92">
        <v>4371.67</v>
      </c>
    </row>
    <row r="648" spans="1:3" s="124" customFormat="1" ht="13.5" customHeight="1">
      <c r="A648" s="123" t="s">
        <v>11692</v>
      </c>
      <c r="B648" s="123" t="s">
        <v>11693</v>
      </c>
      <c r="C648" s="92">
        <v>4364.16</v>
      </c>
    </row>
    <row r="649" spans="1:3" s="124" customFormat="1" ht="13.5" customHeight="1">
      <c r="A649" s="123" t="s">
        <v>11694</v>
      </c>
      <c r="B649" s="123" t="s">
        <v>11695</v>
      </c>
      <c r="C649" s="92">
        <v>3947.43</v>
      </c>
    </row>
    <row r="650" spans="1:3" s="124" customFormat="1" ht="13.5" customHeight="1">
      <c r="A650" s="123" t="s">
        <v>11696</v>
      </c>
      <c r="B650" s="123" t="s">
        <v>11697</v>
      </c>
      <c r="C650" s="92">
        <v>4092.34</v>
      </c>
    </row>
    <row r="651" spans="1:3" s="124" customFormat="1" ht="13.5" customHeight="1">
      <c r="A651" s="123" t="s">
        <v>11698</v>
      </c>
      <c r="B651" s="123" t="s">
        <v>11699</v>
      </c>
      <c r="C651" s="92">
        <v>2782.71</v>
      </c>
    </row>
    <row r="652" spans="1:3" s="124" customFormat="1" ht="13.5" customHeight="1">
      <c r="A652" s="123" t="s">
        <v>11700</v>
      </c>
      <c r="B652" s="123" t="s">
        <v>11701</v>
      </c>
      <c r="C652" s="92">
        <v>4704.8500000000004</v>
      </c>
    </row>
    <row r="653" spans="1:3" s="124" customFormat="1" ht="13.5" customHeight="1">
      <c r="A653" s="123" t="s">
        <v>11702</v>
      </c>
      <c r="B653" s="123" t="s">
        <v>11703</v>
      </c>
      <c r="C653" s="92">
        <v>4448.87</v>
      </c>
    </row>
    <row r="654" spans="1:3" s="124" customFormat="1" ht="13.5" customHeight="1">
      <c r="A654" s="123" t="s">
        <v>11704</v>
      </c>
      <c r="B654" s="123" t="s">
        <v>11705</v>
      </c>
      <c r="C654" s="92">
        <v>4058.69</v>
      </c>
    </row>
    <row r="655" spans="1:3" s="124" customFormat="1" ht="13.5" customHeight="1">
      <c r="A655" s="123" t="s">
        <v>11706</v>
      </c>
      <c r="B655" s="123" t="s">
        <v>11707</v>
      </c>
      <c r="C655" s="92">
        <v>4155.3100000000004</v>
      </c>
    </row>
    <row r="656" spans="1:3" s="124" customFormat="1" ht="13.5" customHeight="1">
      <c r="A656" s="123" t="s">
        <v>11708</v>
      </c>
      <c r="B656" s="123" t="s">
        <v>11709</v>
      </c>
      <c r="C656" s="92">
        <v>3592.59</v>
      </c>
    </row>
    <row r="657" spans="1:3" s="124" customFormat="1" ht="13.5" customHeight="1">
      <c r="A657" s="123" t="s">
        <v>11710</v>
      </c>
      <c r="B657" s="123" t="s">
        <v>11711</v>
      </c>
      <c r="C657" s="92">
        <v>2750.43</v>
      </c>
    </row>
    <row r="658" spans="1:3" s="124" customFormat="1" ht="13.5" customHeight="1">
      <c r="A658" s="123" t="s">
        <v>11712</v>
      </c>
      <c r="B658" s="123" t="s">
        <v>11713</v>
      </c>
      <c r="C658" s="92">
        <v>4860.63</v>
      </c>
    </row>
    <row r="659" spans="1:3" s="124" customFormat="1" ht="13.5" customHeight="1">
      <c r="A659" s="123" t="s">
        <v>11714</v>
      </c>
      <c r="B659" s="123" t="s">
        <v>11715</v>
      </c>
      <c r="C659" s="92">
        <v>2863.18</v>
      </c>
    </row>
    <row r="660" spans="1:3" s="124" customFormat="1" ht="13.5" customHeight="1">
      <c r="A660" s="123" t="s">
        <v>11716</v>
      </c>
      <c r="B660" s="123" t="s">
        <v>11717</v>
      </c>
      <c r="C660" s="92">
        <v>3497.35</v>
      </c>
    </row>
    <row r="661" spans="1:3" s="124" customFormat="1" ht="13.5" customHeight="1">
      <c r="A661" s="123" t="s">
        <v>11718</v>
      </c>
      <c r="B661" s="123" t="s">
        <v>11719</v>
      </c>
      <c r="C661" s="92">
        <v>2896.78</v>
      </c>
    </row>
    <row r="662" spans="1:3" s="124" customFormat="1" ht="13.5" customHeight="1">
      <c r="A662" s="123" t="s">
        <v>11720</v>
      </c>
      <c r="B662" s="123" t="s">
        <v>11721</v>
      </c>
      <c r="C662" s="92">
        <v>3295.77</v>
      </c>
    </row>
    <row r="663" spans="1:3" s="124" customFormat="1" ht="13.5" customHeight="1">
      <c r="A663" s="123" t="s">
        <v>11722</v>
      </c>
      <c r="B663" s="123" t="s">
        <v>11723</v>
      </c>
      <c r="C663" s="92">
        <v>4193.8</v>
      </c>
    </row>
    <row r="664" spans="1:3" s="124" customFormat="1" ht="13.5" customHeight="1">
      <c r="A664" s="123" t="s">
        <v>11724</v>
      </c>
      <c r="B664" s="123" t="s">
        <v>11725</v>
      </c>
      <c r="C664" s="92">
        <v>2702.49</v>
      </c>
    </row>
    <row r="665" spans="1:3" s="124" customFormat="1" ht="13.5" customHeight="1">
      <c r="A665" s="123" t="s">
        <v>11726</v>
      </c>
      <c r="B665" s="123" t="s">
        <v>11727</v>
      </c>
      <c r="C665" s="92">
        <v>4590.05</v>
      </c>
    </row>
    <row r="666" spans="1:3" s="124" customFormat="1" ht="13.5" customHeight="1">
      <c r="A666" s="123" t="s">
        <v>11728</v>
      </c>
      <c r="B666" s="123" t="s">
        <v>11729</v>
      </c>
      <c r="C666" s="92">
        <v>3347.03</v>
      </c>
    </row>
    <row r="667" spans="1:3" s="124" customFormat="1" ht="13.5" customHeight="1">
      <c r="A667" s="123" t="s">
        <v>11730</v>
      </c>
      <c r="B667" s="123" t="s">
        <v>11731</v>
      </c>
      <c r="C667" s="92">
        <v>3890.7</v>
      </c>
    </row>
    <row r="668" spans="1:3" s="124" customFormat="1" ht="13.5" customHeight="1">
      <c r="A668" s="123" t="s">
        <v>11732</v>
      </c>
      <c r="B668" s="123" t="s">
        <v>11733</v>
      </c>
      <c r="C668" s="92">
        <v>4205.78</v>
      </c>
    </row>
    <row r="669" spans="1:3" s="124" customFormat="1" ht="13.5" customHeight="1">
      <c r="A669" s="123" t="s">
        <v>11734</v>
      </c>
      <c r="B669" s="123" t="s">
        <v>11735</v>
      </c>
      <c r="C669" s="92">
        <v>4447.24</v>
      </c>
    </row>
    <row r="670" spans="1:3" s="124" customFormat="1" ht="13.5" customHeight="1">
      <c r="A670" s="123" t="s">
        <v>11736</v>
      </c>
      <c r="B670" s="123" t="s">
        <v>11737</v>
      </c>
      <c r="C670" s="92">
        <v>4679.01</v>
      </c>
    </row>
    <row r="671" spans="1:3" s="124" customFormat="1" ht="13.5" customHeight="1">
      <c r="A671" s="123" t="s">
        <v>11738</v>
      </c>
      <c r="B671" s="123" t="s">
        <v>11739</v>
      </c>
      <c r="C671" s="92">
        <v>4733.66</v>
      </c>
    </row>
    <row r="672" spans="1:3" s="124" customFormat="1" ht="13.5" customHeight="1">
      <c r="A672" s="123" t="s">
        <v>11740</v>
      </c>
      <c r="B672" s="123" t="s">
        <v>11741</v>
      </c>
      <c r="C672" s="92">
        <v>2515.08</v>
      </c>
    </row>
    <row r="673" spans="1:3" s="124" customFormat="1" ht="13.5" customHeight="1">
      <c r="A673" s="123" t="s">
        <v>11742</v>
      </c>
      <c r="B673" s="123" t="s">
        <v>11743</v>
      </c>
      <c r="C673" s="92">
        <v>4499.62</v>
      </c>
    </row>
    <row r="674" spans="1:3" s="124" customFormat="1" ht="13.5" customHeight="1">
      <c r="A674" s="123" t="s">
        <v>11744</v>
      </c>
      <c r="B674" s="123" t="s">
        <v>11745</v>
      </c>
      <c r="C674" s="92">
        <v>4293.9399999999996</v>
      </c>
    </row>
    <row r="675" spans="1:3" s="124" customFormat="1" ht="13.5" customHeight="1">
      <c r="A675" s="123" t="s">
        <v>11746</v>
      </c>
      <c r="B675" s="123" t="s">
        <v>11747</v>
      </c>
      <c r="C675" s="92">
        <v>3480.22</v>
      </c>
    </row>
    <row r="676" spans="1:3" s="124" customFormat="1" ht="13.5" customHeight="1">
      <c r="A676" s="123" t="s">
        <v>11748</v>
      </c>
      <c r="B676" s="123" t="s">
        <v>11749</v>
      </c>
      <c r="C676" s="92">
        <v>4400.47</v>
      </c>
    </row>
    <row r="677" spans="1:3" s="124" customFormat="1" ht="13.5" customHeight="1">
      <c r="A677" s="123" t="s">
        <v>11750</v>
      </c>
      <c r="B677" s="123" t="s">
        <v>11751</v>
      </c>
      <c r="C677" s="92">
        <v>2782.71</v>
      </c>
    </row>
    <row r="678" spans="1:3" s="124" customFormat="1" ht="13.5" customHeight="1">
      <c r="A678" s="123" t="s">
        <v>11752</v>
      </c>
      <c r="B678" s="123" t="s">
        <v>11753</v>
      </c>
      <c r="C678" s="92">
        <v>1789.57</v>
      </c>
    </row>
    <row r="679" spans="1:3" s="124" customFormat="1" ht="13.5" customHeight="1">
      <c r="A679" s="123" t="s">
        <v>11754</v>
      </c>
      <c r="B679" s="123" t="s">
        <v>11755</v>
      </c>
      <c r="C679" s="92">
        <v>3347.07</v>
      </c>
    </row>
    <row r="680" spans="1:3" s="124" customFormat="1" ht="13.5" customHeight="1">
      <c r="A680" s="123" t="s">
        <v>11756</v>
      </c>
      <c r="B680" s="123" t="s">
        <v>11757</v>
      </c>
      <c r="C680" s="92">
        <v>3892.31</v>
      </c>
    </row>
    <row r="681" spans="1:3" s="124" customFormat="1" ht="13.5" customHeight="1">
      <c r="A681" s="123" t="s">
        <v>11758</v>
      </c>
      <c r="B681" s="123" t="s">
        <v>11759</v>
      </c>
      <c r="C681" s="92">
        <v>2515.0300000000002</v>
      </c>
    </row>
    <row r="682" spans="1:3" s="124" customFormat="1" ht="13.5" customHeight="1">
      <c r="A682" s="123" t="s">
        <v>11760</v>
      </c>
      <c r="B682" s="123" t="s">
        <v>11761</v>
      </c>
      <c r="C682" s="92">
        <v>4091.62</v>
      </c>
    </row>
    <row r="683" spans="1:3" s="124" customFormat="1" ht="13.5" customHeight="1">
      <c r="A683" s="123" t="s">
        <v>11762</v>
      </c>
      <c r="B683" s="123" t="s">
        <v>11763</v>
      </c>
      <c r="C683" s="92">
        <v>4491.3999999999996</v>
      </c>
    </row>
    <row r="684" spans="1:3" s="124" customFormat="1" ht="13.5" customHeight="1">
      <c r="A684" s="123" t="s">
        <v>11764</v>
      </c>
      <c r="B684" s="123" t="s">
        <v>11765</v>
      </c>
      <c r="C684" s="92">
        <v>4230.68</v>
      </c>
    </row>
    <row r="685" spans="1:3" s="124" customFormat="1" ht="13.5" customHeight="1">
      <c r="A685" s="123" t="s">
        <v>11766</v>
      </c>
      <c r="B685" s="123" t="s">
        <v>11767</v>
      </c>
      <c r="C685" s="92">
        <v>4263.17</v>
      </c>
    </row>
    <row r="686" spans="1:3" s="124" customFormat="1" ht="13.5" customHeight="1">
      <c r="A686" s="123" t="s">
        <v>11768</v>
      </c>
      <c r="B686" s="123" t="s">
        <v>11769</v>
      </c>
      <c r="C686" s="92">
        <v>4368.41</v>
      </c>
    </row>
    <row r="687" spans="1:3" s="124" customFormat="1" ht="13.5" customHeight="1">
      <c r="A687" s="123" t="s">
        <v>11770</v>
      </c>
      <c r="B687" s="123" t="s">
        <v>11771</v>
      </c>
      <c r="C687" s="92">
        <v>3487.39</v>
      </c>
    </row>
    <row r="688" spans="1:3" s="124" customFormat="1" ht="13.5" customHeight="1">
      <c r="A688" s="123" t="s">
        <v>11772</v>
      </c>
      <c r="B688" s="123" t="s">
        <v>11773</v>
      </c>
      <c r="C688" s="92">
        <v>3240.71</v>
      </c>
    </row>
    <row r="689" spans="1:3" s="124" customFormat="1" ht="13.5" customHeight="1">
      <c r="A689" s="123" t="s">
        <v>11774</v>
      </c>
      <c r="B689" s="123" t="s">
        <v>11775</v>
      </c>
      <c r="C689" s="92">
        <v>4303.78</v>
      </c>
    </row>
    <row r="690" spans="1:3" s="124" customFormat="1" ht="13.5" customHeight="1">
      <c r="A690" s="123" t="s">
        <v>11776</v>
      </c>
      <c r="B690" s="123" t="s">
        <v>11777</v>
      </c>
      <c r="C690" s="92">
        <v>5001.4399999999996</v>
      </c>
    </row>
    <row r="691" spans="1:3" s="124" customFormat="1" ht="13.5" customHeight="1">
      <c r="A691" s="123" t="s">
        <v>11778</v>
      </c>
      <c r="B691" s="123" t="s">
        <v>11779</v>
      </c>
      <c r="C691" s="92">
        <v>6054.45</v>
      </c>
    </row>
    <row r="692" spans="1:3" s="124" customFormat="1" ht="13.5" customHeight="1">
      <c r="A692" s="123" t="s">
        <v>11780</v>
      </c>
      <c r="B692" s="123" t="s">
        <v>11781</v>
      </c>
      <c r="C692" s="92">
        <v>2926.61</v>
      </c>
    </row>
    <row r="693" spans="1:3" s="124" customFormat="1" ht="13.5" customHeight="1">
      <c r="A693" s="123" t="s">
        <v>11782</v>
      </c>
      <c r="B693" s="123" t="s">
        <v>11783</v>
      </c>
      <c r="C693" s="92">
        <v>4933.49</v>
      </c>
    </row>
    <row r="694" spans="1:3" s="124" customFormat="1" ht="13.5" customHeight="1">
      <c r="A694" s="123" t="s">
        <v>11784</v>
      </c>
      <c r="B694" s="123" t="s">
        <v>11785</v>
      </c>
      <c r="C694" s="92">
        <v>4015.21</v>
      </c>
    </row>
    <row r="695" spans="1:3" s="124" customFormat="1" ht="13.5" customHeight="1">
      <c r="A695" s="123" t="s">
        <v>11786</v>
      </c>
      <c r="B695" s="123" t="s">
        <v>11787</v>
      </c>
      <c r="C695" s="92">
        <v>6582.44</v>
      </c>
    </row>
    <row r="696" spans="1:3" s="124" customFormat="1" ht="13.5" customHeight="1">
      <c r="A696" s="123" t="s">
        <v>11788</v>
      </c>
      <c r="B696" s="123" t="s">
        <v>11789</v>
      </c>
      <c r="C696" s="92">
        <v>5333.08</v>
      </c>
    </row>
    <row r="697" spans="1:3" s="124" customFormat="1" ht="13.5" customHeight="1">
      <c r="A697" s="123" t="s">
        <v>11790</v>
      </c>
      <c r="B697" s="123" t="s">
        <v>11791</v>
      </c>
      <c r="C697" s="92">
        <v>3350.1</v>
      </c>
    </row>
    <row r="698" spans="1:3" s="124" customFormat="1" ht="13.5" customHeight="1">
      <c r="A698" s="123" t="s">
        <v>11792</v>
      </c>
      <c r="B698" s="123" t="s">
        <v>11793</v>
      </c>
      <c r="C698" s="92">
        <v>4371.67</v>
      </c>
    </row>
    <row r="699" spans="1:3" s="124" customFormat="1" ht="13.5" customHeight="1">
      <c r="A699" s="123" t="s">
        <v>11794</v>
      </c>
      <c r="B699" s="123" t="s">
        <v>11795</v>
      </c>
      <c r="C699" s="92">
        <v>4933.84</v>
      </c>
    </row>
    <row r="700" spans="1:3" s="124" customFormat="1" ht="13.5" customHeight="1">
      <c r="A700" s="123" t="s">
        <v>11796</v>
      </c>
      <c r="B700" s="123" t="s">
        <v>11797</v>
      </c>
      <c r="C700" s="92">
        <v>4268.6899999999996</v>
      </c>
    </row>
    <row r="701" spans="1:3" s="124" customFormat="1" ht="13.5" customHeight="1">
      <c r="A701" s="123" t="s">
        <v>11798</v>
      </c>
      <c r="B701" s="123" t="s">
        <v>11799</v>
      </c>
      <c r="C701" s="92">
        <v>4516.76</v>
      </c>
    </row>
    <row r="702" spans="1:3" s="124" customFormat="1" ht="13.5" customHeight="1">
      <c r="A702" s="123" t="s">
        <v>11800</v>
      </c>
      <c r="B702" s="123" t="s">
        <v>11801</v>
      </c>
      <c r="C702" s="92">
        <v>1435.81</v>
      </c>
    </row>
    <row r="703" spans="1:3" s="124" customFormat="1" ht="13.5" customHeight="1">
      <c r="A703" s="123" t="s">
        <v>11802</v>
      </c>
      <c r="B703" s="123" t="s">
        <v>11803</v>
      </c>
      <c r="C703" s="92">
        <v>1435.87</v>
      </c>
    </row>
    <row r="704" spans="1:3" s="124" customFormat="1" ht="13.5" customHeight="1">
      <c r="A704" s="123" t="s">
        <v>11804</v>
      </c>
      <c r="B704" s="123" t="s">
        <v>11805</v>
      </c>
      <c r="C704" s="92">
        <v>3103.37</v>
      </c>
    </row>
    <row r="705" spans="1:3" s="124" customFormat="1" ht="13.5" customHeight="1">
      <c r="A705" s="123" t="s">
        <v>11806</v>
      </c>
      <c r="B705" s="123" t="s">
        <v>11807</v>
      </c>
      <c r="C705" s="92">
        <v>3651.54</v>
      </c>
    </row>
    <row r="706" spans="1:3" s="124" customFormat="1" ht="13.5" customHeight="1">
      <c r="A706" s="123" t="s">
        <v>11808</v>
      </c>
      <c r="B706" s="123" t="s">
        <v>11809</v>
      </c>
      <c r="C706" s="92">
        <v>5871.19</v>
      </c>
    </row>
    <row r="707" spans="1:3" s="124" customFormat="1" ht="13.5" customHeight="1">
      <c r="A707" s="123" t="s">
        <v>11810</v>
      </c>
      <c r="B707" s="123" t="s">
        <v>11811</v>
      </c>
      <c r="C707" s="92">
        <v>3237.18</v>
      </c>
    </row>
    <row r="708" spans="1:3" s="124" customFormat="1" ht="13.5" customHeight="1">
      <c r="A708" s="123" t="s">
        <v>11812</v>
      </c>
      <c r="B708" s="123" t="s">
        <v>11813</v>
      </c>
      <c r="C708" s="92">
        <v>4426.4399999999996</v>
      </c>
    </row>
    <row r="709" spans="1:3" s="124" customFormat="1" ht="13.5" customHeight="1">
      <c r="A709" s="123" t="s">
        <v>11814</v>
      </c>
      <c r="B709" s="123" t="s">
        <v>11815</v>
      </c>
      <c r="C709" s="92">
        <v>2707.6</v>
      </c>
    </row>
    <row r="710" spans="1:3" s="124" customFormat="1" ht="13.5" customHeight="1">
      <c r="A710" s="123" t="s">
        <v>11816</v>
      </c>
      <c r="B710" s="123" t="s">
        <v>11817</v>
      </c>
      <c r="C710" s="92">
        <v>5001.88</v>
      </c>
    </row>
    <row r="711" spans="1:3" s="124" customFormat="1" ht="13.5" customHeight="1">
      <c r="A711" s="123" t="s">
        <v>11818</v>
      </c>
      <c r="B711" s="123" t="s">
        <v>11819</v>
      </c>
      <c r="C711" s="92">
        <v>7069.08</v>
      </c>
    </row>
    <row r="712" spans="1:3" s="124" customFormat="1" ht="13.5" customHeight="1">
      <c r="A712" s="123" t="s">
        <v>11820</v>
      </c>
      <c r="B712" s="123" t="s">
        <v>11821</v>
      </c>
      <c r="C712" s="92">
        <v>2838.48</v>
      </c>
    </row>
    <row r="713" spans="1:3" s="124" customFormat="1" ht="13.5" customHeight="1">
      <c r="A713" s="123" t="s">
        <v>11822</v>
      </c>
      <c r="B713" s="123" t="s">
        <v>11823</v>
      </c>
      <c r="C713" s="92">
        <v>2712.02</v>
      </c>
    </row>
    <row r="714" spans="1:3" s="124" customFormat="1" ht="13.5" customHeight="1">
      <c r="A714" s="123" t="s">
        <v>11824</v>
      </c>
      <c r="B714" s="123" t="s">
        <v>11825</v>
      </c>
      <c r="C714" s="92">
        <v>3343.81</v>
      </c>
    </row>
    <row r="715" spans="1:3" s="124" customFormat="1" ht="13.5" customHeight="1">
      <c r="A715" s="123" t="s">
        <v>11826</v>
      </c>
      <c r="B715" s="123" t="s">
        <v>11827</v>
      </c>
      <c r="C715" s="92">
        <v>2091.84</v>
      </c>
    </row>
    <row r="716" spans="1:3" s="124" customFormat="1" ht="13.5" customHeight="1">
      <c r="A716" s="123" t="s">
        <v>11828</v>
      </c>
      <c r="B716" s="123" t="s">
        <v>11829</v>
      </c>
      <c r="C716" s="92">
        <v>4407.28</v>
      </c>
    </row>
    <row r="717" spans="1:3" s="124" customFormat="1" ht="13.5" customHeight="1">
      <c r="A717" s="123" t="s">
        <v>11830</v>
      </c>
      <c r="B717" s="123" t="s">
        <v>11831</v>
      </c>
      <c r="C717" s="92">
        <v>5013.21</v>
      </c>
    </row>
    <row r="718" spans="1:3" s="124" customFormat="1" ht="13.5" customHeight="1">
      <c r="A718" s="123" t="s">
        <v>11832</v>
      </c>
      <c r="B718" s="123" t="s">
        <v>11833</v>
      </c>
      <c r="C718" s="92">
        <v>4791.97</v>
      </c>
    </row>
    <row r="719" spans="1:3" s="124" customFormat="1" ht="13.5" customHeight="1">
      <c r="A719" s="123" t="s">
        <v>11834</v>
      </c>
      <c r="B719" s="123" t="s">
        <v>11835</v>
      </c>
      <c r="C719" s="92">
        <v>1792.7</v>
      </c>
    </row>
    <row r="720" spans="1:3" s="124" customFormat="1" ht="13.5" customHeight="1">
      <c r="A720" s="123" t="s">
        <v>11836</v>
      </c>
      <c r="B720" s="123" t="s">
        <v>11837</v>
      </c>
      <c r="C720" s="92">
        <v>2941.23</v>
      </c>
    </row>
    <row r="721" spans="1:3" s="124" customFormat="1" ht="13.5" customHeight="1">
      <c r="A721" s="123" t="s">
        <v>11838</v>
      </c>
      <c r="B721" s="123" t="s">
        <v>11839</v>
      </c>
      <c r="C721" s="92">
        <v>3809.12</v>
      </c>
    </row>
    <row r="722" spans="1:3" s="124" customFormat="1" ht="13.5" customHeight="1">
      <c r="A722" s="123" t="s">
        <v>11840</v>
      </c>
      <c r="B722" s="123" t="s">
        <v>11841</v>
      </c>
      <c r="C722" s="92">
        <v>2461.29</v>
      </c>
    </row>
    <row r="723" spans="1:3" s="124" customFormat="1" ht="13.5" customHeight="1">
      <c r="A723" s="123" t="s">
        <v>11842</v>
      </c>
      <c r="B723" s="123" t="s">
        <v>11843</v>
      </c>
      <c r="C723" s="92">
        <v>4239.24</v>
      </c>
    </row>
    <row r="724" spans="1:3" s="124" customFormat="1" ht="13.5" customHeight="1">
      <c r="A724" s="123" t="s">
        <v>11844</v>
      </c>
      <c r="B724" s="123" t="s">
        <v>11845</v>
      </c>
      <c r="C724" s="92">
        <v>4516.88</v>
      </c>
    </row>
    <row r="725" spans="1:3" s="124" customFormat="1" ht="13.5" customHeight="1">
      <c r="A725" s="123" t="s">
        <v>11846</v>
      </c>
      <c r="B725" s="123" t="s">
        <v>11847</v>
      </c>
      <c r="C725" s="92">
        <v>3346.86</v>
      </c>
    </row>
    <row r="726" spans="1:3" s="124" customFormat="1" ht="13.5" customHeight="1">
      <c r="A726" s="123" t="s">
        <v>11848</v>
      </c>
      <c r="B726" s="123" t="s">
        <v>11849</v>
      </c>
      <c r="C726" s="92">
        <v>4448.34</v>
      </c>
    </row>
    <row r="727" spans="1:3" s="124" customFormat="1" ht="13.5" customHeight="1">
      <c r="A727" s="123" t="s">
        <v>11850</v>
      </c>
      <c r="B727" s="123" t="s">
        <v>11851</v>
      </c>
      <c r="C727" s="92">
        <v>3787.95</v>
      </c>
    </row>
    <row r="728" spans="1:3" s="124" customFormat="1" ht="13.5" customHeight="1">
      <c r="A728" s="123" t="s">
        <v>11852</v>
      </c>
      <c r="B728" s="123" t="s">
        <v>11853</v>
      </c>
      <c r="C728" s="92">
        <v>3540.49</v>
      </c>
    </row>
    <row r="729" spans="1:3" s="124" customFormat="1" ht="13.5" customHeight="1">
      <c r="A729" s="123" t="s">
        <v>11854</v>
      </c>
      <c r="B729" s="123" t="s">
        <v>11855</v>
      </c>
      <c r="C729" s="92">
        <v>4515.3999999999996</v>
      </c>
    </row>
    <row r="730" spans="1:3" s="124" customFormat="1" ht="13.5" customHeight="1">
      <c r="A730" s="123" t="s">
        <v>11856</v>
      </c>
      <c r="B730" s="123" t="s">
        <v>11857</v>
      </c>
      <c r="C730" s="92">
        <v>5000.62</v>
      </c>
    </row>
    <row r="731" spans="1:3" s="124" customFormat="1" ht="13.5" customHeight="1">
      <c r="A731" s="123" t="s">
        <v>11858</v>
      </c>
      <c r="B731" s="123" t="s">
        <v>11859</v>
      </c>
      <c r="C731" s="92">
        <v>2712.77</v>
      </c>
    </row>
    <row r="732" spans="1:3" s="124" customFormat="1" ht="13.5" customHeight="1">
      <c r="A732" s="123" t="s">
        <v>11860</v>
      </c>
      <c r="B732" s="123" t="s">
        <v>11861</v>
      </c>
      <c r="C732" s="92">
        <v>3718.23</v>
      </c>
    </row>
    <row r="733" spans="1:3" s="124" customFormat="1" ht="13.5" customHeight="1">
      <c r="A733" s="123" t="s">
        <v>11862</v>
      </c>
      <c r="B733" s="123" t="s">
        <v>11863</v>
      </c>
      <c r="C733" s="92">
        <v>4515.59</v>
      </c>
    </row>
    <row r="734" spans="1:3" s="124" customFormat="1" ht="13.5" customHeight="1">
      <c r="A734" s="123" t="s">
        <v>11864</v>
      </c>
      <c r="B734" s="123" t="s">
        <v>11865</v>
      </c>
      <c r="C734" s="92">
        <v>4447.7</v>
      </c>
    </row>
    <row r="735" spans="1:3" s="124" customFormat="1" ht="13.5" customHeight="1">
      <c r="A735" s="123" t="s">
        <v>11866</v>
      </c>
      <c r="B735" s="123" t="s">
        <v>11867</v>
      </c>
      <c r="C735" s="92">
        <v>4448.34</v>
      </c>
    </row>
    <row r="736" spans="1:3" s="124" customFormat="1" ht="13.5" customHeight="1">
      <c r="A736" s="123" t="s">
        <v>11868</v>
      </c>
      <c r="B736" s="123" t="s">
        <v>11869</v>
      </c>
      <c r="C736" s="92">
        <v>4795.6000000000004</v>
      </c>
    </row>
    <row r="737" spans="1:3" s="124" customFormat="1" ht="13.5" customHeight="1">
      <c r="A737" s="123" t="s">
        <v>11870</v>
      </c>
      <c r="B737" s="123" t="s">
        <v>11871</v>
      </c>
      <c r="C737" s="92">
        <v>1153.6300000000001</v>
      </c>
    </row>
    <row r="738" spans="1:3" s="124" customFormat="1" ht="13.5" customHeight="1">
      <c r="A738" s="123" t="s">
        <v>11872</v>
      </c>
      <c r="B738" s="123" t="s">
        <v>11873</v>
      </c>
      <c r="C738" s="92">
        <v>5001.88</v>
      </c>
    </row>
    <row r="739" spans="1:3" s="124" customFormat="1" ht="13.5" customHeight="1">
      <c r="A739" s="123" t="s">
        <v>11874</v>
      </c>
      <c r="B739" s="123" t="s">
        <v>11875</v>
      </c>
      <c r="C739" s="92">
        <v>3578.45</v>
      </c>
    </row>
    <row r="740" spans="1:3" s="124" customFormat="1" ht="13.5" customHeight="1">
      <c r="A740" s="123" t="s">
        <v>11876</v>
      </c>
      <c r="B740" s="123" t="s">
        <v>11877</v>
      </c>
      <c r="C740" s="92">
        <v>2868.33</v>
      </c>
    </row>
    <row r="741" spans="1:3" s="124" customFormat="1" ht="13.5" customHeight="1">
      <c r="A741" s="123" t="s">
        <v>11878</v>
      </c>
      <c r="B741" s="123" t="s">
        <v>11879</v>
      </c>
      <c r="C741" s="92">
        <v>4333.8900000000003</v>
      </c>
    </row>
    <row r="742" spans="1:3" s="124" customFormat="1" ht="13.5" customHeight="1">
      <c r="A742" s="123" t="s">
        <v>11880</v>
      </c>
      <c r="B742" s="123" t="s">
        <v>11881</v>
      </c>
      <c r="C742" s="92">
        <v>3889.2</v>
      </c>
    </row>
    <row r="743" spans="1:3" s="124" customFormat="1" ht="13.5" customHeight="1">
      <c r="A743" s="123" t="s">
        <v>11882</v>
      </c>
      <c r="B743" s="123" t="s">
        <v>11883</v>
      </c>
      <c r="C743" s="92">
        <v>3506.65</v>
      </c>
    </row>
    <row r="744" spans="1:3" s="124" customFormat="1" ht="13.5" customHeight="1">
      <c r="A744" s="123" t="s">
        <v>11884</v>
      </c>
      <c r="B744" s="123" t="s">
        <v>11885</v>
      </c>
      <c r="C744" s="92">
        <v>5001.58</v>
      </c>
    </row>
    <row r="745" spans="1:3" s="124" customFormat="1" ht="13.5" customHeight="1">
      <c r="A745" s="123" t="s">
        <v>11886</v>
      </c>
      <c r="B745" s="123" t="s">
        <v>11887</v>
      </c>
      <c r="C745" s="92">
        <v>3575.34</v>
      </c>
    </row>
    <row r="746" spans="1:3" s="124" customFormat="1" ht="13.5" customHeight="1">
      <c r="A746" s="123" t="s">
        <v>11888</v>
      </c>
      <c r="B746" s="123" t="s">
        <v>11889</v>
      </c>
      <c r="C746" s="92">
        <v>6056.3</v>
      </c>
    </row>
    <row r="747" spans="1:3" s="124" customFormat="1" ht="13.5" customHeight="1">
      <c r="A747" s="123" t="s">
        <v>11890</v>
      </c>
      <c r="B747" s="123" t="s">
        <v>11891</v>
      </c>
      <c r="C747" s="92">
        <v>4922.1400000000003</v>
      </c>
    </row>
    <row r="748" spans="1:3" s="124" customFormat="1" ht="13.5" customHeight="1">
      <c r="A748" s="123" t="s">
        <v>11892</v>
      </c>
      <c r="B748" s="123" t="s">
        <v>11893</v>
      </c>
      <c r="C748" s="92">
        <v>6872.19</v>
      </c>
    </row>
    <row r="749" spans="1:3" s="124" customFormat="1" ht="13.5" customHeight="1">
      <c r="A749" s="123" t="s">
        <v>11894</v>
      </c>
      <c r="B749" s="123" t="s">
        <v>11895</v>
      </c>
      <c r="C749" s="92">
        <v>4339.66</v>
      </c>
    </row>
    <row r="750" spans="1:3" s="124" customFormat="1" ht="13.5" customHeight="1">
      <c r="A750" s="123" t="s">
        <v>11896</v>
      </c>
      <c r="B750" s="123" t="s">
        <v>11897</v>
      </c>
      <c r="C750" s="92">
        <v>4339.66</v>
      </c>
    </row>
    <row r="751" spans="1:3" s="124" customFormat="1" ht="13.5" customHeight="1">
      <c r="A751" s="123" t="s">
        <v>11898</v>
      </c>
      <c r="B751" s="123" t="s">
        <v>11899</v>
      </c>
      <c r="C751" s="92">
        <v>1789.61</v>
      </c>
    </row>
    <row r="752" spans="1:3" s="124" customFormat="1" ht="13.5" customHeight="1">
      <c r="A752" s="123" t="s">
        <v>11900</v>
      </c>
      <c r="B752" s="123" t="s">
        <v>11901</v>
      </c>
      <c r="C752" s="92">
        <v>4489.3100000000004</v>
      </c>
    </row>
    <row r="753" spans="1:3" s="124" customFormat="1" ht="13.5" customHeight="1">
      <c r="A753" s="123" t="s">
        <v>11902</v>
      </c>
      <c r="B753" s="123" t="s">
        <v>11903</v>
      </c>
      <c r="C753" s="92">
        <v>5238.33</v>
      </c>
    </row>
    <row r="754" spans="1:3" s="124" customFormat="1" ht="13.5" customHeight="1">
      <c r="A754" s="123" t="s">
        <v>11904</v>
      </c>
      <c r="B754" s="123" t="s">
        <v>11905</v>
      </c>
      <c r="C754" s="92">
        <v>4440.88</v>
      </c>
    </row>
    <row r="755" spans="1:3" s="124" customFormat="1" ht="13.5" customHeight="1">
      <c r="A755" s="123" t="s">
        <v>11906</v>
      </c>
      <c r="B755" s="123" t="s">
        <v>11907</v>
      </c>
      <c r="C755" s="92">
        <v>5576.9</v>
      </c>
    </row>
    <row r="756" spans="1:3" s="124" customFormat="1" ht="13.5" customHeight="1">
      <c r="A756" s="123" t="s">
        <v>11908</v>
      </c>
      <c r="B756" s="123" t="s">
        <v>11909</v>
      </c>
      <c r="C756" s="92">
        <v>5332.64</v>
      </c>
    </row>
    <row r="757" spans="1:3" s="124" customFormat="1" ht="13.5" customHeight="1">
      <c r="A757" s="123" t="s">
        <v>11910</v>
      </c>
      <c r="B757" s="123" t="s">
        <v>11911</v>
      </c>
      <c r="C757" s="92">
        <v>4378.3599999999997</v>
      </c>
    </row>
    <row r="758" spans="1:3" s="124" customFormat="1" ht="13.5" customHeight="1">
      <c r="A758" s="123" t="s">
        <v>11912</v>
      </c>
      <c r="B758" s="123" t="s">
        <v>11913</v>
      </c>
      <c r="C758" s="92">
        <v>2851.8</v>
      </c>
    </row>
    <row r="759" spans="1:3" s="124" customFormat="1" ht="13.5" customHeight="1">
      <c r="A759" s="123" t="s">
        <v>11914</v>
      </c>
      <c r="B759" s="123" t="s">
        <v>11915</v>
      </c>
      <c r="C759" s="92">
        <v>4459.2299999999996</v>
      </c>
    </row>
    <row r="760" spans="1:3" s="124" customFormat="1" ht="13.5" customHeight="1">
      <c r="A760" s="123" t="s">
        <v>11916</v>
      </c>
      <c r="B760" s="123" t="s">
        <v>11917</v>
      </c>
      <c r="C760" s="92">
        <v>2148.86</v>
      </c>
    </row>
    <row r="761" spans="1:3" s="124" customFormat="1" ht="13.5" customHeight="1">
      <c r="A761" s="123" t="s">
        <v>11918</v>
      </c>
      <c r="B761" s="123" t="s">
        <v>11919</v>
      </c>
      <c r="C761" s="92">
        <v>1798.19</v>
      </c>
    </row>
    <row r="762" spans="1:3" s="124" customFormat="1" ht="13.5" customHeight="1">
      <c r="A762" s="123" t="s">
        <v>11920</v>
      </c>
      <c r="B762" s="123" t="s">
        <v>11921</v>
      </c>
      <c r="C762" s="92">
        <v>4795.6000000000004</v>
      </c>
    </row>
    <row r="763" spans="1:3" s="124" customFormat="1" ht="13.5" customHeight="1">
      <c r="A763" s="123" t="s">
        <v>11922</v>
      </c>
      <c r="B763" s="123" t="s">
        <v>11923</v>
      </c>
      <c r="C763" s="92">
        <v>4380.62</v>
      </c>
    </row>
    <row r="764" spans="1:3" s="124" customFormat="1" ht="13.5" customHeight="1">
      <c r="A764" s="123" t="s">
        <v>11924</v>
      </c>
      <c r="B764" s="123" t="s">
        <v>11925</v>
      </c>
      <c r="C764" s="92">
        <v>4748.22</v>
      </c>
    </row>
    <row r="765" spans="1:3" s="124" customFormat="1" ht="13.5" customHeight="1">
      <c r="A765" s="123" t="s">
        <v>11926</v>
      </c>
      <c r="B765" s="123" t="s">
        <v>11927</v>
      </c>
      <c r="C765" s="92">
        <v>5234.25</v>
      </c>
    </row>
    <row r="766" spans="1:3" s="124" customFormat="1" ht="13.5" customHeight="1">
      <c r="A766" s="123" t="s">
        <v>11928</v>
      </c>
      <c r="B766" s="123" t="s">
        <v>11929</v>
      </c>
      <c r="C766" s="92">
        <v>4461.01</v>
      </c>
    </row>
    <row r="767" spans="1:3" s="124" customFormat="1" ht="13.5" customHeight="1">
      <c r="A767" s="123" t="s">
        <v>11930</v>
      </c>
      <c r="B767" s="123" t="s">
        <v>11931</v>
      </c>
      <c r="C767" s="92">
        <v>4463.29</v>
      </c>
    </row>
    <row r="768" spans="1:3" s="124" customFormat="1" ht="13.5" customHeight="1">
      <c r="A768" s="123" t="s">
        <v>11932</v>
      </c>
      <c r="B768" s="123" t="s">
        <v>11933</v>
      </c>
      <c r="C768" s="92">
        <v>4397.92</v>
      </c>
    </row>
    <row r="769" spans="1:3" s="124" customFormat="1" ht="13.5" customHeight="1">
      <c r="A769" s="123" t="s">
        <v>11934</v>
      </c>
      <c r="B769" s="123" t="s">
        <v>11935</v>
      </c>
      <c r="C769" s="92">
        <v>4372.6400000000003</v>
      </c>
    </row>
    <row r="770" spans="1:3" s="124" customFormat="1" ht="13.5" customHeight="1">
      <c r="A770" s="123" t="s">
        <v>11936</v>
      </c>
      <c r="B770" s="123" t="s">
        <v>11937</v>
      </c>
      <c r="C770" s="92">
        <v>4371.67</v>
      </c>
    </row>
    <row r="771" spans="1:3" s="124" customFormat="1" ht="13.5" customHeight="1">
      <c r="A771" s="123" t="s">
        <v>11938</v>
      </c>
      <c r="B771" s="123" t="s">
        <v>11939</v>
      </c>
      <c r="C771" s="92">
        <v>2184.6999999999998</v>
      </c>
    </row>
    <row r="772" spans="1:3" s="124" customFormat="1" ht="13.5" customHeight="1">
      <c r="A772" s="123" t="s">
        <v>11940</v>
      </c>
      <c r="B772" s="123" t="s">
        <v>11941</v>
      </c>
      <c r="C772" s="92">
        <v>4364.1899999999996</v>
      </c>
    </row>
    <row r="773" spans="1:3" s="124" customFormat="1" ht="13.5" customHeight="1">
      <c r="A773" s="123" t="s">
        <v>11942</v>
      </c>
      <c r="B773" s="123" t="s">
        <v>11943</v>
      </c>
      <c r="C773" s="92">
        <v>4515.29</v>
      </c>
    </row>
    <row r="774" spans="1:3" s="124" customFormat="1" ht="13.5" customHeight="1">
      <c r="A774" s="123" t="s">
        <v>11944</v>
      </c>
      <c r="B774" s="123" t="s">
        <v>11945</v>
      </c>
      <c r="C774" s="92">
        <v>4604.04</v>
      </c>
    </row>
    <row r="775" spans="1:3" s="124" customFormat="1" ht="13.5" customHeight="1">
      <c r="A775" s="123" t="s">
        <v>11946</v>
      </c>
      <c r="B775" s="123" t="s">
        <v>11947</v>
      </c>
      <c r="C775" s="92">
        <v>4671.93</v>
      </c>
    </row>
    <row r="776" spans="1:3" s="124" customFormat="1" ht="13.5" customHeight="1">
      <c r="A776" s="123" t="s">
        <v>11948</v>
      </c>
      <c r="B776" s="123" t="s">
        <v>11949</v>
      </c>
      <c r="C776" s="92">
        <v>4793.9799999999996</v>
      </c>
    </row>
    <row r="777" spans="1:3" s="124" customFormat="1" ht="13.5" customHeight="1">
      <c r="A777" s="123" t="s">
        <v>11950</v>
      </c>
      <c r="B777" s="123" t="s">
        <v>11951</v>
      </c>
      <c r="C777" s="92">
        <v>3747.93</v>
      </c>
    </row>
    <row r="778" spans="1:3" s="124" customFormat="1" ht="13.5" customHeight="1">
      <c r="A778" s="123" t="s">
        <v>11952</v>
      </c>
      <c r="B778" s="123" t="s">
        <v>11953</v>
      </c>
      <c r="C778" s="92">
        <v>4514.29</v>
      </c>
    </row>
    <row r="779" spans="1:3" s="124" customFormat="1" ht="13.5" customHeight="1">
      <c r="A779" s="123" t="s">
        <v>11954</v>
      </c>
      <c r="B779" s="123" t="s">
        <v>11955</v>
      </c>
      <c r="C779" s="92">
        <v>5332.64</v>
      </c>
    </row>
    <row r="780" spans="1:3" s="124" customFormat="1" ht="13.5" customHeight="1">
      <c r="A780" s="123" t="s">
        <v>11956</v>
      </c>
      <c r="B780" s="123" t="s">
        <v>11957</v>
      </c>
      <c r="C780" s="92">
        <v>3407.29</v>
      </c>
    </row>
    <row r="781" spans="1:3" s="124" customFormat="1" ht="13.5" customHeight="1">
      <c r="A781" s="123" t="s">
        <v>11958</v>
      </c>
      <c r="B781" s="123" t="s">
        <v>11959</v>
      </c>
      <c r="C781" s="92">
        <v>2147.59</v>
      </c>
    </row>
    <row r="782" spans="1:3" s="124" customFormat="1" ht="13.5" customHeight="1">
      <c r="A782" s="123" t="s">
        <v>11960</v>
      </c>
      <c r="B782" s="123" t="s">
        <v>11961</v>
      </c>
      <c r="C782" s="92">
        <v>4330.68</v>
      </c>
    </row>
    <row r="783" spans="1:3" s="124" customFormat="1" ht="13.5" customHeight="1">
      <c r="A783" s="123" t="s">
        <v>11962</v>
      </c>
      <c r="B783" s="123" t="s">
        <v>11963</v>
      </c>
      <c r="C783" s="92">
        <v>3758.21</v>
      </c>
    </row>
    <row r="784" spans="1:3" s="124" customFormat="1" ht="13.5" customHeight="1">
      <c r="A784" s="123" t="s">
        <v>11964</v>
      </c>
      <c r="B784" s="123" t="s">
        <v>11965</v>
      </c>
      <c r="C784" s="92">
        <v>4931.8500000000004</v>
      </c>
    </row>
    <row r="785" spans="1:3" s="124" customFormat="1" ht="13.5" customHeight="1">
      <c r="A785" s="123" t="s">
        <v>11966</v>
      </c>
      <c r="B785" s="123" t="s">
        <v>11967</v>
      </c>
      <c r="C785" s="92">
        <v>5002.46</v>
      </c>
    </row>
    <row r="786" spans="1:3" s="124" customFormat="1" ht="13.5" customHeight="1">
      <c r="A786" s="123" t="s">
        <v>11968</v>
      </c>
      <c r="B786" s="123" t="s">
        <v>11969</v>
      </c>
      <c r="C786" s="92">
        <v>4380.45</v>
      </c>
    </row>
    <row r="787" spans="1:3" s="124" customFormat="1" ht="13.5" customHeight="1">
      <c r="A787" s="123" t="s">
        <v>11970</v>
      </c>
      <c r="B787" s="123" t="s">
        <v>11971</v>
      </c>
      <c r="C787" s="92">
        <v>3836.62</v>
      </c>
    </row>
    <row r="788" spans="1:3" s="124" customFormat="1" ht="13.5" customHeight="1">
      <c r="A788" s="123" t="s">
        <v>11972</v>
      </c>
      <c r="B788" s="123" t="s">
        <v>11973</v>
      </c>
      <c r="C788" s="92">
        <v>3959.2</v>
      </c>
    </row>
    <row r="789" spans="1:3" s="124" customFormat="1" ht="13.5" customHeight="1">
      <c r="A789" s="123" t="s">
        <v>11974</v>
      </c>
      <c r="B789" s="123" t="s">
        <v>11975</v>
      </c>
      <c r="C789" s="92">
        <v>4280.0200000000004</v>
      </c>
    </row>
    <row r="790" spans="1:3" s="124" customFormat="1" ht="13.5" customHeight="1">
      <c r="A790" s="123" t="s">
        <v>11976</v>
      </c>
      <c r="B790" s="123" t="s">
        <v>11977</v>
      </c>
      <c r="C790" s="92">
        <v>3760.67</v>
      </c>
    </row>
    <row r="791" spans="1:3" s="124" customFormat="1" ht="13.5" customHeight="1">
      <c r="A791" s="123" t="s">
        <v>11978</v>
      </c>
      <c r="B791" s="123" t="s">
        <v>11979</v>
      </c>
      <c r="C791" s="92">
        <v>5000.93</v>
      </c>
    </row>
    <row r="792" spans="1:3" s="124" customFormat="1" ht="13.5" customHeight="1">
      <c r="A792" s="123" t="s">
        <v>11980</v>
      </c>
      <c r="B792" s="123" t="s">
        <v>11981</v>
      </c>
      <c r="C792" s="92">
        <v>3436.92</v>
      </c>
    </row>
    <row r="793" spans="1:3" s="124" customFormat="1" ht="13.5" customHeight="1">
      <c r="A793" s="123" t="s">
        <v>11982</v>
      </c>
      <c r="B793" s="123" t="s">
        <v>11983</v>
      </c>
      <c r="C793" s="92">
        <v>5278.55</v>
      </c>
    </row>
    <row r="794" spans="1:3" s="124" customFormat="1" ht="13.5" customHeight="1">
      <c r="A794" s="123" t="s">
        <v>11984</v>
      </c>
      <c r="B794" s="123" t="s">
        <v>11985</v>
      </c>
      <c r="C794" s="92">
        <v>4002.4</v>
      </c>
    </row>
    <row r="795" spans="1:3" s="124" customFormat="1" ht="13.5" customHeight="1">
      <c r="A795" s="123" t="s">
        <v>11986</v>
      </c>
      <c r="B795" s="123" t="s">
        <v>11987</v>
      </c>
      <c r="C795" s="92">
        <v>4447.53</v>
      </c>
    </row>
    <row r="796" spans="1:3" s="124" customFormat="1" ht="13.5" customHeight="1">
      <c r="A796" s="123" t="s">
        <v>11988</v>
      </c>
      <c r="B796" s="123" t="s">
        <v>11989</v>
      </c>
      <c r="C796" s="92">
        <v>4933.3100000000004</v>
      </c>
    </row>
    <row r="797" spans="1:3" s="124" customFormat="1" ht="13.5" customHeight="1">
      <c r="A797" s="123" t="s">
        <v>11990</v>
      </c>
      <c r="B797" s="123" t="s">
        <v>11991</v>
      </c>
      <c r="C797" s="92">
        <v>3757.53</v>
      </c>
    </row>
    <row r="798" spans="1:3" s="124" customFormat="1" ht="13.5" customHeight="1">
      <c r="A798" s="123" t="s">
        <v>11992</v>
      </c>
      <c r="B798" s="123" t="s">
        <v>11993</v>
      </c>
      <c r="C798" s="92">
        <v>4368.1899999999996</v>
      </c>
    </row>
    <row r="799" spans="1:3" s="124" customFormat="1" ht="13.5" customHeight="1">
      <c r="A799" s="123" t="s">
        <v>11994</v>
      </c>
      <c r="B799" s="123" t="s">
        <v>11995</v>
      </c>
      <c r="C799" s="92">
        <v>3210.76</v>
      </c>
    </row>
    <row r="800" spans="1:3" s="124" customFormat="1" ht="13.5" customHeight="1">
      <c r="A800" s="123" t="s">
        <v>11996</v>
      </c>
      <c r="B800" s="123" t="s">
        <v>11997</v>
      </c>
      <c r="C800" s="92">
        <v>3210.95</v>
      </c>
    </row>
    <row r="801" spans="1:3" s="124" customFormat="1" ht="13.5" customHeight="1">
      <c r="A801" s="123" t="s">
        <v>11998</v>
      </c>
      <c r="B801" s="123" t="s">
        <v>11999</v>
      </c>
      <c r="C801" s="92">
        <v>3237.18</v>
      </c>
    </row>
    <row r="802" spans="1:3" s="124" customFormat="1" ht="13.5" customHeight="1">
      <c r="A802" s="123" t="s">
        <v>12000</v>
      </c>
      <c r="B802" s="123" t="s">
        <v>12001</v>
      </c>
      <c r="C802" s="92">
        <v>5330.84</v>
      </c>
    </row>
    <row r="803" spans="1:3" s="124" customFormat="1" ht="13.5" customHeight="1">
      <c r="A803" s="123" t="s">
        <v>12002</v>
      </c>
      <c r="B803" s="123" t="s">
        <v>12003</v>
      </c>
      <c r="C803" s="92">
        <v>4257.6899999999996</v>
      </c>
    </row>
    <row r="804" spans="1:3" s="124" customFormat="1" ht="13.5" customHeight="1">
      <c r="A804" s="123" t="s">
        <v>12004</v>
      </c>
      <c r="B804" s="123" t="s">
        <v>12005</v>
      </c>
      <c r="C804" s="92">
        <v>4368.84</v>
      </c>
    </row>
    <row r="805" spans="1:3" s="124" customFormat="1" ht="13.5" customHeight="1">
      <c r="A805" s="123" t="s">
        <v>12006</v>
      </c>
      <c r="B805" s="123" t="s">
        <v>12007</v>
      </c>
      <c r="C805" s="92">
        <v>4515.8999999999996</v>
      </c>
    </row>
    <row r="806" spans="1:3" s="124" customFormat="1" ht="13.5" customHeight="1">
      <c r="A806" s="123" t="s">
        <v>12008</v>
      </c>
      <c r="B806" s="123" t="s">
        <v>12009</v>
      </c>
      <c r="C806" s="92">
        <v>3108.66</v>
      </c>
    </row>
    <row r="807" spans="1:3" s="124" customFormat="1" ht="13.5" customHeight="1">
      <c r="A807" s="123" t="s">
        <v>12010</v>
      </c>
      <c r="B807" s="123" t="s">
        <v>12011</v>
      </c>
      <c r="C807" s="92">
        <v>3369.51</v>
      </c>
    </row>
    <row r="808" spans="1:3" s="124" customFormat="1" ht="13.5" customHeight="1">
      <c r="A808" s="123" t="s">
        <v>12012</v>
      </c>
      <c r="B808" s="123" t="s">
        <v>12013</v>
      </c>
      <c r="C808" s="92">
        <v>3886.63</v>
      </c>
    </row>
    <row r="809" spans="1:3" s="124" customFormat="1" ht="13.5" customHeight="1">
      <c r="A809" s="123" t="s">
        <v>12014</v>
      </c>
      <c r="B809" s="123" t="s">
        <v>12015</v>
      </c>
      <c r="C809" s="92">
        <v>4160.37</v>
      </c>
    </row>
    <row r="810" spans="1:3" s="124" customFormat="1" ht="13.5" customHeight="1">
      <c r="A810" s="123" t="s">
        <v>12016</v>
      </c>
      <c r="B810" s="123" t="s">
        <v>12017</v>
      </c>
      <c r="C810" s="92">
        <v>4400.47</v>
      </c>
    </row>
    <row r="811" spans="1:3" s="124" customFormat="1" ht="13.5" customHeight="1">
      <c r="A811" s="123" t="s">
        <v>12018</v>
      </c>
      <c r="B811" s="123" t="s">
        <v>12019</v>
      </c>
      <c r="C811" s="92">
        <v>4460.74</v>
      </c>
    </row>
    <row r="812" spans="1:3" s="124" customFormat="1" ht="13.5" customHeight="1">
      <c r="A812" s="123" t="s">
        <v>12020</v>
      </c>
      <c r="B812" s="123" t="s">
        <v>12021</v>
      </c>
      <c r="C812" s="92">
        <v>4463.49</v>
      </c>
    </row>
    <row r="813" spans="1:3" s="124" customFormat="1" ht="13.5" customHeight="1">
      <c r="A813" s="123" t="s">
        <v>12022</v>
      </c>
      <c r="B813" s="123" t="s">
        <v>12023</v>
      </c>
      <c r="C813" s="92">
        <v>4223.09</v>
      </c>
    </row>
    <row r="814" spans="1:3" s="124" customFormat="1" ht="13.5" customHeight="1">
      <c r="A814" s="123" t="s">
        <v>12024</v>
      </c>
      <c r="B814" s="123" t="s">
        <v>12025</v>
      </c>
      <c r="C814" s="92">
        <v>3258.92</v>
      </c>
    </row>
    <row r="815" spans="1:3" s="124" customFormat="1" ht="13.5" customHeight="1">
      <c r="A815" s="123" t="s">
        <v>12026</v>
      </c>
      <c r="B815" s="123" t="s">
        <v>12027</v>
      </c>
      <c r="C815" s="92">
        <v>3319.2</v>
      </c>
    </row>
    <row r="816" spans="1:3" s="124" customFormat="1" ht="13.5" customHeight="1">
      <c r="A816" s="123" t="s">
        <v>12028</v>
      </c>
      <c r="B816" s="123" t="s">
        <v>12029</v>
      </c>
      <c r="C816" s="92">
        <v>4801.9399999999996</v>
      </c>
    </row>
    <row r="817" spans="1:3" s="124" customFormat="1" ht="13.5" customHeight="1">
      <c r="A817" s="123" t="s">
        <v>12030</v>
      </c>
      <c r="B817" s="123" t="s">
        <v>12031</v>
      </c>
      <c r="C817" s="92">
        <v>2081.04</v>
      </c>
    </row>
    <row r="818" spans="1:3" s="124" customFormat="1" ht="13.5" customHeight="1">
      <c r="A818" s="123" t="s">
        <v>12032</v>
      </c>
      <c r="B818" s="123" t="s">
        <v>12033</v>
      </c>
      <c r="C818" s="92">
        <v>4516.76</v>
      </c>
    </row>
    <row r="819" spans="1:3" s="124" customFormat="1" ht="13.5" customHeight="1">
      <c r="A819" s="123" t="s">
        <v>12034</v>
      </c>
      <c r="B819" s="123" t="s">
        <v>12035</v>
      </c>
      <c r="C819" s="92">
        <v>4146.88</v>
      </c>
    </row>
    <row r="820" spans="1:3" s="124" customFormat="1" ht="13.5" customHeight="1">
      <c r="A820" s="123" t="s">
        <v>12036</v>
      </c>
      <c r="B820" s="123" t="s">
        <v>12037</v>
      </c>
      <c r="C820" s="92">
        <v>3429.95</v>
      </c>
    </row>
    <row r="821" spans="1:3" s="124" customFormat="1" ht="13.5" customHeight="1">
      <c r="A821" s="123" t="s">
        <v>12038</v>
      </c>
      <c r="B821" s="123" t="s">
        <v>12039</v>
      </c>
      <c r="C821" s="92">
        <v>3369.67</v>
      </c>
    </row>
    <row r="822" spans="1:3" s="124" customFormat="1" ht="13.5" customHeight="1">
      <c r="A822" s="123" t="s">
        <v>12040</v>
      </c>
      <c r="B822" s="123" t="s">
        <v>12041</v>
      </c>
      <c r="C822" s="92">
        <v>3054.11</v>
      </c>
    </row>
    <row r="823" spans="1:3" s="124" customFormat="1" ht="13.5" customHeight="1">
      <c r="A823" s="123" t="s">
        <v>12042</v>
      </c>
      <c r="B823" s="123" t="s">
        <v>12043</v>
      </c>
      <c r="C823" s="92">
        <v>3590.1</v>
      </c>
    </row>
    <row r="824" spans="1:3" s="124" customFormat="1" ht="13.5" customHeight="1">
      <c r="A824" s="123" t="s">
        <v>12044</v>
      </c>
      <c r="B824" s="123" t="s">
        <v>12045</v>
      </c>
      <c r="C824" s="92">
        <v>3469.98</v>
      </c>
    </row>
    <row r="825" spans="1:3" s="124" customFormat="1" ht="13.5" customHeight="1">
      <c r="A825" s="123" t="s">
        <v>12046</v>
      </c>
      <c r="B825" s="123" t="s">
        <v>12047</v>
      </c>
      <c r="C825" s="92">
        <v>4863.08</v>
      </c>
    </row>
    <row r="826" spans="1:3" s="124" customFormat="1" ht="13.5" customHeight="1">
      <c r="A826" s="123" t="s">
        <v>12048</v>
      </c>
      <c r="B826" s="123" t="s">
        <v>12049</v>
      </c>
      <c r="C826" s="92">
        <v>3670.25</v>
      </c>
    </row>
    <row r="827" spans="1:3" s="124" customFormat="1" ht="13.5" customHeight="1">
      <c r="A827" s="123" t="s">
        <v>12050</v>
      </c>
      <c r="B827" s="123" t="s">
        <v>12051</v>
      </c>
      <c r="C827" s="92">
        <v>4463.29</v>
      </c>
    </row>
    <row r="828" spans="1:3" s="124" customFormat="1" ht="13.5" customHeight="1">
      <c r="A828" s="123" t="s">
        <v>12052</v>
      </c>
      <c r="B828" s="123" t="s">
        <v>12053</v>
      </c>
      <c r="C828" s="92">
        <v>5514.99</v>
      </c>
    </row>
    <row r="829" spans="1:3" s="124" customFormat="1" ht="13.5" customHeight="1">
      <c r="A829" s="123" t="s">
        <v>12054</v>
      </c>
      <c r="B829" s="123" t="s">
        <v>12055</v>
      </c>
      <c r="C829" s="92">
        <v>5399.98</v>
      </c>
    </row>
    <row r="830" spans="1:3" s="124" customFormat="1" ht="13.5" customHeight="1">
      <c r="A830" s="123" t="s">
        <v>12056</v>
      </c>
      <c r="B830" s="123" t="s">
        <v>12057</v>
      </c>
      <c r="C830" s="92">
        <v>3314.67</v>
      </c>
    </row>
    <row r="831" spans="1:3" s="124" customFormat="1" ht="13.5" customHeight="1">
      <c r="A831" s="123" t="s">
        <v>12058</v>
      </c>
      <c r="B831" s="123" t="s">
        <v>12059</v>
      </c>
      <c r="C831" s="92">
        <v>2813.58</v>
      </c>
    </row>
    <row r="832" spans="1:3" s="124" customFormat="1" ht="13.5" customHeight="1">
      <c r="A832" s="123" t="s">
        <v>12060</v>
      </c>
      <c r="B832" s="123" t="s">
        <v>12061</v>
      </c>
      <c r="C832" s="92">
        <v>4379.28</v>
      </c>
    </row>
    <row r="833" spans="1:3" s="124" customFormat="1" ht="13.5" customHeight="1">
      <c r="A833" s="123" t="s">
        <v>12062</v>
      </c>
      <c r="B833" s="123" t="s">
        <v>12063</v>
      </c>
      <c r="C833" s="92">
        <v>6073.29</v>
      </c>
    </row>
    <row r="834" spans="1:3" s="124" customFormat="1" ht="13.5" customHeight="1">
      <c r="A834" s="123" t="s">
        <v>12064</v>
      </c>
      <c r="B834" s="123" t="s">
        <v>12065</v>
      </c>
      <c r="C834" s="92">
        <v>3663.34</v>
      </c>
    </row>
    <row r="835" spans="1:3" s="124" customFormat="1" ht="13.5" customHeight="1">
      <c r="A835" s="123" t="s">
        <v>12066</v>
      </c>
      <c r="B835" s="123" t="s">
        <v>12067</v>
      </c>
      <c r="C835" s="92">
        <v>4448.34</v>
      </c>
    </row>
    <row r="836" spans="1:3" s="124" customFormat="1" ht="13.5" customHeight="1">
      <c r="A836" s="123" t="s">
        <v>12068</v>
      </c>
      <c r="B836" s="123" t="s">
        <v>12069</v>
      </c>
      <c r="C836" s="92">
        <v>3867.1</v>
      </c>
    </row>
    <row r="837" spans="1:3" s="124" customFormat="1" ht="13.5" customHeight="1">
      <c r="A837" s="123" t="s">
        <v>12070</v>
      </c>
      <c r="B837" s="123" t="s">
        <v>12071</v>
      </c>
      <c r="C837" s="92">
        <v>1975.74</v>
      </c>
    </row>
    <row r="838" spans="1:3" s="124" customFormat="1" ht="13.5" customHeight="1">
      <c r="A838" s="123" t="s">
        <v>12072</v>
      </c>
      <c r="B838" s="123" t="s">
        <v>12073</v>
      </c>
      <c r="C838" s="92">
        <v>4847.41</v>
      </c>
    </row>
    <row r="839" spans="1:3" s="124" customFormat="1" ht="13.5" customHeight="1">
      <c r="A839" s="123" t="s">
        <v>12074</v>
      </c>
      <c r="B839" s="123" t="s">
        <v>12075</v>
      </c>
      <c r="C839" s="92">
        <v>4398.97</v>
      </c>
    </row>
    <row r="840" spans="1:3" s="124" customFormat="1" ht="13.5" customHeight="1">
      <c r="A840" s="123" t="s">
        <v>12076</v>
      </c>
      <c r="B840" s="123" t="s">
        <v>12077</v>
      </c>
      <c r="C840" s="92">
        <v>4136.2700000000004</v>
      </c>
    </row>
    <row r="841" spans="1:3" s="124" customFormat="1" ht="13.5" customHeight="1">
      <c r="A841" s="123" t="s">
        <v>12078</v>
      </c>
      <c r="B841" s="123" t="s">
        <v>12079</v>
      </c>
      <c r="C841" s="92">
        <v>6582.54</v>
      </c>
    </row>
    <row r="842" spans="1:3" s="124" customFormat="1" ht="13.5" customHeight="1">
      <c r="A842" s="123" t="s">
        <v>12080</v>
      </c>
      <c r="B842" s="123" t="s">
        <v>12081</v>
      </c>
      <c r="C842" s="92">
        <v>3661.59</v>
      </c>
    </row>
    <row r="843" spans="1:3" s="124" customFormat="1" ht="13.5" customHeight="1">
      <c r="A843" s="123" t="s">
        <v>12082</v>
      </c>
      <c r="B843" s="123" t="s">
        <v>12083</v>
      </c>
      <c r="C843" s="92">
        <v>3689.02</v>
      </c>
    </row>
    <row r="844" spans="1:3" s="124" customFormat="1" ht="13.5" customHeight="1">
      <c r="A844" s="123" t="s">
        <v>12084</v>
      </c>
      <c r="B844" s="123" t="s">
        <v>12085</v>
      </c>
      <c r="C844" s="92">
        <v>4159.8500000000004</v>
      </c>
    </row>
    <row r="845" spans="1:3" s="124" customFormat="1" ht="13.5" customHeight="1">
      <c r="A845" s="123" t="s">
        <v>12086</v>
      </c>
      <c r="B845" s="123" t="s">
        <v>12087</v>
      </c>
      <c r="C845" s="92">
        <v>4515.6400000000003</v>
      </c>
    </row>
    <row r="846" spans="1:3" s="124" customFormat="1" ht="13.5" customHeight="1">
      <c r="A846" s="123" t="s">
        <v>12088</v>
      </c>
      <c r="B846" s="123" t="s">
        <v>12089</v>
      </c>
      <c r="C846" s="92">
        <v>4693.43</v>
      </c>
    </row>
    <row r="847" spans="1:3" s="124" customFormat="1" ht="13.5" customHeight="1">
      <c r="A847" s="123" t="s">
        <v>12090</v>
      </c>
      <c r="B847" s="123" t="s">
        <v>12091</v>
      </c>
      <c r="C847" s="92">
        <v>4580.47</v>
      </c>
    </row>
    <row r="848" spans="1:3" s="124" customFormat="1" ht="13.5" customHeight="1">
      <c r="A848" s="123" t="s">
        <v>12092</v>
      </c>
      <c r="B848" s="123" t="s">
        <v>12093</v>
      </c>
      <c r="C848" s="92">
        <v>4448.87</v>
      </c>
    </row>
    <row r="849" spans="1:3" s="124" customFormat="1" ht="13.5" customHeight="1">
      <c r="A849" s="123" t="s">
        <v>12094</v>
      </c>
      <c r="B849" s="123" t="s">
        <v>12095</v>
      </c>
      <c r="C849" s="92">
        <v>5097.47</v>
      </c>
    </row>
    <row r="850" spans="1:3" s="124" customFormat="1" ht="13.5" customHeight="1">
      <c r="A850" s="123" t="s">
        <v>12096</v>
      </c>
      <c r="B850" s="123" t="s">
        <v>12097</v>
      </c>
      <c r="C850" s="92">
        <v>3713.67</v>
      </c>
    </row>
    <row r="851" spans="1:3" s="124" customFormat="1" ht="13.5" customHeight="1">
      <c r="A851" s="123" t="s">
        <v>12098</v>
      </c>
      <c r="B851" s="123" t="s">
        <v>12099</v>
      </c>
      <c r="C851" s="92">
        <v>4999.62</v>
      </c>
    </row>
    <row r="852" spans="1:3" s="124" customFormat="1" ht="13.5" customHeight="1">
      <c r="A852" s="123" t="s">
        <v>12100</v>
      </c>
      <c r="B852" s="123" t="s">
        <v>12101</v>
      </c>
      <c r="C852" s="92">
        <v>4395.41</v>
      </c>
    </row>
    <row r="853" spans="1:3" s="124" customFormat="1" ht="13.5" customHeight="1">
      <c r="A853" s="123" t="s">
        <v>12102</v>
      </c>
      <c r="B853" s="123" t="s">
        <v>12103</v>
      </c>
      <c r="C853" s="92">
        <v>4921.62</v>
      </c>
    </row>
    <row r="854" spans="1:3" s="124" customFormat="1" ht="13.5" customHeight="1">
      <c r="A854" s="123" t="s">
        <v>12104</v>
      </c>
      <c r="B854" s="123" t="s">
        <v>12105</v>
      </c>
      <c r="C854" s="92">
        <v>3889.24</v>
      </c>
    </row>
    <row r="855" spans="1:3" s="124" customFormat="1" ht="13.5" customHeight="1">
      <c r="A855" s="123" t="s">
        <v>12106</v>
      </c>
      <c r="B855" s="123" t="s">
        <v>12107</v>
      </c>
      <c r="C855" s="92">
        <v>1898.68</v>
      </c>
    </row>
    <row r="856" spans="1:3" s="124" customFormat="1" ht="13.5" customHeight="1">
      <c r="A856" s="123" t="s">
        <v>12108</v>
      </c>
      <c r="B856" s="123" t="s">
        <v>12109</v>
      </c>
      <c r="C856" s="92">
        <v>4140.3900000000003</v>
      </c>
    </row>
    <row r="857" spans="1:3" s="124" customFormat="1" ht="13.5" customHeight="1">
      <c r="A857" s="123" t="s">
        <v>12110</v>
      </c>
      <c r="B857" s="123" t="s">
        <v>12111</v>
      </c>
      <c r="C857" s="92">
        <v>4516.76</v>
      </c>
    </row>
    <row r="858" spans="1:3" s="124" customFormat="1" ht="13.5" customHeight="1">
      <c r="A858" s="123" t="s">
        <v>12112</v>
      </c>
      <c r="B858" s="123" t="s">
        <v>12113</v>
      </c>
      <c r="C858" s="92">
        <v>4974.66</v>
      </c>
    </row>
    <row r="859" spans="1:3" s="124" customFormat="1" ht="13.5" customHeight="1">
      <c r="A859" s="123" t="s">
        <v>12114</v>
      </c>
      <c r="B859" s="123" t="s">
        <v>12115</v>
      </c>
      <c r="C859" s="92">
        <v>4004.01</v>
      </c>
    </row>
    <row r="860" spans="1:3" s="124" customFormat="1" ht="13.5" customHeight="1">
      <c r="A860" s="123" t="s">
        <v>12116</v>
      </c>
      <c r="B860" s="123" t="s">
        <v>12117</v>
      </c>
      <c r="C860" s="92">
        <v>4268.95</v>
      </c>
    </row>
    <row r="861" spans="1:3" s="124" customFormat="1" ht="13.5" customHeight="1">
      <c r="A861" s="123" t="s">
        <v>12118</v>
      </c>
      <c r="B861" s="123" t="s">
        <v>12119</v>
      </c>
      <c r="C861" s="92">
        <v>5278.55</v>
      </c>
    </row>
    <row r="862" spans="1:3" s="124" customFormat="1" ht="13.5" customHeight="1">
      <c r="A862" s="123" t="s">
        <v>12120</v>
      </c>
      <c r="B862" s="123" t="s">
        <v>12121</v>
      </c>
      <c r="C862" s="92">
        <v>5333.08</v>
      </c>
    </row>
    <row r="863" spans="1:3" s="124" customFormat="1" ht="13.5" customHeight="1">
      <c r="A863" s="123" t="s">
        <v>12122</v>
      </c>
      <c r="B863" s="123" t="s">
        <v>12123</v>
      </c>
      <c r="C863" s="92">
        <v>5333.08</v>
      </c>
    </row>
    <row r="864" spans="1:3" s="124" customFormat="1" ht="13.5" customHeight="1">
      <c r="A864" s="123" t="s">
        <v>12124</v>
      </c>
      <c r="B864" s="123" t="s">
        <v>12125</v>
      </c>
      <c r="C864" s="92">
        <v>4515.67</v>
      </c>
    </row>
    <row r="865" spans="1:3" s="124" customFormat="1" ht="13.5" customHeight="1">
      <c r="A865" s="123" t="s">
        <v>12126</v>
      </c>
      <c r="B865" s="123" t="s">
        <v>12127</v>
      </c>
      <c r="C865" s="92">
        <v>4516.76</v>
      </c>
    </row>
    <row r="866" spans="1:3" s="124" customFormat="1" ht="13.5" customHeight="1">
      <c r="A866" s="123" t="s">
        <v>12128</v>
      </c>
      <c r="B866" s="123" t="s">
        <v>12129</v>
      </c>
      <c r="C866" s="92">
        <v>4516.2299999999996</v>
      </c>
    </row>
    <row r="867" spans="1:3" s="124" customFormat="1" ht="13.5" customHeight="1">
      <c r="A867" s="123" t="s">
        <v>12130</v>
      </c>
      <c r="B867" s="123" t="s">
        <v>12131</v>
      </c>
      <c r="C867" s="92">
        <v>1519.04</v>
      </c>
    </row>
    <row r="868" spans="1:3" s="124" customFormat="1" ht="13.5" customHeight="1">
      <c r="A868" s="123" t="s">
        <v>12132</v>
      </c>
      <c r="B868" s="123" t="s">
        <v>12133</v>
      </c>
      <c r="C868" s="92">
        <v>5000.62</v>
      </c>
    </row>
    <row r="869" spans="1:3" s="124" customFormat="1" ht="13.5" customHeight="1">
      <c r="A869" s="123" t="s">
        <v>12134</v>
      </c>
      <c r="B869" s="123" t="s">
        <v>12135</v>
      </c>
      <c r="C869" s="92">
        <v>4515.13</v>
      </c>
    </row>
    <row r="870" spans="1:3" s="124" customFormat="1" ht="13.5" customHeight="1">
      <c r="A870" s="123" t="s">
        <v>12136</v>
      </c>
      <c r="B870" s="123" t="s">
        <v>12137</v>
      </c>
      <c r="C870" s="92">
        <v>4516.2299999999996</v>
      </c>
    </row>
    <row r="871" spans="1:3" s="124" customFormat="1" ht="13.5" customHeight="1">
      <c r="A871" s="123" t="s">
        <v>12138</v>
      </c>
      <c r="B871" s="123" t="s">
        <v>12139</v>
      </c>
      <c r="C871" s="92">
        <v>4802.6499999999996</v>
      </c>
    </row>
    <row r="872" spans="1:3" s="124" customFormat="1" ht="13.5" customHeight="1">
      <c r="A872" s="123" t="s">
        <v>12140</v>
      </c>
      <c r="B872" s="123" t="s">
        <v>12141</v>
      </c>
      <c r="C872" s="92">
        <v>4706.71</v>
      </c>
    </row>
    <row r="873" spans="1:3" s="124" customFormat="1" ht="13.5" customHeight="1">
      <c r="A873" s="123" t="s">
        <v>12142</v>
      </c>
      <c r="B873" s="123" t="s">
        <v>12143</v>
      </c>
      <c r="C873" s="92">
        <v>4458.2</v>
      </c>
    </row>
    <row r="874" spans="1:3" s="124" customFormat="1" ht="13.5" customHeight="1">
      <c r="A874" s="123" t="s">
        <v>12144</v>
      </c>
      <c r="B874" s="123" t="s">
        <v>12145</v>
      </c>
      <c r="C874" s="92">
        <v>2785.82</v>
      </c>
    </row>
    <row r="875" spans="1:3" s="124" customFormat="1" ht="13.5" customHeight="1">
      <c r="A875" s="123" t="s">
        <v>12146</v>
      </c>
      <c r="B875" s="123" t="s">
        <v>12147</v>
      </c>
      <c r="C875" s="92">
        <v>4462.92</v>
      </c>
    </row>
    <row r="876" spans="1:3" s="124" customFormat="1" ht="13.5" customHeight="1">
      <c r="A876" s="123" t="s">
        <v>12148</v>
      </c>
      <c r="B876" s="123" t="s">
        <v>12149</v>
      </c>
      <c r="C876" s="92">
        <v>4516.76</v>
      </c>
    </row>
    <row r="877" spans="1:3" s="124" customFormat="1" ht="13.5" customHeight="1">
      <c r="A877" s="123" t="s">
        <v>12150</v>
      </c>
      <c r="B877" s="123" t="s">
        <v>12151</v>
      </c>
      <c r="C877" s="92">
        <v>3331.35</v>
      </c>
    </row>
    <row r="878" spans="1:3" s="124" customFormat="1" ht="13.5" customHeight="1">
      <c r="A878" s="123" t="s">
        <v>12152</v>
      </c>
      <c r="B878" s="123" t="s">
        <v>12153</v>
      </c>
      <c r="C878" s="92">
        <v>3673.99</v>
      </c>
    </row>
    <row r="879" spans="1:3" s="124" customFormat="1" ht="13.5" customHeight="1">
      <c r="A879" s="123" t="s">
        <v>12154</v>
      </c>
      <c r="B879" s="123" t="s">
        <v>12155</v>
      </c>
      <c r="C879" s="92">
        <v>3920.25</v>
      </c>
    </row>
    <row r="880" spans="1:3" s="124" customFormat="1" ht="13.5" customHeight="1">
      <c r="A880" s="123" t="s">
        <v>12156</v>
      </c>
      <c r="B880" s="123" t="s">
        <v>12157</v>
      </c>
      <c r="C880" s="92">
        <v>2467.12</v>
      </c>
    </row>
    <row r="881" spans="1:3" s="124" customFormat="1" ht="13.5" customHeight="1">
      <c r="A881" s="123" t="s">
        <v>12158</v>
      </c>
      <c r="B881" s="123" t="s">
        <v>12159</v>
      </c>
      <c r="C881" s="92">
        <v>4463.29</v>
      </c>
    </row>
    <row r="882" spans="1:3" s="124" customFormat="1" ht="13.5" customHeight="1">
      <c r="A882" s="123" t="s">
        <v>12160</v>
      </c>
      <c r="B882" s="123" t="s">
        <v>12161</v>
      </c>
      <c r="C882" s="92">
        <v>5387.53</v>
      </c>
    </row>
    <row r="883" spans="1:3" s="124" customFormat="1" ht="13.5" customHeight="1">
      <c r="A883" s="123" t="s">
        <v>12162</v>
      </c>
      <c r="B883" s="123" t="s">
        <v>12163</v>
      </c>
      <c r="C883" s="92">
        <v>3651.27</v>
      </c>
    </row>
    <row r="884" spans="1:3" s="124" customFormat="1" ht="13.5" customHeight="1">
      <c r="A884" s="123" t="s">
        <v>12164</v>
      </c>
      <c r="B884" s="123" t="s">
        <v>12165</v>
      </c>
      <c r="C884" s="92">
        <v>4140.3900000000003</v>
      </c>
    </row>
    <row r="885" spans="1:3" s="124" customFormat="1" ht="13.5" customHeight="1">
      <c r="A885" s="123" t="s">
        <v>12166</v>
      </c>
      <c r="B885" s="123" t="s">
        <v>12167</v>
      </c>
      <c r="C885" s="92">
        <v>4846.49</v>
      </c>
    </row>
    <row r="886" spans="1:3" s="124" customFormat="1" ht="13.5" customHeight="1">
      <c r="A886" s="123" t="s">
        <v>12168</v>
      </c>
      <c r="B886" s="123" t="s">
        <v>12169</v>
      </c>
      <c r="C886" s="92">
        <v>2620.25</v>
      </c>
    </row>
    <row r="887" spans="1:3" s="124" customFormat="1" ht="13.5" customHeight="1">
      <c r="A887" s="123" t="s">
        <v>12170</v>
      </c>
      <c r="B887" s="123" t="s">
        <v>12171</v>
      </c>
      <c r="C887" s="92">
        <v>3054.84</v>
      </c>
    </row>
    <row r="888" spans="1:3" s="124" customFormat="1" ht="13.5" customHeight="1">
      <c r="A888" s="123" t="s">
        <v>12172</v>
      </c>
      <c r="B888" s="123" t="s">
        <v>12173</v>
      </c>
      <c r="C888" s="92">
        <v>5399.93</v>
      </c>
    </row>
    <row r="889" spans="1:3" s="124" customFormat="1" ht="13.5" customHeight="1">
      <c r="A889" s="123" t="s">
        <v>12174</v>
      </c>
      <c r="B889" s="123" t="s">
        <v>12175</v>
      </c>
      <c r="C889" s="92">
        <v>3877.97</v>
      </c>
    </row>
    <row r="890" spans="1:3" s="124" customFormat="1" ht="13.5" customHeight="1">
      <c r="A890" s="123" t="s">
        <v>12176</v>
      </c>
      <c r="B890" s="123" t="s">
        <v>12177</v>
      </c>
      <c r="C890" s="92">
        <v>3892.39</v>
      </c>
    </row>
    <row r="891" spans="1:3" s="124" customFormat="1" ht="13.5" customHeight="1">
      <c r="A891" s="123" t="s">
        <v>12178</v>
      </c>
      <c r="B891" s="123" t="s">
        <v>12179</v>
      </c>
      <c r="C891" s="92">
        <v>3584.18</v>
      </c>
    </row>
    <row r="892" spans="1:3" s="124" customFormat="1" ht="13.5" customHeight="1">
      <c r="A892" s="123" t="s">
        <v>12180</v>
      </c>
      <c r="B892" s="123" t="s">
        <v>12181</v>
      </c>
      <c r="C892" s="92">
        <v>5399.93</v>
      </c>
    </row>
    <row r="893" spans="1:3" s="124" customFormat="1" ht="13.5" customHeight="1">
      <c r="A893" s="123" t="s">
        <v>12182</v>
      </c>
      <c r="B893" s="123" t="s">
        <v>12183</v>
      </c>
      <c r="C893" s="92">
        <v>5968.51</v>
      </c>
    </row>
    <row r="894" spans="1:3" s="124" customFormat="1" ht="13.5" customHeight="1">
      <c r="A894" s="123" t="s">
        <v>12184</v>
      </c>
      <c r="B894" s="123" t="s">
        <v>12185</v>
      </c>
      <c r="C894" s="92">
        <v>4869.83</v>
      </c>
    </row>
    <row r="895" spans="1:3" s="124" customFormat="1" ht="13.5" customHeight="1">
      <c r="A895" s="123" t="s">
        <v>12186</v>
      </c>
      <c r="B895" s="123" t="s">
        <v>12187</v>
      </c>
      <c r="C895" s="92">
        <v>3053.28</v>
      </c>
    </row>
    <row r="896" spans="1:3" s="124" customFormat="1" ht="13.5" customHeight="1">
      <c r="A896" s="123" t="s">
        <v>12188</v>
      </c>
      <c r="B896" s="123" t="s">
        <v>12189</v>
      </c>
      <c r="C896" s="92">
        <v>4051.21</v>
      </c>
    </row>
    <row r="897" spans="1:3" s="124" customFormat="1" ht="13.5" customHeight="1">
      <c r="A897" s="123" t="s">
        <v>12190</v>
      </c>
      <c r="B897" s="123" t="s">
        <v>12191</v>
      </c>
      <c r="C897" s="92">
        <v>3926.41</v>
      </c>
    </row>
    <row r="898" spans="1:3" s="124" customFormat="1" ht="13.5" customHeight="1">
      <c r="A898" s="123" t="s">
        <v>12192</v>
      </c>
      <c r="B898" s="123" t="s">
        <v>12193</v>
      </c>
      <c r="C898" s="92">
        <v>4671.6899999999996</v>
      </c>
    </row>
    <row r="899" spans="1:3" s="124" customFormat="1" ht="13.5" customHeight="1">
      <c r="A899" s="123" t="s">
        <v>12194</v>
      </c>
      <c r="B899" s="123" t="s">
        <v>12195</v>
      </c>
      <c r="C899" s="92">
        <v>4472.6499999999996</v>
      </c>
    </row>
    <row r="900" spans="1:3" s="124" customFormat="1" ht="13.5" customHeight="1">
      <c r="A900" s="123" t="s">
        <v>12196</v>
      </c>
      <c r="B900" s="123" t="s">
        <v>12197</v>
      </c>
      <c r="C900" s="92">
        <v>5001.58</v>
      </c>
    </row>
    <row r="901" spans="1:3" s="124" customFormat="1" ht="13.5" customHeight="1">
      <c r="A901" s="123" t="s">
        <v>12198</v>
      </c>
      <c r="B901" s="123" t="s">
        <v>12199</v>
      </c>
      <c r="C901" s="92">
        <v>4513.83</v>
      </c>
    </row>
    <row r="902" spans="1:3" s="124" customFormat="1" ht="13.5" customHeight="1">
      <c r="A902" s="123" t="s">
        <v>12200</v>
      </c>
      <c r="B902" s="123" t="s">
        <v>12201</v>
      </c>
      <c r="C902" s="92">
        <v>4236.9399999999996</v>
      </c>
    </row>
    <row r="903" spans="1:3" s="124" customFormat="1" ht="13.5" customHeight="1">
      <c r="A903" s="123" t="s">
        <v>12202</v>
      </c>
      <c r="B903" s="123" t="s">
        <v>12203</v>
      </c>
      <c r="C903" s="92">
        <v>4802.5600000000004</v>
      </c>
    </row>
    <row r="904" spans="1:3" s="124" customFormat="1" ht="13.5" customHeight="1">
      <c r="A904" s="123" t="s">
        <v>12204</v>
      </c>
      <c r="B904" s="123" t="s">
        <v>12205</v>
      </c>
      <c r="C904" s="92">
        <v>4080.33</v>
      </c>
    </row>
    <row r="905" spans="1:3" s="124" customFormat="1" ht="13.5" customHeight="1">
      <c r="A905" s="123" t="s">
        <v>12206</v>
      </c>
      <c r="B905" s="123" t="s">
        <v>12207</v>
      </c>
      <c r="C905" s="92">
        <v>2362.66</v>
      </c>
    </row>
    <row r="906" spans="1:3" s="124" customFormat="1" ht="13.5" customHeight="1">
      <c r="A906" s="123" t="s">
        <v>12208</v>
      </c>
      <c r="B906" s="123" t="s">
        <v>12209</v>
      </c>
      <c r="C906" s="92">
        <v>3702.3</v>
      </c>
    </row>
    <row r="907" spans="1:3" s="124" customFormat="1" ht="13.5" customHeight="1">
      <c r="A907" s="123" t="s">
        <v>12210</v>
      </c>
      <c r="B907" s="123" t="s">
        <v>12211</v>
      </c>
      <c r="C907" s="92">
        <v>3294.95</v>
      </c>
    </row>
    <row r="908" spans="1:3" s="124" customFormat="1" ht="13.5" customHeight="1">
      <c r="A908" s="123" t="s">
        <v>12212</v>
      </c>
      <c r="B908" s="123" t="s">
        <v>12213</v>
      </c>
      <c r="C908" s="92">
        <v>3046.13</v>
      </c>
    </row>
    <row r="909" spans="1:3" s="124" customFormat="1" ht="13.5" customHeight="1">
      <c r="A909" s="123" t="s">
        <v>12214</v>
      </c>
      <c r="B909" s="123" t="s">
        <v>12215</v>
      </c>
      <c r="C909" s="92">
        <v>3761.34</v>
      </c>
    </row>
    <row r="910" spans="1:3" s="124" customFormat="1" ht="13.5" customHeight="1">
      <c r="A910" s="123" t="s">
        <v>12216</v>
      </c>
      <c r="B910" s="123" t="s">
        <v>12217</v>
      </c>
      <c r="C910" s="92">
        <v>4115.8900000000003</v>
      </c>
    </row>
    <row r="911" spans="1:3" s="124" customFormat="1" ht="13.5" customHeight="1">
      <c r="A911" s="123" t="s">
        <v>12218</v>
      </c>
      <c r="B911" s="123" t="s">
        <v>12219</v>
      </c>
      <c r="C911" s="92">
        <v>3860.07</v>
      </c>
    </row>
    <row r="912" spans="1:3" s="124" customFormat="1" ht="13.5" customHeight="1">
      <c r="A912" s="123" t="s">
        <v>12220</v>
      </c>
      <c r="B912" s="123" t="s">
        <v>12221</v>
      </c>
      <c r="C912" s="92">
        <v>5098.01</v>
      </c>
    </row>
    <row r="913" spans="1:3" s="124" customFormat="1" ht="13.5" customHeight="1">
      <c r="A913" s="123" t="s">
        <v>12222</v>
      </c>
      <c r="B913" s="123" t="s">
        <v>12223</v>
      </c>
      <c r="C913" s="92">
        <v>2879.31</v>
      </c>
    </row>
    <row r="914" spans="1:3" s="124" customFormat="1" ht="13.5" customHeight="1">
      <c r="A914" s="123" t="s">
        <v>12224</v>
      </c>
      <c r="B914" s="123" t="s">
        <v>12225</v>
      </c>
      <c r="C914" s="92">
        <v>4516.3900000000003</v>
      </c>
    </row>
    <row r="915" spans="1:3" s="124" customFormat="1" ht="13.5" customHeight="1">
      <c r="A915" s="123" t="s">
        <v>12226</v>
      </c>
      <c r="B915" s="123" t="s">
        <v>12227</v>
      </c>
      <c r="C915" s="92">
        <v>4412.29</v>
      </c>
    </row>
    <row r="916" spans="1:3" s="124" customFormat="1" ht="13.5" customHeight="1">
      <c r="A916" s="123" t="s">
        <v>12228</v>
      </c>
      <c r="B916" s="123" t="s">
        <v>12229</v>
      </c>
      <c r="C916" s="92">
        <v>3721.96</v>
      </c>
    </row>
    <row r="917" spans="1:3" s="124" customFormat="1" ht="13.5" customHeight="1">
      <c r="A917" s="123" t="s">
        <v>12230</v>
      </c>
      <c r="B917" s="123" t="s">
        <v>12231</v>
      </c>
      <c r="C917" s="92">
        <v>4457.3599999999997</v>
      </c>
    </row>
    <row r="918" spans="1:3" s="124" customFormat="1" ht="13.5" customHeight="1">
      <c r="A918" s="123" t="s">
        <v>12232</v>
      </c>
      <c r="B918" s="123" t="s">
        <v>12233</v>
      </c>
      <c r="C918" s="92">
        <v>3542.11</v>
      </c>
    </row>
    <row r="919" spans="1:3" s="124" customFormat="1" ht="13.5" customHeight="1">
      <c r="A919" s="123" t="s">
        <v>12234</v>
      </c>
      <c r="B919" s="123" t="s">
        <v>12235</v>
      </c>
      <c r="C919" s="92">
        <v>4923.0600000000004</v>
      </c>
    </row>
    <row r="920" spans="1:3" s="124" customFormat="1" ht="13.5" customHeight="1">
      <c r="A920" s="123" t="s">
        <v>12236</v>
      </c>
      <c r="B920" s="123" t="s">
        <v>12237</v>
      </c>
      <c r="C920" s="92">
        <v>4373.2</v>
      </c>
    </row>
    <row r="921" spans="1:3" s="124" customFormat="1" ht="13.5" customHeight="1">
      <c r="A921" s="123" t="s">
        <v>12238</v>
      </c>
      <c r="B921" s="123" t="s">
        <v>12239</v>
      </c>
      <c r="C921" s="92">
        <v>4458.05</v>
      </c>
    </row>
    <row r="922" spans="1:3" s="124" customFormat="1" ht="13.5" customHeight="1">
      <c r="A922" s="123" t="s">
        <v>12240</v>
      </c>
      <c r="B922" s="123" t="s">
        <v>12241</v>
      </c>
      <c r="C922" s="92">
        <v>1335.95</v>
      </c>
    </row>
    <row r="923" spans="1:3" s="124" customFormat="1" ht="13.5" customHeight="1">
      <c r="A923" s="123" t="s">
        <v>12242</v>
      </c>
      <c r="B923" s="123" t="s">
        <v>12243</v>
      </c>
      <c r="C923" s="92">
        <v>1743.52</v>
      </c>
    </row>
    <row r="924" spans="1:3" s="124" customFormat="1" ht="13.5" customHeight="1">
      <c r="A924" s="123" t="s">
        <v>12244</v>
      </c>
      <c r="B924" s="123" t="s">
        <v>12245</v>
      </c>
      <c r="C924" s="92">
        <v>4412.92</v>
      </c>
    </row>
    <row r="925" spans="1:3" s="124" customFormat="1" ht="13.5" customHeight="1">
      <c r="A925" s="123" t="s">
        <v>12246</v>
      </c>
      <c r="B925" s="123" t="s">
        <v>12247</v>
      </c>
      <c r="C925" s="92">
        <v>2546.02</v>
      </c>
    </row>
    <row r="926" spans="1:3" s="124" customFormat="1" ht="13.5" customHeight="1">
      <c r="A926" s="123" t="s">
        <v>12248</v>
      </c>
      <c r="B926" s="123" t="s">
        <v>12249</v>
      </c>
      <c r="C926" s="92">
        <v>5568.41</v>
      </c>
    </row>
    <row r="927" spans="1:3" s="124" customFormat="1" ht="13.5" customHeight="1">
      <c r="A927" s="123" t="s">
        <v>12250</v>
      </c>
      <c r="B927" s="123" t="s">
        <v>12251</v>
      </c>
      <c r="C927" s="92">
        <v>4878.34</v>
      </c>
    </row>
    <row r="928" spans="1:3" s="124" customFormat="1" ht="13.5" customHeight="1">
      <c r="A928" s="123" t="s">
        <v>12252</v>
      </c>
      <c r="B928" s="123" t="s">
        <v>12253</v>
      </c>
      <c r="C928" s="92">
        <v>5301.97</v>
      </c>
    </row>
    <row r="929" spans="1:3" s="124" customFormat="1" ht="13.5" customHeight="1">
      <c r="A929" s="123" t="s">
        <v>12254</v>
      </c>
      <c r="B929" s="123" t="s">
        <v>12255</v>
      </c>
      <c r="C929" s="92">
        <v>6146.23</v>
      </c>
    </row>
    <row r="930" spans="1:3" s="124" customFormat="1" ht="13.5" customHeight="1">
      <c r="A930" s="123" t="s">
        <v>12256</v>
      </c>
      <c r="B930" s="123" t="s">
        <v>12257</v>
      </c>
      <c r="C930" s="92">
        <v>5307.43</v>
      </c>
    </row>
    <row r="931" spans="1:3" s="124" customFormat="1" ht="13.5" customHeight="1">
      <c r="A931" s="123" t="s">
        <v>12258</v>
      </c>
      <c r="B931" s="123" t="s">
        <v>12259</v>
      </c>
      <c r="C931" s="92">
        <v>6425.42</v>
      </c>
    </row>
    <row r="932" spans="1:3" s="124" customFormat="1" ht="13.5" customHeight="1">
      <c r="A932" s="123" t="s">
        <v>12260</v>
      </c>
      <c r="B932" s="123" t="s">
        <v>12261</v>
      </c>
      <c r="C932" s="92">
        <v>5774.74</v>
      </c>
    </row>
    <row r="933" spans="1:3" s="124" customFormat="1" ht="13.5" customHeight="1">
      <c r="A933" s="123" t="s">
        <v>12262</v>
      </c>
      <c r="B933" s="123" t="s">
        <v>12263</v>
      </c>
      <c r="C933" s="92">
        <v>5301.97</v>
      </c>
    </row>
    <row r="934" spans="1:3" s="124" customFormat="1" ht="13.5" customHeight="1">
      <c r="A934" s="123" t="s">
        <v>12264</v>
      </c>
      <c r="B934" s="123" t="s">
        <v>12265</v>
      </c>
      <c r="C934" s="92">
        <v>6022.8</v>
      </c>
    </row>
    <row r="935" spans="1:3" s="124" customFormat="1" ht="13.5" customHeight="1">
      <c r="A935" s="123" t="s">
        <v>12266</v>
      </c>
      <c r="B935" s="123" t="s">
        <v>12267</v>
      </c>
      <c r="C935" s="92">
        <v>5635.01</v>
      </c>
    </row>
    <row r="936" spans="1:3" s="124" customFormat="1" ht="13.5" customHeight="1">
      <c r="A936" s="123" t="s">
        <v>12268</v>
      </c>
      <c r="B936" s="123" t="s">
        <v>12269</v>
      </c>
      <c r="C936" s="92">
        <v>5483.12</v>
      </c>
    </row>
    <row r="937" spans="1:3" s="124" customFormat="1" ht="13.5" customHeight="1">
      <c r="A937" s="123" t="s">
        <v>12270</v>
      </c>
      <c r="B937" s="123" t="s">
        <v>12271</v>
      </c>
      <c r="C937" s="92">
        <v>5565.51</v>
      </c>
    </row>
    <row r="938" spans="1:3" s="124" customFormat="1" ht="13.5" customHeight="1">
      <c r="A938" s="123" t="s">
        <v>12272</v>
      </c>
      <c r="B938" s="123" t="s">
        <v>12273</v>
      </c>
      <c r="C938" s="92">
        <v>5483.3</v>
      </c>
    </row>
    <row r="939" spans="1:3" s="124" customFormat="1" ht="13.5" customHeight="1">
      <c r="A939" s="123" t="s">
        <v>12274</v>
      </c>
      <c r="B939" s="123" t="s">
        <v>12275</v>
      </c>
      <c r="C939" s="92">
        <v>6132.73</v>
      </c>
    </row>
    <row r="940" spans="1:3" s="124" customFormat="1" ht="13.5" customHeight="1">
      <c r="A940" s="123" t="s">
        <v>12276</v>
      </c>
      <c r="B940" s="123" t="s">
        <v>12277</v>
      </c>
      <c r="C940" s="92">
        <v>5703.88</v>
      </c>
    </row>
    <row r="941" spans="1:3" s="124" customFormat="1" ht="13.5" customHeight="1">
      <c r="A941" s="123" t="s">
        <v>12278</v>
      </c>
      <c r="B941" s="123" t="s">
        <v>12279</v>
      </c>
      <c r="C941" s="92">
        <v>5708.39</v>
      </c>
    </row>
    <row r="942" spans="1:3" s="124" customFormat="1" ht="13.5" customHeight="1">
      <c r="A942" s="123" t="s">
        <v>12280</v>
      </c>
      <c r="B942" s="123" t="s">
        <v>12281</v>
      </c>
      <c r="C942" s="92">
        <v>5230.16</v>
      </c>
    </row>
    <row r="943" spans="1:3" s="124" customFormat="1" ht="13.5" customHeight="1">
      <c r="A943" s="123" t="s">
        <v>12282</v>
      </c>
      <c r="B943" s="123" t="s">
        <v>12283</v>
      </c>
      <c r="C943" s="92">
        <v>5705.37</v>
      </c>
    </row>
    <row r="944" spans="1:3" s="124" customFormat="1" ht="13.5" customHeight="1">
      <c r="A944" s="123" t="s">
        <v>12284</v>
      </c>
      <c r="B944" s="123" t="s">
        <v>12285</v>
      </c>
      <c r="C944" s="92">
        <v>5230.57</v>
      </c>
    </row>
    <row r="945" spans="1:3" s="124" customFormat="1" ht="13.5" customHeight="1">
      <c r="A945" s="123" t="s">
        <v>12286</v>
      </c>
      <c r="B945" s="123" t="s">
        <v>12287</v>
      </c>
      <c r="C945" s="92">
        <v>4686.6400000000003</v>
      </c>
    </row>
    <row r="946" spans="1:3" s="124" customFormat="1" ht="13.5" customHeight="1">
      <c r="A946" s="123" t="s">
        <v>12288</v>
      </c>
      <c r="B946" s="123" t="s">
        <v>12289</v>
      </c>
      <c r="C946" s="92">
        <v>7151.39</v>
      </c>
    </row>
    <row r="947" spans="1:3" s="124" customFormat="1" ht="13.5" customHeight="1">
      <c r="A947" s="123" t="s">
        <v>12290</v>
      </c>
      <c r="B947" s="123" t="s">
        <v>12291</v>
      </c>
      <c r="C947" s="92">
        <v>5229.7299999999996</v>
      </c>
    </row>
    <row r="948" spans="1:3" s="124" customFormat="1" ht="13.5" customHeight="1">
      <c r="A948" s="123" t="s">
        <v>12292</v>
      </c>
      <c r="B948" s="123" t="s">
        <v>12293</v>
      </c>
      <c r="C948" s="92">
        <v>7178.3</v>
      </c>
    </row>
    <row r="949" spans="1:3" s="124" customFormat="1" ht="13.5" customHeight="1">
      <c r="A949" s="123" t="s">
        <v>12294</v>
      </c>
      <c r="B949" s="123" t="s">
        <v>12295</v>
      </c>
      <c r="C949" s="92">
        <v>5708.59</v>
      </c>
    </row>
    <row r="950" spans="1:3" s="124" customFormat="1" ht="13.5" customHeight="1">
      <c r="A950" s="123" t="s">
        <v>12296</v>
      </c>
      <c r="B950" s="123" t="s">
        <v>12297</v>
      </c>
      <c r="C950" s="92">
        <v>5723.19</v>
      </c>
    </row>
    <row r="951" spans="1:3" s="124" customFormat="1" ht="13.5" customHeight="1">
      <c r="A951" s="123" t="s">
        <v>12298</v>
      </c>
      <c r="B951" s="123" t="s">
        <v>12299</v>
      </c>
      <c r="C951" s="92">
        <v>5720.87</v>
      </c>
    </row>
    <row r="952" spans="1:3" s="124" customFormat="1" ht="13.5" customHeight="1">
      <c r="A952" s="123" t="s">
        <v>12300</v>
      </c>
      <c r="B952" s="123" t="s">
        <v>12301</v>
      </c>
      <c r="C952" s="92">
        <v>5721.43</v>
      </c>
    </row>
    <row r="953" spans="1:3" s="124" customFormat="1" ht="13.5" customHeight="1">
      <c r="A953" s="123" t="s">
        <v>12302</v>
      </c>
      <c r="B953" s="123" t="s">
        <v>12303</v>
      </c>
      <c r="C953" s="92">
        <v>5721.27</v>
      </c>
    </row>
    <row r="954" spans="1:3" s="124" customFormat="1" ht="13.5" customHeight="1">
      <c r="A954" s="123" t="s">
        <v>12304</v>
      </c>
      <c r="B954" s="123" t="s">
        <v>12305</v>
      </c>
      <c r="C954" s="92">
        <v>5596.39</v>
      </c>
    </row>
    <row r="955" spans="1:3" s="124" customFormat="1" ht="13.5" customHeight="1">
      <c r="A955" s="123" t="s">
        <v>12306</v>
      </c>
      <c r="B955" s="123" t="s">
        <v>12307</v>
      </c>
      <c r="C955" s="92">
        <v>6032.19</v>
      </c>
    </row>
    <row r="956" spans="1:3" s="124" customFormat="1" ht="13.5" customHeight="1">
      <c r="A956" s="123" t="s">
        <v>12308</v>
      </c>
      <c r="B956" s="123" t="s">
        <v>12309</v>
      </c>
      <c r="C956" s="92">
        <v>5721.25</v>
      </c>
    </row>
    <row r="957" spans="1:3" s="124" customFormat="1" ht="13.5" customHeight="1">
      <c r="A957" s="123" t="s">
        <v>12310</v>
      </c>
      <c r="B957" s="123" t="s">
        <v>12311</v>
      </c>
      <c r="C957" s="92">
        <v>4743.1499999999996</v>
      </c>
    </row>
    <row r="958" spans="1:3" s="124" customFormat="1" ht="13.5" customHeight="1">
      <c r="A958" s="123" t="s">
        <v>12312</v>
      </c>
      <c r="B958" s="123" t="s">
        <v>12313</v>
      </c>
      <c r="C958" s="92">
        <v>5722.99</v>
      </c>
    </row>
    <row r="959" spans="1:3" s="124" customFormat="1" ht="13.5" customHeight="1">
      <c r="A959" s="123" t="s">
        <v>12314</v>
      </c>
      <c r="B959" s="123" t="s">
        <v>12315</v>
      </c>
      <c r="C959" s="92">
        <v>5721.77</v>
      </c>
    </row>
    <row r="960" spans="1:3" s="124" customFormat="1" ht="13.5" customHeight="1">
      <c r="A960" s="123" t="s">
        <v>12316</v>
      </c>
      <c r="B960" s="123" t="s">
        <v>12317</v>
      </c>
      <c r="C960" s="92">
        <v>5274.61</v>
      </c>
    </row>
    <row r="961" spans="1:3" s="124" customFormat="1" ht="13.5" customHeight="1">
      <c r="A961" s="123" t="s">
        <v>12318</v>
      </c>
      <c r="B961" s="123" t="s">
        <v>12319</v>
      </c>
      <c r="C961" s="92">
        <v>5721.59</v>
      </c>
    </row>
    <row r="962" spans="1:3" s="124" customFormat="1" ht="13.5" customHeight="1">
      <c r="A962" s="123" t="s">
        <v>12320</v>
      </c>
      <c r="B962" s="123" t="s">
        <v>12321</v>
      </c>
      <c r="C962" s="92">
        <v>5246.09</v>
      </c>
    </row>
    <row r="963" spans="1:3" s="124" customFormat="1" ht="13.5" customHeight="1">
      <c r="A963" s="123" t="s">
        <v>12322</v>
      </c>
      <c r="B963" s="123" t="s">
        <v>12323</v>
      </c>
      <c r="C963" s="92">
        <v>4349.3</v>
      </c>
    </row>
    <row r="964" spans="1:3" s="124" customFormat="1" ht="13.5" customHeight="1">
      <c r="A964" s="123" t="s">
        <v>12324</v>
      </c>
      <c r="B964" s="123" t="s">
        <v>12325</v>
      </c>
      <c r="C964" s="92">
        <v>5383.38</v>
      </c>
    </row>
    <row r="965" spans="1:3" s="124" customFormat="1" ht="13.5" customHeight="1">
      <c r="A965" s="123" t="s">
        <v>12326</v>
      </c>
      <c r="B965" s="123" t="s">
        <v>12327</v>
      </c>
      <c r="C965" s="92">
        <v>6246.13</v>
      </c>
    </row>
    <row r="966" spans="1:3" s="124" customFormat="1" ht="13.5" customHeight="1">
      <c r="A966" s="123" t="s">
        <v>12328</v>
      </c>
      <c r="B966" s="123" t="s">
        <v>12329</v>
      </c>
      <c r="C966" s="92">
        <v>5379.36</v>
      </c>
    </row>
    <row r="967" spans="1:3" s="124" customFormat="1" ht="13.5" customHeight="1">
      <c r="A967" s="123" t="s">
        <v>12330</v>
      </c>
      <c r="B967" s="123" t="s">
        <v>12331</v>
      </c>
      <c r="C967" s="92">
        <v>5247.1</v>
      </c>
    </row>
    <row r="968" spans="1:3" s="124" customFormat="1" ht="13.5" customHeight="1">
      <c r="A968" s="123" t="s">
        <v>12332</v>
      </c>
      <c r="B968" s="123" t="s">
        <v>12333</v>
      </c>
      <c r="C968" s="92">
        <v>5720.01</v>
      </c>
    </row>
    <row r="969" spans="1:3" s="124" customFormat="1" ht="13.5" customHeight="1">
      <c r="A969" s="123" t="s">
        <v>12334</v>
      </c>
      <c r="B969" s="123" t="s">
        <v>12335</v>
      </c>
      <c r="C969" s="92">
        <v>5721.07</v>
      </c>
    </row>
    <row r="970" spans="1:3" s="124" customFormat="1" ht="13.5" customHeight="1">
      <c r="A970" s="123" t="s">
        <v>12336</v>
      </c>
      <c r="B970" s="123" t="s">
        <v>12337</v>
      </c>
      <c r="C970" s="92">
        <v>5723.83</v>
      </c>
    </row>
    <row r="971" spans="1:3" s="124" customFormat="1" ht="13.5" customHeight="1">
      <c r="A971" s="123" t="s">
        <v>12338</v>
      </c>
      <c r="B971" s="123" t="s">
        <v>12339</v>
      </c>
      <c r="C971" s="92">
        <v>5721.3</v>
      </c>
    </row>
    <row r="972" spans="1:3" s="124" customFormat="1" ht="13.5" customHeight="1">
      <c r="A972" s="123" t="s">
        <v>12340</v>
      </c>
      <c r="B972" s="123" t="s">
        <v>12341</v>
      </c>
      <c r="C972" s="92">
        <v>3968.98</v>
      </c>
    </row>
    <row r="973" spans="1:3" s="124" customFormat="1" ht="13.5" customHeight="1">
      <c r="A973" s="123" t="s">
        <v>12342</v>
      </c>
      <c r="B973" s="123" t="s">
        <v>12343</v>
      </c>
      <c r="C973" s="92">
        <v>5723.19</v>
      </c>
    </row>
    <row r="974" spans="1:3" s="124" customFormat="1" ht="13.5" customHeight="1">
      <c r="A974" s="123" t="s">
        <v>12344</v>
      </c>
      <c r="B974" s="123" t="s">
        <v>12345</v>
      </c>
      <c r="C974" s="92">
        <v>5721.09</v>
      </c>
    </row>
    <row r="975" spans="1:3" s="124" customFormat="1" ht="13.5" customHeight="1">
      <c r="A975" s="123" t="s">
        <v>12346</v>
      </c>
      <c r="B975" s="123" t="s">
        <v>12347</v>
      </c>
      <c r="C975" s="92">
        <v>5247.03</v>
      </c>
    </row>
    <row r="976" spans="1:3" s="124" customFormat="1" ht="13.5" customHeight="1">
      <c r="A976" s="123" t="s">
        <v>12348</v>
      </c>
      <c r="B976" s="123" t="s">
        <v>12349</v>
      </c>
      <c r="C976" s="92">
        <v>4559.5600000000004</v>
      </c>
    </row>
    <row r="977" spans="1:3" s="124" customFormat="1" ht="13.5" customHeight="1">
      <c r="A977" s="123" t="s">
        <v>12350</v>
      </c>
      <c r="B977" s="123" t="s">
        <v>12351</v>
      </c>
      <c r="C977" s="92">
        <v>5264.42</v>
      </c>
    </row>
    <row r="978" spans="1:3" s="124" customFormat="1" ht="13.5" customHeight="1">
      <c r="A978" s="123" t="s">
        <v>12352</v>
      </c>
      <c r="B978" s="123" t="s">
        <v>12353</v>
      </c>
      <c r="C978" s="92">
        <v>6250.45</v>
      </c>
    </row>
    <row r="979" spans="1:3" s="124" customFormat="1" ht="13.5" customHeight="1">
      <c r="A979" s="123" t="s">
        <v>12354</v>
      </c>
      <c r="B979" s="123" t="s">
        <v>12355</v>
      </c>
      <c r="C979" s="92">
        <v>5720.95</v>
      </c>
    </row>
    <row r="980" spans="1:3" s="124" customFormat="1" ht="13.5" customHeight="1">
      <c r="A980" s="123" t="s">
        <v>12356</v>
      </c>
      <c r="B980" s="123" t="s">
        <v>12357</v>
      </c>
      <c r="C980" s="92">
        <v>5247.91</v>
      </c>
    </row>
    <row r="981" spans="1:3" s="124" customFormat="1" ht="13.5" customHeight="1">
      <c r="A981" s="123" t="s">
        <v>12358</v>
      </c>
      <c r="B981" s="123" t="s">
        <v>12359</v>
      </c>
      <c r="C981" s="92">
        <v>5721.25</v>
      </c>
    </row>
    <row r="982" spans="1:3" s="124" customFormat="1" ht="13.5" customHeight="1">
      <c r="A982" s="123" t="s">
        <v>12360</v>
      </c>
      <c r="B982" s="123" t="s">
        <v>12361</v>
      </c>
      <c r="C982" s="92">
        <v>5247.09</v>
      </c>
    </row>
    <row r="983" spans="1:3" s="124" customFormat="1" ht="13.5" customHeight="1">
      <c r="A983" s="123" t="s">
        <v>12362</v>
      </c>
      <c r="B983" s="123" t="s">
        <v>12363</v>
      </c>
      <c r="C983" s="92">
        <v>5690.23</v>
      </c>
    </row>
    <row r="984" spans="1:3" s="124" customFormat="1" ht="13.5" customHeight="1">
      <c r="A984" s="123" t="s">
        <v>12364</v>
      </c>
      <c r="B984" s="123" t="s">
        <v>12365</v>
      </c>
      <c r="C984" s="92">
        <v>5247.09</v>
      </c>
    </row>
    <row r="985" spans="1:3" s="124" customFormat="1" ht="13.5" customHeight="1">
      <c r="A985" s="123" t="s">
        <v>12366</v>
      </c>
      <c r="B985" s="123" t="s">
        <v>12367</v>
      </c>
      <c r="C985" s="92">
        <v>5245.97</v>
      </c>
    </row>
    <row r="986" spans="1:3" s="124" customFormat="1" ht="13.5" customHeight="1">
      <c r="A986" s="123" t="s">
        <v>12368</v>
      </c>
      <c r="B986" s="123" t="s">
        <v>12369</v>
      </c>
      <c r="C986" s="92">
        <v>5247.92</v>
      </c>
    </row>
    <row r="987" spans="1:3" s="124" customFormat="1" ht="13.5" customHeight="1">
      <c r="A987" s="123" t="s">
        <v>12370</v>
      </c>
      <c r="B987" s="123" t="s">
        <v>12371</v>
      </c>
      <c r="C987" s="92">
        <v>5616</v>
      </c>
    </row>
    <row r="988" spans="1:3" s="124" customFormat="1" ht="13.5" customHeight="1">
      <c r="A988" s="123" t="s">
        <v>12372</v>
      </c>
      <c r="B988" s="123" t="s">
        <v>12373</v>
      </c>
      <c r="C988" s="92">
        <v>4679.37</v>
      </c>
    </row>
    <row r="989" spans="1:3" s="124" customFormat="1" ht="13.5" customHeight="1">
      <c r="A989" s="123" t="s">
        <v>12374</v>
      </c>
      <c r="B989" s="123" t="s">
        <v>12375</v>
      </c>
      <c r="C989" s="92">
        <v>5368.33</v>
      </c>
    </row>
    <row r="990" spans="1:3" s="124" customFormat="1" ht="13.5" customHeight="1">
      <c r="A990" s="123" t="s">
        <v>12376</v>
      </c>
      <c r="B990" s="123" t="s">
        <v>12377</v>
      </c>
      <c r="C990" s="92">
        <v>5720.72</v>
      </c>
    </row>
    <row r="991" spans="1:3" s="124" customFormat="1" ht="13.5" customHeight="1">
      <c r="A991" s="123" t="s">
        <v>12378</v>
      </c>
      <c r="B991" s="123" t="s">
        <v>12379</v>
      </c>
      <c r="C991" s="92">
        <v>4997.75</v>
      </c>
    </row>
    <row r="992" spans="1:3" s="124" customFormat="1" ht="13.5" customHeight="1">
      <c r="A992" s="123" t="s">
        <v>12380</v>
      </c>
      <c r="B992" s="123" t="s">
        <v>12381</v>
      </c>
      <c r="C992" s="92">
        <v>3656.06</v>
      </c>
    </row>
    <row r="993" spans="1:3" s="124" customFormat="1" ht="13.5" customHeight="1">
      <c r="A993" s="123" t="s">
        <v>12382</v>
      </c>
      <c r="B993" s="123" t="s">
        <v>12383</v>
      </c>
      <c r="C993" s="92">
        <v>3640.87</v>
      </c>
    </row>
    <row r="994" spans="1:3" s="124" customFormat="1" ht="13.5" customHeight="1">
      <c r="A994" s="123" t="s">
        <v>12384</v>
      </c>
      <c r="B994" s="123" t="s">
        <v>12385</v>
      </c>
      <c r="C994" s="92">
        <v>5725.43</v>
      </c>
    </row>
    <row r="995" spans="1:3" s="124" customFormat="1" ht="13.5" customHeight="1">
      <c r="A995" s="123" t="s">
        <v>12386</v>
      </c>
      <c r="B995" s="123" t="s">
        <v>12387</v>
      </c>
      <c r="C995" s="92">
        <v>4137.97</v>
      </c>
    </row>
    <row r="996" spans="1:3" s="124" customFormat="1" ht="13.5" customHeight="1">
      <c r="A996" s="123" t="s">
        <v>12388</v>
      </c>
      <c r="B996" s="123" t="s">
        <v>12389</v>
      </c>
      <c r="C996" s="92">
        <v>5149.66</v>
      </c>
    </row>
    <row r="997" spans="1:3" s="124" customFormat="1" ht="13.5" customHeight="1">
      <c r="A997" s="123" t="s">
        <v>12390</v>
      </c>
      <c r="B997" s="123" t="s">
        <v>12391</v>
      </c>
      <c r="C997" s="92">
        <v>5721.3</v>
      </c>
    </row>
    <row r="998" spans="1:3" s="124" customFormat="1" ht="13.5" customHeight="1">
      <c r="A998" s="123" t="s">
        <v>12392</v>
      </c>
      <c r="B998" s="123" t="s">
        <v>12393</v>
      </c>
      <c r="C998" s="92">
        <v>5700.64</v>
      </c>
    </row>
    <row r="999" spans="1:3" s="124" customFormat="1" ht="13.5" customHeight="1">
      <c r="A999" s="123" t="s">
        <v>12394</v>
      </c>
      <c r="B999" s="123" t="s">
        <v>12395</v>
      </c>
      <c r="C999" s="92">
        <v>7198.93</v>
      </c>
    </row>
    <row r="1000" spans="1:3" s="124" customFormat="1" ht="13.5" customHeight="1">
      <c r="A1000" s="123" t="s">
        <v>12396</v>
      </c>
      <c r="B1000" s="123" t="s">
        <v>12397</v>
      </c>
      <c r="C1000" s="92">
        <v>6346.4</v>
      </c>
    </row>
    <row r="1001" spans="1:3" s="124" customFormat="1" ht="13.5" customHeight="1">
      <c r="A1001" s="123" t="s">
        <v>12398</v>
      </c>
      <c r="B1001" s="123" t="s">
        <v>12399</v>
      </c>
      <c r="C1001" s="92">
        <v>5247.27</v>
      </c>
    </row>
    <row r="1002" spans="1:3" s="124" customFormat="1" ht="13.5" customHeight="1">
      <c r="A1002" s="123" t="s">
        <v>12400</v>
      </c>
      <c r="B1002" s="123" t="s">
        <v>12401</v>
      </c>
      <c r="C1002" s="92">
        <v>5056.93</v>
      </c>
    </row>
    <row r="1003" spans="1:3" s="124" customFormat="1" ht="13.5" customHeight="1">
      <c r="A1003" s="123" t="s">
        <v>12402</v>
      </c>
      <c r="B1003" s="123" t="s">
        <v>12403</v>
      </c>
      <c r="C1003" s="92">
        <v>5221.6000000000004</v>
      </c>
    </row>
    <row r="1004" spans="1:3" s="124" customFormat="1" ht="13.5" customHeight="1">
      <c r="A1004" s="123" t="s">
        <v>12404</v>
      </c>
      <c r="B1004" s="123" t="s">
        <v>12405</v>
      </c>
      <c r="C1004" s="92">
        <v>6216.11</v>
      </c>
    </row>
    <row r="1005" spans="1:3" s="124" customFormat="1" ht="13.5" customHeight="1">
      <c r="A1005" s="123" t="s">
        <v>12406</v>
      </c>
      <c r="B1005" s="123" t="s">
        <v>12407</v>
      </c>
      <c r="C1005" s="92">
        <v>3257</v>
      </c>
    </row>
    <row r="1006" spans="1:3" s="124" customFormat="1" ht="13.5" customHeight="1">
      <c r="A1006" s="123" t="s">
        <v>12408</v>
      </c>
      <c r="B1006" s="123" t="s">
        <v>12409</v>
      </c>
      <c r="C1006" s="92">
        <v>5236.74</v>
      </c>
    </row>
    <row r="1007" spans="1:3" s="124" customFormat="1" ht="13.5" customHeight="1">
      <c r="A1007" s="123" t="s">
        <v>12410</v>
      </c>
      <c r="B1007" s="123" t="s">
        <v>12411</v>
      </c>
      <c r="C1007" s="92">
        <v>4348.41</v>
      </c>
    </row>
    <row r="1008" spans="1:3" s="124" customFormat="1" ht="13.5" customHeight="1">
      <c r="A1008" s="123" t="s">
        <v>12412</v>
      </c>
      <c r="B1008" s="123" t="s">
        <v>12413</v>
      </c>
      <c r="C1008" s="92">
        <v>2901.98</v>
      </c>
    </row>
    <row r="1009" spans="1:3" s="124" customFormat="1" ht="13.5" customHeight="1">
      <c r="A1009" s="123" t="s">
        <v>12414</v>
      </c>
      <c r="B1009" s="123" t="s">
        <v>12415</v>
      </c>
      <c r="C1009" s="92">
        <v>4431.37</v>
      </c>
    </row>
    <row r="1010" spans="1:3" s="124" customFormat="1" ht="13.5" customHeight="1">
      <c r="A1010" s="123" t="s">
        <v>12416</v>
      </c>
      <c r="B1010" s="123" t="s">
        <v>12417</v>
      </c>
      <c r="C1010" s="92">
        <v>5053.43</v>
      </c>
    </row>
    <row r="1011" spans="1:3" s="124" customFormat="1" ht="13.5" customHeight="1">
      <c r="A1011" s="123" t="s">
        <v>12418</v>
      </c>
      <c r="B1011" s="123" t="s">
        <v>12419</v>
      </c>
      <c r="C1011" s="92">
        <v>5247.21</v>
      </c>
    </row>
    <row r="1012" spans="1:3" s="124" customFormat="1" ht="13.5" customHeight="1">
      <c r="A1012" s="123" t="s">
        <v>12420</v>
      </c>
      <c r="B1012" s="123" t="s">
        <v>12421</v>
      </c>
      <c r="C1012" s="92">
        <v>5666.43</v>
      </c>
    </row>
    <row r="1013" spans="1:3" s="124" customFormat="1" ht="13.5" customHeight="1">
      <c r="A1013" s="123" t="s">
        <v>12422</v>
      </c>
      <c r="B1013" s="123" t="s">
        <v>12423</v>
      </c>
      <c r="C1013" s="92">
        <v>5743.99</v>
      </c>
    </row>
    <row r="1014" spans="1:3" s="124" customFormat="1" ht="13.5" customHeight="1">
      <c r="A1014" s="123" t="s">
        <v>12424</v>
      </c>
      <c r="B1014" s="123" t="s">
        <v>12425</v>
      </c>
      <c r="C1014" s="92">
        <v>4482.0600000000004</v>
      </c>
    </row>
    <row r="1015" spans="1:3" s="124" customFormat="1" ht="13.5" customHeight="1">
      <c r="A1015" s="123" t="s">
        <v>12426</v>
      </c>
      <c r="B1015" s="123" t="s">
        <v>12427</v>
      </c>
      <c r="C1015" s="92">
        <v>5397.69</v>
      </c>
    </row>
    <row r="1016" spans="1:3" s="124" customFormat="1" ht="13.5" customHeight="1">
      <c r="A1016" s="123" t="s">
        <v>12428</v>
      </c>
      <c r="B1016" s="123" t="s">
        <v>12429</v>
      </c>
      <c r="C1016" s="92">
        <v>5247.41</v>
      </c>
    </row>
    <row r="1017" spans="1:3" s="124" customFormat="1" ht="13.5" customHeight="1">
      <c r="A1017" s="123" t="s">
        <v>12430</v>
      </c>
      <c r="B1017" s="123" t="s">
        <v>12431</v>
      </c>
      <c r="C1017" s="92">
        <v>5648.02</v>
      </c>
    </row>
    <row r="1018" spans="1:3" s="124" customFormat="1" ht="13.5" customHeight="1">
      <c r="A1018" s="123" t="s">
        <v>12432</v>
      </c>
      <c r="B1018" s="123" t="s">
        <v>12433</v>
      </c>
      <c r="C1018" s="92">
        <v>5594.13</v>
      </c>
    </row>
    <row r="1019" spans="1:3" s="124" customFormat="1" ht="13.5" customHeight="1">
      <c r="A1019" s="123" t="s">
        <v>12434</v>
      </c>
      <c r="B1019" s="123" t="s">
        <v>12435</v>
      </c>
      <c r="C1019" s="92">
        <v>6246.04</v>
      </c>
    </row>
    <row r="1020" spans="1:3" s="124" customFormat="1" ht="13.5" customHeight="1">
      <c r="A1020" s="123" t="s">
        <v>12436</v>
      </c>
      <c r="B1020" s="123" t="s">
        <v>12437</v>
      </c>
      <c r="C1020" s="92">
        <v>6265.02</v>
      </c>
    </row>
    <row r="1021" spans="1:3" s="124" customFormat="1" ht="13.5" customHeight="1">
      <c r="A1021" s="123" t="s">
        <v>12438</v>
      </c>
      <c r="B1021" s="123" t="s">
        <v>12439</v>
      </c>
      <c r="C1021" s="92">
        <v>3704.52</v>
      </c>
    </row>
    <row r="1022" spans="1:3" s="124" customFormat="1" ht="13.5" customHeight="1">
      <c r="A1022" s="123" t="s">
        <v>12440</v>
      </c>
      <c r="B1022" s="123" t="s">
        <v>12441</v>
      </c>
      <c r="C1022" s="92">
        <v>3704.52</v>
      </c>
    </row>
    <row r="1023" spans="1:3" s="124" customFormat="1" ht="13.5" customHeight="1">
      <c r="A1023" s="123" t="s">
        <v>12442</v>
      </c>
      <c r="B1023" s="123" t="s">
        <v>12443</v>
      </c>
      <c r="C1023" s="92">
        <v>5783.73</v>
      </c>
    </row>
    <row r="1024" spans="1:3" s="124" customFormat="1" ht="13.5" customHeight="1">
      <c r="A1024" s="123" t="s">
        <v>12444</v>
      </c>
      <c r="B1024" s="123" t="s">
        <v>12445</v>
      </c>
      <c r="C1024" s="92">
        <v>7236.46</v>
      </c>
    </row>
    <row r="1025" spans="1:3" s="124" customFormat="1" ht="13.5" customHeight="1">
      <c r="A1025" s="123" t="s">
        <v>12446</v>
      </c>
      <c r="B1025" s="123" t="s">
        <v>12447</v>
      </c>
      <c r="C1025" s="92">
        <v>5712.88</v>
      </c>
    </row>
    <row r="1026" spans="1:3" s="124" customFormat="1" ht="13.5" customHeight="1">
      <c r="A1026" s="123" t="s">
        <v>12448</v>
      </c>
      <c r="B1026" s="123" t="s">
        <v>12449</v>
      </c>
      <c r="C1026" s="92">
        <v>4350.12</v>
      </c>
    </row>
    <row r="1027" spans="1:3" s="124" customFormat="1" ht="13.5" customHeight="1">
      <c r="A1027" s="123" t="s">
        <v>12450</v>
      </c>
      <c r="B1027" s="123" t="s">
        <v>12451</v>
      </c>
      <c r="C1027" s="92">
        <v>6266.61</v>
      </c>
    </row>
    <row r="1028" spans="1:3" s="124" customFormat="1" ht="13.5" customHeight="1">
      <c r="A1028" s="123" t="s">
        <v>12452</v>
      </c>
      <c r="B1028" s="123" t="s">
        <v>12453</v>
      </c>
      <c r="C1028" s="92">
        <v>5785.9</v>
      </c>
    </row>
    <row r="1029" spans="1:3" s="124" customFormat="1" ht="13.5" customHeight="1">
      <c r="A1029" s="123" t="s">
        <v>12454</v>
      </c>
      <c r="B1029" s="123" t="s">
        <v>12455</v>
      </c>
      <c r="C1029" s="92">
        <v>6266.36</v>
      </c>
    </row>
    <row r="1030" spans="1:3" s="124" customFormat="1" ht="13.5" customHeight="1">
      <c r="A1030" s="123" t="s">
        <v>12456</v>
      </c>
      <c r="B1030" s="123" t="s">
        <v>12457</v>
      </c>
      <c r="C1030" s="92">
        <v>6266.83</v>
      </c>
    </row>
    <row r="1031" spans="1:3" s="124" customFormat="1" ht="13.5" customHeight="1">
      <c r="A1031" s="123" t="s">
        <v>12458</v>
      </c>
      <c r="B1031" s="123" t="s">
        <v>12459</v>
      </c>
      <c r="C1031" s="92">
        <v>6617.24</v>
      </c>
    </row>
    <row r="1032" spans="1:3" s="124" customFormat="1" ht="13.5" customHeight="1">
      <c r="A1032" s="123" t="s">
        <v>12460</v>
      </c>
      <c r="B1032" s="123" t="s">
        <v>12461</v>
      </c>
      <c r="C1032" s="92">
        <v>6268.41</v>
      </c>
    </row>
    <row r="1033" spans="1:3" s="124" customFormat="1" ht="13.5" customHeight="1">
      <c r="A1033" s="123" t="s">
        <v>12462</v>
      </c>
      <c r="B1033" s="123" t="s">
        <v>12463</v>
      </c>
      <c r="C1033" s="92">
        <v>6268.13</v>
      </c>
    </row>
    <row r="1034" spans="1:3" s="124" customFormat="1" ht="13.5" customHeight="1">
      <c r="A1034" s="123" t="s">
        <v>12464</v>
      </c>
      <c r="B1034" s="123" t="s">
        <v>12465</v>
      </c>
      <c r="C1034" s="92">
        <v>6266.29</v>
      </c>
    </row>
    <row r="1035" spans="1:3" s="124" customFormat="1" ht="13.5" customHeight="1">
      <c r="A1035" s="123" t="s">
        <v>12466</v>
      </c>
      <c r="B1035" s="123" t="s">
        <v>12467</v>
      </c>
      <c r="C1035" s="92">
        <v>5596.46</v>
      </c>
    </row>
    <row r="1036" spans="1:3" s="124" customFormat="1" ht="13.5" customHeight="1">
      <c r="A1036" s="123" t="s">
        <v>12468</v>
      </c>
      <c r="B1036" s="123" t="s">
        <v>12469</v>
      </c>
      <c r="C1036" s="92">
        <v>6068.2</v>
      </c>
    </row>
    <row r="1037" spans="1:3" s="124" customFormat="1" ht="13.5" customHeight="1">
      <c r="A1037" s="123" t="s">
        <v>12470</v>
      </c>
      <c r="B1037" s="123" t="s">
        <v>12471</v>
      </c>
      <c r="C1037" s="92">
        <v>6267.25</v>
      </c>
    </row>
    <row r="1038" spans="1:3" s="124" customFormat="1" ht="13.5" customHeight="1">
      <c r="A1038" s="123" t="s">
        <v>12472</v>
      </c>
      <c r="B1038" s="123" t="s">
        <v>12473</v>
      </c>
      <c r="C1038" s="92">
        <v>5783.62</v>
      </c>
    </row>
    <row r="1039" spans="1:3" s="124" customFormat="1" ht="13.5" customHeight="1">
      <c r="A1039" s="123" t="s">
        <v>12474</v>
      </c>
      <c r="B1039" s="123" t="s">
        <v>12475</v>
      </c>
      <c r="C1039" s="92">
        <v>6266.43</v>
      </c>
    </row>
    <row r="1040" spans="1:3" s="124" customFormat="1" ht="13.5" customHeight="1">
      <c r="A1040" s="123" t="s">
        <v>12476</v>
      </c>
      <c r="B1040" s="123" t="s">
        <v>12477</v>
      </c>
      <c r="C1040" s="92">
        <v>5744.16</v>
      </c>
    </row>
    <row r="1041" spans="1:3" s="124" customFormat="1" ht="13.5" customHeight="1">
      <c r="A1041" s="123" t="s">
        <v>12478</v>
      </c>
      <c r="B1041" s="123" t="s">
        <v>12479</v>
      </c>
      <c r="C1041" s="92">
        <v>6266.78</v>
      </c>
    </row>
    <row r="1042" spans="1:3" s="124" customFormat="1" ht="13.5" customHeight="1">
      <c r="A1042" s="123" t="s">
        <v>12480</v>
      </c>
      <c r="B1042" s="123" t="s">
        <v>12481</v>
      </c>
      <c r="C1042" s="92">
        <v>5743.49</v>
      </c>
    </row>
    <row r="1043" spans="1:3" s="124" customFormat="1" ht="13.5" customHeight="1">
      <c r="A1043" s="123" t="s">
        <v>12482</v>
      </c>
      <c r="B1043" s="123" t="s">
        <v>12483</v>
      </c>
      <c r="C1043" s="92">
        <v>5722.07</v>
      </c>
    </row>
    <row r="1044" spans="1:3" s="124" customFormat="1" ht="13.5" customHeight="1">
      <c r="A1044" s="123" t="s">
        <v>12484</v>
      </c>
      <c r="B1044" s="123" t="s">
        <v>12485</v>
      </c>
      <c r="C1044" s="92">
        <v>5620.77</v>
      </c>
    </row>
    <row r="1045" spans="1:3" s="124" customFormat="1" ht="13.5" customHeight="1">
      <c r="A1045" s="123" t="s">
        <v>12486</v>
      </c>
      <c r="B1045" s="123" t="s">
        <v>12487</v>
      </c>
      <c r="C1045" s="92">
        <v>3971.87</v>
      </c>
    </row>
    <row r="1046" spans="1:3" s="124" customFormat="1" ht="13.5" customHeight="1">
      <c r="A1046" s="123" t="s">
        <v>12488</v>
      </c>
      <c r="B1046" s="123" t="s">
        <v>12489</v>
      </c>
      <c r="C1046" s="92">
        <v>5722.71</v>
      </c>
    </row>
    <row r="1047" spans="1:3" s="124" customFormat="1" ht="13.5" customHeight="1">
      <c r="A1047" s="123" t="s">
        <v>12490</v>
      </c>
      <c r="B1047" s="123" t="s">
        <v>12491</v>
      </c>
      <c r="C1047" s="92">
        <v>5721.38</v>
      </c>
    </row>
    <row r="1048" spans="1:3" s="124" customFormat="1" ht="13.5" customHeight="1">
      <c r="A1048" s="123" t="s">
        <v>12492</v>
      </c>
      <c r="B1048" s="123" t="s">
        <v>12493</v>
      </c>
      <c r="C1048" s="92">
        <v>6266.85</v>
      </c>
    </row>
    <row r="1049" spans="1:3" s="124" customFormat="1" ht="13.5" customHeight="1">
      <c r="A1049" s="123" t="s">
        <v>12494</v>
      </c>
      <c r="B1049" s="123" t="s">
        <v>12495</v>
      </c>
      <c r="C1049" s="92">
        <v>2569.7199999999998</v>
      </c>
    </row>
    <row r="1050" spans="1:3" s="124" customFormat="1" ht="13.5" customHeight="1">
      <c r="A1050" s="123" t="s">
        <v>12496</v>
      </c>
      <c r="B1050" s="123" t="s">
        <v>12497</v>
      </c>
      <c r="C1050" s="92">
        <v>2569.7199999999998</v>
      </c>
    </row>
    <row r="1051" spans="1:3" s="124" customFormat="1" ht="13.5" customHeight="1">
      <c r="A1051" s="123" t="s">
        <v>12498</v>
      </c>
      <c r="B1051" s="123" t="s">
        <v>12499</v>
      </c>
      <c r="C1051" s="92">
        <v>6122.72</v>
      </c>
    </row>
    <row r="1052" spans="1:3" s="124" customFormat="1" ht="13.5" customHeight="1">
      <c r="A1052" s="123" t="s">
        <v>12500</v>
      </c>
      <c r="B1052" s="123" t="s">
        <v>12501</v>
      </c>
      <c r="C1052" s="92">
        <v>5715.87</v>
      </c>
    </row>
    <row r="1053" spans="1:3" s="124" customFormat="1" ht="13.5" customHeight="1">
      <c r="A1053" s="123" t="s">
        <v>12502</v>
      </c>
      <c r="B1053" s="123" t="s">
        <v>12503</v>
      </c>
      <c r="C1053" s="92">
        <v>5719.98</v>
      </c>
    </row>
    <row r="1054" spans="1:3" s="124" customFormat="1" ht="13.5" customHeight="1">
      <c r="A1054" s="123" t="s">
        <v>12504</v>
      </c>
      <c r="B1054" s="123" t="s">
        <v>12505</v>
      </c>
      <c r="C1054" s="92">
        <v>5246.53</v>
      </c>
    </row>
    <row r="1055" spans="1:3" s="124" customFormat="1" ht="13.5" customHeight="1">
      <c r="A1055" s="123" t="s">
        <v>12506</v>
      </c>
      <c r="B1055" s="123" t="s">
        <v>12507</v>
      </c>
      <c r="C1055" s="92">
        <v>5374.79</v>
      </c>
    </row>
    <row r="1056" spans="1:3" s="124" customFormat="1" ht="13.5" customHeight="1">
      <c r="A1056" s="123" t="s">
        <v>12508</v>
      </c>
      <c r="B1056" s="123" t="s">
        <v>12509</v>
      </c>
      <c r="C1056" s="92">
        <v>5720.38</v>
      </c>
    </row>
    <row r="1057" spans="1:3" s="124" customFormat="1" ht="13.5" customHeight="1">
      <c r="A1057" s="123" t="s">
        <v>12510</v>
      </c>
      <c r="B1057" s="123" t="s">
        <v>12511</v>
      </c>
      <c r="C1057" s="92">
        <v>5542.16</v>
      </c>
    </row>
    <row r="1058" spans="1:3" s="124" customFormat="1" ht="13.5" customHeight="1">
      <c r="A1058" s="123" t="s">
        <v>12512</v>
      </c>
      <c r="B1058" s="123" t="s">
        <v>12513</v>
      </c>
      <c r="C1058" s="92">
        <v>3657</v>
      </c>
    </row>
    <row r="1059" spans="1:3" s="124" customFormat="1" ht="13.5" customHeight="1">
      <c r="A1059" s="123" t="s">
        <v>12514</v>
      </c>
      <c r="B1059" s="123" t="s">
        <v>12515</v>
      </c>
      <c r="C1059" s="92">
        <v>6272.44</v>
      </c>
    </row>
    <row r="1060" spans="1:3" s="124" customFormat="1" ht="13.5" customHeight="1">
      <c r="A1060" s="123" t="s">
        <v>12516</v>
      </c>
      <c r="B1060" s="123" t="s">
        <v>12517</v>
      </c>
      <c r="C1060" s="92">
        <v>4969.7700000000004</v>
      </c>
    </row>
    <row r="1061" spans="1:3" s="124" customFormat="1" ht="13.5" customHeight="1">
      <c r="A1061" s="123" t="s">
        <v>12518</v>
      </c>
      <c r="B1061" s="123" t="s">
        <v>12519</v>
      </c>
      <c r="C1061" s="92">
        <v>5433.74</v>
      </c>
    </row>
    <row r="1062" spans="1:3" s="124" customFormat="1" ht="13.5" customHeight="1">
      <c r="A1062" s="123" t="s">
        <v>12520</v>
      </c>
      <c r="B1062" s="123" t="s">
        <v>12521</v>
      </c>
      <c r="C1062" s="92">
        <v>5722.16</v>
      </c>
    </row>
    <row r="1063" spans="1:3" s="124" customFormat="1" ht="13.5" customHeight="1">
      <c r="A1063" s="123" t="s">
        <v>12522</v>
      </c>
      <c r="B1063" s="123" t="s">
        <v>12523</v>
      </c>
      <c r="C1063" s="92">
        <v>6068.21</v>
      </c>
    </row>
    <row r="1064" spans="1:3" s="124" customFormat="1" ht="13.5" customHeight="1">
      <c r="A1064" s="123" t="s">
        <v>12524</v>
      </c>
      <c r="B1064" s="123" t="s">
        <v>12525</v>
      </c>
      <c r="C1064" s="92">
        <v>5299.9</v>
      </c>
    </row>
    <row r="1065" spans="1:3" s="124" customFormat="1" ht="13.5" customHeight="1">
      <c r="A1065" s="123" t="s">
        <v>12526</v>
      </c>
      <c r="B1065" s="123" t="s">
        <v>12527</v>
      </c>
      <c r="C1065" s="92">
        <v>6267.75</v>
      </c>
    </row>
    <row r="1066" spans="1:3" s="124" customFormat="1" ht="13.5" customHeight="1">
      <c r="A1066" s="123" t="s">
        <v>12528</v>
      </c>
      <c r="B1066" s="123" t="s">
        <v>12529</v>
      </c>
      <c r="C1066" s="92">
        <v>5576.19</v>
      </c>
    </row>
    <row r="1067" spans="1:3" s="124" customFormat="1" ht="13.5" customHeight="1">
      <c r="A1067" s="123" t="s">
        <v>12530</v>
      </c>
      <c r="B1067" s="123" t="s">
        <v>12531</v>
      </c>
      <c r="C1067" s="92">
        <v>3192.46</v>
      </c>
    </row>
    <row r="1068" spans="1:3" s="124" customFormat="1" ht="13.5" customHeight="1">
      <c r="A1068" s="123" t="s">
        <v>12532</v>
      </c>
      <c r="B1068" s="123" t="s">
        <v>12533</v>
      </c>
      <c r="C1068" s="92">
        <v>5484.39</v>
      </c>
    </row>
    <row r="1069" spans="1:3" s="124" customFormat="1" ht="13.5" customHeight="1">
      <c r="A1069" s="123" t="s">
        <v>12534</v>
      </c>
      <c r="B1069" s="123" t="s">
        <v>12535</v>
      </c>
      <c r="C1069" s="92">
        <v>5720.7</v>
      </c>
    </row>
    <row r="1070" spans="1:3" s="124" customFormat="1" ht="13.5" customHeight="1">
      <c r="A1070" s="123" t="s">
        <v>12536</v>
      </c>
      <c r="B1070" s="123" t="s">
        <v>12537</v>
      </c>
      <c r="C1070" s="92">
        <v>5522.87</v>
      </c>
    </row>
    <row r="1071" spans="1:3" s="124" customFormat="1" ht="13.5" customHeight="1">
      <c r="A1071" s="123" t="s">
        <v>12538</v>
      </c>
      <c r="B1071" s="123" t="s">
        <v>12539</v>
      </c>
      <c r="C1071" s="92">
        <v>3655.19</v>
      </c>
    </row>
    <row r="1072" spans="1:3" s="124" customFormat="1" ht="13.5" customHeight="1">
      <c r="A1072" s="123" t="s">
        <v>12540</v>
      </c>
      <c r="B1072" s="123" t="s">
        <v>12541</v>
      </c>
      <c r="C1072" s="92">
        <v>5615.93</v>
      </c>
    </row>
    <row r="1073" spans="1:3" s="124" customFormat="1" ht="13.5" customHeight="1">
      <c r="A1073" s="123" t="s">
        <v>12542</v>
      </c>
      <c r="B1073" s="123" t="s">
        <v>12543</v>
      </c>
      <c r="C1073" s="92">
        <v>5247.79</v>
      </c>
    </row>
    <row r="1074" spans="1:3" s="124" customFormat="1" ht="13.5" customHeight="1">
      <c r="A1074" s="123" t="s">
        <v>12544</v>
      </c>
      <c r="B1074" s="123" t="s">
        <v>12545</v>
      </c>
      <c r="C1074" s="92">
        <v>5375.5</v>
      </c>
    </row>
    <row r="1075" spans="1:3" s="124" customFormat="1" ht="13.5" customHeight="1">
      <c r="A1075" s="123" t="s">
        <v>12546</v>
      </c>
      <c r="B1075" s="123" t="s">
        <v>12547</v>
      </c>
      <c r="C1075" s="92">
        <v>5748.64</v>
      </c>
    </row>
    <row r="1076" spans="1:3" s="124" customFormat="1" ht="13.5" customHeight="1">
      <c r="A1076" s="123" t="s">
        <v>12548</v>
      </c>
      <c r="B1076" s="123" t="s">
        <v>12549</v>
      </c>
      <c r="C1076" s="92">
        <v>4807.55</v>
      </c>
    </row>
    <row r="1077" spans="1:3" s="124" customFormat="1" ht="13.5" customHeight="1">
      <c r="A1077" s="123" t="s">
        <v>12550</v>
      </c>
      <c r="B1077" s="123" t="s">
        <v>12551</v>
      </c>
      <c r="C1077" s="92">
        <v>6267.19</v>
      </c>
    </row>
    <row r="1078" spans="1:3" s="124" customFormat="1" ht="13.5" customHeight="1">
      <c r="A1078" s="123" t="s">
        <v>12552</v>
      </c>
      <c r="B1078" s="123" t="s">
        <v>12553</v>
      </c>
      <c r="C1078" s="92">
        <v>5721</v>
      </c>
    </row>
    <row r="1079" spans="1:3" s="124" customFormat="1" ht="13.5" customHeight="1">
      <c r="A1079" s="123" t="s">
        <v>12554</v>
      </c>
      <c r="B1079" s="123" t="s">
        <v>12555</v>
      </c>
      <c r="C1079" s="92">
        <v>4759.79</v>
      </c>
    </row>
    <row r="1080" spans="1:3" s="124" customFormat="1" ht="13.5" customHeight="1">
      <c r="A1080" s="123" t="s">
        <v>12556</v>
      </c>
      <c r="B1080" s="123" t="s">
        <v>12557</v>
      </c>
      <c r="C1080" s="92">
        <v>6266.61</v>
      </c>
    </row>
    <row r="1081" spans="1:3" s="124" customFormat="1" ht="13.5" customHeight="1">
      <c r="A1081" s="123" t="s">
        <v>12558</v>
      </c>
      <c r="B1081" s="123" t="s">
        <v>12559</v>
      </c>
      <c r="C1081" s="92">
        <v>6268.22</v>
      </c>
    </row>
    <row r="1082" spans="1:3" s="124" customFormat="1" ht="13.5" customHeight="1">
      <c r="A1082" s="123" t="s">
        <v>12560</v>
      </c>
      <c r="B1082" s="123" t="s">
        <v>12561</v>
      </c>
      <c r="C1082" s="92">
        <v>5724.47</v>
      </c>
    </row>
    <row r="1083" spans="1:3" s="124" customFormat="1" ht="13.5" customHeight="1">
      <c r="A1083" s="123" t="s">
        <v>12562</v>
      </c>
      <c r="B1083" s="123" t="s">
        <v>12563</v>
      </c>
      <c r="C1083" s="92">
        <v>5648.93</v>
      </c>
    </row>
    <row r="1084" spans="1:3" s="124" customFormat="1" ht="13.5" customHeight="1">
      <c r="A1084" s="123" t="s">
        <v>12564</v>
      </c>
      <c r="B1084" s="123" t="s">
        <v>12565</v>
      </c>
      <c r="C1084" s="92">
        <v>5245.79</v>
      </c>
    </row>
    <row r="1085" spans="1:3" s="124" customFormat="1" ht="13.5" customHeight="1">
      <c r="A1085" s="123" t="s">
        <v>12566</v>
      </c>
      <c r="B1085" s="123" t="s">
        <v>12567</v>
      </c>
      <c r="C1085" s="92">
        <v>6266.78</v>
      </c>
    </row>
    <row r="1086" spans="1:3" s="124" customFormat="1" ht="13.5" customHeight="1">
      <c r="A1086" s="123" t="s">
        <v>12568</v>
      </c>
      <c r="B1086" s="123" t="s">
        <v>12569</v>
      </c>
      <c r="C1086" s="92">
        <v>5936.54</v>
      </c>
    </row>
    <row r="1087" spans="1:3" s="124" customFormat="1" ht="13.5" customHeight="1">
      <c r="A1087" s="123" t="s">
        <v>12570</v>
      </c>
      <c r="B1087" s="123" t="s">
        <v>12571</v>
      </c>
      <c r="C1087" s="92">
        <v>6101.67</v>
      </c>
    </row>
    <row r="1088" spans="1:3" s="124" customFormat="1" ht="13.5" customHeight="1">
      <c r="A1088" s="123" t="s">
        <v>12572</v>
      </c>
      <c r="B1088" s="123" t="s">
        <v>12573</v>
      </c>
      <c r="C1088" s="92">
        <v>5743.6</v>
      </c>
    </row>
    <row r="1089" spans="1:3" s="124" customFormat="1" ht="13.5" customHeight="1">
      <c r="A1089" s="123" t="s">
        <v>12574</v>
      </c>
      <c r="B1089" s="123" t="s">
        <v>12575</v>
      </c>
      <c r="C1089" s="92">
        <v>6267.65</v>
      </c>
    </row>
    <row r="1090" spans="1:3" s="124" customFormat="1" ht="13.5" customHeight="1">
      <c r="A1090" s="123" t="s">
        <v>12576</v>
      </c>
      <c r="B1090" s="123" t="s">
        <v>12577</v>
      </c>
      <c r="C1090" s="92">
        <v>6248.38</v>
      </c>
    </row>
    <row r="1091" spans="1:3" s="124" customFormat="1" ht="13.5" customHeight="1">
      <c r="A1091" s="123" t="s">
        <v>12578</v>
      </c>
      <c r="B1091" s="123" t="s">
        <v>12579</v>
      </c>
      <c r="C1091" s="92">
        <v>4885.66</v>
      </c>
    </row>
    <row r="1092" spans="1:3" s="124" customFormat="1" ht="13.5" customHeight="1">
      <c r="A1092" s="123" t="s">
        <v>12580</v>
      </c>
      <c r="B1092" s="123" t="s">
        <v>12581</v>
      </c>
      <c r="C1092" s="92">
        <v>5179.6400000000003</v>
      </c>
    </row>
    <row r="1093" spans="1:3" s="124" customFormat="1" ht="13.5" customHeight="1">
      <c r="A1093" s="123" t="s">
        <v>12582</v>
      </c>
      <c r="B1093" s="123" t="s">
        <v>12583</v>
      </c>
      <c r="C1093" s="92">
        <v>5743.84</v>
      </c>
    </row>
    <row r="1094" spans="1:3" s="124" customFormat="1" ht="13.5" customHeight="1">
      <c r="A1094" s="123" t="s">
        <v>12584</v>
      </c>
      <c r="B1094" s="123" t="s">
        <v>12585</v>
      </c>
      <c r="C1094" s="92">
        <v>5264.62</v>
      </c>
    </row>
    <row r="1095" spans="1:3" s="124" customFormat="1" ht="13.5" customHeight="1">
      <c r="A1095" s="123" t="s">
        <v>12586</v>
      </c>
      <c r="B1095" s="123" t="s">
        <v>12587</v>
      </c>
      <c r="C1095" s="92">
        <v>5070.42</v>
      </c>
    </row>
    <row r="1096" spans="1:3" s="124" customFormat="1" ht="13.5" customHeight="1">
      <c r="A1096" s="123" t="s">
        <v>12588</v>
      </c>
      <c r="B1096" s="123" t="s">
        <v>12589</v>
      </c>
      <c r="C1096" s="92">
        <v>5745.04</v>
      </c>
    </row>
    <row r="1097" spans="1:3" s="124" customFormat="1" ht="13.5" customHeight="1">
      <c r="A1097" s="123" t="s">
        <v>12590</v>
      </c>
      <c r="B1097" s="123" t="s">
        <v>12591</v>
      </c>
      <c r="C1097" s="92">
        <v>6462.58</v>
      </c>
    </row>
    <row r="1098" spans="1:3" s="124" customFormat="1" ht="13.5" customHeight="1">
      <c r="A1098" s="123" t="s">
        <v>12592</v>
      </c>
      <c r="B1098" s="123" t="s">
        <v>12593</v>
      </c>
      <c r="C1098" s="92">
        <v>5784.9</v>
      </c>
    </row>
    <row r="1099" spans="1:3" s="124" customFormat="1" ht="13.5" customHeight="1">
      <c r="A1099" s="123" t="s">
        <v>12594</v>
      </c>
      <c r="B1099" s="123" t="s">
        <v>12595</v>
      </c>
      <c r="C1099" s="92">
        <v>6268.11</v>
      </c>
    </row>
    <row r="1100" spans="1:3" s="124" customFormat="1" ht="13.5" customHeight="1">
      <c r="A1100" s="123" t="s">
        <v>12596</v>
      </c>
      <c r="B1100" s="123" t="s">
        <v>12597</v>
      </c>
      <c r="C1100" s="92">
        <v>6266.86</v>
      </c>
    </row>
    <row r="1101" spans="1:3" s="124" customFormat="1" ht="13.5" customHeight="1">
      <c r="A1101" s="123" t="s">
        <v>12598</v>
      </c>
      <c r="B1101" s="123" t="s">
        <v>12599</v>
      </c>
      <c r="C1101" s="92">
        <v>5744.72</v>
      </c>
    </row>
    <row r="1102" spans="1:3" s="124" customFormat="1" ht="13.5" customHeight="1">
      <c r="A1102" s="123" t="s">
        <v>12600</v>
      </c>
      <c r="B1102" s="123" t="s">
        <v>12601</v>
      </c>
      <c r="C1102" s="92">
        <v>5743.49</v>
      </c>
    </row>
    <row r="1103" spans="1:3" s="124" customFormat="1" ht="13.5" customHeight="1">
      <c r="A1103" s="123" t="s">
        <v>12602</v>
      </c>
      <c r="B1103" s="123" t="s">
        <v>12603</v>
      </c>
      <c r="C1103" s="92">
        <v>7203.01</v>
      </c>
    </row>
    <row r="1104" spans="1:3" s="124" customFormat="1" ht="13.5" customHeight="1">
      <c r="A1104" s="123" t="s">
        <v>12604</v>
      </c>
      <c r="B1104" s="123" t="s">
        <v>12605</v>
      </c>
      <c r="C1104" s="92">
        <v>4382.84</v>
      </c>
    </row>
    <row r="1105" spans="1:3" s="124" customFormat="1" ht="13.5" customHeight="1">
      <c r="A1105" s="123" t="s">
        <v>12606</v>
      </c>
      <c r="B1105" s="123" t="s">
        <v>12607</v>
      </c>
      <c r="C1105" s="92">
        <v>3967.02</v>
      </c>
    </row>
    <row r="1106" spans="1:3" s="124" customFormat="1" ht="13.5" customHeight="1">
      <c r="A1106" s="123" t="s">
        <v>12608</v>
      </c>
      <c r="B1106" s="123" t="s">
        <v>12609</v>
      </c>
      <c r="C1106" s="92">
        <v>5721.57</v>
      </c>
    </row>
    <row r="1107" spans="1:3" s="124" customFormat="1" ht="13.5" customHeight="1">
      <c r="A1107" s="123" t="s">
        <v>12610</v>
      </c>
      <c r="B1107" s="123" t="s">
        <v>12611</v>
      </c>
      <c r="C1107" s="92">
        <v>6267.05</v>
      </c>
    </row>
    <row r="1108" spans="1:3" s="124" customFormat="1" ht="13.5" customHeight="1">
      <c r="A1108" s="123" t="s">
        <v>12612</v>
      </c>
      <c r="B1108" s="123" t="s">
        <v>12613</v>
      </c>
      <c r="C1108" s="92">
        <v>2481.11</v>
      </c>
    </row>
    <row r="1109" spans="1:3" s="124" customFormat="1" ht="13.5" customHeight="1">
      <c r="A1109" s="123" t="s">
        <v>12614</v>
      </c>
      <c r="B1109" s="123" t="s">
        <v>12615</v>
      </c>
      <c r="C1109" s="92">
        <v>6617.64</v>
      </c>
    </row>
    <row r="1110" spans="1:3" s="124" customFormat="1" ht="13.5" customHeight="1">
      <c r="A1110" s="123" t="s">
        <v>12616</v>
      </c>
      <c r="B1110" s="123" t="s">
        <v>12617</v>
      </c>
      <c r="C1110" s="92">
        <v>4786.74</v>
      </c>
    </row>
    <row r="1111" spans="1:3" s="124" customFormat="1" ht="13.5" customHeight="1">
      <c r="A1111" s="123" t="s">
        <v>12618</v>
      </c>
      <c r="B1111" s="123" t="s">
        <v>12619</v>
      </c>
      <c r="C1111" s="92">
        <v>6268.88</v>
      </c>
    </row>
    <row r="1112" spans="1:3" s="124" customFormat="1" ht="13.5" customHeight="1">
      <c r="A1112" s="123" t="s">
        <v>12620</v>
      </c>
      <c r="B1112" s="123" t="s">
        <v>12621</v>
      </c>
      <c r="C1112" s="92">
        <v>6267.59</v>
      </c>
    </row>
    <row r="1113" spans="1:3" s="124" customFormat="1" ht="13.5" customHeight="1">
      <c r="A1113" s="123" t="s">
        <v>12622</v>
      </c>
      <c r="B1113" s="123" t="s">
        <v>12623</v>
      </c>
      <c r="C1113" s="92">
        <v>5238.57</v>
      </c>
    </row>
    <row r="1114" spans="1:3" s="124" customFormat="1" ht="13.5" customHeight="1">
      <c r="A1114" s="123" t="s">
        <v>12624</v>
      </c>
      <c r="B1114" s="123" t="s">
        <v>12625</v>
      </c>
      <c r="C1114" s="92">
        <v>6616.88</v>
      </c>
    </row>
    <row r="1115" spans="1:3" s="124" customFormat="1" ht="13.5" customHeight="1">
      <c r="A1115" s="123" t="s">
        <v>12626</v>
      </c>
      <c r="B1115" s="123" t="s">
        <v>12627</v>
      </c>
      <c r="C1115" s="92">
        <v>3703.73</v>
      </c>
    </row>
    <row r="1116" spans="1:3" s="124" customFormat="1" ht="13.5" customHeight="1">
      <c r="A1116" s="123" t="s">
        <v>12628</v>
      </c>
      <c r="B1116" s="123" t="s">
        <v>12629</v>
      </c>
      <c r="C1116" s="92">
        <v>7933.71</v>
      </c>
    </row>
    <row r="1117" spans="1:3" s="124" customFormat="1" ht="13.5" customHeight="1">
      <c r="A1117" s="123" t="s">
        <v>12630</v>
      </c>
      <c r="B1117" s="123" t="s">
        <v>12631</v>
      </c>
      <c r="C1117" s="92">
        <v>6618.11</v>
      </c>
    </row>
    <row r="1118" spans="1:3" s="124" customFormat="1" ht="13.5" customHeight="1">
      <c r="A1118" s="123" t="s">
        <v>12632</v>
      </c>
      <c r="B1118" s="123" t="s">
        <v>12633</v>
      </c>
      <c r="C1118" s="92">
        <v>6266.43</v>
      </c>
    </row>
    <row r="1119" spans="1:3" s="124" customFormat="1" ht="13.5" customHeight="1">
      <c r="A1119" s="123" t="s">
        <v>12634</v>
      </c>
      <c r="B1119" s="123" t="s">
        <v>12635</v>
      </c>
      <c r="C1119" s="92">
        <v>7208.63</v>
      </c>
    </row>
    <row r="1120" spans="1:3" s="124" customFormat="1" ht="13.5" customHeight="1">
      <c r="A1120" s="123" t="s">
        <v>12636</v>
      </c>
      <c r="B1120" s="123" t="s">
        <v>12637</v>
      </c>
      <c r="C1120" s="92">
        <v>4704.5600000000004</v>
      </c>
    </row>
    <row r="1121" spans="1:3" s="124" customFormat="1" ht="13.5" customHeight="1">
      <c r="A1121" s="123" t="s">
        <v>12638</v>
      </c>
      <c r="B1121" s="123" t="s">
        <v>12639</v>
      </c>
      <c r="C1121" s="92">
        <v>3658.27</v>
      </c>
    </row>
    <row r="1122" spans="1:3" s="124" customFormat="1" ht="13.5" customHeight="1">
      <c r="A1122" s="123" t="s">
        <v>12640</v>
      </c>
      <c r="B1122" s="123" t="s">
        <v>12641</v>
      </c>
      <c r="C1122" s="92">
        <v>6622.89</v>
      </c>
    </row>
    <row r="1123" spans="1:3" s="124" customFormat="1" ht="13.5" customHeight="1">
      <c r="A1123" s="123" t="s">
        <v>12642</v>
      </c>
      <c r="B1123" s="123" t="s">
        <v>12643</v>
      </c>
      <c r="C1123" s="92">
        <v>6128.68</v>
      </c>
    </row>
    <row r="1124" spans="1:3" s="124" customFormat="1" ht="13.5" customHeight="1">
      <c r="A1124" s="123" t="s">
        <v>12644</v>
      </c>
      <c r="B1124" s="123" t="s">
        <v>12645</v>
      </c>
      <c r="C1124" s="92">
        <v>4759.63</v>
      </c>
    </row>
    <row r="1125" spans="1:3" s="124" customFormat="1" ht="13.5" customHeight="1">
      <c r="A1125" s="123" t="s">
        <v>12646</v>
      </c>
      <c r="B1125" s="123" t="s">
        <v>12647</v>
      </c>
      <c r="C1125" s="92">
        <v>5058.6099999999997</v>
      </c>
    </row>
    <row r="1126" spans="1:3" s="124" customFormat="1" ht="13.5" customHeight="1">
      <c r="A1126" s="123" t="s">
        <v>12648</v>
      </c>
      <c r="B1126" s="123" t="s">
        <v>12649</v>
      </c>
      <c r="C1126" s="92">
        <v>5744.53</v>
      </c>
    </row>
    <row r="1127" spans="1:3" s="124" customFormat="1" ht="13.5" customHeight="1">
      <c r="A1127" s="123" t="s">
        <v>12650</v>
      </c>
      <c r="B1127" s="123" t="s">
        <v>12651</v>
      </c>
      <c r="C1127" s="92">
        <v>6267.76</v>
      </c>
    </row>
    <row r="1128" spans="1:3" s="124" customFormat="1" ht="13.5" customHeight="1">
      <c r="A1128" s="123" t="s">
        <v>12652</v>
      </c>
      <c r="B1128" s="123" t="s">
        <v>12653</v>
      </c>
      <c r="C1128" s="92">
        <v>6266.51</v>
      </c>
    </row>
    <row r="1129" spans="1:3" s="124" customFormat="1" ht="13.5" customHeight="1">
      <c r="A1129" s="123" t="s">
        <v>12654</v>
      </c>
      <c r="B1129" s="123" t="s">
        <v>12655</v>
      </c>
      <c r="C1129" s="92">
        <v>6266.43</v>
      </c>
    </row>
    <row r="1130" spans="1:3" s="124" customFormat="1" ht="13.5" customHeight="1">
      <c r="A1130" s="123" t="s">
        <v>12656</v>
      </c>
      <c r="B1130" s="123" t="s">
        <v>12657</v>
      </c>
      <c r="C1130" s="92">
        <v>5715.69</v>
      </c>
    </row>
    <row r="1131" spans="1:3" s="124" customFormat="1" ht="13.5" customHeight="1">
      <c r="A1131" s="123" t="s">
        <v>12658</v>
      </c>
      <c r="B1131" s="123" t="s">
        <v>12659</v>
      </c>
      <c r="C1131" s="92">
        <v>6266.43</v>
      </c>
    </row>
    <row r="1132" spans="1:3" s="124" customFormat="1" ht="13.5" customHeight="1">
      <c r="A1132" s="123" t="s">
        <v>12660</v>
      </c>
      <c r="B1132" s="123" t="s">
        <v>12661</v>
      </c>
      <c r="C1132" s="92">
        <v>4669.3900000000003</v>
      </c>
    </row>
    <row r="1133" spans="1:3" s="124" customFormat="1" ht="13.5" customHeight="1">
      <c r="A1133" s="123" t="s">
        <v>12662</v>
      </c>
      <c r="B1133" s="123" t="s">
        <v>12663</v>
      </c>
      <c r="C1133" s="92">
        <v>2278.59</v>
      </c>
    </row>
    <row r="1134" spans="1:3" s="124" customFormat="1" ht="13.5" customHeight="1">
      <c r="A1134" s="123" t="s">
        <v>12664</v>
      </c>
      <c r="B1134" s="123" t="s">
        <v>12665</v>
      </c>
      <c r="C1134" s="92">
        <v>4669.3900000000003</v>
      </c>
    </row>
    <row r="1135" spans="1:3" s="124" customFormat="1" ht="13.5" customHeight="1">
      <c r="A1135" s="123" t="s">
        <v>12666</v>
      </c>
      <c r="B1135" s="123" t="s">
        <v>12667</v>
      </c>
      <c r="C1135" s="92">
        <v>3299.15</v>
      </c>
    </row>
    <row r="1136" spans="1:3" s="124" customFormat="1" ht="13.5" customHeight="1">
      <c r="A1136" s="123" t="s">
        <v>12668</v>
      </c>
      <c r="B1136" s="123" t="s">
        <v>12669</v>
      </c>
      <c r="C1136" s="92">
        <v>1054.8900000000001</v>
      </c>
    </row>
    <row r="1137" spans="1:3" s="124" customFormat="1" ht="13.5" customHeight="1">
      <c r="A1137" s="123" t="s">
        <v>12670</v>
      </c>
      <c r="B1137" s="123" t="s">
        <v>12671</v>
      </c>
      <c r="C1137" s="92">
        <v>1055.1500000000001</v>
      </c>
    </row>
    <row r="1138" spans="1:3" s="124" customFormat="1" ht="13.5" customHeight="1">
      <c r="A1138" s="123" t="s">
        <v>12672</v>
      </c>
      <c r="B1138" s="123" t="s">
        <v>12673</v>
      </c>
      <c r="C1138" s="92">
        <v>691.49</v>
      </c>
    </row>
    <row r="1139" spans="1:3" s="124" customFormat="1" ht="13.5" customHeight="1">
      <c r="A1139" s="123" t="s">
        <v>12674</v>
      </c>
      <c r="B1139" s="123" t="s">
        <v>12675</v>
      </c>
      <c r="C1139" s="92">
        <v>691.49</v>
      </c>
    </row>
    <row r="1140" spans="1:3" s="124" customFormat="1" ht="13.5" customHeight="1">
      <c r="A1140" s="123" t="s">
        <v>12676</v>
      </c>
      <c r="B1140" s="123" t="s">
        <v>12677</v>
      </c>
      <c r="C1140" s="92">
        <v>6549.62</v>
      </c>
    </row>
    <row r="1141" spans="1:3" s="124" customFormat="1" ht="13.5" customHeight="1">
      <c r="A1141" s="123" t="s">
        <v>12678</v>
      </c>
      <c r="B1141" s="123" t="s">
        <v>12679</v>
      </c>
      <c r="C1141" s="92">
        <v>6222.93</v>
      </c>
    </row>
    <row r="1142" spans="1:3" s="124" customFormat="1" ht="13.5" customHeight="1">
      <c r="A1142" s="123" t="s">
        <v>12680</v>
      </c>
      <c r="B1142" s="123" t="s">
        <v>12681</v>
      </c>
      <c r="C1142" s="92">
        <v>5737.48</v>
      </c>
    </row>
    <row r="1143" spans="1:3" s="124" customFormat="1" ht="13.5" customHeight="1">
      <c r="A1143" s="123" t="s">
        <v>12682</v>
      </c>
      <c r="B1143" s="123" t="s">
        <v>12683</v>
      </c>
      <c r="C1143" s="92">
        <v>3876.43</v>
      </c>
    </row>
    <row r="1144" spans="1:3" s="124" customFormat="1" ht="13.5" customHeight="1">
      <c r="A1144" s="123" t="s">
        <v>12684</v>
      </c>
      <c r="B1144" s="123" t="s">
        <v>12685</v>
      </c>
      <c r="C1144" s="92">
        <v>2162.87</v>
      </c>
    </row>
    <row r="1145" spans="1:3" s="124" customFormat="1" ht="13.5" customHeight="1">
      <c r="A1145" s="123" t="s">
        <v>12686</v>
      </c>
      <c r="B1145" s="123" t="s">
        <v>12687</v>
      </c>
      <c r="C1145" s="92">
        <v>2162.87</v>
      </c>
    </row>
    <row r="1146" spans="1:3" s="124" customFormat="1" ht="13.5" customHeight="1">
      <c r="A1146" s="123" t="s">
        <v>12688</v>
      </c>
      <c r="B1146" s="123" t="s">
        <v>12689</v>
      </c>
      <c r="C1146" s="92">
        <v>5496.96</v>
      </c>
    </row>
    <row r="1147" spans="1:3" s="124" customFormat="1" ht="13.5" customHeight="1">
      <c r="A1147" s="123" t="s">
        <v>12690</v>
      </c>
      <c r="B1147" s="123" t="s">
        <v>12691</v>
      </c>
      <c r="C1147" s="92">
        <v>4383.33</v>
      </c>
    </row>
    <row r="1148" spans="1:3" s="124" customFormat="1" ht="13.5" customHeight="1">
      <c r="A1148" s="123" t="s">
        <v>12692</v>
      </c>
      <c r="B1148" s="123" t="s">
        <v>12693</v>
      </c>
      <c r="C1148" s="92">
        <v>3687.18</v>
      </c>
    </row>
    <row r="1149" spans="1:3" s="124" customFormat="1" ht="13.5" customHeight="1">
      <c r="A1149" s="123" t="s">
        <v>12694</v>
      </c>
      <c r="B1149" s="123" t="s">
        <v>12695</v>
      </c>
      <c r="C1149" s="92">
        <v>1109.3800000000001</v>
      </c>
    </row>
    <row r="1150" spans="1:3" s="124" customFormat="1" ht="13.5" customHeight="1">
      <c r="A1150" s="123" t="s">
        <v>12696</v>
      </c>
      <c r="B1150" s="123" t="s">
        <v>12697</v>
      </c>
      <c r="C1150" s="92">
        <v>1109.3800000000001</v>
      </c>
    </row>
    <row r="1151" spans="1:3" s="124" customFormat="1" ht="13.5" customHeight="1">
      <c r="A1151" s="123" t="s">
        <v>12698</v>
      </c>
      <c r="B1151" s="123" t="s">
        <v>12699</v>
      </c>
      <c r="C1151" s="92">
        <v>5040.8900000000003</v>
      </c>
    </row>
    <row r="1152" spans="1:3" s="124" customFormat="1" ht="13.5" customHeight="1">
      <c r="A1152" s="123" t="s">
        <v>12700</v>
      </c>
      <c r="B1152" s="123" t="s">
        <v>12701</v>
      </c>
      <c r="C1152" s="92">
        <v>5366.06</v>
      </c>
    </row>
    <row r="1153" spans="1:3" s="124" customFormat="1" ht="13.5" customHeight="1">
      <c r="A1153" s="123" t="s">
        <v>12702</v>
      </c>
      <c r="B1153" s="123" t="s">
        <v>12703</v>
      </c>
      <c r="C1153" s="92">
        <v>5602.46</v>
      </c>
    </row>
    <row r="1154" spans="1:3" s="124" customFormat="1" ht="13.5" customHeight="1">
      <c r="A1154" s="123" t="s">
        <v>12704</v>
      </c>
      <c r="B1154" s="123" t="s">
        <v>12705</v>
      </c>
      <c r="C1154" s="92">
        <v>5170.34</v>
      </c>
    </row>
    <row r="1155" spans="1:3" s="124" customFormat="1" ht="13.5" customHeight="1">
      <c r="A1155" s="123" t="s">
        <v>12706</v>
      </c>
      <c r="B1155" s="123" t="s">
        <v>12707</v>
      </c>
      <c r="C1155" s="92">
        <v>5261.92</v>
      </c>
    </row>
    <row r="1156" spans="1:3" s="124" customFormat="1" ht="13.5" customHeight="1">
      <c r="A1156" s="123" t="s">
        <v>12708</v>
      </c>
      <c r="B1156" s="123" t="s">
        <v>12709</v>
      </c>
      <c r="C1156" s="92">
        <v>5603.5</v>
      </c>
    </row>
    <row r="1157" spans="1:3" s="124" customFormat="1" ht="13.5" customHeight="1">
      <c r="A1157" s="123" t="s">
        <v>12710</v>
      </c>
      <c r="B1157" s="123" t="s">
        <v>12711</v>
      </c>
      <c r="C1157" s="92">
        <v>4930.74</v>
      </c>
    </row>
    <row r="1158" spans="1:3" s="124" customFormat="1" ht="13.5" customHeight="1">
      <c r="A1158" s="123" t="s">
        <v>12712</v>
      </c>
      <c r="B1158" s="123" t="s">
        <v>12713</v>
      </c>
      <c r="C1158" s="92">
        <v>5371.34</v>
      </c>
    </row>
    <row r="1159" spans="1:3" s="124" customFormat="1" ht="13.5" customHeight="1">
      <c r="A1159" s="123" t="s">
        <v>12714</v>
      </c>
      <c r="B1159" s="123" t="s">
        <v>12715</v>
      </c>
      <c r="C1159" s="92">
        <v>7752.31</v>
      </c>
    </row>
    <row r="1160" spans="1:3" s="124" customFormat="1" ht="13.5" customHeight="1">
      <c r="A1160" s="123" t="s">
        <v>12716</v>
      </c>
      <c r="B1160" s="123" t="s">
        <v>12717</v>
      </c>
      <c r="C1160" s="92">
        <v>3090.6</v>
      </c>
    </row>
    <row r="1161" spans="1:3" s="124" customFormat="1" ht="13.5" customHeight="1">
      <c r="A1161" s="123" t="s">
        <v>12718</v>
      </c>
      <c r="B1161" s="123" t="s">
        <v>12719</v>
      </c>
      <c r="C1161" s="92">
        <v>6317.23</v>
      </c>
    </row>
    <row r="1162" spans="1:3" s="124" customFormat="1" ht="13.5" customHeight="1">
      <c r="A1162" s="123" t="s">
        <v>12720</v>
      </c>
      <c r="B1162" s="123" t="s">
        <v>12721</v>
      </c>
      <c r="C1162" s="92">
        <v>3679.03</v>
      </c>
    </row>
    <row r="1163" spans="1:3" s="124" customFormat="1" ht="13.5" customHeight="1">
      <c r="A1163" s="123" t="s">
        <v>12722</v>
      </c>
      <c r="B1163" s="123" t="s">
        <v>12723</v>
      </c>
      <c r="C1163" s="92">
        <v>6317.23</v>
      </c>
    </row>
    <row r="1164" spans="1:3" s="124" customFormat="1" ht="13.5" customHeight="1">
      <c r="A1164" s="123" t="s">
        <v>12724</v>
      </c>
      <c r="B1164" s="123" t="s">
        <v>12725</v>
      </c>
      <c r="C1164" s="92">
        <v>5316.4</v>
      </c>
    </row>
    <row r="1165" spans="1:3" s="124" customFormat="1" ht="13.5" customHeight="1">
      <c r="A1165" s="123" t="s">
        <v>12726</v>
      </c>
      <c r="B1165" s="123" t="s">
        <v>12727</v>
      </c>
      <c r="C1165" s="92">
        <v>5992.61</v>
      </c>
    </row>
    <row r="1166" spans="1:3" s="124" customFormat="1" ht="13.5" customHeight="1">
      <c r="A1166" s="123" t="s">
        <v>12728</v>
      </c>
      <c r="B1166" s="123" t="s">
        <v>12729</v>
      </c>
      <c r="C1166" s="92">
        <v>6828.94</v>
      </c>
    </row>
    <row r="1167" spans="1:3" s="124" customFormat="1" ht="13.5" customHeight="1">
      <c r="A1167" s="123" t="s">
        <v>12730</v>
      </c>
      <c r="B1167" s="123" t="s">
        <v>12731</v>
      </c>
      <c r="C1167" s="92">
        <v>5940.02</v>
      </c>
    </row>
    <row r="1168" spans="1:3" s="124" customFormat="1" ht="13.5" customHeight="1">
      <c r="A1168" s="123" t="s">
        <v>12732</v>
      </c>
      <c r="B1168" s="123" t="s">
        <v>12733</v>
      </c>
      <c r="C1168" s="92">
        <v>4114.97</v>
      </c>
    </row>
    <row r="1169" spans="1:3" s="124" customFormat="1" ht="13.5" customHeight="1">
      <c r="A1169" s="123" t="s">
        <v>12734</v>
      </c>
      <c r="B1169" s="123" t="s">
        <v>12735</v>
      </c>
      <c r="C1169" s="92">
        <v>4711.5600000000004</v>
      </c>
    </row>
    <row r="1170" spans="1:3" s="124" customFormat="1" ht="13.5" customHeight="1">
      <c r="A1170" s="123" t="s">
        <v>12736</v>
      </c>
      <c r="B1170" s="123" t="s">
        <v>12737</v>
      </c>
      <c r="C1170" s="92">
        <v>5734.84</v>
      </c>
    </row>
    <row r="1171" spans="1:3" s="124" customFormat="1" ht="13.5" customHeight="1">
      <c r="A1171" s="123" t="s">
        <v>12738</v>
      </c>
      <c r="B1171" s="123" t="s">
        <v>12739</v>
      </c>
      <c r="C1171" s="92">
        <v>5200.49</v>
      </c>
    </row>
    <row r="1172" spans="1:3" s="124" customFormat="1" ht="13.5" customHeight="1">
      <c r="A1172" s="123" t="s">
        <v>12740</v>
      </c>
      <c r="B1172" s="123" t="s">
        <v>12741</v>
      </c>
      <c r="C1172" s="92">
        <v>6447.13</v>
      </c>
    </row>
    <row r="1173" spans="1:3" s="124" customFormat="1" ht="13.5" customHeight="1">
      <c r="A1173" s="123" t="s">
        <v>12742</v>
      </c>
      <c r="B1173" s="123" t="s">
        <v>12743</v>
      </c>
      <c r="C1173" s="92">
        <v>3336.39</v>
      </c>
    </row>
    <row r="1174" spans="1:3" s="124" customFormat="1" ht="13.5" customHeight="1">
      <c r="A1174" s="123" t="s">
        <v>12744</v>
      </c>
      <c r="B1174" s="123" t="s">
        <v>12745</v>
      </c>
      <c r="C1174" s="92">
        <v>2224.58</v>
      </c>
    </row>
    <row r="1175" spans="1:3" s="124" customFormat="1" ht="13.5" customHeight="1">
      <c r="A1175" s="123" t="s">
        <v>12746</v>
      </c>
      <c r="B1175" s="123" t="s">
        <v>12747</v>
      </c>
      <c r="C1175" s="92">
        <v>6448.57</v>
      </c>
    </row>
    <row r="1176" spans="1:3" s="124" customFormat="1" ht="13.5" customHeight="1">
      <c r="A1176" s="123" t="s">
        <v>12748</v>
      </c>
      <c r="B1176" s="123" t="s">
        <v>12749</v>
      </c>
      <c r="C1176" s="92">
        <v>6448.57</v>
      </c>
    </row>
    <row r="1177" spans="1:3" s="124" customFormat="1" ht="13.5" customHeight="1">
      <c r="A1177" s="123" t="s">
        <v>12750</v>
      </c>
      <c r="B1177" s="123" t="s">
        <v>12751</v>
      </c>
      <c r="C1177" s="92">
        <v>5602.08</v>
      </c>
    </row>
    <row r="1178" spans="1:3" s="124" customFormat="1" ht="13.5" customHeight="1">
      <c r="A1178" s="123" t="s">
        <v>12752</v>
      </c>
      <c r="B1178" s="123" t="s">
        <v>12753</v>
      </c>
      <c r="C1178" s="92">
        <v>4480.45</v>
      </c>
    </row>
    <row r="1179" spans="1:3" ht="12.75" customHeight="1">
      <c r="A1179" s="123" t="s">
        <v>12754</v>
      </c>
      <c r="B1179" s="123" t="s">
        <v>12755</v>
      </c>
      <c r="C1179" s="92">
        <v>6972.72</v>
      </c>
    </row>
    <row r="1180" spans="1:3" ht="12.75" customHeight="1">
      <c r="A1180" s="123" t="s">
        <v>12756</v>
      </c>
      <c r="B1180" s="123" t="s">
        <v>12757</v>
      </c>
      <c r="C1180" s="92">
        <v>5347.49</v>
      </c>
    </row>
    <row r="1181" spans="1:3" ht="12.75" customHeight="1">
      <c r="A1181" s="123" t="s">
        <v>12758</v>
      </c>
      <c r="B1181" s="123" t="s">
        <v>12759</v>
      </c>
      <c r="C1181" s="92">
        <v>6448.57</v>
      </c>
    </row>
    <row r="1182" spans="1:3" ht="12.75" customHeight="1">
      <c r="A1182" s="123" t="s">
        <v>12760</v>
      </c>
      <c r="B1182" s="123" t="s">
        <v>12761</v>
      </c>
      <c r="C1182" s="92">
        <v>6369.66</v>
      </c>
    </row>
    <row r="1183" spans="1:3" ht="12.75" customHeight="1">
      <c r="A1183" s="123" t="s">
        <v>12762</v>
      </c>
      <c r="B1183" s="123" t="s">
        <v>12763</v>
      </c>
      <c r="C1183" s="92">
        <v>3504.49</v>
      </c>
    </row>
    <row r="1184" spans="1:3" ht="12.75" customHeight="1">
      <c r="A1184" s="123" t="s">
        <v>12764</v>
      </c>
      <c r="B1184" s="123" t="s">
        <v>12765</v>
      </c>
      <c r="C1184" s="92">
        <v>4591.7700000000004</v>
      </c>
    </row>
    <row r="1185" spans="1:3" ht="12.75" customHeight="1">
      <c r="A1185" s="123" t="s">
        <v>12766</v>
      </c>
      <c r="B1185" s="123" t="s">
        <v>12767</v>
      </c>
      <c r="C1185" s="92">
        <v>4689.7</v>
      </c>
    </row>
    <row r="1186" spans="1:3" ht="12.75" customHeight="1">
      <c r="A1186" s="123" t="s">
        <v>12768</v>
      </c>
      <c r="B1186" s="123" t="s">
        <v>12769</v>
      </c>
      <c r="C1186" s="92">
        <v>5081.1400000000003</v>
      </c>
    </row>
    <row r="1187" spans="1:3" ht="12.75" customHeight="1">
      <c r="A1187" s="123" t="s">
        <v>12770</v>
      </c>
      <c r="B1187" s="123" t="s">
        <v>12771</v>
      </c>
      <c r="C1187" s="92">
        <v>4526.42</v>
      </c>
    </row>
    <row r="1188" spans="1:3" ht="12.75" customHeight="1">
      <c r="A1188" s="123" t="s">
        <v>12772</v>
      </c>
      <c r="B1188" s="123" t="s">
        <v>12773</v>
      </c>
      <c r="C1188" s="92">
        <v>5625.24</v>
      </c>
    </row>
    <row r="1189" spans="1:3" ht="12.75" customHeight="1">
      <c r="A1189" s="123" t="s">
        <v>12774</v>
      </c>
      <c r="B1189" s="123" t="s">
        <v>12775</v>
      </c>
      <c r="C1189" s="92">
        <v>5886.79</v>
      </c>
    </row>
    <row r="1190" spans="1:3" ht="12.75" customHeight="1">
      <c r="A1190" s="123" t="s">
        <v>12776</v>
      </c>
      <c r="B1190" s="123" t="s">
        <v>12777</v>
      </c>
      <c r="C1190" s="92">
        <v>2958.21</v>
      </c>
    </row>
    <row r="1191" spans="1:3" ht="12.75" customHeight="1">
      <c r="A1191" s="123" t="s">
        <v>12778</v>
      </c>
      <c r="B1191" s="123" t="s">
        <v>12779</v>
      </c>
      <c r="C1191" s="92">
        <v>2789.42</v>
      </c>
    </row>
    <row r="1192" spans="1:3" ht="12.75" customHeight="1">
      <c r="A1192" s="123" t="s">
        <v>12780</v>
      </c>
      <c r="B1192" s="123" t="s">
        <v>12781</v>
      </c>
      <c r="C1192" s="92">
        <v>5406.86</v>
      </c>
    </row>
    <row r="1193" spans="1:3" ht="12.75" customHeight="1">
      <c r="A1193" s="123" t="s">
        <v>12782</v>
      </c>
      <c r="B1193" s="123" t="s">
        <v>12783</v>
      </c>
      <c r="C1193" s="92">
        <v>4316.38</v>
      </c>
    </row>
    <row r="1194" spans="1:3" ht="12.75" customHeight="1">
      <c r="A1194" s="123" t="s">
        <v>12784</v>
      </c>
      <c r="B1194" s="123" t="s">
        <v>12785</v>
      </c>
      <c r="C1194" s="92">
        <v>5496.61</v>
      </c>
    </row>
    <row r="1195" spans="1:3" ht="12.75" customHeight="1">
      <c r="A1195" s="123" t="s">
        <v>12786</v>
      </c>
      <c r="B1195" s="123" t="s">
        <v>12787</v>
      </c>
      <c r="C1195" s="92">
        <v>7061.93</v>
      </c>
    </row>
    <row r="1196" spans="1:3" ht="12.75" customHeight="1">
      <c r="A1196" s="123" t="s">
        <v>12788</v>
      </c>
      <c r="B1196" s="123" t="s">
        <v>12789</v>
      </c>
      <c r="C1196" s="92">
        <v>4345.0600000000004</v>
      </c>
    </row>
    <row r="1197" spans="1:3" ht="12.75" customHeight="1">
      <c r="A1197" s="123" t="s">
        <v>12790</v>
      </c>
      <c r="B1197" s="123" t="s">
        <v>12791</v>
      </c>
      <c r="C1197" s="92">
        <v>6124.27</v>
      </c>
    </row>
    <row r="1198" spans="1:3" ht="12.75" customHeight="1">
      <c r="A1198" s="123" t="s">
        <v>12792</v>
      </c>
      <c r="B1198" s="123" t="s">
        <v>12793</v>
      </c>
      <c r="C1198" s="92">
        <v>5577.89</v>
      </c>
    </row>
    <row r="1199" spans="1:3" ht="12.75" customHeight="1">
      <c r="A1199" s="123" t="s">
        <v>12794</v>
      </c>
      <c r="B1199" s="123" t="s">
        <v>12795</v>
      </c>
      <c r="C1199" s="92">
        <v>4138.7700000000004</v>
      </c>
    </row>
    <row r="1200" spans="1:3" ht="12.75" customHeight="1">
      <c r="A1200" s="123" t="s">
        <v>12796</v>
      </c>
      <c r="B1200" s="123" t="s">
        <v>12797</v>
      </c>
      <c r="C1200" s="92">
        <v>5591.12</v>
      </c>
    </row>
    <row r="1201" spans="1:3" ht="12.75" customHeight="1">
      <c r="A1201" s="123" t="s">
        <v>12798</v>
      </c>
      <c r="B1201" s="123" t="s">
        <v>12799</v>
      </c>
      <c r="C1201" s="92">
        <v>4728.43</v>
      </c>
    </row>
    <row r="1202" spans="1:3" ht="12.75" customHeight="1">
      <c r="A1202" s="123" t="s">
        <v>12800</v>
      </c>
      <c r="B1202" s="123" t="s">
        <v>12801</v>
      </c>
      <c r="C1202" s="92">
        <v>5604.2</v>
      </c>
    </row>
    <row r="1203" spans="1:3" ht="12.75" customHeight="1">
      <c r="A1203" s="123" t="s">
        <v>12802</v>
      </c>
      <c r="B1203" s="123" t="s">
        <v>12803</v>
      </c>
      <c r="C1203" s="92">
        <v>3001.05</v>
      </c>
    </row>
    <row r="1204" spans="1:3" ht="12.75" customHeight="1">
      <c r="A1204" s="123" t="s">
        <v>12804</v>
      </c>
      <c r="B1204" s="123" t="s">
        <v>12805</v>
      </c>
      <c r="C1204" s="92">
        <v>5200.7299999999996</v>
      </c>
    </row>
    <row r="1205" spans="1:3" ht="12.75" customHeight="1">
      <c r="A1205" s="123" t="s">
        <v>12806</v>
      </c>
      <c r="B1205" s="123" t="s">
        <v>12807</v>
      </c>
      <c r="C1205" s="92">
        <v>3701.87</v>
      </c>
    </row>
    <row r="1206" spans="1:3" ht="12.75" customHeight="1">
      <c r="A1206" s="123" t="s">
        <v>12808</v>
      </c>
      <c r="B1206" s="123" t="s">
        <v>12809</v>
      </c>
      <c r="C1206" s="92">
        <v>3242.3</v>
      </c>
    </row>
    <row r="1207" spans="1:3" ht="12.75" customHeight="1">
      <c r="A1207" s="123" t="s">
        <v>12810</v>
      </c>
      <c r="B1207" s="123" t="s">
        <v>12811</v>
      </c>
      <c r="C1207" s="92">
        <v>6184.28</v>
      </c>
    </row>
    <row r="1208" spans="1:3" ht="12.75" customHeight="1">
      <c r="A1208" s="123" t="s">
        <v>12812</v>
      </c>
      <c r="B1208" s="123" t="s">
        <v>12813</v>
      </c>
      <c r="C1208" s="92">
        <v>4944.63</v>
      </c>
    </row>
    <row r="1209" spans="1:3" ht="12.75" customHeight="1">
      <c r="A1209" s="123" t="s">
        <v>12814</v>
      </c>
      <c r="B1209" s="123" t="s">
        <v>12815</v>
      </c>
      <c r="C1209" s="92">
        <v>5548.9</v>
      </c>
    </row>
    <row r="1210" spans="1:3" ht="12.75" customHeight="1">
      <c r="A1210" s="123" t="s">
        <v>12816</v>
      </c>
      <c r="B1210" s="123" t="s">
        <v>12817</v>
      </c>
      <c r="C1210" s="92">
        <v>5734.09</v>
      </c>
    </row>
    <row r="1211" spans="1:3" ht="12.75" customHeight="1">
      <c r="A1211" s="123" t="s">
        <v>12818</v>
      </c>
      <c r="B1211" s="123" t="s">
        <v>12819</v>
      </c>
      <c r="C1211" s="92">
        <v>4392.13</v>
      </c>
    </row>
    <row r="1212" spans="1:3" ht="12.75" customHeight="1">
      <c r="A1212" s="123" t="s">
        <v>12820</v>
      </c>
      <c r="B1212" s="123" t="s">
        <v>12821</v>
      </c>
      <c r="C1212" s="92">
        <v>5497.45</v>
      </c>
    </row>
    <row r="1213" spans="1:3" ht="12.75" customHeight="1">
      <c r="A1213" s="123" t="s">
        <v>12822</v>
      </c>
      <c r="B1213" s="123" t="s">
        <v>12823</v>
      </c>
      <c r="C1213" s="92">
        <v>4953.7299999999996</v>
      </c>
    </row>
    <row r="1214" spans="1:3" ht="12.75" customHeight="1">
      <c r="A1214" s="123" t="s">
        <v>12824</v>
      </c>
      <c r="B1214" s="123" t="s">
        <v>12825</v>
      </c>
      <c r="C1214" s="92">
        <v>4299.49</v>
      </c>
    </row>
    <row r="1215" spans="1:3" ht="12.75" customHeight="1">
      <c r="A1215" s="123" t="s">
        <v>12826</v>
      </c>
      <c r="B1215" s="123" t="s">
        <v>12827</v>
      </c>
      <c r="C1215" s="92">
        <v>4053.53</v>
      </c>
    </row>
    <row r="1216" spans="1:3" ht="12.75" customHeight="1">
      <c r="A1216" s="123" t="s">
        <v>12828</v>
      </c>
      <c r="B1216" s="123" t="s">
        <v>12829</v>
      </c>
      <c r="C1216" s="92">
        <v>5200.7299999999996</v>
      </c>
    </row>
    <row r="1217" spans="1:3" ht="12.75" customHeight="1">
      <c r="A1217" s="123" t="s">
        <v>12830</v>
      </c>
      <c r="B1217" s="123" t="s">
        <v>12831</v>
      </c>
      <c r="C1217" s="92">
        <v>6317.58</v>
      </c>
    </row>
    <row r="1218" spans="1:3" ht="12.75" customHeight="1">
      <c r="A1218" s="123" t="s">
        <v>12832</v>
      </c>
      <c r="B1218" s="123" t="s">
        <v>12833</v>
      </c>
      <c r="C1218" s="92">
        <v>5093.55</v>
      </c>
    </row>
    <row r="1219" spans="1:3" ht="12.75" customHeight="1">
      <c r="A1219" s="123" t="s">
        <v>12834</v>
      </c>
      <c r="B1219" s="123" t="s">
        <v>12835</v>
      </c>
      <c r="C1219" s="92">
        <v>4246.45</v>
      </c>
    </row>
    <row r="1220" spans="1:3" ht="12.75" customHeight="1">
      <c r="A1220" s="123" t="s">
        <v>12836</v>
      </c>
      <c r="B1220" s="123" t="s">
        <v>12837</v>
      </c>
      <c r="C1220" s="92">
        <v>5735.64</v>
      </c>
    </row>
    <row r="1221" spans="1:3" ht="12.75" customHeight="1">
      <c r="A1221" s="123" t="s">
        <v>12838</v>
      </c>
      <c r="B1221" s="123" t="s">
        <v>12839</v>
      </c>
      <c r="C1221" s="92">
        <v>7269.98</v>
      </c>
    </row>
    <row r="1222" spans="1:3" ht="12.75" customHeight="1">
      <c r="A1222" s="123" t="s">
        <v>12840</v>
      </c>
      <c r="B1222" s="123" t="s">
        <v>12841</v>
      </c>
      <c r="C1222" s="92">
        <v>4295.18</v>
      </c>
    </row>
    <row r="1223" spans="1:3" ht="12.75" customHeight="1">
      <c r="A1223" s="123" t="s">
        <v>12842</v>
      </c>
      <c r="B1223" s="123" t="s">
        <v>12843</v>
      </c>
      <c r="C1223" s="92">
        <v>5761.65</v>
      </c>
    </row>
    <row r="1224" spans="1:3" ht="12.75" customHeight="1">
      <c r="A1224" s="123" t="s">
        <v>12844</v>
      </c>
      <c r="B1224" s="123" t="s">
        <v>12845</v>
      </c>
      <c r="C1224" s="92">
        <v>2518.67</v>
      </c>
    </row>
    <row r="1225" spans="1:3" ht="12.75" customHeight="1">
      <c r="A1225" s="123" t="s">
        <v>12846</v>
      </c>
      <c r="B1225" s="123" t="s">
        <v>12847</v>
      </c>
      <c r="C1225" s="92">
        <v>5539.01</v>
      </c>
    </row>
    <row r="1226" spans="1:3" ht="12.75" customHeight="1">
      <c r="A1226" s="123" t="s">
        <v>12848</v>
      </c>
      <c r="B1226" s="123" t="s">
        <v>12849</v>
      </c>
      <c r="C1226" s="92">
        <v>5316.42</v>
      </c>
    </row>
    <row r="1227" spans="1:3" ht="12.75" customHeight="1">
      <c r="A1227" s="123" t="s">
        <v>12850</v>
      </c>
      <c r="B1227" s="123" t="s">
        <v>12851</v>
      </c>
      <c r="C1227" s="92">
        <v>2468.11</v>
      </c>
    </row>
    <row r="1228" spans="1:3" ht="12.75" customHeight="1">
      <c r="A1228" s="123" t="s">
        <v>12852</v>
      </c>
      <c r="B1228" s="123" t="s">
        <v>12853</v>
      </c>
      <c r="C1228" s="92">
        <v>3294.59</v>
      </c>
    </row>
    <row r="1229" spans="1:3" ht="12.75" customHeight="1">
      <c r="A1229" s="123" t="s">
        <v>12854</v>
      </c>
      <c r="B1229" s="123" t="s">
        <v>12855</v>
      </c>
      <c r="C1229" s="92">
        <v>3467.95</v>
      </c>
    </row>
    <row r="1230" spans="1:3" ht="12.75" customHeight="1">
      <c r="A1230" s="123" t="s">
        <v>12856</v>
      </c>
      <c r="B1230" s="123" t="s">
        <v>12857</v>
      </c>
      <c r="C1230" s="92">
        <v>3874.1</v>
      </c>
    </row>
    <row r="1231" spans="1:3" ht="12.75" customHeight="1">
      <c r="A1231" s="123" t="s">
        <v>12858</v>
      </c>
      <c r="B1231" s="123" t="s">
        <v>12859</v>
      </c>
      <c r="C1231" s="92">
        <v>3451.23</v>
      </c>
    </row>
    <row r="1232" spans="1:3" ht="12.75" customHeight="1">
      <c r="A1232" s="123" t="s">
        <v>12860</v>
      </c>
      <c r="B1232" s="123" t="s">
        <v>12861</v>
      </c>
      <c r="C1232" s="92">
        <v>3674.8</v>
      </c>
    </row>
    <row r="1233" spans="1:3" ht="12.75" customHeight="1">
      <c r="A1233" s="123" t="s">
        <v>12862</v>
      </c>
      <c r="B1233" s="123" t="s">
        <v>12863</v>
      </c>
      <c r="C1233" s="92">
        <v>3573.91</v>
      </c>
    </row>
    <row r="1234" spans="1:3" ht="12.75" customHeight="1">
      <c r="A1234" s="123" t="s">
        <v>12864</v>
      </c>
      <c r="B1234" s="123" t="s">
        <v>12865</v>
      </c>
      <c r="C1234" s="92">
        <v>4106.22</v>
      </c>
    </row>
    <row r="1235" spans="1:3" ht="12.75" customHeight="1">
      <c r="A1235" s="123" t="s">
        <v>12866</v>
      </c>
      <c r="B1235" s="123" t="s">
        <v>12867</v>
      </c>
      <c r="C1235" s="92">
        <v>1766.52</v>
      </c>
    </row>
    <row r="1236" spans="1:3" ht="12.75" customHeight="1">
      <c r="A1236" s="123" t="s">
        <v>12868</v>
      </c>
      <c r="B1236" s="123" t="s">
        <v>12869</v>
      </c>
      <c r="C1236" s="92">
        <v>1766.52</v>
      </c>
    </row>
    <row r="1237" spans="1:3" ht="12.75" customHeight="1">
      <c r="A1237" s="123" t="s">
        <v>12870</v>
      </c>
      <c r="B1237" s="123" t="s">
        <v>12871</v>
      </c>
      <c r="C1237" s="92">
        <v>4899.97</v>
      </c>
    </row>
    <row r="1238" spans="1:3" ht="12.75" customHeight="1">
      <c r="A1238" s="123" t="s">
        <v>12872</v>
      </c>
      <c r="B1238" s="123" t="s">
        <v>12873</v>
      </c>
      <c r="C1238" s="92">
        <v>6448.4</v>
      </c>
    </row>
    <row r="1239" spans="1:3" ht="12.75" customHeight="1">
      <c r="A1239" s="123" t="s">
        <v>12874</v>
      </c>
      <c r="B1239" s="123" t="s">
        <v>12875</v>
      </c>
      <c r="C1239" s="92">
        <v>2194.61</v>
      </c>
    </row>
    <row r="1240" spans="1:3" ht="12.75" customHeight="1">
      <c r="A1240" s="123" t="s">
        <v>12876</v>
      </c>
      <c r="B1240" s="123" t="s">
        <v>12877</v>
      </c>
      <c r="C1240" s="92">
        <v>2194.61</v>
      </c>
    </row>
    <row r="1241" spans="1:3" ht="12.75" customHeight="1">
      <c r="A1241" s="123" t="s">
        <v>12878</v>
      </c>
      <c r="B1241" s="123" t="s">
        <v>12879</v>
      </c>
      <c r="C1241" s="92">
        <v>3926.45</v>
      </c>
    </row>
    <row r="1242" spans="1:3" ht="12.75" customHeight="1">
      <c r="A1242" s="123" t="s">
        <v>12880</v>
      </c>
      <c r="B1242" s="123" t="s">
        <v>12881</v>
      </c>
      <c r="C1242" s="92">
        <v>7147.8</v>
      </c>
    </row>
    <row r="1243" spans="1:3" ht="12.75" customHeight="1">
      <c r="A1243" s="123" t="s">
        <v>12882</v>
      </c>
      <c r="B1243" s="123" t="s">
        <v>12883</v>
      </c>
      <c r="C1243" s="92">
        <v>5947.38</v>
      </c>
    </row>
    <row r="1244" spans="1:3" ht="12.75" customHeight="1">
      <c r="A1244" s="123" t="s">
        <v>12884</v>
      </c>
      <c r="B1244" s="123" t="s">
        <v>12885</v>
      </c>
      <c r="C1244" s="92">
        <v>5949.03</v>
      </c>
    </row>
    <row r="1245" spans="1:3" ht="12.75" customHeight="1">
      <c r="A1245" s="123" t="s">
        <v>12886</v>
      </c>
      <c r="B1245" s="123" t="s">
        <v>12887</v>
      </c>
      <c r="C1245" s="92">
        <v>5124.3100000000004</v>
      </c>
    </row>
    <row r="1246" spans="1:3" ht="12.75" customHeight="1">
      <c r="A1246" s="123" t="s">
        <v>12888</v>
      </c>
      <c r="B1246" s="123" t="s">
        <v>12889</v>
      </c>
      <c r="C1246" s="92">
        <v>5124.34</v>
      </c>
    </row>
    <row r="1247" spans="1:3" ht="12.75" customHeight="1">
      <c r="A1247" s="123" t="s">
        <v>12890</v>
      </c>
      <c r="B1247" s="123" t="s">
        <v>12891</v>
      </c>
      <c r="C1247" s="92">
        <v>6232.91</v>
      </c>
    </row>
    <row r="1248" spans="1:3" ht="12.75" customHeight="1">
      <c r="A1248" s="123" t="s">
        <v>12892</v>
      </c>
      <c r="B1248" s="123" t="s">
        <v>12893</v>
      </c>
      <c r="C1248" s="92">
        <v>6124.27</v>
      </c>
    </row>
    <row r="1249" spans="1:3" ht="12.75" customHeight="1">
      <c r="A1249" s="123" t="s">
        <v>12894</v>
      </c>
      <c r="B1249" s="123" t="s">
        <v>12895</v>
      </c>
      <c r="C1249" s="92">
        <v>8579.32</v>
      </c>
    </row>
    <row r="1250" spans="1:3" ht="12.75" customHeight="1">
      <c r="A1250" s="123" t="s">
        <v>12896</v>
      </c>
      <c r="B1250" s="123" t="s">
        <v>12897</v>
      </c>
      <c r="C1250" s="92">
        <v>1773.88</v>
      </c>
    </row>
    <row r="1251" spans="1:3" ht="12.75" customHeight="1">
      <c r="A1251" s="123" t="s">
        <v>12898</v>
      </c>
      <c r="B1251" s="123" t="s">
        <v>12899</v>
      </c>
      <c r="C1251" s="92">
        <v>1698.12</v>
      </c>
    </row>
    <row r="1252" spans="1:3" ht="12.75" customHeight="1">
      <c r="A1252" s="123" t="s">
        <v>12900</v>
      </c>
      <c r="B1252" s="123" t="s">
        <v>12901</v>
      </c>
      <c r="C1252" s="92">
        <v>3761.7</v>
      </c>
    </row>
    <row r="1253" spans="1:3" ht="12.75" customHeight="1">
      <c r="A1253" s="123" t="s">
        <v>12902</v>
      </c>
      <c r="B1253" s="123" t="s">
        <v>12903</v>
      </c>
      <c r="C1253" s="92">
        <v>2880.39</v>
      </c>
    </row>
    <row r="1254" spans="1:3" ht="12.75" customHeight="1">
      <c r="A1254" s="123" t="s">
        <v>12904</v>
      </c>
      <c r="B1254" s="123" t="s">
        <v>12905</v>
      </c>
      <c r="C1254" s="92">
        <v>2911.75</v>
      </c>
    </row>
    <row r="1255" spans="1:3" ht="12.75" customHeight="1">
      <c r="A1255" s="123" t="s">
        <v>12906</v>
      </c>
      <c r="B1255" s="123" t="s">
        <v>12907</v>
      </c>
      <c r="C1255" s="92">
        <v>4217.51</v>
      </c>
    </row>
    <row r="1256" spans="1:3" ht="12.75" customHeight="1">
      <c r="A1256" s="123" t="s">
        <v>12908</v>
      </c>
      <c r="B1256" s="123" t="s">
        <v>12909</v>
      </c>
      <c r="C1256" s="92">
        <v>5023.46</v>
      </c>
    </row>
    <row r="1257" spans="1:3" ht="12.75" customHeight="1">
      <c r="A1257" s="123" t="s">
        <v>12910</v>
      </c>
      <c r="B1257" s="123" t="s">
        <v>12911</v>
      </c>
      <c r="C1257" s="92">
        <v>5594.26</v>
      </c>
    </row>
    <row r="1258" spans="1:3" ht="12.75" customHeight="1">
      <c r="A1258" s="123" t="s">
        <v>12912</v>
      </c>
      <c r="B1258" s="123" t="s">
        <v>12913</v>
      </c>
      <c r="C1258" s="92">
        <v>5031.78</v>
      </c>
    </row>
    <row r="1259" spans="1:3" ht="12.75" customHeight="1">
      <c r="A1259" s="123" t="s">
        <v>12914</v>
      </c>
      <c r="B1259" s="123" t="s">
        <v>12915</v>
      </c>
      <c r="C1259" s="92">
        <v>2698.35</v>
      </c>
    </row>
    <row r="1260" spans="1:3" ht="12.75" customHeight="1">
      <c r="A1260" s="123" t="s">
        <v>12916</v>
      </c>
      <c r="B1260" s="123" t="s">
        <v>12917</v>
      </c>
      <c r="C1260" s="92">
        <v>3019.88</v>
      </c>
    </row>
    <row r="1261" spans="1:3" ht="12.75" customHeight="1">
      <c r="A1261" s="123" t="s">
        <v>12918</v>
      </c>
      <c r="B1261" s="123" t="s">
        <v>12919</v>
      </c>
      <c r="C1261" s="92">
        <v>3673.39</v>
      </c>
    </row>
    <row r="1262" spans="1:3" ht="12.75" customHeight="1">
      <c r="A1262" s="123" t="s">
        <v>12920</v>
      </c>
      <c r="B1262" s="123" t="s">
        <v>12921</v>
      </c>
      <c r="C1262" s="92">
        <v>5199.66</v>
      </c>
    </row>
    <row r="1263" spans="1:3" ht="12.75" customHeight="1">
      <c r="A1263" s="123" t="s">
        <v>12922</v>
      </c>
      <c r="B1263" s="123" t="s">
        <v>12923</v>
      </c>
      <c r="C1263" s="92">
        <v>4557.45</v>
      </c>
    </row>
    <row r="1264" spans="1:3" ht="12.75" customHeight="1">
      <c r="A1264" s="123" t="s">
        <v>12924</v>
      </c>
      <c r="B1264" s="123" t="s">
        <v>12925</v>
      </c>
      <c r="C1264" s="92">
        <v>3268.9</v>
      </c>
    </row>
    <row r="1265" spans="1:3" ht="12.75" customHeight="1">
      <c r="A1265" s="123" t="s">
        <v>12926</v>
      </c>
      <c r="B1265" s="123" t="s">
        <v>12927</v>
      </c>
      <c r="C1265" s="92">
        <v>3457.51</v>
      </c>
    </row>
    <row r="1266" spans="1:3" ht="12.75" customHeight="1">
      <c r="A1266" s="123" t="s">
        <v>12928</v>
      </c>
      <c r="B1266" s="123" t="s">
        <v>12929</v>
      </c>
      <c r="C1266" s="92">
        <v>4970.9799999999996</v>
      </c>
    </row>
    <row r="1267" spans="1:3" ht="12.75" customHeight="1">
      <c r="A1267" s="123" t="s">
        <v>12930</v>
      </c>
      <c r="B1267" s="123" t="s">
        <v>12931</v>
      </c>
      <c r="C1267" s="92">
        <v>5446.63</v>
      </c>
    </row>
    <row r="1268" spans="1:3" ht="12.75" customHeight="1">
      <c r="A1268" s="123" t="s">
        <v>12932</v>
      </c>
      <c r="B1268" s="123" t="s">
        <v>12933</v>
      </c>
      <c r="C1268" s="92">
        <v>6466.39</v>
      </c>
    </row>
    <row r="1269" spans="1:3" ht="12.75" customHeight="1">
      <c r="A1269" s="123" t="s">
        <v>12934</v>
      </c>
      <c r="B1269" s="123" t="s">
        <v>12935</v>
      </c>
      <c r="C1269" s="92">
        <v>6839.23</v>
      </c>
    </row>
    <row r="1270" spans="1:3" ht="12.75" customHeight="1">
      <c r="A1270" s="123" t="s">
        <v>12936</v>
      </c>
      <c r="B1270" s="123" t="s">
        <v>12937</v>
      </c>
      <c r="C1270" s="92">
        <v>3714.89</v>
      </c>
    </row>
    <row r="1271" spans="1:3" ht="12.75" customHeight="1">
      <c r="A1271" s="123" t="s">
        <v>12938</v>
      </c>
      <c r="B1271" s="123" t="s">
        <v>12939</v>
      </c>
      <c r="C1271" s="92">
        <v>5366.21</v>
      </c>
    </row>
    <row r="1272" spans="1:3" ht="12.75" customHeight="1">
      <c r="A1272" s="123" t="s">
        <v>12940</v>
      </c>
      <c r="B1272" s="123" t="s">
        <v>12941</v>
      </c>
      <c r="C1272" s="92">
        <v>4552.43</v>
      </c>
    </row>
    <row r="1273" spans="1:3" ht="12.75" customHeight="1">
      <c r="A1273" s="123" t="s">
        <v>12942</v>
      </c>
      <c r="B1273" s="123" t="s">
        <v>12943</v>
      </c>
      <c r="C1273" s="92">
        <v>4525.63</v>
      </c>
    </row>
    <row r="1274" spans="1:3" ht="12.75" customHeight="1">
      <c r="A1274" s="123" t="s">
        <v>12944</v>
      </c>
      <c r="B1274" s="123" t="s">
        <v>12945</v>
      </c>
      <c r="C1274" s="92">
        <v>4786.05</v>
      </c>
    </row>
    <row r="1275" spans="1:3" ht="12.75" customHeight="1">
      <c r="A1275" s="123" t="s">
        <v>12946</v>
      </c>
      <c r="B1275" s="123" t="s">
        <v>12947</v>
      </c>
      <c r="C1275" s="92">
        <v>3524.3</v>
      </c>
    </row>
    <row r="1276" spans="1:3" ht="12.75" customHeight="1">
      <c r="A1276" s="123" t="s">
        <v>12948</v>
      </c>
      <c r="B1276" s="123" t="s">
        <v>12949</v>
      </c>
      <c r="C1276" s="92">
        <v>4342.1400000000003</v>
      </c>
    </row>
    <row r="1277" spans="1:3" ht="12.75" customHeight="1">
      <c r="A1277" s="123" t="s">
        <v>12950</v>
      </c>
      <c r="B1277" s="123" t="s">
        <v>12951</v>
      </c>
      <c r="C1277" s="92">
        <v>5435.41</v>
      </c>
    </row>
    <row r="1278" spans="1:3" ht="12.75" customHeight="1">
      <c r="A1278" s="123" t="s">
        <v>12952</v>
      </c>
      <c r="B1278" s="123" t="s">
        <v>12953</v>
      </c>
      <c r="C1278" s="92">
        <v>7049.62</v>
      </c>
    </row>
    <row r="1279" spans="1:3" ht="12.75" customHeight="1">
      <c r="A1279" s="123" t="s">
        <v>12954</v>
      </c>
      <c r="B1279" s="123" t="s">
        <v>12955</v>
      </c>
      <c r="C1279" s="92">
        <v>4966.71</v>
      </c>
    </row>
    <row r="1280" spans="1:3" ht="12.75" customHeight="1">
      <c r="A1280" s="123" t="s">
        <v>12956</v>
      </c>
      <c r="B1280" s="123" t="s">
        <v>12957</v>
      </c>
      <c r="C1280" s="92">
        <v>2409.88</v>
      </c>
    </row>
    <row r="1281" spans="1:3" ht="12.75" customHeight="1">
      <c r="A1281" s="123" t="s">
        <v>12958</v>
      </c>
      <c r="B1281" s="123" t="s">
        <v>12959</v>
      </c>
      <c r="C1281" s="92">
        <v>3466.75</v>
      </c>
    </row>
    <row r="1282" spans="1:3" ht="12.75" customHeight="1">
      <c r="A1282" s="123" t="s">
        <v>12960</v>
      </c>
      <c r="B1282" s="123" t="s">
        <v>12961</v>
      </c>
      <c r="C1282" s="92">
        <v>3145.08</v>
      </c>
    </row>
    <row r="1283" spans="1:3" ht="13.5" customHeight="1">
      <c r="A1283" s="123" t="s">
        <v>12962</v>
      </c>
      <c r="B1283" s="123" t="s">
        <v>12963</v>
      </c>
      <c r="C1283" s="92">
        <v>4752.1899999999996</v>
      </c>
    </row>
    <row r="1284" spans="1:3" ht="13.5" customHeight="1">
      <c r="A1284" s="123" t="s">
        <v>12964</v>
      </c>
      <c r="B1284" s="123" t="s">
        <v>12965</v>
      </c>
      <c r="C1284" s="92">
        <v>5428.49</v>
      </c>
    </row>
    <row r="1285" spans="1:3" ht="13.5" customHeight="1">
      <c r="A1285" s="123" t="s">
        <v>12966</v>
      </c>
      <c r="B1285" s="123" t="s">
        <v>12967</v>
      </c>
      <c r="C1285" s="92">
        <v>5140.5</v>
      </c>
    </row>
    <row r="1286" spans="1:3" ht="13.5" customHeight="1">
      <c r="A1286" s="123" t="s">
        <v>12968</v>
      </c>
      <c r="B1286" s="123" t="s">
        <v>12969</v>
      </c>
      <c r="C1286" s="92">
        <v>4524.18</v>
      </c>
    </row>
    <row r="1287" spans="1:3" ht="13.5" customHeight="1">
      <c r="A1287" s="123" t="s">
        <v>12970</v>
      </c>
      <c r="B1287" s="123" t="s">
        <v>12971</v>
      </c>
      <c r="C1287" s="92">
        <v>4534.3900000000003</v>
      </c>
    </row>
    <row r="1288" spans="1:3" ht="13.5" customHeight="1">
      <c r="A1288" s="123" t="s">
        <v>12972</v>
      </c>
      <c r="B1288" s="123" t="s">
        <v>12973</v>
      </c>
      <c r="C1288" s="92">
        <v>3890.58</v>
      </c>
    </row>
    <row r="1289" spans="1:3" ht="13.5" customHeight="1">
      <c r="A1289" s="123" t="s">
        <v>12974</v>
      </c>
      <c r="B1289" s="123" t="s">
        <v>12975</v>
      </c>
      <c r="C1289" s="92">
        <v>4703.32</v>
      </c>
    </row>
    <row r="1290" spans="1:3" ht="13.5" customHeight="1">
      <c r="A1290" s="123" t="s">
        <v>12976</v>
      </c>
      <c r="B1290" s="123" t="s">
        <v>12977</v>
      </c>
      <c r="C1290" s="92">
        <v>2326.0700000000002</v>
      </c>
    </row>
    <row r="1291" spans="1:3" ht="13.5" customHeight="1">
      <c r="A1291" s="123" t="s">
        <v>12978</v>
      </c>
      <c r="B1291" s="123" t="s">
        <v>12979</v>
      </c>
      <c r="C1291" s="92">
        <v>4731.8599999999997</v>
      </c>
    </row>
    <row r="1292" spans="1:3" ht="13.5" customHeight="1">
      <c r="A1292" s="123" t="s">
        <v>12980</v>
      </c>
      <c r="B1292" s="123" t="s">
        <v>12981</v>
      </c>
      <c r="C1292" s="92">
        <v>4703.32</v>
      </c>
    </row>
    <row r="1293" spans="1:3" ht="13.5" customHeight="1">
      <c r="A1293" s="123" t="s">
        <v>12982</v>
      </c>
      <c r="B1293" s="123" t="s">
        <v>12983</v>
      </c>
      <c r="C1293" s="92">
        <v>3780.65</v>
      </c>
    </row>
    <row r="1294" spans="1:3" ht="13.5" customHeight="1">
      <c r="A1294" s="123" t="s">
        <v>12984</v>
      </c>
      <c r="B1294" s="123" t="s">
        <v>12985</v>
      </c>
      <c r="C1294" s="92">
        <v>5854.24</v>
      </c>
    </row>
    <row r="1295" spans="1:3" ht="13.5" customHeight="1">
      <c r="A1295" s="123" t="s">
        <v>12986</v>
      </c>
      <c r="B1295" s="123" t="s">
        <v>12987</v>
      </c>
      <c r="C1295" s="92">
        <v>6493.1</v>
      </c>
    </row>
    <row r="1296" spans="1:3" ht="13.5" customHeight="1">
      <c r="A1296" s="123" t="s">
        <v>12988</v>
      </c>
      <c r="B1296" s="123" t="s">
        <v>12989</v>
      </c>
      <c r="C1296" s="92">
        <v>4550.99</v>
      </c>
    </row>
    <row r="1297" spans="1:3" ht="13.5" customHeight="1">
      <c r="A1297" s="123" t="s">
        <v>12990</v>
      </c>
      <c r="B1297" s="123" t="s">
        <v>12991</v>
      </c>
      <c r="C1297" s="92">
        <v>3850.95</v>
      </c>
    </row>
    <row r="1298" spans="1:3" ht="13.5" customHeight="1">
      <c r="A1298" s="123" t="s">
        <v>12992</v>
      </c>
      <c r="B1298" s="123" t="s">
        <v>12993</v>
      </c>
      <c r="C1298" s="92">
        <v>6612.98</v>
      </c>
    </row>
    <row r="1299" spans="1:3" ht="13.5" customHeight="1">
      <c r="A1299" s="123" t="s">
        <v>12994</v>
      </c>
      <c r="B1299" s="123" t="s">
        <v>12995</v>
      </c>
      <c r="C1299" s="92">
        <v>7573.55</v>
      </c>
    </row>
    <row r="1300" spans="1:3" ht="13.5" customHeight="1">
      <c r="A1300" s="123" t="s">
        <v>12996</v>
      </c>
      <c r="B1300" s="123" t="s">
        <v>12997</v>
      </c>
      <c r="C1300" s="92">
        <v>3084.01</v>
      </c>
    </row>
    <row r="1301" spans="1:3" ht="13.5" customHeight="1">
      <c r="A1301" s="123" t="s">
        <v>12998</v>
      </c>
      <c r="B1301" s="123" t="s">
        <v>12999</v>
      </c>
      <c r="C1301" s="92">
        <v>3456.03</v>
      </c>
    </row>
    <row r="1302" spans="1:3" ht="13.5" customHeight="1">
      <c r="A1302" s="123" t="s">
        <v>13000</v>
      </c>
      <c r="B1302" s="123" t="s">
        <v>13001</v>
      </c>
      <c r="C1302" s="92">
        <v>5611.04</v>
      </c>
    </row>
    <row r="1303" spans="1:3" ht="13.5" customHeight="1">
      <c r="A1303" s="123" t="s">
        <v>13002</v>
      </c>
      <c r="B1303" s="123" t="s">
        <v>13003</v>
      </c>
      <c r="C1303" s="92">
        <v>7573.55</v>
      </c>
    </row>
    <row r="1304" spans="1:3" ht="13.5" customHeight="1">
      <c r="A1304" s="123" t="s">
        <v>13004</v>
      </c>
      <c r="B1304" s="123" t="s">
        <v>13005</v>
      </c>
      <c r="C1304" s="92">
        <v>5150.5600000000004</v>
      </c>
    </row>
    <row r="1305" spans="1:3" ht="13.5" customHeight="1">
      <c r="A1305" s="123" t="s">
        <v>13006</v>
      </c>
      <c r="B1305" s="123" t="s">
        <v>13007</v>
      </c>
      <c r="C1305" s="92">
        <v>2925.43</v>
      </c>
    </row>
    <row r="1306" spans="1:3" ht="13.5" customHeight="1">
      <c r="A1306" s="123" t="s">
        <v>13008</v>
      </c>
      <c r="B1306" s="123" t="s">
        <v>13009</v>
      </c>
      <c r="C1306" s="92">
        <v>2737.65</v>
      </c>
    </row>
    <row r="1307" spans="1:3" ht="13.5" customHeight="1">
      <c r="A1307" s="123" t="s">
        <v>13010</v>
      </c>
      <c r="B1307" s="123" t="s">
        <v>13011</v>
      </c>
      <c r="C1307" s="92">
        <v>5524.79</v>
      </c>
    </row>
    <row r="1308" spans="1:3" ht="13.5" customHeight="1">
      <c r="A1308" s="123" t="s">
        <v>13012</v>
      </c>
      <c r="B1308" s="123" t="s">
        <v>13013</v>
      </c>
      <c r="C1308" s="92">
        <v>5377.89</v>
      </c>
    </row>
  </sheetData>
  <autoFilter ref="A2:C1282" xr:uid="{AD4AD5AF-E077-4261-96FA-BA87A5F15A75}"/>
  <conditionalFormatting sqref="A1 A3:A1048576">
    <cfRule type="duplicateValues" dxfId="204" priority="3"/>
  </conditionalFormatting>
  <conditionalFormatting sqref="A2">
    <cfRule type="duplicateValues" dxfId="203" priority="1"/>
    <cfRule type="duplicateValues" dxfId="202" priority="2"/>
  </conditionalFormatting>
  <pageMargins left="0.7" right="0.7" top="0.75" bottom="0.75" header="0.3" footer="0.3"/>
  <pageSetup fitToHeight="0" orientation="portrait" r:id="rId1"/>
  <headerFooter>
    <oddFooter>&amp;F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839B-7782-495E-B3B4-C8F0AAF5BE8C}">
  <sheetPr>
    <tabColor theme="2" tint="-9.9978637043366805E-2"/>
  </sheetPr>
  <dimension ref="A1:C2886"/>
  <sheetViews>
    <sheetView topLeftCell="A2413" workbookViewId="0">
      <selection activeCell="C8" sqref="C8"/>
    </sheetView>
  </sheetViews>
  <sheetFormatPr defaultRowHeight="14.5"/>
  <cols>
    <col min="1" max="1" width="24.453125" bestFit="1" customWidth="1"/>
    <col min="2" max="2" width="33.54296875" bestFit="1" customWidth="1"/>
    <col min="3" max="3" width="18.54296875" style="396" customWidth="1"/>
  </cols>
  <sheetData>
    <row r="1" spans="1:3" ht="15.75" customHeight="1">
      <c r="A1" s="400" t="s">
        <v>0</v>
      </c>
      <c r="B1" s="400" t="s">
        <v>1</v>
      </c>
      <c r="C1" s="399" t="s">
        <v>209</v>
      </c>
    </row>
    <row r="2" spans="1:3">
      <c r="A2" s="398">
        <v>2020277</v>
      </c>
      <c r="B2" s="86" t="s">
        <v>21972</v>
      </c>
      <c r="C2" s="397">
        <v>314</v>
      </c>
    </row>
    <row r="3" spans="1:3">
      <c r="A3" s="86" t="s">
        <v>21971</v>
      </c>
      <c r="B3" s="86" t="s">
        <v>21970</v>
      </c>
      <c r="C3" s="397">
        <v>304</v>
      </c>
    </row>
    <row r="4" spans="1:3">
      <c r="A4" s="86" t="s">
        <v>21969</v>
      </c>
      <c r="B4" s="86" t="s">
        <v>21968</v>
      </c>
      <c r="C4" s="397">
        <v>405</v>
      </c>
    </row>
    <row r="5" spans="1:3">
      <c r="A5" s="86" t="s">
        <v>21967</v>
      </c>
      <c r="B5" s="86" t="s">
        <v>21966</v>
      </c>
      <c r="C5" s="397">
        <v>54</v>
      </c>
    </row>
    <row r="6" spans="1:3">
      <c r="A6" s="86" t="s">
        <v>21965</v>
      </c>
      <c r="B6" s="86" t="s">
        <v>21964</v>
      </c>
      <c r="C6" s="397">
        <v>54</v>
      </c>
    </row>
    <row r="7" spans="1:3">
      <c r="A7" s="86" t="s">
        <v>21963</v>
      </c>
      <c r="B7" s="86" t="s">
        <v>21962</v>
      </c>
      <c r="C7" s="397">
        <v>607</v>
      </c>
    </row>
    <row r="8" spans="1:3">
      <c r="A8" s="86" t="s">
        <v>21961</v>
      </c>
      <c r="B8" s="86" t="s">
        <v>21960</v>
      </c>
      <c r="C8" s="397">
        <v>54</v>
      </c>
    </row>
    <row r="9" spans="1:3">
      <c r="A9" s="86" t="s">
        <v>21959</v>
      </c>
      <c r="B9" s="86" t="s">
        <v>21957</v>
      </c>
      <c r="C9" s="397">
        <v>54</v>
      </c>
    </row>
    <row r="10" spans="1:3">
      <c r="A10" s="86" t="s">
        <v>21958</v>
      </c>
      <c r="B10" s="86" t="s">
        <v>21957</v>
      </c>
      <c r="C10" s="397">
        <v>54</v>
      </c>
    </row>
    <row r="11" spans="1:3">
      <c r="A11" s="86" t="s">
        <v>21956</v>
      </c>
      <c r="B11" s="86" t="s">
        <v>21955</v>
      </c>
      <c r="C11" s="397">
        <v>607</v>
      </c>
    </row>
    <row r="12" spans="1:3">
      <c r="A12" s="86" t="s">
        <v>21954</v>
      </c>
      <c r="B12" s="86" t="s">
        <v>21953</v>
      </c>
      <c r="C12" s="397">
        <v>405</v>
      </c>
    </row>
    <row r="13" spans="1:3">
      <c r="A13" s="86" t="s">
        <v>21952</v>
      </c>
      <c r="B13" s="86" t="s">
        <v>21951</v>
      </c>
      <c r="C13" s="397">
        <v>172</v>
      </c>
    </row>
    <row r="14" spans="1:3">
      <c r="A14" s="86" t="s">
        <v>21950</v>
      </c>
      <c r="B14" s="86" t="s">
        <v>21949</v>
      </c>
      <c r="C14" s="397">
        <v>1295</v>
      </c>
    </row>
    <row r="15" spans="1:3">
      <c r="A15" s="86" t="s">
        <v>21948</v>
      </c>
      <c r="B15" s="86" t="s">
        <v>21947</v>
      </c>
      <c r="C15" s="397">
        <v>172</v>
      </c>
    </row>
    <row r="16" spans="1:3">
      <c r="A16" s="86" t="s">
        <v>21946</v>
      </c>
      <c r="B16" s="86" t="s">
        <v>21945</v>
      </c>
      <c r="C16" s="397">
        <v>172</v>
      </c>
    </row>
    <row r="17" spans="1:3">
      <c r="A17" s="86" t="s">
        <v>21944</v>
      </c>
      <c r="B17" s="86" t="s">
        <v>21943</v>
      </c>
      <c r="C17" s="397">
        <v>172</v>
      </c>
    </row>
    <row r="18" spans="1:3">
      <c r="A18" s="86" t="s">
        <v>21942</v>
      </c>
      <c r="B18" s="86" t="s">
        <v>21941</v>
      </c>
      <c r="C18" s="397">
        <v>172</v>
      </c>
    </row>
    <row r="19" spans="1:3">
      <c r="A19" s="86" t="s">
        <v>21940</v>
      </c>
      <c r="B19" s="86" t="s">
        <v>21939</v>
      </c>
      <c r="C19" s="397">
        <v>164</v>
      </c>
    </row>
    <row r="20" spans="1:3">
      <c r="A20" s="86" t="s">
        <v>21938</v>
      </c>
      <c r="B20" s="86" t="s">
        <v>21937</v>
      </c>
      <c r="C20" s="397">
        <v>46</v>
      </c>
    </row>
    <row r="21" spans="1:3">
      <c r="A21" s="86" t="s">
        <v>21936</v>
      </c>
      <c r="B21" s="86" t="s">
        <v>21533</v>
      </c>
      <c r="C21" s="397">
        <v>225</v>
      </c>
    </row>
    <row r="22" spans="1:3">
      <c r="A22" s="86" t="s">
        <v>21935</v>
      </c>
      <c r="B22" s="86" t="s">
        <v>21934</v>
      </c>
      <c r="C22" s="397">
        <v>243</v>
      </c>
    </row>
    <row r="23" spans="1:3">
      <c r="A23" s="86" t="s">
        <v>21933</v>
      </c>
      <c r="B23" s="86" t="s">
        <v>21932</v>
      </c>
      <c r="C23" s="397">
        <v>89</v>
      </c>
    </row>
    <row r="24" spans="1:3">
      <c r="A24" s="86" t="s">
        <v>21931</v>
      </c>
      <c r="B24" s="86" t="s">
        <v>21930</v>
      </c>
      <c r="C24" s="397">
        <v>42</v>
      </c>
    </row>
    <row r="25" spans="1:3">
      <c r="A25" s="86" t="s">
        <v>21929</v>
      </c>
      <c r="B25" s="86" t="s">
        <v>21918</v>
      </c>
      <c r="C25" s="397">
        <v>138</v>
      </c>
    </row>
    <row r="26" spans="1:3">
      <c r="A26" s="86" t="s">
        <v>21928</v>
      </c>
      <c r="B26" s="86" t="s">
        <v>21927</v>
      </c>
      <c r="C26" s="397">
        <v>781</v>
      </c>
    </row>
    <row r="27" spans="1:3">
      <c r="A27" s="86" t="s">
        <v>21926</v>
      </c>
      <c r="B27" s="86" t="s">
        <v>21918</v>
      </c>
      <c r="C27" s="397">
        <v>138</v>
      </c>
    </row>
    <row r="28" spans="1:3">
      <c r="A28" s="86" t="s">
        <v>21925</v>
      </c>
      <c r="B28" s="86" t="s">
        <v>21918</v>
      </c>
      <c r="C28" s="397">
        <v>138</v>
      </c>
    </row>
    <row r="29" spans="1:3">
      <c r="A29" s="86" t="s">
        <v>21924</v>
      </c>
      <c r="B29" s="86" t="s">
        <v>21918</v>
      </c>
      <c r="C29" s="397">
        <v>138</v>
      </c>
    </row>
    <row r="30" spans="1:3">
      <c r="A30" s="86" t="s">
        <v>21923</v>
      </c>
      <c r="B30" s="86" t="s">
        <v>21916</v>
      </c>
      <c r="C30" s="397">
        <v>183</v>
      </c>
    </row>
    <row r="31" spans="1:3">
      <c r="A31" s="86" t="s">
        <v>21922</v>
      </c>
      <c r="B31" s="86" t="s">
        <v>21916</v>
      </c>
      <c r="C31" s="397">
        <v>183</v>
      </c>
    </row>
    <row r="32" spans="1:3">
      <c r="A32" s="86" t="s">
        <v>21921</v>
      </c>
      <c r="B32" s="86" t="s">
        <v>21916</v>
      </c>
      <c r="C32" s="397">
        <v>183</v>
      </c>
    </row>
    <row r="33" spans="1:3">
      <c r="A33" s="86" t="s">
        <v>21920</v>
      </c>
      <c r="B33" s="86" t="s">
        <v>21916</v>
      </c>
      <c r="C33" s="397">
        <v>183</v>
      </c>
    </row>
    <row r="34" spans="1:3">
      <c r="A34" s="86" t="s">
        <v>21919</v>
      </c>
      <c r="B34" s="86" t="s">
        <v>21918</v>
      </c>
      <c r="C34" s="397">
        <v>115</v>
      </c>
    </row>
    <row r="35" spans="1:3">
      <c r="A35" s="86" t="s">
        <v>21917</v>
      </c>
      <c r="B35" s="86" t="s">
        <v>21916</v>
      </c>
      <c r="C35" s="397">
        <v>133</v>
      </c>
    </row>
    <row r="36" spans="1:3">
      <c r="A36" s="86" t="s">
        <v>21915</v>
      </c>
      <c r="B36" s="86" t="s">
        <v>21911</v>
      </c>
      <c r="C36" s="397">
        <v>692</v>
      </c>
    </row>
    <row r="37" spans="1:3">
      <c r="A37" s="86" t="s">
        <v>21914</v>
      </c>
      <c r="B37" s="86" t="s">
        <v>21911</v>
      </c>
      <c r="C37" s="397">
        <v>692</v>
      </c>
    </row>
    <row r="38" spans="1:3">
      <c r="A38" s="86" t="s">
        <v>21913</v>
      </c>
      <c r="B38" s="86" t="s">
        <v>21911</v>
      </c>
      <c r="C38" s="397">
        <v>692</v>
      </c>
    </row>
    <row r="39" spans="1:3">
      <c r="A39" s="86" t="s">
        <v>21912</v>
      </c>
      <c r="B39" s="86" t="s">
        <v>21911</v>
      </c>
      <c r="C39" s="397">
        <v>692</v>
      </c>
    </row>
    <row r="40" spans="1:3">
      <c r="A40" s="86" t="s">
        <v>21910</v>
      </c>
      <c r="B40" s="86" t="s">
        <v>21909</v>
      </c>
      <c r="C40" s="397">
        <v>692</v>
      </c>
    </row>
    <row r="41" spans="1:3">
      <c r="A41" s="86" t="s">
        <v>21908</v>
      </c>
      <c r="B41" s="86" t="s">
        <v>21907</v>
      </c>
      <c r="C41" s="397">
        <v>104</v>
      </c>
    </row>
    <row r="42" spans="1:3">
      <c r="A42" s="86" t="s">
        <v>21906</v>
      </c>
      <c r="B42" s="86" t="s">
        <v>21905</v>
      </c>
      <c r="C42" s="397">
        <v>113</v>
      </c>
    </row>
    <row r="43" spans="1:3">
      <c r="A43" s="86" t="s">
        <v>21904</v>
      </c>
      <c r="B43" s="86" t="s">
        <v>21903</v>
      </c>
      <c r="C43" s="397">
        <v>392</v>
      </c>
    </row>
    <row r="44" spans="1:3">
      <c r="A44" s="86" t="s">
        <v>21902</v>
      </c>
      <c r="B44" s="86" t="s">
        <v>21898</v>
      </c>
      <c r="C44" s="397">
        <v>392</v>
      </c>
    </row>
    <row r="45" spans="1:3">
      <c r="A45" s="86" t="s">
        <v>21901</v>
      </c>
      <c r="B45" s="86" t="s">
        <v>21900</v>
      </c>
      <c r="C45" s="397">
        <v>392</v>
      </c>
    </row>
    <row r="46" spans="1:3">
      <c r="A46" s="86" t="s">
        <v>21899</v>
      </c>
      <c r="B46" s="86" t="s">
        <v>21898</v>
      </c>
      <c r="C46" s="397">
        <v>392</v>
      </c>
    </row>
    <row r="47" spans="1:3">
      <c r="A47" s="86" t="s">
        <v>21897</v>
      </c>
      <c r="B47" s="86" t="s">
        <v>21896</v>
      </c>
      <c r="C47" s="397">
        <v>392</v>
      </c>
    </row>
    <row r="48" spans="1:3">
      <c r="A48" s="86" t="s">
        <v>21895</v>
      </c>
      <c r="B48" s="86" t="s">
        <v>21893</v>
      </c>
      <c r="C48" s="397">
        <v>392</v>
      </c>
    </row>
    <row r="49" spans="1:3">
      <c r="A49" s="86" t="s">
        <v>21894</v>
      </c>
      <c r="B49" s="86" t="s">
        <v>21893</v>
      </c>
      <c r="C49" s="397">
        <v>392</v>
      </c>
    </row>
    <row r="50" spans="1:3">
      <c r="A50" s="86" t="s">
        <v>21892</v>
      </c>
      <c r="B50" s="86" t="s">
        <v>21889</v>
      </c>
      <c r="C50" s="397">
        <v>410</v>
      </c>
    </row>
    <row r="51" spans="1:3">
      <c r="A51" s="86" t="s">
        <v>21891</v>
      </c>
      <c r="B51" s="86" t="s">
        <v>21887</v>
      </c>
      <c r="C51" s="397">
        <v>410</v>
      </c>
    </row>
    <row r="52" spans="1:3">
      <c r="A52" s="86" t="s">
        <v>21890</v>
      </c>
      <c r="B52" s="86" t="s">
        <v>21889</v>
      </c>
      <c r="C52" s="397">
        <v>410</v>
      </c>
    </row>
    <row r="53" spans="1:3">
      <c r="A53" s="86" t="s">
        <v>21888</v>
      </c>
      <c r="B53" s="86" t="s">
        <v>21887</v>
      </c>
      <c r="C53" s="397">
        <v>410</v>
      </c>
    </row>
    <row r="54" spans="1:3">
      <c r="A54" s="86" t="s">
        <v>21886</v>
      </c>
      <c r="B54" s="86" t="s">
        <v>21885</v>
      </c>
      <c r="C54" s="397">
        <v>410</v>
      </c>
    </row>
    <row r="55" spans="1:3">
      <c r="A55" s="86" t="s">
        <v>21884</v>
      </c>
      <c r="B55" s="86" t="s">
        <v>21882</v>
      </c>
      <c r="C55" s="397">
        <v>410</v>
      </c>
    </row>
    <row r="56" spans="1:3">
      <c r="A56" s="86" t="s">
        <v>21883</v>
      </c>
      <c r="B56" s="86" t="s">
        <v>21882</v>
      </c>
      <c r="C56" s="397">
        <v>410</v>
      </c>
    </row>
    <row r="57" spans="1:3">
      <c r="A57" s="86" t="s">
        <v>21881</v>
      </c>
      <c r="B57" s="86" t="s">
        <v>21880</v>
      </c>
      <c r="C57" s="397">
        <v>1087</v>
      </c>
    </row>
    <row r="58" spans="1:3">
      <c r="A58" s="86" t="s">
        <v>21879</v>
      </c>
      <c r="B58" s="86" t="s">
        <v>21878</v>
      </c>
      <c r="C58" s="397">
        <v>56</v>
      </c>
    </row>
    <row r="59" spans="1:3">
      <c r="A59" s="86" t="s">
        <v>21877</v>
      </c>
      <c r="B59" s="86" t="s">
        <v>21876</v>
      </c>
      <c r="C59" s="397">
        <v>86</v>
      </c>
    </row>
    <row r="60" spans="1:3">
      <c r="A60" s="86" t="s">
        <v>21875</v>
      </c>
      <c r="B60" s="86" t="s">
        <v>21874</v>
      </c>
      <c r="C60" s="397">
        <v>86</v>
      </c>
    </row>
    <row r="61" spans="1:3">
      <c r="A61" s="86" t="s">
        <v>21873</v>
      </c>
      <c r="B61" s="86" t="s">
        <v>21872</v>
      </c>
      <c r="C61" s="397">
        <v>171</v>
      </c>
    </row>
    <row r="62" spans="1:3">
      <c r="A62" s="86" t="s">
        <v>21871</v>
      </c>
      <c r="B62" s="86" t="s">
        <v>21870</v>
      </c>
      <c r="C62" s="397">
        <v>50</v>
      </c>
    </row>
    <row r="63" spans="1:3">
      <c r="A63" s="86" t="s">
        <v>21869</v>
      </c>
      <c r="B63" s="86" t="s">
        <v>21868</v>
      </c>
      <c r="C63" s="397">
        <v>473</v>
      </c>
    </row>
    <row r="64" spans="1:3">
      <c r="A64" s="86" t="s">
        <v>21867</v>
      </c>
      <c r="B64" s="86" t="s">
        <v>21866</v>
      </c>
      <c r="C64" s="397">
        <v>473</v>
      </c>
    </row>
    <row r="65" spans="1:3">
      <c r="A65" s="86" t="s">
        <v>21865</v>
      </c>
      <c r="B65" s="86" t="s">
        <v>21864</v>
      </c>
      <c r="C65" s="397">
        <v>473</v>
      </c>
    </row>
    <row r="66" spans="1:3">
      <c r="A66" s="86" t="s">
        <v>21863</v>
      </c>
      <c r="B66" s="86" t="s">
        <v>21862</v>
      </c>
      <c r="C66" s="397">
        <v>519</v>
      </c>
    </row>
    <row r="67" spans="1:3">
      <c r="A67" s="86" t="s">
        <v>21861</v>
      </c>
      <c r="B67" s="86" t="s">
        <v>21860</v>
      </c>
      <c r="C67" s="397">
        <v>519</v>
      </c>
    </row>
    <row r="68" spans="1:3">
      <c r="A68" s="86" t="s">
        <v>21859</v>
      </c>
      <c r="B68" s="86" t="s">
        <v>21858</v>
      </c>
      <c r="C68" s="397">
        <v>519</v>
      </c>
    </row>
    <row r="69" spans="1:3">
      <c r="A69" s="86" t="s">
        <v>21857</v>
      </c>
      <c r="B69" s="86" t="s">
        <v>21856</v>
      </c>
      <c r="C69" s="397">
        <v>333</v>
      </c>
    </row>
    <row r="70" spans="1:3">
      <c r="A70" s="86" t="s">
        <v>21855</v>
      </c>
      <c r="B70" s="86" t="s">
        <v>21854</v>
      </c>
      <c r="C70" s="397">
        <v>44</v>
      </c>
    </row>
    <row r="71" spans="1:3">
      <c r="A71" s="86" t="s">
        <v>21853</v>
      </c>
      <c r="B71" s="86" t="s">
        <v>21852</v>
      </c>
      <c r="C71" s="397">
        <v>31</v>
      </c>
    </row>
    <row r="72" spans="1:3">
      <c r="A72" s="86" t="s">
        <v>21851</v>
      </c>
      <c r="B72" s="86" t="s">
        <v>21850</v>
      </c>
      <c r="C72" s="397">
        <v>493</v>
      </c>
    </row>
    <row r="73" spans="1:3">
      <c r="A73" s="86" t="s">
        <v>21849</v>
      </c>
      <c r="B73" s="86" t="s">
        <v>21848</v>
      </c>
      <c r="C73" s="397">
        <v>3750</v>
      </c>
    </row>
    <row r="74" spans="1:3">
      <c r="A74" s="86" t="s">
        <v>21847</v>
      </c>
      <c r="B74" s="86" t="s">
        <v>21814</v>
      </c>
      <c r="C74" s="397">
        <v>123</v>
      </c>
    </row>
    <row r="75" spans="1:3">
      <c r="A75" s="86" t="s">
        <v>21846</v>
      </c>
      <c r="B75" s="86" t="s">
        <v>21845</v>
      </c>
      <c r="C75" s="397">
        <v>137</v>
      </c>
    </row>
    <row r="76" spans="1:3">
      <c r="A76" s="86" t="s">
        <v>21844</v>
      </c>
      <c r="B76" s="86" t="s">
        <v>21812</v>
      </c>
      <c r="C76" s="397">
        <v>123</v>
      </c>
    </row>
    <row r="77" spans="1:3">
      <c r="A77" s="86" t="s">
        <v>21843</v>
      </c>
      <c r="B77" s="86" t="s">
        <v>21842</v>
      </c>
      <c r="C77" s="397">
        <v>137</v>
      </c>
    </row>
    <row r="78" spans="1:3">
      <c r="A78" s="86" t="s">
        <v>21841</v>
      </c>
      <c r="B78" s="86" t="s">
        <v>21840</v>
      </c>
      <c r="C78" s="397">
        <v>137</v>
      </c>
    </row>
    <row r="79" spans="1:3">
      <c r="A79" s="86" t="s">
        <v>21839</v>
      </c>
      <c r="B79" s="86" t="s">
        <v>21810</v>
      </c>
      <c r="C79" s="397">
        <v>123</v>
      </c>
    </row>
    <row r="80" spans="1:3">
      <c r="A80" s="86" t="s">
        <v>21838</v>
      </c>
      <c r="B80" s="86" t="s">
        <v>21837</v>
      </c>
      <c r="C80" s="397">
        <v>137</v>
      </c>
    </row>
    <row r="81" spans="1:3">
      <c r="A81" s="86" t="s">
        <v>21836</v>
      </c>
      <c r="B81" s="86" t="s">
        <v>21835</v>
      </c>
      <c r="C81" s="397">
        <v>137</v>
      </c>
    </row>
    <row r="82" spans="1:3">
      <c r="A82" s="86" t="s">
        <v>21834</v>
      </c>
      <c r="B82" s="86" t="s">
        <v>21833</v>
      </c>
      <c r="C82" s="397">
        <v>137</v>
      </c>
    </row>
    <row r="83" spans="1:3">
      <c r="A83" s="86" t="s">
        <v>21832</v>
      </c>
      <c r="B83" s="86" t="s">
        <v>21808</v>
      </c>
      <c r="C83" s="397">
        <v>123</v>
      </c>
    </row>
    <row r="84" spans="1:3">
      <c r="A84" s="86" t="s">
        <v>21831</v>
      </c>
      <c r="B84" s="86" t="s">
        <v>21830</v>
      </c>
      <c r="C84" s="397">
        <v>137</v>
      </c>
    </row>
    <row r="85" spans="1:3">
      <c r="A85" s="86" t="s">
        <v>21829</v>
      </c>
      <c r="B85" s="86" t="s">
        <v>21828</v>
      </c>
      <c r="C85" s="397">
        <v>123</v>
      </c>
    </row>
    <row r="86" spans="1:3">
      <c r="A86" s="86" t="s">
        <v>21827</v>
      </c>
      <c r="B86" s="86" t="s">
        <v>21826</v>
      </c>
      <c r="C86" s="397">
        <v>137</v>
      </c>
    </row>
    <row r="87" spans="1:3">
      <c r="A87" s="86" t="s">
        <v>21825</v>
      </c>
      <c r="B87" s="86" t="s">
        <v>21824</v>
      </c>
      <c r="C87" s="397">
        <v>123</v>
      </c>
    </row>
    <row r="88" spans="1:3">
      <c r="A88" s="86" t="s">
        <v>21823</v>
      </c>
      <c r="B88" s="86" t="s">
        <v>21822</v>
      </c>
      <c r="C88" s="397">
        <v>137</v>
      </c>
    </row>
    <row r="89" spans="1:3">
      <c r="A89" s="86" t="s">
        <v>21821</v>
      </c>
      <c r="B89" s="86" t="s">
        <v>21820</v>
      </c>
      <c r="C89" s="397">
        <v>137</v>
      </c>
    </row>
    <row r="90" spans="1:3">
      <c r="A90" s="86" t="s">
        <v>21819</v>
      </c>
      <c r="B90" s="86" t="s">
        <v>21818</v>
      </c>
      <c r="C90" s="397">
        <v>15</v>
      </c>
    </row>
    <row r="91" spans="1:3">
      <c r="A91" s="86" t="s">
        <v>21817</v>
      </c>
      <c r="B91" s="86" t="s">
        <v>21816</v>
      </c>
      <c r="C91" s="397">
        <v>22</v>
      </c>
    </row>
    <row r="92" spans="1:3">
      <c r="A92" s="86" t="s">
        <v>21815</v>
      </c>
      <c r="B92" s="86" t="s">
        <v>21814</v>
      </c>
      <c r="C92" s="397">
        <v>123</v>
      </c>
    </row>
    <row r="93" spans="1:3">
      <c r="A93" s="86" t="s">
        <v>21813</v>
      </c>
      <c r="B93" s="86" t="s">
        <v>21812</v>
      </c>
      <c r="C93" s="397">
        <v>123</v>
      </c>
    </row>
    <row r="94" spans="1:3">
      <c r="A94" s="86" t="s">
        <v>21811</v>
      </c>
      <c r="B94" s="86" t="s">
        <v>21810</v>
      </c>
      <c r="C94" s="397">
        <v>123</v>
      </c>
    </row>
    <row r="95" spans="1:3">
      <c r="A95" s="86" t="s">
        <v>21809</v>
      </c>
      <c r="B95" s="86" t="s">
        <v>21808</v>
      </c>
      <c r="C95" s="397">
        <v>123</v>
      </c>
    </row>
    <row r="96" spans="1:3">
      <c r="A96" s="86" t="s">
        <v>21807</v>
      </c>
      <c r="B96" s="86" t="s">
        <v>21806</v>
      </c>
      <c r="C96" s="397">
        <v>137</v>
      </c>
    </row>
    <row r="97" spans="1:3">
      <c r="A97" s="86" t="s">
        <v>21805</v>
      </c>
      <c r="B97" s="86" t="s">
        <v>21804</v>
      </c>
      <c r="C97" s="397">
        <v>137</v>
      </c>
    </row>
    <row r="98" spans="1:3">
      <c r="A98" s="86" t="s">
        <v>21803</v>
      </c>
      <c r="B98" s="86" t="s">
        <v>21802</v>
      </c>
      <c r="C98" s="397">
        <v>137</v>
      </c>
    </row>
    <row r="99" spans="1:3">
      <c r="A99" s="86" t="s">
        <v>21801</v>
      </c>
      <c r="B99" s="86" t="s">
        <v>21800</v>
      </c>
      <c r="C99" s="397">
        <v>137</v>
      </c>
    </row>
    <row r="100" spans="1:3">
      <c r="A100" s="86" t="s">
        <v>21799</v>
      </c>
      <c r="B100" s="86" t="s">
        <v>21797</v>
      </c>
      <c r="C100" s="397">
        <v>137</v>
      </c>
    </row>
    <row r="101" spans="1:3">
      <c r="A101" s="86" t="s">
        <v>21798</v>
      </c>
      <c r="B101" s="86" t="s">
        <v>21797</v>
      </c>
      <c r="C101" s="397">
        <v>147</v>
      </c>
    </row>
    <row r="102" spans="1:3">
      <c r="A102" s="86" t="s">
        <v>21796</v>
      </c>
      <c r="B102" s="86" t="s">
        <v>21795</v>
      </c>
      <c r="C102" s="397">
        <v>15</v>
      </c>
    </row>
    <row r="103" spans="1:3">
      <c r="A103" s="86" t="s">
        <v>21794</v>
      </c>
      <c r="B103" s="86" t="s">
        <v>21793</v>
      </c>
      <c r="C103" s="397">
        <v>15</v>
      </c>
    </row>
    <row r="104" spans="1:3">
      <c r="A104" s="86" t="s">
        <v>21792</v>
      </c>
      <c r="B104" s="86" t="s">
        <v>21791</v>
      </c>
      <c r="C104" s="397">
        <v>15</v>
      </c>
    </row>
    <row r="105" spans="1:3">
      <c r="A105" s="86" t="s">
        <v>21790</v>
      </c>
      <c r="B105" s="86" t="s">
        <v>21789</v>
      </c>
      <c r="C105" s="397">
        <v>15</v>
      </c>
    </row>
    <row r="106" spans="1:3">
      <c r="A106" s="86" t="s">
        <v>21788</v>
      </c>
      <c r="B106" s="86" t="s">
        <v>21787</v>
      </c>
      <c r="C106" s="397">
        <v>15</v>
      </c>
    </row>
    <row r="107" spans="1:3">
      <c r="A107" s="86" t="s">
        <v>21786</v>
      </c>
      <c r="B107" s="86" t="s">
        <v>21785</v>
      </c>
      <c r="C107" s="397">
        <v>15</v>
      </c>
    </row>
    <row r="108" spans="1:3">
      <c r="A108" s="86" t="s">
        <v>21784</v>
      </c>
      <c r="B108" s="86" t="s">
        <v>21783</v>
      </c>
      <c r="C108" s="397">
        <v>20</v>
      </c>
    </row>
    <row r="109" spans="1:3">
      <c r="A109" s="86" t="s">
        <v>21782</v>
      </c>
      <c r="B109" s="86" t="s">
        <v>21775</v>
      </c>
      <c r="C109" s="397">
        <v>141</v>
      </c>
    </row>
    <row r="110" spans="1:3">
      <c r="A110" s="86" t="s">
        <v>21781</v>
      </c>
      <c r="B110" s="86" t="s">
        <v>21775</v>
      </c>
      <c r="C110" s="397">
        <v>141</v>
      </c>
    </row>
    <row r="111" spans="1:3">
      <c r="A111" s="86" t="s">
        <v>21780</v>
      </c>
      <c r="B111" s="86" t="s">
        <v>21775</v>
      </c>
      <c r="C111" s="397">
        <v>141</v>
      </c>
    </row>
    <row r="112" spans="1:3">
      <c r="A112" s="86" t="s">
        <v>21779</v>
      </c>
      <c r="B112" s="86" t="s">
        <v>21775</v>
      </c>
      <c r="C112" s="397">
        <v>141</v>
      </c>
    </row>
    <row r="113" spans="1:3">
      <c r="A113" s="86" t="s">
        <v>21778</v>
      </c>
      <c r="B113" s="86" t="s">
        <v>21775</v>
      </c>
      <c r="C113" s="397">
        <v>141</v>
      </c>
    </row>
    <row r="114" spans="1:3">
      <c r="A114" s="86" t="s">
        <v>21777</v>
      </c>
      <c r="B114" s="86" t="s">
        <v>21775</v>
      </c>
      <c r="C114" s="397">
        <v>141</v>
      </c>
    </row>
    <row r="115" spans="1:3">
      <c r="A115" s="86" t="s">
        <v>21776</v>
      </c>
      <c r="B115" s="86" t="s">
        <v>21775</v>
      </c>
      <c r="C115" s="397">
        <v>141</v>
      </c>
    </row>
    <row r="116" spans="1:3">
      <c r="A116" s="86" t="s">
        <v>21774</v>
      </c>
      <c r="B116" s="86" t="s">
        <v>21771</v>
      </c>
      <c r="C116" s="397">
        <v>137</v>
      </c>
    </row>
    <row r="117" spans="1:3">
      <c r="A117" s="86" t="s">
        <v>21773</v>
      </c>
      <c r="B117" s="86" t="s">
        <v>21771</v>
      </c>
      <c r="C117" s="397">
        <v>137</v>
      </c>
    </row>
    <row r="118" spans="1:3">
      <c r="A118" s="86" t="s">
        <v>21772</v>
      </c>
      <c r="B118" s="86" t="s">
        <v>21771</v>
      </c>
      <c r="C118" s="397">
        <v>137</v>
      </c>
    </row>
    <row r="119" spans="1:3">
      <c r="A119" s="86" t="s">
        <v>21770</v>
      </c>
      <c r="B119" s="86" t="s">
        <v>21769</v>
      </c>
      <c r="C119" s="397">
        <v>137</v>
      </c>
    </row>
    <row r="120" spans="1:3">
      <c r="A120" s="86" t="s">
        <v>21768</v>
      </c>
      <c r="B120" s="86" t="s">
        <v>21767</v>
      </c>
      <c r="C120" s="397">
        <v>137</v>
      </c>
    </row>
    <row r="121" spans="1:3">
      <c r="A121" s="86" t="s">
        <v>21766</v>
      </c>
      <c r="B121" s="86" t="s">
        <v>21765</v>
      </c>
      <c r="C121" s="397">
        <v>137</v>
      </c>
    </row>
    <row r="122" spans="1:3">
      <c r="A122" s="86" t="s">
        <v>21764</v>
      </c>
      <c r="B122" s="86" t="s">
        <v>21763</v>
      </c>
      <c r="C122" s="397">
        <v>137</v>
      </c>
    </row>
    <row r="123" spans="1:3">
      <c r="A123" s="86" t="s">
        <v>21762</v>
      </c>
      <c r="B123" s="86" t="s">
        <v>21761</v>
      </c>
      <c r="C123" s="397">
        <v>141</v>
      </c>
    </row>
    <row r="124" spans="1:3">
      <c r="A124" s="86" t="s">
        <v>21760</v>
      </c>
      <c r="B124" s="86" t="s">
        <v>21759</v>
      </c>
      <c r="C124" s="397">
        <v>141</v>
      </c>
    </row>
    <row r="125" spans="1:3">
      <c r="A125" s="86" t="s">
        <v>21758</v>
      </c>
      <c r="B125" s="86" t="s">
        <v>21757</v>
      </c>
      <c r="C125" s="397">
        <v>141</v>
      </c>
    </row>
    <row r="126" spans="1:3">
      <c r="A126" s="86" t="s">
        <v>21756</v>
      </c>
      <c r="B126" s="86" t="s">
        <v>21755</v>
      </c>
      <c r="C126" s="397">
        <v>141</v>
      </c>
    </row>
    <row r="127" spans="1:3">
      <c r="A127" s="86" t="s">
        <v>21754</v>
      </c>
      <c r="B127" s="86" t="s">
        <v>21753</v>
      </c>
      <c r="C127" s="397">
        <v>141</v>
      </c>
    </row>
    <row r="128" spans="1:3">
      <c r="A128" s="86" t="s">
        <v>21752</v>
      </c>
      <c r="B128" s="86" t="s">
        <v>21751</v>
      </c>
      <c r="C128" s="397">
        <v>151</v>
      </c>
    </row>
    <row r="129" spans="1:3">
      <c r="A129" s="86" t="s">
        <v>21750</v>
      </c>
      <c r="B129" s="86" t="s">
        <v>21749</v>
      </c>
      <c r="C129" s="397">
        <v>72</v>
      </c>
    </row>
    <row r="130" spans="1:3">
      <c r="A130" s="86" t="s">
        <v>21748</v>
      </c>
      <c r="B130" s="86" t="s">
        <v>21747</v>
      </c>
      <c r="C130" s="397">
        <v>92</v>
      </c>
    </row>
    <row r="131" spans="1:3">
      <c r="A131" s="86" t="s">
        <v>21746</v>
      </c>
      <c r="B131" s="86" t="s">
        <v>21745</v>
      </c>
      <c r="C131" s="397">
        <v>63</v>
      </c>
    </row>
    <row r="132" spans="1:3">
      <c r="A132" s="86" t="s">
        <v>21744</v>
      </c>
      <c r="B132" s="86" t="s">
        <v>21743</v>
      </c>
      <c r="C132" s="397">
        <v>99</v>
      </c>
    </row>
    <row r="133" spans="1:3">
      <c r="A133" s="86" t="s">
        <v>21742</v>
      </c>
      <c r="B133" s="86" t="s">
        <v>21741</v>
      </c>
      <c r="C133" s="397">
        <v>99</v>
      </c>
    </row>
    <row r="134" spans="1:3">
      <c r="A134" s="86" t="s">
        <v>21740</v>
      </c>
      <c r="B134" s="86" t="s">
        <v>21739</v>
      </c>
      <c r="C134" s="397">
        <v>116</v>
      </c>
    </row>
    <row r="135" spans="1:3">
      <c r="A135" s="86" t="s">
        <v>21738</v>
      </c>
      <c r="B135" s="86" t="s">
        <v>21737</v>
      </c>
      <c r="C135" s="397">
        <v>116</v>
      </c>
    </row>
    <row r="136" spans="1:3">
      <c r="A136" s="86" t="s">
        <v>21736</v>
      </c>
      <c r="B136" s="86" t="s">
        <v>21735</v>
      </c>
      <c r="C136" s="397">
        <v>175</v>
      </c>
    </row>
    <row r="137" spans="1:3">
      <c r="A137" s="86" t="s">
        <v>21734</v>
      </c>
      <c r="B137" s="86" t="s">
        <v>21733</v>
      </c>
      <c r="C137" s="397">
        <v>15</v>
      </c>
    </row>
    <row r="138" spans="1:3">
      <c r="A138" s="86" t="s">
        <v>21732</v>
      </c>
      <c r="B138" s="86" t="s">
        <v>21731</v>
      </c>
      <c r="C138" s="397">
        <v>19</v>
      </c>
    </row>
    <row r="139" spans="1:3">
      <c r="A139" s="86" t="s">
        <v>21730</v>
      </c>
      <c r="B139" s="86" t="s">
        <v>21729</v>
      </c>
      <c r="C139" s="397">
        <v>71</v>
      </c>
    </row>
    <row r="140" spans="1:3">
      <c r="A140" s="86" t="s">
        <v>21728</v>
      </c>
      <c r="B140" s="86" t="s">
        <v>21727</v>
      </c>
      <c r="C140" s="397">
        <v>71</v>
      </c>
    </row>
    <row r="141" spans="1:3">
      <c r="A141" s="86" t="s">
        <v>21726</v>
      </c>
      <c r="B141" s="86" t="s">
        <v>21725</v>
      </c>
      <c r="C141" s="397">
        <v>71</v>
      </c>
    </row>
    <row r="142" spans="1:3">
      <c r="A142" s="86" t="s">
        <v>21724</v>
      </c>
      <c r="B142" s="86" t="s">
        <v>21723</v>
      </c>
      <c r="C142" s="397">
        <v>71</v>
      </c>
    </row>
    <row r="143" spans="1:3">
      <c r="A143" s="86" t="s">
        <v>21722</v>
      </c>
      <c r="B143" s="86" t="s">
        <v>21721</v>
      </c>
      <c r="C143" s="397">
        <v>8</v>
      </c>
    </row>
    <row r="144" spans="1:3">
      <c r="A144" s="86" t="s">
        <v>21720</v>
      </c>
      <c r="B144" s="86" t="s">
        <v>21719</v>
      </c>
      <c r="C144" s="397">
        <v>8</v>
      </c>
    </row>
    <row r="145" spans="1:3">
      <c r="A145" s="86" t="s">
        <v>21718</v>
      </c>
      <c r="B145" s="86" t="s">
        <v>21717</v>
      </c>
      <c r="C145" s="397">
        <v>71</v>
      </c>
    </row>
    <row r="146" spans="1:3">
      <c r="A146" s="86" t="s">
        <v>21716</v>
      </c>
      <c r="B146" s="86" t="s">
        <v>21715</v>
      </c>
      <c r="C146" s="397">
        <v>71</v>
      </c>
    </row>
    <row r="147" spans="1:3">
      <c r="A147" s="86" t="s">
        <v>21714</v>
      </c>
      <c r="B147" s="86" t="s">
        <v>21713</v>
      </c>
      <c r="C147" s="397">
        <v>71</v>
      </c>
    </row>
    <row r="148" spans="1:3">
      <c r="A148" s="86" t="s">
        <v>21712</v>
      </c>
      <c r="B148" s="86" t="s">
        <v>21711</v>
      </c>
      <c r="C148" s="397">
        <v>8</v>
      </c>
    </row>
    <row r="149" spans="1:3">
      <c r="A149" s="86" t="s">
        <v>21710</v>
      </c>
      <c r="B149" s="86" t="s">
        <v>21708</v>
      </c>
      <c r="C149" s="397">
        <v>93</v>
      </c>
    </row>
    <row r="150" spans="1:3">
      <c r="A150" s="86" t="s">
        <v>21709</v>
      </c>
      <c r="B150" s="86" t="s">
        <v>21708</v>
      </c>
      <c r="C150" s="397">
        <v>110</v>
      </c>
    </row>
    <row r="151" spans="1:3">
      <c r="A151" s="86" t="s">
        <v>21707</v>
      </c>
      <c r="B151" s="86" t="s">
        <v>21703</v>
      </c>
      <c r="C151" s="397">
        <v>93</v>
      </c>
    </row>
    <row r="152" spans="1:3">
      <c r="A152" s="86" t="s">
        <v>21706</v>
      </c>
      <c r="B152" s="86" t="s">
        <v>21703</v>
      </c>
      <c r="C152" s="397">
        <v>93</v>
      </c>
    </row>
    <row r="153" spans="1:3">
      <c r="A153" s="86" t="s">
        <v>21705</v>
      </c>
      <c r="B153" s="86" t="s">
        <v>21703</v>
      </c>
      <c r="C153" s="397">
        <v>93</v>
      </c>
    </row>
    <row r="154" spans="1:3">
      <c r="A154" s="86" t="s">
        <v>21704</v>
      </c>
      <c r="B154" s="86" t="s">
        <v>21703</v>
      </c>
      <c r="C154" s="397">
        <v>93</v>
      </c>
    </row>
    <row r="155" spans="1:3">
      <c r="A155" s="86" t="s">
        <v>21702</v>
      </c>
      <c r="B155" s="86" t="s">
        <v>21701</v>
      </c>
      <c r="C155" s="397">
        <v>93</v>
      </c>
    </row>
    <row r="156" spans="1:3">
      <c r="A156" s="86" t="s">
        <v>21700</v>
      </c>
      <c r="B156" s="86" t="s">
        <v>21699</v>
      </c>
      <c r="C156" s="397">
        <v>93</v>
      </c>
    </row>
    <row r="157" spans="1:3">
      <c r="A157" s="86" t="s">
        <v>21698</v>
      </c>
      <c r="B157" s="86" t="s">
        <v>21697</v>
      </c>
      <c r="C157" s="397">
        <v>93</v>
      </c>
    </row>
    <row r="158" spans="1:3">
      <c r="A158" s="86" t="s">
        <v>21696</v>
      </c>
      <c r="B158" s="86" t="s">
        <v>21695</v>
      </c>
      <c r="C158" s="397">
        <v>24</v>
      </c>
    </row>
    <row r="159" spans="1:3">
      <c r="A159" s="86" t="s">
        <v>21694</v>
      </c>
      <c r="B159" s="86" t="s">
        <v>21693</v>
      </c>
      <c r="C159" s="397">
        <v>184</v>
      </c>
    </row>
    <row r="160" spans="1:3">
      <c r="A160" s="86" t="s">
        <v>21692</v>
      </c>
      <c r="B160" s="86" t="s">
        <v>21690</v>
      </c>
      <c r="C160" s="397">
        <v>32</v>
      </c>
    </row>
    <row r="161" spans="1:3">
      <c r="A161" s="86" t="s">
        <v>21691</v>
      </c>
      <c r="B161" s="86" t="s">
        <v>21690</v>
      </c>
      <c r="C161" s="397">
        <v>32</v>
      </c>
    </row>
    <row r="162" spans="1:3">
      <c r="A162" s="86" t="s">
        <v>21689</v>
      </c>
      <c r="B162" s="86" t="s">
        <v>21685</v>
      </c>
      <c r="C162" s="397">
        <v>32</v>
      </c>
    </row>
    <row r="163" spans="1:3">
      <c r="A163" s="86" t="s">
        <v>21688</v>
      </c>
      <c r="B163" s="86" t="s">
        <v>21685</v>
      </c>
      <c r="C163" s="397">
        <v>45</v>
      </c>
    </row>
    <row r="164" spans="1:3">
      <c r="A164" s="86" t="s">
        <v>21687</v>
      </c>
      <c r="B164" s="86" t="s">
        <v>21685</v>
      </c>
      <c r="C164" s="397">
        <v>32</v>
      </c>
    </row>
    <row r="165" spans="1:3">
      <c r="A165" s="86" t="s">
        <v>21686</v>
      </c>
      <c r="B165" s="86" t="s">
        <v>21685</v>
      </c>
      <c r="C165" s="397">
        <v>45</v>
      </c>
    </row>
    <row r="166" spans="1:3">
      <c r="A166" s="86" t="s">
        <v>21684</v>
      </c>
      <c r="B166" s="86" t="s">
        <v>21680</v>
      </c>
      <c r="C166" s="397">
        <v>93</v>
      </c>
    </row>
    <row r="167" spans="1:3">
      <c r="A167" s="86" t="s">
        <v>21683</v>
      </c>
      <c r="B167" s="86" t="s">
        <v>21680</v>
      </c>
      <c r="C167" s="397">
        <v>93</v>
      </c>
    </row>
    <row r="168" spans="1:3">
      <c r="A168" s="86" t="s">
        <v>21682</v>
      </c>
      <c r="B168" s="86" t="s">
        <v>21680</v>
      </c>
      <c r="C168" s="397">
        <v>93</v>
      </c>
    </row>
    <row r="169" spans="1:3">
      <c r="A169" s="86" t="s">
        <v>21681</v>
      </c>
      <c r="B169" s="86" t="s">
        <v>21680</v>
      </c>
      <c r="C169" s="397">
        <v>93</v>
      </c>
    </row>
    <row r="170" spans="1:3">
      <c r="A170" s="86" t="s">
        <v>21679</v>
      </c>
      <c r="B170" s="86" t="s">
        <v>21677</v>
      </c>
      <c r="C170" s="397">
        <v>93</v>
      </c>
    </row>
    <row r="171" spans="1:3">
      <c r="A171" s="86" t="s">
        <v>21678</v>
      </c>
      <c r="B171" s="86" t="s">
        <v>21677</v>
      </c>
      <c r="C171" s="397">
        <v>105</v>
      </c>
    </row>
    <row r="172" spans="1:3">
      <c r="A172" s="86" t="s">
        <v>21676</v>
      </c>
      <c r="B172" s="86" t="s">
        <v>21675</v>
      </c>
      <c r="C172" s="397">
        <v>93</v>
      </c>
    </row>
    <row r="173" spans="1:3">
      <c r="A173" s="86" t="s">
        <v>21674</v>
      </c>
      <c r="B173" s="86" t="s">
        <v>21673</v>
      </c>
      <c r="C173" s="397">
        <v>86</v>
      </c>
    </row>
    <row r="174" spans="1:3">
      <c r="A174" s="86" t="s">
        <v>21672</v>
      </c>
      <c r="B174" s="86" t="s">
        <v>21671</v>
      </c>
      <c r="C174" s="397">
        <v>33</v>
      </c>
    </row>
    <row r="175" spans="1:3">
      <c r="A175" s="86" t="s">
        <v>21670</v>
      </c>
      <c r="B175" s="86" t="s">
        <v>21669</v>
      </c>
      <c r="C175" s="397">
        <v>772</v>
      </c>
    </row>
    <row r="176" spans="1:3">
      <c r="A176" s="86" t="s">
        <v>21668</v>
      </c>
      <c r="B176" s="86" t="s">
        <v>21667</v>
      </c>
      <c r="C176" s="397">
        <v>823</v>
      </c>
    </row>
    <row r="177" spans="1:3">
      <c r="A177" s="86" t="s">
        <v>21666</v>
      </c>
      <c r="B177" s="86" t="s">
        <v>21665</v>
      </c>
      <c r="C177" s="397">
        <v>772</v>
      </c>
    </row>
    <row r="178" spans="1:3">
      <c r="A178" s="86" t="s">
        <v>21664</v>
      </c>
      <c r="B178" s="86" t="s">
        <v>21663</v>
      </c>
      <c r="C178" s="397">
        <v>219</v>
      </c>
    </row>
    <row r="179" spans="1:3">
      <c r="A179" s="86" t="s">
        <v>21662</v>
      </c>
      <c r="B179" s="86" t="s">
        <v>21661</v>
      </c>
      <c r="C179" s="397">
        <v>899</v>
      </c>
    </row>
    <row r="180" spans="1:3">
      <c r="A180" s="86" t="s">
        <v>21660</v>
      </c>
      <c r="B180" s="86" t="s">
        <v>21659</v>
      </c>
      <c r="C180" s="397">
        <v>387</v>
      </c>
    </row>
    <row r="181" spans="1:3">
      <c r="A181" s="86" t="s">
        <v>21658</v>
      </c>
      <c r="B181" s="86" t="s">
        <v>21657</v>
      </c>
      <c r="C181" s="397">
        <v>77</v>
      </c>
    </row>
    <row r="182" spans="1:3">
      <c r="A182" s="86" t="s">
        <v>21656</v>
      </c>
      <c r="B182" s="86" t="s">
        <v>21655</v>
      </c>
      <c r="C182" s="397">
        <v>693</v>
      </c>
    </row>
    <row r="183" spans="1:3">
      <c r="A183" s="86" t="s">
        <v>21654</v>
      </c>
      <c r="B183" s="86" t="s">
        <v>21653</v>
      </c>
      <c r="C183" s="397">
        <v>693</v>
      </c>
    </row>
    <row r="184" spans="1:3">
      <c r="A184" s="86" t="s">
        <v>21652</v>
      </c>
      <c r="B184" s="86" t="s">
        <v>21651</v>
      </c>
      <c r="C184" s="397">
        <v>771</v>
      </c>
    </row>
    <row r="185" spans="1:3">
      <c r="A185" s="86" t="s">
        <v>21650</v>
      </c>
      <c r="B185" s="86" t="s">
        <v>21649</v>
      </c>
      <c r="C185" s="397">
        <v>771</v>
      </c>
    </row>
    <row r="186" spans="1:3">
      <c r="A186" s="86" t="s">
        <v>21648</v>
      </c>
      <c r="B186" s="86" t="s">
        <v>21647</v>
      </c>
      <c r="C186" s="397">
        <v>302</v>
      </c>
    </row>
    <row r="187" spans="1:3">
      <c r="A187" s="86" t="s">
        <v>21646</v>
      </c>
      <c r="B187" s="86" t="s">
        <v>21645</v>
      </c>
      <c r="C187" s="397">
        <v>62</v>
      </c>
    </row>
    <row r="188" spans="1:3">
      <c r="A188" s="86" t="s">
        <v>21644</v>
      </c>
      <c r="B188" s="86" t="s">
        <v>21353</v>
      </c>
      <c r="C188" s="397">
        <v>62</v>
      </c>
    </row>
    <row r="189" spans="1:3">
      <c r="A189" s="86" t="s">
        <v>21643</v>
      </c>
      <c r="B189" s="86" t="s">
        <v>21642</v>
      </c>
      <c r="C189" s="397">
        <v>62</v>
      </c>
    </row>
    <row r="190" spans="1:3">
      <c r="A190" s="86" t="s">
        <v>21641</v>
      </c>
      <c r="B190" s="86" t="s">
        <v>21640</v>
      </c>
      <c r="C190" s="397">
        <v>302</v>
      </c>
    </row>
    <row r="191" spans="1:3">
      <c r="A191" s="86" t="s">
        <v>21639</v>
      </c>
      <c r="B191" s="86" t="s">
        <v>21638</v>
      </c>
      <c r="C191" s="397">
        <v>36</v>
      </c>
    </row>
    <row r="192" spans="1:3">
      <c r="A192" s="86" t="s">
        <v>161</v>
      </c>
      <c r="B192" s="86" t="s">
        <v>21637</v>
      </c>
      <c r="C192" s="397">
        <v>3250</v>
      </c>
    </row>
    <row r="193" spans="1:3">
      <c r="A193" s="86" t="s">
        <v>21636</v>
      </c>
      <c r="B193" s="86" t="s">
        <v>21635</v>
      </c>
      <c r="C193" s="397">
        <v>3270</v>
      </c>
    </row>
    <row r="194" spans="1:3">
      <c r="A194" s="86" t="s">
        <v>21634</v>
      </c>
      <c r="B194" s="86" t="s">
        <v>21633</v>
      </c>
      <c r="C194" s="397">
        <v>3270</v>
      </c>
    </row>
    <row r="195" spans="1:3">
      <c r="A195" s="86" t="s">
        <v>21632</v>
      </c>
      <c r="B195" s="86" t="s">
        <v>21631</v>
      </c>
      <c r="C195" s="397">
        <v>828</v>
      </c>
    </row>
    <row r="196" spans="1:3">
      <c r="A196" s="86" t="s">
        <v>21630</v>
      </c>
      <c r="B196" s="86" t="s">
        <v>21628</v>
      </c>
      <c r="C196" s="397">
        <v>1007</v>
      </c>
    </row>
    <row r="197" spans="1:3">
      <c r="A197" s="86" t="s">
        <v>21629</v>
      </c>
      <c r="B197" s="86" t="s">
        <v>21628</v>
      </c>
      <c r="C197" s="397">
        <v>1043</v>
      </c>
    </row>
    <row r="198" spans="1:3">
      <c r="A198" s="86" t="s">
        <v>21627</v>
      </c>
      <c r="B198" s="86" t="s">
        <v>21626</v>
      </c>
      <c r="C198" s="397">
        <v>1441</v>
      </c>
    </row>
    <row r="199" spans="1:3">
      <c r="A199" s="86" t="s">
        <v>21625</v>
      </c>
      <c r="B199" s="86" t="s">
        <v>21624</v>
      </c>
      <c r="C199" s="397">
        <v>1648</v>
      </c>
    </row>
    <row r="200" spans="1:3">
      <c r="A200" s="86" t="s">
        <v>21623</v>
      </c>
      <c r="B200" s="86" t="s">
        <v>21622</v>
      </c>
      <c r="C200" s="397">
        <v>1980</v>
      </c>
    </row>
    <row r="201" spans="1:3">
      <c r="A201" s="86" t="s">
        <v>21621</v>
      </c>
      <c r="B201" s="86" t="s">
        <v>21620</v>
      </c>
      <c r="C201" s="397">
        <v>108</v>
      </c>
    </row>
    <row r="202" spans="1:3">
      <c r="A202" s="86" t="s">
        <v>21619</v>
      </c>
      <c r="B202" s="86" t="s">
        <v>21618</v>
      </c>
      <c r="C202" s="397">
        <v>15</v>
      </c>
    </row>
    <row r="203" spans="1:3">
      <c r="A203" s="86" t="s">
        <v>21617</v>
      </c>
      <c r="B203" s="86" t="s">
        <v>21616</v>
      </c>
      <c r="C203" s="397">
        <v>15</v>
      </c>
    </row>
    <row r="204" spans="1:3">
      <c r="A204" s="86" t="s">
        <v>21615</v>
      </c>
      <c r="B204" s="86" t="s">
        <v>21614</v>
      </c>
      <c r="C204" s="397">
        <v>144</v>
      </c>
    </row>
    <row r="205" spans="1:3">
      <c r="A205" s="86" t="s">
        <v>21613</v>
      </c>
      <c r="B205" s="86" t="s">
        <v>21612</v>
      </c>
      <c r="C205" s="397">
        <v>847</v>
      </c>
    </row>
    <row r="206" spans="1:3">
      <c r="A206" s="86" t="s">
        <v>21611</v>
      </c>
      <c r="B206" s="86" t="s">
        <v>21610</v>
      </c>
      <c r="C206" s="397">
        <v>86</v>
      </c>
    </row>
    <row r="207" spans="1:3">
      <c r="A207" s="86" t="s">
        <v>21609</v>
      </c>
      <c r="B207" s="86" t="s">
        <v>21608</v>
      </c>
      <c r="C207" s="397">
        <v>1694</v>
      </c>
    </row>
    <row r="208" spans="1:3">
      <c r="A208" s="86" t="s">
        <v>21607</v>
      </c>
      <c r="B208" s="86" t="s">
        <v>21606</v>
      </c>
      <c r="C208" s="397">
        <v>1716</v>
      </c>
    </row>
    <row r="209" spans="1:3">
      <c r="A209" s="86" t="s">
        <v>21605</v>
      </c>
      <c r="B209" s="86" t="s">
        <v>21604</v>
      </c>
      <c r="C209" s="397">
        <v>1829</v>
      </c>
    </row>
    <row r="210" spans="1:3">
      <c r="A210" s="86" t="s">
        <v>21603</v>
      </c>
      <c r="B210" s="86" t="s">
        <v>21602</v>
      </c>
      <c r="C210" s="397">
        <v>1596</v>
      </c>
    </row>
    <row r="211" spans="1:3">
      <c r="A211" s="86" t="s">
        <v>21601</v>
      </c>
      <c r="B211" s="86" t="s">
        <v>21600</v>
      </c>
      <c r="C211" s="397">
        <v>1827</v>
      </c>
    </row>
    <row r="212" spans="1:3">
      <c r="A212" s="86" t="s">
        <v>21599</v>
      </c>
      <c r="B212" s="86" t="s">
        <v>21598</v>
      </c>
      <c r="C212" s="397">
        <v>1593</v>
      </c>
    </row>
    <row r="213" spans="1:3">
      <c r="A213" s="86" t="s">
        <v>21597</v>
      </c>
      <c r="B213" s="86" t="s">
        <v>21596</v>
      </c>
      <c r="C213" s="397">
        <v>1394</v>
      </c>
    </row>
    <row r="214" spans="1:3">
      <c r="A214" s="86" t="s">
        <v>21595</v>
      </c>
      <c r="B214" s="86" t="s">
        <v>21594</v>
      </c>
      <c r="C214" s="397">
        <v>197</v>
      </c>
    </row>
    <row r="215" spans="1:3">
      <c r="A215" s="86" t="s">
        <v>21593</v>
      </c>
      <c r="B215" s="86" t="s">
        <v>21592</v>
      </c>
      <c r="C215" s="397">
        <v>708</v>
      </c>
    </row>
    <row r="216" spans="1:3">
      <c r="A216" s="86" t="s">
        <v>21591</v>
      </c>
      <c r="B216" s="86" t="s">
        <v>21590</v>
      </c>
      <c r="C216" s="397">
        <v>708</v>
      </c>
    </row>
    <row r="217" spans="1:3">
      <c r="A217" s="86" t="s">
        <v>21589</v>
      </c>
      <c r="B217" s="86" t="s">
        <v>21588</v>
      </c>
      <c r="C217" s="397">
        <v>708</v>
      </c>
    </row>
    <row r="218" spans="1:3">
      <c r="A218" s="86" t="s">
        <v>21587</v>
      </c>
      <c r="B218" s="86" t="s">
        <v>21580</v>
      </c>
      <c r="C218" s="397">
        <v>1070</v>
      </c>
    </row>
    <row r="219" spans="1:3">
      <c r="A219" s="86" t="s">
        <v>21586</v>
      </c>
      <c r="B219" s="86" t="s">
        <v>21580</v>
      </c>
      <c r="C219" s="397">
        <v>940</v>
      </c>
    </row>
    <row r="220" spans="1:3">
      <c r="A220" s="86" t="s">
        <v>21585</v>
      </c>
      <c r="B220" s="86" t="s">
        <v>21580</v>
      </c>
      <c r="C220" s="397">
        <v>969</v>
      </c>
    </row>
    <row r="221" spans="1:3">
      <c r="A221" s="86" t="s">
        <v>21584</v>
      </c>
      <c r="B221" s="86" t="s">
        <v>21580</v>
      </c>
      <c r="C221" s="397">
        <v>940</v>
      </c>
    </row>
    <row r="222" spans="1:3">
      <c r="A222" s="86" t="s">
        <v>21583</v>
      </c>
      <c r="B222" s="86" t="s">
        <v>21580</v>
      </c>
      <c r="C222" s="397">
        <v>1400</v>
      </c>
    </row>
    <row r="223" spans="1:3">
      <c r="A223" s="86" t="s">
        <v>21582</v>
      </c>
      <c r="B223" s="86" t="s">
        <v>21580</v>
      </c>
      <c r="C223" s="397">
        <v>940</v>
      </c>
    </row>
    <row r="224" spans="1:3">
      <c r="A224" s="86" t="s">
        <v>21581</v>
      </c>
      <c r="B224" s="86" t="s">
        <v>21580</v>
      </c>
      <c r="C224" s="397">
        <v>1005</v>
      </c>
    </row>
    <row r="225" spans="1:3">
      <c r="A225" s="86" t="s">
        <v>21579</v>
      </c>
      <c r="B225" s="86" t="s">
        <v>21578</v>
      </c>
      <c r="C225" s="397">
        <v>2958</v>
      </c>
    </row>
    <row r="226" spans="1:3">
      <c r="A226" s="86" t="s">
        <v>21577</v>
      </c>
      <c r="B226" s="86" t="s">
        <v>21572</v>
      </c>
      <c r="C226" s="397">
        <v>3018</v>
      </c>
    </row>
    <row r="227" spans="1:3">
      <c r="A227" s="86" t="s">
        <v>21576</v>
      </c>
      <c r="B227" s="86" t="s">
        <v>21572</v>
      </c>
      <c r="C227" s="397">
        <v>3018</v>
      </c>
    </row>
    <row r="228" spans="1:3">
      <c r="A228" s="86" t="s">
        <v>21575</v>
      </c>
      <c r="B228" s="86" t="s">
        <v>21572</v>
      </c>
      <c r="C228" s="397">
        <v>3018</v>
      </c>
    </row>
    <row r="229" spans="1:3">
      <c r="A229" s="86" t="s">
        <v>21574</v>
      </c>
      <c r="B229" s="86" t="s">
        <v>21572</v>
      </c>
      <c r="C229" s="397">
        <v>3018</v>
      </c>
    </row>
    <row r="230" spans="1:3">
      <c r="A230" s="86" t="s">
        <v>21573</v>
      </c>
      <c r="B230" s="86" t="s">
        <v>21572</v>
      </c>
      <c r="C230" s="397">
        <v>3489</v>
      </c>
    </row>
    <row r="231" spans="1:3">
      <c r="A231" s="86" t="s">
        <v>21571</v>
      </c>
      <c r="B231" s="86" t="s">
        <v>21570</v>
      </c>
      <c r="C231" s="397">
        <v>3000</v>
      </c>
    </row>
    <row r="232" spans="1:3">
      <c r="A232" s="86" t="s">
        <v>21569</v>
      </c>
      <c r="B232" s="86" t="s">
        <v>21567</v>
      </c>
      <c r="C232" s="397">
        <v>3195</v>
      </c>
    </row>
    <row r="233" spans="1:3">
      <c r="A233" s="86" t="s">
        <v>21568</v>
      </c>
      <c r="B233" s="86" t="s">
        <v>21567</v>
      </c>
      <c r="C233" s="397">
        <v>3195</v>
      </c>
    </row>
    <row r="234" spans="1:3">
      <c r="A234" s="86" t="s">
        <v>21566</v>
      </c>
      <c r="B234" s="86" t="s">
        <v>21561</v>
      </c>
      <c r="C234" s="397">
        <v>3755</v>
      </c>
    </row>
    <row r="235" spans="1:3">
      <c r="A235" s="86" t="s">
        <v>21565</v>
      </c>
      <c r="B235" s="86" t="s">
        <v>21561</v>
      </c>
      <c r="C235" s="397">
        <v>3293</v>
      </c>
    </row>
    <row r="236" spans="1:3">
      <c r="A236" s="86" t="s">
        <v>21564</v>
      </c>
      <c r="B236" s="86" t="s">
        <v>21561</v>
      </c>
      <c r="C236" s="397">
        <v>3293</v>
      </c>
    </row>
    <row r="237" spans="1:3">
      <c r="A237" s="86" t="s">
        <v>21563</v>
      </c>
      <c r="B237" s="86" t="s">
        <v>21561</v>
      </c>
      <c r="C237" s="397">
        <v>3767</v>
      </c>
    </row>
    <row r="238" spans="1:3">
      <c r="A238" s="86" t="s">
        <v>21562</v>
      </c>
      <c r="B238" s="86" t="s">
        <v>21561</v>
      </c>
      <c r="C238" s="397">
        <v>3767</v>
      </c>
    </row>
    <row r="239" spans="1:3">
      <c r="A239" s="86" t="s">
        <v>21560</v>
      </c>
      <c r="B239" s="86" t="s">
        <v>21552</v>
      </c>
      <c r="C239" s="397">
        <v>3408</v>
      </c>
    </row>
    <row r="240" spans="1:3">
      <c r="A240" s="86" t="s">
        <v>21559</v>
      </c>
      <c r="B240" s="86" t="s">
        <v>21558</v>
      </c>
      <c r="C240" s="397">
        <v>3366</v>
      </c>
    </row>
    <row r="241" spans="1:3">
      <c r="A241" s="86" t="s">
        <v>21557</v>
      </c>
      <c r="B241" s="86" t="s">
        <v>21552</v>
      </c>
      <c r="C241" s="397">
        <v>3408</v>
      </c>
    </row>
    <row r="242" spans="1:3">
      <c r="A242" s="86" t="s">
        <v>21556</v>
      </c>
      <c r="B242" s="86" t="s">
        <v>21552</v>
      </c>
      <c r="C242" s="397">
        <v>3534</v>
      </c>
    </row>
    <row r="243" spans="1:3">
      <c r="A243" s="86" t="s">
        <v>21555</v>
      </c>
      <c r="B243" s="86" t="s">
        <v>21552</v>
      </c>
      <c r="C243" s="397">
        <v>3366</v>
      </c>
    </row>
    <row r="244" spans="1:3">
      <c r="A244" s="86" t="s">
        <v>21554</v>
      </c>
      <c r="B244" s="86" t="s">
        <v>21552</v>
      </c>
      <c r="C244" s="397">
        <v>3492</v>
      </c>
    </row>
    <row r="245" spans="1:3">
      <c r="A245" s="86" t="s">
        <v>21553</v>
      </c>
      <c r="B245" s="86" t="s">
        <v>21552</v>
      </c>
      <c r="C245" s="397">
        <v>2946</v>
      </c>
    </row>
    <row r="246" spans="1:3">
      <c r="A246" s="86" t="s">
        <v>21551</v>
      </c>
      <c r="B246" s="86" t="s">
        <v>21550</v>
      </c>
      <c r="C246" s="397">
        <v>4098</v>
      </c>
    </row>
    <row r="247" spans="1:3">
      <c r="A247" s="86" t="s">
        <v>21549</v>
      </c>
      <c r="B247" s="86" t="s">
        <v>21547</v>
      </c>
      <c r="C247" s="397">
        <v>4182</v>
      </c>
    </row>
    <row r="248" spans="1:3">
      <c r="A248" s="86" t="s">
        <v>21548</v>
      </c>
      <c r="B248" s="86" t="s">
        <v>21547</v>
      </c>
      <c r="C248" s="397">
        <v>4350</v>
      </c>
    </row>
    <row r="249" spans="1:3">
      <c r="A249" s="86" t="s">
        <v>21546</v>
      </c>
      <c r="B249" s="86" t="s">
        <v>21545</v>
      </c>
      <c r="C249" s="397">
        <v>3812</v>
      </c>
    </row>
    <row r="250" spans="1:3">
      <c r="A250" s="86" t="s">
        <v>21544</v>
      </c>
      <c r="B250" s="86" t="s">
        <v>21543</v>
      </c>
      <c r="C250" s="397">
        <v>3574</v>
      </c>
    </row>
    <row r="251" spans="1:3">
      <c r="A251" s="86" t="s">
        <v>21542</v>
      </c>
      <c r="B251" s="86" t="s">
        <v>21539</v>
      </c>
      <c r="C251" s="397">
        <v>3805</v>
      </c>
    </row>
    <row r="252" spans="1:3">
      <c r="A252" s="86" t="s">
        <v>21541</v>
      </c>
      <c r="B252" s="86" t="s">
        <v>21539</v>
      </c>
      <c r="C252" s="397">
        <v>3847</v>
      </c>
    </row>
    <row r="253" spans="1:3">
      <c r="A253" s="86" t="s">
        <v>21540</v>
      </c>
      <c r="B253" s="86" t="s">
        <v>21539</v>
      </c>
      <c r="C253" s="397">
        <v>3847</v>
      </c>
    </row>
    <row r="254" spans="1:3">
      <c r="A254" s="86" t="s">
        <v>21538</v>
      </c>
      <c r="B254" s="86" t="s">
        <v>21537</v>
      </c>
      <c r="C254" s="397">
        <v>3805</v>
      </c>
    </row>
    <row r="255" spans="1:3">
      <c r="A255" s="86" t="s">
        <v>21536</v>
      </c>
      <c r="B255" s="86" t="s">
        <v>21535</v>
      </c>
      <c r="C255" s="397">
        <v>4750</v>
      </c>
    </row>
    <row r="256" spans="1:3">
      <c r="A256" s="86" t="s">
        <v>21534</v>
      </c>
      <c r="B256" s="86" t="s">
        <v>21533</v>
      </c>
      <c r="C256" s="397">
        <v>215</v>
      </c>
    </row>
    <row r="257" spans="1:3">
      <c r="A257" s="86" t="s">
        <v>21532</v>
      </c>
      <c r="B257" s="86" t="s">
        <v>21531</v>
      </c>
      <c r="C257" s="397">
        <v>940</v>
      </c>
    </row>
    <row r="258" spans="1:3">
      <c r="A258" s="86" t="s">
        <v>21530</v>
      </c>
      <c r="B258" s="86" t="s">
        <v>21529</v>
      </c>
      <c r="C258" s="397">
        <v>1281</v>
      </c>
    </row>
    <row r="259" spans="1:3">
      <c r="A259" s="86" t="s">
        <v>21528</v>
      </c>
      <c r="B259" s="86" t="s">
        <v>21527</v>
      </c>
      <c r="C259" s="397">
        <v>97</v>
      </c>
    </row>
    <row r="260" spans="1:3">
      <c r="A260" s="86" t="s">
        <v>21526</v>
      </c>
      <c r="B260" s="86" t="s">
        <v>21525</v>
      </c>
      <c r="C260" s="397">
        <v>86</v>
      </c>
    </row>
    <row r="261" spans="1:3">
      <c r="A261" s="86" t="s">
        <v>21524</v>
      </c>
      <c r="B261" s="86" t="s">
        <v>21523</v>
      </c>
      <c r="C261" s="397">
        <v>54</v>
      </c>
    </row>
    <row r="262" spans="1:3">
      <c r="A262" s="86" t="s">
        <v>21522</v>
      </c>
      <c r="B262" s="86" t="s">
        <v>21521</v>
      </c>
      <c r="C262" s="397">
        <v>54</v>
      </c>
    </row>
    <row r="263" spans="1:3">
      <c r="A263" s="86" t="s">
        <v>21520</v>
      </c>
      <c r="B263" s="86" t="s">
        <v>21519</v>
      </c>
      <c r="C263" s="397">
        <v>20</v>
      </c>
    </row>
    <row r="264" spans="1:3">
      <c r="A264" s="86" t="s">
        <v>21518</v>
      </c>
      <c r="B264" s="86" t="s">
        <v>21517</v>
      </c>
      <c r="C264" s="397">
        <v>32</v>
      </c>
    </row>
    <row r="265" spans="1:3">
      <c r="A265" s="86" t="s">
        <v>21516</v>
      </c>
      <c r="B265" s="86" t="s">
        <v>21515</v>
      </c>
      <c r="C265" s="397">
        <v>437</v>
      </c>
    </row>
    <row r="266" spans="1:3">
      <c r="A266" s="86" t="s">
        <v>21514</v>
      </c>
      <c r="B266" s="86" t="s">
        <v>21513</v>
      </c>
      <c r="C266" s="397">
        <v>437</v>
      </c>
    </row>
    <row r="267" spans="1:3">
      <c r="A267" s="86" t="s">
        <v>21512</v>
      </c>
      <c r="B267" s="86" t="s">
        <v>21511</v>
      </c>
      <c r="C267" s="397">
        <v>437</v>
      </c>
    </row>
    <row r="268" spans="1:3">
      <c r="A268" s="86" t="s">
        <v>21510</v>
      </c>
      <c r="B268" s="86" t="s">
        <v>21509</v>
      </c>
      <c r="C268" s="397">
        <v>71</v>
      </c>
    </row>
    <row r="269" spans="1:3">
      <c r="A269" s="86" t="s">
        <v>21508</v>
      </c>
      <c r="B269" s="86" t="s">
        <v>21507</v>
      </c>
      <c r="C269" s="397">
        <v>62</v>
      </c>
    </row>
    <row r="270" spans="1:3">
      <c r="A270" s="86" t="s">
        <v>21506</v>
      </c>
      <c r="B270" s="86" t="s">
        <v>21505</v>
      </c>
      <c r="C270" s="397">
        <v>71</v>
      </c>
    </row>
    <row r="271" spans="1:3">
      <c r="A271" s="86" t="s">
        <v>21504</v>
      </c>
      <c r="B271" s="86" t="s">
        <v>21503</v>
      </c>
      <c r="C271" s="397">
        <v>91</v>
      </c>
    </row>
    <row r="272" spans="1:3">
      <c r="A272" s="86" t="s">
        <v>21502</v>
      </c>
      <c r="B272" s="86" t="s">
        <v>21501</v>
      </c>
      <c r="C272" s="397">
        <v>251</v>
      </c>
    </row>
    <row r="273" spans="1:3">
      <c r="A273" s="86" t="s">
        <v>21500</v>
      </c>
      <c r="B273" s="86" t="s">
        <v>21499</v>
      </c>
      <c r="C273" s="397">
        <v>49</v>
      </c>
    </row>
    <row r="274" spans="1:3">
      <c r="A274" s="86" t="s">
        <v>21498</v>
      </c>
      <c r="B274" s="86" t="s">
        <v>21497</v>
      </c>
      <c r="C274" s="397">
        <v>218</v>
      </c>
    </row>
    <row r="275" spans="1:3">
      <c r="A275" s="86" t="s">
        <v>21496</v>
      </c>
      <c r="B275" s="86" t="s">
        <v>21495</v>
      </c>
      <c r="C275" s="397">
        <v>922</v>
      </c>
    </row>
    <row r="276" spans="1:3">
      <c r="A276" s="86" t="s">
        <v>21494</v>
      </c>
      <c r="B276" s="86" t="s">
        <v>21493</v>
      </c>
      <c r="C276" s="397">
        <v>1105</v>
      </c>
    </row>
    <row r="277" spans="1:3">
      <c r="A277" s="86" t="s">
        <v>21492</v>
      </c>
      <c r="B277" s="86" t="s">
        <v>21491</v>
      </c>
      <c r="C277" s="397">
        <v>48</v>
      </c>
    </row>
    <row r="278" spans="1:3">
      <c r="A278" s="86" t="s">
        <v>21490</v>
      </c>
      <c r="B278" s="86" t="s">
        <v>21489</v>
      </c>
      <c r="C278" s="397">
        <v>1607</v>
      </c>
    </row>
    <row r="279" spans="1:3">
      <c r="A279" s="86" t="s">
        <v>21488</v>
      </c>
      <c r="B279" s="86" t="s">
        <v>21487</v>
      </c>
      <c r="C279" s="397">
        <v>1912</v>
      </c>
    </row>
    <row r="280" spans="1:3">
      <c r="A280" s="86" t="s">
        <v>21486</v>
      </c>
      <c r="B280" s="86" t="s">
        <v>21485</v>
      </c>
      <c r="C280" s="397">
        <v>37</v>
      </c>
    </row>
    <row r="281" spans="1:3">
      <c r="A281" s="86" t="s">
        <v>21484</v>
      </c>
      <c r="B281" s="86" t="s">
        <v>21483</v>
      </c>
      <c r="C281" s="397">
        <v>1712</v>
      </c>
    </row>
    <row r="282" spans="1:3">
      <c r="A282" s="86" t="s">
        <v>21482</v>
      </c>
      <c r="B282" s="86" t="s">
        <v>21481</v>
      </c>
      <c r="C282" s="397">
        <v>955</v>
      </c>
    </row>
    <row r="283" spans="1:3">
      <c r="A283" s="86" t="s">
        <v>21480</v>
      </c>
      <c r="B283" s="86" t="s">
        <v>21476</v>
      </c>
      <c r="C283" s="397">
        <v>1502</v>
      </c>
    </row>
    <row r="284" spans="1:3">
      <c r="A284" s="86" t="s">
        <v>21479</v>
      </c>
      <c r="B284" s="86" t="s">
        <v>21476</v>
      </c>
      <c r="C284" s="397">
        <v>1502</v>
      </c>
    </row>
    <row r="285" spans="1:3">
      <c r="A285" s="86" t="s">
        <v>21478</v>
      </c>
      <c r="B285" s="86" t="s">
        <v>21476</v>
      </c>
      <c r="C285" s="397">
        <v>1502</v>
      </c>
    </row>
    <row r="286" spans="1:3">
      <c r="A286" s="86" t="s">
        <v>21477</v>
      </c>
      <c r="B286" s="86" t="s">
        <v>21476</v>
      </c>
      <c r="C286" s="397">
        <v>1712</v>
      </c>
    </row>
    <row r="287" spans="1:3">
      <c r="A287" s="86" t="s">
        <v>21475</v>
      </c>
      <c r="B287" s="86" t="s">
        <v>21474</v>
      </c>
      <c r="C287" s="397">
        <v>66</v>
      </c>
    </row>
    <row r="288" spans="1:3">
      <c r="A288" s="86" t="s">
        <v>21473</v>
      </c>
      <c r="B288" s="86" t="s">
        <v>21472</v>
      </c>
      <c r="C288" s="397">
        <v>66</v>
      </c>
    </row>
    <row r="289" spans="1:3">
      <c r="A289" s="86" t="s">
        <v>21471</v>
      </c>
      <c r="B289" s="86" t="s">
        <v>21470</v>
      </c>
      <c r="C289" s="397">
        <v>71</v>
      </c>
    </row>
    <row r="290" spans="1:3">
      <c r="A290" s="86" t="s">
        <v>21469</v>
      </c>
      <c r="B290" s="86" t="s">
        <v>21468</v>
      </c>
      <c r="C290" s="397">
        <v>342</v>
      </c>
    </row>
    <row r="291" spans="1:3">
      <c r="A291" s="86" t="s">
        <v>21467</v>
      </c>
      <c r="B291" s="86" t="s">
        <v>21466</v>
      </c>
      <c r="C291" s="397">
        <v>447</v>
      </c>
    </row>
    <row r="292" spans="1:3">
      <c r="A292" s="86" t="s">
        <v>21465</v>
      </c>
      <c r="B292" s="86" t="s">
        <v>21464</v>
      </c>
      <c r="C292" s="397">
        <v>447</v>
      </c>
    </row>
    <row r="293" spans="1:3">
      <c r="A293" s="86" t="s">
        <v>21463</v>
      </c>
      <c r="B293" s="86" t="s">
        <v>21461</v>
      </c>
      <c r="C293" s="397">
        <v>36</v>
      </c>
    </row>
    <row r="294" spans="1:3">
      <c r="A294" s="86" t="s">
        <v>21462</v>
      </c>
      <c r="B294" s="86" t="s">
        <v>21461</v>
      </c>
      <c r="C294" s="397">
        <v>36</v>
      </c>
    </row>
    <row r="295" spans="1:3">
      <c r="A295" s="86" t="s">
        <v>21460</v>
      </c>
      <c r="B295" s="86" t="s">
        <v>21458</v>
      </c>
      <c r="C295" s="397">
        <v>36</v>
      </c>
    </row>
    <row r="296" spans="1:3">
      <c r="A296" s="86" t="s">
        <v>21459</v>
      </c>
      <c r="B296" s="86" t="s">
        <v>21458</v>
      </c>
      <c r="C296" s="397">
        <v>36</v>
      </c>
    </row>
    <row r="297" spans="1:3">
      <c r="A297" s="86" t="s">
        <v>21457</v>
      </c>
      <c r="B297" s="86" t="s">
        <v>21456</v>
      </c>
      <c r="C297" s="397">
        <v>17</v>
      </c>
    </row>
    <row r="298" spans="1:3">
      <c r="A298" s="86" t="s">
        <v>21455</v>
      </c>
      <c r="B298" s="86" t="s">
        <v>21454</v>
      </c>
      <c r="C298" s="397">
        <v>15</v>
      </c>
    </row>
    <row r="299" spans="1:3">
      <c r="A299" s="86" t="s">
        <v>157</v>
      </c>
      <c r="B299" s="86" t="s">
        <v>21453</v>
      </c>
      <c r="C299" s="397">
        <v>100</v>
      </c>
    </row>
    <row r="300" spans="1:3">
      <c r="A300" s="86" t="s">
        <v>21452</v>
      </c>
      <c r="B300" s="86" t="s">
        <v>21451</v>
      </c>
      <c r="C300" s="397">
        <v>89</v>
      </c>
    </row>
    <row r="301" spans="1:3">
      <c r="A301" s="86" t="s">
        <v>21450</v>
      </c>
      <c r="B301" s="86" t="s">
        <v>21449</v>
      </c>
      <c r="C301" s="397">
        <v>123</v>
      </c>
    </row>
    <row r="302" spans="1:3">
      <c r="A302" s="86" t="s">
        <v>21448</v>
      </c>
      <c r="B302" s="86" t="s">
        <v>21447</v>
      </c>
      <c r="C302" s="397">
        <v>123</v>
      </c>
    </row>
    <row r="303" spans="1:3">
      <c r="A303" s="86" t="s">
        <v>21446</v>
      </c>
      <c r="B303" s="86" t="s">
        <v>21445</v>
      </c>
      <c r="C303" s="397">
        <v>123</v>
      </c>
    </row>
    <row r="304" spans="1:3">
      <c r="A304" s="86" t="s">
        <v>21444</v>
      </c>
      <c r="B304" s="86" t="s">
        <v>21443</v>
      </c>
      <c r="C304" s="397">
        <v>89</v>
      </c>
    </row>
    <row r="305" spans="1:3">
      <c r="A305" s="86" t="s">
        <v>21442</v>
      </c>
      <c r="B305" s="86" t="s">
        <v>21441</v>
      </c>
      <c r="C305" s="397">
        <v>158</v>
      </c>
    </row>
    <row r="306" spans="1:3">
      <c r="A306" s="86" t="s">
        <v>21440</v>
      </c>
      <c r="B306" s="86" t="s">
        <v>21439</v>
      </c>
      <c r="C306" s="397">
        <v>158</v>
      </c>
    </row>
    <row r="307" spans="1:3">
      <c r="A307" s="86" t="s">
        <v>21438</v>
      </c>
      <c r="B307" s="86" t="s">
        <v>21437</v>
      </c>
      <c r="C307" s="397">
        <v>53</v>
      </c>
    </row>
    <row r="308" spans="1:3">
      <c r="A308" s="86" t="s">
        <v>21436</v>
      </c>
      <c r="B308" s="86" t="s">
        <v>21435</v>
      </c>
      <c r="C308" s="397">
        <v>72</v>
      </c>
    </row>
    <row r="309" spans="1:3">
      <c r="A309" s="86" t="s">
        <v>21434</v>
      </c>
      <c r="B309" s="86" t="s">
        <v>21433</v>
      </c>
      <c r="C309" s="397">
        <v>95</v>
      </c>
    </row>
    <row r="310" spans="1:3">
      <c r="A310" s="86" t="s">
        <v>21432</v>
      </c>
      <c r="B310" s="86" t="s">
        <v>21431</v>
      </c>
      <c r="C310" s="397">
        <v>120</v>
      </c>
    </row>
    <row r="311" spans="1:3">
      <c r="A311" s="86" t="s">
        <v>21430</v>
      </c>
      <c r="B311" s="86" t="s">
        <v>21429</v>
      </c>
      <c r="C311" s="397">
        <v>141</v>
      </c>
    </row>
    <row r="312" spans="1:3">
      <c r="A312" s="86" t="s">
        <v>21428</v>
      </c>
      <c r="B312" s="86" t="s">
        <v>21427</v>
      </c>
      <c r="C312" s="397">
        <v>188</v>
      </c>
    </row>
    <row r="313" spans="1:3">
      <c r="A313" s="86" t="s">
        <v>21426</v>
      </c>
      <c r="B313" s="86" t="s">
        <v>21425</v>
      </c>
      <c r="C313" s="397">
        <v>38</v>
      </c>
    </row>
    <row r="314" spans="1:3">
      <c r="A314" s="86" t="s">
        <v>21424</v>
      </c>
      <c r="B314" s="86" t="s">
        <v>21423</v>
      </c>
      <c r="C314" s="397">
        <v>49</v>
      </c>
    </row>
    <row r="315" spans="1:3">
      <c r="A315" s="86" t="s">
        <v>21422</v>
      </c>
      <c r="B315" s="86" t="s">
        <v>21421</v>
      </c>
      <c r="C315" s="397">
        <v>45</v>
      </c>
    </row>
    <row r="316" spans="1:3">
      <c r="A316" s="86" t="s">
        <v>21420</v>
      </c>
      <c r="B316" s="86" t="s">
        <v>21419</v>
      </c>
      <c r="C316" s="397">
        <v>50</v>
      </c>
    </row>
    <row r="317" spans="1:3">
      <c r="A317" s="86" t="s">
        <v>21418</v>
      </c>
      <c r="B317" s="86" t="s">
        <v>21417</v>
      </c>
      <c r="C317" s="397">
        <v>66</v>
      </c>
    </row>
    <row r="318" spans="1:3">
      <c r="A318" s="86" t="s">
        <v>21416</v>
      </c>
      <c r="B318" s="86" t="s">
        <v>21415</v>
      </c>
      <c r="C318" s="397">
        <v>165</v>
      </c>
    </row>
    <row r="319" spans="1:3">
      <c r="A319" s="86" t="s">
        <v>21414</v>
      </c>
      <c r="B319" s="86" t="s">
        <v>21413</v>
      </c>
      <c r="C319" s="397">
        <v>165</v>
      </c>
    </row>
    <row r="320" spans="1:3">
      <c r="A320" s="86" t="s">
        <v>21412</v>
      </c>
      <c r="B320" s="86" t="s">
        <v>21411</v>
      </c>
      <c r="C320" s="397">
        <v>259</v>
      </c>
    </row>
    <row r="321" spans="1:3">
      <c r="A321" s="86" t="s">
        <v>21410</v>
      </c>
      <c r="B321" s="86" t="s">
        <v>21409</v>
      </c>
      <c r="C321" s="397">
        <v>75</v>
      </c>
    </row>
    <row r="322" spans="1:3">
      <c r="A322" s="86" t="s">
        <v>21408</v>
      </c>
      <c r="B322" s="86" t="s">
        <v>21407</v>
      </c>
      <c r="C322" s="397">
        <v>2611</v>
      </c>
    </row>
    <row r="323" spans="1:3">
      <c r="A323" s="86" t="s">
        <v>21406</v>
      </c>
      <c r="B323" s="86" t="s">
        <v>21405</v>
      </c>
      <c r="C323" s="397">
        <v>2611</v>
      </c>
    </row>
    <row r="324" spans="1:3">
      <c r="A324" s="86" t="s">
        <v>21404</v>
      </c>
      <c r="B324" s="86" t="s">
        <v>21403</v>
      </c>
      <c r="C324" s="397">
        <v>2611</v>
      </c>
    </row>
    <row r="325" spans="1:3">
      <c r="A325" s="86" t="s">
        <v>21402</v>
      </c>
      <c r="B325" s="86" t="s">
        <v>21401</v>
      </c>
      <c r="C325" s="397">
        <v>2611</v>
      </c>
    </row>
    <row r="326" spans="1:3">
      <c r="A326" s="86" t="s">
        <v>21400</v>
      </c>
      <c r="B326" s="86" t="s">
        <v>21399</v>
      </c>
      <c r="C326" s="397">
        <v>2611</v>
      </c>
    </row>
    <row r="327" spans="1:3">
      <c r="A327" s="86" t="s">
        <v>21398</v>
      </c>
      <c r="B327" s="86" t="s">
        <v>21397</v>
      </c>
      <c r="C327" s="397">
        <v>2611</v>
      </c>
    </row>
    <row r="328" spans="1:3">
      <c r="A328" s="86" t="s">
        <v>84</v>
      </c>
      <c r="B328" s="86" t="s">
        <v>21396</v>
      </c>
      <c r="C328" s="397">
        <v>419</v>
      </c>
    </row>
    <row r="329" spans="1:3">
      <c r="A329" s="86" t="s">
        <v>21395</v>
      </c>
      <c r="B329" s="86" t="s">
        <v>21394</v>
      </c>
      <c r="C329" s="397">
        <v>524</v>
      </c>
    </row>
    <row r="330" spans="1:3">
      <c r="A330" s="86" t="s">
        <v>21393</v>
      </c>
      <c r="B330" s="86" t="s">
        <v>21392</v>
      </c>
      <c r="C330" s="397">
        <v>439</v>
      </c>
    </row>
    <row r="331" spans="1:3">
      <c r="A331" s="86" t="s">
        <v>21391</v>
      </c>
      <c r="B331" s="86" t="s">
        <v>21390</v>
      </c>
      <c r="C331" s="397">
        <v>852</v>
      </c>
    </row>
    <row r="332" spans="1:3">
      <c r="A332" s="86" t="s">
        <v>21389</v>
      </c>
      <c r="B332" s="86" t="s">
        <v>21388</v>
      </c>
      <c r="C332" s="397">
        <v>939</v>
      </c>
    </row>
    <row r="333" spans="1:3">
      <c r="A333" s="86" t="s">
        <v>21387</v>
      </c>
      <c r="B333" s="86" t="s">
        <v>21386</v>
      </c>
      <c r="C333" s="397">
        <v>852</v>
      </c>
    </row>
    <row r="334" spans="1:3">
      <c r="A334" s="86" t="s">
        <v>21385</v>
      </c>
      <c r="B334" s="86" t="s">
        <v>21384</v>
      </c>
      <c r="C334" s="397">
        <v>1100</v>
      </c>
    </row>
    <row r="335" spans="1:3">
      <c r="A335" s="86" t="s">
        <v>21383</v>
      </c>
      <c r="B335" s="86" t="s">
        <v>21382</v>
      </c>
      <c r="C335" s="397">
        <v>1100</v>
      </c>
    </row>
    <row r="336" spans="1:3">
      <c r="A336" s="86" t="s">
        <v>21381</v>
      </c>
      <c r="B336" s="86" t="s">
        <v>21380</v>
      </c>
      <c r="C336" s="397">
        <v>876</v>
      </c>
    </row>
    <row r="337" spans="1:3">
      <c r="A337" s="86" t="s">
        <v>21379</v>
      </c>
      <c r="B337" s="86" t="s">
        <v>21378</v>
      </c>
      <c r="C337" s="397">
        <v>852</v>
      </c>
    </row>
    <row r="338" spans="1:3">
      <c r="A338" s="86" t="s">
        <v>21377</v>
      </c>
      <c r="B338" s="86" t="s">
        <v>21376</v>
      </c>
      <c r="C338" s="397">
        <v>74</v>
      </c>
    </row>
    <row r="339" spans="1:3">
      <c r="A339" s="86" t="s">
        <v>21375</v>
      </c>
      <c r="B339" s="86" t="s">
        <v>21374</v>
      </c>
      <c r="C339" s="397">
        <v>94</v>
      </c>
    </row>
    <row r="340" spans="1:3">
      <c r="A340" s="86" t="s">
        <v>21373</v>
      </c>
      <c r="B340" s="86" t="s">
        <v>21372</v>
      </c>
      <c r="C340" s="397">
        <v>118</v>
      </c>
    </row>
    <row r="341" spans="1:3">
      <c r="A341" s="86" t="s">
        <v>21371</v>
      </c>
      <c r="B341" s="86" t="s">
        <v>21369</v>
      </c>
      <c r="C341" s="397">
        <v>118</v>
      </c>
    </row>
    <row r="342" spans="1:3">
      <c r="A342" s="86" t="s">
        <v>21370</v>
      </c>
      <c r="B342" s="86" t="s">
        <v>21369</v>
      </c>
      <c r="C342" s="397">
        <v>118</v>
      </c>
    </row>
    <row r="343" spans="1:3">
      <c r="A343" s="86" t="s">
        <v>21368</v>
      </c>
      <c r="B343" s="86" t="s">
        <v>21367</v>
      </c>
      <c r="C343" s="397">
        <v>94</v>
      </c>
    </row>
    <row r="344" spans="1:3">
      <c r="A344" s="86" t="s">
        <v>21366</v>
      </c>
      <c r="B344" s="86" t="s">
        <v>21365</v>
      </c>
      <c r="C344" s="397">
        <v>94</v>
      </c>
    </row>
    <row r="345" spans="1:3">
      <c r="A345" s="86" t="s">
        <v>21364</v>
      </c>
      <c r="B345" s="86" t="s">
        <v>21363</v>
      </c>
      <c r="C345" s="397">
        <v>63</v>
      </c>
    </row>
    <row r="346" spans="1:3">
      <c r="A346" s="86" t="s">
        <v>21362</v>
      </c>
      <c r="B346" s="86" t="s">
        <v>21361</v>
      </c>
      <c r="C346" s="397">
        <v>94</v>
      </c>
    </row>
    <row r="347" spans="1:3">
      <c r="A347" s="86" t="s">
        <v>21360</v>
      </c>
      <c r="B347" s="86" t="s">
        <v>21359</v>
      </c>
      <c r="C347" s="397">
        <v>107</v>
      </c>
    </row>
    <row r="348" spans="1:3">
      <c r="A348" s="86" t="s">
        <v>21358</v>
      </c>
      <c r="B348" s="86" t="s">
        <v>21357</v>
      </c>
      <c r="C348" s="397">
        <v>53</v>
      </c>
    </row>
    <row r="349" spans="1:3">
      <c r="A349" s="86" t="s">
        <v>21356</v>
      </c>
      <c r="B349" s="86" t="s">
        <v>21355</v>
      </c>
      <c r="C349" s="397">
        <v>53</v>
      </c>
    </row>
    <row r="350" spans="1:3">
      <c r="A350" s="86" t="s">
        <v>21354</v>
      </c>
      <c r="B350" s="86" t="s">
        <v>21353</v>
      </c>
      <c r="C350" s="397">
        <v>53</v>
      </c>
    </row>
    <row r="351" spans="1:3">
      <c r="A351" s="86" t="s">
        <v>21352</v>
      </c>
      <c r="B351" s="86" t="s">
        <v>21351</v>
      </c>
      <c r="C351" s="397">
        <v>62</v>
      </c>
    </row>
    <row r="352" spans="1:3">
      <c r="A352" s="86" t="s">
        <v>21350</v>
      </c>
      <c r="B352" s="86" t="s">
        <v>21349</v>
      </c>
      <c r="C352" s="397">
        <v>74</v>
      </c>
    </row>
    <row r="353" spans="1:3">
      <c r="A353" s="86" t="s">
        <v>21348</v>
      </c>
      <c r="B353" s="86" t="s">
        <v>21347</v>
      </c>
      <c r="C353" s="397">
        <v>74</v>
      </c>
    </row>
    <row r="354" spans="1:3">
      <c r="A354" s="86" t="s">
        <v>21346</v>
      </c>
      <c r="B354" s="86" t="s">
        <v>21345</v>
      </c>
      <c r="C354" s="397">
        <v>74</v>
      </c>
    </row>
    <row r="355" spans="1:3">
      <c r="A355" s="86" t="s">
        <v>21344</v>
      </c>
      <c r="B355" s="86" t="s">
        <v>21343</v>
      </c>
      <c r="C355" s="397">
        <v>62</v>
      </c>
    </row>
    <row r="356" spans="1:3">
      <c r="A356" s="86" t="s">
        <v>21342</v>
      </c>
      <c r="B356" s="86" t="s">
        <v>21341</v>
      </c>
      <c r="C356" s="397">
        <v>62</v>
      </c>
    </row>
    <row r="357" spans="1:3">
      <c r="A357" s="86" t="s">
        <v>21340</v>
      </c>
      <c r="B357" s="86" t="s">
        <v>21339</v>
      </c>
      <c r="C357" s="397">
        <v>53</v>
      </c>
    </row>
    <row r="358" spans="1:3">
      <c r="A358" s="86" t="s">
        <v>21338</v>
      </c>
      <c r="B358" s="86" t="s">
        <v>21336</v>
      </c>
      <c r="C358" s="397">
        <v>173</v>
      </c>
    </row>
    <row r="359" spans="1:3">
      <c r="A359" s="86" t="s">
        <v>21337</v>
      </c>
      <c r="B359" s="86" t="s">
        <v>21336</v>
      </c>
      <c r="C359" s="397">
        <v>173</v>
      </c>
    </row>
    <row r="360" spans="1:3">
      <c r="A360" s="86" t="s">
        <v>21335</v>
      </c>
      <c r="B360" s="86" t="s">
        <v>21334</v>
      </c>
      <c r="C360" s="397">
        <v>53</v>
      </c>
    </row>
    <row r="361" spans="1:3">
      <c r="A361" s="86" t="s">
        <v>21333</v>
      </c>
      <c r="B361" s="86" t="s">
        <v>21332</v>
      </c>
      <c r="C361" s="397">
        <v>94</v>
      </c>
    </row>
    <row r="362" spans="1:3">
      <c r="A362" s="86" t="s">
        <v>21331</v>
      </c>
      <c r="B362" s="86" t="s">
        <v>21328</v>
      </c>
      <c r="C362" s="397">
        <v>162</v>
      </c>
    </row>
    <row r="363" spans="1:3">
      <c r="A363" s="86" t="s">
        <v>21330</v>
      </c>
      <c r="B363" s="86" t="s">
        <v>21328</v>
      </c>
      <c r="C363" s="397">
        <v>94</v>
      </c>
    </row>
    <row r="364" spans="1:3">
      <c r="A364" s="86" t="s">
        <v>21329</v>
      </c>
      <c r="B364" s="86" t="s">
        <v>21328</v>
      </c>
      <c r="C364" s="397">
        <v>107</v>
      </c>
    </row>
    <row r="365" spans="1:3">
      <c r="A365" s="86" t="s">
        <v>21327</v>
      </c>
      <c r="B365" s="86" t="s">
        <v>21326</v>
      </c>
      <c r="C365" s="397">
        <v>156</v>
      </c>
    </row>
    <row r="366" spans="1:3">
      <c r="A366" s="86" t="s">
        <v>21325</v>
      </c>
      <c r="B366" s="86" t="s">
        <v>21324</v>
      </c>
      <c r="C366" s="397">
        <v>53</v>
      </c>
    </row>
    <row r="367" spans="1:3">
      <c r="A367" s="86" t="s">
        <v>21323</v>
      </c>
      <c r="B367" s="86" t="s">
        <v>21322</v>
      </c>
      <c r="C367" s="397">
        <v>80</v>
      </c>
    </row>
    <row r="368" spans="1:3">
      <c r="A368" s="86" t="s">
        <v>21321</v>
      </c>
      <c r="B368" s="86" t="s">
        <v>21320</v>
      </c>
      <c r="C368" s="397">
        <v>53</v>
      </c>
    </row>
    <row r="369" spans="1:3">
      <c r="A369" s="86" t="s">
        <v>21319</v>
      </c>
      <c r="B369" s="86" t="s">
        <v>21318</v>
      </c>
      <c r="C369" s="397">
        <v>77</v>
      </c>
    </row>
    <row r="370" spans="1:3">
      <c r="A370" s="86" t="s">
        <v>21317</v>
      </c>
      <c r="B370" s="86" t="s">
        <v>21316</v>
      </c>
      <c r="C370" s="397">
        <v>62</v>
      </c>
    </row>
    <row r="371" spans="1:3">
      <c r="A371" s="86" t="s">
        <v>21315</v>
      </c>
      <c r="B371" s="86" t="s">
        <v>21314</v>
      </c>
      <c r="C371" s="397">
        <v>70</v>
      </c>
    </row>
    <row r="372" spans="1:3">
      <c r="A372" s="86" t="s">
        <v>21313</v>
      </c>
      <c r="B372" s="86" t="s">
        <v>21312</v>
      </c>
      <c r="C372" s="397">
        <v>94</v>
      </c>
    </row>
    <row r="373" spans="1:3">
      <c r="A373" s="86" t="s">
        <v>21311</v>
      </c>
      <c r="B373" s="86" t="s">
        <v>21310</v>
      </c>
      <c r="C373" s="397">
        <v>53</v>
      </c>
    </row>
    <row r="374" spans="1:3">
      <c r="A374" s="86" t="s">
        <v>21309</v>
      </c>
      <c r="B374" s="86" t="s">
        <v>21308</v>
      </c>
      <c r="C374" s="397">
        <v>156</v>
      </c>
    </row>
    <row r="375" spans="1:3">
      <c r="A375" s="86" t="s">
        <v>21307</v>
      </c>
      <c r="B375" s="86" t="s">
        <v>21306</v>
      </c>
      <c r="C375" s="397">
        <v>53</v>
      </c>
    </row>
    <row r="376" spans="1:3">
      <c r="A376" s="86" t="s">
        <v>21305</v>
      </c>
      <c r="B376" s="86" t="s">
        <v>21304</v>
      </c>
      <c r="C376" s="397">
        <v>218</v>
      </c>
    </row>
    <row r="377" spans="1:3">
      <c r="A377" s="86" t="s">
        <v>21303</v>
      </c>
      <c r="B377" s="86" t="s">
        <v>21302</v>
      </c>
      <c r="C377" s="397">
        <v>218</v>
      </c>
    </row>
    <row r="378" spans="1:3">
      <c r="A378" s="86" t="s">
        <v>21301</v>
      </c>
      <c r="B378" s="86" t="s">
        <v>21300</v>
      </c>
      <c r="C378" s="397">
        <v>53</v>
      </c>
    </row>
    <row r="379" spans="1:3">
      <c r="A379" s="86" t="s">
        <v>21299</v>
      </c>
      <c r="B379" s="86" t="s">
        <v>21298</v>
      </c>
      <c r="C379" s="397">
        <v>53</v>
      </c>
    </row>
    <row r="380" spans="1:3">
      <c r="A380" s="86" t="s">
        <v>21297</v>
      </c>
      <c r="B380" s="86" t="s">
        <v>21295</v>
      </c>
      <c r="C380" s="397">
        <v>104</v>
      </c>
    </row>
    <row r="381" spans="1:3">
      <c r="A381" s="86" t="s">
        <v>21296</v>
      </c>
      <c r="B381" s="86" t="s">
        <v>21295</v>
      </c>
      <c r="C381" s="397">
        <v>92</v>
      </c>
    </row>
    <row r="382" spans="1:3">
      <c r="A382" s="86" t="s">
        <v>21294</v>
      </c>
      <c r="B382" s="86" t="s">
        <v>21293</v>
      </c>
      <c r="C382" s="397">
        <v>94</v>
      </c>
    </row>
    <row r="383" spans="1:3">
      <c r="A383" s="86" t="s">
        <v>21292</v>
      </c>
      <c r="B383" s="86" t="s">
        <v>21291</v>
      </c>
      <c r="C383" s="397">
        <v>92</v>
      </c>
    </row>
    <row r="384" spans="1:3">
      <c r="A384" s="86" t="s">
        <v>21290</v>
      </c>
      <c r="B384" s="86" t="s">
        <v>21289</v>
      </c>
      <c r="C384" s="397">
        <v>182</v>
      </c>
    </row>
    <row r="385" spans="1:3">
      <c r="A385" s="86" t="s">
        <v>21288</v>
      </c>
      <c r="B385" s="86" t="s">
        <v>21287</v>
      </c>
      <c r="C385" s="397">
        <v>182</v>
      </c>
    </row>
    <row r="386" spans="1:3">
      <c r="A386" s="86" t="s">
        <v>21286</v>
      </c>
      <c r="B386" s="86" t="s">
        <v>21285</v>
      </c>
      <c r="C386" s="397">
        <v>182</v>
      </c>
    </row>
    <row r="387" spans="1:3">
      <c r="A387" s="86" t="s">
        <v>21284</v>
      </c>
      <c r="B387" s="86" t="s">
        <v>21282</v>
      </c>
      <c r="C387" s="397">
        <v>405</v>
      </c>
    </row>
    <row r="388" spans="1:3">
      <c r="A388" s="86" t="s">
        <v>21283</v>
      </c>
      <c r="B388" s="86" t="s">
        <v>21282</v>
      </c>
      <c r="C388" s="397">
        <v>248</v>
      </c>
    </row>
    <row r="389" spans="1:3">
      <c r="A389" s="86" t="s">
        <v>21281</v>
      </c>
      <c r="B389" s="86" t="s">
        <v>21280</v>
      </c>
      <c r="C389" s="397">
        <v>182</v>
      </c>
    </row>
    <row r="390" spans="1:3">
      <c r="A390" s="86" t="s">
        <v>21279</v>
      </c>
      <c r="B390" s="86" t="s">
        <v>21278</v>
      </c>
      <c r="C390" s="397">
        <v>772</v>
      </c>
    </row>
    <row r="391" spans="1:3">
      <c r="A391" s="86" t="s">
        <v>21277</v>
      </c>
      <c r="B391" s="86" t="s">
        <v>21276</v>
      </c>
      <c r="C391" s="397">
        <v>418</v>
      </c>
    </row>
    <row r="392" spans="1:3">
      <c r="A392" s="86" t="s">
        <v>21275</v>
      </c>
      <c r="B392" s="86" t="s">
        <v>21274</v>
      </c>
      <c r="C392" s="397">
        <v>527</v>
      </c>
    </row>
    <row r="393" spans="1:3">
      <c r="A393" s="86" t="s">
        <v>21273</v>
      </c>
      <c r="B393" s="86" t="s">
        <v>21272</v>
      </c>
      <c r="C393" s="397">
        <v>772</v>
      </c>
    </row>
    <row r="394" spans="1:3">
      <c r="A394" s="86" t="s">
        <v>21271</v>
      </c>
      <c r="B394" s="86" t="s">
        <v>21270</v>
      </c>
      <c r="C394" s="397">
        <v>120</v>
      </c>
    </row>
    <row r="395" spans="1:3">
      <c r="A395" s="86" t="s">
        <v>21269</v>
      </c>
      <c r="B395" s="86" t="s">
        <v>21268</v>
      </c>
      <c r="C395" s="397">
        <v>135</v>
      </c>
    </row>
    <row r="396" spans="1:3">
      <c r="A396" s="86" t="s">
        <v>156</v>
      </c>
      <c r="B396" s="86" t="s">
        <v>21267</v>
      </c>
      <c r="C396" s="397">
        <v>157</v>
      </c>
    </row>
    <row r="397" spans="1:3">
      <c r="A397" s="86" t="s">
        <v>21266</v>
      </c>
      <c r="B397" s="86" t="s">
        <v>21265</v>
      </c>
      <c r="C397" s="397">
        <v>137</v>
      </c>
    </row>
    <row r="398" spans="1:3">
      <c r="A398" s="86" t="s">
        <v>21264</v>
      </c>
      <c r="B398" s="86" t="s">
        <v>21263</v>
      </c>
      <c r="C398" s="397">
        <v>149</v>
      </c>
    </row>
    <row r="399" spans="1:3">
      <c r="A399" s="86" t="s">
        <v>21262</v>
      </c>
      <c r="B399" s="86" t="s">
        <v>21261</v>
      </c>
      <c r="C399" s="397">
        <v>100</v>
      </c>
    </row>
    <row r="400" spans="1:3">
      <c r="A400" s="86" t="s">
        <v>21260</v>
      </c>
      <c r="B400" s="86" t="s">
        <v>21259</v>
      </c>
      <c r="C400" s="397">
        <v>39</v>
      </c>
    </row>
    <row r="401" spans="1:3">
      <c r="A401" s="86" t="s">
        <v>21258</v>
      </c>
      <c r="B401" s="86" t="s">
        <v>21257</v>
      </c>
      <c r="C401" s="397">
        <v>229</v>
      </c>
    </row>
    <row r="402" spans="1:3">
      <c r="A402" s="86" t="s">
        <v>21256</v>
      </c>
      <c r="B402" s="86" t="s">
        <v>21255</v>
      </c>
      <c r="C402" s="397">
        <v>229</v>
      </c>
    </row>
    <row r="403" spans="1:3">
      <c r="A403" s="86" t="s">
        <v>21254</v>
      </c>
      <c r="B403" s="86" t="s">
        <v>21253</v>
      </c>
      <c r="C403" s="397">
        <v>229</v>
      </c>
    </row>
    <row r="404" spans="1:3">
      <c r="A404" s="86" t="s">
        <v>21252</v>
      </c>
      <c r="B404" s="86" t="s">
        <v>21251</v>
      </c>
      <c r="C404" s="397">
        <v>20</v>
      </c>
    </row>
    <row r="405" spans="1:3">
      <c r="A405" s="86" t="s">
        <v>21250</v>
      </c>
      <c r="B405" s="86" t="s">
        <v>21249</v>
      </c>
      <c r="C405" s="397">
        <v>21</v>
      </c>
    </row>
    <row r="406" spans="1:3">
      <c r="A406" s="86" t="s">
        <v>21248</v>
      </c>
      <c r="B406" s="86" t="s">
        <v>21247</v>
      </c>
      <c r="C406" s="397">
        <v>259</v>
      </c>
    </row>
    <row r="407" spans="1:3">
      <c r="A407" s="86" t="s">
        <v>21246</v>
      </c>
      <c r="B407" s="86" t="s">
        <v>21245</v>
      </c>
      <c r="C407" s="397">
        <v>46</v>
      </c>
    </row>
    <row r="408" spans="1:3">
      <c r="A408" s="86" t="s">
        <v>21244</v>
      </c>
      <c r="B408" s="86" t="s">
        <v>21243</v>
      </c>
      <c r="C408" s="397">
        <v>185</v>
      </c>
    </row>
    <row r="409" spans="1:3">
      <c r="A409" s="86" t="s">
        <v>21242</v>
      </c>
      <c r="B409" s="86" t="s">
        <v>21241</v>
      </c>
      <c r="C409" s="397">
        <v>259</v>
      </c>
    </row>
    <row r="410" spans="1:3">
      <c r="A410" s="86" t="s">
        <v>21240</v>
      </c>
      <c r="B410" s="86" t="s">
        <v>21239</v>
      </c>
      <c r="C410" s="397">
        <v>269</v>
      </c>
    </row>
    <row r="411" spans="1:3">
      <c r="A411" s="86" t="s">
        <v>21238</v>
      </c>
      <c r="B411" s="86" t="s">
        <v>21237</v>
      </c>
      <c r="C411" s="397">
        <v>202</v>
      </c>
    </row>
    <row r="412" spans="1:3">
      <c r="A412" s="86" t="s">
        <v>21236</v>
      </c>
      <c r="B412" s="86" t="s">
        <v>21225</v>
      </c>
      <c r="C412" s="397">
        <v>259</v>
      </c>
    </row>
    <row r="413" spans="1:3">
      <c r="A413" s="86" t="s">
        <v>21235</v>
      </c>
      <c r="B413" s="86" t="s">
        <v>21225</v>
      </c>
      <c r="C413" s="397">
        <v>259</v>
      </c>
    </row>
    <row r="414" spans="1:3">
      <c r="A414" s="86" t="s">
        <v>21234</v>
      </c>
      <c r="B414" s="86" t="s">
        <v>21225</v>
      </c>
      <c r="C414" s="397">
        <v>259</v>
      </c>
    </row>
    <row r="415" spans="1:3">
      <c r="A415" s="86" t="s">
        <v>21233</v>
      </c>
      <c r="B415" s="86" t="s">
        <v>21225</v>
      </c>
      <c r="C415" s="397">
        <v>259</v>
      </c>
    </row>
    <row r="416" spans="1:3">
      <c r="A416" s="86" t="s">
        <v>21232</v>
      </c>
      <c r="B416" s="86" t="s">
        <v>21225</v>
      </c>
      <c r="C416" s="397">
        <v>282</v>
      </c>
    </row>
    <row r="417" spans="1:3">
      <c r="A417" s="86" t="s">
        <v>21231</v>
      </c>
      <c r="B417" s="86" t="s">
        <v>21225</v>
      </c>
      <c r="C417" s="397">
        <v>282</v>
      </c>
    </row>
    <row r="418" spans="1:3">
      <c r="A418" s="86" t="s">
        <v>21230</v>
      </c>
      <c r="B418" s="86" t="s">
        <v>21225</v>
      </c>
      <c r="C418" s="397">
        <v>282</v>
      </c>
    </row>
    <row r="419" spans="1:3">
      <c r="A419" s="86" t="s">
        <v>21229</v>
      </c>
      <c r="B419" s="86" t="s">
        <v>21225</v>
      </c>
      <c r="C419" s="397">
        <v>282</v>
      </c>
    </row>
    <row r="420" spans="1:3">
      <c r="A420" s="86" t="s">
        <v>21228</v>
      </c>
      <c r="B420" s="86" t="s">
        <v>21225</v>
      </c>
      <c r="C420" s="397">
        <v>282</v>
      </c>
    </row>
    <row r="421" spans="1:3">
      <c r="A421" s="86" t="s">
        <v>21227</v>
      </c>
      <c r="B421" s="86" t="s">
        <v>21225</v>
      </c>
      <c r="C421" s="397">
        <v>282</v>
      </c>
    </row>
    <row r="422" spans="1:3">
      <c r="A422" s="86" t="s">
        <v>21226</v>
      </c>
      <c r="B422" s="86" t="s">
        <v>21225</v>
      </c>
      <c r="C422" s="397">
        <v>282</v>
      </c>
    </row>
    <row r="423" spans="1:3">
      <c r="A423" s="86" t="s">
        <v>21224</v>
      </c>
      <c r="B423" s="86" t="s">
        <v>21223</v>
      </c>
      <c r="C423" s="397">
        <v>37</v>
      </c>
    </row>
    <row r="424" spans="1:3">
      <c r="A424" s="86" t="s">
        <v>21222</v>
      </c>
      <c r="B424" s="86" t="s">
        <v>21221</v>
      </c>
      <c r="C424" s="397">
        <v>471</v>
      </c>
    </row>
    <row r="425" spans="1:3">
      <c r="A425" s="86" t="s">
        <v>21220</v>
      </c>
      <c r="B425" s="86" t="s">
        <v>21219</v>
      </c>
      <c r="C425" s="397">
        <v>20</v>
      </c>
    </row>
    <row r="426" spans="1:3">
      <c r="A426" s="86" t="s">
        <v>21218</v>
      </c>
      <c r="B426" s="86" t="s">
        <v>21217</v>
      </c>
      <c r="C426" s="397">
        <v>242</v>
      </c>
    </row>
    <row r="427" spans="1:3">
      <c r="A427" s="86" t="s">
        <v>21216</v>
      </c>
      <c r="B427" s="86" t="s">
        <v>21215</v>
      </c>
      <c r="C427" s="397">
        <v>21</v>
      </c>
    </row>
    <row r="428" spans="1:3">
      <c r="A428" s="86" t="s">
        <v>21214</v>
      </c>
      <c r="B428" s="86" t="s">
        <v>21213</v>
      </c>
      <c r="C428" s="397">
        <v>242</v>
      </c>
    </row>
    <row r="429" spans="1:3">
      <c r="A429" s="86" t="s">
        <v>21212</v>
      </c>
      <c r="B429" s="86" t="s">
        <v>21211</v>
      </c>
      <c r="C429" s="397">
        <v>262</v>
      </c>
    </row>
    <row r="430" spans="1:3">
      <c r="A430" s="86" t="s">
        <v>21210</v>
      </c>
      <c r="B430" s="86" t="s">
        <v>21209</v>
      </c>
      <c r="C430" s="397">
        <v>62</v>
      </c>
    </row>
    <row r="431" spans="1:3">
      <c r="A431" s="86" t="s">
        <v>21208</v>
      </c>
      <c r="B431" s="86" t="s">
        <v>21207</v>
      </c>
      <c r="C431" s="397">
        <v>259</v>
      </c>
    </row>
    <row r="432" spans="1:3">
      <c r="A432" s="86" t="s">
        <v>21206</v>
      </c>
      <c r="B432" s="86" t="s">
        <v>21205</v>
      </c>
      <c r="C432" s="397">
        <v>38</v>
      </c>
    </row>
    <row r="433" spans="1:3">
      <c r="A433" s="86" t="s">
        <v>21204</v>
      </c>
      <c r="B433" s="86" t="s">
        <v>21203</v>
      </c>
      <c r="C433" s="397">
        <v>259</v>
      </c>
    </row>
    <row r="434" spans="1:3">
      <c r="A434" s="86" t="s">
        <v>21202</v>
      </c>
      <c r="B434" s="86" t="s">
        <v>21201</v>
      </c>
      <c r="C434" s="397">
        <v>59</v>
      </c>
    </row>
    <row r="435" spans="1:3">
      <c r="A435" s="86" t="s">
        <v>21200</v>
      </c>
      <c r="B435" s="86" t="s">
        <v>21191</v>
      </c>
      <c r="C435" s="397">
        <v>259</v>
      </c>
    </row>
    <row r="436" spans="1:3">
      <c r="A436" s="86" t="s">
        <v>21199</v>
      </c>
      <c r="B436" s="86" t="s">
        <v>21191</v>
      </c>
      <c r="C436" s="397">
        <v>259</v>
      </c>
    </row>
    <row r="437" spans="1:3">
      <c r="A437" s="86" t="s">
        <v>21198</v>
      </c>
      <c r="B437" s="86" t="s">
        <v>21191</v>
      </c>
      <c r="C437" s="397">
        <v>259</v>
      </c>
    </row>
    <row r="438" spans="1:3">
      <c r="A438" s="86" t="s">
        <v>21197</v>
      </c>
      <c r="B438" s="86" t="s">
        <v>21191</v>
      </c>
      <c r="C438" s="397">
        <v>259</v>
      </c>
    </row>
    <row r="439" spans="1:3">
      <c r="A439" s="86" t="s">
        <v>21196</v>
      </c>
      <c r="B439" s="86" t="s">
        <v>21191</v>
      </c>
      <c r="C439" s="397">
        <v>282</v>
      </c>
    </row>
    <row r="440" spans="1:3">
      <c r="A440" s="86" t="s">
        <v>21195</v>
      </c>
      <c r="B440" s="86" t="s">
        <v>21191</v>
      </c>
      <c r="C440" s="397">
        <v>282</v>
      </c>
    </row>
    <row r="441" spans="1:3">
      <c r="A441" s="86" t="s">
        <v>21194</v>
      </c>
      <c r="B441" s="86" t="s">
        <v>21191</v>
      </c>
      <c r="C441" s="397">
        <v>282</v>
      </c>
    </row>
    <row r="442" spans="1:3">
      <c r="A442" s="86" t="s">
        <v>21193</v>
      </c>
      <c r="B442" s="86" t="s">
        <v>21191</v>
      </c>
      <c r="C442" s="397">
        <v>282</v>
      </c>
    </row>
    <row r="443" spans="1:3">
      <c r="A443" s="86" t="s">
        <v>21192</v>
      </c>
      <c r="B443" s="86" t="s">
        <v>21191</v>
      </c>
      <c r="C443" s="397">
        <v>282</v>
      </c>
    </row>
    <row r="444" spans="1:3">
      <c r="A444" s="86" t="s">
        <v>21190</v>
      </c>
      <c r="B444" s="86" t="s">
        <v>21189</v>
      </c>
      <c r="C444" s="397">
        <v>471</v>
      </c>
    </row>
    <row r="445" spans="1:3">
      <c r="A445" s="86" t="s">
        <v>21188</v>
      </c>
      <c r="B445" s="86" t="s">
        <v>21187</v>
      </c>
      <c r="C445" s="397">
        <v>26</v>
      </c>
    </row>
    <row r="446" spans="1:3">
      <c r="A446" s="86" t="s">
        <v>21186</v>
      </c>
      <c r="B446" s="86" t="s">
        <v>21185</v>
      </c>
      <c r="C446" s="397">
        <v>26</v>
      </c>
    </row>
    <row r="447" spans="1:3">
      <c r="A447" s="86" t="s">
        <v>21184</v>
      </c>
      <c r="B447" s="86" t="s">
        <v>21183</v>
      </c>
      <c r="C447" s="397">
        <v>259</v>
      </c>
    </row>
    <row r="448" spans="1:3">
      <c r="A448" s="86" t="s">
        <v>21182</v>
      </c>
      <c r="B448" s="86" t="s">
        <v>21181</v>
      </c>
      <c r="C448" s="397">
        <v>387</v>
      </c>
    </row>
    <row r="449" spans="1:3">
      <c r="A449" s="86" t="s">
        <v>21180</v>
      </c>
      <c r="B449" s="86" t="s">
        <v>21179</v>
      </c>
      <c r="C449" s="397">
        <v>71</v>
      </c>
    </row>
    <row r="450" spans="1:3">
      <c r="A450" s="86" t="s">
        <v>21178</v>
      </c>
      <c r="B450" s="86" t="s">
        <v>21177</v>
      </c>
      <c r="C450" s="397">
        <v>387</v>
      </c>
    </row>
    <row r="451" spans="1:3">
      <c r="A451" s="86" t="s">
        <v>21176</v>
      </c>
      <c r="B451" s="86" t="s">
        <v>21168</v>
      </c>
      <c r="C451" s="397">
        <v>387</v>
      </c>
    </row>
    <row r="452" spans="1:3">
      <c r="A452" s="86" t="s">
        <v>21175</v>
      </c>
      <c r="B452" s="86" t="s">
        <v>21168</v>
      </c>
      <c r="C452" s="397">
        <v>387</v>
      </c>
    </row>
    <row r="453" spans="1:3">
      <c r="A453" s="86" t="s">
        <v>21174</v>
      </c>
      <c r="B453" s="86" t="s">
        <v>21168</v>
      </c>
      <c r="C453" s="397">
        <v>387</v>
      </c>
    </row>
    <row r="454" spans="1:3">
      <c r="A454" s="86" t="s">
        <v>21173</v>
      </c>
      <c r="B454" s="86" t="s">
        <v>21168</v>
      </c>
      <c r="C454" s="397">
        <v>387</v>
      </c>
    </row>
    <row r="455" spans="1:3">
      <c r="A455" s="86" t="s">
        <v>21172</v>
      </c>
      <c r="B455" s="86" t="s">
        <v>21168</v>
      </c>
      <c r="C455" s="397">
        <v>422</v>
      </c>
    </row>
    <row r="456" spans="1:3">
      <c r="A456" s="86" t="s">
        <v>21171</v>
      </c>
      <c r="B456" s="86" t="s">
        <v>21168</v>
      </c>
      <c r="C456" s="397">
        <v>422</v>
      </c>
    </row>
    <row r="457" spans="1:3">
      <c r="A457" s="86" t="s">
        <v>21170</v>
      </c>
      <c r="B457" s="86" t="s">
        <v>21168</v>
      </c>
      <c r="C457" s="397">
        <v>422</v>
      </c>
    </row>
    <row r="458" spans="1:3">
      <c r="A458" s="86" t="s">
        <v>21169</v>
      </c>
      <c r="B458" s="86" t="s">
        <v>21168</v>
      </c>
      <c r="C458" s="397">
        <v>422</v>
      </c>
    </row>
    <row r="459" spans="1:3">
      <c r="A459" s="86" t="s">
        <v>21167</v>
      </c>
      <c r="B459" s="86" t="s">
        <v>21166</v>
      </c>
      <c r="C459" s="397">
        <v>669</v>
      </c>
    </row>
    <row r="460" spans="1:3">
      <c r="A460" s="86" t="s">
        <v>21165</v>
      </c>
      <c r="B460" s="86" t="s">
        <v>21164</v>
      </c>
      <c r="C460" s="397">
        <v>26</v>
      </c>
    </row>
    <row r="461" spans="1:3">
      <c r="A461" s="86" t="s">
        <v>21163</v>
      </c>
      <c r="B461" s="86" t="s">
        <v>21162</v>
      </c>
      <c r="C461" s="397">
        <v>26</v>
      </c>
    </row>
    <row r="462" spans="1:3">
      <c r="A462" s="86" t="s">
        <v>21161</v>
      </c>
      <c r="B462" s="86" t="s">
        <v>21160</v>
      </c>
      <c r="C462" s="397">
        <v>32</v>
      </c>
    </row>
    <row r="463" spans="1:3">
      <c r="A463" s="86" t="s">
        <v>21159</v>
      </c>
      <c r="B463" s="86" t="s">
        <v>21158</v>
      </c>
      <c r="C463" s="397">
        <v>32</v>
      </c>
    </row>
    <row r="464" spans="1:3">
      <c r="A464" s="86" t="s">
        <v>21157</v>
      </c>
      <c r="B464" s="86" t="s">
        <v>21156</v>
      </c>
      <c r="C464" s="397">
        <v>387</v>
      </c>
    </row>
    <row r="465" spans="1:3">
      <c r="A465" s="86" t="s">
        <v>21155</v>
      </c>
      <c r="B465" s="86" t="s">
        <v>21154</v>
      </c>
      <c r="C465" s="397">
        <v>174</v>
      </c>
    </row>
    <row r="466" spans="1:3">
      <c r="A466" s="86" t="s">
        <v>21153</v>
      </c>
      <c r="B466" s="86" t="s">
        <v>21152</v>
      </c>
      <c r="C466" s="397">
        <v>100</v>
      </c>
    </row>
    <row r="467" spans="1:3">
      <c r="A467" s="86" t="s">
        <v>21151</v>
      </c>
      <c r="B467" s="86" t="s">
        <v>21150</v>
      </c>
      <c r="C467" s="397">
        <v>100</v>
      </c>
    </row>
    <row r="468" spans="1:3">
      <c r="A468" s="86" t="s">
        <v>21149</v>
      </c>
      <c r="B468" s="86" t="s">
        <v>21148</v>
      </c>
      <c r="C468" s="397">
        <v>100</v>
      </c>
    </row>
    <row r="469" spans="1:3">
      <c r="A469" s="86" t="s">
        <v>21147</v>
      </c>
      <c r="B469" s="86" t="s">
        <v>21146</v>
      </c>
      <c r="C469" s="397">
        <v>100</v>
      </c>
    </row>
    <row r="470" spans="1:3">
      <c r="A470" s="86" t="s">
        <v>21145</v>
      </c>
      <c r="B470" s="86" t="s">
        <v>21144</v>
      </c>
      <c r="C470" s="397">
        <v>100</v>
      </c>
    </row>
    <row r="471" spans="1:3">
      <c r="A471" s="86" t="s">
        <v>21143</v>
      </c>
      <c r="B471" s="86" t="s">
        <v>21142</v>
      </c>
      <c r="C471" s="397">
        <v>100</v>
      </c>
    </row>
    <row r="472" spans="1:3">
      <c r="A472" s="86" t="s">
        <v>21141</v>
      </c>
      <c r="B472" s="86" t="s">
        <v>21140</v>
      </c>
      <c r="C472" s="397">
        <v>100</v>
      </c>
    </row>
    <row r="473" spans="1:3">
      <c r="A473" s="86" t="s">
        <v>21139</v>
      </c>
      <c r="B473" s="86" t="s">
        <v>21138</v>
      </c>
      <c r="C473" s="397">
        <v>100</v>
      </c>
    </row>
    <row r="474" spans="1:3">
      <c r="A474" s="86" t="s">
        <v>21137</v>
      </c>
      <c r="B474" s="86" t="s">
        <v>21136</v>
      </c>
      <c r="C474" s="397">
        <v>100</v>
      </c>
    </row>
    <row r="475" spans="1:3">
      <c r="A475" s="86" t="s">
        <v>21135</v>
      </c>
      <c r="B475" s="86" t="s">
        <v>21134</v>
      </c>
      <c r="C475" s="397">
        <v>100</v>
      </c>
    </row>
    <row r="476" spans="1:3">
      <c r="A476" s="86" t="s">
        <v>21133</v>
      </c>
      <c r="B476" s="86" t="s">
        <v>21132</v>
      </c>
      <c r="C476" s="397">
        <v>100</v>
      </c>
    </row>
    <row r="477" spans="1:3">
      <c r="A477" s="86" t="s">
        <v>21131</v>
      </c>
      <c r="B477" s="86" t="s">
        <v>21130</v>
      </c>
      <c r="C477" s="397">
        <v>100</v>
      </c>
    </row>
    <row r="478" spans="1:3">
      <c r="A478" s="86" t="s">
        <v>21129</v>
      </c>
      <c r="B478" s="86" t="s">
        <v>21128</v>
      </c>
      <c r="C478" s="397">
        <v>100</v>
      </c>
    </row>
    <row r="479" spans="1:3">
      <c r="A479" s="86" t="s">
        <v>21127</v>
      </c>
      <c r="B479" s="86" t="s">
        <v>21126</v>
      </c>
      <c r="C479" s="397">
        <v>100</v>
      </c>
    </row>
    <row r="480" spans="1:3">
      <c r="A480" s="86" t="s">
        <v>21125</v>
      </c>
      <c r="B480" s="86" t="s">
        <v>21124</v>
      </c>
      <c r="C480" s="397">
        <v>100</v>
      </c>
    </row>
    <row r="481" spans="1:3">
      <c r="A481" s="86" t="s">
        <v>21123</v>
      </c>
      <c r="B481" s="86" t="s">
        <v>21122</v>
      </c>
      <c r="C481" s="397">
        <v>100</v>
      </c>
    </row>
    <row r="482" spans="1:3">
      <c r="A482" s="86" t="s">
        <v>21121</v>
      </c>
      <c r="B482" s="86" t="s">
        <v>21120</v>
      </c>
      <c r="C482" s="397">
        <v>100</v>
      </c>
    </row>
    <row r="483" spans="1:3">
      <c r="A483" s="86" t="s">
        <v>21119</v>
      </c>
      <c r="B483" s="86" t="s">
        <v>21118</v>
      </c>
      <c r="C483" s="397">
        <v>100</v>
      </c>
    </row>
    <row r="484" spans="1:3">
      <c r="A484" s="86" t="s">
        <v>21117</v>
      </c>
      <c r="B484" s="86" t="s">
        <v>21116</v>
      </c>
      <c r="C484" s="397">
        <v>100</v>
      </c>
    </row>
    <row r="485" spans="1:3">
      <c r="A485" s="86" t="s">
        <v>21115</v>
      </c>
      <c r="B485" s="86" t="s">
        <v>21114</v>
      </c>
      <c r="C485" s="397">
        <v>100</v>
      </c>
    </row>
    <row r="486" spans="1:3">
      <c r="A486" s="86" t="s">
        <v>21113</v>
      </c>
      <c r="B486" s="86" t="s">
        <v>21112</v>
      </c>
      <c r="C486" s="397">
        <v>100</v>
      </c>
    </row>
    <row r="487" spans="1:3">
      <c r="A487" s="86" t="s">
        <v>21111</v>
      </c>
      <c r="B487" s="86" t="s">
        <v>21110</v>
      </c>
      <c r="C487" s="397">
        <v>100</v>
      </c>
    </row>
    <row r="488" spans="1:3">
      <c r="A488" s="86" t="s">
        <v>21109</v>
      </c>
      <c r="B488" s="86" t="s">
        <v>21108</v>
      </c>
      <c r="C488" s="397">
        <v>100</v>
      </c>
    </row>
    <row r="489" spans="1:3">
      <c r="A489" s="86" t="s">
        <v>21107</v>
      </c>
      <c r="B489" s="86" t="s">
        <v>21106</v>
      </c>
      <c r="C489" s="397">
        <v>100</v>
      </c>
    </row>
    <row r="490" spans="1:3">
      <c r="A490" s="86" t="s">
        <v>21105</v>
      </c>
      <c r="B490" s="86" t="s">
        <v>21104</v>
      </c>
      <c r="C490" s="397">
        <v>100</v>
      </c>
    </row>
    <row r="491" spans="1:3">
      <c r="A491" s="86" t="s">
        <v>21103</v>
      </c>
      <c r="B491" s="86" t="s">
        <v>21102</v>
      </c>
      <c r="C491" s="397">
        <v>100</v>
      </c>
    </row>
    <row r="492" spans="1:3">
      <c r="A492" s="86" t="s">
        <v>21101</v>
      </c>
      <c r="B492" s="86" t="s">
        <v>21100</v>
      </c>
      <c r="C492" s="397">
        <v>100</v>
      </c>
    </row>
    <row r="493" spans="1:3">
      <c r="A493" s="86" t="s">
        <v>21099</v>
      </c>
      <c r="B493" s="86" t="s">
        <v>21098</v>
      </c>
      <c r="C493" s="397">
        <v>100</v>
      </c>
    </row>
    <row r="494" spans="1:3">
      <c r="A494" s="86" t="s">
        <v>21097</v>
      </c>
      <c r="B494" s="86" t="s">
        <v>21096</v>
      </c>
      <c r="C494" s="397">
        <v>100</v>
      </c>
    </row>
    <row r="495" spans="1:3">
      <c r="A495" s="86" t="s">
        <v>21095</v>
      </c>
      <c r="B495" s="86" t="s">
        <v>21094</v>
      </c>
      <c r="C495" s="397">
        <v>100</v>
      </c>
    </row>
    <row r="496" spans="1:3">
      <c r="A496" s="86" t="s">
        <v>21093</v>
      </c>
      <c r="B496" s="86" t="s">
        <v>21092</v>
      </c>
      <c r="C496" s="397">
        <v>100</v>
      </c>
    </row>
    <row r="497" spans="1:3">
      <c r="A497" s="86" t="s">
        <v>21091</v>
      </c>
      <c r="B497" s="86" t="s">
        <v>21090</v>
      </c>
      <c r="C497" s="397">
        <v>100</v>
      </c>
    </row>
    <row r="498" spans="1:3">
      <c r="A498" s="86" t="s">
        <v>21089</v>
      </c>
      <c r="B498" s="86" t="s">
        <v>21088</v>
      </c>
      <c r="C498" s="397">
        <v>100</v>
      </c>
    </row>
    <row r="499" spans="1:3">
      <c r="A499" s="86" t="s">
        <v>21087</v>
      </c>
      <c r="B499" s="86" t="s">
        <v>21086</v>
      </c>
      <c r="C499" s="397">
        <v>100</v>
      </c>
    </row>
    <row r="500" spans="1:3">
      <c r="A500" s="86" t="s">
        <v>21085</v>
      </c>
      <c r="B500" s="86" t="s">
        <v>21083</v>
      </c>
      <c r="C500" s="397">
        <v>100</v>
      </c>
    </row>
    <row r="501" spans="1:3">
      <c r="A501" s="86" t="s">
        <v>21084</v>
      </c>
      <c r="B501" s="86" t="s">
        <v>21083</v>
      </c>
      <c r="C501" s="397">
        <v>100</v>
      </c>
    </row>
    <row r="502" spans="1:3">
      <c r="A502" s="86" t="s">
        <v>21082</v>
      </c>
      <c r="B502" s="86" t="s">
        <v>21081</v>
      </c>
      <c r="C502" s="397">
        <v>100</v>
      </c>
    </row>
    <row r="503" spans="1:3">
      <c r="A503" s="86" t="s">
        <v>21080</v>
      </c>
      <c r="B503" s="86" t="s">
        <v>21079</v>
      </c>
      <c r="C503" s="397">
        <v>100</v>
      </c>
    </row>
    <row r="504" spans="1:3">
      <c r="A504" s="86" t="s">
        <v>21078</v>
      </c>
      <c r="B504" s="86" t="s">
        <v>21077</v>
      </c>
      <c r="C504" s="397">
        <v>100</v>
      </c>
    </row>
    <row r="505" spans="1:3">
      <c r="A505" s="86" t="s">
        <v>21076</v>
      </c>
      <c r="B505" s="86" t="s">
        <v>21075</v>
      </c>
      <c r="C505" s="397">
        <v>100</v>
      </c>
    </row>
    <row r="506" spans="1:3">
      <c r="A506" s="86" t="s">
        <v>21074</v>
      </c>
      <c r="B506" s="86" t="s">
        <v>21073</v>
      </c>
      <c r="C506" s="397">
        <v>100</v>
      </c>
    </row>
    <row r="507" spans="1:3">
      <c r="A507" s="86" t="s">
        <v>21072</v>
      </c>
      <c r="B507" s="86" t="s">
        <v>21071</v>
      </c>
      <c r="C507" s="397">
        <v>100</v>
      </c>
    </row>
    <row r="508" spans="1:3">
      <c r="A508" s="86" t="s">
        <v>21070</v>
      </c>
      <c r="B508" s="86" t="s">
        <v>21069</v>
      </c>
      <c r="C508" s="397">
        <v>100</v>
      </c>
    </row>
    <row r="509" spans="1:3">
      <c r="A509" s="86" t="s">
        <v>21068</v>
      </c>
      <c r="B509" s="86" t="s">
        <v>21067</v>
      </c>
      <c r="C509" s="397">
        <v>100</v>
      </c>
    </row>
    <row r="510" spans="1:3">
      <c r="A510" s="86" t="s">
        <v>21066</v>
      </c>
      <c r="B510" s="86" t="s">
        <v>21065</v>
      </c>
      <c r="C510" s="397">
        <v>100</v>
      </c>
    </row>
    <row r="511" spans="1:3">
      <c r="A511" s="86" t="s">
        <v>21064</v>
      </c>
      <c r="B511" s="86" t="s">
        <v>21063</v>
      </c>
      <c r="C511" s="397">
        <v>25</v>
      </c>
    </row>
    <row r="512" spans="1:3">
      <c r="A512" s="86" t="s">
        <v>21062</v>
      </c>
      <c r="B512" s="86" t="s">
        <v>21061</v>
      </c>
      <c r="C512" s="397">
        <v>296</v>
      </c>
    </row>
    <row r="513" spans="1:3">
      <c r="A513" s="86" t="s">
        <v>21060</v>
      </c>
      <c r="B513" s="86" t="s">
        <v>21059</v>
      </c>
      <c r="C513" s="397">
        <v>63</v>
      </c>
    </row>
    <row r="514" spans="1:3">
      <c r="A514" s="86" t="s">
        <v>21058</v>
      </c>
      <c r="B514" s="86" t="s">
        <v>21057</v>
      </c>
      <c r="C514" s="397">
        <v>296</v>
      </c>
    </row>
    <row r="515" spans="1:3">
      <c r="A515" s="86" t="s">
        <v>21056</v>
      </c>
      <c r="B515" s="86" t="s">
        <v>21055</v>
      </c>
      <c r="C515" s="397">
        <v>296</v>
      </c>
    </row>
    <row r="516" spans="1:3">
      <c r="A516" s="86" t="s">
        <v>21054</v>
      </c>
      <c r="B516" s="86" t="s">
        <v>21053</v>
      </c>
      <c r="C516" s="397">
        <v>296</v>
      </c>
    </row>
    <row r="517" spans="1:3">
      <c r="A517" s="86" t="s">
        <v>21052</v>
      </c>
      <c r="B517" s="86" t="s">
        <v>21051</v>
      </c>
      <c r="C517" s="397">
        <v>296</v>
      </c>
    </row>
    <row r="518" spans="1:3">
      <c r="A518" s="86" t="s">
        <v>21050</v>
      </c>
      <c r="B518" s="86" t="s">
        <v>21049</v>
      </c>
      <c r="C518" s="397">
        <v>296</v>
      </c>
    </row>
    <row r="519" spans="1:3">
      <c r="A519" s="86" t="s">
        <v>21048</v>
      </c>
      <c r="B519" s="86" t="s">
        <v>21047</v>
      </c>
      <c r="C519" s="397">
        <v>296</v>
      </c>
    </row>
    <row r="520" spans="1:3">
      <c r="A520" s="86" t="s">
        <v>21046</v>
      </c>
      <c r="B520" s="86" t="s">
        <v>21045</v>
      </c>
      <c r="C520" s="397">
        <v>296</v>
      </c>
    </row>
    <row r="521" spans="1:3">
      <c r="A521" s="86" t="s">
        <v>21044</v>
      </c>
      <c r="B521" s="86" t="s">
        <v>21043</v>
      </c>
      <c r="C521" s="397">
        <v>296</v>
      </c>
    </row>
    <row r="522" spans="1:3">
      <c r="A522" s="86" t="s">
        <v>21042</v>
      </c>
      <c r="B522" s="86" t="s">
        <v>21041</v>
      </c>
      <c r="C522" s="397">
        <v>296</v>
      </c>
    </row>
    <row r="523" spans="1:3">
      <c r="A523" s="86" t="s">
        <v>21040</v>
      </c>
      <c r="B523" s="86" t="s">
        <v>21039</v>
      </c>
      <c r="C523" s="397">
        <v>296</v>
      </c>
    </row>
    <row r="524" spans="1:3">
      <c r="A524" s="86" t="s">
        <v>21038</v>
      </c>
      <c r="B524" s="86" t="s">
        <v>19293</v>
      </c>
      <c r="C524" s="397">
        <v>282</v>
      </c>
    </row>
    <row r="525" spans="1:3">
      <c r="A525" s="86" t="s">
        <v>21037</v>
      </c>
      <c r="B525" s="86" t="s">
        <v>21036</v>
      </c>
      <c r="C525" s="397">
        <v>282</v>
      </c>
    </row>
    <row r="526" spans="1:3">
      <c r="A526" s="86" t="s">
        <v>21035</v>
      </c>
      <c r="B526" s="86" t="s">
        <v>21034</v>
      </c>
      <c r="C526" s="397">
        <v>282</v>
      </c>
    </row>
    <row r="527" spans="1:3">
      <c r="A527" s="86" t="s">
        <v>21033</v>
      </c>
      <c r="B527" s="86" t="s">
        <v>21032</v>
      </c>
      <c r="C527" s="397">
        <v>282</v>
      </c>
    </row>
    <row r="528" spans="1:3">
      <c r="A528" s="86" t="s">
        <v>21031</v>
      </c>
      <c r="B528" s="86" t="s">
        <v>21030</v>
      </c>
      <c r="C528" s="397">
        <v>282</v>
      </c>
    </row>
    <row r="529" spans="1:3">
      <c r="A529" s="86" t="s">
        <v>21029</v>
      </c>
      <c r="B529" s="86" t="s">
        <v>21028</v>
      </c>
      <c r="C529" s="397">
        <v>282</v>
      </c>
    </row>
    <row r="530" spans="1:3">
      <c r="A530" s="86" t="s">
        <v>21027</v>
      </c>
      <c r="B530" s="86" t="s">
        <v>21026</v>
      </c>
      <c r="C530" s="397">
        <v>282</v>
      </c>
    </row>
    <row r="531" spans="1:3">
      <c r="A531" s="86" t="s">
        <v>21025</v>
      </c>
      <c r="B531" s="86" t="s">
        <v>21024</v>
      </c>
      <c r="C531" s="397">
        <v>282</v>
      </c>
    </row>
    <row r="532" spans="1:3">
      <c r="A532" s="86" t="s">
        <v>21023</v>
      </c>
      <c r="B532" s="86" t="s">
        <v>21022</v>
      </c>
      <c r="C532" s="397">
        <v>282</v>
      </c>
    </row>
    <row r="533" spans="1:3">
      <c r="A533" s="86" t="s">
        <v>21021</v>
      </c>
      <c r="B533" s="86" t="s">
        <v>21020</v>
      </c>
      <c r="C533" s="397">
        <v>282</v>
      </c>
    </row>
    <row r="534" spans="1:3">
      <c r="A534" s="86" t="s">
        <v>21019</v>
      </c>
      <c r="B534" s="86" t="s">
        <v>21018</v>
      </c>
      <c r="C534" s="397">
        <v>282</v>
      </c>
    </row>
    <row r="535" spans="1:3">
      <c r="A535" s="86" t="s">
        <v>21017</v>
      </c>
      <c r="B535" s="86" t="s">
        <v>21016</v>
      </c>
      <c r="C535" s="397">
        <v>308</v>
      </c>
    </row>
    <row r="536" spans="1:3">
      <c r="A536" s="86" t="s">
        <v>21015</v>
      </c>
      <c r="B536" s="86" t="s">
        <v>21014</v>
      </c>
      <c r="C536" s="397">
        <v>308</v>
      </c>
    </row>
    <row r="537" spans="1:3">
      <c r="A537" s="86" t="s">
        <v>21013</v>
      </c>
      <c r="B537" s="86" t="s">
        <v>21012</v>
      </c>
      <c r="C537" s="397">
        <v>308</v>
      </c>
    </row>
    <row r="538" spans="1:3">
      <c r="A538" s="86" t="s">
        <v>21011</v>
      </c>
      <c r="B538" s="86" t="s">
        <v>21010</v>
      </c>
      <c r="C538" s="397">
        <v>308</v>
      </c>
    </row>
    <row r="539" spans="1:3">
      <c r="A539" s="86" t="s">
        <v>21009</v>
      </c>
      <c r="B539" s="86" t="s">
        <v>21008</v>
      </c>
      <c r="C539" s="397">
        <v>308</v>
      </c>
    </row>
    <row r="540" spans="1:3">
      <c r="A540" s="86" t="s">
        <v>21007</v>
      </c>
      <c r="B540" s="86" t="s">
        <v>21006</v>
      </c>
      <c r="C540" s="397">
        <v>308</v>
      </c>
    </row>
    <row r="541" spans="1:3">
      <c r="A541" s="86" t="s">
        <v>21005</v>
      </c>
      <c r="B541" s="86" t="s">
        <v>21004</v>
      </c>
      <c r="C541" s="397">
        <v>308</v>
      </c>
    </row>
    <row r="542" spans="1:3">
      <c r="A542" s="86" t="s">
        <v>21003</v>
      </c>
      <c r="B542" s="86" t="s">
        <v>21002</v>
      </c>
      <c r="C542" s="397">
        <v>308</v>
      </c>
    </row>
    <row r="543" spans="1:3">
      <c r="A543" s="86" t="s">
        <v>21001</v>
      </c>
      <c r="B543" s="86" t="s">
        <v>21000</v>
      </c>
      <c r="C543" s="397">
        <v>308</v>
      </c>
    </row>
    <row r="544" spans="1:3">
      <c r="A544" s="86" t="s">
        <v>20999</v>
      </c>
      <c r="B544" s="86" t="s">
        <v>20998</v>
      </c>
      <c r="C544" s="397">
        <v>308</v>
      </c>
    </row>
    <row r="545" spans="1:3">
      <c r="A545" s="86" t="s">
        <v>20997</v>
      </c>
      <c r="B545" s="86" t="s">
        <v>20996</v>
      </c>
      <c r="C545" s="397">
        <v>74</v>
      </c>
    </row>
    <row r="546" spans="1:3">
      <c r="A546" s="86" t="s">
        <v>20995</v>
      </c>
      <c r="B546" s="86" t="s">
        <v>20994</v>
      </c>
      <c r="C546" s="397">
        <v>308</v>
      </c>
    </row>
    <row r="547" spans="1:3">
      <c r="A547" s="86" t="s">
        <v>20993</v>
      </c>
      <c r="B547" s="86" t="s">
        <v>20992</v>
      </c>
      <c r="C547" s="397">
        <v>308</v>
      </c>
    </row>
    <row r="548" spans="1:3">
      <c r="A548" s="86" t="s">
        <v>20991</v>
      </c>
      <c r="B548" s="86" t="s">
        <v>20988</v>
      </c>
      <c r="C548" s="397">
        <v>308</v>
      </c>
    </row>
    <row r="549" spans="1:3">
      <c r="A549" s="86" t="s">
        <v>20990</v>
      </c>
      <c r="B549" s="86" t="s">
        <v>20988</v>
      </c>
      <c r="C549" s="397">
        <v>308</v>
      </c>
    </row>
    <row r="550" spans="1:3">
      <c r="A550" s="86" t="s">
        <v>20989</v>
      </c>
      <c r="B550" s="86" t="s">
        <v>20988</v>
      </c>
      <c r="C550" s="397">
        <v>308</v>
      </c>
    </row>
    <row r="551" spans="1:3">
      <c r="A551" s="86" t="s">
        <v>20987</v>
      </c>
      <c r="B551" s="86" t="s">
        <v>20986</v>
      </c>
      <c r="C551" s="397">
        <v>49</v>
      </c>
    </row>
    <row r="552" spans="1:3">
      <c r="A552" s="86" t="s">
        <v>20985</v>
      </c>
      <c r="B552" s="86" t="s">
        <v>20984</v>
      </c>
      <c r="C552" s="397">
        <v>563</v>
      </c>
    </row>
    <row r="553" spans="1:3">
      <c r="A553" s="86" t="s">
        <v>20983</v>
      </c>
      <c r="B553" s="86" t="s">
        <v>20982</v>
      </c>
      <c r="C553" s="397">
        <v>116</v>
      </c>
    </row>
    <row r="554" spans="1:3">
      <c r="A554" s="86" t="s">
        <v>20981</v>
      </c>
      <c r="B554" s="86" t="s">
        <v>20980</v>
      </c>
      <c r="C554" s="397">
        <v>563</v>
      </c>
    </row>
    <row r="555" spans="1:3">
      <c r="A555" s="86" t="s">
        <v>20979</v>
      </c>
      <c r="B555" s="86" t="s">
        <v>20978</v>
      </c>
      <c r="C555" s="397">
        <v>627</v>
      </c>
    </row>
    <row r="556" spans="1:3">
      <c r="A556" s="86" t="s">
        <v>20977</v>
      </c>
      <c r="B556" s="86" t="s">
        <v>20976</v>
      </c>
      <c r="C556" s="397">
        <v>627</v>
      </c>
    </row>
    <row r="557" spans="1:3">
      <c r="A557" s="86" t="s">
        <v>20975</v>
      </c>
      <c r="B557" s="86" t="s">
        <v>20974</v>
      </c>
      <c r="C557" s="397">
        <v>627</v>
      </c>
    </row>
    <row r="558" spans="1:3">
      <c r="A558" s="86" t="s">
        <v>20973</v>
      </c>
      <c r="B558" s="86" t="s">
        <v>20972</v>
      </c>
      <c r="C558" s="397">
        <v>627</v>
      </c>
    </row>
    <row r="559" spans="1:3">
      <c r="A559" s="86" t="s">
        <v>20971</v>
      </c>
      <c r="B559" s="86" t="s">
        <v>20970</v>
      </c>
      <c r="C559" s="397">
        <v>563</v>
      </c>
    </row>
    <row r="560" spans="1:3">
      <c r="A560" s="86" t="s">
        <v>20969</v>
      </c>
      <c r="B560" s="86" t="s">
        <v>20968</v>
      </c>
      <c r="C560" s="397">
        <v>627</v>
      </c>
    </row>
    <row r="561" spans="1:3">
      <c r="A561" s="86" t="s">
        <v>20967</v>
      </c>
      <c r="B561" s="86" t="s">
        <v>20966</v>
      </c>
      <c r="C561" s="397">
        <v>563</v>
      </c>
    </row>
    <row r="562" spans="1:3">
      <c r="A562" s="86" t="s">
        <v>20965</v>
      </c>
      <c r="B562" s="86" t="s">
        <v>20964</v>
      </c>
      <c r="C562" s="397">
        <v>563</v>
      </c>
    </row>
    <row r="563" spans="1:3">
      <c r="A563" s="86" t="s">
        <v>20963</v>
      </c>
      <c r="B563" s="86" t="s">
        <v>20962</v>
      </c>
      <c r="C563" s="397">
        <v>627</v>
      </c>
    </row>
    <row r="564" spans="1:3">
      <c r="A564" s="86" t="s">
        <v>20961</v>
      </c>
      <c r="B564" s="86" t="s">
        <v>20960</v>
      </c>
      <c r="C564" s="397">
        <v>627</v>
      </c>
    </row>
    <row r="565" spans="1:3">
      <c r="A565" s="86" t="s">
        <v>20959</v>
      </c>
      <c r="B565" s="86" t="s">
        <v>20958</v>
      </c>
      <c r="C565" s="397">
        <v>563</v>
      </c>
    </row>
    <row r="566" spans="1:3">
      <c r="A566" s="86" t="s">
        <v>20957</v>
      </c>
      <c r="B566" s="86" t="s">
        <v>20956</v>
      </c>
      <c r="C566" s="397">
        <v>563</v>
      </c>
    </row>
    <row r="567" spans="1:3">
      <c r="A567" s="86" t="s">
        <v>20955</v>
      </c>
      <c r="B567" s="86" t="s">
        <v>20954</v>
      </c>
      <c r="C567" s="397">
        <v>563</v>
      </c>
    </row>
    <row r="568" spans="1:3">
      <c r="A568" s="86" t="s">
        <v>20953</v>
      </c>
      <c r="B568" s="86" t="s">
        <v>20952</v>
      </c>
      <c r="C568" s="397">
        <v>563</v>
      </c>
    </row>
    <row r="569" spans="1:3">
      <c r="A569" s="86" t="s">
        <v>20951</v>
      </c>
      <c r="B569" s="86" t="s">
        <v>19289</v>
      </c>
      <c r="C569" s="397">
        <v>531</v>
      </c>
    </row>
    <row r="570" spans="1:3">
      <c r="A570" s="86" t="s">
        <v>20950</v>
      </c>
      <c r="B570" s="86" t="s">
        <v>20949</v>
      </c>
      <c r="C570" s="397">
        <v>531</v>
      </c>
    </row>
    <row r="571" spans="1:3">
      <c r="A571" s="86" t="s">
        <v>20948</v>
      </c>
      <c r="B571" s="86" t="s">
        <v>20947</v>
      </c>
      <c r="C571" s="397">
        <v>596</v>
      </c>
    </row>
    <row r="572" spans="1:3">
      <c r="A572" s="86" t="s">
        <v>20946</v>
      </c>
      <c r="B572" s="86" t="s">
        <v>20945</v>
      </c>
      <c r="C572" s="397">
        <v>596</v>
      </c>
    </row>
    <row r="573" spans="1:3">
      <c r="A573" s="86" t="s">
        <v>20944</v>
      </c>
      <c r="B573" s="86" t="s">
        <v>20943</v>
      </c>
      <c r="C573" s="397">
        <v>596</v>
      </c>
    </row>
    <row r="574" spans="1:3">
      <c r="A574" s="86" t="s">
        <v>20942</v>
      </c>
      <c r="B574" s="86" t="s">
        <v>20941</v>
      </c>
      <c r="C574" s="397">
        <v>596</v>
      </c>
    </row>
    <row r="575" spans="1:3">
      <c r="A575" s="86" t="s">
        <v>20940</v>
      </c>
      <c r="B575" s="86" t="s">
        <v>20939</v>
      </c>
      <c r="C575" s="397">
        <v>531</v>
      </c>
    </row>
    <row r="576" spans="1:3">
      <c r="A576" s="86" t="s">
        <v>20938</v>
      </c>
      <c r="B576" s="86" t="s">
        <v>20937</v>
      </c>
      <c r="C576" s="397">
        <v>531</v>
      </c>
    </row>
    <row r="577" spans="1:3">
      <c r="A577" s="86" t="s">
        <v>20936</v>
      </c>
      <c r="B577" s="86" t="s">
        <v>20935</v>
      </c>
      <c r="C577" s="397">
        <v>596</v>
      </c>
    </row>
    <row r="578" spans="1:3">
      <c r="A578" s="86" t="s">
        <v>20934</v>
      </c>
      <c r="B578" s="86" t="s">
        <v>20933</v>
      </c>
      <c r="C578" s="397">
        <v>531</v>
      </c>
    </row>
    <row r="579" spans="1:3">
      <c r="A579" s="86" t="s">
        <v>20932</v>
      </c>
      <c r="B579" s="86" t="s">
        <v>20931</v>
      </c>
      <c r="C579" s="397">
        <v>531</v>
      </c>
    </row>
    <row r="580" spans="1:3">
      <c r="A580" s="86" t="s">
        <v>20930</v>
      </c>
      <c r="B580" s="86" t="s">
        <v>20929</v>
      </c>
      <c r="C580" s="397">
        <v>596</v>
      </c>
    </row>
    <row r="581" spans="1:3">
      <c r="A581" s="86" t="s">
        <v>20928</v>
      </c>
      <c r="B581" s="86" t="s">
        <v>20927</v>
      </c>
      <c r="C581" s="397">
        <v>596</v>
      </c>
    </row>
    <row r="582" spans="1:3">
      <c r="A582" s="86" t="s">
        <v>20926</v>
      </c>
      <c r="B582" s="86" t="s">
        <v>20925</v>
      </c>
      <c r="C582" s="397">
        <v>531</v>
      </c>
    </row>
    <row r="583" spans="1:3">
      <c r="A583" s="86" t="s">
        <v>20924</v>
      </c>
      <c r="B583" s="86" t="s">
        <v>20923</v>
      </c>
      <c r="C583" s="397">
        <v>531</v>
      </c>
    </row>
    <row r="584" spans="1:3">
      <c r="A584" s="86" t="s">
        <v>20922</v>
      </c>
      <c r="B584" s="86" t="s">
        <v>20921</v>
      </c>
      <c r="C584" s="397">
        <v>531</v>
      </c>
    </row>
    <row r="585" spans="1:3">
      <c r="A585" s="86" t="s">
        <v>20920</v>
      </c>
      <c r="B585" s="86" t="s">
        <v>20919</v>
      </c>
      <c r="C585" s="397">
        <v>579</v>
      </c>
    </row>
    <row r="586" spans="1:3">
      <c r="A586" s="86" t="s">
        <v>20918</v>
      </c>
      <c r="B586" s="86" t="s">
        <v>20917</v>
      </c>
      <c r="C586" s="397">
        <v>579</v>
      </c>
    </row>
    <row r="587" spans="1:3">
      <c r="A587" s="86" t="s">
        <v>20916</v>
      </c>
      <c r="B587" s="86" t="s">
        <v>20915</v>
      </c>
      <c r="C587" s="397">
        <v>644</v>
      </c>
    </row>
    <row r="588" spans="1:3">
      <c r="A588" s="86" t="s">
        <v>20914</v>
      </c>
      <c r="B588" s="86" t="s">
        <v>20913</v>
      </c>
      <c r="C588" s="397">
        <v>644</v>
      </c>
    </row>
    <row r="589" spans="1:3">
      <c r="A589" s="86" t="s">
        <v>20912</v>
      </c>
      <c r="B589" s="86" t="s">
        <v>20911</v>
      </c>
      <c r="C589" s="397">
        <v>644</v>
      </c>
    </row>
    <row r="590" spans="1:3">
      <c r="A590" s="86" t="s">
        <v>20910</v>
      </c>
      <c r="B590" s="86" t="s">
        <v>20909</v>
      </c>
      <c r="C590" s="397">
        <v>644</v>
      </c>
    </row>
    <row r="591" spans="1:3">
      <c r="A591" s="86" t="s">
        <v>20908</v>
      </c>
      <c r="B591" s="86" t="s">
        <v>20907</v>
      </c>
      <c r="C591" s="397">
        <v>579</v>
      </c>
    </row>
    <row r="592" spans="1:3">
      <c r="A592" s="86" t="s">
        <v>20906</v>
      </c>
      <c r="B592" s="86" t="s">
        <v>20905</v>
      </c>
      <c r="C592" s="397">
        <v>644</v>
      </c>
    </row>
    <row r="593" spans="1:3">
      <c r="A593" s="86" t="s">
        <v>20904</v>
      </c>
      <c r="B593" s="86" t="s">
        <v>20903</v>
      </c>
      <c r="C593" s="397">
        <v>579</v>
      </c>
    </row>
    <row r="594" spans="1:3">
      <c r="A594" s="86" t="s">
        <v>20902</v>
      </c>
      <c r="B594" s="86" t="s">
        <v>20901</v>
      </c>
      <c r="C594" s="397">
        <v>579</v>
      </c>
    </row>
    <row r="595" spans="1:3">
      <c r="A595" s="86" t="s">
        <v>20900</v>
      </c>
      <c r="B595" s="86" t="s">
        <v>20899</v>
      </c>
      <c r="C595" s="397">
        <v>644</v>
      </c>
    </row>
    <row r="596" spans="1:3">
      <c r="A596" s="86" t="s">
        <v>20898</v>
      </c>
      <c r="B596" s="86" t="s">
        <v>20897</v>
      </c>
      <c r="C596" s="397">
        <v>644</v>
      </c>
    </row>
    <row r="597" spans="1:3">
      <c r="A597" s="86" t="s">
        <v>20896</v>
      </c>
      <c r="B597" s="86" t="s">
        <v>20895</v>
      </c>
      <c r="C597" s="397">
        <v>579</v>
      </c>
    </row>
    <row r="598" spans="1:3">
      <c r="A598" s="86" t="s">
        <v>20894</v>
      </c>
      <c r="B598" s="86" t="s">
        <v>20893</v>
      </c>
      <c r="C598" s="397">
        <v>579</v>
      </c>
    </row>
    <row r="599" spans="1:3">
      <c r="A599" s="86" t="s">
        <v>20892</v>
      </c>
      <c r="B599" s="86" t="s">
        <v>20891</v>
      </c>
      <c r="C599" s="397">
        <v>579</v>
      </c>
    </row>
    <row r="600" spans="1:3">
      <c r="A600" s="86" t="s">
        <v>20890</v>
      </c>
      <c r="B600" s="86" t="s">
        <v>20889</v>
      </c>
      <c r="C600" s="397">
        <v>140</v>
      </c>
    </row>
    <row r="601" spans="1:3">
      <c r="A601" s="86" t="s">
        <v>20888</v>
      </c>
      <c r="B601" s="86" t="s">
        <v>20887</v>
      </c>
      <c r="C601" s="397">
        <v>579</v>
      </c>
    </row>
    <row r="602" spans="1:3">
      <c r="A602" s="86" t="s">
        <v>20886</v>
      </c>
      <c r="B602" s="86" t="s">
        <v>20885</v>
      </c>
      <c r="C602" s="397">
        <v>579</v>
      </c>
    </row>
    <row r="603" spans="1:3">
      <c r="A603" s="86" t="s">
        <v>20884</v>
      </c>
      <c r="B603" s="86" t="s">
        <v>20883</v>
      </c>
      <c r="C603" s="397">
        <v>579</v>
      </c>
    </row>
    <row r="604" spans="1:3">
      <c r="A604" s="86" t="s">
        <v>20882</v>
      </c>
      <c r="B604" s="86" t="s">
        <v>20881</v>
      </c>
      <c r="C604" s="397">
        <v>644</v>
      </c>
    </row>
    <row r="605" spans="1:3">
      <c r="A605" s="86" t="s">
        <v>20880</v>
      </c>
      <c r="B605" s="86" t="s">
        <v>20879</v>
      </c>
      <c r="C605" s="397">
        <v>644</v>
      </c>
    </row>
    <row r="606" spans="1:3">
      <c r="A606" s="86" t="s">
        <v>20878</v>
      </c>
      <c r="B606" s="86" t="s">
        <v>20877</v>
      </c>
      <c r="C606" s="397">
        <v>579</v>
      </c>
    </row>
    <row r="607" spans="1:3">
      <c r="A607" s="86" t="s">
        <v>20876</v>
      </c>
      <c r="B607" s="86" t="s">
        <v>20875</v>
      </c>
      <c r="C607" s="397">
        <v>579</v>
      </c>
    </row>
    <row r="608" spans="1:3">
      <c r="A608" s="86" t="s">
        <v>20874</v>
      </c>
      <c r="B608" s="86" t="s">
        <v>20873</v>
      </c>
      <c r="C608" s="397">
        <v>140</v>
      </c>
    </row>
    <row r="609" spans="1:3">
      <c r="A609" s="86" t="s">
        <v>20872</v>
      </c>
      <c r="B609" s="86" t="s">
        <v>20871</v>
      </c>
      <c r="C609" s="397">
        <v>140</v>
      </c>
    </row>
    <row r="610" spans="1:3">
      <c r="A610" s="86" t="s">
        <v>20870</v>
      </c>
      <c r="B610" s="86" t="s">
        <v>20869</v>
      </c>
      <c r="C610" s="397">
        <v>140</v>
      </c>
    </row>
    <row r="611" spans="1:3">
      <c r="A611" s="86" t="s">
        <v>20868</v>
      </c>
      <c r="B611" s="86" t="s">
        <v>20867</v>
      </c>
      <c r="C611" s="397">
        <v>114</v>
      </c>
    </row>
    <row r="612" spans="1:3">
      <c r="A612" s="86" t="s">
        <v>20866</v>
      </c>
      <c r="B612" s="86" t="s">
        <v>20865</v>
      </c>
      <c r="C612" s="397">
        <v>140</v>
      </c>
    </row>
    <row r="613" spans="1:3">
      <c r="A613" s="86" t="s">
        <v>20864</v>
      </c>
      <c r="B613" s="86" t="s">
        <v>20863</v>
      </c>
      <c r="C613" s="397">
        <v>93</v>
      </c>
    </row>
    <row r="614" spans="1:3">
      <c r="A614" s="86" t="s">
        <v>20862</v>
      </c>
      <c r="B614" s="86" t="s">
        <v>20861</v>
      </c>
      <c r="C614" s="397">
        <v>179</v>
      </c>
    </row>
    <row r="615" spans="1:3">
      <c r="A615" s="86" t="s">
        <v>166</v>
      </c>
      <c r="B615" s="86" t="s">
        <v>20860</v>
      </c>
      <c r="C615" s="397">
        <v>145</v>
      </c>
    </row>
    <row r="616" spans="1:3">
      <c r="A616" s="86" t="s">
        <v>168</v>
      </c>
      <c r="B616" s="86" t="s">
        <v>20859</v>
      </c>
      <c r="C616" s="397">
        <v>263</v>
      </c>
    </row>
    <row r="617" spans="1:3">
      <c r="A617" s="86" t="s">
        <v>170</v>
      </c>
      <c r="B617" s="86" t="s">
        <v>20858</v>
      </c>
      <c r="C617" s="397">
        <v>394</v>
      </c>
    </row>
    <row r="618" spans="1:3">
      <c r="A618" s="86" t="s">
        <v>20857</v>
      </c>
      <c r="B618" s="86" t="s">
        <v>20856</v>
      </c>
      <c r="C618" s="397">
        <v>153</v>
      </c>
    </row>
    <row r="619" spans="1:3">
      <c r="A619" s="86" t="s">
        <v>20855</v>
      </c>
      <c r="B619" s="86" t="s">
        <v>20854</v>
      </c>
      <c r="C619" s="397">
        <v>875</v>
      </c>
    </row>
    <row r="620" spans="1:3">
      <c r="A620" s="86" t="s">
        <v>20853</v>
      </c>
      <c r="B620" s="86" t="s">
        <v>20851</v>
      </c>
      <c r="C620" s="397">
        <v>4295</v>
      </c>
    </row>
    <row r="621" spans="1:3">
      <c r="A621" s="86" t="s">
        <v>20852</v>
      </c>
      <c r="B621" s="86" t="s">
        <v>20851</v>
      </c>
      <c r="C621" s="397">
        <v>4295</v>
      </c>
    </row>
    <row r="622" spans="1:3">
      <c r="A622" s="86" t="s">
        <v>20850</v>
      </c>
      <c r="B622" s="86" t="s">
        <v>20849</v>
      </c>
      <c r="C622" s="397">
        <v>4925</v>
      </c>
    </row>
    <row r="623" spans="1:3">
      <c r="A623" s="86" t="s">
        <v>20848</v>
      </c>
      <c r="B623" s="86" t="s">
        <v>20843</v>
      </c>
      <c r="C623" s="397">
        <v>4775</v>
      </c>
    </row>
    <row r="624" spans="1:3">
      <c r="A624" s="86" t="s">
        <v>20847</v>
      </c>
      <c r="B624" s="86" t="s">
        <v>20843</v>
      </c>
      <c r="C624" s="397">
        <v>4985</v>
      </c>
    </row>
    <row r="625" spans="1:3">
      <c r="A625" s="86" t="s">
        <v>20846</v>
      </c>
      <c r="B625" s="86" t="s">
        <v>20843</v>
      </c>
      <c r="C625" s="397">
        <v>4672</v>
      </c>
    </row>
    <row r="626" spans="1:3">
      <c r="A626" s="86" t="s">
        <v>20845</v>
      </c>
      <c r="B626" s="86" t="s">
        <v>20843</v>
      </c>
      <c r="C626" s="397">
        <v>4672</v>
      </c>
    </row>
    <row r="627" spans="1:3">
      <c r="A627" s="86" t="s">
        <v>20844</v>
      </c>
      <c r="B627" s="86" t="s">
        <v>20843</v>
      </c>
      <c r="C627" s="397">
        <v>5459</v>
      </c>
    </row>
    <row r="628" spans="1:3">
      <c r="A628" s="86" t="s">
        <v>20842</v>
      </c>
      <c r="B628" s="86" t="s">
        <v>20841</v>
      </c>
      <c r="C628" s="397">
        <v>63</v>
      </c>
    </row>
    <row r="629" spans="1:3">
      <c r="A629" s="86" t="s">
        <v>20840</v>
      </c>
      <c r="B629" s="86" t="s">
        <v>20839</v>
      </c>
      <c r="C629" s="397">
        <v>81</v>
      </c>
    </row>
    <row r="630" spans="1:3">
      <c r="A630" s="86" t="s">
        <v>20838</v>
      </c>
      <c r="B630" s="86" t="s">
        <v>20837</v>
      </c>
      <c r="C630" s="397">
        <v>50</v>
      </c>
    </row>
    <row r="631" spans="1:3">
      <c r="A631" s="86" t="s">
        <v>20836</v>
      </c>
      <c r="B631" s="86" t="s">
        <v>20835</v>
      </c>
      <c r="C631" s="397">
        <v>100</v>
      </c>
    </row>
    <row r="632" spans="1:3">
      <c r="A632" s="86" t="s">
        <v>20834</v>
      </c>
      <c r="B632" s="86" t="s">
        <v>20833</v>
      </c>
      <c r="C632" s="397">
        <v>65</v>
      </c>
    </row>
    <row r="633" spans="1:3">
      <c r="A633" s="86" t="s">
        <v>20832</v>
      </c>
      <c r="B633" s="86" t="s">
        <v>20831</v>
      </c>
      <c r="C633" s="397">
        <v>49</v>
      </c>
    </row>
    <row r="634" spans="1:3">
      <c r="A634" s="86" t="s">
        <v>20830</v>
      </c>
      <c r="B634" s="86" t="s">
        <v>20829</v>
      </c>
      <c r="C634" s="397">
        <v>49</v>
      </c>
    </row>
    <row r="635" spans="1:3">
      <c r="A635" s="86" t="s">
        <v>20828</v>
      </c>
      <c r="B635" s="86" t="s">
        <v>20827</v>
      </c>
      <c r="C635" s="397">
        <v>97</v>
      </c>
    </row>
    <row r="636" spans="1:3">
      <c r="A636" s="86" t="s">
        <v>20826</v>
      </c>
      <c r="B636" s="86" t="s">
        <v>20825</v>
      </c>
      <c r="C636" s="397">
        <v>52</v>
      </c>
    </row>
    <row r="637" spans="1:3">
      <c r="A637" s="86" t="s">
        <v>20824</v>
      </c>
      <c r="B637" s="86" t="s">
        <v>20822</v>
      </c>
      <c r="C637" s="397">
        <v>49</v>
      </c>
    </row>
    <row r="638" spans="1:3">
      <c r="A638" s="86" t="s">
        <v>20823</v>
      </c>
      <c r="B638" s="86" t="s">
        <v>20822</v>
      </c>
      <c r="C638" s="397">
        <v>49</v>
      </c>
    </row>
    <row r="639" spans="1:3">
      <c r="A639" s="86" t="s">
        <v>20821</v>
      </c>
      <c r="B639" s="86" t="s">
        <v>20820</v>
      </c>
      <c r="C639" s="397">
        <v>700</v>
      </c>
    </row>
    <row r="640" spans="1:3">
      <c r="A640" s="86" t="s">
        <v>20819</v>
      </c>
      <c r="B640" s="86" t="s">
        <v>20818</v>
      </c>
      <c r="C640" s="397">
        <v>700</v>
      </c>
    </row>
    <row r="641" spans="1:3">
      <c r="A641" s="86" t="s">
        <v>20817</v>
      </c>
      <c r="B641" s="86" t="s">
        <v>20816</v>
      </c>
      <c r="C641" s="397">
        <v>700</v>
      </c>
    </row>
    <row r="642" spans="1:3">
      <c r="A642" s="86" t="s">
        <v>20815</v>
      </c>
      <c r="B642" s="86" t="s">
        <v>20814</v>
      </c>
      <c r="C642" s="397">
        <v>700</v>
      </c>
    </row>
    <row r="643" spans="1:3">
      <c r="A643" s="86" t="s">
        <v>20813</v>
      </c>
      <c r="B643" s="86" t="s">
        <v>20812</v>
      </c>
      <c r="C643" s="397">
        <v>700</v>
      </c>
    </row>
    <row r="644" spans="1:3">
      <c r="A644" s="86" t="s">
        <v>20811</v>
      </c>
      <c r="B644" s="86" t="s">
        <v>20810</v>
      </c>
      <c r="C644" s="397">
        <v>700</v>
      </c>
    </row>
    <row r="645" spans="1:3">
      <c r="A645" s="86" t="s">
        <v>20809</v>
      </c>
      <c r="B645" s="86" t="s">
        <v>20808</v>
      </c>
      <c r="C645" s="397">
        <v>700</v>
      </c>
    </row>
    <row r="646" spans="1:3">
      <c r="A646" s="86" t="s">
        <v>20807</v>
      </c>
      <c r="B646" s="86" t="s">
        <v>20806</v>
      </c>
      <c r="C646" s="397">
        <v>700</v>
      </c>
    </row>
    <row r="647" spans="1:3">
      <c r="A647" s="86" t="s">
        <v>20805</v>
      </c>
      <c r="B647" s="86" t="s">
        <v>20804</v>
      </c>
      <c r="C647" s="397">
        <v>550</v>
      </c>
    </row>
    <row r="648" spans="1:3">
      <c r="A648" s="86" t="s">
        <v>20803</v>
      </c>
      <c r="B648" s="86" t="s">
        <v>20802</v>
      </c>
      <c r="C648" s="397">
        <v>550</v>
      </c>
    </row>
    <row r="649" spans="1:3">
      <c r="A649" s="86" t="s">
        <v>20801</v>
      </c>
      <c r="B649" s="86" t="s">
        <v>20800</v>
      </c>
      <c r="C649" s="397">
        <v>550</v>
      </c>
    </row>
    <row r="650" spans="1:3">
      <c r="A650" s="86" t="s">
        <v>20799</v>
      </c>
      <c r="B650" s="86" t="s">
        <v>20798</v>
      </c>
      <c r="C650" s="397">
        <v>550</v>
      </c>
    </row>
    <row r="651" spans="1:3">
      <c r="A651" s="86" t="s">
        <v>20797</v>
      </c>
      <c r="B651" s="86" t="s">
        <v>20796</v>
      </c>
      <c r="C651" s="397">
        <v>550</v>
      </c>
    </row>
    <row r="652" spans="1:3">
      <c r="A652" s="86" t="s">
        <v>20795</v>
      </c>
      <c r="B652" s="86" t="s">
        <v>20794</v>
      </c>
      <c r="C652" s="397">
        <v>550</v>
      </c>
    </row>
    <row r="653" spans="1:3">
      <c r="A653" s="86" t="s">
        <v>20793</v>
      </c>
      <c r="B653" s="86" t="s">
        <v>20792</v>
      </c>
      <c r="C653" s="397">
        <v>117</v>
      </c>
    </row>
    <row r="654" spans="1:3">
      <c r="A654" s="86" t="s">
        <v>20791</v>
      </c>
      <c r="B654" s="86" t="s">
        <v>20789</v>
      </c>
      <c r="C654" s="397">
        <v>163</v>
      </c>
    </row>
    <row r="655" spans="1:3">
      <c r="A655" s="86" t="s">
        <v>20790</v>
      </c>
      <c r="B655" s="86" t="s">
        <v>20789</v>
      </c>
      <c r="C655" s="397">
        <v>163</v>
      </c>
    </row>
    <row r="656" spans="1:3">
      <c r="A656" s="86" t="s">
        <v>20788</v>
      </c>
      <c r="B656" s="86" t="s">
        <v>20786</v>
      </c>
      <c r="C656" s="397">
        <v>163</v>
      </c>
    </row>
    <row r="657" spans="1:3">
      <c r="A657" s="86" t="s">
        <v>20787</v>
      </c>
      <c r="B657" s="86" t="s">
        <v>20786</v>
      </c>
      <c r="C657" s="397">
        <v>163</v>
      </c>
    </row>
    <row r="658" spans="1:3">
      <c r="A658" s="86" t="s">
        <v>20785</v>
      </c>
      <c r="B658" s="86" t="s">
        <v>20784</v>
      </c>
      <c r="C658" s="397">
        <v>195</v>
      </c>
    </row>
    <row r="659" spans="1:3">
      <c r="A659" s="86" t="s">
        <v>20783</v>
      </c>
      <c r="B659" s="86" t="s">
        <v>20782</v>
      </c>
      <c r="C659" s="397">
        <v>163</v>
      </c>
    </row>
    <row r="660" spans="1:3">
      <c r="A660" s="86" t="s">
        <v>20781</v>
      </c>
      <c r="B660" s="86" t="s">
        <v>20778</v>
      </c>
      <c r="C660" s="397">
        <v>163</v>
      </c>
    </row>
    <row r="661" spans="1:3">
      <c r="A661" s="86" t="s">
        <v>20780</v>
      </c>
      <c r="B661" s="86" t="s">
        <v>20778</v>
      </c>
      <c r="C661" s="397">
        <v>163</v>
      </c>
    </row>
    <row r="662" spans="1:3">
      <c r="A662" s="86" t="s">
        <v>20779</v>
      </c>
      <c r="B662" s="86" t="s">
        <v>20778</v>
      </c>
      <c r="C662" s="397">
        <v>163</v>
      </c>
    </row>
    <row r="663" spans="1:3">
      <c r="A663" s="86" t="s">
        <v>20777</v>
      </c>
      <c r="B663" s="86" t="s">
        <v>20776</v>
      </c>
      <c r="C663" s="397">
        <v>117</v>
      </c>
    </row>
    <row r="664" spans="1:3">
      <c r="A664" s="86" t="s">
        <v>20775</v>
      </c>
      <c r="B664" s="86" t="s">
        <v>20774</v>
      </c>
      <c r="C664" s="397">
        <v>601</v>
      </c>
    </row>
    <row r="665" spans="1:3">
      <c r="A665" s="86" t="s">
        <v>20773</v>
      </c>
      <c r="B665" s="86" t="s">
        <v>20772</v>
      </c>
      <c r="C665" s="397">
        <v>601</v>
      </c>
    </row>
    <row r="666" spans="1:3">
      <c r="A666" s="86" t="s">
        <v>20771</v>
      </c>
      <c r="B666" s="86" t="s">
        <v>20770</v>
      </c>
      <c r="C666" s="397">
        <v>3743</v>
      </c>
    </row>
    <row r="667" spans="1:3">
      <c r="A667" s="86" t="s">
        <v>20769</v>
      </c>
      <c r="B667" s="86" t="s">
        <v>20768</v>
      </c>
      <c r="C667" s="397">
        <v>3743</v>
      </c>
    </row>
    <row r="668" spans="1:3">
      <c r="A668" s="86" t="s">
        <v>20767</v>
      </c>
      <c r="B668" s="86" t="s">
        <v>20766</v>
      </c>
      <c r="C668" s="397">
        <v>3743</v>
      </c>
    </row>
    <row r="669" spans="1:3">
      <c r="A669" s="86" t="s">
        <v>20765</v>
      </c>
      <c r="B669" s="86" t="s">
        <v>20764</v>
      </c>
      <c r="C669" s="397">
        <v>3743</v>
      </c>
    </row>
    <row r="670" spans="1:3">
      <c r="A670" s="86" t="s">
        <v>20763</v>
      </c>
      <c r="B670" s="86" t="s">
        <v>20762</v>
      </c>
      <c r="C670" s="397">
        <v>16</v>
      </c>
    </row>
    <row r="671" spans="1:3">
      <c r="A671" s="86" t="s">
        <v>20761</v>
      </c>
      <c r="B671" s="86" t="s">
        <v>20760</v>
      </c>
      <c r="C671" s="397">
        <v>16</v>
      </c>
    </row>
    <row r="672" spans="1:3">
      <c r="A672" s="86" t="s">
        <v>20759</v>
      </c>
      <c r="B672" s="86" t="s">
        <v>20758</v>
      </c>
      <c r="C672" s="397">
        <v>16</v>
      </c>
    </row>
    <row r="673" spans="1:3">
      <c r="A673" s="86" t="s">
        <v>20757</v>
      </c>
      <c r="B673" s="86" t="s">
        <v>20756</v>
      </c>
      <c r="C673" s="397">
        <v>16</v>
      </c>
    </row>
    <row r="674" spans="1:3">
      <c r="A674" s="86" t="s">
        <v>20755</v>
      </c>
      <c r="B674" s="86" t="s">
        <v>20754</v>
      </c>
      <c r="C674" s="397">
        <v>16</v>
      </c>
    </row>
    <row r="675" spans="1:3">
      <c r="A675" s="86" t="s">
        <v>20753</v>
      </c>
      <c r="B675" s="86" t="s">
        <v>20752</v>
      </c>
      <c r="C675" s="397">
        <v>180</v>
      </c>
    </row>
    <row r="676" spans="1:3">
      <c r="A676" s="86" t="s">
        <v>20751</v>
      </c>
      <c r="B676" s="86" t="s">
        <v>20750</v>
      </c>
      <c r="C676" s="397">
        <v>225</v>
      </c>
    </row>
    <row r="677" spans="1:3">
      <c r="A677" s="86" t="s">
        <v>20749</v>
      </c>
      <c r="B677" s="86" t="s">
        <v>20748</v>
      </c>
      <c r="C677" s="397">
        <v>244</v>
      </c>
    </row>
    <row r="678" spans="1:3">
      <c r="A678" s="86" t="s">
        <v>20747</v>
      </c>
      <c r="B678" s="86" t="s">
        <v>20745</v>
      </c>
      <c r="C678" s="397">
        <v>244</v>
      </c>
    </row>
    <row r="679" spans="1:3">
      <c r="A679" s="86" t="s">
        <v>20746</v>
      </c>
      <c r="B679" s="86" t="s">
        <v>20745</v>
      </c>
      <c r="C679" s="397">
        <v>232</v>
      </c>
    </row>
    <row r="680" spans="1:3">
      <c r="A680" s="86" t="s">
        <v>20744</v>
      </c>
      <c r="B680" s="86" t="s">
        <v>20743</v>
      </c>
      <c r="C680" s="397">
        <v>237</v>
      </c>
    </row>
    <row r="681" spans="1:3">
      <c r="A681" s="86" t="s">
        <v>20742</v>
      </c>
      <c r="B681" s="86" t="s">
        <v>20741</v>
      </c>
      <c r="C681" s="397">
        <v>237</v>
      </c>
    </row>
    <row r="682" spans="1:3">
      <c r="A682" s="86" t="s">
        <v>20740</v>
      </c>
      <c r="B682" s="86" t="s">
        <v>20739</v>
      </c>
      <c r="C682" s="397">
        <v>237</v>
      </c>
    </row>
    <row r="683" spans="1:3">
      <c r="A683" s="86" t="s">
        <v>20738</v>
      </c>
      <c r="B683" s="86" t="s">
        <v>20737</v>
      </c>
      <c r="C683" s="397">
        <v>257</v>
      </c>
    </row>
    <row r="684" spans="1:3">
      <c r="A684" s="86" t="s">
        <v>20736</v>
      </c>
      <c r="B684" s="86" t="s">
        <v>20735</v>
      </c>
      <c r="C684" s="397">
        <v>257</v>
      </c>
    </row>
    <row r="685" spans="1:3">
      <c r="A685" s="86" t="s">
        <v>20734</v>
      </c>
      <c r="B685" s="86" t="s">
        <v>20733</v>
      </c>
      <c r="C685" s="397">
        <v>257</v>
      </c>
    </row>
    <row r="686" spans="1:3">
      <c r="A686" s="86" t="s">
        <v>20732</v>
      </c>
      <c r="B686" s="86" t="s">
        <v>20731</v>
      </c>
      <c r="C686" s="397">
        <v>257</v>
      </c>
    </row>
    <row r="687" spans="1:3">
      <c r="A687" s="86" t="s">
        <v>20730</v>
      </c>
      <c r="B687" s="86" t="s">
        <v>20729</v>
      </c>
      <c r="C687" s="397">
        <v>257</v>
      </c>
    </row>
    <row r="688" spans="1:3">
      <c r="A688" s="86" t="s">
        <v>20728</v>
      </c>
      <c r="B688" s="86" t="s">
        <v>20727</v>
      </c>
      <c r="C688" s="397">
        <v>244</v>
      </c>
    </row>
    <row r="689" spans="1:3">
      <c r="A689" s="86" t="s">
        <v>20726</v>
      </c>
      <c r="B689" s="86" t="s">
        <v>20725</v>
      </c>
      <c r="C689" s="397">
        <v>294</v>
      </c>
    </row>
    <row r="690" spans="1:3">
      <c r="A690" s="86" t="s">
        <v>20724</v>
      </c>
      <c r="B690" s="86" t="s">
        <v>20723</v>
      </c>
      <c r="C690" s="397">
        <v>294</v>
      </c>
    </row>
    <row r="691" spans="1:3">
      <c r="A691" s="86" t="s">
        <v>20722</v>
      </c>
      <c r="B691" s="86" t="s">
        <v>20721</v>
      </c>
      <c r="C691" s="397">
        <v>294</v>
      </c>
    </row>
    <row r="692" spans="1:3">
      <c r="A692" s="86" t="s">
        <v>20720</v>
      </c>
      <c r="B692" s="86" t="s">
        <v>20719</v>
      </c>
      <c r="C692" s="397">
        <v>294</v>
      </c>
    </row>
    <row r="693" spans="1:3">
      <c r="A693" s="86" t="s">
        <v>20718</v>
      </c>
      <c r="B693" s="86" t="s">
        <v>20717</v>
      </c>
      <c r="C693" s="397">
        <v>294</v>
      </c>
    </row>
    <row r="694" spans="1:3">
      <c r="A694" s="86" t="s">
        <v>20716</v>
      </c>
      <c r="B694" s="86" t="s">
        <v>20715</v>
      </c>
      <c r="C694" s="397">
        <v>294</v>
      </c>
    </row>
    <row r="695" spans="1:3">
      <c r="A695" s="86" t="s">
        <v>20714</v>
      </c>
      <c r="B695" s="86" t="s">
        <v>20713</v>
      </c>
      <c r="C695" s="397">
        <v>314</v>
      </c>
    </row>
    <row r="696" spans="1:3">
      <c r="A696" s="86" t="s">
        <v>20712</v>
      </c>
      <c r="B696" s="86" t="s">
        <v>20711</v>
      </c>
      <c r="C696" s="397">
        <v>119</v>
      </c>
    </row>
    <row r="697" spans="1:3">
      <c r="A697" s="86" t="s">
        <v>20710</v>
      </c>
      <c r="B697" s="86" t="s">
        <v>20700</v>
      </c>
      <c r="C697" s="397">
        <v>130</v>
      </c>
    </row>
    <row r="698" spans="1:3">
      <c r="A698" s="86" t="s">
        <v>20709</v>
      </c>
      <c r="B698" s="86" t="s">
        <v>20708</v>
      </c>
      <c r="C698" s="397">
        <v>130</v>
      </c>
    </row>
    <row r="699" spans="1:3">
      <c r="A699" s="86" t="s">
        <v>20707</v>
      </c>
      <c r="B699" s="86" t="s">
        <v>20706</v>
      </c>
      <c r="C699" s="397">
        <v>130</v>
      </c>
    </row>
    <row r="700" spans="1:3">
      <c r="A700" s="86" t="s">
        <v>20705</v>
      </c>
      <c r="B700" s="86" t="s">
        <v>20704</v>
      </c>
      <c r="C700" s="397">
        <v>130</v>
      </c>
    </row>
    <row r="701" spans="1:3">
      <c r="A701" s="86" t="s">
        <v>20703</v>
      </c>
      <c r="B701" s="86" t="s">
        <v>20702</v>
      </c>
      <c r="C701" s="397">
        <v>130</v>
      </c>
    </row>
    <row r="702" spans="1:3">
      <c r="A702" s="86" t="s">
        <v>20701</v>
      </c>
      <c r="B702" s="86" t="s">
        <v>20700</v>
      </c>
      <c r="C702" s="397">
        <v>123</v>
      </c>
    </row>
    <row r="703" spans="1:3">
      <c r="A703" s="86" t="s">
        <v>20699</v>
      </c>
      <c r="B703" s="86" t="s">
        <v>20698</v>
      </c>
      <c r="C703" s="397">
        <v>157</v>
      </c>
    </row>
    <row r="704" spans="1:3">
      <c r="A704" s="86" t="s">
        <v>20697</v>
      </c>
      <c r="B704" s="86" t="s">
        <v>20696</v>
      </c>
      <c r="C704" s="397">
        <v>183</v>
      </c>
    </row>
    <row r="705" spans="1:3">
      <c r="A705" s="86" t="s">
        <v>20695</v>
      </c>
      <c r="B705" s="86" t="s">
        <v>20694</v>
      </c>
      <c r="C705" s="397">
        <v>157</v>
      </c>
    </row>
    <row r="706" spans="1:3">
      <c r="A706" s="86" t="s">
        <v>20693</v>
      </c>
      <c r="B706" s="86" t="s">
        <v>20677</v>
      </c>
      <c r="C706" s="397">
        <v>157</v>
      </c>
    </row>
    <row r="707" spans="1:3">
      <c r="A707" s="86" t="s">
        <v>20692</v>
      </c>
      <c r="B707" s="86" t="s">
        <v>20691</v>
      </c>
      <c r="C707" s="397">
        <v>157</v>
      </c>
    </row>
    <row r="708" spans="1:3">
      <c r="A708" s="86" t="s">
        <v>20690</v>
      </c>
      <c r="B708" s="86" t="s">
        <v>20689</v>
      </c>
      <c r="C708" s="397">
        <v>184</v>
      </c>
    </row>
    <row r="709" spans="1:3">
      <c r="A709" s="86" t="s">
        <v>20688</v>
      </c>
      <c r="B709" s="86" t="s">
        <v>20687</v>
      </c>
      <c r="C709" s="397">
        <v>157</v>
      </c>
    </row>
    <row r="710" spans="1:3">
      <c r="A710" s="86" t="s">
        <v>20686</v>
      </c>
      <c r="B710" s="86" t="s">
        <v>20685</v>
      </c>
      <c r="C710" s="397">
        <v>157</v>
      </c>
    </row>
    <row r="711" spans="1:3">
      <c r="A711" s="86" t="s">
        <v>20684</v>
      </c>
      <c r="B711" s="86" t="s">
        <v>20683</v>
      </c>
      <c r="C711" s="397">
        <v>184</v>
      </c>
    </row>
    <row r="712" spans="1:3">
      <c r="A712" s="86" t="s">
        <v>20682</v>
      </c>
      <c r="B712" s="86" t="s">
        <v>20681</v>
      </c>
      <c r="C712" s="397">
        <v>157</v>
      </c>
    </row>
    <row r="713" spans="1:3">
      <c r="A713" s="86" t="s">
        <v>20680</v>
      </c>
      <c r="B713" s="86" t="s">
        <v>20679</v>
      </c>
      <c r="C713" s="397">
        <v>184</v>
      </c>
    </row>
    <row r="714" spans="1:3">
      <c r="A714" s="86" t="s">
        <v>20678</v>
      </c>
      <c r="B714" s="86" t="s">
        <v>20677</v>
      </c>
      <c r="C714" s="397">
        <v>149</v>
      </c>
    </row>
    <row r="715" spans="1:3">
      <c r="A715" s="86" t="s">
        <v>20676</v>
      </c>
      <c r="B715" s="86" t="s">
        <v>20672</v>
      </c>
      <c r="C715" s="397">
        <v>191</v>
      </c>
    </row>
    <row r="716" spans="1:3">
      <c r="A716" s="86" t="s">
        <v>20675</v>
      </c>
      <c r="B716" s="86" t="s">
        <v>20672</v>
      </c>
      <c r="C716" s="397">
        <v>191</v>
      </c>
    </row>
    <row r="717" spans="1:3">
      <c r="A717" s="86" t="s">
        <v>20674</v>
      </c>
      <c r="B717" s="86" t="s">
        <v>20672</v>
      </c>
      <c r="C717" s="397">
        <v>191</v>
      </c>
    </row>
    <row r="718" spans="1:3">
      <c r="A718" s="86" t="s">
        <v>20673</v>
      </c>
      <c r="B718" s="86" t="s">
        <v>20672</v>
      </c>
      <c r="C718" s="397">
        <v>191</v>
      </c>
    </row>
    <row r="719" spans="1:3">
      <c r="A719" s="86" t="s">
        <v>20671</v>
      </c>
      <c r="B719" s="86" t="s">
        <v>20670</v>
      </c>
      <c r="C719" s="397">
        <v>207</v>
      </c>
    </row>
    <row r="720" spans="1:3">
      <c r="A720" s="86" t="s">
        <v>20669</v>
      </c>
      <c r="B720" s="86" t="s">
        <v>20668</v>
      </c>
      <c r="C720" s="397">
        <v>207</v>
      </c>
    </row>
    <row r="721" spans="1:3">
      <c r="A721" s="86" t="s">
        <v>20667</v>
      </c>
      <c r="B721" s="86" t="s">
        <v>20666</v>
      </c>
      <c r="C721" s="397">
        <v>207</v>
      </c>
    </row>
    <row r="722" spans="1:3">
      <c r="A722" s="86" t="s">
        <v>20665</v>
      </c>
      <c r="B722" s="86" t="s">
        <v>20664</v>
      </c>
      <c r="C722" s="397">
        <v>207</v>
      </c>
    </row>
    <row r="723" spans="1:3">
      <c r="A723" s="86" t="s">
        <v>20663</v>
      </c>
      <c r="B723" s="86" t="s">
        <v>20662</v>
      </c>
      <c r="C723" s="397">
        <v>250</v>
      </c>
    </row>
    <row r="724" spans="1:3">
      <c r="A724" s="86" t="s">
        <v>20661</v>
      </c>
      <c r="B724" s="86" t="s">
        <v>20656</v>
      </c>
      <c r="C724" s="397">
        <v>201</v>
      </c>
    </row>
    <row r="725" spans="1:3">
      <c r="A725" s="86" t="s">
        <v>20660</v>
      </c>
      <c r="B725" s="86" t="s">
        <v>20656</v>
      </c>
      <c r="C725" s="397">
        <v>201</v>
      </c>
    </row>
    <row r="726" spans="1:3">
      <c r="A726" s="86" t="s">
        <v>20659</v>
      </c>
      <c r="B726" s="86" t="s">
        <v>20656</v>
      </c>
      <c r="C726" s="397">
        <v>201</v>
      </c>
    </row>
    <row r="727" spans="1:3">
      <c r="A727" s="86" t="s">
        <v>20658</v>
      </c>
      <c r="B727" s="86" t="s">
        <v>20656</v>
      </c>
      <c r="C727" s="397">
        <v>201</v>
      </c>
    </row>
    <row r="728" spans="1:3">
      <c r="A728" s="86" t="s">
        <v>20657</v>
      </c>
      <c r="B728" s="86" t="s">
        <v>20656</v>
      </c>
      <c r="C728" s="397">
        <v>201</v>
      </c>
    </row>
    <row r="729" spans="1:3">
      <c r="A729" s="86" t="s">
        <v>20655</v>
      </c>
      <c r="B729" s="86" t="s">
        <v>20654</v>
      </c>
      <c r="C729" s="397">
        <v>218</v>
      </c>
    </row>
    <row r="730" spans="1:3">
      <c r="A730" s="86" t="s">
        <v>20653</v>
      </c>
      <c r="B730" s="86" t="s">
        <v>20652</v>
      </c>
      <c r="C730" s="397">
        <v>218</v>
      </c>
    </row>
    <row r="731" spans="1:3">
      <c r="A731" s="86" t="s">
        <v>20651</v>
      </c>
      <c r="B731" s="86" t="s">
        <v>20650</v>
      </c>
      <c r="C731" s="397">
        <v>218</v>
      </c>
    </row>
    <row r="732" spans="1:3">
      <c r="A732" s="86" t="s">
        <v>20649</v>
      </c>
      <c r="B732" s="86" t="s">
        <v>20648</v>
      </c>
      <c r="C732" s="397">
        <v>218</v>
      </c>
    </row>
    <row r="733" spans="1:3">
      <c r="A733" s="86" t="s">
        <v>20647</v>
      </c>
      <c r="B733" s="86" t="s">
        <v>20646</v>
      </c>
      <c r="C733" s="397">
        <v>218</v>
      </c>
    </row>
    <row r="734" spans="1:3">
      <c r="A734" s="86" t="s">
        <v>20645</v>
      </c>
      <c r="B734" s="86" t="s">
        <v>20644</v>
      </c>
      <c r="C734" s="397">
        <v>218</v>
      </c>
    </row>
    <row r="735" spans="1:3">
      <c r="A735" s="86" t="s">
        <v>20643</v>
      </c>
      <c r="B735" s="86" t="s">
        <v>20642</v>
      </c>
      <c r="C735" s="397">
        <v>218</v>
      </c>
    </row>
    <row r="736" spans="1:3">
      <c r="A736" s="86" t="s">
        <v>20641</v>
      </c>
      <c r="B736" s="86" t="s">
        <v>20640</v>
      </c>
      <c r="C736" s="397">
        <v>218</v>
      </c>
    </row>
    <row r="737" spans="1:3">
      <c r="A737" s="86" t="s">
        <v>20639</v>
      </c>
      <c r="B737" s="86" t="s">
        <v>20638</v>
      </c>
      <c r="C737" s="397">
        <v>218</v>
      </c>
    </row>
    <row r="738" spans="1:3">
      <c r="A738" s="86" t="s">
        <v>20637</v>
      </c>
      <c r="B738" s="86" t="s">
        <v>20614</v>
      </c>
      <c r="C738" s="397">
        <v>271</v>
      </c>
    </row>
    <row r="739" spans="1:3">
      <c r="A739" s="86" t="s">
        <v>20636</v>
      </c>
      <c r="B739" s="86" t="s">
        <v>20635</v>
      </c>
      <c r="C739" s="397">
        <v>248</v>
      </c>
    </row>
    <row r="740" spans="1:3">
      <c r="A740" s="86" t="s">
        <v>20634</v>
      </c>
      <c r="B740" s="86" t="s">
        <v>20633</v>
      </c>
      <c r="C740" s="397">
        <v>248</v>
      </c>
    </row>
    <row r="741" spans="1:3">
      <c r="A741" s="86" t="s">
        <v>20632</v>
      </c>
      <c r="B741" s="86" t="s">
        <v>20631</v>
      </c>
      <c r="C741" s="397">
        <v>248</v>
      </c>
    </row>
    <row r="742" spans="1:3">
      <c r="A742" s="86" t="s">
        <v>20630</v>
      </c>
      <c r="B742" s="86" t="s">
        <v>20629</v>
      </c>
      <c r="C742" s="397">
        <v>281</v>
      </c>
    </row>
    <row r="743" spans="1:3">
      <c r="A743" s="86" t="s">
        <v>20628</v>
      </c>
      <c r="B743" s="86" t="s">
        <v>20627</v>
      </c>
      <c r="C743" s="397">
        <v>248</v>
      </c>
    </row>
    <row r="744" spans="1:3">
      <c r="A744" s="86" t="s">
        <v>20626</v>
      </c>
      <c r="B744" s="86" t="s">
        <v>20625</v>
      </c>
      <c r="C744" s="397">
        <v>248</v>
      </c>
    </row>
    <row r="745" spans="1:3">
      <c r="A745" s="86" t="s">
        <v>20624</v>
      </c>
      <c r="B745" s="86" t="s">
        <v>20616</v>
      </c>
      <c r="C745" s="397">
        <v>263</v>
      </c>
    </row>
    <row r="746" spans="1:3">
      <c r="A746" s="86" t="s">
        <v>20623</v>
      </c>
      <c r="B746" s="86" t="s">
        <v>20622</v>
      </c>
      <c r="C746" s="397">
        <v>248</v>
      </c>
    </row>
    <row r="747" spans="1:3">
      <c r="A747" s="86" t="s">
        <v>20621</v>
      </c>
      <c r="B747" s="86" t="s">
        <v>20620</v>
      </c>
      <c r="C747" s="397">
        <v>263</v>
      </c>
    </row>
    <row r="748" spans="1:3">
      <c r="A748" s="86" t="s">
        <v>20619</v>
      </c>
      <c r="B748" s="86" t="s">
        <v>20618</v>
      </c>
      <c r="C748" s="397">
        <v>248</v>
      </c>
    </row>
    <row r="749" spans="1:3">
      <c r="A749" s="86" t="s">
        <v>20617</v>
      </c>
      <c r="B749" s="86" t="s">
        <v>20616</v>
      </c>
      <c r="C749" s="397">
        <v>248</v>
      </c>
    </row>
    <row r="750" spans="1:3">
      <c r="A750" s="86" t="s">
        <v>20615</v>
      </c>
      <c r="B750" s="86" t="s">
        <v>20614</v>
      </c>
      <c r="C750" s="397">
        <v>271</v>
      </c>
    </row>
    <row r="751" spans="1:3">
      <c r="A751" s="86" t="s">
        <v>20613</v>
      </c>
      <c r="B751" s="86" t="s">
        <v>20612</v>
      </c>
      <c r="C751" s="397">
        <v>281</v>
      </c>
    </row>
    <row r="752" spans="1:3">
      <c r="A752" s="86" t="s">
        <v>20611</v>
      </c>
      <c r="B752" s="86" t="s">
        <v>20610</v>
      </c>
      <c r="C752" s="397">
        <v>248</v>
      </c>
    </row>
    <row r="753" spans="1:3">
      <c r="A753" s="86" t="s">
        <v>20609</v>
      </c>
      <c r="B753" s="86" t="s">
        <v>20608</v>
      </c>
      <c r="C753" s="397">
        <v>207</v>
      </c>
    </row>
    <row r="754" spans="1:3">
      <c r="A754" s="86" t="s">
        <v>20607</v>
      </c>
      <c r="B754" s="86" t="s">
        <v>20603</v>
      </c>
      <c r="C754" s="397">
        <v>207</v>
      </c>
    </row>
    <row r="755" spans="1:3">
      <c r="A755" s="86" t="s">
        <v>20606</v>
      </c>
      <c r="B755" s="86" t="s">
        <v>20603</v>
      </c>
      <c r="C755" s="397">
        <v>207</v>
      </c>
    </row>
    <row r="756" spans="1:3">
      <c r="A756" s="86" t="s">
        <v>20605</v>
      </c>
      <c r="B756" s="86" t="s">
        <v>20603</v>
      </c>
      <c r="C756" s="397">
        <v>207</v>
      </c>
    </row>
    <row r="757" spans="1:3">
      <c r="A757" s="86" t="s">
        <v>20604</v>
      </c>
      <c r="B757" s="86" t="s">
        <v>20603</v>
      </c>
      <c r="C757" s="397">
        <v>207</v>
      </c>
    </row>
    <row r="758" spans="1:3">
      <c r="A758" s="86" t="s">
        <v>20602</v>
      </c>
      <c r="B758" s="86" t="s">
        <v>20598</v>
      </c>
      <c r="C758" s="397">
        <v>238</v>
      </c>
    </row>
    <row r="759" spans="1:3">
      <c r="A759" s="86" t="s">
        <v>20601</v>
      </c>
      <c r="B759" s="86" t="s">
        <v>20598</v>
      </c>
      <c r="C759" s="397">
        <v>238</v>
      </c>
    </row>
    <row r="760" spans="1:3">
      <c r="A760" s="86" t="s">
        <v>20600</v>
      </c>
      <c r="B760" s="86" t="s">
        <v>20598</v>
      </c>
      <c r="C760" s="397">
        <v>238</v>
      </c>
    </row>
    <row r="761" spans="1:3">
      <c r="A761" s="86" t="s">
        <v>20599</v>
      </c>
      <c r="B761" s="86" t="s">
        <v>20598</v>
      </c>
      <c r="C761" s="397">
        <v>238</v>
      </c>
    </row>
    <row r="762" spans="1:3">
      <c r="A762" s="86" t="s">
        <v>20597</v>
      </c>
      <c r="B762" s="86" t="s">
        <v>20596</v>
      </c>
      <c r="C762" s="397">
        <v>100</v>
      </c>
    </row>
    <row r="763" spans="1:3">
      <c r="A763" s="86" t="s">
        <v>20595</v>
      </c>
      <c r="B763" s="86" t="s">
        <v>20594</v>
      </c>
      <c r="C763" s="397">
        <v>213</v>
      </c>
    </row>
    <row r="764" spans="1:3">
      <c r="A764" s="86" t="s">
        <v>20593</v>
      </c>
      <c r="B764" s="86" t="s">
        <v>20592</v>
      </c>
      <c r="C764" s="397">
        <v>213</v>
      </c>
    </row>
    <row r="765" spans="1:3">
      <c r="A765" s="86" t="s">
        <v>20591</v>
      </c>
      <c r="B765" s="86" t="s">
        <v>20590</v>
      </c>
      <c r="C765" s="397">
        <v>213</v>
      </c>
    </row>
    <row r="766" spans="1:3">
      <c r="A766" s="86" t="s">
        <v>20589</v>
      </c>
      <c r="B766" s="86" t="s">
        <v>20588</v>
      </c>
      <c r="C766" s="397">
        <v>213</v>
      </c>
    </row>
    <row r="767" spans="1:3">
      <c r="A767" s="86" t="s">
        <v>20587</v>
      </c>
      <c r="B767" s="86" t="s">
        <v>20586</v>
      </c>
      <c r="C767" s="397">
        <v>213</v>
      </c>
    </row>
    <row r="768" spans="1:3">
      <c r="A768" s="86" t="s">
        <v>20585</v>
      </c>
      <c r="B768" s="86" t="s">
        <v>20584</v>
      </c>
      <c r="C768" s="397">
        <v>213</v>
      </c>
    </row>
    <row r="769" spans="1:3">
      <c r="A769" s="86" t="s">
        <v>20583</v>
      </c>
      <c r="B769" s="86" t="s">
        <v>20582</v>
      </c>
      <c r="C769" s="397">
        <v>213</v>
      </c>
    </row>
    <row r="770" spans="1:3">
      <c r="A770" s="86" t="s">
        <v>20581</v>
      </c>
      <c r="B770" s="86" t="s">
        <v>20580</v>
      </c>
      <c r="C770" s="397">
        <v>213</v>
      </c>
    </row>
    <row r="771" spans="1:3">
      <c r="A771" s="86" t="s">
        <v>20579</v>
      </c>
      <c r="B771" s="86" t="s">
        <v>20578</v>
      </c>
      <c r="C771" s="397">
        <v>201</v>
      </c>
    </row>
    <row r="772" spans="1:3">
      <c r="A772" s="86" t="s">
        <v>20577</v>
      </c>
      <c r="B772" s="86" t="s">
        <v>20576</v>
      </c>
      <c r="C772" s="397">
        <v>201</v>
      </c>
    </row>
    <row r="773" spans="1:3">
      <c r="A773" s="86" t="s">
        <v>20575</v>
      </c>
      <c r="B773" s="86" t="s">
        <v>20574</v>
      </c>
      <c r="C773" s="397">
        <v>201</v>
      </c>
    </row>
    <row r="774" spans="1:3">
      <c r="A774" s="86" t="s">
        <v>20573</v>
      </c>
      <c r="B774" s="86" t="s">
        <v>20572</v>
      </c>
      <c r="C774" s="397">
        <v>201</v>
      </c>
    </row>
    <row r="775" spans="1:3">
      <c r="A775" s="86" t="s">
        <v>20571</v>
      </c>
      <c r="B775" s="86" t="s">
        <v>20522</v>
      </c>
      <c r="C775" s="397">
        <v>29</v>
      </c>
    </row>
    <row r="776" spans="1:3">
      <c r="A776" s="86" t="s">
        <v>20570</v>
      </c>
      <c r="B776" s="86" t="s">
        <v>20569</v>
      </c>
      <c r="C776" s="397">
        <v>29</v>
      </c>
    </row>
    <row r="777" spans="1:3">
      <c r="A777" s="86" t="s">
        <v>20568</v>
      </c>
      <c r="B777" s="86" t="s">
        <v>20567</v>
      </c>
      <c r="C777" s="397">
        <v>132</v>
      </c>
    </row>
    <row r="778" spans="1:3">
      <c r="A778" s="86" t="s">
        <v>20566</v>
      </c>
      <c r="B778" s="86" t="s">
        <v>20565</v>
      </c>
      <c r="C778" s="397">
        <v>206</v>
      </c>
    </row>
    <row r="779" spans="1:3">
      <c r="A779" s="86" t="s">
        <v>20564</v>
      </c>
      <c r="B779" s="86" t="s">
        <v>20563</v>
      </c>
      <c r="C779" s="397">
        <v>21</v>
      </c>
    </row>
    <row r="780" spans="1:3">
      <c r="A780" s="86" t="s">
        <v>20562</v>
      </c>
      <c r="B780" s="86" t="s">
        <v>20561</v>
      </c>
      <c r="C780" s="397">
        <v>77</v>
      </c>
    </row>
    <row r="781" spans="1:3">
      <c r="A781" s="86" t="s">
        <v>20560</v>
      </c>
      <c r="B781" s="86" t="s">
        <v>20559</v>
      </c>
      <c r="C781" s="397">
        <v>37</v>
      </c>
    </row>
    <row r="782" spans="1:3">
      <c r="A782" s="86" t="s">
        <v>20558</v>
      </c>
      <c r="B782" s="86" t="s">
        <v>20557</v>
      </c>
      <c r="C782" s="397">
        <v>21</v>
      </c>
    </row>
    <row r="783" spans="1:3">
      <c r="A783" s="86" t="s">
        <v>20556</v>
      </c>
      <c r="B783" s="86" t="s">
        <v>20555</v>
      </c>
      <c r="C783" s="397">
        <v>206</v>
      </c>
    </row>
    <row r="784" spans="1:3">
      <c r="A784" s="86" t="s">
        <v>20554</v>
      </c>
      <c r="B784" s="86" t="s">
        <v>20553</v>
      </c>
      <c r="C784" s="397">
        <v>86</v>
      </c>
    </row>
    <row r="785" spans="1:3">
      <c r="A785" s="86" t="s">
        <v>20552</v>
      </c>
      <c r="B785" s="86" t="s">
        <v>20551</v>
      </c>
      <c r="C785" s="397">
        <v>86</v>
      </c>
    </row>
    <row r="786" spans="1:3">
      <c r="A786" s="86" t="s">
        <v>20550</v>
      </c>
      <c r="B786" s="86" t="s">
        <v>20549</v>
      </c>
      <c r="C786" s="397">
        <v>48</v>
      </c>
    </row>
    <row r="787" spans="1:3">
      <c r="A787" s="86" t="s">
        <v>20548</v>
      </c>
      <c r="B787" s="86" t="s">
        <v>20547</v>
      </c>
      <c r="C787" s="397">
        <v>14</v>
      </c>
    </row>
    <row r="788" spans="1:3">
      <c r="A788" s="86" t="s">
        <v>20546</v>
      </c>
      <c r="B788" s="86" t="s">
        <v>20545</v>
      </c>
      <c r="C788" s="397">
        <v>38</v>
      </c>
    </row>
    <row r="789" spans="1:3">
      <c r="A789" s="86" t="s">
        <v>20544</v>
      </c>
      <c r="B789" s="86" t="s">
        <v>20543</v>
      </c>
      <c r="C789" s="397">
        <v>86</v>
      </c>
    </row>
    <row r="790" spans="1:3">
      <c r="A790" s="86" t="s">
        <v>20542</v>
      </c>
      <c r="B790" s="86" t="s">
        <v>20457</v>
      </c>
      <c r="C790" s="397">
        <v>354</v>
      </c>
    </row>
    <row r="791" spans="1:3">
      <c r="A791" s="86" t="s">
        <v>20541</v>
      </c>
      <c r="B791" s="86" t="s">
        <v>20522</v>
      </c>
      <c r="C791" s="397">
        <v>29</v>
      </c>
    </row>
    <row r="792" spans="1:3">
      <c r="A792" s="86" t="s">
        <v>20540</v>
      </c>
      <c r="B792" s="86" t="s">
        <v>20520</v>
      </c>
      <c r="C792" s="397">
        <v>29</v>
      </c>
    </row>
    <row r="793" spans="1:3">
      <c r="A793" s="86" t="s">
        <v>20539</v>
      </c>
      <c r="B793" s="86" t="s">
        <v>20538</v>
      </c>
      <c r="C793" s="397">
        <v>21</v>
      </c>
    </row>
    <row r="794" spans="1:3">
      <c r="A794" s="86" t="s">
        <v>20537</v>
      </c>
      <c r="B794" s="86" t="s">
        <v>20536</v>
      </c>
      <c r="C794" s="397">
        <v>38</v>
      </c>
    </row>
    <row r="795" spans="1:3">
      <c r="A795" s="86" t="s">
        <v>20535</v>
      </c>
      <c r="B795" s="86" t="s">
        <v>20534</v>
      </c>
      <c r="C795" s="397">
        <v>32</v>
      </c>
    </row>
    <row r="796" spans="1:3">
      <c r="A796" s="86" t="s">
        <v>20533</v>
      </c>
      <c r="B796" s="86" t="s">
        <v>20532</v>
      </c>
      <c r="C796" s="397">
        <v>14</v>
      </c>
    </row>
    <row r="797" spans="1:3">
      <c r="A797" s="86" t="s">
        <v>20531</v>
      </c>
      <c r="B797" s="86" t="s">
        <v>20530</v>
      </c>
      <c r="C797" s="397">
        <v>132</v>
      </c>
    </row>
    <row r="798" spans="1:3">
      <c r="A798" s="86" t="s">
        <v>20529</v>
      </c>
      <c r="B798" s="86" t="s">
        <v>20528</v>
      </c>
      <c r="C798" s="397">
        <v>132</v>
      </c>
    </row>
    <row r="799" spans="1:3">
      <c r="A799" s="86" t="s">
        <v>20527</v>
      </c>
      <c r="B799" s="86" t="s">
        <v>20526</v>
      </c>
      <c r="C799" s="397">
        <v>31</v>
      </c>
    </row>
    <row r="800" spans="1:3">
      <c r="A800" s="86" t="s">
        <v>20525</v>
      </c>
      <c r="B800" s="86" t="s">
        <v>20524</v>
      </c>
      <c r="C800" s="397">
        <v>32</v>
      </c>
    </row>
    <row r="801" spans="1:3">
      <c r="A801" s="86" t="s">
        <v>20523</v>
      </c>
      <c r="B801" s="86" t="s">
        <v>20522</v>
      </c>
      <c r="C801" s="397">
        <v>29</v>
      </c>
    </row>
    <row r="802" spans="1:3">
      <c r="A802" s="86" t="s">
        <v>20521</v>
      </c>
      <c r="B802" s="86" t="s">
        <v>20520</v>
      </c>
      <c r="C802" s="397">
        <v>29</v>
      </c>
    </row>
    <row r="803" spans="1:3">
      <c r="A803" s="86" t="s">
        <v>20519</v>
      </c>
      <c r="B803" s="86" t="s">
        <v>20518</v>
      </c>
      <c r="C803" s="397">
        <v>123</v>
      </c>
    </row>
    <row r="804" spans="1:3">
      <c r="A804" s="86" t="s">
        <v>20517</v>
      </c>
      <c r="B804" s="86" t="s">
        <v>20516</v>
      </c>
      <c r="C804" s="397">
        <v>213</v>
      </c>
    </row>
    <row r="805" spans="1:3">
      <c r="A805" s="86" t="s">
        <v>20515</v>
      </c>
      <c r="B805" s="86" t="s">
        <v>20514</v>
      </c>
      <c r="C805" s="397">
        <v>213</v>
      </c>
    </row>
    <row r="806" spans="1:3">
      <c r="A806" s="86" t="s">
        <v>20513</v>
      </c>
      <c r="B806" s="86" t="s">
        <v>20512</v>
      </c>
      <c r="C806" s="397">
        <v>213</v>
      </c>
    </row>
    <row r="807" spans="1:3">
      <c r="A807" s="86" t="s">
        <v>20511</v>
      </c>
      <c r="B807" s="86" t="s">
        <v>20510</v>
      </c>
      <c r="C807" s="397">
        <v>119</v>
      </c>
    </row>
    <row r="808" spans="1:3">
      <c r="A808" s="86" t="s">
        <v>20509</v>
      </c>
      <c r="B808" s="86" t="s">
        <v>20508</v>
      </c>
      <c r="C808" s="397">
        <v>41</v>
      </c>
    </row>
    <row r="809" spans="1:3">
      <c r="A809" s="86" t="s">
        <v>20507</v>
      </c>
      <c r="B809" s="86" t="s">
        <v>20506</v>
      </c>
      <c r="C809" s="397">
        <v>58</v>
      </c>
    </row>
    <row r="810" spans="1:3">
      <c r="A810" s="86" t="s">
        <v>20505</v>
      </c>
      <c r="B810" s="86" t="s">
        <v>20504</v>
      </c>
      <c r="C810" s="397">
        <v>125</v>
      </c>
    </row>
    <row r="811" spans="1:3">
      <c r="A811" s="86" t="s">
        <v>20503</v>
      </c>
      <c r="B811" s="86" t="s">
        <v>20502</v>
      </c>
      <c r="C811" s="397">
        <v>146</v>
      </c>
    </row>
    <row r="812" spans="1:3">
      <c r="A812" s="86" t="s">
        <v>20501</v>
      </c>
      <c r="B812" s="86" t="s">
        <v>20500</v>
      </c>
      <c r="C812" s="397">
        <v>46</v>
      </c>
    </row>
    <row r="813" spans="1:3">
      <c r="A813" s="86" t="s">
        <v>20499</v>
      </c>
      <c r="B813" s="86" t="s">
        <v>20498</v>
      </c>
      <c r="C813" s="397">
        <v>21</v>
      </c>
    </row>
    <row r="814" spans="1:3">
      <c r="A814" s="86" t="s">
        <v>20497</v>
      </c>
      <c r="B814" s="86" t="s">
        <v>20496</v>
      </c>
      <c r="C814" s="397">
        <v>120</v>
      </c>
    </row>
    <row r="815" spans="1:3">
      <c r="A815" s="86" t="s">
        <v>20495</v>
      </c>
      <c r="B815" s="86" t="s">
        <v>20494</v>
      </c>
      <c r="C815" s="397">
        <v>120</v>
      </c>
    </row>
    <row r="816" spans="1:3">
      <c r="A816" s="86" t="s">
        <v>20493</v>
      </c>
      <c r="B816" s="86" t="s">
        <v>20492</v>
      </c>
      <c r="C816" s="397">
        <v>146</v>
      </c>
    </row>
    <row r="817" spans="1:3">
      <c r="A817" s="86" t="s">
        <v>20491</v>
      </c>
      <c r="B817" s="86" t="s">
        <v>20490</v>
      </c>
      <c r="C817" s="397">
        <v>39</v>
      </c>
    </row>
    <row r="818" spans="1:3">
      <c r="A818" s="86" t="s">
        <v>20489</v>
      </c>
      <c r="B818" s="86" t="s">
        <v>20488</v>
      </c>
      <c r="C818" s="397">
        <v>131</v>
      </c>
    </row>
    <row r="819" spans="1:3">
      <c r="A819" s="86" t="s">
        <v>20487</v>
      </c>
      <c r="B819" s="86" t="s">
        <v>20486</v>
      </c>
      <c r="C819" s="397">
        <v>249</v>
      </c>
    </row>
    <row r="820" spans="1:3">
      <c r="A820" s="86" t="s">
        <v>20485</v>
      </c>
      <c r="B820" s="86" t="s">
        <v>20484</v>
      </c>
      <c r="C820" s="397">
        <v>95</v>
      </c>
    </row>
    <row r="821" spans="1:3">
      <c r="A821" s="86" t="s">
        <v>20483</v>
      </c>
      <c r="B821" s="86" t="s">
        <v>20482</v>
      </c>
      <c r="C821" s="397">
        <v>66</v>
      </c>
    </row>
    <row r="822" spans="1:3">
      <c r="A822" s="86" t="s">
        <v>20481</v>
      </c>
      <c r="B822" s="86" t="s">
        <v>20480</v>
      </c>
      <c r="C822" s="397">
        <v>66</v>
      </c>
    </row>
    <row r="823" spans="1:3">
      <c r="A823" s="86" t="s">
        <v>20479</v>
      </c>
      <c r="B823" s="86" t="s">
        <v>20478</v>
      </c>
      <c r="C823" s="397">
        <v>213</v>
      </c>
    </row>
    <row r="824" spans="1:3">
      <c r="A824" s="86" t="s">
        <v>20477</v>
      </c>
      <c r="B824" s="86" t="s">
        <v>20476</v>
      </c>
      <c r="C824" s="397">
        <v>119</v>
      </c>
    </row>
    <row r="825" spans="1:3">
      <c r="A825" s="86" t="s">
        <v>20475</v>
      </c>
      <c r="B825" s="86" t="s">
        <v>20474</v>
      </c>
      <c r="C825" s="397">
        <v>31</v>
      </c>
    </row>
    <row r="826" spans="1:3">
      <c r="A826" s="86" t="s">
        <v>20473</v>
      </c>
      <c r="B826" s="86" t="s">
        <v>20472</v>
      </c>
      <c r="C826" s="397">
        <v>20</v>
      </c>
    </row>
    <row r="827" spans="1:3">
      <c r="A827" s="86" t="s">
        <v>20471</v>
      </c>
      <c r="B827" s="86" t="s">
        <v>20470</v>
      </c>
      <c r="C827" s="397">
        <v>38</v>
      </c>
    </row>
    <row r="828" spans="1:3">
      <c r="A828" s="86" t="s">
        <v>20469</v>
      </c>
      <c r="B828" s="86" t="s">
        <v>20468</v>
      </c>
      <c r="C828" s="397">
        <v>55</v>
      </c>
    </row>
    <row r="829" spans="1:3">
      <c r="A829" s="86" t="s">
        <v>20467</v>
      </c>
      <c r="B829" s="86" t="s">
        <v>20466</v>
      </c>
      <c r="C829" s="397">
        <v>14</v>
      </c>
    </row>
    <row r="830" spans="1:3">
      <c r="A830" s="86" t="s">
        <v>20465</v>
      </c>
      <c r="B830" s="86" t="s">
        <v>20464</v>
      </c>
      <c r="C830" s="397">
        <v>32</v>
      </c>
    </row>
    <row r="831" spans="1:3">
      <c r="A831" s="86" t="s">
        <v>20463</v>
      </c>
      <c r="B831" s="86" t="s">
        <v>20462</v>
      </c>
      <c r="C831" s="397">
        <v>76</v>
      </c>
    </row>
    <row r="832" spans="1:3">
      <c r="A832" s="86" t="s">
        <v>20461</v>
      </c>
      <c r="B832" s="86" t="s">
        <v>20460</v>
      </c>
      <c r="C832" s="397">
        <v>87</v>
      </c>
    </row>
    <row r="833" spans="1:3">
      <c r="A833" s="86" t="s">
        <v>20459</v>
      </c>
      <c r="B833" s="86" t="s">
        <v>20457</v>
      </c>
      <c r="C833" s="397">
        <v>314</v>
      </c>
    </row>
    <row r="834" spans="1:3">
      <c r="A834" s="86" t="s">
        <v>20458</v>
      </c>
      <c r="B834" s="86" t="s">
        <v>20457</v>
      </c>
      <c r="C834" s="397">
        <v>305</v>
      </c>
    </row>
    <row r="835" spans="1:3">
      <c r="A835" s="86" t="s">
        <v>20456</v>
      </c>
      <c r="B835" s="86" t="s">
        <v>20455</v>
      </c>
      <c r="C835" s="397">
        <v>40</v>
      </c>
    </row>
    <row r="836" spans="1:3">
      <c r="A836" s="86" t="s">
        <v>20454</v>
      </c>
      <c r="B836" s="86" t="s">
        <v>20453</v>
      </c>
      <c r="C836" s="397">
        <v>51</v>
      </c>
    </row>
    <row r="837" spans="1:3">
      <c r="A837" s="86" t="s">
        <v>20452</v>
      </c>
      <c r="B837" s="86" t="s">
        <v>20451</v>
      </c>
      <c r="C837" s="397">
        <v>77</v>
      </c>
    </row>
    <row r="838" spans="1:3">
      <c r="A838" s="86" t="s">
        <v>20450</v>
      </c>
      <c r="B838" s="86" t="s">
        <v>20449</v>
      </c>
      <c r="C838" s="397">
        <v>51</v>
      </c>
    </row>
    <row r="839" spans="1:3">
      <c r="A839" s="86" t="s">
        <v>20448</v>
      </c>
      <c r="B839" s="86" t="s">
        <v>20447</v>
      </c>
      <c r="C839" s="397">
        <v>24</v>
      </c>
    </row>
    <row r="840" spans="1:3">
      <c r="A840" s="86" t="s">
        <v>20446</v>
      </c>
      <c r="B840" s="86" t="s">
        <v>20445</v>
      </c>
      <c r="C840" s="397">
        <v>24</v>
      </c>
    </row>
    <row r="841" spans="1:3">
      <c r="A841" s="86" t="s">
        <v>20444</v>
      </c>
      <c r="B841" s="86" t="s">
        <v>20443</v>
      </c>
      <c r="C841" s="397">
        <v>24</v>
      </c>
    </row>
    <row r="842" spans="1:3">
      <c r="A842" s="86" t="s">
        <v>20442</v>
      </c>
      <c r="B842" s="86" t="s">
        <v>20441</v>
      </c>
      <c r="C842" s="397">
        <v>70</v>
      </c>
    </row>
    <row r="843" spans="1:3">
      <c r="A843" s="86" t="s">
        <v>20440</v>
      </c>
      <c r="B843" s="86" t="s">
        <v>20439</v>
      </c>
      <c r="C843" s="397">
        <v>45</v>
      </c>
    </row>
    <row r="844" spans="1:3">
      <c r="A844" s="86" t="s">
        <v>20438</v>
      </c>
      <c r="B844" s="86" t="s">
        <v>20437</v>
      </c>
      <c r="C844" s="397">
        <v>65</v>
      </c>
    </row>
    <row r="845" spans="1:3">
      <c r="A845" s="86" t="s">
        <v>20436</v>
      </c>
      <c r="B845" s="86" t="s">
        <v>20435</v>
      </c>
      <c r="C845" s="397">
        <v>45</v>
      </c>
    </row>
    <row r="846" spans="1:3">
      <c r="A846" s="86" t="s">
        <v>20434</v>
      </c>
      <c r="B846" s="86" t="s">
        <v>20433</v>
      </c>
      <c r="C846" s="397">
        <v>45</v>
      </c>
    </row>
    <row r="847" spans="1:3">
      <c r="A847" s="86" t="s">
        <v>20432</v>
      </c>
      <c r="B847" s="86" t="s">
        <v>20431</v>
      </c>
      <c r="C847" s="397">
        <v>39</v>
      </c>
    </row>
    <row r="848" spans="1:3">
      <c r="A848" s="86" t="s">
        <v>20430</v>
      </c>
      <c r="B848" s="86" t="s">
        <v>19278</v>
      </c>
      <c r="C848" s="397">
        <v>65</v>
      </c>
    </row>
    <row r="849" spans="1:3">
      <c r="A849" s="86" t="s">
        <v>20429</v>
      </c>
      <c r="B849" s="86" t="s">
        <v>20428</v>
      </c>
      <c r="C849" s="397">
        <v>21</v>
      </c>
    </row>
    <row r="850" spans="1:3">
      <c r="A850" s="86" t="s">
        <v>20427</v>
      </c>
      <c r="B850" s="86" t="s">
        <v>20426</v>
      </c>
      <c r="C850" s="397">
        <v>77</v>
      </c>
    </row>
    <row r="851" spans="1:3">
      <c r="A851" s="86" t="s">
        <v>20425</v>
      </c>
      <c r="B851" s="86" t="s">
        <v>20424</v>
      </c>
      <c r="C851" s="397">
        <v>45</v>
      </c>
    </row>
    <row r="852" spans="1:3">
      <c r="A852" s="86" t="s">
        <v>20423</v>
      </c>
      <c r="B852" s="86" t="s">
        <v>20422</v>
      </c>
      <c r="C852" s="397">
        <v>49</v>
      </c>
    </row>
    <row r="853" spans="1:3">
      <c r="A853" s="86" t="s">
        <v>20421</v>
      </c>
      <c r="B853" s="86" t="s">
        <v>20420</v>
      </c>
      <c r="C853" s="397">
        <v>45</v>
      </c>
    </row>
    <row r="854" spans="1:3">
      <c r="A854" s="86" t="s">
        <v>20419</v>
      </c>
      <c r="B854" s="86" t="s">
        <v>20417</v>
      </c>
      <c r="C854" s="397">
        <v>36</v>
      </c>
    </row>
    <row r="855" spans="1:3">
      <c r="A855" s="86" t="s">
        <v>20418</v>
      </c>
      <c r="B855" s="86" t="s">
        <v>20417</v>
      </c>
      <c r="C855" s="397">
        <v>15</v>
      </c>
    </row>
    <row r="856" spans="1:3">
      <c r="A856" s="86" t="s">
        <v>20416</v>
      </c>
      <c r="B856" s="86" t="s">
        <v>20415</v>
      </c>
      <c r="C856" s="397">
        <v>45</v>
      </c>
    </row>
    <row r="857" spans="1:3">
      <c r="A857" s="86" t="s">
        <v>20414</v>
      </c>
      <c r="B857" s="86" t="s">
        <v>20413</v>
      </c>
      <c r="C857" s="397">
        <v>70</v>
      </c>
    </row>
    <row r="858" spans="1:3">
      <c r="A858" s="86" t="s">
        <v>20412</v>
      </c>
      <c r="B858" s="86" t="s">
        <v>20410</v>
      </c>
      <c r="C858" s="397">
        <v>45</v>
      </c>
    </row>
    <row r="859" spans="1:3">
      <c r="A859" s="86" t="s">
        <v>20411</v>
      </c>
      <c r="B859" s="86" t="s">
        <v>20410</v>
      </c>
      <c r="C859" s="397">
        <v>52</v>
      </c>
    </row>
    <row r="860" spans="1:3">
      <c r="A860" s="86" t="s">
        <v>20409</v>
      </c>
      <c r="B860" s="86" t="s">
        <v>20408</v>
      </c>
      <c r="C860" s="397">
        <v>63</v>
      </c>
    </row>
    <row r="861" spans="1:3">
      <c r="A861" s="86" t="s">
        <v>20407</v>
      </c>
      <c r="B861" s="86" t="s">
        <v>20406</v>
      </c>
      <c r="C861" s="397">
        <v>63</v>
      </c>
    </row>
    <row r="862" spans="1:3">
      <c r="A862" s="86" t="s">
        <v>20405</v>
      </c>
      <c r="B862" s="86" t="s">
        <v>20404</v>
      </c>
      <c r="C862" s="397">
        <v>20</v>
      </c>
    </row>
    <row r="863" spans="1:3">
      <c r="A863" s="86" t="s">
        <v>20403</v>
      </c>
      <c r="B863" s="86" t="s">
        <v>20402</v>
      </c>
      <c r="C863" s="397">
        <v>20</v>
      </c>
    </row>
    <row r="864" spans="1:3">
      <c r="A864" s="86" t="s">
        <v>20401</v>
      </c>
      <c r="B864" s="86" t="s">
        <v>20400</v>
      </c>
      <c r="C864" s="397">
        <v>20</v>
      </c>
    </row>
    <row r="865" spans="1:3">
      <c r="A865" s="86" t="s">
        <v>20399</v>
      </c>
      <c r="B865" s="86" t="s">
        <v>20398</v>
      </c>
      <c r="C865" s="397">
        <v>20</v>
      </c>
    </row>
    <row r="866" spans="1:3">
      <c r="A866" s="86" t="s">
        <v>20397</v>
      </c>
      <c r="B866" s="86" t="s">
        <v>20396</v>
      </c>
      <c r="C866" s="397">
        <v>20</v>
      </c>
    </row>
    <row r="867" spans="1:3">
      <c r="A867" s="86" t="s">
        <v>20395</v>
      </c>
      <c r="B867" s="86" t="s">
        <v>20394</v>
      </c>
      <c r="C867" s="397">
        <v>20</v>
      </c>
    </row>
    <row r="868" spans="1:3">
      <c r="A868" s="86" t="s">
        <v>20393</v>
      </c>
      <c r="B868" s="86" t="s">
        <v>20392</v>
      </c>
      <c r="C868" s="397">
        <v>20</v>
      </c>
    </row>
    <row r="869" spans="1:3">
      <c r="A869" s="86" t="s">
        <v>20391</v>
      </c>
      <c r="B869" s="86" t="s">
        <v>20390</v>
      </c>
      <c r="C869" s="397">
        <v>20</v>
      </c>
    </row>
    <row r="870" spans="1:3">
      <c r="A870" s="86" t="s">
        <v>20389</v>
      </c>
      <c r="B870" s="86" t="s">
        <v>20388</v>
      </c>
      <c r="C870" s="397">
        <v>20</v>
      </c>
    </row>
    <row r="871" spans="1:3">
      <c r="A871" s="86" t="s">
        <v>20387</v>
      </c>
      <c r="B871" s="86" t="s">
        <v>20386</v>
      </c>
      <c r="C871" s="397">
        <v>49</v>
      </c>
    </row>
    <row r="872" spans="1:3">
      <c r="A872" s="86" t="s">
        <v>20385</v>
      </c>
      <c r="B872" s="86" t="s">
        <v>20384</v>
      </c>
      <c r="C872" s="397">
        <v>49</v>
      </c>
    </row>
    <row r="873" spans="1:3">
      <c r="A873" s="86" t="s">
        <v>20383</v>
      </c>
      <c r="B873" s="86" t="s">
        <v>20382</v>
      </c>
      <c r="C873" s="397">
        <v>1034</v>
      </c>
    </row>
    <row r="874" spans="1:3">
      <c r="A874" s="86" t="s">
        <v>20381</v>
      </c>
      <c r="B874" s="86" t="s">
        <v>20380</v>
      </c>
      <c r="C874" s="397">
        <v>1034</v>
      </c>
    </row>
    <row r="875" spans="1:3">
      <c r="A875" s="86" t="s">
        <v>20379</v>
      </c>
      <c r="B875" s="86" t="s">
        <v>20378</v>
      </c>
      <c r="C875" s="397">
        <v>1654</v>
      </c>
    </row>
    <row r="876" spans="1:3">
      <c r="A876" s="86" t="s">
        <v>20377</v>
      </c>
      <c r="B876" s="86" t="s">
        <v>20376</v>
      </c>
      <c r="C876" s="397">
        <v>1410</v>
      </c>
    </row>
    <row r="877" spans="1:3">
      <c r="A877" s="86" t="s">
        <v>20375</v>
      </c>
      <c r="B877" s="86" t="s">
        <v>20374</v>
      </c>
      <c r="C877" s="397">
        <v>1448</v>
      </c>
    </row>
    <row r="878" spans="1:3">
      <c r="A878" s="86" t="s">
        <v>20373</v>
      </c>
      <c r="B878" s="86" t="s">
        <v>20372</v>
      </c>
      <c r="C878" s="397">
        <v>1930</v>
      </c>
    </row>
    <row r="879" spans="1:3">
      <c r="A879" s="86" t="s">
        <v>20371</v>
      </c>
      <c r="B879" s="86" t="s">
        <v>20370</v>
      </c>
      <c r="C879" s="397">
        <v>1967</v>
      </c>
    </row>
    <row r="880" spans="1:3">
      <c r="A880" s="86" t="s">
        <v>20369</v>
      </c>
      <c r="B880" s="86" t="s">
        <v>20368</v>
      </c>
      <c r="C880" s="397">
        <v>2005</v>
      </c>
    </row>
    <row r="881" spans="1:3">
      <c r="A881" s="86" t="s">
        <v>20367</v>
      </c>
      <c r="B881" s="86" t="s">
        <v>20366</v>
      </c>
      <c r="C881" s="397">
        <v>1930</v>
      </c>
    </row>
    <row r="882" spans="1:3">
      <c r="A882" s="86" t="s">
        <v>20365</v>
      </c>
      <c r="B882" s="86" t="s">
        <v>20364</v>
      </c>
      <c r="C882" s="397">
        <v>1967</v>
      </c>
    </row>
    <row r="883" spans="1:3">
      <c r="A883" s="86" t="s">
        <v>20363</v>
      </c>
      <c r="B883" s="86" t="s">
        <v>20362</v>
      </c>
      <c r="C883" s="397">
        <v>2136</v>
      </c>
    </row>
    <row r="884" spans="1:3">
      <c r="A884" s="86" t="s">
        <v>20361</v>
      </c>
      <c r="B884" s="86" t="s">
        <v>20360</v>
      </c>
      <c r="C884" s="397">
        <v>1967</v>
      </c>
    </row>
    <row r="885" spans="1:3">
      <c r="A885" s="86" t="s">
        <v>20359</v>
      </c>
      <c r="B885" s="86" t="s">
        <v>20358</v>
      </c>
      <c r="C885" s="397">
        <v>2005</v>
      </c>
    </row>
    <row r="886" spans="1:3">
      <c r="A886" s="86" t="s">
        <v>20357</v>
      </c>
      <c r="B886" s="86" t="s">
        <v>20356</v>
      </c>
      <c r="C886" s="397">
        <v>2068</v>
      </c>
    </row>
    <row r="887" spans="1:3">
      <c r="A887" s="86" t="s">
        <v>20355</v>
      </c>
      <c r="B887" s="86" t="s">
        <v>20354</v>
      </c>
      <c r="C887" s="397">
        <v>2104</v>
      </c>
    </row>
    <row r="888" spans="1:3">
      <c r="A888" s="86" t="s">
        <v>20353</v>
      </c>
      <c r="B888" s="86" t="s">
        <v>20352</v>
      </c>
      <c r="C888" s="397">
        <v>2275</v>
      </c>
    </row>
    <row r="889" spans="1:3">
      <c r="A889" s="86" t="s">
        <v>20351</v>
      </c>
      <c r="B889" s="86" t="s">
        <v>20350</v>
      </c>
      <c r="C889" s="397">
        <v>2205</v>
      </c>
    </row>
    <row r="890" spans="1:3">
      <c r="A890" s="86" t="s">
        <v>20349</v>
      </c>
      <c r="B890" s="86" t="s">
        <v>20348</v>
      </c>
      <c r="C890" s="397">
        <v>247</v>
      </c>
    </row>
    <row r="891" spans="1:3">
      <c r="A891" s="86" t="s">
        <v>20347</v>
      </c>
      <c r="B891" s="86" t="s">
        <v>20346</v>
      </c>
      <c r="C891" s="397">
        <v>247</v>
      </c>
    </row>
    <row r="892" spans="1:3">
      <c r="A892" s="86" t="s">
        <v>20345</v>
      </c>
      <c r="B892" s="86" t="s">
        <v>20344</v>
      </c>
      <c r="C892" s="397">
        <v>247</v>
      </c>
    </row>
    <row r="893" spans="1:3">
      <c r="A893" s="86" t="s">
        <v>20343</v>
      </c>
      <c r="B893" s="86" t="s">
        <v>20342</v>
      </c>
      <c r="C893" s="397">
        <v>247</v>
      </c>
    </row>
    <row r="894" spans="1:3">
      <c r="A894" s="86" t="s">
        <v>20341</v>
      </c>
      <c r="B894" s="86" t="s">
        <v>20340</v>
      </c>
      <c r="C894" s="397">
        <v>247</v>
      </c>
    </row>
    <row r="895" spans="1:3">
      <c r="A895" s="86" t="s">
        <v>20339</v>
      </c>
      <c r="B895" s="86" t="s">
        <v>20338</v>
      </c>
      <c r="C895" s="397">
        <v>293</v>
      </c>
    </row>
    <row r="896" spans="1:3">
      <c r="A896" s="86" t="s">
        <v>20337</v>
      </c>
      <c r="B896" s="86" t="s">
        <v>20336</v>
      </c>
      <c r="C896" s="397">
        <v>306</v>
      </c>
    </row>
    <row r="897" spans="1:3">
      <c r="A897" s="86" t="s">
        <v>20335</v>
      </c>
      <c r="B897" s="86" t="s">
        <v>20334</v>
      </c>
      <c r="C897" s="397">
        <v>293</v>
      </c>
    </row>
    <row r="898" spans="1:3">
      <c r="A898" s="86" t="s">
        <v>20333</v>
      </c>
      <c r="B898" s="86" t="s">
        <v>20332</v>
      </c>
      <c r="C898" s="397">
        <v>291</v>
      </c>
    </row>
    <row r="899" spans="1:3">
      <c r="A899" s="86" t="s">
        <v>20331</v>
      </c>
      <c r="B899" s="86" t="s">
        <v>20330</v>
      </c>
      <c r="C899" s="397">
        <v>306</v>
      </c>
    </row>
    <row r="900" spans="1:3">
      <c r="A900" s="86" t="s">
        <v>20329</v>
      </c>
      <c r="B900" s="86" t="s">
        <v>20328</v>
      </c>
      <c r="C900" s="397">
        <v>291</v>
      </c>
    </row>
    <row r="901" spans="1:3">
      <c r="A901" s="86" t="s">
        <v>20327</v>
      </c>
      <c r="B901" s="86" t="s">
        <v>20326</v>
      </c>
      <c r="C901" s="397">
        <v>293</v>
      </c>
    </row>
    <row r="902" spans="1:3">
      <c r="A902" s="86" t="s">
        <v>20325</v>
      </c>
      <c r="B902" s="86" t="s">
        <v>20324</v>
      </c>
      <c r="C902" s="397">
        <v>291</v>
      </c>
    </row>
    <row r="903" spans="1:3">
      <c r="A903" s="86" t="s">
        <v>20323</v>
      </c>
      <c r="B903" s="86" t="s">
        <v>20322</v>
      </c>
      <c r="C903" s="397">
        <v>306</v>
      </c>
    </row>
    <row r="904" spans="1:3">
      <c r="A904" s="86" t="s">
        <v>20321</v>
      </c>
      <c r="B904" s="86" t="s">
        <v>20320</v>
      </c>
      <c r="C904" s="397">
        <v>291</v>
      </c>
    </row>
    <row r="905" spans="1:3">
      <c r="A905" s="86" t="s">
        <v>20319</v>
      </c>
      <c r="B905" s="86" t="s">
        <v>20318</v>
      </c>
      <c r="C905" s="397">
        <v>306</v>
      </c>
    </row>
    <row r="906" spans="1:3">
      <c r="A906" s="86" t="s">
        <v>20317</v>
      </c>
      <c r="B906" s="86" t="s">
        <v>20316</v>
      </c>
      <c r="C906" s="397">
        <v>306</v>
      </c>
    </row>
    <row r="907" spans="1:3">
      <c r="A907" s="86" t="s">
        <v>20315</v>
      </c>
      <c r="B907" s="86" t="s">
        <v>20314</v>
      </c>
      <c r="C907" s="397">
        <v>323</v>
      </c>
    </row>
    <row r="908" spans="1:3">
      <c r="A908" s="86" t="s">
        <v>20313</v>
      </c>
      <c r="B908" s="86" t="s">
        <v>20312</v>
      </c>
      <c r="C908" s="397">
        <v>291</v>
      </c>
    </row>
    <row r="909" spans="1:3">
      <c r="A909" s="86" t="s">
        <v>20311</v>
      </c>
      <c r="B909" s="86" t="s">
        <v>20310</v>
      </c>
      <c r="C909" s="397">
        <v>293</v>
      </c>
    </row>
    <row r="910" spans="1:3">
      <c r="A910" s="86" t="s">
        <v>20309</v>
      </c>
      <c r="B910" s="86" t="s">
        <v>20308</v>
      </c>
      <c r="C910" s="397">
        <v>291</v>
      </c>
    </row>
    <row r="911" spans="1:3">
      <c r="A911" s="86" t="s">
        <v>20307</v>
      </c>
      <c r="B911" s="86" t="s">
        <v>20306</v>
      </c>
      <c r="C911" s="397">
        <v>291</v>
      </c>
    </row>
    <row r="912" spans="1:3">
      <c r="A912" s="86" t="s">
        <v>20305</v>
      </c>
      <c r="B912" s="86" t="s">
        <v>20304</v>
      </c>
      <c r="C912" s="397">
        <v>291</v>
      </c>
    </row>
    <row r="913" spans="1:3">
      <c r="A913" s="86" t="s">
        <v>20303</v>
      </c>
      <c r="B913" s="86" t="s">
        <v>20302</v>
      </c>
      <c r="C913" s="397">
        <v>818</v>
      </c>
    </row>
    <row r="914" spans="1:3">
      <c r="A914" s="86" t="s">
        <v>82</v>
      </c>
      <c r="B914" s="86" t="s">
        <v>20301</v>
      </c>
      <c r="C914" s="397">
        <v>818</v>
      </c>
    </row>
    <row r="915" spans="1:3">
      <c r="A915" s="86" t="s">
        <v>20300</v>
      </c>
      <c r="B915" s="86" t="s">
        <v>20299</v>
      </c>
      <c r="C915" s="397">
        <v>173</v>
      </c>
    </row>
    <row r="916" spans="1:3">
      <c r="A916" s="86" t="s">
        <v>20298</v>
      </c>
      <c r="B916" s="86" t="s">
        <v>20297</v>
      </c>
      <c r="C916" s="397">
        <v>27</v>
      </c>
    </row>
    <row r="917" spans="1:3">
      <c r="A917" s="86" t="s">
        <v>20296</v>
      </c>
      <c r="B917" s="86" t="s">
        <v>20295</v>
      </c>
      <c r="C917" s="397">
        <v>4321</v>
      </c>
    </row>
    <row r="918" spans="1:3">
      <c r="A918" s="86" t="s">
        <v>20294</v>
      </c>
      <c r="B918" s="86" t="s">
        <v>20293</v>
      </c>
      <c r="C918" s="397">
        <v>5626</v>
      </c>
    </row>
    <row r="919" spans="1:3">
      <c r="A919" s="86" t="s">
        <v>20292</v>
      </c>
      <c r="B919" s="86" t="s">
        <v>20291</v>
      </c>
      <c r="C919" s="397">
        <v>242</v>
      </c>
    </row>
    <row r="920" spans="1:3">
      <c r="A920" s="86" t="s">
        <v>20290</v>
      </c>
      <c r="B920" s="86" t="s">
        <v>20289</v>
      </c>
      <c r="C920" s="397">
        <v>242</v>
      </c>
    </row>
    <row r="921" spans="1:3">
      <c r="A921" s="86" t="s">
        <v>20288</v>
      </c>
      <c r="B921" s="86" t="s">
        <v>20267</v>
      </c>
      <c r="C921" s="397">
        <v>242</v>
      </c>
    </row>
    <row r="922" spans="1:3">
      <c r="A922" s="86" t="s">
        <v>20287</v>
      </c>
      <c r="B922" s="86" t="s">
        <v>20265</v>
      </c>
      <c r="C922" s="397">
        <v>242</v>
      </c>
    </row>
    <row r="923" spans="1:3">
      <c r="A923" s="86" t="s">
        <v>20286</v>
      </c>
      <c r="B923" s="86" t="s">
        <v>20285</v>
      </c>
      <c r="C923" s="397">
        <v>242</v>
      </c>
    </row>
    <row r="924" spans="1:3">
      <c r="A924" s="86" t="s">
        <v>20284</v>
      </c>
      <c r="B924" s="86" t="s">
        <v>20283</v>
      </c>
      <c r="C924" s="397">
        <v>242</v>
      </c>
    </row>
    <row r="925" spans="1:3">
      <c r="A925" s="86" t="s">
        <v>20282</v>
      </c>
      <c r="B925" s="86" t="s">
        <v>20281</v>
      </c>
      <c r="C925" s="397">
        <v>242</v>
      </c>
    </row>
    <row r="926" spans="1:3">
      <c r="A926" s="86" t="s">
        <v>73</v>
      </c>
      <c r="B926" s="86" t="s">
        <v>20273</v>
      </c>
      <c r="C926" s="397">
        <v>499</v>
      </c>
    </row>
    <row r="927" spans="1:3">
      <c r="A927" s="86" t="s">
        <v>77</v>
      </c>
      <c r="B927" s="86" t="s">
        <v>20280</v>
      </c>
      <c r="C927" s="397">
        <v>242</v>
      </c>
    </row>
    <row r="928" spans="1:3">
      <c r="A928" s="86" t="s">
        <v>20279</v>
      </c>
      <c r="B928" s="86" t="s">
        <v>20278</v>
      </c>
      <c r="C928" s="397">
        <v>242</v>
      </c>
    </row>
    <row r="929" spans="1:3">
      <c r="A929" s="86" t="s">
        <v>20277</v>
      </c>
      <c r="B929" s="86" t="s">
        <v>20276</v>
      </c>
      <c r="C929" s="397">
        <v>242</v>
      </c>
    </row>
    <row r="930" spans="1:3">
      <c r="A930" s="86" t="s">
        <v>20275</v>
      </c>
      <c r="B930" s="86" t="s">
        <v>20274</v>
      </c>
      <c r="C930" s="397">
        <v>242</v>
      </c>
    </row>
    <row r="931" spans="1:3">
      <c r="A931" s="86" t="s">
        <v>75</v>
      </c>
      <c r="B931" s="86" t="s">
        <v>20273</v>
      </c>
      <c r="C931" s="397">
        <v>242</v>
      </c>
    </row>
    <row r="932" spans="1:3">
      <c r="A932" s="86" t="s">
        <v>20272</v>
      </c>
      <c r="B932" s="86" t="s">
        <v>20271</v>
      </c>
      <c r="C932" s="397">
        <v>242</v>
      </c>
    </row>
    <row r="933" spans="1:3">
      <c r="A933" s="86" t="s">
        <v>20270</v>
      </c>
      <c r="B933" s="86" t="s">
        <v>20269</v>
      </c>
      <c r="C933" s="397">
        <v>242</v>
      </c>
    </row>
    <row r="934" spans="1:3">
      <c r="A934" s="86" t="s">
        <v>20268</v>
      </c>
      <c r="B934" s="86" t="s">
        <v>20267</v>
      </c>
      <c r="C934" s="397">
        <v>242</v>
      </c>
    </row>
    <row r="935" spans="1:3">
      <c r="A935" s="86" t="s">
        <v>20266</v>
      </c>
      <c r="B935" s="86" t="s">
        <v>20265</v>
      </c>
      <c r="C935" s="397">
        <v>242</v>
      </c>
    </row>
    <row r="936" spans="1:3">
      <c r="A936" s="86" t="s">
        <v>20264</v>
      </c>
      <c r="B936" s="86" t="s">
        <v>20263</v>
      </c>
      <c r="C936" s="397">
        <v>450</v>
      </c>
    </row>
    <row r="937" spans="1:3">
      <c r="A937" s="86" t="s">
        <v>20262</v>
      </c>
      <c r="B937" s="86" t="s">
        <v>20261</v>
      </c>
      <c r="C937" s="397">
        <v>865</v>
      </c>
    </row>
    <row r="938" spans="1:3">
      <c r="A938" s="86" t="s">
        <v>20260</v>
      </c>
      <c r="B938" s="86" t="s">
        <v>20259</v>
      </c>
      <c r="C938" s="397">
        <v>973</v>
      </c>
    </row>
    <row r="939" spans="1:3">
      <c r="A939" s="86" t="s">
        <v>20258</v>
      </c>
      <c r="B939" s="86" t="s">
        <v>20254</v>
      </c>
      <c r="C939" s="397">
        <v>69</v>
      </c>
    </row>
    <row r="940" spans="1:3">
      <c r="A940" s="86" t="s">
        <v>20257</v>
      </c>
      <c r="B940" s="86" t="s">
        <v>20256</v>
      </c>
      <c r="C940" s="397">
        <v>69</v>
      </c>
    </row>
    <row r="941" spans="1:3">
      <c r="A941" s="86" t="s">
        <v>20255</v>
      </c>
      <c r="B941" s="86" t="s">
        <v>20254</v>
      </c>
      <c r="C941" s="397">
        <v>69</v>
      </c>
    </row>
    <row r="942" spans="1:3">
      <c r="A942" s="86" t="s">
        <v>176</v>
      </c>
      <c r="B942" s="86" t="s">
        <v>20253</v>
      </c>
      <c r="C942" s="397">
        <v>1877</v>
      </c>
    </row>
    <row r="943" spans="1:3">
      <c r="A943" s="86" t="s">
        <v>20252</v>
      </c>
      <c r="B943" s="86" t="s">
        <v>20247</v>
      </c>
      <c r="C943" s="397">
        <v>0</v>
      </c>
    </row>
    <row r="944" spans="1:3">
      <c r="A944" s="86" t="s">
        <v>20251</v>
      </c>
      <c r="B944" s="86" t="s">
        <v>20247</v>
      </c>
      <c r="C944" s="397">
        <v>0</v>
      </c>
    </row>
    <row r="945" spans="1:3">
      <c r="A945" s="86" t="s">
        <v>20250</v>
      </c>
      <c r="B945" s="86" t="s">
        <v>20247</v>
      </c>
      <c r="C945" s="397">
        <v>0</v>
      </c>
    </row>
    <row r="946" spans="1:3">
      <c r="A946" s="86" t="s">
        <v>20249</v>
      </c>
      <c r="B946" s="86" t="s">
        <v>20247</v>
      </c>
      <c r="C946" s="397">
        <v>0</v>
      </c>
    </row>
    <row r="947" spans="1:3">
      <c r="A947" s="86" t="s">
        <v>20248</v>
      </c>
      <c r="B947" s="86" t="s">
        <v>20247</v>
      </c>
      <c r="C947" s="397">
        <v>0</v>
      </c>
    </row>
    <row r="948" spans="1:3">
      <c r="A948" s="86" t="s">
        <v>20246</v>
      </c>
      <c r="B948" s="86" t="s">
        <v>20245</v>
      </c>
      <c r="C948" s="397">
        <v>1346</v>
      </c>
    </row>
    <row r="949" spans="1:3">
      <c r="A949" s="86" t="s">
        <v>20244</v>
      </c>
      <c r="B949" s="86" t="s">
        <v>20243</v>
      </c>
      <c r="C949" s="397">
        <v>1591</v>
      </c>
    </row>
    <row r="950" spans="1:3">
      <c r="A950" s="86" t="s">
        <v>20242</v>
      </c>
      <c r="B950" s="86" t="s">
        <v>20241</v>
      </c>
      <c r="C950" s="397">
        <v>1591</v>
      </c>
    </row>
    <row r="951" spans="1:3">
      <c r="A951" s="86" t="s">
        <v>37</v>
      </c>
      <c r="B951" s="86" t="s">
        <v>20240</v>
      </c>
      <c r="C951" s="397">
        <v>1480</v>
      </c>
    </row>
    <row r="952" spans="1:3">
      <c r="A952" s="86" t="s">
        <v>20239</v>
      </c>
      <c r="B952" s="86" t="s">
        <v>20238</v>
      </c>
      <c r="C952" s="397">
        <v>1480</v>
      </c>
    </row>
    <row r="953" spans="1:3">
      <c r="A953" s="86" t="s">
        <v>41</v>
      </c>
      <c r="B953" s="86" t="s">
        <v>20237</v>
      </c>
      <c r="C953" s="397">
        <v>1737</v>
      </c>
    </row>
    <row r="954" spans="1:3">
      <c r="A954" s="86" t="s">
        <v>39</v>
      </c>
      <c r="B954" s="86" t="s">
        <v>20236</v>
      </c>
      <c r="C954" s="397">
        <v>1737</v>
      </c>
    </row>
    <row r="955" spans="1:3">
      <c r="A955" s="86" t="s">
        <v>20235</v>
      </c>
      <c r="B955" s="86" t="s">
        <v>20234</v>
      </c>
      <c r="C955" s="397">
        <v>1480</v>
      </c>
    </row>
    <row r="956" spans="1:3">
      <c r="A956" s="86" t="s">
        <v>43</v>
      </c>
      <c r="B956" s="86" t="s">
        <v>20233</v>
      </c>
      <c r="C956" s="397">
        <v>2339</v>
      </c>
    </row>
    <row r="957" spans="1:3">
      <c r="A957" s="86" t="s">
        <v>45</v>
      </c>
      <c r="B957" s="86" t="s">
        <v>20232</v>
      </c>
      <c r="C957" s="397">
        <v>2454</v>
      </c>
    </row>
    <row r="958" spans="1:3">
      <c r="A958" s="86" t="s">
        <v>47</v>
      </c>
      <c r="B958" s="86" t="s">
        <v>20231</v>
      </c>
      <c r="C958" s="397">
        <v>2507</v>
      </c>
    </row>
    <row r="959" spans="1:3">
      <c r="A959" s="86" t="s">
        <v>49</v>
      </c>
      <c r="B959" s="86" t="s">
        <v>20230</v>
      </c>
      <c r="C959" s="397">
        <v>1577</v>
      </c>
    </row>
    <row r="960" spans="1:3">
      <c r="A960" s="86" t="s">
        <v>51</v>
      </c>
      <c r="B960" s="86" t="s">
        <v>20229</v>
      </c>
      <c r="C960" s="397">
        <v>1642</v>
      </c>
    </row>
    <row r="961" spans="1:3">
      <c r="A961" s="86" t="s">
        <v>20228</v>
      </c>
      <c r="B961" s="86" t="s">
        <v>20227</v>
      </c>
      <c r="C961" s="397">
        <v>1642</v>
      </c>
    </row>
    <row r="962" spans="1:3">
      <c r="A962" s="86" t="s">
        <v>20226</v>
      </c>
      <c r="B962" s="86" t="s">
        <v>20225</v>
      </c>
      <c r="C962" s="397">
        <v>2427</v>
      </c>
    </row>
    <row r="963" spans="1:3">
      <c r="A963" s="86" t="s">
        <v>20224</v>
      </c>
      <c r="B963" s="86" t="s">
        <v>20223</v>
      </c>
      <c r="C963" s="397">
        <v>2613</v>
      </c>
    </row>
    <row r="964" spans="1:3">
      <c r="A964" s="86" t="s">
        <v>20222</v>
      </c>
      <c r="B964" s="86" t="s">
        <v>20221</v>
      </c>
      <c r="C964" s="397">
        <v>2379</v>
      </c>
    </row>
    <row r="965" spans="1:3">
      <c r="A965" s="86" t="s">
        <v>20220</v>
      </c>
      <c r="B965" s="86" t="s">
        <v>20219</v>
      </c>
      <c r="C965" s="397">
        <v>2613</v>
      </c>
    </row>
    <row r="966" spans="1:3">
      <c r="A966" s="86" t="s">
        <v>20218</v>
      </c>
      <c r="B966" s="86" t="s">
        <v>20217</v>
      </c>
      <c r="C966" s="397">
        <v>2649</v>
      </c>
    </row>
    <row r="967" spans="1:3">
      <c r="A967" s="86" t="s">
        <v>20216</v>
      </c>
      <c r="B967" s="86" t="s">
        <v>20215</v>
      </c>
      <c r="C967" s="397">
        <v>2649</v>
      </c>
    </row>
    <row r="968" spans="1:3">
      <c r="A968" s="86" t="s">
        <v>20214</v>
      </c>
      <c r="B968" s="86" t="s">
        <v>20212</v>
      </c>
      <c r="C968" s="397">
        <v>3244</v>
      </c>
    </row>
    <row r="969" spans="1:3">
      <c r="A969" s="86" t="s">
        <v>20213</v>
      </c>
      <c r="B969" s="86" t="s">
        <v>20212</v>
      </c>
      <c r="C969" s="397">
        <v>3349</v>
      </c>
    </row>
    <row r="970" spans="1:3">
      <c r="A970" s="86" t="s">
        <v>20211</v>
      </c>
      <c r="B970" s="86" t="s">
        <v>20210</v>
      </c>
      <c r="C970" s="397">
        <v>3401</v>
      </c>
    </row>
    <row r="971" spans="1:3">
      <c r="A971" s="86" t="s">
        <v>20209</v>
      </c>
      <c r="B971" s="86" t="s">
        <v>20208</v>
      </c>
      <c r="C971" s="397">
        <v>2427</v>
      </c>
    </row>
    <row r="972" spans="1:3">
      <c r="A972" s="86" t="s">
        <v>20207</v>
      </c>
      <c r="B972" s="86" t="s">
        <v>20206</v>
      </c>
      <c r="C972" s="397">
        <v>3028</v>
      </c>
    </row>
    <row r="973" spans="1:3">
      <c r="A973" s="86" t="s">
        <v>20205</v>
      </c>
      <c r="B973" s="86" t="s">
        <v>20204</v>
      </c>
      <c r="C973" s="397">
        <v>3133</v>
      </c>
    </row>
    <row r="974" spans="1:3">
      <c r="A974" s="86" t="s">
        <v>20203</v>
      </c>
      <c r="B974" s="86" t="s">
        <v>20202</v>
      </c>
      <c r="C974" s="397">
        <v>3185</v>
      </c>
    </row>
    <row r="975" spans="1:3">
      <c r="A975" s="86" t="s">
        <v>20201</v>
      </c>
      <c r="B975" s="86" t="s">
        <v>20200</v>
      </c>
      <c r="C975" s="397">
        <v>2330</v>
      </c>
    </row>
    <row r="976" spans="1:3">
      <c r="A976" s="86" t="s">
        <v>20199</v>
      </c>
      <c r="B976" s="86" t="s">
        <v>20198</v>
      </c>
      <c r="C976" s="397">
        <v>773</v>
      </c>
    </row>
    <row r="977" spans="1:3">
      <c r="A977" s="86" t="s">
        <v>20197</v>
      </c>
      <c r="B977" s="86" t="s">
        <v>20196</v>
      </c>
      <c r="C977" s="397">
        <v>65</v>
      </c>
    </row>
    <row r="978" spans="1:3">
      <c r="A978" s="86" t="s">
        <v>79</v>
      </c>
      <c r="B978" s="86" t="s">
        <v>20195</v>
      </c>
      <c r="C978" s="397">
        <v>373</v>
      </c>
    </row>
    <row r="979" spans="1:3">
      <c r="A979" s="86" t="s">
        <v>20194</v>
      </c>
      <c r="B979" s="86" t="s">
        <v>20193</v>
      </c>
      <c r="C979" s="397">
        <v>96</v>
      </c>
    </row>
    <row r="980" spans="1:3">
      <c r="A980" s="86" t="s">
        <v>20192</v>
      </c>
      <c r="B980" s="86" t="s">
        <v>20191</v>
      </c>
      <c r="C980" s="397">
        <v>973</v>
      </c>
    </row>
    <row r="981" spans="1:3">
      <c r="A981" s="86" t="s">
        <v>53</v>
      </c>
      <c r="B981" s="86" t="s">
        <v>20190</v>
      </c>
      <c r="C981" s="397">
        <v>973</v>
      </c>
    </row>
    <row r="982" spans="1:3">
      <c r="A982" s="86" t="s">
        <v>55</v>
      </c>
      <c r="B982" s="86" t="s">
        <v>20189</v>
      </c>
      <c r="C982" s="397">
        <v>973</v>
      </c>
    </row>
    <row r="983" spans="1:3">
      <c r="A983" s="86" t="s">
        <v>20188</v>
      </c>
      <c r="B983" s="86" t="s">
        <v>20187</v>
      </c>
      <c r="C983" s="397">
        <v>973</v>
      </c>
    </row>
    <row r="984" spans="1:3">
      <c r="A984" s="86" t="s">
        <v>20186</v>
      </c>
      <c r="B984" s="86" t="s">
        <v>20185</v>
      </c>
      <c r="C984" s="397">
        <v>973</v>
      </c>
    </row>
    <row r="985" spans="1:3">
      <c r="A985" s="86" t="s">
        <v>20184</v>
      </c>
      <c r="B985" s="86" t="s">
        <v>20071</v>
      </c>
      <c r="C985" s="397">
        <v>157</v>
      </c>
    </row>
    <row r="986" spans="1:3">
      <c r="A986" s="86" t="s">
        <v>20183</v>
      </c>
      <c r="B986" s="86" t="s">
        <v>20182</v>
      </c>
      <c r="C986" s="397">
        <v>214</v>
      </c>
    </row>
    <row r="987" spans="1:3">
      <c r="A987" s="86" t="s">
        <v>20181</v>
      </c>
      <c r="B987" s="86" t="s">
        <v>20065</v>
      </c>
      <c r="C987" s="397">
        <v>157</v>
      </c>
    </row>
    <row r="988" spans="1:3">
      <c r="A988" s="86" t="s">
        <v>20180</v>
      </c>
      <c r="B988" s="86" t="s">
        <v>20179</v>
      </c>
      <c r="C988" s="397">
        <v>214</v>
      </c>
    </row>
    <row r="989" spans="1:3">
      <c r="A989" s="86" t="s">
        <v>20178</v>
      </c>
      <c r="B989" s="86" t="s">
        <v>20063</v>
      </c>
      <c r="C989" s="397">
        <v>157</v>
      </c>
    </row>
    <row r="990" spans="1:3">
      <c r="A990" s="86" t="s">
        <v>20177</v>
      </c>
      <c r="B990" s="86" t="s">
        <v>20176</v>
      </c>
      <c r="C990" s="397">
        <v>157</v>
      </c>
    </row>
    <row r="991" spans="1:3">
      <c r="A991" s="86" t="s">
        <v>20175</v>
      </c>
      <c r="B991" s="86" t="s">
        <v>20059</v>
      </c>
      <c r="C991" s="397">
        <v>157</v>
      </c>
    </row>
    <row r="992" spans="1:3">
      <c r="A992" s="86" t="s">
        <v>20174</v>
      </c>
      <c r="B992" s="86" t="s">
        <v>20055</v>
      </c>
      <c r="C992" s="397">
        <v>157</v>
      </c>
    </row>
    <row r="993" spans="1:3">
      <c r="A993" s="86" t="s">
        <v>20173</v>
      </c>
      <c r="B993" s="86" t="s">
        <v>20053</v>
      </c>
      <c r="C993" s="397">
        <v>157</v>
      </c>
    </row>
    <row r="994" spans="1:3">
      <c r="A994" s="86" t="s">
        <v>20172</v>
      </c>
      <c r="B994" s="86" t="s">
        <v>20051</v>
      </c>
      <c r="C994" s="397">
        <v>157</v>
      </c>
    </row>
    <row r="995" spans="1:3">
      <c r="A995" s="86" t="s">
        <v>20171</v>
      </c>
      <c r="B995" s="86" t="s">
        <v>20170</v>
      </c>
      <c r="C995" s="397">
        <v>157</v>
      </c>
    </row>
    <row r="996" spans="1:3">
      <c r="A996" s="86" t="s">
        <v>20169</v>
      </c>
      <c r="B996" s="86" t="s">
        <v>20168</v>
      </c>
      <c r="C996" s="397">
        <v>220</v>
      </c>
    </row>
    <row r="997" spans="1:3">
      <c r="A997" s="86" t="s">
        <v>20167</v>
      </c>
      <c r="B997" s="86" t="s">
        <v>20166</v>
      </c>
      <c r="C997" s="397">
        <v>220</v>
      </c>
    </row>
    <row r="998" spans="1:3">
      <c r="A998" s="86" t="s">
        <v>20165</v>
      </c>
      <c r="B998" s="86" t="s">
        <v>20164</v>
      </c>
      <c r="C998" s="397">
        <v>220</v>
      </c>
    </row>
    <row r="999" spans="1:3">
      <c r="A999" s="86" t="s">
        <v>20163</v>
      </c>
      <c r="B999" s="86" t="s">
        <v>20161</v>
      </c>
      <c r="C999" s="397">
        <v>246</v>
      </c>
    </row>
    <row r="1000" spans="1:3">
      <c r="A1000" s="86" t="s">
        <v>20162</v>
      </c>
      <c r="B1000" s="86" t="s">
        <v>20161</v>
      </c>
      <c r="C1000" s="397">
        <v>246</v>
      </c>
    </row>
    <row r="1001" spans="1:3">
      <c r="A1001" s="86" t="s">
        <v>20160</v>
      </c>
      <c r="B1001" s="86" t="s">
        <v>20159</v>
      </c>
      <c r="C1001" s="397">
        <v>28</v>
      </c>
    </row>
    <row r="1002" spans="1:3">
      <c r="A1002" s="86" t="s">
        <v>20158</v>
      </c>
      <c r="B1002" s="86" t="s">
        <v>20040</v>
      </c>
      <c r="C1002" s="397">
        <v>157</v>
      </c>
    </row>
    <row r="1003" spans="1:3">
      <c r="A1003" s="86" t="s">
        <v>20157</v>
      </c>
      <c r="B1003" s="86" t="s">
        <v>20156</v>
      </c>
      <c r="C1003" s="397">
        <v>214</v>
      </c>
    </row>
    <row r="1004" spans="1:3">
      <c r="A1004" s="86" t="s">
        <v>20155</v>
      </c>
      <c r="B1004" s="86" t="s">
        <v>20154</v>
      </c>
      <c r="C1004" s="397">
        <v>220</v>
      </c>
    </row>
    <row r="1005" spans="1:3">
      <c r="A1005" s="86" t="s">
        <v>20153</v>
      </c>
      <c r="B1005" s="86" t="s">
        <v>20152</v>
      </c>
      <c r="C1005" s="397">
        <v>246</v>
      </c>
    </row>
    <row r="1006" spans="1:3">
      <c r="A1006" s="86" t="s">
        <v>20151</v>
      </c>
      <c r="B1006" s="86" t="s">
        <v>20150</v>
      </c>
      <c r="C1006" s="397">
        <v>260</v>
      </c>
    </row>
    <row r="1007" spans="1:3">
      <c r="A1007" s="86" t="s">
        <v>20149</v>
      </c>
      <c r="B1007" s="86" t="s">
        <v>20148</v>
      </c>
      <c r="C1007" s="397">
        <v>260</v>
      </c>
    </row>
    <row r="1008" spans="1:3">
      <c r="A1008" s="86" t="s">
        <v>20147</v>
      </c>
      <c r="B1008" s="86" t="s">
        <v>20146</v>
      </c>
      <c r="C1008" s="397">
        <v>260</v>
      </c>
    </row>
    <row r="1009" spans="1:3">
      <c r="A1009" s="86" t="s">
        <v>20145</v>
      </c>
      <c r="B1009" s="86" t="s">
        <v>20144</v>
      </c>
      <c r="C1009" s="397">
        <v>260</v>
      </c>
    </row>
    <row r="1010" spans="1:3">
      <c r="A1010" s="86" t="s">
        <v>20143</v>
      </c>
      <c r="B1010" s="86" t="s">
        <v>20142</v>
      </c>
      <c r="C1010" s="397">
        <v>260</v>
      </c>
    </row>
    <row r="1011" spans="1:3">
      <c r="A1011" s="86" t="s">
        <v>20141</v>
      </c>
      <c r="B1011" s="86" t="s">
        <v>20140</v>
      </c>
      <c r="C1011" s="397">
        <v>252</v>
      </c>
    </row>
    <row r="1012" spans="1:3">
      <c r="A1012" s="86" t="s">
        <v>20139</v>
      </c>
      <c r="B1012" s="86" t="s">
        <v>20138</v>
      </c>
      <c r="C1012" s="397">
        <v>982</v>
      </c>
    </row>
    <row r="1013" spans="1:3">
      <c r="A1013" s="86" t="s">
        <v>20137</v>
      </c>
      <c r="B1013" s="86" t="s">
        <v>20136</v>
      </c>
      <c r="C1013" s="397">
        <v>982</v>
      </c>
    </row>
    <row r="1014" spans="1:3">
      <c r="A1014" s="86" t="s">
        <v>20135</v>
      </c>
      <c r="B1014" s="86" t="s">
        <v>20134</v>
      </c>
      <c r="C1014" s="397">
        <v>893</v>
      </c>
    </row>
    <row r="1015" spans="1:3">
      <c r="A1015" s="86" t="s">
        <v>20133</v>
      </c>
      <c r="B1015" s="86" t="s">
        <v>20132</v>
      </c>
      <c r="C1015" s="397">
        <v>893</v>
      </c>
    </row>
    <row r="1016" spans="1:3">
      <c r="A1016" s="86" t="s">
        <v>20131</v>
      </c>
      <c r="B1016" s="86" t="s">
        <v>20130</v>
      </c>
      <c r="C1016" s="397">
        <v>1154</v>
      </c>
    </row>
    <row r="1017" spans="1:3">
      <c r="A1017" s="86" t="s">
        <v>20129</v>
      </c>
      <c r="B1017" s="86" t="s">
        <v>20128</v>
      </c>
      <c r="C1017" s="397">
        <v>252</v>
      </c>
    </row>
    <row r="1018" spans="1:3">
      <c r="A1018" s="86" t="s">
        <v>20127</v>
      </c>
      <c r="B1018" s="86" t="s">
        <v>20126</v>
      </c>
      <c r="C1018" s="397">
        <v>982</v>
      </c>
    </row>
    <row r="1019" spans="1:3">
      <c r="A1019" s="86" t="s">
        <v>20125</v>
      </c>
      <c r="B1019" s="86" t="s">
        <v>20124</v>
      </c>
      <c r="C1019" s="397">
        <v>892</v>
      </c>
    </row>
    <row r="1020" spans="1:3">
      <c r="A1020" s="86" t="s">
        <v>20123</v>
      </c>
      <c r="B1020" s="86" t="s">
        <v>20122</v>
      </c>
      <c r="C1020" s="397">
        <v>892</v>
      </c>
    </row>
    <row r="1021" spans="1:3">
      <c r="A1021" s="86" t="s">
        <v>20121</v>
      </c>
      <c r="B1021" s="86" t="s">
        <v>20120</v>
      </c>
      <c r="C1021" s="397">
        <v>1154</v>
      </c>
    </row>
    <row r="1022" spans="1:3">
      <c r="A1022" s="86" t="s">
        <v>20119</v>
      </c>
      <c r="B1022" s="86" t="s">
        <v>20118</v>
      </c>
      <c r="C1022" s="397">
        <v>330</v>
      </c>
    </row>
    <row r="1023" spans="1:3">
      <c r="A1023" s="86" t="s">
        <v>20117</v>
      </c>
      <c r="B1023" s="86" t="s">
        <v>20116</v>
      </c>
      <c r="C1023" s="397">
        <v>1307</v>
      </c>
    </row>
    <row r="1024" spans="1:3">
      <c r="A1024" s="86" t="s">
        <v>20115</v>
      </c>
      <c r="B1024" s="86" t="s">
        <v>20114</v>
      </c>
      <c r="C1024" s="397">
        <v>1208</v>
      </c>
    </row>
    <row r="1025" spans="1:3">
      <c r="A1025" s="86" t="s">
        <v>20113</v>
      </c>
      <c r="B1025" s="86" t="s">
        <v>20112</v>
      </c>
      <c r="C1025" s="397">
        <v>1208</v>
      </c>
    </row>
    <row r="1026" spans="1:3">
      <c r="A1026" s="86" t="s">
        <v>20111</v>
      </c>
      <c r="B1026" s="86" t="s">
        <v>20071</v>
      </c>
      <c r="C1026" s="397">
        <v>244</v>
      </c>
    </row>
    <row r="1027" spans="1:3">
      <c r="A1027" s="86" t="s">
        <v>20110</v>
      </c>
      <c r="B1027" s="86" t="s">
        <v>20109</v>
      </c>
      <c r="C1027" s="397">
        <v>225</v>
      </c>
    </row>
    <row r="1028" spans="1:3">
      <c r="A1028" s="86" t="s">
        <v>20108</v>
      </c>
      <c r="B1028" s="86" t="s">
        <v>20107</v>
      </c>
      <c r="C1028" s="397">
        <v>270</v>
      </c>
    </row>
    <row r="1029" spans="1:3">
      <c r="A1029" s="86" t="s">
        <v>20106</v>
      </c>
      <c r="B1029" s="86" t="s">
        <v>20065</v>
      </c>
      <c r="C1029" s="397">
        <v>244</v>
      </c>
    </row>
    <row r="1030" spans="1:3">
      <c r="A1030" s="86" t="s">
        <v>20105</v>
      </c>
      <c r="B1030" s="86" t="s">
        <v>20104</v>
      </c>
      <c r="C1030" s="397">
        <v>230</v>
      </c>
    </row>
    <row r="1031" spans="1:3">
      <c r="A1031" s="86" t="s">
        <v>20103</v>
      </c>
      <c r="B1031" s="86" t="s">
        <v>20102</v>
      </c>
      <c r="C1031" s="397">
        <v>244</v>
      </c>
    </row>
    <row r="1032" spans="1:3">
      <c r="A1032" s="86" t="s">
        <v>20101</v>
      </c>
      <c r="B1032" s="86" t="s">
        <v>20100</v>
      </c>
      <c r="C1032" s="397">
        <v>247</v>
      </c>
    </row>
    <row r="1033" spans="1:3">
      <c r="A1033" s="86" t="s">
        <v>20099</v>
      </c>
      <c r="B1033" s="86" t="s">
        <v>20059</v>
      </c>
      <c r="C1033" s="397">
        <v>244</v>
      </c>
    </row>
    <row r="1034" spans="1:3">
      <c r="A1034" s="86" t="s">
        <v>20098</v>
      </c>
      <c r="B1034" s="86" t="s">
        <v>20097</v>
      </c>
      <c r="C1034" s="397">
        <v>244</v>
      </c>
    </row>
    <row r="1035" spans="1:3">
      <c r="A1035" s="86" t="s">
        <v>20096</v>
      </c>
      <c r="B1035" s="86" t="s">
        <v>20057</v>
      </c>
      <c r="C1035" s="397">
        <v>247</v>
      </c>
    </row>
    <row r="1036" spans="1:3">
      <c r="A1036" s="86" t="s">
        <v>20095</v>
      </c>
      <c r="B1036" s="86" t="s">
        <v>20055</v>
      </c>
      <c r="C1036" s="397">
        <v>247</v>
      </c>
    </row>
    <row r="1037" spans="1:3">
      <c r="A1037" s="86" t="s">
        <v>20094</v>
      </c>
      <c r="B1037" s="86" t="s">
        <v>20093</v>
      </c>
      <c r="C1037" s="397">
        <v>247</v>
      </c>
    </row>
    <row r="1038" spans="1:3">
      <c r="A1038" s="86" t="s">
        <v>20092</v>
      </c>
      <c r="B1038" s="86" t="s">
        <v>20053</v>
      </c>
      <c r="C1038" s="397">
        <v>244</v>
      </c>
    </row>
    <row r="1039" spans="1:3">
      <c r="A1039" s="86" t="s">
        <v>20091</v>
      </c>
      <c r="B1039" s="86" t="s">
        <v>20051</v>
      </c>
      <c r="C1039" s="397">
        <v>247</v>
      </c>
    </row>
    <row r="1040" spans="1:3">
      <c r="A1040" s="86" t="s">
        <v>20090</v>
      </c>
      <c r="B1040" s="86" t="s">
        <v>20089</v>
      </c>
      <c r="C1040" s="397">
        <v>244</v>
      </c>
    </row>
    <row r="1041" spans="1:3">
      <c r="A1041" s="86" t="s">
        <v>20088</v>
      </c>
      <c r="B1041" s="86" t="s">
        <v>20087</v>
      </c>
      <c r="C1041" s="397">
        <v>244</v>
      </c>
    </row>
    <row r="1042" spans="1:3">
      <c r="A1042" s="86" t="s">
        <v>20086</v>
      </c>
      <c r="B1042" s="86" t="s">
        <v>20085</v>
      </c>
      <c r="C1042" s="397">
        <v>304</v>
      </c>
    </row>
    <row r="1043" spans="1:3">
      <c r="A1043" s="86" t="s">
        <v>20084</v>
      </c>
      <c r="B1043" s="86" t="s">
        <v>20083</v>
      </c>
      <c r="C1043" s="397">
        <v>33</v>
      </c>
    </row>
    <row r="1044" spans="1:3">
      <c r="A1044" s="86" t="s">
        <v>20082</v>
      </c>
      <c r="B1044" s="86" t="s">
        <v>20081</v>
      </c>
      <c r="C1044" s="397">
        <v>30</v>
      </c>
    </row>
    <row r="1045" spans="1:3">
      <c r="A1045" s="86" t="s">
        <v>20080</v>
      </c>
      <c r="B1045" s="86" t="s">
        <v>20079</v>
      </c>
      <c r="C1045" s="397">
        <v>63</v>
      </c>
    </row>
    <row r="1046" spans="1:3">
      <c r="A1046" s="86" t="s">
        <v>20078</v>
      </c>
      <c r="B1046" s="86" t="s">
        <v>20040</v>
      </c>
      <c r="C1046" s="397">
        <v>244</v>
      </c>
    </row>
    <row r="1047" spans="1:3">
      <c r="A1047" s="86" t="s">
        <v>20077</v>
      </c>
      <c r="B1047" s="86" t="s">
        <v>20076</v>
      </c>
      <c r="C1047" s="397">
        <v>250</v>
      </c>
    </row>
    <row r="1048" spans="1:3">
      <c r="A1048" s="86" t="s">
        <v>20075</v>
      </c>
      <c r="B1048" s="86" t="s">
        <v>20074</v>
      </c>
      <c r="C1048" s="397">
        <v>230</v>
      </c>
    </row>
    <row r="1049" spans="1:3">
      <c r="A1049" s="86" t="s">
        <v>20073</v>
      </c>
      <c r="B1049" s="86" t="s">
        <v>20071</v>
      </c>
      <c r="C1049" s="397">
        <v>220</v>
      </c>
    </row>
    <row r="1050" spans="1:3">
      <c r="A1050" s="86" t="s">
        <v>20072</v>
      </c>
      <c r="B1050" s="86" t="s">
        <v>20071</v>
      </c>
      <c r="C1050" s="397">
        <v>226</v>
      </c>
    </row>
    <row r="1051" spans="1:3">
      <c r="A1051" s="86" t="s">
        <v>20070</v>
      </c>
      <c r="B1051" s="86" t="s">
        <v>20069</v>
      </c>
      <c r="C1051" s="397">
        <v>225</v>
      </c>
    </row>
    <row r="1052" spans="1:3">
      <c r="A1052" s="86" t="s">
        <v>20068</v>
      </c>
      <c r="B1052" s="86" t="s">
        <v>20067</v>
      </c>
      <c r="C1052" s="397">
        <v>257</v>
      </c>
    </row>
    <row r="1053" spans="1:3">
      <c r="A1053" s="86" t="s">
        <v>20066</v>
      </c>
      <c r="B1053" s="86" t="s">
        <v>20065</v>
      </c>
      <c r="C1053" s="397">
        <v>220</v>
      </c>
    </row>
    <row r="1054" spans="1:3">
      <c r="A1054" s="86" t="s">
        <v>20064</v>
      </c>
      <c r="B1054" s="86" t="s">
        <v>20063</v>
      </c>
      <c r="C1054" s="397">
        <v>220</v>
      </c>
    </row>
    <row r="1055" spans="1:3">
      <c r="A1055" s="86" t="s">
        <v>20062</v>
      </c>
      <c r="B1055" s="86" t="s">
        <v>20061</v>
      </c>
      <c r="C1055" s="397">
        <v>257</v>
      </c>
    </row>
    <row r="1056" spans="1:3">
      <c r="A1056" s="86" t="s">
        <v>20060</v>
      </c>
      <c r="B1056" s="86" t="s">
        <v>20059</v>
      </c>
      <c r="C1056" s="397">
        <v>220</v>
      </c>
    </row>
    <row r="1057" spans="1:3">
      <c r="A1057" s="86" t="s">
        <v>20058</v>
      </c>
      <c r="B1057" s="86" t="s">
        <v>20057</v>
      </c>
      <c r="C1057" s="397">
        <v>270</v>
      </c>
    </row>
    <row r="1058" spans="1:3">
      <c r="A1058" s="86" t="s">
        <v>20056</v>
      </c>
      <c r="B1058" s="86" t="s">
        <v>20055</v>
      </c>
      <c r="C1058" s="397">
        <v>270</v>
      </c>
    </row>
    <row r="1059" spans="1:3">
      <c r="A1059" s="86" t="s">
        <v>20054</v>
      </c>
      <c r="B1059" s="86" t="s">
        <v>20053</v>
      </c>
      <c r="C1059" s="397">
        <v>220</v>
      </c>
    </row>
    <row r="1060" spans="1:3">
      <c r="A1060" s="86" t="s">
        <v>20052</v>
      </c>
      <c r="B1060" s="86" t="s">
        <v>20051</v>
      </c>
      <c r="C1060" s="397">
        <v>270</v>
      </c>
    </row>
    <row r="1061" spans="1:3">
      <c r="A1061" s="86" t="s">
        <v>20050</v>
      </c>
      <c r="B1061" s="86" t="s">
        <v>20049</v>
      </c>
      <c r="C1061" s="397">
        <v>220</v>
      </c>
    </row>
    <row r="1062" spans="1:3">
      <c r="A1062" s="86" t="s">
        <v>20048</v>
      </c>
      <c r="B1062" s="86" t="s">
        <v>20047</v>
      </c>
      <c r="C1062" s="397">
        <v>239</v>
      </c>
    </row>
    <row r="1063" spans="1:3">
      <c r="A1063" s="86" t="s">
        <v>20046</v>
      </c>
      <c r="B1063" s="86" t="s">
        <v>20045</v>
      </c>
      <c r="C1063" s="397">
        <v>259</v>
      </c>
    </row>
    <row r="1064" spans="1:3">
      <c r="A1064" s="86" t="s">
        <v>20044</v>
      </c>
      <c r="B1064" s="86" t="s">
        <v>20043</v>
      </c>
      <c r="C1064" s="397">
        <v>33</v>
      </c>
    </row>
    <row r="1065" spans="1:3">
      <c r="A1065" s="86" t="s">
        <v>20042</v>
      </c>
      <c r="B1065" s="86" t="s">
        <v>20019</v>
      </c>
      <c r="C1065" s="397">
        <v>26</v>
      </c>
    </row>
    <row r="1066" spans="1:3">
      <c r="A1066" s="86" t="s">
        <v>20041</v>
      </c>
      <c r="B1066" s="86" t="s">
        <v>20040</v>
      </c>
      <c r="C1066" s="397">
        <v>220</v>
      </c>
    </row>
    <row r="1067" spans="1:3">
      <c r="A1067" s="86" t="s">
        <v>20039</v>
      </c>
      <c r="B1067" s="86" t="s">
        <v>20038</v>
      </c>
      <c r="C1067" s="397">
        <v>395</v>
      </c>
    </row>
    <row r="1068" spans="1:3">
      <c r="A1068" s="86" t="s">
        <v>20037</v>
      </c>
      <c r="B1068" s="86" t="s">
        <v>20036</v>
      </c>
      <c r="C1068" s="397">
        <v>409</v>
      </c>
    </row>
    <row r="1069" spans="1:3">
      <c r="A1069" s="86" t="s">
        <v>20035</v>
      </c>
      <c r="B1069" s="86" t="s">
        <v>20034</v>
      </c>
      <c r="C1069" s="397">
        <v>395</v>
      </c>
    </row>
    <row r="1070" spans="1:3">
      <c r="A1070" s="86" t="s">
        <v>20033</v>
      </c>
      <c r="B1070" s="86" t="s">
        <v>20026</v>
      </c>
      <c r="C1070" s="397">
        <v>395</v>
      </c>
    </row>
    <row r="1071" spans="1:3">
      <c r="A1071" s="86" t="s">
        <v>20032</v>
      </c>
      <c r="B1071" s="86" t="s">
        <v>20026</v>
      </c>
      <c r="C1071" s="397">
        <v>395</v>
      </c>
    </row>
    <row r="1072" spans="1:3">
      <c r="A1072" s="86" t="s">
        <v>20031</v>
      </c>
      <c r="B1072" s="86" t="s">
        <v>20026</v>
      </c>
      <c r="C1072" s="397">
        <v>454</v>
      </c>
    </row>
    <row r="1073" spans="1:3">
      <c r="A1073" s="86" t="s">
        <v>20030</v>
      </c>
      <c r="B1073" s="86" t="s">
        <v>20026</v>
      </c>
      <c r="C1073" s="397">
        <v>454</v>
      </c>
    </row>
    <row r="1074" spans="1:3">
      <c r="A1074" s="86" t="s">
        <v>20029</v>
      </c>
      <c r="B1074" s="86" t="s">
        <v>20026</v>
      </c>
      <c r="C1074" s="397">
        <v>395</v>
      </c>
    </row>
    <row r="1075" spans="1:3">
      <c r="A1075" s="86" t="s">
        <v>20028</v>
      </c>
      <c r="B1075" s="86" t="s">
        <v>20026</v>
      </c>
      <c r="C1075" s="397">
        <v>454</v>
      </c>
    </row>
    <row r="1076" spans="1:3">
      <c r="A1076" s="86" t="s">
        <v>20027</v>
      </c>
      <c r="B1076" s="86" t="s">
        <v>20026</v>
      </c>
      <c r="C1076" s="397">
        <v>395</v>
      </c>
    </row>
    <row r="1077" spans="1:3">
      <c r="A1077" s="86" t="s">
        <v>20025</v>
      </c>
      <c r="B1077" s="86" t="s">
        <v>20023</v>
      </c>
      <c r="C1077" s="397">
        <v>545</v>
      </c>
    </row>
    <row r="1078" spans="1:3">
      <c r="A1078" s="86" t="s">
        <v>20024</v>
      </c>
      <c r="B1078" s="86" t="s">
        <v>20023</v>
      </c>
      <c r="C1078" s="397">
        <v>566</v>
      </c>
    </row>
    <row r="1079" spans="1:3">
      <c r="A1079" s="86" t="s">
        <v>20022</v>
      </c>
      <c r="B1079" s="86" t="s">
        <v>20021</v>
      </c>
      <c r="C1079" s="397">
        <v>44</v>
      </c>
    </row>
    <row r="1080" spans="1:3">
      <c r="A1080" s="86" t="s">
        <v>20020</v>
      </c>
      <c r="B1080" s="86" t="s">
        <v>20019</v>
      </c>
      <c r="C1080" s="397">
        <v>41</v>
      </c>
    </row>
    <row r="1081" spans="1:3">
      <c r="A1081" s="86" t="s">
        <v>20018</v>
      </c>
      <c r="B1081" s="86" t="s">
        <v>20017</v>
      </c>
      <c r="C1081" s="397">
        <v>395</v>
      </c>
    </row>
    <row r="1082" spans="1:3">
      <c r="A1082" s="86" t="s">
        <v>20016</v>
      </c>
      <c r="B1082" s="86" t="s">
        <v>20015</v>
      </c>
      <c r="C1082" s="397">
        <v>246</v>
      </c>
    </row>
    <row r="1083" spans="1:3">
      <c r="A1083" s="86" t="s">
        <v>20014</v>
      </c>
      <c r="B1083" s="86" t="s">
        <v>20000</v>
      </c>
      <c r="C1083" s="397">
        <v>65</v>
      </c>
    </row>
    <row r="1084" spans="1:3">
      <c r="A1084" s="86" t="s">
        <v>20013</v>
      </c>
      <c r="B1084" s="86" t="s">
        <v>19994</v>
      </c>
      <c r="C1084" s="397">
        <v>65</v>
      </c>
    </row>
    <row r="1085" spans="1:3">
      <c r="A1085" s="86" t="s">
        <v>20012</v>
      </c>
      <c r="B1085" s="86" t="s">
        <v>20011</v>
      </c>
      <c r="C1085" s="397">
        <v>65</v>
      </c>
    </row>
    <row r="1086" spans="1:3">
      <c r="A1086" s="86" t="s">
        <v>20010</v>
      </c>
      <c r="B1086" s="86" t="s">
        <v>20009</v>
      </c>
      <c r="C1086" s="397">
        <v>65</v>
      </c>
    </row>
    <row r="1087" spans="1:3">
      <c r="A1087" s="86" t="s">
        <v>20008</v>
      </c>
      <c r="B1087" s="86" t="s">
        <v>20007</v>
      </c>
      <c r="C1087" s="397">
        <v>65</v>
      </c>
    </row>
    <row r="1088" spans="1:3">
      <c r="A1088" s="86" t="s">
        <v>20006</v>
      </c>
      <c r="B1088" s="86" t="s">
        <v>19986</v>
      </c>
      <c r="C1088" s="397">
        <v>65</v>
      </c>
    </row>
    <row r="1089" spans="1:3">
      <c r="A1089" s="86" t="s">
        <v>20005</v>
      </c>
      <c r="B1089" s="86" t="s">
        <v>20004</v>
      </c>
      <c r="C1089" s="397">
        <v>75</v>
      </c>
    </row>
    <row r="1090" spans="1:3">
      <c r="A1090" s="86" t="s">
        <v>20003</v>
      </c>
      <c r="B1090" s="86" t="s">
        <v>20002</v>
      </c>
      <c r="C1090" s="397">
        <v>85</v>
      </c>
    </row>
    <row r="1091" spans="1:3">
      <c r="A1091" s="86" t="s">
        <v>20001</v>
      </c>
      <c r="B1091" s="86" t="s">
        <v>20000</v>
      </c>
      <c r="C1091" s="397">
        <v>75</v>
      </c>
    </row>
    <row r="1092" spans="1:3">
      <c r="A1092" s="86" t="s">
        <v>19999</v>
      </c>
      <c r="B1092" s="86" t="s">
        <v>19998</v>
      </c>
      <c r="C1092" s="397">
        <v>75</v>
      </c>
    </row>
    <row r="1093" spans="1:3">
      <c r="A1093" s="86" t="s">
        <v>19997</v>
      </c>
      <c r="B1093" s="86" t="s">
        <v>19996</v>
      </c>
      <c r="C1093" s="397">
        <v>75</v>
      </c>
    </row>
    <row r="1094" spans="1:3">
      <c r="A1094" s="86" t="s">
        <v>19995</v>
      </c>
      <c r="B1094" s="86" t="s">
        <v>19994</v>
      </c>
      <c r="C1094" s="397">
        <v>75</v>
      </c>
    </row>
    <row r="1095" spans="1:3">
      <c r="A1095" s="86" t="s">
        <v>19993</v>
      </c>
      <c r="B1095" s="86" t="s">
        <v>19992</v>
      </c>
      <c r="C1095" s="397">
        <v>75</v>
      </c>
    </row>
    <row r="1096" spans="1:3">
      <c r="A1096" s="86" t="s">
        <v>19991</v>
      </c>
      <c r="B1096" s="86" t="s">
        <v>19990</v>
      </c>
      <c r="C1096" s="397">
        <v>75</v>
      </c>
    </row>
    <row r="1097" spans="1:3">
      <c r="A1097" s="86" t="s">
        <v>19989</v>
      </c>
      <c r="B1097" s="86" t="s">
        <v>19988</v>
      </c>
      <c r="C1097" s="397">
        <v>75</v>
      </c>
    </row>
    <row r="1098" spans="1:3">
      <c r="A1098" s="86" t="s">
        <v>19987</v>
      </c>
      <c r="B1098" s="86" t="s">
        <v>19986</v>
      </c>
      <c r="C1098" s="397">
        <v>75</v>
      </c>
    </row>
    <row r="1099" spans="1:3">
      <c r="A1099" s="86" t="s">
        <v>19985</v>
      </c>
      <c r="B1099" s="86" t="s">
        <v>19984</v>
      </c>
      <c r="C1099" s="397">
        <v>75</v>
      </c>
    </row>
    <row r="1100" spans="1:3">
      <c r="A1100" s="86" t="s">
        <v>19983</v>
      </c>
      <c r="B1100" s="86" t="s">
        <v>19982</v>
      </c>
      <c r="C1100" s="397">
        <v>80</v>
      </c>
    </row>
    <row r="1101" spans="1:3">
      <c r="A1101" s="86" t="s">
        <v>19981</v>
      </c>
      <c r="B1101" s="86" t="s">
        <v>19980</v>
      </c>
      <c r="C1101" s="397">
        <v>92</v>
      </c>
    </row>
    <row r="1102" spans="1:3">
      <c r="A1102" s="86" t="s">
        <v>19979</v>
      </c>
      <c r="B1102" s="86" t="s">
        <v>19978</v>
      </c>
      <c r="C1102" s="397">
        <v>77</v>
      </c>
    </row>
    <row r="1103" spans="1:3">
      <c r="A1103" s="86" t="s">
        <v>19977</v>
      </c>
      <c r="B1103" s="86" t="s">
        <v>19976</v>
      </c>
      <c r="C1103" s="397">
        <v>98</v>
      </c>
    </row>
    <row r="1104" spans="1:3">
      <c r="A1104" s="86" t="s">
        <v>19975</v>
      </c>
      <c r="B1104" s="86" t="s">
        <v>19974</v>
      </c>
      <c r="C1104" s="397">
        <v>79</v>
      </c>
    </row>
    <row r="1105" spans="1:3">
      <c r="A1105" s="86" t="s">
        <v>19973</v>
      </c>
      <c r="B1105" s="86" t="s">
        <v>19972</v>
      </c>
      <c r="C1105" s="397">
        <v>98</v>
      </c>
    </row>
    <row r="1106" spans="1:3">
      <c r="A1106" s="86" t="s">
        <v>19971</v>
      </c>
      <c r="B1106" s="86" t="s">
        <v>19970</v>
      </c>
      <c r="C1106" s="397">
        <v>92</v>
      </c>
    </row>
    <row r="1107" spans="1:3">
      <c r="A1107" s="86" t="s">
        <v>19969</v>
      </c>
      <c r="B1107" s="86" t="s">
        <v>19968</v>
      </c>
      <c r="C1107" s="397">
        <v>77</v>
      </c>
    </row>
    <row r="1108" spans="1:3">
      <c r="A1108" s="86" t="s">
        <v>19967</v>
      </c>
      <c r="B1108" s="86" t="s">
        <v>19966</v>
      </c>
      <c r="C1108" s="397">
        <v>77</v>
      </c>
    </row>
    <row r="1109" spans="1:3">
      <c r="A1109" s="86" t="s">
        <v>19965</v>
      </c>
      <c r="B1109" s="86" t="s">
        <v>19964</v>
      </c>
      <c r="C1109" s="397">
        <v>77</v>
      </c>
    </row>
    <row r="1110" spans="1:3">
      <c r="A1110" s="86" t="s">
        <v>19963</v>
      </c>
      <c r="B1110" s="86" t="s">
        <v>19962</v>
      </c>
      <c r="C1110" s="397">
        <v>101</v>
      </c>
    </row>
    <row r="1111" spans="1:3">
      <c r="A1111" s="86" t="s">
        <v>19961</v>
      </c>
      <c r="B1111" s="86" t="s">
        <v>19960</v>
      </c>
      <c r="C1111" s="397">
        <v>386</v>
      </c>
    </row>
    <row r="1112" spans="1:3">
      <c r="A1112" s="86" t="s">
        <v>19959</v>
      </c>
      <c r="B1112" s="86" t="s">
        <v>19958</v>
      </c>
      <c r="C1112" s="397">
        <v>413</v>
      </c>
    </row>
    <row r="1113" spans="1:3">
      <c r="A1113" s="86" t="s">
        <v>19957</v>
      </c>
      <c r="B1113" s="86" t="s">
        <v>19956</v>
      </c>
      <c r="C1113" s="397">
        <v>642</v>
      </c>
    </row>
    <row r="1114" spans="1:3">
      <c r="A1114" s="86" t="s">
        <v>61</v>
      </c>
      <c r="B1114" s="86" t="s">
        <v>19955</v>
      </c>
      <c r="C1114" s="397">
        <v>623</v>
      </c>
    </row>
    <row r="1115" spans="1:3">
      <c r="A1115" s="86" t="s">
        <v>19954</v>
      </c>
      <c r="B1115" s="86" t="s">
        <v>19953</v>
      </c>
      <c r="C1115" s="397">
        <v>859</v>
      </c>
    </row>
    <row r="1116" spans="1:3">
      <c r="A1116" s="86" t="s">
        <v>19952</v>
      </c>
      <c r="B1116" s="86" t="s">
        <v>19951</v>
      </c>
      <c r="C1116" s="397">
        <v>79</v>
      </c>
    </row>
    <row r="1117" spans="1:3">
      <c r="A1117" s="86" t="s">
        <v>19950</v>
      </c>
      <c r="B1117" s="86" t="s">
        <v>19949</v>
      </c>
      <c r="C1117" s="397">
        <v>65</v>
      </c>
    </row>
    <row r="1118" spans="1:3">
      <c r="A1118" s="86" t="s">
        <v>19948</v>
      </c>
      <c r="B1118" s="86" t="s">
        <v>19947</v>
      </c>
      <c r="C1118" s="397">
        <v>65</v>
      </c>
    </row>
    <row r="1119" spans="1:3">
      <c r="A1119" s="86" t="s">
        <v>19946</v>
      </c>
      <c r="B1119" s="86" t="s">
        <v>19945</v>
      </c>
      <c r="C1119" s="397">
        <v>65</v>
      </c>
    </row>
    <row r="1120" spans="1:3">
      <c r="A1120" s="86" t="s">
        <v>19944</v>
      </c>
      <c r="B1120" s="86" t="s">
        <v>19943</v>
      </c>
      <c r="C1120" s="397">
        <v>65</v>
      </c>
    </row>
    <row r="1121" spans="1:3">
      <c r="A1121" s="86" t="s">
        <v>19942</v>
      </c>
      <c r="B1121" s="86" t="s">
        <v>19941</v>
      </c>
      <c r="C1121" s="397">
        <v>79</v>
      </c>
    </row>
    <row r="1122" spans="1:3">
      <c r="A1122" s="86" t="s">
        <v>19940</v>
      </c>
      <c r="B1122" s="86" t="s">
        <v>19939</v>
      </c>
      <c r="C1122" s="397">
        <v>65</v>
      </c>
    </row>
    <row r="1123" spans="1:3">
      <c r="A1123" s="86" t="s">
        <v>19938</v>
      </c>
      <c r="B1123" s="86" t="s">
        <v>19937</v>
      </c>
      <c r="C1123" s="397">
        <v>72</v>
      </c>
    </row>
    <row r="1124" spans="1:3">
      <c r="A1124" s="86" t="s">
        <v>19936</v>
      </c>
      <c r="B1124" s="86" t="s">
        <v>19935</v>
      </c>
      <c r="C1124" s="397">
        <v>79</v>
      </c>
    </row>
    <row r="1125" spans="1:3">
      <c r="A1125" s="86" t="s">
        <v>19934</v>
      </c>
      <c r="B1125" s="86" t="s">
        <v>19933</v>
      </c>
      <c r="C1125" s="397">
        <v>77</v>
      </c>
    </row>
    <row r="1126" spans="1:3">
      <c r="A1126" s="86" t="s">
        <v>19932</v>
      </c>
      <c r="B1126" s="86" t="s">
        <v>19931</v>
      </c>
      <c r="C1126" s="397">
        <v>77</v>
      </c>
    </row>
    <row r="1127" spans="1:3">
      <c r="A1127" s="86" t="s">
        <v>19930</v>
      </c>
      <c r="B1127" s="86" t="s">
        <v>19929</v>
      </c>
      <c r="C1127" s="397">
        <v>75</v>
      </c>
    </row>
    <row r="1128" spans="1:3">
      <c r="A1128" s="86" t="s">
        <v>19928</v>
      </c>
      <c r="B1128" s="86" t="s">
        <v>19907</v>
      </c>
      <c r="C1128" s="397">
        <v>2204</v>
      </c>
    </row>
    <row r="1129" spans="1:3">
      <c r="A1129" s="86" t="s">
        <v>19927</v>
      </c>
      <c r="B1129" s="86" t="s">
        <v>19907</v>
      </c>
      <c r="C1129" s="397">
        <v>2204</v>
      </c>
    </row>
    <row r="1130" spans="1:3">
      <c r="A1130" s="86" t="s">
        <v>19926</v>
      </c>
      <c r="B1130" s="86" t="s">
        <v>19907</v>
      </c>
      <c r="C1130" s="397">
        <v>2204</v>
      </c>
    </row>
    <row r="1131" spans="1:3">
      <c r="A1131" s="86" t="s">
        <v>19925</v>
      </c>
      <c r="B1131" s="86" t="s">
        <v>19907</v>
      </c>
      <c r="C1131" s="397">
        <v>2204</v>
      </c>
    </row>
    <row r="1132" spans="1:3">
      <c r="A1132" s="86" t="s">
        <v>19924</v>
      </c>
      <c r="B1132" s="86" t="s">
        <v>19907</v>
      </c>
      <c r="C1132" s="397">
        <v>2204</v>
      </c>
    </row>
    <row r="1133" spans="1:3">
      <c r="A1133" s="86" t="s">
        <v>19923</v>
      </c>
      <c r="B1133" s="86" t="s">
        <v>19907</v>
      </c>
      <c r="C1133" s="397">
        <v>2204</v>
      </c>
    </row>
    <row r="1134" spans="1:3">
      <c r="A1134" s="86" t="s">
        <v>19922</v>
      </c>
      <c r="B1134" s="86" t="s">
        <v>19907</v>
      </c>
      <c r="C1134" s="397">
        <v>2204</v>
      </c>
    </row>
    <row r="1135" spans="1:3">
      <c r="A1135" s="86" t="s">
        <v>19921</v>
      </c>
      <c r="B1135" s="86" t="s">
        <v>19907</v>
      </c>
      <c r="C1135" s="397">
        <v>2204</v>
      </c>
    </row>
    <row r="1136" spans="1:3">
      <c r="A1136" s="86" t="s">
        <v>19920</v>
      </c>
      <c r="B1136" s="86" t="s">
        <v>19907</v>
      </c>
      <c r="C1136" s="397">
        <v>2442</v>
      </c>
    </row>
    <row r="1137" spans="1:3">
      <c r="A1137" s="86" t="s">
        <v>19919</v>
      </c>
      <c r="B1137" s="86" t="s">
        <v>19907</v>
      </c>
      <c r="C1137" s="397">
        <v>2442</v>
      </c>
    </row>
    <row r="1138" spans="1:3">
      <c r="A1138" s="86" t="s">
        <v>19918</v>
      </c>
      <c r="B1138" s="86" t="s">
        <v>19907</v>
      </c>
      <c r="C1138" s="397">
        <v>2442</v>
      </c>
    </row>
    <row r="1139" spans="1:3">
      <c r="A1139" s="86" t="s">
        <v>19917</v>
      </c>
      <c r="B1139" s="86" t="s">
        <v>19907</v>
      </c>
      <c r="C1139" s="397">
        <v>2442</v>
      </c>
    </row>
    <row r="1140" spans="1:3">
      <c r="A1140" s="86" t="s">
        <v>19916</v>
      </c>
      <c r="B1140" s="86" t="s">
        <v>19907</v>
      </c>
      <c r="C1140" s="397">
        <v>2442</v>
      </c>
    </row>
    <row r="1141" spans="1:3">
      <c r="A1141" s="86" t="s">
        <v>19915</v>
      </c>
      <c r="B1141" s="86" t="s">
        <v>19907</v>
      </c>
      <c r="C1141" s="397">
        <v>2442</v>
      </c>
    </row>
    <row r="1142" spans="1:3">
      <c r="A1142" s="86" t="s">
        <v>19914</v>
      </c>
      <c r="B1142" s="86" t="s">
        <v>19907</v>
      </c>
      <c r="C1142" s="397">
        <v>2442</v>
      </c>
    </row>
    <row r="1143" spans="1:3">
      <c r="A1143" s="86" t="s">
        <v>19913</v>
      </c>
      <c r="B1143" s="86" t="s">
        <v>19907</v>
      </c>
      <c r="C1143" s="397">
        <v>2347</v>
      </c>
    </row>
    <row r="1144" spans="1:3">
      <c r="A1144" s="86" t="s">
        <v>19912</v>
      </c>
      <c r="B1144" s="86" t="s">
        <v>19907</v>
      </c>
      <c r="C1144" s="397">
        <v>2347</v>
      </c>
    </row>
    <row r="1145" spans="1:3">
      <c r="A1145" s="86" t="s">
        <v>19911</v>
      </c>
      <c r="B1145" s="86" t="s">
        <v>19907</v>
      </c>
      <c r="C1145" s="397">
        <v>2347</v>
      </c>
    </row>
    <row r="1146" spans="1:3">
      <c r="A1146" s="86" t="s">
        <v>19910</v>
      </c>
      <c r="B1146" s="86" t="s">
        <v>19907</v>
      </c>
      <c r="C1146" s="397">
        <v>2442</v>
      </c>
    </row>
    <row r="1147" spans="1:3">
      <c r="A1147" s="86" t="s">
        <v>19909</v>
      </c>
      <c r="B1147" s="86" t="s">
        <v>19907</v>
      </c>
      <c r="C1147" s="397">
        <v>2442</v>
      </c>
    </row>
    <row r="1148" spans="1:3">
      <c r="A1148" s="86" t="s">
        <v>19908</v>
      </c>
      <c r="B1148" s="86" t="s">
        <v>19907</v>
      </c>
      <c r="C1148" s="397">
        <v>2442</v>
      </c>
    </row>
    <row r="1149" spans="1:3">
      <c r="A1149" s="86" t="s">
        <v>19906</v>
      </c>
      <c r="B1149" s="86" t="s">
        <v>19905</v>
      </c>
      <c r="C1149" s="397">
        <v>2442</v>
      </c>
    </row>
    <row r="1150" spans="1:3">
      <c r="A1150" s="86" t="s">
        <v>19904</v>
      </c>
      <c r="B1150" s="86" t="s">
        <v>19903</v>
      </c>
      <c r="C1150" s="397">
        <v>2442</v>
      </c>
    </row>
    <row r="1151" spans="1:3">
      <c r="A1151" s="86" t="s">
        <v>19902</v>
      </c>
      <c r="B1151" s="86" t="s">
        <v>19901</v>
      </c>
      <c r="C1151" s="397">
        <v>140</v>
      </c>
    </row>
    <row r="1152" spans="1:3">
      <c r="A1152" s="86" t="s">
        <v>19900</v>
      </c>
      <c r="B1152" s="86" t="s">
        <v>19899</v>
      </c>
      <c r="C1152" s="397">
        <v>73</v>
      </c>
    </row>
    <row r="1153" spans="1:3">
      <c r="A1153" s="86" t="s">
        <v>19898</v>
      </c>
      <c r="B1153" s="86" t="s">
        <v>19897</v>
      </c>
      <c r="C1153" s="397">
        <v>73</v>
      </c>
    </row>
    <row r="1154" spans="1:3">
      <c r="A1154" s="86" t="s">
        <v>19896</v>
      </c>
      <c r="B1154" s="86" t="s">
        <v>19895</v>
      </c>
      <c r="C1154" s="397">
        <v>383</v>
      </c>
    </row>
    <row r="1155" spans="1:3">
      <c r="A1155" s="86" t="s">
        <v>19894</v>
      </c>
      <c r="B1155" s="86" t="s">
        <v>19893</v>
      </c>
      <c r="C1155" s="397">
        <v>1336</v>
      </c>
    </row>
    <row r="1156" spans="1:3">
      <c r="A1156" s="86" t="s">
        <v>59</v>
      </c>
      <c r="B1156" s="86" t="s">
        <v>19892</v>
      </c>
      <c r="C1156" s="397">
        <v>1297</v>
      </c>
    </row>
    <row r="1157" spans="1:3">
      <c r="A1157" s="86" t="s">
        <v>19891</v>
      </c>
      <c r="B1157" s="86" t="s">
        <v>19890</v>
      </c>
      <c r="C1157" s="397">
        <v>1540</v>
      </c>
    </row>
    <row r="1158" spans="1:3">
      <c r="A1158" s="86" t="s">
        <v>19889</v>
      </c>
      <c r="B1158" s="86" t="s">
        <v>19888</v>
      </c>
      <c r="C1158" s="397">
        <v>1103</v>
      </c>
    </row>
    <row r="1159" spans="1:3">
      <c r="A1159" s="86" t="s">
        <v>19887</v>
      </c>
      <c r="B1159" s="86" t="s">
        <v>19875</v>
      </c>
      <c r="C1159" s="397">
        <v>1969</v>
      </c>
    </row>
    <row r="1160" spans="1:3">
      <c r="A1160" s="86" t="s">
        <v>19886</v>
      </c>
      <c r="B1160" s="86" t="s">
        <v>19875</v>
      </c>
      <c r="C1160" s="397">
        <v>1969</v>
      </c>
    </row>
    <row r="1161" spans="1:3">
      <c r="A1161" s="86" t="s">
        <v>19885</v>
      </c>
      <c r="B1161" s="86" t="s">
        <v>19875</v>
      </c>
      <c r="C1161" s="397">
        <v>1969</v>
      </c>
    </row>
    <row r="1162" spans="1:3">
      <c r="A1162" s="86" t="s">
        <v>19884</v>
      </c>
      <c r="B1162" s="86" t="s">
        <v>19875</v>
      </c>
      <c r="C1162" s="397">
        <v>1969</v>
      </c>
    </row>
    <row r="1163" spans="1:3">
      <c r="A1163" s="86" t="s">
        <v>19883</v>
      </c>
      <c r="B1163" s="86" t="s">
        <v>19875</v>
      </c>
      <c r="C1163" s="397">
        <v>1969</v>
      </c>
    </row>
    <row r="1164" spans="1:3">
      <c r="A1164" s="86" t="s">
        <v>19882</v>
      </c>
      <c r="B1164" s="86" t="s">
        <v>19875</v>
      </c>
      <c r="C1164" s="397">
        <v>1969</v>
      </c>
    </row>
    <row r="1165" spans="1:3">
      <c r="A1165" s="86" t="s">
        <v>19881</v>
      </c>
      <c r="B1165" s="86" t="s">
        <v>19879</v>
      </c>
      <c r="C1165" s="397">
        <v>1969</v>
      </c>
    </row>
    <row r="1166" spans="1:3">
      <c r="A1166" s="86" t="s">
        <v>19880</v>
      </c>
      <c r="B1166" s="86" t="s">
        <v>19879</v>
      </c>
      <c r="C1166" s="397">
        <v>1969</v>
      </c>
    </row>
    <row r="1167" spans="1:3">
      <c r="A1167" s="86" t="s">
        <v>19878</v>
      </c>
      <c r="B1167" s="86" t="s">
        <v>19875</v>
      </c>
      <c r="C1167" s="397">
        <v>1969</v>
      </c>
    </row>
    <row r="1168" spans="1:3">
      <c r="A1168" s="86" t="s">
        <v>19877</v>
      </c>
      <c r="B1168" s="86" t="s">
        <v>19875</v>
      </c>
      <c r="C1168" s="397">
        <v>1969</v>
      </c>
    </row>
    <row r="1169" spans="1:3">
      <c r="A1169" s="86" t="s">
        <v>19876</v>
      </c>
      <c r="B1169" s="86" t="s">
        <v>19875</v>
      </c>
      <c r="C1169" s="397">
        <v>1969</v>
      </c>
    </row>
    <row r="1170" spans="1:3">
      <c r="A1170" s="86" t="s">
        <v>19874</v>
      </c>
      <c r="B1170" s="86" t="s">
        <v>19872</v>
      </c>
      <c r="C1170" s="397">
        <v>1103</v>
      </c>
    </row>
    <row r="1171" spans="1:3">
      <c r="A1171" s="86" t="s">
        <v>19873</v>
      </c>
      <c r="B1171" s="86" t="s">
        <v>19872</v>
      </c>
      <c r="C1171" s="397">
        <v>1103</v>
      </c>
    </row>
    <row r="1172" spans="1:3">
      <c r="A1172" s="86" t="s">
        <v>19871</v>
      </c>
      <c r="B1172" s="86" t="s">
        <v>19839</v>
      </c>
      <c r="C1172" s="397">
        <v>1969</v>
      </c>
    </row>
    <row r="1173" spans="1:3">
      <c r="A1173" s="86" t="s">
        <v>19870</v>
      </c>
      <c r="B1173" s="86" t="s">
        <v>19863</v>
      </c>
      <c r="C1173" s="397">
        <v>1969</v>
      </c>
    </row>
    <row r="1174" spans="1:3">
      <c r="A1174" s="86" t="s">
        <v>19869</v>
      </c>
      <c r="B1174" s="86" t="s">
        <v>19863</v>
      </c>
      <c r="C1174" s="397">
        <v>1969</v>
      </c>
    </row>
    <row r="1175" spans="1:3">
      <c r="A1175" s="86" t="s">
        <v>19868</v>
      </c>
      <c r="B1175" s="86" t="s">
        <v>19863</v>
      </c>
      <c r="C1175" s="397">
        <v>1969</v>
      </c>
    </row>
    <row r="1176" spans="1:3">
      <c r="A1176" s="86" t="s">
        <v>19867</v>
      </c>
      <c r="B1176" s="86" t="s">
        <v>19839</v>
      </c>
      <c r="C1176" s="397">
        <v>1969</v>
      </c>
    </row>
    <row r="1177" spans="1:3">
      <c r="A1177" s="86" t="s">
        <v>19866</v>
      </c>
      <c r="B1177" s="86" t="s">
        <v>19839</v>
      </c>
      <c r="C1177" s="397">
        <v>1969</v>
      </c>
    </row>
    <row r="1178" spans="1:3">
      <c r="A1178" s="86" t="s">
        <v>19865</v>
      </c>
      <c r="B1178" s="86" t="s">
        <v>19839</v>
      </c>
      <c r="C1178" s="397">
        <v>1969</v>
      </c>
    </row>
    <row r="1179" spans="1:3">
      <c r="A1179" s="86" t="s">
        <v>19864</v>
      </c>
      <c r="B1179" s="86" t="s">
        <v>19863</v>
      </c>
      <c r="C1179" s="397">
        <v>1969</v>
      </c>
    </row>
    <row r="1180" spans="1:3">
      <c r="A1180" s="86" t="s">
        <v>19862</v>
      </c>
      <c r="B1180" s="86" t="s">
        <v>19841</v>
      </c>
      <c r="C1180" s="397">
        <v>1969</v>
      </c>
    </row>
    <row r="1181" spans="1:3">
      <c r="A1181" s="86" t="s">
        <v>19861</v>
      </c>
      <c r="B1181" s="86" t="s">
        <v>19843</v>
      </c>
      <c r="C1181" s="397">
        <v>1969</v>
      </c>
    </row>
    <row r="1182" spans="1:3">
      <c r="A1182" s="86" t="s">
        <v>19860</v>
      </c>
      <c r="B1182" s="86" t="s">
        <v>19841</v>
      </c>
      <c r="C1182" s="397">
        <v>1969</v>
      </c>
    </row>
    <row r="1183" spans="1:3">
      <c r="A1183" s="86" t="s">
        <v>19859</v>
      </c>
      <c r="B1183" s="86" t="s">
        <v>19841</v>
      </c>
      <c r="C1183" s="397">
        <v>1969</v>
      </c>
    </row>
    <row r="1184" spans="1:3">
      <c r="A1184" s="86" t="s">
        <v>19858</v>
      </c>
      <c r="B1184" s="86" t="s">
        <v>19843</v>
      </c>
      <c r="C1184" s="397">
        <v>1969</v>
      </c>
    </row>
    <row r="1185" spans="1:3">
      <c r="A1185" s="86" t="s">
        <v>19857</v>
      </c>
      <c r="B1185" s="86" t="s">
        <v>19841</v>
      </c>
      <c r="C1185" s="397">
        <v>1969</v>
      </c>
    </row>
    <row r="1186" spans="1:3">
      <c r="A1186" s="86" t="s">
        <v>19856</v>
      </c>
      <c r="B1186" s="86" t="s">
        <v>19841</v>
      </c>
      <c r="C1186" s="397">
        <v>1969</v>
      </c>
    </row>
    <row r="1187" spans="1:3">
      <c r="A1187" s="86" t="s">
        <v>19855</v>
      </c>
      <c r="B1187" s="86" t="s">
        <v>19841</v>
      </c>
      <c r="C1187" s="397">
        <v>1969</v>
      </c>
    </row>
    <row r="1188" spans="1:3">
      <c r="A1188" s="86" t="s">
        <v>19854</v>
      </c>
      <c r="B1188" s="86" t="s">
        <v>19843</v>
      </c>
      <c r="C1188" s="397">
        <v>1969</v>
      </c>
    </row>
    <row r="1189" spans="1:3">
      <c r="A1189" s="86" t="s">
        <v>19853</v>
      </c>
      <c r="B1189" s="86" t="s">
        <v>19843</v>
      </c>
      <c r="C1189" s="397">
        <v>1969</v>
      </c>
    </row>
    <row r="1190" spans="1:3">
      <c r="A1190" s="86" t="s">
        <v>19852</v>
      </c>
      <c r="B1190" s="86" t="s">
        <v>19851</v>
      </c>
      <c r="C1190" s="397">
        <v>1969</v>
      </c>
    </row>
    <row r="1191" spans="1:3">
      <c r="A1191" s="86" t="s">
        <v>19850</v>
      </c>
      <c r="B1191" s="86" t="s">
        <v>19841</v>
      </c>
      <c r="C1191" s="397">
        <v>1969</v>
      </c>
    </row>
    <row r="1192" spans="1:3">
      <c r="A1192" s="86" t="s">
        <v>19849</v>
      </c>
      <c r="B1192" s="86" t="s">
        <v>19841</v>
      </c>
      <c r="C1192" s="397">
        <v>1969</v>
      </c>
    </row>
    <row r="1193" spans="1:3">
      <c r="A1193" s="86" t="s">
        <v>19848</v>
      </c>
      <c r="B1193" s="86" t="s">
        <v>19843</v>
      </c>
      <c r="C1193" s="397">
        <v>1969</v>
      </c>
    </row>
    <row r="1194" spans="1:3">
      <c r="A1194" s="86" t="s">
        <v>19847</v>
      </c>
      <c r="B1194" s="86" t="s">
        <v>19841</v>
      </c>
      <c r="C1194" s="397">
        <v>1969</v>
      </c>
    </row>
    <row r="1195" spans="1:3">
      <c r="A1195" s="86" t="s">
        <v>19846</v>
      </c>
      <c r="B1195" s="86" t="s">
        <v>19841</v>
      </c>
      <c r="C1195" s="397">
        <v>1969</v>
      </c>
    </row>
    <row r="1196" spans="1:3">
      <c r="A1196" s="86" t="s">
        <v>19845</v>
      </c>
      <c r="B1196" s="86" t="s">
        <v>19841</v>
      </c>
      <c r="C1196" s="397">
        <v>1969</v>
      </c>
    </row>
    <row r="1197" spans="1:3">
      <c r="A1197" s="86" t="s">
        <v>19844</v>
      </c>
      <c r="B1197" s="86" t="s">
        <v>19843</v>
      </c>
      <c r="C1197" s="397">
        <v>1969</v>
      </c>
    </row>
    <row r="1198" spans="1:3">
      <c r="A1198" s="86" t="s">
        <v>19842</v>
      </c>
      <c r="B1198" s="86" t="s">
        <v>19841</v>
      </c>
      <c r="C1198" s="397">
        <v>1969</v>
      </c>
    </row>
    <row r="1199" spans="1:3">
      <c r="A1199" s="86" t="s">
        <v>19840</v>
      </c>
      <c r="B1199" s="86" t="s">
        <v>19839</v>
      </c>
      <c r="C1199" s="397">
        <v>1969</v>
      </c>
    </row>
    <row r="1200" spans="1:3">
      <c r="A1200" s="86" t="s">
        <v>19838</v>
      </c>
      <c r="B1200" s="86" t="s">
        <v>19837</v>
      </c>
      <c r="C1200" s="397">
        <v>2095</v>
      </c>
    </row>
    <row r="1201" spans="1:3">
      <c r="A1201" s="86" t="s">
        <v>19836</v>
      </c>
      <c r="B1201" s="86" t="s">
        <v>19830</v>
      </c>
      <c r="C1201" s="397">
        <v>1969</v>
      </c>
    </row>
    <row r="1202" spans="1:3">
      <c r="A1202" s="86" t="s">
        <v>19835</v>
      </c>
      <c r="B1202" s="86" t="s">
        <v>19830</v>
      </c>
      <c r="C1202" s="397">
        <v>1969</v>
      </c>
    </row>
    <row r="1203" spans="1:3">
      <c r="A1203" s="86" t="s">
        <v>19834</v>
      </c>
      <c r="B1203" s="86" t="s">
        <v>19830</v>
      </c>
      <c r="C1203" s="397">
        <v>1969</v>
      </c>
    </row>
    <row r="1204" spans="1:3">
      <c r="A1204" s="86" t="s">
        <v>19833</v>
      </c>
      <c r="B1204" s="86" t="s">
        <v>19832</v>
      </c>
      <c r="C1204" s="397">
        <v>1969</v>
      </c>
    </row>
    <row r="1205" spans="1:3">
      <c r="A1205" s="86" t="s">
        <v>19831</v>
      </c>
      <c r="B1205" s="86" t="s">
        <v>19830</v>
      </c>
      <c r="C1205" s="397">
        <v>1969</v>
      </c>
    </row>
    <row r="1206" spans="1:3">
      <c r="A1206" s="86" t="s">
        <v>19829</v>
      </c>
      <c r="B1206" s="86" t="s">
        <v>19824</v>
      </c>
      <c r="C1206" s="397">
        <v>450</v>
      </c>
    </row>
    <row r="1207" spans="1:3">
      <c r="A1207" s="86" t="s">
        <v>19828</v>
      </c>
      <c r="B1207" s="86" t="s">
        <v>19824</v>
      </c>
      <c r="C1207" s="397">
        <v>450</v>
      </c>
    </row>
    <row r="1208" spans="1:3">
      <c r="A1208" s="86" t="s">
        <v>19827</v>
      </c>
      <c r="B1208" s="86" t="s">
        <v>19824</v>
      </c>
      <c r="C1208" s="397">
        <v>450</v>
      </c>
    </row>
    <row r="1209" spans="1:3">
      <c r="A1209" s="86" t="s">
        <v>19826</v>
      </c>
      <c r="B1209" s="86" t="s">
        <v>19824</v>
      </c>
      <c r="C1209" s="397">
        <v>450</v>
      </c>
    </row>
    <row r="1210" spans="1:3">
      <c r="A1210" s="86" t="s">
        <v>19825</v>
      </c>
      <c r="B1210" s="86" t="s">
        <v>19824</v>
      </c>
      <c r="C1210" s="397">
        <v>450</v>
      </c>
    </row>
    <row r="1211" spans="1:3">
      <c r="A1211" s="86" t="s">
        <v>19823</v>
      </c>
      <c r="B1211" s="86" t="s">
        <v>19813</v>
      </c>
      <c r="C1211" s="397">
        <v>647</v>
      </c>
    </row>
    <row r="1212" spans="1:3">
      <c r="A1212" s="86" t="s">
        <v>19822</v>
      </c>
      <c r="B1212" s="86" t="s">
        <v>19821</v>
      </c>
      <c r="C1212" s="397">
        <v>647</v>
      </c>
    </row>
    <row r="1213" spans="1:3">
      <c r="A1213" s="86" t="s">
        <v>19820</v>
      </c>
      <c r="B1213" s="86" t="s">
        <v>19813</v>
      </c>
      <c r="C1213" s="397">
        <v>647</v>
      </c>
    </row>
    <row r="1214" spans="1:3">
      <c r="A1214" s="86" t="s">
        <v>19819</v>
      </c>
      <c r="B1214" s="86" t="s">
        <v>19818</v>
      </c>
      <c r="C1214" s="397">
        <v>647</v>
      </c>
    </row>
    <row r="1215" spans="1:3">
      <c r="A1215" s="86" t="s">
        <v>19817</v>
      </c>
      <c r="B1215" s="86" t="s">
        <v>19816</v>
      </c>
      <c r="C1215" s="397">
        <v>647</v>
      </c>
    </row>
    <row r="1216" spans="1:3">
      <c r="A1216" s="86" t="s">
        <v>19815</v>
      </c>
      <c r="B1216" s="86" t="s">
        <v>19813</v>
      </c>
      <c r="C1216" s="397">
        <v>647</v>
      </c>
    </row>
    <row r="1217" spans="1:3">
      <c r="A1217" s="86" t="s">
        <v>19814</v>
      </c>
      <c r="B1217" s="86" t="s">
        <v>19813</v>
      </c>
      <c r="C1217" s="397">
        <v>647</v>
      </c>
    </row>
    <row r="1218" spans="1:3">
      <c r="A1218" s="86" t="s">
        <v>19812</v>
      </c>
      <c r="B1218" s="86" t="s">
        <v>19811</v>
      </c>
      <c r="C1218" s="397">
        <v>702</v>
      </c>
    </row>
    <row r="1219" spans="1:3">
      <c r="A1219" s="86" t="s">
        <v>19810</v>
      </c>
      <c r="B1219" s="86" t="s">
        <v>19806</v>
      </c>
      <c r="C1219" s="397">
        <v>731</v>
      </c>
    </row>
    <row r="1220" spans="1:3">
      <c r="A1220" s="86" t="s">
        <v>19809</v>
      </c>
      <c r="B1220" s="86" t="s">
        <v>19806</v>
      </c>
      <c r="C1220" s="397">
        <v>731</v>
      </c>
    </row>
    <row r="1221" spans="1:3">
      <c r="A1221" s="86" t="s">
        <v>19808</v>
      </c>
      <c r="B1221" s="86" t="s">
        <v>19806</v>
      </c>
      <c r="C1221" s="397">
        <v>731</v>
      </c>
    </row>
    <row r="1222" spans="1:3">
      <c r="A1222" s="86" t="s">
        <v>19807</v>
      </c>
      <c r="B1222" s="86" t="s">
        <v>19806</v>
      </c>
      <c r="C1222" s="397">
        <v>731</v>
      </c>
    </row>
    <row r="1223" spans="1:3">
      <c r="A1223" s="86" t="s">
        <v>19805</v>
      </c>
      <c r="B1223" s="86" t="s">
        <v>19804</v>
      </c>
      <c r="C1223" s="397">
        <v>731</v>
      </c>
    </row>
    <row r="1224" spans="1:3">
      <c r="A1224" s="86" t="s">
        <v>19803</v>
      </c>
      <c r="B1224" s="86" t="s">
        <v>19790</v>
      </c>
      <c r="C1224" s="397">
        <v>731</v>
      </c>
    </row>
    <row r="1225" spans="1:3">
      <c r="A1225" s="86" t="s">
        <v>19802</v>
      </c>
      <c r="B1225" s="86" t="s">
        <v>19790</v>
      </c>
      <c r="C1225" s="397">
        <v>731</v>
      </c>
    </row>
    <row r="1226" spans="1:3">
      <c r="A1226" s="86" t="s">
        <v>19801</v>
      </c>
      <c r="B1226" s="86" t="s">
        <v>19800</v>
      </c>
      <c r="C1226" s="397">
        <v>731</v>
      </c>
    </row>
    <row r="1227" spans="1:3">
      <c r="A1227" s="86" t="s">
        <v>19799</v>
      </c>
      <c r="B1227" s="86" t="s">
        <v>19790</v>
      </c>
      <c r="C1227" s="397">
        <v>731</v>
      </c>
    </row>
    <row r="1228" spans="1:3">
      <c r="A1228" s="86" t="s">
        <v>19798</v>
      </c>
      <c r="B1228" s="86" t="s">
        <v>19797</v>
      </c>
      <c r="C1228" s="397">
        <v>731</v>
      </c>
    </row>
    <row r="1229" spans="1:3">
      <c r="A1229" s="86" t="s">
        <v>19796</v>
      </c>
      <c r="B1229" s="86" t="s">
        <v>19795</v>
      </c>
      <c r="C1229" s="397">
        <v>731</v>
      </c>
    </row>
    <row r="1230" spans="1:3">
      <c r="A1230" s="86" t="s">
        <v>19794</v>
      </c>
      <c r="B1230" s="86" t="s">
        <v>19793</v>
      </c>
      <c r="C1230" s="397">
        <v>731</v>
      </c>
    </row>
    <row r="1231" spans="1:3">
      <c r="A1231" s="86" t="s">
        <v>19792</v>
      </c>
      <c r="B1231" s="86" t="s">
        <v>19790</v>
      </c>
      <c r="C1231" s="397">
        <v>731</v>
      </c>
    </row>
    <row r="1232" spans="1:3">
      <c r="A1232" s="86" t="s">
        <v>19791</v>
      </c>
      <c r="B1232" s="86" t="s">
        <v>19790</v>
      </c>
      <c r="C1232" s="397">
        <v>731</v>
      </c>
    </row>
    <row r="1233" spans="1:3">
      <c r="A1233" s="86" t="s">
        <v>19789</v>
      </c>
      <c r="B1233" s="86" t="s">
        <v>19779</v>
      </c>
      <c r="C1233" s="397">
        <v>788</v>
      </c>
    </row>
    <row r="1234" spans="1:3">
      <c r="A1234" s="86" t="s">
        <v>19788</v>
      </c>
      <c r="B1234" s="86" t="s">
        <v>19787</v>
      </c>
      <c r="C1234" s="397">
        <v>892</v>
      </c>
    </row>
    <row r="1235" spans="1:3">
      <c r="A1235" s="86" t="s">
        <v>19786</v>
      </c>
      <c r="B1235" s="86" t="s">
        <v>19785</v>
      </c>
      <c r="C1235" s="397">
        <v>875</v>
      </c>
    </row>
    <row r="1236" spans="1:3">
      <c r="A1236" s="86" t="s">
        <v>19784</v>
      </c>
      <c r="B1236" s="86" t="s">
        <v>19783</v>
      </c>
      <c r="C1236" s="397">
        <v>950</v>
      </c>
    </row>
    <row r="1237" spans="1:3">
      <c r="A1237" s="86" t="s">
        <v>19782</v>
      </c>
      <c r="B1237" s="86" t="s">
        <v>19781</v>
      </c>
      <c r="C1237" s="397">
        <v>876</v>
      </c>
    </row>
    <row r="1238" spans="1:3">
      <c r="A1238" s="86" t="s">
        <v>19780</v>
      </c>
      <c r="B1238" s="86" t="s">
        <v>19779</v>
      </c>
      <c r="C1238" s="397">
        <v>770</v>
      </c>
    </row>
    <row r="1239" spans="1:3">
      <c r="A1239" s="86" t="s">
        <v>19778</v>
      </c>
      <c r="B1239" s="86" t="s">
        <v>19777</v>
      </c>
      <c r="C1239" s="397">
        <v>71</v>
      </c>
    </row>
    <row r="1240" spans="1:3">
      <c r="A1240" s="86" t="s">
        <v>19776</v>
      </c>
      <c r="B1240" s="86" t="s">
        <v>19775</v>
      </c>
      <c r="C1240" s="397">
        <v>71</v>
      </c>
    </row>
    <row r="1241" spans="1:3">
      <c r="A1241" s="86" t="s">
        <v>19774</v>
      </c>
      <c r="B1241" s="86" t="s">
        <v>19773</v>
      </c>
      <c r="C1241" s="397">
        <v>71</v>
      </c>
    </row>
    <row r="1242" spans="1:3">
      <c r="A1242" s="86" t="s">
        <v>19772</v>
      </c>
      <c r="B1242" s="86" t="s">
        <v>19771</v>
      </c>
      <c r="C1242" s="397">
        <v>71</v>
      </c>
    </row>
    <row r="1243" spans="1:3">
      <c r="A1243" s="86" t="s">
        <v>19770</v>
      </c>
      <c r="B1243" s="86" t="s">
        <v>19769</v>
      </c>
      <c r="C1243" s="397">
        <v>187</v>
      </c>
    </row>
    <row r="1244" spans="1:3">
      <c r="A1244" s="86" t="s">
        <v>19768</v>
      </c>
      <c r="B1244" s="86" t="s">
        <v>19767</v>
      </c>
      <c r="C1244" s="397">
        <v>251</v>
      </c>
    </row>
    <row r="1245" spans="1:3">
      <c r="A1245" s="86" t="s">
        <v>19766</v>
      </c>
      <c r="B1245" s="86" t="s">
        <v>19765</v>
      </c>
      <c r="C1245" s="397">
        <v>447</v>
      </c>
    </row>
    <row r="1246" spans="1:3">
      <c r="A1246" s="86" t="s">
        <v>19764</v>
      </c>
      <c r="B1246" s="86" t="s">
        <v>19763</v>
      </c>
      <c r="C1246" s="397">
        <v>42</v>
      </c>
    </row>
    <row r="1247" spans="1:3">
      <c r="A1247" s="86" t="s">
        <v>19762</v>
      </c>
      <c r="B1247" s="86" t="s">
        <v>19761</v>
      </c>
      <c r="C1247" s="397">
        <v>187</v>
      </c>
    </row>
    <row r="1248" spans="1:3">
      <c r="A1248" s="86" t="s">
        <v>19760</v>
      </c>
      <c r="B1248" s="86" t="s">
        <v>19759</v>
      </c>
      <c r="C1248" s="397">
        <v>251</v>
      </c>
    </row>
    <row r="1249" spans="1:3">
      <c r="A1249" s="86" t="s">
        <v>19758</v>
      </c>
      <c r="B1249" s="86" t="s">
        <v>19757</v>
      </c>
      <c r="C1249" s="397">
        <v>1841</v>
      </c>
    </row>
    <row r="1250" spans="1:3">
      <c r="A1250" s="86" t="s">
        <v>19756</v>
      </c>
      <c r="B1250" s="86" t="s">
        <v>19755</v>
      </c>
      <c r="C1250" s="397">
        <v>2439</v>
      </c>
    </row>
    <row r="1251" spans="1:3">
      <c r="A1251" s="86" t="s">
        <v>19754</v>
      </c>
      <c r="B1251" s="86" t="s">
        <v>19753</v>
      </c>
      <c r="C1251" s="397">
        <v>34</v>
      </c>
    </row>
    <row r="1252" spans="1:3">
      <c r="A1252" s="86" t="s">
        <v>19752</v>
      </c>
      <c r="B1252" s="86" t="s">
        <v>19751</v>
      </c>
      <c r="C1252" s="397">
        <v>65</v>
      </c>
    </row>
    <row r="1253" spans="1:3">
      <c r="A1253" s="86" t="s">
        <v>19750</v>
      </c>
      <c r="B1253" s="86" t="s">
        <v>19749</v>
      </c>
      <c r="C1253" s="397">
        <v>202</v>
      </c>
    </row>
    <row r="1254" spans="1:3">
      <c r="A1254" s="86" t="s">
        <v>19748</v>
      </c>
      <c r="B1254" s="86" t="s">
        <v>19747</v>
      </c>
      <c r="C1254" s="397">
        <v>65</v>
      </c>
    </row>
    <row r="1255" spans="1:3">
      <c r="A1255" s="86" t="s">
        <v>19746</v>
      </c>
      <c r="B1255" s="86" t="s">
        <v>19745</v>
      </c>
      <c r="C1255" s="397">
        <v>226</v>
      </c>
    </row>
    <row r="1256" spans="1:3">
      <c r="A1256" s="86" t="s">
        <v>19744</v>
      </c>
      <c r="B1256" s="86" t="s">
        <v>19743</v>
      </c>
      <c r="C1256" s="397">
        <v>255</v>
      </c>
    </row>
    <row r="1257" spans="1:3">
      <c r="A1257" s="86" t="s">
        <v>19742</v>
      </c>
      <c r="B1257" s="86" t="s">
        <v>19741</v>
      </c>
      <c r="C1257" s="397">
        <v>339</v>
      </c>
    </row>
    <row r="1258" spans="1:3">
      <c r="A1258" s="86" t="s">
        <v>19740</v>
      </c>
      <c r="B1258" s="86" t="s">
        <v>19739</v>
      </c>
      <c r="C1258" s="397">
        <v>328</v>
      </c>
    </row>
    <row r="1259" spans="1:3">
      <c r="A1259" s="86" t="s">
        <v>19738</v>
      </c>
      <c r="B1259" s="86" t="s">
        <v>19737</v>
      </c>
      <c r="C1259" s="397">
        <v>971</v>
      </c>
    </row>
    <row r="1260" spans="1:3">
      <c r="A1260" s="86" t="s">
        <v>19736</v>
      </c>
      <c r="B1260" s="86" t="s">
        <v>19735</v>
      </c>
      <c r="C1260" s="397">
        <v>853</v>
      </c>
    </row>
    <row r="1261" spans="1:3">
      <c r="A1261" s="86" t="s">
        <v>19734</v>
      </c>
      <c r="B1261" s="86" t="s">
        <v>19733</v>
      </c>
      <c r="C1261" s="397">
        <v>853</v>
      </c>
    </row>
    <row r="1262" spans="1:3">
      <c r="A1262" s="86" t="s">
        <v>19732</v>
      </c>
      <c r="B1262" s="86" t="s">
        <v>19731</v>
      </c>
      <c r="C1262" s="397">
        <v>440</v>
      </c>
    </row>
    <row r="1263" spans="1:3">
      <c r="A1263" s="86" t="s">
        <v>19730</v>
      </c>
      <c r="B1263" s="86" t="s">
        <v>19729</v>
      </c>
      <c r="C1263" s="397">
        <v>105</v>
      </c>
    </row>
    <row r="1264" spans="1:3">
      <c r="A1264" s="86" t="s">
        <v>19728</v>
      </c>
      <c r="B1264" s="86" t="s">
        <v>19727</v>
      </c>
      <c r="C1264" s="397">
        <v>105</v>
      </c>
    </row>
    <row r="1265" spans="1:3">
      <c r="A1265" s="86" t="s">
        <v>19726</v>
      </c>
      <c r="B1265" s="86" t="s">
        <v>19725</v>
      </c>
      <c r="C1265" s="397">
        <v>83</v>
      </c>
    </row>
    <row r="1266" spans="1:3">
      <c r="A1266" s="86" t="s">
        <v>19724</v>
      </c>
      <c r="B1266" s="86" t="s">
        <v>19718</v>
      </c>
      <c r="C1266" s="397">
        <v>4825</v>
      </c>
    </row>
    <row r="1267" spans="1:3">
      <c r="A1267" s="86" t="s">
        <v>19723</v>
      </c>
      <c r="B1267" s="86" t="s">
        <v>19718</v>
      </c>
      <c r="C1267" s="397">
        <v>4825</v>
      </c>
    </row>
    <row r="1268" spans="1:3">
      <c r="A1268" s="86" t="s">
        <v>19722</v>
      </c>
      <c r="B1268" s="86" t="s">
        <v>19718</v>
      </c>
      <c r="C1268" s="397">
        <v>5056</v>
      </c>
    </row>
    <row r="1269" spans="1:3">
      <c r="A1269" s="86" t="s">
        <v>19721</v>
      </c>
      <c r="B1269" s="86" t="s">
        <v>19718</v>
      </c>
      <c r="C1269" s="397">
        <v>4825</v>
      </c>
    </row>
    <row r="1270" spans="1:3">
      <c r="A1270" s="86" t="s">
        <v>19720</v>
      </c>
      <c r="B1270" s="86" t="s">
        <v>19718</v>
      </c>
      <c r="C1270" s="397">
        <v>5550</v>
      </c>
    </row>
    <row r="1271" spans="1:3">
      <c r="A1271" s="86" t="s">
        <v>19719</v>
      </c>
      <c r="B1271" s="86" t="s">
        <v>19718</v>
      </c>
      <c r="C1271" s="397">
        <v>5550</v>
      </c>
    </row>
    <row r="1272" spans="1:3">
      <c r="A1272" s="86" t="s">
        <v>19717</v>
      </c>
      <c r="B1272" s="86" t="s">
        <v>19712</v>
      </c>
      <c r="C1272" s="397">
        <v>5451</v>
      </c>
    </row>
    <row r="1273" spans="1:3">
      <c r="A1273" s="86" t="s">
        <v>19716</v>
      </c>
      <c r="B1273" s="86" t="s">
        <v>19712</v>
      </c>
      <c r="C1273" s="397">
        <v>5451</v>
      </c>
    </row>
    <row r="1274" spans="1:3">
      <c r="A1274" s="86" t="s">
        <v>19715</v>
      </c>
      <c r="B1274" s="86" t="s">
        <v>19712</v>
      </c>
      <c r="C1274" s="397">
        <v>5451</v>
      </c>
    </row>
    <row r="1275" spans="1:3">
      <c r="A1275" s="86" t="s">
        <v>19714</v>
      </c>
      <c r="B1275" s="86" t="s">
        <v>19712</v>
      </c>
      <c r="C1275" s="397">
        <v>6375</v>
      </c>
    </row>
    <row r="1276" spans="1:3">
      <c r="A1276" s="86" t="s">
        <v>19713</v>
      </c>
      <c r="B1276" s="86" t="s">
        <v>19712</v>
      </c>
      <c r="C1276" s="397">
        <v>6375</v>
      </c>
    </row>
    <row r="1277" spans="1:3">
      <c r="A1277" s="86" t="s">
        <v>19711</v>
      </c>
      <c r="B1277" s="86" t="s">
        <v>19710</v>
      </c>
      <c r="C1277" s="397">
        <v>2358</v>
      </c>
    </row>
    <row r="1278" spans="1:3">
      <c r="A1278" s="86" t="s">
        <v>19709</v>
      </c>
      <c r="B1278" s="86" t="s">
        <v>19708</v>
      </c>
      <c r="C1278" s="397">
        <v>907</v>
      </c>
    </row>
    <row r="1279" spans="1:3">
      <c r="A1279" s="86" t="s">
        <v>19707</v>
      </c>
      <c r="B1279" s="86" t="s">
        <v>19706</v>
      </c>
      <c r="C1279" s="397">
        <v>1157</v>
      </c>
    </row>
    <row r="1280" spans="1:3">
      <c r="A1280" s="86" t="s">
        <v>19705</v>
      </c>
      <c r="B1280" s="86" t="s">
        <v>19704</v>
      </c>
      <c r="C1280" s="397">
        <v>1194</v>
      </c>
    </row>
    <row r="1281" spans="1:3">
      <c r="A1281" s="86" t="s">
        <v>19703</v>
      </c>
      <c r="B1281" s="86" t="s">
        <v>19702</v>
      </c>
      <c r="C1281" s="397">
        <v>907</v>
      </c>
    </row>
    <row r="1282" spans="1:3">
      <c r="A1282" s="86" t="s">
        <v>19701</v>
      </c>
      <c r="B1282" s="86" t="s">
        <v>19700</v>
      </c>
      <c r="C1282" s="397">
        <v>1194</v>
      </c>
    </row>
    <row r="1283" spans="1:3">
      <c r="A1283" s="86" t="s">
        <v>19699</v>
      </c>
      <c r="B1283" s="86" t="s">
        <v>19698</v>
      </c>
      <c r="C1283" s="397">
        <v>907</v>
      </c>
    </row>
    <row r="1284" spans="1:3">
      <c r="A1284" s="86" t="s">
        <v>19697</v>
      </c>
      <c r="B1284" s="86" t="s">
        <v>19696</v>
      </c>
      <c r="C1284" s="397">
        <v>1157</v>
      </c>
    </row>
    <row r="1285" spans="1:3">
      <c r="A1285" s="86" t="s">
        <v>19695</v>
      </c>
      <c r="B1285" s="86" t="s">
        <v>19694</v>
      </c>
      <c r="C1285" s="397">
        <v>907</v>
      </c>
    </row>
    <row r="1286" spans="1:3">
      <c r="A1286" s="86" t="s">
        <v>19693</v>
      </c>
      <c r="B1286" s="86" t="s">
        <v>19687</v>
      </c>
      <c r="C1286" s="397">
        <v>1123</v>
      </c>
    </row>
    <row r="1287" spans="1:3">
      <c r="A1287" s="86" t="s">
        <v>19692</v>
      </c>
      <c r="B1287" s="86" t="s">
        <v>19691</v>
      </c>
      <c r="C1287" s="397">
        <v>907</v>
      </c>
    </row>
    <row r="1288" spans="1:3">
      <c r="A1288" s="86" t="s">
        <v>19690</v>
      </c>
      <c r="B1288" s="86" t="s">
        <v>19689</v>
      </c>
      <c r="C1288" s="397">
        <v>907</v>
      </c>
    </row>
    <row r="1289" spans="1:3">
      <c r="A1289" s="86" t="s">
        <v>19688</v>
      </c>
      <c r="B1289" s="86" t="s">
        <v>19687</v>
      </c>
      <c r="C1289" s="397">
        <v>1123</v>
      </c>
    </row>
    <row r="1290" spans="1:3">
      <c r="A1290" s="86" t="s">
        <v>19686</v>
      </c>
      <c r="B1290" s="86" t="s">
        <v>19685</v>
      </c>
      <c r="C1290" s="397">
        <v>907</v>
      </c>
    </row>
    <row r="1291" spans="1:3">
      <c r="A1291" s="86" t="s">
        <v>19684</v>
      </c>
      <c r="B1291" s="86" t="s">
        <v>19683</v>
      </c>
      <c r="C1291" s="397">
        <v>1157</v>
      </c>
    </row>
    <row r="1292" spans="1:3">
      <c r="A1292" s="86" t="s">
        <v>19682</v>
      </c>
      <c r="B1292" s="86" t="s">
        <v>19681</v>
      </c>
      <c r="C1292" s="397">
        <v>1157</v>
      </c>
    </row>
    <row r="1293" spans="1:3">
      <c r="A1293" s="86" t="s">
        <v>19680</v>
      </c>
      <c r="B1293" s="86" t="s">
        <v>19679</v>
      </c>
      <c r="C1293" s="397">
        <v>1157</v>
      </c>
    </row>
    <row r="1294" spans="1:3">
      <c r="A1294" s="86" t="s">
        <v>19678</v>
      </c>
      <c r="B1294" s="86" t="s">
        <v>19677</v>
      </c>
      <c r="C1294" s="397">
        <v>1157</v>
      </c>
    </row>
    <row r="1295" spans="1:3">
      <c r="A1295" s="86" t="s">
        <v>19676</v>
      </c>
      <c r="B1295" s="86" t="s">
        <v>19675</v>
      </c>
      <c r="C1295" s="397">
        <v>907</v>
      </c>
    </row>
    <row r="1296" spans="1:3">
      <c r="A1296" s="86" t="s">
        <v>19674</v>
      </c>
      <c r="B1296" s="86" t="s">
        <v>19673</v>
      </c>
      <c r="C1296" s="397">
        <v>1157</v>
      </c>
    </row>
    <row r="1297" spans="1:3">
      <c r="A1297" s="86" t="s">
        <v>19672</v>
      </c>
      <c r="B1297" s="86" t="s">
        <v>19671</v>
      </c>
      <c r="C1297" s="397">
        <v>5343</v>
      </c>
    </row>
    <row r="1298" spans="1:3">
      <c r="A1298" s="86" t="s">
        <v>19670</v>
      </c>
      <c r="B1298" s="86" t="s">
        <v>19669</v>
      </c>
      <c r="C1298" s="397">
        <v>4339</v>
      </c>
    </row>
    <row r="1299" spans="1:3">
      <c r="A1299" s="86" t="s">
        <v>19668</v>
      </c>
      <c r="B1299" s="86" t="s">
        <v>19667</v>
      </c>
      <c r="C1299" s="397">
        <v>216</v>
      </c>
    </row>
    <row r="1300" spans="1:3">
      <c r="A1300" s="86" t="s">
        <v>19666</v>
      </c>
      <c r="B1300" s="86" t="s">
        <v>19665</v>
      </c>
      <c r="C1300" s="397">
        <v>216</v>
      </c>
    </row>
    <row r="1301" spans="1:3">
      <c r="A1301" s="86" t="s">
        <v>19664</v>
      </c>
      <c r="B1301" s="86" t="s">
        <v>19663</v>
      </c>
      <c r="C1301" s="397">
        <v>216</v>
      </c>
    </row>
    <row r="1302" spans="1:3">
      <c r="A1302" s="86" t="s">
        <v>19662</v>
      </c>
      <c r="B1302" s="86" t="s">
        <v>19661</v>
      </c>
      <c r="C1302" s="397">
        <v>216</v>
      </c>
    </row>
    <row r="1303" spans="1:3">
      <c r="A1303" s="86" t="s">
        <v>19660</v>
      </c>
      <c r="B1303" s="86" t="s">
        <v>19659</v>
      </c>
      <c r="C1303" s="397">
        <v>216</v>
      </c>
    </row>
    <row r="1304" spans="1:3">
      <c r="A1304" s="86" t="s">
        <v>19658</v>
      </c>
      <c r="B1304" s="86" t="s">
        <v>19657</v>
      </c>
      <c r="C1304" s="397">
        <v>216</v>
      </c>
    </row>
    <row r="1305" spans="1:3">
      <c r="A1305" s="86" t="s">
        <v>19656</v>
      </c>
      <c r="B1305" s="86" t="s">
        <v>19655</v>
      </c>
      <c r="C1305" s="397">
        <v>216</v>
      </c>
    </row>
    <row r="1306" spans="1:3">
      <c r="A1306" s="86" t="s">
        <v>19654</v>
      </c>
      <c r="B1306" s="86" t="s">
        <v>19653</v>
      </c>
      <c r="C1306" s="397">
        <v>216</v>
      </c>
    </row>
    <row r="1307" spans="1:3">
      <c r="A1307" s="86" t="s">
        <v>19652</v>
      </c>
      <c r="B1307" s="86" t="s">
        <v>19651</v>
      </c>
      <c r="C1307" s="397">
        <v>216</v>
      </c>
    </row>
    <row r="1308" spans="1:3">
      <c r="A1308" s="86" t="s">
        <v>19650</v>
      </c>
      <c r="B1308" s="86" t="s">
        <v>19649</v>
      </c>
      <c r="C1308" s="397">
        <v>216</v>
      </c>
    </row>
    <row r="1309" spans="1:3">
      <c r="A1309" s="86" t="s">
        <v>19648</v>
      </c>
      <c r="B1309" s="86" t="s">
        <v>19647</v>
      </c>
      <c r="C1309" s="397">
        <v>216</v>
      </c>
    </row>
    <row r="1310" spans="1:3">
      <c r="A1310" s="86" t="s">
        <v>19646</v>
      </c>
      <c r="B1310" s="86" t="s">
        <v>19645</v>
      </c>
      <c r="C1310" s="397">
        <v>216</v>
      </c>
    </row>
    <row r="1311" spans="1:3">
      <c r="A1311" s="86" t="s">
        <v>19644</v>
      </c>
      <c r="B1311" s="86" t="s">
        <v>19643</v>
      </c>
      <c r="C1311" s="397">
        <v>216</v>
      </c>
    </row>
    <row r="1312" spans="1:3">
      <c r="A1312" s="86" t="s">
        <v>19642</v>
      </c>
      <c r="B1312" s="86" t="s">
        <v>19641</v>
      </c>
      <c r="C1312" s="397">
        <v>216</v>
      </c>
    </row>
    <row r="1313" spans="1:3">
      <c r="A1313" s="86" t="s">
        <v>19640</v>
      </c>
      <c r="B1313" s="86" t="s">
        <v>19639</v>
      </c>
      <c r="C1313" s="397">
        <v>549</v>
      </c>
    </row>
    <row r="1314" spans="1:3">
      <c r="A1314" s="86" t="s">
        <v>19638</v>
      </c>
      <c r="B1314" s="86" t="s">
        <v>19637</v>
      </c>
      <c r="C1314" s="397">
        <v>549</v>
      </c>
    </row>
    <row r="1315" spans="1:3">
      <c r="A1315" s="86" t="s">
        <v>19636</v>
      </c>
      <c r="B1315" s="86" t="s">
        <v>19635</v>
      </c>
      <c r="C1315" s="397">
        <v>549</v>
      </c>
    </row>
    <row r="1316" spans="1:3">
      <c r="A1316" s="86" t="s">
        <v>19634</v>
      </c>
      <c r="B1316" s="86" t="s">
        <v>19633</v>
      </c>
      <c r="C1316" s="397">
        <v>549</v>
      </c>
    </row>
    <row r="1317" spans="1:3">
      <c r="A1317" s="86" t="s">
        <v>19632</v>
      </c>
      <c r="B1317" s="86" t="s">
        <v>19631</v>
      </c>
      <c r="C1317" s="397">
        <v>549</v>
      </c>
    </row>
    <row r="1318" spans="1:3">
      <c r="A1318" s="86" t="s">
        <v>19630</v>
      </c>
      <c r="B1318" s="86" t="s">
        <v>19629</v>
      </c>
      <c r="C1318" s="397">
        <v>549</v>
      </c>
    </row>
    <row r="1319" spans="1:3">
      <c r="A1319" s="86" t="s">
        <v>19628</v>
      </c>
      <c r="B1319" s="86" t="s">
        <v>19627</v>
      </c>
      <c r="C1319" s="397">
        <v>549</v>
      </c>
    </row>
    <row r="1320" spans="1:3">
      <c r="A1320" s="86" t="s">
        <v>19626</v>
      </c>
      <c r="B1320" s="86" t="s">
        <v>19625</v>
      </c>
      <c r="C1320" s="397">
        <v>549</v>
      </c>
    </row>
    <row r="1321" spans="1:3">
      <c r="A1321" s="86" t="s">
        <v>19624</v>
      </c>
      <c r="B1321" s="86" t="s">
        <v>19623</v>
      </c>
      <c r="C1321" s="397">
        <v>549</v>
      </c>
    </row>
    <row r="1322" spans="1:3">
      <c r="A1322" s="86" t="s">
        <v>19622</v>
      </c>
      <c r="B1322" s="86" t="s">
        <v>19621</v>
      </c>
      <c r="C1322" s="397">
        <v>549</v>
      </c>
    </row>
    <row r="1323" spans="1:3">
      <c r="A1323" s="86" t="s">
        <v>19620</v>
      </c>
      <c r="B1323" s="86" t="s">
        <v>19619</v>
      </c>
      <c r="C1323" s="397">
        <v>549</v>
      </c>
    </row>
    <row r="1324" spans="1:3">
      <c r="A1324" s="86" t="s">
        <v>19618</v>
      </c>
      <c r="B1324" s="86" t="s">
        <v>19617</v>
      </c>
      <c r="C1324" s="397">
        <v>37</v>
      </c>
    </row>
    <row r="1325" spans="1:3">
      <c r="A1325" s="86" t="s">
        <v>19616</v>
      </c>
      <c r="B1325" s="86" t="s">
        <v>19615</v>
      </c>
      <c r="C1325" s="397">
        <v>58</v>
      </c>
    </row>
    <row r="1326" spans="1:3">
      <c r="A1326" s="86" t="s">
        <v>19614</v>
      </c>
      <c r="B1326" s="86" t="s">
        <v>19613</v>
      </c>
      <c r="C1326" s="397">
        <v>27</v>
      </c>
    </row>
    <row r="1327" spans="1:3">
      <c r="A1327" s="86" t="s">
        <v>19612</v>
      </c>
      <c r="B1327" s="86" t="s">
        <v>19611</v>
      </c>
      <c r="C1327" s="397">
        <v>108</v>
      </c>
    </row>
    <row r="1328" spans="1:3">
      <c r="A1328" s="86" t="s">
        <v>19610</v>
      </c>
      <c r="B1328" s="86" t="s">
        <v>19609</v>
      </c>
      <c r="C1328" s="397">
        <v>108</v>
      </c>
    </row>
    <row r="1329" spans="1:3">
      <c r="A1329" s="86" t="s">
        <v>19608</v>
      </c>
      <c r="B1329" s="86" t="s">
        <v>19607</v>
      </c>
      <c r="C1329" s="397">
        <v>108</v>
      </c>
    </row>
    <row r="1330" spans="1:3">
      <c r="A1330" s="86" t="s">
        <v>19606</v>
      </c>
      <c r="B1330" s="86" t="s">
        <v>19605</v>
      </c>
      <c r="C1330" s="397">
        <v>108</v>
      </c>
    </row>
    <row r="1331" spans="1:3">
      <c r="A1331" s="86" t="s">
        <v>19604</v>
      </c>
      <c r="B1331" s="86" t="s">
        <v>19603</v>
      </c>
      <c r="C1331" s="397">
        <v>108</v>
      </c>
    </row>
    <row r="1332" spans="1:3">
      <c r="A1332" s="86" t="s">
        <v>19602</v>
      </c>
      <c r="B1332" s="86" t="s">
        <v>19601</v>
      </c>
      <c r="C1332" s="397">
        <v>108</v>
      </c>
    </row>
    <row r="1333" spans="1:3">
      <c r="A1333" s="86" t="s">
        <v>19600</v>
      </c>
      <c r="B1333" s="86" t="s">
        <v>19599</v>
      </c>
      <c r="C1333" s="397">
        <v>108</v>
      </c>
    </row>
    <row r="1334" spans="1:3">
      <c r="A1334" s="86" t="s">
        <v>19598</v>
      </c>
      <c r="B1334" s="86" t="s">
        <v>19597</v>
      </c>
      <c r="C1334" s="397">
        <v>108</v>
      </c>
    </row>
    <row r="1335" spans="1:3">
      <c r="A1335" s="86" t="s">
        <v>19596</v>
      </c>
      <c r="B1335" s="86" t="s">
        <v>19595</v>
      </c>
      <c r="C1335" s="397">
        <v>84</v>
      </c>
    </row>
    <row r="1336" spans="1:3">
      <c r="A1336" s="86" t="s">
        <v>19594</v>
      </c>
      <c r="B1336" s="86" t="s">
        <v>19593</v>
      </c>
      <c r="C1336" s="397">
        <v>164</v>
      </c>
    </row>
    <row r="1337" spans="1:3">
      <c r="A1337" s="86" t="s">
        <v>19592</v>
      </c>
      <c r="B1337" s="86" t="s">
        <v>19591</v>
      </c>
      <c r="C1337" s="397">
        <v>164</v>
      </c>
    </row>
    <row r="1338" spans="1:3">
      <c r="A1338" s="86" t="s">
        <v>19590</v>
      </c>
      <c r="B1338" s="86" t="s">
        <v>19589</v>
      </c>
      <c r="C1338" s="397">
        <v>166</v>
      </c>
    </row>
    <row r="1339" spans="1:3">
      <c r="A1339" s="86" t="s">
        <v>19588</v>
      </c>
      <c r="B1339" s="86" t="s">
        <v>19587</v>
      </c>
      <c r="C1339" s="397">
        <v>1141</v>
      </c>
    </row>
    <row r="1340" spans="1:3">
      <c r="A1340" s="86" t="s">
        <v>19586</v>
      </c>
      <c r="B1340" s="86" t="s">
        <v>19585</v>
      </c>
      <c r="C1340" s="397">
        <v>65</v>
      </c>
    </row>
    <row r="1341" spans="1:3">
      <c r="A1341" s="86" t="s">
        <v>19584</v>
      </c>
      <c r="B1341" s="86" t="s">
        <v>19583</v>
      </c>
      <c r="C1341" s="397">
        <v>1075</v>
      </c>
    </row>
    <row r="1342" spans="1:3">
      <c r="A1342" s="86" t="s">
        <v>19582</v>
      </c>
      <c r="B1342" s="86" t="s">
        <v>19581</v>
      </c>
      <c r="C1342" s="397">
        <v>98</v>
      </c>
    </row>
    <row r="1343" spans="1:3">
      <c r="A1343" s="86" t="s">
        <v>19580</v>
      </c>
      <c r="B1343" s="86" t="s">
        <v>19579</v>
      </c>
      <c r="C1343" s="397">
        <v>123</v>
      </c>
    </row>
    <row r="1344" spans="1:3">
      <c r="A1344" s="86" t="s">
        <v>19578</v>
      </c>
      <c r="B1344" s="86" t="s">
        <v>19577</v>
      </c>
      <c r="C1344" s="397">
        <v>123</v>
      </c>
    </row>
    <row r="1345" spans="1:3">
      <c r="A1345" s="86" t="s">
        <v>19576</v>
      </c>
      <c r="B1345" s="86" t="s">
        <v>19575</v>
      </c>
      <c r="C1345" s="397">
        <v>122</v>
      </c>
    </row>
    <row r="1346" spans="1:3">
      <c r="A1346" s="86" t="s">
        <v>19574</v>
      </c>
      <c r="B1346" s="86" t="s">
        <v>19573</v>
      </c>
      <c r="C1346" s="397">
        <v>122</v>
      </c>
    </row>
    <row r="1347" spans="1:3">
      <c r="A1347" s="86" t="s">
        <v>19572</v>
      </c>
      <c r="B1347" s="86" t="s">
        <v>19571</v>
      </c>
      <c r="C1347" s="397">
        <v>107</v>
      </c>
    </row>
    <row r="1348" spans="1:3">
      <c r="A1348" s="86" t="s">
        <v>19570</v>
      </c>
      <c r="B1348" s="86" t="s">
        <v>19569</v>
      </c>
      <c r="C1348" s="397">
        <v>3148</v>
      </c>
    </row>
    <row r="1349" spans="1:3">
      <c r="A1349" s="86" t="s">
        <v>19568</v>
      </c>
      <c r="B1349" s="86" t="s">
        <v>19562</v>
      </c>
      <c r="C1349" s="397">
        <v>3148</v>
      </c>
    </row>
    <row r="1350" spans="1:3">
      <c r="A1350" s="86" t="s">
        <v>19567</v>
      </c>
      <c r="B1350" s="86" t="s">
        <v>19566</v>
      </c>
      <c r="C1350" s="397">
        <v>2591</v>
      </c>
    </row>
    <row r="1351" spans="1:3">
      <c r="A1351" s="86" t="s">
        <v>19565</v>
      </c>
      <c r="B1351" s="86" t="s">
        <v>19564</v>
      </c>
      <c r="C1351" s="397">
        <v>3148</v>
      </c>
    </row>
    <row r="1352" spans="1:3">
      <c r="A1352" s="86" t="s">
        <v>19563</v>
      </c>
      <c r="B1352" s="86" t="s">
        <v>19562</v>
      </c>
      <c r="C1352" s="397">
        <v>3148</v>
      </c>
    </row>
    <row r="1353" spans="1:3">
      <c r="A1353" s="86" t="s">
        <v>19561</v>
      </c>
      <c r="B1353" s="86" t="s">
        <v>19560</v>
      </c>
      <c r="C1353" s="397">
        <v>3431</v>
      </c>
    </row>
    <row r="1354" spans="1:3">
      <c r="A1354" s="86" t="s">
        <v>19559</v>
      </c>
      <c r="B1354" s="86" t="s">
        <v>19558</v>
      </c>
      <c r="C1354" s="397">
        <v>3823</v>
      </c>
    </row>
    <row r="1355" spans="1:3">
      <c r="A1355" s="86" t="s">
        <v>19557</v>
      </c>
      <c r="B1355" s="86" t="s">
        <v>19556</v>
      </c>
      <c r="C1355" s="397">
        <v>3847</v>
      </c>
    </row>
    <row r="1356" spans="1:3">
      <c r="A1356" s="86" t="s">
        <v>19555</v>
      </c>
      <c r="B1356" s="86" t="s">
        <v>19554</v>
      </c>
      <c r="C1356" s="397">
        <v>4447</v>
      </c>
    </row>
    <row r="1357" spans="1:3">
      <c r="A1357" s="86" t="s">
        <v>19553</v>
      </c>
      <c r="B1357" s="86" t="s">
        <v>19552</v>
      </c>
      <c r="C1357" s="397">
        <v>629</v>
      </c>
    </row>
    <row r="1358" spans="1:3">
      <c r="A1358" s="86" t="s">
        <v>19551</v>
      </c>
      <c r="B1358" s="86" t="s">
        <v>19546</v>
      </c>
      <c r="C1358" s="397">
        <v>168</v>
      </c>
    </row>
    <row r="1359" spans="1:3">
      <c r="A1359" s="86" t="s">
        <v>19550</v>
      </c>
      <c r="B1359" s="86" t="s">
        <v>19546</v>
      </c>
      <c r="C1359" s="397">
        <v>168</v>
      </c>
    </row>
    <row r="1360" spans="1:3">
      <c r="A1360" s="86" t="s">
        <v>19549</v>
      </c>
      <c r="B1360" s="86" t="s">
        <v>19546</v>
      </c>
      <c r="C1360" s="397">
        <v>168</v>
      </c>
    </row>
    <row r="1361" spans="1:3">
      <c r="A1361" s="86" t="s">
        <v>19548</v>
      </c>
      <c r="B1361" s="86" t="s">
        <v>19546</v>
      </c>
      <c r="C1361" s="397">
        <v>168</v>
      </c>
    </row>
    <row r="1362" spans="1:3">
      <c r="A1362" s="86" t="s">
        <v>19547</v>
      </c>
      <c r="B1362" s="86" t="s">
        <v>19546</v>
      </c>
      <c r="C1362" s="397">
        <v>168</v>
      </c>
    </row>
    <row r="1363" spans="1:3">
      <c r="A1363" s="86" t="s">
        <v>19545</v>
      </c>
      <c r="B1363" s="86" t="s">
        <v>19538</v>
      </c>
      <c r="C1363" s="397">
        <v>197</v>
      </c>
    </row>
    <row r="1364" spans="1:3">
      <c r="A1364" s="86" t="s">
        <v>19544</v>
      </c>
      <c r="B1364" s="86" t="s">
        <v>19538</v>
      </c>
      <c r="C1364" s="397">
        <v>197</v>
      </c>
    </row>
    <row r="1365" spans="1:3">
      <c r="A1365" s="86" t="s">
        <v>19543</v>
      </c>
      <c r="B1365" s="86" t="s">
        <v>19538</v>
      </c>
      <c r="C1365" s="397">
        <v>239</v>
      </c>
    </row>
    <row r="1366" spans="1:3">
      <c r="A1366" s="86" t="s">
        <v>19542</v>
      </c>
      <c r="B1366" s="86" t="s">
        <v>19538</v>
      </c>
      <c r="C1366" s="397">
        <v>197</v>
      </c>
    </row>
    <row r="1367" spans="1:3">
      <c r="A1367" s="86" t="s">
        <v>19541</v>
      </c>
      <c r="B1367" s="86" t="s">
        <v>19538</v>
      </c>
      <c r="C1367" s="397">
        <v>197</v>
      </c>
    </row>
    <row r="1368" spans="1:3">
      <c r="A1368" s="86" t="s">
        <v>19540</v>
      </c>
      <c r="B1368" s="86" t="s">
        <v>19538</v>
      </c>
      <c r="C1368" s="397">
        <v>277</v>
      </c>
    </row>
    <row r="1369" spans="1:3">
      <c r="A1369" s="86" t="s">
        <v>19539</v>
      </c>
      <c r="B1369" s="86" t="s">
        <v>19538</v>
      </c>
      <c r="C1369" s="397">
        <v>197</v>
      </c>
    </row>
    <row r="1370" spans="1:3">
      <c r="A1370" s="86" t="s">
        <v>19537</v>
      </c>
      <c r="B1370" s="86" t="s">
        <v>19532</v>
      </c>
      <c r="C1370" s="397">
        <v>197</v>
      </c>
    </row>
    <row r="1371" spans="1:3">
      <c r="A1371" s="86" t="s">
        <v>19536</v>
      </c>
      <c r="B1371" s="86" t="s">
        <v>19532</v>
      </c>
      <c r="C1371" s="397">
        <v>197</v>
      </c>
    </row>
    <row r="1372" spans="1:3">
      <c r="A1372" s="86" t="s">
        <v>19535</v>
      </c>
      <c r="B1372" s="86" t="s">
        <v>19532</v>
      </c>
      <c r="C1372" s="397">
        <v>197</v>
      </c>
    </row>
    <row r="1373" spans="1:3">
      <c r="A1373" s="86" t="s">
        <v>19534</v>
      </c>
      <c r="B1373" s="86" t="s">
        <v>19532</v>
      </c>
      <c r="C1373" s="397">
        <v>197</v>
      </c>
    </row>
    <row r="1374" spans="1:3">
      <c r="A1374" s="86" t="s">
        <v>19533</v>
      </c>
      <c r="B1374" s="86" t="s">
        <v>19532</v>
      </c>
      <c r="C1374" s="397">
        <v>197</v>
      </c>
    </row>
    <row r="1375" spans="1:3">
      <c r="A1375" s="86" t="s">
        <v>19531</v>
      </c>
      <c r="B1375" s="86" t="s">
        <v>19526</v>
      </c>
      <c r="C1375" s="397">
        <v>184</v>
      </c>
    </row>
    <row r="1376" spans="1:3">
      <c r="A1376" s="86" t="s">
        <v>19530</v>
      </c>
      <c r="B1376" s="86" t="s">
        <v>19526</v>
      </c>
      <c r="C1376" s="397">
        <v>184</v>
      </c>
    </row>
    <row r="1377" spans="1:3">
      <c r="A1377" s="86" t="s">
        <v>19529</v>
      </c>
      <c r="B1377" s="86" t="s">
        <v>19526</v>
      </c>
      <c r="C1377" s="397">
        <v>184</v>
      </c>
    </row>
    <row r="1378" spans="1:3">
      <c r="A1378" s="86" t="s">
        <v>19528</v>
      </c>
      <c r="B1378" s="86" t="s">
        <v>19526</v>
      </c>
      <c r="C1378" s="397">
        <v>184</v>
      </c>
    </row>
    <row r="1379" spans="1:3">
      <c r="A1379" s="86" t="s">
        <v>19527</v>
      </c>
      <c r="B1379" s="86" t="s">
        <v>19526</v>
      </c>
      <c r="C1379" s="397">
        <v>184</v>
      </c>
    </row>
    <row r="1380" spans="1:3">
      <c r="A1380" s="86" t="s">
        <v>19525</v>
      </c>
      <c r="B1380" s="86" t="s">
        <v>19520</v>
      </c>
      <c r="C1380" s="397">
        <v>212</v>
      </c>
    </row>
    <row r="1381" spans="1:3">
      <c r="A1381" s="86" t="s">
        <v>19524</v>
      </c>
      <c r="B1381" s="86" t="s">
        <v>19520</v>
      </c>
      <c r="C1381" s="397">
        <v>212</v>
      </c>
    </row>
    <row r="1382" spans="1:3">
      <c r="A1382" s="86" t="s">
        <v>19523</v>
      </c>
      <c r="B1382" s="86" t="s">
        <v>19520</v>
      </c>
      <c r="C1382" s="397">
        <v>212</v>
      </c>
    </row>
    <row r="1383" spans="1:3">
      <c r="A1383" s="86" t="s">
        <v>19522</v>
      </c>
      <c r="B1383" s="86" t="s">
        <v>19520</v>
      </c>
      <c r="C1383" s="397">
        <v>212</v>
      </c>
    </row>
    <row r="1384" spans="1:3">
      <c r="A1384" s="86" t="s">
        <v>19521</v>
      </c>
      <c r="B1384" s="86" t="s">
        <v>19520</v>
      </c>
      <c r="C1384" s="397">
        <v>212</v>
      </c>
    </row>
    <row r="1385" spans="1:3">
      <c r="A1385" s="86" t="s">
        <v>19519</v>
      </c>
      <c r="B1385" s="86" t="s">
        <v>19514</v>
      </c>
      <c r="C1385" s="397">
        <v>212</v>
      </c>
    </row>
    <row r="1386" spans="1:3">
      <c r="A1386" s="86" t="s">
        <v>19518</v>
      </c>
      <c r="B1386" s="86" t="s">
        <v>19514</v>
      </c>
      <c r="C1386" s="397">
        <v>212</v>
      </c>
    </row>
    <row r="1387" spans="1:3">
      <c r="A1387" s="86" t="s">
        <v>19517</v>
      </c>
      <c r="B1387" s="86" t="s">
        <v>19514</v>
      </c>
      <c r="C1387" s="397">
        <v>212</v>
      </c>
    </row>
    <row r="1388" spans="1:3">
      <c r="A1388" s="86" t="s">
        <v>19516</v>
      </c>
      <c r="B1388" s="86" t="s">
        <v>19514</v>
      </c>
      <c r="C1388" s="397">
        <v>212</v>
      </c>
    </row>
    <row r="1389" spans="1:3">
      <c r="A1389" s="86" t="s">
        <v>19515</v>
      </c>
      <c r="B1389" s="86" t="s">
        <v>19514</v>
      </c>
      <c r="C1389" s="397">
        <v>212</v>
      </c>
    </row>
    <row r="1390" spans="1:3">
      <c r="A1390" s="86" t="s">
        <v>19513</v>
      </c>
      <c r="B1390" s="86" t="s">
        <v>19508</v>
      </c>
      <c r="C1390" s="397">
        <v>168</v>
      </c>
    </row>
    <row r="1391" spans="1:3">
      <c r="A1391" s="86" t="s">
        <v>19512</v>
      </c>
      <c r="B1391" s="86" t="s">
        <v>19508</v>
      </c>
      <c r="C1391" s="397">
        <v>168</v>
      </c>
    </row>
    <row r="1392" spans="1:3">
      <c r="A1392" s="86" t="s">
        <v>19511</v>
      </c>
      <c r="B1392" s="86" t="s">
        <v>19508</v>
      </c>
      <c r="C1392" s="397">
        <v>168</v>
      </c>
    </row>
    <row r="1393" spans="1:3">
      <c r="A1393" s="86" t="s">
        <v>19510</v>
      </c>
      <c r="B1393" s="86" t="s">
        <v>19508</v>
      </c>
      <c r="C1393" s="397">
        <v>168</v>
      </c>
    </row>
    <row r="1394" spans="1:3">
      <c r="A1394" s="86" t="s">
        <v>19509</v>
      </c>
      <c r="B1394" s="86" t="s">
        <v>19508</v>
      </c>
      <c r="C1394" s="397">
        <v>168</v>
      </c>
    </row>
    <row r="1395" spans="1:3">
      <c r="A1395" s="86" t="s">
        <v>19507</v>
      </c>
      <c r="B1395" s="86" t="s">
        <v>19500</v>
      </c>
      <c r="C1395" s="397">
        <v>197</v>
      </c>
    </row>
    <row r="1396" spans="1:3">
      <c r="A1396" s="86" t="s">
        <v>19506</v>
      </c>
      <c r="B1396" s="86" t="s">
        <v>19500</v>
      </c>
      <c r="C1396" s="397">
        <v>197</v>
      </c>
    </row>
    <row r="1397" spans="1:3">
      <c r="A1397" s="86" t="s">
        <v>19505</v>
      </c>
      <c r="B1397" s="86" t="s">
        <v>19504</v>
      </c>
      <c r="C1397" s="397">
        <v>239</v>
      </c>
    </row>
    <row r="1398" spans="1:3">
      <c r="A1398" s="86" t="s">
        <v>19503</v>
      </c>
      <c r="B1398" s="86" t="s">
        <v>19500</v>
      </c>
      <c r="C1398" s="397">
        <v>197</v>
      </c>
    </row>
    <row r="1399" spans="1:3">
      <c r="A1399" s="86" t="s">
        <v>19502</v>
      </c>
      <c r="B1399" s="86" t="s">
        <v>19500</v>
      </c>
      <c r="C1399" s="397">
        <v>197</v>
      </c>
    </row>
    <row r="1400" spans="1:3">
      <c r="A1400" s="86" t="s">
        <v>19501</v>
      </c>
      <c r="B1400" s="86" t="s">
        <v>19500</v>
      </c>
      <c r="C1400" s="397">
        <v>197</v>
      </c>
    </row>
    <row r="1401" spans="1:3">
      <c r="A1401" s="86" t="s">
        <v>19499</v>
      </c>
      <c r="B1401" s="86" t="s">
        <v>19498</v>
      </c>
      <c r="C1401" s="397">
        <v>197</v>
      </c>
    </row>
    <row r="1402" spans="1:3">
      <c r="A1402" s="86" t="s">
        <v>19497</v>
      </c>
      <c r="B1402" s="86" t="s">
        <v>19493</v>
      </c>
      <c r="C1402" s="397">
        <v>197</v>
      </c>
    </row>
    <row r="1403" spans="1:3">
      <c r="A1403" s="86" t="s">
        <v>19496</v>
      </c>
      <c r="B1403" s="86" t="s">
        <v>19493</v>
      </c>
      <c r="C1403" s="397">
        <v>197</v>
      </c>
    </row>
    <row r="1404" spans="1:3">
      <c r="A1404" s="86" t="s">
        <v>19495</v>
      </c>
      <c r="B1404" s="86" t="s">
        <v>19493</v>
      </c>
      <c r="C1404" s="397">
        <v>197</v>
      </c>
    </row>
    <row r="1405" spans="1:3">
      <c r="A1405" s="86" t="s">
        <v>19494</v>
      </c>
      <c r="B1405" s="86" t="s">
        <v>19493</v>
      </c>
      <c r="C1405" s="397">
        <v>197</v>
      </c>
    </row>
    <row r="1406" spans="1:3">
      <c r="A1406" s="86" t="s">
        <v>19492</v>
      </c>
      <c r="B1406" s="86" t="s">
        <v>19487</v>
      </c>
      <c r="C1406" s="397">
        <v>184</v>
      </c>
    </row>
    <row r="1407" spans="1:3">
      <c r="A1407" s="86" t="s">
        <v>19491</v>
      </c>
      <c r="B1407" s="86" t="s">
        <v>19487</v>
      </c>
      <c r="C1407" s="397">
        <v>184</v>
      </c>
    </row>
    <row r="1408" spans="1:3">
      <c r="A1408" s="86" t="s">
        <v>19490</v>
      </c>
      <c r="B1408" s="86" t="s">
        <v>19487</v>
      </c>
      <c r="C1408" s="397">
        <v>184</v>
      </c>
    </row>
    <row r="1409" spans="1:3">
      <c r="A1409" s="86" t="s">
        <v>19489</v>
      </c>
      <c r="B1409" s="86" t="s">
        <v>19487</v>
      </c>
      <c r="C1409" s="397">
        <v>184</v>
      </c>
    </row>
    <row r="1410" spans="1:3">
      <c r="A1410" s="86" t="s">
        <v>19488</v>
      </c>
      <c r="B1410" s="86" t="s">
        <v>19487</v>
      </c>
      <c r="C1410" s="397">
        <v>184</v>
      </c>
    </row>
    <row r="1411" spans="1:3">
      <c r="A1411" s="86" t="s">
        <v>19486</v>
      </c>
      <c r="B1411" s="86" t="s">
        <v>19481</v>
      </c>
      <c r="C1411" s="397">
        <v>212</v>
      </c>
    </row>
    <row r="1412" spans="1:3">
      <c r="A1412" s="86" t="s">
        <v>19485</v>
      </c>
      <c r="B1412" s="86" t="s">
        <v>19481</v>
      </c>
      <c r="C1412" s="397">
        <v>212</v>
      </c>
    </row>
    <row r="1413" spans="1:3">
      <c r="A1413" s="86" t="s">
        <v>19484</v>
      </c>
      <c r="B1413" s="86" t="s">
        <v>19481</v>
      </c>
      <c r="C1413" s="397">
        <v>212</v>
      </c>
    </row>
    <row r="1414" spans="1:3">
      <c r="A1414" s="86" t="s">
        <v>19483</v>
      </c>
      <c r="B1414" s="86" t="s">
        <v>19481</v>
      </c>
      <c r="C1414" s="397">
        <v>212</v>
      </c>
    </row>
    <row r="1415" spans="1:3">
      <c r="A1415" s="86" t="s">
        <v>19482</v>
      </c>
      <c r="B1415" s="86" t="s">
        <v>19481</v>
      </c>
      <c r="C1415" s="397">
        <v>212</v>
      </c>
    </row>
    <row r="1416" spans="1:3">
      <c r="A1416" s="86" t="s">
        <v>19480</v>
      </c>
      <c r="B1416" s="86" t="s">
        <v>19475</v>
      </c>
      <c r="C1416" s="397">
        <v>212</v>
      </c>
    </row>
    <row r="1417" spans="1:3">
      <c r="A1417" s="86" t="s">
        <v>19479</v>
      </c>
      <c r="B1417" s="86" t="s">
        <v>19475</v>
      </c>
      <c r="C1417" s="397">
        <v>212</v>
      </c>
    </row>
    <row r="1418" spans="1:3">
      <c r="A1418" s="86" t="s">
        <v>19478</v>
      </c>
      <c r="B1418" s="86" t="s">
        <v>19475</v>
      </c>
      <c r="C1418" s="397">
        <v>212</v>
      </c>
    </row>
    <row r="1419" spans="1:3">
      <c r="A1419" s="86" t="s">
        <v>19477</v>
      </c>
      <c r="B1419" s="86" t="s">
        <v>19475</v>
      </c>
      <c r="C1419" s="397">
        <v>212</v>
      </c>
    </row>
    <row r="1420" spans="1:3">
      <c r="A1420" s="86" t="s">
        <v>19476</v>
      </c>
      <c r="B1420" s="86" t="s">
        <v>19475</v>
      </c>
      <c r="C1420" s="397">
        <v>212</v>
      </c>
    </row>
    <row r="1421" spans="1:3">
      <c r="A1421" s="86" t="s">
        <v>19474</v>
      </c>
      <c r="B1421" s="86" t="s">
        <v>19473</v>
      </c>
      <c r="C1421" s="397">
        <v>54</v>
      </c>
    </row>
    <row r="1422" spans="1:3">
      <c r="A1422" s="86" t="s">
        <v>19472</v>
      </c>
      <c r="B1422" s="86" t="s">
        <v>19471</v>
      </c>
      <c r="C1422" s="397">
        <v>92</v>
      </c>
    </row>
    <row r="1423" spans="1:3">
      <c r="A1423" s="86" t="s">
        <v>19470</v>
      </c>
      <c r="B1423" s="86" t="s">
        <v>19469</v>
      </c>
      <c r="C1423" s="397">
        <v>92</v>
      </c>
    </row>
    <row r="1424" spans="1:3">
      <c r="A1424" s="86" t="s">
        <v>19468</v>
      </c>
      <c r="B1424" s="86" t="s">
        <v>19467</v>
      </c>
      <c r="C1424" s="397">
        <v>44</v>
      </c>
    </row>
    <row r="1425" spans="1:3">
      <c r="A1425" s="86" t="s">
        <v>19466</v>
      </c>
      <c r="B1425" s="86" t="s">
        <v>19465</v>
      </c>
      <c r="C1425" s="397">
        <v>44</v>
      </c>
    </row>
    <row r="1426" spans="1:3">
      <c r="A1426" s="86" t="s">
        <v>19464</v>
      </c>
      <c r="B1426" s="86" t="s">
        <v>19463</v>
      </c>
      <c r="C1426" s="397">
        <v>303</v>
      </c>
    </row>
    <row r="1427" spans="1:3">
      <c r="A1427" s="86" t="s">
        <v>19462</v>
      </c>
      <c r="B1427" s="86" t="s">
        <v>19380</v>
      </c>
      <c r="C1427" s="397">
        <v>282</v>
      </c>
    </row>
    <row r="1428" spans="1:3">
      <c r="A1428" s="86" t="s">
        <v>19461</v>
      </c>
      <c r="B1428" s="86" t="s">
        <v>19380</v>
      </c>
      <c r="C1428" s="397">
        <v>282</v>
      </c>
    </row>
    <row r="1429" spans="1:3">
      <c r="A1429" s="86" t="s">
        <v>19460</v>
      </c>
      <c r="B1429" s="86" t="s">
        <v>19380</v>
      </c>
      <c r="C1429" s="397">
        <v>282</v>
      </c>
    </row>
    <row r="1430" spans="1:3">
      <c r="A1430" s="86" t="s">
        <v>19459</v>
      </c>
      <c r="B1430" s="86" t="s">
        <v>19380</v>
      </c>
      <c r="C1430" s="397">
        <v>282</v>
      </c>
    </row>
    <row r="1431" spans="1:3">
      <c r="A1431" s="86" t="s">
        <v>19458</v>
      </c>
      <c r="B1431" s="86" t="s">
        <v>19380</v>
      </c>
      <c r="C1431" s="397">
        <v>282</v>
      </c>
    </row>
    <row r="1432" spans="1:3">
      <c r="A1432" s="86" t="s">
        <v>19457</v>
      </c>
      <c r="B1432" s="86" t="s">
        <v>19375</v>
      </c>
      <c r="C1432" s="397">
        <v>309</v>
      </c>
    </row>
    <row r="1433" spans="1:3">
      <c r="A1433" s="86" t="s">
        <v>19456</v>
      </c>
      <c r="B1433" s="86" t="s">
        <v>19375</v>
      </c>
      <c r="C1433" s="397">
        <v>309</v>
      </c>
    </row>
    <row r="1434" spans="1:3">
      <c r="A1434" s="86" t="s">
        <v>19455</v>
      </c>
      <c r="B1434" s="86" t="s">
        <v>19451</v>
      </c>
      <c r="C1434" s="397">
        <v>350</v>
      </c>
    </row>
    <row r="1435" spans="1:3">
      <c r="A1435" s="86" t="s">
        <v>19454</v>
      </c>
      <c r="B1435" s="86" t="s">
        <v>19375</v>
      </c>
      <c r="C1435" s="397">
        <v>309</v>
      </c>
    </row>
    <row r="1436" spans="1:3">
      <c r="A1436" s="86" t="s">
        <v>19453</v>
      </c>
      <c r="B1436" s="86" t="s">
        <v>19375</v>
      </c>
      <c r="C1436" s="397">
        <v>309</v>
      </c>
    </row>
    <row r="1437" spans="1:3">
      <c r="A1437" s="86" t="s">
        <v>19452</v>
      </c>
      <c r="B1437" s="86" t="s">
        <v>19451</v>
      </c>
      <c r="C1437" s="397">
        <v>383</v>
      </c>
    </row>
    <row r="1438" spans="1:3">
      <c r="A1438" s="86" t="s">
        <v>19450</v>
      </c>
      <c r="B1438" s="86" t="s">
        <v>19375</v>
      </c>
      <c r="C1438" s="397">
        <v>309</v>
      </c>
    </row>
    <row r="1439" spans="1:3">
      <c r="A1439" s="86" t="s">
        <v>19449</v>
      </c>
      <c r="B1439" s="86" t="s">
        <v>19370</v>
      </c>
      <c r="C1439" s="397">
        <v>309</v>
      </c>
    </row>
    <row r="1440" spans="1:3">
      <c r="A1440" s="86" t="s">
        <v>19448</v>
      </c>
      <c r="B1440" s="86" t="s">
        <v>19370</v>
      </c>
      <c r="C1440" s="397">
        <v>309</v>
      </c>
    </row>
    <row r="1441" spans="1:3">
      <c r="A1441" s="86" t="s">
        <v>19447</v>
      </c>
      <c r="B1441" s="86" t="s">
        <v>19370</v>
      </c>
      <c r="C1441" s="397">
        <v>309</v>
      </c>
    </row>
    <row r="1442" spans="1:3">
      <c r="A1442" s="86" t="s">
        <v>19446</v>
      </c>
      <c r="B1442" s="86" t="s">
        <v>19370</v>
      </c>
      <c r="C1442" s="397">
        <v>309</v>
      </c>
    </row>
    <row r="1443" spans="1:3">
      <c r="A1443" s="86" t="s">
        <v>19445</v>
      </c>
      <c r="B1443" s="86" t="s">
        <v>19370</v>
      </c>
      <c r="C1443" s="397">
        <v>309</v>
      </c>
    </row>
    <row r="1444" spans="1:3">
      <c r="A1444" s="86" t="s">
        <v>19444</v>
      </c>
      <c r="B1444" s="86" t="s">
        <v>19365</v>
      </c>
      <c r="C1444" s="397">
        <v>292</v>
      </c>
    </row>
    <row r="1445" spans="1:3">
      <c r="A1445" s="86" t="s">
        <v>19443</v>
      </c>
      <c r="B1445" s="86" t="s">
        <v>19365</v>
      </c>
      <c r="C1445" s="397">
        <v>292</v>
      </c>
    </row>
    <row r="1446" spans="1:3">
      <c r="A1446" s="86" t="s">
        <v>19442</v>
      </c>
      <c r="B1446" s="86" t="s">
        <v>19365</v>
      </c>
      <c r="C1446" s="397">
        <v>292</v>
      </c>
    </row>
    <row r="1447" spans="1:3">
      <c r="A1447" s="86" t="s">
        <v>19441</v>
      </c>
      <c r="B1447" s="86" t="s">
        <v>19365</v>
      </c>
      <c r="C1447" s="397">
        <v>292</v>
      </c>
    </row>
    <row r="1448" spans="1:3">
      <c r="A1448" s="86" t="s">
        <v>19440</v>
      </c>
      <c r="B1448" s="86" t="s">
        <v>19365</v>
      </c>
      <c r="C1448" s="397">
        <v>292</v>
      </c>
    </row>
    <row r="1449" spans="1:3">
      <c r="A1449" s="86" t="s">
        <v>19439</v>
      </c>
      <c r="B1449" s="86" t="s">
        <v>19360</v>
      </c>
      <c r="C1449" s="397">
        <v>324</v>
      </c>
    </row>
    <row r="1450" spans="1:3">
      <c r="A1450" s="86" t="s">
        <v>19438</v>
      </c>
      <c r="B1450" s="86" t="s">
        <v>19360</v>
      </c>
      <c r="C1450" s="397">
        <v>324</v>
      </c>
    </row>
    <row r="1451" spans="1:3">
      <c r="A1451" s="86" t="s">
        <v>19437</v>
      </c>
      <c r="B1451" s="86" t="s">
        <v>19360</v>
      </c>
      <c r="C1451" s="397">
        <v>324</v>
      </c>
    </row>
    <row r="1452" spans="1:3">
      <c r="A1452" s="86" t="s">
        <v>19436</v>
      </c>
      <c r="B1452" s="86" t="s">
        <v>19360</v>
      </c>
      <c r="C1452" s="397">
        <v>324</v>
      </c>
    </row>
    <row r="1453" spans="1:3">
      <c r="A1453" s="86" t="s">
        <v>19435</v>
      </c>
      <c r="B1453" s="86" t="s">
        <v>19360</v>
      </c>
      <c r="C1453" s="397">
        <v>324</v>
      </c>
    </row>
    <row r="1454" spans="1:3">
      <c r="A1454" s="86" t="s">
        <v>19434</v>
      </c>
      <c r="B1454" s="86" t="s">
        <v>19355</v>
      </c>
      <c r="C1454" s="397">
        <v>282</v>
      </c>
    </row>
    <row r="1455" spans="1:3">
      <c r="A1455" s="86" t="s">
        <v>19433</v>
      </c>
      <c r="B1455" s="86" t="s">
        <v>19355</v>
      </c>
      <c r="C1455" s="397">
        <v>282</v>
      </c>
    </row>
    <row r="1456" spans="1:3">
      <c r="A1456" s="86" t="s">
        <v>19432</v>
      </c>
      <c r="B1456" s="86" t="s">
        <v>19355</v>
      </c>
      <c r="C1456" s="397">
        <v>282</v>
      </c>
    </row>
    <row r="1457" spans="1:3">
      <c r="A1457" s="86" t="s">
        <v>19431</v>
      </c>
      <c r="B1457" s="86" t="s">
        <v>19355</v>
      </c>
      <c r="C1457" s="397">
        <v>282</v>
      </c>
    </row>
    <row r="1458" spans="1:3">
      <c r="A1458" s="86" t="s">
        <v>19430</v>
      </c>
      <c r="B1458" s="86" t="s">
        <v>19355</v>
      </c>
      <c r="C1458" s="397">
        <v>282</v>
      </c>
    </row>
    <row r="1459" spans="1:3">
      <c r="A1459" s="86" t="s">
        <v>19429</v>
      </c>
      <c r="B1459" s="86" t="s">
        <v>19350</v>
      </c>
      <c r="C1459" s="397">
        <v>309</v>
      </c>
    </row>
    <row r="1460" spans="1:3">
      <c r="A1460" s="86" t="s">
        <v>19428</v>
      </c>
      <c r="B1460" s="86" t="s">
        <v>19350</v>
      </c>
      <c r="C1460" s="397">
        <v>309</v>
      </c>
    </row>
    <row r="1461" spans="1:3">
      <c r="A1461" s="86" t="s">
        <v>19427</v>
      </c>
      <c r="B1461" s="86" t="s">
        <v>19350</v>
      </c>
      <c r="C1461" s="397">
        <v>350</v>
      </c>
    </row>
    <row r="1462" spans="1:3">
      <c r="A1462" s="86" t="s">
        <v>19426</v>
      </c>
      <c r="B1462" s="86" t="s">
        <v>19350</v>
      </c>
      <c r="C1462" s="397">
        <v>309</v>
      </c>
    </row>
    <row r="1463" spans="1:3">
      <c r="A1463" s="86" t="s">
        <v>19425</v>
      </c>
      <c r="B1463" s="86" t="s">
        <v>19350</v>
      </c>
      <c r="C1463" s="397">
        <v>309</v>
      </c>
    </row>
    <row r="1464" spans="1:3">
      <c r="A1464" s="86" t="s">
        <v>19424</v>
      </c>
      <c r="B1464" s="86" t="s">
        <v>19350</v>
      </c>
      <c r="C1464" s="397">
        <v>309</v>
      </c>
    </row>
    <row r="1465" spans="1:3">
      <c r="A1465" s="86" t="s">
        <v>19423</v>
      </c>
      <c r="B1465" s="86" t="s">
        <v>19345</v>
      </c>
      <c r="C1465" s="397">
        <v>309</v>
      </c>
    </row>
    <row r="1466" spans="1:3">
      <c r="A1466" s="86" t="s">
        <v>19422</v>
      </c>
      <c r="B1466" s="86" t="s">
        <v>19345</v>
      </c>
      <c r="C1466" s="397">
        <v>309</v>
      </c>
    </row>
    <row r="1467" spans="1:3">
      <c r="A1467" s="86" t="s">
        <v>19421</v>
      </c>
      <c r="B1467" s="86" t="s">
        <v>19345</v>
      </c>
      <c r="C1467" s="397">
        <v>309</v>
      </c>
    </row>
    <row r="1468" spans="1:3">
      <c r="A1468" s="86" t="s">
        <v>19420</v>
      </c>
      <c r="B1468" s="86" t="s">
        <v>19345</v>
      </c>
      <c r="C1468" s="397">
        <v>309</v>
      </c>
    </row>
    <row r="1469" spans="1:3">
      <c r="A1469" s="86" t="s">
        <v>19419</v>
      </c>
      <c r="B1469" s="86" t="s">
        <v>19345</v>
      </c>
      <c r="C1469" s="397">
        <v>309</v>
      </c>
    </row>
    <row r="1470" spans="1:3">
      <c r="A1470" s="86" t="s">
        <v>19418</v>
      </c>
      <c r="B1470" s="86" t="s">
        <v>19340</v>
      </c>
      <c r="C1470" s="397">
        <v>292</v>
      </c>
    </row>
    <row r="1471" spans="1:3">
      <c r="A1471" s="86" t="s">
        <v>19417</v>
      </c>
      <c r="B1471" s="86" t="s">
        <v>19340</v>
      </c>
      <c r="C1471" s="397">
        <v>292</v>
      </c>
    </row>
    <row r="1472" spans="1:3">
      <c r="A1472" s="86" t="s">
        <v>19416</v>
      </c>
      <c r="B1472" s="86" t="s">
        <v>19340</v>
      </c>
      <c r="C1472" s="397">
        <v>292</v>
      </c>
    </row>
    <row r="1473" spans="1:3">
      <c r="A1473" s="86" t="s">
        <v>19415</v>
      </c>
      <c r="B1473" s="86" t="s">
        <v>19340</v>
      </c>
      <c r="C1473" s="397">
        <v>292</v>
      </c>
    </row>
    <row r="1474" spans="1:3">
      <c r="A1474" s="86" t="s">
        <v>19414</v>
      </c>
      <c r="B1474" s="86" t="s">
        <v>19340</v>
      </c>
      <c r="C1474" s="397">
        <v>292</v>
      </c>
    </row>
    <row r="1475" spans="1:3">
      <c r="A1475" s="86" t="s">
        <v>19413</v>
      </c>
      <c r="B1475" s="86" t="s">
        <v>19335</v>
      </c>
      <c r="C1475" s="397">
        <v>324</v>
      </c>
    </row>
    <row r="1476" spans="1:3">
      <c r="A1476" s="86" t="s">
        <v>19412</v>
      </c>
      <c r="B1476" s="86" t="s">
        <v>19335</v>
      </c>
      <c r="C1476" s="397">
        <v>324</v>
      </c>
    </row>
    <row r="1477" spans="1:3">
      <c r="A1477" s="86" t="s">
        <v>19411</v>
      </c>
      <c r="B1477" s="86" t="s">
        <v>19335</v>
      </c>
      <c r="C1477" s="397">
        <v>324</v>
      </c>
    </row>
    <row r="1478" spans="1:3">
      <c r="A1478" s="86" t="s">
        <v>19410</v>
      </c>
      <c r="B1478" s="86" t="s">
        <v>19335</v>
      </c>
      <c r="C1478" s="397">
        <v>324</v>
      </c>
    </row>
    <row r="1479" spans="1:3">
      <c r="A1479" s="86" t="s">
        <v>19409</v>
      </c>
      <c r="B1479" s="86" t="s">
        <v>19335</v>
      </c>
      <c r="C1479" s="397">
        <v>324</v>
      </c>
    </row>
    <row r="1480" spans="1:3">
      <c r="A1480" s="86" t="s">
        <v>19408</v>
      </c>
      <c r="B1480" s="86" t="s">
        <v>19407</v>
      </c>
      <c r="C1480" s="397">
        <v>24</v>
      </c>
    </row>
    <row r="1481" spans="1:3">
      <c r="A1481" s="86" t="s">
        <v>19406</v>
      </c>
      <c r="B1481" s="86" t="s">
        <v>19405</v>
      </c>
      <c r="C1481" s="397">
        <v>26</v>
      </c>
    </row>
    <row r="1482" spans="1:3">
      <c r="A1482" s="86" t="s">
        <v>19404</v>
      </c>
      <c r="B1482" s="86" t="s">
        <v>19403</v>
      </c>
      <c r="C1482" s="397">
        <v>26</v>
      </c>
    </row>
    <row r="1483" spans="1:3">
      <c r="A1483" s="86" t="s">
        <v>19402</v>
      </c>
      <c r="B1483" s="86" t="s">
        <v>19401</v>
      </c>
      <c r="C1483" s="397">
        <v>38</v>
      </c>
    </row>
    <row r="1484" spans="1:3">
      <c r="A1484" s="86" t="s">
        <v>19400</v>
      </c>
      <c r="B1484" s="86" t="s">
        <v>19399</v>
      </c>
      <c r="C1484" s="397">
        <v>51</v>
      </c>
    </row>
    <row r="1485" spans="1:3">
      <c r="A1485" s="86" t="s">
        <v>19398</v>
      </c>
      <c r="B1485" s="86" t="s">
        <v>19397</v>
      </c>
      <c r="C1485" s="397">
        <v>20</v>
      </c>
    </row>
    <row r="1486" spans="1:3">
      <c r="A1486" s="86" t="s">
        <v>19396</v>
      </c>
      <c r="B1486" s="86" t="s">
        <v>19395</v>
      </c>
      <c r="C1486" s="397">
        <v>16</v>
      </c>
    </row>
    <row r="1487" spans="1:3">
      <c r="A1487" s="86" t="s">
        <v>19394</v>
      </c>
      <c r="B1487" s="86" t="s">
        <v>19393</v>
      </c>
      <c r="C1487" s="397">
        <v>47</v>
      </c>
    </row>
    <row r="1488" spans="1:3">
      <c r="A1488" s="86" t="s">
        <v>19392</v>
      </c>
      <c r="B1488" s="86" t="s">
        <v>19391</v>
      </c>
      <c r="C1488" s="397">
        <v>79</v>
      </c>
    </row>
    <row r="1489" spans="1:3">
      <c r="A1489" s="86" t="s">
        <v>19390</v>
      </c>
      <c r="B1489" s="86" t="s">
        <v>19389</v>
      </c>
      <c r="C1489" s="397">
        <v>221</v>
      </c>
    </row>
    <row r="1490" spans="1:3">
      <c r="A1490" s="86" t="s">
        <v>19388</v>
      </c>
      <c r="B1490" s="86" t="s">
        <v>19387</v>
      </c>
      <c r="C1490" s="397">
        <v>285</v>
      </c>
    </row>
    <row r="1491" spans="1:3">
      <c r="A1491" s="86" t="s">
        <v>19386</v>
      </c>
      <c r="B1491" s="86" t="s">
        <v>19385</v>
      </c>
      <c r="C1491" s="397">
        <v>44</v>
      </c>
    </row>
    <row r="1492" spans="1:3">
      <c r="A1492" s="86" t="s">
        <v>19384</v>
      </c>
      <c r="B1492" s="86" t="s">
        <v>19380</v>
      </c>
      <c r="C1492" s="397">
        <v>303</v>
      </c>
    </row>
    <row r="1493" spans="1:3">
      <c r="A1493" s="86" t="s">
        <v>19383</v>
      </c>
      <c r="B1493" s="86" t="s">
        <v>19380</v>
      </c>
      <c r="C1493" s="397">
        <v>303</v>
      </c>
    </row>
    <row r="1494" spans="1:3">
      <c r="A1494" s="86" t="s">
        <v>19382</v>
      </c>
      <c r="B1494" s="86" t="s">
        <v>19380</v>
      </c>
      <c r="C1494" s="397">
        <v>303</v>
      </c>
    </row>
    <row r="1495" spans="1:3">
      <c r="A1495" s="86" t="s">
        <v>19381</v>
      </c>
      <c r="B1495" s="86" t="s">
        <v>19380</v>
      </c>
      <c r="C1495" s="397">
        <v>303</v>
      </c>
    </row>
    <row r="1496" spans="1:3">
      <c r="A1496" s="86" t="s">
        <v>19379</v>
      </c>
      <c r="B1496" s="86" t="s">
        <v>19375</v>
      </c>
      <c r="C1496" s="397">
        <v>330</v>
      </c>
    </row>
    <row r="1497" spans="1:3">
      <c r="A1497" s="86" t="s">
        <v>19378</v>
      </c>
      <c r="B1497" s="86" t="s">
        <v>19375</v>
      </c>
      <c r="C1497" s="397">
        <v>330</v>
      </c>
    </row>
    <row r="1498" spans="1:3">
      <c r="A1498" s="86" t="s">
        <v>19377</v>
      </c>
      <c r="B1498" s="86" t="s">
        <v>19375</v>
      </c>
      <c r="C1498" s="397">
        <v>330</v>
      </c>
    </row>
    <row r="1499" spans="1:3">
      <c r="A1499" s="86" t="s">
        <v>19376</v>
      </c>
      <c r="B1499" s="86" t="s">
        <v>19375</v>
      </c>
      <c r="C1499" s="397">
        <v>330</v>
      </c>
    </row>
    <row r="1500" spans="1:3">
      <c r="A1500" s="86" t="s">
        <v>19374</v>
      </c>
      <c r="B1500" s="86" t="s">
        <v>19370</v>
      </c>
      <c r="C1500" s="397">
        <v>330</v>
      </c>
    </row>
    <row r="1501" spans="1:3">
      <c r="A1501" s="86" t="s">
        <v>19373</v>
      </c>
      <c r="B1501" s="86" t="s">
        <v>19370</v>
      </c>
      <c r="C1501" s="397">
        <v>330</v>
      </c>
    </row>
    <row r="1502" spans="1:3">
      <c r="A1502" s="86" t="s">
        <v>19372</v>
      </c>
      <c r="B1502" s="86" t="s">
        <v>19370</v>
      </c>
      <c r="C1502" s="397">
        <v>330</v>
      </c>
    </row>
    <row r="1503" spans="1:3">
      <c r="A1503" s="86" t="s">
        <v>19371</v>
      </c>
      <c r="B1503" s="86" t="s">
        <v>19370</v>
      </c>
      <c r="C1503" s="397">
        <v>330</v>
      </c>
    </row>
    <row r="1504" spans="1:3">
      <c r="A1504" s="86" t="s">
        <v>19369</v>
      </c>
      <c r="B1504" s="86" t="s">
        <v>19365</v>
      </c>
      <c r="C1504" s="397">
        <v>318</v>
      </c>
    </row>
    <row r="1505" spans="1:3">
      <c r="A1505" s="86" t="s">
        <v>19368</v>
      </c>
      <c r="B1505" s="86" t="s">
        <v>19365</v>
      </c>
      <c r="C1505" s="397">
        <v>318</v>
      </c>
    </row>
    <row r="1506" spans="1:3">
      <c r="A1506" s="86" t="s">
        <v>19367</v>
      </c>
      <c r="B1506" s="86" t="s">
        <v>19365</v>
      </c>
      <c r="C1506" s="397">
        <v>318</v>
      </c>
    </row>
    <row r="1507" spans="1:3">
      <c r="A1507" s="86" t="s">
        <v>19366</v>
      </c>
      <c r="B1507" s="86" t="s">
        <v>19365</v>
      </c>
      <c r="C1507" s="397">
        <v>318</v>
      </c>
    </row>
    <row r="1508" spans="1:3">
      <c r="A1508" s="86" t="s">
        <v>19364</v>
      </c>
      <c r="B1508" s="86" t="s">
        <v>19360</v>
      </c>
      <c r="C1508" s="397">
        <v>345</v>
      </c>
    </row>
    <row r="1509" spans="1:3">
      <c r="A1509" s="86" t="s">
        <v>19363</v>
      </c>
      <c r="B1509" s="86" t="s">
        <v>19360</v>
      </c>
      <c r="C1509" s="397">
        <v>345</v>
      </c>
    </row>
    <row r="1510" spans="1:3">
      <c r="A1510" s="86" t="s">
        <v>19362</v>
      </c>
      <c r="B1510" s="86" t="s">
        <v>19360</v>
      </c>
      <c r="C1510" s="397">
        <v>345</v>
      </c>
    </row>
    <row r="1511" spans="1:3">
      <c r="A1511" s="86" t="s">
        <v>19361</v>
      </c>
      <c r="B1511" s="86" t="s">
        <v>19360</v>
      </c>
      <c r="C1511" s="397">
        <v>345</v>
      </c>
    </row>
    <row r="1512" spans="1:3">
      <c r="A1512" s="86" t="s">
        <v>19359</v>
      </c>
      <c r="B1512" s="86" t="s">
        <v>19355</v>
      </c>
      <c r="C1512" s="397">
        <v>303</v>
      </c>
    </row>
    <row r="1513" spans="1:3">
      <c r="A1513" s="86" t="s">
        <v>19358</v>
      </c>
      <c r="B1513" s="86" t="s">
        <v>19355</v>
      </c>
      <c r="C1513" s="397">
        <v>303</v>
      </c>
    </row>
    <row r="1514" spans="1:3">
      <c r="A1514" s="86" t="s">
        <v>19357</v>
      </c>
      <c r="B1514" s="86" t="s">
        <v>19355</v>
      </c>
      <c r="C1514" s="397">
        <v>303</v>
      </c>
    </row>
    <row r="1515" spans="1:3">
      <c r="A1515" s="86" t="s">
        <v>19356</v>
      </c>
      <c r="B1515" s="86" t="s">
        <v>19355</v>
      </c>
      <c r="C1515" s="397">
        <v>303</v>
      </c>
    </row>
    <row r="1516" spans="1:3">
      <c r="A1516" s="86" t="s">
        <v>19354</v>
      </c>
      <c r="B1516" s="86" t="s">
        <v>19350</v>
      </c>
      <c r="C1516" s="397">
        <v>330</v>
      </c>
    </row>
    <row r="1517" spans="1:3">
      <c r="A1517" s="86" t="s">
        <v>19353</v>
      </c>
      <c r="B1517" s="86" t="s">
        <v>19350</v>
      </c>
      <c r="C1517" s="397">
        <v>330</v>
      </c>
    </row>
    <row r="1518" spans="1:3">
      <c r="A1518" s="86" t="s">
        <v>19352</v>
      </c>
      <c r="B1518" s="86" t="s">
        <v>19350</v>
      </c>
      <c r="C1518" s="397">
        <v>330</v>
      </c>
    </row>
    <row r="1519" spans="1:3">
      <c r="A1519" s="86" t="s">
        <v>19351</v>
      </c>
      <c r="B1519" s="86" t="s">
        <v>19350</v>
      </c>
      <c r="C1519" s="397">
        <v>330</v>
      </c>
    </row>
    <row r="1520" spans="1:3">
      <c r="A1520" s="86" t="s">
        <v>19349</v>
      </c>
      <c r="B1520" s="86" t="s">
        <v>19345</v>
      </c>
      <c r="C1520" s="397">
        <v>330</v>
      </c>
    </row>
    <row r="1521" spans="1:3">
      <c r="A1521" s="86" t="s">
        <v>19348</v>
      </c>
      <c r="B1521" s="86" t="s">
        <v>19345</v>
      </c>
      <c r="C1521" s="397">
        <v>330</v>
      </c>
    </row>
    <row r="1522" spans="1:3">
      <c r="A1522" s="86" t="s">
        <v>19347</v>
      </c>
      <c r="B1522" s="86" t="s">
        <v>19345</v>
      </c>
      <c r="C1522" s="397">
        <v>330</v>
      </c>
    </row>
    <row r="1523" spans="1:3">
      <c r="A1523" s="86" t="s">
        <v>19346</v>
      </c>
      <c r="B1523" s="86" t="s">
        <v>19345</v>
      </c>
      <c r="C1523" s="397">
        <v>330</v>
      </c>
    </row>
    <row r="1524" spans="1:3">
      <c r="A1524" s="86" t="s">
        <v>19344</v>
      </c>
      <c r="B1524" s="86" t="s">
        <v>19340</v>
      </c>
      <c r="C1524" s="397">
        <v>318</v>
      </c>
    </row>
    <row r="1525" spans="1:3">
      <c r="A1525" s="86" t="s">
        <v>19343</v>
      </c>
      <c r="B1525" s="86" t="s">
        <v>19340</v>
      </c>
      <c r="C1525" s="397">
        <v>318</v>
      </c>
    </row>
    <row r="1526" spans="1:3">
      <c r="A1526" s="86" t="s">
        <v>19342</v>
      </c>
      <c r="B1526" s="86" t="s">
        <v>19340</v>
      </c>
      <c r="C1526" s="397">
        <v>318</v>
      </c>
    </row>
    <row r="1527" spans="1:3">
      <c r="A1527" s="86" t="s">
        <v>19341</v>
      </c>
      <c r="B1527" s="86" t="s">
        <v>19340</v>
      </c>
      <c r="C1527" s="397">
        <v>318</v>
      </c>
    </row>
    <row r="1528" spans="1:3">
      <c r="A1528" s="86" t="s">
        <v>19339</v>
      </c>
      <c r="B1528" s="86" t="s">
        <v>19335</v>
      </c>
      <c r="C1528" s="397">
        <v>345</v>
      </c>
    </row>
    <row r="1529" spans="1:3">
      <c r="A1529" s="86" t="s">
        <v>19338</v>
      </c>
      <c r="B1529" s="86" t="s">
        <v>19335</v>
      </c>
      <c r="C1529" s="397">
        <v>345</v>
      </c>
    </row>
    <row r="1530" spans="1:3">
      <c r="A1530" s="86" t="s">
        <v>19337</v>
      </c>
      <c r="B1530" s="86" t="s">
        <v>19335</v>
      </c>
      <c r="C1530" s="397">
        <v>345</v>
      </c>
    </row>
    <row r="1531" spans="1:3">
      <c r="A1531" s="86" t="s">
        <v>19336</v>
      </c>
      <c r="B1531" s="86" t="s">
        <v>19335</v>
      </c>
      <c r="C1531" s="397">
        <v>345</v>
      </c>
    </row>
    <row r="1532" spans="1:3">
      <c r="A1532" s="86" t="s">
        <v>19334</v>
      </c>
      <c r="B1532" s="86" t="s">
        <v>19333</v>
      </c>
      <c r="C1532" s="397">
        <v>356</v>
      </c>
    </row>
    <row r="1533" spans="1:3">
      <c r="A1533" s="86" t="s">
        <v>19332</v>
      </c>
      <c r="B1533" s="86" t="s">
        <v>19331</v>
      </c>
      <c r="C1533" s="397">
        <v>307</v>
      </c>
    </row>
    <row r="1534" spans="1:3">
      <c r="A1534" s="86" t="s">
        <v>19330</v>
      </c>
      <c r="B1534" s="86" t="s">
        <v>19329</v>
      </c>
      <c r="C1534" s="397">
        <v>307</v>
      </c>
    </row>
    <row r="1535" spans="1:3">
      <c r="A1535" s="86" t="s">
        <v>19328</v>
      </c>
      <c r="B1535" s="86" t="s">
        <v>19327</v>
      </c>
      <c r="C1535" s="397">
        <v>357</v>
      </c>
    </row>
    <row r="1536" spans="1:3">
      <c r="A1536" s="86" t="s">
        <v>19326</v>
      </c>
      <c r="B1536" s="86" t="s">
        <v>19325</v>
      </c>
      <c r="C1536" s="397">
        <v>273</v>
      </c>
    </row>
    <row r="1537" spans="1:3">
      <c r="A1537" s="86" t="s">
        <v>19324</v>
      </c>
      <c r="B1537" s="86" t="s">
        <v>19323</v>
      </c>
      <c r="C1537" s="397">
        <v>244</v>
      </c>
    </row>
    <row r="1538" spans="1:3">
      <c r="A1538" s="86" t="s">
        <v>19322</v>
      </c>
      <c r="B1538" s="86" t="s">
        <v>19321</v>
      </c>
      <c r="C1538" s="397">
        <v>258</v>
      </c>
    </row>
    <row r="1539" spans="1:3">
      <c r="A1539" s="86" t="s">
        <v>19320</v>
      </c>
      <c r="B1539" s="86" t="s">
        <v>19319</v>
      </c>
      <c r="C1539" s="397">
        <v>26</v>
      </c>
    </row>
    <row r="1540" spans="1:3">
      <c r="A1540" s="86" t="s">
        <v>19318</v>
      </c>
      <c r="B1540" s="86" t="s">
        <v>19317</v>
      </c>
      <c r="C1540" s="397">
        <v>46</v>
      </c>
    </row>
    <row r="1541" spans="1:3">
      <c r="A1541" s="86" t="s">
        <v>19316</v>
      </c>
      <c r="B1541" s="86" t="s">
        <v>19315</v>
      </c>
      <c r="C1541" s="397">
        <v>47</v>
      </c>
    </row>
    <row r="1542" spans="1:3">
      <c r="A1542" s="86" t="s">
        <v>19314</v>
      </c>
      <c r="B1542" s="86" t="s">
        <v>19313</v>
      </c>
      <c r="C1542" s="397">
        <v>1935</v>
      </c>
    </row>
    <row r="1543" spans="1:3">
      <c r="A1543" s="86" t="s">
        <v>19312</v>
      </c>
      <c r="B1543" s="86" t="s">
        <v>19310</v>
      </c>
      <c r="C1543" s="397">
        <v>1890</v>
      </c>
    </row>
    <row r="1544" spans="1:3">
      <c r="A1544" s="86" t="s">
        <v>19311</v>
      </c>
      <c r="B1544" s="86" t="s">
        <v>19310</v>
      </c>
      <c r="C1544" s="397">
        <v>1890</v>
      </c>
    </row>
    <row r="1545" spans="1:3">
      <c r="A1545" s="86" t="s">
        <v>19309</v>
      </c>
      <c r="B1545" s="86" t="s">
        <v>19308</v>
      </c>
      <c r="C1545" s="397">
        <v>2244</v>
      </c>
    </row>
    <row r="1546" spans="1:3">
      <c r="A1546" s="86" t="s">
        <v>19307</v>
      </c>
      <c r="B1546" s="86" t="s">
        <v>19304</v>
      </c>
      <c r="C1546" s="397">
        <v>2310</v>
      </c>
    </row>
    <row r="1547" spans="1:3">
      <c r="A1547" s="86" t="s">
        <v>19306</v>
      </c>
      <c r="B1547" s="86" t="s">
        <v>19304</v>
      </c>
      <c r="C1547" s="397">
        <v>2310</v>
      </c>
    </row>
    <row r="1548" spans="1:3">
      <c r="A1548" s="86" t="s">
        <v>19305</v>
      </c>
      <c r="B1548" s="86" t="s">
        <v>19304</v>
      </c>
      <c r="C1548" s="397">
        <v>2310</v>
      </c>
    </row>
    <row r="1549" spans="1:3">
      <c r="A1549" s="86" t="s">
        <v>19303</v>
      </c>
      <c r="B1549" s="86" t="s">
        <v>19300</v>
      </c>
      <c r="C1549" s="397">
        <v>2415</v>
      </c>
    </row>
    <row r="1550" spans="1:3">
      <c r="A1550" s="86" t="s">
        <v>19302</v>
      </c>
      <c r="B1550" s="86" t="s">
        <v>19300</v>
      </c>
      <c r="C1550" s="397">
        <v>2415</v>
      </c>
    </row>
    <row r="1551" spans="1:3">
      <c r="A1551" s="86" t="s">
        <v>19301</v>
      </c>
      <c r="B1551" s="86" t="s">
        <v>19300</v>
      </c>
      <c r="C1551" s="397">
        <v>2415</v>
      </c>
    </row>
    <row r="1552" spans="1:3">
      <c r="A1552" s="86" t="s">
        <v>19299</v>
      </c>
      <c r="B1552" s="86" t="s">
        <v>19297</v>
      </c>
      <c r="C1552" s="397">
        <v>365</v>
      </c>
    </row>
    <row r="1553" spans="1:3">
      <c r="A1553" s="86" t="s">
        <v>19298</v>
      </c>
      <c r="B1553" s="86" t="s">
        <v>19297</v>
      </c>
      <c r="C1553" s="397">
        <v>445</v>
      </c>
    </row>
    <row r="1554" spans="1:3">
      <c r="A1554" s="86" t="s">
        <v>19296</v>
      </c>
      <c r="B1554" s="86" t="s">
        <v>19295</v>
      </c>
      <c r="C1554" s="397">
        <v>121</v>
      </c>
    </row>
    <row r="1555" spans="1:3">
      <c r="A1555" s="86" t="s">
        <v>19294</v>
      </c>
      <c r="B1555" s="86" t="s">
        <v>19293</v>
      </c>
      <c r="C1555" s="397">
        <v>282</v>
      </c>
    </row>
    <row r="1556" spans="1:3">
      <c r="A1556" s="86" t="s">
        <v>19292</v>
      </c>
      <c r="B1556" s="86" t="s">
        <v>19291</v>
      </c>
      <c r="C1556" s="397">
        <v>121</v>
      </c>
    </row>
    <row r="1557" spans="1:3">
      <c r="A1557" s="86" t="s">
        <v>19290</v>
      </c>
      <c r="B1557" s="86" t="s">
        <v>19289</v>
      </c>
      <c r="C1557" s="397">
        <v>531</v>
      </c>
    </row>
    <row r="1558" spans="1:3">
      <c r="A1558" s="86" t="s">
        <v>19288</v>
      </c>
      <c r="B1558" s="86" t="s">
        <v>19287</v>
      </c>
      <c r="C1558" s="397">
        <v>596</v>
      </c>
    </row>
    <row r="1559" spans="1:3">
      <c r="A1559" s="86" t="s">
        <v>19286</v>
      </c>
      <c r="B1559" s="86" t="s">
        <v>19282</v>
      </c>
      <c r="C1559" s="397">
        <v>289</v>
      </c>
    </row>
    <row r="1560" spans="1:3">
      <c r="A1560" s="86" t="s">
        <v>19285</v>
      </c>
      <c r="B1560" s="86" t="s">
        <v>19284</v>
      </c>
      <c r="C1560" s="397">
        <v>90</v>
      </c>
    </row>
    <row r="1561" spans="1:3">
      <c r="A1561" s="86" t="s">
        <v>19283</v>
      </c>
      <c r="B1561" s="86" t="s">
        <v>19282</v>
      </c>
      <c r="C1561" s="397">
        <v>289</v>
      </c>
    </row>
    <row r="1562" spans="1:3">
      <c r="A1562" s="86" t="s">
        <v>19281</v>
      </c>
      <c r="B1562" s="86" t="s">
        <v>19280</v>
      </c>
      <c r="C1562" s="397">
        <v>111</v>
      </c>
    </row>
    <row r="1563" spans="1:3">
      <c r="A1563" s="86" t="s">
        <v>19279</v>
      </c>
      <c r="B1563" s="86" t="s">
        <v>19278</v>
      </c>
      <c r="C1563" s="397">
        <v>65</v>
      </c>
    </row>
    <row r="1564" spans="1:3">
      <c r="A1564" s="86" t="s">
        <v>19277</v>
      </c>
      <c r="B1564" s="86" t="s">
        <v>19276</v>
      </c>
      <c r="C1564" s="397">
        <v>2315</v>
      </c>
    </row>
    <row r="1565" spans="1:3">
      <c r="A1565" s="86" t="s">
        <v>19275</v>
      </c>
      <c r="B1565" s="86" t="s">
        <v>19274</v>
      </c>
      <c r="C1565" s="397">
        <v>473</v>
      </c>
    </row>
    <row r="1566" spans="1:3">
      <c r="A1566" s="86" t="s">
        <v>19273</v>
      </c>
      <c r="B1566" s="86" t="s">
        <v>19272</v>
      </c>
      <c r="C1566" s="397">
        <v>198</v>
      </c>
    </row>
    <row r="1567" spans="1:3">
      <c r="A1567" s="86" t="s">
        <v>19271</v>
      </c>
      <c r="B1567" s="86" t="s">
        <v>19270</v>
      </c>
      <c r="C1567" s="397">
        <v>198</v>
      </c>
    </row>
    <row r="1568" spans="1:3">
      <c r="A1568" s="86" t="s">
        <v>19269</v>
      </c>
      <c r="B1568" s="86" t="s">
        <v>19268</v>
      </c>
      <c r="C1568" s="397">
        <v>198</v>
      </c>
    </row>
    <row r="1569" spans="1:3">
      <c r="A1569" s="86" t="s">
        <v>19267</v>
      </c>
      <c r="B1569" s="86" t="s">
        <v>19266</v>
      </c>
      <c r="C1569" s="397">
        <v>473</v>
      </c>
    </row>
    <row r="1570" spans="1:3">
      <c r="A1570" s="86" t="s">
        <v>19265</v>
      </c>
      <c r="B1570" s="86" t="s">
        <v>19264</v>
      </c>
      <c r="C1570" s="397">
        <v>39</v>
      </c>
    </row>
    <row r="1571" spans="1:3">
      <c r="A1571" s="86" t="s">
        <v>19263</v>
      </c>
      <c r="B1571" s="86" t="s">
        <v>19262</v>
      </c>
      <c r="C1571" s="397">
        <v>39</v>
      </c>
    </row>
    <row r="1572" spans="1:3">
      <c r="A1572" s="86" t="s">
        <v>19261</v>
      </c>
      <c r="B1572" s="86" t="s">
        <v>19260</v>
      </c>
      <c r="C1572" s="397">
        <v>1059</v>
      </c>
    </row>
    <row r="1573" spans="1:3">
      <c r="A1573" s="86" t="s">
        <v>19259</v>
      </c>
      <c r="B1573" s="86" t="s">
        <v>19257</v>
      </c>
      <c r="C1573" s="397">
        <v>1059</v>
      </c>
    </row>
    <row r="1574" spans="1:3">
      <c r="A1574" s="86" t="s">
        <v>19258</v>
      </c>
      <c r="B1574" s="86" t="s">
        <v>19257</v>
      </c>
      <c r="C1574" s="397">
        <v>1059</v>
      </c>
    </row>
    <row r="1575" spans="1:3">
      <c r="A1575" s="86" t="s">
        <v>19256</v>
      </c>
      <c r="B1575" s="86" t="s">
        <v>19255</v>
      </c>
      <c r="C1575" s="397">
        <v>1059</v>
      </c>
    </row>
    <row r="1576" spans="1:3">
      <c r="A1576" s="86" t="s">
        <v>146</v>
      </c>
      <c r="B1576" s="86" t="s">
        <v>19254</v>
      </c>
      <c r="C1576" s="397">
        <v>1138</v>
      </c>
    </row>
    <row r="1577" spans="1:3">
      <c r="A1577" s="86" t="s">
        <v>140</v>
      </c>
      <c r="B1577" s="86" t="s">
        <v>19253</v>
      </c>
      <c r="C1577" s="397">
        <v>937</v>
      </c>
    </row>
    <row r="1578" spans="1:3">
      <c r="A1578" s="86" t="s">
        <v>142</v>
      </c>
      <c r="B1578" s="86" t="s">
        <v>19253</v>
      </c>
      <c r="C1578" s="397">
        <v>1138</v>
      </c>
    </row>
    <row r="1579" spans="1:3">
      <c r="A1579" s="86" t="s">
        <v>144</v>
      </c>
      <c r="B1579" s="86" t="s">
        <v>19252</v>
      </c>
      <c r="C1579" s="397">
        <v>1138</v>
      </c>
    </row>
    <row r="1580" spans="1:3">
      <c r="A1580" s="86" t="s">
        <v>19251</v>
      </c>
      <c r="B1580" s="86" t="s">
        <v>19248</v>
      </c>
      <c r="C1580" s="397">
        <v>59</v>
      </c>
    </row>
    <row r="1581" spans="1:3">
      <c r="A1581" s="86" t="s">
        <v>19250</v>
      </c>
      <c r="B1581" s="86" t="s">
        <v>19248</v>
      </c>
      <c r="C1581" s="397">
        <v>59</v>
      </c>
    </row>
    <row r="1582" spans="1:3">
      <c r="A1582" s="86" t="s">
        <v>19249</v>
      </c>
      <c r="B1582" s="86" t="s">
        <v>19248</v>
      </c>
      <c r="C1582" s="397">
        <v>59</v>
      </c>
    </row>
    <row r="1583" spans="1:3">
      <c r="A1583" s="86" t="s">
        <v>19247</v>
      </c>
      <c r="B1583" s="86" t="s">
        <v>19244</v>
      </c>
      <c r="C1583" s="397">
        <v>59</v>
      </c>
    </row>
    <row r="1584" spans="1:3">
      <c r="A1584" s="86" t="s">
        <v>19246</v>
      </c>
      <c r="B1584" s="86" t="s">
        <v>19244</v>
      </c>
      <c r="C1584" s="397">
        <v>59</v>
      </c>
    </row>
    <row r="1585" spans="1:3">
      <c r="A1585" s="86" t="s">
        <v>19245</v>
      </c>
      <c r="B1585" s="86" t="s">
        <v>19244</v>
      </c>
      <c r="C1585" s="397">
        <v>59</v>
      </c>
    </row>
    <row r="1586" spans="1:3">
      <c r="A1586" s="86" t="s">
        <v>19243</v>
      </c>
      <c r="B1586" s="86" t="s">
        <v>19240</v>
      </c>
      <c r="C1586" s="397">
        <v>59</v>
      </c>
    </row>
    <row r="1587" spans="1:3">
      <c r="A1587" s="86" t="s">
        <v>19242</v>
      </c>
      <c r="B1587" s="86" t="s">
        <v>19240</v>
      </c>
      <c r="C1587" s="397">
        <v>59</v>
      </c>
    </row>
    <row r="1588" spans="1:3">
      <c r="A1588" s="86" t="s">
        <v>19241</v>
      </c>
      <c r="B1588" s="86" t="s">
        <v>19240</v>
      </c>
      <c r="C1588" s="397">
        <v>59</v>
      </c>
    </row>
    <row r="1589" spans="1:3">
      <c r="A1589" s="86" t="s">
        <v>19239</v>
      </c>
      <c r="B1589" s="86" t="s">
        <v>19238</v>
      </c>
      <c r="C1589" s="397">
        <v>712</v>
      </c>
    </row>
    <row r="1590" spans="1:3">
      <c r="A1590" s="86" t="s">
        <v>19237</v>
      </c>
      <c r="B1590" s="86" t="s">
        <v>19235</v>
      </c>
      <c r="C1590" s="397">
        <v>712</v>
      </c>
    </row>
    <row r="1591" spans="1:3">
      <c r="A1591" s="86" t="s">
        <v>19236</v>
      </c>
      <c r="B1591" s="86" t="s">
        <v>19235</v>
      </c>
      <c r="C1591" s="397">
        <v>712</v>
      </c>
    </row>
    <row r="1592" spans="1:3">
      <c r="A1592" s="86" t="s">
        <v>19234</v>
      </c>
      <c r="B1592" s="86" t="s">
        <v>19233</v>
      </c>
      <c r="C1592" s="397">
        <v>712</v>
      </c>
    </row>
    <row r="1593" spans="1:3">
      <c r="A1593" s="86" t="s">
        <v>19232</v>
      </c>
      <c r="B1593" s="86" t="s">
        <v>19231</v>
      </c>
      <c r="C1593" s="397">
        <v>72</v>
      </c>
    </row>
    <row r="1594" spans="1:3">
      <c r="A1594" s="86" t="s">
        <v>19230</v>
      </c>
      <c r="B1594" s="86" t="s">
        <v>19228</v>
      </c>
      <c r="C1594" s="397">
        <v>72</v>
      </c>
    </row>
    <row r="1595" spans="1:3">
      <c r="A1595" s="86" t="s">
        <v>19229</v>
      </c>
      <c r="B1595" s="86" t="s">
        <v>19228</v>
      </c>
      <c r="C1595" s="397">
        <v>72</v>
      </c>
    </row>
    <row r="1596" spans="1:3">
      <c r="A1596" s="86" t="s">
        <v>19227</v>
      </c>
      <c r="B1596" s="86" t="s">
        <v>19226</v>
      </c>
      <c r="C1596" s="397">
        <v>72</v>
      </c>
    </row>
    <row r="1597" spans="1:3">
      <c r="A1597" s="86" t="s">
        <v>19225</v>
      </c>
      <c r="B1597" s="86" t="s">
        <v>19224</v>
      </c>
      <c r="C1597" s="397">
        <v>98</v>
      </c>
    </row>
    <row r="1598" spans="1:3">
      <c r="A1598" s="86" t="s">
        <v>19223</v>
      </c>
      <c r="B1598" s="86" t="s">
        <v>19222</v>
      </c>
      <c r="C1598" s="397">
        <v>35</v>
      </c>
    </row>
    <row r="1599" spans="1:3">
      <c r="A1599" s="86" t="s">
        <v>19221</v>
      </c>
      <c r="B1599" s="86" t="s">
        <v>19220</v>
      </c>
      <c r="C1599" s="397">
        <v>152</v>
      </c>
    </row>
    <row r="1600" spans="1:3">
      <c r="A1600" s="86" t="s">
        <v>19219</v>
      </c>
      <c r="B1600" s="86" t="s">
        <v>19218</v>
      </c>
      <c r="C1600" s="397">
        <v>37</v>
      </c>
    </row>
    <row r="1601" spans="1:3">
      <c r="A1601" s="86" t="s">
        <v>19217</v>
      </c>
      <c r="B1601" s="86" t="s">
        <v>19213</v>
      </c>
      <c r="C1601" s="397">
        <v>150</v>
      </c>
    </row>
    <row r="1602" spans="1:3">
      <c r="A1602" s="86" t="s">
        <v>19216</v>
      </c>
      <c r="B1602" s="86" t="s">
        <v>19213</v>
      </c>
      <c r="C1602" s="397">
        <v>143</v>
      </c>
    </row>
    <row r="1603" spans="1:3">
      <c r="A1603" s="86" t="s">
        <v>19215</v>
      </c>
      <c r="B1603" s="86" t="s">
        <v>19209</v>
      </c>
      <c r="C1603" s="397">
        <v>335</v>
      </c>
    </row>
    <row r="1604" spans="1:3">
      <c r="A1604" s="86" t="s">
        <v>19214</v>
      </c>
      <c r="B1604" s="86" t="s">
        <v>19213</v>
      </c>
      <c r="C1604" s="397">
        <v>195</v>
      </c>
    </row>
    <row r="1605" spans="1:3">
      <c r="A1605" s="86" t="s">
        <v>19212</v>
      </c>
      <c r="B1605" s="86" t="s">
        <v>19211</v>
      </c>
      <c r="C1605" s="397">
        <v>689</v>
      </c>
    </row>
    <row r="1606" spans="1:3">
      <c r="A1606" s="86" t="s">
        <v>19210</v>
      </c>
      <c r="B1606" s="86" t="s">
        <v>19209</v>
      </c>
      <c r="C1606" s="397">
        <v>268</v>
      </c>
    </row>
    <row r="1607" spans="1:3">
      <c r="A1607" s="86" t="s">
        <v>19208</v>
      </c>
      <c r="B1607" s="86" t="s">
        <v>19207</v>
      </c>
      <c r="C1607" s="397">
        <v>545</v>
      </c>
    </row>
    <row r="1608" spans="1:3">
      <c r="A1608" s="86" t="s">
        <v>19206</v>
      </c>
      <c r="B1608" s="86" t="s">
        <v>19205</v>
      </c>
      <c r="C1608" s="397">
        <v>343</v>
      </c>
    </row>
    <row r="1609" spans="1:3">
      <c r="A1609" s="86" t="s">
        <v>19204</v>
      </c>
      <c r="B1609" s="86" t="s">
        <v>19203</v>
      </c>
      <c r="C1609" s="397">
        <v>1103</v>
      </c>
    </row>
    <row r="1610" spans="1:3">
      <c r="A1610" s="86" t="s">
        <v>19202</v>
      </c>
      <c r="B1610" s="86" t="s">
        <v>19201</v>
      </c>
      <c r="C1610" s="397">
        <v>1147</v>
      </c>
    </row>
    <row r="1611" spans="1:3">
      <c r="A1611" s="86" t="s">
        <v>19200</v>
      </c>
      <c r="B1611" s="86" t="s">
        <v>19199</v>
      </c>
      <c r="C1611" s="397">
        <v>34</v>
      </c>
    </row>
    <row r="1612" spans="1:3">
      <c r="A1612" s="86" t="s">
        <v>19198</v>
      </c>
      <c r="B1612" s="86" t="s">
        <v>19197</v>
      </c>
      <c r="C1612" s="397">
        <v>55</v>
      </c>
    </row>
    <row r="1613" spans="1:3">
      <c r="A1613" s="86" t="s">
        <v>19196</v>
      </c>
      <c r="B1613" s="86" t="s">
        <v>19195</v>
      </c>
      <c r="C1613" s="397">
        <v>383</v>
      </c>
    </row>
    <row r="1614" spans="1:3">
      <c r="A1614" s="86" t="s">
        <v>19194</v>
      </c>
      <c r="B1614" s="86" t="s">
        <v>19193</v>
      </c>
      <c r="C1614" s="397">
        <v>46</v>
      </c>
    </row>
    <row r="1615" spans="1:3">
      <c r="A1615" s="86" t="s">
        <v>19192</v>
      </c>
      <c r="B1615" s="86" t="s">
        <v>19191</v>
      </c>
      <c r="C1615" s="397">
        <v>37</v>
      </c>
    </row>
    <row r="1616" spans="1:3">
      <c r="A1616" s="86" t="s">
        <v>19190</v>
      </c>
      <c r="B1616" s="86" t="s">
        <v>19189</v>
      </c>
      <c r="C1616" s="397">
        <v>158</v>
      </c>
    </row>
    <row r="1617" spans="1:3">
      <c r="A1617" s="86" t="s">
        <v>19188</v>
      </c>
      <c r="B1617" s="86" t="s">
        <v>19187</v>
      </c>
      <c r="C1617" s="397">
        <v>757</v>
      </c>
    </row>
    <row r="1618" spans="1:3">
      <c r="A1618" s="86" t="s">
        <v>19186</v>
      </c>
      <c r="B1618" s="86" t="s">
        <v>19185</v>
      </c>
      <c r="C1618" s="397">
        <v>610</v>
      </c>
    </row>
    <row r="1619" spans="1:3">
      <c r="A1619" s="86" t="s">
        <v>19184</v>
      </c>
      <c r="B1619" s="86" t="s">
        <v>19183</v>
      </c>
      <c r="C1619" s="397">
        <v>1167</v>
      </c>
    </row>
    <row r="1620" spans="1:3">
      <c r="A1620" s="86" t="s">
        <v>19182</v>
      </c>
      <c r="B1620" s="86" t="s">
        <v>19181</v>
      </c>
      <c r="C1620" s="397">
        <v>16</v>
      </c>
    </row>
    <row r="1621" spans="1:3">
      <c r="A1621" s="86" t="s">
        <v>19180</v>
      </c>
      <c r="B1621" s="86" t="s">
        <v>19179</v>
      </c>
      <c r="C1621" s="397">
        <v>16</v>
      </c>
    </row>
    <row r="1622" spans="1:3">
      <c r="A1622" s="86" t="s">
        <v>19178</v>
      </c>
      <c r="B1622" s="86" t="s">
        <v>19177</v>
      </c>
      <c r="C1622" s="397">
        <v>18</v>
      </c>
    </row>
    <row r="1623" spans="1:3">
      <c r="A1623" s="86" t="s">
        <v>19176</v>
      </c>
      <c r="B1623" s="86" t="s">
        <v>19175</v>
      </c>
      <c r="C1623" s="397">
        <v>16</v>
      </c>
    </row>
    <row r="1624" spans="1:3">
      <c r="A1624" s="86" t="s">
        <v>19174</v>
      </c>
      <c r="B1624" s="86" t="s">
        <v>19173</v>
      </c>
      <c r="C1624" s="397">
        <v>16</v>
      </c>
    </row>
    <row r="1625" spans="1:3">
      <c r="A1625" s="86" t="s">
        <v>19172</v>
      </c>
      <c r="B1625" s="86" t="s">
        <v>18342</v>
      </c>
      <c r="C1625" s="397">
        <v>16</v>
      </c>
    </row>
    <row r="1626" spans="1:3">
      <c r="A1626" s="86" t="s">
        <v>19171</v>
      </c>
      <c r="B1626" s="86" t="s">
        <v>19165</v>
      </c>
      <c r="C1626" s="397">
        <v>995</v>
      </c>
    </row>
    <row r="1627" spans="1:3">
      <c r="A1627" s="86" t="s">
        <v>19170</v>
      </c>
      <c r="B1627" s="86" t="s">
        <v>19165</v>
      </c>
      <c r="C1627" s="397">
        <v>975</v>
      </c>
    </row>
    <row r="1628" spans="1:3">
      <c r="A1628" s="86" t="s">
        <v>19169</v>
      </c>
      <c r="B1628" s="86" t="s">
        <v>19165</v>
      </c>
      <c r="C1628" s="397">
        <v>910</v>
      </c>
    </row>
    <row r="1629" spans="1:3">
      <c r="A1629" s="86" t="s">
        <v>19168</v>
      </c>
      <c r="B1629" s="86" t="s">
        <v>19167</v>
      </c>
      <c r="C1629" s="397">
        <v>90</v>
      </c>
    </row>
    <row r="1630" spans="1:3">
      <c r="A1630" s="86" t="s">
        <v>19166</v>
      </c>
      <c r="B1630" s="86" t="s">
        <v>19165</v>
      </c>
      <c r="C1630" s="397">
        <v>910</v>
      </c>
    </row>
    <row r="1631" spans="1:3">
      <c r="A1631" s="86" t="s">
        <v>19164</v>
      </c>
      <c r="B1631" s="86" t="s">
        <v>19163</v>
      </c>
      <c r="C1631" s="397">
        <v>4311</v>
      </c>
    </row>
    <row r="1632" spans="1:3">
      <c r="A1632" s="86" t="s">
        <v>19162</v>
      </c>
      <c r="B1632" s="86" t="s">
        <v>19161</v>
      </c>
      <c r="C1632" s="397">
        <v>4311</v>
      </c>
    </row>
    <row r="1633" spans="1:3">
      <c r="A1633" s="86" t="s">
        <v>19160</v>
      </c>
      <c r="B1633" s="86" t="s">
        <v>19159</v>
      </c>
      <c r="C1633" s="397">
        <v>4869</v>
      </c>
    </row>
    <row r="1634" spans="1:3">
      <c r="A1634" s="86" t="s">
        <v>19158</v>
      </c>
      <c r="B1634" s="86" t="s">
        <v>19157</v>
      </c>
      <c r="C1634" s="397">
        <v>4976</v>
      </c>
    </row>
    <row r="1635" spans="1:3">
      <c r="A1635" s="86" t="s">
        <v>19156</v>
      </c>
      <c r="B1635" s="86" t="s">
        <v>19155</v>
      </c>
      <c r="C1635" s="397">
        <v>4212</v>
      </c>
    </row>
    <row r="1636" spans="1:3">
      <c r="A1636" s="86" t="s">
        <v>19154</v>
      </c>
      <c r="B1636" s="86" t="s">
        <v>19153</v>
      </c>
      <c r="C1636" s="397">
        <v>5473</v>
      </c>
    </row>
    <row r="1637" spans="1:3">
      <c r="A1637" s="86" t="s">
        <v>19152</v>
      </c>
      <c r="B1637" s="86" t="s">
        <v>19151</v>
      </c>
      <c r="C1637" s="397">
        <v>5694</v>
      </c>
    </row>
    <row r="1638" spans="1:3">
      <c r="A1638" s="86" t="s">
        <v>19150</v>
      </c>
      <c r="B1638" s="86" t="s">
        <v>19149</v>
      </c>
      <c r="C1638" s="397">
        <v>6389</v>
      </c>
    </row>
    <row r="1639" spans="1:3">
      <c r="A1639" s="86" t="s">
        <v>19148</v>
      </c>
      <c r="B1639" s="86" t="s">
        <v>19147</v>
      </c>
      <c r="C1639" s="397">
        <v>3839</v>
      </c>
    </row>
    <row r="1640" spans="1:3">
      <c r="A1640" s="86" t="s">
        <v>19146</v>
      </c>
      <c r="B1640" s="86" t="s">
        <v>19145</v>
      </c>
      <c r="C1640" s="397">
        <v>3457</v>
      </c>
    </row>
    <row r="1641" spans="1:3">
      <c r="A1641" s="86" t="s">
        <v>19144</v>
      </c>
      <c r="B1641" s="86" t="s">
        <v>19143</v>
      </c>
      <c r="C1641" s="397">
        <v>4627</v>
      </c>
    </row>
    <row r="1642" spans="1:3">
      <c r="A1642" s="86" t="s">
        <v>19142</v>
      </c>
      <c r="B1642" s="86" t="s">
        <v>19141</v>
      </c>
      <c r="C1642" s="397">
        <v>4846</v>
      </c>
    </row>
    <row r="1643" spans="1:3">
      <c r="A1643" s="86" t="s">
        <v>19140</v>
      </c>
      <c r="B1643" s="86" t="s">
        <v>19139</v>
      </c>
      <c r="C1643" s="397">
        <v>4255</v>
      </c>
    </row>
    <row r="1644" spans="1:3">
      <c r="A1644" s="86" t="s">
        <v>19138</v>
      </c>
      <c r="B1644" s="86" t="s">
        <v>19137</v>
      </c>
      <c r="C1644" s="397">
        <v>4096</v>
      </c>
    </row>
    <row r="1645" spans="1:3">
      <c r="A1645" s="86" t="s">
        <v>19136</v>
      </c>
      <c r="B1645" s="86" t="s">
        <v>19135</v>
      </c>
      <c r="C1645" s="397">
        <v>4096</v>
      </c>
    </row>
    <row r="1646" spans="1:3">
      <c r="A1646" s="86" t="s">
        <v>19134</v>
      </c>
      <c r="B1646" s="86" t="s">
        <v>19133</v>
      </c>
      <c r="C1646" s="397">
        <v>4096</v>
      </c>
    </row>
    <row r="1647" spans="1:3">
      <c r="A1647" s="86" t="s">
        <v>19132</v>
      </c>
      <c r="B1647" s="86" t="s">
        <v>19131</v>
      </c>
      <c r="C1647" s="397">
        <v>4096</v>
      </c>
    </row>
    <row r="1648" spans="1:3">
      <c r="A1648" s="86" t="s">
        <v>19130</v>
      </c>
      <c r="B1648" s="86" t="s">
        <v>19129</v>
      </c>
      <c r="C1648" s="397">
        <v>3992</v>
      </c>
    </row>
    <row r="1649" spans="1:3">
      <c r="A1649" s="86" t="s">
        <v>19128</v>
      </c>
      <c r="B1649" s="86" t="s">
        <v>19127</v>
      </c>
      <c r="C1649" s="397">
        <v>4311</v>
      </c>
    </row>
    <row r="1650" spans="1:3">
      <c r="A1650" s="86" t="s">
        <v>19126</v>
      </c>
      <c r="B1650" s="86" t="s">
        <v>19125</v>
      </c>
      <c r="C1650" s="397">
        <v>6050</v>
      </c>
    </row>
    <row r="1651" spans="1:3">
      <c r="A1651" s="86" t="s">
        <v>19124</v>
      </c>
      <c r="B1651" s="86" t="s">
        <v>19123</v>
      </c>
      <c r="C1651" s="397">
        <v>5524</v>
      </c>
    </row>
    <row r="1652" spans="1:3">
      <c r="A1652" s="86" t="s">
        <v>19122</v>
      </c>
      <c r="B1652" s="86" t="s">
        <v>19121</v>
      </c>
      <c r="C1652" s="397">
        <v>5524</v>
      </c>
    </row>
    <row r="1653" spans="1:3">
      <c r="A1653" s="86" t="s">
        <v>19120</v>
      </c>
      <c r="B1653" s="86" t="s">
        <v>19119</v>
      </c>
      <c r="C1653" s="397">
        <v>4293</v>
      </c>
    </row>
    <row r="1654" spans="1:3">
      <c r="A1654" s="86" t="s">
        <v>19118</v>
      </c>
      <c r="B1654" s="86" t="s">
        <v>19117</v>
      </c>
      <c r="C1654" s="397">
        <v>5694</v>
      </c>
    </row>
    <row r="1655" spans="1:3">
      <c r="A1655" s="86" t="s">
        <v>19116</v>
      </c>
      <c r="B1655" s="86" t="s">
        <v>19115</v>
      </c>
      <c r="C1655" s="397">
        <v>1306</v>
      </c>
    </row>
    <row r="1656" spans="1:3">
      <c r="A1656" s="86" t="s">
        <v>19114</v>
      </c>
      <c r="B1656" s="86" t="s">
        <v>19113</v>
      </c>
      <c r="C1656" s="397">
        <v>3903</v>
      </c>
    </row>
    <row r="1657" spans="1:3">
      <c r="A1657" s="86" t="s">
        <v>19112</v>
      </c>
      <c r="B1657" s="86" t="s">
        <v>19111</v>
      </c>
      <c r="C1657" s="397">
        <v>3684</v>
      </c>
    </row>
    <row r="1658" spans="1:3">
      <c r="A1658" s="86" t="s">
        <v>19110</v>
      </c>
      <c r="B1658" s="86" t="s">
        <v>19109</v>
      </c>
      <c r="C1658" s="397">
        <v>3831</v>
      </c>
    </row>
    <row r="1659" spans="1:3">
      <c r="A1659" s="86" t="s">
        <v>19108</v>
      </c>
      <c r="B1659" s="86" t="s">
        <v>19107</v>
      </c>
      <c r="C1659" s="397">
        <v>3497</v>
      </c>
    </row>
    <row r="1660" spans="1:3">
      <c r="A1660" s="86" t="s">
        <v>19106</v>
      </c>
      <c r="B1660" s="86" t="s">
        <v>19105</v>
      </c>
      <c r="C1660" s="397">
        <v>3389</v>
      </c>
    </row>
    <row r="1661" spans="1:3">
      <c r="A1661" s="86" t="s">
        <v>19104</v>
      </c>
      <c r="B1661" s="86" t="s">
        <v>19103</v>
      </c>
      <c r="C1661" s="397">
        <v>4684</v>
      </c>
    </row>
    <row r="1662" spans="1:3">
      <c r="A1662" s="86" t="s">
        <v>19102</v>
      </c>
      <c r="B1662" s="86" t="s">
        <v>19101</v>
      </c>
      <c r="C1662" s="397">
        <v>2996</v>
      </c>
    </row>
    <row r="1663" spans="1:3">
      <c r="A1663" s="86" t="s">
        <v>19100</v>
      </c>
      <c r="B1663" s="86" t="s">
        <v>19099</v>
      </c>
      <c r="C1663" s="397">
        <v>3334</v>
      </c>
    </row>
    <row r="1664" spans="1:3">
      <c r="A1664" s="86" t="s">
        <v>19098</v>
      </c>
      <c r="B1664" s="86" t="s">
        <v>19097</v>
      </c>
      <c r="C1664" s="397">
        <v>4494</v>
      </c>
    </row>
    <row r="1665" spans="1:3">
      <c r="A1665" s="86" t="s">
        <v>19096</v>
      </c>
      <c r="B1665" s="86" t="s">
        <v>19095</v>
      </c>
      <c r="C1665" s="397">
        <v>5098</v>
      </c>
    </row>
    <row r="1666" spans="1:3">
      <c r="A1666" s="86" t="s">
        <v>19094</v>
      </c>
      <c r="B1666" s="86" t="s">
        <v>19093</v>
      </c>
      <c r="C1666" s="397">
        <v>3690</v>
      </c>
    </row>
    <row r="1667" spans="1:3">
      <c r="A1667" s="86" t="s">
        <v>19092</v>
      </c>
      <c r="B1667" s="86" t="s">
        <v>19091</v>
      </c>
      <c r="C1667" s="397">
        <v>4108</v>
      </c>
    </row>
    <row r="1668" spans="1:3">
      <c r="A1668" s="86" t="s">
        <v>19090</v>
      </c>
      <c r="B1668" s="86" t="s">
        <v>19088</v>
      </c>
      <c r="C1668" s="397">
        <v>1306</v>
      </c>
    </row>
    <row r="1669" spans="1:3">
      <c r="A1669" s="86" t="s">
        <v>19089</v>
      </c>
      <c r="B1669" s="86" t="s">
        <v>19088</v>
      </c>
      <c r="C1669" s="397">
        <v>1306</v>
      </c>
    </row>
    <row r="1670" spans="1:3">
      <c r="A1670" s="86" t="s">
        <v>19087</v>
      </c>
      <c r="B1670" s="86" t="s">
        <v>19085</v>
      </c>
      <c r="C1670" s="397">
        <v>1306</v>
      </c>
    </row>
    <row r="1671" spans="1:3">
      <c r="A1671" s="86" t="s">
        <v>19086</v>
      </c>
      <c r="B1671" s="86" t="s">
        <v>19085</v>
      </c>
      <c r="C1671" s="397">
        <v>1306</v>
      </c>
    </row>
    <row r="1672" spans="1:3">
      <c r="A1672" s="86" t="s">
        <v>19084</v>
      </c>
      <c r="B1672" s="86" t="s">
        <v>19083</v>
      </c>
      <c r="C1672" s="397">
        <v>5918</v>
      </c>
    </row>
    <row r="1673" spans="1:3">
      <c r="A1673" s="86" t="s">
        <v>19082</v>
      </c>
      <c r="B1673" s="86" t="s">
        <v>19081</v>
      </c>
      <c r="C1673" s="397">
        <v>6828</v>
      </c>
    </row>
    <row r="1674" spans="1:3">
      <c r="A1674" s="86" t="s">
        <v>19080</v>
      </c>
      <c r="B1674" s="86" t="s">
        <v>19079</v>
      </c>
      <c r="C1674" s="397">
        <v>3900</v>
      </c>
    </row>
    <row r="1675" spans="1:3">
      <c r="A1675" s="86" t="s">
        <v>19078</v>
      </c>
      <c r="B1675" s="86" t="s">
        <v>19076</v>
      </c>
      <c r="C1675" s="397">
        <v>5740</v>
      </c>
    </row>
    <row r="1676" spans="1:3">
      <c r="A1676" s="86" t="s">
        <v>19077</v>
      </c>
      <c r="B1676" s="86" t="s">
        <v>19076</v>
      </c>
      <c r="C1676" s="397">
        <v>5969</v>
      </c>
    </row>
    <row r="1677" spans="1:3">
      <c r="A1677" s="86" t="s">
        <v>19075</v>
      </c>
      <c r="B1677" s="86" t="s">
        <v>19074</v>
      </c>
      <c r="C1677" s="397">
        <v>5439</v>
      </c>
    </row>
    <row r="1678" spans="1:3">
      <c r="A1678" s="86" t="s">
        <v>19073</v>
      </c>
      <c r="B1678" s="86" t="s">
        <v>19072</v>
      </c>
      <c r="C1678" s="397">
        <v>238</v>
      </c>
    </row>
    <row r="1679" spans="1:3">
      <c r="A1679" s="86" t="s">
        <v>19071</v>
      </c>
      <c r="B1679" s="86" t="s">
        <v>19070</v>
      </c>
      <c r="C1679" s="397">
        <v>204</v>
      </c>
    </row>
    <row r="1680" spans="1:3">
      <c r="A1680" s="86" t="s">
        <v>19069</v>
      </c>
      <c r="B1680" s="86" t="s">
        <v>19068</v>
      </c>
      <c r="C1680" s="397">
        <v>372</v>
      </c>
    </row>
    <row r="1681" spans="1:3">
      <c r="A1681" s="86" t="s">
        <v>19067</v>
      </c>
      <c r="B1681" s="86" t="s">
        <v>19066</v>
      </c>
      <c r="C1681" s="397">
        <v>108</v>
      </c>
    </row>
    <row r="1682" spans="1:3">
      <c r="A1682" s="86" t="s">
        <v>19065</v>
      </c>
      <c r="B1682" s="86" t="s">
        <v>19064</v>
      </c>
      <c r="C1682" s="397">
        <v>178</v>
      </c>
    </row>
    <row r="1683" spans="1:3">
      <c r="A1683" s="86" t="s">
        <v>19063</v>
      </c>
      <c r="B1683" s="86" t="s">
        <v>19062</v>
      </c>
      <c r="C1683" s="397">
        <v>859</v>
      </c>
    </row>
    <row r="1684" spans="1:3">
      <c r="A1684" s="86" t="s">
        <v>19061</v>
      </c>
      <c r="B1684" s="86" t="s">
        <v>19060</v>
      </c>
      <c r="C1684" s="397">
        <v>1104</v>
      </c>
    </row>
    <row r="1685" spans="1:3">
      <c r="A1685" s="86" t="s">
        <v>19059</v>
      </c>
      <c r="B1685" s="86" t="s">
        <v>19058</v>
      </c>
      <c r="C1685" s="397">
        <v>26</v>
      </c>
    </row>
    <row r="1686" spans="1:3">
      <c r="A1686" s="86" t="s">
        <v>19057</v>
      </c>
      <c r="B1686" s="86" t="s">
        <v>19056</v>
      </c>
      <c r="C1686" s="397">
        <v>199</v>
      </c>
    </row>
    <row r="1687" spans="1:3">
      <c r="A1687" s="86" t="s">
        <v>19055</v>
      </c>
      <c r="B1687" s="86" t="s">
        <v>19054</v>
      </c>
      <c r="C1687" s="397">
        <v>199</v>
      </c>
    </row>
    <row r="1688" spans="1:3">
      <c r="A1688" s="86" t="s">
        <v>19053</v>
      </c>
      <c r="B1688" s="86" t="s">
        <v>19052</v>
      </c>
      <c r="C1688" s="397">
        <v>510</v>
      </c>
    </row>
    <row r="1689" spans="1:3">
      <c r="A1689" s="86" t="s">
        <v>19051</v>
      </c>
      <c r="B1689" s="86" t="s">
        <v>19050</v>
      </c>
      <c r="C1689" s="397">
        <v>510</v>
      </c>
    </row>
    <row r="1690" spans="1:3">
      <c r="A1690" s="86" t="s">
        <v>19049</v>
      </c>
      <c r="B1690" s="86" t="s">
        <v>19048</v>
      </c>
      <c r="C1690" s="397">
        <v>16</v>
      </c>
    </row>
    <row r="1691" spans="1:3">
      <c r="A1691" s="86" t="s">
        <v>19047</v>
      </c>
      <c r="B1691" s="86" t="s">
        <v>19046</v>
      </c>
      <c r="C1691" s="397">
        <v>145</v>
      </c>
    </row>
    <row r="1692" spans="1:3">
      <c r="A1692" s="86" t="s">
        <v>19045</v>
      </c>
      <c r="B1692" s="86" t="s">
        <v>19044</v>
      </c>
      <c r="C1692" s="397">
        <v>145</v>
      </c>
    </row>
    <row r="1693" spans="1:3">
      <c r="A1693" s="86" t="s">
        <v>19043</v>
      </c>
      <c r="B1693" s="86" t="s">
        <v>19042</v>
      </c>
      <c r="C1693" s="397">
        <v>130</v>
      </c>
    </row>
    <row r="1694" spans="1:3">
      <c r="A1694" s="86" t="s">
        <v>19041</v>
      </c>
      <c r="B1694" s="86" t="s">
        <v>19040</v>
      </c>
      <c r="C1694" s="397">
        <v>124</v>
      </c>
    </row>
    <row r="1695" spans="1:3">
      <c r="A1695" s="86" t="s">
        <v>19039</v>
      </c>
      <c r="B1695" s="86" t="s">
        <v>19038</v>
      </c>
      <c r="C1695" s="397">
        <v>31</v>
      </c>
    </row>
    <row r="1696" spans="1:3">
      <c r="A1696" s="86" t="s">
        <v>19037</v>
      </c>
      <c r="B1696" s="86" t="s">
        <v>19036</v>
      </c>
      <c r="C1696" s="397">
        <v>68</v>
      </c>
    </row>
    <row r="1697" spans="1:3">
      <c r="A1697" s="86" t="s">
        <v>19035</v>
      </c>
      <c r="B1697" s="86" t="s">
        <v>19034</v>
      </c>
      <c r="C1697" s="397">
        <v>101</v>
      </c>
    </row>
    <row r="1698" spans="1:3">
      <c r="A1698" s="86" t="s">
        <v>19033</v>
      </c>
      <c r="B1698" s="86" t="s">
        <v>19032</v>
      </c>
      <c r="C1698" s="397">
        <v>32</v>
      </c>
    </row>
    <row r="1699" spans="1:3">
      <c r="A1699" s="86" t="s">
        <v>19031</v>
      </c>
      <c r="B1699" s="86" t="s">
        <v>19030</v>
      </c>
      <c r="C1699" s="397">
        <v>68</v>
      </c>
    </row>
    <row r="1700" spans="1:3">
      <c r="A1700" s="86" t="s">
        <v>19029</v>
      </c>
      <c r="B1700" s="86" t="s">
        <v>19028</v>
      </c>
      <c r="C1700" s="397">
        <v>177</v>
      </c>
    </row>
    <row r="1701" spans="1:3">
      <c r="A1701" s="86" t="s">
        <v>19027</v>
      </c>
      <c r="B1701" s="86" t="s">
        <v>19026</v>
      </c>
      <c r="C1701" s="397">
        <v>59</v>
      </c>
    </row>
    <row r="1702" spans="1:3">
      <c r="A1702" s="86" t="s">
        <v>19025</v>
      </c>
      <c r="B1702" s="86" t="s">
        <v>19024</v>
      </c>
      <c r="C1702" s="397">
        <v>53</v>
      </c>
    </row>
    <row r="1703" spans="1:3">
      <c r="A1703" s="86" t="s">
        <v>19023</v>
      </c>
      <c r="B1703" s="86" t="s">
        <v>19022</v>
      </c>
      <c r="C1703" s="397">
        <v>153</v>
      </c>
    </row>
    <row r="1704" spans="1:3">
      <c r="A1704" s="86" t="s">
        <v>19021</v>
      </c>
      <c r="B1704" s="86" t="s">
        <v>19020</v>
      </c>
      <c r="C1704" s="397">
        <v>68</v>
      </c>
    </row>
    <row r="1705" spans="1:3">
      <c r="A1705" s="86" t="s">
        <v>19019</v>
      </c>
      <c r="B1705" s="86" t="s">
        <v>19018</v>
      </c>
      <c r="C1705" s="397">
        <v>93</v>
      </c>
    </row>
    <row r="1706" spans="1:3">
      <c r="A1706" s="86" t="s">
        <v>19017</v>
      </c>
      <c r="B1706" s="86" t="s">
        <v>19016</v>
      </c>
      <c r="C1706" s="397">
        <v>59</v>
      </c>
    </row>
    <row r="1707" spans="1:3">
      <c r="A1707" s="86" t="s">
        <v>19015</v>
      </c>
      <c r="B1707" s="86" t="s">
        <v>19014</v>
      </c>
      <c r="C1707" s="397">
        <v>96</v>
      </c>
    </row>
    <row r="1708" spans="1:3">
      <c r="A1708" s="86" t="s">
        <v>19013</v>
      </c>
      <c r="B1708" s="86" t="s">
        <v>19012</v>
      </c>
      <c r="C1708" s="397">
        <v>93</v>
      </c>
    </row>
    <row r="1709" spans="1:3">
      <c r="A1709" s="86" t="s">
        <v>19011</v>
      </c>
      <c r="B1709" s="86" t="s">
        <v>19010</v>
      </c>
      <c r="C1709" s="397">
        <v>100</v>
      </c>
    </row>
    <row r="1710" spans="1:3">
      <c r="A1710" s="86" t="s">
        <v>19009</v>
      </c>
      <c r="B1710" s="86" t="s">
        <v>19008</v>
      </c>
      <c r="C1710" s="397">
        <v>84</v>
      </c>
    </row>
    <row r="1711" spans="1:3">
      <c r="A1711" s="86" t="s">
        <v>19007</v>
      </c>
      <c r="B1711" s="86" t="s">
        <v>19006</v>
      </c>
      <c r="C1711" s="397">
        <v>45</v>
      </c>
    </row>
    <row r="1712" spans="1:3">
      <c r="A1712" s="86" t="s">
        <v>19005</v>
      </c>
      <c r="B1712" s="86" t="s">
        <v>19004</v>
      </c>
      <c r="C1712" s="397">
        <v>59</v>
      </c>
    </row>
    <row r="1713" spans="1:3">
      <c r="A1713" s="86" t="s">
        <v>19003</v>
      </c>
      <c r="B1713" s="86" t="s">
        <v>19002</v>
      </c>
      <c r="C1713" s="397">
        <v>24</v>
      </c>
    </row>
    <row r="1714" spans="1:3">
      <c r="A1714" s="86" t="s">
        <v>19001</v>
      </c>
      <c r="B1714" s="86" t="s">
        <v>19000</v>
      </c>
      <c r="C1714" s="397">
        <v>45</v>
      </c>
    </row>
    <row r="1715" spans="1:3">
      <c r="A1715" s="86" t="s">
        <v>18999</v>
      </c>
      <c r="B1715" s="86" t="s">
        <v>18998</v>
      </c>
      <c r="C1715" s="397">
        <v>95</v>
      </c>
    </row>
    <row r="1716" spans="1:3">
      <c r="A1716" s="86" t="s">
        <v>18997</v>
      </c>
      <c r="B1716" s="86" t="s">
        <v>18996</v>
      </c>
      <c r="C1716" s="397">
        <v>20</v>
      </c>
    </row>
    <row r="1717" spans="1:3">
      <c r="A1717" s="86" t="s">
        <v>18995</v>
      </c>
      <c r="B1717" s="86" t="s">
        <v>18994</v>
      </c>
      <c r="C1717" s="397">
        <v>29</v>
      </c>
    </row>
    <row r="1718" spans="1:3">
      <c r="A1718" s="86" t="s">
        <v>18993</v>
      </c>
      <c r="B1718" s="86" t="s">
        <v>18992</v>
      </c>
      <c r="C1718" s="397">
        <v>16</v>
      </c>
    </row>
    <row r="1719" spans="1:3">
      <c r="A1719" s="86" t="s">
        <v>18991</v>
      </c>
      <c r="B1719" s="86" t="s">
        <v>18990</v>
      </c>
      <c r="C1719" s="397">
        <v>68</v>
      </c>
    </row>
    <row r="1720" spans="1:3">
      <c r="A1720" s="86" t="s">
        <v>18989</v>
      </c>
      <c r="B1720" s="86" t="s">
        <v>18988</v>
      </c>
      <c r="C1720" s="397">
        <v>26</v>
      </c>
    </row>
    <row r="1721" spans="1:3">
      <c r="A1721" s="86" t="s">
        <v>18987</v>
      </c>
      <c r="B1721" s="86" t="s">
        <v>18986</v>
      </c>
      <c r="C1721" s="397">
        <v>81</v>
      </c>
    </row>
    <row r="1722" spans="1:3">
      <c r="A1722" s="86" t="s">
        <v>18985</v>
      </c>
      <c r="B1722" s="86" t="s">
        <v>18984</v>
      </c>
      <c r="C1722" s="397">
        <v>32</v>
      </c>
    </row>
    <row r="1723" spans="1:3">
      <c r="A1723" s="86" t="s">
        <v>18983</v>
      </c>
      <c r="B1723" s="86" t="s">
        <v>18982</v>
      </c>
      <c r="C1723" s="397">
        <v>47</v>
      </c>
    </row>
    <row r="1724" spans="1:3">
      <c r="A1724" s="86" t="s">
        <v>18981</v>
      </c>
      <c r="B1724" s="86" t="s">
        <v>18980</v>
      </c>
      <c r="C1724" s="397">
        <v>32</v>
      </c>
    </row>
    <row r="1725" spans="1:3">
      <c r="A1725" s="86" t="s">
        <v>18979</v>
      </c>
      <c r="B1725" s="86" t="s">
        <v>18978</v>
      </c>
      <c r="C1725" s="397">
        <v>40</v>
      </c>
    </row>
    <row r="1726" spans="1:3">
      <c r="A1726" s="86" t="s">
        <v>18977</v>
      </c>
      <c r="B1726" s="86" t="s">
        <v>18976</v>
      </c>
      <c r="C1726" s="397">
        <v>66</v>
      </c>
    </row>
    <row r="1727" spans="1:3">
      <c r="A1727" s="86" t="s">
        <v>18975</v>
      </c>
      <c r="B1727" s="86" t="s">
        <v>18974</v>
      </c>
      <c r="C1727" s="397">
        <v>68</v>
      </c>
    </row>
    <row r="1728" spans="1:3">
      <c r="A1728" s="86" t="s">
        <v>18973</v>
      </c>
      <c r="B1728" s="86" t="s">
        <v>18972</v>
      </c>
      <c r="C1728" s="397">
        <v>84</v>
      </c>
    </row>
    <row r="1729" spans="1:3">
      <c r="A1729" s="86" t="s">
        <v>18971</v>
      </c>
      <c r="B1729" s="86" t="s">
        <v>18970</v>
      </c>
      <c r="C1729" s="397">
        <v>145</v>
      </c>
    </row>
    <row r="1730" spans="1:3">
      <c r="A1730" s="86" t="s">
        <v>18969</v>
      </c>
      <c r="B1730" s="86" t="s">
        <v>18968</v>
      </c>
      <c r="C1730" s="397">
        <v>68</v>
      </c>
    </row>
    <row r="1731" spans="1:3">
      <c r="A1731" s="86" t="s">
        <v>18967</v>
      </c>
      <c r="B1731" s="86" t="s">
        <v>18966</v>
      </c>
      <c r="C1731" s="397">
        <v>47</v>
      </c>
    </row>
    <row r="1732" spans="1:3">
      <c r="A1732" s="86" t="s">
        <v>18965</v>
      </c>
      <c r="B1732" s="86" t="s">
        <v>17825</v>
      </c>
      <c r="C1732" s="397">
        <v>31</v>
      </c>
    </row>
    <row r="1733" spans="1:3">
      <c r="A1733" s="86" t="s">
        <v>18964</v>
      </c>
      <c r="B1733" s="86" t="s">
        <v>18963</v>
      </c>
      <c r="C1733" s="397">
        <v>28</v>
      </c>
    </row>
    <row r="1734" spans="1:3">
      <c r="A1734" s="86" t="s">
        <v>18962</v>
      </c>
      <c r="B1734" s="86" t="s">
        <v>18961</v>
      </c>
      <c r="C1734" s="397">
        <v>68</v>
      </c>
    </row>
    <row r="1735" spans="1:3">
      <c r="A1735" s="86" t="s">
        <v>18960</v>
      </c>
      <c r="B1735" s="86" t="s">
        <v>18959</v>
      </c>
      <c r="C1735" s="397">
        <v>16</v>
      </c>
    </row>
    <row r="1736" spans="1:3">
      <c r="A1736" s="86" t="s">
        <v>18958</v>
      </c>
      <c r="B1736" s="86" t="s">
        <v>18957</v>
      </c>
      <c r="C1736" s="397">
        <v>16</v>
      </c>
    </row>
    <row r="1737" spans="1:3">
      <c r="A1737" s="86" t="s">
        <v>18956</v>
      </c>
      <c r="B1737" s="86" t="s">
        <v>18955</v>
      </c>
      <c r="C1737" s="397">
        <v>75</v>
      </c>
    </row>
    <row r="1738" spans="1:3">
      <c r="A1738" s="86" t="s">
        <v>18954</v>
      </c>
      <c r="B1738" s="86" t="s">
        <v>18953</v>
      </c>
      <c r="C1738" s="397">
        <v>84</v>
      </c>
    </row>
    <row r="1739" spans="1:3">
      <c r="A1739" s="86" t="s">
        <v>18952</v>
      </c>
      <c r="B1739" s="86" t="s">
        <v>18951</v>
      </c>
      <c r="C1739" s="397">
        <v>84</v>
      </c>
    </row>
    <row r="1740" spans="1:3">
      <c r="A1740" s="86" t="s">
        <v>18950</v>
      </c>
      <c r="B1740" s="86" t="s">
        <v>18949</v>
      </c>
      <c r="C1740" s="397">
        <v>423</v>
      </c>
    </row>
    <row r="1741" spans="1:3">
      <c r="A1741" s="86" t="s">
        <v>18948</v>
      </c>
      <c r="B1741" s="86" t="s">
        <v>18947</v>
      </c>
      <c r="C1741" s="397">
        <v>31</v>
      </c>
    </row>
    <row r="1742" spans="1:3">
      <c r="A1742" s="86" t="s">
        <v>18946</v>
      </c>
      <c r="B1742" s="86" t="s">
        <v>18945</v>
      </c>
      <c r="C1742" s="397">
        <v>68</v>
      </c>
    </row>
    <row r="1743" spans="1:3">
      <c r="A1743" s="86" t="s">
        <v>18944</v>
      </c>
      <c r="B1743" s="86" t="s">
        <v>18943</v>
      </c>
      <c r="C1743" s="397">
        <v>84</v>
      </c>
    </row>
    <row r="1744" spans="1:3">
      <c r="A1744" s="86" t="s">
        <v>18942</v>
      </c>
      <c r="B1744" s="86" t="s">
        <v>18941</v>
      </c>
      <c r="C1744" s="397">
        <v>124</v>
      </c>
    </row>
    <row r="1745" spans="1:3">
      <c r="A1745" s="86" t="s">
        <v>18940</v>
      </c>
      <c r="B1745" s="86" t="s">
        <v>18939</v>
      </c>
      <c r="C1745" s="397">
        <v>221</v>
      </c>
    </row>
    <row r="1746" spans="1:3">
      <c r="A1746" s="86" t="s">
        <v>18938</v>
      </c>
      <c r="B1746" s="86" t="s">
        <v>18935</v>
      </c>
      <c r="C1746" s="397">
        <v>47</v>
      </c>
    </row>
    <row r="1747" spans="1:3">
      <c r="A1747" s="86" t="s">
        <v>18937</v>
      </c>
      <c r="B1747" s="86" t="s">
        <v>18935</v>
      </c>
      <c r="C1747" s="397">
        <v>47</v>
      </c>
    </row>
    <row r="1748" spans="1:3">
      <c r="A1748" s="86" t="s">
        <v>18936</v>
      </c>
      <c r="B1748" s="86" t="s">
        <v>18935</v>
      </c>
      <c r="C1748" s="397">
        <v>47</v>
      </c>
    </row>
    <row r="1749" spans="1:3">
      <c r="A1749" s="86" t="s">
        <v>18934</v>
      </c>
      <c r="B1749" s="86" t="s">
        <v>18933</v>
      </c>
      <c r="C1749" s="397">
        <v>56</v>
      </c>
    </row>
    <row r="1750" spans="1:3">
      <c r="A1750" s="86" t="s">
        <v>18932</v>
      </c>
      <c r="B1750" s="86" t="s">
        <v>18931</v>
      </c>
      <c r="C1750" s="397">
        <v>28</v>
      </c>
    </row>
    <row r="1751" spans="1:3">
      <c r="A1751" s="86" t="s">
        <v>18930</v>
      </c>
      <c r="B1751" s="86" t="s">
        <v>18929</v>
      </c>
      <c r="C1751" s="397">
        <v>66</v>
      </c>
    </row>
    <row r="1752" spans="1:3">
      <c r="A1752" s="86" t="s">
        <v>18928</v>
      </c>
      <c r="B1752" s="86" t="s">
        <v>18927</v>
      </c>
      <c r="C1752" s="397">
        <v>62</v>
      </c>
    </row>
    <row r="1753" spans="1:3">
      <c r="A1753" s="86" t="s">
        <v>18926</v>
      </c>
      <c r="B1753" s="86" t="s">
        <v>18925</v>
      </c>
      <c r="C1753" s="397">
        <v>16</v>
      </c>
    </row>
    <row r="1754" spans="1:3">
      <c r="A1754" s="86" t="s">
        <v>18924</v>
      </c>
      <c r="B1754" s="86" t="s">
        <v>18923</v>
      </c>
      <c r="C1754" s="397">
        <v>32</v>
      </c>
    </row>
    <row r="1755" spans="1:3">
      <c r="A1755" s="86" t="s">
        <v>18922</v>
      </c>
      <c r="B1755" s="86" t="s">
        <v>18921</v>
      </c>
      <c r="C1755" s="397">
        <v>84</v>
      </c>
    </row>
    <row r="1756" spans="1:3">
      <c r="A1756" s="86" t="s">
        <v>18920</v>
      </c>
      <c r="B1756" s="86" t="s">
        <v>18919</v>
      </c>
      <c r="C1756" s="397">
        <v>28</v>
      </c>
    </row>
    <row r="1757" spans="1:3">
      <c r="A1757" s="86" t="s">
        <v>18918</v>
      </c>
      <c r="B1757" s="86" t="s">
        <v>18917</v>
      </c>
      <c r="C1757" s="397">
        <v>20</v>
      </c>
    </row>
    <row r="1758" spans="1:3">
      <c r="A1758" s="86" t="s">
        <v>18916</v>
      </c>
      <c r="B1758" s="86" t="s">
        <v>18915</v>
      </c>
      <c r="C1758" s="397">
        <v>28</v>
      </c>
    </row>
    <row r="1759" spans="1:3">
      <c r="A1759" s="86" t="s">
        <v>18914</v>
      </c>
      <c r="B1759" s="86" t="s">
        <v>18913</v>
      </c>
      <c r="C1759" s="397">
        <v>28</v>
      </c>
    </row>
    <row r="1760" spans="1:3">
      <c r="A1760" s="86" t="s">
        <v>18912</v>
      </c>
      <c r="B1760" s="86" t="s">
        <v>18911</v>
      </c>
      <c r="C1760" s="397">
        <v>28</v>
      </c>
    </row>
    <row r="1761" spans="1:3">
      <c r="A1761" s="86" t="s">
        <v>18910</v>
      </c>
      <c r="B1761" s="86" t="s">
        <v>18909</v>
      </c>
      <c r="C1761" s="397">
        <v>53</v>
      </c>
    </row>
    <row r="1762" spans="1:3">
      <c r="A1762" s="86" t="s">
        <v>18908</v>
      </c>
      <c r="B1762" s="86" t="s">
        <v>18907</v>
      </c>
      <c r="C1762" s="397">
        <v>28</v>
      </c>
    </row>
    <row r="1763" spans="1:3">
      <c r="A1763" s="86" t="s">
        <v>18906</v>
      </c>
      <c r="B1763" s="86" t="s">
        <v>18905</v>
      </c>
      <c r="C1763" s="397">
        <v>27</v>
      </c>
    </row>
    <row r="1764" spans="1:3">
      <c r="A1764" s="86" t="s">
        <v>18904</v>
      </c>
      <c r="B1764" s="86" t="s">
        <v>18903</v>
      </c>
      <c r="C1764" s="397">
        <v>27</v>
      </c>
    </row>
    <row r="1765" spans="1:3">
      <c r="A1765" s="86" t="s">
        <v>18902</v>
      </c>
      <c r="B1765" s="86" t="s">
        <v>18901</v>
      </c>
      <c r="C1765" s="397">
        <v>27</v>
      </c>
    </row>
    <row r="1766" spans="1:3">
      <c r="A1766" s="86" t="s">
        <v>18900</v>
      </c>
      <c r="B1766" s="86" t="s">
        <v>18899</v>
      </c>
      <c r="C1766" s="397">
        <v>27</v>
      </c>
    </row>
    <row r="1767" spans="1:3">
      <c r="A1767" s="86" t="s">
        <v>18898</v>
      </c>
      <c r="B1767" s="86" t="s">
        <v>18897</v>
      </c>
      <c r="C1767" s="397">
        <v>27</v>
      </c>
    </row>
    <row r="1768" spans="1:3">
      <c r="A1768" s="86" t="s">
        <v>18896</v>
      </c>
      <c r="B1768" s="86" t="s">
        <v>18895</v>
      </c>
      <c r="C1768" s="397">
        <v>45</v>
      </c>
    </row>
    <row r="1769" spans="1:3">
      <c r="A1769" s="86" t="s">
        <v>18894</v>
      </c>
      <c r="B1769" s="86" t="s">
        <v>18892</v>
      </c>
      <c r="C1769" s="397">
        <v>45</v>
      </c>
    </row>
    <row r="1770" spans="1:3">
      <c r="A1770" s="86" t="s">
        <v>18893</v>
      </c>
      <c r="B1770" s="86" t="s">
        <v>18892</v>
      </c>
      <c r="C1770" s="397">
        <v>84</v>
      </c>
    </row>
    <row r="1771" spans="1:3">
      <c r="A1771" s="86" t="s">
        <v>18891</v>
      </c>
      <c r="B1771" s="86" t="s">
        <v>18890</v>
      </c>
      <c r="C1771" s="397">
        <v>47</v>
      </c>
    </row>
    <row r="1772" spans="1:3">
      <c r="A1772" s="86" t="s">
        <v>18889</v>
      </c>
      <c r="B1772" s="86" t="s">
        <v>18888</v>
      </c>
      <c r="C1772" s="397">
        <v>62</v>
      </c>
    </row>
    <row r="1773" spans="1:3">
      <c r="A1773" s="86" t="s">
        <v>18887</v>
      </c>
      <c r="B1773" s="86" t="s">
        <v>18886</v>
      </c>
      <c r="C1773" s="397">
        <v>153</v>
      </c>
    </row>
    <row r="1774" spans="1:3">
      <c r="A1774" s="86" t="s">
        <v>18885</v>
      </c>
      <c r="B1774" s="86" t="s">
        <v>18884</v>
      </c>
      <c r="C1774" s="397">
        <v>184</v>
      </c>
    </row>
    <row r="1775" spans="1:3">
      <c r="A1775" s="86" t="s">
        <v>18883</v>
      </c>
      <c r="B1775" s="86" t="s">
        <v>18882</v>
      </c>
      <c r="C1775" s="397">
        <v>275</v>
      </c>
    </row>
    <row r="1776" spans="1:3">
      <c r="A1776" s="86" t="s">
        <v>18881</v>
      </c>
      <c r="B1776" s="86" t="s">
        <v>18880</v>
      </c>
      <c r="C1776" s="397">
        <v>332</v>
      </c>
    </row>
    <row r="1777" spans="1:3">
      <c r="A1777" s="86" t="s">
        <v>18879</v>
      </c>
      <c r="B1777" s="86" t="s">
        <v>18878</v>
      </c>
      <c r="C1777" s="397">
        <v>84</v>
      </c>
    </row>
    <row r="1778" spans="1:3">
      <c r="A1778" s="86" t="s">
        <v>18877</v>
      </c>
      <c r="B1778" s="86" t="s">
        <v>18876</v>
      </c>
      <c r="C1778" s="397">
        <v>144</v>
      </c>
    </row>
    <row r="1779" spans="1:3">
      <c r="A1779" s="86" t="s">
        <v>18875</v>
      </c>
      <c r="B1779" s="86" t="s">
        <v>18874</v>
      </c>
      <c r="C1779" s="397">
        <v>212</v>
      </c>
    </row>
    <row r="1780" spans="1:3">
      <c r="A1780" s="86" t="s">
        <v>18873</v>
      </c>
      <c r="B1780" s="86" t="s">
        <v>18872</v>
      </c>
      <c r="C1780" s="397">
        <v>123</v>
      </c>
    </row>
    <row r="1781" spans="1:3">
      <c r="A1781" s="86" t="s">
        <v>18871</v>
      </c>
      <c r="B1781" s="86" t="s">
        <v>18870</v>
      </c>
      <c r="C1781" s="397">
        <v>130</v>
      </c>
    </row>
    <row r="1782" spans="1:3">
      <c r="A1782" s="86" t="s">
        <v>18869</v>
      </c>
      <c r="B1782" s="86" t="s">
        <v>18868</v>
      </c>
      <c r="C1782" s="397">
        <v>304</v>
      </c>
    </row>
    <row r="1783" spans="1:3">
      <c r="A1783" s="86" t="s">
        <v>18867</v>
      </c>
      <c r="B1783" s="86" t="s">
        <v>18866</v>
      </c>
      <c r="C1783" s="397">
        <v>45</v>
      </c>
    </row>
    <row r="1784" spans="1:3">
      <c r="A1784" s="86" t="s">
        <v>18865</v>
      </c>
      <c r="B1784" s="86" t="s">
        <v>18864</v>
      </c>
      <c r="C1784" s="397">
        <v>61</v>
      </c>
    </row>
    <row r="1785" spans="1:3">
      <c r="A1785" s="86" t="s">
        <v>18863</v>
      </c>
      <c r="B1785" s="86" t="s">
        <v>18862</v>
      </c>
      <c r="C1785" s="397">
        <v>300</v>
      </c>
    </row>
    <row r="1786" spans="1:3">
      <c r="A1786" s="86" t="s">
        <v>18861</v>
      </c>
      <c r="B1786" s="86" t="s">
        <v>18860</v>
      </c>
      <c r="C1786" s="397">
        <v>289</v>
      </c>
    </row>
    <row r="1787" spans="1:3">
      <c r="A1787" s="86" t="s">
        <v>18859</v>
      </c>
      <c r="B1787" s="86" t="s">
        <v>18858</v>
      </c>
      <c r="C1787" s="397">
        <v>207</v>
      </c>
    </row>
    <row r="1788" spans="1:3">
      <c r="A1788" s="86" t="s">
        <v>18857</v>
      </c>
      <c r="B1788" s="86" t="s">
        <v>18856</v>
      </c>
      <c r="C1788" s="397">
        <v>202</v>
      </c>
    </row>
    <row r="1789" spans="1:3">
      <c r="A1789" s="86" t="s">
        <v>18855</v>
      </c>
      <c r="B1789" s="86" t="s">
        <v>18854</v>
      </c>
      <c r="C1789" s="397">
        <v>325</v>
      </c>
    </row>
    <row r="1790" spans="1:3">
      <c r="A1790" s="86" t="s">
        <v>18853</v>
      </c>
      <c r="B1790" s="86" t="s">
        <v>18852</v>
      </c>
      <c r="C1790" s="397">
        <v>517</v>
      </c>
    </row>
    <row r="1791" spans="1:3">
      <c r="A1791" s="86" t="s">
        <v>18851</v>
      </c>
      <c r="B1791" s="86" t="s">
        <v>18850</v>
      </c>
      <c r="C1791" s="397">
        <v>264</v>
      </c>
    </row>
    <row r="1792" spans="1:3">
      <c r="A1792" s="86" t="s">
        <v>18849</v>
      </c>
      <c r="B1792" s="86" t="s">
        <v>18848</v>
      </c>
      <c r="C1792" s="397">
        <v>96</v>
      </c>
    </row>
    <row r="1793" spans="1:3">
      <c r="A1793" s="86" t="s">
        <v>18847</v>
      </c>
      <c r="B1793" s="86" t="s">
        <v>18846</v>
      </c>
      <c r="C1793" s="397">
        <v>204</v>
      </c>
    </row>
    <row r="1794" spans="1:3">
      <c r="A1794" s="86" t="s">
        <v>18845</v>
      </c>
      <c r="B1794" s="86" t="s">
        <v>18844</v>
      </c>
      <c r="C1794" s="397">
        <v>275</v>
      </c>
    </row>
    <row r="1795" spans="1:3">
      <c r="A1795" s="86" t="s">
        <v>18843</v>
      </c>
      <c r="B1795" s="86" t="s">
        <v>18842</v>
      </c>
      <c r="C1795" s="397">
        <v>338</v>
      </c>
    </row>
    <row r="1796" spans="1:3">
      <c r="A1796" s="86" t="s">
        <v>18841</v>
      </c>
      <c r="B1796" s="86" t="s">
        <v>18840</v>
      </c>
      <c r="C1796" s="397">
        <v>52</v>
      </c>
    </row>
    <row r="1797" spans="1:3">
      <c r="A1797" s="86" t="s">
        <v>18839</v>
      </c>
      <c r="B1797" s="86" t="s">
        <v>18838</v>
      </c>
      <c r="C1797" s="397">
        <v>58</v>
      </c>
    </row>
    <row r="1798" spans="1:3">
      <c r="A1798" s="86" t="s">
        <v>18837</v>
      </c>
      <c r="B1798" s="86" t="s">
        <v>18836</v>
      </c>
      <c r="C1798" s="397">
        <v>381</v>
      </c>
    </row>
    <row r="1799" spans="1:3">
      <c r="A1799" s="86" t="s">
        <v>18835</v>
      </c>
      <c r="B1799" s="86" t="s">
        <v>18834</v>
      </c>
      <c r="C1799" s="397">
        <v>26</v>
      </c>
    </row>
    <row r="1800" spans="1:3">
      <c r="A1800" s="86" t="s">
        <v>18833</v>
      </c>
      <c r="B1800" s="86" t="s">
        <v>18832</v>
      </c>
      <c r="C1800" s="397">
        <v>40</v>
      </c>
    </row>
    <row r="1801" spans="1:3">
      <c r="A1801" s="86" t="s">
        <v>18831</v>
      </c>
      <c r="B1801" s="86" t="s">
        <v>18830</v>
      </c>
      <c r="C1801" s="397">
        <v>393</v>
      </c>
    </row>
    <row r="1802" spans="1:3">
      <c r="A1802" s="86" t="s">
        <v>18829</v>
      </c>
      <c r="B1802" s="86" t="s">
        <v>18828</v>
      </c>
      <c r="C1802" s="397">
        <v>40</v>
      </c>
    </row>
    <row r="1803" spans="1:3">
      <c r="A1803" s="86" t="s">
        <v>18827</v>
      </c>
      <c r="B1803" s="86" t="s">
        <v>18826</v>
      </c>
      <c r="C1803" s="397">
        <v>59</v>
      </c>
    </row>
    <row r="1804" spans="1:3">
      <c r="A1804" s="86" t="s">
        <v>18825</v>
      </c>
      <c r="B1804" s="86" t="s">
        <v>18824</v>
      </c>
      <c r="C1804" s="397">
        <v>54</v>
      </c>
    </row>
    <row r="1805" spans="1:3">
      <c r="A1805" s="86" t="s">
        <v>18823</v>
      </c>
      <c r="B1805" s="86" t="s">
        <v>18822</v>
      </c>
      <c r="C1805" s="397">
        <v>59</v>
      </c>
    </row>
    <row r="1806" spans="1:3">
      <c r="A1806" s="86" t="s">
        <v>18821</v>
      </c>
      <c r="B1806" s="86" t="s">
        <v>18820</v>
      </c>
      <c r="C1806" s="397">
        <v>61</v>
      </c>
    </row>
    <row r="1807" spans="1:3">
      <c r="A1807" s="86" t="s">
        <v>18819</v>
      </c>
      <c r="B1807" s="86" t="s">
        <v>18818</v>
      </c>
      <c r="C1807" s="397">
        <v>66</v>
      </c>
    </row>
    <row r="1808" spans="1:3">
      <c r="A1808" s="86" t="s">
        <v>18817</v>
      </c>
      <c r="B1808" s="86" t="s">
        <v>18816</v>
      </c>
      <c r="C1808" s="397">
        <v>162</v>
      </c>
    </row>
    <row r="1809" spans="1:3">
      <c r="A1809" s="86" t="s">
        <v>18815</v>
      </c>
      <c r="B1809" s="86" t="s">
        <v>18814</v>
      </c>
      <c r="C1809" s="397">
        <v>40</v>
      </c>
    </row>
    <row r="1810" spans="1:3">
      <c r="A1810" s="86" t="s">
        <v>18813</v>
      </c>
      <c r="B1810" s="86" t="s">
        <v>18812</v>
      </c>
      <c r="C1810" s="397">
        <v>27</v>
      </c>
    </row>
    <row r="1811" spans="1:3">
      <c r="A1811" s="86" t="s">
        <v>18811</v>
      </c>
      <c r="B1811" s="86" t="s">
        <v>18810</v>
      </c>
      <c r="C1811" s="397">
        <v>34</v>
      </c>
    </row>
    <row r="1812" spans="1:3">
      <c r="A1812" s="86" t="s">
        <v>18809</v>
      </c>
      <c r="B1812" s="86" t="s">
        <v>18808</v>
      </c>
      <c r="C1812" s="397">
        <v>57</v>
      </c>
    </row>
    <row r="1813" spans="1:3">
      <c r="A1813" s="86" t="s">
        <v>18807</v>
      </c>
      <c r="B1813" s="86" t="s">
        <v>18806</v>
      </c>
      <c r="C1813" s="397">
        <v>46</v>
      </c>
    </row>
    <row r="1814" spans="1:3">
      <c r="A1814" s="86" t="s">
        <v>18805</v>
      </c>
      <c r="B1814" s="86" t="s">
        <v>18804</v>
      </c>
      <c r="C1814" s="397">
        <v>213</v>
      </c>
    </row>
    <row r="1815" spans="1:3">
      <c r="A1815" s="86" t="s">
        <v>18803</v>
      </c>
      <c r="B1815" s="86" t="s">
        <v>18802</v>
      </c>
      <c r="C1815" s="397">
        <v>53</v>
      </c>
    </row>
    <row r="1816" spans="1:3">
      <c r="A1816" s="86" t="s">
        <v>18801</v>
      </c>
      <c r="B1816" s="86" t="s">
        <v>18800</v>
      </c>
      <c r="C1816" s="397">
        <v>138</v>
      </c>
    </row>
    <row r="1817" spans="1:3">
      <c r="A1817" s="86" t="s">
        <v>18799</v>
      </c>
      <c r="B1817" s="86" t="s">
        <v>18798</v>
      </c>
      <c r="C1817" s="397">
        <v>51</v>
      </c>
    </row>
    <row r="1818" spans="1:3">
      <c r="A1818" s="86" t="s">
        <v>18797</v>
      </c>
      <c r="B1818" s="86" t="s">
        <v>18796</v>
      </c>
      <c r="C1818" s="397">
        <v>230</v>
      </c>
    </row>
    <row r="1819" spans="1:3">
      <c r="A1819" s="86" t="s">
        <v>18795</v>
      </c>
      <c r="B1819" s="86" t="s">
        <v>18794</v>
      </c>
      <c r="C1819" s="397">
        <v>625</v>
      </c>
    </row>
    <row r="1820" spans="1:3">
      <c r="A1820" s="86" t="s">
        <v>18793</v>
      </c>
      <c r="B1820" s="86" t="s">
        <v>18792</v>
      </c>
      <c r="C1820" s="397">
        <v>325</v>
      </c>
    </row>
    <row r="1821" spans="1:3">
      <c r="A1821" s="86" t="s">
        <v>18791</v>
      </c>
      <c r="B1821" s="86" t="s">
        <v>18790</v>
      </c>
      <c r="C1821" s="397">
        <v>146</v>
      </c>
    </row>
    <row r="1822" spans="1:3">
      <c r="A1822" s="86" t="s">
        <v>18789</v>
      </c>
      <c r="B1822" s="86" t="s">
        <v>18788</v>
      </c>
      <c r="C1822" s="397">
        <v>296</v>
      </c>
    </row>
    <row r="1823" spans="1:3">
      <c r="A1823" s="86" t="s">
        <v>18787</v>
      </c>
      <c r="B1823" s="86" t="s">
        <v>18786</v>
      </c>
      <c r="C1823" s="397">
        <v>130</v>
      </c>
    </row>
    <row r="1824" spans="1:3">
      <c r="A1824" s="86" t="s">
        <v>18785</v>
      </c>
      <c r="B1824" s="86" t="s">
        <v>18784</v>
      </c>
      <c r="C1824" s="397">
        <v>157</v>
      </c>
    </row>
    <row r="1825" spans="1:3">
      <c r="A1825" s="86" t="s">
        <v>18783</v>
      </c>
      <c r="B1825" s="86" t="s">
        <v>18782</v>
      </c>
      <c r="C1825" s="397">
        <v>59</v>
      </c>
    </row>
    <row r="1826" spans="1:3">
      <c r="A1826" s="86" t="s">
        <v>18781</v>
      </c>
      <c r="B1826" s="86" t="s">
        <v>18780</v>
      </c>
      <c r="C1826" s="397">
        <v>40</v>
      </c>
    </row>
    <row r="1827" spans="1:3">
      <c r="A1827" s="86" t="s">
        <v>18779</v>
      </c>
      <c r="B1827" s="86" t="s">
        <v>18778</v>
      </c>
      <c r="C1827" s="397">
        <v>93</v>
      </c>
    </row>
    <row r="1828" spans="1:3">
      <c r="A1828" s="86" t="s">
        <v>18777</v>
      </c>
      <c r="B1828" s="86" t="s">
        <v>18776</v>
      </c>
      <c r="C1828" s="397">
        <v>72</v>
      </c>
    </row>
    <row r="1829" spans="1:3">
      <c r="A1829" s="86" t="s">
        <v>18775</v>
      </c>
      <c r="B1829" s="86" t="s">
        <v>18774</v>
      </c>
      <c r="C1829" s="397">
        <v>101</v>
      </c>
    </row>
    <row r="1830" spans="1:3">
      <c r="A1830" s="86" t="s">
        <v>18773</v>
      </c>
      <c r="B1830" s="86" t="s">
        <v>18772</v>
      </c>
      <c r="C1830" s="397">
        <v>27</v>
      </c>
    </row>
    <row r="1831" spans="1:3">
      <c r="A1831" s="86" t="s">
        <v>18771</v>
      </c>
      <c r="B1831" s="86" t="s">
        <v>18770</v>
      </c>
      <c r="C1831" s="397">
        <v>177</v>
      </c>
    </row>
    <row r="1832" spans="1:3">
      <c r="A1832" s="86" t="s">
        <v>18769</v>
      </c>
      <c r="B1832" s="86" t="s">
        <v>18768</v>
      </c>
      <c r="C1832" s="397">
        <v>93</v>
      </c>
    </row>
    <row r="1833" spans="1:3">
      <c r="A1833" s="86" t="s">
        <v>18767</v>
      </c>
      <c r="B1833" s="86" t="s">
        <v>18766</v>
      </c>
      <c r="C1833" s="397">
        <v>59</v>
      </c>
    </row>
    <row r="1834" spans="1:3">
      <c r="A1834" s="86" t="s">
        <v>18765</v>
      </c>
      <c r="B1834" s="86" t="s">
        <v>18764</v>
      </c>
      <c r="C1834" s="397">
        <v>70</v>
      </c>
    </row>
    <row r="1835" spans="1:3">
      <c r="A1835" s="86" t="s">
        <v>18763</v>
      </c>
      <c r="B1835" s="86" t="s">
        <v>18762</v>
      </c>
      <c r="C1835" s="397">
        <v>76</v>
      </c>
    </row>
    <row r="1836" spans="1:3">
      <c r="A1836" s="86" t="s">
        <v>18761</v>
      </c>
      <c r="B1836" s="86" t="s">
        <v>18760</v>
      </c>
      <c r="C1836" s="397">
        <v>95</v>
      </c>
    </row>
    <row r="1837" spans="1:3">
      <c r="A1837" s="86" t="s">
        <v>18759</v>
      </c>
      <c r="B1837" s="86" t="s">
        <v>18758</v>
      </c>
      <c r="C1837" s="397">
        <v>95</v>
      </c>
    </row>
    <row r="1838" spans="1:3">
      <c r="A1838" s="86" t="s">
        <v>18757</v>
      </c>
      <c r="B1838" s="86" t="s">
        <v>18756</v>
      </c>
      <c r="C1838" s="397">
        <v>95</v>
      </c>
    </row>
    <row r="1839" spans="1:3">
      <c r="A1839" s="86" t="s">
        <v>18755</v>
      </c>
      <c r="B1839" s="86" t="s">
        <v>18754</v>
      </c>
      <c r="C1839" s="397">
        <v>95</v>
      </c>
    </row>
    <row r="1840" spans="1:3">
      <c r="A1840" s="86" t="s">
        <v>18753</v>
      </c>
      <c r="B1840" s="86" t="s">
        <v>18752</v>
      </c>
      <c r="C1840" s="397">
        <v>84</v>
      </c>
    </row>
    <row r="1841" spans="1:3">
      <c r="A1841" s="86" t="s">
        <v>18751</v>
      </c>
      <c r="B1841" s="86" t="s">
        <v>18750</v>
      </c>
      <c r="C1841" s="397">
        <v>84</v>
      </c>
    </row>
    <row r="1842" spans="1:3">
      <c r="A1842" s="86" t="s">
        <v>18749</v>
      </c>
      <c r="B1842" s="86" t="s">
        <v>18748</v>
      </c>
      <c r="C1842" s="397">
        <v>95</v>
      </c>
    </row>
    <row r="1843" spans="1:3">
      <c r="A1843" s="86" t="s">
        <v>18747</v>
      </c>
      <c r="B1843" s="86" t="s">
        <v>18746</v>
      </c>
      <c r="C1843" s="397">
        <v>145</v>
      </c>
    </row>
    <row r="1844" spans="1:3">
      <c r="A1844" s="86" t="s">
        <v>18745</v>
      </c>
      <c r="B1844" s="86" t="s">
        <v>18744</v>
      </c>
      <c r="C1844" s="397">
        <v>251</v>
      </c>
    </row>
    <row r="1845" spans="1:3">
      <c r="A1845" s="86" t="s">
        <v>18743</v>
      </c>
      <c r="B1845" s="86" t="s">
        <v>18742</v>
      </c>
      <c r="C1845" s="397">
        <v>279</v>
      </c>
    </row>
    <row r="1846" spans="1:3">
      <c r="A1846" s="86" t="s">
        <v>18741</v>
      </c>
      <c r="B1846" s="86" t="s">
        <v>18740</v>
      </c>
      <c r="C1846" s="397">
        <v>77</v>
      </c>
    </row>
    <row r="1847" spans="1:3">
      <c r="A1847" s="86" t="s">
        <v>18739</v>
      </c>
      <c r="B1847" s="86" t="s">
        <v>18738</v>
      </c>
      <c r="C1847" s="397">
        <v>27</v>
      </c>
    </row>
    <row r="1848" spans="1:3">
      <c r="A1848" s="86" t="s">
        <v>18737</v>
      </c>
      <c r="B1848" s="86" t="s">
        <v>18736</v>
      </c>
      <c r="C1848" s="397">
        <v>58</v>
      </c>
    </row>
    <row r="1849" spans="1:3">
      <c r="A1849" s="86" t="s">
        <v>18735</v>
      </c>
      <c r="B1849" s="86" t="s">
        <v>18734</v>
      </c>
      <c r="C1849" s="397">
        <v>15</v>
      </c>
    </row>
    <row r="1850" spans="1:3">
      <c r="A1850" s="86" t="s">
        <v>18733</v>
      </c>
      <c r="B1850" s="86" t="s">
        <v>18732</v>
      </c>
      <c r="C1850" s="397">
        <v>15</v>
      </c>
    </row>
    <row r="1851" spans="1:3">
      <c r="A1851" s="86" t="s">
        <v>18731</v>
      </c>
      <c r="B1851" s="86" t="s">
        <v>18730</v>
      </c>
      <c r="C1851" s="397">
        <v>15</v>
      </c>
    </row>
    <row r="1852" spans="1:3">
      <c r="A1852" s="86" t="s">
        <v>18729</v>
      </c>
      <c r="B1852" s="86" t="s">
        <v>18728</v>
      </c>
      <c r="C1852" s="397">
        <v>170</v>
      </c>
    </row>
    <row r="1853" spans="1:3">
      <c r="A1853" s="86" t="s">
        <v>18727</v>
      </c>
      <c r="B1853" s="86" t="s">
        <v>18726</v>
      </c>
      <c r="C1853" s="397">
        <v>104</v>
      </c>
    </row>
    <row r="1854" spans="1:3">
      <c r="A1854" s="86" t="s">
        <v>18725</v>
      </c>
      <c r="B1854" s="86" t="s">
        <v>18724</v>
      </c>
      <c r="C1854" s="397">
        <v>660</v>
      </c>
    </row>
    <row r="1855" spans="1:3">
      <c r="A1855" s="86" t="s">
        <v>18723</v>
      </c>
      <c r="B1855" s="86" t="s">
        <v>18722</v>
      </c>
      <c r="C1855" s="397">
        <v>207</v>
      </c>
    </row>
    <row r="1856" spans="1:3">
      <c r="A1856" s="86" t="s">
        <v>18721</v>
      </c>
      <c r="B1856" s="86" t="s">
        <v>18720</v>
      </c>
      <c r="C1856" s="397">
        <v>646</v>
      </c>
    </row>
    <row r="1857" spans="1:3">
      <c r="A1857" s="86" t="s">
        <v>18719</v>
      </c>
      <c r="B1857" s="86" t="s">
        <v>18718</v>
      </c>
      <c r="C1857" s="397">
        <v>172</v>
      </c>
    </row>
    <row r="1858" spans="1:3">
      <c r="A1858" s="86" t="s">
        <v>18717</v>
      </c>
      <c r="B1858" s="86" t="s">
        <v>18716</v>
      </c>
      <c r="C1858" s="397">
        <v>173</v>
      </c>
    </row>
    <row r="1859" spans="1:3">
      <c r="A1859" s="86" t="s">
        <v>18715</v>
      </c>
      <c r="B1859" s="86" t="s">
        <v>18714</v>
      </c>
      <c r="C1859" s="397">
        <v>415</v>
      </c>
    </row>
    <row r="1860" spans="1:3">
      <c r="A1860" s="86" t="s">
        <v>18713</v>
      </c>
      <c r="B1860" s="86" t="s">
        <v>18712</v>
      </c>
      <c r="C1860" s="397">
        <v>283</v>
      </c>
    </row>
    <row r="1861" spans="1:3">
      <c r="A1861" s="86" t="s">
        <v>18711</v>
      </c>
      <c r="B1861" s="86" t="s">
        <v>18710</v>
      </c>
      <c r="C1861" s="397">
        <v>661</v>
      </c>
    </row>
    <row r="1862" spans="1:3">
      <c r="A1862" s="86" t="s">
        <v>18709</v>
      </c>
      <c r="B1862" s="86" t="s">
        <v>18708</v>
      </c>
      <c r="C1862" s="397">
        <v>199</v>
      </c>
    </row>
    <row r="1863" spans="1:3">
      <c r="A1863" s="86" t="s">
        <v>18707</v>
      </c>
      <c r="B1863" s="86" t="s">
        <v>18706</v>
      </c>
      <c r="C1863" s="397">
        <v>199</v>
      </c>
    </row>
    <row r="1864" spans="1:3">
      <c r="A1864" s="86" t="s">
        <v>18705</v>
      </c>
      <c r="B1864" s="86" t="s">
        <v>18704</v>
      </c>
      <c r="C1864" s="397">
        <v>199</v>
      </c>
    </row>
    <row r="1865" spans="1:3">
      <c r="A1865" s="86" t="s">
        <v>18703</v>
      </c>
      <c r="B1865" s="86" t="s">
        <v>18702</v>
      </c>
      <c r="C1865" s="397">
        <v>199</v>
      </c>
    </row>
    <row r="1866" spans="1:3">
      <c r="A1866" s="86" t="s">
        <v>18701</v>
      </c>
      <c r="B1866" s="86" t="s">
        <v>18700</v>
      </c>
      <c r="C1866" s="397">
        <v>199</v>
      </c>
    </row>
    <row r="1867" spans="1:3">
      <c r="A1867" s="86" t="s">
        <v>18699</v>
      </c>
      <c r="B1867" s="86" t="s">
        <v>18698</v>
      </c>
      <c r="C1867" s="397">
        <v>199</v>
      </c>
    </row>
    <row r="1868" spans="1:3">
      <c r="A1868" s="86" t="s">
        <v>18697</v>
      </c>
      <c r="B1868" s="86" t="s">
        <v>16722</v>
      </c>
      <c r="C1868" s="397">
        <v>283</v>
      </c>
    </row>
    <row r="1869" spans="1:3">
      <c r="A1869" s="86" t="s">
        <v>18696</v>
      </c>
      <c r="B1869" s="86" t="s">
        <v>18694</v>
      </c>
      <c r="C1869" s="397">
        <v>179</v>
      </c>
    </row>
    <row r="1870" spans="1:3">
      <c r="A1870" s="86" t="s">
        <v>18695</v>
      </c>
      <c r="B1870" s="86" t="s">
        <v>18694</v>
      </c>
      <c r="C1870" s="397">
        <v>180</v>
      </c>
    </row>
    <row r="1871" spans="1:3">
      <c r="A1871" s="86" t="s">
        <v>18693</v>
      </c>
      <c r="B1871" s="86" t="s">
        <v>18692</v>
      </c>
      <c r="C1871" s="397">
        <v>180</v>
      </c>
    </row>
    <row r="1872" spans="1:3">
      <c r="A1872" s="86" t="s">
        <v>18691</v>
      </c>
      <c r="B1872" s="86" t="s">
        <v>18690</v>
      </c>
      <c r="C1872" s="397">
        <v>149</v>
      </c>
    </row>
    <row r="1873" spans="1:3">
      <c r="A1873" s="86" t="s">
        <v>18689</v>
      </c>
      <c r="B1873" s="86" t="s">
        <v>18688</v>
      </c>
      <c r="C1873" s="397">
        <v>151</v>
      </c>
    </row>
    <row r="1874" spans="1:3">
      <c r="A1874" s="86" t="s">
        <v>18687</v>
      </c>
      <c r="B1874" s="86" t="s">
        <v>18686</v>
      </c>
      <c r="C1874" s="397">
        <v>150</v>
      </c>
    </row>
    <row r="1875" spans="1:3">
      <c r="A1875" s="86" t="s">
        <v>18685</v>
      </c>
      <c r="B1875" s="86" t="s">
        <v>18684</v>
      </c>
      <c r="C1875" s="397">
        <v>89</v>
      </c>
    </row>
    <row r="1876" spans="1:3">
      <c r="A1876" s="86" t="s">
        <v>18683</v>
      </c>
      <c r="B1876" s="86" t="s">
        <v>18682</v>
      </c>
      <c r="C1876" s="397">
        <v>91</v>
      </c>
    </row>
    <row r="1877" spans="1:3">
      <c r="A1877" s="86" t="s">
        <v>18681</v>
      </c>
      <c r="B1877" s="86" t="s">
        <v>18680</v>
      </c>
      <c r="C1877" s="397">
        <v>706</v>
      </c>
    </row>
    <row r="1878" spans="1:3">
      <c r="A1878" s="86" t="s">
        <v>18679</v>
      </c>
      <c r="B1878" s="86" t="s">
        <v>18678</v>
      </c>
      <c r="C1878" s="397">
        <v>448</v>
      </c>
    </row>
    <row r="1879" spans="1:3">
      <c r="A1879" s="86" t="s">
        <v>18677</v>
      </c>
      <c r="B1879" s="86" t="s">
        <v>18676</v>
      </c>
      <c r="C1879" s="397">
        <v>661</v>
      </c>
    </row>
    <row r="1880" spans="1:3">
      <c r="A1880" s="86" t="s">
        <v>18675</v>
      </c>
      <c r="B1880" s="86" t="s">
        <v>18674</v>
      </c>
      <c r="C1880" s="397">
        <v>311</v>
      </c>
    </row>
    <row r="1881" spans="1:3">
      <c r="A1881" s="86" t="s">
        <v>18673</v>
      </c>
      <c r="B1881" s="86" t="s">
        <v>18672</v>
      </c>
      <c r="C1881" s="397">
        <v>409</v>
      </c>
    </row>
    <row r="1882" spans="1:3">
      <c r="A1882" s="86" t="s">
        <v>18671</v>
      </c>
      <c r="B1882" s="86" t="s">
        <v>18670</v>
      </c>
      <c r="C1882" s="397">
        <v>198</v>
      </c>
    </row>
    <row r="1883" spans="1:3">
      <c r="A1883" s="86" t="s">
        <v>18669</v>
      </c>
      <c r="B1883" s="86" t="s">
        <v>18668</v>
      </c>
      <c r="C1883" s="397">
        <v>135</v>
      </c>
    </row>
    <row r="1884" spans="1:3">
      <c r="A1884" s="86" t="s">
        <v>18667</v>
      </c>
      <c r="B1884" s="86" t="s">
        <v>18663</v>
      </c>
      <c r="C1884" s="397">
        <v>346</v>
      </c>
    </row>
    <row r="1885" spans="1:3">
      <c r="A1885" s="86" t="s">
        <v>18666</v>
      </c>
      <c r="B1885" s="86" t="s">
        <v>18663</v>
      </c>
      <c r="C1885" s="397">
        <v>346</v>
      </c>
    </row>
    <row r="1886" spans="1:3">
      <c r="A1886" s="86" t="s">
        <v>18665</v>
      </c>
      <c r="B1886" s="86" t="s">
        <v>18663</v>
      </c>
      <c r="C1886" s="397">
        <v>346</v>
      </c>
    </row>
    <row r="1887" spans="1:3">
      <c r="A1887" s="86" t="s">
        <v>18664</v>
      </c>
      <c r="B1887" s="86" t="s">
        <v>18663</v>
      </c>
      <c r="C1887" s="397">
        <v>346</v>
      </c>
    </row>
    <row r="1888" spans="1:3">
      <c r="A1888" s="86" t="s">
        <v>18662</v>
      </c>
      <c r="B1888" s="86" t="s">
        <v>18661</v>
      </c>
      <c r="C1888" s="397">
        <v>444</v>
      </c>
    </row>
    <row r="1889" spans="1:3">
      <c r="A1889" s="86" t="s">
        <v>18660</v>
      </c>
      <c r="B1889" s="86" t="s">
        <v>18659</v>
      </c>
      <c r="C1889" s="397">
        <v>208</v>
      </c>
    </row>
    <row r="1890" spans="1:3">
      <c r="A1890" s="86" t="s">
        <v>18658</v>
      </c>
      <c r="B1890" s="86" t="s">
        <v>18657</v>
      </c>
      <c r="C1890" s="397">
        <v>244</v>
      </c>
    </row>
    <row r="1891" spans="1:3">
      <c r="A1891" s="86" t="s">
        <v>18656</v>
      </c>
      <c r="B1891" s="86" t="s">
        <v>18655</v>
      </c>
      <c r="C1891" s="397">
        <v>224</v>
      </c>
    </row>
    <row r="1892" spans="1:3">
      <c r="A1892" s="86" t="s">
        <v>18654</v>
      </c>
      <c r="B1892" s="86" t="s">
        <v>18653</v>
      </c>
      <c r="C1892" s="397">
        <v>16</v>
      </c>
    </row>
    <row r="1893" spans="1:3">
      <c r="A1893" s="86" t="s">
        <v>18652</v>
      </c>
      <c r="B1893" s="86" t="s">
        <v>18651</v>
      </c>
      <c r="C1893" s="397">
        <v>27</v>
      </c>
    </row>
    <row r="1894" spans="1:3">
      <c r="A1894" s="86" t="s">
        <v>18650</v>
      </c>
      <c r="B1894" s="86" t="s">
        <v>18649</v>
      </c>
      <c r="C1894" s="397">
        <v>28</v>
      </c>
    </row>
    <row r="1895" spans="1:3">
      <c r="A1895" s="86" t="s">
        <v>18648</v>
      </c>
      <c r="B1895" s="86" t="s">
        <v>18647</v>
      </c>
      <c r="C1895" s="397">
        <v>31</v>
      </c>
    </row>
    <row r="1896" spans="1:3">
      <c r="A1896" s="86" t="s">
        <v>18646</v>
      </c>
      <c r="B1896" s="86" t="s">
        <v>18645</v>
      </c>
      <c r="C1896" s="397">
        <v>27</v>
      </c>
    </row>
    <row r="1897" spans="1:3">
      <c r="A1897" s="86" t="s">
        <v>18644</v>
      </c>
      <c r="B1897" s="86" t="s">
        <v>18643</v>
      </c>
      <c r="C1897" s="397">
        <v>27</v>
      </c>
    </row>
    <row r="1898" spans="1:3">
      <c r="A1898" s="86" t="s">
        <v>18642</v>
      </c>
      <c r="B1898" s="86" t="s">
        <v>18641</v>
      </c>
      <c r="C1898" s="397">
        <v>27</v>
      </c>
    </row>
    <row r="1899" spans="1:3">
      <c r="A1899" s="86" t="s">
        <v>18640</v>
      </c>
      <c r="B1899" s="86" t="s">
        <v>18639</v>
      </c>
      <c r="C1899" s="397">
        <v>16</v>
      </c>
    </row>
    <row r="1900" spans="1:3">
      <c r="A1900" s="86" t="s">
        <v>18638</v>
      </c>
      <c r="B1900" s="86" t="s">
        <v>18637</v>
      </c>
      <c r="C1900" s="397">
        <v>27</v>
      </c>
    </row>
    <row r="1901" spans="1:3">
      <c r="A1901" s="86" t="s">
        <v>18636</v>
      </c>
      <c r="B1901" s="86" t="s">
        <v>18635</v>
      </c>
      <c r="C1901" s="397">
        <v>27</v>
      </c>
    </row>
    <row r="1902" spans="1:3">
      <c r="A1902" s="86" t="s">
        <v>18634</v>
      </c>
      <c r="B1902" s="86" t="s">
        <v>18633</v>
      </c>
      <c r="C1902" s="397">
        <v>16</v>
      </c>
    </row>
    <row r="1903" spans="1:3">
      <c r="A1903" s="86" t="s">
        <v>18632</v>
      </c>
      <c r="B1903" s="86" t="s">
        <v>18631</v>
      </c>
      <c r="C1903" s="397">
        <v>32</v>
      </c>
    </row>
    <row r="1904" spans="1:3">
      <c r="A1904" s="86" t="s">
        <v>18630</v>
      </c>
      <c r="B1904" s="86" t="s">
        <v>18629</v>
      </c>
      <c r="C1904" s="397">
        <v>27</v>
      </c>
    </row>
    <row r="1905" spans="1:3">
      <c r="A1905" s="86" t="s">
        <v>18628</v>
      </c>
      <c r="B1905" s="86" t="s">
        <v>18627</v>
      </c>
      <c r="C1905" s="397">
        <v>53</v>
      </c>
    </row>
    <row r="1906" spans="1:3">
      <c r="A1906" s="86" t="s">
        <v>18626</v>
      </c>
      <c r="B1906" s="86" t="s">
        <v>18625</v>
      </c>
      <c r="C1906" s="397">
        <v>53</v>
      </c>
    </row>
    <row r="1907" spans="1:3">
      <c r="A1907" s="86" t="s">
        <v>18624</v>
      </c>
      <c r="B1907" s="86" t="s">
        <v>18623</v>
      </c>
      <c r="C1907" s="397">
        <v>32</v>
      </c>
    </row>
    <row r="1908" spans="1:3">
      <c r="A1908" s="86" t="s">
        <v>18622</v>
      </c>
      <c r="B1908" s="86" t="s">
        <v>18621</v>
      </c>
      <c r="C1908" s="397">
        <v>63</v>
      </c>
    </row>
    <row r="1909" spans="1:3">
      <c r="A1909" s="86" t="s">
        <v>18620</v>
      </c>
      <c r="B1909" s="86" t="s">
        <v>18619</v>
      </c>
      <c r="C1909" s="397">
        <v>65</v>
      </c>
    </row>
    <row r="1910" spans="1:3">
      <c r="A1910" s="86" t="s">
        <v>18618</v>
      </c>
      <c r="B1910" s="86" t="s">
        <v>18617</v>
      </c>
      <c r="C1910" s="397">
        <v>62</v>
      </c>
    </row>
    <row r="1911" spans="1:3">
      <c r="A1911" s="86" t="s">
        <v>18616</v>
      </c>
      <c r="B1911" s="86" t="s">
        <v>18615</v>
      </c>
      <c r="C1911" s="397">
        <v>26</v>
      </c>
    </row>
    <row r="1912" spans="1:3">
      <c r="A1912" s="86" t="s">
        <v>18614</v>
      </c>
      <c r="B1912" s="86" t="s">
        <v>18613</v>
      </c>
      <c r="C1912" s="397">
        <v>16</v>
      </c>
    </row>
    <row r="1913" spans="1:3">
      <c r="A1913" s="86" t="s">
        <v>18612</v>
      </c>
      <c r="B1913" s="86" t="s">
        <v>18611</v>
      </c>
      <c r="C1913" s="397">
        <v>23</v>
      </c>
    </row>
    <row r="1914" spans="1:3">
      <c r="A1914" s="86" t="s">
        <v>18610</v>
      </c>
      <c r="B1914" s="86" t="s">
        <v>18609</v>
      </c>
      <c r="C1914" s="397">
        <v>27</v>
      </c>
    </row>
    <row r="1915" spans="1:3">
      <c r="A1915" s="86" t="s">
        <v>18608</v>
      </c>
      <c r="B1915" s="86" t="s">
        <v>18607</v>
      </c>
      <c r="C1915" s="397">
        <v>32</v>
      </c>
    </row>
    <row r="1916" spans="1:3">
      <c r="A1916" s="86" t="s">
        <v>18606</v>
      </c>
      <c r="B1916" s="86" t="s">
        <v>18605</v>
      </c>
      <c r="C1916" s="397">
        <v>16</v>
      </c>
    </row>
    <row r="1917" spans="1:3">
      <c r="A1917" s="86" t="s">
        <v>18604</v>
      </c>
      <c r="B1917" s="86" t="s">
        <v>18603</v>
      </c>
      <c r="C1917" s="397">
        <v>23</v>
      </c>
    </row>
    <row r="1918" spans="1:3">
      <c r="A1918" s="86" t="s">
        <v>18602</v>
      </c>
      <c r="B1918" s="86" t="s">
        <v>18601</v>
      </c>
      <c r="C1918" s="397">
        <v>26</v>
      </c>
    </row>
    <row r="1919" spans="1:3">
      <c r="A1919" s="86" t="s">
        <v>18600</v>
      </c>
      <c r="B1919" s="86" t="s">
        <v>18599</v>
      </c>
      <c r="C1919" s="397">
        <v>18</v>
      </c>
    </row>
    <row r="1920" spans="1:3">
      <c r="A1920" s="86" t="s">
        <v>18598</v>
      </c>
      <c r="B1920" s="86" t="s">
        <v>18597</v>
      </c>
      <c r="C1920" s="397">
        <v>16</v>
      </c>
    </row>
    <row r="1921" spans="1:3">
      <c r="A1921" s="86" t="s">
        <v>18596</v>
      </c>
      <c r="B1921" s="86" t="s">
        <v>18595</v>
      </c>
      <c r="C1921" s="397">
        <v>16</v>
      </c>
    </row>
    <row r="1922" spans="1:3">
      <c r="A1922" s="86" t="s">
        <v>18594</v>
      </c>
      <c r="B1922" s="86" t="s">
        <v>18593</v>
      </c>
      <c r="C1922" s="397">
        <v>162</v>
      </c>
    </row>
    <row r="1923" spans="1:3">
      <c r="A1923" s="86" t="s">
        <v>18592</v>
      </c>
      <c r="B1923" s="86" t="s">
        <v>18591</v>
      </c>
      <c r="C1923" s="397">
        <v>32</v>
      </c>
    </row>
    <row r="1924" spans="1:3">
      <c r="A1924" s="86" t="s">
        <v>18590</v>
      </c>
      <c r="B1924" s="86" t="s">
        <v>18589</v>
      </c>
      <c r="C1924" s="397">
        <v>26</v>
      </c>
    </row>
    <row r="1925" spans="1:3">
      <c r="A1925" s="86" t="s">
        <v>18588</v>
      </c>
      <c r="B1925" s="86" t="s">
        <v>18587</v>
      </c>
      <c r="C1925" s="397">
        <v>45</v>
      </c>
    </row>
    <row r="1926" spans="1:3">
      <c r="A1926" s="86" t="s">
        <v>18586</v>
      </c>
      <c r="B1926" s="86" t="s">
        <v>18585</v>
      </c>
      <c r="C1926" s="397">
        <v>93</v>
      </c>
    </row>
    <row r="1927" spans="1:3">
      <c r="A1927" s="86" t="s">
        <v>18584</v>
      </c>
      <c r="B1927" s="86" t="s">
        <v>18583</v>
      </c>
      <c r="C1927" s="397">
        <v>56</v>
      </c>
    </row>
    <row r="1928" spans="1:3">
      <c r="A1928" s="86" t="s">
        <v>18582</v>
      </c>
      <c r="B1928" s="86" t="s">
        <v>18581</v>
      </c>
      <c r="C1928" s="397">
        <v>32</v>
      </c>
    </row>
    <row r="1929" spans="1:3">
      <c r="A1929" s="86" t="s">
        <v>18580</v>
      </c>
      <c r="B1929" s="86" t="s">
        <v>18579</v>
      </c>
      <c r="C1929" s="397">
        <v>32</v>
      </c>
    </row>
    <row r="1930" spans="1:3">
      <c r="A1930" s="86" t="s">
        <v>18578</v>
      </c>
      <c r="B1930" s="86" t="s">
        <v>18577</v>
      </c>
      <c r="C1930" s="397">
        <v>19</v>
      </c>
    </row>
    <row r="1931" spans="1:3">
      <c r="A1931" s="86" t="s">
        <v>18576</v>
      </c>
      <c r="B1931" s="86" t="s">
        <v>18575</v>
      </c>
      <c r="C1931" s="397">
        <v>27</v>
      </c>
    </row>
    <row r="1932" spans="1:3">
      <c r="A1932" s="86" t="s">
        <v>18574</v>
      </c>
      <c r="B1932" s="86" t="s">
        <v>18573</v>
      </c>
      <c r="C1932" s="397">
        <v>428</v>
      </c>
    </row>
    <row r="1933" spans="1:3">
      <c r="A1933" s="86" t="s">
        <v>18572</v>
      </c>
      <c r="B1933" s="86" t="s">
        <v>18571</v>
      </c>
      <c r="C1933" s="397">
        <v>66</v>
      </c>
    </row>
    <row r="1934" spans="1:3">
      <c r="A1934" s="86" t="s">
        <v>18570</v>
      </c>
      <c r="B1934" s="86" t="s">
        <v>18569</v>
      </c>
      <c r="C1934" s="397">
        <v>18</v>
      </c>
    </row>
    <row r="1935" spans="1:3">
      <c r="A1935" s="86" t="s">
        <v>18568</v>
      </c>
      <c r="B1935" s="86" t="s">
        <v>18567</v>
      </c>
      <c r="C1935" s="397">
        <v>24</v>
      </c>
    </row>
    <row r="1936" spans="1:3">
      <c r="A1936" s="86" t="s">
        <v>18566</v>
      </c>
      <c r="B1936" s="86" t="s">
        <v>18565</v>
      </c>
      <c r="C1936" s="397">
        <v>447</v>
      </c>
    </row>
    <row r="1937" spans="1:3">
      <c r="A1937" s="86" t="s">
        <v>18564</v>
      </c>
      <c r="B1937" s="86" t="s">
        <v>18562</v>
      </c>
      <c r="C1937" s="397">
        <v>53</v>
      </c>
    </row>
    <row r="1938" spans="1:3">
      <c r="A1938" s="86" t="s">
        <v>18563</v>
      </c>
      <c r="B1938" s="86" t="s">
        <v>18562</v>
      </c>
      <c r="C1938" s="397">
        <v>36</v>
      </c>
    </row>
    <row r="1939" spans="1:3">
      <c r="A1939" s="86" t="s">
        <v>18561</v>
      </c>
      <c r="B1939" s="86" t="s">
        <v>18560</v>
      </c>
      <c r="C1939" s="397">
        <v>53</v>
      </c>
    </row>
    <row r="1940" spans="1:3">
      <c r="A1940" s="86" t="s">
        <v>18559</v>
      </c>
      <c r="B1940" s="86" t="s">
        <v>18558</v>
      </c>
      <c r="C1940" s="397">
        <v>17</v>
      </c>
    </row>
    <row r="1941" spans="1:3">
      <c r="A1941" s="86" t="s">
        <v>18557</v>
      </c>
      <c r="B1941" s="86" t="s">
        <v>18556</v>
      </c>
      <c r="C1941" s="397">
        <v>16</v>
      </c>
    </row>
    <row r="1942" spans="1:3">
      <c r="A1942" s="86" t="s">
        <v>18555</v>
      </c>
      <c r="B1942" s="86" t="s">
        <v>18554</v>
      </c>
      <c r="C1942" s="397">
        <v>62</v>
      </c>
    </row>
    <row r="1943" spans="1:3">
      <c r="A1943" s="86" t="s">
        <v>18553</v>
      </c>
      <c r="B1943" s="86" t="s">
        <v>18552</v>
      </c>
      <c r="C1943" s="397">
        <v>16</v>
      </c>
    </row>
    <row r="1944" spans="1:3">
      <c r="A1944" s="86" t="s">
        <v>18551</v>
      </c>
      <c r="B1944" s="86" t="s">
        <v>18550</v>
      </c>
      <c r="C1944" s="397">
        <v>16</v>
      </c>
    </row>
    <row r="1945" spans="1:3">
      <c r="A1945" s="86" t="s">
        <v>18549</v>
      </c>
      <c r="B1945" s="86" t="s">
        <v>18548</v>
      </c>
      <c r="C1945" s="397">
        <v>26</v>
      </c>
    </row>
    <row r="1946" spans="1:3">
      <c r="A1946" s="86" t="s">
        <v>18547</v>
      </c>
      <c r="B1946" s="86" t="s">
        <v>18546</v>
      </c>
      <c r="C1946" s="397">
        <v>26</v>
      </c>
    </row>
    <row r="1947" spans="1:3">
      <c r="A1947" s="86" t="s">
        <v>18545</v>
      </c>
      <c r="B1947" s="86" t="s">
        <v>18544</v>
      </c>
      <c r="C1947" s="397">
        <v>32</v>
      </c>
    </row>
    <row r="1948" spans="1:3">
      <c r="A1948" s="86" t="s">
        <v>18543</v>
      </c>
      <c r="B1948" s="86" t="s">
        <v>18542</v>
      </c>
      <c r="C1948" s="397">
        <v>26</v>
      </c>
    </row>
    <row r="1949" spans="1:3">
      <c r="A1949" s="86" t="s">
        <v>18541</v>
      </c>
      <c r="B1949" s="86" t="s">
        <v>18540</v>
      </c>
      <c r="C1949" s="397">
        <v>16</v>
      </c>
    </row>
    <row r="1950" spans="1:3">
      <c r="A1950" s="86" t="s">
        <v>18539</v>
      </c>
      <c r="B1950" s="86" t="s">
        <v>18538</v>
      </c>
      <c r="C1950" s="397">
        <v>32</v>
      </c>
    </row>
    <row r="1951" spans="1:3">
      <c r="A1951" s="86" t="s">
        <v>18537</v>
      </c>
      <c r="B1951" s="86" t="s">
        <v>18536</v>
      </c>
      <c r="C1951" s="397">
        <v>61</v>
      </c>
    </row>
    <row r="1952" spans="1:3">
      <c r="A1952" s="86" t="s">
        <v>18535</v>
      </c>
      <c r="B1952" s="86" t="s">
        <v>18534</v>
      </c>
      <c r="C1952" s="397">
        <v>68</v>
      </c>
    </row>
    <row r="1953" spans="1:3">
      <c r="A1953" s="86" t="s">
        <v>18533</v>
      </c>
      <c r="B1953" s="86" t="s">
        <v>18532</v>
      </c>
      <c r="C1953" s="397">
        <v>53</v>
      </c>
    </row>
    <row r="1954" spans="1:3">
      <c r="A1954" s="86" t="s">
        <v>18531</v>
      </c>
      <c r="B1954" s="86" t="s">
        <v>18530</v>
      </c>
      <c r="C1954" s="397">
        <v>32</v>
      </c>
    </row>
    <row r="1955" spans="1:3">
      <c r="A1955" s="86" t="s">
        <v>18529</v>
      </c>
      <c r="B1955" s="86" t="s">
        <v>18528</v>
      </c>
      <c r="C1955" s="397">
        <v>104</v>
      </c>
    </row>
    <row r="1956" spans="1:3">
      <c r="A1956" s="86" t="s">
        <v>18527</v>
      </c>
      <c r="B1956" s="86" t="s">
        <v>18526</v>
      </c>
      <c r="C1956" s="397">
        <v>16</v>
      </c>
    </row>
    <row r="1957" spans="1:3">
      <c r="A1957" s="86" t="s">
        <v>18525</v>
      </c>
      <c r="B1957" s="86" t="s">
        <v>18524</v>
      </c>
      <c r="C1957" s="397">
        <v>47</v>
      </c>
    </row>
    <row r="1958" spans="1:3">
      <c r="A1958" s="86" t="s">
        <v>18523</v>
      </c>
      <c r="B1958" s="86" t="s">
        <v>16718</v>
      </c>
      <c r="C1958" s="397">
        <v>53</v>
      </c>
    </row>
    <row r="1959" spans="1:3">
      <c r="A1959" s="86" t="s">
        <v>18522</v>
      </c>
      <c r="B1959" s="86" t="s">
        <v>18521</v>
      </c>
      <c r="C1959" s="397">
        <v>59</v>
      </c>
    </row>
    <row r="1960" spans="1:3">
      <c r="A1960" s="86" t="s">
        <v>18520</v>
      </c>
      <c r="B1960" s="86" t="s">
        <v>18519</v>
      </c>
      <c r="C1960" s="397">
        <v>16</v>
      </c>
    </row>
    <row r="1961" spans="1:3">
      <c r="A1961" s="86" t="s">
        <v>18518</v>
      </c>
      <c r="B1961" s="86" t="s">
        <v>18516</v>
      </c>
      <c r="C1961" s="397">
        <v>20</v>
      </c>
    </row>
    <row r="1962" spans="1:3">
      <c r="A1962" s="86" t="s">
        <v>18517</v>
      </c>
      <c r="B1962" s="86" t="s">
        <v>18516</v>
      </c>
      <c r="C1962" s="397">
        <v>53</v>
      </c>
    </row>
    <row r="1963" spans="1:3">
      <c r="A1963" s="86" t="s">
        <v>18515</v>
      </c>
      <c r="B1963" s="86" t="s">
        <v>18512</v>
      </c>
      <c r="C1963" s="397">
        <v>53</v>
      </c>
    </row>
    <row r="1964" spans="1:3">
      <c r="A1964" s="86" t="s">
        <v>18514</v>
      </c>
      <c r="B1964" s="86" t="s">
        <v>18512</v>
      </c>
      <c r="C1964" s="397">
        <v>16</v>
      </c>
    </row>
    <row r="1965" spans="1:3">
      <c r="A1965" s="86" t="s">
        <v>18513</v>
      </c>
      <c r="B1965" s="86" t="s">
        <v>18512</v>
      </c>
      <c r="C1965" s="397">
        <v>61</v>
      </c>
    </row>
    <row r="1966" spans="1:3">
      <c r="A1966" s="86" t="s">
        <v>18511</v>
      </c>
      <c r="B1966" s="86" t="s">
        <v>18510</v>
      </c>
      <c r="C1966" s="397">
        <v>47</v>
      </c>
    </row>
    <row r="1967" spans="1:3">
      <c r="A1967" s="86" t="s">
        <v>18509</v>
      </c>
      <c r="B1967" s="86" t="s">
        <v>18478</v>
      </c>
      <c r="C1967" s="397">
        <v>47</v>
      </c>
    </row>
    <row r="1968" spans="1:3">
      <c r="A1968" s="86" t="s">
        <v>18508</v>
      </c>
      <c r="B1968" s="86" t="s">
        <v>18478</v>
      </c>
      <c r="C1968" s="397">
        <v>53</v>
      </c>
    </row>
    <row r="1969" spans="1:3">
      <c r="A1969" s="86" t="s">
        <v>18507</v>
      </c>
      <c r="B1969" s="86" t="s">
        <v>18478</v>
      </c>
      <c r="C1969" s="397">
        <v>61</v>
      </c>
    </row>
    <row r="1970" spans="1:3">
      <c r="A1970" s="86" t="s">
        <v>18506</v>
      </c>
      <c r="B1970" s="86" t="s">
        <v>18505</v>
      </c>
      <c r="C1970" s="397">
        <v>16</v>
      </c>
    </row>
    <row r="1971" spans="1:3">
      <c r="A1971" s="86" t="s">
        <v>18504</v>
      </c>
      <c r="B1971" s="86" t="s">
        <v>18502</v>
      </c>
      <c r="C1971" s="397">
        <v>16</v>
      </c>
    </row>
    <row r="1972" spans="1:3">
      <c r="A1972" s="86" t="s">
        <v>18503</v>
      </c>
      <c r="B1972" s="86" t="s">
        <v>18502</v>
      </c>
      <c r="C1972" s="397">
        <v>47</v>
      </c>
    </row>
    <row r="1973" spans="1:3">
      <c r="A1973" s="86" t="s">
        <v>18501</v>
      </c>
      <c r="B1973" s="86" t="s">
        <v>18500</v>
      </c>
      <c r="C1973" s="397">
        <v>16</v>
      </c>
    </row>
    <row r="1974" spans="1:3">
      <c r="A1974" s="86" t="s">
        <v>18499</v>
      </c>
      <c r="B1974" s="86" t="s">
        <v>18498</v>
      </c>
      <c r="C1974" s="397">
        <v>16</v>
      </c>
    </row>
    <row r="1975" spans="1:3">
      <c r="A1975" s="86" t="s">
        <v>18497</v>
      </c>
      <c r="B1975" s="86" t="s">
        <v>18496</v>
      </c>
      <c r="C1975" s="397">
        <v>32</v>
      </c>
    </row>
    <row r="1976" spans="1:3">
      <c r="A1976" s="86" t="s">
        <v>18495</v>
      </c>
      <c r="B1976" s="86" t="s">
        <v>18494</v>
      </c>
      <c r="C1976" s="397">
        <v>16</v>
      </c>
    </row>
    <row r="1977" spans="1:3">
      <c r="A1977" s="86" t="s">
        <v>18493</v>
      </c>
      <c r="B1977" s="86" t="s">
        <v>18492</v>
      </c>
      <c r="C1977" s="397">
        <v>53</v>
      </c>
    </row>
    <row r="1978" spans="1:3">
      <c r="A1978" s="86" t="s">
        <v>18491</v>
      </c>
      <c r="B1978" s="86" t="s">
        <v>18490</v>
      </c>
      <c r="C1978" s="397">
        <v>53</v>
      </c>
    </row>
    <row r="1979" spans="1:3">
      <c r="A1979" s="86" t="s">
        <v>18489</v>
      </c>
      <c r="B1979" s="86" t="s">
        <v>18488</v>
      </c>
      <c r="C1979" s="397">
        <v>53</v>
      </c>
    </row>
    <row r="1980" spans="1:3">
      <c r="A1980" s="86" t="s">
        <v>18487</v>
      </c>
      <c r="B1980" s="86" t="s">
        <v>18486</v>
      </c>
      <c r="C1980" s="397">
        <v>16</v>
      </c>
    </row>
    <row r="1981" spans="1:3">
      <c r="A1981" s="86" t="s">
        <v>18485</v>
      </c>
      <c r="B1981" s="86" t="s">
        <v>18484</v>
      </c>
      <c r="C1981" s="397">
        <v>16</v>
      </c>
    </row>
    <row r="1982" spans="1:3">
      <c r="A1982" s="86" t="s">
        <v>18483</v>
      </c>
      <c r="B1982" s="86" t="s">
        <v>18482</v>
      </c>
      <c r="C1982" s="397">
        <v>54</v>
      </c>
    </row>
    <row r="1983" spans="1:3">
      <c r="A1983" s="86" t="s">
        <v>18481</v>
      </c>
      <c r="B1983" s="86" t="s">
        <v>18480</v>
      </c>
      <c r="C1983" s="397">
        <v>53</v>
      </c>
    </row>
    <row r="1984" spans="1:3">
      <c r="A1984" s="86" t="s">
        <v>18479</v>
      </c>
      <c r="B1984" s="86" t="s">
        <v>18478</v>
      </c>
      <c r="C1984" s="397">
        <v>47</v>
      </c>
    </row>
    <row r="1985" spans="1:3">
      <c r="A1985" s="86" t="s">
        <v>18477</v>
      </c>
      <c r="B1985" s="86" t="s">
        <v>18476</v>
      </c>
      <c r="C1985" s="397">
        <v>16</v>
      </c>
    </row>
    <row r="1986" spans="1:3">
      <c r="A1986" s="86" t="s">
        <v>18475</v>
      </c>
      <c r="B1986" s="86" t="s">
        <v>18474</v>
      </c>
      <c r="C1986" s="397">
        <v>53</v>
      </c>
    </row>
    <row r="1987" spans="1:3">
      <c r="A1987" s="86" t="s">
        <v>18473</v>
      </c>
      <c r="B1987" s="86" t="s">
        <v>18472</v>
      </c>
      <c r="C1987" s="397">
        <v>101</v>
      </c>
    </row>
    <row r="1988" spans="1:3">
      <c r="A1988" s="86" t="s">
        <v>18471</v>
      </c>
      <c r="B1988" s="86" t="s">
        <v>18470</v>
      </c>
      <c r="C1988" s="397">
        <v>53</v>
      </c>
    </row>
    <row r="1989" spans="1:3">
      <c r="A1989" s="86" t="s">
        <v>18469</v>
      </c>
      <c r="B1989" s="86" t="s">
        <v>18468</v>
      </c>
      <c r="C1989" s="397">
        <v>16</v>
      </c>
    </row>
    <row r="1990" spans="1:3">
      <c r="A1990" s="86" t="s">
        <v>18467</v>
      </c>
      <c r="B1990" s="86" t="s">
        <v>18466</v>
      </c>
      <c r="C1990" s="397">
        <v>53</v>
      </c>
    </row>
    <row r="1991" spans="1:3">
      <c r="A1991" s="86" t="s">
        <v>18465</v>
      </c>
      <c r="B1991" s="86" t="s">
        <v>18464</v>
      </c>
      <c r="C1991" s="397">
        <v>62</v>
      </c>
    </row>
    <row r="1992" spans="1:3">
      <c r="A1992" s="86" t="s">
        <v>18463</v>
      </c>
      <c r="B1992" s="86" t="s">
        <v>18462</v>
      </c>
      <c r="C1992" s="397">
        <v>61</v>
      </c>
    </row>
    <row r="1993" spans="1:3">
      <c r="A1993" s="86" t="s">
        <v>18461</v>
      </c>
      <c r="B1993" s="86" t="s">
        <v>18460</v>
      </c>
      <c r="C1993" s="397">
        <v>16</v>
      </c>
    </row>
    <row r="1994" spans="1:3">
      <c r="A1994" s="86" t="s">
        <v>18459</v>
      </c>
      <c r="B1994" s="86" t="s">
        <v>18458</v>
      </c>
      <c r="C1994" s="397">
        <v>16</v>
      </c>
    </row>
    <row r="1995" spans="1:3">
      <c r="A1995" s="86" t="s">
        <v>18457</v>
      </c>
      <c r="B1995" s="86" t="s">
        <v>18456</v>
      </c>
      <c r="C1995" s="397">
        <v>51</v>
      </c>
    </row>
    <row r="1996" spans="1:3">
      <c r="A1996" s="86" t="s">
        <v>18455</v>
      </c>
      <c r="B1996" s="86" t="s">
        <v>18454</v>
      </c>
      <c r="C1996" s="397">
        <v>16</v>
      </c>
    </row>
    <row r="1997" spans="1:3">
      <c r="A1997" s="86" t="s">
        <v>18453</v>
      </c>
      <c r="B1997" s="86" t="s">
        <v>18452</v>
      </c>
      <c r="C1997" s="397">
        <v>16</v>
      </c>
    </row>
    <row r="1998" spans="1:3">
      <c r="A1998" s="86" t="s">
        <v>18451</v>
      </c>
      <c r="B1998" s="86" t="s">
        <v>18450</v>
      </c>
      <c r="C1998" s="397">
        <v>27</v>
      </c>
    </row>
    <row r="1999" spans="1:3">
      <c r="A1999" s="86" t="s">
        <v>18449</v>
      </c>
      <c r="B1999" s="86" t="s">
        <v>18448</v>
      </c>
      <c r="C1999" s="397">
        <v>63</v>
      </c>
    </row>
    <row r="2000" spans="1:3">
      <c r="A2000" s="86" t="s">
        <v>18447</v>
      </c>
      <c r="B2000" s="86" t="s">
        <v>18446</v>
      </c>
      <c r="C2000" s="397">
        <v>16</v>
      </c>
    </row>
    <row r="2001" spans="1:3">
      <c r="A2001" s="86" t="s">
        <v>18445</v>
      </c>
      <c r="B2001" s="86" t="s">
        <v>18444</v>
      </c>
      <c r="C2001" s="397">
        <v>53</v>
      </c>
    </row>
    <row r="2002" spans="1:3">
      <c r="A2002" s="86" t="s">
        <v>18443</v>
      </c>
      <c r="B2002" s="86" t="s">
        <v>18442</v>
      </c>
      <c r="C2002" s="397">
        <v>26</v>
      </c>
    </row>
    <row r="2003" spans="1:3">
      <c r="A2003" s="86" t="s">
        <v>18441</v>
      </c>
      <c r="B2003" s="86" t="s">
        <v>18440</v>
      </c>
      <c r="C2003" s="397">
        <v>53</v>
      </c>
    </row>
    <row r="2004" spans="1:3">
      <c r="A2004" s="86" t="s">
        <v>18439</v>
      </c>
      <c r="B2004" s="86" t="s">
        <v>18437</v>
      </c>
      <c r="C2004" s="397">
        <v>20</v>
      </c>
    </row>
    <row r="2005" spans="1:3">
      <c r="A2005" s="86" t="s">
        <v>18438</v>
      </c>
      <c r="B2005" s="86" t="s">
        <v>18437</v>
      </c>
      <c r="C2005" s="397">
        <v>20</v>
      </c>
    </row>
    <row r="2006" spans="1:3">
      <c r="A2006" s="86" t="s">
        <v>18436</v>
      </c>
      <c r="B2006" s="86" t="s">
        <v>18435</v>
      </c>
      <c r="C2006" s="397">
        <v>40</v>
      </c>
    </row>
    <row r="2007" spans="1:3">
      <c r="A2007" s="86" t="s">
        <v>18434</v>
      </c>
      <c r="B2007" s="86" t="s">
        <v>18433</v>
      </c>
      <c r="C2007" s="397">
        <v>17</v>
      </c>
    </row>
    <row r="2008" spans="1:3">
      <c r="A2008" s="86" t="s">
        <v>18432</v>
      </c>
      <c r="B2008" s="86" t="s">
        <v>18431</v>
      </c>
      <c r="C2008" s="397">
        <v>20</v>
      </c>
    </row>
    <row r="2009" spans="1:3">
      <c r="A2009" s="86" t="s">
        <v>18430</v>
      </c>
      <c r="B2009" s="86" t="s">
        <v>18429</v>
      </c>
      <c r="C2009" s="397">
        <v>16</v>
      </c>
    </row>
    <row r="2010" spans="1:3">
      <c r="A2010" s="86" t="s">
        <v>18428</v>
      </c>
      <c r="B2010" s="86" t="s">
        <v>18427</v>
      </c>
      <c r="C2010" s="397">
        <v>34</v>
      </c>
    </row>
    <row r="2011" spans="1:3">
      <c r="A2011" s="86" t="s">
        <v>18426</v>
      </c>
      <c r="B2011" s="86" t="s">
        <v>18425</v>
      </c>
      <c r="C2011" s="397">
        <v>34</v>
      </c>
    </row>
    <row r="2012" spans="1:3">
      <c r="A2012" s="86" t="s">
        <v>18424</v>
      </c>
      <c r="B2012" s="86" t="s">
        <v>18423</v>
      </c>
      <c r="C2012" s="397">
        <v>16</v>
      </c>
    </row>
    <row r="2013" spans="1:3">
      <c r="A2013" s="86" t="s">
        <v>18422</v>
      </c>
      <c r="B2013" s="86" t="s">
        <v>18421</v>
      </c>
      <c r="C2013" s="397">
        <v>61</v>
      </c>
    </row>
    <row r="2014" spans="1:3">
      <c r="A2014" s="86" t="s">
        <v>18420</v>
      </c>
      <c r="B2014" s="86" t="s">
        <v>18419</v>
      </c>
      <c r="C2014" s="397">
        <v>61</v>
      </c>
    </row>
    <row r="2015" spans="1:3">
      <c r="A2015" s="86" t="s">
        <v>18418</v>
      </c>
      <c r="B2015" s="86" t="s">
        <v>18417</v>
      </c>
      <c r="C2015" s="397">
        <v>61</v>
      </c>
    </row>
    <row r="2016" spans="1:3">
      <c r="A2016" s="86" t="s">
        <v>18416</v>
      </c>
      <c r="B2016" s="86" t="s">
        <v>18415</v>
      </c>
      <c r="C2016" s="397">
        <v>20</v>
      </c>
    </row>
    <row r="2017" spans="1:3">
      <c r="A2017" s="86" t="s">
        <v>18414</v>
      </c>
      <c r="B2017" s="86" t="s">
        <v>18413</v>
      </c>
      <c r="C2017" s="397">
        <v>27</v>
      </c>
    </row>
    <row r="2018" spans="1:3">
      <c r="A2018" s="86" t="s">
        <v>18412</v>
      </c>
      <c r="B2018" s="86" t="s">
        <v>18410</v>
      </c>
      <c r="C2018" s="397">
        <v>52</v>
      </c>
    </row>
    <row r="2019" spans="1:3">
      <c r="A2019" s="86" t="s">
        <v>18411</v>
      </c>
      <c r="B2019" s="86" t="s">
        <v>18410</v>
      </c>
      <c r="C2019" s="397">
        <v>16</v>
      </c>
    </row>
    <row r="2020" spans="1:3">
      <c r="A2020" s="86" t="s">
        <v>18409</v>
      </c>
      <c r="B2020" s="86" t="s">
        <v>18408</v>
      </c>
      <c r="C2020" s="397">
        <v>16</v>
      </c>
    </row>
    <row r="2021" spans="1:3">
      <c r="A2021" s="86" t="s">
        <v>18407</v>
      </c>
      <c r="B2021" s="86" t="s">
        <v>18406</v>
      </c>
      <c r="C2021" s="397">
        <v>118</v>
      </c>
    </row>
    <row r="2022" spans="1:3">
      <c r="A2022" s="86" t="s">
        <v>18405</v>
      </c>
      <c r="B2022" s="86" t="s">
        <v>18404</v>
      </c>
      <c r="C2022" s="397">
        <v>52</v>
      </c>
    </row>
    <row r="2023" spans="1:3">
      <c r="A2023" s="86" t="s">
        <v>18403</v>
      </c>
      <c r="B2023" s="86" t="s">
        <v>18402</v>
      </c>
      <c r="C2023" s="397">
        <v>19</v>
      </c>
    </row>
    <row r="2024" spans="1:3">
      <c r="A2024" s="86" t="s">
        <v>18401</v>
      </c>
      <c r="B2024" s="86" t="s">
        <v>18400</v>
      </c>
      <c r="C2024" s="397">
        <v>20</v>
      </c>
    </row>
    <row r="2025" spans="1:3">
      <c r="A2025" s="86" t="s">
        <v>18399</v>
      </c>
      <c r="B2025" s="86" t="s">
        <v>18398</v>
      </c>
      <c r="C2025" s="397">
        <v>20</v>
      </c>
    </row>
    <row r="2026" spans="1:3">
      <c r="A2026" s="86" t="s">
        <v>18397</v>
      </c>
      <c r="B2026" s="86" t="s">
        <v>18396</v>
      </c>
      <c r="C2026" s="397">
        <v>16</v>
      </c>
    </row>
    <row r="2027" spans="1:3">
      <c r="A2027" s="86" t="s">
        <v>18395</v>
      </c>
      <c r="B2027" s="86" t="s">
        <v>18394</v>
      </c>
      <c r="C2027" s="397">
        <v>16</v>
      </c>
    </row>
    <row r="2028" spans="1:3">
      <c r="A2028" s="86" t="s">
        <v>18393</v>
      </c>
      <c r="B2028" s="86" t="s">
        <v>18392</v>
      </c>
      <c r="C2028" s="397">
        <v>16</v>
      </c>
    </row>
    <row r="2029" spans="1:3">
      <c r="A2029" s="86" t="s">
        <v>18391</v>
      </c>
      <c r="B2029" s="86" t="s">
        <v>18390</v>
      </c>
      <c r="C2029" s="397">
        <v>23</v>
      </c>
    </row>
    <row r="2030" spans="1:3">
      <c r="A2030" s="86" t="s">
        <v>18389</v>
      </c>
      <c r="B2030" s="86" t="s">
        <v>18388</v>
      </c>
      <c r="C2030" s="397">
        <v>59</v>
      </c>
    </row>
    <row r="2031" spans="1:3">
      <c r="A2031" s="86" t="s">
        <v>18387</v>
      </c>
      <c r="B2031" s="86" t="s">
        <v>18386</v>
      </c>
      <c r="C2031" s="397">
        <v>61</v>
      </c>
    </row>
    <row r="2032" spans="1:3">
      <c r="A2032" s="86" t="s">
        <v>18385</v>
      </c>
      <c r="B2032" s="86" t="s">
        <v>18384</v>
      </c>
      <c r="C2032" s="397">
        <v>26</v>
      </c>
    </row>
    <row r="2033" spans="1:3">
      <c r="A2033" s="86" t="s">
        <v>18383</v>
      </c>
      <c r="B2033" s="86" t="s">
        <v>18382</v>
      </c>
      <c r="C2033" s="397">
        <v>59</v>
      </c>
    </row>
    <row r="2034" spans="1:3">
      <c r="A2034" s="86" t="s">
        <v>18381</v>
      </c>
      <c r="B2034" s="86" t="s">
        <v>18380</v>
      </c>
      <c r="C2034" s="397">
        <v>16</v>
      </c>
    </row>
    <row r="2035" spans="1:3">
      <c r="A2035" s="86" t="s">
        <v>18379</v>
      </c>
      <c r="B2035" s="86" t="s">
        <v>18378</v>
      </c>
      <c r="C2035" s="397">
        <v>16</v>
      </c>
    </row>
    <row r="2036" spans="1:3">
      <c r="A2036" s="86" t="s">
        <v>18377</v>
      </c>
      <c r="B2036" s="86" t="s">
        <v>18376</v>
      </c>
      <c r="C2036" s="397">
        <v>20</v>
      </c>
    </row>
    <row r="2037" spans="1:3">
      <c r="A2037" s="86" t="s">
        <v>18375</v>
      </c>
      <c r="B2037" s="86" t="s">
        <v>18374</v>
      </c>
      <c r="C2037" s="397">
        <v>16</v>
      </c>
    </row>
    <row r="2038" spans="1:3">
      <c r="A2038" s="86" t="s">
        <v>18373</v>
      </c>
      <c r="B2038" s="86" t="s">
        <v>18372</v>
      </c>
      <c r="C2038" s="397">
        <v>16</v>
      </c>
    </row>
    <row r="2039" spans="1:3">
      <c r="A2039" s="86" t="s">
        <v>18371</v>
      </c>
      <c r="B2039" s="86" t="s">
        <v>18370</v>
      </c>
      <c r="C2039" s="397">
        <v>53</v>
      </c>
    </row>
    <row r="2040" spans="1:3">
      <c r="A2040" s="86" t="s">
        <v>18369</v>
      </c>
      <c r="B2040" s="86" t="s">
        <v>18368</v>
      </c>
      <c r="C2040" s="397">
        <v>53</v>
      </c>
    </row>
    <row r="2041" spans="1:3">
      <c r="A2041" s="86" t="s">
        <v>18367</v>
      </c>
      <c r="B2041" s="86" t="s">
        <v>18366</v>
      </c>
      <c r="C2041" s="397">
        <v>61</v>
      </c>
    </row>
    <row r="2042" spans="1:3">
      <c r="A2042" s="86" t="s">
        <v>18365</v>
      </c>
      <c r="B2042" s="86" t="s">
        <v>18364</v>
      </c>
      <c r="C2042" s="397">
        <v>16</v>
      </c>
    </row>
    <row r="2043" spans="1:3">
      <c r="A2043" s="86" t="s">
        <v>18363</v>
      </c>
      <c r="B2043" s="86" t="s">
        <v>18362</v>
      </c>
      <c r="C2043" s="397">
        <v>20</v>
      </c>
    </row>
    <row r="2044" spans="1:3">
      <c r="A2044" s="86" t="s">
        <v>18361</v>
      </c>
      <c r="B2044" s="86" t="s">
        <v>18360</v>
      </c>
      <c r="C2044" s="397">
        <v>16</v>
      </c>
    </row>
    <row r="2045" spans="1:3">
      <c r="A2045" s="86" t="s">
        <v>18359</v>
      </c>
      <c r="B2045" s="86" t="s">
        <v>18358</v>
      </c>
      <c r="C2045" s="397">
        <v>16</v>
      </c>
    </row>
    <row r="2046" spans="1:3">
      <c r="A2046" s="86" t="s">
        <v>18357</v>
      </c>
      <c r="B2046" s="86" t="s">
        <v>18356</v>
      </c>
      <c r="C2046" s="397">
        <v>53</v>
      </c>
    </row>
    <row r="2047" spans="1:3">
      <c r="A2047" s="86" t="s">
        <v>18355</v>
      </c>
      <c r="B2047" s="86" t="s">
        <v>18354</v>
      </c>
      <c r="C2047" s="397">
        <v>23</v>
      </c>
    </row>
    <row r="2048" spans="1:3">
      <c r="A2048" s="86" t="s">
        <v>18353</v>
      </c>
      <c r="B2048" s="86" t="s">
        <v>18352</v>
      </c>
      <c r="C2048" s="397">
        <v>16</v>
      </c>
    </row>
    <row r="2049" spans="1:3">
      <c r="A2049" s="86" t="s">
        <v>18351</v>
      </c>
      <c r="B2049" s="86" t="s">
        <v>18350</v>
      </c>
      <c r="C2049" s="397">
        <v>27</v>
      </c>
    </row>
    <row r="2050" spans="1:3">
      <c r="A2050" s="86" t="s">
        <v>18349</v>
      </c>
      <c r="B2050" s="86" t="s">
        <v>18348</v>
      </c>
      <c r="C2050" s="397">
        <v>51</v>
      </c>
    </row>
    <row r="2051" spans="1:3">
      <c r="A2051" s="86" t="s">
        <v>18347</v>
      </c>
      <c r="B2051" s="86" t="s">
        <v>18346</v>
      </c>
      <c r="C2051" s="397">
        <v>53</v>
      </c>
    </row>
    <row r="2052" spans="1:3">
      <c r="A2052" s="86" t="s">
        <v>18345</v>
      </c>
      <c r="B2052" s="86" t="s">
        <v>18344</v>
      </c>
      <c r="C2052" s="397">
        <v>61</v>
      </c>
    </row>
    <row r="2053" spans="1:3">
      <c r="A2053" s="86" t="s">
        <v>18343</v>
      </c>
      <c r="B2053" s="86" t="s">
        <v>18342</v>
      </c>
      <c r="C2053" s="397">
        <v>53</v>
      </c>
    </row>
    <row r="2054" spans="1:3">
      <c r="A2054" s="86" t="s">
        <v>18341</v>
      </c>
      <c r="B2054" s="86" t="s">
        <v>18340</v>
      </c>
      <c r="C2054" s="397">
        <v>61</v>
      </c>
    </row>
    <row r="2055" spans="1:3">
      <c r="A2055" s="86" t="s">
        <v>18339</v>
      </c>
      <c r="B2055" s="86" t="s">
        <v>18338</v>
      </c>
      <c r="C2055" s="397">
        <v>19</v>
      </c>
    </row>
    <row r="2056" spans="1:3">
      <c r="A2056" s="86" t="s">
        <v>18337</v>
      </c>
      <c r="B2056" s="86" t="s">
        <v>18336</v>
      </c>
      <c r="C2056" s="397">
        <v>27</v>
      </c>
    </row>
    <row r="2057" spans="1:3">
      <c r="A2057" s="86" t="s">
        <v>18335</v>
      </c>
      <c r="B2057" s="86" t="s">
        <v>18334</v>
      </c>
      <c r="C2057" s="397">
        <v>16</v>
      </c>
    </row>
    <row r="2058" spans="1:3">
      <c r="A2058" s="86" t="s">
        <v>18333</v>
      </c>
      <c r="B2058" s="86" t="s">
        <v>18332</v>
      </c>
      <c r="C2058" s="397">
        <v>16</v>
      </c>
    </row>
    <row r="2059" spans="1:3">
      <c r="A2059" s="86" t="s">
        <v>18331</v>
      </c>
      <c r="B2059" s="86" t="s">
        <v>18330</v>
      </c>
      <c r="C2059" s="397">
        <v>31</v>
      </c>
    </row>
    <row r="2060" spans="1:3">
      <c r="A2060" s="86" t="s">
        <v>18329</v>
      </c>
      <c r="B2060" s="86" t="s">
        <v>18328</v>
      </c>
      <c r="C2060" s="397">
        <v>27</v>
      </c>
    </row>
    <row r="2061" spans="1:3">
      <c r="A2061" s="86" t="s">
        <v>18327</v>
      </c>
      <c r="B2061" s="86" t="s">
        <v>18326</v>
      </c>
      <c r="C2061" s="397">
        <v>53</v>
      </c>
    </row>
    <row r="2062" spans="1:3">
      <c r="A2062" s="86" t="s">
        <v>18325</v>
      </c>
      <c r="B2062" s="86" t="s">
        <v>18324</v>
      </c>
      <c r="C2062" s="397">
        <v>16</v>
      </c>
    </row>
    <row r="2063" spans="1:3">
      <c r="A2063" s="86" t="s">
        <v>18323</v>
      </c>
      <c r="B2063" s="86" t="s">
        <v>18322</v>
      </c>
      <c r="C2063" s="397">
        <v>16</v>
      </c>
    </row>
    <row r="2064" spans="1:3">
      <c r="A2064" s="86" t="s">
        <v>18321</v>
      </c>
      <c r="B2064" s="86" t="s">
        <v>18320</v>
      </c>
      <c r="C2064" s="397">
        <v>47</v>
      </c>
    </row>
    <row r="2065" spans="1:3">
      <c r="A2065" s="86" t="s">
        <v>18319</v>
      </c>
      <c r="B2065" s="86" t="s">
        <v>18318</v>
      </c>
      <c r="C2065" s="397">
        <v>16</v>
      </c>
    </row>
    <row r="2066" spans="1:3">
      <c r="A2066" s="86" t="s">
        <v>18317</v>
      </c>
      <c r="B2066" s="86" t="s">
        <v>18316</v>
      </c>
      <c r="C2066" s="397">
        <v>16</v>
      </c>
    </row>
    <row r="2067" spans="1:3">
      <c r="A2067" s="86" t="s">
        <v>18315</v>
      </c>
      <c r="B2067" s="86" t="s">
        <v>18314</v>
      </c>
      <c r="C2067" s="397">
        <v>16</v>
      </c>
    </row>
    <row r="2068" spans="1:3">
      <c r="A2068" s="86" t="s">
        <v>18313</v>
      </c>
      <c r="B2068" s="86" t="s">
        <v>18312</v>
      </c>
      <c r="C2068" s="397">
        <v>20</v>
      </c>
    </row>
    <row r="2069" spans="1:3">
      <c r="A2069" s="86" t="s">
        <v>18311</v>
      </c>
      <c r="B2069" s="86" t="s">
        <v>18310</v>
      </c>
      <c r="C2069" s="397">
        <v>28</v>
      </c>
    </row>
    <row r="2070" spans="1:3">
      <c r="A2070" s="86" t="s">
        <v>18309</v>
      </c>
      <c r="B2070" s="86" t="s">
        <v>18308</v>
      </c>
      <c r="C2070" s="397">
        <v>16</v>
      </c>
    </row>
    <row r="2071" spans="1:3">
      <c r="A2071" s="86" t="s">
        <v>18307</v>
      </c>
      <c r="B2071" s="86" t="s">
        <v>18306</v>
      </c>
      <c r="C2071" s="397">
        <v>16</v>
      </c>
    </row>
    <row r="2072" spans="1:3">
      <c r="A2072" s="86" t="s">
        <v>18305</v>
      </c>
      <c r="B2072" s="86" t="s">
        <v>18304</v>
      </c>
      <c r="C2072" s="397">
        <v>52</v>
      </c>
    </row>
    <row r="2073" spans="1:3">
      <c r="A2073" s="86" t="s">
        <v>18303</v>
      </c>
      <c r="B2073" s="86" t="s">
        <v>18302</v>
      </c>
      <c r="C2073" s="397">
        <v>16</v>
      </c>
    </row>
    <row r="2074" spans="1:3">
      <c r="A2074" s="86" t="s">
        <v>18301</v>
      </c>
      <c r="B2074" s="86" t="s">
        <v>18300</v>
      </c>
      <c r="C2074" s="397">
        <v>52</v>
      </c>
    </row>
    <row r="2075" spans="1:3">
      <c r="A2075" s="86" t="s">
        <v>18299</v>
      </c>
      <c r="B2075" s="86" t="s">
        <v>18298</v>
      </c>
      <c r="C2075" s="397">
        <v>53</v>
      </c>
    </row>
    <row r="2076" spans="1:3">
      <c r="A2076" s="86" t="s">
        <v>18297</v>
      </c>
      <c r="B2076" s="86" t="s">
        <v>18296</v>
      </c>
      <c r="C2076" s="397">
        <v>16</v>
      </c>
    </row>
    <row r="2077" spans="1:3">
      <c r="A2077" s="86" t="s">
        <v>18295</v>
      </c>
      <c r="B2077" s="86" t="s">
        <v>18294</v>
      </c>
      <c r="C2077" s="397">
        <v>16</v>
      </c>
    </row>
    <row r="2078" spans="1:3">
      <c r="A2078" s="86" t="s">
        <v>18293</v>
      </c>
      <c r="B2078" s="86" t="s">
        <v>18292</v>
      </c>
      <c r="C2078" s="397">
        <v>19</v>
      </c>
    </row>
    <row r="2079" spans="1:3">
      <c r="A2079" s="86" t="s">
        <v>18291</v>
      </c>
      <c r="B2079" s="86" t="s">
        <v>18290</v>
      </c>
      <c r="C2079" s="397">
        <v>19</v>
      </c>
    </row>
    <row r="2080" spans="1:3">
      <c r="A2080" s="86" t="s">
        <v>18289</v>
      </c>
      <c r="B2080" s="86" t="s">
        <v>18288</v>
      </c>
      <c r="C2080" s="397">
        <v>62</v>
      </c>
    </row>
    <row r="2081" spans="1:3">
      <c r="A2081" s="86" t="s">
        <v>18287</v>
      </c>
      <c r="B2081" s="86" t="s">
        <v>18286</v>
      </c>
      <c r="C2081" s="397">
        <v>139</v>
      </c>
    </row>
    <row r="2082" spans="1:3">
      <c r="A2082" s="86" t="s">
        <v>18285</v>
      </c>
      <c r="B2082" s="86" t="s">
        <v>18284</v>
      </c>
      <c r="C2082" s="397">
        <v>174</v>
      </c>
    </row>
    <row r="2083" spans="1:3">
      <c r="A2083" s="86" t="s">
        <v>18283</v>
      </c>
      <c r="B2083" s="86" t="s">
        <v>18282</v>
      </c>
      <c r="C2083" s="397">
        <v>79</v>
      </c>
    </row>
    <row r="2084" spans="1:3">
      <c r="A2084" s="86" t="s">
        <v>18281</v>
      </c>
      <c r="B2084" s="86" t="s">
        <v>18280</v>
      </c>
      <c r="C2084" s="397">
        <v>26</v>
      </c>
    </row>
    <row r="2085" spans="1:3">
      <c r="A2085" s="86" t="s">
        <v>18279</v>
      </c>
      <c r="B2085" s="86" t="s">
        <v>18278</v>
      </c>
      <c r="C2085" s="397">
        <v>32</v>
      </c>
    </row>
    <row r="2086" spans="1:3">
      <c r="A2086" s="86" t="s">
        <v>18277</v>
      </c>
      <c r="B2086" s="86" t="s">
        <v>18276</v>
      </c>
      <c r="C2086" s="397">
        <v>29</v>
      </c>
    </row>
    <row r="2087" spans="1:3">
      <c r="A2087" s="86" t="s">
        <v>18275</v>
      </c>
      <c r="B2087" s="86" t="s">
        <v>18274</v>
      </c>
      <c r="C2087" s="397">
        <v>25</v>
      </c>
    </row>
    <row r="2088" spans="1:3">
      <c r="A2088" s="86" t="s">
        <v>18273</v>
      </c>
      <c r="B2088" s="86" t="s">
        <v>18272</v>
      </c>
      <c r="C2088" s="397">
        <v>25</v>
      </c>
    </row>
    <row r="2089" spans="1:3">
      <c r="A2089" s="86" t="s">
        <v>18271</v>
      </c>
      <c r="B2089" s="86" t="s">
        <v>18270</v>
      </c>
      <c r="C2089" s="397">
        <v>68</v>
      </c>
    </row>
    <row r="2090" spans="1:3">
      <c r="A2090" s="86" t="s">
        <v>18269</v>
      </c>
      <c r="B2090" s="86" t="s">
        <v>18268</v>
      </c>
      <c r="C2090" s="397">
        <v>34</v>
      </c>
    </row>
    <row r="2091" spans="1:3">
      <c r="A2091" s="86" t="s">
        <v>18267</v>
      </c>
      <c r="B2091" s="86" t="s">
        <v>18266</v>
      </c>
      <c r="C2091" s="397">
        <v>70</v>
      </c>
    </row>
    <row r="2092" spans="1:3">
      <c r="A2092" s="86" t="s">
        <v>18265</v>
      </c>
      <c r="B2092" s="86" t="s">
        <v>18264</v>
      </c>
      <c r="C2092" s="397">
        <v>30</v>
      </c>
    </row>
    <row r="2093" spans="1:3">
      <c r="A2093" s="86" t="s">
        <v>18263</v>
      </c>
      <c r="B2093" s="86" t="s">
        <v>18262</v>
      </c>
      <c r="C2093" s="397">
        <v>76</v>
      </c>
    </row>
    <row r="2094" spans="1:3">
      <c r="A2094" s="86" t="s">
        <v>18261</v>
      </c>
      <c r="B2094" s="86" t="s">
        <v>18260</v>
      </c>
      <c r="C2094" s="397">
        <v>275</v>
      </c>
    </row>
    <row r="2095" spans="1:3">
      <c r="A2095" s="86" t="s">
        <v>18259</v>
      </c>
      <c r="B2095" s="86" t="s">
        <v>18258</v>
      </c>
      <c r="C2095" s="397">
        <v>66</v>
      </c>
    </row>
    <row r="2096" spans="1:3">
      <c r="A2096" s="86" t="s">
        <v>18257</v>
      </c>
      <c r="B2096" s="86" t="s">
        <v>18256</v>
      </c>
      <c r="C2096" s="397">
        <v>66</v>
      </c>
    </row>
    <row r="2097" spans="1:3">
      <c r="A2097" s="86" t="s">
        <v>18255</v>
      </c>
      <c r="B2097" s="86" t="s">
        <v>18254</v>
      </c>
      <c r="C2097" s="397">
        <v>689</v>
      </c>
    </row>
    <row r="2098" spans="1:3">
      <c r="A2098" s="86" t="s">
        <v>18253</v>
      </c>
      <c r="B2098" s="86" t="s">
        <v>18252</v>
      </c>
      <c r="C2098" s="397">
        <v>689</v>
      </c>
    </row>
    <row r="2099" spans="1:3">
      <c r="A2099" s="86" t="s">
        <v>18251</v>
      </c>
      <c r="B2099" s="86" t="s">
        <v>18250</v>
      </c>
      <c r="C2099" s="397">
        <v>24</v>
      </c>
    </row>
    <row r="2100" spans="1:3">
      <c r="A2100" s="86" t="s">
        <v>18249</v>
      </c>
      <c r="B2100" s="86" t="s">
        <v>18248</v>
      </c>
      <c r="C2100" s="397">
        <v>24</v>
      </c>
    </row>
    <row r="2101" spans="1:3">
      <c r="A2101" s="86" t="s">
        <v>18247</v>
      </c>
      <c r="B2101" s="86" t="s">
        <v>18246</v>
      </c>
      <c r="C2101" s="397">
        <v>24</v>
      </c>
    </row>
    <row r="2102" spans="1:3">
      <c r="A2102" s="86" t="s">
        <v>18245</v>
      </c>
      <c r="B2102" s="86" t="s">
        <v>18244</v>
      </c>
      <c r="C2102" s="397">
        <v>24</v>
      </c>
    </row>
    <row r="2103" spans="1:3">
      <c r="A2103" s="86" t="s">
        <v>18243</v>
      </c>
      <c r="B2103" s="86" t="s">
        <v>18242</v>
      </c>
      <c r="C2103" s="397">
        <v>28</v>
      </c>
    </row>
    <row r="2104" spans="1:3">
      <c r="A2104" s="86" t="s">
        <v>18241</v>
      </c>
      <c r="B2104" s="86" t="s">
        <v>18239</v>
      </c>
      <c r="C2104" s="397">
        <v>28</v>
      </c>
    </row>
    <row r="2105" spans="1:3">
      <c r="A2105" s="86" t="s">
        <v>18240</v>
      </c>
      <c r="B2105" s="86" t="s">
        <v>18239</v>
      </c>
      <c r="C2105" s="397">
        <v>30</v>
      </c>
    </row>
    <row r="2106" spans="1:3">
      <c r="A2106" s="86" t="s">
        <v>18238</v>
      </c>
      <c r="B2106" s="86" t="s">
        <v>18237</v>
      </c>
      <c r="C2106" s="397">
        <v>24</v>
      </c>
    </row>
    <row r="2107" spans="1:3">
      <c r="A2107" s="86" t="s">
        <v>18236</v>
      </c>
      <c r="B2107" s="86" t="s">
        <v>18235</v>
      </c>
      <c r="C2107" s="397">
        <v>23</v>
      </c>
    </row>
    <row r="2108" spans="1:3">
      <c r="A2108" s="86" t="s">
        <v>18234</v>
      </c>
      <c r="B2108" s="86" t="s">
        <v>18233</v>
      </c>
      <c r="C2108" s="397">
        <v>23</v>
      </c>
    </row>
    <row r="2109" spans="1:3">
      <c r="A2109" s="86" t="s">
        <v>18232</v>
      </c>
      <c r="B2109" s="86" t="s">
        <v>18231</v>
      </c>
      <c r="C2109" s="397">
        <v>30</v>
      </c>
    </row>
    <row r="2110" spans="1:3">
      <c r="A2110" s="86" t="s">
        <v>18230</v>
      </c>
      <c r="B2110" s="86" t="s">
        <v>18229</v>
      </c>
      <c r="C2110" s="397">
        <v>27</v>
      </c>
    </row>
    <row r="2111" spans="1:3">
      <c r="A2111" s="86" t="s">
        <v>18228</v>
      </c>
      <c r="B2111" s="86" t="s">
        <v>18227</v>
      </c>
      <c r="C2111" s="397">
        <v>27</v>
      </c>
    </row>
    <row r="2112" spans="1:3">
      <c r="A2112" s="86" t="s">
        <v>18226</v>
      </c>
      <c r="B2112" s="86" t="s">
        <v>18225</v>
      </c>
      <c r="C2112" s="397">
        <v>27</v>
      </c>
    </row>
    <row r="2113" spans="1:3">
      <c r="A2113" s="86" t="s">
        <v>18224</v>
      </c>
      <c r="B2113" s="86" t="s">
        <v>18223</v>
      </c>
      <c r="C2113" s="397">
        <v>27</v>
      </c>
    </row>
    <row r="2114" spans="1:3">
      <c r="A2114" s="86" t="s">
        <v>18222</v>
      </c>
      <c r="B2114" s="86" t="s">
        <v>18221</v>
      </c>
      <c r="C2114" s="397">
        <v>30</v>
      </c>
    </row>
    <row r="2115" spans="1:3">
      <c r="A2115" s="86" t="s">
        <v>18220</v>
      </c>
      <c r="B2115" s="86" t="s">
        <v>18219</v>
      </c>
      <c r="C2115" s="397">
        <v>21</v>
      </c>
    </row>
    <row r="2116" spans="1:3">
      <c r="A2116" s="86" t="s">
        <v>18218</v>
      </c>
      <c r="B2116" s="86" t="s">
        <v>18217</v>
      </c>
      <c r="C2116" s="397">
        <v>21</v>
      </c>
    </row>
    <row r="2117" spans="1:3">
      <c r="A2117" s="86" t="s">
        <v>18216</v>
      </c>
      <c r="B2117" s="86" t="s">
        <v>18215</v>
      </c>
      <c r="C2117" s="397">
        <v>21</v>
      </c>
    </row>
    <row r="2118" spans="1:3">
      <c r="A2118" s="86" t="s">
        <v>18214</v>
      </c>
      <c r="B2118" s="86" t="s">
        <v>18213</v>
      </c>
      <c r="C2118" s="397">
        <v>27</v>
      </c>
    </row>
    <row r="2119" spans="1:3">
      <c r="A2119" s="86" t="s">
        <v>18212</v>
      </c>
      <c r="B2119" s="86" t="s">
        <v>18211</v>
      </c>
      <c r="C2119" s="397">
        <v>409</v>
      </c>
    </row>
    <row r="2120" spans="1:3">
      <c r="A2120" s="86" t="s">
        <v>18210</v>
      </c>
      <c r="B2120" s="86" t="s">
        <v>18209</v>
      </c>
      <c r="C2120" s="397">
        <v>321</v>
      </c>
    </row>
    <row r="2121" spans="1:3">
      <c r="A2121" s="86" t="s">
        <v>18208</v>
      </c>
      <c r="B2121" s="86" t="s">
        <v>18207</v>
      </c>
      <c r="C2121" s="397">
        <v>343</v>
      </c>
    </row>
    <row r="2122" spans="1:3">
      <c r="A2122" s="86" t="s">
        <v>18206</v>
      </c>
      <c r="B2122" s="86" t="s">
        <v>18205</v>
      </c>
      <c r="C2122" s="397">
        <v>321</v>
      </c>
    </row>
    <row r="2123" spans="1:3">
      <c r="A2123" s="86" t="s">
        <v>18204</v>
      </c>
      <c r="B2123" s="86" t="s">
        <v>18203</v>
      </c>
      <c r="C2123" s="397">
        <v>26</v>
      </c>
    </row>
    <row r="2124" spans="1:3">
      <c r="A2124" s="86" t="s">
        <v>18202</v>
      </c>
      <c r="B2124" s="86" t="s">
        <v>18201</v>
      </c>
      <c r="C2124" s="397">
        <v>26</v>
      </c>
    </row>
    <row r="2125" spans="1:3">
      <c r="A2125" s="86" t="s">
        <v>18200</v>
      </c>
      <c r="B2125" s="86" t="s">
        <v>18199</v>
      </c>
      <c r="C2125" s="397">
        <v>26</v>
      </c>
    </row>
    <row r="2126" spans="1:3">
      <c r="A2126" s="86" t="s">
        <v>18198</v>
      </c>
      <c r="B2126" s="86" t="s">
        <v>18197</v>
      </c>
      <c r="C2126" s="397">
        <v>26</v>
      </c>
    </row>
    <row r="2127" spans="1:3">
      <c r="A2127" s="86" t="s">
        <v>18196</v>
      </c>
      <c r="B2127" s="86" t="s">
        <v>18195</v>
      </c>
      <c r="C2127" s="397">
        <v>26</v>
      </c>
    </row>
    <row r="2128" spans="1:3">
      <c r="A2128" s="86" t="s">
        <v>18194</v>
      </c>
      <c r="B2128" s="86" t="s">
        <v>18193</v>
      </c>
      <c r="C2128" s="397">
        <v>31</v>
      </c>
    </row>
    <row r="2129" spans="1:3">
      <c r="A2129" s="86" t="s">
        <v>18192</v>
      </c>
      <c r="B2129" s="86" t="s">
        <v>18191</v>
      </c>
      <c r="C2129" s="397">
        <v>31</v>
      </c>
    </row>
    <row r="2130" spans="1:3">
      <c r="A2130" s="86" t="s">
        <v>18190</v>
      </c>
      <c r="B2130" s="86" t="s">
        <v>18189</v>
      </c>
      <c r="C2130" s="397">
        <v>31</v>
      </c>
    </row>
    <row r="2131" spans="1:3">
      <c r="A2131" s="86" t="s">
        <v>18188</v>
      </c>
      <c r="B2131" s="86" t="s">
        <v>18187</v>
      </c>
      <c r="C2131" s="397">
        <v>31</v>
      </c>
    </row>
    <row r="2132" spans="1:3">
      <c r="A2132" s="86" t="s">
        <v>18186</v>
      </c>
      <c r="B2132" s="86" t="s">
        <v>18185</v>
      </c>
      <c r="C2132" s="397">
        <v>31</v>
      </c>
    </row>
    <row r="2133" spans="1:3">
      <c r="A2133" s="86" t="s">
        <v>18184</v>
      </c>
      <c r="B2133" s="86" t="s">
        <v>18183</v>
      </c>
      <c r="C2133" s="397">
        <v>240</v>
      </c>
    </row>
    <row r="2134" spans="1:3">
      <c r="A2134" s="86" t="s">
        <v>18182</v>
      </c>
      <c r="B2134" s="86" t="s">
        <v>18181</v>
      </c>
      <c r="C2134" s="397">
        <v>36</v>
      </c>
    </row>
    <row r="2135" spans="1:3">
      <c r="A2135" s="86" t="s">
        <v>18180</v>
      </c>
      <c r="B2135" s="86" t="s">
        <v>18179</v>
      </c>
      <c r="C2135" s="397">
        <v>310</v>
      </c>
    </row>
    <row r="2136" spans="1:3">
      <c r="A2136" s="86" t="s">
        <v>18178</v>
      </c>
      <c r="B2136" s="86" t="s">
        <v>18177</v>
      </c>
      <c r="C2136" s="397">
        <v>107</v>
      </c>
    </row>
    <row r="2137" spans="1:3">
      <c r="A2137" s="86" t="s">
        <v>18176</v>
      </c>
      <c r="B2137" s="86" t="s">
        <v>18175</v>
      </c>
      <c r="C2137" s="397">
        <v>289</v>
      </c>
    </row>
    <row r="2138" spans="1:3">
      <c r="A2138" s="86" t="s">
        <v>18174</v>
      </c>
      <c r="B2138" s="86" t="s">
        <v>18173</v>
      </c>
      <c r="C2138" s="397">
        <v>79</v>
      </c>
    </row>
    <row r="2139" spans="1:3">
      <c r="A2139" s="86" t="s">
        <v>18172</v>
      </c>
      <c r="B2139" s="86" t="s">
        <v>18171</v>
      </c>
      <c r="C2139" s="397">
        <v>65</v>
      </c>
    </row>
    <row r="2140" spans="1:3">
      <c r="A2140" s="86" t="s">
        <v>18170</v>
      </c>
      <c r="B2140" s="86" t="s">
        <v>18169</v>
      </c>
      <c r="C2140" s="397">
        <v>16</v>
      </c>
    </row>
    <row r="2141" spans="1:3">
      <c r="A2141" s="86" t="s">
        <v>18168</v>
      </c>
      <c r="B2141" s="86" t="s">
        <v>18167</v>
      </c>
      <c r="C2141" s="397">
        <v>27</v>
      </c>
    </row>
    <row r="2142" spans="1:3">
      <c r="A2142" s="86" t="s">
        <v>18166</v>
      </c>
      <c r="B2142" s="86" t="s">
        <v>18165</v>
      </c>
      <c r="C2142" s="397">
        <v>32</v>
      </c>
    </row>
    <row r="2143" spans="1:3">
      <c r="A2143" s="86" t="s">
        <v>18164</v>
      </c>
      <c r="B2143" s="86" t="s">
        <v>18163</v>
      </c>
      <c r="C2143" s="397">
        <v>137</v>
      </c>
    </row>
    <row r="2144" spans="1:3">
      <c r="A2144" s="86" t="s">
        <v>18162</v>
      </c>
      <c r="B2144" s="86" t="s">
        <v>18161</v>
      </c>
      <c r="C2144" s="397">
        <v>137</v>
      </c>
    </row>
    <row r="2145" spans="1:3">
      <c r="A2145" s="86" t="s">
        <v>18160</v>
      </c>
      <c r="B2145" s="86" t="s">
        <v>18159</v>
      </c>
      <c r="C2145" s="397">
        <v>137</v>
      </c>
    </row>
    <row r="2146" spans="1:3">
      <c r="A2146" s="86" t="s">
        <v>18158</v>
      </c>
      <c r="B2146" s="86" t="s">
        <v>18157</v>
      </c>
      <c r="C2146" s="397">
        <v>137</v>
      </c>
    </row>
    <row r="2147" spans="1:3">
      <c r="A2147" s="86" t="s">
        <v>18156</v>
      </c>
      <c r="B2147" s="86" t="s">
        <v>18155</v>
      </c>
      <c r="C2147" s="397">
        <v>137</v>
      </c>
    </row>
    <row r="2148" spans="1:3">
      <c r="A2148" s="86" t="s">
        <v>18154</v>
      </c>
      <c r="B2148" s="86" t="s">
        <v>18153</v>
      </c>
      <c r="C2148" s="397">
        <v>137</v>
      </c>
    </row>
    <row r="2149" spans="1:3">
      <c r="A2149" s="86" t="s">
        <v>18152</v>
      </c>
      <c r="B2149" s="86" t="s">
        <v>18151</v>
      </c>
      <c r="C2149" s="397">
        <v>137</v>
      </c>
    </row>
    <row r="2150" spans="1:3">
      <c r="A2150" s="86" t="s">
        <v>18150</v>
      </c>
      <c r="B2150" s="86" t="s">
        <v>18149</v>
      </c>
      <c r="C2150" s="397">
        <v>137</v>
      </c>
    </row>
    <row r="2151" spans="1:3">
      <c r="A2151" s="86" t="s">
        <v>18148</v>
      </c>
      <c r="B2151" s="86" t="s">
        <v>18147</v>
      </c>
      <c r="C2151" s="397">
        <v>124</v>
      </c>
    </row>
    <row r="2152" spans="1:3">
      <c r="A2152" s="86" t="s">
        <v>18146</v>
      </c>
      <c r="B2152" s="86" t="s">
        <v>18145</v>
      </c>
      <c r="C2152" s="397">
        <v>124</v>
      </c>
    </row>
    <row r="2153" spans="1:3">
      <c r="A2153" s="86" t="s">
        <v>18144</v>
      </c>
      <c r="B2153" s="86" t="s">
        <v>18143</v>
      </c>
      <c r="C2153" s="397">
        <v>124</v>
      </c>
    </row>
    <row r="2154" spans="1:3">
      <c r="A2154" s="86" t="s">
        <v>18142</v>
      </c>
      <c r="B2154" s="86" t="s">
        <v>18141</v>
      </c>
      <c r="C2154" s="397">
        <v>124</v>
      </c>
    </row>
    <row r="2155" spans="1:3">
      <c r="A2155" s="86" t="s">
        <v>18140</v>
      </c>
      <c r="B2155" s="86" t="s">
        <v>18139</v>
      </c>
      <c r="C2155" s="397">
        <v>62</v>
      </c>
    </row>
    <row r="2156" spans="1:3">
      <c r="A2156" s="86" t="s">
        <v>18138</v>
      </c>
      <c r="B2156" s="86" t="s">
        <v>18137</v>
      </c>
      <c r="C2156" s="397">
        <v>62</v>
      </c>
    </row>
    <row r="2157" spans="1:3">
      <c r="A2157" s="86" t="s">
        <v>18136</v>
      </c>
      <c r="B2157" s="86" t="s">
        <v>18135</v>
      </c>
      <c r="C2157" s="397">
        <v>39</v>
      </c>
    </row>
    <row r="2158" spans="1:3">
      <c r="A2158" s="86" t="s">
        <v>18134</v>
      </c>
      <c r="B2158" s="86" t="s">
        <v>18133</v>
      </c>
      <c r="C2158" s="397">
        <v>124</v>
      </c>
    </row>
    <row r="2159" spans="1:3">
      <c r="A2159" s="86" t="s">
        <v>18132</v>
      </c>
      <c r="B2159" s="86" t="s">
        <v>18131</v>
      </c>
      <c r="C2159" s="397">
        <v>124</v>
      </c>
    </row>
    <row r="2160" spans="1:3">
      <c r="A2160" s="86" t="s">
        <v>18130</v>
      </c>
      <c r="B2160" s="86" t="s">
        <v>18129</v>
      </c>
      <c r="C2160" s="397">
        <v>124</v>
      </c>
    </row>
    <row r="2161" spans="1:3">
      <c r="A2161" s="86" t="s">
        <v>18128</v>
      </c>
      <c r="B2161" s="86" t="s">
        <v>18127</v>
      </c>
      <c r="C2161" s="397">
        <v>124</v>
      </c>
    </row>
    <row r="2162" spans="1:3">
      <c r="A2162" s="86" t="s">
        <v>18126</v>
      </c>
      <c r="B2162" s="86" t="s">
        <v>18125</v>
      </c>
      <c r="C2162" s="397">
        <v>53</v>
      </c>
    </row>
    <row r="2163" spans="1:3">
      <c r="A2163" s="86" t="s">
        <v>18124</v>
      </c>
      <c r="B2163" s="86" t="s">
        <v>18123</v>
      </c>
      <c r="C2163" s="397">
        <v>367</v>
      </c>
    </row>
    <row r="2164" spans="1:3">
      <c r="A2164" s="86" t="s">
        <v>18122</v>
      </c>
      <c r="B2164" s="86" t="s">
        <v>18121</v>
      </c>
      <c r="C2164" s="397">
        <v>413</v>
      </c>
    </row>
    <row r="2165" spans="1:3">
      <c r="A2165" s="86" t="s">
        <v>18120</v>
      </c>
      <c r="B2165" s="86" t="s">
        <v>18119</v>
      </c>
      <c r="C2165" s="397">
        <v>413</v>
      </c>
    </row>
    <row r="2166" spans="1:3">
      <c r="A2166" s="86" t="s">
        <v>18118</v>
      </c>
      <c r="B2166" s="86" t="s">
        <v>18117</v>
      </c>
      <c r="C2166" s="397">
        <v>367</v>
      </c>
    </row>
    <row r="2167" spans="1:3">
      <c r="A2167" s="86" t="s">
        <v>18116</v>
      </c>
      <c r="B2167" s="86" t="s">
        <v>18115</v>
      </c>
      <c r="C2167" s="397">
        <v>413</v>
      </c>
    </row>
    <row r="2168" spans="1:3">
      <c r="A2168" s="86" t="s">
        <v>18114</v>
      </c>
      <c r="B2168" s="86" t="s">
        <v>18113</v>
      </c>
      <c r="C2168" s="397">
        <v>413</v>
      </c>
    </row>
    <row r="2169" spans="1:3">
      <c r="A2169" s="86" t="s">
        <v>18112</v>
      </c>
      <c r="B2169" s="86" t="s">
        <v>18111</v>
      </c>
      <c r="C2169" s="397">
        <v>367</v>
      </c>
    </row>
    <row r="2170" spans="1:3">
      <c r="A2170" s="86" t="s">
        <v>18110</v>
      </c>
      <c r="B2170" s="86" t="s">
        <v>18109</v>
      </c>
      <c r="C2170" s="397">
        <v>413</v>
      </c>
    </row>
    <row r="2171" spans="1:3">
      <c r="A2171" s="86" t="s">
        <v>18108</v>
      </c>
      <c r="B2171" s="86" t="s">
        <v>18107</v>
      </c>
      <c r="C2171" s="397">
        <v>413</v>
      </c>
    </row>
    <row r="2172" spans="1:3">
      <c r="A2172" s="86" t="s">
        <v>18106</v>
      </c>
      <c r="B2172" s="86" t="s">
        <v>18105</v>
      </c>
      <c r="C2172" s="397">
        <v>413</v>
      </c>
    </row>
    <row r="2173" spans="1:3">
      <c r="A2173" s="86" t="s">
        <v>18104</v>
      </c>
      <c r="B2173" s="86" t="s">
        <v>18103</v>
      </c>
      <c r="C2173" s="397">
        <v>487</v>
      </c>
    </row>
    <row r="2174" spans="1:3">
      <c r="A2174" s="86" t="s">
        <v>18102</v>
      </c>
      <c r="B2174" s="86" t="s">
        <v>18101</v>
      </c>
      <c r="C2174" s="397">
        <v>487</v>
      </c>
    </row>
    <row r="2175" spans="1:3">
      <c r="A2175" s="86" t="s">
        <v>18100</v>
      </c>
      <c r="B2175" s="86" t="s">
        <v>18099</v>
      </c>
      <c r="C2175" s="397">
        <v>468</v>
      </c>
    </row>
    <row r="2176" spans="1:3">
      <c r="A2176" s="86" t="s">
        <v>18098</v>
      </c>
      <c r="B2176" s="86" t="s">
        <v>18097</v>
      </c>
      <c r="C2176" s="397">
        <v>468</v>
      </c>
    </row>
    <row r="2177" spans="1:3">
      <c r="A2177" s="86" t="s">
        <v>18096</v>
      </c>
      <c r="B2177" s="86" t="s">
        <v>18095</v>
      </c>
      <c r="C2177" s="397">
        <v>482</v>
      </c>
    </row>
    <row r="2178" spans="1:3">
      <c r="A2178" s="86" t="s">
        <v>18094</v>
      </c>
      <c r="B2178" s="86" t="s">
        <v>18093</v>
      </c>
      <c r="C2178" s="397">
        <v>482</v>
      </c>
    </row>
    <row r="2179" spans="1:3">
      <c r="A2179" s="86" t="s">
        <v>18092</v>
      </c>
      <c r="B2179" s="86" t="s">
        <v>18091</v>
      </c>
      <c r="C2179" s="397">
        <v>468</v>
      </c>
    </row>
    <row r="2180" spans="1:3">
      <c r="A2180" s="86" t="s">
        <v>18090</v>
      </c>
      <c r="B2180" s="86" t="s">
        <v>18089</v>
      </c>
      <c r="C2180" s="397">
        <v>413</v>
      </c>
    </row>
    <row r="2181" spans="1:3">
      <c r="A2181" s="86" t="s">
        <v>18088</v>
      </c>
      <c r="B2181" s="86" t="s">
        <v>18087</v>
      </c>
      <c r="C2181" s="397">
        <v>101</v>
      </c>
    </row>
    <row r="2182" spans="1:3">
      <c r="A2182" s="86" t="s">
        <v>18086</v>
      </c>
      <c r="B2182" s="86" t="s">
        <v>18085</v>
      </c>
      <c r="C2182" s="397">
        <v>2499</v>
      </c>
    </row>
    <row r="2183" spans="1:3">
      <c r="A2183" s="86" t="s">
        <v>18084</v>
      </c>
      <c r="B2183" s="86" t="s">
        <v>18083</v>
      </c>
      <c r="C2183" s="397">
        <v>252</v>
      </c>
    </row>
    <row r="2184" spans="1:3">
      <c r="A2184" s="86" t="s">
        <v>18082</v>
      </c>
      <c r="B2184" s="86" t="s">
        <v>18081</v>
      </c>
      <c r="C2184" s="397">
        <v>249</v>
      </c>
    </row>
    <row r="2185" spans="1:3">
      <c r="A2185" s="86" t="s">
        <v>18080</v>
      </c>
      <c r="B2185" s="86" t="s">
        <v>18079</v>
      </c>
      <c r="C2185" s="397">
        <v>325</v>
      </c>
    </row>
    <row r="2186" spans="1:3">
      <c r="A2186" s="86" t="s">
        <v>18078</v>
      </c>
      <c r="B2186" s="86" t="s">
        <v>18077</v>
      </c>
      <c r="C2186" s="397">
        <v>263</v>
      </c>
    </row>
    <row r="2187" spans="1:3">
      <c r="A2187" s="86" t="s">
        <v>18076</v>
      </c>
      <c r="B2187" s="86" t="s">
        <v>18075</v>
      </c>
      <c r="C2187" s="397">
        <v>202</v>
      </c>
    </row>
    <row r="2188" spans="1:3">
      <c r="A2188" s="86" t="s">
        <v>18074</v>
      </c>
      <c r="B2188" s="86" t="s">
        <v>18073</v>
      </c>
      <c r="C2188" s="397">
        <v>413</v>
      </c>
    </row>
    <row r="2189" spans="1:3">
      <c r="A2189" s="86" t="s">
        <v>18072</v>
      </c>
      <c r="B2189" s="86" t="s">
        <v>18071</v>
      </c>
      <c r="C2189" s="397">
        <v>325</v>
      </c>
    </row>
    <row r="2190" spans="1:3">
      <c r="A2190" s="86" t="s">
        <v>18070</v>
      </c>
      <c r="B2190" s="86" t="s">
        <v>18069</v>
      </c>
      <c r="C2190" s="397">
        <v>413</v>
      </c>
    </row>
    <row r="2191" spans="1:3">
      <c r="A2191" s="86" t="s">
        <v>18068</v>
      </c>
      <c r="B2191" s="86" t="s">
        <v>18067</v>
      </c>
      <c r="C2191" s="397">
        <v>152</v>
      </c>
    </row>
    <row r="2192" spans="1:3">
      <c r="A2192" s="86" t="s">
        <v>18066</v>
      </c>
      <c r="B2192" s="86" t="s">
        <v>18065</v>
      </c>
      <c r="C2192" s="397">
        <v>325</v>
      </c>
    </row>
    <row r="2193" spans="1:3">
      <c r="A2193" s="86" t="s">
        <v>18064</v>
      </c>
      <c r="B2193" s="86" t="s">
        <v>18063</v>
      </c>
      <c r="C2193" s="397">
        <v>207</v>
      </c>
    </row>
    <row r="2194" spans="1:3">
      <c r="A2194" s="86" t="s">
        <v>18062</v>
      </c>
      <c r="B2194" s="86" t="s">
        <v>18061</v>
      </c>
      <c r="C2194" s="397">
        <v>413</v>
      </c>
    </row>
    <row r="2195" spans="1:3">
      <c r="A2195" s="86" t="s">
        <v>18060</v>
      </c>
      <c r="B2195" s="86" t="s">
        <v>18059</v>
      </c>
      <c r="C2195" s="397">
        <v>207</v>
      </c>
    </row>
    <row r="2196" spans="1:3">
      <c r="A2196" s="86" t="s">
        <v>18058</v>
      </c>
      <c r="B2196" s="86" t="s">
        <v>18057</v>
      </c>
      <c r="C2196" s="397">
        <v>413</v>
      </c>
    </row>
    <row r="2197" spans="1:3">
      <c r="A2197" s="86" t="s">
        <v>18056</v>
      </c>
      <c r="B2197" s="86" t="s">
        <v>18055</v>
      </c>
      <c r="C2197" s="397">
        <v>325</v>
      </c>
    </row>
    <row r="2198" spans="1:3">
      <c r="A2198" s="86" t="s">
        <v>18054</v>
      </c>
      <c r="B2198" s="86" t="s">
        <v>18053</v>
      </c>
      <c r="C2198" s="397">
        <v>413</v>
      </c>
    </row>
    <row r="2199" spans="1:3">
      <c r="A2199" s="86" t="s">
        <v>18052</v>
      </c>
      <c r="B2199" s="86" t="s">
        <v>18051</v>
      </c>
      <c r="C2199" s="397">
        <v>300</v>
      </c>
    </row>
    <row r="2200" spans="1:3">
      <c r="A2200" s="86" t="s">
        <v>18050</v>
      </c>
      <c r="B2200" s="86" t="s">
        <v>18049</v>
      </c>
      <c r="C2200" s="397">
        <v>366</v>
      </c>
    </row>
    <row r="2201" spans="1:3">
      <c r="A2201" s="86" t="s">
        <v>18048</v>
      </c>
      <c r="B2201" s="86" t="s">
        <v>18047</v>
      </c>
      <c r="C2201" s="397">
        <v>300</v>
      </c>
    </row>
    <row r="2202" spans="1:3">
      <c r="A2202" s="86" t="s">
        <v>18046</v>
      </c>
      <c r="B2202" s="86" t="s">
        <v>18045</v>
      </c>
      <c r="C2202" s="397">
        <v>366</v>
      </c>
    </row>
    <row r="2203" spans="1:3">
      <c r="A2203" s="86" t="s">
        <v>18044</v>
      </c>
      <c r="B2203" s="86" t="s">
        <v>18043</v>
      </c>
      <c r="C2203" s="397">
        <v>300</v>
      </c>
    </row>
    <row r="2204" spans="1:3">
      <c r="A2204" s="86" t="s">
        <v>18042</v>
      </c>
      <c r="B2204" s="86" t="s">
        <v>18041</v>
      </c>
      <c r="C2204" s="397">
        <v>366</v>
      </c>
    </row>
    <row r="2205" spans="1:3">
      <c r="A2205" s="86" t="s">
        <v>18040</v>
      </c>
      <c r="B2205" s="86" t="s">
        <v>18039</v>
      </c>
      <c r="C2205" s="397">
        <v>366</v>
      </c>
    </row>
    <row r="2206" spans="1:3">
      <c r="A2206" s="86" t="s">
        <v>18038</v>
      </c>
      <c r="B2206" s="86" t="s">
        <v>18037</v>
      </c>
      <c r="C2206" s="397">
        <v>366</v>
      </c>
    </row>
    <row r="2207" spans="1:3">
      <c r="A2207" s="86" t="s">
        <v>18036</v>
      </c>
      <c r="B2207" s="86" t="s">
        <v>18035</v>
      </c>
      <c r="C2207" s="397">
        <v>270</v>
      </c>
    </row>
    <row r="2208" spans="1:3">
      <c r="A2208" s="86" t="s">
        <v>18034</v>
      </c>
      <c r="B2208" s="86" t="s">
        <v>18033</v>
      </c>
      <c r="C2208" s="397">
        <v>283</v>
      </c>
    </row>
    <row r="2209" spans="1:3">
      <c r="A2209" s="86" t="s">
        <v>18032</v>
      </c>
      <c r="B2209" s="86" t="s">
        <v>18031</v>
      </c>
      <c r="C2209" s="397">
        <v>217</v>
      </c>
    </row>
    <row r="2210" spans="1:3">
      <c r="A2210" s="86" t="s">
        <v>18030</v>
      </c>
      <c r="B2210" s="86" t="s">
        <v>18029</v>
      </c>
      <c r="C2210" s="397">
        <v>334</v>
      </c>
    </row>
    <row r="2211" spans="1:3">
      <c r="A2211" s="86" t="s">
        <v>18028</v>
      </c>
      <c r="B2211" s="86" t="s">
        <v>18027</v>
      </c>
      <c r="C2211" s="397">
        <v>333</v>
      </c>
    </row>
    <row r="2212" spans="1:3">
      <c r="A2212" s="86" t="s">
        <v>18026</v>
      </c>
      <c r="B2212" s="86" t="s">
        <v>18025</v>
      </c>
      <c r="C2212" s="397">
        <v>270</v>
      </c>
    </row>
    <row r="2213" spans="1:3">
      <c r="A2213" s="86" t="s">
        <v>18024</v>
      </c>
      <c r="B2213" s="86" t="s">
        <v>18023</v>
      </c>
      <c r="C2213" s="397">
        <v>283</v>
      </c>
    </row>
    <row r="2214" spans="1:3">
      <c r="A2214" s="86" t="s">
        <v>18022</v>
      </c>
      <c r="B2214" s="86" t="s">
        <v>18021</v>
      </c>
      <c r="C2214" s="397">
        <v>283</v>
      </c>
    </row>
    <row r="2215" spans="1:3">
      <c r="A2215" s="86" t="s">
        <v>18020</v>
      </c>
      <c r="B2215" s="86" t="s">
        <v>18019</v>
      </c>
      <c r="C2215" s="397">
        <v>217</v>
      </c>
    </row>
    <row r="2216" spans="1:3">
      <c r="A2216" s="86" t="s">
        <v>18018</v>
      </c>
      <c r="B2216" s="86" t="s">
        <v>18017</v>
      </c>
      <c r="C2216" s="397">
        <v>263</v>
      </c>
    </row>
    <row r="2217" spans="1:3">
      <c r="A2217" s="86" t="s">
        <v>18016</v>
      </c>
      <c r="B2217" s="86" t="s">
        <v>18015</v>
      </c>
      <c r="C2217" s="397">
        <v>289</v>
      </c>
    </row>
    <row r="2218" spans="1:3">
      <c r="A2218" s="86" t="s">
        <v>18014</v>
      </c>
      <c r="B2218" s="86" t="s">
        <v>18013</v>
      </c>
      <c r="C2218" s="397">
        <v>225</v>
      </c>
    </row>
    <row r="2219" spans="1:3">
      <c r="A2219" s="86" t="s">
        <v>18012</v>
      </c>
      <c r="B2219" s="86" t="s">
        <v>18011</v>
      </c>
      <c r="C2219" s="397">
        <v>334</v>
      </c>
    </row>
    <row r="2220" spans="1:3">
      <c r="A2220" s="86" t="s">
        <v>18010</v>
      </c>
      <c r="B2220" s="86" t="s">
        <v>18009</v>
      </c>
      <c r="C2220" s="397">
        <v>286</v>
      </c>
    </row>
    <row r="2221" spans="1:3">
      <c r="A2221" s="86" t="s">
        <v>18008</v>
      </c>
      <c r="B2221" s="86" t="s">
        <v>18007</v>
      </c>
      <c r="C2221" s="397">
        <v>350</v>
      </c>
    </row>
    <row r="2222" spans="1:3">
      <c r="A2222" s="86" t="s">
        <v>18006</v>
      </c>
      <c r="B2222" s="86" t="s">
        <v>18005</v>
      </c>
      <c r="C2222" s="397">
        <v>350</v>
      </c>
    </row>
    <row r="2223" spans="1:3">
      <c r="A2223" s="86" t="s">
        <v>18004</v>
      </c>
      <c r="B2223" s="86" t="s">
        <v>18003</v>
      </c>
      <c r="C2223" s="397">
        <v>289</v>
      </c>
    </row>
    <row r="2224" spans="1:3">
      <c r="A2224" s="86" t="s">
        <v>18002</v>
      </c>
      <c r="B2224" s="86" t="s">
        <v>18001</v>
      </c>
      <c r="C2224" s="397">
        <v>289</v>
      </c>
    </row>
    <row r="2225" spans="1:3">
      <c r="A2225" s="86" t="s">
        <v>18000</v>
      </c>
      <c r="B2225" s="86" t="s">
        <v>17999</v>
      </c>
      <c r="C2225" s="397">
        <v>225</v>
      </c>
    </row>
    <row r="2226" spans="1:3">
      <c r="A2226" s="86" t="s">
        <v>17998</v>
      </c>
      <c r="B2226" s="86" t="s">
        <v>17997</v>
      </c>
      <c r="C2226" s="397">
        <v>296</v>
      </c>
    </row>
    <row r="2227" spans="1:3">
      <c r="A2227" s="86" t="s">
        <v>17996</v>
      </c>
      <c r="B2227" s="86" t="s">
        <v>17995</v>
      </c>
      <c r="C2227" s="397">
        <v>296</v>
      </c>
    </row>
    <row r="2228" spans="1:3">
      <c r="A2228" s="86" t="s">
        <v>17994</v>
      </c>
      <c r="B2228" s="86" t="s">
        <v>17993</v>
      </c>
      <c r="C2228" s="397">
        <v>235</v>
      </c>
    </row>
    <row r="2229" spans="1:3">
      <c r="A2229" s="86" t="s">
        <v>17992</v>
      </c>
      <c r="B2229" s="86" t="s">
        <v>17991</v>
      </c>
      <c r="C2229" s="397">
        <v>350</v>
      </c>
    </row>
    <row r="2230" spans="1:3">
      <c r="A2230" s="86" t="s">
        <v>17990</v>
      </c>
      <c r="B2230" s="86" t="s">
        <v>17989</v>
      </c>
      <c r="C2230" s="397">
        <v>270</v>
      </c>
    </row>
    <row r="2231" spans="1:3">
      <c r="A2231" s="86" t="s">
        <v>17988</v>
      </c>
      <c r="B2231" s="86" t="s">
        <v>17987</v>
      </c>
      <c r="C2231" s="397">
        <v>318</v>
      </c>
    </row>
    <row r="2232" spans="1:3">
      <c r="A2232" s="86" t="s">
        <v>17986</v>
      </c>
      <c r="B2232" s="86" t="s">
        <v>17985</v>
      </c>
      <c r="C2232" s="397">
        <v>217</v>
      </c>
    </row>
    <row r="2233" spans="1:3">
      <c r="A2233" s="86" t="s">
        <v>17984</v>
      </c>
      <c r="B2233" s="86" t="s">
        <v>17983</v>
      </c>
      <c r="C2233" s="397">
        <v>487</v>
      </c>
    </row>
    <row r="2234" spans="1:3">
      <c r="A2234" s="86" t="s">
        <v>17982</v>
      </c>
      <c r="B2234" s="86" t="s">
        <v>17981</v>
      </c>
      <c r="C2234" s="397">
        <v>609</v>
      </c>
    </row>
    <row r="2235" spans="1:3">
      <c r="A2235" s="86" t="s">
        <v>17980</v>
      </c>
      <c r="B2235" s="86" t="s">
        <v>17979</v>
      </c>
      <c r="C2235" s="397">
        <v>487</v>
      </c>
    </row>
    <row r="2236" spans="1:3">
      <c r="A2236" s="86" t="s">
        <v>17978</v>
      </c>
      <c r="B2236" s="86" t="s">
        <v>17977</v>
      </c>
      <c r="C2236" s="397">
        <v>609</v>
      </c>
    </row>
    <row r="2237" spans="1:3">
      <c r="A2237" s="86" t="s">
        <v>17976</v>
      </c>
      <c r="B2237" s="86" t="s">
        <v>17975</v>
      </c>
      <c r="C2237" s="397">
        <v>487</v>
      </c>
    </row>
    <row r="2238" spans="1:3">
      <c r="A2238" s="86" t="s">
        <v>17974</v>
      </c>
      <c r="B2238" s="86" t="s">
        <v>17973</v>
      </c>
      <c r="C2238" s="397">
        <v>636</v>
      </c>
    </row>
    <row r="2239" spans="1:3">
      <c r="A2239" s="86" t="s">
        <v>17972</v>
      </c>
      <c r="B2239" s="86" t="s">
        <v>17971</v>
      </c>
      <c r="C2239" s="397">
        <v>609</v>
      </c>
    </row>
    <row r="2240" spans="1:3">
      <c r="A2240" s="86" t="s">
        <v>17970</v>
      </c>
      <c r="B2240" s="86" t="s">
        <v>17969</v>
      </c>
      <c r="C2240" s="397">
        <v>609</v>
      </c>
    </row>
    <row r="2241" spans="1:3">
      <c r="A2241" s="86" t="s">
        <v>17968</v>
      </c>
      <c r="B2241" s="86" t="s">
        <v>17967</v>
      </c>
      <c r="C2241" s="397">
        <v>487</v>
      </c>
    </row>
    <row r="2242" spans="1:3">
      <c r="A2242" s="86" t="s">
        <v>17966</v>
      </c>
      <c r="B2242" s="86" t="s">
        <v>17965</v>
      </c>
      <c r="C2242" s="397">
        <v>130</v>
      </c>
    </row>
    <row r="2243" spans="1:3">
      <c r="A2243" s="86" t="s">
        <v>17964</v>
      </c>
      <c r="B2243" s="86" t="s">
        <v>17963</v>
      </c>
      <c r="C2243" s="397">
        <v>130</v>
      </c>
    </row>
    <row r="2244" spans="1:3">
      <c r="A2244" s="86" t="s">
        <v>17962</v>
      </c>
      <c r="B2244" s="86" t="s">
        <v>17961</v>
      </c>
      <c r="C2244" s="397">
        <v>181</v>
      </c>
    </row>
    <row r="2245" spans="1:3">
      <c r="A2245" s="86" t="s">
        <v>17960</v>
      </c>
      <c r="B2245" s="86" t="s">
        <v>17959</v>
      </c>
      <c r="C2245" s="397">
        <v>62</v>
      </c>
    </row>
    <row r="2246" spans="1:3">
      <c r="A2246" s="86" t="s">
        <v>17958</v>
      </c>
      <c r="B2246" s="86" t="s">
        <v>17957</v>
      </c>
      <c r="C2246" s="397">
        <v>68</v>
      </c>
    </row>
    <row r="2247" spans="1:3">
      <c r="A2247" s="86" t="s">
        <v>17956</v>
      </c>
      <c r="B2247" s="86" t="s">
        <v>17955</v>
      </c>
      <c r="C2247" s="397">
        <v>38</v>
      </c>
    </row>
    <row r="2248" spans="1:3">
      <c r="A2248" s="86" t="s">
        <v>17954</v>
      </c>
      <c r="B2248" s="86" t="s">
        <v>17952</v>
      </c>
      <c r="C2248" s="397">
        <v>27</v>
      </c>
    </row>
    <row r="2249" spans="1:3">
      <c r="A2249" s="86" t="s">
        <v>17953</v>
      </c>
      <c r="B2249" s="86" t="s">
        <v>17952</v>
      </c>
      <c r="C2249" s="397">
        <v>61</v>
      </c>
    </row>
    <row r="2250" spans="1:3">
      <c r="A2250" s="86" t="s">
        <v>17951</v>
      </c>
      <c r="B2250" s="86" t="s">
        <v>17950</v>
      </c>
      <c r="C2250" s="397">
        <v>153</v>
      </c>
    </row>
    <row r="2251" spans="1:3">
      <c r="A2251" s="86" t="s">
        <v>17949</v>
      </c>
      <c r="B2251" s="86" t="s">
        <v>17948</v>
      </c>
      <c r="C2251" s="397">
        <v>53</v>
      </c>
    </row>
    <row r="2252" spans="1:3">
      <c r="A2252" s="86" t="s">
        <v>17947</v>
      </c>
      <c r="B2252" s="86" t="s">
        <v>17946</v>
      </c>
      <c r="C2252" s="397">
        <v>19</v>
      </c>
    </row>
    <row r="2253" spans="1:3">
      <c r="A2253" s="86" t="s">
        <v>17945</v>
      </c>
      <c r="B2253" s="86" t="s">
        <v>17944</v>
      </c>
      <c r="C2253" s="397">
        <v>20</v>
      </c>
    </row>
    <row r="2254" spans="1:3">
      <c r="A2254" s="86" t="s">
        <v>17943</v>
      </c>
      <c r="B2254" s="86" t="s">
        <v>17942</v>
      </c>
      <c r="C2254" s="397">
        <v>51</v>
      </c>
    </row>
    <row r="2255" spans="1:3">
      <c r="A2255" s="86" t="s">
        <v>17941</v>
      </c>
      <c r="B2255" s="86" t="s">
        <v>17940</v>
      </c>
      <c r="C2255" s="397">
        <v>49</v>
      </c>
    </row>
    <row r="2256" spans="1:3">
      <c r="A2256" s="86" t="s">
        <v>17939</v>
      </c>
      <c r="B2256" s="86" t="s">
        <v>17938</v>
      </c>
      <c r="C2256" s="397">
        <v>49</v>
      </c>
    </row>
    <row r="2257" spans="1:3">
      <c r="A2257" s="86" t="s">
        <v>17937</v>
      </c>
      <c r="B2257" s="86" t="s">
        <v>17936</v>
      </c>
      <c r="C2257" s="397">
        <v>54</v>
      </c>
    </row>
    <row r="2258" spans="1:3">
      <c r="A2258" s="86" t="s">
        <v>17935</v>
      </c>
      <c r="B2258" s="86" t="s">
        <v>17934</v>
      </c>
      <c r="C2258" s="397">
        <v>101</v>
      </c>
    </row>
    <row r="2259" spans="1:3">
      <c r="A2259" s="86" t="s">
        <v>17933</v>
      </c>
      <c r="B2259" s="86" t="s">
        <v>17932</v>
      </c>
      <c r="C2259" s="397">
        <v>145</v>
      </c>
    </row>
    <row r="2260" spans="1:3">
      <c r="A2260" s="86" t="s">
        <v>17931</v>
      </c>
      <c r="B2260" s="86" t="s">
        <v>17930</v>
      </c>
      <c r="C2260" s="397">
        <v>53</v>
      </c>
    </row>
    <row r="2261" spans="1:3">
      <c r="A2261" s="86" t="s">
        <v>17929</v>
      </c>
      <c r="B2261" s="86" t="s">
        <v>17928</v>
      </c>
      <c r="C2261" s="397">
        <v>56</v>
      </c>
    </row>
    <row r="2262" spans="1:3">
      <c r="A2262" s="86" t="s">
        <v>17927</v>
      </c>
      <c r="B2262" s="86" t="s">
        <v>17926</v>
      </c>
      <c r="C2262" s="397">
        <v>54</v>
      </c>
    </row>
    <row r="2263" spans="1:3">
      <c r="A2263" s="86" t="s">
        <v>17925</v>
      </c>
      <c r="B2263" s="86" t="s">
        <v>17924</v>
      </c>
      <c r="C2263" s="397">
        <v>248</v>
      </c>
    </row>
    <row r="2264" spans="1:3">
      <c r="A2264" s="86" t="s">
        <v>17923</v>
      </c>
      <c r="B2264" s="86" t="s">
        <v>17922</v>
      </c>
      <c r="C2264" s="397">
        <v>924</v>
      </c>
    </row>
    <row r="2265" spans="1:3">
      <c r="A2265" s="86" t="s">
        <v>17921</v>
      </c>
      <c r="B2265" s="86" t="s">
        <v>17920</v>
      </c>
      <c r="C2265" s="397">
        <v>1347</v>
      </c>
    </row>
    <row r="2266" spans="1:3">
      <c r="A2266" s="86" t="s">
        <v>17919</v>
      </c>
      <c r="B2266" s="86" t="s">
        <v>17918</v>
      </c>
      <c r="C2266" s="397">
        <v>462</v>
      </c>
    </row>
    <row r="2267" spans="1:3">
      <c r="A2267" s="86" t="s">
        <v>17917</v>
      </c>
      <c r="B2267" s="86" t="s">
        <v>17916</v>
      </c>
      <c r="C2267" s="397">
        <v>365</v>
      </c>
    </row>
    <row r="2268" spans="1:3">
      <c r="A2268" s="86" t="s">
        <v>17915</v>
      </c>
      <c r="B2268" s="86" t="s">
        <v>17914</v>
      </c>
      <c r="C2268" s="397">
        <v>671</v>
      </c>
    </row>
    <row r="2269" spans="1:3">
      <c r="A2269" s="86" t="s">
        <v>17913</v>
      </c>
      <c r="B2269" s="86" t="s">
        <v>17912</v>
      </c>
      <c r="C2269" s="397">
        <v>671</v>
      </c>
    </row>
    <row r="2270" spans="1:3">
      <c r="A2270" s="86" t="s">
        <v>17911</v>
      </c>
      <c r="B2270" s="86" t="s">
        <v>17910</v>
      </c>
      <c r="C2270" s="397">
        <v>204</v>
      </c>
    </row>
    <row r="2271" spans="1:3">
      <c r="A2271" s="86" t="s">
        <v>17909</v>
      </c>
      <c r="B2271" s="86" t="s">
        <v>17908</v>
      </c>
      <c r="C2271" s="397">
        <v>204</v>
      </c>
    </row>
    <row r="2272" spans="1:3">
      <c r="A2272" s="86" t="s">
        <v>17907</v>
      </c>
      <c r="B2272" s="86" t="s">
        <v>17906</v>
      </c>
      <c r="C2272" s="397">
        <v>31</v>
      </c>
    </row>
    <row r="2273" spans="1:3">
      <c r="A2273" s="86" t="s">
        <v>17905</v>
      </c>
      <c r="B2273" s="86" t="s">
        <v>17904</v>
      </c>
      <c r="C2273" s="397">
        <v>124</v>
      </c>
    </row>
    <row r="2274" spans="1:3">
      <c r="A2274" s="86" t="s">
        <v>17903</v>
      </c>
      <c r="B2274" s="86" t="s">
        <v>17901</v>
      </c>
      <c r="C2274" s="397">
        <v>16</v>
      </c>
    </row>
    <row r="2275" spans="1:3">
      <c r="A2275" s="86" t="s">
        <v>17902</v>
      </c>
      <c r="B2275" s="86" t="s">
        <v>17901</v>
      </c>
      <c r="C2275" s="397">
        <v>31</v>
      </c>
    </row>
    <row r="2276" spans="1:3">
      <c r="A2276" s="86" t="s">
        <v>17900</v>
      </c>
      <c r="B2276" s="86" t="s">
        <v>17899</v>
      </c>
      <c r="C2276" s="397">
        <v>54</v>
      </c>
    </row>
    <row r="2277" spans="1:3">
      <c r="A2277" s="86" t="s">
        <v>17898</v>
      </c>
      <c r="B2277" s="86" t="s">
        <v>17897</v>
      </c>
      <c r="C2277" s="397">
        <v>304</v>
      </c>
    </row>
    <row r="2278" spans="1:3">
      <c r="A2278" s="86" t="s">
        <v>17896</v>
      </c>
      <c r="B2278" s="86" t="s">
        <v>17895</v>
      </c>
      <c r="C2278" s="397">
        <v>440</v>
      </c>
    </row>
    <row r="2279" spans="1:3">
      <c r="A2279" s="86" t="s">
        <v>17894</v>
      </c>
      <c r="B2279" s="86" t="s">
        <v>17893</v>
      </c>
      <c r="C2279" s="397">
        <v>440</v>
      </c>
    </row>
    <row r="2280" spans="1:3">
      <c r="A2280" s="86" t="s">
        <v>17892</v>
      </c>
      <c r="B2280" s="86" t="s">
        <v>17891</v>
      </c>
      <c r="C2280" s="397">
        <v>1016</v>
      </c>
    </row>
    <row r="2281" spans="1:3">
      <c r="A2281" s="86" t="s">
        <v>17890</v>
      </c>
      <c r="B2281" s="86" t="s">
        <v>17889</v>
      </c>
      <c r="C2281" s="397">
        <v>816</v>
      </c>
    </row>
    <row r="2282" spans="1:3">
      <c r="A2282" s="86" t="s">
        <v>17888</v>
      </c>
      <c r="B2282" s="86" t="s">
        <v>17887</v>
      </c>
      <c r="C2282" s="397">
        <v>40</v>
      </c>
    </row>
    <row r="2283" spans="1:3">
      <c r="A2283" s="86" t="s">
        <v>17886</v>
      </c>
      <c r="B2283" s="86" t="s">
        <v>17885</v>
      </c>
      <c r="C2283" s="397">
        <v>40</v>
      </c>
    </row>
    <row r="2284" spans="1:3">
      <c r="A2284" s="86" t="s">
        <v>17884</v>
      </c>
      <c r="B2284" s="86" t="s">
        <v>17883</v>
      </c>
      <c r="C2284" s="397">
        <v>79</v>
      </c>
    </row>
    <row r="2285" spans="1:3">
      <c r="A2285" s="86" t="s">
        <v>17882</v>
      </c>
      <c r="B2285" s="86" t="s">
        <v>17881</v>
      </c>
      <c r="C2285" s="397">
        <v>45</v>
      </c>
    </row>
    <row r="2286" spans="1:3">
      <c r="A2286" s="86" t="s">
        <v>17880</v>
      </c>
      <c r="B2286" s="86" t="s">
        <v>17879</v>
      </c>
      <c r="C2286" s="397">
        <v>62</v>
      </c>
    </row>
    <row r="2287" spans="1:3">
      <c r="A2287" s="86" t="s">
        <v>17878</v>
      </c>
      <c r="B2287" s="86" t="s">
        <v>17877</v>
      </c>
      <c r="C2287" s="397">
        <v>361</v>
      </c>
    </row>
    <row r="2288" spans="1:3">
      <c r="A2288" s="86" t="s">
        <v>17876</v>
      </c>
      <c r="B2288" s="86" t="s">
        <v>17875</v>
      </c>
      <c r="C2288" s="397">
        <v>194</v>
      </c>
    </row>
    <row r="2289" spans="1:3">
      <c r="A2289" s="86" t="s">
        <v>17874</v>
      </c>
      <c r="B2289" s="86" t="s">
        <v>17873</v>
      </c>
      <c r="C2289" s="397">
        <v>188</v>
      </c>
    </row>
    <row r="2290" spans="1:3">
      <c r="A2290" s="86" t="s">
        <v>17872</v>
      </c>
      <c r="B2290" s="86" t="s">
        <v>17871</v>
      </c>
      <c r="C2290" s="397">
        <v>647</v>
      </c>
    </row>
    <row r="2291" spans="1:3">
      <c r="A2291" s="86" t="s">
        <v>17870</v>
      </c>
      <c r="B2291" s="86" t="s">
        <v>17869</v>
      </c>
      <c r="C2291" s="397">
        <v>68</v>
      </c>
    </row>
    <row r="2292" spans="1:3">
      <c r="A2292" s="86" t="s">
        <v>17868</v>
      </c>
      <c r="B2292" s="86" t="s">
        <v>17867</v>
      </c>
      <c r="C2292" s="397">
        <v>174</v>
      </c>
    </row>
    <row r="2293" spans="1:3">
      <c r="A2293" s="86" t="s">
        <v>17866</v>
      </c>
      <c r="B2293" s="86" t="s">
        <v>17865</v>
      </c>
      <c r="C2293" s="397">
        <v>32</v>
      </c>
    </row>
    <row r="2294" spans="1:3">
      <c r="A2294" s="86" t="s">
        <v>17864</v>
      </c>
      <c r="B2294" s="86" t="s">
        <v>17863</v>
      </c>
      <c r="C2294" s="397">
        <v>41</v>
      </c>
    </row>
    <row r="2295" spans="1:3">
      <c r="A2295" s="86" t="s">
        <v>17862</v>
      </c>
      <c r="B2295" s="86" t="s">
        <v>17861</v>
      </c>
      <c r="C2295" s="397">
        <v>16</v>
      </c>
    </row>
    <row r="2296" spans="1:3">
      <c r="A2296" s="86" t="s">
        <v>17860</v>
      </c>
      <c r="B2296" s="86" t="s">
        <v>17859</v>
      </c>
      <c r="C2296" s="397">
        <v>40</v>
      </c>
    </row>
    <row r="2297" spans="1:3">
      <c r="A2297" s="86" t="s">
        <v>17858</v>
      </c>
      <c r="B2297" s="86" t="s">
        <v>17857</v>
      </c>
      <c r="C2297" s="397">
        <v>53</v>
      </c>
    </row>
    <row r="2298" spans="1:3">
      <c r="A2298" s="86" t="s">
        <v>17856</v>
      </c>
      <c r="B2298" s="86" t="s">
        <v>17855</v>
      </c>
      <c r="C2298" s="397">
        <v>32</v>
      </c>
    </row>
    <row r="2299" spans="1:3">
      <c r="A2299" s="86" t="s">
        <v>17854</v>
      </c>
      <c r="B2299" s="86" t="s">
        <v>17853</v>
      </c>
      <c r="C2299" s="397">
        <v>76</v>
      </c>
    </row>
    <row r="2300" spans="1:3">
      <c r="A2300" s="86" t="s">
        <v>17852</v>
      </c>
      <c r="B2300" s="86" t="s">
        <v>17851</v>
      </c>
      <c r="C2300" s="397">
        <v>27</v>
      </c>
    </row>
    <row r="2301" spans="1:3">
      <c r="A2301" s="86" t="s">
        <v>17850</v>
      </c>
      <c r="B2301" s="86" t="s">
        <v>17849</v>
      </c>
      <c r="C2301" s="397">
        <v>36</v>
      </c>
    </row>
    <row r="2302" spans="1:3">
      <c r="A2302" s="86" t="s">
        <v>17848</v>
      </c>
      <c r="B2302" s="86" t="s">
        <v>17847</v>
      </c>
      <c r="C2302" s="397">
        <v>26</v>
      </c>
    </row>
    <row r="2303" spans="1:3">
      <c r="A2303" s="86" t="s">
        <v>17846</v>
      </c>
      <c r="B2303" s="86" t="s">
        <v>17845</v>
      </c>
      <c r="C2303" s="397">
        <v>72</v>
      </c>
    </row>
    <row r="2304" spans="1:3">
      <c r="A2304" s="86" t="s">
        <v>17844</v>
      </c>
      <c r="B2304" s="86" t="s">
        <v>17843</v>
      </c>
      <c r="C2304" s="397">
        <v>45</v>
      </c>
    </row>
    <row r="2305" spans="1:3">
      <c r="A2305" s="86" t="s">
        <v>17842</v>
      </c>
      <c r="B2305" s="86" t="s">
        <v>17841</v>
      </c>
      <c r="C2305" s="397">
        <v>53</v>
      </c>
    </row>
    <row r="2306" spans="1:3">
      <c r="A2306" s="86" t="s">
        <v>17840</v>
      </c>
      <c r="B2306" s="86" t="s">
        <v>17839</v>
      </c>
      <c r="C2306" s="397">
        <v>32</v>
      </c>
    </row>
    <row r="2307" spans="1:3">
      <c r="A2307" s="86" t="s">
        <v>17838</v>
      </c>
      <c r="B2307" s="86" t="s">
        <v>17837</v>
      </c>
      <c r="C2307" s="397">
        <v>32</v>
      </c>
    </row>
    <row r="2308" spans="1:3">
      <c r="A2308" s="86" t="s">
        <v>17836</v>
      </c>
      <c r="B2308" s="86" t="s">
        <v>17835</v>
      </c>
      <c r="C2308" s="397">
        <v>27</v>
      </c>
    </row>
    <row r="2309" spans="1:3">
      <c r="A2309" s="86" t="s">
        <v>17834</v>
      </c>
      <c r="B2309" s="86" t="s">
        <v>17833</v>
      </c>
      <c r="C2309" s="397">
        <v>1166</v>
      </c>
    </row>
    <row r="2310" spans="1:3">
      <c r="A2310" s="86" t="s">
        <v>17832</v>
      </c>
      <c r="B2310" s="86" t="s">
        <v>17831</v>
      </c>
      <c r="C2310" s="397">
        <v>59</v>
      </c>
    </row>
    <row r="2311" spans="1:3">
      <c r="A2311" s="86" t="s">
        <v>17830</v>
      </c>
      <c r="B2311" s="86" t="s">
        <v>17829</v>
      </c>
      <c r="C2311" s="397">
        <v>31</v>
      </c>
    </row>
    <row r="2312" spans="1:3">
      <c r="A2312" s="86" t="s">
        <v>17828</v>
      </c>
      <c r="B2312" s="86" t="s">
        <v>17827</v>
      </c>
      <c r="C2312" s="397">
        <v>32</v>
      </c>
    </row>
    <row r="2313" spans="1:3">
      <c r="A2313" s="86" t="s">
        <v>17826</v>
      </c>
      <c r="B2313" s="86" t="s">
        <v>17825</v>
      </c>
      <c r="C2313" s="397">
        <v>27</v>
      </c>
    </row>
    <row r="2314" spans="1:3">
      <c r="A2314" s="86" t="s">
        <v>17824</v>
      </c>
      <c r="B2314" s="86" t="s">
        <v>17823</v>
      </c>
      <c r="C2314" s="397">
        <v>137</v>
      </c>
    </row>
    <row r="2315" spans="1:3">
      <c r="A2315" s="86" t="s">
        <v>17822</v>
      </c>
      <c r="B2315" s="86" t="s">
        <v>17821</v>
      </c>
      <c r="C2315" s="397">
        <v>62</v>
      </c>
    </row>
    <row r="2316" spans="1:3">
      <c r="A2316" s="86" t="s">
        <v>17820</v>
      </c>
      <c r="B2316" s="86" t="s">
        <v>17819</v>
      </c>
      <c r="C2316" s="397">
        <v>48</v>
      </c>
    </row>
    <row r="2317" spans="1:3">
      <c r="A2317" s="86" t="s">
        <v>17818</v>
      </c>
      <c r="B2317" s="86" t="s">
        <v>17817</v>
      </c>
      <c r="C2317" s="397">
        <v>866</v>
      </c>
    </row>
    <row r="2318" spans="1:3">
      <c r="A2318" s="86" t="s">
        <v>17816</v>
      </c>
      <c r="B2318" s="86" t="s">
        <v>17815</v>
      </c>
      <c r="C2318" s="397">
        <v>59</v>
      </c>
    </row>
    <row r="2319" spans="1:3">
      <c r="A2319" s="86" t="s">
        <v>17814</v>
      </c>
      <c r="B2319" s="86" t="s">
        <v>17813</v>
      </c>
      <c r="C2319" s="397">
        <v>44</v>
      </c>
    </row>
    <row r="2320" spans="1:3">
      <c r="A2320" s="86" t="s">
        <v>17812</v>
      </c>
      <c r="B2320" s="86" t="s">
        <v>17811</v>
      </c>
      <c r="C2320" s="397">
        <v>32</v>
      </c>
    </row>
    <row r="2321" spans="1:3">
      <c r="A2321" s="86" t="s">
        <v>17810</v>
      </c>
      <c r="B2321" s="86" t="s">
        <v>17809</v>
      </c>
      <c r="C2321" s="397">
        <v>24</v>
      </c>
    </row>
    <row r="2322" spans="1:3">
      <c r="A2322" s="86" t="s">
        <v>17808</v>
      </c>
      <c r="B2322" s="86" t="s">
        <v>17806</v>
      </c>
      <c r="C2322" s="397">
        <v>34</v>
      </c>
    </row>
    <row r="2323" spans="1:3">
      <c r="A2323" s="86" t="s">
        <v>17807</v>
      </c>
      <c r="B2323" s="86" t="s">
        <v>17806</v>
      </c>
      <c r="C2323" s="397">
        <v>34</v>
      </c>
    </row>
    <row r="2324" spans="1:3">
      <c r="A2324" s="86" t="s">
        <v>17805</v>
      </c>
      <c r="B2324" s="86" t="s">
        <v>17804</v>
      </c>
      <c r="C2324" s="397">
        <v>40</v>
      </c>
    </row>
    <row r="2325" spans="1:3">
      <c r="A2325" s="86" t="s">
        <v>17803</v>
      </c>
      <c r="B2325" s="86" t="s">
        <v>17802</v>
      </c>
      <c r="C2325" s="397">
        <v>27</v>
      </c>
    </row>
    <row r="2326" spans="1:3">
      <c r="A2326" s="86" t="s">
        <v>17801</v>
      </c>
      <c r="B2326" s="86" t="s">
        <v>17800</v>
      </c>
      <c r="C2326" s="397">
        <v>59</v>
      </c>
    </row>
    <row r="2327" spans="1:3">
      <c r="A2327" s="86" t="s">
        <v>17799</v>
      </c>
      <c r="B2327" s="86" t="s">
        <v>17798</v>
      </c>
      <c r="C2327" s="397">
        <v>317</v>
      </c>
    </row>
    <row r="2328" spans="1:3">
      <c r="A2328" s="86" t="s">
        <v>17797</v>
      </c>
      <c r="B2328" s="86" t="s">
        <v>17796</v>
      </c>
      <c r="C2328" s="397">
        <v>301</v>
      </c>
    </row>
    <row r="2329" spans="1:3">
      <c r="A2329" s="86" t="s">
        <v>17795</v>
      </c>
      <c r="B2329" s="86" t="s">
        <v>17794</v>
      </c>
      <c r="C2329" s="397">
        <v>301</v>
      </c>
    </row>
    <row r="2330" spans="1:3">
      <c r="A2330" s="86" t="s">
        <v>17793</v>
      </c>
      <c r="B2330" s="86" t="s">
        <v>17792</v>
      </c>
      <c r="C2330" s="397">
        <v>189</v>
      </c>
    </row>
    <row r="2331" spans="1:3">
      <c r="A2331" s="86" t="s">
        <v>17791</v>
      </c>
      <c r="B2331" s="86" t="s">
        <v>17790</v>
      </c>
      <c r="C2331" s="397">
        <v>53</v>
      </c>
    </row>
    <row r="2332" spans="1:3">
      <c r="A2332" s="86" t="s">
        <v>17789</v>
      </c>
      <c r="B2332" s="86" t="s">
        <v>17745</v>
      </c>
      <c r="C2332" s="397">
        <v>70</v>
      </c>
    </row>
    <row r="2333" spans="1:3">
      <c r="A2333" s="86" t="s">
        <v>17788</v>
      </c>
      <c r="B2333" s="86" t="s">
        <v>17787</v>
      </c>
      <c r="C2333" s="397">
        <v>32</v>
      </c>
    </row>
    <row r="2334" spans="1:3">
      <c r="A2334" s="86" t="s">
        <v>17786</v>
      </c>
      <c r="B2334" s="86" t="s">
        <v>17785</v>
      </c>
      <c r="C2334" s="397">
        <v>52</v>
      </c>
    </row>
    <row r="2335" spans="1:3">
      <c r="A2335" s="86" t="s">
        <v>17784</v>
      </c>
      <c r="B2335" s="86" t="s">
        <v>17783</v>
      </c>
      <c r="C2335" s="397">
        <v>53</v>
      </c>
    </row>
    <row r="2336" spans="1:3">
      <c r="A2336" s="86" t="s">
        <v>17782</v>
      </c>
      <c r="B2336" s="86" t="s">
        <v>17781</v>
      </c>
      <c r="C2336" s="397">
        <v>51</v>
      </c>
    </row>
    <row r="2337" spans="1:3">
      <c r="A2337" s="86" t="s">
        <v>17780</v>
      </c>
      <c r="B2337" s="86" t="s">
        <v>17779</v>
      </c>
      <c r="C2337" s="397">
        <v>59</v>
      </c>
    </row>
    <row r="2338" spans="1:3">
      <c r="A2338" s="86" t="s">
        <v>17778</v>
      </c>
      <c r="B2338" s="86" t="s">
        <v>17777</v>
      </c>
      <c r="C2338" s="397">
        <v>40</v>
      </c>
    </row>
    <row r="2339" spans="1:3">
      <c r="A2339" s="86" t="s">
        <v>17776</v>
      </c>
      <c r="B2339" s="86" t="s">
        <v>17775</v>
      </c>
      <c r="C2339" s="397">
        <v>278</v>
      </c>
    </row>
    <row r="2340" spans="1:3">
      <c r="A2340" s="86" t="s">
        <v>17774</v>
      </c>
      <c r="B2340" s="86" t="s">
        <v>17773</v>
      </c>
      <c r="C2340" s="397">
        <v>278</v>
      </c>
    </row>
    <row r="2341" spans="1:3">
      <c r="A2341" s="86" t="s">
        <v>17772</v>
      </c>
      <c r="B2341" s="86" t="s">
        <v>17771</v>
      </c>
      <c r="C2341" s="397">
        <v>28</v>
      </c>
    </row>
    <row r="2342" spans="1:3">
      <c r="A2342" s="86" t="s">
        <v>17770</v>
      </c>
      <c r="B2342" s="86" t="s">
        <v>17769</v>
      </c>
      <c r="C2342" s="397">
        <v>75</v>
      </c>
    </row>
    <row r="2343" spans="1:3">
      <c r="A2343" s="86" t="s">
        <v>17768</v>
      </c>
      <c r="B2343" s="86" t="s">
        <v>17767</v>
      </c>
      <c r="C2343" s="397">
        <v>68</v>
      </c>
    </row>
    <row r="2344" spans="1:3">
      <c r="A2344" s="86" t="s">
        <v>17766</v>
      </c>
      <c r="B2344" s="86" t="s">
        <v>17765</v>
      </c>
      <c r="C2344" s="397">
        <v>70</v>
      </c>
    </row>
    <row r="2345" spans="1:3">
      <c r="A2345" s="86" t="s">
        <v>17764</v>
      </c>
      <c r="B2345" s="86" t="s">
        <v>17763</v>
      </c>
      <c r="C2345" s="397">
        <v>60</v>
      </c>
    </row>
    <row r="2346" spans="1:3">
      <c r="A2346" s="86" t="s">
        <v>17762</v>
      </c>
      <c r="B2346" s="86" t="s">
        <v>17761</v>
      </c>
      <c r="C2346" s="397">
        <v>53</v>
      </c>
    </row>
    <row r="2347" spans="1:3">
      <c r="A2347" s="86" t="s">
        <v>17760</v>
      </c>
      <c r="B2347" s="86" t="s">
        <v>17759</v>
      </c>
      <c r="C2347" s="397">
        <v>438</v>
      </c>
    </row>
    <row r="2348" spans="1:3">
      <c r="A2348" s="86" t="s">
        <v>17758</v>
      </c>
      <c r="B2348" s="86" t="s">
        <v>17757</v>
      </c>
      <c r="C2348" s="397">
        <v>40</v>
      </c>
    </row>
    <row r="2349" spans="1:3">
      <c r="A2349" s="86" t="s">
        <v>17756</v>
      </c>
      <c r="B2349" s="86" t="s">
        <v>17755</v>
      </c>
      <c r="C2349" s="397">
        <v>107</v>
      </c>
    </row>
    <row r="2350" spans="1:3">
      <c r="A2350" s="86" t="s">
        <v>17754</v>
      </c>
      <c r="B2350" s="86" t="s">
        <v>17753</v>
      </c>
      <c r="C2350" s="397">
        <v>27</v>
      </c>
    </row>
    <row r="2351" spans="1:3">
      <c r="A2351" s="86" t="s">
        <v>17752</v>
      </c>
      <c r="B2351" s="86" t="s">
        <v>17751</v>
      </c>
      <c r="C2351" s="397">
        <v>93</v>
      </c>
    </row>
    <row r="2352" spans="1:3">
      <c r="A2352" s="86" t="s">
        <v>17750</v>
      </c>
      <c r="B2352" s="86" t="s">
        <v>17749</v>
      </c>
      <c r="C2352" s="397">
        <v>93</v>
      </c>
    </row>
    <row r="2353" spans="1:3">
      <c r="A2353" s="86" t="s">
        <v>17748</v>
      </c>
      <c r="B2353" s="86" t="s">
        <v>17747</v>
      </c>
      <c r="C2353" s="397">
        <v>93</v>
      </c>
    </row>
    <row r="2354" spans="1:3">
      <c r="A2354" s="86" t="s">
        <v>17746</v>
      </c>
      <c r="B2354" s="86" t="s">
        <v>17745</v>
      </c>
      <c r="C2354" s="397">
        <v>29</v>
      </c>
    </row>
    <row r="2355" spans="1:3">
      <c r="A2355" s="86" t="s">
        <v>17744</v>
      </c>
      <c r="B2355" s="86" t="s">
        <v>17743</v>
      </c>
      <c r="C2355" s="397">
        <v>36</v>
      </c>
    </row>
    <row r="2356" spans="1:3">
      <c r="A2356" s="86" t="s">
        <v>17742</v>
      </c>
      <c r="B2356" s="86" t="s">
        <v>17741</v>
      </c>
      <c r="C2356" s="397">
        <v>72</v>
      </c>
    </row>
    <row r="2357" spans="1:3">
      <c r="A2357" s="86" t="s">
        <v>17740</v>
      </c>
      <c r="B2357" s="86" t="s">
        <v>17739</v>
      </c>
      <c r="C2357" s="397">
        <v>29</v>
      </c>
    </row>
    <row r="2358" spans="1:3">
      <c r="A2358" s="86" t="s">
        <v>17738</v>
      </c>
      <c r="B2358" s="86" t="s">
        <v>17737</v>
      </c>
      <c r="C2358" s="397">
        <v>29</v>
      </c>
    </row>
    <row r="2359" spans="1:3">
      <c r="A2359" s="86" t="s">
        <v>17736</v>
      </c>
      <c r="B2359" s="86" t="s">
        <v>17735</v>
      </c>
      <c r="C2359" s="397">
        <v>29</v>
      </c>
    </row>
    <row r="2360" spans="1:3">
      <c r="A2360" s="86" t="s">
        <v>17734</v>
      </c>
      <c r="B2360" s="86" t="s">
        <v>17733</v>
      </c>
      <c r="C2360" s="397">
        <v>87</v>
      </c>
    </row>
    <row r="2361" spans="1:3">
      <c r="A2361" s="86" t="s">
        <v>17732</v>
      </c>
      <c r="B2361" s="86" t="s">
        <v>17731</v>
      </c>
      <c r="C2361" s="397">
        <v>23</v>
      </c>
    </row>
    <row r="2362" spans="1:3">
      <c r="A2362" s="86" t="s">
        <v>17730</v>
      </c>
      <c r="B2362" s="86" t="s">
        <v>17729</v>
      </c>
      <c r="C2362" s="397">
        <v>16</v>
      </c>
    </row>
    <row r="2363" spans="1:3">
      <c r="A2363" s="86" t="s">
        <v>17728</v>
      </c>
      <c r="B2363" s="86" t="s">
        <v>17727</v>
      </c>
      <c r="C2363" s="397">
        <v>32</v>
      </c>
    </row>
    <row r="2364" spans="1:3">
      <c r="A2364" s="86" t="s">
        <v>17726</v>
      </c>
      <c r="B2364" s="86" t="s">
        <v>17725</v>
      </c>
      <c r="C2364" s="397">
        <v>69</v>
      </c>
    </row>
    <row r="2365" spans="1:3">
      <c r="A2365" s="86" t="s">
        <v>17724</v>
      </c>
      <c r="B2365" s="86" t="s">
        <v>17723</v>
      </c>
      <c r="C2365" s="397">
        <v>69</v>
      </c>
    </row>
    <row r="2366" spans="1:3">
      <c r="A2366" s="86" t="s">
        <v>17722</v>
      </c>
      <c r="B2366" s="86" t="s">
        <v>17721</v>
      </c>
      <c r="C2366" s="397">
        <v>69</v>
      </c>
    </row>
    <row r="2367" spans="1:3">
      <c r="A2367" s="86" t="s">
        <v>17720</v>
      </c>
      <c r="B2367" s="86" t="s">
        <v>17719</v>
      </c>
      <c r="C2367" s="397">
        <v>19</v>
      </c>
    </row>
    <row r="2368" spans="1:3">
      <c r="A2368" s="86" t="s">
        <v>17718</v>
      </c>
      <c r="B2368" s="86" t="s">
        <v>17717</v>
      </c>
      <c r="C2368" s="397">
        <v>266</v>
      </c>
    </row>
    <row r="2369" spans="1:3">
      <c r="A2369" s="86" t="s">
        <v>17716</v>
      </c>
      <c r="B2369" s="86" t="s">
        <v>17715</v>
      </c>
      <c r="C2369" s="397">
        <v>383</v>
      </c>
    </row>
    <row r="2370" spans="1:3">
      <c r="A2370" s="86" t="s">
        <v>17714</v>
      </c>
      <c r="B2370" s="86" t="s">
        <v>17713</v>
      </c>
      <c r="C2370" s="397">
        <v>68</v>
      </c>
    </row>
    <row r="2371" spans="1:3">
      <c r="A2371" s="86" t="s">
        <v>17712</v>
      </c>
      <c r="B2371" s="86" t="s">
        <v>17711</v>
      </c>
      <c r="C2371" s="397">
        <v>32</v>
      </c>
    </row>
    <row r="2372" spans="1:3">
      <c r="A2372" s="86" t="s">
        <v>17710</v>
      </c>
      <c r="B2372" s="86" t="s">
        <v>17709</v>
      </c>
      <c r="C2372" s="397">
        <v>311</v>
      </c>
    </row>
    <row r="2373" spans="1:3">
      <c r="A2373" s="86" t="s">
        <v>17708</v>
      </c>
      <c r="B2373" s="86" t="s">
        <v>17707</v>
      </c>
      <c r="C2373" s="397">
        <v>32</v>
      </c>
    </row>
    <row r="2374" spans="1:3">
      <c r="A2374" s="86" t="s">
        <v>17706</v>
      </c>
      <c r="B2374" s="86" t="s">
        <v>17705</v>
      </c>
      <c r="C2374" s="397">
        <v>62</v>
      </c>
    </row>
    <row r="2375" spans="1:3">
      <c r="A2375" s="86" t="s">
        <v>17704</v>
      </c>
      <c r="B2375" s="86" t="s">
        <v>17703</v>
      </c>
      <c r="C2375" s="397">
        <v>78</v>
      </c>
    </row>
    <row r="2376" spans="1:3">
      <c r="A2376" s="86" t="s">
        <v>17702</v>
      </c>
      <c r="B2376" s="86" t="s">
        <v>17701</v>
      </c>
      <c r="C2376" s="397">
        <v>80</v>
      </c>
    </row>
    <row r="2377" spans="1:3">
      <c r="A2377" s="86" t="s">
        <v>17700</v>
      </c>
      <c r="B2377" s="86" t="s">
        <v>17699</v>
      </c>
      <c r="C2377" s="397">
        <v>92</v>
      </c>
    </row>
    <row r="2378" spans="1:3">
      <c r="A2378" s="86" t="s">
        <v>17698</v>
      </c>
      <c r="B2378" s="86" t="s">
        <v>17697</v>
      </c>
      <c r="C2378" s="397">
        <v>80</v>
      </c>
    </row>
    <row r="2379" spans="1:3">
      <c r="A2379" s="86" t="s">
        <v>17696</v>
      </c>
      <c r="B2379" s="86" t="s">
        <v>17695</v>
      </c>
      <c r="C2379" s="397">
        <v>80</v>
      </c>
    </row>
    <row r="2380" spans="1:3">
      <c r="A2380" s="86" t="s">
        <v>17694</v>
      </c>
      <c r="B2380" s="86" t="s">
        <v>17693</v>
      </c>
      <c r="C2380" s="397">
        <v>80</v>
      </c>
    </row>
    <row r="2381" spans="1:3">
      <c r="A2381" s="86" t="s">
        <v>17692</v>
      </c>
      <c r="B2381" s="86" t="s">
        <v>17691</v>
      </c>
      <c r="C2381" s="397">
        <v>92</v>
      </c>
    </row>
    <row r="2382" spans="1:3">
      <c r="A2382" s="86" t="s">
        <v>17690</v>
      </c>
      <c r="B2382" s="86" t="s">
        <v>17689</v>
      </c>
      <c r="C2382" s="397">
        <v>97</v>
      </c>
    </row>
    <row r="2383" spans="1:3">
      <c r="A2383" s="86" t="s">
        <v>17688</v>
      </c>
      <c r="B2383" s="86" t="s">
        <v>17687</v>
      </c>
      <c r="C2383" s="397">
        <v>54</v>
      </c>
    </row>
    <row r="2384" spans="1:3">
      <c r="A2384" s="86" t="s">
        <v>17686</v>
      </c>
      <c r="B2384" s="86" t="s">
        <v>17685</v>
      </c>
      <c r="C2384" s="397">
        <v>292</v>
      </c>
    </row>
    <row r="2385" spans="1:3">
      <c r="A2385" s="86" t="s">
        <v>17684</v>
      </c>
      <c r="B2385" s="86" t="s">
        <v>17683</v>
      </c>
      <c r="C2385" s="397">
        <v>183</v>
      </c>
    </row>
    <row r="2386" spans="1:3">
      <c r="A2386" s="86" t="s">
        <v>17682</v>
      </c>
      <c r="B2386" s="86" t="s">
        <v>17681</v>
      </c>
      <c r="C2386" s="397">
        <v>31</v>
      </c>
    </row>
    <row r="2387" spans="1:3">
      <c r="A2387" s="86" t="s">
        <v>17680</v>
      </c>
      <c r="B2387" s="86" t="s">
        <v>17679</v>
      </c>
      <c r="C2387" s="397">
        <v>57</v>
      </c>
    </row>
    <row r="2388" spans="1:3">
      <c r="A2388" s="86" t="s">
        <v>17678</v>
      </c>
      <c r="B2388" s="86" t="s">
        <v>17677</v>
      </c>
      <c r="C2388" s="397">
        <v>16</v>
      </c>
    </row>
    <row r="2389" spans="1:3">
      <c r="A2389" s="86" t="s">
        <v>17676</v>
      </c>
      <c r="B2389" s="86" t="s">
        <v>17675</v>
      </c>
      <c r="C2389" s="397">
        <v>31</v>
      </c>
    </row>
    <row r="2390" spans="1:3">
      <c r="A2390" s="86" t="s">
        <v>17674</v>
      </c>
      <c r="B2390" s="86" t="s">
        <v>17673</v>
      </c>
      <c r="C2390" s="397">
        <v>131</v>
      </c>
    </row>
    <row r="2391" spans="1:3">
      <c r="A2391" s="86" t="s">
        <v>17672</v>
      </c>
      <c r="B2391" s="86" t="s">
        <v>17671</v>
      </c>
      <c r="C2391" s="397">
        <v>245</v>
      </c>
    </row>
    <row r="2392" spans="1:3">
      <c r="A2392" s="86" t="s">
        <v>17670</v>
      </c>
      <c r="B2392" s="86" t="s">
        <v>17669</v>
      </c>
      <c r="C2392" s="397">
        <v>272</v>
      </c>
    </row>
    <row r="2393" spans="1:3">
      <c r="A2393" s="86" t="s">
        <v>17668</v>
      </c>
      <c r="B2393" s="86" t="s">
        <v>17667</v>
      </c>
      <c r="C2393" s="397">
        <v>114</v>
      </c>
    </row>
    <row r="2394" spans="1:3">
      <c r="A2394" s="86" t="s">
        <v>17666</v>
      </c>
      <c r="B2394" s="86" t="s">
        <v>17665</v>
      </c>
      <c r="C2394" s="397">
        <v>137</v>
      </c>
    </row>
    <row r="2395" spans="1:3">
      <c r="A2395" s="86" t="s">
        <v>17664</v>
      </c>
      <c r="B2395" s="86" t="s">
        <v>17663</v>
      </c>
      <c r="C2395" s="397">
        <v>137</v>
      </c>
    </row>
    <row r="2396" spans="1:3">
      <c r="A2396" s="86" t="s">
        <v>17662</v>
      </c>
      <c r="B2396" s="86" t="s">
        <v>17661</v>
      </c>
      <c r="C2396" s="397">
        <v>73</v>
      </c>
    </row>
    <row r="2397" spans="1:3">
      <c r="A2397" s="86" t="s">
        <v>17660</v>
      </c>
      <c r="B2397" s="86" t="s">
        <v>17659</v>
      </c>
      <c r="C2397" s="397">
        <v>184</v>
      </c>
    </row>
    <row r="2398" spans="1:3">
      <c r="A2398" s="86" t="s">
        <v>17658</v>
      </c>
      <c r="B2398" s="86" t="s">
        <v>17657</v>
      </c>
      <c r="C2398" s="397">
        <v>124</v>
      </c>
    </row>
    <row r="2399" spans="1:3">
      <c r="A2399" s="86" t="s">
        <v>17656</v>
      </c>
      <c r="B2399" s="86" t="s">
        <v>17655</v>
      </c>
      <c r="C2399" s="397">
        <v>124</v>
      </c>
    </row>
    <row r="2400" spans="1:3">
      <c r="A2400" s="86" t="s">
        <v>17654</v>
      </c>
      <c r="B2400" s="86" t="s">
        <v>17653</v>
      </c>
      <c r="C2400" s="397">
        <v>365</v>
      </c>
    </row>
    <row r="2401" spans="1:3">
      <c r="A2401" s="86" t="s">
        <v>17652</v>
      </c>
      <c r="B2401" s="86" t="s">
        <v>17651</v>
      </c>
      <c r="C2401" s="397">
        <v>292</v>
      </c>
    </row>
    <row r="2402" spans="1:3">
      <c r="A2402" s="86" t="s">
        <v>17650</v>
      </c>
      <c r="B2402" s="86" t="s">
        <v>17649</v>
      </c>
      <c r="C2402" s="397">
        <v>70</v>
      </c>
    </row>
    <row r="2403" spans="1:3">
      <c r="A2403" s="86" t="s">
        <v>17648</v>
      </c>
      <c r="B2403" s="86" t="s">
        <v>17647</v>
      </c>
      <c r="C2403" s="397">
        <v>102</v>
      </c>
    </row>
    <row r="2404" spans="1:3">
      <c r="A2404" s="86" t="s">
        <v>17646</v>
      </c>
      <c r="B2404" s="86" t="s">
        <v>17645</v>
      </c>
      <c r="C2404" s="397">
        <v>118</v>
      </c>
    </row>
    <row r="2405" spans="1:3">
      <c r="A2405" s="86" t="s">
        <v>17644</v>
      </c>
      <c r="B2405" s="86" t="s">
        <v>17642</v>
      </c>
      <c r="C2405" s="397">
        <v>286</v>
      </c>
    </row>
    <row r="2406" spans="1:3">
      <c r="A2406" s="86" t="s">
        <v>17643</v>
      </c>
      <c r="B2406" s="86" t="s">
        <v>17642</v>
      </c>
      <c r="C2406" s="397">
        <v>286</v>
      </c>
    </row>
    <row r="2407" spans="1:3">
      <c r="A2407" s="86" t="s">
        <v>17641</v>
      </c>
      <c r="B2407" s="86" t="s">
        <v>17640</v>
      </c>
      <c r="C2407" s="397">
        <v>40</v>
      </c>
    </row>
    <row r="2408" spans="1:3">
      <c r="A2408" s="86" t="s">
        <v>17639</v>
      </c>
      <c r="B2408" s="86" t="s">
        <v>17638</v>
      </c>
      <c r="C2408" s="397">
        <v>28</v>
      </c>
    </row>
    <row r="2409" spans="1:3">
      <c r="A2409" s="86" t="s">
        <v>17637</v>
      </c>
      <c r="B2409" s="86" t="s">
        <v>17636</v>
      </c>
      <c r="C2409" s="397">
        <v>18</v>
      </c>
    </row>
    <row r="2410" spans="1:3">
      <c r="A2410" s="86" t="s">
        <v>17635</v>
      </c>
      <c r="B2410" s="86" t="s">
        <v>17634</v>
      </c>
      <c r="C2410" s="397">
        <v>30</v>
      </c>
    </row>
    <row r="2411" spans="1:3">
      <c r="A2411" s="86" t="s">
        <v>17633</v>
      </c>
      <c r="B2411" s="86" t="s">
        <v>17632</v>
      </c>
      <c r="C2411" s="397">
        <v>23</v>
      </c>
    </row>
    <row r="2412" spans="1:3">
      <c r="A2412" s="86" t="s">
        <v>17631</v>
      </c>
      <c r="B2412" s="86" t="s">
        <v>17630</v>
      </c>
      <c r="C2412" s="397">
        <v>47</v>
      </c>
    </row>
    <row r="2413" spans="1:3">
      <c r="A2413" s="86" t="s">
        <v>17629</v>
      </c>
      <c r="B2413" s="86" t="s">
        <v>17628</v>
      </c>
      <c r="C2413" s="397">
        <v>708</v>
      </c>
    </row>
    <row r="2414" spans="1:3">
      <c r="A2414" s="86" t="s">
        <v>17627</v>
      </c>
      <c r="B2414" s="86" t="s">
        <v>17626</v>
      </c>
      <c r="C2414" s="397">
        <v>911</v>
      </c>
    </row>
    <row r="2415" spans="1:3">
      <c r="A2415" s="86" t="s">
        <v>17625</v>
      </c>
      <c r="B2415" s="86" t="s">
        <v>17624</v>
      </c>
      <c r="C2415" s="397">
        <v>2552</v>
      </c>
    </row>
    <row r="2416" spans="1:3">
      <c r="A2416" s="86" t="s">
        <v>17623</v>
      </c>
      <c r="B2416" s="86" t="s">
        <v>17622</v>
      </c>
      <c r="C2416" s="397">
        <v>2552</v>
      </c>
    </row>
    <row r="2417" spans="1:3">
      <c r="A2417" s="86" t="s">
        <v>17621</v>
      </c>
      <c r="B2417" s="86" t="s">
        <v>17620</v>
      </c>
      <c r="C2417" s="397">
        <v>2861</v>
      </c>
    </row>
    <row r="2418" spans="1:3">
      <c r="A2418" s="86" t="s">
        <v>17619</v>
      </c>
      <c r="B2418" s="86" t="s">
        <v>17618</v>
      </c>
      <c r="C2418" s="397">
        <v>3028</v>
      </c>
    </row>
    <row r="2419" spans="1:3">
      <c r="A2419" s="86" t="s">
        <v>17617</v>
      </c>
      <c r="B2419" s="86" t="s">
        <v>17616</v>
      </c>
      <c r="C2419" s="397">
        <v>911</v>
      </c>
    </row>
    <row r="2420" spans="1:3">
      <c r="A2420" s="86" t="s">
        <v>17615</v>
      </c>
      <c r="B2420" s="86" t="s">
        <v>17614</v>
      </c>
      <c r="C2420" s="397">
        <v>844</v>
      </c>
    </row>
    <row r="2421" spans="1:3">
      <c r="A2421" s="86" t="s">
        <v>17613</v>
      </c>
      <c r="B2421" s="86" t="s">
        <v>17612</v>
      </c>
      <c r="C2421" s="397">
        <v>173</v>
      </c>
    </row>
    <row r="2422" spans="1:3">
      <c r="A2422" s="86" t="s">
        <v>17611</v>
      </c>
      <c r="B2422" s="86" t="s">
        <v>17610</v>
      </c>
      <c r="C2422" s="397">
        <v>911</v>
      </c>
    </row>
    <row r="2423" spans="1:3">
      <c r="A2423" s="86" t="s">
        <v>17609</v>
      </c>
      <c r="B2423" s="86" t="s">
        <v>17608</v>
      </c>
      <c r="C2423" s="397">
        <v>365</v>
      </c>
    </row>
    <row r="2424" spans="1:3">
      <c r="A2424" s="86" t="s">
        <v>17607</v>
      </c>
      <c r="B2424" s="86" t="s">
        <v>17606</v>
      </c>
      <c r="C2424" s="397">
        <v>363</v>
      </c>
    </row>
    <row r="2425" spans="1:3">
      <c r="A2425" s="86" t="s">
        <v>17605</v>
      </c>
      <c r="B2425" s="86" t="s">
        <v>17604</v>
      </c>
      <c r="C2425" s="397">
        <v>63</v>
      </c>
    </row>
    <row r="2426" spans="1:3">
      <c r="A2426" s="86" t="s">
        <v>17603</v>
      </c>
      <c r="B2426" s="86" t="s">
        <v>17602</v>
      </c>
      <c r="C2426" s="397">
        <v>23</v>
      </c>
    </row>
    <row r="2427" spans="1:3">
      <c r="A2427" s="86" t="s">
        <v>17601</v>
      </c>
      <c r="B2427" s="86" t="s">
        <v>17600</v>
      </c>
      <c r="C2427" s="397">
        <v>78</v>
      </c>
    </row>
    <row r="2428" spans="1:3">
      <c r="A2428" s="86" t="s">
        <v>17599</v>
      </c>
      <c r="B2428" s="86" t="s">
        <v>17598</v>
      </c>
      <c r="C2428" s="397">
        <v>36</v>
      </c>
    </row>
    <row r="2429" spans="1:3">
      <c r="A2429" s="86" t="s">
        <v>17597</v>
      </c>
      <c r="B2429" s="86" t="s">
        <v>17596</v>
      </c>
      <c r="C2429" s="397">
        <v>93</v>
      </c>
    </row>
    <row r="2430" spans="1:3">
      <c r="A2430" s="86" t="s">
        <v>17595</v>
      </c>
      <c r="B2430" s="86" t="s">
        <v>17594</v>
      </c>
      <c r="C2430" s="397">
        <v>27</v>
      </c>
    </row>
    <row r="2431" spans="1:3">
      <c r="A2431" s="86" t="s">
        <v>17593</v>
      </c>
      <c r="B2431" s="86" t="s">
        <v>17592</v>
      </c>
      <c r="C2431" s="397">
        <v>28</v>
      </c>
    </row>
    <row r="2432" spans="1:3">
      <c r="A2432" s="86" t="s">
        <v>17591</v>
      </c>
      <c r="B2432" s="86" t="s">
        <v>17590</v>
      </c>
      <c r="C2432" s="397">
        <v>36</v>
      </c>
    </row>
    <row r="2433" spans="1:3">
      <c r="A2433" s="86" t="s">
        <v>17589</v>
      </c>
      <c r="B2433" s="86" t="s">
        <v>17588</v>
      </c>
      <c r="C2433" s="397">
        <v>378</v>
      </c>
    </row>
    <row r="2434" spans="1:3">
      <c r="A2434" s="86" t="s">
        <v>17587</v>
      </c>
      <c r="B2434" s="86" t="s">
        <v>17586</v>
      </c>
      <c r="C2434" s="397">
        <v>378</v>
      </c>
    </row>
    <row r="2435" spans="1:3">
      <c r="A2435" s="86" t="s">
        <v>17585</v>
      </c>
      <c r="B2435" s="86" t="s">
        <v>17584</v>
      </c>
      <c r="C2435" s="397">
        <v>1917</v>
      </c>
    </row>
    <row r="2436" spans="1:3">
      <c r="A2436" s="86" t="s">
        <v>17583</v>
      </c>
      <c r="B2436" s="86" t="s">
        <v>17582</v>
      </c>
      <c r="C2436" s="397">
        <v>1875</v>
      </c>
    </row>
    <row r="2437" spans="1:3">
      <c r="A2437" s="86" t="s">
        <v>17581</v>
      </c>
      <c r="B2437" s="86" t="s">
        <v>17580</v>
      </c>
      <c r="C2437" s="397">
        <v>869</v>
      </c>
    </row>
    <row r="2438" spans="1:3">
      <c r="A2438" s="86" t="s">
        <v>17579</v>
      </c>
      <c r="B2438" s="86" t="s">
        <v>17578</v>
      </c>
      <c r="C2438" s="397">
        <v>417</v>
      </c>
    </row>
    <row r="2439" spans="1:3">
      <c r="A2439" s="86" t="s">
        <v>17577</v>
      </c>
      <c r="B2439" s="86" t="s">
        <v>17576</v>
      </c>
      <c r="C2439" s="397">
        <v>1531</v>
      </c>
    </row>
    <row r="2440" spans="1:3">
      <c r="A2440" s="86" t="s">
        <v>17575</v>
      </c>
      <c r="B2440" s="86" t="s">
        <v>17574</v>
      </c>
      <c r="C2440" s="397">
        <v>45</v>
      </c>
    </row>
    <row r="2441" spans="1:3">
      <c r="A2441" s="86" t="s">
        <v>17573</v>
      </c>
      <c r="B2441" s="86" t="s">
        <v>17572</v>
      </c>
      <c r="C2441" s="397">
        <v>45</v>
      </c>
    </row>
    <row r="2442" spans="1:3">
      <c r="A2442" s="86" t="s">
        <v>17571</v>
      </c>
      <c r="B2442" s="86" t="s">
        <v>17570</v>
      </c>
      <c r="C2442" s="397">
        <v>976</v>
      </c>
    </row>
    <row r="2443" spans="1:3">
      <c r="A2443" s="86" t="s">
        <v>17569</v>
      </c>
      <c r="B2443" s="86" t="s">
        <v>17568</v>
      </c>
      <c r="C2443" s="397">
        <v>698</v>
      </c>
    </row>
    <row r="2444" spans="1:3">
      <c r="A2444" s="86" t="s">
        <v>17567</v>
      </c>
      <c r="B2444" s="86" t="s">
        <v>17566</v>
      </c>
      <c r="C2444" s="397">
        <v>17</v>
      </c>
    </row>
    <row r="2445" spans="1:3">
      <c r="A2445" s="86" t="s">
        <v>17565</v>
      </c>
      <c r="B2445" s="86" t="s">
        <v>17564</v>
      </c>
      <c r="C2445" s="397">
        <v>767</v>
      </c>
    </row>
    <row r="2446" spans="1:3">
      <c r="A2446" s="86" t="s">
        <v>17563</v>
      </c>
      <c r="B2446" s="86" t="s">
        <v>17562</v>
      </c>
      <c r="C2446" s="397">
        <v>65</v>
      </c>
    </row>
    <row r="2447" spans="1:3">
      <c r="A2447" s="86" t="s">
        <v>17561</v>
      </c>
      <c r="B2447" s="86" t="s">
        <v>17560</v>
      </c>
      <c r="C2447" s="397">
        <v>1514</v>
      </c>
    </row>
    <row r="2448" spans="1:3">
      <c r="A2448" s="86" t="s">
        <v>17559</v>
      </c>
      <c r="B2448" s="86" t="s">
        <v>17558</v>
      </c>
      <c r="C2448" s="397">
        <v>27</v>
      </c>
    </row>
    <row r="2449" spans="1:3">
      <c r="A2449" s="86" t="s">
        <v>17557</v>
      </c>
      <c r="B2449" s="86" t="s">
        <v>17556</v>
      </c>
      <c r="C2449" s="397">
        <v>32</v>
      </c>
    </row>
    <row r="2450" spans="1:3">
      <c r="A2450" s="86" t="s">
        <v>17555</v>
      </c>
      <c r="B2450" s="86" t="s">
        <v>17554</v>
      </c>
      <c r="C2450" s="397">
        <v>829</v>
      </c>
    </row>
    <row r="2451" spans="1:3">
      <c r="A2451" s="86" t="s">
        <v>17553</v>
      </c>
      <c r="B2451" s="86" t="s">
        <v>17552</v>
      </c>
      <c r="C2451" s="397">
        <v>443</v>
      </c>
    </row>
    <row r="2452" spans="1:3">
      <c r="A2452" s="86" t="s">
        <v>17551</v>
      </c>
      <c r="B2452" s="86" t="s">
        <v>17550</v>
      </c>
      <c r="C2452" s="397">
        <v>26</v>
      </c>
    </row>
    <row r="2453" spans="1:3">
      <c r="A2453" s="86" t="s">
        <v>17549</v>
      </c>
      <c r="B2453" s="86" t="s">
        <v>17548</v>
      </c>
      <c r="C2453" s="397">
        <v>414</v>
      </c>
    </row>
    <row r="2454" spans="1:3">
      <c r="A2454" s="86" t="s">
        <v>17547</v>
      </c>
      <c r="B2454" s="86" t="s">
        <v>17546</v>
      </c>
      <c r="C2454" s="397">
        <v>56</v>
      </c>
    </row>
    <row r="2455" spans="1:3">
      <c r="A2455" s="86" t="s">
        <v>17545</v>
      </c>
      <c r="B2455" s="86" t="s">
        <v>17544</v>
      </c>
      <c r="C2455" s="397">
        <v>73</v>
      </c>
    </row>
    <row r="2456" spans="1:3">
      <c r="A2456" s="86" t="s">
        <v>17543</v>
      </c>
      <c r="B2456" s="86" t="s">
        <v>17542</v>
      </c>
      <c r="C2456" s="397">
        <v>321</v>
      </c>
    </row>
    <row r="2457" spans="1:3">
      <c r="A2457" s="86" t="s">
        <v>17541</v>
      </c>
      <c r="B2457" s="86" t="s">
        <v>17540</v>
      </c>
      <c r="C2457" s="397">
        <v>194</v>
      </c>
    </row>
    <row r="2458" spans="1:3">
      <c r="A2458" s="86" t="s">
        <v>17539</v>
      </c>
      <c r="B2458" s="86" t="s">
        <v>17538</v>
      </c>
      <c r="C2458" s="397">
        <v>66</v>
      </c>
    </row>
    <row r="2459" spans="1:3">
      <c r="A2459" s="86" t="s">
        <v>17537</v>
      </c>
      <c r="B2459" s="86" t="s">
        <v>17536</v>
      </c>
      <c r="C2459" s="397">
        <v>145</v>
      </c>
    </row>
    <row r="2460" spans="1:3">
      <c r="A2460" s="86" t="s">
        <v>17535</v>
      </c>
      <c r="B2460" s="86" t="s">
        <v>17534</v>
      </c>
      <c r="C2460" s="397">
        <v>130</v>
      </c>
    </row>
    <row r="2461" spans="1:3">
      <c r="A2461" s="86" t="s">
        <v>17533</v>
      </c>
      <c r="B2461" s="86" t="s">
        <v>17532</v>
      </c>
      <c r="C2461" s="397">
        <v>130</v>
      </c>
    </row>
    <row r="2462" spans="1:3">
      <c r="A2462" s="86" t="s">
        <v>17531</v>
      </c>
      <c r="B2462" s="86" t="s">
        <v>17530</v>
      </c>
      <c r="C2462" s="397">
        <v>228</v>
      </c>
    </row>
    <row r="2463" spans="1:3">
      <c r="A2463" s="86" t="s">
        <v>17529</v>
      </c>
      <c r="B2463" s="86" t="s">
        <v>17528</v>
      </c>
      <c r="C2463" s="397">
        <v>228</v>
      </c>
    </row>
    <row r="2464" spans="1:3">
      <c r="A2464" s="86" t="s">
        <v>17527</v>
      </c>
      <c r="B2464" s="86" t="s">
        <v>17526</v>
      </c>
      <c r="C2464" s="397">
        <v>194</v>
      </c>
    </row>
    <row r="2465" spans="1:3">
      <c r="A2465" s="86" t="s">
        <v>17525</v>
      </c>
      <c r="B2465" s="86" t="s">
        <v>17524</v>
      </c>
      <c r="C2465" s="397">
        <v>194</v>
      </c>
    </row>
    <row r="2466" spans="1:3">
      <c r="A2466" s="86" t="s">
        <v>17523</v>
      </c>
      <c r="B2466" s="86" t="s">
        <v>17522</v>
      </c>
      <c r="C2466" s="397">
        <v>195</v>
      </c>
    </row>
    <row r="2467" spans="1:3">
      <c r="A2467" s="86" t="s">
        <v>17521</v>
      </c>
      <c r="B2467" s="86" t="s">
        <v>17520</v>
      </c>
      <c r="C2467" s="397">
        <v>195</v>
      </c>
    </row>
    <row r="2468" spans="1:3">
      <c r="A2468" s="86" t="s">
        <v>17519</v>
      </c>
      <c r="B2468" s="86" t="s">
        <v>17518</v>
      </c>
      <c r="C2468" s="397">
        <v>101</v>
      </c>
    </row>
    <row r="2469" spans="1:3">
      <c r="A2469" s="86" t="s">
        <v>17517</v>
      </c>
      <c r="B2469" s="86" t="s">
        <v>17516</v>
      </c>
      <c r="C2469" s="397">
        <v>449</v>
      </c>
    </row>
    <row r="2470" spans="1:3">
      <c r="A2470" s="86" t="s">
        <v>17515</v>
      </c>
      <c r="B2470" s="86" t="s">
        <v>17514</v>
      </c>
      <c r="C2470" s="397">
        <v>601</v>
      </c>
    </row>
    <row r="2471" spans="1:3">
      <c r="A2471" s="86" t="s">
        <v>17513</v>
      </c>
      <c r="B2471" s="86" t="s">
        <v>17512</v>
      </c>
      <c r="C2471" s="397">
        <v>135</v>
      </c>
    </row>
    <row r="2472" spans="1:3">
      <c r="A2472" s="86" t="s">
        <v>17511</v>
      </c>
      <c r="B2472" s="86" t="s">
        <v>17510</v>
      </c>
      <c r="C2472" s="397">
        <v>135</v>
      </c>
    </row>
    <row r="2473" spans="1:3">
      <c r="A2473" s="86" t="s">
        <v>17509</v>
      </c>
      <c r="B2473" s="86" t="s">
        <v>17508</v>
      </c>
      <c r="C2473" s="397">
        <v>425</v>
      </c>
    </row>
    <row r="2474" spans="1:3">
      <c r="A2474" s="86" t="s">
        <v>17507</v>
      </c>
      <c r="B2474" s="86" t="s">
        <v>17506</v>
      </c>
      <c r="C2474" s="397">
        <v>420</v>
      </c>
    </row>
    <row r="2475" spans="1:3">
      <c r="A2475" s="86" t="s">
        <v>17505</v>
      </c>
      <c r="B2475" s="86" t="s">
        <v>17504</v>
      </c>
      <c r="C2475" s="397">
        <v>114</v>
      </c>
    </row>
    <row r="2476" spans="1:3">
      <c r="A2476" s="86" t="s">
        <v>17503</v>
      </c>
      <c r="B2476" s="86" t="s">
        <v>17502</v>
      </c>
      <c r="C2476" s="397">
        <v>114</v>
      </c>
    </row>
    <row r="2477" spans="1:3">
      <c r="A2477" s="86" t="s">
        <v>17501</v>
      </c>
      <c r="B2477" s="86" t="s">
        <v>17500</v>
      </c>
      <c r="C2477" s="397">
        <v>68</v>
      </c>
    </row>
    <row r="2478" spans="1:3">
      <c r="A2478" s="86" t="s">
        <v>17499</v>
      </c>
      <c r="B2478" s="86" t="s">
        <v>17498</v>
      </c>
      <c r="C2478" s="397">
        <v>68</v>
      </c>
    </row>
    <row r="2479" spans="1:3">
      <c r="A2479" s="86" t="s">
        <v>17497</v>
      </c>
      <c r="B2479" s="86" t="s">
        <v>17496</v>
      </c>
      <c r="C2479" s="397">
        <v>397</v>
      </c>
    </row>
    <row r="2480" spans="1:3">
      <c r="A2480" s="86" t="s">
        <v>17495</v>
      </c>
      <c r="B2480" s="86" t="s">
        <v>17494</v>
      </c>
      <c r="C2480" s="397">
        <v>131</v>
      </c>
    </row>
    <row r="2481" spans="1:3">
      <c r="A2481" s="86" t="s">
        <v>17493</v>
      </c>
      <c r="B2481" s="86" t="s">
        <v>17492</v>
      </c>
      <c r="C2481" s="397">
        <v>131</v>
      </c>
    </row>
    <row r="2482" spans="1:3">
      <c r="A2482" s="86" t="s">
        <v>17491</v>
      </c>
      <c r="B2482" s="86" t="s">
        <v>17490</v>
      </c>
      <c r="C2482" s="397">
        <v>96</v>
      </c>
    </row>
    <row r="2483" spans="1:3">
      <c r="A2483" s="86" t="s">
        <v>17489</v>
      </c>
      <c r="B2483" s="86" t="s">
        <v>17488</v>
      </c>
      <c r="C2483" s="397">
        <v>96</v>
      </c>
    </row>
    <row r="2484" spans="1:3">
      <c r="A2484" s="86" t="s">
        <v>17487</v>
      </c>
      <c r="B2484" s="86" t="s">
        <v>17486</v>
      </c>
      <c r="C2484" s="397">
        <v>423</v>
      </c>
    </row>
    <row r="2485" spans="1:3">
      <c r="A2485" s="86" t="s">
        <v>17485</v>
      </c>
      <c r="B2485" s="86" t="s">
        <v>17484</v>
      </c>
      <c r="C2485" s="397">
        <v>321</v>
      </c>
    </row>
    <row r="2486" spans="1:3">
      <c r="A2486" s="86" t="s">
        <v>17483</v>
      </c>
      <c r="B2486" s="86" t="s">
        <v>17482</v>
      </c>
      <c r="C2486" s="397">
        <v>145</v>
      </c>
    </row>
    <row r="2487" spans="1:3">
      <c r="A2487" s="86" t="s">
        <v>17481</v>
      </c>
      <c r="B2487" s="86" t="s">
        <v>17480</v>
      </c>
      <c r="C2487" s="397">
        <v>145</v>
      </c>
    </row>
    <row r="2488" spans="1:3">
      <c r="A2488" s="86" t="s">
        <v>17479</v>
      </c>
      <c r="B2488" s="86" t="s">
        <v>17478</v>
      </c>
      <c r="C2488" s="397">
        <v>93</v>
      </c>
    </row>
    <row r="2489" spans="1:3">
      <c r="A2489" s="86" t="s">
        <v>17477</v>
      </c>
      <c r="B2489" s="86" t="s">
        <v>17476</v>
      </c>
      <c r="C2489" s="397">
        <v>93</v>
      </c>
    </row>
    <row r="2490" spans="1:3">
      <c r="A2490" s="86" t="s">
        <v>17475</v>
      </c>
      <c r="B2490" s="86" t="s">
        <v>17474</v>
      </c>
      <c r="C2490" s="397">
        <v>431</v>
      </c>
    </row>
    <row r="2491" spans="1:3">
      <c r="A2491" s="86" t="s">
        <v>17473</v>
      </c>
      <c r="B2491" s="86" t="s">
        <v>17472</v>
      </c>
      <c r="C2491" s="397">
        <v>287</v>
      </c>
    </row>
    <row r="2492" spans="1:3">
      <c r="A2492" s="86" t="s">
        <v>17471</v>
      </c>
      <c r="B2492" s="86" t="s">
        <v>17470</v>
      </c>
      <c r="C2492" s="397">
        <v>145</v>
      </c>
    </row>
    <row r="2493" spans="1:3">
      <c r="A2493" s="86" t="s">
        <v>17469</v>
      </c>
      <c r="B2493" s="86" t="s">
        <v>17468</v>
      </c>
      <c r="C2493" s="397">
        <v>145</v>
      </c>
    </row>
    <row r="2494" spans="1:3">
      <c r="A2494" s="86" t="s">
        <v>17467</v>
      </c>
      <c r="B2494" s="86" t="s">
        <v>17466</v>
      </c>
      <c r="C2494" s="397">
        <v>101</v>
      </c>
    </row>
    <row r="2495" spans="1:3">
      <c r="A2495" s="86" t="s">
        <v>17465</v>
      </c>
      <c r="B2495" s="86" t="s">
        <v>17464</v>
      </c>
      <c r="C2495" s="397">
        <v>101</v>
      </c>
    </row>
    <row r="2496" spans="1:3">
      <c r="A2496" s="86" t="s">
        <v>17463</v>
      </c>
      <c r="B2496" s="86" t="s">
        <v>17462</v>
      </c>
      <c r="C2496" s="397">
        <v>438</v>
      </c>
    </row>
    <row r="2497" spans="1:3">
      <c r="A2497" s="86" t="s">
        <v>17461</v>
      </c>
      <c r="B2497" s="86" t="s">
        <v>17460</v>
      </c>
      <c r="C2497" s="397">
        <v>162</v>
      </c>
    </row>
    <row r="2498" spans="1:3">
      <c r="A2498" s="86" t="s">
        <v>17459</v>
      </c>
      <c r="B2498" s="86" t="s">
        <v>17458</v>
      </c>
      <c r="C2498" s="397">
        <v>170</v>
      </c>
    </row>
    <row r="2499" spans="1:3">
      <c r="A2499" s="86" t="s">
        <v>17457</v>
      </c>
      <c r="B2499" s="86" t="s">
        <v>17456</v>
      </c>
      <c r="C2499" s="397">
        <v>170</v>
      </c>
    </row>
    <row r="2500" spans="1:3">
      <c r="A2500" s="86" t="s">
        <v>17455</v>
      </c>
      <c r="B2500" s="86" t="s">
        <v>17454</v>
      </c>
      <c r="C2500" s="397">
        <v>164</v>
      </c>
    </row>
    <row r="2501" spans="1:3">
      <c r="A2501" s="86" t="s">
        <v>17453</v>
      </c>
      <c r="B2501" s="86" t="s">
        <v>17452</v>
      </c>
      <c r="C2501" s="397">
        <v>164</v>
      </c>
    </row>
    <row r="2502" spans="1:3">
      <c r="A2502" s="86" t="s">
        <v>17451</v>
      </c>
      <c r="B2502" s="86" t="s">
        <v>17450</v>
      </c>
      <c r="C2502" s="397">
        <v>174</v>
      </c>
    </row>
    <row r="2503" spans="1:3">
      <c r="A2503" s="86" t="s">
        <v>17449</v>
      </c>
      <c r="B2503" s="86" t="s">
        <v>17448</v>
      </c>
      <c r="C2503" s="397">
        <v>174</v>
      </c>
    </row>
    <row r="2504" spans="1:3">
      <c r="A2504" s="86" t="s">
        <v>17447</v>
      </c>
      <c r="B2504" s="86" t="s">
        <v>17446</v>
      </c>
      <c r="C2504" s="397">
        <v>449</v>
      </c>
    </row>
    <row r="2505" spans="1:3">
      <c r="A2505" s="86" t="s">
        <v>17445</v>
      </c>
      <c r="B2505" s="86" t="s">
        <v>17444</v>
      </c>
      <c r="C2505" s="397">
        <v>609</v>
      </c>
    </row>
    <row r="2506" spans="1:3">
      <c r="A2506" s="86" t="s">
        <v>17443</v>
      </c>
      <c r="B2506" s="86" t="s">
        <v>17442</v>
      </c>
      <c r="C2506" s="397">
        <v>508</v>
      </c>
    </row>
    <row r="2507" spans="1:3">
      <c r="A2507" s="86" t="s">
        <v>17441</v>
      </c>
      <c r="B2507" s="86" t="s">
        <v>17440</v>
      </c>
      <c r="C2507" s="397">
        <v>195</v>
      </c>
    </row>
    <row r="2508" spans="1:3">
      <c r="A2508" s="86" t="s">
        <v>17439</v>
      </c>
      <c r="B2508" s="86" t="s">
        <v>17438</v>
      </c>
      <c r="C2508" s="397">
        <v>153</v>
      </c>
    </row>
    <row r="2509" spans="1:3">
      <c r="A2509" s="86" t="s">
        <v>17437</v>
      </c>
      <c r="B2509" s="86" t="s">
        <v>17436</v>
      </c>
      <c r="C2509" s="397">
        <v>153</v>
      </c>
    </row>
    <row r="2510" spans="1:3">
      <c r="A2510" s="86" t="s">
        <v>17435</v>
      </c>
      <c r="B2510" s="86" t="s">
        <v>17434</v>
      </c>
      <c r="C2510" s="397">
        <v>355</v>
      </c>
    </row>
    <row r="2511" spans="1:3">
      <c r="A2511" s="86" t="s">
        <v>17433</v>
      </c>
      <c r="B2511" s="86" t="s">
        <v>17432</v>
      </c>
      <c r="C2511" s="397">
        <v>188</v>
      </c>
    </row>
    <row r="2512" spans="1:3">
      <c r="A2512" s="86" t="s">
        <v>17431</v>
      </c>
      <c r="B2512" s="86" t="s">
        <v>17430</v>
      </c>
      <c r="C2512" s="397">
        <v>137</v>
      </c>
    </row>
    <row r="2513" spans="1:3">
      <c r="A2513" s="86" t="s">
        <v>17429</v>
      </c>
      <c r="B2513" s="86" t="s">
        <v>17428</v>
      </c>
      <c r="C2513" s="397">
        <v>185</v>
      </c>
    </row>
    <row r="2514" spans="1:3">
      <c r="A2514" s="86" t="s">
        <v>17427</v>
      </c>
      <c r="B2514" s="86" t="s">
        <v>17426</v>
      </c>
      <c r="C2514" s="397">
        <v>185</v>
      </c>
    </row>
    <row r="2515" spans="1:3">
      <c r="A2515" s="86" t="s">
        <v>17425</v>
      </c>
      <c r="B2515" s="86" t="s">
        <v>17424</v>
      </c>
      <c r="C2515" s="397">
        <v>164</v>
      </c>
    </row>
    <row r="2516" spans="1:3">
      <c r="A2516" s="86" t="s">
        <v>17423</v>
      </c>
      <c r="B2516" s="86" t="s">
        <v>17422</v>
      </c>
      <c r="C2516" s="397">
        <v>164</v>
      </c>
    </row>
    <row r="2517" spans="1:3">
      <c r="A2517" s="86" t="s">
        <v>17421</v>
      </c>
      <c r="B2517" s="86" t="s">
        <v>17420</v>
      </c>
      <c r="C2517" s="397">
        <v>128</v>
      </c>
    </row>
    <row r="2518" spans="1:3">
      <c r="A2518" s="86" t="s">
        <v>17419</v>
      </c>
      <c r="B2518" s="86" t="s">
        <v>17418</v>
      </c>
      <c r="C2518" s="397">
        <v>128</v>
      </c>
    </row>
    <row r="2519" spans="1:3">
      <c r="A2519" s="86" t="s">
        <v>17417</v>
      </c>
      <c r="B2519" s="86" t="s">
        <v>17416</v>
      </c>
      <c r="C2519" s="397">
        <v>89</v>
      </c>
    </row>
    <row r="2520" spans="1:3">
      <c r="A2520" s="86" t="s">
        <v>17415</v>
      </c>
      <c r="B2520" s="86" t="s">
        <v>17414</v>
      </c>
      <c r="C2520" s="397">
        <v>89</v>
      </c>
    </row>
    <row r="2521" spans="1:3">
      <c r="A2521" s="86" t="s">
        <v>17413</v>
      </c>
      <c r="B2521" s="86" t="s">
        <v>17412</v>
      </c>
      <c r="C2521" s="397">
        <v>436</v>
      </c>
    </row>
    <row r="2522" spans="1:3">
      <c r="A2522" s="86" t="s">
        <v>17411</v>
      </c>
      <c r="B2522" s="86" t="s">
        <v>17410</v>
      </c>
      <c r="C2522" s="397">
        <v>292</v>
      </c>
    </row>
    <row r="2523" spans="1:3">
      <c r="A2523" s="86" t="s">
        <v>17409</v>
      </c>
      <c r="B2523" s="86" t="s">
        <v>17408</v>
      </c>
      <c r="C2523" s="397">
        <v>114</v>
      </c>
    </row>
    <row r="2524" spans="1:3">
      <c r="A2524" s="86" t="s">
        <v>17407</v>
      </c>
      <c r="B2524" s="86" t="s">
        <v>17406</v>
      </c>
      <c r="C2524" s="397">
        <v>258</v>
      </c>
    </row>
    <row r="2525" spans="1:3">
      <c r="A2525" s="86" t="s">
        <v>17405</v>
      </c>
      <c r="B2525" s="86" t="s">
        <v>17404</v>
      </c>
      <c r="C2525" s="397">
        <v>153</v>
      </c>
    </row>
    <row r="2526" spans="1:3">
      <c r="A2526" s="86" t="s">
        <v>17403</v>
      </c>
      <c r="B2526" s="86" t="s">
        <v>17402</v>
      </c>
      <c r="C2526" s="397">
        <v>153</v>
      </c>
    </row>
    <row r="2527" spans="1:3">
      <c r="A2527" s="86" t="s">
        <v>17401</v>
      </c>
      <c r="B2527" s="86" t="s">
        <v>17400</v>
      </c>
      <c r="C2527" s="397">
        <v>93</v>
      </c>
    </row>
    <row r="2528" spans="1:3">
      <c r="A2528" s="86" t="s">
        <v>17399</v>
      </c>
      <c r="B2528" s="86" t="s">
        <v>17398</v>
      </c>
      <c r="C2528" s="397">
        <v>93</v>
      </c>
    </row>
    <row r="2529" spans="1:3">
      <c r="A2529" s="86" t="s">
        <v>17397</v>
      </c>
      <c r="B2529" s="86" t="s">
        <v>17396</v>
      </c>
      <c r="C2529" s="397">
        <v>114</v>
      </c>
    </row>
    <row r="2530" spans="1:3">
      <c r="A2530" s="86" t="s">
        <v>17395</v>
      </c>
      <c r="B2530" s="86" t="s">
        <v>17394</v>
      </c>
      <c r="C2530" s="397">
        <v>114</v>
      </c>
    </row>
    <row r="2531" spans="1:3">
      <c r="A2531" s="86" t="s">
        <v>17393</v>
      </c>
      <c r="B2531" s="86" t="s">
        <v>17392</v>
      </c>
      <c r="C2531" s="397">
        <v>328</v>
      </c>
    </row>
    <row r="2532" spans="1:3">
      <c r="A2532" s="86" t="s">
        <v>17391</v>
      </c>
      <c r="B2532" s="86" t="s">
        <v>17390</v>
      </c>
      <c r="C2532" s="397">
        <v>247</v>
      </c>
    </row>
    <row r="2533" spans="1:3">
      <c r="A2533" s="86" t="s">
        <v>17389</v>
      </c>
      <c r="B2533" s="86" t="s">
        <v>17388</v>
      </c>
      <c r="C2533" s="397">
        <v>53</v>
      </c>
    </row>
    <row r="2534" spans="1:3">
      <c r="A2534" s="86" t="s">
        <v>17387</v>
      </c>
      <c r="B2534" s="86" t="s">
        <v>17386</v>
      </c>
      <c r="C2534" s="397">
        <v>76</v>
      </c>
    </row>
    <row r="2535" spans="1:3">
      <c r="A2535" s="86" t="s">
        <v>17385</v>
      </c>
      <c r="B2535" s="86" t="s">
        <v>17384</v>
      </c>
      <c r="C2535" s="397">
        <v>76</v>
      </c>
    </row>
    <row r="2536" spans="1:3">
      <c r="A2536" s="86" t="s">
        <v>17383</v>
      </c>
      <c r="B2536" s="86" t="s">
        <v>17382</v>
      </c>
      <c r="C2536" s="397">
        <v>84</v>
      </c>
    </row>
    <row r="2537" spans="1:3">
      <c r="A2537" s="86" t="s">
        <v>17381</v>
      </c>
      <c r="B2537" s="86" t="s">
        <v>17380</v>
      </c>
      <c r="C2537" s="397">
        <v>76</v>
      </c>
    </row>
    <row r="2538" spans="1:3">
      <c r="A2538" s="86" t="s">
        <v>17379</v>
      </c>
      <c r="B2538" s="86" t="s">
        <v>17378</v>
      </c>
      <c r="C2538" s="397">
        <v>145</v>
      </c>
    </row>
    <row r="2539" spans="1:3">
      <c r="A2539" s="86" t="s">
        <v>17377</v>
      </c>
      <c r="B2539" s="86" t="s">
        <v>17376</v>
      </c>
      <c r="C2539" s="397">
        <v>145</v>
      </c>
    </row>
    <row r="2540" spans="1:3">
      <c r="A2540" s="86" t="s">
        <v>17375</v>
      </c>
      <c r="B2540" s="86" t="s">
        <v>17374</v>
      </c>
      <c r="C2540" s="397">
        <v>84</v>
      </c>
    </row>
    <row r="2541" spans="1:3">
      <c r="A2541" s="86" t="s">
        <v>17373</v>
      </c>
      <c r="B2541" s="86" t="s">
        <v>17372</v>
      </c>
      <c r="C2541" s="397">
        <v>84</v>
      </c>
    </row>
    <row r="2542" spans="1:3">
      <c r="A2542" s="86" t="s">
        <v>17371</v>
      </c>
      <c r="B2542" s="86" t="s">
        <v>17370</v>
      </c>
      <c r="C2542" s="397">
        <v>310</v>
      </c>
    </row>
    <row r="2543" spans="1:3">
      <c r="A2543" s="86" t="s">
        <v>17369</v>
      </c>
      <c r="B2543" s="86" t="s">
        <v>17368</v>
      </c>
      <c r="C2543" s="397">
        <v>111</v>
      </c>
    </row>
    <row r="2544" spans="1:3">
      <c r="A2544" s="86" t="s">
        <v>17367</v>
      </c>
      <c r="B2544" s="86" t="s">
        <v>17366</v>
      </c>
      <c r="C2544" s="397">
        <v>82</v>
      </c>
    </row>
    <row r="2545" spans="1:3">
      <c r="A2545" s="86" t="s">
        <v>17365</v>
      </c>
      <c r="B2545" s="86" t="s">
        <v>17364</v>
      </c>
      <c r="C2545" s="397">
        <v>82</v>
      </c>
    </row>
    <row r="2546" spans="1:3">
      <c r="A2546" s="86" t="s">
        <v>17363</v>
      </c>
      <c r="B2546" s="86" t="s">
        <v>17362</v>
      </c>
      <c r="C2546" s="397">
        <v>56</v>
      </c>
    </row>
    <row r="2547" spans="1:3">
      <c r="A2547" s="86" t="s">
        <v>17361</v>
      </c>
      <c r="B2547" s="86" t="s">
        <v>17360</v>
      </c>
      <c r="C2547" s="397">
        <v>56</v>
      </c>
    </row>
    <row r="2548" spans="1:3">
      <c r="A2548" s="86" t="s">
        <v>17359</v>
      </c>
      <c r="B2548" s="86" t="s">
        <v>17358</v>
      </c>
      <c r="C2548" s="397">
        <v>460</v>
      </c>
    </row>
    <row r="2549" spans="1:3">
      <c r="A2549" s="86" t="s">
        <v>17357</v>
      </c>
      <c r="B2549" s="86" t="s">
        <v>17356</v>
      </c>
      <c r="C2549" s="397">
        <v>124</v>
      </c>
    </row>
    <row r="2550" spans="1:3">
      <c r="A2550" s="86" t="s">
        <v>17355</v>
      </c>
      <c r="B2550" s="86" t="s">
        <v>17354</v>
      </c>
      <c r="C2550" s="397">
        <v>124</v>
      </c>
    </row>
    <row r="2551" spans="1:3">
      <c r="A2551" s="86" t="s">
        <v>17353</v>
      </c>
      <c r="B2551" s="86" t="s">
        <v>17352</v>
      </c>
      <c r="C2551" s="397">
        <v>76</v>
      </c>
    </row>
    <row r="2552" spans="1:3">
      <c r="A2552" s="86" t="s">
        <v>17351</v>
      </c>
      <c r="B2552" s="86" t="s">
        <v>17350</v>
      </c>
      <c r="C2552" s="397">
        <v>76</v>
      </c>
    </row>
    <row r="2553" spans="1:3">
      <c r="A2553" s="86" t="s">
        <v>17349</v>
      </c>
      <c r="B2553" s="86" t="s">
        <v>17348</v>
      </c>
      <c r="C2553" s="397">
        <v>424</v>
      </c>
    </row>
    <row r="2554" spans="1:3">
      <c r="A2554" s="86" t="s">
        <v>17347</v>
      </c>
      <c r="B2554" s="86" t="s">
        <v>17346</v>
      </c>
      <c r="C2554" s="397">
        <v>201</v>
      </c>
    </row>
    <row r="2555" spans="1:3">
      <c r="A2555" s="86" t="s">
        <v>17345</v>
      </c>
      <c r="B2555" s="86" t="s">
        <v>17344</v>
      </c>
      <c r="C2555" s="397">
        <v>132</v>
      </c>
    </row>
    <row r="2556" spans="1:3">
      <c r="A2556" s="86" t="s">
        <v>17343</v>
      </c>
      <c r="B2556" s="86" t="s">
        <v>17342</v>
      </c>
      <c r="C2556" s="397">
        <v>111</v>
      </c>
    </row>
    <row r="2557" spans="1:3">
      <c r="A2557" s="86" t="s">
        <v>17341</v>
      </c>
      <c r="B2557" s="86" t="s">
        <v>17340</v>
      </c>
      <c r="C2557" s="397">
        <v>283</v>
      </c>
    </row>
    <row r="2558" spans="1:3">
      <c r="A2558" s="86" t="s">
        <v>17339</v>
      </c>
      <c r="B2558" s="86" t="s">
        <v>17338</v>
      </c>
      <c r="C2558" s="397">
        <v>263</v>
      </c>
    </row>
    <row r="2559" spans="1:3">
      <c r="A2559" s="86" t="s">
        <v>17337</v>
      </c>
      <c r="B2559" s="86" t="s">
        <v>17336</v>
      </c>
      <c r="C2559" s="397">
        <v>235</v>
      </c>
    </row>
    <row r="2560" spans="1:3">
      <c r="A2560" s="86" t="s">
        <v>17335</v>
      </c>
      <c r="B2560" s="86" t="s">
        <v>17334</v>
      </c>
      <c r="C2560" s="397">
        <v>194</v>
      </c>
    </row>
    <row r="2561" spans="1:3">
      <c r="A2561" s="86" t="s">
        <v>17333</v>
      </c>
      <c r="B2561" s="86" t="s">
        <v>17332</v>
      </c>
      <c r="C2561" s="397">
        <v>360</v>
      </c>
    </row>
    <row r="2562" spans="1:3">
      <c r="A2562" s="86" t="s">
        <v>17331</v>
      </c>
      <c r="B2562" s="86" t="s">
        <v>17330</v>
      </c>
      <c r="C2562" s="397">
        <v>162</v>
      </c>
    </row>
    <row r="2563" spans="1:3">
      <c r="A2563" s="86" t="s">
        <v>17329</v>
      </c>
      <c r="B2563" s="86" t="s">
        <v>17328</v>
      </c>
      <c r="C2563" s="397">
        <v>125</v>
      </c>
    </row>
    <row r="2564" spans="1:3">
      <c r="A2564" s="86" t="s">
        <v>17327</v>
      </c>
      <c r="B2564" s="86" t="s">
        <v>17326</v>
      </c>
      <c r="C2564" s="397">
        <v>118</v>
      </c>
    </row>
    <row r="2565" spans="1:3">
      <c r="A2565" s="86" t="s">
        <v>17325</v>
      </c>
      <c r="B2565" s="86" t="s">
        <v>17324</v>
      </c>
      <c r="C2565" s="397">
        <v>144</v>
      </c>
    </row>
    <row r="2566" spans="1:3">
      <c r="A2566" s="86" t="s">
        <v>17323</v>
      </c>
      <c r="B2566" s="86" t="s">
        <v>17322</v>
      </c>
      <c r="C2566" s="397">
        <v>100</v>
      </c>
    </row>
    <row r="2567" spans="1:3">
      <c r="A2567" s="86" t="s">
        <v>17321</v>
      </c>
      <c r="B2567" s="86" t="s">
        <v>17320</v>
      </c>
      <c r="C2567" s="397">
        <v>100</v>
      </c>
    </row>
    <row r="2568" spans="1:3">
      <c r="A2568" s="86" t="s">
        <v>17319</v>
      </c>
      <c r="B2568" s="86" t="s">
        <v>17318</v>
      </c>
      <c r="C2568" s="397">
        <v>366</v>
      </c>
    </row>
    <row r="2569" spans="1:3">
      <c r="A2569" s="86" t="s">
        <v>17317</v>
      </c>
      <c r="B2569" s="86" t="s">
        <v>17316</v>
      </c>
      <c r="C2569" s="397">
        <v>171</v>
      </c>
    </row>
    <row r="2570" spans="1:3">
      <c r="A2570" s="86" t="s">
        <v>17315</v>
      </c>
      <c r="B2570" s="86" t="s">
        <v>17314</v>
      </c>
      <c r="C2570" s="397">
        <v>244</v>
      </c>
    </row>
    <row r="2571" spans="1:3">
      <c r="A2571" s="86" t="s">
        <v>17313</v>
      </c>
      <c r="B2571" s="86" t="s">
        <v>17312</v>
      </c>
      <c r="C2571" s="397">
        <v>129</v>
      </c>
    </row>
    <row r="2572" spans="1:3">
      <c r="A2572" s="86" t="s">
        <v>17311</v>
      </c>
      <c r="B2572" s="86" t="s">
        <v>17310</v>
      </c>
      <c r="C2572" s="397">
        <v>129</v>
      </c>
    </row>
    <row r="2573" spans="1:3">
      <c r="A2573" s="86" t="s">
        <v>17309</v>
      </c>
      <c r="B2573" s="86" t="s">
        <v>17308</v>
      </c>
      <c r="C2573" s="397">
        <v>87</v>
      </c>
    </row>
    <row r="2574" spans="1:3">
      <c r="A2574" s="86" t="s">
        <v>17307</v>
      </c>
      <c r="B2574" s="86" t="s">
        <v>17306</v>
      </c>
      <c r="C2574" s="397">
        <v>87</v>
      </c>
    </row>
    <row r="2575" spans="1:3">
      <c r="A2575" s="86" t="s">
        <v>17305</v>
      </c>
      <c r="B2575" s="86" t="s">
        <v>17304</v>
      </c>
      <c r="C2575" s="397">
        <v>356</v>
      </c>
    </row>
    <row r="2576" spans="1:3">
      <c r="A2576" s="86" t="s">
        <v>17303</v>
      </c>
      <c r="B2576" s="86" t="s">
        <v>17302</v>
      </c>
      <c r="C2576" s="397">
        <v>98</v>
      </c>
    </row>
    <row r="2577" spans="1:3">
      <c r="A2577" s="86" t="s">
        <v>17301</v>
      </c>
      <c r="B2577" s="86" t="s">
        <v>17300</v>
      </c>
      <c r="C2577" s="397">
        <v>98</v>
      </c>
    </row>
    <row r="2578" spans="1:3">
      <c r="A2578" s="86" t="s">
        <v>17299</v>
      </c>
      <c r="B2578" s="86" t="s">
        <v>17298</v>
      </c>
      <c r="C2578" s="397">
        <v>65</v>
      </c>
    </row>
    <row r="2579" spans="1:3">
      <c r="A2579" s="86" t="s">
        <v>17297</v>
      </c>
      <c r="B2579" s="86" t="s">
        <v>17296</v>
      </c>
      <c r="C2579" s="397">
        <v>313</v>
      </c>
    </row>
    <row r="2580" spans="1:3">
      <c r="A2580" s="86" t="s">
        <v>17295</v>
      </c>
      <c r="B2580" s="86" t="s">
        <v>17294</v>
      </c>
      <c r="C2580" s="397">
        <v>105</v>
      </c>
    </row>
    <row r="2581" spans="1:3">
      <c r="A2581" s="86" t="s">
        <v>17293</v>
      </c>
      <c r="B2581" s="86" t="s">
        <v>17292</v>
      </c>
      <c r="C2581" s="397">
        <v>105</v>
      </c>
    </row>
    <row r="2582" spans="1:3">
      <c r="A2582" s="86" t="s">
        <v>17291</v>
      </c>
      <c r="B2582" s="86" t="s">
        <v>17290</v>
      </c>
      <c r="C2582" s="397">
        <v>76</v>
      </c>
    </row>
    <row r="2583" spans="1:3">
      <c r="A2583" s="86" t="s">
        <v>17289</v>
      </c>
      <c r="B2583" s="86" t="s">
        <v>17288</v>
      </c>
      <c r="C2583" s="397">
        <v>76</v>
      </c>
    </row>
    <row r="2584" spans="1:3">
      <c r="A2584" s="86" t="s">
        <v>17287</v>
      </c>
      <c r="B2584" s="86" t="s">
        <v>17286</v>
      </c>
      <c r="C2584" s="397">
        <v>346</v>
      </c>
    </row>
    <row r="2585" spans="1:3">
      <c r="A2585" s="86" t="s">
        <v>17285</v>
      </c>
      <c r="B2585" s="86" t="s">
        <v>17284</v>
      </c>
      <c r="C2585" s="397">
        <v>40</v>
      </c>
    </row>
    <row r="2586" spans="1:3">
      <c r="A2586" s="86" t="s">
        <v>17283</v>
      </c>
      <c r="B2586" s="86" t="s">
        <v>17282</v>
      </c>
      <c r="C2586" s="397">
        <v>40</v>
      </c>
    </row>
    <row r="2587" spans="1:3">
      <c r="A2587" s="86" t="s">
        <v>17281</v>
      </c>
      <c r="B2587" s="86" t="s">
        <v>17280</v>
      </c>
      <c r="C2587" s="397">
        <v>135</v>
      </c>
    </row>
    <row r="2588" spans="1:3">
      <c r="A2588" s="86" t="s">
        <v>17279</v>
      </c>
      <c r="B2588" s="86" t="s">
        <v>17278</v>
      </c>
      <c r="C2588" s="397">
        <v>135</v>
      </c>
    </row>
    <row r="2589" spans="1:3">
      <c r="A2589" s="86" t="s">
        <v>17277</v>
      </c>
      <c r="B2589" s="86" t="s">
        <v>17276</v>
      </c>
      <c r="C2589" s="397">
        <v>93</v>
      </c>
    </row>
    <row r="2590" spans="1:3">
      <c r="A2590" s="86" t="s">
        <v>17275</v>
      </c>
      <c r="B2590" s="86" t="s">
        <v>17274</v>
      </c>
      <c r="C2590" s="397">
        <v>93</v>
      </c>
    </row>
    <row r="2591" spans="1:3">
      <c r="A2591" s="86" t="s">
        <v>17273</v>
      </c>
      <c r="B2591" s="86" t="s">
        <v>17272</v>
      </c>
      <c r="C2591" s="397">
        <v>464</v>
      </c>
    </row>
    <row r="2592" spans="1:3">
      <c r="A2592" s="86" t="s">
        <v>17271</v>
      </c>
      <c r="B2592" s="86" t="s">
        <v>17270</v>
      </c>
      <c r="C2592" s="397">
        <v>177</v>
      </c>
    </row>
    <row r="2593" spans="1:3">
      <c r="A2593" s="86" t="s">
        <v>17269</v>
      </c>
      <c r="B2593" s="86" t="s">
        <v>17268</v>
      </c>
      <c r="C2593" s="397">
        <v>150</v>
      </c>
    </row>
    <row r="2594" spans="1:3">
      <c r="A2594" s="86" t="s">
        <v>17267</v>
      </c>
      <c r="B2594" s="86" t="s">
        <v>17266</v>
      </c>
      <c r="C2594" s="397">
        <v>374</v>
      </c>
    </row>
    <row r="2595" spans="1:3">
      <c r="A2595" s="86" t="s">
        <v>17265</v>
      </c>
      <c r="B2595" s="86" t="s">
        <v>17264</v>
      </c>
      <c r="C2595" s="397">
        <v>137</v>
      </c>
    </row>
    <row r="2596" spans="1:3">
      <c r="A2596" s="86" t="s">
        <v>17263</v>
      </c>
      <c r="B2596" s="86" t="s">
        <v>17262</v>
      </c>
      <c r="C2596" s="397">
        <v>103</v>
      </c>
    </row>
    <row r="2597" spans="1:3">
      <c r="A2597" s="86" t="s">
        <v>17261</v>
      </c>
      <c r="B2597" s="86" t="s">
        <v>17260</v>
      </c>
      <c r="C2597" s="397">
        <v>142</v>
      </c>
    </row>
    <row r="2598" spans="1:3">
      <c r="A2598" s="86" t="s">
        <v>17259</v>
      </c>
      <c r="B2598" s="86" t="s">
        <v>17258</v>
      </c>
      <c r="C2598" s="397">
        <v>142</v>
      </c>
    </row>
    <row r="2599" spans="1:3">
      <c r="A2599" s="86" t="s">
        <v>17257</v>
      </c>
      <c r="B2599" s="86" t="s">
        <v>17256</v>
      </c>
      <c r="C2599" s="397">
        <v>91</v>
      </c>
    </row>
    <row r="2600" spans="1:3">
      <c r="A2600" s="86" t="s">
        <v>17255</v>
      </c>
      <c r="B2600" s="86" t="s">
        <v>17254</v>
      </c>
      <c r="C2600" s="397">
        <v>91</v>
      </c>
    </row>
    <row r="2601" spans="1:3">
      <c r="A2601" s="86" t="s">
        <v>17253</v>
      </c>
      <c r="B2601" s="86" t="s">
        <v>17252</v>
      </c>
      <c r="C2601" s="397">
        <v>473</v>
      </c>
    </row>
    <row r="2602" spans="1:3">
      <c r="A2602" s="86" t="s">
        <v>17251</v>
      </c>
      <c r="B2602" s="86" t="s">
        <v>17250</v>
      </c>
      <c r="C2602" s="397">
        <v>226</v>
      </c>
    </row>
    <row r="2603" spans="1:3">
      <c r="A2603" s="86" t="s">
        <v>17249</v>
      </c>
      <c r="B2603" s="86" t="s">
        <v>17248</v>
      </c>
      <c r="C2603" s="397">
        <v>81</v>
      </c>
    </row>
    <row r="2604" spans="1:3">
      <c r="A2604" s="86" t="s">
        <v>17247</v>
      </c>
      <c r="B2604" s="86" t="s">
        <v>17246</v>
      </c>
      <c r="C2604" s="397">
        <v>88</v>
      </c>
    </row>
    <row r="2605" spans="1:3">
      <c r="A2605" s="86" t="s">
        <v>17245</v>
      </c>
      <c r="B2605" s="86" t="s">
        <v>17244</v>
      </c>
      <c r="C2605" s="397">
        <v>297</v>
      </c>
    </row>
    <row r="2606" spans="1:3">
      <c r="A2606" s="86" t="s">
        <v>17243</v>
      </c>
      <c r="B2606" s="86" t="s">
        <v>17242</v>
      </c>
      <c r="C2606" s="397">
        <v>102</v>
      </c>
    </row>
    <row r="2607" spans="1:3">
      <c r="A2607" s="86" t="s">
        <v>17241</v>
      </c>
      <c r="B2607" s="86" t="s">
        <v>17240</v>
      </c>
      <c r="C2607" s="397">
        <v>102</v>
      </c>
    </row>
    <row r="2608" spans="1:3">
      <c r="A2608" s="86" t="s">
        <v>17239</v>
      </c>
      <c r="B2608" s="86" t="s">
        <v>17238</v>
      </c>
      <c r="C2608" s="397">
        <v>73</v>
      </c>
    </row>
    <row r="2609" spans="1:3">
      <c r="A2609" s="86" t="s">
        <v>17237</v>
      </c>
      <c r="B2609" s="86" t="s">
        <v>17236</v>
      </c>
      <c r="C2609" s="397">
        <v>73</v>
      </c>
    </row>
    <row r="2610" spans="1:3">
      <c r="A2610" s="86" t="s">
        <v>17235</v>
      </c>
      <c r="B2610" s="86" t="s">
        <v>17234</v>
      </c>
      <c r="C2610" s="397">
        <v>265</v>
      </c>
    </row>
    <row r="2611" spans="1:3">
      <c r="A2611" s="86" t="s">
        <v>17233</v>
      </c>
      <c r="B2611" s="86" t="s">
        <v>17232</v>
      </c>
      <c r="C2611" s="397">
        <v>55</v>
      </c>
    </row>
    <row r="2612" spans="1:3">
      <c r="A2612" s="86" t="s">
        <v>17231</v>
      </c>
      <c r="B2612" s="86" t="s">
        <v>17230</v>
      </c>
      <c r="C2612" s="397">
        <v>126</v>
      </c>
    </row>
    <row r="2613" spans="1:3">
      <c r="A2613" s="86" t="s">
        <v>17229</v>
      </c>
      <c r="B2613" s="86" t="s">
        <v>17228</v>
      </c>
      <c r="C2613" s="397">
        <v>164</v>
      </c>
    </row>
    <row r="2614" spans="1:3">
      <c r="A2614" s="86" t="s">
        <v>17227</v>
      </c>
      <c r="B2614" s="86" t="s">
        <v>17226</v>
      </c>
      <c r="C2614" s="397">
        <v>191</v>
      </c>
    </row>
    <row r="2615" spans="1:3">
      <c r="A2615" s="86" t="s">
        <v>17225</v>
      </c>
      <c r="B2615" s="86" t="s">
        <v>17224</v>
      </c>
      <c r="C2615" s="397">
        <v>224</v>
      </c>
    </row>
    <row r="2616" spans="1:3">
      <c r="A2616" s="86" t="s">
        <v>17223</v>
      </c>
      <c r="B2616" s="86" t="s">
        <v>17222</v>
      </c>
      <c r="C2616" s="397">
        <v>236</v>
      </c>
    </row>
    <row r="2617" spans="1:3">
      <c r="A2617" s="86" t="s">
        <v>17221</v>
      </c>
      <c r="B2617" s="86" t="s">
        <v>17220</v>
      </c>
      <c r="C2617" s="397">
        <v>130</v>
      </c>
    </row>
    <row r="2618" spans="1:3">
      <c r="A2618" s="86" t="s">
        <v>17219</v>
      </c>
      <c r="B2618" s="86" t="s">
        <v>17218</v>
      </c>
      <c r="C2618" s="397">
        <v>255</v>
      </c>
    </row>
    <row r="2619" spans="1:3">
      <c r="A2619" s="86" t="s">
        <v>17217</v>
      </c>
      <c r="B2619" s="86" t="s">
        <v>17216</v>
      </c>
      <c r="C2619" s="397">
        <v>50</v>
      </c>
    </row>
    <row r="2620" spans="1:3">
      <c r="A2620" s="86" t="s">
        <v>17215</v>
      </c>
      <c r="B2620" s="86" t="s">
        <v>17214</v>
      </c>
      <c r="C2620" s="397">
        <v>50</v>
      </c>
    </row>
    <row r="2621" spans="1:3">
      <c r="A2621" s="86" t="s">
        <v>17213</v>
      </c>
      <c r="B2621" s="86" t="s">
        <v>17212</v>
      </c>
      <c r="C2621" s="397">
        <v>50</v>
      </c>
    </row>
    <row r="2622" spans="1:3">
      <c r="A2622" s="86" t="s">
        <v>17211</v>
      </c>
      <c r="B2622" s="86" t="s">
        <v>17210</v>
      </c>
      <c r="C2622" s="397">
        <v>50</v>
      </c>
    </row>
    <row r="2623" spans="1:3">
      <c r="A2623" s="86" t="s">
        <v>17209</v>
      </c>
      <c r="B2623" s="86" t="s">
        <v>17208</v>
      </c>
      <c r="C2623" s="397">
        <v>50</v>
      </c>
    </row>
    <row r="2624" spans="1:3">
      <c r="A2624" s="86" t="s">
        <v>17207</v>
      </c>
      <c r="B2624" s="86" t="s">
        <v>17206</v>
      </c>
      <c r="C2624" s="397">
        <v>50</v>
      </c>
    </row>
    <row r="2625" spans="1:3">
      <c r="A2625" s="86" t="s">
        <v>17205</v>
      </c>
      <c r="B2625" s="86" t="s">
        <v>17204</v>
      </c>
      <c r="C2625" s="397">
        <v>50</v>
      </c>
    </row>
    <row r="2626" spans="1:3">
      <c r="A2626" s="86" t="s">
        <v>17203</v>
      </c>
      <c r="B2626" s="86" t="s">
        <v>17202</v>
      </c>
      <c r="C2626" s="397">
        <v>50</v>
      </c>
    </row>
    <row r="2627" spans="1:3">
      <c r="A2627" s="86" t="s">
        <v>17201</v>
      </c>
      <c r="B2627" s="86" t="s">
        <v>17200</v>
      </c>
      <c r="C2627" s="397">
        <v>50</v>
      </c>
    </row>
    <row r="2628" spans="1:3">
      <c r="A2628" s="86" t="s">
        <v>17199</v>
      </c>
      <c r="B2628" s="86" t="s">
        <v>17198</v>
      </c>
      <c r="C2628" s="397">
        <v>63</v>
      </c>
    </row>
    <row r="2629" spans="1:3">
      <c r="A2629" s="86" t="s">
        <v>17197</v>
      </c>
      <c r="B2629" s="86" t="s">
        <v>17196</v>
      </c>
      <c r="C2629" s="397">
        <v>45</v>
      </c>
    </row>
    <row r="2630" spans="1:3">
      <c r="A2630" s="86" t="s">
        <v>17195</v>
      </c>
      <c r="B2630" s="86" t="s">
        <v>17194</v>
      </c>
      <c r="C2630" s="397">
        <v>57</v>
      </c>
    </row>
    <row r="2631" spans="1:3">
      <c r="A2631" s="86" t="s">
        <v>17193</v>
      </c>
      <c r="B2631" s="86" t="s">
        <v>17192</v>
      </c>
      <c r="C2631" s="397">
        <v>55</v>
      </c>
    </row>
    <row r="2632" spans="1:3">
      <c r="A2632" s="86" t="s">
        <v>17191</v>
      </c>
      <c r="B2632" s="86" t="s">
        <v>17190</v>
      </c>
      <c r="C2632" s="397">
        <v>70</v>
      </c>
    </row>
    <row r="2633" spans="1:3">
      <c r="A2633" s="86" t="s">
        <v>17189</v>
      </c>
      <c r="B2633" s="86" t="s">
        <v>17188</v>
      </c>
      <c r="C2633" s="397">
        <v>70</v>
      </c>
    </row>
    <row r="2634" spans="1:3">
      <c r="A2634" s="86" t="s">
        <v>17187</v>
      </c>
      <c r="B2634" s="86" t="s">
        <v>17186</v>
      </c>
      <c r="C2634" s="397">
        <v>32</v>
      </c>
    </row>
    <row r="2635" spans="1:3">
      <c r="A2635" s="86" t="s">
        <v>17185</v>
      </c>
      <c r="B2635" s="86" t="s">
        <v>17184</v>
      </c>
      <c r="C2635" s="397">
        <v>213</v>
      </c>
    </row>
    <row r="2636" spans="1:3">
      <c r="A2636" s="86" t="s">
        <v>17183</v>
      </c>
      <c r="B2636" s="86" t="s">
        <v>17182</v>
      </c>
      <c r="C2636" s="397">
        <v>171</v>
      </c>
    </row>
    <row r="2637" spans="1:3">
      <c r="A2637" s="86" t="s">
        <v>17181</v>
      </c>
      <c r="B2637" s="86" t="s">
        <v>17180</v>
      </c>
      <c r="C2637" s="397">
        <v>267</v>
      </c>
    </row>
    <row r="2638" spans="1:3">
      <c r="A2638" s="86" t="s">
        <v>17179</v>
      </c>
      <c r="B2638" s="86" t="s">
        <v>17178</v>
      </c>
      <c r="C2638" s="397">
        <v>269</v>
      </c>
    </row>
    <row r="2639" spans="1:3">
      <c r="A2639" s="86" t="s">
        <v>17177</v>
      </c>
      <c r="B2639" s="86" t="s">
        <v>17176</v>
      </c>
      <c r="C2639" s="397">
        <v>286</v>
      </c>
    </row>
    <row r="2640" spans="1:3">
      <c r="A2640" s="86" t="s">
        <v>17175</v>
      </c>
      <c r="B2640" s="86" t="s">
        <v>17174</v>
      </c>
      <c r="C2640" s="397">
        <v>32</v>
      </c>
    </row>
    <row r="2641" spans="1:3">
      <c r="A2641" s="86" t="s">
        <v>17173</v>
      </c>
      <c r="B2641" s="86" t="s">
        <v>17172</v>
      </c>
      <c r="C2641" s="397">
        <v>84</v>
      </c>
    </row>
    <row r="2642" spans="1:3">
      <c r="A2642" s="86" t="s">
        <v>17171</v>
      </c>
      <c r="B2642" s="86" t="s">
        <v>17170</v>
      </c>
      <c r="C2642" s="397">
        <v>164</v>
      </c>
    </row>
    <row r="2643" spans="1:3">
      <c r="A2643" s="86" t="s">
        <v>17169</v>
      </c>
      <c r="B2643" s="86" t="s">
        <v>17168</v>
      </c>
      <c r="C2643" s="397">
        <v>164</v>
      </c>
    </row>
    <row r="2644" spans="1:3">
      <c r="A2644" s="86" t="s">
        <v>17167</v>
      </c>
      <c r="B2644" s="86" t="s">
        <v>17166</v>
      </c>
      <c r="C2644" s="397">
        <v>27</v>
      </c>
    </row>
    <row r="2645" spans="1:3">
      <c r="A2645" s="86" t="s">
        <v>17165</v>
      </c>
      <c r="B2645" s="86" t="s">
        <v>17164</v>
      </c>
      <c r="C2645" s="397">
        <v>26</v>
      </c>
    </row>
    <row r="2646" spans="1:3">
      <c r="A2646" s="86" t="s">
        <v>17163</v>
      </c>
      <c r="B2646" s="86" t="s">
        <v>17162</v>
      </c>
      <c r="C2646" s="397">
        <v>294</v>
      </c>
    </row>
    <row r="2647" spans="1:3">
      <c r="A2647" s="86" t="s">
        <v>17161</v>
      </c>
      <c r="B2647" s="86" t="s">
        <v>17160</v>
      </c>
      <c r="C2647" s="397">
        <v>137</v>
      </c>
    </row>
    <row r="2648" spans="1:3">
      <c r="A2648" s="86" t="s">
        <v>17159</v>
      </c>
      <c r="B2648" s="86" t="s">
        <v>17158</v>
      </c>
      <c r="C2648" s="397">
        <v>101</v>
      </c>
    </row>
    <row r="2649" spans="1:3">
      <c r="A2649" s="86" t="s">
        <v>17157</v>
      </c>
      <c r="B2649" s="86" t="s">
        <v>17156</v>
      </c>
      <c r="C2649" s="397">
        <v>451</v>
      </c>
    </row>
    <row r="2650" spans="1:3">
      <c r="A2650" s="86" t="s">
        <v>17155</v>
      </c>
      <c r="B2650" s="86" t="s">
        <v>17154</v>
      </c>
      <c r="C2650" s="397">
        <v>451</v>
      </c>
    </row>
    <row r="2651" spans="1:3">
      <c r="A2651" s="86" t="s">
        <v>17153</v>
      </c>
      <c r="B2651" s="86" t="s">
        <v>17152</v>
      </c>
      <c r="C2651" s="397">
        <v>283</v>
      </c>
    </row>
    <row r="2652" spans="1:3">
      <c r="A2652" s="86" t="s">
        <v>17151</v>
      </c>
      <c r="B2652" s="86" t="s">
        <v>17150</v>
      </c>
      <c r="C2652" s="397">
        <v>1612</v>
      </c>
    </row>
    <row r="2653" spans="1:3">
      <c r="A2653" s="86" t="s">
        <v>17149</v>
      </c>
      <c r="B2653" s="86" t="s">
        <v>17148</v>
      </c>
      <c r="C2653" s="397">
        <v>1823</v>
      </c>
    </row>
    <row r="2654" spans="1:3">
      <c r="A2654" s="86" t="s">
        <v>17147</v>
      </c>
      <c r="B2654" s="86" t="s">
        <v>17146</v>
      </c>
      <c r="C2654" s="397">
        <v>299</v>
      </c>
    </row>
    <row r="2655" spans="1:3">
      <c r="A2655" s="86" t="s">
        <v>17145</v>
      </c>
      <c r="B2655" s="86" t="s">
        <v>17144</v>
      </c>
      <c r="C2655" s="397">
        <v>123</v>
      </c>
    </row>
    <row r="2656" spans="1:3">
      <c r="A2656" s="86" t="s">
        <v>17143</v>
      </c>
      <c r="B2656" s="86" t="s">
        <v>17142</v>
      </c>
      <c r="C2656" s="397">
        <v>76</v>
      </c>
    </row>
    <row r="2657" spans="1:3">
      <c r="A2657" s="86" t="s">
        <v>17141</v>
      </c>
      <c r="B2657" s="86" t="s">
        <v>17140</v>
      </c>
      <c r="C2657" s="397">
        <v>646</v>
      </c>
    </row>
    <row r="2658" spans="1:3">
      <c r="A2658" s="86" t="s">
        <v>17139</v>
      </c>
      <c r="B2658" s="86" t="s">
        <v>17138</v>
      </c>
      <c r="C2658" s="397">
        <v>198</v>
      </c>
    </row>
    <row r="2659" spans="1:3">
      <c r="A2659" s="86" t="s">
        <v>17137</v>
      </c>
      <c r="B2659" s="86" t="s">
        <v>17136</v>
      </c>
      <c r="C2659" s="397">
        <v>307</v>
      </c>
    </row>
    <row r="2660" spans="1:3">
      <c r="A2660" s="86" t="s">
        <v>17135</v>
      </c>
      <c r="B2660" s="86" t="s">
        <v>17134</v>
      </c>
      <c r="C2660" s="397">
        <v>289</v>
      </c>
    </row>
    <row r="2661" spans="1:3">
      <c r="A2661" s="86" t="s">
        <v>17133</v>
      </c>
      <c r="B2661" s="86" t="s">
        <v>17132</v>
      </c>
      <c r="C2661" s="397">
        <v>84</v>
      </c>
    </row>
    <row r="2662" spans="1:3">
      <c r="A2662" s="86" t="s">
        <v>17131</v>
      </c>
      <c r="B2662" s="86" t="s">
        <v>17130</v>
      </c>
      <c r="C2662" s="397">
        <v>2429</v>
      </c>
    </row>
    <row r="2663" spans="1:3">
      <c r="A2663" s="86" t="s">
        <v>17129</v>
      </c>
      <c r="B2663" s="86" t="s">
        <v>17128</v>
      </c>
      <c r="C2663" s="397">
        <v>107</v>
      </c>
    </row>
    <row r="2664" spans="1:3">
      <c r="A2664" s="86" t="s">
        <v>17127</v>
      </c>
      <c r="B2664" s="86" t="s">
        <v>17126</v>
      </c>
      <c r="C2664" s="397">
        <v>227</v>
      </c>
    </row>
    <row r="2665" spans="1:3">
      <c r="A2665" s="86" t="s">
        <v>17125</v>
      </c>
      <c r="B2665" s="86" t="s">
        <v>17124</v>
      </c>
      <c r="C2665" s="397">
        <v>227</v>
      </c>
    </row>
    <row r="2666" spans="1:3">
      <c r="A2666" s="86" t="s">
        <v>17123</v>
      </c>
      <c r="B2666" s="86" t="s">
        <v>17122</v>
      </c>
      <c r="C2666" s="397">
        <v>76</v>
      </c>
    </row>
    <row r="2667" spans="1:3">
      <c r="A2667" s="86" t="s">
        <v>17121</v>
      </c>
      <c r="B2667" s="86" t="s">
        <v>17120</v>
      </c>
      <c r="C2667" s="397">
        <v>76</v>
      </c>
    </row>
    <row r="2668" spans="1:3">
      <c r="A2668" s="86" t="s">
        <v>17119</v>
      </c>
      <c r="B2668" s="86" t="s">
        <v>17118</v>
      </c>
      <c r="C2668" s="397">
        <v>352</v>
      </c>
    </row>
    <row r="2669" spans="1:3">
      <c r="A2669" s="86" t="s">
        <v>17117</v>
      </c>
      <c r="B2669" s="86" t="s">
        <v>17116</v>
      </c>
      <c r="C2669" s="397">
        <v>338</v>
      </c>
    </row>
    <row r="2670" spans="1:3">
      <c r="A2670" s="86" t="s">
        <v>17115</v>
      </c>
      <c r="B2670" s="86" t="s">
        <v>17114</v>
      </c>
      <c r="C2670" s="397">
        <v>866</v>
      </c>
    </row>
    <row r="2671" spans="1:3">
      <c r="A2671" s="86" t="s">
        <v>17113</v>
      </c>
      <c r="B2671" s="86" t="s">
        <v>17112</v>
      </c>
      <c r="C2671" s="397">
        <v>616</v>
      </c>
    </row>
    <row r="2672" spans="1:3">
      <c r="A2672" s="86" t="s">
        <v>17111</v>
      </c>
      <c r="B2672" s="86" t="s">
        <v>17110</v>
      </c>
      <c r="C2672" s="397">
        <v>1152</v>
      </c>
    </row>
    <row r="2673" spans="1:3">
      <c r="A2673" s="86" t="s">
        <v>17109</v>
      </c>
      <c r="B2673" s="86" t="s">
        <v>17108</v>
      </c>
      <c r="C2673" s="397">
        <v>1152</v>
      </c>
    </row>
    <row r="2674" spans="1:3">
      <c r="A2674" s="86" t="s">
        <v>17107</v>
      </c>
      <c r="B2674" s="86" t="s">
        <v>17106</v>
      </c>
      <c r="C2674" s="397">
        <v>84</v>
      </c>
    </row>
    <row r="2675" spans="1:3">
      <c r="A2675" s="86" t="s">
        <v>17105</v>
      </c>
      <c r="B2675" s="86" t="s">
        <v>17104</v>
      </c>
      <c r="C2675" s="397">
        <v>101</v>
      </c>
    </row>
    <row r="2676" spans="1:3">
      <c r="A2676" s="86" t="s">
        <v>17103</v>
      </c>
      <c r="B2676" s="86" t="s">
        <v>17102</v>
      </c>
      <c r="C2676" s="397">
        <v>101</v>
      </c>
    </row>
    <row r="2677" spans="1:3">
      <c r="A2677" s="86" t="s">
        <v>17101</v>
      </c>
      <c r="B2677" s="86" t="s">
        <v>17100</v>
      </c>
      <c r="C2677" s="397">
        <v>101</v>
      </c>
    </row>
    <row r="2678" spans="1:3">
      <c r="A2678" s="86" t="s">
        <v>17099</v>
      </c>
      <c r="B2678" s="86" t="s">
        <v>17098</v>
      </c>
      <c r="C2678" s="397">
        <v>1107</v>
      </c>
    </row>
    <row r="2679" spans="1:3">
      <c r="A2679" s="86" t="s">
        <v>17097</v>
      </c>
      <c r="B2679" s="86" t="s">
        <v>17096</v>
      </c>
      <c r="C2679" s="397">
        <v>205</v>
      </c>
    </row>
    <row r="2680" spans="1:3">
      <c r="A2680" s="86" t="s">
        <v>17095</v>
      </c>
      <c r="B2680" s="86" t="s">
        <v>17094</v>
      </c>
      <c r="C2680" s="397">
        <v>746</v>
      </c>
    </row>
    <row r="2681" spans="1:3">
      <c r="A2681" s="86" t="s">
        <v>17093</v>
      </c>
      <c r="B2681" s="86" t="s">
        <v>17092</v>
      </c>
      <c r="C2681" s="397">
        <v>746</v>
      </c>
    </row>
    <row r="2682" spans="1:3">
      <c r="A2682" s="86" t="s">
        <v>17091</v>
      </c>
      <c r="B2682" s="86" t="s">
        <v>17090</v>
      </c>
      <c r="C2682" s="397">
        <v>114</v>
      </c>
    </row>
    <row r="2683" spans="1:3">
      <c r="A2683" s="86" t="s">
        <v>17089</v>
      </c>
      <c r="B2683" s="86" t="s">
        <v>17088</v>
      </c>
      <c r="C2683" s="397">
        <v>101</v>
      </c>
    </row>
    <row r="2684" spans="1:3">
      <c r="A2684" s="86" t="s">
        <v>17087</v>
      </c>
      <c r="B2684" s="86" t="s">
        <v>17086</v>
      </c>
      <c r="C2684" s="397">
        <v>130</v>
      </c>
    </row>
    <row r="2685" spans="1:3">
      <c r="A2685" s="86" t="s">
        <v>17085</v>
      </c>
      <c r="B2685" s="86" t="s">
        <v>17084</v>
      </c>
      <c r="C2685" s="397">
        <v>130</v>
      </c>
    </row>
    <row r="2686" spans="1:3">
      <c r="A2686" s="86" t="s">
        <v>17083</v>
      </c>
      <c r="B2686" s="86" t="s">
        <v>17082</v>
      </c>
      <c r="C2686" s="397">
        <v>420</v>
      </c>
    </row>
    <row r="2687" spans="1:3">
      <c r="A2687" s="86" t="s">
        <v>17081</v>
      </c>
      <c r="B2687" s="86" t="s">
        <v>17080</v>
      </c>
      <c r="C2687" s="397">
        <v>249</v>
      </c>
    </row>
    <row r="2688" spans="1:3">
      <c r="A2688" s="86" t="s">
        <v>17079</v>
      </c>
      <c r="B2688" s="86" t="s">
        <v>17078</v>
      </c>
      <c r="C2688" s="397">
        <v>454</v>
      </c>
    </row>
    <row r="2689" spans="1:3">
      <c r="A2689" s="86" t="s">
        <v>17077</v>
      </c>
      <c r="B2689" s="86" t="s">
        <v>17076</v>
      </c>
      <c r="C2689" s="397">
        <v>321</v>
      </c>
    </row>
    <row r="2690" spans="1:3">
      <c r="A2690" s="86" t="s">
        <v>17075</v>
      </c>
      <c r="B2690" s="86" t="s">
        <v>17074</v>
      </c>
      <c r="C2690" s="397">
        <v>49</v>
      </c>
    </row>
    <row r="2691" spans="1:3">
      <c r="A2691" s="86" t="s">
        <v>17073</v>
      </c>
      <c r="B2691" s="86" t="s">
        <v>17072</v>
      </c>
      <c r="C2691" s="397">
        <v>36</v>
      </c>
    </row>
    <row r="2692" spans="1:3">
      <c r="A2692" s="86" t="s">
        <v>17071</v>
      </c>
      <c r="B2692" s="86" t="s">
        <v>17070</v>
      </c>
      <c r="C2692" s="397">
        <v>599</v>
      </c>
    </row>
    <row r="2693" spans="1:3">
      <c r="A2693" s="86" t="s">
        <v>17069</v>
      </c>
      <c r="B2693" s="86" t="s">
        <v>17068</v>
      </c>
      <c r="C2693" s="397">
        <v>391</v>
      </c>
    </row>
    <row r="2694" spans="1:3">
      <c r="A2694" s="86" t="s">
        <v>17067</v>
      </c>
      <c r="B2694" s="86" t="s">
        <v>17066</v>
      </c>
      <c r="C2694" s="397">
        <v>388</v>
      </c>
    </row>
    <row r="2695" spans="1:3">
      <c r="A2695" s="86" t="s">
        <v>17065</v>
      </c>
      <c r="B2695" s="86" t="s">
        <v>17064</v>
      </c>
      <c r="C2695" s="397">
        <v>479</v>
      </c>
    </row>
    <row r="2696" spans="1:3">
      <c r="A2696" s="86" t="s">
        <v>17063</v>
      </c>
      <c r="B2696" s="86" t="s">
        <v>17062</v>
      </c>
      <c r="C2696" s="397">
        <v>29</v>
      </c>
    </row>
    <row r="2697" spans="1:3">
      <c r="A2697" s="86" t="s">
        <v>17061</v>
      </c>
      <c r="B2697" s="86" t="s">
        <v>17060</v>
      </c>
      <c r="C2697" s="397">
        <v>68</v>
      </c>
    </row>
    <row r="2698" spans="1:3">
      <c r="A2698" s="86" t="s">
        <v>17059</v>
      </c>
      <c r="B2698" s="86" t="s">
        <v>17058</v>
      </c>
      <c r="C2698" s="397">
        <v>68</v>
      </c>
    </row>
    <row r="2699" spans="1:3">
      <c r="A2699" s="86" t="s">
        <v>17057</v>
      </c>
      <c r="B2699" s="86" t="s">
        <v>17056</v>
      </c>
      <c r="C2699" s="397">
        <v>68</v>
      </c>
    </row>
    <row r="2700" spans="1:3">
      <c r="A2700" s="86" t="s">
        <v>17055</v>
      </c>
      <c r="B2700" s="86" t="s">
        <v>17054</v>
      </c>
      <c r="C2700" s="397">
        <v>68</v>
      </c>
    </row>
    <row r="2701" spans="1:3">
      <c r="A2701" s="86" t="s">
        <v>17053</v>
      </c>
      <c r="B2701" s="86" t="s">
        <v>17052</v>
      </c>
      <c r="C2701" s="397">
        <v>68</v>
      </c>
    </row>
    <row r="2702" spans="1:3">
      <c r="A2702" s="86" t="s">
        <v>17051</v>
      </c>
      <c r="B2702" s="86" t="s">
        <v>17050</v>
      </c>
      <c r="C2702" s="397">
        <v>114</v>
      </c>
    </row>
    <row r="2703" spans="1:3">
      <c r="A2703" s="86" t="s">
        <v>17049</v>
      </c>
      <c r="B2703" s="86" t="s">
        <v>17048</v>
      </c>
      <c r="C2703" s="397">
        <v>28</v>
      </c>
    </row>
    <row r="2704" spans="1:3">
      <c r="A2704" s="86" t="s">
        <v>17047</v>
      </c>
      <c r="B2704" s="86" t="s">
        <v>17046</v>
      </c>
      <c r="C2704" s="397">
        <v>110</v>
      </c>
    </row>
    <row r="2705" spans="1:3">
      <c r="A2705" s="86" t="s">
        <v>17045</v>
      </c>
      <c r="B2705" s="86" t="s">
        <v>17044</v>
      </c>
      <c r="C2705" s="397">
        <v>579</v>
      </c>
    </row>
    <row r="2706" spans="1:3">
      <c r="A2706" s="86" t="s">
        <v>17043</v>
      </c>
      <c r="B2706" s="86" t="s">
        <v>17042</v>
      </c>
      <c r="C2706" s="397">
        <v>31</v>
      </c>
    </row>
    <row r="2707" spans="1:3">
      <c r="A2707" s="86" t="s">
        <v>17041</v>
      </c>
      <c r="B2707" s="86" t="s">
        <v>17040</v>
      </c>
      <c r="C2707" s="397">
        <v>55</v>
      </c>
    </row>
    <row r="2708" spans="1:3">
      <c r="A2708" s="86" t="s">
        <v>17039</v>
      </c>
      <c r="B2708" s="86" t="s">
        <v>17038</v>
      </c>
      <c r="C2708" s="397">
        <v>57</v>
      </c>
    </row>
    <row r="2709" spans="1:3">
      <c r="A2709" s="86" t="s">
        <v>17037</v>
      </c>
      <c r="B2709" s="86" t="s">
        <v>17036</v>
      </c>
      <c r="C2709" s="397">
        <v>31</v>
      </c>
    </row>
    <row r="2710" spans="1:3">
      <c r="A2710" s="86" t="s">
        <v>17035</v>
      </c>
      <c r="B2710" s="86" t="s">
        <v>17034</v>
      </c>
      <c r="C2710" s="397">
        <v>31</v>
      </c>
    </row>
    <row r="2711" spans="1:3">
      <c r="A2711" s="86" t="s">
        <v>17033</v>
      </c>
      <c r="B2711" s="86" t="s">
        <v>17032</v>
      </c>
      <c r="C2711" s="397">
        <v>40</v>
      </c>
    </row>
    <row r="2712" spans="1:3">
      <c r="A2712" s="86" t="s">
        <v>17031</v>
      </c>
      <c r="B2712" s="86" t="s">
        <v>17030</v>
      </c>
      <c r="C2712" s="397">
        <v>23</v>
      </c>
    </row>
    <row r="2713" spans="1:3">
      <c r="A2713" s="86" t="s">
        <v>17029</v>
      </c>
      <c r="B2713" s="86" t="s">
        <v>17028</v>
      </c>
      <c r="C2713" s="397">
        <v>137</v>
      </c>
    </row>
    <row r="2714" spans="1:3">
      <c r="A2714" s="86" t="s">
        <v>17027</v>
      </c>
      <c r="B2714" s="86" t="s">
        <v>17026</v>
      </c>
      <c r="C2714" s="397">
        <v>84</v>
      </c>
    </row>
    <row r="2715" spans="1:3">
      <c r="A2715" s="86" t="s">
        <v>17025</v>
      </c>
      <c r="B2715" s="86" t="s">
        <v>17024</v>
      </c>
      <c r="C2715" s="397">
        <v>124</v>
      </c>
    </row>
    <row r="2716" spans="1:3">
      <c r="A2716" s="86" t="s">
        <v>17023</v>
      </c>
      <c r="B2716" s="86" t="s">
        <v>17022</v>
      </c>
      <c r="C2716" s="397">
        <v>174</v>
      </c>
    </row>
    <row r="2717" spans="1:3">
      <c r="A2717" s="86" t="s">
        <v>17021</v>
      </c>
      <c r="B2717" s="86" t="s">
        <v>17020</v>
      </c>
      <c r="C2717" s="397">
        <v>30</v>
      </c>
    </row>
    <row r="2718" spans="1:3">
      <c r="A2718" s="86" t="s">
        <v>17019</v>
      </c>
      <c r="B2718" s="86" t="s">
        <v>17018</v>
      </c>
      <c r="C2718" s="397">
        <v>68</v>
      </c>
    </row>
    <row r="2719" spans="1:3">
      <c r="A2719" s="86" t="s">
        <v>17017</v>
      </c>
      <c r="B2719" s="86" t="s">
        <v>17016</v>
      </c>
      <c r="C2719" s="397">
        <v>32</v>
      </c>
    </row>
    <row r="2720" spans="1:3">
      <c r="A2720" s="86" t="s">
        <v>17015</v>
      </c>
      <c r="B2720" s="86" t="s">
        <v>17014</v>
      </c>
      <c r="C2720" s="397">
        <v>1452</v>
      </c>
    </row>
    <row r="2721" spans="1:3">
      <c r="A2721" s="86" t="s">
        <v>17013</v>
      </c>
      <c r="B2721" s="86" t="s">
        <v>17012</v>
      </c>
      <c r="C2721" s="397">
        <v>348</v>
      </c>
    </row>
    <row r="2722" spans="1:3">
      <c r="A2722" s="86" t="s">
        <v>17011</v>
      </c>
      <c r="B2722" s="86" t="s">
        <v>17010</v>
      </c>
      <c r="C2722" s="397">
        <v>55</v>
      </c>
    </row>
    <row r="2723" spans="1:3">
      <c r="A2723" s="86" t="s">
        <v>17009</v>
      </c>
      <c r="B2723" s="86" t="s">
        <v>17008</v>
      </c>
      <c r="C2723" s="397">
        <v>79</v>
      </c>
    </row>
    <row r="2724" spans="1:3">
      <c r="A2724" s="86" t="s">
        <v>17007</v>
      </c>
      <c r="B2724" s="86" t="s">
        <v>17006</v>
      </c>
      <c r="C2724" s="397">
        <v>97</v>
      </c>
    </row>
    <row r="2725" spans="1:3">
      <c r="A2725" s="86" t="s">
        <v>17005</v>
      </c>
      <c r="B2725" s="86" t="s">
        <v>17004</v>
      </c>
      <c r="C2725" s="397">
        <v>683</v>
      </c>
    </row>
    <row r="2726" spans="1:3">
      <c r="A2726" s="86" t="s">
        <v>17003</v>
      </c>
      <c r="B2726" s="86" t="s">
        <v>17002</v>
      </c>
      <c r="C2726" s="397">
        <v>683</v>
      </c>
    </row>
    <row r="2727" spans="1:3">
      <c r="A2727" s="86" t="s">
        <v>17001</v>
      </c>
      <c r="B2727" s="86" t="s">
        <v>17000</v>
      </c>
      <c r="C2727" s="397">
        <v>683</v>
      </c>
    </row>
    <row r="2728" spans="1:3">
      <c r="A2728" s="86" t="s">
        <v>16999</v>
      </c>
      <c r="B2728" s="86" t="s">
        <v>16998</v>
      </c>
      <c r="C2728" s="397">
        <v>683</v>
      </c>
    </row>
    <row r="2729" spans="1:3">
      <c r="A2729" s="86" t="s">
        <v>16997</v>
      </c>
      <c r="B2729" s="86" t="s">
        <v>16996</v>
      </c>
      <c r="C2729" s="397">
        <v>764</v>
      </c>
    </row>
    <row r="2730" spans="1:3">
      <c r="A2730" s="86" t="s">
        <v>16995</v>
      </c>
      <c r="B2730" s="86" t="s">
        <v>16994</v>
      </c>
      <c r="C2730" s="397">
        <v>848</v>
      </c>
    </row>
    <row r="2731" spans="1:3">
      <c r="A2731" s="86" t="s">
        <v>16993</v>
      </c>
      <c r="B2731" s="86" t="s">
        <v>16992</v>
      </c>
      <c r="C2731" s="397">
        <v>683</v>
      </c>
    </row>
    <row r="2732" spans="1:3">
      <c r="A2732" s="86" t="s">
        <v>16991</v>
      </c>
      <c r="B2732" s="86" t="s">
        <v>16990</v>
      </c>
      <c r="C2732" s="397">
        <v>848</v>
      </c>
    </row>
    <row r="2733" spans="1:3">
      <c r="A2733" s="86" t="s">
        <v>16989</v>
      </c>
      <c r="B2733" s="86" t="s">
        <v>16988</v>
      </c>
      <c r="C2733" s="397">
        <v>811</v>
      </c>
    </row>
    <row r="2734" spans="1:3">
      <c r="A2734" s="86" t="s">
        <v>16987</v>
      </c>
      <c r="B2734" s="86" t="s">
        <v>16986</v>
      </c>
      <c r="C2734" s="397">
        <v>811</v>
      </c>
    </row>
    <row r="2735" spans="1:3">
      <c r="A2735" s="86" t="s">
        <v>16985</v>
      </c>
      <c r="B2735" s="86" t="s">
        <v>16984</v>
      </c>
      <c r="C2735" s="397">
        <v>811</v>
      </c>
    </row>
    <row r="2736" spans="1:3">
      <c r="A2736" s="86" t="s">
        <v>16983</v>
      </c>
      <c r="B2736" s="86" t="s">
        <v>16982</v>
      </c>
      <c r="C2736" s="397">
        <v>718</v>
      </c>
    </row>
    <row r="2737" spans="1:3">
      <c r="A2737" s="86" t="s">
        <v>16981</v>
      </c>
      <c r="B2737" s="86" t="s">
        <v>16980</v>
      </c>
      <c r="C2737" s="397">
        <v>683</v>
      </c>
    </row>
    <row r="2738" spans="1:3">
      <c r="A2738" s="86" t="s">
        <v>16979</v>
      </c>
      <c r="B2738" s="86" t="s">
        <v>16978</v>
      </c>
      <c r="C2738" s="397">
        <v>683</v>
      </c>
    </row>
    <row r="2739" spans="1:3">
      <c r="A2739" s="86" t="s">
        <v>16977</v>
      </c>
      <c r="B2739" s="86" t="s">
        <v>16976</v>
      </c>
      <c r="C2739" s="397">
        <v>683</v>
      </c>
    </row>
    <row r="2740" spans="1:3">
      <c r="A2740" s="86" t="s">
        <v>16975</v>
      </c>
      <c r="B2740" s="86" t="s">
        <v>16974</v>
      </c>
      <c r="C2740" s="397">
        <v>683</v>
      </c>
    </row>
    <row r="2741" spans="1:3">
      <c r="A2741" s="86" t="s">
        <v>16973</v>
      </c>
      <c r="B2741" s="86" t="s">
        <v>16972</v>
      </c>
      <c r="C2741" s="397">
        <v>683</v>
      </c>
    </row>
    <row r="2742" spans="1:3">
      <c r="A2742" s="86" t="s">
        <v>16971</v>
      </c>
      <c r="B2742" s="86" t="s">
        <v>16970</v>
      </c>
      <c r="C2742" s="397">
        <v>683</v>
      </c>
    </row>
    <row r="2743" spans="1:3">
      <c r="A2743" s="86" t="s">
        <v>16969</v>
      </c>
      <c r="B2743" s="86" t="s">
        <v>16968</v>
      </c>
      <c r="C2743" s="397">
        <v>40</v>
      </c>
    </row>
    <row r="2744" spans="1:3">
      <c r="A2744" s="86" t="s">
        <v>16967</v>
      </c>
      <c r="B2744" s="86" t="s">
        <v>16966</v>
      </c>
      <c r="C2744" s="397">
        <v>40</v>
      </c>
    </row>
    <row r="2745" spans="1:3">
      <c r="A2745" s="86" t="s">
        <v>16965</v>
      </c>
      <c r="B2745" s="86" t="s">
        <v>16964</v>
      </c>
      <c r="C2745" s="397">
        <v>214</v>
      </c>
    </row>
    <row r="2746" spans="1:3">
      <c r="A2746" s="86" t="s">
        <v>16963</v>
      </c>
      <c r="B2746" s="86" t="s">
        <v>16962</v>
      </c>
      <c r="C2746" s="397">
        <v>58</v>
      </c>
    </row>
    <row r="2747" spans="1:3">
      <c r="A2747" s="86" t="s">
        <v>16961</v>
      </c>
      <c r="B2747" s="86" t="s">
        <v>16960</v>
      </c>
      <c r="C2747" s="397">
        <v>58</v>
      </c>
    </row>
    <row r="2748" spans="1:3">
      <c r="A2748" s="86" t="s">
        <v>16959</v>
      </c>
      <c r="B2748" s="86" t="s">
        <v>16958</v>
      </c>
      <c r="C2748" s="397">
        <v>144</v>
      </c>
    </row>
    <row r="2749" spans="1:3">
      <c r="A2749" s="86" t="s">
        <v>16957</v>
      </c>
      <c r="B2749" s="86" t="s">
        <v>16956</v>
      </c>
      <c r="C2749" s="397">
        <v>790</v>
      </c>
    </row>
    <row r="2750" spans="1:3">
      <c r="A2750" s="86" t="s">
        <v>16955</v>
      </c>
      <c r="B2750" s="86" t="s">
        <v>16954</v>
      </c>
      <c r="C2750" s="397">
        <v>729</v>
      </c>
    </row>
    <row r="2751" spans="1:3">
      <c r="A2751" s="86" t="s">
        <v>16953</v>
      </c>
      <c r="B2751" s="86" t="s">
        <v>16952</v>
      </c>
      <c r="C2751" s="397">
        <v>130</v>
      </c>
    </row>
    <row r="2752" spans="1:3">
      <c r="A2752" s="86" t="s">
        <v>16951</v>
      </c>
      <c r="B2752" s="86" t="s">
        <v>16950</v>
      </c>
      <c r="C2752" s="397">
        <v>53</v>
      </c>
    </row>
    <row r="2753" spans="1:3">
      <c r="A2753" s="86" t="s">
        <v>16949</v>
      </c>
      <c r="B2753" s="86" t="s">
        <v>16948</v>
      </c>
      <c r="C2753" s="397">
        <v>259</v>
      </c>
    </row>
    <row r="2754" spans="1:3">
      <c r="A2754" s="86" t="s">
        <v>16947</v>
      </c>
      <c r="B2754" s="86" t="s">
        <v>16946</v>
      </c>
      <c r="C2754" s="397">
        <v>491</v>
      </c>
    </row>
    <row r="2755" spans="1:3">
      <c r="A2755" s="86" t="s">
        <v>16945</v>
      </c>
      <c r="B2755" s="86" t="s">
        <v>16944</v>
      </c>
      <c r="C2755" s="397">
        <v>599</v>
      </c>
    </row>
    <row r="2756" spans="1:3">
      <c r="A2756" s="86" t="s">
        <v>16943</v>
      </c>
      <c r="B2756" s="86" t="s">
        <v>16942</v>
      </c>
      <c r="C2756" s="397">
        <v>599</v>
      </c>
    </row>
    <row r="2757" spans="1:3">
      <c r="A2757" s="86" t="s">
        <v>16941</v>
      </c>
      <c r="B2757" s="86" t="s">
        <v>16940</v>
      </c>
      <c r="C2757" s="397">
        <v>599</v>
      </c>
    </row>
    <row r="2758" spans="1:3">
      <c r="A2758" s="86" t="s">
        <v>16939</v>
      </c>
      <c r="B2758" s="86" t="s">
        <v>16938</v>
      </c>
      <c r="C2758" s="397">
        <v>599</v>
      </c>
    </row>
    <row r="2759" spans="1:3">
      <c r="A2759" s="86" t="s">
        <v>16937</v>
      </c>
      <c r="B2759" s="86" t="s">
        <v>16936</v>
      </c>
      <c r="C2759" s="397">
        <v>599</v>
      </c>
    </row>
    <row r="2760" spans="1:3">
      <c r="A2760" s="86" t="s">
        <v>16935</v>
      </c>
      <c r="B2760" s="86" t="s">
        <v>16934</v>
      </c>
      <c r="C2760" s="397">
        <v>599</v>
      </c>
    </row>
    <row r="2761" spans="1:3">
      <c r="A2761" s="86" t="s">
        <v>16933</v>
      </c>
      <c r="B2761" s="86" t="s">
        <v>16932</v>
      </c>
      <c r="C2761" s="397">
        <v>74</v>
      </c>
    </row>
    <row r="2762" spans="1:3">
      <c r="A2762" s="86" t="s">
        <v>16931</v>
      </c>
      <c r="B2762" s="86" t="s">
        <v>16930</v>
      </c>
      <c r="C2762" s="397">
        <v>181</v>
      </c>
    </row>
    <row r="2763" spans="1:3">
      <c r="A2763" s="86" t="s">
        <v>16929</v>
      </c>
      <c r="B2763" s="86" t="s">
        <v>16928</v>
      </c>
      <c r="C2763" s="397">
        <v>427</v>
      </c>
    </row>
    <row r="2764" spans="1:3">
      <c r="A2764" s="86" t="s">
        <v>16927</v>
      </c>
      <c r="B2764" s="86" t="s">
        <v>16926</v>
      </c>
      <c r="C2764" s="397">
        <v>427</v>
      </c>
    </row>
    <row r="2765" spans="1:3">
      <c r="A2765" s="86" t="s">
        <v>16925</v>
      </c>
      <c r="B2765" s="86" t="s">
        <v>16924</v>
      </c>
      <c r="C2765" s="397">
        <v>205</v>
      </c>
    </row>
    <row r="2766" spans="1:3">
      <c r="A2766" s="86" t="s">
        <v>16923</v>
      </c>
      <c r="B2766" s="86" t="s">
        <v>16922</v>
      </c>
      <c r="C2766" s="397">
        <v>60</v>
      </c>
    </row>
    <row r="2767" spans="1:3">
      <c r="A2767" s="86" t="s">
        <v>16921</v>
      </c>
      <c r="B2767" s="86" t="s">
        <v>16920</v>
      </c>
      <c r="C2767" s="397">
        <v>46</v>
      </c>
    </row>
    <row r="2768" spans="1:3">
      <c r="A2768" s="86" t="s">
        <v>16919</v>
      </c>
      <c r="B2768" s="86" t="s">
        <v>16918</v>
      </c>
      <c r="C2768" s="397">
        <v>95</v>
      </c>
    </row>
    <row r="2769" spans="1:3">
      <c r="A2769" s="86" t="s">
        <v>16917</v>
      </c>
      <c r="B2769" s="86" t="s">
        <v>16916</v>
      </c>
      <c r="C2769" s="397">
        <v>51</v>
      </c>
    </row>
    <row r="2770" spans="1:3">
      <c r="A2770" s="86" t="s">
        <v>16915</v>
      </c>
      <c r="B2770" s="86" t="s">
        <v>16914</v>
      </c>
      <c r="C2770" s="397">
        <v>34</v>
      </c>
    </row>
    <row r="2771" spans="1:3">
      <c r="A2771" s="86" t="s">
        <v>16913</v>
      </c>
      <c r="B2771" s="86" t="s">
        <v>16912</v>
      </c>
      <c r="C2771" s="397">
        <v>70</v>
      </c>
    </row>
    <row r="2772" spans="1:3">
      <c r="A2772" s="86" t="s">
        <v>16911</v>
      </c>
      <c r="B2772" s="86" t="s">
        <v>16910</v>
      </c>
      <c r="C2772" s="397">
        <v>61</v>
      </c>
    </row>
    <row r="2773" spans="1:3">
      <c r="A2773" s="86" t="s">
        <v>16909</v>
      </c>
      <c r="B2773" s="86" t="s">
        <v>16908</v>
      </c>
      <c r="C2773" s="397">
        <v>61</v>
      </c>
    </row>
    <row r="2774" spans="1:3">
      <c r="A2774" s="86" t="s">
        <v>16907</v>
      </c>
      <c r="B2774" s="86" t="s">
        <v>16906</v>
      </c>
      <c r="C2774" s="397">
        <v>41</v>
      </c>
    </row>
    <row r="2775" spans="1:3">
      <c r="A2775" s="86" t="s">
        <v>16905</v>
      </c>
      <c r="B2775" s="86" t="s">
        <v>16904</v>
      </c>
      <c r="C2775" s="397">
        <v>51</v>
      </c>
    </row>
    <row r="2776" spans="1:3">
      <c r="A2776" s="86" t="s">
        <v>16903</v>
      </c>
      <c r="B2776" s="86" t="s">
        <v>16902</v>
      </c>
      <c r="C2776" s="397">
        <v>28</v>
      </c>
    </row>
    <row r="2777" spans="1:3">
      <c r="A2777" s="86" t="s">
        <v>16901</v>
      </c>
      <c r="B2777" s="86" t="s">
        <v>16900</v>
      </c>
      <c r="C2777" s="397">
        <v>308</v>
      </c>
    </row>
    <row r="2778" spans="1:3">
      <c r="A2778" s="86" t="s">
        <v>16899</v>
      </c>
      <c r="B2778" s="86" t="s">
        <v>16898</v>
      </c>
      <c r="C2778" s="397">
        <v>312</v>
      </c>
    </row>
    <row r="2779" spans="1:3">
      <c r="A2779" s="86" t="s">
        <v>16897</v>
      </c>
      <c r="B2779" s="86" t="s">
        <v>16896</v>
      </c>
      <c r="C2779" s="397">
        <v>181</v>
      </c>
    </row>
    <row r="2780" spans="1:3">
      <c r="A2780" s="86" t="s">
        <v>16895</v>
      </c>
      <c r="B2780" s="86" t="s">
        <v>16894</v>
      </c>
      <c r="C2780" s="397">
        <v>84</v>
      </c>
    </row>
    <row r="2781" spans="1:3">
      <c r="A2781" s="86" t="s">
        <v>16893</v>
      </c>
      <c r="B2781" s="86" t="s">
        <v>16892</v>
      </c>
      <c r="C2781" s="397">
        <v>59</v>
      </c>
    </row>
    <row r="2782" spans="1:3">
      <c r="A2782" s="86" t="s">
        <v>16891</v>
      </c>
      <c r="B2782" s="86" t="s">
        <v>16890</v>
      </c>
      <c r="C2782" s="397">
        <v>84</v>
      </c>
    </row>
    <row r="2783" spans="1:3">
      <c r="A2783" s="86" t="s">
        <v>16889</v>
      </c>
      <c r="B2783" s="86" t="s">
        <v>16888</v>
      </c>
      <c r="C2783" s="397">
        <v>84</v>
      </c>
    </row>
    <row r="2784" spans="1:3">
      <c r="A2784" s="86" t="s">
        <v>16887</v>
      </c>
      <c r="B2784" s="86" t="s">
        <v>16886</v>
      </c>
      <c r="C2784" s="397">
        <v>84</v>
      </c>
    </row>
    <row r="2785" spans="1:3">
      <c r="A2785" s="86" t="s">
        <v>16885</v>
      </c>
      <c r="B2785" s="86" t="s">
        <v>16884</v>
      </c>
      <c r="C2785" s="397">
        <v>84</v>
      </c>
    </row>
    <row r="2786" spans="1:3">
      <c r="A2786" s="86" t="s">
        <v>16883</v>
      </c>
      <c r="B2786" s="86" t="s">
        <v>16882</v>
      </c>
      <c r="C2786" s="397">
        <v>84</v>
      </c>
    </row>
    <row r="2787" spans="1:3">
      <c r="A2787" s="86" t="s">
        <v>16881</v>
      </c>
      <c r="B2787" s="86" t="s">
        <v>16880</v>
      </c>
      <c r="C2787" s="397">
        <v>84</v>
      </c>
    </row>
    <row r="2788" spans="1:3">
      <c r="A2788" s="86" t="s">
        <v>16879</v>
      </c>
      <c r="B2788" s="86" t="s">
        <v>16878</v>
      </c>
      <c r="C2788" s="397">
        <v>205</v>
      </c>
    </row>
    <row r="2789" spans="1:3">
      <c r="A2789" s="86" t="s">
        <v>16877</v>
      </c>
      <c r="B2789" s="86" t="s">
        <v>16876</v>
      </c>
      <c r="C2789" s="397">
        <v>53</v>
      </c>
    </row>
    <row r="2790" spans="1:3">
      <c r="A2790" s="86" t="s">
        <v>16875</v>
      </c>
      <c r="B2790" s="86" t="s">
        <v>16874</v>
      </c>
      <c r="C2790" s="397">
        <v>68</v>
      </c>
    </row>
    <row r="2791" spans="1:3">
      <c r="A2791" s="86" t="s">
        <v>16873</v>
      </c>
      <c r="B2791" s="86" t="s">
        <v>16872</v>
      </c>
      <c r="C2791" s="397">
        <v>68</v>
      </c>
    </row>
    <row r="2792" spans="1:3">
      <c r="A2792" s="86" t="s">
        <v>16871</v>
      </c>
      <c r="B2792" s="86" t="s">
        <v>16870</v>
      </c>
      <c r="C2792" s="397">
        <v>68</v>
      </c>
    </row>
    <row r="2793" spans="1:3">
      <c r="A2793" s="86" t="s">
        <v>16869</v>
      </c>
      <c r="B2793" s="86" t="s">
        <v>16868</v>
      </c>
      <c r="C2793" s="397">
        <v>68</v>
      </c>
    </row>
    <row r="2794" spans="1:3">
      <c r="A2794" s="86" t="s">
        <v>16867</v>
      </c>
      <c r="B2794" s="86" t="s">
        <v>16866</v>
      </c>
      <c r="C2794" s="397">
        <v>68</v>
      </c>
    </row>
    <row r="2795" spans="1:3">
      <c r="A2795" s="86" t="s">
        <v>16865</v>
      </c>
      <c r="B2795" s="86" t="s">
        <v>16864</v>
      </c>
      <c r="C2795" s="397">
        <v>205</v>
      </c>
    </row>
    <row r="2796" spans="1:3">
      <c r="A2796" s="86" t="s">
        <v>16863</v>
      </c>
      <c r="B2796" s="86" t="s">
        <v>16862</v>
      </c>
      <c r="C2796" s="397">
        <v>31</v>
      </c>
    </row>
    <row r="2797" spans="1:3">
      <c r="A2797" s="86" t="s">
        <v>16861</v>
      </c>
      <c r="B2797" s="86" t="s">
        <v>16860</v>
      </c>
      <c r="C2797" s="397">
        <v>440</v>
      </c>
    </row>
    <row r="2798" spans="1:3">
      <c r="A2798" s="86" t="s">
        <v>16859</v>
      </c>
      <c r="B2798" s="86" t="s">
        <v>16858</v>
      </c>
      <c r="C2798" s="397">
        <v>352</v>
      </c>
    </row>
    <row r="2799" spans="1:3">
      <c r="A2799" s="86" t="s">
        <v>16857</v>
      </c>
      <c r="B2799" s="86" t="s">
        <v>16856</v>
      </c>
      <c r="C2799" s="397">
        <v>549</v>
      </c>
    </row>
    <row r="2800" spans="1:3">
      <c r="A2800" s="86" t="s">
        <v>16855</v>
      </c>
      <c r="B2800" s="86" t="s">
        <v>16854</v>
      </c>
      <c r="C2800" s="397">
        <v>384</v>
      </c>
    </row>
    <row r="2801" spans="1:3">
      <c r="A2801" s="86" t="s">
        <v>16853</v>
      </c>
      <c r="B2801" s="86" t="s">
        <v>16852</v>
      </c>
      <c r="C2801" s="397">
        <v>20</v>
      </c>
    </row>
    <row r="2802" spans="1:3">
      <c r="A2802" s="86" t="s">
        <v>16851</v>
      </c>
      <c r="B2802" s="86" t="s">
        <v>16850</v>
      </c>
      <c r="C2802" s="397">
        <v>363</v>
      </c>
    </row>
    <row r="2803" spans="1:3">
      <c r="A2803" s="86" t="s">
        <v>16849</v>
      </c>
      <c r="B2803" s="86" t="s">
        <v>16848</v>
      </c>
      <c r="C2803" s="397">
        <v>363</v>
      </c>
    </row>
    <row r="2804" spans="1:3">
      <c r="A2804" s="86" t="s">
        <v>16847</v>
      </c>
      <c r="B2804" s="86" t="s">
        <v>16846</v>
      </c>
      <c r="C2804" s="397">
        <v>228</v>
      </c>
    </row>
    <row r="2805" spans="1:3">
      <c r="A2805" s="86" t="s">
        <v>16845</v>
      </c>
      <c r="B2805" s="86" t="s">
        <v>16844</v>
      </c>
      <c r="C2805" s="397">
        <v>56</v>
      </c>
    </row>
    <row r="2806" spans="1:3">
      <c r="A2806" s="86" t="s">
        <v>16843</v>
      </c>
      <c r="B2806" s="86" t="s">
        <v>16842</v>
      </c>
      <c r="C2806" s="397">
        <v>205</v>
      </c>
    </row>
    <row r="2807" spans="1:3">
      <c r="A2807" s="86" t="s">
        <v>16841</v>
      </c>
      <c r="B2807" s="86" t="s">
        <v>16840</v>
      </c>
      <c r="C2807" s="397">
        <v>252</v>
      </c>
    </row>
    <row r="2808" spans="1:3">
      <c r="A2808" s="86" t="s">
        <v>16839</v>
      </c>
      <c r="B2808" s="86" t="s">
        <v>16838</v>
      </c>
      <c r="C2808" s="397">
        <v>318</v>
      </c>
    </row>
    <row r="2809" spans="1:3">
      <c r="A2809" s="86" t="s">
        <v>16837</v>
      </c>
      <c r="B2809" s="86" t="s">
        <v>16836</v>
      </c>
      <c r="C2809" s="397">
        <v>68</v>
      </c>
    </row>
    <row r="2810" spans="1:3">
      <c r="A2810" s="86" t="s">
        <v>16835</v>
      </c>
      <c r="B2810" s="86" t="s">
        <v>16834</v>
      </c>
      <c r="C2810" s="397">
        <v>56</v>
      </c>
    </row>
    <row r="2811" spans="1:3">
      <c r="A2811" s="86" t="s">
        <v>16833</v>
      </c>
      <c r="B2811" s="86" t="s">
        <v>16832</v>
      </c>
      <c r="C2811" s="397">
        <v>84</v>
      </c>
    </row>
    <row r="2812" spans="1:3">
      <c r="A2812" s="86" t="s">
        <v>16831</v>
      </c>
      <c r="B2812" s="86" t="s">
        <v>16830</v>
      </c>
      <c r="C2812" s="397">
        <v>17</v>
      </c>
    </row>
    <row r="2813" spans="1:3">
      <c r="A2813" s="86" t="s">
        <v>16829</v>
      </c>
      <c r="B2813" s="86" t="s">
        <v>16824</v>
      </c>
      <c r="C2813" s="397">
        <v>47</v>
      </c>
    </row>
    <row r="2814" spans="1:3">
      <c r="A2814" s="86" t="s">
        <v>16828</v>
      </c>
      <c r="B2814" s="86" t="s">
        <v>16824</v>
      </c>
      <c r="C2814" s="397">
        <v>76</v>
      </c>
    </row>
    <row r="2815" spans="1:3">
      <c r="A2815" s="86" t="s">
        <v>16827</v>
      </c>
      <c r="B2815" s="86" t="s">
        <v>16826</v>
      </c>
      <c r="C2815" s="397">
        <v>49</v>
      </c>
    </row>
    <row r="2816" spans="1:3">
      <c r="A2816" s="86" t="s">
        <v>16825</v>
      </c>
      <c r="B2816" s="86" t="s">
        <v>16824</v>
      </c>
      <c r="C2816" s="397">
        <v>108</v>
      </c>
    </row>
    <row r="2817" spans="1:3">
      <c r="A2817" s="86" t="s">
        <v>16823</v>
      </c>
      <c r="B2817" s="86" t="s">
        <v>16822</v>
      </c>
      <c r="C2817" s="397">
        <v>47</v>
      </c>
    </row>
    <row r="2818" spans="1:3">
      <c r="A2818" s="86" t="s">
        <v>16821</v>
      </c>
      <c r="B2818" s="86" t="s">
        <v>16820</v>
      </c>
      <c r="C2818" s="397">
        <v>53</v>
      </c>
    </row>
    <row r="2819" spans="1:3">
      <c r="A2819" s="86" t="s">
        <v>16819</v>
      </c>
      <c r="B2819" s="86" t="s">
        <v>16818</v>
      </c>
      <c r="C2819" s="397">
        <v>68</v>
      </c>
    </row>
    <row r="2820" spans="1:3">
      <c r="A2820" s="86" t="s">
        <v>16817</v>
      </c>
      <c r="B2820" s="86" t="s">
        <v>16816</v>
      </c>
      <c r="C2820" s="397">
        <v>32</v>
      </c>
    </row>
    <row r="2821" spans="1:3">
      <c r="A2821" s="86" t="s">
        <v>16815</v>
      </c>
      <c r="B2821" s="86" t="s">
        <v>16814</v>
      </c>
      <c r="C2821" s="397">
        <v>30</v>
      </c>
    </row>
    <row r="2822" spans="1:3">
      <c r="A2822" s="86" t="s">
        <v>16813</v>
      </c>
      <c r="B2822" s="86" t="s">
        <v>16812</v>
      </c>
      <c r="C2822" s="397">
        <v>646</v>
      </c>
    </row>
    <row r="2823" spans="1:3">
      <c r="A2823" s="86" t="s">
        <v>16811</v>
      </c>
      <c r="B2823" s="86" t="s">
        <v>16810</v>
      </c>
      <c r="C2823" s="397">
        <v>646</v>
      </c>
    </row>
    <row r="2824" spans="1:3">
      <c r="A2824" s="86" t="s">
        <v>16809</v>
      </c>
      <c r="B2824" s="86" t="s">
        <v>16808</v>
      </c>
      <c r="C2824" s="397">
        <v>16</v>
      </c>
    </row>
    <row r="2825" spans="1:3">
      <c r="A2825" s="86" t="s">
        <v>16807</v>
      </c>
      <c r="B2825" s="86" t="s">
        <v>16806</v>
      </c>
      <c r="C2825" s="397">
        <v>27</v>
      </c>
    </row>
    <row r="2826" spans="1:3">
      <c r="A2826" s="86" t="s">
        <v>16805</v>
      </c>
      <c r="B2826" s="86" t="s">
        <v>16804</v>
      </c>
      <c r="C2826" s="397">
        <v>209</v>
      </c>
    </row>
    <row r="2827" spans="1:3">
      <c r="A2827" s="86" t="s">
        <v>16803</v>
      </c>
      <c r="B2827" s="86" t="s">
        <v>16802</v>
      </c>
      <c r="C2827" s="397">
        <v>209</v>
      </c>
    </row>
    <row r="2828" spans="1:3">
      <c r="A2828" s="86" t="s">
        <v>16801</v>
      </c>
      <c r="B2828" s="86" t="s">
        <v>16799</v>
      </c>
      <c r="C2828" s="397">
        <v>272</v>
      </c>
    </row>
    <row r="2829" spans="1:3">
      <c r="A2829" s="86" t="s">
        <v>16800</v>
      </c>
      <c r="B2829" s="86" t="s">
        <v>16799</v>
      </c>
      <c r="C2829" s="397">
        <v>272</v>
      </c>
    </row>
    <row r="2830" spans="1:3">
      <c r="A2830" s="86" t="s">
        <v>16798</v>
      </c>
      <c r="B2830" s="86" t="s">
        <v>16797</v>
      </c>
      <c r="C2830" s="397">
        <v>72</v>
      </c>
    </row>
    <row r="2831" spans="1:3">
      <c r="A2831" s="86" t="s">
        <v>16796</v>
      </c>
      <c r="B2831" s="86" t="s">
        <v>16795</v>
      </c>
      <c r="C2831" s="397">
        <v>61</v>
      </c>
    </row>
    <row r="2832" spans="1:3">
      <c r="A2832" s="86" t="s">
        <v>16794</v>
      </c>
      <c r="B2832" s="86" t="s">
        <v>16793</v>
      </c>
      <c r="C2832" s="397">
        <v>1276</v>
      </c>
    </row>
    <row r="2833" spans="1:3">
      <c r="A2833" s="86" t="s">
        <v>16792</v>
      </c>
      <c r="B2833" s="86" t="s">
        <v>16790</v>
      </c>
      <c r="C2833" s="397">
        <v>27</v>
      </c>
    </row>
    <row r="2834" spans="1:3">
      <c r="A2834" s="86" t="s">
        <v>16791</v>
      </c>
      <c r="B2834" s="86" t="s">
        <v>16790</v>
      </c>
      <c r="C2834" s="397">
        <v>27</v>
      </c>
    </row>
    <row r="2835" spans="1:3">
      <c r="A2835" s="86" t="s">
        <v>16789</v>
      </c>
      <c r="B2835" s="86" t="s">
        <v>16788</v>
      </c>
      <c r="C2835" s="397">
        <v>53</v>
      </c>
    </row>
    <row r="2836" spans="1:3">
      <c r="A2836" s="86" t="s">
        <v>16787</v>
      </c>
      <c r="B2836" s="86" t="s">
        <v>16784</v>
      </c>
      <c r="C2836" s="397">
        <v>16</v>
      </c>
    </row>
    <row r="2837" spans="1:3">
      <c r="A2837" s="86" t="s">
        <v>16786</v>
      </c>
      <c r="B2837" s="86" t="s">
        <v>16784</v>
      </c>
      <c r="C2837" s="397">
        <v>27</v>
      </c>
    </row>
    <row r="2838" spans="1:3">
      <c r="A2838" s="86" t="s">
        <v>16785</v>
      </c>
      <c r="B2838" s="86" t="s">
        <v>16784</v>
      </c>
      <c r="C2838" s="397">
        <v>16</v>
      </c>
    </row>
    <row r="2839" spans="1:3">
      <c r="A2839" s="86" t="s">
        <v>16783</v>
      </c>
      <c r="B2839" s="86" t="s">
        <v>16779</v>
      </c>
      <c r="C2839" s="397">
        <v>310</v>
      </c>
    </row>
    <row r="2840" spans="1:3">
      <c r="A2840" s="86" t="s">
        <v>16782</v>
      </c>
      <c r="B2840" s="86" t="s">
        <v>16779</v>
      </c>
      <c r="C2840" s="397">
        <v>310</v>
      </c>
    </row>
    <row r="2841" spans="1:3">
      <c r="A2841" s="86" t="s">
        <v>16781</v>
      </c>
      <c r="B2841" s="86" t="s">
        <v>16779</v>
      </c>
      <c r="C2841" s="397">
        <v>310</v>
      </c>
    </row>
    <row r="2842" spans="1:3">
      <c r="A2842" s="86" t="s">
        <v>16780</v>
      </c>
      <c r="B2842" s="86" t="s">
        <v>16779</v>
      </c>
      <c r="C2842" s="397">
        <v>310</v>
      </c>
    </row>
    <row r="2843" spans="1:3">
      <c r="A2843" s="86" t="s">
        <v>16778</v>
      </c>
      <c r="B2843" s="86" t="s">
        <v>16774</v>
      </c>
      <c r="C2843" s="397">
        <v>302</v>
      </c>
    </row>
    <row r="2844" spans="1:3">
      <c r="A2844" s="86" t="s">
        <v>16777</v>
      </c>
      <c r="B2844" s="86" t="s">
        <v>16774</v>
      </c>
      <c r="C2844" s="397">
        <v>236</v>
      </c>
    </row>
    <row r="2845" spans="1:3">
      <c r="A2845" s="86" t="s">
        <v>16776</v>
      </c>
      <c r="B2845" s="86" t="s">
        <v>16774</v>
      </c>
      <c r="C2845" s="397">
        <v>302</v>
      </c>
    </row>
    <row r="2846" spans="1:3">
      <c r="A2846" s="86" t="s">
        <v>16775</v>
      </c>
      <c r="B2846" s="86" t="s">
        <v>16774</v>
      </c>
      <c r="C2846" s="397">
        <v>302</v>
      </c>
    </row>
    <row r="2847" spans="1:3">
      <c r="A2847" s="86" t="s">
        <v>16773</v>
      </c>
      <c r="B2847" s="86" t="s">
        <v>16772</v>
      </c>
      <c r="C2847" s="397">
        <v>68</v>
      </c>
    </row>
    <row r="2848" spans="1:3">
      <c r="A2848" s="86" t="s">
        <v>16771</v>
      </c>
      <c r="B2848" s="86" t="s">
        <v>16770</v>
      </c>
      <c r="C2848" s="397">
        <v>765</v>
      </c>
    </row>
    <row r="2849" spans="1:3">
      <c r="A2849" s="86" t="s">
        <v>16769</v>
      </c>
      <c r="B2849" s="86" t="s">
        <v>16768</v>
      </c>
      <c r="C2849" s="397">
        <v>765</v>
      </c>
    </row>
    <row r="2850" spans="1:3">
      <c r="A2850" s="86" t="s">
        <v>16767</v>
      </c>
      <c r="B2850" s="86" t="s">
        <v>16766</v>
      </c>
      <c r="C2850" s="397">
        <v>27</v>
      </c>
    </row>
    <row r="2851" spans="1:3">
      <c r="A2851" s="86" t="s">
        <v>16765</v>
      </c>
      <c r="B2851" s="86" t="s">
        <v>16764</v>
      </c>
      <c r="C2851" s="397">
        <v>32</v>
      </c>
    </row>
    <row r="2852" spans="1:3">
      <c r="A2852" s="86" t="s">
        <v>16763</v>
      </c>
      <c r="B2852" s="86" t="s">
        <v>16762</v>
      </c>
      <c r="C2852" s="397">
        <v>178</v>
      </c>
    </row>
    <row r="2853" spans="1:3">
      <c r="A2853" s="86" t="s">
        <v>16761</v>
      </c>
      <c r="B2853" s="86" t="s">
        <v>16760</v>
      </c>
      <c r="C2853" s="397">
        <v>137</v>
      </c>
    </row>
    <row r="2854" spans="1:3">
      <c r="A2854" s="86" t="s">
        <v>16759</v>
      </c>
      <c r="B2854" s="86" t="s">
        <v>16758</v>
      </c>
      <c r="C2854" s="397">
        <v>53</v>
      </c>
    </row>
    <row r="2855" spans="1:3">
      <c r="A2855" s="86" t="s">
        <v>16757</v>
      </c>
      <c r="B2855" s="86" t="s">
        <v>16756</v>
      </c>
      <c r="C2855" s="397">
        <v>137</v>
      </c>
    </row>
    <row r="2856" spans="1:3">
      <c r="A2856" s="86" t="s">
        <v>16755</v>
      </c>
      <c r="B2856" s="86" t="s">
        <v>16754</v>
      </c>
      <c r="C2856" s="397">
        <v>137</v>
      </c>
    </row>
    <row r="2857" spans="1:3">
      <c r="A2857" s="86" t="s">
        <v>16753</v>
      </c>
      <c r="B2857" s="86" t="s">
        <v>16752</v>
      </c>
      <c r="C2857" s="397">
        <v>272</v>
      </c>
    </row>
    <row r="2858" spans="1:3">
      <c r="A2858" s="86" t="s">
        <v>16751</v>
      </c>
      <c r="B2858" s="86" t="s">
        <v>16750</v>
      </c>
      <c r="C2858" s="397">
        <v>62</v>
      </c>
    </row>
    <row r="2859" spans="1:3">
      <c r="A2859" s="86" t="s">
        <v>16749</v>
      </c>
      <c r="B2859" s="86" t="s">
        <v>16748</v>
      </c>
      <c r="C2859" s="397">
        <v>348</v>
      </c>
    </row>
    <row r="2860" spans="1:3">
      <c r="A2860" s="86" t="s">
        <v>16747</v>
      </c>
      <c r="B2860" s="86" t="s">
        <v>16746</v>
      </c>
      <c r="C2860" s="397">
        <v>16</v>
      </c>
    </row>
    <row r="2861" spans="1:3">
      <c r="A2861" s="86" t="s">
        <v>16745</v>
      </c>
      <c r="B2861" s="86" t="s">
        <v>16744</v>
      </c>
      <c r="C2861" s="397">
        <v>16</v>
      </c>
    </row>
    <row r="2862" spans="1:3">
      <c r="A2862" s="86" t="s">
        <v>16743</v>
      </c>
      <c r="B2862" s="86" t="s">
        <v>16742</v>
      </c>
      <c r="C2862" s="397">
        <v>53</v>
      </c>
    </row>
    <row r="2863" spans="1:3">
      <c r="A2863" s="86" t="s">
        <v>16741</v>
      </c>
      <c r="B2863" s="86" t="s">
        <v>16740</v>
      </c>
      <c r="C2863" s="397">
        <v>53</v>
      </c>
    </row>
    <row r="2864" spans="1:3">
      <c r="A2864" s="86" t="s">
        <v>16739</v>
      </c>
      <c r="B2864" s="86" t="s">
        <v>16738</v>
      </c>
      <c r="C2864" s="397">
        <v>27</v>
      </c>
    </row>
    <row r="2865" spans="1:3">
      <c r="A2865" s="86" t="s">
        <v>16737</v>
      </c>
      <c r="B2865" s="86" t="s">
        <v>16736</v>
      </c>
      <c r="C2865" s="397">
        <v>53</v>
      </c>
    </row>
    <row r="2866" spans="1:3">
      <c r="A2866" s="86" t="s">
        <v>16735</v>
      </c>
      <c r="B2866" s="86" t="s">
        <v>16734</v>
      </c>
      <c r="C2866" s="397">
        <v>225</v>
      </c>
    </row>
    <row r="2867" spans="1:3">
      <c r="A2867" s="86" t="s">
        <v>16733</v>
      </c>
      <c r="B2867" s="86" t="s">
        <v>16732</v>
      </c>
      <c r="C2867" s="397">
        <v>101</v>
      </c>
    </row>
    <row r="2868" spans="1:3">
      <c r="A2868" s="86" t="s">
        <v>16731</v>
      </c>
      <c r="B2868" s="86" t="s">
        <v>16730</v>
      </c>
      <c r="C2868" s="397">
        <v>336</v>
      </c>
    </row>
    <row r="2869" spans="1:3">
      <c r="A2869" s="86" t="s">
        <v>16729</v>
      </c>
      <c r="B2869" s="86" t="s">
        <v>16728</v>
      </c>
      <c r="C2869" s="397">
        <v>336</v>
      </c>
    </row>
    <row r="2870" spans="1:3">
      <c r="A2870" s="86" t="s">
        <v>16727</v>
      </c>
      <c r="B2870" s="86" t="s">
        <v>16726</v>
      </c>
      <c r="C2870" s="397">
        <v>336</v>
      </c>
    </row>
    <row r="2871" spans="1:3">
      <c r="A2871" s="86" t="s">
        <v>16725</v>
      </c>
      <c r="B2871" s="86" t="s">
        <v>16724</v>
      </c>
      <c r="C2871" s="397">
        <v>20</v>
      </c>
    </row>
    <row r="2872" spans="1:3">
      <c r="A2872" s="86" t="s">
        <v>16723</v>
      </c>
      <c r="B2872" s="86" t="s">
        <v>16722</v>
      </c>
      <c r="C2872" s="397">
        <v>283</v>
      </c>
    </row>
    <row r="2873" spans="1:3">
      <c r="A2873" s="86" t="s">
        <v>16721</v>
      </c>
      <c r="B2873" s="86" t="s">
        <v>16720</v>
      </c>
      <c r="C2873" s="397">
        <v>122</v>
      </c>
    </row>
    <row r="2874" spans="1:3">
      <c r="A2874" s="86" t="s">
        <v>16719</v>
      </c>
      <c r="B2874" s="86" t="s">
        <v>16718</v>
      </c>
      <c r="C2874" s="397">
        <v>78</v>
      </c>
    </row>
    <row r="2875" spans="1:3">
      <c r="A2875" s="86" t="s">
        <v>16717</v>
      </c>
      <c r="B2875" s="86" t="s">
        <v>16716</v>
      </c>
      <c r="C2875" s="397">
        <v>2270</v>
      </c>
    </row>
    <row r="2876" spans="1:3">
      <c r="A2876" s="86" t="s">
        <v>16715</v>
      </c>
      <c r="B2876" s="86" t="s">
        <v>16714</v>
      </c>
      <c r="C2876" s="397">
        <v>2270</v>
      </c>
    </row>
    <row r="2877" spans="1:3">
      <c r="A2877" s="86" t="s">
        <v>16713</v>
      </c>
      <c r="B2877" s="86" t="s">
        <v>16712</v>
      </c>
      <c r="C2877" s="397">
        <v>2270</v>
      </c>
    </row>
    <row r="2878" spans="1:3">
      <c r="A2878" s="86" t="s">
        <v>16711</v>
      </c>
      <c r="B2878" s="86" t="s">
        <v>16710</v>
      </c>
      <c r="C2878" s="397">
        <v>1223</v>
      </c>
    </row>
    <row r="2879" spans="1:3">
      <c r="A2879" s="86" t="s">
        <v>16709</v>
      </c>
      <c r="B2879" s="86" t="s">
        <v>16708</v>
      </c>
      <c r="C2879" s="397">
        <v>1223</v>
      </c>
    </row>
    <row r="2880" spans="1:3">
      <c r="A2880" s="86" t="s">
        <v>16707</v>
      </c>
      <c r="B2880" s="86" t="s">
        <v>16706</v>
      </c>
      <c r="C2880" s="397">
        <v>57</v>
      </c>
    </row>
    <row r="2881" spans="1:3">
      <c r="A2881" s="86" t="s">
        <v>16705</v>
      </c>
      <c r="B2881" s="86" t="s">
        <v>16704</v>
      </c>
      <c r="C2881" s="397">
        <v>57</v>
      </c>
    </row>
    <row r="2882" spans="1:3">
      <c r="A2882" s="86" t="s">
        <v>16703</v>
      </c>
      <c r="B2882" s="86" t="s">
        <v>16702</v>
      </c>
      <c r="C2882" s="397">
        <v>128</v>
      </c>
    </row>
    <row r="2883" spans="1:3">
      <c r="A2883" s="86" t="s">
        <v>16701</v>
      </c>
      <c r="B2883" s="86" t="s">
        <v>16700</v>
      </c>
      <c r="C2883" s="397">
        <v>97</v>
      </c>
    </row>
    <row r="2884" spans="1:3">
      <c r="A2884" s="86" t="s">
        <v>16699</v>
      </c>
      <c r="B2884" s="86" t="s">
        <v>16698</v>
      </c>
      <c r="C2884" s="397">
        <v>875</v>
      </c>
    </row>
    <row r="2885" spans="1:3">
      <c r="A2885" s="86" t="s">
        <v>16697</v>
      </c>
      <c r="B2885" s="86" t="s">
        <v>16696</v>
      </c>
      <c r="C2885" s="397">
        <v>506</v>
      </c>
    </row>
    <row r="2886" spans="1:3">
      <c r="A2886" s="86" t="s">
        <v>16695</v>
      </c>
      <c r="B2886" s="86" t="s">
        <v>16694</v>
      </c>
      <c r="C2886" s="397">
        <v>314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015a47b3-82f2-4fd6-83ba-a7e7ac8586e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4A473BF5A8B7E4A98B9770E577F5E01" ma:contentTypeVersion="6" ma:contentTypeDescription="Create a new document." ma:contentTypeScope="" ma:versionID="8dbe55977ce32bb6907525bb64df3992">
  <xsd:schema xmlns:xsd="http://www.w3.org/2001/XMLSchema" xmlns:xs="http://www.w3.org/2001/XMLSchema" xmlns:p="http://schemas.microsoft.com/office/2006/metadata/properties" xmlns:ns3="015a47b3-82f2-4fd6-83ba-a7e7ac8586ea" targetNamespace="http://schemas.microsoft.com/office/2006/metadata/properties" ma:root="true" ma:fieldsID="980d250a877f46e7a8643e0e69eac759" ns3:_="">
    <xsd:import namespace="015a47b3-82f2-4fd6-83ba-a7e7ac8586ea"/>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ObjectDetectorVersion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5a47b3-82f2-4fd6-83ba-a7e7ac8586ea"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_activity" ma:index="1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BDE720-FD69-406A-8622-2E22330523BC}">
  <ds:schemaRefs>
    <ds:schemaRef ds:uri="http://schemas.microsoft.com/sharepoint/v3/contenttype/forms"/>
  </ds:schemaRefs>
</ds:datastoreItem>
</file>

<file path=customXml/itemProps2.xml><?xml version="1.0" encoding="utf-8"?>
<ds:datastoreItem xmlns:ds="http://schemas.openxmlformats.org/officeDocument/2006/customXml" ds:itemID="{5175D843-891A-47DE-9C53-AA7B1EE3241D}">
  <ds:schemaRefs>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015a47b3-82f2-4fd6-83ba-a7e7ac8586ea"/>
    <ds:schemaRef ds:uri="http://purl.org/dc/dcmitype/"/>
    <ds:schemaRef ds:uri="http://purl.org/dc/terms/"/>
  </ds:schemaRefs>
</ds:datastoreItem>
</file>

<file path=customXml/itemProps3.xml><?xml version="1.0" encoding="utf-8"?>
<ds:datastoreItem xmlns:ds="http://schemas.openxmlformats.org/officeDocument/2006/customXml" ds:itemID="{95EE5691-EF82-4686-AC52-75D6348AD3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5a47b3-82f2-4fd6-83ba-a7e7ac8586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42</vt:i4>
      </vt:variant>
    </vt:vector>
  </HeadingPairs>
  <TitlesOfParts>
    <vt:vector size="88" baseType="lpstr">
      <vt:lpstr>Preferred Equipment</vt:lpstr>
      <vt:lpstr>Preferred Equipment Tariff</vt:lpstr>
      <vt:lpstr>Angel Armor</vt:lpstr>
      <vt:lpstr>American Aluminum</vt:lpstr>
      <vt:lpstr>Blac-Rac</vt:lpstr>
      <vt:lpstr>CargoRAXX</vt:lpstr>
      <vt:lpstr>Code 3</vt:lpstr>
      <vt:lpstr>Code 3 Light Bars</vt:lpstr>
      <vt:lpstr>Federal Signal</vt:lpstr>
      <vt:lpstr>Gamber Johnson</vt:lpstr>
      <vt:lpstr>GETAC SELECT®</vt:lpstr>
      <vt:lpstr>Kussmaul</vt:lpstr>
      <vt:lpstr>Havis</vt:lpstr>
      <vt:lpstr>Lund</vt:lpstr>
      <vt:lpstr>Lund Loft</vt:lpstr>
      <vt:lpstr>PAC Tools</vt:lpstr>
      <vt:lpstr>Pro-Gard</vt:lpstr>
      <vt:lpstr>Printek</vt:lpstr>
      <vt:lpstr>Ram Mounts</vt:lpstr>
      <vt:lpstr>Santa Cruz</vt:lpstr>
      <vt:lpstr>Semtech</vt:lpstr>
      <vt:lpstr>Soundoff Standard</vt:lpstr>
      <vt:lpstr>Soundoff bluePRINT</vt:lpstr>
      <vt:lpstr>Streamlight</vt:lpstr>
      <vt:lpstr>Troy Products</vt:lpstr>
      <vt:lpstr>TruckVault</vt:lpstr>
      <vt:lpstr>Westin</vt:lpstr>
      <vt:lpstr>Whelen</vt:lpstr>
      <vt:lpstr>Setina 20-25 Ford Int Utility</vt:lpstr>
      <vt:lpstr>Setina15-25 Ford F150 Responder</vt:lpstr>
      <vt:lpstr>Setina 21-25 F150 Lightning</vt:lpstr>
      <vt:lpstr>Setina 21-25 Mustang Mach E</vt:lpstr>
      <vt:lpstr>Setina 17-25 Ford F250-F550</vt:lpstr>
      <vt:lpstr>Setina 21-25 Chevrolet Tahoe</vt:lpstr>
      <vt:lpstr>Setina 20-25 Chevy Truck </vt:lpstr>
      <vt:lpstr>Setina Chevy Blazer EV</vt:lpstr>
      <vt:lpstr>Setina 19-25 Chevy Truck 1500</vt:lpstr>
      <vt:lpstr>Setina 11-26 Dodge Durango</vt:lpstr>
      <vt:lpstr>Setina 19-25 Dodge Ram DT 1500</vt:lpstr>
      <vt:lpstr>Setina 11-23 Dodge Charger</vt:lpstr>
      <vt:lpstr>Setina 20-25 Chrysler Pacifica</vt:lpstr>
      <vt:lpstr>Setina 19-25 Dodge Ram </vt:lpstr>
      <vt:lpstr>Setina 08-20 Dodge Caravan</vt:lpstr>
      <vt:lpstr>Setina 20-25 Tesla Model Y</vt:lpstr>
      <vt:lpstr>Setina FIREARM MOUNT SYSTEMS</vt:lpstr>
      <vt:lpstr>Setina K9 ELECTRONICS</vt:lpstr>
      <vt:lpstr>'Code 3'!Print_Area</vt:lpstr>
      <vt:lpstr>'Code 3 Light Bars'!Print_Area</vt:lpstr>
      <vt:lpstr>Havis!Print_Area</vt:lpstr>
      <vt:lpstr>Kussmaul!Print_Area</vt:lpstr>
      <vt:lpstr>Lund!Print_Area</vt:lpstr>
      <vt:lpstr>'Lund Loft'!Print_Area</vt:lpstr>
      <vt:lpstr>'Pro-Gard'!Print_Area</vt:lpstr>
      <vt:lpstr>'Santa Cruz'!Print_Area</vt:lpstr>
      <vt:lpstr>Semtech!Print_Area</vt:lpstr>
      <vt:lpstr>'Setina 08-20 Dodge Caravan'!Print_Area</vt:lpstr>
      <vt:lpstr>'Setina 11-23 Dodge Charger'!Print_Area</vt:lpstr>
      <vt:lpstr>'Setina 11-26 Dodge Durango'!Print_Area</vt:lpstr>
      <vt:lpstr>'Setina 17-25 Ford F250-F550'!Print_Area</vt:lpstr>
      <vt:lpstr>'Setina 19-25 Chevy Truck 1500'!Print_Area</vt:lpstr>
      <vt:lpstr>'Setina 19-25 Dodge Ram DT 1500'!Print_Area</vt:lpstr>
      <vt:lpstr>'Setina 20-25 Chevy Truck '!Print_Area</vt:lpstr>
      <vt:lpstr>'Setina 20-25 Chrysler Pacifica'!Print_Area</vt:lpstr>
      <vt:lpstr>'Setina 20-25 Ford Int Utility'!Print_Area</vt:lpstr>
      <vt:lpstr>'Setina 20-25 Tesla Model Y'!Print_Area</vt:lpstr>
      <vt:lpstr>'Setina 21-25 Chevrolet Tahoe'!Print_Area</vt:lpstr>
      <vt:lpstr>'Setina 21-25 Mustang Mach E'!Print_Area</vt:lpstr>
      <vt:lpstr>'Setina FIREARM MOUNT SYSTEMS'!Print_Area</vt:lpstr>
      <vt:lpstr>'Setina K9 ELECTRONICS'!Print_Area</vt:lpstr>
      <vt:lpstr>'Setina15-25 Ford F150 Responder'!Print_Area</vt:lpstr>
      <vt:lpstr>'Code 3'!Print_Titles</vt:lpstr>
      <vt:lpstr>'Code 3 Light Bars'!Print_Titles</vt:lpstr>
      <vt:lpstr>Kussmaul!Print_Titles</vt:lpstr>
      <vt:lpstr>Lund!Print_Titles</vt:lpstr>
      <vt:lpstr>'Lund Loft'!Print_Titles</vt:lpstr>
      <vt:lpstr>'Setina 08-20 Dodge Caravan'!Print_Titles</vt:lpstr>
      <vt:lpstr>'Setina 11-23 Dodge Charger'!Print_Titles</vt:lpstr>
      <vt:lpstr>'Setina 11-26 Dodge Durango'!Print_Titles</vt:lpstr>
      <vt:lpstr>'Setina 17-25 Ford F250-F550'!Print_Titles</vt:lpstr>
      <vt:lpstr>'Setina 19-25 Chevy Truck 1500'!Print_Titles</vt:lpstr>
      <vt:lpstr>'Setina 19-25 Dodge Ram DT 1500'!Print_Titles</vt:lpstr>
      <vt:lpstr>'Setina 20-25 Ford Int Utility'!Print_Titles</vt:lpstr>
      <vt:lpstr>'Setina 20-25 Tesla Model Y'!Print_Titles</vt:lpstr>
      <vt:lpstr>'Setina 21-25 Chevrolet Tahoe'!Print_Titles</vt:lpstr>
      <vt:lpstr>'Setina 21-25 Mustang Mach E'!Print_Titles</vt:lpstr>
      <vt:lpstr>'Setina FIREARM MOUNT SYSTEMS'!Print_Titles</vt:lpstr>
      <vt:lpstr>'Setina K9 ELECTRONICS'!Print_Titles</vt:lpstr>
      <vt:lpstr>'Setina15-25 Ford F150 Responder'!Print_Titles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Clay</dc:creator>
  <cp:lastModifiedBy>Michael Chase</cp:lastModifiedBy>
  <dcterms:created xsi:type="dcterms:W3CDTF">2021-08-31T13:38:54Z</dcterms:created>
  <dcterms:modified xsi:type="dcterms:W3CDTF">2025-10-17T19:31:12Z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0x01010064A473BF5A8B7E4A98B9770E577F5E01</vt:lpwstr>
  </property>
</Properties>
</file>